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ata" sheetId="1" r:id="rId5"/>
    <sheet state="visible" name="Over100" sheetId="2" r:id="rId6"/>
    <sheet state="visible" name="Averages" sheetId="3" r:id="rId7"/>
    <sheet state="visible" name="Tenhoui" sheetId="4" r:id="rId8"/>
    <sheet state="visible" name="Friends" sheetId="5" r:id="rId9"/>
  </sheets>
  <definedNames/>
  <calcPr/>
</workbook>
</file>

<file path=xl/sharedStrings.xml><?xml version="1.0" encoding="utf-8"?>
<sst xmlns="http://schemas.openxmlformats.org/spreadsheetml/2006/main" count="7878" uniqueCount="7805">
  <si>
    <t>Name</t>
  </si>
  <si>
    <t>Games</t>
  </si>
  <si>
    <t>Rounds</t>
  </si>
  <si>
    <t>Opened</t>
  </si>
  <si>
    <t>Call%</t>
  </si>
  <si>
    <t>Dealt In</t>
  </si>
  <si>
    <t>Deal-In%</t>
  </si>
  <si>
    <t>Won</t>
  </si>
  <si>
    <t>Win%</t>
  </si>
  <si>
    <t>Riichi</t>
  </si>
  <si>
    <t>Riichi%</t>
  </si>
  <si>
    <t>Ron</t>
  </si>
  <si>
    <t>Ron%</t>
  </si>
  <si>
    <t>Total Value</t>
  </si>
  <si>
    <t>Avg Value</t>
  </si>
  <si>
    <t>Yakuman</t>
  </si>
  <si>
    <t>Ykmn%</t>
  </si>
  <si>
    <t>Male</t>
  </si>
  <si>
    <t>Male %</t>
  </si>
  <si>
    <t>SYV&amp;SYS</t>
  </si>
  <si>
    <t>Emurated</t>
  </si>
  <si>
    <t>あざとす</t>
  </si>
  <si>
    <t>しろさば</t>
  </si>
  <si>
    <t>Neo末原</t>
  </si>
  <si>
    <t>v('A`)v</t>
  </si>
  <si>
    <t>・。＾</t>
  </si>
  <si>
    <t>せしうむくん</t>
  </si>
  <si>
    <t>inoko74</t>
  </si>
  <si>
    <t>maron</t>
  </si>
  <si>
    <t>小瀬川</t>
  </si>
  <si>
    <t>kumogaki</t>
  </si>
  <si>
    <t>たいさ</t>
  </si>
  <si>
    <t>ロボコプ二代目</t>
  </si>
  <si>
    <t>秋夜の玲</t>
  </si>
  <si>
    <t>めガハせ</t>
  </si>
  <si>
    <t>nmizu</t>
  </si>
  <si>
    <t>鳥井チカ</t>
  </si>
  <si>
    <t>ワクワク</t>
  </si>
  <si>
    <t>安心ウェザー</t>
  </si>
  <si>
    <t>IKDYUT</t>
  </si>
  <si>
    <t>空銀子</t>
  </si>
  <si>
    <t>haru0819</t>
  </si>
  <si>
    <t>maruiie</t>
  </si>
  <si>
    <t>豊橋フレンド</t>
  </si>
  <si>
    <t>シラプ</t>
  </si>
  <si>
    <t>法律勉強中</t>
  </si>
  <si>
    <t>Jed-</t>
  </si>
  <si>
    <t>小淵沢報瀬</t>
  </si>
  <si>
    <t>仙台第二</t>
  </si>
  <si>
    <t>優遼偉</t>
  </si>
  <si>
    <t>門前雀羅</t>
  </si>
  <si>
    <t>ロり肉の弟子</t>
  </si>
  <si>
    <t>nukky403</t>
  </si>
  <si>
    <t>カミソリ小島</t>
  </si>
  <si>
    <t>かりかり湯豆腐</t>
  </si>
  <si>
    <t>これはｗｗｗ</t>
  </si>
  <si>
    <t>alice.S</t>
  </si>
  <si>
    <t>e-sepen;</t>
  </si>
  <si>
    <t>獣臭い肉球</t>
  </si>
  <si>
    <t>enrica</t>
  </si>
  <si>
    <t>ヘボ＠東風</t>
  </si>
  <si>
    <t>かな寅ちゃん</t>
  </si>
  <si>
    <t>wywywy3p</t>
  </si>
  <si>
    <t>西。</t>
  </si>
  <si>
    <t>bkwrtnnb</t>
  </si>
  <si>
    <t>槍神@水貨軍團</t>
  </si>
  <si>
    <t>GODHADES</t>
  </si>
  <si>
    <t>れっど愛</t>
  </si>
  <si>
    <t>inekiyo</t>
  </si>
  <si>
    <t>飯田リック＠楽天</t>
  </si>
  <si>
    <t>お好みにごはん</t>
  </si>
  <si>
    <t>芸術点重視</t>
  </si>
  <si>
    <t>山側環状</t>
  </si>
  <si>
    <t>yuki兎</t>
  </si>
  <si>
    <t>マナカナ</t>
  </si>
  <si>
    <t>1/e</t>
  </si>
  <si>
    <t>koyo513</t>
  </si>
  <si>
    <t>suwakko☆</t>
  </si>
  <si>
    <t>考え中（東</t>
  </si>
  <si>
    <t>YusukeKK</t>
  </si>
  <si>
    <t>ErvAsty</t>
  </si>
  <si>
    <t>かふぇ＠おれ</t>
  </si>
  <si>
    <t>ヽ|´｀*ξ|ノ</t>
  </si>
  <si>
    <t>蛍火♪</t>
  </si>
  <si>
    <t>MISA</t>
  </si>
  <si>
    <t>アリエッティ</t>
  </si>
  <si>
    <t>泉_将</t>
  </si>
  <si>
    <t>くうこ</t>
  </si>
  <si>
    <t>必然力</t>
  </si>
  <si>
    <t>くろすちゃんねる</t>
  </si>
  <si>
    <t>７４２</t>
  </si>
  <si>
    <t>ラッキーポンタ３</t>
  </si>
  <si>
    <t>アルト</t>
  </si>
  <si>
    <t>spinel</t>
  </si>
  <si>
    <t>ななめゆっぽこ</t>
  </si>
  <si>
    <t>例えばぁ～</t>
  </si>
  <si>
    <t>やっちゃんよっち</t>
  </si>
  <si>
    <t>まつごろ</t>
  </si>
  <si>
    <t>da18041</t>
  </si>
  <si>
    <t>superika</t>
  </si>
  <si>
    <t>お白瀬</t>
  </si>
  <si>
    <t>凡庸</t>
  </si>
  <si>
    <t>〓ラビ〓</t>
  </si>
  <si>
    <t>塩沢</t>
  </si>
  <si>
    <t>江戸瓦コナンΧ</t>
  </si>
  <si>
    <t>マジカルツモ</t>
  </si>
  <si>
    <t>Tgreen</t>
  </si>
  <si>
    <t>バード＠刈谷代表</t>
  </si>
  <si>
    <t>こうき惨敗中</t>
  </si>
  <si>
    <t>帰ってきた（ｒｙ</t>
  </si>
  <si>
    <t>えくう</t>
  </si>
  <si>
    <t>ディオブランド</t>
  </si>
  <si>
    <t>しましま犬☆</t>
  </si>
  <si>
    <t>秘剣★千鳥★</t>
  </si>
  <si>
    <t>Yuu.A</t>
  </si>
  <si>
    <t>thyme.</t>
  </si>
  <si>
    <t>woodson</t>
  </si>
  <si>
    <t>Ｇ・ウザク</t>
  </si>
  <si>
    <t>あきぴょん</t>
  </si>
  <si>
    <t>kumo</t>
  </si>
  <si>
    <t>カニベース</t>
  </si>
  <si>
    <t>kufu</t>
  </si>
  <si>
    <t>逆神</t>
  </si>
  <si>
    <t>リンゴォ</t>
  </si>
  <si>
    <t>chosan</t>
  </si>
  <si>
    <t>NPO法人雀新会</t>
  </si>
  <si>
    <t>太くないの</t>
  </si>
  <si>
    <t>colonel7</t>
  </si>
  <si>
    <t>くまーー</t>
  </si>
  <si>
    <t>hiter</t>
  </si>
  <si>
    <t>jjjj7722</t>
  </si>
  <si>
    <t>追っかけガチ勢</t>
  </si>
  <si>
    <t>吉岡光正</t>
  </si>
  <si>
    <t>Shinpapa</t>
  </si>
  <si>
    <t>家庭教師</t>
  </si>
  <si>
    <t>君の一筒に聴牌</t>
  </si>
  <si>
    <t>長州の克</t>
  </si>
  <si>
    <t>namari</t>
  </si>
  <si>
    <t>るーしあ</t>
  </si>
  <si>
    <t>C.Hook</t>
  </si>
  <si>
    <t>レオ吉つぁん</t>
  </si>
  <si>
    <t>RIN2</t>
  </si>
  <si>
    <t>とれは</t>
  </si>
  <si>
    <t>IMYH</t>
  </si>
  <si>
    <t>筋トレオタク</t>
  </si>
  <si>
    <t>commons</t>
  </si>
  <si>
    <t>内山卓哉</t>
  </si>
  <si>
    <t>いめけん</t>
  </si>
  <si>
    <t>敬太朗</t>
  </si>
  <si>
    <t>Akihiro</t>
  </si>
  <si>
    <t>francois</t>
  </si>
  <si>
    <t>羽生八冠</t>
  </si>
  <si>
    <t>ナゾノクサ</t>
  </si>
  <si>
    <t>jkr-aki</t>
  </si>
  <si>
    <t>かぼちゃくん</t>
  </si>
  <si>
    <t>ehimoses</t>
  </si>
  <si>
    <t>億万長者</t>
  </si>
  <si>
    <t>天下一品</t>
  </si>
  <si>
    <t>久々帝</t>
  </si>
  <si>
    <t>もりたくん</t>
  </si>
  <si>
    <t>濡れ手で粟☆あわ</t>
  </si>
  <si>
    <t>コンチネンタルⅢ</t>
  </si>
  <si>
    <t>MSK</t>
  </si>
  <si>
    <t>エア道！</t>
  </si>
  <si>
    <t>Benching</t>
  </si>
  <si>
    <t>ボイス党</t>
  </si>
  <si>
    <t>こじろ</t>
  </si>
  <si>
    <t>Jerky星肉</t>
  </si>
  <si>
    <t>;_;</t>
  </si>
  <si>
    <t>工藤忍</t>
  </si>
  <si>
    <t>あらん☆</t>
  </si>
  <si>
    <t>-LKH-</t>
  </si>
  <si>
    <t>raku東風第2</t>
  </si>
  <si>
    <t>Ryu1963</t>
  </si>
  <si>
    <t>反陽子さん</t>
  </si>
  <si>
    <t>天江華菜</t>
  </si>
  <si>
    <t>㈱たるたる</t>
  </si>
  <si>
    <t>みうらDX</t>
  </si>
  <si>
    <t>POTDAY２</t>
  </si>
  <si>
    <t>みちゅい</t>
  </si>
  <si>
    <t>せはな</t>
  </si>
  <si>
    <t>あおぱん</t>
  </si>
  <si>
    <t>ベホイミちゃん</t>
  </si>
  <si>
    <t>えんとろぴぃ</t>
  </si>
  <si>
    <t>jeneriku</t>
  </si>
  <si>
    <t>アイスクリーム</t>
  </si>
  <si>
    <t>南詩乃</t>
  </si>
  <si>
    <t>（*゜ー゜）</t>
  </si>
  <si>
    <t>moss402</t>
  </si>
  <si>
    <t>心斎橋zoo</t>
  </si>
  <si>
    <t>「天」</t>
  </si>
  <si>
    <t>三曽木公介</t>
  </si>
  <si>
    <t>しとロン0222</t>
  </si>
  <si>
    <t>クリーン尾崎</t>
  </si>
  <si>
    <t>櫻井桃華</t>
  </si>
  <si>
    <t>TACT</t>
  </si>
  <si>
    <t>比屋定真帆</t>
  </si>
  <si>
    <t>チキン麻雀Ⅱ</t>
  </si>
  <si>
    <t>まりもー</t>
  </si>
  <si>
    <t>マイナー兎</t>
  </si>
  <si>
    <t>.佐々野いちこ”</t>
  </si>
  <si>
    <t>タコスうま-</t>
  </si>
  <si>
    <t>V魂</t>
  </si>
  <si>
    <t>道成</t>
  </si>
  <si>
    <t>ししょー</t>
  </si>
  <si>
    <t>tanya</t>
  </si>
  <si>
    <t>YスギY</t>
  </si>
  <si>
    <t>速水伊織ん</t>
  </si>
  <si>
    <t>謎の転校生でこじ</t>
  </si>
  <si>
    <t>卍固メ＠川村軍団</t>
  </si>
  <si>
    <t>世界の涯</t>
  </si>
  <si>
    <t>すすむぽん</t>
  </si>
  <si>
    <t>アカルトシステム</t>
  </si>
  <si>
    <t>masalfi</t>
  </si>
  <si>
    <t>(´ー｀)ノ</t>
  </si>
  <si>
    <t>masaki07</t>
  </si>
  <si>
    <t>カラス★</t>
  </si>
  <si>
    <t>高嶺之草高遠惠輔</t>
  </si>
  <si>
    <t>ゼリー状のおナス</t>
  </si>
  <si>
    <t>スリノ銀次</t>
  </si>
  <si>
    <t>jizou</t>
  </si>
  <si>
    <t>今更</t>
  </si>
  <si>
    <t>ひのきやま</t>
  </si>
  <si>
    <t>GGGsuke</t>
  </si>
  <si>
    <t>いそっこ</t>
  </si>
  <si>
    <t>涼茶</t>
  </si>
  <si>
    <t>ブロックバスター</t>
  </si>
  <si>
    <t>影縫い</t>
  </si>
  <si>
    <t>龍王乱</t>
  </si>
  <si>
    <t>ヤバい</t>
  </si>
  <si>
    <t>謎のにょけ</t>
  </si>
  <si>
    <t>根越英人</t>
  </si>
  <si>
    <t>鳳南大学8年生</t>
  </si>
  <si>
    <t>デルポトロ</t>
  </si>
  <si>
    <t>タンヤオ谷川</t>
  </si>
  <si>
    <t>Eight</t>
  </si>
  <si>
    <t>反魂</t>
  </si>
  <si>
    <t>歌舞伎町裕二</t>
  </si>
  <si>
    <t>ぽぺんぴん</t>
  </si>
  <si>
    <t>＠れもん</t>
  </si>
  <si>
    <t>淫獣宮藤</t>
  </si>
  <si>
    <t>タマタマキング</t>
  </si>
  <si>
    <t>Z.ZIDAN</t>
  </si>
  <si>
    <t>クマウザー２世</t>
  </si>
  <si>
    <t>Alstream</t>
  </si>
  <si>
    <t>エレクトロ軍曹</t>
  </si>
  <si>
    <t>じゃき.</t>
  </si>
  <si>
    <t>遅刻のプリンス♪</t>
  </si>
  <si>
    <t>九鳳院紫</t>
  </si>
  <si>
    <t>たまころさん</t>
  </si>
  <si>
    <t>真空フェスタ</t>
  </si>
  <si>
    <t>ドリブラー</t>
  </si>
  <si>
    <t>黒の旋風</t>
  </si>
  <si>
    <t>とまりぎ</t>
  </si>
  <si>
    <t>りそうぢゃんし♪</t>
  </si>
  <si>
    <t>灰流うらら</t>
  </si>
  <si>
    <t>梅さん129</t>
  </si>
  <si>
    <t>赤司</t>
  </si>
  <si>
    <t>風の小鳥</t>
  </si>
  <si>
    <t>はなうさぎ</t>
  </si>
  <si>
    <t>京大合格最低点</t>
  </si>
  <si>
    <t>Teita</t>
  </si>
  <si>
    <t>swdmd</t>
  </si>
  <si>
    <t>nonn</t>
  </si>
  <si>
    <t>Ａ・ロッド</t>
  </si>
  <si>
    <t>piro66</t>
  </si>
  <si>
    <t>Kevin007</t>
  </si>
  <si>
    <t>進撃の猫</t>
  </si>
  <si>
    <t>ハードラック</t>
  </si>
  <si>
    <t>お値段以上</t>
  </si>
  <si>
    <t>gazyu</t>
  </si>
  <si>
    <t>もう何も恐くない</t>
  </si>
  <si>
    <t>みぎわ♪</t>
  </si>
  <si>
    <t>kinta191</t>
  </si>
  <si>
    <t>傍若無人51</t>
  </si>
  <si>
    <t>kiki30</t>
  </si>
  <si>
    <t>みぃちゃん推し</t>
  </si>
  <si>
    <t>血塗られた聖天使</t>
  </si>
  <si>
    <t>どーけ</t>
  </si>
  <si>
    <t>医留の鏡</t>
  </si>
  <si>
    <t>zaku</t>
  </si>
  <si>
    <t>hironn20</t>
  </si>
  <si>
    <t>いえすた</t>
  </si>
  <si>
    <t>★平和姫★</t>
  </si>
  <si>
    <t>kkk1412q</t>
  </si>
  <si>
    <t>武宮正樹</t>
  </si>
  <si>
    <t>逗比流</t>
  </si>
  <si>
    <t>ボン鈴木</t>
  </si>
  <si>
    <t>グウェン</t>
  </si>
  <si>
    <t>ねり梅</t>
  </si>
  <si>
    <t>Kikyo</t>
  </si>
  <si>
    <t>らむのぱぱ</t>
  </si>
  <si>
    <t>ハピナ名掛丁</t>
  </si>
  <si>
    <t>アチエネ</t>
  </si>
  <si>
    <t>すごくいい</t>
  </si>
  <si>
    <t>stxseiya</t>
  </si>
  <si>
    <t>蒼衣鈴</t>
  </si>
  <si>
    <t>リルラスティフ</t>
  </si>
  <si>
    <t>かつま</t>
  </si>
  <si>
    <t>dobby072</t>
  </si>
  <si>
    <t>ごみくずの弟子</t>
  </si>
  <si>
    <t>poison02</t>
  </si>
  <si>
    <t>akaakaak</t>
  </si>
  <si>
    <t>YukiF</t>
  </si>
  <si>
    <t>有段者狩り</t>
  </si>
  <si>
    <t>アリス大好き</t>
  </si>
  <si>
    <t>raku第2東風</t>
  </si>
  <si>
    <t>市川迷砂</t>
  </si>
  <si>
    <t>うさぎ2011</t>
  </si>
  <si>
    <t>babusura</t>
  </si>
  <si>
    <t>kina</t>
  </si>
  <si>
    <t>yy66</t>
  </si>
  <si>
    <t>eiban</t>
  </si>
  <si>
    <t>おでん*</t>
  </si>
  <si>
    <t>はまち兄やん</t>
  </si>
  <si>
    <t>D.B.G.</t>
  </si>
  <si>
    <t>Benefit</t>
  </si>
  <si>
    <t>GK</t>
  </si>
  <si>
    <t>チョロ松</t>
  </si>
  <si>
    <t>Yellow13</t>
  </si>
  <si>
    <t>ヴィヴィアン</t>
  </si>
  <si>
    <t>キュー04</t>
  </si>
  <si>
    <t>-閃光-</t>
  </si>
  <si>
    <t>okasi41</t>
  </si>
  <si>
    <t>矢島Index</t>
  </si>
  <si>
    <t>きなこ棒</t>
  </si>
  <si>
    <t>赤神風境</t>
  </si>
  <si>
    <t>なつ＠あんどう</t>
  </si>
  <si>
    <t>やさぐれヤマメ</t>
  </si>
  <si>
    <t>サミュエル江藤</t>
  </si>
  <si>
    <t>ばいにーご(笑)</t>
  </si>
  <si>
    <t>下家は俺の嫁</t>
  </si>
  <si>
    <t>ルパン</t>
  </si>
  <si>
    <t>名探偵県にゃん♪</t>
  </si>
  <si>
    <t>QBlue</t>
  </si>
  <si>
    <t>レクサール</t>
  </si>
  <si>
    <t>鏡之助</t>
  </si>
  <si>
    <t>yesmanx</t>
  </si>
  <si>
    <t>REIN森久保P</t>
  </si>
  <si>
    <t>したっぱ</t>
  </si>
  <si>
    <t>ぶんがく</t>
  </si>
  <si>
    <t>kb777</t>
  </si>
  <si>
    <t>原価計算と行政法</t>
  </si>
  <si>
    <t>特上の養分</t>
  </si>
  <si>
    <t>TOUGAI02</t>
  </si>
  <si>
    <t>toneko@父</t>
  </si>
  <si>
    <t>AnTy</t>
  </si>
  <si>
    <t>奏者</t>
  </si>
  <si>
    <t>まるるぼろ</t>
  </si>
  <si>
    <t>沼田</t>
  </si>
  <si>
    <t>よっちゃん01</t>
  </si>
  <si>
    <t>miracleZ</t>
  </si>
  <si>
    <t>タケやん</t>
  </si>
  <si>
    <t>戦艦長門</t>
  </si>
  <si>
    <t>yasuozz</t>
  </si>
  <si>
    <t>chantaku</t>
  </si>
  <si>
    <t>Kate</t>
  </si>
  <si>
    <t>Lucifer☆</t>
  </si>
  <si>
    <t>黛</t>
  </si>
  <si>
    <t>hikari25</t>
  </si>
  <si>
    <t>yoshirou</t>
  </si>
  <si>
    <t>放送ガチ麻雀</t>
  </si>
  <si>
    <t>あいだなつ</t>
  </si>
  <si>
    <t>DANTE</t>
  </si>
  <si>
    <t>ちゅちゅちゅん</t>
  </si>
  <si>
    <t>鳴きまくるです</t>
  </si>
  <si>
    <t>とるとる</t>
  </si>
  <si>
    <t>ルビーの指輪</t>
  </si>
  <si>
    <t>ごりみき</t>
  </si>
  <si>
    <t>記憶の森</t>
  </si>
  <si>
    <t>rarappe</t>
  </si>
  <si>
    <t>虎猫丸</t>
  </si>
  <si>
    <t>いせえび</t>
  </si>
  <si>
    <t>ムッシュル</t>
  </si>
  <si>
    <t>デスティーノ</t>
  </si>
  <si>
    <t>Ngel&amp;Min</t>
  </si>
  <si>
    <t>天心</t>
  </si>
  <si>
    <t>masaki-t</t>
  </si>
  <si>
    <t>ぷはーRIM☆</t>
  </si>
  <si>
    <t>パパジーニ</t>
  </si>
  <si>
    <t>唯一絶対神県南</t>
  </si>
  <si>
    <t>BigBonus</t>
  </si>
  <si>
    <t>おさっちょ</t>
  </si>
  <si>
    <t>flawlles</t>
  </si>
  <si>
    <t>yamma</t>
  </si>
  <si>
    <t>氷の中の存在</t>
  </si>
  <si>
    <t>斧ノ小町</t>
  </si>
  <si>
    <t>もじゃ代表</t>
  </si>
  <si>
    <t>【ペイシェンス】</t>
  </si>
  <si>
    <t>ゴロ長男</t>
  </si>
  <si>
    <t>Sawanova</t>
  </si>
  <si>
    <t>ellirael</t>
  </si>
  <si>
    <t>屁胡手</t>
  </si>
  <si>
    <t>龍門渕高校総合</t>
  </si>
  <si>
    <t>えるし</t>
  </si>
  <si>
    <t>MMDT0715</t>
  </si>
  <si>
    <t>wonder2</t>
  </si>
  <si>
    <t>丸</t>
  </si>
  <si>
    <t>クィウ</t>
  </si>
  <si>
    <t>dynamanχ</t>
  </si>
  <si>
    <t>廉太郎</t>
  </si>
  <si>
    <t>咲の一筒ペロペロ</t>
  </si>
  <si>
    <t>suruo</t>
  </si>
  <si>
    <t>天才まきを君</t>
  </si>
  <si>
    <t>ペド</t>
  </si>
  <si>
    <t>さんべたぞん。</t>
  </si>
  <si>
    <t>☆serie☆</t>
  </si>
  <si>
    <t>西門の豚</t>
  </si>
  <si>
    <t>藤本里奈</t>
  </si>
  <si>
    <t>amajishi</t>
  </si>
  <si>
    <t>クレア</t>
  </si>
  <si>
    <t>あぴあぴ</t>
  </si>
  <si>
    <t>神々クラス</t>
  </si>
  <si>
    <t>as07603i</t>
  </si>
  <si>
    <t>ゆきこにゃん</t>
  </si>
  <si>
    <t>(#^^#)</t>
  </si>
  <si>
    <t>らいらいWEL</t>
  </si>
  <si>
    <t>夜明楓</t>
  </si>
  <si>
    <t>ひつま武士</t>
  </si>
  <si>
    <t>Mitui</t>
  </si>
  <si>
    <t>科学麻雀</t>
  </si>
  <si>
    <t>kaikou7</t>
  </si>
  <si>
    <t>桜小路アトレ</t>
  </si>
  <si>
    <t>ごうＪＰＮ</t>
  </si>
  <si>
    <t>dobok</t>
  </si>
  <si>
    <t>miyagi</t>
  </si>
  <si>
    <t>逆流性食道炎なう</t>
  </si>
  <si>
    <t>アカギ</t>
  </si>
  <si>
    <t>hide3400</t>
  </si>
  <si>
    <t>washisen</t>
  </si>
  <si>
    <t>Mahjong2</t>
  </si>
  <si>
    <t>bante1</t>
  </si>
  <si>
    <t>★上海マスター★</t>
  </si>
  <si>
    <t>田中牡丹餅</t>
  </si>
  <si>
    <t>TAKA@</t>
  </si>
  <si>
    <t>プールオム巌</t>
  </si>
  <si>
    <t>shun555</t>
  </si>
  <si>
    <t>Elgin123</t>
  </si>
  <si>
    <t>クイタン太郎</t>
  </si>
  <si>
    <t>いちごおれ</t>
  </si>
  <si>
    <t>自來水@水貨軍團</t>
  </si>
  <si>
    <t>L!VE</t>
  </si>
  <si>
    <t>海月桃香</t>
  </si>
  <si>
    <t>地球委員長</t>
  </si>
  <si>
    <t>K-YAS</t>
  </si>
  <si>
    <t>マーボー</t>
  </si>
  <si>
    <t>GoldCity</t>
  </si>
  <si>
    <t>進撃の巨人</t>
  </si>
  <si>
    <t>永世七段</t>
  </si>
  <si>
    <t>matotin</t>
  </si>
  <si>
    <t>ボヤッキー</t>
  </si>
  <si>
    <t>nabatame</t>
  </si>
  <si>
    <t>三郎左衛門</t>
  </si>
  <si>
    <t>lbird1</t>
  </si>
  <si>
    <t>はみたろう</t>
  </si>
  <si>
    <t>タコ中のタコ</t>
  </si>
  <si>
    <t>ATLE</t>
  </si>
  <si>
    <t>roronoa</t>
  </si>
  <si>
    <t>TATSUO</t>
  </si>
  <si>
    <t>うらしげる</t>
  </si>
  <si>
    <t>こんけん</t>
  </si>
  <si>
    <t>cyber雀ゴロ</t>
  </si>
  <si>
    <t>小木曽雪菜</t>
  </si>
  <si>
    <t>koh412</t>
  </si>
  <si>
    <t>aaafx</t>
  </si>
  <si>
    <t>nabinabe</t>
  </si>
  <si>
    <t>めんたんo</t>
  </si>
  <si>
    <t>goala</t>
  </si>
  <si>
    <t>百物語</t>
  </si>
  <si>
    <t>一ノ瀬六手</t>
  </si>
  <si>
    <t>aopoi</t>
  </si>
  <si>
    <t>彬</t>
  </si>
  <si>
    <t>melowmn</t>
  </si>
  <si>
    <t>SEA51</t>
  </si>
  <si>
    <t>seisan</t>
  </si>
  <si>
    <t>温冷両用</t>
  </si>
  <si>
    <t>グラン２</t>
  </si>
  <si>
    <t>xxそば</t>
  </si>
  <si>
    <t>kai-kun</t>
  </si>
  <si>
    <t>safumin</t>
  </si>
  <si>
    <t>山田輪子</t>
  </si>
  <si>
    <t>KING</t>
  </si>
  <si>
    <t>チャンタ君</t>
  </si>
  <si>
    <t>じゃいおう</t>
  </si>
  <si>
    <t>オガノルート</t>
  </si>
  <si>
    <t>shou-ten</t>
  </si>
  <si>
    <t>poco-A-</t>
  </si>
  <si>
    <t>フーロ星人</t>
  </si>
  <si>
    <t>AIKRyAK</t>
  </si>
  <si>
    <t>TSUBASA</t>
  </si>
  <si>
    <t>素数牌</t>
  </si>
  <si>
    <t>雀の証明</t>
  </si>
  <si>
    <t>対子の王様</t>
  </si>
  <si>
    <t>PrintAI</t>
  </si>
  <si>
    <t>Hockey22</t>
  </si>
  <si>
    <t>柊の妹</t>
  </si>
  <si>
    <t>しつぽ</t>
  </si>
  <si>
    <t>TEMp</t>
  </si>
  <si>
    <t>新ゆちゅ太郎</t>
  </si>
  <si>
    <t>木の魔女</t>
  </si>
  <si>
    <t>レ・ブルー</t>
  </si>
  <si>
    <t>MIKO</t>
  </si>
  <si>
    <t>Greed</t>
  </si>
  <si>
    <t>4留</t>
  </si>
  <si>
    <t>ことりテレパシー</t>
  </si>
  <si>
    <t>奥村りお</t>
  </si>
  <si>
    <t>tea___</t>
  </si>
  <si>
    <t>ハガナ</t>
  </si>
  <si>
    <t>ハーレム大回転</t>
  </si>
  <si>
    <t>川村</t>
  </si>
  <si>
    <t>MJ＿公衆さん</t>
  </si>
  <si>
    <t>こうせいどん</t>
  </si>
  <si>
    <t>三郎DX</t>
  </si>
  <si>
    <t>ケンドーコバヤシ</t>
  </si>
  <si>
    <t>sway</t>
  </si>
  <si>
    <t>KUZUdono</t>
  </si>
  <si>
    <t>kitpow5</t>
  </si>
  <si>
    <t>極致</t>
  </si>
  <si>
    <t>たーにゃ</t>
  </si>
  <si>
    <t>ほんきです</t>
  </si>
  <si>
    <t>愚徹</t>
  </si>
  <si>
    <t>FUJIO</t>
  </si>
  <si>
    <t>wanizou</t>
  </si>
  <si>
    <t>kj0826</t>
  </si>
  <si>
    <t>チリペッパー</t>
  </si>
  <si>
    <t>Zhouping</t>
  </si>
  <si>
    <t>瓶星∮ｎ</t>
  </si>
  <si>
    <t>トロウマ</t>
  </si>
  <si>
    <t>克馬</t>
  </si>
  <si>
    <t>toyoti</t>
  </si>
  <si>
    <t>パサラン</t>
  </si>
  <si>
    <t>青山少年10</t>
  </si>
  <si>
    <t>mint</t>
  </si>
  <si>
    <t>DJ☆kova</t>
  </si>
  <si>
    <t>しゅんてぃ～ぬ</t>
  </si>
  <si>
    <t>弘世菫</t>
  </si>
  <si>
    <t>ふぐへ</t>
  </si>
  <si>
    <t>yoshigi</t>
  </si>
  <si>
    <t>流行過多</t>
  </si>
  <si>
    <t>棄麻@水貨軍團</t>
  </si>
  <si>
    <t>colopl</t>
  </si>
  <si>
    <t>Nuta79</t>
  </si>
  <si>
    <t>ナズー</t>
  </si>
  <si>
    <t>ぽぽろっと♪</t>
  </si>
  <si>
    <t>ここらむ</t>
  </si>
  <si>
    <t>鮫島門下生</t>
  </si>
  <si>
    <t>桜井アソコ</t>
  </si>
  <si>
    <t>梵ズ</t>
  </si>
  <si>
    <t>goman</t>
  </si>
  <si>
    <t>大賢良師</t>
  </si>
  <si>
    <t>ネガティブホロウ</t>
  </si>
  <si>
    <t>時坂空</t>
  </si>
  <si>
    <t>☆速星☆</t>
  </si>
  <si>
    <t>sanndasu</t>
  </si>
  <si>
    <t>おりものシート</t>
  </si>
  <si>
    <t>酒☆神</t>
  </si>
  <si>
    <t>パイナプルキッド</t>
  </si>
  <si>
    <t>桜子</t>
  </si>
  <si>
    <t>kiko-shi</t>
  </si>
  <si>
    <t>revizor</t>
  </si>
  <si>
    <t>ユウアスカ</t>
  </si>
  <si>
    <t>大橋虚泉</t>
  </si>
  <si>
    <t>魁!ミッドナイト</t>
  </si>
  <si>
    <t>夢想仙楽</t>
  </si>
  <si>
    <t>ひさ</t>
  </si>
  <si>
    <t>uptoyou</t>
  </si>
  <si>
    <t>umyu2012</t>
  </si>
  <si>
    <t>青髭王子</t>
  </si>
  <si>
    <t>小津歌音</t>
  </si>
  <si>
    <t>田村ゆかり♪</t>
  </si>
  <si>
    <t>蒼夜瑠璃</t>
  </si>
  <si>
    <t>超デジタル派</t>
  </si>
  <si>
    <t>Hazamax</t>
  </si>
  <si>
    <t>ハテナっち⑦</t>
  </si>
  <si>
    <t>ゆいあず</t>
  </si>
  <si>
    <t>東野夏香</t>
  </si>
  <si>
    <t>〝ラムダデルタ〟</t>
  </si>
  <si>
    <t>ながさき</t>
  </si>
  <si>
    <t>┤´◇｀├</t>
  </si>
  <si>
    <t>yagi0220</t>
  </si>
  <si>
    <t>栗山善助</t>
  </si>
  <si>
    <t>Nerolii</t>
  </si>
  <si>
    <t>雀達</t>
  </si>
  <si>
    <t>ツモりました</t>
  </si>
  <si>
    <t>青山天和</t>
  </si>
  <si>
    <t>上家はホモ</t>
  </si>
  <si>
    <t>冷水</t>
  </si>
  <si>
    <t>hiro_jck</t>
  </si>
  <si>
    <t>sho0ohs</t>
  </si>
  <si>
    <t>第三の性別秀吉</t>
  </si>
  <si>
    <t>CodeForv</t>
  </si>
  <si>
    <t>‥。</t>
  </si>
  <si>
    <t>まゆげ</t>
  </si>
  <si>
    <t>わしっず</t>
  </si>
  <si>
    <t>はゆう</t>
  </si>
  <si>
    <t>@イカ</t>
  </si>
  <si>
    <t>香織娩</t>
  </si>
  <si>
    <t>みずぽん</t>
  </si>
  <si>
    <t>正三位</t>
  </si>
  <si>
    <t>mataoka</t>
  </si>
  <si>
    <t>ZAKK51</t>
  </si>
  <si>
    <t>ajihiron</t>
  </si>
  <si>
    <t>ピヨリg</t>
  </si>
  <si>
    <t>pillow☆</t>
  </si>
  <si>
    <t>コンビニ店長</t>
  </si>
  <si>
    <t>seeker3</t>
  </si>
  <si>
    <t>TKZ</t>
  </si>
  <si>
    <t>出水</t>
  </si>
  <si>
    <t>来栖鳥</t>
  </si>
  <si>
    <t>HKG&lt;&gt;LHR</t>
  </si>
  <si>
    <t>蒼狼</t>
  </si>
  <si>
    <t>たぬさん</t>
  </si>
  <si>
    <t>Sufjan</t>
  </si>
  <si>
    <t>jikojmh</t>
  </si>
  <si>
    <t>Reznov</t>
  </si>
  <si>
    <t>ダニー1号</t>
  </si>
  <si>
    <t>rin9691</t>
  </si>
  <si>
    <t>ポチョムキン★</t>
  </si>
  <si>
    <t>あずれ＠羽生オタ</t>
  </si>
  <si>
    <t>つっちーーー</t>
  </si>
  <si>
    <t>FINH</t>
  </si>
  <si>
    <t>かく。</t>
  </si>
  <si>
    <t>こあくまV2</t>
  </si>
  <si>
    <t>天地の春</t>
  </si>
  <si>
    <t>ズッシー</t>
  </si>
  <si>
    <t>oscar240</t>
  </si>
  <si>
    <t>白瀬雪兎</t>
  </si>
  <si>
    <t>由詑かなみ</t>
  </si>
  <si>
    <t>hinomaru</t>
  </si>
  <si>
    <t>天空の白もんた</t>
  </si>
  <si>
    <t>Lオプティジンク</t>
  </si>
  <si>
    <t>赤猫道</t>
  </si>
  <si>
    <t>ハムさいてょ</t>
  </si>
  <si>
    <t>もんごるっ</t>
  </si>
  <si>
    <t>fantasia</t>
  </si>
  <si>
    <t>fujimura</t>
  </si>
  <si>
    <t>蓮</t>
  </si>
  <si>
    <t>なまぽほしいさん</t>
  </si>
  <si>
    <t>ひろ0907</t>
  </si>
  <si>
    <t>如水ｖ</t>
  </si>
  <si>
    <t>玩脱了</t>
  </si>
  <si>
    <t>gcrow</t>
  </si>
  <si>
    <t>ユキノン</t>
  </si>
  <si>
    <t>shupon</t>
  </si>
  <si>
    <t>yutoria</t>
  </si>
  <si>
    <t>神芝居</t>
  </si>
  <si>
    <t>ニョッキ１１０１</t>
  </si>
  <si>
    <t>ほじ</t>
  </si>
  <si>
    <t>ゆーせー</t>
  </si>
  <si>
    <t>くっつく靴</t>
  </si>
  <si>
    <t>くりこうだ</t>
  </si>
  <si>
    <t>こまっさん</t>
  </si>
  <si>
    <t>夢伝説</t>
  </si>
  <si>
    <t>roberoto</t>
  </si>
  <si>
    <t>jackll</t>
  </si>
  <si>
    <t>悔しくないのか？</t>
  </si>
  <si>
    <t>GaKu</t>
  </si>
  <si>
    <t>はぎわらまさと</t>
  </si>
  <si>
    <t>おおさかさんま</t>
  </si>
  <si>
    <t>ワハハ部長</t>
  </si>
  <si>
    <t>うぇっへっへw</t>
  </si>
  <si>
    <t>fatest</t>
  </si>
  <si>
    <t>エリオリオ</t>
  </si>
  <si>
    <t>結城小山</t>
  </si>
  <si>
    <t>roasso28</t>
  </si>
  <si>
    <t>むーみん_21</t>
  </si>
  <si>
    <t>煙楽斎</t>
  </si>
  <si>
    <t>運命に抗う</t>
  </si>
  <si>
    <t>PLANET.</t>
  </si>
  <si>
    <t>ターヤ</t>
  </si>
  <si>
    <t>[御坂美琴]</t>
  </si>
  <si>
    <t>オウベイ</t>
  </si>
  <si>
    <t>ふぃあ</t>
  </si>
  <si>
    <t>italian</t>
  </si>
  <si>
    <t>A--B--C2</t>
  </si>
  <si>
    <t>愛宕洋榎★</t>
  </si>
  <si>
    <t>＝Ⅸ＝</t>
  </si>
  <si>
    <t>于吉さん</t>
  </si>
  <si>
    <t>chubu74</t>
  </si>
  <si>
    <t>東風のぷー</t>
  </si>
  <si>
    <t>(*｀ω´*)</t>
  </si>
  <si>
    <t>rune-ran</t>
  </si>
  <si>
    <t>親父軍総帥</t>
  </si>
  <si>
    <t>wcp02</t>
  </si>
  <si>
    <t>fountain</t>
  </si>
  <si>
    <t>頂の座</t>
  </si>
  <si>
    <t>opanpon</t>
  </si>
  <si>
    <t>ニャッピーの国</t>
  </si>
  <si>
    <t>いくらch@n</t>
  </si>
  <si>
    <t>えいじ0122</t>
  </si>
  <si>
    <t>フッィュー</t>
  </si>
  <si>
    <t>gacha00</t>
  </si>
  <si>
    <t>Iapetus</t>
  </si>
  <si>
    <t>T-boy</t>
  </si>
  <si>
    <t>plum4139</t>
  </si>
  <si>
    <t>真冬</t>
  </si>
  <si>
    <t>れおとまお</t>
  </si>
  <si>
    <t>sb神医</t>
  </si>
  <si>
    <t>tenpin</t>
  </si>
  <si>
    <t>Nektar</t>
  </si>
  <si>
    <t>あっくん2</t>
  </si>
  <si>
    <t>電話</t>
  </si>
  <si>
    <t>momonin</t>
  </si>
  <si>
    <t>☆イスコ☆</t>
  </si>
  <si>
    <t>スズカアーチスト</t>
  </si>
  <si>
    <t>xiaohui</t>
  </si>
  <si>
    <t>サブマリーナ</t>
  </si>
  <si>
    <t>dddon11</t>
  </si>
  <si>
    <t>noboru</t>
  </si>
  <si>
    <t>ネオけろっちょ</t>
  </si>
  <si>
    <t>相川七瀬（本人）</t>
  </si>
  <si>
    <t>motosurf</t>
  </si>
  <si>
    <t>手乗りたいがぁー</t>
  </si>
  <si>
    <t>Pokepoke</t>
  </si>
  <si>
    <t>ロデオアンディ</t>
  </si>
  <si>
    <t>オリ姫女子</t>
  </si>
  <si>
    <t>iTenhou</t>
  </si>
  <si>
    <t>水原祐太я</t>
  </si>
  <si>
    <t>SiC</t>
  </si>
  <si>
    <t>朝田シノ</t>
  </si>
  <si>
    <t>sachio</t>
  </si>
  <si>
    <t>kusojiji</t>
  </si>
  <si>
    <t>魚類代表</t>
  </si>
  <si>
    <t>garucia</t>
  </si>
  <si>
    <t>オグリさん</t>
  </si>
  <si>
    <t>鳳凰チャンネル</t>
  </si>
  <si>
    <t>フェルメール</t>
  </si>
  <si>
    <t>magari</t>
  </si>
  <si>
    <t>dan</t>
  </si>
  <si>
    <t>piroki.</t>
  </si>
  <si>
    <t>見当違い</t>
  </si>
  <si>
    <t>ヨシイ明久</t>
  </si>
  <si>
    <t>shunpy</t>
  </si>
  <si>
    <t>数学解くガウス</t>
  </si>
  <si>
    <t>ツタヤで借りパク</t>
  </si>
  <si>
    <t>JWILL</t>
  </si>
  <si>
    <t>shombory</t>
  </si>
  <si>
    <t>桜竜†タマ</t>
  </si>
  <si>
    <t>断幺ドラ3</t>
  </si>
  <si>
    <t>マジキチ</t>
  </si>
  <si>
    <t>えすあーる</t>
  </si>
  <si>
    <t>フレンチブル</t>
  </si>
  <si>
    <t>NAK7</t>
  </si>
  <si>
    <t>ほしのてつろう</t>
  </si>
  <si>
    <t>鳳くん</t>
  </si>
  <si>
    <t>kokounos</t>
  </si>
  <si>
    <t>団長＠川村軍団</t>
  </si>
  <si>
    <t>推空Ｐ</t>
  </si>
  <si>
    <t>n.g.s</t>
  </si>
  <si>
    <t>えびりん</t>
  </si>
  <si>
    <t>茨城北</t>
  </si>
  <si>
    <t>往復ビンタ</t>
  </si>
  <si>
    <t>弱、味噌</t>
  </si>
  <si>
    <t>歩夢釣法</t>
  </si>
  <si>
    <t>KKRDGKKG</t>
  </si>
  <si>
    <t>PELAGOS</t>
  </si>
  <si>
    <t>アスナロ</t>
  </si>
  <si>
    <t>myleus</t>
  </si>
  <si>
    <t>櫛枝実乃梨</t>
  </si>
  <si>
    <t>八云紫</t>
  </si>
  <si>
    <t>gaterin</t>
  </si>
  <si>
    <t>おいのり</t>
  </si>
  <si>
    <t>Q</t>
  </si>
  <si>
    <t>raterate</t>
  </si>
  <si>
    <t>藤木直人?</t>
  </si>
  <si>
    <t>keiryo</t>
  </si>
  <si>
    <t>伊角</t>
  </si>
  <si>
    <t>葛西だぶるりいち</t>
  </si>
  <si>
    <t>Ippashu</t>
  </si>
  <si>
    <t>桜鶴ん</t>
  </si>
  <si>
    <t>スナイパー猫@</t>
  </si>
  <si>
    <t>咋不里三</t>
  </si>
  <si>
    <t>UNsan</t>
  </si>
  <si>
    <t>動物園のくろ</t>
  </si>
  <si>
    <t>カール３世</t>
  </si>
  <si>
    <t>coldman</t>
  </si>
  <si>
    <t>ikeikei</t>
  </si>
  <si>
    <t>かとれあん</t>
  </si>
  <si>
    <t>わんじょー</t>
  </si>
  <si>
    <t>アポトーシス</t>
  </si>
  <si>
    <t>怜～</t>
  </si>
  <si>
    <t>麻雀戦士☆なのは</t>
  </si>
  <si>
    <t>レイゾンデイト</t>
  </si>
  <si>
    <t>もかまたーり</t>
  </si>
  <si>
    <t>Kurokaze</t>
  </si>
  <si>
    <t>Tざわ</t>
  </si>
  <si>
    <t>槍水仙</t>
  </si>
  <si>
    <t>MJにっしー</t>
  </si>
  <si>
    <t>ぱんぱかぱーん♪</t>
  </si>
  <si>
    <t>IIS</t>
  </si>
  <si>
    <t>hana500</t>
  </si>
  <si>
    <t>hyakusyo</t>
  </si>
  <si>
    <t>ウェーイ</t>
  </si>
  <si>
    <t>信用出来ない</t>
  </si>
  <si>
    <t>乱歩の影</t>
  </si>
  <si>
    <t>天才てるき様</t>
  </si>
  <si>
    <t>三月君</t>
  </si>
  <si>
    <t>大智</t>
  </si>
  <si>
    <t>誘導リアクタンス</t>
  </si>
  <si>
    <t>ごまふあざらし</t>
  </si>
  <si>
    <t>ブラジルすき？</t>
  </si>
  <si>
    <t>ta__@</t>
  </si>
  <si>
    <t>タマゴヤキ</t>
  </si>
  <si>
    <t>shino</t>
  </si>
  <si>
    <t>MiMa.</t>
  </si>
  <si>
    <t>p-chan</t>
  </si>
  <si>
    <t>ごまむぎちゃ</t>
  </si>
  <si>
    <t>Ｓｃａｐｈｏｉｄ</t>
  </si>
  <si>
    <t>龍星丸</t>
  </si>
  <si>
    <t>かっぱー</t>
  </si>
  <si>
    <t>crownz</t>
  </si>
  <si>
    <t>gyroxas</t>
  </si>
  <si>
    <t>風の民j</t>
  </si>
  <si>
    <t>VenusSay</t>
  </si>
  <si>
    <t>終日喫煙</t>
  </si>
  <si>
    <t>しゃもじ蟲</t>
  </si>
  <si>
    <t>shota123</t>
  </si>
  <si>
    <t>＠美波</t>
  </si>
  <si>
    <t>どい－ん</t>
  </si>
  <si>
    <t>negi1211</t>
  </si>
  <si>
    <t>WELLDONE</t>
  </si>
  <si>
    <t>obana77</t>
  </si>
  <si>
    <t>ドラドラ鉄道</t>
  </si>
  <si>
    <t>津田沼っ子</t>
  </si>
  <si>
    <t>甘いマッ缶</t>
  </si>
  <si>
    <t>オール＠チームT</t>
  </si>
  <si>
    <t>つぉんが</t>
  </si>
  <si>
    <t>asention</t>
  </si>
  <si>
    <t>unchovvv</t>
  </si>
  <si>
    <t>グリーンアルバム</t>
  </si>
  <si>
    <t>おとうと♪</t>
  </si>
  <si>
    <t>苺バナナ</t>
  </si>
  <si>
    <t>＠中村豪</t>
  </si>
  <si>
    <t>宮永照＠白糸台</t>
  </si>
  <si>
    <t>嵯峨政宗</t>
  </si>
  <si>
    <t>sumiya</t>
  </si>
  <si>
    <t>hiko_be</t>
  </si>
  <si>
    <t>山幸商店</t>
  </si>
  <si>
    <t>じじょ。</t>
  </si>
  <si>
    <t>みかもめ</t>
  </si>
  <si>
    <t>とらちゃん</t>
  </si>
  <si>
    <t>乱切り</t>
  </si>
  <si>
    <t>きのこめん</t>
  </si>
  <si>
    <t>谷くん</t>
  </si>
  <si>
    <t>さんたろうです</t>
  </si>
  <si>
    <t>郡山烈火</t>
  </si>
  <si>
    <t>JAZZ屋</t>
  </si>
  <si>
    <t>yyx0115</t>
  </si>
  <si>
    <t>つのだ＠アビ猫</t>
  </si>
  <si>
    <t>probable</t>
  </si>
  <si>
    <t>りふれく</t>
  </si>
  <si>
    <t>OXZ!!</t>
  </si>
  <si>
    <t>バッハ</t>
  </si>
  <si>
    <t>月さん無敵</t>
  </si>
  <si>
    <t>s-royal</t>
  </si>
  <si>
    <t>マリ真希波</t>
  </si>
  <si>
    <t>がみ６６</t>
  </si>
  <si>
    <t>カカオバリー</t>
  </si>
  <si>
    <t>エレノラ</t>
  </si>
  <si>
    <t>ＸＹＺ</t>
  </si>
  <si>
    <t>代スケッチ</t>
  </si>
  <si>
    <t>fighters</t>
  </si>
  <si>
    <t>春風送福</t>
  </si>
  <si>
    <t>２年目のｃ</t>
  </si>
  <si>
    <t>自重</t>
  </si>
  <si>
    <t>morekou</t>
  </si>
  <si>
    <t>ターツ</t>
  </si>
  <si>
    <t>スライムナイト</t>
  </si>
  <si>
    <t>hyaku</t>
  </si>
  <si>
    <t>tpk</t>
  </si>
  <si>
    <t>なすび４</t>
  </si>
  <si>
    <t>大辻</t>
  </si>
  <si>
    <t>poikai3</t>
  </si>
  <si>
    <t>すぷりんがー</t>
  </si>
  <si>
    <t>アディリシア</t>
  </si>
  <si>
    <t>シャア</t>
  </si>
  <si>
    <t>ずず</t>
  </si>
  <si>
    <t>小鳴立直</t>
  </si>
  <si>
    <t>ニャース</t>
  </si>
  <si>
    <t>麻雀やめたい</t>
  </si>
  <si>
    <t>はるぼう★</t>
  </si>
  <si>
    <t>デリリウムちゃん</t>
  </si>
  <si>
    <t>melo</t>
  </si>
  <si>
    <t>一六</t>
  </si>
  <si>
    <t>バーチャ秋山</t>
  </si>
  <si>
    <t>Ryou8</t>
  </si>
  <si>
    <t>＠あばばばば</t>
  </si>
  <si>
    <t>うぐいすくん２世</t>
  </si>
  <si>
    <t>ちゃびん隊長</t>
  </si>
  <si>
    <t>norip--</t>
  </si>
  <si>
    <t>曙之光</t>
  </si>
  <si>
    <t>ネク</t>
  </si>
  <si>
    <t>-国士無双-</t>
  </si>
  <si>
    <t>tamago大好</t>
  </si>
  <si>
    <t>136top</t>
  </si>
  <si>
    <t>fettran</t>
  </si>
  <si>
    <t>Jun777</t>
  </si>
  <si>
    <t>ちあトリア</t>
  </si>
  <si>
    <t>平田裕香</t>
  </si>
  <si>
    <t>ネコマジン</t>
  </si>
  <si>
    <t>まあしゅ</t>
  </si>
  <si>
    <t>コキュートス</t>
  </si>
  <si>
    <t>chiaki7</t>
  </si>
  <si>
    <t>なくにゃん</t>
  </si>
  <si>
    <t>Ayaaya</t>
  </si>
  <si>
    <t>鷹花スミレ</t>
  </si>
  <si>
    <t>harddays</t>
  </si>
  <si>
    <t>uzula</t>
  </si>
  <si>
    <t>司狼</t>
  </si>
  <si>
    <t>101番目の魔物</t>
  </si>
  <si>
    <t>monok</t>
  </si>
  <si>
    <t>天才発明家</t>
  </si>
  <si>
    <t>JOJO1985</t>
  </si>
  <si>
    <t>pelusa_</t>
  </si>
  <si>
    <t>yoshi52</t>
  </si>
  <si>
    <t>おきたかひろ</t>
  </si>
  <si>
    <t>やぶいしゃ</t>
  </si>
  <si>
    <t>iceman2</t>
  </si>
  <si>
    <t>殲滅天使</t>
  </si>
  <si>
    <t>ぬるりんこ</t>
  </si>
  <si>
    <t>戦力外ポーク</t>
  </si>
  <si>
    <t>高原万葉</t>
  </si>
  <si>
    <t>sakai67</t>
  </si>
  <si>
    <t>はるっぴ♪</t>
  </si>
  <si>
    <t>NIss</t>
  </si>
  <si>
    <t>しけもく太郎</t>
  </si>
  <si>
    <t>スルメver2</t>
  </si>
  <si>
    <t>(＾ω＾)おぉん</t>
  </si>
  <si>
    <t>こきまろ</t>
  </si>
  <si>
    <t>.鏡</t>
  </si>
  <si>
    <t>（＾∀＾）</t>
  </si>
  <si>
    <t>fkds</t>
  </si>
  <si>
    <t>みさわまる</t>
  </si>
  <si>
    <t>フりオニール</t>
  </si>
  <si>
    <t>のり弁</t>
  </si>
  <si>
    <t>ぴょこぴゃん</t>
  </si>
  <si>
    <t>許煙雨</t>
  </si>
  <si>
    <t>ホモ公</t>
  </si>
  <si>
    <t>ケイト</t>
  </si>
  <si>
    <t>shot49</t>
  </si>
  <si>
    <t>御成門</t>
  </si>
  <si>
    <t>ふぉるなろっく</t>
  </si>
  <si>
    <t>綾南月火</t>
  </si>
  <si>
    <t>田園都市線南町田</t>
  </si>
  <si>
    <t>ガム</t>
  </si>
  <si>
    <t>kuro5566</t>
  </si>
  <si>
    <t>五反田系ギャル</t>
  </si>
  <si>
    <t>コウじゅ</t>
  </si>
  <si>
    <t>リーチからトイレ</t>
  </si>
  <si>
    <t>かなっちょ_25</t>
  </si>
  <si>
    <t>Takaya@</t>
  </si>
  <si>
    <t>AirEmp</t>
  </si>
  <si>
    <t>higetora</t>
  </si>
  <si>
    <t>空缶はリサイクル</t>
  </si>
  <si>
    <t>takayame</t>
  </si>
  <si>
    <t>七星12</t>
  </si>
  <si>
    <t>天月紗矢香</t>
  </si>
  <si>
    <t>Weherzog</t>
  </si>
  <si>
    <t>毒餅</t>
  </si>
  <si>
    <t>三麻亭染太郎</t>
  </si>
  <si>
    <t>R_SAITO</t>
  </si>
  <si>
    <t>最後の黒ダンディ</t>
  </si>
  <si>
    <t>入巣蒔菜</t>
  </si>
  <si>
    <t>66万分の1</t>
  </si>
  <si>
    <t>ジュンジュン22</t>
  </si>
  <si>
    <t>松島</t>
  </si>
  <si>
    <t>気合降りくん</t>
  </si>
  <si>
    <t>高瀬さん</t>
  </si>
  <si>
    <t>馬龍left</t>
  </si>
  <si>
    <t>赤い夜</t>
  </si>
  <si>
    <t>Ryo0617</t>
  </si>
  <si>
    <t>縛虎手</t>
  </si>
  <si>
    <t>パーラーキング</t>
  </si>
  <si>
    <t>腸炎ビブリオⅢ</t>
  </si>
  <si>
    <t>kerobou</t>
  </si>
  <si>
    <t>さなだむし</t>
  </si>
  <si>
    <t>エスケー</t>
  </si>
  <si>
    <t>長光麻夜</t>
  </si>
  <si>
    <t>西尾紫苑</t>
  </si>
  <si>
    <t>正体不明</t>
  </si>
  <si>
    <t>鮫島宏昌α</t>
  </si>
  <si>
    <t>Junbou</t>
  </si>
  <si>
    <t>メッタ打ち</t>
  </si>
  <si>
    <t>三半荘まで</t>
  </si>
  <si>
    <t>おいどんさん</t>
  </si>
  <si>
    <t>momochi</t>
  </si>
  <si>
    <t>マミ～Ｄ☆面前</t>
  </si>
  <si>
    <t>GOLDSAT</t>
  </si>
  <si>
    <t>naita</t>
  </si>
  <si>
    <t>ねみぞう</t>
  </si>
  <si>
    <t>kizozo</t>
  </si>
  <si>
    <t>-紅茶提督-</t>
  </si>
  <si>
    <t>Russia</t>
  </si>
  <si>
    <t>桂ヒナギク</t>
  </si>
  <si>
    <t>狐蕎麦</t>
  </si>
  <si>
    <t>雀鬼ぬるりん</t>
  </si>
  <si>
    <t>ユンケル</t>
  </si>
  <si>
    <t>超人Ｍ</t>
  </si>
  <si>
    <t>freeze7</t>
  </si>
  <si>
    <t>うたひめ</t>
  </si>
  <si>
    <t>ryo☆k</t>
  </si>
  <si>
    <t>リマインドミー</t>
  </si>
  <si>
    <t>アヤセ</t>
  </si>
  <si>
    <t>agunes</t>
  </si>
  <si>
    <t>超鶴亀仙人</t>
  </si>
  <si>
    <t>CV：花澤香菜</t>
  </si>
  <si>
    <t>ガハラさんの妹</t>
  </si>
  <si>
    <t>オカデジ雀士</t>
  </si>
  <si>
    <t>中本さん</t>
  </si>
  <si>
    <t>林青</t>
  </si>
  <si>
    <t>hatasan</t>
  </si>
  <si>
    <t>（cross）</t>
  </si>
  <si>
    <t>まるせろ_12</t>
  </si>
  <si>
    <t>ゴールドオイル</t>
  </si>
  <si>
    <t>kitaeria</t>
  </si>
  <si>
    <t>ゆうゆうです</t>
  </si>
  <si>
    <t>エセデジタル２号</t>
  </si>
  <si>
    <t>おかもろん</t>
  </si>
  <si>
    <t>みーる</t>
  </si>
  <si>
    <t>ssaakkii</t>
  </si>
  <si>
    <t>アニメ見ながら</t>
  </si>
  <si>
    <t>ハリネズミ命</t>
  </si>
  <si>
    <t>JjangGul</t>
  </si>
  <si>
    <t>赤木竜也</t>
  </si>
  <si>
    <t>みすわき</t>
  </si>
  <si>
    <t>白滝ぜんざい</t>
  </si>
  <si>
    <t>狼煙</t>
  </si>
  <si>
    <t>rinacid</t>
  </si>
  <si>
    <t>hane1500</t>
  </si>
  <si>
    <t>千里眼</t>
  </si>
  <si>
    <t>タバサ</t>
  </si>
  <si>
    <t>麻龍</t>
  </si>
  <si>
    <t>幻に賭けろ</t>
  </si>
  <si>
    <t>vrml777</t>
  </si>
  <si>
    <t>桜井桜子</t>
  </si>
  <si>
    <t>添削４段</t>
  </si>
  <si>
    <t>vngv</t>
  </si>
  <si>
    <t>如月世界</t>
  </si>
  <si>
    <t>はまかぜ＠</t>
  </si>
  <si>
    <t>アフナス</t>
  </si>
  <si>
    <t>観戦ニキ</t>
  </si>
  <si>
    <t>Mercis</t>
  </si>
  <si>
    <t>ユリア</t>
  </si>
  <si>
    <t>～吉留未春～</t>
  </si>
  <si>
    <t>nogami</t>
  </si>
  <si>
    <t>ミスタースカイ</t>
  </si>
  <si>
    <t>わさび柿ピー</t>
  </si>
  <si>
    <t>ルク助</t>
  </si>
  <si>
    <t>口マーリオ</t>
  </si>
  <si>
    <t>※コマ☆</t>
  </si>
  <si>
    <t>中野*梓</t>
  </si>
  <si>
    <t>西森柚咲</t>
  </si>
  <si>
    <t>中田ヤスタカ</t>
  </si>
  <si>
    <t>本村諒(本名)</t>
  </si>
  <si>
    <t>NR</t>
  </si>
  <si>
    <t>桃枝絵留々</t>
  </si>
  <si>
    <t>千星流月</t>
  </si>
  <si>
    <t>Ninomiya</t>
  </si>
  <si>
    <t>彩style</t>
  </si>
  <si>
    <t>導師幻</t>
  </si>
  <si>
    <t>pcgenjin</t>
  </si>
  <si>
    <t>トレインNew</t>
  </si>
  <si>
    <t>bu-bu-</t>
  </si>
  <si>
    <t>＠やなぎ</t>
  </si>
  <si>
    <t>MlYA</t>
  </si>
  <si>
    <t>鈴丸</t>
  </si>
  <si>
    <t>俺はもうダメだお</t>
  </si>
  <si>
    <t>テセラック</t>
  </si>
  <si>
    <t>椎野きらり</t>
  </si>
  <si>
    <t>麻中J@NKY</t>
  </si>
  <si>
    <t>ほたかげ</t>
  </si>
  <si>
    <t>コンチⅢ</t>
  </si>
  <si>
    <t>オリザニン</t>
  </si>
  <si>
    <t>才波城一郎</t>
  </si>
  <si>
    <t>☆あみらぶ☆</t>
  </si>
  <si>
    <t>Godサンチェス</t>
  </si>
  <si>
    <t>エセデジタル君</t>
  </si>
  <si>
    <t>まきさん</t>
  </si>
  <si>
    <t>Bの錠</t>
  </si>
  <si>
    <t>フェードアウト</t>
  </si>
  <si>
    <t>黒旋風夢幻</t>
  </si>
  <si>
    <t>Paladin</t>
  </si>
  <si>
    <t>YOU</t>
  </si>
  <si>
    <t>運だけ☆ゼンツ君</t>
  </si>
  <si>
    <t>鉄兵</t>
  </si>
  <si>
    <t>ヒヨコの極み</t>
  </si>
  <si>
    <t>マグロンキー</t>
  </si>
  <si>
    <t>U・x・Uっ</t>
  </si>
  <si>
    <t>いろはAD</t>
  </si>
  <si>
    <t>KAZOON</t>
  </si>
  <si>
    <t>（´・ω・｀*）</t>
  </si>
  <si>
    <t>どぅーざん</t>
  </si>
  <si>
    <t>むーむ</t>
  </si>
  <si>
    <t>kaitu</t>
  </si>
  <si>
    <t>spg23</t>
  </si>
  <si>
    <t>中堅＠ハーベスト</t>
  </si>
  <si>
    <t>jizou-</t>
  </si>
  <si>
    <t>有心論</t>
  </si>
  <si>
    <t>Lallana0</t>
  </si>
  <si>
    <t>よるがた</t>
  </si>
  <si>
    <t>ロックの神様</t>
  </si>
  <si>
    <t>かもぱぱ</t>
  </si>
  <si>
    <t>rio_0927</t>
  </si>
  <si>
    <t>諾</t>
  </si>
  <si>
    <t>ノ森</t>
  </si>
  <si>
    <t>山乃檸檬</t>
  </si>
  <si>
    <t>naohassy</t>
  </si>
  <si>
    <t>ツンツンメガネ</t>
  </si>
  <si>
    <t>特攻野郎JBC</t>
  </si>
  <si>
    <t>鉄風少女</t>
  </si>
  <si>
    <t>ちゃま</t>
  </si>
  <si>
    <t>A010</t>
  </si>
  <si>
    <t>本居小鈴</t>
  </si>
  <si>
    <t>運だけ仙人</t>
  </si>
  <si>
    <t>kurikunn</t>
  </si>
  <si>
    <t>maruyone</t>
  </si>
  <si>
    <t>Monoid</t>
  </si>
  <si>
    <t>UTI</t>
  </si>
  <si>
    <t>■スメラギ■</t>
  </si>
  <si>
    <t>銭形</t>
  </si>
  <si>
    <t>ナフトル</t>
  </si>
  <si>
    <t>ハッカドール</t>
  </si>
  <si>
    <t>B_black</t>
  </si>
  <si>
    <t>三田村茜</t>
  </si>
  <si>
    <t>マツモト氏</t>
  </si>
  <si>
    <t>PHYO</t>
  </si>
  <si>
    <t>ビッグ珍珍</t>
  </si>
  <si>
    <t>萌え豚2nd</t>
  </si>
  <si>
    <t>りゅうおう</t>
  </si>
  <si>
    <t>ひびきったー</t>
  </si>
  <si>
    <t>昧光</t>
  </si>
  <si>
    <t>モモっち</t>
  </si>
  <si>
    <t>西木野真姫？</t>
  </si>
  <si>
    <t>newjack</t>
  </si>
  <si>
    <t>綾野珪子</t>
  </si>
  <si>
    <t>大年寺三郎太</t>
  </si>
  <si>
    <t>川村晃裕（東風）</t>
  </si>
  <si>
    <t>ココアは俺の嫁</t>
  </si>
  <si>
    <t>針巫女</t>
  </si>
  <si>
    <t>ダークネス小町改</t>
  </si>
  <si>
    <t>ぴえにん</t>
  </si>
  <si>
    <t>ジャビー＠</t>
  </si>
  <si>
    <t>坊やてつん☆</t>
  </si>
  <si>
    <t>南ア男</t>
  </si>
  <si>
    <t>銀河に喝</t>
  </si>
  <si>
    <t>AMOUK</t>
  </si>
  <si>
    <t>禁酒目録</t>
  </si>
  <si>
    <t>ひっぴこん</t>
  </si>
  <si>
    <t>コリラックマ</t>
  </si>
  <si>
    <t>MASARU</t>
  </si>
  <si>
    <t>romanes</t>
  </si>
  <si>
    <t>漆黒の騎士</t>
  </si>
  <si>
    <t>Rita</t>
  </si>
  <si>
    <t>taiwanco</t>
  </si>
  <si>
    <t>村松です。</t>
  </si>
  <si>
    <t>uiop</t>
  </si>
  <si>
    <t>中継</t>
  </si>
  <si>
    <t>tetsu.</t>
  </si>
  <si>
    <t>さつま揚げ</t>
  </si>
  <si>
    <t>OSC777</t>
  </si>
  <si>
    <t>chronus</t>
  </si>
  <si>
    <t>HEIッ</t>
  </si>
  <si>
    <t>yossie～</t>
  </si>
  <si>
    <t>GINJIR2</t>
  </si>
  <si>
    <t>YHVH</t>
  </si>
  <si>
    <t>アゴット</t>
  </si>
  <si>
    <t>hirajun</t>
  </si>
  <si>
    <t>ホンイツ厨</t>
  </si>
  <si>
    <t>リンガンタルパズ</t>
  </si>
  <si>
    <t>kapada</t>
  </si>
  <si>
    <t>asada12</t>
  </si>
  <si>
    <t>高月宿男</t>
  </si>
  <si>
    <t>MANKAZU</t>
  </si>
  <si>
    <t>バナナチョコ</t>
  </si>
  <si>
    <t>Bally</t>
  </si>
  <si>
    <t>龍門渕透華.</t>
  </si>
  <si>
    <t>tomutomi</t>
  </si>
  <si>
    <t>やむちゃｙｐ</t>
  </si>
  <si>
    <t>キャラメルコーン</t>
  </si>
  <si>
    <t>花風</t>
  </si>
  <si>
    <t>はるかー</t>
  </si>
  <si>
    <t>ノーテン島流し</t>
  </si>
  <si>
    <t>nobushi</t>
  </si>
  <si>
    <t>うぉん厨</t>
  </si>
  <si>
    <t>Yuuki_P</t>
  </si>
  <si>
    <t>miwaku@</t>
  </si>
  <si>
    <t>kageshin</t>
  </si>
  <si>
    <t>携帯変えた？</t>
  </si>
  <si>
    <t>Niko^</t>
  </si>
  <si>
    <t>niku@nan</t>
  </si>
  <si>
    <t>ZZZZZ</t>
  </si>
  <si>
    <t>トリトリ</t>
  </si>
  <si>
    <t>ぎっくりごし</t>
  </si>
  <si>
    <t>KEN-OGAS</t>
  </si>
  <si>
    <t>オグリMkⅡ</t>
  </si>
  <si>
    <t>JackRose</t>
  </si>
  <si>
    <t>サウリー</t>
  </si>
  <si>
    <t>後原雄大</t>
  </si>
  <si>
    <t>管寝</t>
  </si>
  <si>
    <t>信男</t>
  </si>
  <si>
    <t>☆天☆鳳☆愛☆</t>
  </si>
  <si>
    <t>けーたん☆</t>
  </si>
  <si>
    <t>上東キング</t>
  </si>
  <si>
    <t>darjelin</t>
  </si>
  <si>
    <t>エクレールまぁ</t>
  </si>
  <si>
    <t>Trooper</t>
  </si>
  <si>
    <t>phelps</t>
  </si>
  <si>
    <t>さとりとこいし</t>
  </si>
  <si>
    <t>しろたんがいいお</t>
  </si>
  <si>
    <t>はっとりへいじ</t>
  </si>
  <si>
    <t>いっき@KU</t>
  </si>
  <si>
    <t>棄和銃一発</t>
  </si>
  <si>
    <t>ふとん</t>
  </si>
  <si>
    <t>玄白</t>
  </si>
  <si>
    <t>柴犬レオ</t>
  </si>
  <si>
    <t>une</t>
  </si>
  <si>
    <t>烏龍＠太師</t>
  </si>
  <si>
    <t>ゆみ☆ミ</t>
  </si>
  <si>
    <t>Ihccot</t>
  </si>
  <si>
    <t>tatsu702</t>
  </si>
  <si>
    <t>fland3</t>
  </si>
  <si>
    <t>盲目の市川</t>
  </si>
  <si>
    <t>ナイト3</t>
  </si>
  <si>
    <t>大覚アキラ様</t>
  </si>
  <si>
    <t>Bjergsen</t>
  </si>
  <si>
    <t>Hinkes</t>
  </si>
  <si>
    <t>桐谷直叶</t>
  </si>
  <si>
    <t>Achiga</t>
  </si>
  <si>
    <t>浦和太郎</t>
  </si>
  <si>
    <t>大星淡あわあわ</t>
  </si>
  <si>
    <t>西拓＠ＭＢＣ</t>
  </si>
  <si>
    <t>deniro</t>
  </si>
  <si>
    <t>tyabasi</t>
  </si>
  <si>
    <t>早紀</t>
  </si>
  <si>
    <t>淡@水貨軍團</t>
  </si>
  <si>
    <t>qtd</t>
  </si>
  <si>
    <t>nk0910</t>
  </si>
  <si>
    <t>確率麻雀</t>
  </si>
  <si>
    <t>倉敷楓香</t>
  </si>
  <si>
    <t>デブ専</t>
  </si>
  <si>
    <t>Mogera</t>
  </si>
  <si>
    <t>まつがさき</t>
  </si>
  <si>
    <t>kimi0322</t>
  </si>
  <si>
    <t>坂上闘真</t>
  </si>
  <si>
    <t>マークX</t>
  </si>
  <si>
    <t>ひごんた</t>
  </si>
  <si>
    <t>shun729</t>
  </si>
  <si>
    <t>セイヨウリンゴ</t>
  </si>
  <si>
    <t>ないと☆</t>
  </si>
  <si>
    <t>生粋の煽ラー♪</t>
  </si>
  <si>
    <t>場代ちゃら</t>
  </si>
  <si>
    <t>芋堅皮</t>
  </si>
  <si>
    <t>天才イベリコ豚</t>
  </si>
  <si>
    <t>やくさ</t>
  </si>
  <si>
    <t>NakanoS</t>
  </si>
  <si>
    <t>御門龍水</t>
  </si>
  <si>
    <t>のひまり</t>
  </si>
  <si>
    <t>SEED</t>
  </si>
  <si>
    <t>ゴーゴー太郎</t>
  </si>
  <si>
    <t>チュン太</t>
  </si>
  <si>
    <t>Ietta</t>
  </si>
  <si>
    <t>yasu`</t>
  </si>
  <si>
    <t>クンゲー潰れろ</t>
  </si>
  <si>
    <t>ピノ♪</t>
  </si>
  <si>
    <t>pierre_A</t>
  </si>
  <si>
    <t>貴族系雀士</t>
  </si>
  <si>
    <t>taaaaani</t>
  </si>
  <si>
    <t>t-spirit</t>
  </si>
  <si>
    <t>yamaga</t>
  </si>
  <si>
    <t>大坪</t>
  </si>
  <si>
    <t>‐赤犬‐</t>
  </si>
  <si>
    <t>Xakky</t>
  </si>
  <si>
    <t>rantan</t>
  </si>
  <si>
    <t>ライバロ/リ</t>
  </si>
  <si>
    <t>夢はニート</t>
  </si>
  <si>
    <t>千石撫子@</t>
  </si>
  <si>
    <t>rikzen</t>
  </si>
  <si>
    <t>オペラ座のO</t>
  </si>
  <si>
    <t>Shoebill</t>
  </si>
  <si>
    <t>柏崎★奈</t>
  </si>
  <si>
    <t>京極堂</t>
  </si>
  <si>
    <t>NTH</t>
  </si>
  <si>
    <t>AKKARI-N</t>
  </si>
  <si>
    <t>fdeiban</t>
  </si>
  <si>
    <t>どくりんごサワー</t>
  </si>
  <si>
    <t>IKDZSS</t>
  </si>
  <si>
    <t>あかべぇそふと2</t>
  </si>
  <si>
    <t>寝打ち</t>
  </si>
  <si>
    <t>土浦彩菜</t>
  </si>
  <si>
    <t>K.Y.なトトロ</t>
  </si>
  <si>
    <t>不浪不送</t>
  </si>
  <si>
    <t>かりあげ正太</t>
  </si>
  <si>
    <t>darkRide</t>
  </si>
  <si>
    <t>K一真</t>
  </si>
  <si>
    <t>つきをください</t>
  </si>
  <si>
    <t>Gen/gen</t>
  </si>
  <si>
    <t>Tk@2525</t>
  </si>
  <si>
    <t>まぁー</t>
  </si>
  <si>
    <t>小野寺小咲♪</t>
  </si>
  <si>
    <t>ら・せ・ら♪</t>
  </si>
  <si>
    <t>Jeff</t>
  </si>
  <si>
    <t>ノオチャベス</t>
  </si>
  <si>
    <t>ytomoyu</t>
  </si>
  <si>
    <t>yushi**</t>
  </si>
  <si>
    <t>nisangar</t>
  </si>
  <si>
    <t>土天寺</t>
  </si>
  <si>
    <t>Miesque</t>
  </si>
  <si>
    <t>☆をわん☆</t>
  </si>
  <si>
    <t>サキザ</t>
  </si>
  <si>
    <t>はせすけ．</t>
  </si>
  <si>
    <t>上卓の壁</t>
  </si>
  <si>
    <t>｢｣A</t>
  </si>
  <si>
    <t>Ayesha</t>
  </si>
  <si>
    <t>catmeVGC</t>
  </si>
  <si>
    <t>オードル</t>
  </si>
  <si>
    <t>masaya11</t>
  </si>
  <si>
    <t>垣忠の鍔</t>
  </si>
  <si>
    <t>ゴミツモ</t>
  </si>
  <si>
    <t>ゼンツッパ</t>
  </si>
  <si>
    <t>りょうま5724</t>
  </si>
  <si>
    <t>あかんほうの木村</t>
  </si>
  <si>
    <t>Rexena</t>
  </si>
  <si>
    <t>緋い猫＞＜！</t>
  </si>
  <si>
    <t>ツクヨミ０３１６</t>
  </si>
  <si>
    <t>SUZUKAⅡ</t>
  </si>
  <si>
    <t>seven</t>
  </si>
  <si>
    <t>sibiya0</t>
  </si>
  <si>
    <t>*can*</t>
  </si>
  <si>
    <t>REDSTAR</t>
  </si>
  <si>
    <t>はずき</t>
  </si>
  <si>
    <t>◇航洋◆</t>
  </si>
  <si>
    <t>yuuki520</t>
  </si>
  <si>
    <t>ぽむ太郎</t>
  </si>
  <si>
    <t>wilson</t>
  </si>
  <si>
    <t>ピンポンパール</t>
  </si>
  <si>
    <t>鈴本たろう</t>
  </si>
  <si>
    <t>積乱雲</t>
  </si>
  <si>
    <t>oretuee</t>
  </si>
  <si>
    <t>ジュアン様</t>
  </si>
  <si>
    <t>元珍</t>
  </si>
  <si>
    <t>nyusuke</t>
  </si>
  <si>
    <t>水瀬伊織</t>
  </si>
  <si>
    <t>現場監督</t>
  </si>
  <si>
    <t>ちびてつ</t>
  </si>
  <si>
    <t>昨日も睡眠不足</t>
  </si>
  <si>
    <t>遠山キンジ</t>
  </si>
  <si>
    <t>〓暁紀〓</t>
  </si>
  <si>
    <t>どんよく</t>
  </si>
  <si>
    <t>メガンテ</t>
  </si>
  <si>
    <t>天ノ斑駒</t>
  </si>
  <si>
    <t>MisoSoup</t>
  </si>
  <si>
    <t>難波英人</t>
  </si>
  <si>
    <t>UNLOOSE</t>
  </si>
  <si>
    <t>がぶり寄り</t>
  </si>
  <si>
    <t>shogoo</t>
  </si>
  <si>
    <t>さるきい</t>
  </si>
  <si>
    <t>ミースリル</t>
  </si>
  <si>
    <t>ぶた＠ちゅう</t>
  </si>
  <si>
    <t>T.T.8</t>
  </si>
  <si>
    <t>ケニア人</t>
  </si>
  <si>
    <t>お握りちゃい</t>
  </si>
  <si>
    <t>嵐科学者</t>
  </si>
  <si>
    <t>basser7</t>
  </si>
  <si>
    <t>胡椒粉</t>
  </si>
  <si>
    <t>Ｃ３龍門</t>
  </si>
  <si>
    <t>カニ</t>
  </si>
  <si>
    <t>池田ねこ</t>
  </si>
  <si>
    <t>ViVI</t>
  </si>
  <si>
    <t>万日の稽古</t>
  </si>
  <si>
    <t>JN☆</t>
  </si>
  <si>
    <t>あれふるーど</t>
  </si>
  <si>
    <t>こじろーさん</t>
  </si>
  <si>
    <t>xrc52428</t>
  </si>
  <si>
    <t>安河内☆美子</t>
  </si>
  <si>
    <t>北門慶</t>
  </si>
  <si>
    <t>heretege</t>
  </si>
  <si>
    <t>絶望に満ちた明日</t>
  </si>
  <si>
    <t>忍気呑声</t>
  </si>
  <si>
    <t>中村ヒロ</t>
  </si>
  <si>
    <t>poniko</t>
  </si>
  <si>
    <t>gradline</t>
  </si>
  <si>
    <t>高杉晋作</t>
  </si>
  <si>
    <t>type-t</t>
  </si>
  <si>
    <t>melon29</t>
  </si>
  <si>
    <t>古寺桃花</t>
  </si>
  <si>
    <t>すごすご</t>
  </si>
  <si>
    <t>クリスカ</t>
  </si>
  <si>
    <t>ネオへい</t>
  </si>
  <si>
    <t>鈴佳</t>
  </si>
  <si>
    <t>鬼ヅモ@川村軍団</t>
  </si>
  <si>
    <t>kkexe</t>
  </si>
  <si>
    <t>白すぴっつ＠半荘</t>
  </si>
  <si>
    <t>虚月雪</t>
  </si>
  <si>
    <t>スケルトンT</t>
  </si>
  <si>
    <t>あんこ☆彡</t>
  </si>
  <si>
    <t>〇＞＜</t>
  </si>
  <si>
    <t>天貴志</t>
  </si>
  <si>
    <t>S&gt;HPmats</t>
  </si>
  <si>
    <t>エルク</t>
  </si>
  <si>
    <t>矢上キャンパス</t>
  </si>
  <si>
    <t>のびえもん</t>
  </si>
  <si>
    <t>８頭身α</t>
  </si>
  <si>
    <t>母穴掘り</t>
  </si>
  <si>
    <t>chxff</t>
  </si>
  <si>
    <t>竜河憩</t>
  </si>
  <si>
    <t>銀色自転車</t>
  </si>
  <si>
    <t>南帝南浦</t>
  </si>
  <si>
    <t>Capibara</t>
  </si>
  <si>
    <t>カツゲン★★</t>
  </si>
  <si>
    <t>絶対雀姫☆まよ美</t>
  </si>
  <si>
    <t>ロッキー君</t>
  </si>
  <si>
    <t>ホタルノヒカル</t>
  </si>
  <si>
    <t>†梨積港†</t>
  </si>
  <si>
    <t>TeK</t>
  </si>
  <si>
    <t>kanen</t>
  </si>
  <si>
    <t>麺打ち職人GX</t>
  </si>
  <si>
    <t>ab-ab-ab</t>
  </si>
  <si>
    <t>ikutaka</t>
  </si>
  <si>
    <t>康彦</t>
  </si>
  <si>
    <t>nekoneko</t>
  </si>
  <si>
    <t>トゥルーデ</t>
  </si>
  <si>
    <t>sagi89</t>
  </si>
  <si>
    <t>ダレガノン</t>
  </si>
  <si>
    <t>めるみるん</t>
  </si>
  <si>
    <t>オクラ２世</t>
  </si>
  <si>
    <t>とーやん</t>
  </si>
  <si>
    <t>東山奈央@プベ組</t>
  </si>
  <si>
    <t>D13</t>
  </si>
  <si>
    <t>kypakypa</t>
  </si>
  <si>
    <t>:Duca:</t>
  </si>
  <si>
    <t>兀</t>
  </si>
  <si>
    <t>なごっしー</t>
  </si>
  <si>
    <t>NWC</t>
  </si>
  <si>
    <t>ponze</t>
  </si>
  <si>
    <t>OUT</t>
  </si>
  <si>
    <t>Nodata</t>
  </si>
  <si>
    <t>jn5</t>
  </si>
  <si>
    <t>ちnK</t>
  </si>
  <si>
    <t>酸欠少女さユり</t>
  </si>
  <si>
    <t>trietta</t>
  </si>
  <si>
    <t>yjm</t>
  </si>
  <si>
    <t>sl01</t>
  </si>
  <si>
    <t>目標Ｒ１５００</t>
  </si>
  <si>
    <t>ciscis</t>
  </si>
  <si>
    <t>九尾白狐</t>
  </si>
  <si>
    <t>Jyuzi</t>
  </si>
  <si>
    <t>ニート＠川村軍団</t>
  </si>
  <si>
    <t>水曜人</t>
  </si>
  <si>
    <t>桜田ハル</t>
  </si>
  <si>
    <t>K-c</t>
  </si>
  <si>
    <t>裏投げ一本</t>
  </si>
  <si>
    <t>カルビ</t>
  </si>
  <si>
    <t>ZX-RR</t>
  </si>
  <si>
    <t>げんきち</t>
  </si>
  <si>
    <t>ぐてばが夫</t>
  </si>
  <si>
    <t>フリーガー</t>
  </si>
  <si>
    <t>saltydog</t>
  </si>
  <si>
    <t>とろーぶ</t>
  </si>
  <si>
    <t>onisanto</t>
  </si>
  <si>
    <t>～夢現～</t>
  </si>
  <si>
    <t>Samma2</t>
  </si>
  <si>
    <t>★竜虎★</t>
  </si>
  <si>
    <t>萩原雪歩</t>
  </si>
  <si>
    <t>Mbt2</t>
  </si>
  <si>
    <t>ロンちゃん君津店</t>
  </si>
  <si>
    <t>ちびゆいあず♪♪</t>
  </si>
  <si>
    <t>しん2</t>
  </si>
  <si>
    <t>naranara</t>
  </si>
  <si>
    <t>みやこん９歳</t>
  </si>
  <si>
    <t>中洲タイガー</t>
  </si>
  <si>
    <t>黒衣のイナジェイ</t>
  </si>
  <si>
    <t>勝ちたい</t>
  </si>
  <si>
    <t>スェンダー</t>
  </si>
  <si>
    <t>アルマジロ１</t>
  </si>
  <si>
    <t>裏返せば武器に</t>
  </si>
  <si>
    <t>ずし</t>
  </si>
  <si>
    <t>Hurley</t>
  </si>
  <si>
    <t>ペッチョリン</t>
  </si>
  <si>
    <t>九条月夜</t>
  </si>
  <si>
    <t>HeroC</t>
  </si>
  <si>
    <t>72E43A6B</t>
  </si>
  <si>
    <t>どいーん</t>
  </si>
  <si>
    <t>神田先生</t>
  </si>
  <si>
    <t>大大岡山＠横浜</t>
  </si>
  <si>
    <t>chonji</t>
  </si>
  <si>
    <t>しみっちゃん</t>
  </si>
  <si>
    <t>Fmaru</t>
  </si>
  <si>
    <t>mugen@</t>
  </si>
  <si>
    <t>逼</t>
  </si>
  <si>
    <t>怒りのしばやん</t>
  </si>
  <si>
    <t>えびチリ４</t>
  </si>
  <si>
    <t>ふしだらの虜</t>
  </si>
  <si>
    <t>肉☆棒太郎</t>
  </si>
  <si>
    <t>桜王</t>
  </si>
  <si>
    <t>†園城寺怜†</t>
  </si>
  <si>
    <t>サンマ道楽代表</t>
  </si>
  <si>
    <t>六段</t>
  </si>
  <si>
    <t>遠夜</t>
  </si>
  <si>
    <t>gnfjmt</t>
  </si>
  <si>
    <t>JIVANYAN</t>
  </si>
  <si>
    <t>新人＠川村軍団</t>
  </si>
  <si>
    <t>tryloot</t>
  </si>
  <si>
    <t>タコ２５２５</t>
  </si>
  <si>
    <t>研究学園</t>
  </si>
  <si>
    <t>那奈パパ</t>
  </si>
  <si>
    <t>不機嫌中飛車</t>
  </si>
  <si>
    <t>たかしＨスピード</t>
  </si>
  <si>
    <t>ぼるぞーん</t>
  </si>
  <si>
    <t>こがねうどん</t>
  </si>
  <si>
    <t>巷のむすめ</t>
  </si>
  <si>
    <t>みゅーる</t>
  </si>
  <si>
    <t>roy09</t>
  </si>
  <si>
    <t>飯原スタメン希望</t>
  </si>
  <si>
    <t>YH07</t>
  </si>
  <si>
    <t>にくころっけ</t>
  </si>
  <si>
    <t>虹野沙希</t>
  </si>
  <si>
    <t>crazyko</t>
  </si>
  <si>
    <t>あの天へ届くまで</t>
  </si>
  <si>
    <t>marble</t>
  </si>
  <si>
    <t>多摩ソージ</t>
  </si>
  <si>
    <t>がみいけ</t>
  </si>
  <si>
    <t>や～べ</t>
  </si>
  <si>
    <t>タンジールみかん</t>
  </si>
  <si>
    <t>fuj1yur1</t>
  </si>
  <si>
    <t>xmxmxm</t>
  </si>
  <si>
    <t>下段チェリー</t>
  </si>
  <si>
    <t>OZKY</t>
  </si>
  <si>
    <t>レナイ</t>
  </si>
  <si>
    <t>紅のぬこ</t>
  </si>
  <si>
    <t>猫先輩</t>
  </si>
  <si>
    <t>う☆こにやさしい</t>
  </si>
  <si>
    <t>福田屋の下駄</t>
  </si>
  <si>
    <t>ボロッテ</t>
  </si>
  <si>
    <t>うーぱー</t>
  </si>
  <si>
    <t>黒犬@てんほー</t>
  </si>
  <si>
    <t>わずでん</t>
  </si>
  <si>
    <t>月月神教-淡</t>
  </si>
  <si>
    <t>Exceeds</t>
  </si>
  <si>
    <t>prism</t>
  </si>
  <si>
    <t>ミドガロン</t>
  </si>
  <si>
    <t>ミスティコ</t>
  </si>
  <si>
    <t>雀ピューター</t>
  </si>
  <si>
    <t>☆ドナルド教徒☆</t>
  </si>
  <si>
    <t>king2323</t>
  </si>
  <si>
    <t>リ・シャオラン</t>
  </si>
  <si>
    <t>hazuki89</t>
  </si>
  <si>
    <t>kiyok</t>
  </si>
  <si>
    <t>こううた</t>
  </si>
  <si>
    <t>waru</t>
  </si>
  <si>
    <t>@Yu-ma</t>
  </si>
  <si>
    <t>ダブぺー</t>
  </si>
  <si>
    <t>いなしん。</t>
  </si>
  <si>
    <t>漢角田</t>
  </si>
  <si>
    <t>aruka</t>
  </si>
  <si>
    <t>DOCKY</t>
  </si>
  <si>
    <t>ドデカミン♂</t>
  </si>
  <si>
    <t>無花果</t>
  </si>
  <si>
    <t>霧谷紅</t>
  </si>
  <si>
    <t>Ever14</t>
  </si>
  <si>
    <t>虎猫</t>
  </si>
  <si>
    <t>あいみちゃんFC</t>
  </si>
  <si>
    <t>廣田あいか</t>
  </si>
  <si>
    <t>夢幻戦士ヴァリス</t>
  </si>
  <si>
    <t>クルミ</t>
  </si>
  <si>
    <t>Amaybe</t>
  </si>
  <si>
    <t>ev@</t>
  </si>
  <si>
    <t>親不孝め!!</t>
  </si>
  <si>
    <t>テトラ</t>
  </si>
  <si>
    <t>おはし</t>
  </si>
  <si>
    <t>igomix</t>
  </si>
  <si>
    <t>pinpin6</t>
  </si>
  <si>
    <t>由結最愛</t>
  </si>
  <si>
    <t>白色の水</t>
  </si>
  <si>
    <t>しーきゅーぶ</t>
  </si>
  <si>
    <t>白銀の飛猫</t>
  </si>
  <si>
    <t>rRfDyUf</t>
  </si>
  <si>
    <t>CapDucal</t>
  </si>
  <si>
    <t>こたつにミカン</t>
  </si>
  <si>
    <t>TeaType</t>
  </si>
  <si>
    <t>t-shinjo</t>
  </si>
  <si>
    <t>SILAS</t>
  </si>
  <si>
    <t>よおざん</t>
  </si>
  <si>
    <t>むすた</t>
  </si>
  <si>
    <t>スターひろじ</t>
  </si>
  <si>
    <t>理科大君</t>
  </si>
  <si>
    <t>鷹３</t>
  </si>
  <si>
    <t>樂朱彌神</t>
  </si>
  <si>
    <t>チョコミント</t>
  </si>
  <si>
    <t>禰摩多</t>
  </si>
  <si>
    <t>根津将棋名人</t>
  </si>
  <si>
    <t>孕み屋本舗</t>
  </si>
  <si>
    <t>迷探偵コカン</t>
  </si>
  <si>
    <t>Naaja</t>
  </si>
  <si>
    <t>ひめ・あい</t>
  </si>
  <si>
    <t>sAgaさん</t>
  </si>
  <si>
    <t>ケイロン</t>
  </si>
  <si>
    <t>かしかお</t>
  </si>
  <si>
    <t>☆日向夏美☆</t>
  </si>
  <si>
    <t>ツン☆ドラキー</t>
  </si>
  <si>
    <t>佐倉瀬津美</t>
  </si>
  <si>
    <t>はずれ枠</t>
  </si>
  <si>
    <t>ぷるお氏</t>
  </si>
  <si>
    <t>神武ラヒナー</t>
  </si>
  <si>
    <t>あれちゃん</t>
  </si>
  <si>
    <t>ジョニーver2</t>
  </si>
  <si>
    <t>-★独眼鉄★-</t>
  </si>
  <si>
    <t>禁煙雀荘</t>
  </si>
  <si>
    <t>ジャミラス</t>
  </si>
  <si>
    <t>まさに宇宙</t>
  </si>
  <si>
    <t>PeterPan</t>
  </si>
  <si>
    <t>謎の五位力</t>
  </si>
  <si>
    <t>WDDie</t>
  </si>
  <si>
    <t>湘北⑭三井寿</t>
  </si>
  <si>
    <t>ｔak@三日月</t>
  </si>
  <si>
    <t>ミランガル</t>
  </si>
  <si>
    <t>多々良島</t>
  </si>
  <si>
    <t>沈黙のオナニスト</t>
  </si>
  <si>
    <t>ぽんぽんまるZ</t>
  </si>
  <si>
    <t>ロマネスク</t>
  </si>
  <si>
    <t>山本勘助</t>
  </si>
  <si>
    <t>3月3日</t>
  </si>
  <si>
    <t>yukipin</t>
  </si>
  <si>
    <t>はやぶさ</t>
  </si>
  <si>
    <t>１７８４０ＴＡ</t>
  </si>
  <si>
    <t>おじさそ</t>
  </si>
  <si>
    <t>土御門傑</t>
  </si>
  <si>
    <t>Takeru</t>
  </si>
  <si>
    <t>unimiso</t>
  </si>
  <si>
    <t>ぐそー</t>
  </si>
  <si>
    <t>(;・∀・)</t>
  </si>
  <si>
    <t>ゴールデンひよこ</t>
  </si>
  <si>
    <t>梵天</t>
  </si>
  <si>
    <t>ララポポエム</t>
  </si>
  <si>
    <t>kandorao</t>
  </si>
  <si>
    <t>子忍の風助</t>
  </si>
  <si>
    <t>Lyrica.P</t>
  </si>
  <si>
    <t>後藤信康</t>
  </si>
  <si>
    <t>maple247</t>
  </si>
  <si>
    <t>組合竜</t>
  </si>
  <si>
    <t>射手矢</t>
  </si>
  <si>
    <t>takutei</t>
  </si>
  <si>
    <t>けろっちょ</t>
  </si>
  <si>
    <t>赤木しげるas</t>
  </si>
  <si>
    <t>赤い蛙14</t>
  </si>
  <si>
    <t>広角打法</t>
  </si>
  <si>
    <t>reidock</t>
  </si>
  <si>
    <t>キムわいぷ</t>
  </si>
  <si>
    <t>りょーち2011</t>
  </si>
  <si>
    <t>★いおりん★</t>
  </si>
  <si>
    <t>.イリアス</t>
  </si>
  <si>
    <t>しか茶</t>
  </si>
  <si>
    <t>人生闇鍋</t>
  </si>
  <si>
    <t>NAGISUKE</t>
  </si>
  <si>
    <t>結玉</t>
  </si>
  <si>
    <t>kazu-</t>
  </si>
  <si>
    <t>the...</t>
  </si>
  <si>
    <t>しらいしまい</t>
  </si>
  <si>
    <t>xルルx</t>
  </si>
  <si>
    <t>Roland♪</t>
  </si>
  <si>
    <t>amiami</t>
  </si>
  <si>
    <t>にしのかな</t>
  </si>
  <si>
    <t>どんぐり太郎</t>
  </si>
  <si>
    <t>Volta</t>
  </si>
  <si>
    <t>ちょんぼ丸</t>
  </si>
  <si>
    <t>━∪━⊃━━＜＞</t>
  </si>
  <si>
    <t>pe</t>
  </si>
  <si>
    <t>南国育ち</t>
  </si>
  <si>
    <t>そげんさん</t>
  </si>
  <si>
    <t>幽霊の軌跡</t>
  </si>
  <si>
    <t>はる３</t>
  </si>
  <si>
    <t>キスで起こして</t>
  </si>
  <si>
    <t>ろくさん</t>
  </si>
  <si>
    <t>星野八千穂</t>
  </si>
  <si>
    <t>砂の惑星</t>
  </si>
  <si>
    <t>Oiのぶ子</t>
  </si>
  <si>
    <t>ＩＤ名考え中</t>
  </si>
  <si>
    <t>Raian.</t>
  </si>
  <si>
    <t>馬杉寧香</t>
  </si>
  <si>
    <t>デュー</t>
  </si>
  <si>
    <t>ハイテンボー</t>
  </si>
  <si>
    <t>銀河鉄道７７７</t>
  </si>
  <si>
    <t>腸炎ビブリオ</t>
  </si>
  <si>
    <t>suporoN</t>
  </si>
  <si>
    <t>Ⅸの休日</t>
  </si>
  <si>
    <t>mae-0127</t>
  </si>
  <si>
    <t>(´へεへ`)</t>
  </si>
  <si>
    <t>MasaMasa</t>
  </si>
  <si>
    <t>樋口一葉</t>
  </si>
  <si>
    <t>マトリックス</t>
  </si>
  <si>
    <t>立川ひよ子</t>
  </si>
  <si>
    <t>えるえる</t>
  </si>
  <si>
    <t>ShiNO</t>
  </si>
  <si>
    <t>上戸彩</t>
  </si>
  <si>
    <t>よろしく。</t>
  </si>
  <si>
    <t>レイノッシュ</t>
  </si>
  <si>
    <t>MJ[Sato]</t>
  </si>
  <si>
    <t>sabo40</t>
  </si>
  <si>
    <t>レジーミラー</t>
  </si>
  <si>
    <t>アベノミクス</t>
  </si>
  <si>
    <t>江戸前コナン</t>
  </si>
  <si>
    <t>KAZ-Kun</t>
  </si>
  <si>
    <t>ヒルベルト</t>
  </si>
  <si>
    <t>motoya</t>
  </si>
  <si>
    <t>西村酷使無双＠巨</t>
  </si>
  <si>
    <t>ペケット</t>
  </si>
  <si>
    <t>キャスバル兄さん</t>
  </si>
  <si>
    <t>野獣と化した先輩</t>
  </si>
  <si>
    <t>ヨコヨコ</t>
  </si>
  <si>
    <t>男子畢生危機一髪</t>
  </si>
  <si>
    <t>おおばば</t>
  </si>
  <si>
    <t>ひなた影丸</t>
  </si>
  <si>
    <t>ぴーたも</t>
  </si>
  <si>
    <t>勝ちたがり</t>
  </si>
  <si>
    <t>白色帆羽</t>
  </si>
  <si>
    <t>Bluebird</t>
  </si>
  <si>
    <t>桜丼章一</t>
  </si>
  <si>
    <t>ボマー</t>
  </si>
  <si>
    <t>ぐるぐる単騎</t>
  </si>
  <si>
    <t>yanopan</t>
  </si>
  <si>
    <t>renren</t>
  </si>
  <si>
    <t>まよいマイマイ</t>
  </si>
  <si>
    <t>我道</t>
  </si>
  <si>
    <t>鷹より＠ＳＢ</t>
  </si>
  <si>
    <t>えだ☆まめ</t>
  </si>
  <si>
    <t>thisisit</t>
  </si>
  <si>
    <t>つくねのパパ</t>
  </si>
  <si>
    <t>天儀凌</t>
  </si>
  <si>
    <t>ありおと</t>
  </si>
  <si>
    <t>sheik</t>
  </si>
  <si>
    <t>バツ＆テン</t>
  </si>
  <si>
    <t>michaelz</t>
  </si>
  <si>
    <t>えすたまる</t>
  </si>
  <si>
    <t>ヨシツネ丸</t>
  </si>
  <si>
    <t>新宿方面。</t>
  </si>
  <si>
    <t>たいせ</t>
  </si>
  <si>
    <t>KS_mj</t>
  </si>
  <si>
    <t>たがみ剛</t>
  </si>
  <si>
    <t>★ミーコ★</t>
  </si>
  <si>
    <t>村松【本物】</t>
  </si>
  <si>
    <t>みずまｔ</t>
  </si>
  <si>
    <t>孤独な女戦士</t>
  </si>
  <si>
    <t>ぽぽりろ</t>
  </si>
  <si>
    <t>rabisuke</t>
  </si>
  <si>
    <t>tomnp</t>
  </si>
  <si>
    <t>天城軍小荷駄奉行</t>
  </si>
  <si>
    <t>子竜０３０８</t>
  </si>
  <si>
    <t>栗飯</t>
  </si>
  <si>
    <t>工藤行雄</t>
  </si>
  <si>
    <t>茂らない赤木</t>
  </si>
  <si>
    <t>日本語難しい</t>
  </si>
  <si>
    <t>アフロな侍</t>
  </si>
  <si>
    <t>大蔵遊星</t>
  </si>
  <si>
    <t>原村ののか</t>
  </si>
  <si>
    <t>ましまろ</t>
  </si>
  <si>
    <t>きい</t>
  </si>
  <si>
    <t>ぷいにゅ</t>
  </si>
  <si>
    <t>友沢</t>
  </si>
  <si>
    <t>乾坤十五擲</t>
  </si>
  <si>
    <t>ｕｕｕｕｉｉｊｈ</t>
  </si>
  <si>
    <t>くまさんR</t>
  </si>
  <si>
    <t>moboan11</t>
  </si>
  <si>
    <t>マホロバケーショ</t>
  </si>
  <si>
    <t>pomi5035</t>
  </si>
  <si>
    <t>じゅどん</t>
  </si>
  <si>
    <t>ppgun</t>
  </si>
  <si>
    <t>+とどっち+</t>
  </si>
  <si>
    <t>福</t>
  </si>
  <si>
    <t>明太マヨ</t>
  </si>
  <si>
    <t>hhhdhhh</t>
  </si>
  <si>
    <t>ＡＫＯ</t>
  </si>
  <si>
    <t>セイバー</t>
  </si>
  <si>
    <t>不在の騎士</t>
  </si>
  <si>
    <t>VANQUE</t>
  </si>
  <si>
    <t>女魔法使い</t>
  </si>
  <si>
    <t>BlackCat</t>
  </si>
  <si>
    <t>アゴってんの♪</t>
  </si>
  <si>
    <t>ryotaSSS</t>
  </si>
  <si>
    <t>ueshow</t>
  </si>
  <si>
    <t>fxxkin</t>
  </si>
  <si>
    <t>ufufufu</t>
  </si>
  <si>
    <t>isd.</t>
  </si>
  <si>
    <t>とりっぴー</t>
  </si>
  <si>
    <t>naby</t>
  </si>
  <si>
    <t>おかば</t>
  </si>
  <si>
    <t>白銀くん</t>
  </si>
  <si>
    <t>零落星奈</t>
  </si>
  <si>
    <t>らっしー</t>
  </si>
  <si>
    <t>爆☆弾☆岩</t>
  </si>
  <si>
    <t>jmdtf</t>
  </si>
  <si>
    <t>霧立昇</t>
  </si>
  <si>
    <t>goldcoin</t>
  </si>
  <si>
    <t>CR-Z</t>
  </si>
  <si>
    <t>彼方流し</t>
  </si>
  <si>
    <t>ドンビッグAIR</t>
  </si>
  <si>
    <t>ラッキーＤ</t>
  </si>
  <si>
    <t>クラリカ</t>
  </si>
  <si>
    <t>:cocua:</t>
  </si>
  <si>
    <t>funliung</t>
  </si>
  <si>
    <t>くるー</t>
  </si>
  <si>
    <t>2piece</t>
  </si>
  <si>
    <t>gororin</t>
  </si>
  <si>
    <t>たけっち★</t>
  </si>
  <si>
    <t>俺つえええ～</t>
  </si>
  <si>
    <t>0くーにゃん0</t>
  </si>
  <si>
    <t>テンパイ少年</t>
  </si>
  <si>
    <t>立華奏</t>
  </si>
  <si>
    <t>zakuroro</t>
  </si>
  <si>
    <t>tuji1091</t>
  </si>
  <si>
    <t>Toru</t>
  </si>
  <si>
    <t>narrow19</t>
  </si>
  <si>
    <t>ryumiti</t>
  </si>
  <si>
    <t>kei0413</t>
  </si>
  <si>
    <t>プレクラスニー</t>
  </si>
  <si>
    <t>平愛梨</t>
  </si>
  <si>
    <t>naozo</t>
  </si>
  <si>
    <t>stz</t>
  </si>
  <si>
    <t>究極AI</t>
  </si>
  <si>
    <t>めたるきんぐ</t>
  </si>
  <si>
    <t>螺子</t>
  </si>
  <si>
    <t>Sinsi</t>
  </si>
  <si>
    <t>りきざいる☆</t>
  </si>
  <si>
    <t>pero2</t>
  </si>
  <si>
    <t>-煉獄-</t>
  </si>
  <si>
    <t>坂本真綾</t>
  </si>
  <si>
    <t>ぷらちにゃ</t>
  </si>
  <si>
    <t>森田さん</t>
  </si>
  <si>
    <t>-mimi-</t>
  </si>
  <si>
    <t>栗飯とカメハメ波</t>
  </si>
  <si>
    <t>紙崎智英</t>
  </si>
  <si>
    <t>飛びシャチ</t>
  </si>
  <si>
    <t>カボチャタネ</t>
  </si>
  <si>
    <t>東雲なの</t>
  </si>
  <si>
    <t>ツクヨミ0316</t>
  </si>
  <si>
    <t>シナゴガサタナエ</t>
  </si>
  <si>
    <t>チーさせろ！</t>
  </si>
  <si>
    <t>白暗淵</t>
  </si>
  <si>
    <t>在下頭很硬</t>
  </si>
  <si>
    <t>リクオ</t>
  </si>
  <si>
    <t>ちゃんなお</t>
  </si>
  <si>
    <t>なんくるないさ</t>
  </si>
  <si>
    <t>馬車馬2nd</t>
  </si>
  <si>
    <t>衛藤美彩</t>
  </si>
  <si>
    <t>1ta</t>
  </si>
  <si>
    <t>shun..1</t>
  </si>
  <si>
    <t>HiroYuki</t>
  </si>
  <si>
    <t>草原の涼風</t>
  </si>
  <si>
    <t>グルーミー先輩</t>
  </si>
  <si>
    <t>gibon</t>
  </si>
  <si>
    <t>killtime</t>
  </si>
  <si>
    <t>チョコオアバニラ</t>
  </si>
  <si>
    <t>ブループラネット</t>
  </si>
  <si>
    <t>因幡帝</t>
  </si>
  <si>
    <t>はたさん</t>
  </si>
  <si>
    <t>木樹</t>
  </si>
  <si>
    <t>風越男子</t>
  </si>
  <si>
    <t>わた坊</t>
  </si>
  <si>
    <t>vfrnori</t>
  </si>
  <si>
    <t>やぶいし</t>
  </si>
  <si>
    <t>minority</t>
  </si>
  <si>
    <t>whiter</t>
  </si>
  <si>
    <t>てつＣ</t>
  </si>
  <si>
    <t>◇至誠塾◇</t>
  </si>
  <si>
    <t>Ryohgo</t>
  </si>
  <si>
    <t>でんむし</t>
  </si>
  <si>
    <t>奔仔</t>
  </si>
  <si>
    <t>ひっころ26</t>
  </si>
  <si>
    <t>ルーナ</t>
  </si>
  <si>
    <t>俺もうダメだわ</t>
  </si>
  <si>
    <t>逸材</t>
  </si>
  <si>
    <t>キュゥべえ</t>
  </si>
  <si>
    <t>新戸緋沙子z</t>
  </si>
  <si>
    <t>欧州三冠</t>
  </si>
  <si>
    <t>遊走</t>
  </si>
  <si>
    <t>ひげ剃りリーチ</t>
  </si>
  <si>
    <t>メタボペンギン</t>
  </si>
  <si>
    <t>こあかり</t>
  </si>
  <si>
    <t>むねお〇</t>
  </si>
  <si>
    <t>スタービッチ</t>
  </si>
  <si>
    <t>オズグループ</t>
  </si>
  <si>
    <t>公務員くん</t>
  </si>
  <si>
    <t>瀬良駿</t>
  </si>
  <si>
    <t>テンボウくん</t>
  </si>
  <si>
    <t>PONZU</t>
  </si>
  <si>
    <t>ume107</t>
  </si>
  <si>
    <t>クレム</t>
  </si>
  <si>
    <t>リリーちゃん</t>
  </si>
  <si>
    <t>爆裂魔法少女</t>
  </si>
  <si>
    <t>しっちゃん61</t>
  </si>
  <si>
    <t>モロヘイヤ</t>
  </si>
  <si>
    <t>つかんぽくん</t>
  </si>
  <si>
    <t>Hachinal</t>
  </si>
  <si>
    <t>広瀬香美</t>
  </si>
  <si>
    <t>Wombat</t>
  </si>
  <si>
    <t>＠うさみん</t>
  </si>
  <si>
    <t>しょ～ま君</t>
  </si>
  <si>
    <t>きのじゅーん</t>
  </si>
  <si>
    <t>bek</t>
  </si>
  <si>
    <t>Mr.Kaito</t>
  </si>
  <si>
    <t>ポリゴン2</t>
  </si>
  <si>
    <t>ラスタファーライ</t>
  </si>
  <si>
    <t>shoot兄貴</t>
  </si>
  <si>
    <t>lebesgue</t>
  </si>
  <si>
    <t>りよたん</t>
  </si>
  <si>
    <t>kenken48</t>
  </si>
  <si>
    <t>とくピカ</t>
  </si>
  <si>
    <t>IZ-US</t>
  </si>
  <si>
    <t>おまいらよわすぎ</t>
  </si>
  <si>
    <t>§とろっと§</t>
  </si>
  <si>
    <t>大塚剛</t>
  </si>
  <si>
    <t>きっくん</t>
  </si>
  <si>
    <t>雀師よー</t>
  </si>
  <si>
    <t>CRchan</t>
  </si>
  <si>
    <t>（´；ω；｀）</t>
  </si>
  <si>
    <t>ミンユイ</t>
  </si>
  <si>
    <t>†人生ベタ降り†</t>
  </si>
  <si>
    <t>YOKOYAMA</t>
  </si>
  <si>
    <t>可燃性高圧ガス</t>
  </si>
  <si>
    <t>T・T・８</t>
  </si>
  <si>
    <t>dazai</t>
  </si>
  <si>
    <t>きみつアルスター</t>
  </si>
  <si>
    <t>脳天熊</t>
  </si>
  <si>
    <t>oyasu</t>
  </si>
  <si>
    <t>雀日連白波瀬</t>
  </si>
  <si>
    <t>kiremono</t>
  </si>
  <si>
    <t>kowano</t>
  </si>
  <si>
    <t>ガトームソン</t>
  </si>
  <si>
    <t>まるとー</t>
  </si>
  <si>
    <t>Z(｀Д´Z）</t>
  </si>
  <si>
    <t>テリやきバーガー</t>
  </si>
  <si>
    <t>colotite</t>
  </si>
  <si>
    <t>輝</t>
  </si>
  <si>
    <t>クラムボン</t>
  </si>
  <si>
    <t>νガンダム</t>
  </si>
  <si>
    <t>ソータニ</t>
  </si>
  <si>
    <t>W44S</t>
  </si>
  <si>
    <t>納言</t>
  </si>
  <si>
    <t>【龍門渕セイラ】</t>
  </si>
  <si>
    <t>NoOne</t>
  </si>
  <si>
    <t>兎博士</t>
  </si>
  <si>
    <t>4majiro</t>
  </si>
  <si>
    <t>Pisho</t>
  </si>
  <si>
    <t>シロさん</t>
  </si>
  <si>
    <t>野良上手</t>
  </si>
  <si>
    <t>wesker</t>
  </si>
  <si>
    <t>fsecond</t>
  </si>
  <si>
    <t>犀川萌絵</t>
  </si>
  <si>
    <t>徳乃神</t>
  </si>
  <si>
    <t>風の彼方</t>
  </si>
  <si>
    <t>月長石</t>
  </si>
  <si>
    <t>池田賢史</t>
  </si>
  <si>
    <t>風まかせ月影蘭</t>
  </si>
  <si>
    <t>ミヤクイーン</t>
  </si>
  <si>
    <t>幻影幽霊船</t>
  </si>
  <si>
    <t>岡村</t>
  </si>
  <si>
    <t>山形２５歳♂</t>
  </si>
  <si>
    <t>赤青色</t>
  </si>
  <si>
    <t>近オリ党</t>
  </si>
  <si>
    <t>桃やん</t>
  </si>
  <si>
    <t>ハブケイスケ</t>
  </si>
  <si>
    <t>でっていう@SQ</t>
  </si>
  <si>
    <t>正門のメイちゃん</t>
  </si>
  <si>
    <t>大先生</t>
  </si>
  <si>
    <t>プッチ神父</t>
  </si>
  <si>
    <t>溜ロン＠川村軍団</t>
  </si>
  <si>
    <t>体育館野球部員</t>
  </si>
  <si>
    <t>きこっち</t>
  </si>
  <si>
    <t>やめてけれ２</t>
  </si>
  <si>
    <t>tefery</t>
  </si>
  <si>
    <t>原宿ジェンヌ</t>
  </si>
  <si>
    <t>poneisin</t>
  </si>
  <si>
    <t>narberal</t>
  </si>
  <si>
    <t>神威ver2</t>
  </si>
  <si>
    <t>しゅると</t>
  </si>
  <si>
    <t>ATSM</t>
  </si>
  <si>
    <t>ichorid</t>
  </si>
  <si>
    <t>しゅみれ</t>
  </si>
  <si>
    <t>東雲皐月</t>
  </si>
  <si>
    <t>apricot＋</t>
  </si>
  <si>
    <t>usk1115</t>
  </si>
  <si>
    <t>赤神風雲</t>
  </si>
  <si>
    <t>自滅D</t>
  </si>
  <si>
    <t>NAKAHARA</t>
  </si>
  <si>
    <t>染手</t>
  </si>
  <si>
    <t>《鷺沢文香》</t>
  </si>
  <si>
    <t>べけん</t>
  </si>
  <si>
    <t>雀シロ子</t>
  </si>
  <si>
    <t>せぶんついん</t>
  </si>
  <si>
    <t>こうせいくん</t>
  </si>
  <si>
    <t>梅屋☆理論</t>
  </si>
  <si>
    <t>野中晴</t>
  </si>
  <si>
    <t>tenguman</t>
  </si>
  <si>
    <t>yafu</t>
  </si>
  <si>
    <t>フォン王子</t>
  </si>
  <si>
    <t>ハーデス１００G</t>
  </si>
  <si>
    <t>1of10000</t>
  </si>
  <si>
    <t>懐く家畜</t>
  </si>
  <si>
    <t>大根太</t>
  </si>
  <si>
    <t>さっこん</t>
  </si>
  <si>
    <t>鳴きの竜</t>
  </si>
  <si>
    <t>takeo2</t>
  </si>
  <si>
    <t>ろふぁ</t>
  </si>
  <si>
    <t>小南桐絵</t>
  </si>
  <si>
    <t>麻雀片想い</t>
  </si>
  <si>
    <t>コーデリア</t>
  </si>
  <si>
    <t>伝説のひよこ</t>
  </si>
  <si>
    <t>☆関七段</t>
  </si>
  <si>
    <t>やじきた</t>
  </si>
  <si>
    <t>たろたろ.</t>
  </si>
  <si>
    <t>半オカルト</t>
  </si>
  <si>
    <t>saraba</t>
  </si>
  <si>
    <t>湘南ガチ勢</t>
  </si>
  <si>
    <t>hatu_</t>
  </si>
  <si>
    <t>稜線行</t>
  </si>
  <si>
    <t>嘘喰い喰い</t>
  </si>
  <si>
    <t>GOGOペカッ</t>
  </si>
  <si>
    <t>かとれあ♪</t>
  </si>
  <si>
    <t>山田のバナナ</t>
  </si>
  <si>
    <t>一郎.</t>
  </si>
  <si>
    <t>kershaw</t>
  </si>
  <si>
    <t>青山少年DX</t>
  </si>
  <si>
    <t>神様のキューブ</t>
  </si>
  <si>
    <t>おまいたちの夜</t>
  </si>
  <si>
    <t>pechorin</t>
  </si>
  <si>
    <t>ガブリン</t>
  </si>
  <si>
    <t>愚地☆とっぽ</t>
  </si>
  <si>
    <t>魔法少女真帆</t>
  </si>
  <si>
    <t>メスト・エジル</t>
  </si>
  <si>
    <t>コープランド</t>
  </si>
  <si>
    <t>fate4298</t>
  </si>
  <si>
    <t>k.i...</t>
  </si>
  <si>
    <t>阿澄佳奈</t>
  </si>
  <si>
    <t>無敵看板娘</t>
  </si>
  <si>
    <t>小田扉</t>
  </si>
  <si>
    <t>hagiwara</t>
  </si>
  <si>
    <t>spicy</t>
  </si>
  <si>
    <t>アクスケ</t>
  </si>
  <si>
    <t>roco</t>
  </si>
  <si>
    <t>Ａポケ</t>
  </si>
  <si>
    <t>麻子打ちます</t>
  </si>
  <si>
    <t>パックスツモ</t>
  </si>
  <si>
    <t>池爽児</t>
  </si>
  <si>
    <t>冒険王ニィト</t>
  </si>
  <si>
    <t>つー！</t>
  </si>
  <si>
    <t>ジュタ2</t>
  </si>
  <si>
    <t>りょーち20XX</t>
  </si>
  <si>
    <t>ニート社長</t>
  </si>
  <si>
    <t>salvador</t>
  </si>
  <si>
    <t>とびまる</t>
  </si>
  <si>
    <t>新貴</t>
  </si>
  <si>
    <t>ほのパパ</t>
  </si>
  <si>
    <t>碧乃</t>
  </si>
  <si>
    <t>-やはぎ-</t>
  </si>
  <si>
    <t>NEOふっくん</t>
  </si>
  <si>
    <t>ほぼ高知</t>
  </si>
  <si>
    <t>まさとし</t>
  </si>
  <si>
    <t>兎月胡太郎</t>
  </si>
  <si>
    <t>Sumore</t>
  </si>
  <si>
    <t>桐生のおじさん</t>
  </si>
  <si>
    <t>黙れオレンジ！</t>
  </si>
  <si>
    <t>ヒゲロング</t>
  </si>
  <si>
    <t>みみず</t>
  </si>
  <si>
    <t>HAREM</t>
  </si>
  <si>
    <t>Pury</t>
  </si>
  <si>
    <t>ひつこいんだ</t>
  </si>
  <si>
    <t>EternalS</t>
  </si>
  <si>
    <t>amane-</t>
  </si>
  <si>
    <t>プロテイン得盛</t>
  </si>
  <si>
    <t>ナツカワ</t>
  </si>
  <si>
    <t>エスター</t>
  </si>
  <si>
    <t>バスター君</t>
  </si>
  <si>
    <t>5ya</t>
  </si>
  <si>
    <t>ごりごりごりら</t>
  </si>
  <si>
    <t>我流X</t>
  </si>
  <si>
    <t>カタリナ</t>
  </si>
  <si>
    <t>隠地前</t>
  </si>
  <si>
    <t>CHUGE</t>
  </si>
  <si>
    <t>みなとぱぱ</t>
  </si>
  <si>
    <t>呪いの連鎖</t>
  </si>
  <si>
    <t>紫吹蘭</t>
  </si>
  <si>
    <t>BAR4</t>
  </si>
  <si>
    <t>イルパラッツォ</t>
  </si>
  <si>
    <t>春のかけら</t>
  </si>
  <si>
    <t>比嘉秀仁</t>
  </si>
  <si>
    <t>nagamo</t>
  </si>
  <si>
    <t>リトルインパクト</t>
  </si>
  <si>
    <t>サバ夫Ｚ</t>
  </si>
  <si>
    <t>いちかわ♪</t>
  </si>
  <si>
    <t>赤雪WEL</t>
  </si>
  <si>
    <t>ハッピーちゃん</t>
  </si>
  <si>
    <t>はいてんぼー</t>
  </si>
  <si>
    <t>ｱﾄﾐｯｸ放銃</t>
  </si>
  <si>
    <t>きゃんがんば</t>
  </si>
  <si>
    <t>ドラ次郎</t>
  </si>
  <si>
    <t>目玉焼き</t>
  </si>
  <si>
    <t>〓Bias〓</t>
  </si>
  <si>
    <t>吉澤☆瑠偉</t>
  </si>
  <si>
    <t>Booker</t>
  </si>
  <si>
    <t>鳳天10</t>
  </si>
  <si>
    <t>ふじかつ</t>
  </si>
  <si>
    <t>Ｄｅｓｔｉｎｙ</t>
  </si>
  <si>
    <t>ちゃろや</t>
  </si>
  <si>
    <t>toshimai</t>
  </si>
  <si>
    <t>北条そふぃ</t>
  </si>
  <si>
    <t>つっしーま</t>
  </si>
  <si>
    <t>いぬの『ぬ』</t>
  </si>
  <si>
    <t>原人ちゃん</t>
  </si>
  <si>
    <t>すまた</t>
  </si>
  <si>
    <t>青太郎</t>
  </si>
  <si>
    <t>櫻木真乃</t>
  </si>
  <si>
    <t>DOW！</t>
  </si>
  <si>
    <t>nagisa11</t>
  </si>
  <si>
    <t>At_Sushi</t>
  </si>
  <si>
    <t>スーパーアニキ</t>
  </si>
  <si>
    <t>ROLLY</t>
  </si>
  <si>
    <t>TDN48</t>
  </si>
  <si>
    <t>O3龍門</t>
  </si>
  <si>
    <t>立教大麻雀研究会</t>
  </si>
  <si>
    <t>peca駅伝2</t>
  </si>
  <si>
    <t>setsu.15</t>
  </si>
  <si>
    <t>モノホン</t>
  </si>
  <si>
    <t>ワイルド</t>
  </si>
  <si>
    <t>ひょうちゅう</t>
  </si>
  <si>
    <t>出るピエロ</t>
  </si>
  <si>
    <t>Gliese</t>
  </si>
  <si>
    <t>poruca</t>
  </si>
  <si>
    <t>Vandy</t>
  </si>
  <si>
    <t>KissShot</t>
  </si>
  <si>
    <t>おd</t>
  </si>
  <si>
    <t>XKXTLP</t>
  </si>
  <si>
    <t>わーさー・ω・；</t>
  </si>
  <si>
    <t>天江衣＠</t>
  </si>
  <si>
    <t>麻雀で食え!</t>
  </si>
  <si>
    <t>SGYMHRK1</t>
  </si>
  <si>
    <t>ikeetti</t>
  </si>
  <si>
    <t>Yoshi102</t>
  </si>
  <si>
    <t>強欲狂戦士</t>
  </si>
  <si>
    <t>ファンバステン</t>
  </si>
  <si>
    <t>画太郎＠ロン２</t>
  </si>
  <si>
    <t>woyoujia</t>
  </si>
  <si>
    <t>じゃんぐる</t>
  </si>
  <si>
    <t>Asterisk</t>
  </si>
  <si>
    <t>わせ。</t>
  </si>
  <si>
    <t>doumokun</t>
  </si>
  <si>
    <t>たかみーみー</t>
  </si>
  <si>
    <t>おけふ</t>
  </si>
  <si>
    <t>あんずぺろん</t>
  </si>
  <si>
    <t>AtomicR</t>
  </si>
  <si>
    <t>stayb</t>
  </si>
  <si>
    <t>安牌先生</t>
  </si>
  <si>
    <t>まぁ雀</t>
  </si>
  <si>
    <t>DHK</t>
  </si>
  <si>
    <t>古明地覚</t>
  </si>
  <si>
    <t>ナネットさん</t>
  </si>
  <si>
    <t>@存在価値0人間</t>
  </si>
  <si>
    <t>まなぶやで</t>
  </si>
  <si>
    <t>24000z</t>
  </si>
  <si>
    <t>EX関西電力</t>
  </si>
  <si>
    <t>あんたが大将★★</t>
  </si>
  <si>
    <t>龍星</t>
  </si>
  <si>
    <t>月瀬小夜音</t>
  </si>
  <si>
    <t>Ｑ</t>
  </si>
  <si>
    <t>酔奴人</t>
  </si>
  <si>
    <t>kurimu</t>
  </si>
  <si>
    <t>絶食系男子</t>
  </si>
  <si>
    <t>suzumeの涙</t>
  </si>
  <si>
    <t>プラ</t>
  </si>
  <si>
    <t>ごろにゃー</t>
  </si>
  <si>
    <t>ンドゥバ</t>
  </si>
  <si>
    <t>もぐｒｒｒｒｒ</t>
  </si>
  <si>
    <t>カンタム.</t>
  </si>
  <si>
    <t>けんちゃむ</t>
  </si>
  <si>
    <t>Ｍｉｓｈａｎ</t>
  </si>
  <si>
    <t>マロとジーノ</t>
  </si>
  <si>
    <t>tanimo@</t>
  </si>
  <si>
    <t>だーよさん</t>
  </si>
  <si>
    <t>べっしー</t>
  </si>
  <si>
    <t>Mr.マリネズミ</t>
  </si>
  <si>
    <t>beesono</t>
  </si>
  <si>
    <t>ささみ＠川村軍団</t>
  </si>
  <si>
    <t>USHI!!</t>
  </si>
  <si>
    <t>sibiya</t>
  </si>
  <si>
    <t>ぬだ</t>
  </si>
  <si>
    <t>～そうどの～</t>
  </si>
  <si>
    <t>たれ</t>
  </si>
  <si>
    <t>ござーるござる</t>
  </si>
  <si>
    <t>メタルうーぱ</t>
  </si>
  <si>
    <t>GFTT</t>
  </si>
  <si>
    <t>四風王</t>
  </si>
  <si>
    <t>Bigu</t>
  </si>
  <si>
    <t>kinglear</t>
  </si>
  <si>
    <t>(「￣Д￣)「</t>
  </si>
  <si>
    <t>SLB＠</t>
  </si>
  <si>
    <t>（＞ω＜）</t>
  </si>
  <si>
    <t>百式観音</t>
  </si>
  <si>
    <t>はひゅぅ</t>
  </si>
  <si>
    <t>(´・ェ・｀)ノ</t>
  </si>
  <si>
    <t>rmcik</t>
  </si>
  <si>
    <t>ぽみゅ</t>
  </si>
  <si>
    <t>固ゆで卵</t>
  </si>
  <si>
    <t>fanstep</t>
  </si>
  <si>
    <t>山本店長</t>
  </si>
  <si>
    <t>＠森</t>
  </si>
  <si>
    <t>watau</t>
  </si>
  <si>
    <t>небо</t>
  </si>
  <si>
    <t>しゅんつで</t>
  </si>
  <si>
    <t>amedio</t>
  </si>
  <si>
    <t>吉祥寺KG</t>
  </si>
  <si>
    <t>ando55</t>
  </si>
  <si>
    <t>iq180真剣様</t>
  </si>
  <si>
    <t>xiee</t>
  </si>
  <si>
    <t>t.a.k.</t>
  </si>
  <si>
    <t>Hunter_D</t>
  </si>
  <si>
    <t>vetoo</t>
  </si>
  <si>
    <t>捨てゴマ花田</t>
  </si>
  <si>
    <t>ocelot</t>
  </si>
  <si>
    <t>仕事しろ。</t>
  </si>
  <si>
    <t>ロバンソン2</t>
  </si>
  <si>
    <t>絶対延命</t>
  </si>
  <si>
    <t>雪№凉</t>
  </si>
  <si>
    <t>☆玉樹桜☆</t>
  </si>
  <si>
    <t>newk18</t>
  </si>
  <si>
    <t>SHINSHIN</t>
  </si>
  <si>
    <t>＠すず</t>
  </si>
  <si>
    <t>渋谷タメロット★</t>
  </si>
  <si>
    <t>ほでさがぽん</t>
  </si>
  <si>
    <t>タリーゲス</t>
  </si>
  <si>
    <t>シーシャ</t>
  </si>
  <si>
    <t>フライダ</t>
  </si>
  <si>
    <t>全ッ丸</t>
  </si>
  <si>
    <t>白単騎</t>
  </si>
  <si>
    <t>橋本勇＠全日本麻</t>
  </si>
  <si>
    <t>千代の富士</t>
  </si>
  <si>
    <t>kyon25</t>
  </si>
  <si>
    <t>八大龍王</t>
  </si>
  <si>
    <t>n-mizu</t>
  </si>
  <si>
    <t>tatakuya</t>
  </si>
  <si>
    <t>藤林杏は俺の嫁</t>
  </si>
  <si>
    <t>茨の精霊</t>
  </si>
  <si>
    <t>pop☆corn</t>
  </si>
  <si>
    <t>トップガーデン</t>
  </si>
  <si>
    <t>天国よろしく</t>
  </si>
  <si>
    <t>すまいるライフ</t>
  </si>
  <si>
    <t>けーぜー</t>
  </si>
  <si>
    <t>てーとく</t>
  </si>
  <si>
    <t>暴走</t>
  </si>
  <si>
    <t>宇喜多万里香</t>
  </si>
  <si>
    <t>プリンス</t>
  </si>
  <si>
    <t>橘美也</t>
  </si>
  <si>
    <t>十三種十四牌</t>
  </si>
  <si>
    <t>替玉固麺</t>
  </si>
  <si>
    <t>ronaken</t>
  </si>
  <si>
    <t>手渡し</t>
  </si>
  <si>
    <t>ちょっちゅね</t>
  </si>
  <si>
    <t>荒リーチ！☆</t>
  </si>
  <si>
    <t>しわす</t>
  </si>
  <si>
    <t>7/2に生まれて</t>
  </si>
  <si>
    <t>これはゼンツだわ</t>
  </si>
  <si>
    <t>珍平R</t>
  </si>
  <si>
    <t>くーや</t>
  </si>
  <si>
    <t>やまない雨</t>
  </si>
  <si>
    <t>Akkiy</t>
  </si>
  <si>
    <t>#74大治郎</t>
  </si>
  <si>
    <t>すいこみ</t>
  </si>
  <si>
    <t>関白失脚</t>
  </si>
  <si>
    <t>IGA</t>
  </si>
  <si>
    <t>モントリーヴォ</t>
  </si>
  <si>
    <t>国士無敵</t>
  </si>
  <si>
    <t>sai0914</t>
  </si>
  <si>
    <t>ガオーさん</t>
  </si>
  <si>
    <t>大家一起打野怪</t>
  </si>
  <si>
    <t>シーラねっと</t>
  </si>
  <si>
    <t>椰子753</t>
  </si>
  <si>
    <t>佐藤フリーザ</t>
  </si>
  <si>
    <t>師匠/雀鬼</t>
  </si>
  <si>
    <t>jbguk</t>
  </si>
  <si>
    <t>Bowie</t>
  </si>
  <si>
    <t>いのけん</t>
  </si>
  <si>
    <t>アシュリーー</t>
  </si>
  <si>
    <t>竹岡鉱山</t>
  </si>
  <si>
    <t>面清のバビィ</t>
  </si>
  <si>
    <t>washwash</t>
  </si>
  <si>
    <t>aeg754</t>
  </si>
  <si>
    <t>ディソール</t>
  </si>
  <si>
    <t>至宝すぎ</t>
  </si>
  <si>
    <t>放浪AI</t>
  </si>
  <si>
    <t>TBACN</t>
  </si>
  <si>
    <t>ちゃんうめ</t>
  </si>
  <si>
    <t>闘士☆きむりょー</t>
  </si>
  <si>
    <t>xambotto</t>
  </si>
  <si>
    <t>pumpkin.</t>
  </si>
  <si>
    <t>拘束ボクっ娘★</t>
  </si>
  <si>
    <t>ギタンマムル。</t>
  </si>
  <si>
    <t>Fed-68</t>
  </si>
  <si>
    <t>ヾ(・∀・；)</t>
  </si>
  <si>
    <t>＠くろねこどー＠</t>
  </si>
  <si>
    <t>久遠悠紀</t>
  </si>
  <si>
    <t>kobutan</t>
  </si>
  <si>
    <t>ツモ</t>
  </si>
  <si>
    <t>まるすけ</t>
  </si>
  <si>
    <t>くぅちゃん＠PE</t>
  </si>
  <si>
    <t>CURRYMAN</t>
  </si>
  <si>
    <t>chill</t>
  </si>
  <si>
    <t>いちまるくん</t>
  </si>
  <si>
    <t>3nssErdA</t>
  </si>
  <si>
    <t>ショーマ</t>
  </si>
  <si>
    <t>ぽろにあ</t>
  </si>
  <si>
    <t>ジュライ</t>
  </si>
  <si>
    <t>ジャスミン王子</t>
  </si>
  <si>
    <t>emp9ror</t>
  </si>
  <si>
    <t>ブラックの輝石</t>
  </si>
  <si>
    <t>しろちゃん</t>
  </si>
  <si>
    <t>午前零時</t>
  </si>
  <si>
    <t>るーしぃ</t>
  </si>
  <si>
    <t>clutch73</t>
  </si>
  <si>
    <t>もやしもん</t>
  </si>
  <si>
    <t>三代目ヒッグス</t>
  </si>
  <si>
    <t>keiki</t>
  </si>
  <si>
    <t>ashoyu</t>
  </si>
  <si>
    <t>さむお</t>
  </si>
  <si>
    <t>myX</t>
  </si>
  <si>
    <t>vs超店長</t>
  </si>
  <si>
    <t>tomotin</t>
  </si>
  <si>
    <t>momo916</t>
  </si>
  <si>
    <t>夜な夜な夜な</t>
  </si>
  <si>
    <t>兎美</t>
  </si>
  <si>
    <t>†悔い改めて†</t>
  </si>
  <si>
    <t>tami4949</t>
  </si>
  <si>
    <t>mabooo</t>
  </si>
  <si>
    <t>gxz</t>
  </si>
  <si>
    <t>花澤パクチー</t>
  </si>
  <si>
    <t>ジャスタウェイ</t>
  </si>
  <si>
    <t>青ちむ</t>
  </si>
  <si>
    <t>ポリ様の弟子</t>
  </si>
  <si>
    <t>mukitti</t>
  </si>
  <si>
    <t>みやこん１０歳</t>
  </si>
  <si>
    <t>マッキー.</t>
  </si>
  <si>
    <t>かるちゃん</t>
  </si>
  <si>
    <t>moka-</t>
  </si>
  <si>
    <t>尼龍</t>
  </si>
  <si>
    <t>＼アリだー！！／</t>
  </si>
  <si>
    <t>☆タスマニア</t>
  </si>
  <si>
    <t>はげまるだしっ</t>
  </si>
  <si>
    <t>元いちご社員</t>
  </si>
  <si>
    <t>beatrice</t>
  </si>
  <si>
    <t>hizaki</t>
  </si>
  <si>
    <t>BlackBox</t>
  </si>
  <si>
    <t>あやトゥース</t>
  </si>
  <si>
    <t>くりtoりす</t>
  </si>
  <si>
    <t>夏目雫</t>
  </si>
  <si>
    <t>tenku5</t>
  </si>
  <si>
    <t>ないじゃ</t>
  </si>
  <si>
    <t>ジャッカ～ル</t>
  </si>
  <si>
    <t>ayatoo</t>
  </si>
  <si>
    <t>とびまこ</t>
  </si>
  <si>
    <t>道化師の嘲笑</t>
  </si>
  <si>
    <t>桜もち</t>
  </si>
  <si>
    <t>bakase</t>
  </si>
  <si>
    <t>ごまくろ</t>
  </si>
  <si>
    <t>ヨコヅナ</t>
  </si>
  <si>
    <t>えりんぼP</t>
  </si>
  <si>
    <t>まこさとver2</t>
  </si>
  <si>
    <t>焼鳥名無しさん</t>
  </si>
  <si>
    <t>夜のガスパール</t>
  </si>
  <si>
    <t>ぶるはつ</t>
  </si>
  <si>
    <t>cobehope</t>
  </si>
  <si>
    <t>うどんこ</t>
  </si>
  <si>
    <t>mc78817f</t>
  </si>
  <si>
    <t>高町＠なのは</t>
  </si>
  <si>
    <t>NXGE0</t>
  </si>
  <si>
    <t>d.kouno2</t>
  </si>
  <si>
    <t>汚忍</t>
  </si>
  <si>
    <t>おりりん♪</t>
  </si>
  <si>
    <t>Amichan</t>
  </si>
  <si>
    <t>ゴールドシップ</t>
  </si>
  <si>
    <t>Amethus</t>
  </si>
  <si>
    <t>kotapro</t>
  </si>
  <si>
    <t>たーぬ</t>
  </si>
  <si>
    <t>星野源八</t>
  </si>
  <si>
    <t>taitake7</t>
  </si>
  <si>
    <t>ヴァリー</t>
  </si>
  <si>
    <t>nojiri</t>
  </si>
  <si>
    <t>ｓｋｍｔ</t>
  </si>
  <si>
    <t>あいび3</t>
  </si>
  <si>
    <t>ryo-</t>
  </si>
  <si>
    <t>迷える子羊</t>
  </si>
  <si>
    <t>貿易</t>
  </si>
  <si>
    <t>mr_snake</t>
  </si>
  <si>
    <t>ソンセキ</t>
  </si>
  <si>
    <t>(＾ω＾)四麻専</t>
  </si>
  <si>
    <t>やたらノンケ</t>
  </si>
  <si>
    <t>らいおん@</t>
  </si>
  <si>
    <t>五ェ門</t>
  </si>
  <si>
    <t>あんずぅ</t>
  </si>
  <si>
    <t>ミラルージュ</t>
  </si>
  <si>
    <t>武装商船団</t>
  </si>
  <si>
    <t>昼夜</t>
  </si>
  <si>
    <t>よっけ´</t>
  </si>
  <si>
    <t>徒手空拳</t>
  </si>
  <si>
    <t>pawafu1</t>
  </si>
  <si>
    <t>ぽふんぽふん</t>
  </si>
  <si>
    <t>コーティ</t>
  </si>
  <si>
    <t>まことさん</t>
  </si>
  <si>
    <t>アニオン</t>
  </si>
  <si>
    <t>卿</t>
  </si>
  <si>
    <t>生徒会【序】</t>
  </si>
  <si>
    <t>.=蓬莱山輝夜=</t>
  </si>
  <si>
    <t>赤坊主</t>
  </si>
  <si>
    <t>全局参加型雀土</t>
  </si>
  <si>
    <t>宮間夕菜</t>
  </si>
  <si>
    <t>こまち</t>
  </si>
  <si>
    <t>ゴリパラ</t>
  </si>
  <si>
    <t>いしもり</t>
  </si>
  <si>
    <t>rrrrrk</t>
  </si>
  <si>
    <t>あｓｄｆくぇｒ</t>
  </si>
  <si>
    <t>タテジワネズミ</t>
  </si>
  <si>
    <t>麻生雀子</t>
  </si>
  <si>
    <t>HN-Koda</t>
  </si>
  <si>
    <t>ちょりお</t>
  </si>
  <si>
    <t>しろっぽいの</t>
  </si>
  <si>
    <t>キョウタ</t>
  </si>
  <si>
    <t>Vanilla°</t>
  </si>
  <si>
    <t>やすんやすん</t>
  </si>
  <si>
    <t>Paella</t>
  </si>
  <si>
    <t>tochigi</t>
  </si>
  <si>
    <t>Msuzuto</t>
  </si>
  <si>
    <t>qv0o0vp</t>
  </si>
  <si>
    <t>しまだま2</t>
  </si>
  <si>
    <t>砲の上のあの娘</t>
  </si>
  <si>
    <t>氷点下2℃</t>
  </si>
  <si>
    <t>天尊位</t>
  </si>
  <si>
    <t>飛車ちゅう</t>
  </si>
  <si>
    <t>pan0907</t>
  </si>
  <si>
    <t>平沢あずさ</t>
  </si>
  <si>
    <t>ふなごろー</t>
  </si>
  <si>
    <t>toyamask</t>
  </si>
  <si>
    <t>Zilant</t>
  </si>
  <si>
    <t>しまじろう2.0</t>
  </si>
  <si>
    <t>-オレンジ-</t>
  </si>
  <si>
    <t>sakishix</t>
  </si>
  <si>
    <t>sawly</t>
  </si>
  <si>
    <t>ふぃあ@猫耳</t>
  </si>
  <si>
    <t>くらみじあ</t>
  </si>
  <si>
    <t>菱川慎吾</t>
  </si>
  <si>
    <t>ぱおーーん</t>
  </si>
  <si>
    <t>kino01</t>
  </si>
  <si>
    <t>ten1982</t>
  </si>
  <si>
    <t>sourire</t>
  </si>
  <si>
    <t>takeda12</t>
  </si>
  <si>
    <t>上家</t>
  </si>
  <si>
    <t>@ヨッシー@</t>
  </si>
  <si>
    <t>HAMATSU</t>
  </si>
  <si>
    <t>Toruku</t>
  </si>
  <si>
    <t>シュモクザメ</t>
  </si>
  <si>
    <t>らっきょう</t>
  </si>
  <si>
    <t>zyan</t>
  </si>
  <si>
    <t>yuyuyu48</t>
  </si>
  <si>
    <t>とりにゃん</t>
  </si>
  <si>
    <t>evgomes1</t>
  </si>
  <si>
    <t>アルトリア</t>
  </si>
  <si>
    <t>かろーら.A</t>
  </si>
  <si>
    <t>よく鳴く面前派</t>
  </si>
  <si>
    <t>小島よしお</t>
  </si>
  <si>
    <t>香織カヲル</t>
  </si>
  <si>
    <t>Notohaaa</t>
  </si>
  <si>
    <t>そーぷ延長</t>
  </si>
  <si>
    <t>銀羅</t>
  </si>
  <si>
    <t>ぴれ</t>
  </si>
  <si>
    <t>ばびろん</t>
  </si>
  <si>
    <t>ドバクチ大野</t>
  </si>
  <si>
    <t>獅子怒ん</t>
  </si>
  <si>
    <t>焚き火</t>
  </si>
  <si>
    <t>美樹沙耶香</t>
  </si>
  <si>
    <t>kaekohei</t>
  </si>
  <si>
    <t>子衿雅歌</t>
  </si>
  <si>
    <t>理想は攻撃的</t>
  </si>
  <si>
    <t>XW</t>
  </si>
  <si>
    <t>鳳南のそり立つ壁</t>
  </si>
  <si>
    <t>chuuyaaa</t>
  </si>
  <si>
    <t>天照</t>
  </si>
  <si>
    <t>X猫</t>
  </si>
  <si>
    <t>4段名人</t>
  </si>
  <si>
    <t>ライディン</t>
  </si>
  <si>
    <t>時雨桜(真)</t>
  </si>
  <si>
    <t>綾香</t>
  </si>
  <si>
    <t>トシフーニ</t>
  </si>
  <si>
    <t>一手舞</t>
  </si>
  <si>
    <t>マティーニ</t>
  </si>
  <si>
    <t>鳳拳</t>
  </si>
  <si>
    <t>安良岡花火</t>
  </si>
  <si>
    <t>心滅獣身</t>
  </si>
  <si>
    <t>奇子</t>
  </si>
  <si>
    <t>ラビット</t>
  </si>
  <si>
    <t>たかのり茶ん</t>
  </si>
  <si>
    <t>今川雷蝶</t>
  </si>
  <si>
    <t>もじら</t>
  </si>
  <si>
    <t>ゆーカエル</t>
  </si>
  <si>
    <t>ASSAMtea</t>
  </si>
  <si>
    <t>負負犬</t>
  </si>
  <si>
    <t>むきっち</t>
  </si>
  <si>
    <t>killers9</t>
  </si>
  <si>
    <t>マクシムス</t>
  </si>
  <si>
    <t>.=★=</t>
  </si>
  <si>
    <t>おじお</t>
  </si>
  <si>
    <t>夏蔭</t>
  </si>
  <si>
    <t>Sagimu</t>
  </si>
  <si>
    <t>t.s1228</t>
  </si>
  <si>
    <t>atuohata</t>
  </si>
  <si>
    <t>Minga</t>
  </si>
  <si>
    <t>サスパズレ</t>
  </si>
  <si>
    <t>ohnoyuki</t>
  </si>
  <si>
    <t>恋する惑星</t>
  </si>
  <si>
    <t>ペチョーリン</t>
  </si>
  <si>
    <t>TKC108</t>
  </si>
  <si>
    <t>keimask</t>
  </si>
  <si>
    <t>かめさん</t>
  </si>
  <si>
    <t>高坂雪穂</t>
  </si>
  <si>
    <t>え－わい</t>
  </si>
  <si>
    <t>TARKOIZU</t>
  </si>
  <si>
    <t>親友の彼氏♂</t>
  </si>
  <si>
    <t>小早川ゆたか</t>
  </si>
  <si>
    <t>格闘技と麻雀</t>
  </si>
  <si>
    <t>インザーギα</t>
  </si>
  <si>
    <t>オバケ時計</t>
  </si>
  <si>
    <t>iiichiko</t>
  </si>
  <si>
    <t>モッッッッッコス</t>
  </si>
  <si>
    <t>おーたけ</t>
  </si>
  <si>
    <t>JuneRain</t>
  </si>
  <si>
    <t>三味線審議連盟</t>
  </si>
  <si>
    <t>（∪＾ω＾）お！</t>
  </si>
  <si>
    <t>Yoshirin</t>
  </si>
  <si>
    <t>ザオリク忍</t>
  </si>
  <si>
    <t>pawa@224</t>
  </si>
  <si>
    <t>きれいなノリさん</t>
  </si>
  <si>
    <t>NANOHA</t>
  </si>
  <si>
    <t>生しらす</t>
  </si>
  <si>
    <t>miyaya</t>
  </si>
  <si>
    <t>ダボ</t>
  </si>
  <si>
    <t>リチャ!!</t>
  </si>
  <si>
    <t>桜井あゆ</t>
  </si>
  <si>
    <t>成多嘉智</t>
  </si>
  <si>
    <t>Tanpaach</t>
  </si>
  <si>
    <t>walk</t>
  </si>
  <si>
    <t>あるー</t>
  </si>
  <si>
    <t>ぬらりヒョン</t>
  </si>
  <si>
    <t>レグ座</t>
  </si>
  <si>
    <t>y-sak</t>
  </si>
  <si>
    <t>真鉄</t>
  </si>
  <si>
    <t>@らいおん</t>
  </si>
  <si>
    <t>アナトリアの傭兵</t>
  </si>
  <si>
    <t>塩コバ</t>
  </si>
  <si>
    <t>kurantan</t>
  </si>
  <si>
    <t>of</t>
  </si>
  <si>
    <t>センゴク</t>
  </si>
  <si>
    <t>fool_key</t>
  </si>
  <si>
    <t>生涯オリックス</t>
  </si>
  <si>
    <t>小松</t>
  </si>
  <si>
    <t>八色</t>
  </si>
  <si>
    <t>どきんちゃん</t>
  </si>
  <si>
    <t>マメポコ</t>
  </si>
  <si>
    <t>ゆうぴ</t>
  </si>
  <si>
    <t>のname</t>
  </si>
  <si>
    <t>otousa34</t>
  </si>
  <si>
    <t>Dr.ヤックル</t>
  </si>
  <si>
    <t>ピコちゃん</t>
  </si>
  <si>
    <t>ＧＡＭＥ</t>
  </si>
  <si>
    <t>ぎん★ぎん</t>
  </si>
  <si>
    <t>ZOOH</t>
  </si>
  <si>
    <t>@トロロ</t>
  </si>
  <si>
    <t>矢田くん</t>
  </si>
  <si>
    <t>深山藍衣</t>
  </si>
  <si>
    <t>Relm</t>
  </si>
  <si>
    <t>六分儀ゲンドウ</t>
  </si>
  <si>
    <t>霞ヶ丘詩雨</t>
  </si>
  <si>
    <t>李賀</t>
  </si>
  <si>
    <t>あずきキャラメル</t>
  </si>
  <si>
    <t>芝村矜侍</t>
  </si>
  <si>
    <t>希望に満ちた昨日</t>
  </si>
  <si>
    <t>sabixi</t>
  </si>
  <si>
    <t>きらめくパンジー</t>
  </si>
  <si>
    <t>なすび姫</t>
  </si>
  <si>
    <t>キーボードまぐろ</t>
  </si>
  <si>
    <t>minarchy</t>
  </si>
  <si>
    <t>ウヒョ助</t>
  </si>
  <si>
    <t>（有）げんたろ</t>
  </si>
  <si>
    <t>灼ちゃんきゃわわ</t>
  </si>
  <si>
    <t>炭酸＠ラス回避</t>
  </si>
  <si>
    <t>みすちょ</t>
  </si>
  <si>
    <t>〇〇おーじ</t>
  </si>
  <si>
    <t>大坪由佳ちゃん</t>
  </si>
  <si>
    <t>雀βοу</t>
  </si>
  <si>
    <t>kumapi</t>
  </si>
  <si>
    <t>カメック</t>
  </si>
  <si>
    <t>sea-man2</t>
  </si>
  <si>
    <t>まぁがりん</t>
  </si>
  <si>
    <t>中島浩太</t>
  </si>
  <si>
    <t>真エトペン</t>
  </si>
  <si>
    <t>けいすけ＠ＫＵ</t>
  </si>
  <si>
    <t>obama88</t>
  </si>
  <si>
    <t>‐はずきんぐ‐</t>
  </si>
  <si>
    <t>すず＠四麻検証</t>
  </si>
  <si>
    <t>chinmi2</t>
  </si>
  <si>
    <t>富猫トーマス</t>
  </si>
  <si>
    <t>カンチャン</t>
  </si>
  <si>
    <t>なかじ</t>
  </si>
  <si>
    <t>K-NES</t>
  </si>
  <si>
    <t>tenpane</t>
  </si>
  <si>
    <t>ホ・ジュン</t>
  </si>
  <si>
    <t>(・∀・)</t>
  </si>
  <si>
    <t>ブルーカミカゼ</t>
  </si>
  <si>
    <t>びっくる</t>
  </si>
  <si>
    <t>ラグラージ</t>
  </si>
  <si>
    <t>大楠公</t>
  </si>
  <si>
    <t>歩夢♪</t>
  </si>
  <si>
    <t>守護神NG川</t>
  </si>
  <si>
    <t>Gaku。</t>
  </si>
  <si>
    <t>kiichi</t>
  </si>
  <si>
    <t>法政大学３年</t>
  </si>
  <si>
    <t>成川姫</t>
  </si>
  <si>
    <t>Xi</t>
  </si>
  <si>
    <t>moeyashi</t>
  </si>
  <si>
    <t>せさみん♪</t>
  </si>
  <si>
    <t>卓哉</t>
  </si>
  <si>
    <t>KSMC</t>
  </si>
  <si>
    <t>若松町の暴れ馬</t>
  </si>
  <si>
    <t>しゃるぼん</t>
  </si>
  <si>
    <t>kyonko11</t>
  </si>
  <si>
    <t>ジョリー２</t>
  </si>
  <si>
    <t>ヒルナミン</t>
  </si>
  <si>
    <t>はじめっち</t>
  </si>
  <si>
    <t>Beck23</t>
  </si>
  <si>
    <t>がんりき</t>
  </si>
  <si>
    <t>きつーね</t>
  </si>
  <si>
    <t>MUKABUKI</t>
  </si>
  <si>
    <t>オキヒカル</t>
  </si>
  <si>
    <t>オス♂班長</t>
  </si>
  <si>
    <t>ネヲげろっピ</t>
  </si>
  <si>
    <t>つよがり</t>
  </si>
  <si>
    <t>ヤブウチマドカ</t>
  </si>
  <si>
    <t>CHACK</t>
  </si>
  <si>
    <t>チャイジ</t>
  </si>
  <si>
    <t>脂肪３</t>
  </si>
  <si>
    <t>HEAD</t>
  </si>
  <si>
    <t>yyooss</t>
  </si>
  <si>
    <t>フリードリヒⅡ</t>
  </si>
  <si>
    <t>いちのせほなみ</t>
  </si>
  <si>
    <t>Farah</t>
  </si>
  <si>
    <t>ねりゴマ</t>
  </si>
  <si>
    <t>jik5351k</t>
  </si>
  <si>
    <t>CNT</t>
  </si>
  <si>
    <t>あいみ</t>
  </si>
  <si>
    <t>maka-pu</t>
  </si>
  <si>
    <t>石井クンツ昌子</t>
  </si>
  <si>
    <t>ebi11</t>
  </si>
  <si>
    <t>澤村珍念</t>
  </si>
  <si>
    <t>キャバクラ幕府</t>
  </si>
  <si>
    <t>xsxc57</t>
  </si>
  <si>
    <t>かぴぱら</t>
  </si>
  <si>
    <t>コメットろん</t>
  </si>
  <si>
    <t>mochi18</t>
  </si>
  <si>
    <t>〓九条カレン〓</t>
  </si>
  <si>
    <t>勇者ロト</t>
  </si>
  <si>
    <t>fujiken</t>
  </si>
  <si>
    <t>神域の手淫伝説</t>
  </si>
  <si>
    <t>takumiso</t>
  </si>
  <si>
    <t>☆シャチハゲβ☆</t>
  </si>
  <si>
    <t>橘ワルツ</t>
  </si>
  <si>
    <t>たけこし</t>
  </si>
  <si>
    <t>赤い怪獣</t>
  </si>
  <si>
    <t>クラ</t>
  </si>
  <si>
    <t>へ悠悠紫へ</t>
  </si>
  <si>
    <t>スズヤ</t>
  </si>
  <si>
    <t>nakajuun</t>
  </si>
  <si>
    <t>チートイ短期大学</t>
  </si>
  <si>
    <t>-FIXER-</t>
  </si>
  <si>
    <t>ガルおじミキ</t>
  </si>
  <si>
    <t>柴田紅子</t>
  </si>
  <si>
    <t>億万笑者</t>
  </si>
  <si>
    <t>Tea3</t>
  </si>
  <si>
    <t>万点棒</t>
  </si>
  <si>
    <t>ちゅうれん</t>
  </si>
  <si>
    <t>ROTTEN</t>
  </si>
  <si>
    <t>ぺるるんぱ！</t>
  </si>
  <si>
    <t>その一方ないわ～</t>
  </si>
  <si>
    <t>Aka-ura</t>
  </si>
  <si>
    <t>dai1212</t>
  </si>
  <si>
    <t>狂犬</t>
  </si>
  <si>
    <t>スマホ用のやつ</t>
  </si>
  <si>
    <t>トニー♪♪</t>
  </si>
  <si>
    <t>そすう(∵)</t>
  </si>
  <si>
    <t>女なのあがらせて</t>
  </si>
  <si>
    <t>zeza13</t>
  </si>
  <si>
    <t>ラスノガレ明美</t>
  </si>
  <si>
    <t>Steins</t>
  </si>
  <si>
    <t>無為式</t>
  </si>
  <si>
    <t>pirby</t>
  </si>
  <si>
    <t>3DIME</t>
  </si>
  <si>
    <t>立直好棒@忘</t>
  </si>
  <si>
    <t>噂のきみどり</t>
  </si>
  <si>
    <t>yowaki</t>
  </si>
  <si>
    <t>1sでいいそう</t>
  </si>
  <si>
    <t>云和山的彼端</t>
  </si>
  <si>
    <t>ksksksks</t>
  </si>
  <si>
    <t>池田Y吉</t>
  </si>
  <si>
    <t>yu-rasia</t>
  </si>
  <si>
    <t>煽りんご。</t>
  </si>
  <si>
    <t>トソヌラ</t>
  </si>
  <si>
    <t>玲子</t>
  </si>
  <si>
    <t>zolta</t>
  </si>
  <si>
    <t>app</t>
  </si>
  <si>
    <t>japi0202</t>
  </si>
  <si>
    <t>烏丸さくら</t>
  </si>
  <si>
    <t>豚の王</t>
  </si>
  <si>
    <t>プロシュート</t>
  </si>
  <si>
    <t>チョビ17</t>
  </si>
  <si>
    <t>SR-KM</t>
  </si>
  <si>
    <t>司波打野</t>
  </si>
  <si>
    <t>ゼラス</t>
  </si>
  <si>
    <t>小屋の</t>
  </si>
  <si>
    <t>ウルタールの猫</t>
  </si>
  <si>
    <t>なんちくはむ</t>
  </si>
  <si>
    <t>セックルメン</t>
  </si>
  <si>
    <t>.=Jam</t>
  </si>
  <si>
    <t>孑孑</t>
  </si>
  <si>
    <t>人生ぜんつっぱ</t>
  </si>
  <si>
    <t>デルバラド</t>
  </si>
  <si>
    <t>ショート久慈</t>
  </si>
  <si>
    <t>Ezaki</t>
  </si>
  <si>
    <t>ooYUIoo</t>
  </si>
  <si>
    <t>まきのにょめ</t>
  </si>
  <si>
    <t>nnhh3939</t>
  </si>
  <si>
    <t>モンスター５</t>
  </si>
  <si>
    <t>†香花††</t>
  </si>
  <si>
    <t>チセ＠</t>
  </si>
  <si>
    <t>萌えの神</t>
  </si>
  <si>
    <t>いい笑顔</t>
  </si>
  <si>
    <t>hitoshi</t>
  </si>
  <si>
    <t>yamineko</t>
  </si>
  <si>
    <t>アメフトさん</t>
  </si>
  <si>
    <t>桔梗屋</t>
  </si>
  <si>
    <t>杉浦伊澄</t>
  </si>
  <si>
    <t>reilaha</t>
  </si>
  <si>
    <t>kamee</t>
  </si>
  <si>
    <t>北道山</t>
  </si>
  <si>
    <t>ネオンタイガー</t>
  </si>
  <si>
    <t>SE7EN-55</t>
  </si>
  <si>
    <t>SUB.</t>
  </si>
  <si>
    <t>R5</t>
  </si>
  <si>
    <t>はぐれかわいそす</t>
  </si>
  <si>
    <t>ハネムーン★河童</t>
  </si>
  <si>
    <t>清水谷竜華先輩</t>
  </si>
  <si>
    <t>三麻亭しぼり</t>
  </si>
  <si>
    <t>マオナモミ</t>
  </si>
  <si>
    <t>愛と平和と僕</t>
  </si>
  <si>
    <t>純子</t>
  </si>
  <si>
    <t>bonpuman</t>
  </si>
  <si>
    <t>トロイの木魚</t>
  </si>
  <si>
    <t>【彗星人ヒコ】</t>
  </si>
  <si>
    <t>不幸生命体</t>
  </si>
  <si>
    <t>メロン＝アモス</t>
  </si>
  <si>
    <t>fable</t>
  </si>
  <si>
    <t>リーチ！</t>
  </si>
  <si>
    <t>ZONO</t>
  </si>
  <si>
    <t>小牧愛佳</t>
  </si>
  <si>
    <t>rook</t>
  </si>
  <si>
    <t>ネームレス７</t>
  </si>
  <si>
    <t>西師</t>
  </si>
  <si>
    <t>orica</t>
  </si>
  <si>
    <t>ずっと俺のターン</t>
  </si>
  <si>
    <t>雪乃瀬麗</t>
  </si>
  <si>
    <t>チューレン</t>
  </si>
  <si>
    <t>ラブレー</t>
  </si>
  <si>
    <t>ミラヒカパパ</t>
  </si>
  <si>
    <t>くっぱ-72</t>
  </si>
  <si>
    <t>場代</t>
  </si>
  <si>
    <t>べべ.</t>
  </si>
  <si>
    <t>アニソン好き</t>
  </si>
  <si>
    <t>やよいっくま</t>
  </si>
  <si>
    <t>アウラングゼーブ</t>
  </si>
  <si>
    <t>野口大貴</t>
  </si>
  <si>
    <t>麻雀暦３日</t>
  </si>
  <si>
    <t>mitsu611</t>
  </si>
  <si>
    <t>Pearson</t>
  </si>
  <si>
    <t>鳳凰民（炭）</t>
  </si>
  <si>
    <t>どやぁ・・・</t>
  </si>
  <si>
    <t>おはDポテト</t>
  </si>
  <si>
    <t>assertiv</t>
  </si>
  <si>
    <t>@m@</t>
  </si>
  <si>
    <t>かりんさん</t>
  </si>
  <si>
    <t>チュルス</t>
  </si>
  <si>
    <t>-ron-</t>
  </si>
  <si>
    <t>上柿めぐみ</t>
  </si>
  <si>
    <t>さむらかわちの神</t>
  </si>
  <si>
    <t>Re:zawa</t>
  </si>
  <si>
    <t>軟水</t>
  </si>
  <si>
    <t>beken69</t>
  </si>
  <si>
    <t>最小公倍数</t>
  </si>
  <si>
    <t>ねむりん</t>
  </si>
  <si>
    <t>かな安定</t>
  </si>
  <si>
    <t>大坂屋</t>
  </si>
  <si>
    <t>★テクノハウス★</t>
  </si>
  <si>
    <t>里中亜矢子</t>
  </si>
  <si>
    <t>tanpatsu</t>
  </si>
  <si>
    <t>のんびりくん</t>
  </si>
  <si>
    <t>FURUYA</t>
  </si>
  <si>
    <t>あさひあさこ</t>
  </si>
  <si>
    <t>kitsf</t>
  </si>
  <si>
    <t>ゴンゾメス大内</t>
  </si>
  <si>
    <t>A石橋</t>
  </si>
  <si>
    <t>春香P</t>
  </si>
  <si>
    <t>ステッリカー</t>
  </si>
  <si>
    <t>ち'んぽっぽ</t>
  </si>
  <si>
    <t>周防天音</t>
  </si>
  <si>
    <t>(ま＾ω＾㌔)ん</t>
  </si>
  <si>
    <t>牌の音色</t>
  </si>
  <si>
    <t>naga</t>
  </si>
  <si>
    <t>魔射蹴</t>
  </si>
  <si>
    <t>束子</t>
  </si>
  <si>
    <t>＠若林</t>
  </si>
  <si>
    <t>バロテッリ</t>
  </si>
  <si>
    <t>カラスの子</t>
  </si>
  <si>
    <t>sodor</t>
  </si>
  <si>
    <t>触手ドリル</t>
  </si>
  <si>
    <t>七ツ星ホクサイ</t>
  </si>
  <si>
    <t>ttohoku</t>
  </si>
  <si>
    <t>とりしゃお</t>
  </si>
  <si>
    <t>ぶすごま３号</t>
  </si>
  <si>
    <t>ぴこりんOZ</t>
  </si>
  <si>
    <t>MR.BIG</t>
  </si>
  <si>
    <t>ryu115</t>
  </si>
  <si>
    <t>サブアラド</t>
  </si>
  <si>
    <t>ぞえきち</t>
  </si>
  <si>
    <t>まつにゃん</t>
  </si>
  <si>
    <t>ニセ明</t>
  </si>
  <si>
    <t>tabikake</t>
  </si>
  <si>
    <t>カツオ武士</t>
  </si>
  <si>
    <t>okjm</t>
  </si>
  <si>
    <t>neutron</t>
  </si>
  <si>
    <t>星野ポテト</t>
  </si>
  <si>
    <t>rak3</t>
  </si>
  <si>
    <t>moku0123</t>
  </si>
  <si>
    <t>オド</t>
  </si>
  <si>
    <t>みっつぃ～</t>
  </si>
  <si>
    <t>哀雛田</t>
  </si>
  <si>
    <t>TLIC03</t>
  </si>
  <si>
    <t>火星のゴキブリ</t>
  </si>
  <si>
    <t>観る将</t>
  </si>
  <si>
    <t>スワジランド人</t>
  </si>
  <si>
    <t>takayyyy</t>
  </si>
  <si>
    <t>とらりん</t>
  </si>
  <si>
    <t>スーニ</t>
  </si>
  <si>
    <t>佐々木寿人P</t>
  </si>
  <si>
    <t>わが名はどらどら</t>
  </si>
  <si>
    <t>タケヤマ</t>
  </si>
  <si>
    <t>浮雲男</t>
  </si>
  <si>
    <t>ミス北千住</t>
  </si>
  <si>
    <t>PIXI</t>
  </si>
  <si>
    <t>大玉将</t>
  </si>
  <si>
    <t>SoftBank</t>
  </si>
  <si>
    <t>銀時計</t>
  </si>
  <si>
    <t>唐揚大好き</t>
  </si>
  <si>
    <t>杏杏</t>
  </si>
  <si>
    <t>egisho2</t>
  </si>
  <si>
    <t>逆鱗くん</t>
  </si>
  <si>
    <t>rvp</t>
  </si>
  <si>
    <t>モティ</t>
  </si>
  <si>
    <t>たっけすん</t>
  </si>
  <si>
    <t>(#＞ω＜)</t>
  </si>
  <si>
    <t>寸ちゃん</t>
  </si>
  <si>
    <t>mochiズキ</t>
  </si>
  <si>
    <t>シュウマイ</t>
  </si>
  <si>
    <t>お前弱い</t>
  </si>
  <si>
    <t>タ～坊</t>
  </si>
  <si>
    <t>しゃとん</t>
  </si>
  <si>
    <t>コットン05</t>
  </si>
  <si>
    <t>神風てぃっしゅ</t>
  </si>
  <si>
    <t>baraado</t>
  </si>
  <si>
    <t>x三國健次郎x</t>
  </si>
  <si>
    <t>株つらい</t>
  </si>
  <si>
    <t>tugami</t>
  </si>
  <si>
    <t>ジョジョディオ</t>
  </si>
  <si>
    <t>北九州市</t>
  </si>
  <si>
    <t>PEACE10</t>
  </si>
  <si>
    <t>だめぽ</t>
  </si>
  <si>
    <t>アリアリ君</t>
  </si>
  <si>
    <t>kautama</t>
  </si>
  <si>
    <t>木村☆領</t>
  </si>
  <si>
    <t>gahaha7</t>
  </si>
  <si>
    <t>白黒神</t>
  </si>
  <si>
    <t>CRAZYRAT</t>
  </si>
  <si>
    <t>就活生@川村軍団</t>
  </si>
  <si>
    <t>為太郎</t>
  </si>
  <si>
    <t>G-net</t>
  </si>
  <si>
    <t>tuukai3</t>
  </si>
  <si>
    <t>好形先生</t>
  </si>
  <si>
    <t>ノーベル街道</t>
  </si>
  <si>
    <t>siseigak</t>
  </si>
  <si>
    <t>53万の人</t>
  </si>
  <si>
    <t>ふりなたα</t>
  </si>
  <si>
    <t>中途半端</t>
  </si>
  <si>
    <t>絹旗最愛</t>
  </si>
  <si>
    <t>チキンピラフ</t>
  </si>
  <si>
    <t>ウェル</t>
  </si>
  <si>
    <t>☆真風☆</t>
  </si>
  <si>
    <t>つくねん</t>
  </si>
  <si>
    <t>kenken2</t>
  </si>
  <si>
    <t>傀.</t>
  </si>
  <si>
    <t>手役アーティスト</t>
  </si>
  <si>
    <t>ビンカン</t>
  </si>
  <si>
    <t>トーマサ</t>
  </si>
  <si>
    <t>月友</t>
  </si>
  <si>
    <t>遊馬17</t>
  </si>
  <si>
    <t>Syu2</t>
  </si>
  <si>
    <t>アトミック福岡</t>
  </si>
  <si>
    <t>森山茂和</t>
  </si>
  <si>
    <t>海棠</t>
  </si>
  <si>
    <t>ひめすぅゆいもあ</t>
  </si>
  <si>
    <t>すいか＠</t>
  </si>
  <si>
    <t>神詠古都</t>
  </si>
  <si>
    <t>ピカチュウくん</t>
  </si>
  <si>
    <t>ミクロ</t>
  </si>
  <si>
    <t>普通の打ち手</t>
  </si>
  <si>
    <t>kamosuke</t>
  </si>
  <si>
    <t>charlie7</t>
  </si>
  <si>
    <t>ヨーデル食べ放題</t>
  </si>
  <si>
    <t>長谷川唯</t>
  </si>
  <si>
    <t>あらがきあやせ</t>
  </si>
  <si>
    <t>ただの藁人形</t>
  </si>
  <si>
    <t>振り込み100%</t>
  </si>
  <si>
    <t>雲淡風清</t>
  </si>
  <si>
    <t>コウコウ</t>
  </si>
  <si>
    <t>虎狼丸</t>
  </si>
  <si>
    <t>璃々花</t>
  </si>
  <si>
    <t>BrBa</t>
  </si>
  <si>
    <t>凛宙</t>
  </si>
  <si>
    <t>サンマ道楽の人</t>
  </si>
  <si>
    <t>ナイルパーチ</t>
  </si>
  <si>
    <t>キムカッファン</t>
  </si>
  <si>
    <t>すずき＋</t>
  </si>
  <si>
    <t>freedman</t>
  </si>
  <si>
    <t>ガンジー</t>
  </si>
  <si>
    <t>shokola2</t>
  </si>
  <si>
    <t>RVTIT</t>
  </si>
  <si>
    <t>hyu-i</t>
  </si>
  <si>
    <t>人生残り千点</t>
  </si>
  <si>
    <t>栗田恭宏</t>
  </si>
  <si>
    <t>あいかわきずな</t>
  </si>
  <si>
    <t>kanaghoh</t>
  </si>
  <si>
    <t>べーこんごはん</t>
  </si>
  <si>
    <t>hrking</t>
  </si>
  <si>
    <t>置傘</t>
  </si>
  <si>
    <t>赤坂圭</t>
  </si>
  <si>
    <t>teamoran</t>
  </si>
  <si>
    <t>ogarush</t>
  </si>
  <si>
    <t>らんどくん</t>
  </si>
  <si>
    <t>ponyo2</t>
  </si>
  <si>
    <t>ゆるふわ</t>
  </si>
  <si>
    <t>パタパタ</t>
  </si>
  <si>
    <t>ピンフこそ至高</t>
  </si>
  <si>
    <t>fujiken2</t>
  </si>
  <si>
    <t>ラストメッセージ</t>
  </si>
  <si>
    <t>ハリボテ大将</t>
  </si>
  <si>
    <t>犬侍</t>
  </si>
  <si>
    <t>Lindskog</t>
  </si>
  <si>
    <t>SB26</t>
  </si>
  <si>
    <t>弁天</t>
  </si>
  <si>
    <t>夏じん</t>
  </si>
  <si>
    <t>黒mara</t>
  </si>
  <si>
    <t>kurotomo</t>
  </si>
  <si>
    <t>プレスプ</t>
  </si>
  <si>
    <t>ドイル</t>
  </si>
  <si>
    <t>ほぼ面前</t>
  </si>
  <si>
    <t>かわやー</t>
  </si>
  <si>
    <t>jump-up</t>
  </si>
  <si>
    <t>kojimon9</t>
  </si>
  <si>
    <t>b.owl</t>
  </si>
  <si>
    <t>オーラスの向う側</t>
  </si>
  <si>
    <t>桑原保彦</t>
  </si>
  <si>
    <t>ダマテン</t>
  </si>
  <si>
    <t>梅莉</t>
  </si>
  <si>
    <t>武</t>
  </si>
  <si>
    <t>Rapunzel</t>
  </si>
  <si>
    <t>(ゆ´ω｀ゆ)</t>
  </si>
  <si>
    <t>7yyyyyy</t>
  </si>
  <si>
    <t>nick.</t>
  </si>
  <si>
    <t>まっつ</t>
  </si>
  <si>
    <t>よしぞー</t>
  </si>
  <si>
    <t>tk88</t>
  </si>
  <si>
    <t>アビコ</t>
  </si>
  <si>
    <t>人型電脳放銃機</t>
  </si>
  <si>
    <t>kokushia</t>
  </si>
  <si>
    <t>シンクアロング</t>
  </si>
  <si>
    <t>杏杏の最弱弟子</t>
  </si>
  <si>
    <t>守備ダルマ</t>
  </si>
  <si>
    <t>ゴミクズ七段</t>
  </si>
  <si>
    <t>seastory</t>
  </si>
  <si>
    <t>ぬるまゆ</t>
  </si>
  <si>
    <t>カツオだお</t>
  </si>
  <si>
    <t>pincers</t>
  </si>
  <si>
    <t>凡将</t>
  </si>
  <si>
    <t>Clio</t>
  </si>
  <si>
    <t>うはちぃ</t>
  </si>
  <si>
    <t>自称最強雀士３</t>
  </si>
  <si>
    <t>アスタナ</t>
  </si>
  <si>
    <t>赤ドンちゃん</t>
  </si>
  <si>
    <t>伏虎</t>
  </si>
  <si>
    <t>misaki5</t>
  </si>
  <si>
    <t>楽勝！</t>
  </si>
  <si>
    <t>homodati</t>
  </si>
  <si>
    <t>メカバルタン</t>
  </si>
  <si>
    <t>彼女欲しいよ</t>
  </si>
  <si>
    <t>ghq@sub</t>
  </si>
  <si>
    <t>ATMのATM</t>
  </si>
  <si>
    <t>newたけこぞう</t>
  </si>
  <si>
    <t>あんでぃ</t>
  </si>
  <si>
    <t>lakuchi</t>
  </si>
  <si>
    <t>☆どっこい☆</t>
  </si>
  <si>
    <t>ヨッチ</t>
  </si>
  <si>
    <t>harookie</t>
  </si>
  <si>
    <t>加治木・ゆみ</t>
  </si>
  <si>
    <t>だめのすけ</t>
  </si>
  <si>
    <t>oisyo</t>
  </si>
  <si>
    <t>しちみ</t>
  </si>
  <si>
    <t>生肉ですよ</t>
  </si>
  <si>
    <t>メルク</t>
  </si>
  <si>
    <t>あいだて</t>
  </si>
  <si>
    <t>ぽーんdeリング</t>
  </si>
  <si>
    <t>白い粉</t>
  </si>
  <si>
    <t>アイマール21</t>
  </si>
  <si>
    <t>危脳丸</t>
  </si>
  <si>
    <t>Mkrtr</t>
  </si>
  <si>
    <t>目標Ｒ２１００♪</t>
  </si>
  <si>
    <t>Martos</t>
  </si>
  <si>
    <t>沖２９</t>
  </si>
  <si>
    <t>光帝タキオン</t>
  </si>
  <si>
    <t>ゼンツァーフォー</t>
  </si>
  <si>
    <t>片瀬那奈</t>
  </si>
  <si>
    <t>愛宕ネキ。</t>
  </si>
  <si>
    <t>call3</t>
  </si>
  <si>
    <t>五ひゃぐえん</t>
  </si>
  <si>
    <t>麻雀世界</t>
  </si>
  <si>
    <t>gaina</t>
  </si>
  <si>
    <t>ちくわ君</t>
  </si>
  <si>
    <t>xnhoxo</t>
  </si>
  <si>
    <t>般卓民たいが</t>
  </si>
  <si>
    <t>たけおくん</t>
  </si>
  <si>
    <t>yuitty</t>
  </si>
  <si>
    <t>哀愁漂う背中</t>
  </si>
  <si>
    <t>善子</t>
  </si>
  <si>
    <t>Zen</t>
  </si>
  <si>
    <t>そっと。</t>
  </si>
  <si>
    <t>ふくろうさん</t>
  </si>
  <si>
    <t>牌子</t>
  </si>
  <si>
    <t>風車の絵理子</t>
  </si>
  <si>
    <t>二番底</t>
  </si>
  <si>
    <t>自由</t>
  </si>
  <si>
    <t>tpmxmde</t>
  </si>
  <si>
    <t>zuboshi</t>
  </si>
  <si>
    <t>＠</t>
  </si>
  <si>
    <t>門前のねこ</t>
  </si>
  <si>
    <t>白猫エル</t>
  </si>
  <si>
    <t>ハゴ★河童</t>
  </si>
  <si>
    <t>からだにピース</t>
  </si>
  <si>
    <t>チロロ軍曹</t>
  </si>
  <si>
    <t>シャーリプトラ</t>
  </si>
  <si>
    <t>朴龍守</t>
  </si>
  <si>
    <t>サボ</t>
  </si>
  <si>
    <t>gihren</t>
  </si>
  <si>
    <t>ツレオ</t>
  </si>
  <si>
    <t>波乗り鵜</t>
  </si>
  <si>
    <t>何で？</t>
  </si>
  <si>
    <t>PORITAN</t>
  </si>
  <si>
    <t>seasui</t>
  </si>
  <si>
    <t>てんとうくろー</t>
  </si>
  <si>
    <t>ピンズ三兄弟</t>
  </si>
  <si>
    <t>MF香川真司</t>
  </si>
  <si>
    <t>高円寺の健</t>
  </si>
  <si>
    <t>フォズ</t>
  </si>
  <si>
    <t>藤堂要</t>
  </si>
  <si>
    <t>炭@杏杏軍団</t>
  </si>
  <si>
    <t>裸ジャージ</t>
  </si>
  <si>
    <t>みかんサムライ</t>
  </si>
  <si>
    <t>aibi</t>
  </si>
  <si>
    <t>召喚スイッチ</t>
  </si>
  <si>
    <t>ラッキードッグ</t>
  </si>
  <si>
    <t>一年の気持ち</t>
  </si>
  <si>
    <t>hickey</t>
  </si>
  <si>
    <t>ＭＡＶＥＲＩＣＫ</t>
  </si>
  <si>
    <t>麻雀伝道師</t>
  </si>
  <si>
    <t>YOU往MY進!</t>
  </si>
  <si>
    <t>辰巳翠</t>
  </si>
  <si>
    <t>現実逃避</t>
  </si>
  <si>
    <t>☆神威☆</t>
  </si>
  <si>
    <t>D-CHAMP</t>
  </si>
  <si>
    <t>ふぁんでるさーる</t>
  </si>
  <si>
    <t>青い獅子</t>
  </si>
  <si>
    <t>七段R2064</t>
  </si>
  <si>
    <t>Mr.Sun</t>
  </si>
  <si>
    <t>とり(ё)さん</t>
  </si>
  <si>
    <t>ゾーマ派</t>
  </si>
  <si>
    <t>ごまちゃん66</t>
  </si>
  <si>
    <t>senurl</t>
  </si>
  <si>
    <t>vpknight</t>
  </si>
  <si>
    <t>@ken@</t>
  </si>
  <si>
    <t>令和をん</t>
  </si>
  <si>
    <t>masasio</t>
  </si>
  <si>
    <t>らくだ０１０９</t>
  </si>
  <si>
    <t>あい☆まい★みー</t>
  </si>
  <si>
    <t>夢咲楓</t>
  </si>
  <si>
    <t>SELECT*</t>
  </si>
  <si>
    <t>hidemori</t>
  </si>
  <si>
    <t>哲学する麻雀</t>
  </si>
  <si>
    <t>モメンマスティフ</t>
  </si>
  <si>
    <t>飛行機雲</t>
  </si>
  <si>
    <t>小ライス</t>
  </si>
  <si>
    <t>セイバ一</t>
  </si>
  <si>
    <t>(・．・)</t>
  </si>
  <si>
    <t>破幻</t>
  </si>
  <si>
    <t>ufo_</t>
  </si>
  <si>
    <t>えがわりお</t>
  </si>
  <si>
    <t>あらたそ</t>
  </si>
  <si>
    <t>片岡優季</t>
  </si>
  <si>
    <t>ルル参上</t>
  </si>
  <si>
    <t>アーキョ</t>
  </si>
  <si>
    <t>いちごポッキー</t>
  </si>
  <si>
    <t>生きててよかった</t>
  </si>
  <si>
    <t>五月の風</t>
  </si>
  <si>
    <t>AGF</t>
  </si>
  <si>
    <t>つちのこ千葉</t>
  </si>
  <si>
    <t>まつゆき</t>
  </si>
  <si>
    <t>じゅんジロウ</t>
  </si>
  <si>
    <t>たまごのおじさん</t>
  </si>
  <si>
    <t>Death</t>
  </si>
  <si>
    <t>でんつう</t>
  </si>
  <si>
    <t>kazz-k</t>
  </si>
  <si>
    <t>doooowy1</t>
  </si>
  <si>
    <t>波流</t>
  </si>
  <si>
    <t>青ベガ</t>
  </si>
  <si>
    <t>nepero</t>
  </si>
  <si>
    <t>root!</t>
  </si>
  <si>
    <t>sin1125</t>
  </si>
  <si>
    <t>斧乃木余接</t>
  </si>
  <si>
    <t>FlashBox</t>
  </si>
  <si>
    <t>暴水は役満帝</t>
  </si>
  <si>
    <t>あたし疲れた</t>
  </si>
  <si>
    <t>ざりがにちゃん</t>
  </si>
  <si>
    <t>たかひろ＊研究館</t>
  </si>
  <si>
    <t>紅い瞳の武丸</t>
  </si>
  <si>
    <t>AV代理</t>
  </si>
  <si>
    <t>メランコリニスタ</t>
  </si>
  <si>
    <t>ruice</t>
  </si>
  <si>
    <t>ゆきさん。</t>
  </si>
  <si>
    <t>アヒルツルギー</t>
  </si>
  <si>
    <t>torika2</t>
  </si>
  <si>
    <t>komapia</t>
  </si>
  <si>
    <t>critter</t>
  </si>
  <si>
    <t>銀行員</t>
  </si>
  <si>
    <t>seiyajp5</t>
  </si>
  <si>
    <t>ライム☆</t>
  </si>
  <si>
    <t>冬馬春希</t>
  </si>
  <si>
    <t>シロクロ</t>
  </si>
  <si>
    <t>なこ</t>
  </si>
  <si>
    <t>owari-</t>
  </si>
  <si>
    <t>お洒落は我慢</t>
  </si>
  <si>
    <t>番長コパンダ</t>
  </si>
  <si>
    <t>なべちゃんっ</t>
  </si>
  <si>
    <t>ksk1887</t>
  </si>
  <si>
    <t>kyon910</t>
  </si>
  <si>
    <t>麻雀の扉</t>
  </si>
  <si>
    <t>戦闘員＠川村軍団</t>
  </si>
  <si>
    <t>tca00</t>
  </si>
  <si>
    <t>noprops</t>
  </si>
  <si>
    <t>まいぽん</t>
  </si>
  <si>
    <t>げんたろ</t>
  </si>
  <si>
    <t>Hidden</t>
  </si>
  <si>
    <t>Qoo坊</t>
  </si>
  <si>
    <t>ほえらー</t>
  </si>
  <si>
    <t>TEN31</t>
  </si>
  <si>
    <t>妹の事愛してます</t>
  </si>
  <si>
    <t>あっオワリました</t>
  </si>
  <si>
    <t>kensyoen</t>
  </si>
  <si>
    <t>菊地真ちゃん！！</t>
  </si>
  <si>
    <t>いもけんp</t>
  </si>
  <si>
    <t>みどっこ太郎</t>
  </si>
  <si>
    <t>ハチュナ</t>
  </si>
  <si>
    <t>もーりー</t>
  </si>
  <si>
    <t>fujiboku</t>
  </si>
  <si>
    <t>ミラクルおじさん</t>
  </si>
  <si>
    <t>hazard</t>
  </si>
  <si>
    <t>veterina</t>
  </si>
  <si>
    <t>麺単品1</t>
  </si>
  <si>
    <t>ピンクのいぼいぼ</t>
  </si>
  <si>
    <t>クッパ裏</t>
  </si>
  <si>
    <t>gomanori</t>
  </si>
  <si>
    <t>たまころ</t>
  </si>
  <si>
    <t>まるごとメロン</t>
  </si>
  <si>
    <t>taketomi</t>
  </si>
  <si>
    <t>一四四</t>
  </si>
  <si>
    <t>mkoji</t>
  </si>
  <si>
    <t>てんてこ狐</t>
  </si>
  <si>
    <t>ranu-</t>
  </si>
  <si>
    <t>あっぷる☆</t>
  </si>
  <si>
    <t>miyuki</t>
  </si>
  <si>
    <t>柏木ひなた</t>
  </si>
  <si>
    <t>champ</t>
  </si>
  <si>
    <t>我が牌はねこ</t>
  </si>
  <si>
    <t>丑嶋馨</t>
  </si>
  <si>
    <t>恋文</t>
  </si>
  <si>
    <t>暇暇暇忙暇暇暇</t>
  </si>
  <si>
    <t>泥んこバッシー</t>
  </si>
  <si>
    <t>篠原聖良@</t>
  </si>
  <si>
    <t>九丈ヤス</t>
  </si>
  <si>
    <t>moboan</t>
  </si>
  <si>
    <t>はなまるき</t>
  </si>
  <si>
    <t>ホンダさん</t>
  </si>
  <si>
    <t>くにひこまる</t>
  </si>
  <si>
    <t>Kanako_</t>
  </si>
  <si>
    <t>のこきのこ</t>
  </si>
  <si>
    <t>zxctcsx</t>
  </si>
  <si>
    <t>@ranpart</t>
  </si>
  <si>
    <t>シャープル</t>
  </si>
  <si>
    <t>ピラオ</t>
  </si>
  <si>
    <t>ラウールⅡ</t>
  </si>
  <si>
    <t>でこじ</t>
  </si>
  <si>
    <t>馬車馬2.1</t>
  </si>
  <si>
    <t>cardin</t>
  </si>
  <si>
    <t>無限月読</t>
  </si>
  <si>
    <t>本田透</t>
  </si>
  <si>
    <t>見当かなみ</t>
  </si>
  <si>
    <t>レッドスピネル</t>
  </si>
  <si>
    <t>@docomo</t>
  </si>
  <si>
    <t>こーじ！</t>
  </si>
  <si>
    <t>ねぇ</t>
  </si>
  <si>
    <t>ESPANIA</t>
  </si>
  <si>
    <t>くーまもん</t>
  </si>
  <si>
    <t>黒猫@night</t>
  </si>
  <si>
    <t>Garak</t>
  </si>
  <si>
    <t>久兵衛</t>
  </si>
  <si>
    <t>紅色みかん</t>
  </si>
  <si>
    <t>yu619zi</t>
  </si>
  <si>
    <t>ラガヴーリン2</t>
  </si>
  <si>
    <t>生者必滅の理</t>
  </si>
  <si>
    <t>家長むぎ</t>
  </si>
  <si>
    <t>(蛙・`ω・´)</t>
  </si>
  <si>
    <t>narururu</t>
  </si>
  <si>
    <t>たけこぞー</t>
  </si>
  <si>
    <t>シャキオニ</t>
  </si>
  <si>
    <t>素養の塊</t>
  </si>
  <si>
    <t>あんにんぷりん</t>
  </si>
  <si>
    <t>ミストラル★</t>
  </si>
  <si>
    <t>飛べない魚３</t>
  </si>
  <si>
    <t>kjazz3</t>
  </si>
  <si>
    <t>まーくざいん</t>
  </si>
  <si>
    <t>たっぴー</t>
  </si>
  <si>
    <t>姫野永遠</t>
  </si>
  <si>
    <t>純米フレンズ</t>
  </si>
  <si>
    <t>あっきーな</t>
  </si>
  <si>
    <t>Iceman</t>
  </si>
  <si>
    <t>水城恵利＠雀姫</t>
  </si>
  <si>
    <t>小枝</t>
  </si>
  <si>
    <t>でん⑥</t>
  </si>
  <si>
    <t>みかん＠わかめて</t>
  </si>
  <si>
    <t>赤裏ホシーノ</t>
  </si>
  <si>
    <t>れぃら</t>
  </si>
  <si>
    <t>いえもんまるち</t>
  </si>
  <si>
    <t>チバユウスケ</t>
  </si>
  <si>
    <t>ging1117</t>
  </si>
  <si>
    <t>玄米</t>
  </si>
  <si>
    <t>Magia</t>
  </si>
  <si>
    <t>雲山</t>
  </si>
  <si>
    <t>kota＠kan</t>
  </si>
  <si>
    <t>スカーレット</t>
  </si>
  <si>
    <t>yujiko</t>
  </si>
  <si>
    <t>完腐脳</t>
  </si>
  <si>
    <t>蛙王国革命軍</t>
  </si>
  <si>
    <t>吠える彡☆</t>
  </si>
  <si>
    <t>にょろーん試作機</t>
  </si>
  <si>
    <t>林スタイル</t>
  </si>
  <si>
    <t>dsz</t>
  </si>
  <si>
    <t>Vladimir</t>
  </si>
  <si>
    <t>赤の女神</t>
  </si>
  <si>
    <t>猫まっぷたつ</t>
  </si>
  <si>
    <t>マナブ零</t>
  </si>
  <si>
    <t>Soliton</t>
  </si>
  <si>
    <t>kemu</t>
  </si>
  <si>
    <t>yuui0527</t>
  </si>
  <si>
    <t>akaaka</t>
  </si>
  <si>
    <t>kozaking</t>
  </si>
  <si>
    <t>シュマイケル</t>
  </si>
  <si>
    <t>二階堂真紅</t>
  </si>
  <si>
    <t>イ゛ッちゃん</t>
  </si>
  <si>
    <t>野田ペニ夫</t>
  </si>
  <si>
    <t>〓小見川千明〓</t>
  </si>
  <si>
    <t>ぬくもり</t>
  </si>
  <si>
    <t>CAROL</t>
  </si>
  <si>
    <t>sivitri</t>
  </si>
  <si>
    <t>ips戦士</t>
  </si>
  <si>
    <t>Poirot</t>
  </si>
  <si>
    <t>舜太郎</t>
  </si>
  <si>
    <t>AQUA</t>
  </si>
  <si>
    <t>ゲオルゲハジ94</t>
  </si>
  <si>
    <t>ゆう堕天使</t>
  </si>
  <si>
    <t>dight119</t>
  </si>
  <si>
    <t>むとぅー</t>
  </si>
  <si>
    <t>トーカッター</t>
  </si>
  <si>
    <t>★風林火山★</t>
  </si>
  <si>
    <t>paruo11</t>
  </si>
  <si>
    <t>a31848</t>
  </si>
  <si>
    <t>最強雀士の意地</t>
  </si>
  <si>
    <t>kw_gifu</t>
  </si>
  <si>
    <t>紅美鈴★</t>
  </si>
  <si>
    <t>日曜日よりの使者</t>
  </si>
  <si>
    <t>マキャモン</t>
  </si>
  <si>
    <t>ラスト垢</t>
  </si>
  <si>
    <t>伊藤千佳</t>
  </si>
  <si>
    <t>ななみんご</t>
  </si>
  <si>
    <t>Derek</t>
  </si>
  <si>
    <t>Nekosky</t>
  </si>
  <si>
    <t>小鳥遊＠空</t>
  </si>
  <si>
    <t>digital8</t>
  </si>
  <si>
    <t>koollook</t>
  </si>
  <si>
    <t>素朴な味わい</t>
  </si>
  <si>
    <t>オレンジセカンド</t>
  </si>
  <si>
    <t>裁きの龍</t>
  </si>
  <si>
    <t>Zuttaka</t>
  </si>
  <si>
    <t>gush</t>
  </si>
  <si>
    <t>無毛猫＠川村軍団</t>
  </si>
  <si>
    <t>トニー★彡</t>
  </si>
  <si>
    <t>さっちも</t>
  </si>
  <si>
    <t>billytok</t>
  </si>
  <si>
    <t>ティカ-γ</t>
  </si>
  <si>
    <t>夏川まゆり</t>
  </si>
  <si>
    <t>Bショコラ</t>
  </si>
  <si>
    <t>デデキント</t>
  </si>
  <si>
    <t>やめてけれ</t>
  </si>
  <si>
    <t>あつあつ湯豆腐</t>
  </si>
  <si>
    <t>みうら</t>
  </si>
  <si>
    <t>tan3uki</t>
  </si>
  <si>
    <t>宇宙物理</t>
  </si>
  <si>
    <t>かんろ</t>
  </si>
  <si>
    <t>ロッソ</t>
  </si>
  <si>
    <t>鶴戸平小</t>
  </si>
  <si>
    <t>いいいいいいいい</t>
  </si>
  <si>
    <t>柳如是</t>
  </si>
  <si>
    <t>天神鳳位</t>
  </si>
  <si>
    <t>.ポッチ</t>
  </si>
  <si>
    <t>A.K9mec</t>
  </si>
  <si>
    <t>かじそ</t>
  </si>
  <si>
    <t>しらたま</t>
  </si>
  <si>
    <t>朝がまた来る</t>
  </si>
  <si>
    <t>ぽむ☆☆</t>
  </si>
  <si>
    <t>（－ｗ－）</t>
  </si>
  <si>
    <t>よしぎ</t>
  </si>
  <si>
    <t>雪緒</t>
  </si>
  <si>
    <t>ドジャース</t>
  </si>
  <si>
    <t>次は法廷で会おう</t>
  </si>
  <si>
    <t>アラバスタ</t>
  </si>
  <si>
    <t>anby3</t>
  </si>
  <si>
    <t>NAOTO</t>
  </si>
  <si>
    <t>月刊少牌野崎くん</t>
  </si>
  <si>
    <t>tamitami</t>
  </si>
  <si>
    <t>マック04</t>
  </si>
  <si>
    <t>Kissei</t>
  </si>
  <si>
    <t>ドブネズミ</t>
  </si>
  <si>
    <t>ゆっきゅん</t>
  </si>
  <si>
    <t>ナグルファル</t>
  </si>
  <si>
    <t>aquarius</t>
  </si>
  <si>
    <t>?&gt;*\+:&amp;</t>
  </si>
  <si>
    <t>小阪ちひろ</t>
  </si>
  <si>
    <t>ふもあ</t>
  </si>
  <si>
    <t>sigo45ch</t>
  </si>
  <si>
    <t>橘ありす</t>
  </si>
  <si>
    <t>†straw†</t>
  </si>
  <si>
    <t>ドラキュラ系男子</t>
  </si>
  <si>
    <t>しゅうー。</t>
  </si>
  <si>
    <t>月ミ照☆</t>
  </si>
  <si>
    <t>Dexic</t>
  </si>
  <si>
    <t>高橋良太</t>
  </si>
  <si>
    <t>MDSy</t>
  </si>
  <si>
    <t>ラニ</t>
  </si>
  <si>
    <t>Tokuchi</t>
  </si>
  <si>
    <t>夢色memory</t>
  </si>
  <si>
    <t>スティア</t>
  </si>
  <si>
    <t>なっきり</t>
  </si>
  <si>
    <t>japi00</t>
  </si>
  <si>
    <t>レグリス</t>
  </si>
  <si>
    <t>kuper</t>
  </si>
  <si>
    <t>言葉と物</t>
  </si>
  <si>
    <t>krym</t>
  </si>
  <si>
    <t>いたヒロ</t>
  </si>
  <si>
    <t>jduhgry2</t>
  </si>
  <si>
    <t>大河内希望</t>
  </si>
  <si>
    <t>白霊夢</t>
  </si>
  <si>
    <t>自由なあひる</t>
  </si>
  <si>
    <t>点草独歩</t>
  </si>
  <si>
    <t>大正義野球娘</t>
  </si>
  <si>
    <t>村元プロ（仮）</t>
  </si>
  <si>
    <t>toShiro</t>
  </si>
  <si>
    <t>okaeri</t>
  </si>
  <si>
    <t>SINANO</t>
  </si>
  <si>
    <t>水星X</t>
  </si>
  <si>
    <t>損をする</t>
  </si>
  <si>
    <t>hisaton6</t>
  </si>
  <si>
    <t>巣作りドラゴン</t>
  </si>
  <si>
    <t>陣八</t>
  </si>
  <si>
    <t>フレイムタン</t>
  </si>
  <si>
    <t>俺達炎上族</t>
  </si>
  <si>
    <t>キムK</t>
  </si>
  <si>
    <t>ばごーん</t>
  </si>
  <si>
    <t>クロノス@</t>
  </si>
  <si>
    <t>にゅーS</t>
  </si>
  <si>
    <t>晴れのち桜</t>
  </si>
  <si>
    <t>マクロベータ</t>
  </si>
  <si>
    <t>とんかつ食べた</t>
  </si>
  <si>
    <t>東風神Yuuki</t>
  </si>
  <si>
    <t>DexM</t>
  </si>
  <si>
    <t>矢部君</t>
  </si>
  <si>
    <t>とある猫</t>
  </si>
  <si>
    <t>jecht</t>
  </si>
  <si>
    <t>瀬尾晶</t>
  </si>
  <si>
    <t>ハンマーの中の人</t>
  </si>
  <si>
    <t>虎獅くん</t>
  </si>
  <si>
    <t>suzume3</t>
  </si>
  <si>
    <t>楓香</t>
  </si>
  <si>
    <t>†シャルロット</t>
  </si>
  <si>
    <t>オナ２</t>
  </si>
  <si>
    <t>みえネコ</t>
  </si>
  <si>
    <t>yamata</t>
  </si>
  <si>
    <t>takahir@</t>
  </si>
  <si>
    <t>どやどや159</t>
  </si>
  <si>
    <t>ekarute</t>
  </si>
  <si>
    <t>夢幻秦</t>
  </si>
  <si>
    <t>ポンちゃん☆</t>
  </si>
  <si>
    <t>chimosy</t>
  </si>
  <si>
    <t>しどー</t>
  </si>
  <si>
    <t>コボちゃん</t>
  </si>
  <si>
    <t>ul虎</t>
  </si>
  <si>
    <t>sinica</t>
  </si>
  <si>
    <t>klbst88</t>
  </si>
  <si>
    <t>ガラクタ帝王</t>
  </si>
  <si>
    <t>Remmy691</t>
  </si>
  <si>
    <t>たいし</t>
  </si>
  <si>
    <t>ゴマ</t>
  </si>
  <si>
    <t>Dorako</t>
  </si>
  <si>
    <t>実妹</t>
  </si>
  <si>
    <t>ろーそん鹿島</t>
  </si>
  <si>
    <t>綾瀬奈都希</t>
  </si>
  <si>
    <t>CHANCE!</t>
  </si>
  <si>
    <t>guang</t>
  </si>
  <si>
    <t>五葉さん</t>
  </si>
  <si>
    <t>Arcueid1</t>
  </si>
  <si>
    <t>yalpha</t>
  </si>
  <si>
    <t>激動の神無月</t>
  </si>
  <si>
    <t>ナガヤマ</t>
  </si>
  <si>
    <t>tura</t>
  </si>
  <si>
    <t>Marice</t>
  </si>
  <si>
    <t>ドッペルコップ</t>
  </si>
  <si>
    <t>本物女子高生</t>
  </si>
  <si>
    <t>ねじまき鳥∮</t>
  </si>
  <si>
    <t>zazazaza</t>
  </si>
  <si>
    <t>ex泰然型</t>
  </si>
  <si>
    <t>グンダリー</t>
  </si>
  <si>
    <t>Tボーンステーキ</t>
  </si>
  <si>
    <t>めっち＠ニコ生</t>
  </si>
  <si>
    <t>レジェんぐ</t>
  </si>
  <si>
    <t>ヌアクショット</t>
  </si>
  <si>
    <t>ドームの職人</t>
  </si>
  <si>
    <t>アヴニールの住人</t>
  </si>
  <si>
    <t>紳士の嗜みたいむ</t>
  </si>
  <si>
    <t>hi</t>
  </si>
  <si>
    <t>青鳳無我</t>
  </si>
  <si>
    <t>☆卓上の独裁者☆</t>
  </si>
  <si>
    <t>水海智光</t>
  </si>
  <si>
    <t>mjハル</t>
  </si>
  <si>
    <t>やめてけれ４</t>
  </si>
  <si>
    <t>♪ウサギ♪</t>
  </si>
  <si>
    <t>アルデンテ</t>
  </si>
  <si>
    <t>コーラください</t>
  </si>
  <si>
    <t>アルテミス</t>
  </si>
  <si>
    <t>sinononu</t>
  </si>
  <si>
    <t>ふわふわまりも</t>
  </si>
  <si>
    <t>monokea</t>
  </si>
  <si>
    <t>zzyy</t>
  </si>
  <si>
    <t>.原村和.</t>
  </si>
  <si>
    <t>yj-cheki</t>
  </si>
  <si>
    <t>C</t>
  </si>
  <si>
    <t>おまつり</t>
  </si>
  <si>
    <t>チュッパチャプス</t>
  </si>
  <si>
    <t>エルキチ</t>
  </si>
  <si>
    <t>amaika</t>
  </si>
  <si>
    <t>shockman</t>
  </si>
  <si>
    <t>MaxiM</t>
  </si>
  <si>
    <t>VaNo</t>
  </si>
  <si>
    <t>ゴンゴンダンス</t>
  </si>
  <si>
    <t>清々しい放銃</t>
  </si>
  <si>
    <t>山下ダイスケ</t>
  </si>
  <si>
    <t>#Silver</t>
  </si>
  <si>
    <t>白百合古酒</t>
  </si>
  <si>
    <t>ざわわん</t>
  </si>
  <si>
    <t>やめてよしお</t>
  </si>
  <si>
    <t>角煮モード</t>
  </si>
  <si>
    <t>安眠マクラ</t>
  </si>
  <si>
    <t>HA-RU</t>
  </si>
  <si>
    <t>継花三澄☆</t>
  </si>
  <si>
    <t>Gladius+</t>
  </si>
  <si>
    <t>C-ビック</t>
  </si>
  <si>
    <t>Ryao</t>
  </si>
  <si>
    <t>つきのねこ</t>
  </si>
  <si>
    <t>諸葛亮</t>
  </si>
  <si>
    <t>piyoemon</t>
  </si>
  <si>
    <t>まりぷぅのファン</t>
  </si>
  <si>
    <t>メキロス</t>
  </si>
  <si>
    <t>kamoshin</t>
  </si>
  <si>
    <t>コマツの酒</t>
  </si>
  <si>
    <t>ひま娘</t>
  </si>
  <si>
    <t>木村カエラ</t>
  </si>
  <si>
    <t>sunabaku</t>
  </si>
  <si>
    <t>マルチスレッド</t>
  </si>
  <si>
    <t>光りもの親方</t>
  </si>
  <si>
    <t>六部圭</t>
  </si>
  <si>
    <t>millreef</t>
  </si>
  <si>
    <t>英国売却</t>
  </si>
  <si>
    <t>うにゅほ！</t>
  </si>
  <si>
    <t>さるとら</t>
  </si>
  <si>
    <t>KoH</t>
  </si>
  <si>
    <t>もきもきもっき</t>
  </si>
  <si>
    <t>麻雀たのし</t>
  </si>
  <si>
    <t>田所きらい</t>
  </si>
  <si>
    <t>アイスてぃー</t>
  </si>
  <si>
    <t>藤原とうふ店</t>
  </si>
  <si>
    <t>liebe</t>
  </si>
  <si>
    <t>ポッツ</t>
  </si>
  <si>
    <t>onemore</t>
  </si>
  <si>
    <t>dearuka</t>
  </si>
  <si>
    <t>二挺拳銃</t>
  </si>
  <si>
    <t>試練ノ龍・改</t>
  </si>
  <si>
    <t>とっこーちゃん</t>
  </si>
  <si>
    <t>ひぐち</t>
  </si>
  <si>
    <t>〝shin</t>
  </si>
  <si>
    <t>G雀</t>
  </si>
  <si>
    <t>白紙委任状</t>
  </si>
  <si>
    <t>Remember</t>
  </si>
  <si>
    <t>西野七瀬</t>
  </si>
  <si>
    <t>ケイテン・トラズ</t>
  </si>
  <si>
    <t>IWAPIN</t>
  </si>
  <si>
    <t>riouchan</t>
  </si>
  <si>
    <t>akibaban</t>
  </si>
  <si>
    <t>ぱるこし</t>
  </si>
  <si>
    <t>知将</t>
  </si>
  <si>
    <t>のどごし〈生〉</t>
  </si>
  <si>
    <t>電気工事屋</t>
  </si>
  <si>
    <t>エスカルゴン</t>
  </si>
  <si>
    <t>どうでしよう</t>
  </si>
  <si>
    <t>7fukujin</t>
  </si>
  <si>
    <t>清張</t>
  </si>
  <si>
    <t>sho3010</t>
  </si>
  <si>
    <t>nabesi</t>
  </si>
  <si>
    <t>H.zin</t>
  </si>
  <si>
    <t>木花咲耶姫</t>
  </si>
  <si>
    <t>健全理系男児</t>
  </si>
  <si>
    <t>akuled</t>
  </si>
  <si>
    <t>北風ダンゴ</t>
  </si>
  <si>
    <t>呉育郎</t>
  </si>
  <si>
    <t>なんでもナーミン</t>
  </si>
  <si>
    <t>t4c422</t>
  </si>
  <si>
    <t>風紀委員長なとり</t>
  </si>
  <si>
    <t>沙羅野王花</t>
  </si>
  <si>
    <t>＝どらがし＝</t>
  </si>
  <si>
    <t>神託ノ妖術師</t>
  </si>
  <si>
    <t>オッパオ</t>
  </si>
  <si>
    <t>完全感覚D</t>
  </si>
  <si>
    <t>けつねこ</t>
  </si>
  <si>
    <t>因幡の黄兎</t>
  </si>
  <si>
    <t>31jin</t>
  </si>
  <si>
    <t>zhouyi</t>
  </si>
  <si>
    <t>ヒメ</t>
  </si>
  <si>
    <t>りもこん</t>
  </si>
  <si>
    <t>Ａ＆Ｇ</t>
  </si>
  <si>
    <t>にょ</t>
  </si>
  <si>
    <t>info123</t>
  </si>
  <si>
    <t>Tifosi</t>
  </si>
  <si>
    <t>naguasd</t>
  </si>
  <si>
    <t>Tー市村</t>
  </si>
  <si>
    <t>量産型ネコ型ロボ</t>
  </si>
  <si>
    <t>麻雀超初心者</t>
  </si>
  <si>
    <t>天江らいむ</t>
  </si>
  <si>
    <t>〓はやさか〓</t>
  </si>
  <si>
    <t>Nymph</t>
  </si>
  <si>
    <t>あおいにゃん</t>
  </si>
  <si>
    <t>ロードカナロア</t>
  </si>
  <si>
    <t>jill</t>
  </si>
  <si>
    <t>(Γ・ω・)Γ</t>
  </si>
  <si>
    <t>【nesta】</t>
  </si>
  <si>
    <t>封神★すず</t>
  </si>
  <si>
    <t>neko31</t>
  </si>
  <si>
    <t>ビタミンの夏V2</t>
  </si>
  <si>
    <t>白髪鬼</t>
  </si>
  <si>
    <t>°Д°@汪汪軍團</t>
  </si>
  <si>
    <t>ペチョーリンチー</t>
  </si>
  <si>
    <t>風来のてつん</t>
  </si>
  <si>
    <t>にくきゅう@@</t>
  </si>
  <si>
    <t>ケロンパス</t>
  </si>
  <si>
    <t>ミヒャエル</t>
  </si>
  <si>
    <t>たん壺大阪</t>
  </si>
  <si>
    <t>bangard</t>
  </si>
  <si>
    <t>仲川翔</t>
  </si>
  <si>
    <t>シュウゾウ先生</t>
  </si>
  <si>
    <t>↑この人変態</t>
  </si>
  <si>
    <t>orange33</t>
  </si>
  <si>
    <t>Leonardo</t>
  </si>
  <si>
    <t>Voldor</t>
  </si>
  <si>
    <t>ひっぴー</t>
  </si>
  <si>
    <t>SPさはら</t>
  </si>
  <si>
    <t>しゃくじー</t>
  </si>
  <si>
    <t>shoes</t>
  </si>
  <si>
    <t>嵌張の下村</t>
  </si>
  <si>
    <t>Jigzag</t>
  </si>
  <si>
    <t>zeldina</t>
  </si>
  <si>
    <t>3WARI</t>
  </si>
  <si>
    <t>blessed</t>
  </si>
  <si>
    <t>mindmap</t>
  </si>
  <si>
    <t>ピカ様</t>
  </si>
  <si>
    <t>しまだま</t>
  </si>
  <si>
    <t>トボトボ・・・・</t>
  </si>
  <si>
    <t>fuji</t>
  </si>
  <si>
    <t>you777</t>
  </si>
  <si>
    <t>NISHIの弟子</t>
  </si>
  <si>
    <t>Drawdown</t>
  </si>
  <si>
    <t>adson</t>
  </si>
  <si>
    <t>NanoNano</t>
  </si>
  <si>
    <t>我妻由乃</t>
  </si>
  <si>
    <t>やめてけれ５</t>
  </si>
  <si>
    <t>カザラキ</t>
  </si>
  <si>
    <t>スマ</t>
  </si>
  <si>
    <t>白夜凜音</t>
  </si>
  <si>
    <t>FCPTK</t>
  </si>
  <si>
    <t>・歌舞伎町・</t>
  </si>
  <si>
    <t>Noie</t>
  </si>
  <si>
    <t>かき</t>
  </si>
  <si>
    <t>doooowy</t>
  </si>
  <si>
    <t>HIBIKIN</t>
  </si>
  <si>
    <t>♯みや♯</t>
  </si>
  <si>
    <t>リスッチ</t>
  </si>
  <si>
    <t>het</t>
  </si>
  <si>
    <t>erogreen</t>
  </si>
  <si>
    <t>熱烈歓迎蛇者</t>
  </si>
  <si>
    <t>Dingo</t>
  </si>
  <si>
    <t>リョオ</t>
  </si>
  <si>
    <t>らりくま</t>
  </si>
  <si>
    <t>天女ちゃん*⌒☆</t>
  </si>
  <si>
    <t>くっすん</t>
  </si>
  <si>
    <t>連刻</t>
  </si>
  <si>
    <t>真かにマジン</t>
  </si>
  <si>
    <t>Saiba</t>
  </si>
  <si>
    <t>しょこしょこ</t>
  </si>
  <si>
    <t>えーちゃん</t>
  </si>
  <si>
    <t>琴浦春香</t>
  </si>
  <si>
    <t>NEZU77</t>
  </si>
  <si>
    <t>湊の釣師</t>
  </si>
  <si>
    <t>AMIO</t>
  </si>
  <si>
    <t>ひ</t>
  </si>
  <si>
    <t>DSC</t>
  </si>
  <si>
    <t>kantuu</t>
  </si>
  <si>
    <t>茨城北HAZ</t>
  </si>
  <si>
    <t>（∪＾ω＾)☆</t>
  </si>
  <si>
    <t>ぽんこつ阿賀野姉</t>
  </si>
  <si>
    <t>嶺上閉花</t>
  </si>
  <si>
    <t>及川冰麗</t>
  </si>
  <si>
    <t>俺と妖夢</t>
  </si>
  <si>
    <t>庭に埴輪＠</t>
  </si>
  <si>
    <t>浩宮</t>
  </si>
  <si>
    <t>よろめきGTI</t>
  </si>
  <si>
    <t>毛原毛一</t>
  </si>
  <si>
    <t>ミトフクロウ</t>
  </si>
  <si>
    <t>roussea</t>
  </si>
  <si>
    <t>ボコボコなっちょ</t>
  </si>
  <si>
    <t>斉須莉玖</t>
  </si>
  <si>
    <t>ぱみゅの愚息</t>
  </si>
  <si>
    <t>CP03</t>
  </si>
  <si>
    <t>操</t>
  </si>
  <si>
    <t>倫理</t>
  </si>
  <si>
    <t>いいぞ</t>
  </si>
  <si>
    <t>zhai</t>
  </si>
  <si>
    <t>Calkan</t>
  </si>
  <si>
    <t>Tiefa</t>
  </si>
  <si>
    <t>白河香織</t>
  </si>
  <si>
    <t>チップコレクター</t>
  </si>
  <si>
    <t>akaaaaa</t>
  </si>
  <si>
    <t>taka-116</t>
  </si>
  <si>
    <t>ジェリー・マウス</t>
  </si>
  <si>
    <t>鉄貞</t>
  </si>
  <si>
    <t>円筒</t>
  </si>
  <si>
    <t>（＊＞＜）</t>
  </si>
  <si>
    <t>ritsuca＊</t>
  </si>
  <si>
    <t>Amulet</t>
  </si>
  <si>
    <t>coa</t>
  </si>
  <si>
    <t>盗賊</t>
  </si>
  <si>
    <t>【上埜久】</t>
  </si>
  <si>
    <t>お妙＠ごえてぃあ</t>
  </si>
  <si>
    <t>せもべんて</t>
  </si>
  <si>
    <t>鯉に恋</t>
  </si>
  <si>
    <t>麦子tz</t>
  </si>
  <si>
    <t>ognus99</t>
  </si>
  <si>
    <t>くくみん</t>
  </si>
  <si>
    <t>なるとさん</t>
  </si>
  <si>
    <t>wata3510</t>
  </si>
  <si>
    <t>GYM</t>
  </si>
  <si>
    <t>365歩</t>
  </si>
  <si>
    <t>rurine</t>
  </si>
  <si>
    <t>santana3</t>
  </si>
  <si>
    <t>3年間木暮公延⑤</t>
  </si>
  <si>
    <t>びんびん</t>
  </si>
  <si>
    <t>current</t>
  </si>
  <si>
    <t>もんじゃ</t>
  </si>
  <si>
    <t>hikaru22</t>
  </si>
  <si>
    <t>でこのふ</t>
  </si>
  <si>
    <t>魚雷教信者</t>
  </si>
  <si>
    <t>SSRころもん</t>
  </si>
  <si>
    <t>まっちゃ</t>
  </si>
  <si>
    <t>銀色いがぐり</t>
  </si>
  <si>
    <t>いちぞう</t>
  </si>
  <si>
    <t>PUYOPOP</t>
  </si>
  <si>
    <t>G.Y.M</t>
  </si>
  <si>
    <t>改悛一号</t>
  </si>
  <si>
    <t>魅せられない麻雀</t>
  </si>
  <si>
    <t>ビチャ山ビチャ男</t>
  </si>
  <si>
    <t>hayatti@</t>
  </si>
  <si>
    <t>氷柱</t>
  </si>
  <si>
    <t>蓮山</t>
  </si>
  <si>
    <t>竜騎士</t>
  </si>
  <si>
    <t>ザブングル</t>
  </si>
  <si>
    <t>Cipher</t>
  </si>
  <si>
    <t>poteti</t>
  </si>
  <si>
    <t>二階堂瑠美の使者</t>
  </si>
  <si>
    <t>Jan-Mach</t>
  </si>
  <si>
    <t>僕らの味方ゾンビ</t>
  </si>
  <si>
    <t>gayuny</t>
  </si>
  <si>
    <t>narajinn</t>
  </si>
  <si>
    <t>田中☆星人</t>
  </si>
  <si>
    <t>pamera</t>
  </si>
  <si>
    <t>87sef</t>
  </si>
  <si>
    <t>牧場の少女</t>
  </si>
  <si>
    <t>塩音ルト</t>
  </si>
  <si>
    <t>よこ@c</t>
  </si>
  <si>
    <t>ruly0208</t>
  </si>
  <si>
    <t>あっきーにゃん</t>
  </si>
  <si>
    <t>ロンブー１号</t>
  </si>
  <si>
    <t>ため息</t>
  </si>
  <si>
    <t>あだつ</t>
  </si>
  <si>
    <t>竹野郎☆</t>
  </si>
  <si>
    <t>てちよ</t>
  </si>
  <si>
    <t>SHISUKE</t>
  </si>
  <si>
    <t>apopoi</t>
  </si>
  <si>
    <t>保下帆夏</t>
  </si>
  <si>
    <t>倉橋＠事務</t>
  </si>
  <si>
    <t>Gurenn</t>
  </si>
  <si>
    <t>みさお</t>
  </si>
  <si>
    <t>つぼみ。</t>
  </si>
  <si>
    <t>けん1970</t>
  </si>
  <si>
    <t>もじゃもじゃ</t>
  </si>
  <si>
    <t>シハラ2</t>
  </si>
  <si>
    <t>humany</t>
  </si>
  <si>
    <t>40過ぎのニート</t>
  </si>
  <si>
    <t>ロンより証拠</t>
  </si>
  <si>
    <t>やまかい</t>
  </si>
  <si>
    <t>花伝</t>
  </si>
  <si>
    <t>ブッパ神</t>
  </si>
  <si>
    <t>matigusa</t>
  </si>
  <si>
    <t>grat</t>
  </si>
  <si>
    <t>リ７リ２</t>
  </si>
  <si>
    <t>mouw</t>
  </si>
  <si>
    <t>釘宮病患者</t>
  </si>
  <si>
    <t>ねお・じゃっきー</t>
  </si>
  <si>
    <t>各務月巳</t>
  </si>
  <si>
    <t>三味線十段</t>
  </si>
  <si>
    <t>hagy0630</t>
  </si>
  <si>
    <t>youalpha</t>
  </si>
  <si>
    <t>鬼口まこと</t>
  </si>
  <si>
    <t>ばじるんるん</t>
  </si>
  <si>
    <t>東風ぱいん</t>
  </si>
  <si>
    <t>灼眼のイッコウ</t>
  </si>
  <si>
    <t>しょーたろ</t>
  </si>
  <si>
    <t>HACOO</t>
  </si>
  <si>
    <t>Ｗａｌｌｙ</t>
  </si>
  <si>
    <t>双子のピングー@</t>
  </si>
  <si>
    <t>ユニシロ</t>
  </si>
  <si>
    <t>はじめ一郎</t>
  </si>
  <si>
    <t>ルアゴイフ</t>
  </si>
  <si>
    <t>至如信モノ</t>
  </si>
  <si>
    <t>Jimney</t>
  </si>
  <si>
    <t>長山大樹</t>
  </si>
  <si>
    <t>★愛彩★</t>
  </si>
  <si>
    <t>DQ3</t>
  </si>
  <si>
    <t>阿修羅佳奈</t>
  </si>
  <si>
    <t>Kohei</t>
  </si>
  <si>
    <t>ほしきゅー++</t>
  </si>
  <si>
    <t>売られた花嫁</t>
  </si>
  <si>
    <t>よつば</t>
  </si>
  <si>
    <t>bigkuma</t>
  </si>
  <si>
    <t>バッタ獣王位森２</t>
  </si>
  <si>
    <t>神火</t>
  </si>
  <si>
    <t>雪ノ下雪乃</t>
  </si>
  <si>
    <t>絶対にゆるさない</t>
  </si>
  <si>
    <t>なっち</t>
  </si>
  <si>
    <t>ArmaYoko</t>
  </si>
  <si>
    <t>幻影の音</t>
  </si>
  <si>
    <t>嫌んなった</t>
  </si>
  <si>
    <t>呂姫</t>
  </si>
  <si>
    <t>えく＠zero</t>
  </si>
  <si>
    <t>真面目</t>
  </si>
  <si>
    <t>カメックス</t>
  </si>
  <si>
    <t>INTよん?</t>
  </si>
  <si>
    <t>劣化レプリカ</t>
  </si>
  <si>
    <t>めんどい</t>
  </si>
  <si>
    <t>jon太郎</t>
  </si>
  <si>
    <t>れんたる</t>
  </si>
  <si>
    <t>CRダンチ</t>
  </si>
  <si>
    <t>トラヴィス</t>
  </si>
  <si>
    <t>二鳥修一</t>
  </si>
  <si>
    <t>Ｗチーズケーキ</t>
  </si>
  <si>
    <t>えんぺらー</t>
  </si>
  <si>
    <t>☆タキオン★</t>
  </si>
  <si>
    <t>cgf54858</t>
  </si>
  <si>
    <t>ARIALOVE</t>
  </si>
  <si>
    <t>ピィ810</t>
  </si>
  <si>
    <t>isakuya</t>
  </si>
  <si>
    <t>にむへい</t>
  </si>
  <si>
    <t>雀極のへ</t>
  </si>
  <si>
    <t>木春由乃</t>
  </si>
  <si>
    <t>しけいしゅう</t>
  </si>
  <si>
    <t>フィロソフィア</t>
  </si>
  <si>
    <t>飛沫</t>
  </si>
  <si>
    <t>笛</t>
  </si>
  <si>
    <t>curetape</t>
  </si>
  <si>
    <t>てる</t>
  </si>
  <si>
    <t>arumu</t>
  </si>
  <si>
    <t>エルドラド</t>
  </si>
  <si>
    <t>Dasuke</t>
  </si>
  <si>
    <t>ハイブリッド雀士</t>
  </si>
  <si>
    <t>やしろちゃん</t>
  </si>
  <si>
    <t>放銃時裏乗率六割</t>
  </si>
  <si>
    <t>詩暢</t>
  </si>
  <si>
    <t>tsumo</t>
  </si>
  <si>
    <t>ぬるり++</t>
  </si>
  <si>
    <t>mouse</t>
  </si>
  <si>
    <t>Anteros</t>
  </si>
  <si>
    <t>南倍南５５</t>
  </si>
  <si>
    <t>並みの竜</t>
  </si>
  <si>
    <t>masy</t>
  </si>
  <si>
    <t>のぶのぶ</t>
  </si>
  <si>
    <t>御子柴玲亜</t>
  </si>
  <si>
    <t>倖花</t>
  </si>
  <si>
    <t>蒼鴉</t>
  </si>
  <si>
    <t>ルーシアのように</t>
  </si>
  <si>
    <t>～原村和～</t>
  </si>
  <si>
    <t>なんとかの弟子</t>
  </si>
  <si>
    <t>デンエン</t>
  </si>
  <si>
    <t>richiko</t>
  </si>
  <si>
    <t>呉富春</t>
  </si>
  <si>
    <t>とどが</t>
  </si>
  <si>
    <t>ラキラキ</t>
  </si>
  <si>
    <t>暢一</t>
  </si>
  <si>
    <t>ウィドゥ＠阪神</t>
  </si>
  <si>
    <t>durrrrr</t>
  </si>
  <si>
    <t>nacomaii</t>
  </si>
  <si>
    <t>ミツイ</t>
  </si>
  <si>
    <t>こーめーさん2号</t>
  </si>
  <si>
    <t>kadukii</t>
  </si>
  <si>
    <t>２５８豆だま</t>
  </si>
  <si>
    <t>tototaro</t>
  </si>
  <si>
    <t>KUZU</t>
  </si>
  <si>
    <t>ワンワン大作戦</t>
  </si>
  <si>
    <t>トバゾ</t>
  </si>
  <si>
    <t>logicals</t>
  </si>
  <si>
    <t>southern</t>
  </si>
  <si>
    <t>自堕落大学院生</t>
  </si>
  <si>
    <t>のびしろ♂</t>
  </si>
  <si>
    <t>ナキマーゼ</t>
  </si>
  <si>
    <t>パーソウつも</t>
  </si>
  <si>
    <t>Rスラッグ</t>
  </si>
  <si>
    <t>タゲッツ兄</t>
  </si>
  <si>
    <t>KD＠川村軍団</t>
  </si>
  <si>
    <t>勇人</t>
  </si>
  <si>
    <t>豊田真奈美</t>
  </si>
  <si>
    <t>yurakun</t>
  </si>
  <si>
    <t>どすこい正一</t>
  </si>
  <si>
    <t>蛙の王様</t>
  </si>
  <si>
    <t>なかぞーー</t>
  </si>
  <si>
    <t>どらぁぽん</t>
  </si>
  <si>
    <t>凱章</t>
  </si>
  <si>
    <t>キング☆スター</t>
  </si>
  <si>
    <t>ぷにぷに♪♪</t>
  </si>
  <si>
    <t>宇佐みみ</t>
  </si>
  <si>
    <t>あんじぇ</t>
  </si>
  <si>
    <t>丸戸信者</t>
  </si>
  <si>
    <t>ツーシーム</t>
  </si>
  <si>
    <t>muunn</t>
  </si>
  <si>
    <t>フランツ卿</t>
  </si>
  <si>
    <t>石塚</t>
  </si>
  <si>
    <t>良知</t>
  </si>
  <si>
    <t>fland2</t>
  </si>
  <si>
    <t>DE-TEIU</t>
  </si>
  <si>
    <t>あに～☆</t>
  </si>
  <si>
    <t>k.kurumi</t>
  </si>
  <si>
    <t>ぶっとびカード</t>
  </si>
  <si>
    <t>G3-とまと</t>
  </si>
  <si>
    <t>〇しみりょう〇</t>
  </si>
  <si>
    <t>korotann</t>
  </si>
  <si>
    <t>プロジャン氏</t>
  </si>
  <si>
    <t>飛羽愛歌</t>
  </si>
  <si>
    <t>GINKO</t>
  </si>
  <si>
    <t>wiiiin</t>
  </si>
  <si>
    <t>桜庭大地</t>
  </si>
  <si>
    <t>成瀬澪</t>
  </si>
  <si>
    <t>たまねぎ剣士</t>
  </si>
  <si>
    <t>gni</t>
  </si>
  <si>
    <t>オリない夫</t>
  </si>
  <si>
    <t>ロッテ雀＄改</t>
  </si>
  <si>
    <t>幽霊船</t>
  </si>
  <si>
    <t>テンプラ</t>
  </si>
  <si>
    <t>tau0408</t>
  </si>
  <si>
    <t>あまねー</t>
  </si>
  <si>
    <t>橋場</t>
  </si>
  <si>
    <t>ひよこプリティー</t>
  </si>
  <si>
    <t>有明ありあ</t>
  </si>
  <si>
    <t>かぼちゃぼ</t>
  </si>
  <si>
    <t>Matyui☆</t>
  </si>
  <si>
    <t>Tokida</t>
  </si>
  <si>
    <t>白藤杏子</t>
  </si>
  <si>
    <t>kota_sak</t>
  </si>
  <si>
    <t>s@satake</t>
  </si>
  <si>
    <t>jinkai</t>
  </si>
  <si>
    <t>関根オウム</t>
  </si>
  <si>
    <t>がちゅう</t>
  </si>
  <si>
    <t>te@rs</t>
  </si>
  <si>
    <t>かわらさん。</t>
  </si>
  <si>
    <t>みんなで大明槓</t>
  </si>
  <si>
    <t>完全無敵少女EX</t>
  </si>
  <si>
    <t>だんく</t>
  </si>
  <si>
    <t>zeal∬</t>
  </si>
  <si>
    <t>清野</t>
  </si>
  <si>
    <t>水野愛</t>
  </si>
  <si>
    <t>ako</t>
  </si>
  <si>
    <t>届かない恋</t>
  </si>
  <si>
    <t>KRereeeN</t>
  </si>
  <si>
    <t>ベタ降りします</t>
  </si>
  <si>
    <t>HogeNull</t>
  </si>
  <si>
    <t>o西園寺自重o</t>
  </si>
  <si>
    <t>ぱえりあ(本物)</t>
  </si>
  <si>
    <t>鳳凰星座</t>
  </si>
  <si>
    <t>JACSAnge</t>
  </si>
  <si>
    <t>南雲in七零</t>
  </si>
  <si>
    <t>森下未散＠鳳凰</t>
  </si>
  <si>
    <t>麻雀練習生</t>
  </si>
  <si>
    <t>たんやお厨</t>
  </si>
  <si>
    <t>ラーショ大好き</t>
  </si>
  <si>
    <t>危険遊具</t>
  </si>
  <si>
    <t>あちょー</t>
  </si>
  <si>
    <t>aroe5.</t>
  </si>
  <si>
    <t>番犬君</t>
  </si>
  <si>
    <t>船見結衣ちゃん</t>
  </si>
  <si>
    <t>闇サトシ</t>
  </si>
  <si>
    <t>ヒとシ</t>
  </si>
  <si>
    <t>ハス太</t>
  </si>
  <si>
    <t>godai</t>
  </si>
  <si>
    <t>双葉立直</t>
  </si>
  <si>
    <t>空気読み</t>
  </si>
  <si>
    <t>がおー</t>
  </si>
  <si>
    <t>さらせすいちゅな</t>
  </si>
  <si>
    <t>たる</t>
  </si>
  <si>
    <t>石野真子</t>
  </si>
  <si>
    <t>どきゅんちゃん</t>
  </si>
  <si>
    <t>梅人</t>
  </si>
  <si>
    <t>McClane.</t>
  </si>
  <si>
    <t>じまのり</t>
  </si>
  <si>
    <t>たんゆう</t>
  </si>
  <si>
    <t>大胆にダイタ</t>
  </si>
  <si>
    <t>怜神tt</t>
  </si>
  <si>
    <t>マックス!</t>
  </si>
  <si>
    <t>ｆｆｇ</t>
  </si>
  <si>
    <t>とみたける</t>
  </si>
  <si>
    <t>裕美子</t>
  </si>
  <si>
    <t>倍損すずき</t>
  </si>
  <si>
    <t>mitaka85</t>
  </si>
  <si>
    <t>Gleemax</t>
  </si>
  <si>
    <t>えるたそ</t>
  </si>
  <si>
    <t>搾精管理機構</t>
  </si>
  <si>
    <t>へむへむ２号</t>
  </si>
  <si>
    <t>my</t>
  </si>
  <si>
    <t>(*´3｀*)</t>
  </si>
  <si>
    <t>ま～ず♪☆</t>
  </si>
  <si>
    <t>メンピン</t>
  </si>
  <si>
    <t>ぞるーた</t>
  </si>
  <si>
    <t>ダイアグラム麻雀</t>
  </si>
  <si>
    <t>ぼら</t>
  </si>
  <si>
    <t>化野</t>
  </si>
  <si>
    <t>おわおわり</t>
  </si>
  <si>
    <t>krr</t>
  </si>
  <si>
    <t>すないぽ</t>
  </si>
  <si>
    <t>ドラックキング</t>
  </si>
  <si>
    <t>牛馬</t>
  </si>
  <si>
    <t>(´・с_・｀)</t>
  </si>
  <si>
    <t>しのはらえりか</t>
  </si>
  <si>
    <t>麦とホップ</t>
  </si>
  <si>
    <t>右脳詰め</t>
  </si>
  <si>
    <t>シュタルク</t>
  </si>
  <si>
    <t>水無灯里(AC)</t>
  </si>
  <si>
    <t>uratama</t>
  </si>
  <si>
    <t>摺り足の加藤</t>
  </si>
  <si>
    <t>さく坊</t>
  </si>
  <si>
    <t>陸奥雀士ＡＩＲ</t>
  </si>
  <si>
    <t>domesu16</t>
  </si>
  <si>
    <t>Yasu7</t>
  </si>
  <si>
    <t>おじさん</t>
  </si>
  <si>
    <t>yumicchi</t>
  </si>
  <si>
    <t>ひなびたキノコ</t>
  </si>
  <si>
    <t>(￣(工)￣)</t>
  </si>
  <si>
    <t>ナムサーン！</t>
  </si>
  <si>
    <t>ニャリポン</t>
  </si>
  <si>
    <t>メフェナムⅢ</t>
  </si>
  <si>
    <t>木枯らしん</t>
  </si>
  <si>
    <t>Kirche</t>
  </si>
  <si>
    <t>niconto</t>
  </si>
  <si>
    <t>まみねこ</t>
  </si>
  <si>
    <t>ふたば</t>
  </si>
  <si>
    <t>nage7</t>
  </si>
  <si>
    <t>uyguygui</t>
  </si>
  <si>
    <t>tanaKa</t>
  </si>
  <si>
    <t>Akira*</t>
  </si>
  <si>
    <t>rader</t>
  </si>
  <si>
    <t>うるるさらら</t>
  </si>
  <si>
    <t>abcdcdab</t>
  </si>
  <si>
    <t>茂手もて夫</t>
  </si>
  <si>
    <t>T-Low</t>
  </si>
  <si>
    <t>石動乃絵</t>
  </si>
  <si>
    <t>ヴぁにらあいす</t>
  </si>
  <si>
    <t>綾瀬市民</t>
  </si>
  <si>
    <t>DdR_Dan</t>
  </si>
  <si>
    <t>まろばし</t>
  </si>
  <si>
    <t>福地誠@るん軍団</t>
  </si>
  <si>
    <t>DJR</t>
  </si>
  <si>
    <t>アビさん</t>
  </si>
  <si>
    <t>立直後即放銃</t>
  </si>
  <si>
    <t>夢喰い</t>
  </si>
  <si>
    <t>超獣ＧＩＧＡ</t>
  </si>
  <si>
    <t>行動るるる。</t>
  </si>
  <si>
    <t>水本ゆかり</t>
  </si>
  <si>
    <t>涙の理由</t>
  </si>
  <si>
    <t>ドラ１２０％</t>
  </si>
  <si>
    <t>ケンヂ☆</t>
  </si>
  <si>
    <t>ファンファーレ</t>
  </si>
  <si>
    <t>木下誠一</t>
  </si>
  <si>
    <t>下家はゲイ</t>
  </si>
  <si>
    <t>charhime</t>
  </si>
  <si>
    <t>緑のランプ</t>
  </si>
  <si>
    <t>きゃしゃーの！</t>
  </si>
  <si>
    <t>zeky</t>
  </si>
  <si>
    <t>日坂菜乃</t>
  </si>
  <si>
    <t>レバニラレバ</t>
  </si>
  <si>
    <t>チャオタイガー</t>
  </si>
  <si>
    <t>魔奴化</t>
  </si>
  <si>
    <t>inazo</t>
  </si>
  <si>
    <t>沢村ともきー</t>
  </si>
  <si>
    <t>ナカマスティフ</t>
  </si>
  <si>
    <t>☆nao☆</t>
  </si>
  <si>
    <t>なな☆だまＢ</t>
  </si>
  <si>
    <t>八王子</t>
  </si>
  <si>
    <t>ぬんだぬん・ω・</t>
  </si>
  <si>
    <t>himiyo</t>
  </si>
  <si>
    <t>松明</t>
  </si>
  <si>
    <t>六槓</t>
  </si>
  <si>
    <t>てぃーおー</t>
  </si>
  <si>
    <t>zima0412</t>
  </si>
  <si>
    <t>rite</t>
  </si>
  <si>
    <t>鳩りゅうさん</t>
  </si>
  <si>
    <t>amasimak</t>
  </si>
  <si>
    <t>猫鍋</t>
  </si>
  <si>
    <t>ロメオ</t>
  </si>
  <si>
    <t>キレそう</t>
  </si>
  <si>
    <t>Niel</t>
  </si>
  <si>
    <t>北條すず</t>
  </si>
  <si>
    <t>神様ごっこ</t>
  </si>
  <si>
    <t>嫌いじゃないわ！</t>
  </si>
  <si>
    <t>rabiel</t>
  </si>
  <si>
    <t>西垣誠一</t>
  </si>
  <si>
    <t>鈴木千秋</t>
  </si>
  <si>
    <t>★風の谷★</t>
  </si>
  <si>
    <t>GЁЙIUS</t>
  </si>
  <si>
    <t>次元干渉</t>
  </si>
  <si>
    <t>[march]</t>
  </si>
  <si>
    <t>メタルはまっち☆</t>
  </si>
  <si>
    <t>胃と腸</t>
  </si>
  <si>
    <t>まきし(本垢1)</t>
  </si>
  <si>
    <t>織衛</t>
  </si>
  <si>
    <t>地獄</t>
  </si>
  <si>
    <t>ruuruu</t>
  </si>
  <si>
    <t>新生くさりん</t>
  </si>
  <si>
    <t>穴井我聞</t>
  </si>
  <si>
    <t>真冬の向日葵</t>
  </si>
  <si>
    <t>mizuyou</t>
  </si>
  <si>
    <t>TLkey</t>
  </si>
  <si>
    <t>見習いウサギ</t>
  </si>
  <si>
    <t>kairyu91</t>
  </si>
  <si>
    <t>潮さい</t>
  </si>
  <si>
    <t>MACOTO</t>
  </si>
  <si>
    <t>CFTK_AG</t>
  </si>
  <si>
    <t>戰艦レ級</t>
  </si>
  <si>
    <t>ポンドル</t>
  </si>
  <si>
    <t>リョウケイ</t>
  </si>
  <si>
    <t>kou3284</t>
  </si>
  <si>
    <t>@@中村豪</t>
  </si>
  <si>
    <t>NUDA</t>
  </si>
  <si>
    <t>ねこだま</t>
  </si>
  <si>
    <t>Kizuner</t>
  </si>
  <si>
    <t>rai211</t>
  </si>
  <si>
    <t>吉やる蔵</t>
  </si>
  <si>
    <t>tsuruho</t>
  </si>
  <si>
    <t>＠アルファ</t>
  </si>
  <si>
    <t>じゅなばばば</t>
  </si>
  <si>
    <t>一方通行</t>
  </si>
  <si>
    <t>サブコンテスト</t>
  </si>
  <si>
    <t>飛鳥湊</t>
  </si>
  <si>
    <t>里木仁</t>
  </si>
  <si>
    <t>SOICHI</t>
  </si>
  <si>
    <t>あやなし</t>
  </si>
  <si>
    <t>MG42</t>
  </si>
  <si>
    <t>aetakun</t>
  </si>
  <si>
    <t>かめじろう</t>
  </si>
  <si>
    <t>Area0122</t>
  </si>
  <si>
    <t>ぽせいどんマーク</t>
  </si>
  <si>
    <t>NEM漏</t>
  </si>
  <si>
    <t>みりさんやで</t>
  </si>
  <si>
    <t>くらもちよういち</t>
  </si>
  <si>
    <t>なんぞにゃん</t>
  </si>
  <si>
    <t>bigmouth</t>
  </si>
  <si>
    <t>godwolf</t>
  </si>
  <si>
    <t>アーミーヘイホー</t>
  </si>
  <si>
    <t>ふみKUN</t>
  </si>
  <si>
    <t>andriy</t>
  </si>
  <si>
    <t>カメリア・ジョイ</t>
  </si>
  <si>
    <t>九丈花音</t>
  </si>
  <si>
    <t>遊び心</t>
  </si>
  <si>
    <t>きみたまご</t>
  </si>
  <si>
    <t>しんちゃん。</t>
  </si>
  <si>
    <t>あんなつ</t>
  </si>
  <si>
    <t>丹下桜野牧</t>
  </si>
  <si>
    <t>コマツマツコ</t>
  </si>
  <si>
    <t>bayes</t>
  </si>
  <si>
    <t>DANKU</t>
  </si>
  <si>
    <t>ぞんび</t>
  </si>
  <si>
    <t>くろねこ＠</t>
  </si>
  <si>
    <t>ぽるっくす</t>
  </si>
  <si>
    <t>alotus</t>
  </si>
  <si>
    <t>パン卓の支配者</t>
  </si>
  <si>
    <t>ハルたま</t>
  </si>
  <si>
    <t>zyunbo</t>
  </si>
  <si>
    <t>谷口こうへい</t>
  </si>
  <si>
    <t>お庭番</t>
  </si>
  <si>
    <t>PAHunter</t>
  </si>
  <si>
    <t>中村豪＠</t>
  </si>
  <si>
    <t>hipdcash</t>
  </si>
  <si>
    <t>じゃんれのん</t>
  </si>
  <si>
    <t>33black</t>
  </si>
  <si>
    <t>koitte</t>
  </si>
  <si>
    <t>羽藤桂</t>
  </si>
  <si>
    <t>ラテイルオ</t>
  </si>
  <si>
    <t>独歩</t>
  </si>
  <si>
    <t>雲雀の囀り</t>
  </si>
  <si>
    <t>杏雨</t>
  </si>
  <si>
    <t>蛙の王</t>
  </si>
  <si>
    <t>京都ペンギン</t>
  </si>
  <si>
    <t>絶対不可侵領域</t>
  </si>
  <si>
    <t>嶺上咲</t>
  </si>
  <si>
    <t>ぽん大生</t>
  </si>
  <si>
    <t>u4kamo10</t>
  </si>
  <si>
    <t>あきら</t>
  </si>
  <si>
    <t>赤いNISHI</t>
  </si>
  <si>
    <t>ムメイ</t>
  </si>
  <si>
    <t>タコがよぉ！</t>
  </si>
  <si>
    <t>中川翔子</t>
  </si>
  <si>
    <t>＊紗弥華＊</t>
  </si>
  <si>
    <t>μしもで</t>
  </si>
  <si>
    <t>mealr</t>
  </si>
  <si>
    <t>tubomiya</t>
  </si>
  <si>
    <t>ペコ</t>
  </si>
  <si>
    <t>うってぃー</t>
  </si>
  <si>
    <t>碧井風夏</t>
  </si>
  <si>
    <t>初代引田天和</t>
  </si>
  <si>
    <t>♪モノクロ</t>
  </si>
  <si>
    <t>アキシオン</t>
  </si>
  <si>
    <t>天晴</t>
  </si>
  <si>
    <t>akira27</t>
  </si>
  <si>
    <t>園城寺怜</t>
  </si>
  <si>
    <t>白い緑の赤い黒</t>
  </si>
  <si>
    <t>私が三重だ</t>
  </si>
  <si>
    <t>和正</t>
  </si>
  <si>
    <t>池田ァァッ！</t>
  </si>
  <si>
    <t>麻雀脳ゼロ</t>
  </si>
  <si>
    <t>Сカップ大関</t>
  </si>
  <si>
    <t>不沈</t>
  </si>
  <si>
    <t>tezk</t>
  </si>
  <si>
    <t>ベルを盗め！</t>
  </si>
  <si>
    <t>D&amp;F</t>
  </si>
  <si>
    <t>opoona</t>
  </si>
  <si>
    <t>さくらこ</t>
  </si>
  <si>
    <t>applause</t>
  </si>
  <si>
    <t>怖くないお</t>
  </si>
  <si>
    <t>yashix</t>
  </si>
  <si>
    <t>ガッツ探偵</t>
  </si>
  <si>
    <t>1q4d</t>
  </si>
  <si>
    <t>ラピスラズリ</t>
  </si>
  <si>
    <t>ヒロシです。</t>
  </si>
  <si>
    <t>警部</t>
  </si>
  <si>
    <t>全速ゆーへい</t>
  </si>
  <si>
    <t>ちりめんじゃこ</t>
  </si>
  <si>
    <t>朝比奈大吾</t>
  </si>
  <si>
    <t>☆★天江衣★☆</t>
  </si>
  <si>
    <t>While</t>
  </si>
  <si>
    <t>爆撃子</t>
  </si>
  <si>
    <t>天神乃雀</t>
  </si>
  <si>
    <t>しらゆき♪</t>
  </si>
  <si>
    <t>はじまりの朝</t>
  </si>
  <si>
    <t>いぬじゃらし</t>
  </si>
  <si>
    <t>康之進</t>
  </si>
  <si>
    <t>幼女大好火ノ鳥</t>
  </si>
  <si>
    <t>ブルーパンダ</t>
  </si>
  <si>
    <t>ほしのすずみ</t>
  </si>
  <si>
    <t>３番ショート坂田</t>
  </si>
  <si>
    <t>中村豪</t>
  </si>
  <si>
    <t>goisubai</t>
  </si>
  <si>
    <t>【罪歌】</t>
  </si>
  <si>
    <t>かにマジン</t>
  </si>
  <si>
    <t>沙耶加佐倉</t>
  </si>
  <si>
    <t>まりも☆太郎</t>
  </si>
  <si>
    <t>ポン助</t>
  </si>
  <si>
    <t>塩酸ごくごく</t>
  </si>
  <si>
    <t>志倉うに丸</t>
  </si>
  <si>
    <t>水性無視</t>
  </si>
  <si>
    <t>☆宮いちご</t>
  </si>
  <si>
    <t>Kiina</t>
  </si>
  <si>
    <t>真の雀士うまたん</t>
  </si>
  <si>
    <t>ぷるぷるだぞ</t>
  </si>
  <si>
    <t>林保徳</t>
  </si>
  <si>
    <t>Legenda</t>
  </si>
  <si>
    <t>socchy</t>
  </si>
  <si>
    <t>raphaelx</t>
  </si>
  <si>
    <t>サンマ漁師K</t>
  </si>
  <si>
    <t>偏見の塊</t>
  </si>
  <si>
    <t>AMALIA</t>
  </si>
  <si>
    <t>plaza</t>
  </si>
  <si>
    <t>drago</t>
  </si>
  <si>
    <t>Alfheim</t>
  </si>
  <si>
    <t>ミヤキング</t>
  </si>
  <si>
    <t>がる</t>
  </si>
  <si>
    <t>CHRONUS</t>
  </si>
  <si>
    <t>てけとーみん☆彡</t>
  </si>
  <si>
    <t>ocinpopo</t>
  </si>
  <si>
    <t>たがやす</t>
  </si>
  <si>
    <t>げちぇな04</t>
  </si>
  <si>
    <t>旅館屋</t>
  </si>
  <si>
    <t>＾－＾・・・</t>
  </si>
  <si>
    <t>愛宕洋榎の弟子</t>
  </si>
  <si>
    <t>zatto</t>
  </si>
  <si>
    <t>FAIR</t>
  </si>
  <si>
    <t>ケロケロのつえ</t>
  </si>
  <si>
    <t>おりまつ</t>
  </si>
  <si>
    <t>万能ねぎ</t>
  </si>
  <si>
    <t>性天使</t>
  </si>
  <si>
    <t>朱鷺戸しんや</t>
  </si>
  <si>
    <t>ショーター</t>
  </si>
  <si>
    <t>ろん２</t>
  </si>
  <si>
    <t>かにかまハサミ</t>
  </si>
  <si>
    <t>go-kun</t>
  </si>
  <si>
    <t>~無風~</t>
  </si>
  <si>
    <t>yafuten</t>
  </si>
  <si>
    <t>確変地獄</t>
  </si>
  <si>
    <t>Rororina</t>
  </si>
  <si>
    <t>パッセン改</t>
  </si>
  <si>
    <t>終電</t>
  </si>
  <si>
    <t>ハタモトヒロ</t>
  </si>
  <si>
    <t>ちゅら</t>
  </si>
  <si>
    <t>Apple*</t>
  </si>
  <si>
    <t>ドンカラス</t>
  </si>
  <si>
    <t>つらい。</t>
  </si>
  <si>
    <t>かみだを</t>
  </si>
  <si>
    <t>yonezo9</t>
  </si>
  <si>
    <t>matiosan</t>
  </si>
  <si>
    <t>マサドンくん</t>
  </si>
  <si>
    <t>もめんなちゃい</t>
  </si>
  <si>
    <t>かり梅</t>
  </si>
  <si>
    <t>Melona</t>
  </si>
  <si>
    <t>critter2</t>
  </si>
  <si>
    <t>でし６</t>
  </si>
  <si>
    <t>sangoddo</t>
  </si>
  <si>
    <t>kunpac</t>
  </si>
  <si>
    <t>はむけつ</t>
  </si>
  <si>
    <t>Scandal</t>
  </si>
  <si>
    <t>yash</t>
  </si>
  <si>
    <t>競馬研究所</t>
  </si>
  <si>
    <t>☆イーソー☆</t>
  </si>
  <si>
    <t>DJ☆Kova</t>
  </si>
  <si>
    <t>AGE.7D</t>
  </si>
  <si>
    <t>★ホース★</t>
  </si>
  <si>
    <t>MAGIS</t>
  </si>
  <si>
    <t>低めスライダー</t>
  </si>
  <si>
    <t>ぱんぞう</t>
  </si>
  <si>
    <t>独逸之雨蛙</t>
  </si>
  <si>
    <t>親指（大）</t>
  </si>
  <si>
    <t>ワンタン＠横浜</t>
  </si>
  <si>
    <t>‐亦犬‐</t>
  </si>
  <si>
    <t>すたちな.</t>
  </si>
  <si>
    <t>神楽坂ゆか</t>
  </si>
  <si>
    <t>地獄モード専用</t>
  </si>
  <si>
    <t>ごんざぶろー</t>
  </si>
  <si>
    <t>さらなる高み</t>
  </si>
  <si>
    <t>なのはなの！</t>
  </si>
  <si>
    <t>ken1104</t>
  </si>
  <si>
    <t>blue1</t>
  </si>
  <si>
    <t>星降る街</t>
  </si>
  <si>
    <t>mixy</t>
  </si>
  <si>
    <t>Hear†s18</t>
  </si>
  <si>
    <t>鳴きに自信ニキ</t>
  </si>
  <si>
    <t>畜生うさぎ</t>
  </si>
  <si>
    <t>zouzou</t>
  </si>
  <si>
    <t>よしだいたる</t>
  </si>
  <si>
    <t>オブロンスキー</t>
  </si>
  <si>
    <t>壇☆蜜</t>
  </si>
  <si>
    <t>（〇）（☆）</t>
  </si>
  <si>
    <t>菊田優一郎</t>
  </si>
  <si>
    <t>LON</t>
  </si>
  <si>
    <t>フィア.</t>
  </si>
  <si>
    <t>Teresa39</t>
  </si>
  <si>
    <t>＊チテイジン＊</t>
  </si>
  <si>
    <t>mabis</t>
  </si>
  <si>
    <t>hiropen</t>
  </si>
  <si>
    <t>ces9</t>
  </si>
  <si>
    <t>ぺんぺん＾＾</t>
  </si>
  <si>
    <t>葉書名無し</t>
  </si>
  <si>
    <t>コーラ下さい</t>
  </si>
  <si>
    <t>ulasu</t>
  </si>
  <si>
    <t>norisio</t>
  </si>
  <si>
    <t>もうりぃ68</t>
  </si>
  <si>
    <t>Utmost</t>
  </si>
  <si>
    <t>.=土御門夏目=</t>
  </si>
  <si>
    <t>北半球</t>
  </si>
  <si>
    <t>Mr.niku9</t>
  </si>
  <si>
    <t>Lancet</t>
  </si>
  <si>
    <t>KANO</t>
  </si>
  <si>
    <t>人鳥侍極</t>
  </si>
  <si>
    <t>日奈森あむ</t>
  </si>
  <si>
    <t>Alz</t>
  </si>
  <si>
    <t>紅茶07</t>
  </si>
  <si>
    <t>おでんつくろ！</t>
  </si>
  <si>
    <t>諦心養生</t>
  </si>
  <si>
    <t>kei.san</t>
  </si>
  <si>
    <t>enemy</t>
  </si>
  <si>
    <t>mokio</t>
  </si>
  <si>
    <t>フィーナちゃん</t>
  </si>
  <si>
    <t>たけにき</t>
  </si>
  <si>
    <t>メラゾ一マ</t>
  </si>
  <si>
    <t>apoa</t>
  </si>
  <si>
    <t>レタス</t>
  </si>
  <si>
    <t>タキトール</t>
  </si>
  <si>
    <t>超☆窒素パンチ</t>
  </si>
  <si>
    <t>knj1050</t>
  </si>
  <si>
    <t>ぬーぬー</t>
  </si>
  <si>
    <t>salaman</t>
  </si>
  <si>
    <t>単騎は損気</t>
  </si>
  <si>
    <t>こーめーさん</t>
  </si>
  <si>
    <t>緋牡丹バルカン</t>
  </si>
  <si>
    <t>trail</t>
  </si>
  <si>
    <t>マックスぅ</t>
  </si>
  <si>
    <t>silen.</t>
  </si>
  <si>
    <t>Px10</t>
  </si>
  <si>
    <t>戸愚呂・姉</t>
  </si>
  <si>
    <t>masa1202</t>
  </si>
  <si>
    <t>zhkdshgy</t>
  </si>
  <si>
    <t>no.name</t>
  </si>
  <si>
    <t>松木安太郎</t>
  </si>
  <si>
    <t>hasuoike</t>
  </si>
  <si>
    <t>☆NABE☆</t>
  </si>
  <si>
    <t>振り込みの達人！</t>
  </si>
  <si>
    <t>妹婚-シスコン-</t>
  </si>
  <si>
    <t>ようへーX</t>
  </si>
  <si>
    <t>水葉</t>
  </si>
  <si>
    <t>赤木しげれ</t>
  </si>
  <si>
    <t>麻雀一番街</t>
  </si>
  <si>
    <t>Usoppy</t>
  </si>
  <si>
    <t>緑ドン好き</t>
  </si>
  <si>
    <t>庭に埴輪</t>
  </si>
  <si>
    <t>開運御守</t>
  </si>
  <si>
    <t>神戸市</t>
  </si>
  <si>
    <t>桃っぺ</t>
  </si>
  <si>
    <t>さぬぅ</t>
  </si>
  <si>
    <t>F.SWING</t>
  </si>
  <si>
    <t>平井ゆかり</t>
  </si>
  <si>
    <t>ぁぉ</t>
  </si>
  <si>
    <t>（＾ω＾）ｗ</t>
  </si>
  <si>
    <t>流れ？SOA</t>
  </si>
  <si>
    <t>やまーん</t>
  </si>
  <si>
    <t>げりげり☆ゲリー</t>
  </si>
  <si>
    <t>nnnnnn</t>
  </si>
  <si>
    <t>23Beck</t>
  </si>
  <si>
    <t>彗星入ヒコ</t>
  </si>
  <si>
    <t>紗代</t>
  </si>
  <si>
    <t>ｓｗｉｍ</t>
  </si>
  <si>
    <t>メガネ部長</t>
  </si>
  <si>
    <t>QooPee</t>
  </si>
  <si>
    <t>noir00</t>
  </si>
  <si>
    <t>GOKIGEN</t>
  </si>
  <si>
    <t>shar</t>
  </si>
  <si>
    <t>すけちむ</t>
  </si>
  <si>
    <t>9-bay</t>
  </si>
  <si>
    <t>SHEEP200</t>
  </si>
  <si>
    <t>FunTime</t>
  </si>
  <si>
    <t>StealthG</t>
  </si>
  <si>
    <t>d3vdr</t>
  </si>
  <si>
    <t>maeda16g</t>
  </si>
  <si>
    <t>侍</t>
  </si>
  <si>
    <t>麦麦熊@杏杏軍團</t>
  </si>
  <si>
    <t>COZIY</t>
  </si>
  <si>
    <t>-koei-</t>
  </si>
  <si>
    <t>雀士ぬるりん</t>
  </si>
  <si>
    <t>kakasida</t>
  </si>
  <si>
    <t>anlun</t>
  </si>
  <si>
    <t>水哉のレジェンド</t>
  </si>
  <si>
    <t>shissou</t>
  </si>
  <si>
    <t>夢見がち</t>
  </si>
  <si>
    <t>麻雀研究部</t>
  </si>
  <si>
    <t>min2002</t>
  </si>
  <si>
    <t>mochi0</t>
  </si>
  <si>
    <t>rcpb</t>
  </si>
  <si>
    <t>peater</t>
  </si>
  <si>
    <t>yuguan</t>
  </si>
  <si>
    <t>人生フルゼソツ</t>
  </si>
  <si>
    <t>Ｊ．Ｗｈｉｔｅ</t>
  </si>
  <si>
    <t>ＵＤＮＫ</t>
  </si>
  <si>
    <t>☆能登麻美子☆</t>
  </si>
  <si>
    <t>夜半の寝覚</t>
  </si>
  <si>
    <t>山田まりりん</t>
  </si>
  <si>
    <t>石原良純</t>
  </si>
  <si>
    <t>ニコ生&amp;動</t>
  </si>
  <si>
    <t>げんたろのかけら</t>
  </si>
  <si>
    <t>Kat_H</t>
  </si>
  <si>
    <t>M帝Ⅲ</t>
  </si>
  <si>
    <t>東風シュッシュッ</t>
  </si>
  <si>
    <t>holmes</t>
  </si>
  <si>
    <t>ダチョウの卵</t>
  </si>
  <si>
    <t>rittu</t>
  </si>
  <si>
    <t>spoiled</t>
  </si>
  <si>
    <t>スナイポショット</t>
  </si>
  <si>
    <t>otsuru</t>
  </si>
  <si>
    <t>Re；</t>
  </si>
  <si>
    <t>KaBE</t>
  </si>
  <si>
    <t>ゼフィNINE</t>
  </si>
  <si>
    <t>AmA</t>
  </si>
  <si>
    <t>花鳥玲愛ちゃん</t>
  </si>
  <si>
    <t>シラ。</t>
  </si>
  <si>
    <t>ジョンソン42</t>
  </si>
  <si>
    <t>茶流彩彩</t>
  </si>
  <si>
    <t>ひさやん</t>
  </si>
  <si>
    <t>ぱおっと</t>
  </si>
  <si>
    <t>LiH</t>
  </si>
  <si>
    <t>【禄存】</t>
  </si>
  <si>
    <t>衛士</t>
  </si>
  <si>
    <t>ジャスミン</t>
  </si>
  <si>
    <t>ありちゃ</t>
  </si>
  <si>
    <t>はやまり</t>
  </si>
  <si>
    <t>閻魔あい</t>
  </si>
  <si>
    <t>ルタスケ</t>
  </si>
  <si>
    <t>bokusapp</t>
  </si>
  <si>
    <t>空気を変えよう♪</t>
  </si>
  <si>
    <t>sat</t>
  </si>
  <si>
    <t>吟香鳥飼</t>
  </si>
  <si>
    <t>NIR_OK</t>
  </si>
  <si>
    <t>.DIVA</t>
  </si>
  <si>
    <t>higashi2</t>
  </si>
  <si>
    <t>角田詩寧</t>
  </si>
  <si>
    <t>みーごま</t>
  </si>
  <si>
    <t>かばやきらくだ</t>
  </si>
  <si>
    <t>ssk</t>
  </si>
  <si>
    <t>ryo＠MJ</t>
  </si>
  <si>
    <t>yamada先生</t>
  </si>
  <si>
    <t>わー</t>
  </si>
  <si>
    <t>じーおー</t>
  </si>
  <si>
    <t>MrFeng</t>
  </si>
  <si>
    <t>norika</t>
  </si>
  <si>
    <t>ジョータクハイ</t>
  </si>
  <si>
    <t>detteiu2</t>
  </si>
  <si>
    <t>NanaNana</t>
  </si>
  <si>
    <t>dolmages</t>
  </si>
  <si>
    <t>SNインパクト</t>
  </si>
  <si>
    <t>東風の鬼</t>
  </si>
  <si>
    <t>しばみゆき</t>
  </si>
  <si>
    <t>最北最強</t>
  </si>
  <si>
    <t>アロエクン</t>
  </si>
  <si>
    <t>あざむくん</t>
  </si>
  <si>
    <t>フェルナンド</t>
  </si>
  <si>
    <t>†まなお†</t>
  </si>
  <si>
    <t>じゃびっと</t>
  </si>
  <si>
    <t>まほ公</t>
  </si>
  <si>
    <t>ArAtA</t>
  </si>
  <si>
    <t>内海敏昭</t>
  </si>
  <si>
    <t>ちるちる＠</t>
  </si>
  <si>
    <t>因幡</t>
  </si>
  <si>
    <t>〓いちはら〓</t>
  </si>
  <si>
    <t>沙織バジーナ</t>
  </si>
  <si>
    <t>の子供</t>
  </si>
  <si>
    <t>ミュキ★</t>
  </si>
  <si>
    <t>喜多</t>
  </si>
  <si>
    <t>須佐之男</t>
  </si>
  <si>
    <t>ごっさ</t>
  </si>
  <si>
    <t>そら豆先生</t>
  </si>
  <si>
    <t>一八六”</t>
  </si>
  <si>
    <t>小夜健太</t>
  </si>
  <si>
    <t>御無礼ポンのみ</t>
  </si>
  <si>
    <t>アカシャ</t>
  </si>
  <si>
    <t>nimutan</t>
  </si>
  <si>
    <t>Negitoro</t>
  </si>
  <si>
    <t>速水凛香</t>
  </si>
  <si>
    <t>ブラフ・Navi</t>
  </si>
  <si>
    <t>(っ'ヮ'c)</t>
  </si>
  <si>
    <t>アンこび</t>
  </si>
  <si>
    <t>AurorA</t>
  </si>
  <si>
    <t>ever17*</t>
  </si>
  <si>
    <t>チュート福田似</t>
  </si>
  <si>
    <t>★★原村和★★</t>
  </si>
  <si>
    <t>無限</t>
  </si>
  <si>
    <t>ドラロンダイヴ</t>
  </si>
  <si>
    <t>はちみつ騎士</t>
  </si>
  <si>
    <t>HOUHOU</t>
  </si>
  <si>
    <t>ばいきると</t>
  </si>
  <si>
    <t>ひえい☆</t>
  </si>
  <si>
    <t>ドラくれ</t>
  </si>
  <si>
    <t>AISLINN</t>
  </si>
  <si>
    <t>まおぽん</t>
  </si>
  <si>
    <t>あっとにゃん</t>
  </si>
  <si>
    <t>【鈴木孝徳】プロ</t>
  </si>
  <si>
    <t>コッパン</t>
  </si>
  <si>
    <t>そうたった</t>
  </si>
  <si>
    <t>renkun</t>
  </si>
  <si>
    <t>白鹿愛莉</t>
  </si>
  <si>
    <t>東風の央</t>
  </si>
  <si>
    <t>裏栗拾い</t>
  </si>
  <si>
    <t>咲畑梨深</t>
  </si>
  <si>
    <t>海ほたる</t>
  </si>
  <si>
    <t>First</t>
  </si>
  <si>
    <t>※433※</t>
  </si>
  <si>
    <t>【zero】</t>
  </si>
  <si>
    <t>Thille</t>
  </si>
  <si>
    <t>俺のツモを見ろ</t>
  </si>
  <si>
    <t>あるてみしおん</t>
  </si>
  <si>
    <t>Hooooooi</t>
  </si>
  <si>
    <t>ゐっちょん</t>
  </si>
  <si>
    <t>xlDailx</t>
  </si>
  <si>
    <t>ふみずき21</t>
  </si>
  <si>
    <t>ハヤテ</t>
  </si>
  <si>
    <t>あらくれ</t>
  </si>
  <si>
    <t>wata.</t>
  </si>
  <si>
    <t>船越英一郎</t>
  </si>
  <si>
    <t>もふもふ藍</t>
  </si>
  <si>
    <t>小手返撲滅会長</t>
  </si>
  <si>
    <t>タッツン＠ユーズ</t>
  </si>
  <si>
    <t>蒼天プロミネ</t>
  </si>
  <si>
    <t>チャオラー</t>
  </si>
  <si>
    <t>msigeru</t>
  </si>
  <si>
    <t>eranvita</t>
  </si>
  <si>
    <t>MRF</t>
  </si>
  <si>
    <t>clear521</t>
  </si>
  <si>
    <t>KKE</t>
  </si>
  <si>
    <t>はらぺこリグル</t>
  </si>
  <si>
    <t>andymori</t>
  </si>
  <si>
    <t>あんざん</t>
  </si>
  <si>
    <t>Aquαrius</t>
  </si>
  <si>
    <t>hangaku</t>
  </si>
  <si>
    <t>ノブキ</t>
  </si>
  <si>
    <t>mono14</t>
  </si>
  <si>
    <t>破壊魔ちるみ</t>
  </si>
  <si>
    <t>爆牌ウシジマくん</t>
  </si>
  <si>
    <t>人外killer</t>
  </si>
  <si>
    <t>キミタマゴ</t>
  </si>
  <si>
    <t>安定四段</t>
  </si>
  <si>
    <t>科学のツモ切りＺ</t>
  </si>
  <si>
    <t>国専</t>
  </si>
  <si>
    <t>エルゲルージ</t>
  </si>
  <si>
    <t>魂魄妖夢。</t>
  </si>
  <si>
    <t>赤城みりあ</t>
  </si>
  <si>
    <t>若宮ひな子</t>
  </si>
  <si>
    <t>フル勃ち一漏</t>
  </si>
  <si>
    <t>雀たま☆乱太郎</t>
  </si>
  <si>
    <t>ahhhhhha</t>
  </si>
  <si>
    <t>makota</t>
  </si>
  <si>
    <t>しおやだん</t>
  </si>
  <si>
    <t>トンネル天国</t>
  </si>
  <si>
    <t>ヌッキーナ</t>
  </si>
  <si>
    <t>ぼんやり</t>
  </si>
  <si>
    <t>akatuki^</t>
  </si>
  <si>
    <t>刑部家</t>
  </si>
  <si>
    <t>水宮しげ</t>
  </si>
  <si>
    <t>安本彩花</t>
  </si>
  <si>
    <t>人修羅サン</t>
  </si>
  <si>
    <t>4bephy</t>
  </si>
  <si>
    <t>みかん太</t>
  </si>
  <si>
    <t>ばばこんが</t>
  </si>
  <si>
    <t>koudai23</t>
  </si>
  <si>
    <t>ふぁいちゃむ★</t>
  </si>
  <si>
    <t>('ε'o)</t>
  </si>
  <si>
    <t>樫野有香</t>
  </si>
  <si>
    <t>杉浦綾乃v</t>
  </si>
  <si>
    <t>てぃみん</t>
  </si>
  <si>
    <t>パイタン</t>
  </si>
  <si>
    <t>やたケン</t>
  </si>
  <si>
    <t>sandiris</t>
  </si>
  <si>
    <t>よしか</t>
  </si>
  <si>
    <t>龍涎香</t>
  </si>
  <si>
    <t>ぐぜん@LiB</t>
  </si>
  <si>
    <t>エトぺン</t>
  </si>
  <si>
    <t>四筒エース</t>
  </si>
  <si>
    <t>花澪</t>
  </si>
  <si>
    <t>月千一夜</t>
  </si>
  <si>
    <t>野崎維織★</t>
  </si>
  <si>
    <t>ゆまゆまー</t>
  </si>
  <si>
    <t>バビンスキー</t>
  </si>
  <si>
    <t>しぇりっど</t>
  </si>
  <si>
    <t>numahoso</t>
  </si>
  <si>
    <t>KINO</t>
  </si>
  <si>
    <t>まる助</t>
  </si>
  <si>
    <t>真龍</t>
  </si>
  <si>
    <t>こうようながえ</t>
  </si>
  <si>
    <t>ｅｒｅｃｔ</t>
  </si>
  <si>
    <t>サスティンペダル</t>
  </si>
  <si>
    <t>seabass</t>
  </si>
  <si>
    <t>如月カルナ</t>
  </si>
  <si>
    <t>佐藤カイジ</t>
  </si>
  <si>
    <t>よじげん</t>
  </si>
  <si>
    <t>知らんがな</t>
  </si>
  <si>
    <t>廃人達集合</t>
  </si>
  <si>
    <t>ムササビKK</t>
  </si>
  <si>
    <t>たかってぃー</t>
  </si>
  <si>
    <t>ｙｏｕ’ｓ裕くん</t>
  </si>
  <si>
    <t>青山学院４年</t>
  </si>
  <si>
    <t>koboz2</t>
  </si>
  <si>
    <t>戰場ヶ原ひたぎ</t>
  </si>
  <si>
    <t>湾奥アングラー</t>
  </si>
  <si>
    <t>つつよん</t>
  </si>
  <si>
    <t>Kojifumi</t>
  </si>
  <si>
    <t>振込太陽</t>
  </si>
  <si>
    <t>バトルドーム！</t>
  </si>
  <si>
    <t>にせ西園寺</t>
  </si>
  <si>
    <t>kanegane</t>
  </si>
  <si>
    <t>goshikku</t>
  </si>
  <si>
    <t>8823‐隼</t>
  </si>
  <si>
    <t>青森県民</t>
  </si>
  <si>
    <t>enkaism</t>
  </si>
  <si>
    <t>ちびお君</t>
  </si>
  <si>
    <t>天月めぐる</t>
  </si>
  <si>
    <t>ネカフェの恋人</t>
  </si>
  <si>
    <t>きゅりおすぃてぃ</t>
  </si>
  <si>
    <t>きんいろモザイク</t>
  </si>
  <si>
    <t>valkyrie</t>
  </si>
  <si>
    <t>かき氷</t>
  </si>
  <si>
    <t>Potoshi</t>
  </si>
  <si>
    <t>かのん♪</t>
  </si>
  <si>
    <t>キムラテ</t>
  </si>
  <si>
    <t>nisi5028</t>
  </si>
  <si>
    <t>WIN神</t>
  </si>
  <si>
    <t>sairasu</t>
  </si>
  <si>
    <t>pccabc</t>
  </si>
  <si>
    <t>汐見</t>
  </si>
  <si>
    <t>かざばな</t>
  </si>
  <si>
    <t>しーぺふ</t>
  </si>
  <si>
    <t>マーボウ</t>
  </si>
  <si>
    <t>霧島翔子</t>
  </si>
  <si>
    <t>seiiga3</t>
  </si>
  <si>
    <t>@u</t>
  </si>
  <si>
    <t>ツモ多すぎ</t>
  </si>
  <si>
    <t>もじゃ公</t>
  </si>
  <si>
    <t>川奈昴</t>
  </si>
  <si>
    <t>幸花きらり</t>
  </si>
  <si>
    <t>error403</t>
  </si>
  <si>
    <t>象</t>
  </si>
  <si>
    <t>はかぎーの弟子</t>
  </si>
  <si>
    <t>msむーさん</t>
  </si>
  <si>
    <t>せがみん２</t>
  </si>
  <si>
    <t>萩の名月</t>
  </si>
  <si>
    <t>南国しろくま</t>
  </si>
  <si>
    <t>それは無理ｗ</t>
  </si>
  <si>
    <t>syun@弌</t>
  </si>
  <si>
    <t>zxld</t>
  </si>
  <si>
    <t>YAMAPIN</t>
  </si>
  <si>
    <t>hk_kiba</t>
  </si>
  <si>
    <t>ZOMBIES</t>
  </si>
  <si>
    <t>ささささ</t>
  </si>
  <si>
    <t>いずみん</t>
  </si>
  <si>
    <t>水</t>
  </si>
  <si>
    <t>Lark12</t>
  </si>
  <si>
    <t>半月さん</t>
  </si>
  <si>
    <t>新宿方面</t>
  </si>
  <si>
    <t>AUGURI</t>
  </si>
  <si>
    <t>AyouF</t>
  </si>
  <si>
    <t>ヤコブコーエン</t>
  </si>
  <si>
    <t>てんほうせっけん</t>
  </si>
  <si>
    <t>ひのとりのひとり</t>
  </si>
  <si>
    <t>黒柱勃樹</t>
  </si>
  <si>
    <t>黛由紀江</t>
  </si>
  <si>
    <t>セブルス</t>
  </si>
  <si>
    <t>げんたろ～</t>
  </si>
  <si>
    <t>アメンポてふ</t>
  </si>
  <si>
    <t>らぁら</t>
  </si>
  <si>
    <t>れんらく</t>
  </si>
  <si>
    <t>willpowe</t>
  </si>
  <si>
    <t>暴走妄想</t>
  </si>
  <si>
    <t>アリアンロード</t>
  </si>
  <si>
    <t>リーチ１</t>
  </si>
  <si>
    <t>忍者ぬこ</t>
  </si>
  <si>
    <t>★taruto★</t>
  </si>
  <si>
    <t>lab</t>
  </si>
  <si>
    <t>杉本四葉</t>
  </si>
  <si>
    <t>ぬーん(＾ω＾)</t>
  </si>
  <si>
    <t>いけたん</t>
  </si>
  <si>
    <t>まーちゃむ</t>
  </si>
  <si>
    <t>ユウ０１２９</t>
  </si>
  <si>
    <t>又2日で飽きる</t>
  </si>
  <si>
    <t>リーツモドラウラ</t>
  </si>
  <si>
    <t>neporih</t>
  </si>
  <si>
    <t>a131848</t>
  </si>
  <si>
    <t>おしげてゃん</t>
  </si>
  <si>
    <t>ベータ</t>
  </si>
  <si>
    <t>飛びたいとびうお</t>
  </si>
  <si>
    <t>ディオバン</t>
  </si>
  <si>
    <t>ヒコ</t>
  </si>
  <si>
    <t>エッフェル塔</t>
  </si>
  <si>
    <t>オナラン</t>
  </si>
  <si>
    <t>蓮也</t>
  </si>
  <si>
    <t>ロボコプ</t>
  </si>
  <si>
    <t>☆マジック</t>
  </si>
  <si>
    <t>Carlyle</t>
  </si>
  <si>
    <t>清竜闘士</t>
  </si>
  <si>
    <t>もめん生生</t>
  </si>
  <si>
    <t>ゆ。。</t>
  </si>
  <si>
    <t>維新</t>
  </si>
  <si>
    <t>コロラド</t>
  </si>
  <si>
    <t>aeioeoao</t>
  </si>
  <si>
    <t>小笠原特急</t>
  </si>
  <si>
    <t>Saki☆</t>
  </si>
  <si>
    <t>k_m_b</t>
  </si>
  <si>
    <t>ママご飯まだ？</t>
  </si>
  <si>
    <t>ラセット</t>
  </si>
  <si>
    <t>魔法のタコス</t>
  </si>
  <si>
    <t>シンデルラ</t>
  </si>
  <si>
    <t>haly</t>
  </si>
  <si>
    <t>こんべっくす凸子</t>
  </si>
  <si>
    <t>鬼門☆</t>
  </si>
  <si>
    <t>沖ヒカル（本物）</t>
  </si>
  <si>
    <t>雷神魔理沙</t>
  </si>
  <si>
    <t>静流＠サンマ</t>
  </si>
  <si>
    <t>☆タオパイパイ☆</t>
  </si>
  <si>
    <t>TESHIMAN</t>
  </si>
  <si>
    <t>Leirion</t>
  </si>
  <si>
    <t>@zakuro@</t>
  </si>
  <si>
    <t>ハマ・オカモト</t>
  </si>
  <si>
    <t>TKTM</t>
  </si>
  <si>
    <t>kuroma</t>
  </si>
  <si>
    <t>ゴットゥーさん</t>
  </si>
  <si>
    <t>shinkawa</t>
  </si>
  <si>
    <t>ルンメニゲ</t>
  </si>
  <si>
    <t>raiki03</t>
  </si>
  <si>
    <t>楕円軌道</t>
  </si>
  <si>
    <t>四宮紅輝</t>
  </si>
  <si>
    <t>リヒャ</t>
  </si>
  <si>
    <t>ゆきひら</t>
  </si>
  <si>
    <t>ブリヒラマサ</t>
  </si>
  <si>
    <t>アカ☆ウーピン</t>
  </si>
  <si>
    <t>-BK201-</t>
  </si>
  <si>
    <t>yksrdlab</t>
  </si>
  <si>
    <t>十馬</t>
  </si>
  <si>
    <t>心夜</t>
  </si>
  <si>
    <t>みかづきも</t>
  </si>
  <si>
    <t>ラムダさん</t>
  </si>
  <si>
    <t>きたかぜ＠</t>
  </si>
  <si>
    <t>旅人ちよすけ</t>
  </si>
  <si>
    <t>きみどりん</t>
  </si>
  <si>
    <t>zeroRX</t>
  </si>
  <si>
    <t>うみキチ</t>
  </si>
  <si>
    <t>ユーチー</t>
  </si>
  <si>
    <t>魔法使いの朝</t>
  </si>
  <si>
    <t>中村しらす</t>
  </si>
  <si>
    <t>クロスロール</t>
  </si>
  <si>
    <t>〓白龍〓</t>
  </si>
  <si>
    <t>＝高橋パンダ＝</t>
  </si>
  <si>
    <t>私ちゃん</t>
  </si>
  <si>
    <t>秘貝クラブ</t>
  </si>
  <si>
    <t>大竹</t>
  </si>
  <si>
    <t>evacania</t>
  </si>
  <si>
    <t>駒鳥蓮華</t>
  </si>
  <si>
    <t>けんぞーくん</t>
  </si>
  <si>
    <t>ykf55389</t>
  </si>
  <si>
    <t>ぷるるん大佐</t>
  </si>
  <si>
    <t>量子(りょうし)</t>
  </si>
  <si>
    <t>万点坊</t>
  </si>
  <si>
    <t>H.Metal</t>
  </si>
  <si>
    <t>祥子大叔97</t>
  </si>
  <si>
    <t>マイコン</t>
  </si>
  <si>
    <t>どらご</t>
  </si>
  <si>
    <t>大星☆淡</t>
  </si>
  <si>
    <t>yachi358</t>
  </si>
  <si>
    <t>なりたぶらいあん</t>
  </si>
  <si>
    <t>残ちゃん</t>
  </si>
  <si>
    <t>CAPTAIN</t>
  </si>
  <si>
    <t>やちくん</t>
  </si>
  <si>
    <t>Cinecuss</t>
  </si>
  <si>
    <t>耳かき職人</t>
  </si>
  <si>
    <t>堀ススム</t>
  </si>
  <si>
    <t>絶対乱舞</t>
  </si>
  <si>
    <t>みかんさむらい</t>
  </si>
  <si>
    <t>支倉曜子</t>
  </si>
  <si>
    <t>耳かりかり</t>
  </si>
  <si>
    <t>クロベエ</t>
  </si>
  <si>
    <t>SEKI-7</t>
  </si>
  <si>
    <t>タイソン＠</t>
  </si>
  <si>
    <t>右腕@宇フ付</t>
  </si>
  <si>
    <t>マツザキ</t>
  </si>
  <si>
    <t>せんとぽーる</t>
  </si>
  <si>
    <t>西園寺琴歌</t>
  </si>
  <si>
    <t>fgghhdf</t>
  </si>
  <si>
    <t>ふかつぁー</t>
  </si>
  <si>
    <t>普賢</t>
  </si>
  <si>
    <t>おーるいん</t>
  </si>
  <si>
    <t>チートイ王子</t>
  </si>
  <si>
    <t>mikeinu</t>
  </si>
  <si>
    <t>おむらいす</t>
  </si>
  <si>
    <t>S.Dancer</t>
  </si>
  <si>
    <t>愛と正義</t>
  </si>
  <si>
    <t>現大真龍将</t>
  </si>
  <si>
    <t>Furuya</t>
  </si>
  <si>
    <t>祭人</t>
  </si>
  <si>
    <t>ますぞえ</t>
  </si>
  <si>
    <t>カミコ</t>
  </si>
  <si>
    <t>えびふりゃー</t>
  </si>
  <si>
    <t>シェフチョコ</t>
  </si>
  <si>
    <t>ほわほわ</t>
  </si>
  <si>
    <t>やくしまるえつこ</t>
  </si>
  <si>
    <t>シャンテン地獄☆</t>
  </si>
  <si>
    <t>コンテニュー</t>
  </si>
  <si>
    <t>ロ（ゝω・）リッ</t>
  </si>
  <si>
    <t>小鳥遊ひな</t>
  </si>
  <si>
    <t>ホコ持ちおじさん</t>
  </si>
  <si>
    <t>jijii-e</t>
  </si>
  <si>
    <t>bugyawi</t>
  </si>
  <si>
    <t>★ゆー☆</t>
  </si>
  <si>
    <t>kiyonari</t>
  </si>
  <si>
    <t>④センチ</t>
  </si>
  <si>
    <t>ブル魔☆＾ω＾</t>
  </si>
  <si>
    <t>魔王こっぺぱん</t>
  </si>
  <si>
    <t>カール</t>
  </si>
  <si>
    <t>バッテ</t>
  </si>
  <si>
    <t>にせ悟空</t>
  </si>
  <si>
    <t>Mame-ya</t>
  </si>
  <si>
    <t>しゃーもん3</t>
  </si>
  <si>
    <t>エアロムスク</t>
  </si>
  <si>
    <t>AMKR</t>
  </si>
  <si>
    <t>ppaaoo</t>
  </si>
  <si>
    <t>ふじお</t>
  </si>
  <si>
    <t>Naruka</t>
  </si>
  <si>
    <t>あははは笑</t>
  </si>
  <si>
    <t>正確には伯爵</t>
  </si>
  <si>
    <t>GYO</t>
  </si>
  <si>
    <t>Rainey</t>
  </si>
  <si>
    <t>地獄モード中</t>
  </si>
  <si>
    <t>Purutan</t>
  </si>
  <si>
    <t>tntnbrbr</t>
  </si>
  <si>
    <t>モイヒャン</t>
  </si>
  <si>
    <t>だぐど</t>
  </si>
  <si>
    <t>見崎鳴ちゃん！</t>
  </si>
  <si>
    <t>神野美香</t>
  </si>
  <si>
    <t>凜堂耶々</t>
  </si>
  <si>
    <t>lubon</t>
  </si>
  <si>
    <t>【紅蓮】</t>
  </si>
  <si>
    <t>三麻はｋｓｇ</t>
  </si>
  <si>
    <t>wadopro</t>
  </si>
  <si>
    <t>ダンテ</t>
  </si>
  <si>
    <t>ともきゅん♪</t>
  </si>
  <si>
    <t>のはっち</t>
  </si>
  <si>
    <t>泉</t>
  </si>
  <si>
    <t>椎名りく</t>
  </si>
  <si>
    <t>ジギタリス</t>
  </si>
  <si>
    <t>代打ちの神様</t>
  </si>
  <si>
    <t>bookerK</t>
  </si>
  <si>
    <t>芋＠０８’</t>
  </si>
  <si>
    <t>キュアエース</t>
  </si>
  <si>
    <t>yassan</t>
  </si>
  <si>
    <t>鳩りゅうくん</t>
  </si>
  <si>
    <t>（*^◯^*）</t>
  </si>
  <si>
    <t>ぴー野3</t>
  </si>
  <si>
    <t>KKD</t>
  </si>
  <si>
    <t>daaaaaaa</t>
  </si>
  <si>
    <t>gijyutu</t>
  </si>
  <si>
    <t>Kate2</t>
  </si>
  <si>
    <t>北白川あんこ</t>
  </si>
  <si>
    <t>akinari0</t>
  </si>
  <si>
    <t>ものしり速報</t>
  </si>
  <si>
    <t>真夜中の昼間</t>
  </si>
  <si>
    <t>賢者ぬこ</t>
  </si>
  <si>
    <t>些渡を超える者</t>
  </si>
  <si>
    <t>南斗無音拳</t>
  </si>
  <si>
    <t>やまじろう</t>
  </si>
  <si>
    <t>困ったら立直</t>
  </si>
  <si>
    <t>／(＾o＾)＼</t>
  </si>
  <si>
    <t>星降る夜</t>
  </si>
  <si>
    <t>ロリータな焼肉</t>
  </si>
  <si>
    <t>霜月さん</t>
  </si>
  <si>
    <t>ふうが♪</t>
  </si>
  <si>
    <t>はげしくウツ</t>
  </si>
  <si>
    <t>来週の糸井</t>
  </si>
  <si>
    <t>hisa8000</t>
  </si>
  <si>
    <t>mangeof</t>
  </si>
  <si>
    <t>Park_8</t>
  </si>
  <si>
    <t>runasnow</t>
  </si>
  <si>
    <t>avq87003</t>
  </si>
  <si>
    <t>若宮明日香</t>
  </si>
  <si>
    <t>花鳥玲愛</t>
  </si>
  <si>
    <t>liszt-17</t>
  </si>
  <si>
    <t>leo160</t>
  </si>
  <si>
    <t>かるかるかるぴす</t>
  </si>
  <si>
    <t>すきま妖怪</t>
  </si>
  <si>
    <t>まあぼう大佐</t>
  </si>
  <si>
    <t>yojo</t>
  </si>
  <si>
    <t>広能昌三</t>
  </si>
  <si>
    <t>ぐりもあ</t>
  </si>
  <si>
    <t>あづま夜</t>
  </si>
  <si>
    <t>M@SO</t>
  </si>
  <si>
    <t>VONAPALT</t>
  </si>
  <si>
    <t>猿-Saru-</t>
  </si>
  <si>
    <t>乱れ打ちのみ可</t>
  </si>
  <si>
    <t>sumail</t>
  </si>
  <si>
    <t>mi1kteaa</t>
  </si>
  <si>
    <t>ドーンド</t>
  </si>
  <si>
    <t>ダマはずるい</t>
  </si>
  <si>
    <t>†チタンダエル†</t>
  </si>
  <si>
    <t>wawa3030</t>
  </si>
  <si>
    <t>つばきち03</t>
  </si>
  <si>
    <t>Sao-Hzx</t>
  </si>
  <si>
    <t>残尿感ない？</t>
  </si>
  <si>
    <t>まる</t>
  </si>
  <si>
    <t>モブ池田♪</t>
  </si>
  <si>
    <t>龍伯</t>
  </si>
  <si>
    <t>gotapooh</t>
  </si>
  <si>
    <t>usa</t>
  </si>
  <si>
    <t>灰原哀</t>
  </si>
  <si>
    <t>星流＠SeiRu</t>
  </si>
  <si>
    <t>疾風知勁草</t>
  </si>
  <si>
    <t>雀龍門_Yuti</t>
  </si>
  <si>
    <t>xtyrantx</t>
  </si>
  <si>
    <t>あひる</t>
  </si>
  <si>
    <t>女子力☆ごりら</t>
  </si>
  <si>
    <t>反町隆史</t>
  </si>
  <si>
    <t>腹痛のニコバン</t>
  </si>
  <si>
    <t>傷は浅いうちに</t>
  </si>
  <si>
    <t>がーねっと</t>
  </si>
  <si>
    <t>轟鋼鉄</t>
  </si>
  <si>
    <t>全部押す</t>
  </si>
  <si>
    <t>青海の騎士</t>
  </si>
  <si>
    <t>ジュンヤ</t>
  </si>
  <si>
    <t>TOR</t>
  </si>
  <si>
    <t>メイアクト</t>
  </si>
  <si>
    <t>リリアーヌ</t>
  </si>
  <si>
    <t>@/へらんと_#</t>
  </si>
  <si>
    <t>麻雀と私</t>
  </si>
  <si>
    <t>Matuura</t>
  </si>
  <si>
    <t>ケイ１３</t>
  </si>
  <si>
    <t>メイジももんじゃ</t>
  </si>
  <si>
    <t>KANATA.H</t>
  </si>
  <si>
    <t>名脇役</t>
  </si>
  <si>
    <t>Dr.こうよう</t>
  </si>
  <si>
    <t>Mizu１１２１</t>
  </si>
  <si>
    <t>偽善者高橋みなみ</t>
  </si>
  <si>
    <t>松本健男</t>
  </si>
  <si>
    <t>〓究風〓</t>
  </si>
  <si>
    <t>gnysta</t>
  </si>
  <si>
    <t>おーいお茶</t>
  </si>
  <si>
    <t>ｱﾝﾊﾞｰ</t>
  </si>
  <si>
    <t>欅</t>
  </si>
  <si>
    <t>俺の人生まだ東場</t>
  </si>
  <si>
    <t>ジンジャーエール</t>
  </si>
  <si>
    <t>レオンリー。</t>
  </si>
  <si>
    <t>いーたん＠青葉</t>
  </si>
  <si>
    <t>本の虫</t>
  </si>
  <si>
    <t>般卓民の朝は早い</t>
  </si>
  <si>
    <t>Corak</t>
  </si>
  <si>
    <t>☆すいすい☆</t>
  </si>
  <si>
    <t>南極ダンサー</t>
  </si>
  <si>
    <t>ムラケン</t>
  </si>
  <si>
    <t>れっどあい</t>
  </si>
  <si>
    <t>jun-K</t>
  </si>
  <si>
    <t>わたぴん</t>
  </si>
  <si>
    <t>白の空</t>
  </si>
  <si>
    <t>たなかつ</t>
  </si>
  <si>
    <t>加納さん</t>
  </si>
  <si>
    <t>豚</t>
  </si>
  <si>
    <t>白帯＠月岡道場</t>
  </si>
  <si>
    <t>(*´ー｀)</t>
  </si>
  <si>
    <t>ほーりー</t>
  </si>
  <si>
    <t>本田翼</t>
  </si>
  <si>
    <t>はなび</t>
  </si>
  <si>
    <t>洩矢諏訪子</t>
  </si>
  <si>
    <t>ひぐらし絆</t>
  </si>
  <si>
    <t>赤阪郁乃</t>
  </si>
  <si>
    <t>sakura1s</t>
  </si>
  <si>
    <t>テラドリーム</t>
  </si>
  <si>
    <t>閃光の指圧師</t>
  </si>
  <si>
    <t>暇人＠配信垢</t>
  </si>
  <si>
    <t>pmjpmpa</t>
  </si>
  <si>
    <t>うしをつかう</t>
  </si>
  <si>
    <t>ゆうさくｐ</t>
  </si>
  <si>
    <t>融</t>
  </si>
  <si>
    <t>新子憧＠即鳴雀士</t>
  </si>
  <si>
    <t>くろはち</t>
  </si>
  <si>
    <t>ぽん＠牌賊</t>
  </si>
  <si>
    <t>もうりぃ</t>
  </si>
  <si>
    <t>長門は俺の嫁。</t>
  </si>
  <si>
    <t>tao345</t>
  </si>
  <si>
    <t>JARNAL</t>
  </si>
  <si>
    <t>第二音楽室</t>
  </si>
  <si>
    <t>武田舞彩</t>
  </si>
  <si>
    <t>根元から吹っ飛ぶ</t>
  </si>
  <si>
    <t>とだぁ！</t>
  </si>
  <si>
    <t>速い岩</t>
  </si>
  <si>
    <t>十字猛夫</t>
  </si>
  <si>
    <t>＊桜杜＊</t>
  </si>
  <si>
    <t>爆弾低気圧</t>
  </si>
  <si>
    <t>たかなしひな３才</t>
  </si>
  <si>
    <t>HAIHUN</t>
  </si>
  <si>
    <t>ひまじんＥＸ</t>
  </si>
  <si>
    <t>文豪</t>
  </si>
  <si>
    <t>ぺんぎんさん</t>
  </si>
  <si>
    <t>鳳姫</t>
  </si>
  <si>
    <t>Cr7</t>
  </si>
  <si>
    <t>キミの隣りで</t>
  </si>
  <si>
    <t>shimushi</t>
  </si>
  <si>
    <t>！？ｗ</t>
  </si>
  <si>
    <t>deb5</t>
  </si>
  <si>
    <t>Lemres</t>
  </si>
  <si>
    <t>Ponta</t>
  </si>
  <si>
    <t>澤村拓一</t>
  </si>
  <si>
    <t>ジャックランタン</t>
  </si>
  <si>
    <t>18F-FDG</t>
  </si>
  <si>
    <t>Sidecar</t>
  </si>
  <si>
    <t>toitoi4</t>
  </si>
  <si>
    <t>零番隊隊長</t>
  </si>
  <si>
    <t>deaiup.c</t>
  </si>
  <si>
    <t>「円」</t>
  </si>
  <si>
    <t>NaNa☆</t>
  </si>
  <si>
    <t>由良拓海</t>
  </si>
  <si>
    <t>.=風見一姫=</t>
  </si>
  <si>
    <t>銀融機関</t>
  </si>
  <si>
    <t>やのち</t>
  </si>
  <si>
    <t>.=上埜久=</t>
  </si>
  <si>
    <t>kaspar</t>
  </si>
  <si>
    <t>Dr.雀</t>
  </si>
  <si>
    <t>ステルスkino</t>
  </si>
  <si>
    <t>えだおり</t>
  </si>
  <si>
    <t>振られた</t>
  </si>
  <si>
    <t>実家TJ</t>
  </si>
  <si>
    <t>（｀・ω・）</t>
  </si>
  <si>
    <t>‡†コウメイ†‡</t>
  </si>
  <si>
    <t>ムク</t>
  </si>
  <si>
    <t>走り蕎麦屋</t>
  </si>
  <si>
    <t>ぇるぇる</t>
  </si>
  <si>
    <t>†守護天使†</t>
  </si>
  <si>
    <t>天才麻将呆呆</t>
  </si>
  <si>
    <t>onestar</t>
  </si>
  <si>
    <t>北のサウスポー</t>
  </si>
  <si>
    <t>古清水怜</t>
  </si>
  <si>
    <t>保癒身</t>
  </si>
  <si>
    <t>さわ</t>
  </si>
  <si>
    <t>tetsu/</t>
  </si>
  <si>
    <t>留チョロ</t>
  </si>
  <si>
    <t>群青日和＠</t>
  </si>
  <si>
    <t>爆弾五郎２</t>
  </si>
  <si>
    <t>プジョル</t>
  </si>
  <si>
    <t>ドールミー</t>
  </si>
  <si>
    <t>much</t>
  </si>
  <si>
    <t>布団＠働かない</t>
  </si>
  <si>
    <t>中達</t>
  </si>
  <si>
    <t>コじさん？</t>
  </si>
  <si>
    <t>えぬま'</t>
  </si>
  <si>
    <t>デース</t>
  </si>
  <si>
    <t>眼科医</t>
  </si>
  <si>
    <t>風津道</t>
  </si>
  <si>
    <t>Gullit</t>
  </si>
  <si>
    <t>うるきまる</t>
  </si>
  <si>
    <t>小浜</t>
  </si>
  <si>
    <t>damdam</t>
  </si>
  <si>
    <t>†Aqua†</t>
  </si>
  <si>
    <t>藍葉</t>
  </si>
  <si>
    <t>ビスコ</t>
  </si>
  <si>
    <t>naohiroｋ</t>
  </si>
  <si>
    <t>Aquarius</t>
  </si>
  <si>
    <t>明日花キラリ</t>
  </si>
  <si>
    <t>早田進</t>
  </si>
  <si>
    <t>梅トラ兄弟</t>
  </si>
  <si>
    <t>ざりがにくん</t>
  </si>
  <si>
    <t>sz.d1</t>
  </si>
  <si>
    <t>ita-p</t>
  </si>
  <si>
    <t>Wara^/^</t>
  </si>
  <si>
    <t>たんたかたん</t>
  </si>
  <si>
    <t>鴨葱痔郎</t>
  </si>
  <si>
    <t>ストロングゼロ</t>
  </si>
  <si>
    <t>EndTGene</t>
  </si>
  <si>
    <t>takoppe</t>
  </si>
  <si>
    <t>ピコマスティフ</t>
  </si>
  <si>
    <t>鴨葱太郎</t>
  </si>
  <si>
    <t>豚の丸焼き</t>
  </si>
  <si>
    <t>k.i....</t>
  </si>
  <si>
    <t>リフレクティア</t>
  </si>
  <si>
    <t>西木野真姫</t>
  </si>
  <si>
    <t>hayato☆</t>
  </si>
  <si>
    <t>おれてん</t>
  </si>
  <si>
    <t>みしゃくら</t>
  </si>
  <si>
    <t>黒い子猫</t>
  </si>
  <si>
    <t>白河いおり</t>
  </si>
  <si>
    <t>イヤァオ</t>
  </si>
  <si>
    <t>奏一</t>
  </si>
  <si>
    <t>Simoon</t>
  </si>
  <si>
    <t>すてはげ</t>
  </si>
  <si>
    <t>まはもさん</t>
  </si>
  <si>
    <t>硬骨漢@杏杏軍団</t>
  </si>
  <si>
    <t>時國弥夜子</t>
  </si>
  <si>
    <t>魅惑のG</t>
  </si>
  <si>
    <t>オラゴンクエスｔ</t>
  </si>
  <si>
    <t>紅衣</t>
  </si>
  <si>
    <t>無料天草</t>
  </si>
  <si>
    <t>つのだ☆ひろ</t>
  </si>
  <si>
    <t>chrousa</t>
  </si>
  <si>
    <t>五代目ぶたじろう</t>
  </si>
  <si>
    <t>つっき～2nd</t>
  </si>
  <si>
    <t>鳳弥</t>
  </si>
  <si>
    <t>わた坊☆</t>
  </si>
  <si>
    <t>G.K.</t>
  </si>
  <si>
    <t>熊鷹</t>
  </si>
  <si>
    <t>パネポン</t>
  </si>
  <si>
    <t>Hibiki</t>
  </si>
  <si>
    <t>(´―ω―`)</t>
  </si>
  <si>
    <t>【蒼琉】</t>
  </si>
  <si>
    <t>相戸優希</t>
  </si>
  <si>
    <t>かとせー</t>
  </si>
  <si>
    <t>すたーらいとびー</t>
  </si>
  <si>
    <t>模索中</t>
  </si>
  <si>
    <t>Antidote</t>
  </si>
  <si>
    <t>takesi@</t>
  </si>
  <si>
    <t>ぼく青ダヌキ</t>
  </si>
  <si>
    <t>TaNaka</t>
  </si>
  <si>
    <t>ふもにぎ</t>
  </si>
  <si>
    <t>とぐろせんぱい</t>
  </si>
  <si>
    <t>zoo1964</t>
  </si>
  <si>
    <t>yu-----u</t>
  </si>
  <si>
    <t>星来オルジェル</t>
  </si>
  <si>
    <t>ozaoza77</t>
  </si>
  <si>
    <t>今日からガチ</t>
  </si>
  <si>
    <t>剣桃太郎</t>
  </si>
  <si>
    <t>吸血兎</t>
  </si>
  <si>
    <t>小池美波⊿</t>
  </si>
  <si>
    <t>ハマー</t>
  </si>
  <si>
    <t>ンモ</t>
  </si>
  <si>
    <t>RB10</t>
  </si>
  <si>
    <t>ぴらえ@くろーむ</t>
  </si>
  <si>
    <t>Yamaraaa</t>
  </si>
  <si>
    <t>r0310</t>
  </si>
  <si>
    <t>新沢靖臣</t>
  </si>
  <si>
    <t>rattatta</t>
  </si>
  <si>
    <t>フルスイング綾奈</t>
  </si>
  <si>
    <t>美しすぎる爆弾岩</t>
  </si>
  <si>
    <t>笹餅</t>
  </si>
  <si>
    <t>高橋としみ</t>
  </si>
  <si>
    <t>外道</t>
  </si>
  <si>
    <t>こち</t>
  </si>
  <si>
    <t>かぶ茶</t>
  </si>
  <si>
    <t>キノック老師</t>
  </si>
  <si>
    <t>月宮刹那</t>
  </si>
  <si>
    <t>ギガマイン</t>
  </si>
  <si>
    <t>七星球</t>
  </si>
  <si>
    <t>nyasuvi</t>
  </si>
  <si>
    <t>見知らぬ青天井</t>
  </si>
  <si>
    <t>少女ファイト</t>
  </si>
  <si>
    <t>ノンラス打法</t>
  </si>
  <si>
    <t>fuji229</t>
  </si>
  <si>
    <t>昼から飲めます</t>
  </si>
  <si>
    <t>いくやま☆さむお</t>
  </si>
  <si>
    <t>博麗霊夢</t>
  </si>
  <si>
    <t>伊藤万理華</t>
  </si>
  <si>
    <t>s_ok</t>
  </si>
  <si>
    <t>haruru91</t>
  </si>
  <si>
    <t>Basser</t>
  </si>
  <si>
    <t>subter</t>
  </si>
  <si>
    <t>遡行</t>
  </si>
  <si>
    <t>黒猫＾－＾</t>
  </si>
  <si>
    <t>あいあおい</t>
  </si>
  <si>
    <t>Yangnum</t>
  </si>
  <si>
    <t>miyavi</t>
  </si>
  <si>
    <t>古本</t>
  </si>
  <si>
    <t>木原浩一は老け顔</t>
  </si>
  <si>
    <t>チビタベッキオ</t>
  </si>
  <si>
    <t>うさぎファンシー</t>
  </si>
  <si>
    <t>白湯眠</t>
  </si>
  <si>
    <t>高鴨憧</t>
  </si>
  <si>
    <t>接点@QB</t>
  </si>
  <si>
    <t>ワームホール</t>
  </si>
  <si>
    <t>照信者</t>
  </si>
  <si>
    <t>国見比呂</t>
  </si>
  <si>
    <t>ピッコロ係長</t>
  </si>
  <si>
    <t>木原豪一</t>
  </si>
  <si>
    <t>raga-m</t>
  </si>
  <si>
    <t>中央大学3年</t>
  </si>
  <si>
    <t>MAK0104</t>
  </si>
  <si>
    <t>mato0603</t>
  </si>
  <si>
    <t>iwankofu</t>
  </si>
  <si>
    <t>ともとり～</t>
  </si>
  <si>
    <t>.=伊吹翼=</t>
  </si>
  <si>
    <t>team-ex</t>
  </si>
  <si>
    <t>AD普及委員会</t>
  </si>
  <si>
    <t>JUNKERS</t>
  </si>
  <si>
    <t>G2龍門</t>
  </si>
  <si>
    <t>雀βoу</t>
  </si>
  <si>
    <t>十三代目次元大介</t>
  </si>
  <si>
    <t>秋庭裡香</t>
  </si>
  <si>
    <t>kkkss666</t>
  </si>
  <si>
    <t>１６円</t>
  </si>
  <si>
    <t>孫策</t>
  </si>
  <si>
    <t>ちみちゃん</t>
  </si>
  <si>
    <t>夏なのに</t>
  </si>
  <si>
    <t>最終形立直</t>
  </si>
  <si>
    <t>みこにゃー</t>
  </si>
  <si>
    <t>路地裏のひまわり</t>
  </si>
  <si>
    <t>neo@uni</t>
  </si>
  <si>
    <t>神威麗璃</t>
  </si>
  <si>
    <t>強打愛好家</t>
  </si>
  <si>
    <t>Thrive</t>
  </si>
  <si>
    <t>おおみやまり。</t>
  </si>
  <si>
    <t>父ちゃん見てる？</t>
  </si>
  <si>
    <t>VvVvV</t>
  </si>
  <si>
    <t>yinner06</t>
  </si>
  <si>
    <t>ONE</t>
  </si>
  <si>
    <t>牌賊くん</t>
  </si>
  <si>
    <t>kuro*</t>
  </si>
  <si>
    <t>豚本豚程</t>
  </si>
  <si>
    <t>腹ペコ♪</t>
  </si>
  <si>
    <t>わせりん</t>
  </si>
  <si>
    <t>黒い養分</t>
  </si>
  <si>
    <t>テレビっ子</t>
  </si>
  <si>
    <t>寛ピエロ</t>
  </si>
  <si>
    <t>チョコロボクン</t>
  </si>
  <si>
    <t>とうきもん</t>
  </si>
  <si>
    <t>功力</t>
  </si>
  <si>
    <t>笑いの神</t>
  </si>
  <si>
    <t>ぴのこ</t>
  </si>
  <si>
    <t>tutiya</t>
  </si>
  <si>
    <t>歌舞伎君</t>
  </si>
  <si>
    <t>irving</t>
  </si>
  <si>
    <t>K。</t>
  </si>
  <si>
    <t>ガミゴン</t>
  </si>
  <si>
    <t>ひらっさん</t>
  </si>
  <si>
    <t>七香</t>
  </si>
  <si>
    <t>三島八雲</t>
  </si>
  <si>
    <t>緒方智絵里+</t>
  </si>
  <si>
    <t>mas_</t>
  </si>
  <si>
    <t>虹色未来</t>
  </si>
  <si>
    <t>ハンゲープロ</t>
  </si>
  <si>
    <t>popoiz</t>
  </si>
  <si>
    <t>きよぴん</t>
  </si>
  <si>
    <t>rana*</t>
  </si>
  <si>
    <t>mirufa</t>
  </si>
  <si>
    <t>なるT</t>
  </si>
  <si>
    <t>トレハロース</t>
  </si>
  <si>
    <t>ゆうたん</t>
  </si>
  <si>
    <t>カイちゃん</t>
  </si>
  <si>
    <t>メカゼットン</t>
  </si>
  <si>
    <t>めーと</t>
  </si>
  <si>
    <t>プロキシー</t>
  </si>
  <si>
    <t>中川かのん</t>
  </si>
  <si>
    <t>じぇる</t>
  </si>
  <si>
    <t>akb0000</t>
  </si>
  <si>
    <t>範馬</t>
  </si>
  <si>
    <t>まいったね</t>
  </si>
  <si>
    <t>〓松井ＣＳ〓</t>
  </si>
  <si>
    <t>三尺玉</t>
  </si>
  <si>
    <t>CrazyGus</t>
  </si>
  <si>
    <t>仮鳳凰民</t>
  </si>
  <si>
    <t>ふくろう109</t>
  </si>
  <si>
    <t>中部地方</t>
  </si>
  <si>
    <t>ハズレ(^Д^)</t>
  </si>
  <si>
    <t>博徒</t>
  </si>
  <si>
    <t>しあーん</t>
  </si>
  <si>
    <t>bonos..</t>
  </si>
  <si>
    <t>にこぷり麻雀道.</t>
  </si>
  <si>
    <t>イチロクザンニ</t>
  </si>
  <si>
    <t>赫莱森</t>
  </si>
  <si>
    <t>腹痛戦士モレル</t>
  </si>
  <si>
    <t>zkurt</t>
  </si>
  <si>
    <t>-灼熱ノ波動-</t>
  </si>
  <si>
    <t>◇冬の陽炎◇</t>
  </si>
  <si>
    <t>ねじしき</t>
  </si>
  <si>
    <t>篠原明里</t>
  </si>
  <si>
    <t>宮崎県代表</t>
  </si>
  <si>
    <t>小平ルネ</t>
  </si>
  <si>
    <t>紗有</t>
  </si>
  <si>
    <t>まくどなるなるど</t>
  </si>
  <si>
    <t>moyo</t>
  </si>
  <si>
    <t>Kitamura</t>
  </si>
  <si>
    <t>＠みや</t>
  </si>
  <si>
    <t>ONAKAN</t>
  </si>
  <si>
    <t>めが３</t>
  </si>
  <si>
    <t>鷹正の倅＝富猫</t>
  </si>
  <si>
    <t>刻子市民</t>
  </si>
  <si>
    <t>akaunto</t>
  </si>
  <si>
    <t>裏のまた裏話</t>
  </si>
  <si>
    <t>ガク、</t>
  </si>
  <si>
    <t>一日一試合</t>
  </si>
  <si>
    <t>たんにゃお！</t>
  </si>
  <si>
    <t>ikki0607</t>
  </si>
  <si>
    <t>ぺー</t>
  </si>
  <si>
    <t>錯乱カルピス</t>
  </si>
  <si>
    <t>butitama</t>
  </si>
  <si>
    <t>gogo-ゴリラ</t>
  </si>
  <si>
    <t>rasberry</t>
  </si>
  <si>
    <t>気レンジャー</t>
  </si>
  <si>
    <t>ビッグダディ</t>
  </si>
  <si>
    <t>大鳥香奈枝</t>
  </si>
  <si>
    <t>ぷんぷん！</t>
  </si>
  <si>
    <t>LET</t>
  </si>
  <si>
    <t>りめろ</t>
  </si>
  <si>
    <t>lg21</t>
  </si>
  <si>
    <t>HRPN</t>
  </si>
  <si>
    <t>みけねこ。</t>
  </si>
  <si>
    <t>まぁ坊</t>
  </si>
  <si>
    <t>五輪書ガール</t>
  </si>
  <si>
    <t>jan623</t>
  </si>
  <si>
    <t>菊門開花</t>
  </si>
  <si>
    <t>高等遊民</t>
  </si>
  <si>
    <t>yjiro</t>
  </si>
  <si>
    <t>あっオリました</t>
  </si>
  <si>
    <t>ロンの実</t>
  </si>
  <si>
    <t>adp10</t>
  </si>
  <si>
    <t>桃ノ助</t>
  </si>
  <si>
    <t>中卒の高橋</t>
  </si>
  <si>
    <t>交雀知愛</t>
  </si>
  <si>
    <t>★新垣あやせ★</t>
  </si>
  <si>
    <t>cloowdo</t>
  </si>
  <si>
    <t>nb49</t>
  </si>
  <si>
    <t>人生振るゼンツ</t>
  </si>
  <si>
    <t>SANSAN</t>
  </si>
  <si>
    <t>40万だった人外</t>
  </si>
  <si>
    <t>restart</t>
  </si>
  <si>
    <t>今夜が山田.</t>
  </si>
  <si>
    <t>葵月</t>
  </si>
  <si>
    <t>たくじろう</t>
  </si>
  <si>
    <t>◆cliff◆</t>
  </si>
  <si>
    <t>046japan</t>
  </si>
  <si>
    <t>みる＠声優</t>
  </si>
  <si>
    <t>℃-ute</t>
  </si>
  <si>
    <t>イリヤたん大好き</t>
  </si>
  <si>
    <t>ClariS</t>
  </si>
  <si>
    <t>みっぺー</t>
  </si>
  <si>
    <t>＄ナナシー￥</t>
  </si>
  <si>
    <t>凶介@杏杏軍団</t>
  </si>
  <si>
    <t>りゆー</t>
  </si>
  <si>
    <t>秋赤音</t>
  </si>
  <si>
    <t>避けるチーズ</t>
  </si>
  <si>
    <t>ウィンD</t>
  </si>
  <si>
    <t>donchan3</t>
  </si>
  <si>
    <t>玄太郎</t>
  </si>
  <si>
    <t>デネボラ</t>
  </si>
  <si>
    <t>&lt;&gt;</t>
  </si>
  <si>
    <t>FLAME</t>
  </si>
  <si>
    <t>喧嘩師☆花山</t>
  </si>
  <si>
    <t>★LUCK</t>
  </si>
  <si>
    <t>RATEL</t>
  </si>
  <si>
    <t>タキオン</t>
  </si>
  <si>
    <t>鬼畜戦士</t>
  </si>
  <si>
    <t>ニャッピー夏目</t>
  </si>
  <si>
    <t>状態麻雀</t>
  </si>
  <si>
    <t>我破魔</t>
  </si>
  <si>
    <t>gomaham</t>
  </si>
  <si>
    <t>ozaoza39</t>
  </si>
  <si>
    <t>まゆしぃ☆</t>
  </si>
  <si>
    <t>頭ハネ</t>
  </si>
  <si>
    <t>どくちくわ</t>
  </si>
  <si>
    <t>吉行志香子</t>
  </si>
  <si>
    <t>緋炉タロウ</t>
  </si>
  <si>
    <t>人間文良</t>
  </si>
  <si>
    <t>ネッシー</t>
  </si>
  <si>
    <t>朝倉月奈</t>
  </si>
  <si>
    <t>Ｒ－指定</t>
  </si>
  <si>
    <t>常勝燕軍団</t>
  </si>
  <si>
    <t>フーガ</t>
  </si>
  <si>
    <t>Ｋ＠翠星石</t>
  </si>
  <si>
    <t>オウム（鳥）</t>
  </si>
  <si>
    <t>基本だけ</t>
  </si>
  <si>
    <t>ゴリラァポ</t>
  </si>
  <si>
    <t>青ベントラー</t>
  </si>
  <si>
    <t>xmittsuu</t>
  </si>
  <si>
    <t>ふおん・ザ・外道</t>
  </si>
  <si>
    <t>ラス太</t>
  </si>
  <si>
    <t>kkkkrrrr</t>
  </si>
  <si>
    <t>Kajino</t>
  </si>
  <si>
    <t>ぷりぷり２００１</t>
  </si>
  <si>
    <t>nopposan</t>
  </si>
  <si>
    <t>うけながした</t>
  </si>
  <si>
    <t>lilhama</t>
  </si>
  <si>
    <t>雲のジュウザ</t>
  </si>
  <si>
    <t>イズミン</t>
  </si>
  <si>
    <t>心の旋律</t>
  </si>
  <si>
    <t>ronja</t>
  </si>
  <si>
    <t>びりびり☆ビリー</t>
  </si>
  <si>
    <t>プリンス★</t>
  </si>
  <si>
    <t>shoot39</t>
  </si>
  <si>
    <t>donni</t>
  </si>
  <si>
    <t>イカ娘</t>
  </si>
  <si>
    <t>不許可</t>
  </si>
  <si>
    <t>にっちょ</t>
  </si>
  <si>
    <t>bospa</t>
  </si>
  <si>
    <t>りとる。。</t>
  </si>
  <si>
    <t>駄妹</t>
  </si>
  <si>
    <t>超絶備長炭</t>
  </si>
  <si>
    <t>ΚΕΙ</t>
  </si>
  <si>
    <t>夢見る少女</t>
  </si>
  <si>
    <t>幾何学専攻</t>
  </si>
  <si>
    <t>ひつまjapan</t>
  </si>
  <si>
    <t>シロッコ♪</t>
  </si>
  <si>
    <t>西園寺靖子</t>
  </si>
  <si>
    <t>MOD</t>
  </si>
  <si>
    <t>あやぽんず*</t>
  </si>
  <si>
    <t>TENTOKI</t>
  </si>
  <si>
    <t>KRJ</t>
  </si>
  <si>
    <t>☆東雲なの☆</t>
  </si>
  <si>
    <t>荒川啓吾</t>
  </si>
  <si>
    <t>星のおじい様</t>
  </si>
  <si>
    <t>man_ko</t>
  </si>
  <si>
    <t>理不尽大王2</t>
  </si>
  <si>
    <t>帰りたい。</t>
  </si>
  <si>
    <t>kousuke5</t>
  </si>
  <si>
    <t>健麻からの刺客</t>
  </si>
  <si>
    <t>安斎</t>
  </si>
  <si>
    <t>天岩戸</t>
  </si>
  <si>
    <t>paraonde</t>
  </si>
  <si>
    <t>nijihu</t>
  </si>
  <si>
    <t>＋α</t>
  </si>
  <si>
    <t>35+</t>
  </si>
  <si>
    <t>甘粕つばめ</t>
  </si>
  <si>
    <t>ロンが打ちます</t>
  </si>
  <si>
    <t>チャーミー</t>
  </si>
  <si>
    <t>人造人間７号</t>
  </si>
  <si>
    <t>窓付き.</t>
  </si>
  <si>
    <t>楠幸村</t>
  </si>
  <si>
    <t>ムクドリ伯爵</t>
  </si>
  <si>
    <t>miriri</t>
  </si>
  <si>
    <t>dabuchi</t>
  </si>
  <si>
    <t>ねぷねぷ</t>
  </si>
  <si>
    <t>越智にゃん</t>
  </si>
  <si>
    <t>どーも僕です</t>
  </si>
  <si>
    <t>373a</t>
  </si>
  <si>
    <t>katerina</t>
  </si>
  <si>
    <t>アトミックリーチ</t>
  </si>
  <si>
    <t>豆特ぽっくん</t>
  </si>
  <si>
    <t>tuckbock</t>
  </si>
  <si>
    <t>\はちきょう/</t>
  </si>
  <si>
    <t>一般卓代表</t>
  </si>
  <si>
    <t>影虎</t>
  </si>
  <si>
    <t>K.G.L</t>
  </si>
  <si>
    <t>Gヨ龍門</t>
  </si>
  <si>
    <t>powter</t>
  </si>
  <si>
    <t>leomooo</t>
  </si>
  <si>
    <t>無精ひげ</t>
  </si>
  <si>
    <t>ごぅぱぁおじさん</t>
  </si>
  <si>
    <t>パンチョリーナ改</t>
  </si>
  <si>
    <t>★鳳蝶</t>
  </si>
  <si>
    <t>南南南</t>
  </si>
  <si>
    <t>フリコンドル</t>
  </si>
  <si>
    <t>－rimu－</t>
  </si>
  <si>
    <t>ポコピン</t>
  </si>
  <si>
    <t>soumilon</t>
  </si>
  <si>
    <t>不二咲千尋</t>
  </si>
  <si>
    <t>りゅぅ</t>
  </si>
  <si>
    <t>そんなことない</t>
  </si>
  <si>
    <t>kei-kei</t>
  </si>
  <si>
    <t>ぬ～ゐ～</t>
  </si>
  <si>
    <t>高町ヴィヴィオ☆</t>
  </si>
  <si>
    <t>中川内雪音</t>
  </si>
  <si>
    <t>チーター</t>
  </si>
  <si>
    <t>むねさん</t>
  </si>
  <si>
    <t>むー子</t>
  </si>
  <si>
    <t>lyon_08</t>
  </si>
  <si>
    <t>天空saya</t>
  </si>
  <si>
    <t>ぴおぴお１１</t>
  </si>
  <si>
    <t>G.A</t>
  </si>
  <si>
    <t>ヤッタルチャン</t>
  </si>
  <si>
    <t>すばらっ★</t>
  </si>
  <si>
    <t>kのdesu</t>
  </si>
  <si>
    <t>&gt;_0@杏杏軍團</t>
  </si>
  <si>
    <t>rythem</t>
  </si>
  <si>
    <t>ジンクピリチオン</t>
  </si>
  <si>
    <t>タケタケタケ</t>
  </si>
  <si>
    <t>kiyodai</t>
  </si>
  <si>
    <t>アニメ好きな誰か</t>
  </si>
  <si>
    <t>ゆっくり妖夢</t>
  </si>
  <si>
    <t>yami</t>
  </si>
  <si>
    <t>雀鬼蔵戸</t>
  </si>
  <si>
    <t>kei23</t>
  </si>
  <si>
    <t>あんごら兎</t>
  </si>
  <si>
    <t>takuaka</t>
  </si>
  <si>
    <t>NISHI</t>
  </si>
  <si>
    <t>種島ぽぷら</t>
  </si>
  <si>
    <t>レオズルエタ</t>
  </si>
  <si>
    <t>ikedada</t>
  </si>
  <si>
    <t>チリ人妻アニータ</t>
  </si>
  <si>
    <t>破片</t>
  </si>
  <si>
    <t>yokowash</t>
  </si>
  <si>
    <t>荻吉</t>
  </si>
  <si>
    <t>夏の夜の夢</t>
  </si>
  <si>
    <t>SimaTomo</t>
  </si>
  <si>
    <t>ジャックフ口スト</t>
  </si>
  <si>
    <t>四段</t>
  </si>
  <si>
    <t>pi-po</t>
  </si>
  <si>
    <t>はんむらび</t>
  </si>
  <si>
    <t>アクリル</t>
  </si>
  <si>
    <t>大和田専務</t>
  </si>
  <si>
    <t>stty</t>
  </si>
  <si>
    <t>：不動：</t>
  </si>
  <si>
    <t>QBアイリ</t>
  </si>
  <si>
    <t>打牌を正確に！</t>
  </si>
  <si>
    <t>クラゲくん</t>
  </si>
  <si>
    <t>トサけん</t>
  </si>
  <si>
    <t>binaria</t>
  </si>
  <si>
    <t>mirufa2</t>
  </si>
  <si>
    <t>雷直撃☆２回目</t>
  </si>
  <si>
    <t>河嶋KK</t>
  </si>
  <si>
    <t>般卓の養分</t>
  </si>
  <si>
    <t>㈱リコぴょん</t>
  </si>
  <si>
    <t>deuxmill</t>
  </si>
  <si>
    <t>junn.i</t>
  </si>
  <si>
    <t>雪月風花</t>
  </si>
  <si>
    <t>ファスト</t>
  </si>
  <si>
    <t>ささにょき</t>
  </si>
  <si>
    <t>siera401</t>
  </si>
  <si>
    <t>カリスマ⑨</t>
  </si>
  <si>
    <t>代官山すみれ</t>
  </si>
  <si>
    <t>みみのこ</t>
  </si>
  <si>
    <t>（*´ー｀*）</t>
  </si>
  <si>
    <t>りさま</t>
  </si>
  <si>
    <t>Gomoao</t>
  </si>
  <si>
    <t>SPICA@X</t>
  </si>
  <si>
    <t>hase328</t>
  </si>
  <si>
    <t>超時空惑星</t>
  </si>
  <si>
    <t>☆弥七☆</t>
  </si>
  <si>
    <t>僕だけがいない街</t>
  </si>
  <si>
    <t>直特|阪神梅田</t>
  </si>
  <si>
    <t>副寮長</t>
  </si>
  <si>
    <t>loveyou</t>
  </si>
  <si>
    <t>redsreds</t>
  </si>
  <si>
    <t>3rdstage</t>
  </si>
  <si>
    <t>ぼちぼちやるか</t>
  </si>
  <si>
    <t>初代☆</t>
  </si>
  <si>
    <t>まおらん</t>
  </si>
  <si>
    <t>えし！えし！</t>
  </si>
  <si>
    <t>ASP</t>
  </si>
  <si>
    <t>アーシェスネイ</t>
  </si>
  <si>
    <t>オアリムの詠唱</t>
  </si>
  <si>
    <t>kickchi</t>
  </si>
  <si>
    <t>高村＠確変</t>
  </si>
  <si>
    <t>goemon1</t>
  </si>
  <si>
    <t>無神論者</t>
  </si>
  <si>
    <t>赤ウーふりこみん</t>
  </si>
  <si>
    <t>ジェント</t>
  </si>
  <si>
    <t>shapeler</t>
  </si>
  <si>
    <t>sogo</t>
  </si>
  <si>
    <t>博麗ゆかり</t>
  </si>
  <si>
    <t>とうふメンタル</t>
  </si>
  <si>
    <t>ヌップ</t>
  </si>
  <si>
    <t>のあマスター</t>
  </si>
  <si>
    <t>ロッテ雀球</t>
  </si>
  <si>
    <t>ゴッサム</t>
  </si>
  <si>
    <t>リグル</t>
  </si>
  <si>
    <t>shengun</t>
  </si>
  <si>
    <t>知らんし</t>
  </si>
  <si>
    <t>Masat</t>
  </si>
  <si>
    <t>longo2</t>
  </si>
  <si>
    <t>junon</t>
  </si>
  <si>
    <t>虎皮猫</t>
  </si>
  <si>
    <t>瑞原はやりプロ</t>
  </si>
  <si>
    <t>抹茶味の抹茶</t>
  </si>
  <si>
    <t>にゃんこ＠先生</t>
  </si>
  <si>
    <t>らいちょう</t>
  </si>
  <si>
    <t>tori0612</t>
  </si>
  <si>
    <t>zacc</t>
  </si>
  <si>
    <t>アニオン２</t>
  </si>
  <si>
    <t>小日向美穂＋</t>
  </si>
  <si>
    <t>私はがちほも</t>
  </si>
  <si>
    <t>俺の嫁</t>
  </si>
  <si>
    <t>バドラック</t>
  </si>
  <si>
    <t>源之助</t>
  </si>
  <si>
    <t>ゲド</t>
  </si>
  <si>
    <t>新世界の紙</t>
  </si>
  <si>
    <t>詩織</t>
  </si>
  <si>
    <t>わびすけ</t>
  </si>
  <si>
    <t>Mt.dew</t>
  </si>
  <si>
    <t>kuraguma</t>
  </si>
  <si>
    <t>ヘクサー</t>
  </si>
  <si>
    <t>Lask&amp;Yu</t>
  </si>
  <si>
    <t>Rikuo</t>
  </si>
  <si>
    <t>ヴム９て</t>
  </si>
  <si>
    <t>.=いろは=</t>
  </si>
  <si>
    <t>河田ニャンコ</t>
  </si>
  <si>
    <t>@純ちゃん</t>
  </si>
  <si>
    <t>faze</t>
  </si>
  <si>
    <t>s&amp;co.</t>
  </si>
  <si>
    <t>√double</t>
  </si>
  <si>
    <t>南星明日歩</t>
  </si>
  <si>
    <t>北越せっぷ</t>
  </si>
  <si>
    <t>Ｗ楽勝Ｗ</t>
  </si>
  <si>
    <t>warning</t>
  </si>
  <si>
    <t>T・S・F</t>
  </si>
  <si>
    <t>Hakamada</t>
  </si>
  <si>
    <t>じじいが呼んだ</t>
  </si>
  <si>
    <t>きも</t>
  </si>
  <si>
    <t>クロハエ</t>
  </si>
  <si>
    <t>サムスン０１</t>
  </si>
  <si>
    <t>ぶるむべあ</t>
  </si>
  <si>
    <t>ぉゃすみ</t>
  </si>
  <si>
    <t>Clairawl</t>
  </si>
  <si>
    <t>こっとにうむ</t>
  </si>
  <si>
    <t>主席</t>
  </si>
  <si>
    <t>かづきＸＩ</t>
  </si>
  <si>
    <t>鳳南最速</t>
  </si>
  <si>
    <t>◎←O～</t>
  </si>
  <si>
    <t>〓ワイルド２号〓</t>
  </si>
  <si>
    <t>上段青テン</t>
  </si>
  <si>
    <t>vagio</t>
  </si>
  <si>
    <t>くまごろう</t>
  </si>
  <si>
    <t>トモワカコウ</t>
  </si>
  <si>
    <t>hajnal</t>
  </si>
  <si>
    <t>牌神</t>
  </si>
  <si>
    <t>深水藍</t>
  </si>
  <si>
    <t>瀬戸ファーブ</t>
  </si>
  <si>
    <t>satoruSP</t>
  </si>
  <si>
    <t>麻雀PRIDE</t>
  </si>
  <si>
    <t>MSN</t>
  </si>
  <si>
    <t>Packer</t>
  </si>
  <si>
    <t>kura2345</t>
  </si>
  <si>
    <t>tanakata</t>
  </si>
  <si>
    <t>ＢlueGoat</t>
  </si>
  <si>
    <t>SUPERCAR</t>
  </si>
  <si>
    <t>Poxy</t>
  </si>
  <si>
    <t>Ohtake</t>
  </si>
  <si>
    <t>ATM1429</t>
  </si>
  <si>
    <t>イノウエカズマ</t>
  </si>
  <si>
    <t>椎名翼</t>
  </si>
  <si>
    <t>桜井さん</t>
  </si>
  <si>
    <t>娘。</t>
  </si>
  <si>
    <t>ミネストローネ</t>
  </si>
  <si>
    <t>TOMOGE</t>
  </si>
  <si>
    <t>喜緑江美里</t>
  </si>
  <si>
    <t>もぐら000</t>
  </si>
  <si>
    <t>あさぴん＠ｍｊ</t>
  </si>
  <si>
    <t>kgripjt</t>
  </si>
  <si>
    <t>馬了隔壁</t>
  </si>
  <si>
    <t>フリーザ様</t>
  </si>
  <si>
    <t>BANDIT</t>
  </si>
  <si>
    <t>剣城</t>
  </si>
  <si>
    <t>となみ</t>
  </si>
  <si>
    <t>モン吉</t>
  </si>
  <si>
    <t>弱小雀荘店員</t>
  </si>
  <si>
    <t>ddmu</t>
  </si>
  <si>
    <t>moe.n</t>
  </si>
  <si>
    <t>リコちゃん</t>
  </si>
  <si>
    <t>西園寺靖子、</t>
  </si>
  <si>
    <t>MKZ</t>
  </si>
  <si>
    <t>くろふねtk</t>
  </si>
  <si>
    <t>Flere</t>
  </si>
  <si>
    <t>ポイズン</t>
  </si>
  <si>
    <t>＊イッパツ＊</t>
  </si>
  <si>
    <t>きききりんです。</t>
  </si>
  <si>
    <t>えぞじろう</t>
  </si>
  <si>
    <t>楽しんご</t>
  </si>
  <si>
    <t>佐々木彩夏</t>
  </si>
  <si>
    <t>盗賊ぬこ</t>
  </si>
  <si>
    <t>muumuu</t>
  </si>
  <si>
    <t>ふかしん</t>
  </si>
  <si>
    <t>大天使マミ</t>
  </si>
  <si>
    <t>ハマノブルク</t>
  </si>
  <si>
    <t>haijin55</t>
  </si>
  <si>
    <t>世界の青木</t>
  </si>
  <si>
    <t>Ri-Mo-</t>
  </si>
  <si>
    <t>平井銀二</t>
  </si>
  <si>
    <t>ミノリ</t>
  </si>
  <si>
    <t>fm44</t>
  </si>
  <si>
    <t>関ケ原</t>
  </si>
  <si>
    <t>nankichi</t>
  </si>
  <si>
    <t>鉄丸</t>
  </si>
  <si>
    <t>雀歴3年</t>
  </si>
  <si>
    <t>舘田浩翔</t>
  </si>
  <si>
    <t>85歳ＯＬ</t>
  </si>
  <si>
    <t>真田昌幸</t>
  </si>
  <si>
    <t>jyunoh</t>
  </si>
  <si>
    <t>palu</t>
  </si>
  <si>
    <t>あるちゃん</t>
  </si>
  <si>
    <t>MI@428</t>
  </si>
  <si>
    <t>†XTEND†</t>
  </si>
  <si>
    <t>てんてて</t>
  </si>
  <si>
    <t>うきでん</t>
  </si>
  <si>
    <t>湊斗かげあき</t>
  </si>
  <si>
    <t>そるふぁー</t>
  </si>
  <si>
    <t>いなか９</t>
  </si>
  <si>
    <t>FubFive</t>
  </si>
  <si>
    <t>支倉竜</t>
  </si>
  <si>
    <t>茶色のアレ</t>
  </si>
  <si>
    <t>UNKOchan</t>
  </si>
  <si>
    <t>harutin</t>
  </si>
  <si>
    <t>iodine</t>
  </si>
  <si>
    <t>長瀬宏之</t>
  </si>
  <si>
    <t>グレポン</t>
  </si>
  <si>
    <t>もうりぃ☆</t>
  </si>
  <si>
    <t>tetuko</t>
  </si>
  <si>
    <t>タモリ</t>
  </si>
  <si>
    <t>【ちゅのだ】</t>
  </si>
  <si>
    <t>ほむ子</t>
  </si>
  <si>
    <t>December</t>
  </si>
  <si>
    <t>伊藤伊藤伊藤</t>
  </si>
  <si>
    <t>彩ヶ亭</t>
  </si>
  <si>
    <t>admin2</t>
  </si>
  <si>
    <t>ノナメちゃん</t>
  </si>
  <si>
    <t>gaiaxxx</t>
  </si>
  <si>
    <t>海山河地</t>
  </si>
  <si>
    <t>新手285714</t>
  </si>
  <si>
    <t>elf</t>
  </si>
  <si>
    <t>氷河風</t>
  </si>
  <si>
    <t>こけし</t>
  </si>
  <si>
    <t>古川誠太郎</t>
  </si>
  <si>
    <t>菱小音</t>
  </si>
  <si>
    <t>シルビィ</t>
  </si>
  <si>
    <t>コーンポタージュ</t>
  </si>
  <si>
    <t>聖燐</t>
  </si>
  <si>
    <t>音無小夜</t>
  </si>
  <si>
    <t>文四郎</t>
  </si>
  <si>
    <t>石橋幸祐（本人）</t>
  </si>
  <si>
    <t>新潟ドラゴン</t>
  </si>
  <si>
    <t>山わさび</t>
  </si>
  <si>
    <t>￡ぺんぺん￡</t>
  </si>
  <si>
    <t>やむやむ。</t>
  </si>
  <si>
    <t>うなぎ</t>
  </si>
  <si>
    <t>からくり屋敷</t>
  </si>
  <si>
    <t>C-minor♪</t>
  </si>
  <si>
    <t>water@sr</t>
  </si>
  <si>
    <t>ののます</t>
  </si>
  <si>
    <t>くらまもん</t>
  </si>
  <si>
    <t>チチカカ湖</t>
  </si>
  <si>
    <t>ありかたん</t>
  </si>
  <si>
    <t>うけながすぜ</t>
  </si>
  <si>
    <t>どわんご</t>
  </si>
  <si>
    <t>yabai</t>
  </si>
  <si>
    <t>川村晃裕（両方）</t>
  </si>
  <si>
    <t>野良猫ロック</t>
  </si>
  <si>
    <t>yot123</t>
  </si>
  <si>
    <t>椛南</t>
  </si>
  <si>
    <t>３年ぶり３回目</t>
  </si>
  <si>
    <t>伝説のニート</t>
  </si>
  <si>
    <t>田中健二郎十段</t>
  </si>
  <si>
    <t>牌流定石最高</t>
  </si>
  <si>
    <t>ちびひな</t>
  </si>
  <si>
    <t>ふなっく</t>
  </si>
  <si>
    <t>血煙</t>
  </si>
  <si>
    <t>坊やアツ</t>
  </si>
  <si>
    <t>magico</t>
  </si>
  <si>
    <t>青空片思い</t>
  </si>
  <si>
    <t>reo_BB</t>
  </si>
  <si>
    <t>えびす9/9</t>
  </si>
  <si>
    <t>EUREKA14</t>
  </si>
  <si>
    <t>常勝？？プロ</t>
  </si>
  <si>
    <t>オナニスト伝田</t>
  </si>
  <si>
    <t>手打ちきしめん</t>
  </si>
  <si>
    <t>散華.</t>
  </si>
  <si>
    <t>らかんか</t>
  </si>
  <si>
    <t>朔犬</t>
  </si>
  <si>
    <t>mikoto@m</t>
  </si>
  <si>
    <t>Ksrma404</t>
  </si>
  <si>
    <t>べっこー♪</t>
  </si>
  <si>
    <t>タケオしゃん</t>
  </si>
  <si>
    <t>人生終わった</t>
  </si>
  <si>
    <t>中尾</t>
  </si>
  <si>
    <t>nkjsh</t>
  </si>
  <si>
    <t>＝伊藤かな恵＝</t>
  </si>
  <si>
    <t>じゃむ♭</t>
  </si>
  <si>
    <t>フレーズノ</t>
  </si>
  <si>
    <t>がやT</t>
  </si>
  <si>
    <t>＠桜井＠</t>
  </si>
  <si>
    <t>＊宮永照＊</t>
  </si>
  <si>
    <t>yamada</t>
  </si>
  <si>
    <t>チャオリ</t>
  </si>
  <si>
    <t>あがれる間6s</t>
  </si>
  <si>
    <t>full-tp!</t>
  </si>
  <si>
    <t>かぼちゃぱんつ</t>
  </si>
  <si>
    <t>Lon.</t>
  </si>
  <si>
    <t>アルマヴィーヴァ</t>
  </si>
  <si>
    <t>これはスジヒだわ</t>
  </si>
  <si>
    <t>Seria</t>
  </si>
  <si>
    <t>玩個JB</t>
  </si>
  <si>
    <t>Che</t>
  </si>
  <si>
    <t>TCT</t>
  </si>
  <si>
    <t>money...</t>
  </si>
  <si>
    <t>hinajinn</t>
  </si>
  <si>
    <t>arcti</t>
  </si>
  <si>
    <t>エステー</t>
  </si>
  <si>
    <t>ＹＮＴＩＴ</t>
  </si>
  <si>
    <t>中山野草</t>
  </si>
  <si>
    <t>一閃さん</t>
  </si>
  <si>
    <t>柊まどか</t>
  </si>
  <si>
    <t>weismel</t>
  </si>
  <si>
    <t>王小花</t>
  </si>
  <si>
    <t>寡人</t>
  </si>
  <si>
    <t>バードン</t>
  </si>
  <si>
    <t>tonnura</t>
  </si>
  <si>
    <t>鈴屋内五曲</t>
  </si>
  <si>
    <t>channyuu</t>
  </si>
  <si>
    <t>トム０７２６</t>
  </si>
  <si>
    <t>てんぽいんと</t>
  </si>
  <si>
    <t>夜明けのBEAT</t>
  </si>
  <si>
    <t>由美子</t>
  </si>
  <si>
    <t>ISSON4</t>
  </si>
  <si>
    <t>雀荘中川</t>
  </si>
  <si>
    <t>南極1号</t>
  </si>
  <si>
    <t>山田諭志</t>
  </si>
  <si>
    <t>プラチナム</t>
  </si>
  <si>
    <t>モケーレムベンベ</t>
  </si>
  <si>
    <t>唯井ふたみ</t>
  </si>
  <si>
    <t>sin.nabe</t>
  </si>
  <si>
    <t>だっていう</t>
  </si>
  <si>
    <t>なーかむ</t>
  </si>
  <si>
    <t>ASO部＠福岡</t>
  </si>
  <si>
    <t>buzzwiz</t>
  </si>
  <si>
    <t>華流</t>
  </si>
  <si>
    <t>あ、トビました</t>
  </si>
  <si>
    <t>huka</t>
  </si>
  <si>
    <t>Gyurion</t>
  </si>
  <si>
    <t>tenkey3</t>
  </si>
  <si>
    <t>rain812</t>
  </si>
  <si>
    <t>美樹☆さやか</t>
  </si>
  <si>
    <t>kogepan</t>
  </si>
  <si>
    <t>暗い符</t>
  </si>
  <si>
    <t>石川智晶</t>
  </si>
  <si>
    <t>healthy7</t>
  </si>
  <si>
    <t>牛丼大魔神</t>
  </si>
  <si>
    <t>アルダンn</t>
  </si>
  <si>
    <t>ニシムーン</t>
  </si>
  <si>
    <t>あねもね</t>
  </si>
  <si>
    <t>ゼロスビート</t>
  </si>
  <si>
    <t>ビスクドール</t>
  </si>
  <si>
    <t>もう逃げねえよ！</t>
  </si>
  <si>
    <t>zukky910</t>
  </si>
  <si>
    <t>バリッサ</t>
  </si>
  <si>
    <t>矢澤にこ</t>
  </si>
  <si>
    <t>枝豆カレー甘口</t>
  </si>
  <si>
    <t>ほりえもん</t>
  </si>
  <si>
    <t>ファリス</t>
  </si>
  <si>
    <t>チェ！テバラ</t>
  </si>
  <si>
    <t>ご機嫌麻雀</t>
  </si>
  <si>
    <t>わっしょい君2号</t>
  </si>
  <si>
    <t>カープっ娘</t>
  </si>
  <si>
    <t>たつきむとん</t>
  </si>
  <si>
    <t>安岡さん</t>
  </si>
  <si>
    <t>伊裏野加奈</t>
  </si>
  <si>
    <t>ゆきのそら</t>
  </si>
  <si>
    <t>流太</t>
  </si>
  <si>
    <t>もりざね</t>
  </si>
  <si>
    <t>麦野沈利</t>
  </si>
  <si>
    <t>明日が見えない</t>
  </si>
  <si>
    <t>斑目V</t>
  </si>
  <si>
    <t>千羽鴉</t>
  </si>
  <si>
    <t>広場の狼</t>
  </si>
  <si>
    <t>ごるはむ30</t>
  </si>
  <si>
    <t>siruneko</t>
  </si>
  <si>
    <t>marufuku</t>
  </si>
  <si>
    <t>モヨコ</t>
  </si>
  <si>
    <t>チビとら</t>
  </si>
  <si>
    <t>shao</t>
  </si>
  <si>
    <t>えええええええ</t>
  </si>
  <si>
    <t>鈴侍</t>
  </si>
  <si>
    <t>tydy</t>
  </si>
  <si>
    <t>dannchi</t>
  </si>
  <si>
    <t>照咲姉妹嶺上百合</t>
  </si>
  <si>
    <t>葵ちゃん</t>
  </si>
  <si>
    <t>loJaskin</t>
  </si>
  <si>
    <t>空水猫</t>
  </si>
  <si>
    <t>XXXXX</t>
  </si>
  <si>
    <t>faberge</t>
  </si>
  <si>
    <t>ルネスタ</t>
  </si>
  <si>
    <t>grace</t>
  </si>
  <si>
    <t>まつみくろ</t>
  </si>
  <si>
    <t>時の漂泊</t>
  </si>
  <si>
    <t>これは教育やろな</t>
  </si>
  <si>
    <t>伊咲</t>
  </si>
  <si>
    <t>野々宮藍</t>
  </si>
  <si>
    <t>鳴き麻雀の可能性</t>
  </si>
  <si>
    <t>covaya++</t>
  </si>
  <si>
    <t>はげちょく</t>
  </si>
  <si>
    <t>Route</t>
  </si>
  <si>
    <t>タラフマラ族</t>
  </si>
  <si>
    <t>Dr★イチガキ</t>
  </si>
  <si>
    <t>天苦位</t>
  </si>
  <si>
    <t>LS陽</t>
  </si>
  <si>
    <t>wxindan</t>
  </si>
  <si>
    <t>ブーーーン</t>
  </si>
  <si>
    <t>もみあげ</t>
  </si>
  <si>
    <t>NO.Ⅰ</t>
  </si>
  <si>
    <t>エリカ</t>
  </si>
  <si>
    <t>OMANTA</t>
  </si>
  <si>
    <t>温室野菜</t>
  </si>
  <si>
    <t>隠者Ⅸ</t>
  </si>
  <si>
    <t>▽与作(おにぎり</t>
  </si>
  <si>
    <t>pochino</t>
  </si>
  <si>
    <t>ふるつぱあ</t>
  </si>
  <si>
    <t>くまモン(ソ)</t>
  </si>
  <si>
    <t>inabaT</t>
  </si>
  <si>
    <t>放銃王４</t>
  </si>
  <si>
    <t>イカにも東北</t>
  </si>
  <si>
    <t>小萌</t>
  </si>
  <si>
    <t>Bardant</t>
  </si>
  <si>
    <t>おてぃんぽ</t>
  </si>
  <si>
    <t>ぷーやん</t>
  </si>
  <si>
    <t>タカクラ</t>
  </si>
  <si>
    <t>シリウス。</t>
  </si>
  <si>
    <t>キアラ・トスカナ</t>
  </si>
  <si>
    <t>安達さくら</t>
  </si>
  <si>
    <t>終級奧義</t>
  </si>
  <si>
    <t>カチューシャ</t>
  </si>
  <si>
    <t>γ久海菜々美γ</t>
  </si>
  <si>
    <t>おっなにっなにー</t>
  </si>
  <si>
    <t>Scrapt</t>
  </si>
  <si>
    <t>ら抜き</t>
  </si>
  <si>
    <t>K7D.Q*N</t>
  </si>
  <si>
    <t>派遣のジャック</t>
  </si>
  <si>
    <t>西岡育未♪</t>
  </si>
  <si>
    <t>メローネ</t>
  </si>
  <si>
    <t>嫌煙外科医</t>
  </si>
  <si>
    <t>ゆうくん＠ユーズ</t>
  </si>
  <si>
    <t>NG＠川村軍団</t>
  </si>
  <si>
    <t>カポネ団の兄貴</t>
  </si>
  <si>
    <t>破壊と誕生の神殿</t>
  </si>
  <si>
    <t>デジタル仙人</t>
  </si>
  <si>
    <t>清澄のピン雀通い</t>
  </si>
  <si>
    <t>ベジ―タ</t>
  </si>
  <si>
    <t>sixr</t>
  </si>
  <si>
    <t>@muka</t>
  </si>
  <si>
    <t>グラサンもぐら</t>
  </si>
  <si>
    <t>無限カノン</t>
  </si>
  <si>
    <t>あおむらさき</t>
  </si>
  <si>
    <t>ヤキン</t>
  </si>
  <si>
    <t>こっしー</t>
  </si>
  <si>
    <t>あいえっ！？</t>
  </si>
  <si>
    <t>霧雨魔理沙</t>
  </si>
  <si>
    <t>丸号</t>
  </si>
  <si>
    <t>椋大樹</t>
  </si>
  <si>
    <t>パース2017</t>
  </si>
  <si>
    <t>ふがいないや</t>
  </si>
  <si>
    <t>つふみき</t>
  </si>
  <si>
    <t>炎のシュレン</t>
  </si>
  <si>
    <t>クリームソーダ</t>
  </si>
  <si>
    <t>EFFY</t>
  </si>
  <si>
    <t>【渚楓】</t>
  </si>
  <si>
    <t>ちびひよ</t>
  </si>
  <si>
    <t>㈲大博打</t>
  </si>
  <si>
    <t>ピョン吉</t>
  </si>
  <si>
    <t>うに軍団</t>
  </si>
  <si>
    <t>シンプルなワキガ</t>
  </si>
  <si>
    <t>城島カナミ</t>
  </si>
  <si>
    <t>レット・バトラー</t>
  </si>
  <si>
    <t>duck</t>
  </si>
  <si>
    <t>干他媽角田</t>
  </si>
  <si>
    <t>超ヒモリロ</t>
  </si>
  <si>
    <t>ますくはがし</t>
  </si>
  <si>
    <t>よつばと！</t>
  </si>
  <si>
    <t>shino!!</t>
  </si>
  <si>
    <t>にられば</t>
  </si>
  <si>
    <t>EternalD</t>
  </si>
  <si>
    <t>gskg3</t>
  </si>
  <si>
    <t>(＾ν＾)</t>
  </si>
  <si>
    <t>犬のポン</t>
  </si>
  <si>
    <t>ベタオリスク</t>
  </si>
  <si>
    <t>みっつずつ</t>
  </si>
  <si>
    <t>十二人の兄者</t>
  </si>
  <si>
    <t>龍門渕透花</t>
  </si>
  <si>
    <t>tanaKa芋子</t>
  </si>
  <si>
    <t>バッキー</t>
  </si>
  <si>
    <t>花桜里</t>
  </si>
  <si>
    <t>明鏡止水</t>
  </si>
  <si>
    <t>みるねこ</t>
  </si>
  <si>
    <t>しみs</t>
  </si>
  <si>
    <t>パシリ＠川村軍団</t>
  </si>
  <si>
    <t>地蔵ラス推進委員</t>
  </si>
  <si>
    <t>矢木さん＠代打ち</t>
  </si>
  <si>
    <t>至極の面前手役派</t>
  </si>
  <si>
    <t>西風連打</t>
  </si>
  <si>
    <t>シロブチノワール</t>
  </si>
  <si>
    <t>ぐら☆タン</t>
  </si>
  <si>
    <t>HOMO女</t>
  </si>
  <si>
    <t>フサウミコップ</t>
  </si>
  <si>
    <t>からーぜ</t>
  </si>
  <si>
    <t>鷺森灼.</t>
  </si>
  <si>
    <t>ウディ</t>
  </si>
  <si>
    <t>いのは</t>
  </si>
  <si>
    <t>ごにょ</t>
  </si>
  <si>
    <t>うぇび</t>
  </si>
  <si>
    <t>DDGS</t>
  </si>
  <si>
    <t>Journey</t>
  </si>
  <si>
    <t>wine</t>
  </si>
  <si>
    <t>元気一発</t>
  </si>
  <si>
    <t>＼(＾o＾)／★</t>
  </si>
  <si>
    <t>オオカミ先生</t>
  </si>
  <si>
    <t>岡村靖幸</t>
  </si>
  <si>
    <t>水偵</t>
  </si>
  <si>
    <t>トイーツ（笑）</t>
  </si>
  <si>
    <t>紅い狐</t>
  </si>
  <si>
    <t>養分一確</t>
  </si>
  <si>
    <t>Ｗ・Ｍペーニャ</t>
  </si>
  <si>
    <t>藤×滝</t>
  </si>
  <si>
    <t>(「・`ω・)「</t>
  </si>
  <si>
    <t>レーベンブロイ</t>
  </si>
  <si>
    <t>埼京線</t>
  </si>
  <si>
    <t>バファリン王子</t>
  </si>
  <si>
    <t>白火</t>
  </si>
  <si>
    <t>オッキーナ♪</t>
  </si>
  <si>
    <t>ワニTA</t>
  </si>
  <si>
    <t>天魔太郎</t>
  </si>
  <si>
    <t>☆マサキ☆</t>
  </si>
  <si>
    <t>bookkeep</t>
  </si>
  <si>
    <t>マガジン</t>
  </si>
  <si>
    <t>zeRo</t>
  </si>
  <si>
    <t>-慶次-</t>
  </si>
  <si>
    <t>wax</t>
  </si>
  <si>
    <t>大鳥獅子吼</t>
  </si>
  <si>
    <t>ぱーそん</t>
  </si>
  <si>
    <t>ベルだけ設定６</t>
  </si>
  <si>
    <t>かるかるかるみん</t>
  </si>
  <si>
    <t>小林賢</t>
  </si>
  <si>
    <t>銀ばさみ</t>
  </si>
  <si>
    <t>一連卓上</t>
  </si>
  <si>
    <t>ともわこう</t>
  </si>
  <si>
    <t>やめてけれ３</t>
  </si>
  <si>
    <t>“rain”</t>
  </si>
  <si>
    <t>長風止息</t>
  </si>
  <si>
    <t>なんなんだー</t>
  </si>
  <si>
    <t>T-2</t>
  </si>
  <si>
    <t>お知らせ</t>
  </si>
  <si>
    <t>とまとま君</t>
  </si>
  <si>
    <t>ぷろすと</t>
  </si>
  <si>
    <t>新開善文</t>
  </si>
  <si>
    <t>URAN</t>
  </si>
  <si>
    <t>焦燥のバラッド</t>
  </si>
  <si>
    <t>sfsf</t>
  </si>
  <si>
    <t>大宮忍v</t>
  </si>
  <si>
    <t>豪猪</t>
  </si>
  <si>
    <t>dotetinn</t>
  </si>
  <si>
    <t>つばめ</t>
  </si>
  <si>
    <t>ふぁん太郎</t>
  </si>
  <si>
    <t>kaiiti</t>
  </si>
  <si>
    <t>３週間@vip</t>
  </si>
  <si>
    <t>Mpeace</t>
  </si>
  <si>
    <t>kent001</t>
  </si>
  <si>
    <t>きくてぃす☆</t>
  </si>
  <si>
    <t>SPS</t>
  </si>
  <si>
    <t>tnfsh204</t>
  </si>
  <si>
    <t>capducal</t>
  </si>
  <si>
    <t>彩京</t>
  </si>
  <si>
    <t>野田神</t>
  </si>
  <si>
    <t>昼休みの残業</t>
  </si>
  <si>
    <t>ちゃここ</t>
  </si>
  <si>
    <t>稲作ヴォルケイノ</t>
  </si>
  <si>
    <t>ADP</t>
  </si>
  <si>
    <t>yoshipp</t>
  </si>
  <si>
    <t>そこはかとない</t>
  </si>
  <si>
    <t>Z\pZ</t>
  </si>
  <si>
    <t>Tr0ll</t>
  </si>
  <si>
    <t>惣流・アスカ</t>
  </si>
  <si>
    <t>momo-</t>
  </si>
  <si>
    <t>ゃょぃ</t>
  </si>
  <si>
    <t>ロロナ</t>
  </si>
  <si>
    <t>幻霊</t>
  </si>
  <si>
    <t>黒本尊</t>
  </si>
  <si>
    <t>gomu</t>
  </si>
  <si>
    <t>mnw20000</t>
  </si>
  <si>
    <t>Rhaegar</t>
  </si>
  <si>
    <t>morizane</t>
  </si>
  <si>
    <t>検査員</t>
  </si>
  <si>
    <t>タメロンチャン</t>
  </si>
  <si>
    <t>KW</t>
  </si>
  <si>
    <t>koboz</t>
  </si>
  <si>
    <t>sakuryo</t>
  </si>
  <si>
    <t>kakiage@</t>
  </si>
  <si>
    <t>foobar22</t>
  </si>
  <si>
    <t>§獅子原爽</t>
  </si>
  <si>
    <t>zelden</t>
  </si>
  <si>
    <t>IQ180真剣様</t>
  </si>
  <si>
    <t>nil...</t>
  </si>
  <si>
    <t>LAPD</t>
  </si>
  <si>
    <t>RAPIKA</t>
  </si>
  <si>
    <t>風車</t>
  </si>
  <si>
    <t>黒沢祐一</t>
  </si>
  <si>
    <t>こがらしまる</t>
  </si>
  <si>
    <t>Fukatsur</t>
  </si>
  <si>
    <t>昴（２１）</t>
  </si>
  <si>
    <t>KIRI</t>
  </si>
  <si>
    <t>しおまねき</t>
  </si>
  <si>
    <t>卓上の☆</t>
  </si>
  <si>
    <t>あまみ～</t>
  </si>
  <si>
    <t>松原飛鳥</t>
  </si>
  <si>
    <t>ハーレムエース</t>
  </si>
  <si>
    <t>村八分</t>
  </si>
  <si>
    <t>那里...不可以</t>
  </si>
  <si>
    <t>yumikika</t>
  </si>
  <si>
    <t>Love☆乙牌！</t>
  </si>
  <si>
    <t>遥マーガレット</t>
  </si>
  <si>
    <t>sunchild</t>
  </si>
  <si>
    <t>潮騒</t>
  </si>
  <si>
    <t>Murphy</t>
  </si>
  <si>
    <t>陽光</t>
  </si>
  <si>
    <t>armor</t>
  </si>
  <si>
    <t>akkyo</t>
  </si>
  <si>
    <t>toshi523</t>
  </si>
  <si>
    <t>アフリカ㌧これら</t>
  </si>
  <si>
    <t>gapao</t>
  </si>
  <si>
    <t>Benawii</t>
  </si>
  <si>
    <t>bifix32</t>
  </si>
  <si>
    <t>消費税キリン</t>
  </si>
  <si>
    <t>うめだ</t>
  </si>
  <si>
    <t>あるふぁの人</t>
  </si>
  <si>
    <t>のうなめろん</t>
  </si>
  <si>
    <t>saki6342</t>
  </si>
  <si>
    <t>８９１０</t>
  </si>
  <si>
    <t>ＺＥＲＯ－ＭＡＸ</t>
  </si>
  <si>
    <t>Burjun</t>
  </si>
  <si>
    <t>boyatetu</t>
  </si>
  <si>
    <t>m2</t>
  </si>
  <si>
    <t>杏仁どうふー</t>
  </si>
  <si>
    <t>雲雀丘由貴</t>
  </si>
  <si>
    <t>冬月十夜</t>
  </si>
  <si>
    <t>青猫</t>
  </si>
  <si>
    <t>きらら397</t>
  </si>
  <si>
    <t>武則輝海</t>
  </si>
  <si>
    <t>Calcifer</t>
  </si>
  <si>
    <t>世直し人</t>
  </si>
  <si>
    <t>ロバート・ローズ</t>
  </si>
  <si>
    <t>Touya110</t>
  </si>
  <si>
    <t>kenya01</t>
  </si>
  <si>
    <t>ピーチ・マキ</t>
  </si>
  <si>
    <t>ポンチーズ</t>
  </si>
  <si>
    <t>植野</t>
  </si>
  <si>
    <t>ドラ５ン</t>
  </si>
  <si>
    <t>メガデジ</t>
  </si>
  <si>
    <t>雀鬼ひろろん</t>
  </si>
  <si>
    <t>インディゴブルー</t>
  </si>
  <si>
    <t>raruto7</t>
  </si>
  <si>
    <t>中華一番!</t>
  </si>
  <si>
    <t>take-you</t>
  </si>
  <si>
    <t>配牌6シャンテン</t>
  </si>
  <si>
    <t>カンダタ</t>
  </si>
  <si>
    <t>海の彼方</t>
  </si>
  <si>
    <t>タマネギ</t>
  </si>
  <si>
    <t>FAM</t>
  </si>
  <si>
    <t>ぺりかん</t>
  </si>
  <si>
    <t>溝内大樹</t>
  </si>
  <si>
    <t>☆Ｒ．Ｄ．★</t>
  </si>
  <si>
    <t>じょーすたー★</t>
  </si>
  <si>
    <t>.=夢乃マホ=</t>
  </si>
  <si>
    <t>ucchi-02</t>
  </si>
  <si>
    <t>BS252</t>
  </si>
  <si>
    <t>アークＫ</t>
  </si>
  <si>
    <t>亞図鎖∞∞∞∞∞</t>
  </si>
  <si>
    <t>☆華琳☆</t>
  </si>
  <si>
    <t>ベタオリーチ！</t>
  </si>
  <si>
    <t>Chromium</t>
  </si>
  <si>
    <t>yearligh</t>
  </si>
  <si>
    <t>mrkoji</t>
  </si>
  <si>
    <t>sinsist</t>
  </si>
  <si>
    <t>からくり</t>
  </si>
  <si>
    <t>コカライア</t>
  </si>
  <si>
    <t>あたい最強ね</t>
  </si>
  <si>
    <t>動画目的？</t>
  </si>
  <si>
    <t>僕モノクマうぷぷ</t>
  </si>
  <si>
    <t>ばいつぁ★だすと</t>
  </si>
  <si>
    <t>Asa24</t>
  </si>
  <si>
    <t>某AV女優</t>
  </si>
  <si>
    <t>ＲＯＥＮＴＧＥＮ</t>
  </si>
  <si>
    <t>きぼうβ</t>
  </si>
  <si>
    <t>不運キャラ</t>
  </si>
  <si>
    <t>RuD-A</t>
  </si>
  <si>
    <t>課長視野狭窄</t>
  </si>
  <si>
    <t>豊穣の角笛</t>
  </si>
  <si>
    <t>墾田永年私財法</t>
  </si>
  <si>
    <t>nemonemo</t>
  </si>
  <si>
    <t>ノーコンテスト</t>
  </si>
  <si>
    <t>魔術師メリー</t>
  </si>
  <si>
    <t>パトカー燃やす</t>
  </si>
  <si>
    <t>魚青</t>
  </si>
  <si>
    <t>腹痛ぽっくん</t>
  </si>
  <si>
    <t>アップルグミ</t>
  </si>
  <si>
    <t>ryo17</t>
  </si>
  <si>
    <t>どくだみ！</t>
  </si>
  <si>
    <t>ちゅーれん</t>
  </si>
  <si>
    <t>MJの最高峰</t>
  </si>
  <si>
    <t>龍門渕透華</t>
  </si>
  <si>
    <t>いぬまる</t>
  </si>
  <si>
    <t>三色同刻☆</t>
  </si>
  <si>
    <t>松原不狗</t>
  </si>
  <si>
    <t>lamb</t>
  </si>
  <si>
    <t>まるたろう</t>
  </si>
  <si>
    <t>ひぽきよし</t>
  </si>
  <si>
    <t>森宮蒼乃</t>
  </si>
  <si>
    <t>dawnnaut</t>
  </si>
  <si>
    <t>alucard</t>
  </si>
  <si>
    <t>(￥ω￥)</t>
  </si>
  <si>
    <t>pao</t>
  </si>
  <si>
    <t>Ichigeki</t>
  </si>
  <si>
    <t>taro3900</t>
  </si>
  <si>
    <t>P.Mall</t>
  </si>
  <si>
    <t>サラバ!</t>
  </si>
  <si>
    <t>ハ崎真悟</t>
  </si>
  <si>
    <t>世を直す者</t>
  </si>
  <si>
    <t>鳥の詩</t>
  </si>
  <si>
    <t>まーれまれ</t>
  </si>
  <si>
    <t>オベリベリなつみ</t>
  </si>
  <si>
    <t>太くないお</t>
  </si>
  <si>
    <t>よー＠ロック</t>
  </si>
  <si>
    <t>はむ</t>
  </si>
  <si>
    <t>†土御門舞夏†</t>
  </si>
  <si>
    <t>ピカ吾郎</t>
  </si>
  <si>
    <t>NIGG18</t>
  </si>
  <si>
    <t>！”＃＄％＆’（</t>
  </si>
  <si>
    <t>わたうーぴん</t>
  </si>
  <si>
    <t>toko1005</t>
  </si>
  <si>
    <t>G3龍門</t>
  </si>
  <si>
    <t>ぴの</t>
  </si>
  <si>
    <t>/</t>
  </si>
  <si>
    <t>Kat</t>
  </si>
  <si>
    <t>fail</t>
  </si>
  <si>
    <t>めろんぱん</t>
  </si>
  <si>
    <t>とと</t>
  </si>
  <si>
    <t>さりーすこっと</t>
  </si>
  <si>
    <t>D-K</t>
  </si>
  <si>
    <t>タナギ</t>
  </si>
  <si>
    <t>あやのちゃんV</t>
  </si>
  <si>
    <t>ryo…15</t>
  </si>
  <si>
    <t>純黒K</t>
  </si>
  <si>
    <t>赤瞳@水貨軍團</t>
  </si>
  <si>
    <t>ドラのワルツ2号</t>
  </si>
  <si>
    <t>†水銀燈†</t>
  </si>
  <si>
    <t>桜島麻衣</t>
  </si>
  <si>
    <t>aism</t>
  </si>
  <si>
    <t>ちゃびん？</t>
  </si>
  <si>
    <t>くうたろ</t>
  </si>
  <si>
    <t>シンフォニア</t>
  </si>
  <si>
    <t>ゲイツに脱帽</t>
  </si>
  <si>
    <t>Honekko_</t>
  </si>
  <si>
    <t>躍動する駒達</t>
  </si>
  <si>
    <t>★月神★＠MJ</t>
  </si>
  <si>
    <t>Route8</t>
  </si>
  <si>
    <t>橋本奈々未</t>
  </si>
  <si>
    <t>ゆかりさん</t>
  </si>
  <si>
    <t>ねきせEX</t>
  </si>
  <si>
    <t>真賀田＠四季</t>
  </si>
  <si>
    <t>あくう缶</t>
  </si>
  <si>
    <t>九州の星</t>
  </si>
  <si>
    <t>キリギリス</t>
  </si>
  <si>
    <t>@朧</t>
  </si>
  <si>
    <t>鉄壁保</t>
  </si>
  <si>
    <t>CLS</t>
  </si>
  <si>
    <t>遙遠的他。</t>
  </si>
  <si>
    <t>KiShim@</t>
  </si>
  <si>
    <t>小鞠</t>
  </si>
  <si>
    <t>不聴ぱみゅぱみゅ</t>
  </si>
  <si>
    <t>(´ー｀)y─┛</t>
  </si>
  <si>
    <t>老馬</t>
  </si>
  <si>
    <t>駄菓子先輩24歳</t>
  </si>
  <si>
    <t>ラーメン生活</t>
  </si>
  <si>
    <t>ぴぃぴぃ</t>
  </si>
  <si>
    <t>VENOM</t>
  </si>
  <si>
    <t>fuku02</t>
  </si>
  <si>
    <t>MARUTA</t>
  </si>
  <si>
    <t>kk0921</t>
  </si>
  <si>
    <t>NeutraL</t>
  </si>
  <si>
    <t>shima_k</t>
  </si>
  <si>
    <t>慎さんです</t>
  </si>
  <si>
    <t>NOBUSHI</t>
  </si>
  <si>
    <t>なまはげリーチ☆</t>
  </si>
  <si>
    <t>らもちゃん</t>
  </si>
  <si>
    <t>神架タイタニック</t>
  </si>
  <si>
    <t>つむぐ</t>
  </si>
  <si>
    <t>erumioru</t>
  </si>
  <si>
    <t>斜め77度</t>
  </si>
  <si>
    <t>ベタオリズム</t>
  </si>
  <si>
    <t>宮永照(代理)</t>
  </si>
  <si>
    <t>QB可愛い</t>
  </si>
  <si>
    <t>draetc</t>
  </si>
  <si>
    <t>wrwrwrwr</t>
  </si>
  <si>
    <t>純３龍門</t>
  </si>
  <si>
    <t>うめすテル</t>
  </si>
  <si>
    <t>今夜は役牌バック</t>
  </si>
  <si>
    <t>あたかな</t>
  </si>
  <si>
    <t>オカルト一色</t>
  </si>
  <si>
    <t>桃白白</t>
  </si>
  <si>
    <t>sapoten</t>
  </si>
  <si>
    <t>運がほぼ全て</t>
  </si>
  <si>
    <t>ラメーン二つ</t>
  </si>
  <si>
    <t>ムムゥ</t>
  </si>
  <si>
    <t>kashelly</t>
  </si>
  <si>
    <t>無修正</t>
  </si>
  <si>
    <t>恋色マスタースパ</t>
  </si>
  <si>
    <t>Lilim</t>
  </si>
  <si>
    <t>藤井聡太</t>
  </si>
  <si>
    <t>(「・ω・)「</t>
  </si>
  <si>
    <t>ラガヴーリソ２</t>
  </si>
  <si>
    <t>鶴田.姫子</t>
  </si>
  <si>
    <t>白バラコーヒー</t>
  </si>
  <si>
    <t>mineral2</t>
  </si>
  <si>
    <t>-豊口めぐみ-</t>
  </si>
  <si>
    <t>藤田靖子プロ</t>
  </si>
  <si>
    <t>早大ダメ修士</t>
  </si>
  <si>
    <t>light98</t>
  </si>
  <si>
    <t>amn1326</t>
  </si>
  <si>
    <t>人生フルゼンツ</t>
  </si>
  <si>
    <t>Darui</t>
  </si>
  <si>
    <t>jasmine3</t>
  </si>
  <si>
    <t>東風のねこ</t>
  </si>
  <si>
    <t>Eldis_C</t>
  </si>
  <si>
    <t>青木茂</t>
  </si>
  <si>
    <t>妖精の尾巴</t>
  </si>
  <si>
    <t>ラムちゃん☆</t>
  </si>
  <si>
    <t>のちゆん</t>
  </si>
  <si>
    <t>ひykokoro</t>
  </si>
  <si>
    <t>aress</t>
  </si>
  <si>
    <t>hearts@</t>
  </si>
  <si>
    <t>fees</t>
  </si>
  <si>
    <t>Marlin</t>
  </si>
  <si>
    <t>暗黒疾風龍王丸</t>
  </si>
  <si>
    <t>るーみっく</t>
  </si>
  <si>
    <t>メガネくん</t>
  </si>
  <si>
    <t>烏賊之輔</t>
  </si>
  <si>
    <t>栗林里莉</t>
  </si>
  <si>
    <t>majikuzu</t>
  </si>
  <si>
    <t>橋本万光年</t>
  </si>
  <si>
    <t>Kyuri</t>
  </si>
  <si>
    <t>A.S</t>
  </si>
  <si>
    <t>烏賊天</t>
  </si>
  <si>
    <t>フリー麻雀ten</t>
  </si>
  <si>
    <t>千羽妙見流</t>
  </si>
  <si>
    <t>yuiyui00</t>
  </si>
  <si>
    <t>てつん☆</t>
  </si>
  <si>
    <t>mono-14</t>
  </si>
  <si>
    <t>表裏裏</t>
  </si>
  <si>
    <t>meucci</t>
  </si>
  <si>
    <t>しゃんおじ</t>
  </si>
  <si>
    <t>うるさいは褒め詞</t>
  </si>
  <si>
    <t>hijio</t>
  </si>
  <si>
    <t>かげまる</t>
  </si>
  <si>
    <t>LITHIUM</t>
  </si>
  <si>
    <t>G8龍門</t>
  </si>
  <si>
    <t>カブト</t>
  </si>
  <si>
    <t>がりがり☆ガリー</t>
  </si>
  <si>
    <t>かりんちゃん</t>
  </si>
  <si>
    <t>豆特＠河村軍団</t>
  </si>
  <si>
    <t>てぴぴぴぴ</t>
  </si>
  <si>
    <t>開かれ</t>
  </si>
  <si>
    <t>月詠さん</t>
  </si>
  <si>
    <t>和泉紗霧</t>
  </si>
  <si>
    <t>アフリカ</t>
  </si>
  <si>
    <t>.Sai</t>
  </si>
  <si>
    <t>nangoku</t>
  </si>
  <si>
    <t>スーリヤ</t>
  </si>
  <si>
    <t>みゆろん</t>
  </si>
  <si>
    <t>nesier</t>
  </si>
  <si>
    <t>げっち</t>
  </si>
  <si>
    <t>たまらんガッパ</t>
  </si>
  <si>
    <t>マオにゃん</t>
  </si>
  <si>
    <t>【ジーコ】</t>
  </si>
  <si>
    <t>おーくりー♪</t>
  </si>
  <si>
    <t>pause</t>
  </si>
  <si>
    <t>カフェー丸</t>
  </si>
  <si>
    <t>Nabby</t>
  </si>
  <si>
    <t>完全無敵少女DX</t>
  </si>
  <si>
    <t>PassCode</t>
  </si>
  <si>
    <t>sstaro</t>
  </si>
  <si>
    <t>†赤土晴絵†</t>
  </si>
  <si>
    <t>猫。</t>
  </si>
  <si>
    <t>まやき</t>
  </si>
  <si>
    <t>配牌ドラチェック</t>
  </si>
  <si>
    <t>てらごん</t>
  </si>
  <si>
    <t>すぱさぶ</t>
  </si>
  <si>
    <t>くさくないお</t>
  </si>
  <si>
    <t>状態ゲージ解放中</t>
  </si>
  <si>
    <t>むっちゃいい感じ</t>
  </si>
  <si>
    <t>弓音</t>
  </si>
  <si>
    <t>紅孔雀∬</t>
  </si>
  <si>
    <t>隠止</t>
  </si>
  <si>
    <t>↑いったん↓</t>
  </si>
  <si>
    <t>櫻井奏</t>
  </si>
  <si>
    <t>CFv杏杏</t>
  </si>
  <si>
    <t>南地祐華</t>
  </si>
  <si>
    <t>Aimer</t>
  </si>
  <si>
    <t>☆宮永照ちゃん☆</t>
  </si>
  <si>
    <t>爆炎おとこ</t>
  </si>
  <si>
    <t>Luchs</t>
  </si>
  <si>
    <t>@りんご@</t>
  </si>
  <si>
    <t>180日対戦せず</t>
  </si>
  <si>
    <t>me$o</t>
  </si>
  <si>
    <t>しょぼんｎ</t>
  </si>
  <si>
    <t>＝鷺森灼＝</t>
  </si>
  <si>
    <t>sigenori</t>
  </si>
  <si>
    <t>ディモールトいい</t>
  </si>
  <si>
    <t>だいさーん</t>
  </si>
  <si>
    <t>macjr</t>
  </si>
  <si>
    <t>@kkk</t>
  </si>
  <si>
    <t>daisuke7</t>
  </si>
  <si>
    <t>Arakan</t>
  </si>
  <si>
    <t>無能社会のゴミ</t>
  </si>
  <si>
    <t>天才麻將加奈</t>
  </si>
  <si>
    <t>Nomercy</t>
  </si>
  <si>
    <t>＠玉玲</t>
  </si>
  <si>
    <t>時を刻む唄</t>
  </si>
  <si>
    <t>メンヘル侍</t>
  </si>
  <si>
    <t>漣夏</t>
  </si>
  <si>
    <t>李小狼</t>
  </si>
  <si>
    <t>鈴木健太</t>
  </si>
  <si>
    <t>Halcyon</t>
  </si>
  <si>
    <t>(^^^)</t>
  </si>
  <si>
    <t>ミノり</t>
  </si>
  <si>
    <t>mossary</t>
  </si>
  <si>
    <t>やまがらー</t>
  </si>
  <si>
    <t>anthto</t>
  </si>
  <si>
    <t>YoppY</t>
  </si>
  <si>
    <t>１２４８１６３２</t>
  </si>
  <si>
    <t>しちかしゅく</t>
  </si>
  <si>
    <t>野獣先輩</t>
  </si>
  <si>
    <t>CoCoNan</t>
  </si>
  <si>
    <t>tacos</t>
  </si>
  <si>
    <t>其為右手</t>
  </si>
  <si>
    <t>Axius</t>
  </si>
  <si>
    <t>傀@むこうぶち</t>
  </si>
  <si>
    <t>セントアリシア</t>
  </si>
  <si>
    <t>XXXG-01D</t>
  </si>
  <si>
    <t>pon-en</t>
  </si>
  <si>
    <t>弱虫</t>
  </si>
  <si>
    <t>610k</t>
  </si>
  <si>
    <t>kouichi.</t>
  </si>
  <si>
    <t>ぴよえもん</t>
  </si>
  <si>
    <t>NAO39</t>
  </si>
  <si>
    <t>南国雀</t>
  </si>
  <si>
    <t>黒川千秋</t>
  </si>
  <si>
    <t>ひよこクラス</t>
  </si>
  <si>
    <t>渋谷のdove</t>
  </si>
  <si>
    <t>愛犬エリス</t>
  </si>
  <si>
    <t>竜麻</t>
  </si>
  <si>
    <t>恩田希</t>
  </si>
  <si>
    <t>トトリ先生19歳</t>
  </si>
  <si>
    <t>安藤椿</t>
  </si>
  <si>
    <t>じゃがいも剣士</t>
  </si>
  <si>
    <t>st210</t>
  </si>
  <si>
    <t>.=藤虎=</t>
  </si>
  <si>
    <t>ぴえ☆</t>
  </si>
  <si>
    <t>鳳</t>
  </si>
  <si>
    <t>もっちょ</t>
  </si>
  <si>
    <t>＠水没王子＠</t>
  </si>
  <si>
    <t>厚味</t>
  </si>
  <si>
    <t>(&gt;ω&lt;*)</t>
  </si>
  <si>
    <t>樋熊大将</t>
  </si>
  <si>
    <t>リップルラップル</t>
  </si>
  <si>
    <t>ピカード</t>
  </si>
  <si>
    <t>ローストチキン</t>
  </si>
  <si>
    <t>イロハニホヘト</t>
  </si>
  <si>
    <t>Blau</t>
  </si>
  <si>
    <t>もぶこば</t>
  </si>
  <si>
    <t>しっぽちゃん</t>
  </si>
  <si>
    <t>姉属性。</t>
  </si>
  <si>
    <t>library</t>
  </si>
  <si>
    <t>Ｓぞえ☆</t>
  </si>
  <si>
    <t>わじ☆彡</t>
  </si>
  <si>
    <t>kirsten</t>
  </si>
  <si>
    <t>青山羊</t>
  </si>
  <si>
    <t>jyanpei4</t>
  </si>
  <si>
    <t>アル中@テンパ</t>
  </si>
  <si>
    <t>Hikaru</t>
  </si>
  <si>
    <t>健坊123</t>
  </si>
  <si>
    <t>ドンマルタン</t>
  </si>
  <si>
    <t>3strikes</t>
  </si>
  <si>
    <t>右角</t>
  </si>
  <si>
    <t>meow</t>
  </si>
  <si>
    <t>一本場</t>
  </si>
  <si>
    <t>shatiana</t>
  </si>
  <si>
    <t>scarface</t>
  </si>
  <si>
    <t>KOTA**</t>
  </si>
  <si>
    <t>†間宮あかり†</t>
  </si>
  <si>
    <t>Powtra</t>
  </si>
  <si>
    <t>愛媛県産みかん</t>
  </si>
  <si>
    <t>美遊</t>
  </si>
  <si>
    <t>車車玩水</t>
  </si>
  <si>
    <t>footos</t>
  </si>
  <si>
    <t>nishiki</t>
  </si>
  <si>
    <t>トロ九</t>
  </si>
  <si>
    <t>もしラスで</t>
  </si>
  <si>
    <t>ポッポLv.2</t>
  </si>
  <si>
    <t>NOTA</t>
  </si>
  <si>
    <t>子供会員</t>
  </si>
  <si>
    <t>umashii</t>
  </si>
  <si>
    <t>プロシュ－ト兄貴</t>
  </si>
  <si>
    <t>宮永照.</t>
  </si>
  <si>
    <t>メルカトルくん</t>
  </si>
  <si>
    <t>lillammm</t>
  </si>
  <si>
    <t>麻雀は・・・</t>
  </si>
  <si>
    <t>カマキリ先輩</t>
  </si>
  <si>
    <t>〓てんにょ〓</t>
  </si>
  <si>
    <t>まじかるくっきー</t>
  </si>
  <si>
    <t>BIGBOSS</t>
  </si>
  <si>
    <t>ナンバー２</t>
  </si>
  <si>
    <t>スタホ@トッシイ</t>
  </si>
  <si>
    <t>～千年伯爵～</t>
  </si>
  <si>
    <t>LiSA</t>
  </si>
  <si>
    <t>秋田のにんにく</t>
  </si>
  <si>
    <t>BACKHARD</t>
  </si>
  <si>
    <t>持杉ドラ夫！</t>
  </si>
  <si>
    <t>tengoku</t>
  </si>
  <si>
    <t>pon_kasu</t>
  </si>
  <si>
    <t>juan</t>
  </si>
  <si>
    <t>2_cool</t>
  </si>
  <si>
    <t>湊ミサキ</t>
  </si>
  <si>
    <t>burmogyi</t>
  </si>
  <si>
    <t>季違い俳人</t>
  </si>
  <si>
    <t>しなちく</t>
  </si>
  <si>
    <t>キラーマジンガ様</t>
  </si>
  <si>
    <t>ブリティ</t>
  </si>
  <si>
    <t>はぐりん＠</t>
  </si>
  <si>
    <t>もずく。</t>
  </si>
  <si>
    <t>じょに～</t>
  </si>
  <si>
    <t>宍道町民</t>
  </si>
  <si>
    <t>確変は正義！</t>
  </si>
  <si>
    <t>透明階段</t>
  </si>
  <si>
    <t>ユースレス</t>
  </si>
  <si>
    <t>ハンプｔ</t>
  </si>
  <si>
    <t>たの＠</t>
  </si>
  <si>
    <t>無い！！</t>
  </si>
  <si>
    <t>丙午</t>
  </si>
  <si>
    <t>loouvis</t>
  </si>
  <si>
    <t>okdw</t>
  </si>
  <si>
    <t>うぃーちゃん</t>
  </si>
  <si>
    <t>広島の種馬</t>
  </si>
  <si>
    <t>amatou</t>
  </si>
  <si>
    <t>うつわ</t>
  </si>
  <si>
    <t>ババアの日傘</t>
  </si>
  <si>
    <t>ラティアス</t>
  </si>
  <si>
    <t>mugby</t>
  </si>
  <si>
    <t>ラル少佐</t>
  </si>
  <si>
    <t>一蓮峻潤</t>
  </si>
  <si>
    <t>ハルギ</t>
  </si>
  <si>
    <t>arafai</t>
  </si>
  <si>
    <t>tsudaken</t>
  </si>
  <si>
    <t>〓鳩麦玄米〓</t>
  </si>
  <si>
    <t>.puritan</t>
  </si>
  <si>
    <t>さいごのおとうふ</t>
  </si>
  <si>
    <t>Kidam</t>
  </si>
  <si>
    <t>Redbull</t>
  </si>
  <si>
    <t>woods</t>
  </si>
  <si>
    <t>Gエピオン</t>
  </si>
  <si>
    <t>みどり牧場</t>
  </si>
  <si>
    <t>玖瑛</t>
  </si>
  <si>
    <t>もん★たく</t>
  </si>
  <si>
    <t>Alexan</t>
  </si>
  <si>
    <t>えモン</t>
  </si>
  <si>
    <t>釘／ゆかえり</t>
  </si>
  <si>
    <t>imoimo</t>
  </si>
  <si>
    <t>素晴らしき日々</t>
  </si>
  <si>
    <t>darter</t>
  </si>
  <si>
    <t>妹紅</t>
  </si>
  <si>
    <t>ねきせ@</t>
  </si>
  <si>
    <t>イサキ</t>
  </si>
  <si>
    <t>mikkavi</t>
  </si>
  <si>
    <t>雪なのつもらせて</t>
  </si>
  <si>
    <t>基礎論</t>
  </si>
  <si>
    <t>かるびす</t>
  </si>
  <si>
    <t>petarain</t>
  </si>
  <si>
    <t>まーさ＠２１</t>
  </si>
  <si>
    <t>園田海未</t>
  </si>
  <si>
    <t>心滅</t>
  </si>
  <si>
    <t>ちゃんたった</t>
  </si>
  <si>
    <t>UR秋山裕邦</t>
  </si>
  <si>
    <t>miya13</t>
  </si>
  <si>
    <t>新田美波</t>
  </si>
  <si>
    <t>ひっく</t>
  </si>
  <si>
    <t>旅に出たリー棒</t>
  </si>
  <si>
    <t>チョコロボ君</t>
  </si>
  <si>
    <t>リツミサン</t>
  </si>
  <si>
    <t>キングあつし</t>
  </si>
  <si>
    <t>きます</t>
  </si>
  <si>
    <t>末広日菜子</t>
  </si>
  <si>
    <t>RENEGE</t>
  </si>
  <si>
    <t>夜桜システム</t>
  </si>
  <si>
    <t>ハイザラ</t>
  </si>
  <si>
    <t>東京電力</t>
  </si>
  <si>
    <t>アイエッ！？</t>
  </si>
  <si>
    <t>ファク眼のファナ</t>
  </si>
  <si>
    <t>寿栄広中華そば</t>
  </si>
  <si>
    <t>ハイブリッド打法</t>
  </si>
  <si>
    <t>iniesta</t>
  </si>
  <si>
    <t>筑恵</t>
  </si>
  <si>
    <t>沖ヒカル（偽者）</t>
  </si>
  <si>
    <t>デビル一ノ関</t>
  </si>
  <si>
    <t>ネイキッド単騎</t>
  </si>
  <si>
    <t>UM</t>
  </si>
  <si>
    <t>受け師</t>
  </si>
  <si>
    <t>ゲスの極みマ.ン</t>
  </si>
  <si>
    <t>Анастаси</t>
  </si>
  <si>
    <t>長岡</t>
  </si>
  <si>
    <t>peRo</t>
  </si>
  <si>
    <t>易利薩伯</t>
  </si>
  <si>
    <t>ギタルマ</t>
  </si>
  <si>
    <t>ささかま</t>
  </si>
  <si>
    <t>ビオレート</t>
  </si>
  <si>
    <t>くるる</t>
  </si>
  <si>
    <t>いばらぎ</t>
  </si>
  <si>
    <t>takacup</t>
  </si>
  <si>
    <t>じーさー</t>
  </si>
  <si>
    <t>むーーーん</t>
  </si>
  <si>
    <t>祥哥@水貨軍團</t>
  </si>
  <si>
    <t>ジャッキ～</t>
  </si>
  <si>
    <t>いふいむ</t>
  </si>
  <si>
    <t>パッション鹿</t>
  </si>
  <si>
    <t>seil</t>
  </si>
  <si>
    <t>レミリアは俺の嫁</t>
  </si>
  <si>
    <t>じたっく</t>
  </si>
  <si>
    <t>JIM</t>
  </si>
  <si>
    <t>ABILITY</t>
  </si>
  <si>
    <t>チートイちゃん</t>
  </si>
  <si>
    <t>wild_wil</t>
  </si>
  <si>
    <t>内田貴大</t>
  </si>
  <si>
    <t>沢登</t>
  </si>
  <si>
    <t>みっくろーん</t>
  </si>
  <si>
    <t>イージスの盾</t>
  </si>
  <si>
    <t>古清水凛</t>
  </si>
  <si>
    <t>Mr.コバチ</t>
  </si>
  <si>
    <t>chcmabo</t>
  </si>
  <si>
    <t>プッシュ押す僧</t>
  </si>
  <si>
    <t>としぞぅ@</t>
  </si>
  <si>
    <t>ma-bo35</t>
  </si>
  <si>
    <t>科学の嶺上ロンＸ</t>
  </si>
  <si>
    <t>宮本來夏</t>
  </si>
  <si>
    <t>gamo3</t>
  </si>
  <si>
    <t>戦力外ポーク♂</t>
  </si>
  <si>
    <t>望まぬ絶頂</t>
  </si>
  <si>
    <t>渋川の兵藤</t>
  </si>
  <si>
    <t>kiyopin</t>
  </si>
  <si>
    <t>関七海</t>
  </si>
  <si>
    <t>りせきち</t>
  </si>
  <si>
    <t>やぷー</t>
  </si>
  <si>
    <t>大入道くん</t>
  </si>
  <si>
    <t>虹魔導士</t>
  </si>
  <si>
    <t>民芸</t>
  </si>
  <si>
    <t>K-mask</t>
  </si>
  <si>
    <t>黒猫sin</t>
  </si>
  <si>
    <t>sarieru-</t>
  </si>
  <si>
    <t>如月烏有</t>
  </si>
  <si>
    <t>たちバナナ@</t>
  </si>
  <si>
    <t>Karauma</t>
  </si>
  <si>
    <t>イレギュラー</t>
  </si>
  <si>
    <t>エアティ</t>
  </si>
  <si>
    <t>snowdrop</t>
  </si>
  <si>
    <t>俺TUEEEEE</t>
  </si>
  <si>
    <t>sarak</t>
  </si>
  <si>
    <t>やんわり</t>
  </si>
  <si>
    <t>くまこの使い手</t>
  </si>
  <si>
    <t>からあげレモン</t>
  </si>
  <si>
    <t>日陰さん</t>
  </si>
  <si>
    <t>ふもふもβ</t>
  </si>
  <si>
    <t>as31848</t>
  </si>
  <si>
    <t>ふもふもっふ</t>
  </si>
  <si>
    <t>Yたろ</t>
  </si>
  <si>
    <t>泥門小紅</t>
  </si>
  <si>
    <t>cujo</t>
  </si>
  <si>
    <t>Z民</t>
  </si>
  <si>
    <t>にゃん吉</t>
  </si>
  <si>
    <t>トッド</t>
  </si>
  <si>
    <t>野々宮悠太</t>
  </si>
  <si>
    <t>martie</t>
  </si>
  <si>
    <t>宿命田草太</t>
  </si>
  <si>
    <t>松実玄じゃない</t>
  </si>
  <si>
    <t>いぬじゃら４</t>
  </si>
  <si>
    <t>TR0LL</t>
  </si>
  <si>
    <t>Garuda</t>
  </si>
  <si>
    <t>竹田誠志</t>
  </si>
  <si>
    <t>今日一</t>
  </si>
  <si>
    <t>haku07</t>
  </si>
  <si>
    <t>～隼～</t>
  </si>
  <si>
    <t>ふれ/んだ</t>
  </si>
  <si>
    <t>２７３７</t>
  </si>
  <si>
    <t>(★_ゝ｀)</t>
  </si>
  <si>
    <t>普通の運力で充分</t>
  </si>
  <si>
    <t>ちくき</t>
  </si>
  <si>
    <t>むりくぼ</t>
  </si>
  <si>
    <t>七ツ目玉</t>
  </si>
  <si>
    <t>ウルトラ立直</t>
  </si>
  <si>
    <t>るいずぅうあぁあ</t>
  </si>
  <si>
    <t>re3</t>
  </si>
  <si>
    <t>新生活やってます</t>
  </si>
  <si>
    <t>ビージー</t>
  </si>
  <si>
    <t>藍川絆</t>
  </si>
  <si>
    <t>似非ますたー３</t>
  </si>
  <si>
    <t>C.C.サバシア</t>
  </si>
  <si>
    <t>ヤマツカミ</t>
  </si>
  <si>
    <t>harukas</t>
  </si>
  <si>
    <t>（＾Д＾）</t>
  </si>
  <si>
    <t>Detch'</t>
  </si>
  <si>
    <t>時崎狂三</t>
  </si>
  <si>
    <t>00sai</t>
  </si>
  <si>
    <t>†まー坊†</t>
  </si>
  <si>
    <t>ries</t>
  </si>
  <si>
    <t>みずよしの作り方</t>
  </si>
  <si>
    <t>凜田莉子</t>
  </si>
  <si>
    <t>ふぁにーにょ</t>
  </si>
  <si>
    <t>ラステル</t>
  </si>
  <si>
    <t>カニマヨ</t>
  </si>
  <si>
    <t>Yug</t>
  </si>
  <si>
    <t>CORAL</t>
  </si>
  <si>
    <t>わるぶっくくん</t>
  </si>
  <si>
    <t>追憶のヴィヴィ</t>
  </si>
  <si>
    <t>きむたす</t>
  </si>
  <si>
    <t>elmo♪</t>
  </si>
  <si>
    <t>似非益田あ</t>
  </si>
  <si>
    <t>min2daha</t>
  </si>
  <si>
    <t>ねこにゃん</t>
  </si>
  <si>
    <t>ぼっち党員</t>
  </si>
  <si>
    <t>ちゃる子</t>
  </si>
  <si>
    <t>よしつよし</t>
  </si>
  <si>
    <t>yoteru</t>
  </si>
  <si>
    <t>nimrod</t>
  </si>
  <si>
    <t>わふわふ</t>
  </si>
  <si>
    <t>しんやっち</t>
  </si>
  <si>
    <t>しめじん</t>
  </si>
  <si>
    <t>戦うパン屋</t>
  </si>
  <si>
    <t>武威</t>
  </si>
  <si>
    <t>ふかじ</t>
  </si>
  <si>
    <t>川村晃裕＠面前</t>
  </si>
  <si>
    <t>ヤマダさん</t>
  </si>
  <si>
    <t>Holden</t>
  </si>
  <si>
    <t>61.8％</t>
  </si>
  <si>
    <t>ふたしお</t>
  </si>
  <si>
    <t>呪いの塊</t>
  </si>
  <si>
    <t>メガネ0ex</t>
  </si>
  <si>
    <t>直</t>
  </si>
  <si>
    <t>ふくやん</t>
  </si>
  <si>
    <t>kuzun</t>
  </si>
  <si>
    <t>颯爽</t>
  </si>
  <si>
    <t>ヒツルスペルガー</t>
  </si>
  <si>
    <t>kin123</t>
  </si>
  <si>
    <t>しゅばるつ</t>
  </si>
  <si>
    <t>フルゼンツ</t>
  </si>
  <si>
    <t>taroo</t>
  </si>
  <si>
    <t>Eumenes</t>
  </si>
  <si>
    <t>さんどり</t>
  </si>
  <si>
    <t>gasqueet</t>
  </si>
  <si>
    <t>帰宅部のエース</t>
  </si>
  <si>
    <t>ほとばしるかさご</t>
  </si>
  <si>
    <t>１３１０</t>
  </si>
  <si>
    <t>ひらたいらさん</t>
  </si>
  <si>
    <t>すなふきん。</t>
  </si>
  <si>
    <t>molts</t>
  </si>
  <si>
    <t>jany</t>
  </si>
  <si>
    <t>環刹那</t>
  </si>
  <si>
    <t>ノーマーク</t>
  </si>
  <si>
    <t>くろうめ</t>
  </si>
  <si>
    <t>あのえびさえ</t>
  </si>
  <si>
    <t>萌えは世界を救う</t>
  </si>
  <si>
    <t>かぶきもの</t>
  </si>
  <si>
    <t>ヘルス姫屋</t>
  </si>
  <si>
    <t>憧憬</t>
  </si>
  <si>
    <t>ウルフ</t>
  </si>
  <si>
    <t>Winston</t>
  </si>
  <si>
    <t>SB遊戲</t>
  </si>
  <si>
    <t>Krilele</t>
  </si>
  <si>
    <t>アカギ＠川村軍団</t>
  </si>
  <si>
    <t>日比野真琴</t>
  </si>
  <si>
    <t>腐生豚コツボー</t>
  </si>
  <si>
    <t>asmeias</t>
  </si>
  <si>
    <t>三冠王・山田哲人</t>
  </si>
  <si>
    <t>がちゃ＠川村軍団</t>
  </si>
  <si>
    <t>tkmiki</t>
  </si>
  <si>
    <t>Sekuta</t>
  </si>
  <si>
    <t>みどり茶</t>
  </si>
  <si>
    <t>明石元二郎</t>
  </si>
  <si>
    <t>にゅぁ～☆</t>
  </si>
  <si>
    <t>七｀・ω・)ノ！</t>
  </si>
  <si>
    <t>mosa</t>
  </si>
  <si>
    <t>天鼓</t>
  </si>
  <si>
    <t>ちゃんひきぞう</t>
  </si>
  <si>
    <t>◇ハク◇</t>
  </si>
  <si>
    <t>Hermann</t>
  </si>
  <si>
    <t>ごじゃる</t>
  </si>
  <si>
    <t>x猫は俺が育てた</t>
  </si>
  <si>
    <t>めびもっこり</t>
  </si>
  <si>
    <t>sarada</t>
  </si>
  <si>
    <t>べにくん</t>
  </si>
  <si>
    <t>ふがい</t>
  </si>
  <si>
    <t>氷無七</t>
  </si>
  <si>
    <t>＿ゆゆゆ</t>
  </si>
  <si>
    <t>ハワイアン</t>
  </si>
  <si>
    <t>遠刈田温泉・激熱</t>
  </si>
  <si>
    <t>名前</t>
  </si>
  <si>
    <t>えむ蔵</t>
  </si>
  <si>
    <t>MillReef</t>
  </si>
  <si>
    <t>大正麻雀娘。</t>
  </si>
  <si>
    <t>D-Learn</t>
  </si>
  <si>
    <t>雀娘☆ゆき</t>
  </si>
  <si>
    <t>神一打</t>
  </si>
  <si>
    <t>jacobi35</t>
  </si>
  <si>
    <t>副露率４５％</t>
  </si>
  <si>
    <t>黄龍兄貴</t>
  </si>
  <si>
    <t>かっ飛ばせ全部</t>
  </si>
  <si>
    <t>ベネチア</t>
  </si>
  <si>
    <t>前戯30分</t>
  </si>
  <si>
    <t>gijgmks</t>
  </si>
  <si>
    <t>園城寺たく</t>
  </si>
  <si>
    <t>おりべやすな</t>
  </si>
  <si>
    <t>かつどん</t>
  </si>
  <si>
    <t>まさるさん。。</t>
  </si>
  <si>
    <t>タンプク</t>
  </si>
  <si>
    <t>松屋おじさん</t>
  </si>
  <si>
    <t>花澤香菜ちゃん</t>
  </si>
  <si>
    <t>@kkkk</t>
  </si>
  <si>
    <t>とらいち</t>
  </si>
  <si>
    <t>★玉響★</t>
  </si>
  <si>
    <t>練習巡洋艦</t>
  </si>
  <si>
    <t>★雀娘クレア★</t>
  </si>
  <si>
    <t>gousi</t>
  </si>
  <si>
    <t>世夢</t>
  </si>
  <si>
    <t>はるにゃむ</t>
  </si>
  <si>
    <t>五つの巨人</t>
  </si>
  <si>
    <t>たじまなみ</t>
  </si>
  <si>
    <t>ahoda9</t>
  </si>
  <si>
    <t>ST=UNVRS</t>
  </si>
  <si>
    <t>マララー♂</t>
  </si>
  <si>
    <t>あひるさん</t>
  </si>
  <si>
    <t>やみ&amp;やみ</t>
  </si>
  <si>
    <t>松江市民</t>
  </si>
  <si>
    <t>あーりんです。☆</t>
  </si>
  <si>
    <t>E回路</t>
  </si>
  <si>
    <t>みかか♪</t>
  </si>
  <si>
    <t>tj-micro</t>
  </si>
  <si>
    <t>電気犬('ω')</t>
  </si>
  <si>
    <t>綾弥一条</t>
  </si>
  <si>
    <t>naoki39</t>
  </si>
  <si>
    <t>rairu@TK</t>
  </si>
  <si>
    <t>北の対子落とし</t>
  </si>
  <si>
    <t>竹井久＠部長</t>
  </si>
  <si>
    <t>1月11日</t>
  </si>
  <si>
    <t>黒鬼</t>
  </si>
  <si>
    <t>macpac</t>
  </si>
  <si>
    <t>Arcade</t>
  </si>
  <si>
    <t>miiko</t>
  </si>
  <si>
    <t>hosigami</t>
  </si>
  <si>
    <t>秋山優花里</t>
  </si>
  <si>
    <t>tosiyuki</t>
  </si>
  <si>
    <t>小池徹平</t>
  </si>
  <si>
    <t>小林</t>
  </si>
  <si>
    <t>サウナ小僧</t>
  </si>
  <si>
    <t>hurryy</t>
  </si>
  <si>
    <t>Sイーグル</t>
  </si>
  <si>
    <t>ミナンダ</t>
  </si>
  <si>
    <t>古沢小鈴</t>
  </si>
  <si>
    <t>れじP</t>
  </si>
  <si>
    <t>水中魚雷</t>
  </si>
  <si>
    <t>妖夢タソ</t>
  </si>
  <si>
    <t>時雨庵</t>
  </si>
  <si>
    <t>saboten</t>
  </si>
  <si>
    <t>池田ァ！！！</t>
  </si>
  <si>
    <t>フツウの恋の結末</t>
  </si>
  <si>
    <t>Ｊのテーマ</t>
  </si>
  <si>
    <t>きりやあおい</t>
  </si>
  <si>
    <t>光の旋律</t>
  </si>
  <si>
    <t>vibrate</t>
  </si>
  <si>
    <t>苦い待つ</t>
  </si>
  <si>
    <t>ピヨっす</t>
  </si>
  <si>
    <t>麻雀商人くん♪</t>
  </si>
  <si>
    <t>３番ＤＨ井端</t>
  </si>
  <si>
    <t>杏仁豆腐屋さん</t>
  </si>
  <si>
    <t>自惚れリーチ</t>
  </si>
  <si>
    <t>Neuf</t>
  </si>
  <si>
    <t>うしくん</t>
  </si>
  <si>
    <t>レイトン准教授</t>
  </si>
  <si>
    <t>チルノ</t>
  </si>
  <si>
    <t>としR</t>
  </si>
  <si>
    <t>神算鬼謀の極み</t>
  </si>
  <si>
    <t>Aゆっこんぐ</t>
  </si>
  <si>
    <t>四槓子風ダンス</t>
  </si>
  <si>
    <t>桜花閃々</t>
  </si>
  <si>
    <t>Blue-Jam</t>
  </si>
  <si>
    <t>朝長美桜♪</t>
  </si>
  <si>
    <t>nitmic</t>
  </si>
  <si>
    <t>ばぎたそ</t>
  </si>
  <si>
    <t>鳴いたら風水が</t>
  </si>
  <si>
    <t>らいふせいばー〆</t>
  </si>
  <si>
    <t>kodama/</t>
  </si>
  <si>
    <t>S</t>
  </si>
  <si>
    <t>〓アナスタシア〓</t>
  </si>
  <si>
    <t>ジョルト</t>
  </si>
  <si>
    <t>爽海</t>
  </si>
  <si>
    <t>藤やん</t>
  </si>
  <si>
    <t>かき醤油</t>
  </si>
  <si>
    <t>超インターネット</t>
  </si>
  <si>
    <t>基本功</t>
  </si>
  <si>
    <t>niji</t>
  </si>
  <si>
    <t>落葉子之歌</t>
  </si>
  <si>
    <t>８００８</t>
  </si>
  <si>
    <t>まないたようじょ</t>
  </si>
  <si>
    <t>タンコン</t>
  </si>
  <si>
    <t>黒猫@ぺろぺろ☆</t>
  </si>
  <si>
    <t>easy</t>
  </si>
  <si>
    <t>`・ω・)y-~</t>
  </si>
  <si>
    <t>No_Rate</t>
  </si>
  <si>
    <t>バイアラン</t>
  </si>
  <si>
    <t>イニエスタ</t>
  </si>
  <si>
    <t>岩倉玲音</t>
  </si>
  <si>
    <t>oliver</t>
  </si>
  <si>
    <t>ライジングサン!</t>
  </si>
  <si>
    <t>ネジキ</t>
  </si>
  <si>
    <t>hiRo</t>
  </si>
  <si>
    <t>くぅまぁ</t>
  </si>
  <si>
    <t>KentKent</t>
  </si>
  <si>
    <t>イガリマ</t>
  </si>
  <si>
    <t>sirouuu</t>
  </si>
  <si>
    <t>舞茸</t>
  </si>
  <si>
    <t>おんたん</t>
  </si>
  <si>
    <t>neilly</t>
  </si>
  <si>
    <t>Dude</t>
  </si>
  <si>
    <t>potaore</t>
  </si>
  <si>
    <t>Cap</t>
  </si>
  <si>
    <t>結城明日奈</t>
  </si>
  <si>
    <t>＊＊荒川憩＊＊</t>
  </si>
  <si>
    <t>牌廃人</t>
  </si>
  <si>
    <t>夏樹みくる</t>
  </si>
  <si>
    <t>みたらしぷぅー太</t>
  </si>
  <si>
    <t>futarou</t>
  </si>
  <si>
    <t>ゆいちゃんのパパ</t>
  </si>
  <si>
    <t>宮永‐照</t>
  </si>
  <si>
    <t>shibutan</t>
  </si>
  <si>
    <t>Rule</t>
  </si>
  <si>
    <t>◆Pico</t>
  </si>
  <si>
    <t>わっこー・Ａ・ノ</t>
  </si>
  <si>
    <t>らん斗</t>
  </si>
  <si>
    <t>霍青娥</t>
  </si>
  <si>
    <t>ぴーおか</t>
  </si>
  <si>
    <t>紅顔の美少年</t>
  </si>
  <si>
    <t>羽月莉音</t>
  </si>
  <si>
    <t>ふぁに～にょ</t>
  </si>
  <si>
    <t>玉にキス</t>
  </si>
  <si>
    <t>にわとりの心</t>
  </si>
  <si>
    <t>鞘師里保</t>
  </si>
  <si>
    <t>覚醒スペア</t>
  </si>
  <si>
    <t>種ちゃんのファン</t>
  </si>
  <si>
    <t>蝶舞蜂刺</t>
  </si>
  <si>
    <t>Ichikawa</t>
  </si>
  <si>
    <t>leonleon</t>
  </si>
  <si>
    <t>水希♪</t>
  </si>
  <si>
    <t>小川.com</t>
  </si>
  <si>
    <t>喫煙者</t>
  </si>
  <si>
    <t>okke</t>
  </si>
  <si>
    <t>その１ｐ当たりだ</t>
  </si>
  <si>
    <t>激ねこぷんぷん丸</t>
  </si>
  <si>
    <t>レデスマ</t>
  </si>
  <si>
    <t>aisyo</t>
  </si>
  <si>
    <t>麻雀九級</t>
  </si>
  <si>
    <t>cien</t>
  </si>
  <si>
    <t>彼方</t>
  </si>
  <si>
    <t>balk</t>
  </si>
  <si>
    <t>克利奥佩特剌ζ</t>
  </si>
  <si>
    <t>いやささんだよ</t>
  </si>
  <si>
    <t>お、Ｊか？</t>
  </si>
  <si>
    <t>1m2t1r0</t>
  </si>
  <si>
    <t>シラ.</t>
  </si>
  <si>
    <t>ネクタイの結び方</t>
  </si>
  <si>
    <t>まぃる</t>
  </si>
  <si>
    <t>さばころっけ</t>
  </si>
  <si>
    <t>~≧▽≦~</t>
  </si>
  <si>
    <t>refrain</t>
  </si>
  <si>
    <t>三条真琴</t>
  </si>
  <si>
    <t>琴音♪</t>
  </si>
  <si>
    <t>りうりう</t>
  </si>
  <si>
    <t>中環</t>
  </si>
  <si>
    <t>負けフラグりこ</t>
  </si>
  <si>
    <t>関大生</t>
  </si>
  <si>
    <t>みっきー</t>
  </si>
  <si>
    <t>麻雀IQ120</t>
  </si>
  <si>
    <t>burea6</t>
  </si>
  <si>
    <t>だいだい</t>
  </si>
  <si>
    <t>小走やえ大先輩</t>
  </si>
  <si>
    <t>もりもりおにぎり</t>
  </si>
  <si>
    <t>ランブラー</t>
  </si>
  <si>
    <t>chapao</t>
  </si>
  <si>
    <t>わかめudn</t>
  </si>
  <si>
    <t>誠也</t>
  </si>
  <si>
    <t>ふか</t>
  </si>
  <si>
    <t>ブルブルハーツ</t>
  </si>
  <si>
    <t>deone</t>
  </si>
  <si>
    <t>tomoyu</t>
  </si>
  <si>
    <t>moti72..</t>
  </si>
  <si>
    <t>zxrlha</t>
  </si>
  <si>
    <t>haRurun</t>
  </si>
  <si>
    <t>宮路真春</t>
  </si>
  <si>
    <t>くまざわ</t>
  </si>
  <si>
    <t>at東山奈央</t>
  </si>
  <si>
    <t>守村桜弥</t>
  </si>
  <si>
    <t>〓宮森あおい〓</t>
  </si>
  <si>
    <t>とれもろ</t>
  </si>
  <si>
    <t>kuro0244</t>
  </si>
  <si>
    <t>消火器</t>
  </si>
  <si>
    <t>ダチア・サンデロ</t>
  </si>
  <si>
    <t>como4622</t>
  </si>
  <si>
    <t>木漏れ日</t>
  </si>
  <si>
    <t>波瑠</t>
  </si>
  <si>
    <t>砂漠の花屋さん</t>
  </si>
  <si>
    <t>K@水貨軍團</t>
  </si>
  <si>
    <t>ハンサム過ぎて</t>
  </si>
  <si>
    <t>左を押して下さい</t>
  </si>
  <si>
    <t>hiro0007</t>
  </si>
  <si>
    <t>緑の五本指</t>
  </si>
  <si>
    <t>LostCat</t>
  </si>
  <si>
    <t>DODOKO</t>
  </si>
  <si>
    <t>もみさげ</t>
  </si>
  <si>
    <t>フンヌ</t>
  </si>
  <si>
    <t>うめぴ子</t>
  </si>
  <si>
    <t>右折するひつじ</t>
  </si>
  <si>
    <t>天音さん</t>
  </si>
  <si>
    <t>鉄稚魚カモ養分</t>
  </si>
  <si>
    <t>atyan</t>
  </si>
  <si>
    <t>うだっぷ</t>
  </si>
  <si>
    <t>アリョーシャ</t>
  </si>
  <si>
    <t>カンムル</t>
  </si>
  <si>
    <t>gc@激辛</t>
  </si>
  <si>
    <t>sin46</t>
  </si>
  <si>
    <t>ゴゥ</t>
  </si>
  <si>
    <t>（≧▽≦）</t>
  </si>
  <si>
    <t>sho55555</t>
  </si>
  <si>
    <t>Tomoya</t>
  </si>
  <si>
    <t>とここ</t>
  </si>
  <si>
    <t>オルエン</t>
  </si>
  <si>
    <t>yoyuu77</t>
  </si>
  <si>
    <t>どぐされうなぎ</t>
  </si>
  <si>
    <t>戸山香澄</t>
  </si>
  <si>
    <t>kukekeke</t>
  </si>
  <si>
    <t>J.com@K1</t>
  </si>
  <si>
    <t>ぽとし</t>
  </si>
  <si>
    <t>フリテン</t>
  </si>
  <si>
    <t>savei</t>
  </si>
  <si>
    <t>新井ソフィア</t>
  </si>
  <si>
    <t>輝夜月</t>
  </si>
  <si>
    <t>窓付き..</t>
  </si>
  <si>
    <t>おおくさ</t>
  </si>
  <si>
    <t>きうい。</t>
  </si>
  <si>
    <t>SabuRun</t>
  </si>
  <si>
    <t>九十九白</t>
  </si>
  <si>
    <t>NAOYA105</t>
  </si>
  <si>
    <t>kim8</t>
  </si>
  <si>
    <t>Femirins</t>
  </si>
  <si>
    <t>こじまもん</t>
  </si>
  <si>
    <t>りん214</t>
  </si>
  <si>
    <t>舞蹴蛇苦尊</t>
  </si>
  <si>
    <t>コミ</t>
  </si>
  <si>
    <t>真我級修羅</t>
  </si>
  <si>
    <t>ワニワニ蔵</t>
  </si>
  <si>
    <t>擬似連宝燈美</t>
  </si>
  <si>
    <t>山里卓次</t>
  </si>
  <si>
    <t>おお犬座ＶＹ星</t>
  </si>
  <si>
    <t>ひつまぶし∞</t>
  </si>
  <si>
    <t>オカルトしんだ？</t>
  </si>
  <si>
    <t>村井アマウリ</t>
  </si>
  <si>
    <t>おかもと</t>
  </si>
  <si>
    <t>ダル・ブルー</t>
  </si>
  <si>
    <t>最後のお豆腐</t>
  </si>
  <si>
    <t>うみぼー</t>
  </si>
  <si>
    <t>秋山小兵衛</t>
  </si>
  <si>
    <t>ナラ</t>
  </si>
  <si>
    <t>AKIRANs</t>
  </si>
  <si>
    <t>３ｐがツモれない</t>
  </si>
  <si>
    <t>N</t>
  </si>
  <si>
    <t>fishgold</t>
  </si>
  <si>
    <t>タンヤオ厨</t>
  </si>
  <si>
    <t>☆黄瀬やよい☆</t>
  </si>
  <si>
    <t>('ー'*)b</t>
  </si>
  <si>
    <t>かかかか</t>
  </si>
  <si>
    <t>たにし＠貝軍団</t>
  </si>
  <si>
    <t>復讐ちゃん</t>
  </si>
  <si>
    <t>わけわかめ</t>
  </si>
  <si>
    <t>すみやに</t>
  </si>
  <si>
    <t>・∀・)♪.*☆</t>
  </si>
  <si>
    <t>今日も晴天♪</t>
  </si>
  <si>
    <t>フォスター</t>
  </si>
  <si>
    <t>国境の南</t>
  </si>
  <si>
    <t>ランチェスター</t>
  </si>
  <si>
    <t>ＤＲＯＰ</t>
  </si>
  <si>
    <t>きゃにお</t>
  </si>
  <si>
    <t>フーテンの寅さん</t>
  </si>
  <si>
    <t>南のエデン</t>
  </si>
  <si>
    <t>mmjangki</t>
  </si>
  <si>
    <t>のたわ</t>
  </si>
  <si>
    <t>信濃の荒法師</t>
  </si>
  <si>
    <t>かるてっと♪</t>
  </si>
  <si>
    <t>nannanya</t>
  </si>
  <si>
    <t>マーティー先生</t>
  </si>
  <si>
    <t>七海千秋</t>
  </si>
  <si>
    <t>GEYU</t>
  </si>
  <si>
    <t>武田俊＠兎</t>
  </si>
  <si>
    <t>hamon</t>
  </si>
  <si>
    <t>toshiieR</t>
  </si>
  <si>
    <t>yamaapq</t>
  </si>
  <si>
    <t>地鳳</t>
  </si>
  <si>
    <t>Birori</t>
  </si>
  <si>
    <t>abantes</t>
  </si>
  <si>
    <t>上間竜也</t>
  </si>
  <si>
    <t>つけもの</t>
  </si>
  <si>
    <t>high1515</t>
  </si>
  <si>
    <t>乾紗凪</t>
  </si>
  <si>
    <t>森川彩香</t>
  </si>
  <si>
    <t>切り裂きすず</t>
  </si>
  <si>
    <t>式見蛍</t>
  </si>
  <si>
    <t>ちっ牌操作</t>
  </si>
  <si>
    <t>石屋</t>
  </si>
  <si>
    <t>arkw</t>
  </si>
  <si>
    <t>〓ゾーン〓</t>
  </si>
  <si>
    <t>aopyon-z</t>
  </si>
  <si>
    <t>（≧▼≦）</t>
  </si>
  <si>
    <t>線形計画法</t>
  </si>
  <si>
    <t>jazz_fan</t>
  </si>
  <si>
    <t>umebosi</t>
  </si>
  <si>
    <t>RYO@SS</t>
  </si>
  <si>
    <t>すずめクレイジー</t>
  </si>
  <si>
    <t>100's</t>
  </si>
  <si>
    <t>FF9</t>
  </si>
  <si>
    <t>池田大作様</t>
  </si>
  <si>
    <t>sorukano</t>
  </si>
  <si>
    <t>tukitan1</t>
  </si>
  <si>
    <t>中の上</t>
  </si>
  <si>
    <t>雅☆Buono!</t>
  </si>
  <si>
    <t>jxxz</t>
  </si>
  <si>
    <t>リサさま</t>
  </si>
  <si>
    <t>どばとちゃん</t>
  </si>
  <si>
    <t>エコみー</t>
  </si>
  <si>
    <t>鮭のホイル焼き</t>
  </si>
  <si>
    <t>Jet.B</t>
  </si>
  <si>
    <t>スナック瞳</t>
  </si>
  <si>
    <t>しまたろう＠</t>
  </si>
  <si>
    <t>仲井</t>
  </si>
  <si>
    <t>味淋</t>
  </si>
  <si>
    <t>琵琶子＠川村軍団</t>
  </si>
  <si>
    <t>ヌメリック</t>
  </si>
  <si>
    <t>J・クロス</t>
  </si>
  <si>
    <t>藤田ニコル</t>
  </si>
  <si>
    <t>安藤裕子</t>
  </si>
  <si>
    <t>熊猫化雪</t>
  </si>
  <si>
    <t>非効率打法</t>
  </si>
  <si>
    <t>朧夏月</t>
  </si>
  <si>
    <t>みやぴー</t>
  </si>
  <si>
    <t>れっどどっぐ</t>
  </si>
  <si>
    <t>CHIRORU</t>
  </si>
  <si>
    <t>岩石オープン</t>
  </si>
  <si>
    <t>EX</t>
  </si>
  <si>
    <t>Xcelling</t>
  </si>
  <si>
    <t>EGAKU</t>
  </si>
  <si>
    <t>tazuya</t>
  </si>
  <si>
    <t>†青羽ここな†</t>
  </si>
  <si>
    <t>ふかみ</t>
  </si>
  <si>
    <t>♪結月ゆかり♪</t>
  </si>
  <si>
    <t>bsygc7</t>
  </si>
  <si>
    <t>冥土のワニ蔵</t>
  </si>
  <si>
    <t>mihaRun</t>
  </si>
  <si>
    <t>リーチドラ</t>
  </si>
  <si>
    <t>joroji</t>
  </si>
  <si>
    <t>孔雀王</t>
  </si>
  <si>
    <t>罵って！もっと！</t>
  </si>
  <si>
    <t>直感精読</t>
  </si>
  <si>
    <t>大和田頭取</t>
  </si>
  <si>
    <t>長門*未沙</t>
  </si>
  <si>
    <t>JaneDue</t>
  </si>
  <si>
    <t>@黒兎</t>
  </si>
  <si>
    <t>bbppfa</t>
  </si>
  <si>
    <t>目玉野郎</t>
  </si>
  <si>
    <t>切り札</t>
  </si>
  <si>
    <t>芳槻</t>
  </si>
  <si>
    <t>Zero_.</t>
  </si>
  <si>
    <t>〓片岡優希〓</t>
  </si>
  <si>
    <t>ふくちゃんです</t>
  </si>
  <si>
    <t>lililili</t>
  </si>
  <si>
    <t>main()</t>
  </si>
  <si>
    <t>xなもx</t>
  </si>
  <si>
    <t>ぽんでらいおん</t>
  </si>
  <si>
    <t>はたらけ</t>
  </si>
  <si>
    <t>遠い青色</t>
  </si>
  <si>
    <t>やまいだれ</t>
  </si>
  <si>
    <t>柚比楓仁</t>
  </si>
  <si>
    <t>北九州のラボメン</t>
  </si>
  <si>
    <t>れってる</t>
  </si>
  <si>
    <t>アスパラ侍</t>
  </si>
  <si>
    <t>toiro</t>
  </si>
  <si>
    <t>常夏パイ助</t>
  </si>
  <si>
    <t>游送</t>
  </si>
  <si>
    <t>スケーター</t>
  </si>
  <si>
    <t>エルズベリー</t>
  </si>
  <si>
    <t>kohshi</t>
  </si>
  <si>
    <t>☆流星☆</t>
  </si>
  <si>
    <t>crane</t>
  </si>
  <si>
    <t>叡鳴</t>
  </si>
  <si>
    <t>牌王位</t>
  </si>
  <si>
    <t>奈落の王</t>
  </si>
  <si>
    <t>ＦＸ雀士</t>
  </si>
  <si>
    <t>eik1</t>
  </si>
  <si>
    <t>ゆうじーる</t>
  </si>
  <si>
    <t>J・ティンの宮</t>
  </si>
  <si>
    <t>天運のしゃけ</t>
  </si>
  <si>
    <t>カルピスソーダ君</t>
  </si>
  <si>
    <t>RobiN</t>
  </si>
  <si>
    <t>risky</t>
  </si>
  <si>
    <t>黒澤ダイヤ</t>
  </si>
  <si>
    <t>Lillammm</t>
  </si>
  <si>
    <t>天城小次郎</t>
  </si>
  <si>
    <t>tokky27</t>
  </si>
  <si>
    <t>さのすけ</t>
  </si>
  <si>
    <t>ふがちゃん</t>
  </si>
  <si>
    <t>あぐり</t>
  </si>
  <si>
    <t>昼下がりの団地妻</t>
  </si>
  <si>
    <t>うどん屋</t>
  </si>
  <si>
    <t>銀遊私人</t>
  </si>
  <si>
    <t>マリベル</t>
  </si>
  <si>
    <t>ももとくろ</t>
  </si>
  <si>
    <t>平家の落人</t>
  </si>
  <si>
    <t>ボツ</t>
  </si>
  <si>
    <t>こんぺいとうふ</t>
  </si>
  <si>
    <t>ドグマチール</t>
  </si>
  <si>
    <t>まゆまゆ77</t>
  </si>
  <si>
    <t>*ぶっち*</t>
  </si>
  <si>
    <t>ロベルタさん＠</t>
  </si>
  <si>
    <t>みきみき♪</t>
  </si>
  <si>
    <t>カタツムリ</t>
  </si>
  <si>
    <t>二こ二こ</t>
  </si>
  <si>
    <t>除名</t>
  </si>
  <si>
    <t>上がり33.3秒</t>
  </si>
  <si>
    <t>富男です</t>
  </si>
  <si>
    <t>悠雅</t>
  </si>
  <si>
    <t>琴葉葵</t>
  </si>
  <si>
    <t>すしん</t>
  </si>
  <si>
    <t>negozan</t>
  </si>
  <si>
    <t>ニンジーン</t>
  </si>
  <si>
    <t>冗談笑止！</t>
  </si>
  <si>
    <t>吉岡聖恵</t>
  </si>
  <si>
    <t>脳天の拳</t>
  </si>
  <si>
    <t>Jiguzou</t>
  </si>
  <si>
    <t>ういき</t>
  </si>
  <si>
    <t>★雀鬼百瀬★</t>
  </si>
  <si>
    <t>等々力劇場</t>
  </si>
  <si>
    <t>夏すずみ＠胡瓜</t>
  </si>
  <si>
    <t>JW55</t>
  </si>
  <si>
    <t>初音ミク</t>
  </si>
  <si>
    <t>カベウス</t>
  </si>
  <si>
    <t>鳳南のゴミ掃除係</t>
  </si>
  <si>
    <t>平松卓実</t>
  </si>
  <si>
    <t>(・ω・｀з)3</t>
  </si>
  <si>
    <t>上家は怪しい！！</t>
  </si>
  <si>
    <t>.園城寺怜.</t>
  </si>
  <si>
    <t>別当</t>
  </si>
  <si>
    <t>らいふがーどすき</t>
  </si>
  <si>
    <t>zeal∫</t>
  </si>
  <si>
    <t>pgain</t>
  </si>
  <si>
    <t>藤谷知治</t>
  </si>
  <si>
    <t>かなこぉ</t>
  </si>
  <si>
    <t>ジロー</t>
  </si>
  <si>
    <t>かげきゅう</t>
  </si>
  <si>
    <t>ぜろめぐ</t>
  </si>
  <si>
    <t>ふうつ</t>
  </si>
  <si>
    <t>nono_003</t>
  </si>
  <si>
    <t>カッカッカッ</t>
  </si>
  <si>
    <t>常不経</t>
  </si>
  <si>
    <t>マルテ</t>
  </si>
  <si>
    <t>狛江空手１級</t>
  </si>
  <si>
    <t>れん－New</t>
  </si>
  <si>
    <t>マルヒロ</t>
  </si>
  <si>
    <t>｜稲叢莉音｜</t>
  </si>
  <si>
    <t>reef</t>
  </si>
  <si>
    <t>カフェレオ</t>
  </si>
  <si>
    <t>水橋パルスィ</t>
  </si>
  <si>
    <t>新垣綾瀬</t>
  </si>
  <si>
    <t>blue-g</t>
  </si>
  <si>
    <t>闘士☆渋川老</t>
  </si>
  <si>
    <t>明官</t>
  </si>
  <si>
    <t>丸求ASh</t>
  </si>
  <si>
    <t>確認事項</t>
  </si>
  <si>
    <t>ワイ将</t>
  </si>
  <si>
    <t>もう疲れた</t>
  </si>
  <si>
    <t>Tank!</t>
  </si>
  <si>
    <t>栗山夏代</t>
  </si>
  <si>
    <t>グリモア麻雀部</t>
  </si>
  <si>
    <t>trabia</t>
  </si>
  <si>
    <t>フラグ一級建築士</t>
  </si>
  <si>
    <t>ふぃーあ</t>
  </si>
  <si>
    <t>ぶおおー</t>
  </si>
  <si>
    <t>パリイ！</t>
  </si>
  <si>
    <t>isiyaki</t>
  </si>
  <si>
    <t>二重メタファー</t>
  </si>
  <si>
    <t>out祭り</t>
  </si>
  <si>
    <t>悠々.</t>
  </si>
  <si>
    <t>佐倉紗織.</t>
  </si>
  <si>
    <t>ミスターX</t>
  </si>
  <si>
    <t>きしりっしゅ</t>
  </si>
  <si>
    <t>ワタシが飛んだ日</t>
  </si>
  <si>
    <t>たいがぁ♪</t>
  </si>
  <si>
    <t>†白兎†</t>
  </si>
  <si>
    <t>1ノ1、</t>
  </si>
  <si>
    <t>HeilLied</t>
  </si>
  <si>
    <t>山崎明美</t>
  </si>
  <si>
    <t>国家最終戦力</t>
  </si>
  <si>
    <t>ツイスト</t>
  </si>
  <si>
    <t>KNYKSYG</t>
  </si>
  <si>
    <t>トッシイ＠麻雀</t>
  </si>
  <si>
    <t>くぎゅうううう</t>
  </si>
  <si>
    <t>〓佐天さん〓</t>
  </si>
  <si>
    <t>刹那の声</t>
  </si>
  <si>
    <t>平山雲唯</t>
  </si>
  <si>
    <t>お肉ちゃん</t>
  </si>
  <si>
    <t>iscope</t>
  </si>
  <si>
    <t>URDA</t>
  </si>
  <si>
    <t>秋月61</t>
  </si>
  <si>
    <t>get6</t>
  </si>
  <si>
    <t>夏冬</t>
  </si>
  <si>
    <t>バンビーは神</t>
  </si>
  <si>
    <t>oooomori</t>
  </si>
  <si>
    <t>赤餅</t>
  </si>
  <si>
    <t>清田静樹</t>
  </si>
  <si>
    <t>猫にゃんに幸あれ</t>
  </si>
  <si>
    <t>神だお</t>
  </si>
  <si>
    <t>みとま</t>
  </si>
  <si>
    <t>sawaoY</t>
  </si>
  <si>
    <t>こことむぎ</t>
  </si>
  <si>
    <t>泣く泣く鳴く</t>
  </si>
  <si>
    <t>しのびあし</t>
  </si>
  <si>
    <t>ドラゴンブリード</t>
  </si>
  <si>
    <t>こいわいよつば</t>
  </si>
  <si>
    <t>sdluh</t>
  </si>
  <si>
    <t>マジきれそう！</t>
  </si>
  <si>
    <t>あーみん☆</t>
  </si>
  <si>
    <t>瀬尾静音</t>
  </si>
  <si>
    <t>魔剤漫才</t>
  </si>
  <si>
    <t>RUTEN</t>
  </si>
  <si>
    <t>yaseakas</t>
  </si>
  <si>
    <t>特訓中</t>
  </si>
  <si>
    <t>aragien</t>
  </si>
  <si>
    <t>カワチ</t>
  </si>
  <si>
    <t>灼眼のシャナタン</t>
  </si>
  <si>
    <t>四代目@ＲＰ団</t>
  </si>
  <si>
    <t>akosu</t>
  </si>
  <si>
    <t>めろんそーだ</t>
  </si>
  <si>
    <t>ハイジ（１８禁）</t>
  </si>
  <si>
    <t>長島ンガン</t>
  </si>
  <si>
    <t>リンドンリンドン</t>
  </si>
  <si>
    <t>ハクナマタタ戦士</t>
  </si>
  <si>
    <t>ツモ斬り君</t>
  </si>
  <si>
    <t>Ekiben</t>
  </si>
  <si>
    <t>toshi235</t>
  </si>
  <si>
    <t>なまこわんわん！</t>
  </si>
  <si>
    <t>超お電磁スピン</t>
  </si>
  <si>
    <t>律子P</t>
  </si>
  <si>
    <t>ロトの刀</t>
  </si>
  <si>
    <t>天元ルイ</t>
  </si>
  <si>
    <t>せんとらいと</t>
  </si>
  <si>
    <t>Everhyhm</t>
  </si>
  <si>
    <t>ひであき２０１６</t>
  </si>
  <si>
    <t>三森すずこ</t>
  </si>
  <si>
    <t>天羽まどか</t>
  </si>
  <si>
    <t>koudai03</t>
  </si>
  <si>
    <t>itk22777</t>
  </si>
  <si>
    <t>桜沢墨</t>
  </si>
  <si>
    <t>槍槓のみ</t>
  </si>
  <si>
    <t>ちゃそ☆</t>
  </si>
  <si>
    <t>夕凪</t>
  </si>
  <si>
    <t>pudonsha</t>
  </si>
  <si>
    <t>ハットリス</t>
  </si>
  <si>
    <t>綴る！</t>
  </si>
  <si>
    <t>土方歳三</t>
  </si>
  <si>
    <t>s.celty</t>
  </si>
  <si>
    <t>aki!!!</t>
  </si>
  <si>
    <t>天野遠子</t>
  </si>
  <si>
    <t>最強ペチョーリン</t>
  </si>
  <si>
    <t>ginkgo</t>
  </si>
  <si>
    <t>たま子</t>
  </si>
  <si>
    <t>Cecile∇</t>
  </si>
  <si>
    <t>押すし屋さん</t>
  </si>
  <si>
    <t>lupus（新）</t>
  </si>
  <si>
    <t>アンシャル</t>
  </si>
  <si>
    <t>口内炎ができてる</t>
  </si>
  <si>
    <t>いししんID紛失</t>
  </si>
  <si>
    <t>x^^x</t>
  </si>
  <si>
    <t>使徒†やんししー</t>
  </si>
  <si>
    <t>soraru</t>
  </si>
  <si>
    <t>Defiant</t>
  </si>
  <si>
    <t>RITO</t>
  </si>
  <si>
    <t>赤城真子</t>
  </si>
  <si>
    <t>修士3年</t>
  </si>
  <si>
    <t>六番目のシスカ</t>
  </si>
  <si>
    <t>虹野ゆめ</t>
  </si>
  <si>
    <t>お善ティス</t>
  </si>
  <si>
    <t>どいかず</t>
  </si>
  <si>
    <t>桜小桃</t>
  </si>
  <si>
    <t>-乱れ雪月花-</t>
  </si>
  <si>
    <t>Nn134</t>
  </si>
  <si>
    <t>ぽやぽーや</t>
  </si>
  <si>
    <t>華一匁</t>
  </si>
  <si>
    <t>はがねのおの</t>
  </si>
  <si>
    <t>はいぜんべるく</t>
  </si>
  <si>
    <t>マウロ・シウバ</t>
  </si>
  <si>
    <t>CRAZYBEE</t>
  </si>
  <si>
    <t>好きです・・∥</t>
  </si>
  <si>
    <t>ゆめしあ</t>
  </si>
  <si>
    <t>このきー</t>
  </si>
  <si>
    <t>ダブリーハイテイ</t>
  </si>
  <si>
    <t>萌黄えも</t>
  </si>
  <si>
    <t>鳳鳴</t>
  </si>
  <si>
    <t>璽由棋王</t>
  </si>
  <si>
    <t>an_</t>
  </si>
  <si>
    <t>琴吹ヒカリ</t>
  </si>
  <si>
    <t>日本幼女党から</t>
  </si>
  <si>
    <t>パラダイス・ガム</t>
  </si>
  <si>
    <t>LD</t>
  </si>
  <si>
    <t>Mauro</t>
  </si>
  <si>
    <t>びおれーと</t>
  </si>
  <si>
    <t>臼田スミレ</t>
  </si>
  <si>
    <t>ギンギン侍</t>
  </si>
  <si>
    <t>インドラの矢</t>
  </si>
  <si>
    <t>ケンヤ★</t>
  </si>
  <si>
    <t>3番DH井端</t>
  </si>
  <si>
    <t>春埼美空</t>
  </si>
  <si>
    <t>HIGH＆廃</t>
  </si>
  <si>
    <t>ほしのみゆ</t>
  </si>
  <si>
    <t>けんぼ</t>
  </si>
  <si>
    <t>副露型ゼンツ姫</t>
  </si>
  <si>
    <t>野菜じゃないよ</t>
  </si>
  <si>
    <t>Chuel</t>
  </si>
  <si>
    <t>renon19</t>
  </si>
  <si>
    <t>わーみー</t>
  </si>
  <si>
    <t>むっきー</t>
  </si>
  <si>
    <t>(ま´ω｀な)ミ</t>
  </si>
  <si>
    <t>らいる＠TK</t>
  </si>
  <si>
    <t>枯葉の舞</t>
  </si>
  <si>
    <t>teclast</t>
  </si>
  <si>
    <t>片岡篤史</t>
  </si>
  <si>
    <t>不聴牌リーチ</t>
  </si>
  <si>
    <t>奔放雀士</t>
  </si>
  <si>
    <t>フェミック.</t>
  </si>
  <si>
    <t>愛内里菜</t>
  </si>
  <si>
    <t>ここで飲むかも？</t>
  </si>
  <si>
    <t>はみもん</t>
  </si>
  <si>
    <t>名前未定</t>
  </si>
  <si>
    <t>ぐみゃす</t>
  </si>
  <si>
    <t>こばっちぃ</t>
  </si>
  <si>
    <t>ザ・ちくわ</t>
  </si>
  <si>
    <t>真っ向勝負</t>
  </si>
  <si>
    <t>souma555</t>
  </si>
  <si>
    <t>いくらちゃん</t>
  </si>
  <si>
    <t>テクムセ</t>
  </si>
  <si>
    <t>コロヒメマル</t>
  </si>
  <si>
    <t>１０連ガチャ</t>
  </si>
  <si>
    <t>水内魚来香</t>
  </si>
  <si>
    <t>李穎藍</t>
  </si>
  <si>
    <t>GuMi</t>
  </si>
  <si>
    <t>おいるっち</t>
  </si>
  <si>
    <t>接待麻雀王</t>
  </si>
  <si>
    <t>kakao</t>
  </si>
  <si>
    <t>西村雄一郎</t>
  </si>
  <si>
    <t>水口美香</t>
  </si>
  <si>
    <t>＠りんご＠</t>
  </si>
  <si>
    <t>じみいっZ</t>
  </si>
  <si>
    <t>μ若林</t>
  </si>
  <si>
    <t>即リー全ツッパ</t>
  </si>
  <si>
    <t>いーた</t>
  </si>
  <si>
    <t>最速の鳴き</t>
  </si>
  <si>
    <t>kou511</t>
  </si>
  <si>
    <t>水無翠</t>
  </si>
  <si>
    <t>カズイモ</t>
  </si>
  <si>
    <t>新子@憧</t>
  </si>
  <si>
    <t>るん(pafe)</t>
  </si>
  <si>
    <t>小澤誠</t>
  </si>
  <si>
    <t>亀城庵</t>
  </si>
  <si>
    <t>牧瀬紅莉栖</t>
  </si>
  <si>
    <t>(。・ω・。)</t>
  </si>
  <si>
    <t>うれしげお</t>
  </si>
  <si>
    <t>水澤摩央</t>
  </si>
  <si>
    <t>ある</t>
  </si>
  <si>
    <t>ドクロちゃん</t>
  </si>
  <si>
    <t>アミロイド</t>
  </si>
  <si>
    <t>スパークス</t>
  </si>
  <si>
    <t>クマい棒</t>
  </si>
  <si>
    <t>ひみてん</t>
  </si>
  <si>
    <t>nikque</t>
  </si>
  <si>
    <t>鼻の下の溝</t>
  </si>
  <si>
    <t>豆腐たんハァハァ</t>
  </si>
  <si>
    <t>M.arteta</t>
  </si>
  <si>
    <t>蛭子能収のケツ</t>
  </si>
  <si>
    <t>小野宮みずき</t>
  </si>
  <si>
    <t>特東キング</t>
  </si>
  <si>
    <t>棒角</t>
  </si>
  <si>
    <t>kusagame</t>
  </si>
  <si>
    <t>Free-S</t>
  </si>
  <si>
    <t>南斗のレイ</t>
  </si>
  <si>
    <t>ガミネー</t>
  </si>
  <si>
    <t>ふざけるミ！</t>
  </si>
  <si>
    <t>無月散水</t>
  </si>
  <si>
    <t>ゆゆ</t>
  </si>
  <si>
    <t>ノビ</t>
  </si>
  <si>
    <t>クレ</t>
  </si>
  <si>
    <t>Cre.C</t>
  </si>
  <si>
    <t>水内魚来奈</t>
  </si>
  <si>
    <t>はあ</t>
  </si>
  <si>
    <t>いんぱち</t>
  </si>
  <si>
    <t>むすんでひらいて</t>
  </si>
  <si>
    <t>-avatar-</t>
  </si>
  <si>
    <t>ちょろの助</t>
  </si>
  <si>
    <t>ずう</t>
  </si>
  <si>
    <t>とらきちふく</t>
  </si>
  <si>
    <t>Alabama</t>
  </si>
  <si>
    <t>tabaaaa</t>
  </si>
  <si>
    <t>六甲のおいしい水</t>
  </si>
  <si>
    <t>seed</t>
  </si>
  <si>
    <t>☆かずっち☆</t>
  </si>
  <si>
    <t>ぱずぅ</t>
  </si>
  <si>
    <t>ガラス星</t>
  </si>
  <si>
    <t>airix</t>
  </si>
  <si>
    <t>橋本環奈</t>
  </si>
  <si>
    <t>178yen</t>
  </si>
  <si>
    <t>けんたろうさぎ</t>
  </si>
  <si>
    <t>math007</t>
  </si>
  <si>
    <t>春日かれん</t>
  </si>
  <si>
    <t>にげたドレイ</t>
  </si>
  <si>
    <t>落合</t>
  </si>
  <si>
    <t>か～わ</t>
  </si>
  <si>
    <t>顔面強打</t>
  </si>
  <si>
    <t>にお</t>
  </si>
  <si>
    <t>椎名希未</t>
  </si>
  <si>
    <t>044APD</t>
  </si>
  <si>
    <t>惣流・アスカ・L</t>
  </si>
  <si>
    <t>ジルベルト</t>
  </si>
  <si>
    <t>もきゅうううう</t>
  </si>
  <si>
    <t>´・ω・)y－~</t>
  </si>
  <si>
    <t>カリフォルニア風</t>
  </si>
  <si>
    <t>saehara</t>
  </si>
  <si>
    <t>麻雀太郎</t>
  </si>
  <si>
    <t>sten</t>
  </si>
  <si>
    <t>マルマイン</t>
  </si>
  <si>
    <t>ちゅんど</t>
  </si>
  <si>
    <t>鏡花水月</t>
  </si>
  <si>
    <t>Q(T43)</t>
  </si>
  <si>
    <t>エセアカ様</t>
  </si>
  <si>
    <t>じずー</t>
  </si>
  <si>
    <t>川村晃裕</t>
  </si>
  <si>
    <t>がいやしゆ</t>
  </si>
  <si>
    <t>素振り猫</t>
  </si>
  <si>
    <t>.=園城寺怜=</t>
  </si>
  <si>
    <t>津神さん</t>
  </si>
  <si>
    <t>tikatti</t>
  </si>
  <si>
    <t>秋田県追分小学校</t>
  </si>
  <si>
    <t>MKS！</t>
  </si>
  <si>
    <t>みちゃお</t>
  </si>
  <si>
    <t>えせてち</t>
  </si>
  <si>
    <t>きゃっぷ</t>
  </si>
  <si>
    <t>えがおをみせて</t>
  </si>
  <si>
    <t>@馬杉寧香</t>
  </si>
  <si>
    <t>流浪</t>
  </si>
  <si>
    <t>xawi</t>
  </si>
  <si>
    <t>ももまめ</t>
  </si>
  <si>
    <t>Iris*</t>
  </si>
  <si>
    <t>★なりぽた★</t>
  </si>
  <si>
    <t>闘将</t>
  </si>
  <si>
    <t>ぎっしり厳選</t>
  </si>
  <si>
    <t>よつば＠お味噌</t>
  </si>
  <si>
    <t>ovsun3</t>
  </si>
  <si>
    <t>peperere</t>
  </si>
  <si>
    <t>カープ</t>
  </si>
  <si>
    <t>十六夜マイク</t>
  </si>
  <si>
    <t>ＰＰＰするぞ★</t>
  </si>
  <si>
    <t>あおきんぐ</t>
  </si>
  <si>
    <t>玖渚友</t>
  </si>
  <si>
    <t>スターマイン</t>
  </si>
  <si>
    <t>ラスですが何か？</t>
  </si>
  <si>
    <t>比嘉愛未</t>
  </si>
  <si>
    <t>森カフェ（水色）</t>
  </si>
  <si>
    <t>〓STELLA〓</t>
  </si>
  <si>
    <t>$tetsu$</t>
  </si>
  <si>
    <t>Do26</t>
  </si>
  <si>
    <t>ブルとベア</t>
  </si>
  <si>
    <t>ちなつ無双！</t>
  </si>
  <si>
    <t>石杖カナタ</t>
  </si>
  <si>
    <t>武藤千春</t>
  </si>
  <si>
    <t>urjack</t>
  </si>
  <si>
    <t>BlackMZ</t>
  </si>
  <si>
    <t>(ノ・ω・)ノ</t>
  </si>
  <si>
    <t>｛・ω・｝</t>
  </si>
  <si>
    <t>南斗レイ♪</t>
  </si>
  <si>
    <t>サンコート西宮</t>
  </si>
  <si>
    <t>ねるてぃん</t>
  </si>
  <si>
    <t>園城寺竜華</t>
  </si>
  <si>
    <t>拳士郎</t>
  </si>
  <si>
    <t>タイガーふく</t>
  </si>
  <si>
    <t>嵐を呼ぶ男</t>
  </si>
  <si>
    <t>トートロ爺</t>
  </si>
  <si>
    <t>メラゾーマ</t>
  </si>
  <si>
    <t>むつき。</t>
  </si>
  <si>
    <t>Magic狼</t>
  </si>
  <si>
    <t>guppy98</t>
  </si>
  <si>
    <t>トキ雀狂人戦代表</t>
  </si>
  <si>
    <t>tetsubou</t>
  </si>
  <si>
    <t>Legend_K</t>
  </si>
  <si>
    <t>ナズ星@杏杏軍團</t>
  </si>
  <si>
    <t>麻布堅一</t>
  </si>
  <si>
    <t>野生の雑種犬</t>
  </si>
  <si>
    <t>ma-kyao</t>
  </si>
  <si>
    <t>お★んぽの天ぷら</t>
  </si>
  <si>
    <t>真龍博狼牙</t>
  </si>
  <si>
    <t>ＩＣＨＩ</t>
  </si>
  <si>
    <t>Ｍ月兎</t>
  </si>
  <si>
    <t>わっふる♪</t>
  </si>
  <si>
    <t>fate33</t>
  </si>
  <si>
    <t>えあるv</t>
  </si>
  <si>
    <t>ごき</t>
  </si>
  <si>
    <t>BREEV</t>
  </si>
  <si>
    <t>劫波</t>
  </si>
  <si>
    <t>ふわふわ特民</t>
  </si>
  <si>
    <t>ブランキーノ</t>
  </si>
  <si>
    <t>実存</t>
  </si>
  <si>
    <t>新妻エイジ</t>
  </si>
  <si>
    <t>Alice_99</t>
  </si>
  <si>
    <t>†もぐら叩き†</t>
  </si>
  <si>
    <t>Tanakasa</t>
  </si>
  <si>
    <t>★からす☆</t>
  </si>
  <si>
    <t>light99</t>
  </si>
  <si>
    <t>赤髪の白雪</t>
  </si>
  <si>
    <t>いったん</t>
  </si>
  <si>
    <t>あらまり</t>
  </si>
  <si>
    <t>ダサい治</t>
  </si>
  <si>
    <t>☆カリメロ☆</t>
  </si>
  <si>
    <t>えびだけでも</t>
  </si>
  <si>
    <t>真紅っく</t>
  </si>
  <si>
    <t>フタエノキワミ</t>
  </si>
  <si>
    <t>GINトニック</t>
  </si>
  <si>
    <t>小松未歩</t>
  </si>
  <si>
    <t>稲妻ちゃっぴー</t>
  </si>
  <si>
    <t>fu7Cp5Dh</t>
  </si>
  <si>
    <t>筋肉もりぞう</t>
  </si>
  <si>
    <t>アドリブニート</t>
  </si>
  <si>
    <t>アルマジロの外套</t>
  </si>
  <si>
    <t>もんもん</t>
  </si>
  <si>
    <t>源兵衛清安</t>
  </si>
  <si>
    <t>村雨.</t>
  </si>
  <si>
    <t>すいくろ</t>
  </si>
  <si>
    <t>空＠風雅軍団</t>
  </si>
  <si>
    <t>はよおじさん</t>
  </si>
  <si>
    <t>シェイプシフター</t>
  </si>
  <si>
    <t>りあるがちゃぴん</t>
  </si>
  <si>
    <t>魔法少女ルルルン</t>
  </si>
  <si>
    <t>長野原みお</t>
  </si>
  <si>
    <t>遠野秋葉</t>
  </si>
  <si>
    <t>卓王</t>
  </si>
  <si>
    <t>沢宮エリナ</t>
  </si>
  <si>
    <t>sarah456</t>
  </si>
  <si>
    <t>DAILO</t>
  </si>
  <si>
    <t>計算機自然</t>
  </si>
  <si>
    <t>＼(＾ヮ゜)＞</t>
  </si>
  <si>
    <t>stein</t>
  </si>
  <si>
    <t>bons</t>
  </si>
  <si>
    <t>えるも</t>
  </si>
  <si>
    <t>松実玄＠クロ</t>
  </si>
  <si>
    <t>desuyo~</t>
  </si>
  <si>
    <t>卍ＳＳＲ卍</t>
  </si>
  <si>
    <t>ゆうかずは</t>
  </si>
  <si>
    <t>火狼</t>
  </si>
  <si>
    <t>陸上自衛隊代表</t>
  </si>
  <si>
    <t>bloodsee</t>
  </si>
  <si>
    <t>伊能忠敬(21)</t>
  </si>
  <si>
    <t>deepsnow</t>
  </si>
  <si>
    <t>おつかれいな</t>
  </si>
  <si>
    <t>そっくす</t>
  </si>
  <si>
    <t>とどのつまり</t>
  </si>
  <si>
    <t>クリップ</t>
  </si>
  <si>
    <t>MANJUU</t>
  </si>
  <si>
    <t>やがみかなこ</t>
  </si>
  <si>
    <t>laschil</t>
  </si>
  <si>
    <t>鳩侍</t>
  </si>
  <si>
    <t>しゃなな</t>
  </si>
  <si>
    <t>むささび茶</t>
  </si>
  <si>
    <t>こまちゅ</t>
  </si>
  <si>
    <t>うえすぎ</t>
  </si>
  <si>
    <t>アブラソコムツ</t>
  </si>
  <si>
    <t>回し者</t>
  </si>
  <si>
    <t>ジェラートピケ</t>
  </si>
  <si>
    <t>アノミ－</t>
  </si>
  <si>
    <t>YASUYODO</t>
  </si>
  <si>
    <t>さんぽこ</t>
  </si>
  <si>
    <t>KE</t>
  </si>
  <si>
    <t>なまちゃん07</t>
  </si>
  <si>
    <t>M1lbon</t>
  </si>
  <si>
    <t>廃人＠川村軍団</t>
  </si>
  <si>
    <t>KT-RK</t>
  </si>
  <si>
    <t>BlanK's</t>
  </si>
  <si>
    <t>川村門下生</t>
  </si>
  <si>
    <t>OX8910</t>
  </si>
  <si>
    <t>lucksack</t>
  </si>
  <si>
    <t>常にイカくさい</t>
  </si>
  <si>
    <t>NAHCUKUF</t>
  </si>
  <si>
    <t>(*´ω｀*)ノ</t>
  </si>
  <si>
    <t>Ting</t>
  </si>
  <si>
    <t>かくれスライム</t>
  </si>
  <si>
    <t>dq6dry</t>
  </si>
  <si>
    <t>五十鈴華</t>
  </si>
  <si>
    <t>Re:V</t>
  </si>
  <si>
    <t>苗木誠</t>
  </si>
  <si>
    <t>かゆみ止め</t>
  </si>
  <si>
    <t>アンチテーゼ</t>
  </si>
  <si>
    <t>黄龍8</t>
  </si>
  <si>
    <t>魔弾の射手</t>
  </si>
  <si>
    <t>テンカイ</t>
  </si>
  <si>
    <t>さんかく</t>
  </si>
  <si>
    <t>おいリーフ</t>
  </si>
  <si>
    <t>ASAPIN</t>
  </si>
  <si>
    <t>無頼堂空流</t>
  </si>
  <si>
    <t>ムーミン谷</t>
  </si>
  <si>
    <t>すなくじら</t>
  </si>
  <si>
    <t>東南</t>
  </si>
  <si>
    <t>shifon</t>
  </si>
  <si>
    <t>Hoi</t>
  </si>
  <si>
    <t>こそこそ作戦</t>
  </si>
  <si>
    <t>らすちゃん雀士</t>
  </si>
  <si>
    <t>藤堂ユリカ</t>
  </si>
  <si>
    <t>てんほっほう</t>
  </si>
  <si>
    <t>アンゼロット</t>
  </si>
  <si>
    <t>KIN。</t>
  </si>
  <si>
    <t>宇宙タクシー</t>
  </si>
  <si>
    <t>残念隊長</t>
  </si>
  <si>
    <t>水無悠里</t>
  </si>
  <si>
    <t>武雄</t>
  </si>
  <si>
    <t>メタナイト</t>
  </si>
  <si>
    <t>ぷリん☆絆新一門</t>
  </si>
  <si>
    <t>ライカ@</t>
  </si>
  <si>
    <t>xkime</t>
  </si>
  <si>
    <t>Lloyd</t>
  </si>
  <si>
    <t>＠やん</t>
  </si>
  <si>
    <t>黄河のん(ガチ)</t>
  </si>
  <si>
    <t>間食万歳</t>
  </si>
  <si>
    <t>ワスレナゴハン</t>
  </si>
  <si>
    <t>ＮＯｐｐＯ</t>
  </si>
  <si>
    <t>nucclene</t>
  </si>
  <si>
    <t>TIB</t>
  </si>
  <si>
    <t>玉野五十鈴</t>
  </si>
  <si>
    <t>loovis</t>
  </si>
  <si>
    <t>鉄太郎</t>
  </si>
  <si>
    <t>錯乱ペンギン</t>
  </si>
  <si>
    <t>M.T.P.D2</t>
  </si>
  <si>
    <t>ミシェルフーロー</t>
  </si>
  <si>
    <t>tikaka</t>
  </si>
  <si>
    <t>チー散歩</t>
  </si>
  <si>
    <t>カドマサ</t>
  </si>
  <si>
    <t>にくや</t>
  </si>
  <si>
    <t>安芸紅葉</t>
  </si>
  <si>
    <t>かもしん</t>
  </si>
  <si>
    <t>桜竜†774-</t>
  </si>
  <si>
    <t>ぜんつぁ嫌い</t>
  </si>
  <si>
    <t>ノーカン班長</t>
  </si>
  <si>
    <t>ペティットエッカ</t>
  </si>
  <si>
    <t>de4</t>
  </si>
  <si>
    <t>ミルコクロコップ</t>
  </si>
  <si>
    <t>青森のひよこ</t>
  </si>
  <si>
    <t>代々木</t>
  </si>
  <si>
    <t>takotubo</t>
  </si>
  <si>
    <t>livetube</t>
  </si>
  <si>
    <t>M理論</t>
  </si>
  <si>
    <t>yasun</t>
  </si>
  <si>
    <t>解脱</t>
  </si>
  <si>
    <t>ふわふわ♪</t>
  </si>
  <si>
    <t>Deltaman</t>
  </si>
  <si>
    <t>げんたる</t>
  </si>
  <si>
    <t>ふくちゃん@東風</t>
  </si>
  <si>
    <t>Noether</t>
  </si>
  <si>
    <t>神代小蒔★</t>
  </si>
  <si>
    <t>〓大星淡☆</t>
  </si>
  <si>
    <t>水月鏡花</t>
  </si>
  <si>
    <t>Deal-in%</t>
  </si>
  <si>
    <t>Yakuman%</t>
  </si>
  <si>
    <t>Male Games</t>
  </si>
  <si>
    <t>Mean Callrate</t>
  </si>
  <si>
    <t>Callrate (%)</t>
  </si>
  <si>
    <t>Distribution</t>
  </si>
  <si>
    <t>Win Rate (%)</t>
  </si>
  <si>
    <t>Riichi Rate (%)</t>
  </si>
  <si>
    <t>Deal-In Rate (%)</t>
  </si>
  <si>
    <t>St. Dev Callrate</t>
  </si>
  <si>
    <t>Mean Win</t>
  </si>
  <si>
    <t>St. Dev Win</t>
  </si>
  <si>
    <t>Mean Riichi</t>
  </si>
  <si>
    <t>St. Dev Riichi</t>
  </si>
  <si>
    <t>Mean Deal-in</t>
  </si>
  <si>
    <t>St. Dev Deal-in</t>
  </si>
  <si>
    <t>Mean Avg. Value</t>
  </si>
  <si>
    <t>St. Dev Avg. Value</t>
  </si>
  <si>
    <t>=★=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</si>
</sst>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/d"/>
  </numFmts>
  <fonts count="4">
    <font>
      <sz val="10.0"/>
      <color rgb="FF000000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>
      <u/>
      <color rgb="FF0000FF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1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/>
    </xf>
    <xf borderId="0" fillId="0" fontId="2" numFmtId="0" xfId="0" applyAlignment="1" applyFont="1">
      <alignment readingOrder="0"/>
    </xf>
    <xf borderId="0" fillId="0" fontId="2" numFmtId="10" xfId="0" applyAlignment="1" applyFont="1" applyNumberFormat="1">
      <alignment readingOrder="0"/>
    </xf>
    <xf borderId="0" fillId="0" fontId="2" numFmtId="4" xfId="0" applyAlignment="1" applyFont="1" applyNumberFormat="1">
      <alignment readingOrder="0"/>
    </xf>
    <xf borderId="0" fillId="0" fontId="2" numFmtId="10" xfId="0" applyFont="1" applyNumberFormat="1"/>
    <xf borderId="0" fillId="0" fontId="2" numFmtId="46" xfId="0" applyAlignment="1" applyFont="1" applyNumberFormat="1">
      <alignment readingOrder="0"/>
    </xf>
    <xf borderId="0" fillId="0" fontId="2" numFmtId="164" xfId="0" applyAlignment="1" applyFont="1" applyNumberFormat="1">
      <alignment readingOrder="0"/>
    </xf>
    <xf borderId="0" fillId="0" fontId="2" numFmtId="9" xfId="0" applyAlignment="1" applyFont="1" applyNumberFormat="1">
      <alignment readingOrder="0"/>
    </xf>
    <xf borderId="0" fillId="0" fontId="2" numFmtId="20" xfId="0" applyAlignment="1" applyFont="1" applyNumberFormat="1">
      <alignment readingOrder="0"/>
    </xf>
    <xf borderId="0" fillId="0" fontId="2" numFmtId="0" xfId="0" applyFont="1"/>
    <xf borderId="0" fillId="0" fontId="2" numFmtId="4" xfId="0" applyFont="1" applyNumberFormat="1"/>
    <xf borderId="0" fillId="0" fontId="3" numFmtId="0" xfId="0" applyFont="1"/>
    <xf borderId="0" fillId="0" fontId="2" numFmtId="2" xfId="0" applyFont="1" applyNumberFormat="1"/>
    <xf quotePrefix="1" borderId="0" fillId="0" fontId="2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Distribution of Callrate (%)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Averages!$E$1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strRef>
              <c:f>Averages!$D$2:$D$19</c:f>
            </c:strRef>
          </c:cat>
          <c:val>
            <c:numRef>
              <c:f>Averages!$E$2:$E$19</c:f>
              <c:numCache/>
            </c:numRef>
          </c:val>
          <c:smooth val="1"/>
        </c:ser>
        <c:axId val="1949832126"/>
        <c:axId val="1931908734"/>
      </c:lineChart>
      <c:catAx>
        <c:axId val="1949832126"/>
        <c:scaling>
          <c:orientation val="minMax"/>
          <c:max val="50.0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Callrate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31908734"/>
      </c:catAx>
      <c:valAx>
        <c:axId val="19319087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Distribution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4983212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161925</xdr:colOff>
      <xdr:row>19</xdr:row>
      <xdr:rowOff>123825</xdr:rowOff>
    </xdr:from>
    <xdr:ext cx="5715000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no.name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4.0"/>
    <col customWidth="1" min="2" max="2" width="6.5"/>
    <col customWidth="1" min="3" max="3" width="6.88"/>
    <col customWidth="1" min="4" max="5" width="7.25"/>
    <col customWidth="1" min="6" max="7" width="7.13"/>
    <col customWidth="1" min="8" max="8" width="5.38"/>
    <col customWidth="1" min="9" max="9" width="6.5"/>
    <col customWidth="1" min="10" max="10" width="5.5"/>
    <col customWidth="1" min="11" max="11" width="6.75"/>
    <col customWidth="1" min="12" max="12" width="5.38"/>
    <col customWidth="1" min="13" max="13" width="7.38"/>
    <col customWidth="1" min="14" max="15" width="9.88"/>
    <col customWidth="1" min="16" max="16" width="8.25"/>
    <col customWidth="1" min="17" max="17" width="6.63"/>
    <col customWidth="1" min="18" max="18" width="6.25"/>
    <col customWidth="1" min="19" max="19" width="7.38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>
      <c r="A2" s="2" t="s">
        <v>19</v>
      </c>
      <c r="B2" s="2">
        <v>1.0</v>
      </c>
      <c r="C2" s="2">
        <v>6.0</v>
      </c>
      <c r="D2" s="2">
        <v>0.0</v>
      </c>
      <c r="E2" s="3">
        <f t="shared" ref="E2:E7790" si="1">D2/(C2 - B2)</f>
        <v>0</v>
      </c>
      <c r="F2" s="2">
        <v>3.0</v>
      </c>
      <c r="G2" s="3">
        <f t="shared" ref="G2:G7790" si="2">F2/(C2 - B2)</f>
        <v>0.6</v>
      </c>
      <c r="H2" s="2">
        <v>0.0</v>
      </c>
      <c r="I2" s="3">
        <f t="shared" ref="I2:I7790" si="3">H2/(C2 - B2)</f>
        <v>0</v>
      </c>
      <c r="J2" s="2">
        <v>0.0</v>
      </c>
      <c r="K2" s="3">
        <f t="shared" ref="K2:K7790" si="4">J2/(C2 - B2)</f>
        <v>0</v>
      </c>
      <c r="L2" s="2">
        <v>0.0</v>
      </c>
      <c r="M2" s="3" t="str">
        <f t="shared" ref="M2:M7790" si="5">L2/H2</f>
        <v>#DIV/0!</v>
      </c>
      <c r="N2" s="2">
        <v>0.0</v>
      </c>
      <c r="O2" s="4" t="str">
        <f t="shared" ref="O2:O7790" si="6">N2/H2</f>
        <v>#DIV/0!</v>
      </c>
      <c r="P2" s="2">
        <v>0.0</v>
      </c>
      <c r="Q2" s="3">
        <f t="shared" ref="Q2:Q7790" si="7">P2/B2</f>
        <v>0</v>
      </c>
      <c r="R2" s="2">
        <v>0.0</v>
      </c>
      <c r="S2" s="5">
        <f t="shared" ref="S2:S7790" si="8">R2/B2</f>
        <v>0</v>
      </c>
    </row>
    <row r="3">
      <c r="A3" s="2" t="s">
        <v>20</v>
      </c>
      <c r="B3" s="2">
        <v>1.0</v>
      </c>
      <c r="C3" s="2">
        <v>9.0</v>
      </c>
      <c r="D3" s="2">
        <v>3.0</v>
      </c>
      <c r="E3" s="3">
        <f t="shared" si="1"/>
        <v>0.375</v>
      </c>
      <c r="F3" s="2">
        <v>4.0</v>
      </c>
      <c r="G3" s="3">
        <f t="shared" si="2"/>
        <v>0.5</v>
      </c>
      <c r="H3" s="2">
        <v>1.0</v>
      </c>
      <c r="I3" s="3">
        <f t="shared" si="3"/>
        <v>0.125</v>
      </c>
      <c r="J3" s="2">
        <v>0.0</v>
      </c>
      <c r="K3" s="3">
        <f t="shared" si="4"/>
        <v>0</v>
      </c>
      <c r="L3" s="2">
        <v>0.0</v>
      </c>
      <c r="M3" s="3">
        <f t="shared" si="5"/>
        <v>0</v>
      </c>
      <c r="N3" s="2">
        <v>2000.0</v>
      </c>
      <c r="O3" s="4">
        <f t="shared" si="6"/>
        <v>2000</v>
      </c>
      <c r="P3" s="2">
        <v>0.0</v>
      </c>
      <c r="Q3" s="3">
        <f t="shared" si="7"/>
        <v>0</v>
      </c>
      <c r="R3" s="2">
        <v>1.0</v>
      </c>
      <c r="S3" s="5">
        <f t="shared" si="8"/>
        <v>1</v>
      </c>
    </row>
    <row r="4">
      <c r="A4" s="2" t="s">
        <v>21</v>
      </c>
      <c r="B4" s="2">
        <v>1.0</v>
      </c>
      <c r="C4" s="2">
        <v>11.0</v>
      </c>
      <c r="D4" s="2">
        <v>1.0</v>
      </c>
      <c r="E4" s="3">
        <f t="shared" si="1"/>
        <v>0.1</v>
      </c>
      <c r="F4" s="2">
        <v>4.0</v>
      </c>
      <c r="G4" s="3">
        <f t="shared" si="2"/>
        <v>0.4</v>
      </c>
      <c r="H4" s="2">
        <v>0.0</v>
      </c>
      <c r="I4" s="3">
        <f t="shared" si="3"/>
        <v>0</v>
      </c>
      <c r="J4" s="2">
        <v>3.0</v>
      </c>
      <c r="K4" s="3">
        <f t="shared" si="4"/>
        <v>0.3</v>
      </c>
      <c r="L4" s="2">
        <v>0.0</v>
      </c>
      <c r="M4" s="3" t="str">
        <f t="shared" si="5"/>
        <v>#DIV/0!</v>
      </c>
      <c r="N4" s="2">
        <v>0.0</v>
      </c>
      <c r="O4" s="4" t="str">
        <f t="shared" si="6"/>
        <v>#DIV/0!</v>
      </c>
      <c r="P4" s="2">
        <v>0.0</v>
      </c>
      <c r="Q4" s="3">
        <f t="shared" si="7"/>
        <v>0</v>
      </c>
      <c r="R4" s="2">
        <v>0.0</v>
      </c>
      <c r="S4" s="5">
        <f t="shared" si="8"/>
        <v>0</v>
      </c>
    </row>
    <row r="5">
      <c r="A5" s="2" t="s">
        <v>22</v>
      </c>
      <c r="B5" s="2">
        <v>1.0</v>
      </c>
      <c r="C5" s="2">
        <v>9.0</v>
      </c>
      <c r="D5" s="2">
        <v>1.0</v>
      </c>
      <c r="E5" s="3">
        <f t="shared" si="1"/>
        <v>0.125</v>
      </c>
      <c r="F5" s="2">
        <v>3.0</v>
      </c>
      <c r="G5" s="3">
        <f t="shared" si="2"/>
        <v>0.375</v>
      </c>
      <c r="H5" s="2">
        <v>1.0</v>
      </c>
      <c r="I5" s="3">
        <f t="shared" si="3"/>
        <v>0.125</v>
      </c>
      <c r="J5" s="2">
        <v>2.0</v>
      </c>
      <c r="K5" s="3">
        <f t="shared" si="4"/>
        <v>0.25</v>
      </c>
      <c r="L5" s="2">
        <v>1.0</v>
      </c>
      <c r="M5" s="3">
        <f t="shared" si="5"/>
        <v>1</v>
      </c>
      <c r="N5" s="2">
        <v>5200.0</v>
      </c>
      <c r="O5" s="4">
        <f t="shared" si="6"/>
        <v>5200</v>
      </c>
      <c r="P5" s="2">
        <v>0.0</v>
      </c>
      <c r="Q5" s="3">
        <f t="shared" si="7"/>
        <v>0</v>
      </c>
      <c r="R5" s="2">
        <v>1.0</v>
      </c>
      <c r="S5" s="5">
        <f t="shared" si="8"/>
        <v>1</v>
      </c>
    </row>
    <row r="6">
      <c r="A6" s="2" t="s">
        <v>23</v>
      </c>
      <c r="B6" s="2">
        <v>1.0</v>
      </c>
      <c r="C6" s="2">
        <v>9.0</v>
      </c>
      <c r="D6" s="2">
        <v>4.0</v>
      </c>
      <c r="E6" s="3">
        <f t="shared" si="1"/>
        <v>0.5</v>
      </c>
      <c r="F6" s="2">
        <v>3.0</v>
      </c>
      <c r="G6" s="3">
        <f t="shared" si="2"/>
        <v>0.375</v>
      </c>
      <c r="H6" s="2">
        <v>0.0</v>
      </c>
      <c r="I6" s="3">
        <f t="shared" si="3"/>
        <v>0</v>
      </c>
      <c r="J6" s="2">
        <v>0.0</v>
      </c>
      <c r="K6" s="3">
        <f t="shared" si="4"/>
        <v>0</v>
      </c>
      <c r="L6" s="2">
        <v>0.0</v>
      </c>
      <c r="M6" s="3" t="str">
        <f t="shared" si="5"/>
        <v>#DIV/0!</v>
      </c>
      <c r="N6" s="2">
        <v>0.0</v>
      </c>
      <c r="O6" s="4" t="str">
        <f t="shared" si="6"/>
        <v>#DIV/0!</v>
      </c>
      <c r="P6" s="2">
        <v>0.0</v>
      </c>
      <c r="Q6" s="3">
        <f t="shared" si="7"/>
        <v>0</v>
      </c>
      <c r="R6" s="2">
        <v>1.0</v>
      </c>
      <c r="S6" s="5">
        <f t="shared" si="8"/>
        <v>1</v>
      </c>
    </row>
    <row r="7">
      <c r="A7" s="2" t="s">
        <v>24</v>
      </c>
      <c r="B7" s="2">
        <v>2.0</v>
      </c>
      <c r="C7" s="2">
        <v>24.0</v>
      </c>
      <c r="D7" s="2">
        <v>7.0</v>
      </c>
      <c r="E7" s="3">
        <f t="shared" si="1"/>
        <v>0.3181818182</v>
      </c>
      <c r="F7" s="2">
        <v>8.0</v>
      </c>
      <c r="G7" s="3">
        <f t="shared" si="2"/>
        <v>0.3636363636</v>
      </c>
      <c r="H7" s="2">
        <v>8.0</v>
      </c>
      <c r="I7" s="3">
        <f t="shared" si="3"/>
        <v>0.3636363636</v>
      </c>
      <c r="J7" s="2">
        <v>4.0</v>
      </c>
      <c r="K7" s="3">
        <f t="shared" si="4"/>
        <v>0.1818181818</v>
      </c>
      <c r="L7" s="2">
        <v>3.0</v>
      </c>
      <c r="M7" s="3">
        <f t="shared" si="5"/>
        <v>0.375</v>
      </c>
      <c r="N7" s="2">
        <v>47100.0</v>
      </c>
      <c r="O7" s="4">
        <f t="shared" si="6"/>
        <v>5887.5</v>
      </c>
      <c r="P7" s="2">
        <v>0.0</v>
      </c>
      <c r="Q7" s="3">
        <f t="shared" si="7"/>
        <v>0</v>
      </c>
      <c r="R7" s="2">
        <v>2.0</v>
      </c>
      <c r="S7" s="5">
        <f t="shared" si="8"/>
        <v>1</v>
      </c>
    </row>
    <row r="8">
      <c r="A8" s="2" t="s">
        <v>25</v>
      </c>
      <c r="B8" s="2">
        <v>2.0</v>
      </c>
      <c r="C8" s="2">
        <v>24.0</v>
      </c>
      <c r="D8" s="2">
        <v>2.0</v>
      </c>
      <c r="E8" s="3">
        <f t="shared" si="1"/>
        <v>0.09090909091</v>
      </c>
      <c r="F8" s="2">
        <v>8.0</v>
      </c>
      <c r="G8" s="3">
        <f t="shared" si="2"/>
        <v>0.3636363636</v>
      </c>
      <c r="H8" s="2">
        <v>1.0</v>
      </c>
      <c r="I8" s="3">
        <f t="shared" si="3"/>
        <v>0.04545454545</v>
      </c>
      <c r="J8" s="2">
        <v>3.0</v>
      </c>
      <c r="K8" s="3">
        <f t="shared" si="4"/>
        <v>0.1363636364</v>
      </c>
      <c r="L8" s="2">
        <v>1.0</v>
      </c>
      <c r="M8" s="3">
        <f t="shared" si="5"/>
        <v>1</v>
      </c>
      <c r="N8" s="2">
        <v>7700.0</v>
      </c>
      <c r="O8" s="4">
        <f t="shared" si="6"/>
        <v>7700</v>
      </c>
      <c r="P8" s="2">
        <v>0.0</v>
      </c>
      <c r="Q8" s="3">
        <f t="shared" si="7"/>
        <v>0</v>
      </c>
      <c r="R8" s="2">
        <v>1.0</v>
      </c>
      <c r="S8" s="5">
        <f t="shared" si="8"/>
        <v>0.5</v>
      </c>
    </row>
    <row r="9">
      <c r="A9" s="2" t="s">
        <v>26</v>
      </c>
      <c r="B9" s="2">
        <v>1.0</v>
      </c>
      <c r="C9" s="2">
        <v>12.0</v>
      </c>
      <c r="D9" s="2">
        <v>5.0</v>
      </c>
      <c r="E9" s="3">
        <f t="shared" si="1"/>
        <v>0.4545454545</v>
      </c>
      <c r="F9" s="2">
        <v>4.0</v>
      </c>
      <c r="G9" s="3">
        <f t="shared" si="2"/>
        <v>0.3636363636</v>
      </c>
      <c r="H9" s="2">
        <v>0.0</v>
      </c>
      <c r="I9" s="3">
        <f t="shared" si="3"/>
        <v>0</v>
      </c>
      <c r="J9" s="2">
        <v>1.0</v>
      </c>
      <c r="K9" s="3">
        <f t="shared" si="4"/>
        <v>0.09090909091</v>
      </c>
      <c r="L9" s="2">
        <v>0.0</v>
      </c>
      <c r="M9" s="3" t="str">
        <f t="shared" si="5"/>
        <v>#DIV/0!</v>
      </c>
      <c r="N9" s="2">
        <v>0.0</v>
      </c>
      <c r="O9" s="4" t="str">
        <f t="shared" si="6"/>
        <v>#DIV/0!</v>
      </c>
      <c r="P9" s="2">
        <v>0.0</v>
      </c>
      <c r="Q9" s="3">
        <f t="shared" si="7"/>
        <v>0</v>
      </c>
      <c r="R9" s="2">
        <v>1.0</v>
      </c>
      <c r="S9" s="5">
        <f t="shared" si="8"/>
        <v>1</v>
      </c>
    </row>
    <row r="10">
      <c r="A10" s="2" t="s">
        <v>27</v>
      </c>
      <c r="B10" s="2">
        <v>2.0</v>
      </c>
      <c r="C10" s="2">
        <v>19.0</v>
      </c>
      <c r="D10" s="2">
        <v>6.0</v>
      </c>
      <c r="E10" s="3">
        <f t="shared" si="1"/>
        <v>0.3529411765</v>
      </c>
      <c r="F10" s="2">
        <v>6.0</v>
      </c>
      <c r="G10" s="3">
        <f t="shared" si="2"/>
        <v>0.3529411765</v>
      </c>
      <c r="H10" s="2">
        <v>0.0</v>
      </c>
      <c r="I10" s="3">
        <f t="shared" si="3"/>
        <v>0</v>
      </c>
      <c r="J10" s="2">
        <v>4.0</v>
      </c>
      <c r="K10" s="3">
        <f t="shared" si="4"/>
        <v>0.2352941176</v>
      </c>
      <c r="L10" s="2">
        <v>0.0</v>
      </c>
      <c r="M10" s="3" t="str">
        <f t="shared" si="5"/>
        <v>#DIV/0!</v>
      </c>
      <c r="N10" s="2">
        <v>0.0</v>
      </c>
      <c r="O10" s="4" t="str">
        <f t="shared" si="6"/>
        <v>#DIV/0!</v>
      </c>
      <c r="P10" s="2">
        <v>0.0</v>
      </c>
      <c r="Q10" s="3">
        <f t="shared" si="7"/>
        <v>0</v>
      </c>
      <c r="R10" s="2">
        <v>2.0</v>
      </c>
      <c r="S10" s="5">
        <f t="shared" si="8"/>
        <v>1</v>
      </c>
    </row>
    <row r="11">
      <c r="A11" s="2" t="s">
        <v>28</v>
      </c>
      <c r="B11" s="2">
        <v>1.0</v>
      </c>
      <c r="C11" s="2">
        <v>16.0</v>
      </c>
      <c r="D11" s="2">
        <v>7.0</v>
      </c>
      <c r="E11" s="3">
        <f t="shared" si="1"/>
        <v>0.4666666667</v>
      </c>
      <c r="F11" s="2">
        <v>5.0</v>
      </c>
      <c r="G11" s="3">
        <f t="shared" si="2"/>
        <v>0.3333333333</v>
      </c>
      <c r="H11" s="2">
        <v>4.0</v>
      </c>
      <c r="I11" s="3">
        <f t="shared" si="3"/>
        <v>0.2666666667</v>
      </c>
      <c r="J11" s="2">
        <v>4.0</v>
      </c>
      <c r="K11" s="3">
        <f t="shared" si="4"/>
        <v>0.2666666667</v>
      </c>
      <c r="L11" s="2">
        <v>2.0</v>
      </c>
      <c r="M11" s="3">
        <f t="shared" si="5"/>
        <v>0.5</v>
      </c>
      <c r="N11" s="2">
        <v>22700.0</v>
      </c>
      <c r="O11" s="4">
        <f t="shared" si="6"/>
        <v>5675</v>
      </c>
      <c r="P11" s="2">
        <v>0.0</v>
      </c>
      <c r="Q11" s="3">
        <f t="shared" si="7"/>
        <v>0</v>
      </c>
      <c r="R11" s="2">
        <v>0.0</v>
      </c>
      <c r="S11" s="5">
        <f t="shared" si="8"/>
        <v>0</v>
      </c>
    </row>
    <row r="12">
      <c r="A12" s="2" t="s">
        <v>29</v>
      </c>
      <c r="B12" s="2">
        <v>1.0</v>
      </c>
      <c r="C12" s="2">
        <v>10.0</v>
      </c>
      <c r="D12" s="2">
        <v>3.0</v>
      </c>
      <c r="E12" s="3">
        <f t="shared" si="1"/>
        <v>0.3333333333</v>
      </c>
      <c r="F12" s="2">
        <v>3.0</v>
      </c>
      <c r="G12" s="3">
        <f t="shared" si="2"/>
        <v>0.3333333333</v>
      </c>
      <c r="H12" s="2">
        <v>2.0</v>
      </c>
      <c r="I12" s="3">
        <f t="shared" si="3"/>
        <v>0.2222222222</v>
      </c>
      <c r="J12" s="2">
        <v>1.0</v>
      </c>
      <c r="K12" s="3">
        <f t="shared" si="4"/>
        <v>0.1111111111</v>
      </c>
      <c r="L12" s="2">
        <v>2.0</v>
      </c>
      <c r="M12" s="3">
        <f t="shared" si="5"/>
        <v>1</v>
      </c>
      <c r="N12" s="2">
        <v>4600.0</v>
      </c>
      <c r="O12" s="4">
        <f t="shared" si="6"/>
        <v>2300</v>
      </c>
      <c r="P12" s="2">
        <v>0.0</v>
      </c>
      <c r="Q12" s="3">
        <f t="shared" si="7"/>
        <v>0</v>
      </c>
      <c r="R12" s="2">
        <v>1.0</v>
      </c>
      <c r="S12" s="5">
        <f t="shared" si="8"/>
        <v>1</v>
      </c>
    </row>
    <row r="13">
      <c r="A13" s="2" t="s">
        <v>30</v>
      </c>
      <c r="B13" s="2">
        <v>1.0</v>
      </c>
      <c r="C13" s="2">
        <v>10.0</v>
      </c>
      <c r="D13" s="2">
        <v>6.0</v>
      </c>
      <c r="E13" s="3">
        <f t="shared" si="1"/>
        <v>0.6666666667</v>
      </c>
      <c r="F13" s="2">
        <v>3.0</v>
      </c>
      <c r="G13" s="3">
        <f t="shared" si="2"/>
        <v>0.3333333333</v>
      </c>
      <c r="H13" s="2">
        <v>1.0</v>
      </c>
      <c r="I13" s="3">
        <f t="shared" si="3"/>
        <v>0.1111111111</v>
      </c>
      <c r="J13" s="2">
        <v>1.0</v>
      </c>
      <c r="K13" s="3">
        <f t="shared" si="4"/>
        <v>0.1111111111</v>
      </c>
      <c r="L13" s="2">
        <v>0.0</v>
      </c>
      <c r="M13" s="3">
        <f t="shared" si="5"/>
        <v>0</v>
      </c>
      <c r="N13" s="2">
        <v>8000.0</v>
      </c>
      <c r="O13" s="4">
        <f t="shared" si="6"/>
        <v>8000</v>
      </c>
      <c r="P13" s="2">
        <v>0.0</v>
      </c>
      <c r="Q13" s="3">
        <f t="shared" si="7"/>
        <v>0</v>
      </c>
      <c r="R13" s="2">
        <v>1.0</v>
      </c>
      <c r="S13" s="5">
        <f t="shared" si="8"/>
        <v>1</v>
      </c>
    </row>
    <row r="14">
      <c r="A14" s="2" t="s">
        <v>31</v>
      </c>
      <c r="B14" s="2">
        <v>3.0</v>
      </c>
      <c r="C14" s="2">
        <v>31.0</v>
      </c>
      <c r="D14" s="2">
        <v>10.0</v>
      </c>
      <c r="E14" s="3">
        <f t="shared" si="1"/>
        <v>0.3571428571</v>
      </c>
      <c r="F14" s="2">
        <v>9.0</v>
      </c>
      <c r="G14" s="3">
        <f t="shared" si="2"/>
        <v>0.3214285714</v>
      </c>
      <c r="H14" s="2">
        <v>3.0</v>
      </c>
      <c r="I14" s="3">
        <f t="shared" si="3"/>
        <v>0.1071428571</v>
      </c>
      <c r="J14" s="2">
        <v>6.0</v>
      </c>
      <c r="K14" s="3">
        <f t="shared" si="4"/>
        <v>0.2142857143</v>
      </c>
      <c r="L14" s="2">
        <v>2.0</v>
      </c>
      <c r="M14" s="3">
        <f t="shared" si="5"/>
        <v>0.6666666667</v>
      </c>
      <c r="N14" s="2">
        <v>14000.0</v>
      </c>
      <c r="O14" s="4">
        <f t="shared" si="6"/>
        <v>4666.666667</v>
      </c>
      <c r="P14" s="2">
        <v>0.0</v>
      </c>
      <c r="Q14" s="3">
        <f t="shared" si="7"/>
        <v>0</v>
      </c>
      <c r="R14" s="2">
        <v>3.0</v>
      </c>
      <c r="S14" s="5">
        <f t="shared" si="8"/>
        <v>1</v>
      </c>
    </row>
    <row r="15">
      <c r="A15" s="2" t="s">
        <v>32</v>
      </c>
      <c r="B15" s="2">
        <v>1.0</v>
      </c>
      <c r="C15" s="2">
        <v>14.0</v>
      </c>
      <c r="D15" s="2">
        <v>6.0</v>
      </c>
      <c r="E15" s="3">
        <f t="shared" si="1"/>
        <v>0.4615384615</v>
      </c>
      <c r="F15" s="2">
        <v>4.0</v>
      </c>
      <c r="G15" s="3">
        <f t="shared" si="2"/>
        <v>0.3076923077</v>
      </c>
      <c r="H15" s="2">
        <v>6.0</v>
      </c>
      <c r="I15" s="3">
        <f t="shared" si="3"/>
        <v>0.4615384615</v>
      </c>
      <c r="J15" s="2">
        <v>4.0</v>
      </c>
      <c r="K15" s="3">
        <f t="shared" si="4"/>
        <v>0.3076923077</v>
      </c>
      <c r="L15" s="2">
        <v>6.0</v>
      </c>
      <c r="M15" s="3">
        <f t="shared" si="5"/>
        <v>1</v>
      </c>
      <c r="N15" s="2">
        <v>49100.0</v>
      </c>
      <c r="O15" s="4">
        <f t="shared" si="6"/>
        <v>8183.333333</v>
      </c>
      <c r="P15" s="2">
        <v>0.0</v>
      </c>
      <c r="Q15" s="3">
        <f t="shared" si="7"/>
        <v>0</v>
      </c>
      <c r="R15" s="2">
        <v>1.0</v>
      </c>
      <c r="S15" s="5">
        <f t="shared" si="8"/>
        <v>1</v>
      </c>
    </row>
    <row r="16">
      <c r="A16" s="2" t="s">
        <v>33</v>
      </c>
      <c r="B16" s="2">
        <v>3.0</v>
      </c>
      <c r="C16" s="2">
        <v>26.0</v>
      </c>
      <c r="D16" s="2">
        <v>9.0</v>
      </c>
      <c r="E16" s="3">
        <f t="shared" si="1"/>
        <v>0.3913043478</v>
      </c>
      <c r="F16" s="2">
        <v>7.0</v>
      </c>
      <c r="G16" s="3">
        <f t="shared" si="2"/>
        <v>0.3043478261</v>
      </c>
      <c r="H16" s="2">
        <v>6.0</v>
      </c>
      <c r="I16" s="3">
        <f t="shared" si="3"/>
        <v>0.2608695652</v>
      </c>
      <c r="J16" s="2">
        <v>4.0</v>
      </c>
      <c r="K16" s="3">
        <f t="shared" si="4"/>
        <v>0.1739130435</v>
      </c>
      <c r="L16" s="2">
        <v>4.0</v>
      </c>
      <c r="M16" s="3">
        <f t="shared" si="5"/>
        <v>0.6666666667</v>
      </c>
      <c r="N16" s="2">
        <v>54100.0</v>
      </c>
      <c r="O16" s="4">
        <f t="shared" si="6"/>
        <v>9016.666667</v>
      </c>
      <c r="P16" s="2">
        <v>1.0</v>
      </c>
      <c r="Q16" s="3">
        <f t="shared" si="7"/>
        <v>0.3333333333</v>
      </c>
      <c r="R16" s="2">
        <v>3.0</v>
      </c>
      <c r="S16" s="5">
        <f t="shared" si="8"/>
        <v>1</v>
      </c>
    </row>
    <row r="17">
      <c r="A17" s="2" t="s">
        <v>34</v>
      </c>
      <c r="B17" s="2">
        <v>3.0</v>
      </c>
      <c r="C17" s="2">
        <v>33.0</v>
      </c>
      <c r="D17" s="2">
        <v>12.0</v>
      </c>
      <c r="E17" s="3">
        <f t="shared" si="1"/>
        <v>0.4</v>
      </c>
      <c r="F17" s="2">
        <v>9.0</v>
      </c>
      <c r="G17" s="3">
        <f t="shared" si="2"/>
        <v>0.3</v>
      </c>
      <c r="H17" s="2">
        <v>3.0</v>
      </c>
      <c r="I17" s="3">
        <f t="shared" si="3"/>
        <v>0.1</v>
      </c>
      <c r="J17" s="2">
        <v>7.0</v>
      </c>
      <c r="K17" s="3">
        <f t="shared" si="4"/>
        <v>0.2333333333</v>
      </c>
      <c r="L17" s="2">
        <v>2.0</v>
      </c>
      <c r="M17" s="3">
        <f t="shared" si="5"/>
        <v>0.6666666667</v>
      </c>
      <c r="N17" s="2">
        <v>21500.0</v>
      </c>
      <c r="O17" s="4">
        <f t="shared" si="6"/>
        <v>7166.666667</v>
      </c>
      <c r="P17" s="2">
        <v>0.0</v>
      </c>
      <c r="Q17" s="3">
        <f t="shared" si="7"/>
        <v>0</v>
      </c>
      <c r="R17" s="2">
        <v>3.0</v>
      </c>
      <c r="S17" s="5">
        <f t="shared" si="8"/>
        <v>1</v>
      </c>
    </row>
    <row r="18">
      <c r="A18" s="2" t="s">
        <v>35</v>
      </c>
      <c r="B18" s="2">
        <v>2.0</v>
      </c>
      <c r="C18" s="2">
        <v>22.0</v>
      </c>
      <c r="D18" s="2">
        <v>8.0</v>
      </c>
      <c r="E18" s="3">
        <f t="shared" si="1"/>
        <v>0.4</v>
      </c>
      <c r="F18" s="2">
        <v>6.0</v>
      </c>
      <c r="G18" s="3">
        <f t="shared" si="2"/>
        <v>0.3</v>
      </c>
      <c r="H18" s="2">
        <v>5.0</v>
      </c>
      <c r="I18" s="3">
        <f t="shared" si="3"/>
        <v>0.25</v>
      </c>
      <c r="J18" s="2">
        <v>3.0</v>
      </c>
      <c r="K18" s="3">
        <f t="shared" si="4"/>
        <v>0.15</v>
      </c>
      <c r="L18" s="2">
        <v>2.0</v>
      </c>
      <c r="M18" s="3">
        <f t="shared" si="5"/>
        <v>0.4</v>
      </c>
      <c r="N18" s="2">
        <v>31100.0</v>
      </c>
      <c r="O18" s="4">
        <f t="shared" si="6"/>
        <v>6220</v>
      </c>
      <c r="P18" s="2">
        <v>0.0</v>
      </c>
      <c r="Q18" s="3">
        <f t="shared" si="7"/>
        <v>0</v>
      </c>
      <c r="R18" s="2">
        <v>2.0</v>
      </c>
      <c r="S18" s="5">
        <f t="shared" si="8"/>
        <v>1</v>
      </c>
    </row>
    <row r="19">
      <c r="A19" s="2" t="s">
        <v>36</v>
      </c>
      <c r="B19" s="2">
        <v>3.0</v>
      </c>
      <c r="C19" s="2">
        <v>30.0</v>
      </c>
      <c r="D19" s="2">
        <v>10.0</v>
      </c>
      <c r="E19" s="3">
        <f t="shared" si="1"/>
        <v>0.3703703704</v>
      </c>
      <c r="F19" s="2">
        <v>8.0</v>
      </c>
      <c r="G19" s="3">
        <f t="shared" si="2"/>
        <v>0.2962962963</v>
      </c>
      <c r="H19" s="2">
        <v>4.0</v>
      </c>
      <c r="I19" s="3">
        <f t="shared" si="3"/>
        <v>0.1481481481</v>
      </c>
      <c r="J19" s="2">
        <v>5.0</v>
      </c>
      <c r="K19" s="3">
        <f t="shared" si="4"/>
        <v>0.1851851852</v>
      </c>
      <c r="L19" s="2">
        <v>3.0</v>
      </c>
      <c r="M19" s="3">
        <f t="shared" si="5"/>
        <v>0.75</v>
      </c>
      <c r="N19" s="2">
        <v>11600.0</v>
      </c>
      <c r="O19" s="4">
        <f t="shared" si="6"/>
        <v>2900</v>
      </c>
      <c r="P19" s="2">
        <v>0.0</v>
      </c>
      <c r="Q19" s="3">
        <f t="shared" si="7"/>
        <v>0</v>
      </c>
      <c r="R19" s="2">
        <v>0.0</v>
      </c>
      <c r="S19" s="5">
        <f t="shared" si="8"/>
        <v>0</v>
      </c>
    </row>
    <row r="20">
      <c r="A20" s="2" t="s">
        <v>37</v>
      </c>
      <c r="B20" s="2">
        <v>3.0</v>
      </c>
      <c r="C20" s="2">
        <v>30.0</v>
      </c>
      <c r="D20" s="2">
        <v>10.0</v>
      </c>
      <c r="E20" s="3">
        <f t="shared" si="1"/>
        <v>0.3703703704</v>
      </c>
      <c r="F20" s="2">
        <v>8.0</v>
      </c>
      <c r="G20" s="3">
        <f t="shared" si="2"/>
        <v>0.2962962963</v>
      </c>
      <c r="H20" s="2">
        <v>4.0</v>
      </c>
      <c r="I20" s="3">
        <f t="shared" si="3"/>
        <v>0.1481481481</v>
      </c>
      <c r="J20" s="2">
        <v>3.0</v>
      </c>
      <c r="K20" s="3">
        <f t="shared" si="4"/>
        <v>0.1111111111</v>
      </c>
      <c r="L20" s="2">
        <v>1.0</v>
      </c>
      <c r="M20" s="3">
        <f t="shared" si="5"/>
        <v>0.25</v>
      </c>
      <c r="N20" s="2">
        <v>15500.0</v>
      </c>
      <c r="O20" s="4">
        <f t="shared" si="6"/>
        <v>3875</v>
      </c>
      <c r="P20" s="2">
        <v>0.0</v>
      </c>
      <c r="Q20" s="3">
        <f t="shared" si="7"/>
        <v>0</v>
      </c>
      <c r="R20" s="2">
        <v>3.0</v>
      </c>
      <c r="S20" s="5">
        <f t="shared" si="8"/>
        <v>1</v>
      </c>
    </row>
    <row r="21">
      <c r="A21" s="2" t="s">
        <v>38</v>
      </c>
      <c r="B21" s="2">
        <v>2.0</v>
      </c>
      <c r="C21" s="2">
        <v>19.0</v>
      </c>
      <c r="D21" s="2">
        <v>5.0</v>
      </c>
      <c r="E21" s="3">
        <f t="shared" si="1"/>
        <v>0.2941176471</v>
      </c>
      <c r="F21" s="2">
        <v>5.0</v>
      </c>
      <c r="G21" s="3">
        <f t="shared" si="2"/>
        <v>0.2941176471</v>
      </c>
      <c r="H21" s="2">
        <v>3.0</v>
      </c>
      <c r="I21" s="3">
        <f t="shared" si="3"/>
        <v>0.1764705882</v>
      </c>
      <c r="J21" s="2">
        <v>3.0</v>
      </c>
      <c r="K21" s="3">
        <f t="shared" si="4"/>
        <v>0.1764705882</v>
      </c>
      <c r="L21" s="2">
        <v>3.0</v>
      </c>
      <c r="M21" s="3">
        <f t="shared" si="5"/>
        <v>1</v>
      </c>
      <c r="N21" s="2">
        <v>14800.0</v>
      </c>
      <c r="O21" s="4">
        <f t="shared" si="6"/>
        <v>4933.333333</v>
      </c>
      <c r="P21" s="2">
        <v>0.0</v>
      </c>
      <c r="Q21" s="3">
        <f t="shared" si="7"/>
        <v>0</v>
      </c>
      <c r="R21" s="2">
        <v>2.0</v>
      </c>
      <c r="S21" s="5">
        <f t="shared" si="8"/>
        <v>1</v>
      </c>
    </row>
    <row r="22">
      <c r="A22" s="2" t="s">
        <v>39</v>
      </c>
      <c r="B22" s="2">
        <v>2.0</v>
      </c>
      <c r="C22" s="2">
        <v>23.0</v>
      </c>
      <c r="D22" s="2">
        <v>8.0</v>
      </c>
      <c r="E22" s="3">
        <f t="shared" si="1"/>
        <v>0.380952381</v>
      </c>
      <c r="F22" s="2">
        <v>6.0</v>
      </c>
      <c r="G22" s="3">
        <f t="shared" si="2"/>
        <v>0.2857142857</v>
      </c>
      <c r="H22" s="2">
        <v>2.0</v>
      </c>
      <c r="I22" s="3">
        <f t="shared" si="3"/>
        <v>0.09523809524</v>
      </c>
      <c r="J22" s="2">
        <v>3.0</v>
      </c>
      <c r="K22" s="3">
        <f t="shared" si="4"/>
        <v>0.1428571429</v>
      </c>
      <c r="L22" s="2">
        <v>2.0</v>
      </c>
      <c r="M22" s="3">
        <f t="shared" si="5"/>
        <v>1</v>
      </c>
      <c r="N22" s="2">
        <v>14000.0</v>
      </c>
      <c r="O22" s="4">
        <f t="shared" si="6"/>
        <v>7000</v>
      </c>
      <c r="P22" s="2">
        <v>0.0</v>
      </c>
      <c r="Q22" s="3">
        <f t="shared" si="7"/>
        <v>0</v>
      </c>
      <c r="R22" s="2">
        <v>2.0</v>
      </c>
      <c r="S22" s="5">
        <f t="shared" si="8"/>
        <v>1</v>
      </c>
    </row>
    <row r="23">
      <c r="A23" s="2" t="s">
        <v>40</v>
      </c>
      <c r="B23" s="2">
        <v>1.0</v>
      </c>
      <c r="C23" s="2">
        <v>8.0</v>
      </c>
      <c r="D23" s="2">
        <v>1.0</v>
      </c>
      <c r="E23" s="3">
        <f t="shared" si="1"/>
        <v>0.1428571429</v>
      </c>
      <c r="F23" s="2">
        <v>2.0</v>
      </c>
      <c r="G23" s="3">
        <f t="shared" si="2"/>
        <v>0.2857142857</v>
      </c>
      <c r="H23" s="2">
        <v>0.0</v>
      </c>
      <c r="I23" s="3">
        <f t="shared" si="3"/>
        <v>0</v>
      </c>
      <c r="J23" s="2">
        <v>1.0</v>
      </c>
      <c r="K23" s="3">
        <f t="shared" si="4"/>
        <v>0.1428571429</v>
      </c>
      <c r="L23" s="2">
        <v>0.0</v>
      </c>
      <c r="M23" s="3" t="str">
        <f t="shared" si="5"/>
        <v>#DIV/0!</v>
      </c>
      <c r="N23" s="2">
        <v>0.0</v>
      </c>
      <c r="O23" s="4" t="str">
        <f t="shared" si="6"/>
        <v>#DIV/0!</v>
      </c>
      <c r="P23" s="2">
        <v>0.0</v>
      </c>
      <c r="Q23" s="3">
        <f t="shared" si="7"/>
        <v>0</v>
      </c>
      <c r="R23" s="2">
        <v>0.0</v>
      </c>
      <c r="S23" s="5">
        <f t="shared" si="8"/>
        <v>0</v>
      </c>
    </row>
    <row r="24">
      <c r="A24" s="2" t="s">
        <v>41</v>
      </c>
      <c r="B24" s="2">
        <v>4.0</v>
      </c>
      <c r="C24" s="2">
        <v>50.0</v>
      </c>
      <c r="D24" s="2">
        <v>10.0</v>
      </c>
      <c r="E24" s="3">
        <f t="shared" si="1"/>
        <v>0.2173913043</v>
      </c>
      <c r="F24" s="2">
        <v>13.0</v>
      </c>
      <c r="G24" s="3">
        <f t="shared" si="2"/>
        <v>0.2826086957</v>
      </c>
      <c r="H24" s="2">
        <v>6.0</v>
      </c>
      <c r="I24" s="3">
        <f t="shared" si="3"/>
        <v>0.1304347826</v>
      </c>
      <c r="J24" s="2">
        <v>7.0</v>
      </c>
      <c r="K24" s="3">
        <f t="shared" si="4"/>
        <v>0.152173913</v>
      </c>
      <c r="L24" s="2">
        <v>3.0</v>
      </c>
      <c r="M24" s="3">
        <f t="shared" si="5"/>
        <v>0.5</v>
      </c>
      <c r="N24" s="2">
        <v>23600.0</v>
      </c>
      <c r="O24" s="4">
        <f t="shared" si="6"/>
        <v>3933.333333</v>
      </c>
      <c r="P24" s="2">
        <v>0.0</v>
      </c>
      <c r="Q24" s="3">
        <f t="shared" si="7"/>
        <v>0</v>
      </c>
      <c r="R24" s="2">
        <v>0.0</v>
      </c>
      <c r="S24" s="5">
        <f t="shared" si="8"/>
        <v>0</v>
      </c>
    </row>
    <row r="25">
      <c r="A25" s="6">
        <v>2.1590277777777778</v>
      </c>
      <c r="B25" s="2">
        <v>3.0</v>
      </c>
      <c r="C25" s="2">
        <v>35.0</v>
      </c>
      <c r="D25" s="2">
        <v>9.0</v>
      </c>
      <c r="E25" s="3">
        <f t="shared" si="1"/>
        <v>0.28125</v>
      </c>
      <c r="F25" s="2">
        <v>9.0</v>
      </c>
      <c r="G25" s="3">
        <f t="shared" si="2"/>
        <v>0.28125</v>
      </c>
      <c r="H25" s="2">
        <v>5.0</v>
      </c>
      <c r="I25" s="3">
        <f t="shared" si="3"/>
        <v>0.15625</v>
      </c>
      <c r="J25" s="2">
        <v>3.0</v>
      </c>
      <c r="K25" s="3">
        <f t="shared" si="4"/>
        <v>0.09375</v>
      </c>
      <c r="L25" s="2">
        <v>1.0</v>
      </c>
      <c r="M25" s="3">
        <f t="shared" si="5"/>
        <v>0.2</v>
      </c>
      <c r="N25" s="2">
        <v>20200.0</v>
      </c>
      <c r="O25" s="4">
        <f t="shared" si="6"/>
        <v>4040</v>
      </c>
      <c r="P25" s="2">
        <v>0.0</v>
      </c>
      <c r="Q25" s="3">
        <f t="shared" si="7"/>
        <v>0</v>
      </c>
      <c r="R25" s="2">
        <v>3.0</v>
      </c>
      <c r="S25" s="5">
        <f t="shared" si="8"/>
        <v>1</v>
      </c>
    </row>
    <row r="26">
      <c r="A26" s="2" t="s">
        <v>42</v>
      </c>
      <c r="B26" s="2">
        <v>1.0</v>
      </c>
      <c r="C26" s="2">
        <v>12.0</v>
      </c>
      <c r="D26" s="2">
        <v>3.0</v>
      </c>
      <c r="E26" s="3">
        <f t="shared" si="1"/>
        <v>0.2727272727</v>
      </c>
      <c r="F26" s="2">
        <v>3.0</v>
      </c>
      <c r="G26" s="3">
        <f t="shared" si="2"/>
        <v>0.2727272727</v>
      </c>
      <c r="H26" s="2">
        <v>2.0</v>
      </c>
      <c r="I26" s="3">
        <f t="shared" si="3"/>
        <v>0.1818181818</v>
      </c>
      <c r="J26" s="2">
        <v>1.0</v>
      </c>
      <c r="K26" s="3">
        <f t="shared" si="4"/>
        <v>0.09090909091</v>
      </c>
      <c r="L26" s="2">
        <v>2.0</v>
      </c>
      <c r="M26" s="3">
        <f t="shared" si="5"/>
        <v>1</v>
      </c>
      <c r="N26" s="2">
        <v>13500.0</v>
      </c>
      <c r="O26" s="4">
        <f t="shared" si="6"/>
        <v>6750</v>
      </c>
      <c r="P26" s="2">
        <v>0.0</v>
      </c>
      <c r="Q26" s="3">
        <f t="shared" si="7"/>
        <v>0</v>
      </c>
      <c r="R26" s="2">
        <v>1.0</v>
      </c>
      <c r="S26" s="5">
        <f t="shared" si="8"/>
        <v>1</v>
      </c>
    </row>
    <row r="27">
      <c r="A27" s="2" t="s">
        <v>43</v>
      </c>
      <c r="B27" s="2">
        <v>1.0</v>
      </c>
      <c r="C27" s="2">
        <v>12.0</v>
      </c>
      <c r="D27" s="2">
        <v>2.0</v>
      </c>
      <c r="E27" s="3">
        <f t="shared" si="1"/>
        <v>0.1818181818</v>
      </c>
      <c r="F27" s="2">
        <v>3.0</v>
      </c>
      <c r="G27" s="3">
        <f t="shared" si="2"/>
        <v>0.2727272727</v>
      </c>
      <c r="H27" s="2">
        <v>0.0</v>
      </c>
      <c r="I27" s="3">
        <f t="shared" si="3"/>
        <v>0</v>
      </c>
      <c r="J27" s="2">
        <v>1.0</v>
      </c>
      <c r="K27" s="3">
        <f t="shared" si="4"/>
        <v>0.09090909091</v>
      </c>
      <c r="L27" s="2">
        <v>0.0</v>
      </c>
      <c r="M27" s="3" t="str">
        <f t="shared" si="5"/>
        <v>#DIV/0!</v>
      </c>
      <c r="N27" s="2">
        <v>0.0</v>
      </c>
      <c r="O27" s="4" t="str">
        <f t="shared" si="6"/>
        <v>#DIV/0!</v>
      </c>
      <c r="P27" s="2">
        <v>0.0</v>
      </c>
      <c r="Q27" s="3">
        <f t="shared" si="7"/>
        <v>0</v>
      </c>
      <c r="R27" s="2">
        <v>1.0</v>
      </c>
      <c r="S27" s="5">
        <f t="shared" si="8"/>
        <v>1</v>
      </c>
    </row>
    <row r="28">
      <c r="A28" s="2" t="s">
        <v>44</v>
      </c>
      <c r="B28" s="2">
        <v>3.0</v>
      </c>
      <c r="C28" s="2">
        <v>40.0</v>
      </c>
      <c r="D28" s="2">
        <v>13.0</v>
      </c>
      <c r="E28" s="3">
        <f t="shared" si="1"/>
        <v>0.3513513514</v>
      </c>
      <c r="F28" s="2">
        <v>10.0</v>
      </c>
      <c r="G28" s="3">
        <f t="shared" si="2"/>
        <v>0.2702702703</v>
      </c>
      <c r="H28" s="2">
        <v>8.0</v>
      </c>
      <c r="I28" s="3">
        <f t="shared" si="3"/>
        <v>0.2162162162</v>
      </c>
      <c r="J28" s="2">
        <v>7.0</v>
      </c>
      <c r="K28" s="3">
        <f t="shared" si="4"/>
        <v>0.1891891892</v>
      </c>
      <c r="L28" s="2">
        <v>5.0</v>
      </c>
      <c r="M28" s="3">
        <f t="shared" si="5"/>
        <v>0.625</v>
      </c>
      <c r="N28" s="2">
        <v>32000.0</v>
      </c>
      <c r="O28" s="4">
        <f t="shared" si="6"/>
        <v>4000</v>
      </c>
      <c r="P28" s="2">
        <v>0.0</v>
      </c>
      <c r="Q28" s="3">
        <f t="shared" si="7"/>
        <v>0</v>
      </c>
      <c r="R28" s="2">
        <v>3.0</v>
      </c>
      <c r="S28" s="5">
        <f t="shared" si="8"/>
        <v>1</v>
      </c>
    </row>
    <row r="29">
      <c r="A29" s="2" t="s">
        <v>45</v>
      </c>
      <c r="B29" s="2">
        <v>5.0</v>
      </c>
      <c r="C29" s="2">
        <v>57.0</v>
      </c>
      <c r="D29" s="2">
        <v>17.0</v>
      </c>
      <c r="E29" s="3">
        <f t="shared" si="1"/>
        <v>0.3269230769</v>
      </c>
      <c r="F29" s="2">
        <v>14.0</v>
      </c>
      <c r="G29" s="3">
        <f t="shared" si="2"/>
        <v>0.2692307692</v>
      </c>
      <c r="H29" s="2">
        <v>8.0</v>
      </c>
      <c r="I29" s="3">
        <f t="shared" si="3"/>
        <v>0.1538461538</v>
      </c>
      <c r="J29" s="2">
        <v>7.0</v>
      </c>
      <c r="K29" s="3">
        <f t="shared" si="4"/>
        <v>0.1346153846</v>
      </c>
      <c r="L29" s="2">
        <v>5.0</v>
      </c>
      <c r="M29" s="3">
        <f t="shared" si="5"/>
        <v>0.625</v>
      </c>
      <c r="N29" s="2">
        <v>37100.0</v>
      </c>
      <c r="O29" s="4">
        <f t="shared" si="6"/>
        <v>4637.5</v>
      </c>
      <c r="P29" s="2">
        <v>0.0</v>
      </c>
      <c r="Q29" s="3">
        <f t="shared" si="7"/>
        <v>0</v>
      </c>
      <c r="R29" s="2">
        <v>5.0</v>
      </c>
      <c r="S29" s="5">
        <f t="shared" si="8"/>
        <v>1</v>
      </c>
    </row>
    <row r="30">
      <c r="A30" s="2" t="s">
        <v>46</v>
      </c>
      <c r="B30" s="2">
        <v>7.0</v>
      </c>
      <c r="C30" s="2">
        <v>75.0</v>
      </c>
      <c r="D30" s="2">
        <v>24.0</v>
      </c>
      <c r="E30" s="3">
        <f t="shared" si="1"/>
        <v>0.3529411765</v>
      </c>
      <c r="F30" s="2">
        <v>18.0</v>
      </c>
      <c r="G30" s="3">
        <f t="shared" si="2"/>
        <v>0.2647058824</v>
      </c>
      <c r="H30" s="2">
        <v>9.0</v>
      </c>
      <c r="I30" s="3">
        <f t="shared" si="3"/>
        <v>0.1323529412</v>
      </c>
      <c r="J30" s="2">
        <v>11.0</v>
      </c>
      <c r="K30" s="3">
        <f t="shared" si="4"/>
        <v>0.1617647059</v>
      </c>
      <c r="L30" s="2">
        <v>6.0</v>
      </c>
      <c r="M30" s="3">
        <f t="shared" si="5"/>
        <v>0.6666666667</v>
      </c>
      <c r="N30" s="2">
        <v>32600.0</v>
      </c>
      <c r="O30" s="4">
        <f t="shared" si="6"/>
        <v>3622.222222</v>
      </c>
      <c r="P30" s="2">
        <v>0.0</v>
      </c>
      <c r="Q30" s="3">
        <f t="shared" si="7"/>
        <v>0</v>
      </c>
      <c r="R30" s="2">
        <v>7.0</v>
      </c>
      <c r="S30" s="5">
        <f t="shared" si="8"/>
        <v>1</v>
      </c>
    </row>
    <row r="31">
      <c r="A31" s="2" t="s">
        <v>47</v>
      </c>
      <c r="B31" s="2">
        <v>2.0</v>
      </c>
      <c r="C31" s="2">
        <v>21.0</v>
      </c>
      <c r="D31" s="2">
        <v>6.0</v>
      </c>
      <c r="E31" s="3">
        <f t="shared" si="1"/>
        <v>0.3157894737</v>
      </c>
      <c r="F31" s="2">
        <v>5.0</v>
      </c>
      <c r="G31" s="3">
        <f t="shared" si="2"/>
        <v>0.2631578947</v>
      </c>
      <c r="H31" s="2">
        <v>5.0</v>
      </c>
      <c r="I31" s="3">
        <f t="shared" si="3"/>
        <v>0.2631578947</v>
      </c>
      <c r="J31" s="2">
        <v>3.0</v>
      </c>
      <c r="K31" s="3">
        <f t="shared" si="4"/>
        <v>0.1578947368</v>
      </c>
      <c r="L31" s="2">
        <v>4.0</v>
      </c>
      <c r="M31" s="3">
        <f t="shared" si="5"/>
        <v>0.8</v>
      </c>
      <c r="N31" s="2">
        <v>20700.0</v>
      </c>
      <c r="O31" s="4">
        <f t="shared" si="6"/>
        <v>4140</v>
      </c>
      <c r="P31" s="2">
        <v>0.0</v>
      </c>
      <c r="Q31" s="3">
        <f t="shared" si="7"/>
        <v>0</v>
      </c>
      <c r="R31" s="2">
        <v>0.0</v>
      </c>
      <c r="S31" s="5">
        <f t="shared" si="8"/>
        <v>0</v>
      </c>
    </row>
    <row r="32">
      <c r="A32" s="2" t="s">
        <v>48</v>
      </c>
      <c r="B32" s="2">
        <v>7.0</v>
      </c>
      <c r="C32" s="2">
        <v>88.0</v>
      </c>
      <c r="D32" s="2">
        <v>20.0</v>
      </c>
      <c r="E32" s="3">
        <f t="shared" si="1"/>
        <v>0.2469135802</v>
      </c>
      <c r="F32" s="2">
        <v>21.0</v>
      </c>
      <c r="G32" s="3">
        <f t="shared" si="2"/>
        <v>0.2592592593</v>
      </c>
      <c r="H32" s="2">
        <v>8.0</v>
      </c>
      <c r="I32" s="3">
        <f t="shared" si="3"/>
        <v>0.0987654321</v>
      </c>
      <c r="J32" s="2">
        <v>21.0</v>
      </c>
      <c r="K32" s="3">
        <f t="shared" si="4"/>
        <v>0.2592592593</v>
      </c>
      <c r="L32" s="2">
        <v>4.0</v>
      </c>
      <c r="M32" s="3">
        <f t="shared" si="5"/>
        <v>0.5</v>
      </c>
      <c r="N32" s="2">
        <v>58800.0</v>
      </c>
      <c r="O32" s="4">
        <f t="shared" si="6"/>
        <v>7350</v>
      </c>
      <c r="P32" s="2">
        <v>0.0</v>
      </c>
      <c r="Q32" s="3">
        <f t="shared" si="7"/>
        <v>0</v>
      </c>
      <c r="R32" s="2">
        <v>7.0</v>
      </c>
      <c r="S32" s="5">
        <f t="shared" si="8"/>
        <v>1</v>
      </c>
    </row>
    <row r="33">
      <c r="A33" s="2" t="s">
        <v>49</v>
      </c>
      <c r="B33" s="2">
        <v>2.0</v>
      </c>
      <c r="C33" s="2">
        <v>26.0</v>
      </c>
      <c r="D33" s="2">
        <v>5.0</v>
      </c>
      <c r="E33" s="3">
        <f t="shared" si="1"/>
        <v>0.2083333333</v>
      </c>
      <c r="F33" s="2">
        <v>6.0</v>
      </c>
      <c r="G33" s="3">
        <f t="shared" si="2"/>
        <v>0.25</v>
      </c>
      <c r="H33" s="2">
        <v>5.0</v>
      </c>
      <c r="I33" s="3">
        <f t="shared" si="3"/>
        <v>0.2083333333</v>
      </c>
      <c r="J33" s="2">
        <v>3.0</v>
      </c>
      <c r="K33" s="3">
        <f t="shared" si="4"/>
        <v>0.125</v>
      </c>
      <c r="L33" s="2">
        <v>3.0</v>
      </c>
      <c r="M33" s="3">
        <f t="shared" si="5"/>
        <v>0.6</v>
      </c>
      <c r="N33" s="2">
        <v>40500.0</v>
      </c>
      <c r="O33" s="4">
        <f t="shared" si="6"/>
        <v>8100</v>
      </c>
      <c r="P33" s="2">
        <v>0.0</v>
      </c>
      <c r="Q33" s="3">
        <f t="shared" si="7"/>
        <v>0</v>
      </c>
      <c r="R33" s="2">
        <v>2.0</v>
      </c>
      <c r="S33" s="5">
        <f t="shared" si="8"/>
        <v>1</v>
      </c>
    </row>
    <row r="34">
      <c r="A34" s="2" t="s">
        <v>50</v>
      </c>
      <c r="B34" s="2">
        <v>1.0</v>
      </c>
      <c r="C34" s="2">
        <v>9.0</v>
      </c>
      <c r="D34" s="2">
        <v>4.0</v>
      </c>
      <c r="E34" s="3">
        <f t="shared" si="1"/>
        <v>0.5</v>
      </c>
      <c r="F34" s="2">
        <v>2.0</v>
      </c>
      <c r="G34" s="3">
        <f t="shared" si="2"/>
        <v>0.25</v>
      </c>
      <c r="H34" s="2">
        <v>1.0</v>
      </c>
      <c r="I34" s="3">
        <f t="shared" si="3"/>
        <v>0.125</v>
      </c>
      <c r="J34" s="2">
        <v>1.0</v>
      </c>
      <c r="K34" s="3">
        <f t="shared" si="4"/>
        <v>0.125</v>
      </c>
      <c r="L34" s="2">
        <v>1.0</v>
      </c>
      <c r="M34" s="3">
        <f t="shared" si="5"/>
        <v>1</v>
      </c>
      <c r="N34" s="2">
        <v>1300.0</v>
      </c>
      <c r="O34" s="4">
        <f t="shared" si="6"/>
        <v>1300</v>
      </c>
      <c r="P34" s="2">
        <v>0.0</v>
      </c>
      <c r="Q34" s="3">
        <f t="shared" si="7"/>
        <v>0</v>
      </c>
      <c r="R34" s="2">
        <v>0.0</v>
      </c>
      <c r="S34" s="5">
        <f t="shared" si="8"/>
        <v>0</v>
      </c>
    </row>
    <row r="35">
      <c r="A35" s="2" t="s">
        <v>51</v>
      </c>
      <c r="B35" s="2">
        <v>2.0</v>
      </c>
      <c r="C35" s="2">
        <v>22.0</v>
      </c>
      <c r="D35" s="2">
        <v>7.0</v>
      </c>
      <c r="E35" s="3">
        <f t="shared" si="1"/>
        <v>0.35</v>
      </c>
      <c r="F35" s="2">
        <v>5.0</v>
      </c>
      <c r="G35" s="3">
        <f t="shared" si="2"/>
        <v>0.25</v>
      </c>
      <c r="H35" s="2">
        <v>6.0</v>
      </c>
      <c r="I35" s="3">
        <f t="shared" si="3"/>
        <v>0.3</v>
      </c>
      <c r="J35" s="2">
        <v>2.0</v>
      </c>
      <c r="K35" s="3">
        <f t="shared" si="4"/>
        <v>0.1</v>
      </c>
      <c r="L35" s="2">
        <v>4.0</v>
      </c>
      <c r="M35" s="3">
        <f t="shared" si="5"/>
        <v>0.6666666667</v>
      </c>
      <c r="N35" s="2">
        <v>26600.0</v>
      </c>
      <c r="O35" s="4">
        <f t="shared" si="6"/>
        <v>4433.333333</v>
      </c>
      <c r="P35" s="2">
        <v>0.0</v>
      </c>
      <c r="Q35" s="3">
        <f t="shared" si="7"/>
        <v>0</v>
      </c>
      <c r="R35" s="2">
        <v>0.0</v>
      </c>
      <c r="S35" s="5">
        <f t="shared" si="8"/>
        <v>0</v>
      </c>
    </row>
    <row r="36">
      <c r="A36" s="2" t="s">
        <v>52</v>
      </c>
      <c r="B36" s="2">
        <v>6.0</v>
      </c>
      <c r="C36" s="2">
        <v>63.0</v>
      </c>
      <c r="D36" s="2">
        <v>28.0</v>
      </c>
      <c r="E36" s="3">
        <f t="shared" si="1"/>
        <v>0.4912280702</v>
      </c>
      <c r="F36" s="2">
        <v>14.0</v>
      </c>
      <c r="G36" s="3">
        <f t="shared" si="2"/>
        <v>0.2456140351</v>
      </c>
      <c r="H36" s="2">
        <v>11.0</v>
      </c>
      <c r="I36" s="3">
        <f t="shared" si="3"/>
        <v>0.1929824561</v>
      </c>
      <c r="J36" s="2">
        <v>5.0</v>
      </c>
      <c r="K36" s="3">
        <f t="shared" si="4"/>
        <v>0.08771929825</v>
      </c>
      <c r="L36" s="2">
        <v>8.0</v>
      </c>
      <c r="M36" s="3">
        <f t="shared" si="5"/>
        <v>0.7272727273</v>
      </c>
      <c r="N36" s="2">
        <v>50000.0</v>
      </c>
      <c r="O36" s="4">
        <f t="shared" si="6"/>
        <v>4545.454545</v>
      </c>
      <c r="P36" s="2">
        <v>0.0</v>
      </c>
      <c r="Q36" s="3">
        <f t="shared" si="7"/>
        <v>0</v>
      </c>
      <c r="R36" s="2">
        <v>0.0</v>
      </c>
      <c r="S36" s="5">
        <f t="shared" si="8"/>
        <v>0</v>
      </c>
    </row>
    <row r="37">
      <c r="A37" s="2" t="s">
        <v>53</v>
      </c>
      <c r="B37" s="2">
        <v>4.0</v>
      </c>
      <c r="C37" s="2">
        <v>53.0</v>
      </c>
      <c r="D37" s="2">
        <v>17.0</v>
      </c>
      <c r="E37" s="3">
        <f t="shared" si="1"/>
        <v>0.3469387755</v>
      </c>
      <c r="F37" s="2">
        <v>12.0</v>
      </c>
      <c r="G37" s="3">
        <f t="shared" si="2"/>
        <v>0.2448979592</v>
      </c>
      <c r="H37" s="2">
        <v>3.0</v>
      </c>
      <c r="I37" s="3">
        <f t="shared" si="3"/>
        <v>0.0612244898</v>
      </c>
      <c r="J37" s="2">
        <v>5.0</v>
      </c>
      <c r="K37" s="3">
        <f t="shared" si="4"/>
        <v>0.1020408163</v>
      </c>
      <c r="L37" s="2">
        <v>2.0</v>
      </c>
      <c r="M37" s="3">
        <f t="shared" si="5"/>
        <v>0.6666666667</v>
      </c>
      <c r="N37" s="2">
        <v>17400.0</v>
      </c>
      <c r="O37" s="4">
        <f t="shared" si="6"/>
        <v>5800</v>
      </c>
      <c r="P37" s="2">
        <v>0.0</v>
      </c>
      <c r="Q37" s="3">
        <f t="shared" si="7"/>
        <v>0</v>
      </c>
      <c r="R37" s="2">
        <v>4.0</v>
      </c>
      <c r="S37" s="5">
        <f t="shared" si="8"/>
        <v>1</v>
      </c>
    </row>
    <row r="38">
      <c r="A38" s="2" t="s">
        <v>54</v>
      </c>
      <c r="B38" s="2">
        <v>3.0</v>
      </c>
      <c r="C38" s="2">
        <v>36.0</v>
      </c>
      <c r="D38" s="2">
        <v>16.0</v>
      </c>
      <c r="E38" s="3">
        <f t="shared" si="1"/>
        <v>0.4848484848</v>
      </c>
      <c r="F38" s="2">
        <v>8.0</v>
      </c>
      <c r="G38" s="3">
        <f t="shared" si="2"/>
        <v>0.2424242424</v>
      </c>
      <c r="H38" s="2">
        <v>7.0</v>
      </c>
      <c r="I38" s="3">
        <f t="shared" si="3"/>
        <v>0.2121212121</v>
      </c>
      <c r="J38" s="2">
        <v>5.0</v>
      </c>
      <c r="K38" s="3">
        <f t="shared" si="4"/>
        <v>0.1515151515</v>
      </c>
      <c r="L38" s="2">
        <v>4.0</v>
      </c>
      <c r="M38" s="3">
        <f t="shared" si="5"/>
        <v>0.5714285714</v>
      </c>
      <c r="N38" s="2">
        <v>49800.0</v>
      </c>
      <c r="O38" s="4">
        <f t="shared" si="6"/>
        <v>7114.285714</v>
      </c>
      <c r="P38" s="2">
        <v>0.0</v>
      </c>
      <c r="Q38" s="3">
        <f t="shared" si="7"/>
        <v>0</v>
      </c>
      <c r="R38" s="2">
        <v>3.0</v>
      </c>
      <c r="S38" s="5">
        <f t="shared" si="8"/>
        <v>1</v>
      </c>
    </row>
    <row r="39">
      <c r="A39" s="2" t="s">
        <v>55</v>
      </c>
      <c r="B39" s="2">
        <v>6.0</v>
      </c>
      <c r="C39" s="2">
        <v>56.0</v>
      </c>
      <c r="D39" s="2">
        <v>8.0</v>
      </c>
      <c r="E39" s="3">
        <f t="shared" si="1"/>
        <v>0.16</v>
      </c>
      <c r="F39" s="2">
        <v>12.0</v>
      </c>
      <c r="G39" s="3">
        <f t="shared" si="2"/>
        <v>0.24</v>
      </c>
      <c r="H39" s="2">
        <v>9.0</v>
      </c>
      <c r="I39" s="3">
        <f t="shared" si="3"/>
        <v>0.18</v>
      </c>
      <c r="J39" s="2">
        <v>12.0</v>
      </c>
      <c r="K39" s="3">
        <f t="shared" si="4"/>
        <v>0.24</v>
      </c>
      <c r="L39" s="2">
        <v>5.0</v>
      </c>
      <c r="M39" s="3">
        <f t="shared" si="5"/>
        <v>0.5555555556</v>
      </c>
      <c r="N39" s="2">
        <v>56100.0</v>
      </c>
      <c r="O39" s="4">
        <f t="shared" si="6"/>
        <v>6233.333333</v>
      </c>
      <c r="P39" s="2">
        <v>0.0</v>
      </c>
      <c r="Q39" s="3">
        <f t="shared" si="7"/>
        <v>0</v>
      </c>
      <c r="R39" s="2">
        <v>6.0</v>
      </c>
      <c r="S39" s="5">
        <f t="shared" si="8"/>
        <v>1</v>
      </c>
    </row>
    <row r="40">
      <c r="A40" s="2" t="s">
        <v>56</v>
      </c>
      <c r="B40" s="2">
        <v>2.0</v>
      </c>
      <c r="C40" s="2">
        <v>27.0</v>
      </c>
      <c r="D40" s="2">
        <v>9.0</v>
      </c>
      <c r="E40" s="3">
        <f t="shared" si="1"/>
        <v>0.36</v>
      </c>
      <c r="F40" s="2">
        <v>6.0</v>
      </c>
      <c r="G40" s="3">
        <f t="shared" si="2"/>
        <v>0.24</v>
      </c>
      <c r="H40" s="2">
        <v>2.0</v>
      </c>
      <c r="I40" s="3">
        <f t="shared" si="3"/>
        <v>0.08</v>
      </c>
      <c r="J40" s="2">
        <v>5.0</v>
      </c>
      <c r="K40" s="3">
        <f t="shared" si="4"/>
        <v>0.2</v>
      </c>
      <c r="L40" s="2">
        <v>1.0</v>
      </c>
      <c r="M40" s="3">
        <f t="shared" si="5"/>
        <v>0.5</v>
      </c>
      <c r="N40" s="2">
        <v>15600.0</v>
      </c>
      <c r="O40" s="4">
        <f t="shared" si="6"/>
        <v>7800</v>
      </c>
      <c r="P40" s="2">
        <v>0.0</v>
      </c>
      <c r="Q40" s="3">
        <f t="shared" si="7"/>
        <v>0</v>
      </c>
      <c r="R40" s="2">
        <v>0.0</v>
      </c>
      <c r="S40" s="5">
        <f t="shared" si="8"/>
        <v>0</v>
      </c>
    </row>
    <row r="41">
      <c r="A41" s="2" t="s">
        <v>57</v>
      </c>
      <c r="B41" s="2">
        <v>2.0</v>
      </c>
      <c r="C41" s="2">
        <v>23.0</v>
      </c>
      <c r="D41" s="2">
        <v>5.0</v>
      </c>
      <c r="E41" s="3">
        <f t="shared" si="1"/>
        <v>0.2380952381</v>
      </c>
      <c r="F41" s="2">
        <v>5.0</v>
      </c>
      <c r="G41" s="3">
        <f t="shared" si="2"/>
        <v>0.2380952381</v>
      </c>
      <c r="H41" s="2">
        <v>5.0</v>
      </c>
      <c r="I41" s="3">
        <f t="shared" si="3"/>
        <v>0.2380952381</v>
      </c>
      <c r="J41" s="2">
        <v>8.0</v>
      </c>
      <c r="K41" s="3">
        <f t="shared" si="4"/>
        <v>0.380952381</v>
      </c>
      <c r="L41" s="2">
        <v>3.0</v>
      </c>
      <c r="M41" s="3">
        <f t="shared" si="5"/>
        <v>0.6</v>
      </c>
      <c r="N41" s="2">
        <v>26900.0</v>
      </c>
      <c r="O41" s="4">
        <f t="shared" si="6"/>
        <v>5380</v>
      </c>
      <c r="P41" s="2">
        <v>0.0</v>
      </c>
      <c r="Q41" s="3">
        <f t="shared" si="7"/>
        <v>0</v>
      </c>
      <c r="R41" s="2">
        <v>0.0</v>
      </c>
      <c r="S41" s="5">
        <f t="shared" si="8"/>
        <v>0</v>
      </c>
    </row>
    <row r="42">
      <c r="A42" s="2" t="s">
        <v>58</v>
      </c>
      <c r="B42" s="2">
        <v>2.0</v>
      </c>
      <c r="C42" s="2">
        <v>23.0</v>
      </c>
      <c r="D42" s="2">
        <v>9.0</v>
      </c>
      <c r="E42" s="3">
        <f t="shared" si="1"/>
        <v>0.4285714286</v>
      </c>
      <c r="F42" s="2">
        <v>5.0</v>
      </c>
      <c r="G42" s="3">
        <f t="shared" si="2"/>
        <v>0.2380952381</v>
      </c>
      <c r="H42" s="2">
        <v>4.0</v>
      </c>
      <c r="I42" s="3">
        <f t="shared" si="3"/>
        <v>0.1904761905</v>
      </c>
      <c r="J42" s="2">
        <v>3.0</v>
      </c>
      <c r="K42" s="3">
        <f t="shared" si="4"/>
        <v>0.1428571429</v>
      </c>
      <c r="L42" s="2">
        <v>3.0</v>
      </c>
      <c r="M42" s="3">
        <f t="shared" si="5"/>
        <v>0.75</v>
      </c>
      <c r="N42" s="2">
        <v>24900.0</v>
      </c>
      <c r="O42" s="4">
        <f t="shared" si="6"/>
        <v>6225</v>
      </c>
      <c r="P42" s="2">
        <v>0.0</v>
      </c>
      <c r="Q42" s="3">
        <f t="shared" si="7"/>
        <v>0</v>
      </c>
      <c r="R42" s="2">
        <v>2.0</v>
      </c>
      <c r="S42" s="5">
        <f t="shared" si="8"/>
        <v>1</v>
      </c>
    </row>
    <row r="43">
      <c r="A43" s="2" t="s">
        <v>59</v>
      </c>
      <c r="B43" s="2">
        <v>6.0</v>
      </c>
      <c r="C43" s="2">
        <v>65.0</v>
      </c>
      <c r="D43" s="2">
        <v>30.0</v>
      </c>
      <c r="E43" s="3">
        <f t="shared" si="1"/>
        <v>0.5084745763</v>
      </c>
      <c r="F43" s="2">
        <v>14.0</v>
      </c>
      <c r="G43" s="3">
        <f t="shared" si="2"/>
        <v>0.2372881356</v>
      </c>
      <c r="H43" s="2">
        <v>11.0</v>
      </c>
      <c r="I43" s="3">
        <f t="shared" si="3"/>
        <v>0.186440678</v>
      </c>
      <c r="J43" s="2">
        <v>8.0</v>
      </c>
      <c r="K43" s="3">
        <f t="shared" si="4"/>
        <v>0.1355932203</v>
      </c>
      <c r="L43" s="2">
        <v>10.0</v>
      </c>
      <c r="M43" s="3">
        <f t="shared" si="5"/>
        <v>0.9090909091</v>
      </c>
      <c r="N43" s="2">
        <v>31300.0</v>
      </c>
      <c r="O43" s="4">
        <f t="shared" si="6"/>
        <v>2845.454545</v>
      </c>
      <c r="P43" s="2">
        <v>0.0</v>
      </c>
      <c r="Q43" s="3">
        <f t="shared" si="7"/>
        <v>0</v>
      </c>
      <c r="R43" s="2">
        <v>0.0</v>
      </c>
      <c r="S43" s="5">
        <f t="shared" si="8"/>
        <v>0</v>
      </c>
    </row>
    <row r="44">
      <c r="A44" s="2" t="s">
        <v>60</v>
      </c>
      <c r="B44" s="2">
        <v>2.0</v>
      </c>
      <c r="C44" s="2">
        <v>19.0</v>
      </c>
      <c r="D44" s="2">
        <v>4.0</v>
      </c>
      <c r="E44" s="3">
        <f t="shared" si="1"/>
        <v>0.2352941176</v>
      </c>
      <c r="F44" s="2">
        <v>4.0</v>
      </c>
      <c r="G44" s="3">
        <f t="shared" si="2"/>
        <v>0.2352941176</v>
      </c>
      <c r="H44" s="2">
        <v>1.0</v>
      </c>
      <c r="I44" s="3">
        <f t="shared" si="3"/>
        <v>0.05882352941</v>
      </c>
      <c r="J44" s="2">
        <v>3.0</v>
      </c>
      <c r="K44" s="3">
        <f t="shared" si="4"/>
        <v>0.1764705882</v>
      </c>
      <c r="L44" s="2">
        <v>0.0</v>
      </c>
      <c r="M44" s="3">
        <f t="shared" si="5"/>
        <v>0</v>
      </c>
      <c r="N44" s="2">
        <v>1500.0</v>
      </c>
      <c r="O44" s="4">
        <f t="shared" si="6"/>
        <v>1500</v>
      </c>
      <c r="P44" s="2">
        <v>0.0</v>
      </c>
      <c r="Q44" s="3">
        <f t="shared" si="7"/>
        <v>0</v>
      </c>
      <c r="R44" s="2">
        <v>2.0</v>
      </c>
      <c r="S44" s="5">
        <f t="shared" si="8"/>
        <v>1</v>
      </c>
    </row>
    <row r="45">
      <c r="A45" s="2" t="s">
        <v>61</v>
      </c>
      <c r="B45" s="2">
        <v>2.0</v>
      </c>
      <c r="C45" s="2">
        <v>19.0</v>
      </c>
      <c r="D45" s="2">
        <v>7.0</v>
      </c>
      <c r="E45" s="3">
        <f t="shared" si="1"/>
        <v>0.4117647059</v>
      </c>
      <c r="F45" s="2">
        <v>4.0</v>
      </c>
      <c r="G45" s="3">
        <f t="shared" si="2"/>
        <v>0.2352941176</v>
      </c>
      <c r="H45" s="2">
        <v>3.0</v>
      </c>
      <c r="I45" s="3">
        <f t="shared" si="3"/>
        <v>0.1764705882</v>
      </c>
      <c r="J45" s="2">
        <v>2.0</v>
      </c>
      <c r="K45" s="3">
        <f t="shared" si="4"/>
        <v>0.1176470588</v>
      </c>
      <c r="L45" s="2">
        <v>1.0</v>
      </c>
      <c r="M45" s="3">
        <f t="shared" si="5"/>
        <v>0.3333333333</v>
      </c>
      <c r="N45" s="2">
        <v>18200.0</v>
      </c>
      <c r="O45" s="4">
        <f t="shared" si="6"/>
        <v>6066.666667</v>
      </c>
      <c r="P45" s="2">
        <v>0.0</v>
      </c>
      <c r="Q45" s="3">
        <f t="shared" si="7"/>
        <v>0</v>
      </c>
      <c r="R45" s="2">
        <v>0.0</v>
      </c>
      <c r="S45" s="5">
        <f t="shared" si="8"/>
        <v>0</v>
      </c>
    </row>
    <row r="46">
      <c r="A46" s="2" t="s">
        <v>62</v>
      </c>
      <c r="B46" s="2">
        <v>14.0</v>
      </c>
      <c r="C46" s="2">
        <v>156.0</v>
      </c>
      <c r="D46" s="2">
        <v>46.0</v>
      </c>
      <c r="E46" s="3">
        <f t="shared" si="1"/>
        <v>0.323943662</v>
      </c>
      <c r="F46" s="2">
        <v>33.0</v>
      </c>
      <c r="G46" s="3">
        <f t="shared" si="2"/>
        <v>0.2323943662</v>
      </c>
      <c r="H46" s="2">
        <v>18.0</v>
      </c>
      <c r="I46" s="3">
        <f t="shared" si="3"/>
        <v>0.1267605634</v>
      </c>
      <c r="J46" s="2">
        <v>24.0</v>
      </c>
      <c r="K46" s="3">
        <f t="shared" si="4"/>
        <v>0.1690140845</v>
      </c>
      <c r="L46" s="2">
        <v>6.0</v>
      </c>
      <c r="M46" s="3">
        <f t="shared" si="5"/>
        <v>0.3333333333</v>
      </c>
      <c r="N46" s="2">
        <v>122400.0</v>
      </c>
      <c r="O46" s="4">
        <f t="shared" si="6"/>
        <v>6800</v>
      </c>
      <c r="P46" s="2">
        <v>0.0</v>
      </c>
      <c r="Q46" s="3">
        <f t="shared" si="7"/>
        <v>0</v>
      </c>
      <c r="R46" s="2">
        <v>14.0</v>
      </c>
      <c r="S46" s="5">
        <f t="shared" si="8"/>
        <v>1</v>
      </c>
    </row>
    <row r="47">
      <c r="A47" s="2" t="s">
        <v>63</v>
      </c>
      <c r="B47" s="2">
        <v>1.0</v>
      </c>
      <c r="C47" s="2">
        <v>14.0</v>
      </c>
      <c r="D47" s="2">
        <v>4.0</v>
      </c>
      <c r="E47" s="3">
        <f t="shared" si="1"/>
        <v>0.3076923077</v>
      </c>
      <c r="F47" s="2">
        <v>3.0</v>
      </c>
      <c r="G47" s="3">
        <f t="shared" si="2"/>
        <v>0.2307692308</v>
      </c>
      <c r="H47" s="2">
        <v>3.0</v>
      </c>
      <c r="I47" s="3">
        <f t="shared" si="3"/>
        <v>0.2307692308</v>
      </c>
      <c r="J47" s="2">
        <v>3.0</v>
      </c>
      <c r="K47" s="3">
        <f t="shared" si="4"/>
        <v>0.2307692308</v>
      </c>
      <c r="L47" s="2">
        <v>3.0</v>
      </c>
      <c r="M47" s="3">
        <f t="shared" si="5"/>
        <v>1</v>
      </c>
      <c r="N47" s="2">
        <v>5900.0</v>
      </c>
      <c r="O47" s="4">
        <f t="shared" si="6"/>
        <v>1966.666667</v>
      </c>
      <c r="P47" s="2">
        <v>0.0</v>
      </c>
      <c r="Q47" s="3">
        <f t="shared" si="7"/>
        <v>0</v>
      </c>
      <c r="R47" s="2">
        <v>0.0</v>
      </c>
      <c r="S47" s="5">
        <f t="shared" si="8"/>
        <v>0</v>
      </c>
    </row>
    <row r="48">
      <c r="A48" s="2" t="s">
        <v>64</v>
      </c>
      <c r="B48" s="2">
        <v>5.0</v>
      </c>
      <c r="C48" s="2">
        <v>53.0</v>
      </c>
      <c r="D48" s="2">
        <v>24.0</v>
      </c>
      <c r="E48" s="3">
        <f t="shared" si="1"/>
        <v>0.5</v>
      </c>
      <c r="F48" s="2">
        <v>11.0</v>
      </c>
      <c r="G48" s="3">
        <f t="shared" si="2"/>
        <v>0.2291666667</v>
      </c>
      <c r="H48" s="2">
        <v>9.0</v>
      </c>
      <c r="I48" s="3">
        <f t="shared" si="3"/>
        <v>0.1875</v>
      </c>
      <c r="J48" s="2">
        <v>5.0</v>
      </c>
      <c r="K48" s="3">
        <f t="shared" si="4"/>
        <v>0.1041666667</v>
      </c>
      <c r="L48" s="2">
        <v>6.0</v>
      </c>
      <c r="M48" s="3">
        <f t="shared" si="5"/>
        <v>0.6666666667</v>
      </c>
      <c r="N48" s="2">
        <v>33200.0</v>
      </c>
      <c r="O48" s="4">
        <f t="shared" si="6"/>
        <v>3688.888889</v>
      </c>
      <c r="P48" s="2">
        <v>0.0</v>
      </c>
      <c r="Q48" s="3">
        <f t="shared" si="7"/>
        <v>0</v>
      </c>
      <c r="R48" s="2">
        <v>5.0</v>
      </c>
      <c r="S48" s="5">
        <f t="shared" si="8"/>
        <v>1</v>
      </c>
    </row>
    <row r="49">
      <c r="A49" s="2" t="s">
        <v>65</v>
      </c>
      <c r="B49" s="2">
        <v>11.0</v>
      </c>
      <c r="C49" s="2">
        <v>126.0</v>
      </c>
      <c r="D49" s="2">
        <v>43.0</v>
      </c>
      <c r="E49" s="3">
        <f t="shared" si="1"/>
        <v>0.3739130435</v>
      </c>
      <c r="F49" s="2">
        <v>26.0</v>
      </c>
      <c r="G49" s="3">
        <f t="shared" si="2"/>
        <v>0.2260869565</v>
      </c>
      <c r="H49" s="2">
        <v>23.0</v>
      </c>
      <c r="I49" s="3">
        <f t="shared" si="3"/>
        <v>0.2</v>
      </c>
      <c r="J49" s="2">
        <v>21.0</v>
      </c>
      <c r="K49" s="3">
        <f t="shared" si="4"/>
        <v>0.1826086957</v>
      </c>
      <c r="L49" s="2">
        <v>15.0</v>
      </c>
      <c r="M49" s="3">
        <f t="shared" si="5"/>
        <v>0.652173913</v>
      </c>
      <c r="N49" s="2">
        <v>127300.0</v>
      </c>
      <c r="O49" s="4">
        <f t="shared" si="6"/>
        <v>5534.782609</v>
      </c>
      <c r="P49" s="2">
        <v>0.0</v>
      </c>
      <c r="Q49" s="3">
        <f t="shared" si="7"/>
        <v>0</v>
      </c>
      <c r="R49" s="2">
        <v>11.0</v>
      </c>
      <c r="S49" s="5">
        <f t="shared" si="8"/>
        <v>1</v>
      </c>
    </row>
    <row r="50">
      <c r="A50" s="2" t="s">
        <v>66</v>
      </c>
      <c r="B50" s="2">
        <v>3.0</v>
      </c>
      <c r="C50" s="2">
        <v>34.0</v>
      </c>
      <c r="D50" s="2">
        <v>9.0</v>
      </c>
      <c r="E50" s="3">
        <f t="shared" si="1"/>
        <v>0.2903225806</v>
      </c>
      <c r="F50" s="2">
        <v>7.0</v>
      </c>
      <c r="G50" s="3">
        <f t="shared" si="2"/>
        <v>0.2258064516</v>
      </c>
      <c r="H50" s="2">
        <v>4.0</v>
      </c>
      <c r="I50" s="3">
        <f t="shared" si="3"/>
        <v>0.1290322581</v>
      </c>
      <c r="J50" s="2">
        <v>6.0</v>
      </c>
      <c r="K50" s="3">
        <f t="shared" si="4"/>
        <v>0.1935483871</v>
      </c>
      <c r="L50" s="2">
        <v>2.0</v>
      </c>
      <c r="M50" s="3">
        <f t="shared" si="5"/>
        <v>0.5</v>
      </c>
      <c r="N50" s="2">
        <v>20800.0</v>
      </c>
      <c r="O50" s="4">
        <f t="shared" si="6"/>
        <v>5200</v>
      </c>
      <c r="P50" s="2">
        <v>0.0</v>
      </c>
      <c r="Q50" s="3">
        <f t="shared" si="7"/>
        <v>0</v>
      </c>
      <c r="R50" s="2">
        <v>3.0</v>
      </c>
      <c r="S50" s="5">
        <f t="shared" si="8"/>
        <v>1</v>
      </c>
    </row>
    <row r="51">
      <c r="A51" s="2" t="s">
        <v>67</v>
      </c>
      <c r="B51" s="2">
        <v>1.0</v>
      </c>
      <c r="C51" s="2">
        <v>10.0</v>
      </c>
      <c r="D51" s="2">
        <v>2.0</v>
      </c>
      <c r="E51" s="3">
        <f t="shared" si="1"/>
        <v>0.2222222222</v>
      </c>
      <c r="F51" s="2">
        <v>2.0</v>
      </c>
      <c r="G51" s="3">
        <f t="shared" si="2"/>
        <v>0.2222222222</v>
      </c>
      <c r="H51" s="2">
        <v>1.0</v>
      </c>
      <c r="I51" s="3">
        <f t="shared" si="3"/>
        <v>0.1111111111</v>
      </c>
      <c r="J51" s="2">
        <v>4.0</v>
      </c>
      <c r="K51" s="3">
        <f t="shared" si="4"/>
        <v>0.4444444444</v>
      </c>
      <c r="L51" s="2">
        <v>0.0</v>
      </c>
      <c r="M51" s="3">
        <f t="shared" si="5"/>
        <v>0</v>
      </c>
      <c r="N51" s="2">
        <v>2000.0</v>
      </c>
      <c r="O51" s="4">
        <f t="shared" si="6"/>
        <v>2000</v>
      </c>
      <c r="P51" s="2">
        <v>0.0</v>
      </c>
      <c r="Q51" s="3">
        <f t="shared" si="7"/>
        <v>0</v>
      </c>
      <c r="R51" s="2">
        <v>1.0</v>
      </c>
      <c r="S51" s="5">
        <f t="shared" si="8"/>
        <v>1</v>
      </c>
    </row>
    <row r="52">
      <c r="A52" s="2" t="s">
        <v>68</v>
      </c>
      <c r="B52" s="2">
        <v>1.0</v>
      </c>
      <c r="C52" s="2">
        <v>10.0</v>
      </c>
      <c r="D52" s="2">
        <v>3.0</v>
      </c>
      <c r="E52" s="3">
        <f t="shared" si="1"/>
        <v>0.3333333333</v>
      </c>
      <c r="F52" s="2">
        <v>2.0</v>
      </c>
      <c r="G52" s="3">
        <f t="shared" si="2"/>
        <v>0.2222222222</v>
      </c>
      <c r="H52" s="2">
        <v>1.0</v>
      </c>
      <c r="I52" s="3">
        <f t="shared" si="3"/>
        <v>0.1111111111</v>
      </c>
      <c r="J52" s="2">
        <v>3.0</v>
      </c>
      <c r="K52" s="3">
        <f t="shared" si="4"/>
        <v>0.3333333333</v>
      </c>
      <c r="L52" s="2">
        <v>1.0</v>
      </c>
      <c r="M52" s="3">
        <f t="shared" si="5"/>
        <v>1</v>
      </c>
      <c r="N52" s="2">
        <v>2000.0</v>
      </c>
      <c r="O52" s="4">
        <f t="shared" si="6"/>
        <v>2000</v>
      </c>
      <c r="P52" s="2">
        <v>0.0</v>
      </c>
      <c r="Q52" s="3">
        <f t="shared" si="7"/>
        <v>0</v>
      </c>
      <c r="R52" s="2">
        <v>0.0</v>
      </c>
      <c r="S52" s="5">
        <f t="shared" si="8"/>
        <v>0</v>
      </c>
    </row>
    <row r="53">
      <c r="A53" s="2" t="s">
        <v>69</v>
      </c>
      <c r="B53" s="2">
        <v>1.0</v>
      </c>
      <c r="C53" s="2">
        <v>10.0</v>
      </c>
      <c r="D53" s="2">
        <v>5.0</v>
      </c>
      <c r="E53" s="3">
        <f t="shared" si="1"/>
        <v>0.5555555556</v>
      </c>
      <c r="F53" s="2">
        <v>2.0</v>
      </c>
      <c r="G53" s="3">
        <f t="shared" si="2"/>
        <v>0.2222222222</v>
      </c>
      <c r="H53" s="2">
        <v>1.0</v>
      </c>
      <c r="I53" s="3">
        <f t="shared" si="3"/>
        <v>0.1111111111</v>
      </c>
      <c r="J53" s="2">
        <v>1.0</v>
      </c>
      <c r="K53" s="3">
        <f t="shared" si="4"/>
        <v>0.1111111111</v>
      </c>
      <c r="L53" s="2">
        <v>1.0</v>
      </c>
      <c r="M53" s="3">
        <f t="shared" si="5"/>
        <v>1</v>
      </c>
      <c r="N53" s="2">
        <v>5200.0</v>
      </c>
      <c r="O53" s="4">
        <f t="shared" si="6"/>
        <v>5200</v>
      </c>
      <c r="P53" s="2">
        <v>0.0</v>
      </c>
      <c r="Q53" s="3">
        <f t="shared" si="7"/>
        <v>0</v>
      </c>
      <c r="R53" s="2">
        <v>1.0</v>
      </c>
      <c r="S53" s="5">
        <f t="shared" si="8"/>
        <v>1</v>
      </c>
    </row>
    <row r="54">
      <c r="A54" s="2" t="s">
        <v>70</v>
      </c>
      <c r="B54" s="2">
        <v>4.0</v>
      </c>
      <c r="C54" s="2">
        <v>49.0</v>
      </c>
      <c r="D54" s="2">
        <v>13.0</v>
      </c>
      <c r="E54" s="3">
        <f t="shared" si="1"/>
        <v>0.2888888889</v>
      </c>
      <c r="F54" s="2">
        <v>10.0</v>
      </c>
      <c r="G54" s="3">
        <f t="shared" si="2"/>
        <v>0.2222222222</v>
      </c>
      <c r="H54" s="2">
        <v>4.0</v>
      </c>
      <c r="I54" s="3">
        <f t="shared" si="3"/>
        <v>0.08888888889</v>
      </c>
      <c r="J54" s="2">
        <v>3.0</v>
      </c>
      <c r="K54" s="3">
        <f t="shared" si="4"/>
        <v>0.06666666667</v>
      </c>
      <c r="L54" s="2">
        <v>3.0</v>
      </c>
      <c r="M54" s="3">
        <f t="shared" si="5"/>
        <v>0.75</v>
      </c>
      <c r="N54" s="2">
        <v>20400.0</v>
      </c>
      <c r="O54" s="4">
        <f t="shared" si="6"/>
        <v>5100</v>
      </c>
      <c r="P54" s="2">
        <v>0.0</v>
      </c>
      <c r="Q54" s="3">
        <f t="shared" si="7"/>
        <v>0</v>
      </c>
      <c r="R54" s="2">
        <v>4.0</v>
      </c>
      <c r="S54" s="5">
        <f t="shared" si="8"/>
        <v>1</v>
      </c>
    </row>
    <row r="55">
      <c r="A55" s="2" t="s">
        <v>71</v>
      </c>
      <c r="B55" s="2">
        <v>3.0</v>
      </c>
      <c r="C55" s="2">
        <v>35.0</v>
      </c>
      <c r="D55" s="2">
        <v>10.0</v>
      </c>
      <c r="E55" s="3">
        <f t="shared" si="1"/>
        <v>0.3125</v>
      </c>
      <c r="F55" s="2">
        <v>7.0</v>
      </c>
      <c r="G55" s="3">
        <f t="shared" si="2"/>
        <v>0.21875</v>
      </c>
      <c r="H55" s="2">
        <v>6.0</v>
      </c>
      <c r="I55" s="3">
        <f t="shared" si="3"/>
        <v>0.1875</v>
      </c>
      <c r="J55" s="2">
        <v>11.0</v>
      </c>
      <c r="K55" s="3">
        <f t="shared" si="4"/>
        <v>0.34375</v>
      </c>
      <c r="L55" s="2">
        <v>4.0</v>
      </c>
      <c r="M55" s="3">
        <f t="shared" si="5"/>
        <v>0.6666666667</v>
      </c>
      <c r="N55" s="2">
        <v>17900.0</v>
      </c>
      <c r="O55" s="4">
        <f t="shared" si="6"/>
        <v>2983.333333</v>
      </c>
      <c r="P55" s="2">
        <v>0.0</v>
      </c>
      <c r="Q55" s="3">
        <f t="shared" si="7"/>
        <v>0</v>
      </c>
      <c r="R55" s="2">
        <v>3.0</v>
      </c>
      <c r="S55" s="5">
        <f t="shared" si="8"/>
        <v>1</v>
      </c>
    </row>
    <row r="56">
      <c r="A56" s="2" t="s">
        <v>72</v>
      </c>
      <c r="B56" s="2">
        <v>3.0</v>
      </c>
      <c r="C56" s="2">
        <v>35.0</v>
      </c>
      <c r="D56" s="2">
        <v>7.0</v>
      </c>
      <c r="E56" s="3">
        <f t="shared" si="1"/>
        <v>0.21875</v>
      </c>
      <c r="F56" s="2">
        <v>7.0</v>
      </c>
      <c r="G56" s="3">
        <f t="shared" si="2"/>
        <v>0.21875</v>
      </c>
      <c r="H56" s="2">
        <v>5.0</v>
      </c>
      <c r="I56" s="3">
        <f t="shared" si="3"/>
        <v>0.15625</v>
      </c>
      <c r="J56" s="2">
        <v>8.0</v>
      </c>
      <c r="K56" s="3">
        <f t="shared" si="4"/>
        <v>0.25</v>
      </c>
      <c r="L56" s="2">
        <v>3.0</v>
      </c>
      <c r="M56" s="3">
        <f t="shared" si="5"/>
        <v>0.6</v>
      </c>
      <c r="N56" s="2">
        <v>32400.0</v>
      </c>
      <c r="O56" s="4">
        <f t="shared" si="6"/>
        <v>6480</v>
      </c>
      <c r="P56" s="2">
        <v>0.0</v>
      </c>
      <c r="Q56" s="3">
        <f t="shared" si="7"/>
        <v>0</v>
      </c>
      <c r="R56" s="2">
        <v>3.0</v>
      </c>
      <c r="S56" s="5">
        <f t="shared" si="8"/>
        <v>1</v>
      </c>
    </row>
    <row r="57">
      <c r="A57" s="2" t="s">
        <v>73</v>
      </c>
      <c r="B57" s="2">
        <v>21.0</v>
      </c>
      <c r="C57" s="2">
        <v>218.0</v>
      </c>
      <c r="D57" s="2">
        <v>56.0</v>
      </c>
      <c r="E57" s="3">
        <f t="shared" si="1"/>
        <v>0.2842639594</v>
      </c>
      <c r="F57" s="2">
        <v>43.0</v>
      </c>
      <c r="G57" s="3">
        <f t="shared" si="2"/>
        <v>0.2182741117</v>
      </c>
      <c r="H57" s="2">
        <v>30.0</v>
      </c>
      <c r="I57" s="3">
        <f t="shared" si="3"/>
        <v>0.152284264</v>
      </c>
      <c r="J57" s="2">
        <v>32.0</v>
      </c>
      <c r="K57" s="3">
        <f t="shared" si="4"/>
        <v>0.1624365482</v>
      </c>
      <c r="L57" s="2">
        <v>19.0</v>
      </c>
      <c r="M57" s="3">
        <f t="shared" si="5"/>
        <v>0.6333333333</v>
      </c>
      <c r="N57" s="2">
        <v>157500.0</v>
      </c>
      <c r="O57" s="4">
        <f t="shared" si="6"/>
        <v>5250</v>
      </c>
      <c r="P57" s="2">
        <v>0.0</v>
      </c>
      <c r="Q57" s="3">
        <f t="shared" si="7"/>
        <v>0</v>
      </c>
      <c r="R57" s="2">
        <v>21.0</v>
      </c>
      <c r="S57" s="5">
        <f t="shared" si="8"/>
        <v>1</v>
      </c>
    </row>
    <row r="58">
      <c r="A58" s="2" t="s">
        <v>74</v>
      </c>
      <c r="B58" s="2">
        <v>29.0</v>
      </c>
      <c r="C58" s="2">
        <v>310.0</v>
      </c>
      <c r="D58" s="2">
        <v>102.0</v>
      </c>
      <c r="E58" s="3">
        <f t="shared" si="1"/>
        <v>0.3629893238</v>
      </c>
      <c r="F58" s="2">
        <v>61.0</v>
      </c>
      <c r="G58" s="3">
        <f t="shared" si="2"/>
        <v>0.2170818505</v>
      </c>
      <c r="H58" s="2">
        <v>52.0</v>
      </c>
      <c r="I58" s="3">
        <f t="shared" si="3"/>
        <v>0.1850533808</v>
      </c>
      <c r="J58" s="2">
        <v>59.0</v>
      </c>
      <c r="K58" s="3">
        <f t="shared" si="4"/>
        <v>0.2099644128</v>
      </c>
      <c r="L58" s="2">
        <v>34.0</v>
      </c>
      <c r="M58" s="3">
        <f t="shared" si="5"/>
        <v>0.6538461538</v>
      </c>
      <c r="N58" s="2">
        <v>318200.0</v>
      </c>
      <c r="O58" s="4">
        <f t="shared" si="6"/>
        <v>6119.230769</v>
      </c>
      <c r="P58" s="2">
        <v>0.0</v>
      </c>
      <c r="Q58" s="3">
        <f t="shared" si="7"/>
        <v>0</v>
      </c>
      <c r="R58" s="2">
        <v>0.0</v>
      </c>
      <c r="S58" s="5">
        <f t="shared" si="8"/>
        <v>0</v>
      </c>
    </row>
    <row r="59">
      <c r="A59" s="2" t="s">
        <v>75</v>
      </c>
      <c r="B59" s="2">
        <v>23.0</v>
      </c>
      <c r="C59" s="2">
        <v>249.0</v>
      </c>
      <c r="D59" s="2">
        <v>67.0</v>
      </c>
      <c r="E59" s="3">
        <f t="shared" si="1"/>
        <v>0.296460177</v>
      </c>
      <c r="F59" s="2">
        <v>49.0</v>
      </c>
      <c r="G59" s="3">
        <f t="shared" si="2"/>
        <v>0.2168141593</v>
      </c>
      <c r="H59" s="2">
        <v>42.0</v>
      </c>
      <c r="I59" s="3">
        <f t="shared" si="3"/>
        <v>0.185840708</v>
      </c>
      <c r="J59" s="2">
        <v>52.0</v>
      </c>
      <c r="K59" s="3">
        <f t="shared" si="4"/>
        <v>0.2300884956</v>
      </c>
      <c r="L59" s="2">
        <v>28.0</v>
      </c>
      <c r="M59" s="3">
        <f t="shared" si="5"/>
        <v>0.6666666667</v>
      </c>
      <c r="N59" s="2">
        <v>227700.0</v>
      </c>
      <c r="O59" s="4">
        <f t="shared" si="6"/>
        <v>5421.428571</v>
      </c>
      <c r="P59" s="2">
        <v>0.0</v>
      </c>
      <c r="Q59" s="3">
        <f t="shared" si="7"/>
        <v>0</v>
      </c>
      <c r="R59" s="2">
        <v>23.0</v>
      </c>
      <c r="S59" s="5">
        <f t="shared" si="8"/>
        <v>1</v>
      </c>
    </row>
    <row r="60">
      <c r="A60" s="2" t="s">
        <v>76</v>
      </c>
      <c r="B60" s="2">
        <v>6.0</v>
      </c>
      <c r="C60" s="2">
        <v>71.0</v>
      </c>
      <c r="D60" s="2">
        <v>18.0</v>
      </c>
      <c r="E60" s="3">
        <f t="shared" si="1"/>
        <v>0.2769230769</v>
      </c>
      <c r="F60" s="2">
        <v>14.0</v>
      </c>
      <c r="G60" s="3">
        <f t="shared" si="2"/>
        <v>0.2153846154</v>
      </c>
      <c r="H60" s="2">
        <v>9.0</v>
      </c>
      <c r="I60" s="3">
        <f t="shared" si="3"/>
        <v>0.1384615385</v>
      </c>
      <c r="J60" s="2">
        <v>4.0</v>
      </c>
      <c r="K60" s="3">
        <f t="shared" si="4"/>
        <v>0.06153846154</v>
      </c>
      <c r="L60" s="2">
        <v>5.0</v>
      </c>
      <c r="M60" s="3">
        <f t="shared" si="5"/>
        <v>0.5555555556</v>
      </c>
      <c r="N60" s="2">
        <v>53400.0</v>
      </c>
      <c r="O60" s="4">
        <f t="shared" si="6"/>
        <v>5933.333333</v>
      </c>
      <c r="P60" s="2">
        <v>0.0</v>
      </c>
      <c r="Q60" s="3">
        <f t="shared" si="7"/>
        <v>0</v>
      </c>
      <c r="R60" s="2">
        <v>6.0</v>
      </c>
      <c r="S60" s="5">
        <f t="shared" si="8"/>
        <v>1</v>
      </c>
    </row>
    <row r="61">
      <c r="A61" s="2" t="s">
        <v>77</v>
      </c>
      <c r="B61" s="2">
        <v>1.0</v>
      </c>
      <c r="C61" s="2">
        <v>15.0</v>
      </c>
      <c r="D61" s="2">
        <v>5.0</v>
      </c>
      <c r="E61" s="3">
        <f t="shared" si="1"/>
        <v>0.3571428571</v>
      </c>
      <c r="F61" s="2">
        <v>3.0</v>
      </c>
      <c r="G61" s="3">
        <f t="shared" si="2"/>
        <v>0.2142857143</v>
      </c>
      <c r="H61" s="2">
        <v>4.0</v>
      </c>
      <c r="I61" s="3">
        <f t="shared" si="3"/>
        <v>0.2857142857</v>
      </c>
      <c r="J61" s="2">
        <v>3.0</v>
      </c>
      <c r="K61" s="3">
        <f t="shared" si="4"/>
        <v>0.2142857143</v>
      </c>
      <c r="L61" s="2">
        <v>3.0</v>
      </c>
      <c r="M61" s="3">
        <f t="shared" si="5"/>
        <v>0.75</v>
      </c>
      <c r="N61" s="2">
        <v>30000.0</v>
      </c>
      <c r="O61" s="4">
        <f t="shared" si="6"/>
        <v>7500</v>
      </c>
      <c r="P61" s="2">
        <v>0.0</v>
      </c>
      <c r="Q61" s="3">
        <f t="shared" si="7"/>
        <v>0</v>
      </c>
      <c r="R61" s="2">
        <v>0.0</v>
      </c>
      <c r="S61" s="5">
        <f t="shared" si="8"/>
        <v>0</v>
      </c>
    </row>
    <row r="62">
      <c r="A62" s="2" t="s">
        <v>78</v>
      </c>
      <c r="B62" s="2">
        <v>4.0</v>
      </c>
      <c r="C62" s="2">
        <v>46.0</v>
      </c>
      <c r="D62" s="2">
        <v>17.0</v>
      </c>
      <c r="E62" s="3">
        <f t="shared" si="1"/>
        <v>0.4047619048</v>
      </c>
      <c r="F62" s="2">
        <v>9.0</v>
      </c>
      <c r="G62" s="3">
        <f t="shared" si="2"/>
        <v>0.2142857143</v>
      </c>
      <c r="H62" s="2">
        <v>11.0</v>
      </c>
      <c r="I62" s="3">
        <f t="shared" si="3"/>
        <v>0.2619047619</v>
      </c>
      <c r="J62" s="2">
        <v>8.0</v>
      </c>
      <c r="K62" s="3">
        <f t="shared" si="4"/>
        <v>0.1904761905</v>
      </c>
      <c r="L62" s="2">
        <v>8.0</v>
      </c>
      <c r="M62" s="3">
        <f t="shared" si="5"/>
        <v>0.7272727273</v>
      </c>
      <c r="N62" s="2">
        <v>34500.0</v>
      </c>
      <c r="O62" s="4">
        <f t="shared" si="6"/>
        <v>3136.363636</v>
      </c>
      <c r="P62" s="2">
        <v>0.0</v>
      </c>
      <c r="Q62" s="3">
        <f t="shared" si="7"/>
        <v>0</v>
      </c>
      <c r="R62" s="2">
        <v>4.0</v>
      </c>
      <c r="S62" s="5">
        <f t="shared" si="8"/>
        <v>1</v>
      </c>
    </row>
    <row r="63">
      <c r="A63" s="2" t="s">
        <v>79</v>
      </c>
      <c r="B63" s="2">
        <v>24.0</v>
      </c>
      <c r="C63" s="2">
        <v>254.0</v>
      </c>
      <c r="D63" s="2">
        <v>69.0</v>
      </c>
      <c r="E63" s="3">
        <f t="shared" si="1"/>
        <v>0.3</v>
      </c>
      <c r="F63" s="2">
        <v>49.0</v>
      </c>
      <c r="G63" s="3">
        <f t="shared" si="2"/>
        <v>0.2130434783</v>
      </c>
      <c r="H63" s="2">
        <v>34.0</v>
      </c>
      <c r="I63" s="3">
        <f t="shared" si="3"/>
        <v>0.147826087</v>
      </c>
      <c r="J63" s="2">
        <v>53.0</v>
      </c>
      <c r="K63" s="3">
        <f t="shared" si="4"/>
        <v>0.2304347826</v>
      </c>
      <c r="L63" s="2">
        <v>21.0</v>
      </c>
      <c r="M63" s="3">
        <f t="shared" si="5"/>
        <v>0.6176470588</v>
      </c>
      <c r="N63" s="2">
        <v>185400.0</v>
      </c>
      <c r="O63" s="4">
        <f t="shared" si="6"/>
        <v>5452.941176</v>
      </c>
      <c r="P63" s="2">
        <v>0.0</v>
      </c>
      <c r="Q63" s="3">
        <f t="shared" si="7"/>
        <v>0</v>
      </c>
      <c r="R63" s="2">
        <v>24.0</v>
      </c>
      <c r="S63" s="5">
        <f t="shared" si="8"/>
        <v>1</v>
      </c>
    </row>
    <row r="64">
      <c r="A64" s="2" t="s">
        <v>80</v>
      </c>
      <c r="B64" s="2">
        <v>8.0</v>
      </c>
      <c r="C64" s="2">
        <v>88.0</v>
      </c>
      <c r="D64" s="2">
        <v>27.0</v>
      </c>
      <c r="E64" s="3">
        <f t="shared" si="1"/>
        <v>0.3375</v>
      </c>
      <c r="F64" s="2">
        <v>17.0</v>
      </c>
      <c r="G64" s="3">
        <f t="shared" si="2"/>
        <v>0.2125</v>
      </c>
      <c r="H64" s="2">
        <v>12.0</v>
      </c>
      <c r="I64" s="3">
        <f t="shared" si="3"/>
        <v>0.15</v>
      </c>
      <c r="J64" s="2">
        <v>9.0</v>
      </c>
      <c r="K64" s="3">
        <f t="shared" si="4"/>
        <v>0.1125</v>
      </c>
      <c r="L64" s="2">
        <v>7.0</v>
      </c>
      <c r="M64" s="3">
        <f t="shared" si="5"/>
        <v>0.5833333333</v>
      </c>
      <c r="N64" s="2">
        <v>80600.0</v>
      </c>
      <c r="O64" s="4">
        <f t="shared" si="6"/>
        <v>6716.666667</v>
      </c>
      <c r="P64" s="2">
        <v>0.0</v>
      </c>
      <c r="Q64" s="3">
        <f t="shared" si="7"/>
        <v>0</v>
      </c>
      <c r="R64" s="2">
        <v>8.0</v>
      </c>
      <c r="S64" s="5">
        <f t="shared" si="8"/>
        <v>1</v>
      </c>
    </row>
    <row r="65">
      <c r="A65" s="2" t="s">
        <v>81</v>
      </c>
      <c r="B65" s="2">
        <v>17.0</v>
      </c>
      <c r="C65" s="2">
        <v>196.0</v>
      </c>
      <c r="D65" s="2">
        <v>71.0</v>
      </c>
      <c r="E65" s="3">
        <f t="shared" si="1"/>
        <v>0.3966480447</v>
      </c>
      <c r="F65" s="2">
        <v>38.0</v>
      </c>
      <c r="G65" s="3">
        <f t="shared" si="2"/>
        <v>0.2122905028</v>
      </c>
      <c r="H65" s="2">
        <v>36.0</v>
      </c>
      <c r="I65" s="3">
        <f t="shared" si="3"/>
        <v>0.2011173184</v>
      </c>
      <c r="J65" s="2">
        <v>36.0</v>
      </c>
      <c r="K65" s="3">
        <f t="shared" si="4"/>
        <v>0.2011173184</v>
      </c>
      <c r="L65" s="2">
        <v>17.0</v>
      </c>
      <c r="M65" s="3">
        <f t="shared" si="5"/>
        <v>0.4722222222</v>
      </c>
      <c r="N65" s="2">
        <v>239000.0</v>
      </c>
      <c r="O65" s="4">
        <f t="shared" si="6"/>
        <v>6638.888889</v>
      </c>
      <c r="P65" s="2">
        <v>0.0</v>
      </c>
      <c r="Q65" s="3">
        <f t="shared" si="7"/>
        <v>0</v>
      </c>
      <c r="R65" s="2">
        <v>17.0</v>
      </c>
      <c r="S65" s="5">
        <f t="shared" si="8"/>
        <v>1</v>
      </c>
    </row>
    <row r="66">
      <c r="A66" s="2" t="s">
        <v>82</v>
      </c>
      <c r="B66" s="2">
        <v>14.0</v>
      </c>
      <c r="C66" s="2">
        <v>165.0</v>
      </c>
      <c r="D66" s="2">
        <v>40.0</v>
      </c>
      <c r="E66" s="3">
        <f t="shared" si="1"/>
        <v>0.2649006623</v>
      </c>
      <c r="F66" s="2">
        <v>32.0</v>
      </c>
      <c r="G66" s="3">
        <f t="shared" si="2"/>
        <v>0.2119205298</v>
      </c>
      <c r="H66" s="2">
        <v>32.0</v>
      </c>
      <c r="I66" s="3">
        <f t="shared" si="3"/>
        <v>0.2119205298</v>
      </c>
      <c r="J66" s="2">
        <v>46.0</v>
      </c>
      <c r="K66" s="3">
        <f t="shared" si="4"/>
        <v>0.3046357616</v>
      </c>
      <c r="L66" s="2">
        <v>20.0</v>
      </c>
      <c r="M66" s="3">
        <f t="shared" si="5"/>
        <v>0.625</v>
      </c>
      <c r="N66" s="2">
        <v>194600.0</v>
      </c>
      <c r="O66" s="4">
        <f t="shared" si="6"/>
        <v>6081.25</v>
      </c>
      <c r="P66" s="2">
        <v>0.0</v>
      </c>
      <c r="Q66" s="3">
        <f t="shared" si="7"/>
        <v>0</v>
      </c>
      <c r="R66" s="2">
        <v>14.0</v>
      </c>
      <c r="S66" s="5">
        <f t="shared" si="8"/>
        <v>1</v>
      </c>
    </row>
    <row r="67">
      <c r="A67" s="2" t="s">
        <v>83</v>
      </c>
      <c r="B67" s="2">
        <v>1.0</v>
      </c>
      <c r="C67" s="2">
        <v>20.0</v>
      </c>
      <c r="D67" s="2">
        <v>6.0</v>
      </c>
      <c r="E67" s="3">
        <f t="shared" si="1"/>
        <v>0.3157894737</v>
      </c>
      <c r="F67" s="2">
        <v>4.0</v>
      </c>
      <c r="G67" s="3">
        <f t="shared" si="2"/>
        <v>0.2105263158</v>
      </c>
      <c r="H67" s="2">
        <v>5.0</v>
      </c>
      <c r="I67" s="3">
        <f t="shared" si="3"/>
        <v>0.2631578947</v>
      </c>
      <c r="J67" s="2">
        <v>5.0</v>
      </c>
      <c r="K67" s="3">
        <f t="shared" si="4"/>
        <v>0.2631578947</v>
      </c>
      <c r="L67" s="2">
        <v>3.0</v>
      </c>
      <c r="M67" s="3">
        <f t="shared" si="5"/>
        <v>0.6</v>
      </c>
      <c r="N67" s="2">
        <v>40000.0</v>
      </c>
      <c r="O67" s="4">
        <f t="shared" si="6"/>
        <v>8000</v>
      </c>
      <c r="P67" s="2">
        <v>0.0</v>
      </c>
      <c r="Q67" s="3">
        <f t="shared" si="7"/>
        <v>0</v>
      </c>
      <c r="R67" s="2">
        <v>1.0</v>
      </c>
      <c r="S67" s="5">
        <f t="shared" si="8"/>
        <v>1</v>
      </c>
    </row>
    <row r="68">
      <c r="A68" s="2" t="s">
        <v>84</v>
      </c>
      <c r="B68" s="2">
        <v>2.0</v>
      </c>
      <c r="C68" s="2">
        <v>21.0</v>
      </c>
      <c r="D68" s="2">
        <v>7.0</v>
      </c>
      <c r="E68" s="3">
        <f t="shared" si="1"/>
        <v>0.3684210526</v>
      </c>
      <c r="F68" s="2">
        <v>4.0</v>
      </c>
      <c r="G68" s="3">
        <f t="shared" si="2"/>
        <v>0.2105263158</v>
      </c>
      <c r="H68" s="2">
        <v>3.0</v>
      </c>
      <c r="I68" s="3">
        <f t="shared" si="3"/>
        <v>0.1578947368</v>
      </c>
      <c r="J68" s="2">
        <v>4.0</v>
      </c>
      <c r="K68" s="3">
        <f t="shared" si="4"/>
        <v>0.2105263158</v>
      </c>
      <c r="L68" s="2">
        <v>1.0</v>
      </c>
      <c r="M68" s="3">
        <f t="shared" si="5"/>
        <v>0.3333333333</v>
      </c>
      <c r="N68" s="2">
        <v>15300.0</v>
      </c>
      <c r="O68" s="4">
        <f t="shared" si="6"/>
        <v>5100</v>
      </c>
      <c r="P68" s="2">
        <v>0.0</v>
      </c>
      <c r="Q68" s="3">
        <f t="shared" si="7"/>
        <v>0</v>
      </c>
      <c r="R68" s="2">
        <v>0.0</v>
      </c>
      <c r="S68" s="5">
        <f t="shared" si="8"/>
        <v>0</v>
      </c>
    </row>
    <row r="69">
      <c r="A69" s="2" t="s">
        <v>85</v>
      </c>
      <c r="B69" s="2">
        <v>38.0</v>
      </c>
      <c r="C69" s="2">
        <v>481.0</v>
      </c>
      <c r="D69" s="2">
        <v>175.0</v>
      </c>
      <c r="E69" s="3">
        <f t="shared" si="1"/>
        <v>0.39503386</v>
      </c>
      <c r="F69" s="2">
        <v>93.0</v>
      </c>
      <c r="G69" s="3">
        <f t="shared" si="2"/>
        <v>0.2099322799</v>
      </c>
      <c r="H69" s="2">
        <v>80.0</v>
      </c>
      <c r="I69" s="3">
        <f t="shared" si="3"/>
        <v>0.1805869074</v>
      </c>
      <c r="J69" s="2">
        <v>91.0</v>
      </c>
      <c r="K69" s="3">
        <f t="shared" si="4"/>
        <v>0.2054176072</v>
      </c>
      <c r="L69" s="2">
        <v>49.0</v>
      </c>
      <c r="M69" s="3">
        <f t="shared" si="5"/>
        <v>0.6125</v>
      </c>
      <c r="N69" s="2">
        <v>467100.0</v>
      </c>
      <c r="O69" s="4">
        <f t="shared" si="6"/>
        <v>5838.75</v>
      </c>
      <c r="P69" s="2">
        <v>1.0</v>
      </c>
      <c r="Q69" s="3">
        <f t="shared" si="7"/>
        <v>0.02631578947</v>
      </c>
      <c r="R69" s="2">
        <v>0.0</v>
      </c>
      <c r="S69" s="5">
        <f t="shared" si="8"/>
        <v>0</v>
      </c>
    </row>
    <row r="70">
      <c r="A70" s="2" t="s">
        <v>86</v>
      </c>
      <c r="B70" s="2">
        <v>20.0</v>
      </c>
      <c r="C70" s="2">
        <v>249.0</v>
      </c>
      <c r="D70" s="2">
        <v>88.0</v>
      </c>
      <c r="E70" s="3">
        <f t="shared" si="1"/>
        <v>0.384279476</v>
      </c>
      <c r="F70" s="2">
        <v>48.0</v>
      </c>
      <c r="G70" s="3">
        <f t="shared" si="2"/>
        <v>0.2096069869</v>
      </c>
      <c r="H70" s="2">
        <v>36.0</v>
      </c>
      <c r="I70" s="3">
        <f t="shared" si="3"/>
        <v>0.1572052402</v>
      </c>
      <c r="J70" s="2">
        <v>43.0</v>
      </c>
      <c r="K70" s="3">
        <f t="shared" si="4"/>
        <v>0.1877729258</v>
      </c>
      <c r="L70" s="2">
        <v>17.0</v>
      </c>
      <c r="M70" s="3">
        <f t="shared" si="5"/>
        <v>0.4722222222</v>
      </c>
      <c r="N70" s="2">
        <v>179100.0</v>
      </c>
      <c r="O70" s="4">
        <f t="shared" si="6"/>
        <v>4975</v>
      </c>
      <c r="P70" s="2">
        <v>0.0</v>
      </c>
      <c r="Q70" s="3">
        <f t="shared" si="7"/>
        <v>0</v>
      </c>
      <c r="R70" s="2">
        <v>20.0</v>
      </c>
      <c r="S70" s="5">
        <f t="shared" si="8"/>
        <v>1</v>
      </c>
    </row>
    <row r="71">
      <c r="A71" s="2" t="s">
        <v>87</v>
      </c>
      <c r="B71" s="2">
        <v>20.0</v>
      </c>
      <c r="C71" s="2">
        <v>231.0</v>
      </c>
      <c r="D71" s="2">
        <v>66.0</v>
      </c>
      <c r="E71" s="3">
        <f t="shared" si="1"/>
        <v>0.3127962085</v>
      </c>
      <c r="F71" s="2">
        <v>44.0</v>
      </c>
      <c r="G71" s="3">
        <f t="shared" si="2"/>
        <v>0.2085308057</v>
      </c>
      <c r="H71" s="2">
        <v>44.0</v>
      </c>
      <c r="I71" s="3">
        <f t="shared" si="3"/>
        <v>0.2085308057</v>
      </c>
      <c r="J71" s="2">
        <v>34.0</v>
      </c>
      <c r="K71" s="3">
        <f t="shared" si="4"/>
        <v>0.1611374408</v>
      </c>
      <c r="L71" s="2">
        <v>26.0</v>
      </c>
      <c r="M71" s="3">
        <f t="shared" si="5"/>
        <v>0.5909090909</v>
      </c>
      <c r="N71" s="2">
        <v>252700.0</v>
      </c>
      <c r="O71" s="4">
        <f t="shared" si="6"/>
        <v>5743.181818</v>
      </c>
      <c r="P71" s="2">
        <v>0.0</v>
      </c>
      <c r="Q71" s="3">
        <f t="shared" si="7"/>
        <v>0</v>
      </c>
      <c r="R71" s="2">
        <v>20.0</v>
      </c>
      <c r="S71" s="5">
        <f t="shared" si="8"/>
        <v>1</v>
      </c>
    </row>
    <row r="72">
      <c r="A72" s="2" t="s">
        <v>88</v>
      </c>
      <c r="B72" s="2">
        <v>23.0</v>
      </c>
      <c r="C72" s="2">
        <v>263.0</v>
      </c>
      <c r="D72" s="2">
        <v>108.0</v>
      </c>
      <c r="E72" s="3">
        <f t="shared" si="1"/>
        <v>0.45</v>
      </c>
      <c r="F72" s="2">
        <v>50.0</v>
      </c>
      <c r="G72" s="3">
        <f t="shared" si="2"/>
        <v>0.2083333333</v>
      </c>
      <c r="H72" s="2">
        <v>58.0</v>
      </c>
      <c r="I72" s="3">
        <f t="shared" si="3"/>
        <v>0.2416666667</v>
      </c>
      <c r="J72" s="2">
        <v>39.0</v>
      </c>
      <c r="K72" s="3">
        <f t="shared" si="4"/>
        <v>0.1625</v>
      </c>
      <c r="L72" s="2">
        <v>32.0</v>
      </c>
      <c r="M72" s="3">
        <f t="shared" si="5"/>
        <v>0.5517241379</v>
      </c>
      <c r="N72" s="2">
        <v>299900.0</v>
      </c>
      <c r="O72" s="4">
        <f t="shared" si="6"/>
        <v>5170.689655</v>
      </c>
      <c r="P72" s="2">
        <v>0.0</v>
      </c>
      <c r="Q72" s="3">
        <f t="shared" si="7"/>
        <v>0</v>
      </c>
      <c r="R72" s="2">
        <v>23.0</v>
      </c>
      <c r="S72" s="5">
        <f t="shared" si="8"/>
        <v>1</v>
      </c>
    </row>
    <row r="73">
      <c r="A73" s="2" t="s">
        <v>89</v>
      </c>
      <c r="B73" s="2">
        <v>11.0</v>
      </c>
      <c r="C73" s="2">
        <v>122.0</v>
      </c>
      <c r="D73" s="2">
        <v>44.0</v>
      </c>
      <c r="E73" s="3">
        <f t="shared" si="1"/>
        <v>0.3963963964</v>
      </c>
      <c r="F73" s="2">
        <v>23.0</v>
      </c>
      <c r="G73" s="3">
        <f t="shared" si="2"/>
        <v>0.2072072072</v>
      </c>
      <c r="H73" s="2">
        <v>17.0</v>
      </c>
      <c r="I73" s="3">
        <f t="shared" si="3"/>
        <v>0.1531531532</v>
      </c>
      <c r="J73" s="2">
        <v>14.0</v>
      </c>
      <c r="K73" s="3">
        <f t="shared" si="4"/>
        <v>0.1261261261</v>
      </c>
      <c r="L73" s="2">
        <v>10.0</v>
      </c>
      <c r="M73" s="3">
        <f t="shared" si="5"/>
        <v>0.5882352941</v>
      </c>
      <c r="N73" s="2">
        <v>82300.0</v>
      </c>
      <c r="O73" s="4">
        <f t="shared" si="6"/>
        <v>4841.176471</v>
      </c>
      <c r="P73" s="2">
        <v>0.0</v>
      </c>
      <c r="Q73" s="3">
        <f t="shared" si="7"/>
        <v>0</v>
      </c>
      <c r="R73" s="2">
        <v>5.0</v>
      </c>
      <c r="S73" s="5">
        <f t="shared" si="8"/>
        <v>0.4545454545</v>
      </c>
    </row>
    <row r="74">
      <c r="A74" s="2" t="s">
        <v>90</v>
      </c>
      <c r="B74" s="2">
        <v>3.0</v>
      </c>
      <c r="C74" s="2">
        <v>32.0</v>
      </c>
      <c r="D74" s="2">
        <v>11.0</v>
      </c>
      <c r="E74" s="3">
        <f t="shared" si="1"/>
        <v>0.3793103448</v>
      </c>
      <c r="F74" s="2">
        <v>6.0</v>
      </c>
      <c r="G74" s="3">
        <f t="shared" si="2"/>
        <v>0.2068965517</v>
      </c>
      <c r="H74" s="2">
        <v>8.0</v>
      </c>
      <c r="I74" s="3">
        <f t="shared" si="3"/>
        <v>0.275862069</v>
      </c>
      <c r="J74" s="2">
        <v>6.0</v>
      </c>
      <c r="K74" s="3">
        <f t="shared" si="4"/>
        <v>0.2068965517</v>
      </c>
      <c r="L74" s="2">
        <v>6.0</v>
      </c>
      <c r="M74" s="3">
        <f t="shared" si="5"/>
        <v>0.75</v>
      </c>
      <c r="N74" s="2">
        <v>39000.0</v>
      </c>
      <c r="O74" s="4">
        <f t="shared" si="6"/>
        <v>4875</v>
      </c>
      <c r="P74" s="2">
        <v>0.0</v>
      </c>
      <c r="Q74" s="3">
        <f t="shared" si="7"/>
        <v>0</v>
      </c>
      <c r="R74" s="2">
        <v>3.0</v>
      </c>
      <c r="S74" s="5">
        <f t="shared" si="8"/>
        <v>1</v>
      </c>
    </row>
    <row r="75">
      <c r="A75" s="2" t="s">
        <v>91</v>
      </c>
      <c r="B75" s="2">
        <v>40.0</v>
      </c>
      <c r="C75" s="2">
        <v>481.0</v>
      </c>
      <c r="D75" s="2">
        <v>175.0</v>
      </c>
      <c r="E75" s="3">
        <f t="shared" si="1"/>
        <v>0.3968253968</v>
      </c>
      <c r="F75" s="2">
        <v>91.0</v>
      </c>
      <c r="G75" s="3">
        <f t="shared" si="2"/>
        <v>0.2063492063</v>
      </c>
      <c r="H75" s="2">
        <v>91.0</v>
      </c>
      <c r="I75" s="3">
        <f t="shared" si="3"/>
        <v>0.2063492063</v>
      </c>
      <c r="J75" s="2">
        <v>81.0</v>
      </c>
      <c r="K75" s="3">
        <f t="shared" si="4"/>
        <v>0.1836734694</v>
      </c>
      <c r="L75" s="2">
        <v>46.0</v>
      </c>
      <c r="M75" s="3">
        <f t="shared" si="5"/>
        <v>0.5054945055</v>
      </c>
      <c r="N75" s="2">
        <v>491700.0</v>
      </c>
      <c r="O75" s="4">
        <f t="shared" si="6"/>
        <v>5403.296703</v>
      </c>
      <c r="P75" s="2">
        <v>0.0</v>
      </c>
      <c r="Q75" s="3">
        <f t="shared" si="7"/>
        <v>0</v>
      </c>
      <c r="R75" s="2">
        <v>40.0</v>
      </c>
      <c r="S75" s="5">
        <f t="shared" si="8"/>
        <v>1</v>
      </c>
    </row>
    <row r="76">
      <c r="A76" s="2" t="s">
        <v>92</v>
      </c>
      <c r="B76" s="2">
        <v>4.0</v>
      </c>
      <c r="C76" s="2">
        <v>38.0</v>
      </c>
      <c r="D76" s="2">
        <v>11.0</v>
      </c>
      <c r="E76" s="3">
        <f t="shared" si="1"/>
        <v>0.3235294118</v>
      </c>
      <c r="F76" s="2">
        <v>7.0</v>
      </c>
      <c r="G76" s="3">
        <f t="shared" si="2"/>
        <v>0.2058823529</v>
      </c>
      <c r="H76" s="2">
        <v>7.0</v>
      </c>
      <c r="I76" s="3">
        <f t="shared" si="3"/>
        <v>0.2058823529</v>
      </c>
      <c r="J76" s="2">
        <v>8.0</v>
      </c>
      <c r="K76" s="3">
        <f t="shared" si="4"/>
        <v>0.2352941176</v>
      </c>
      <c r="L76" s="2">
        <v>6.0</v>
      </c>
      <c r="M76" s="3">
        <f t="shared" si="5"/>
        <v>0.8571428571</v>
      </c>
      <c r="N76" s="2">
        <v>44100.0</v>
      </c>
      <c r="O76" s="4">
        <f t="shared" si="6"/>
        <v>6300</v>
      </c>
      <c r="P76" s="2">
        <v>0.0</v>
      </c>
      <c r="Q76" s="3">
        <f t="shared" si="7"/>
        <v>0</v>
      </c>
      <c r="R76" s="2">
        <v>4.0</v>
      </c>
      <c r="S76" s="5">
        <f t="shared" si="8"/>
        <v>1</v>
      </c>
    </row>
    <row r="77">
      <c r="A77" s="2" t="s">
        <v>93</v>
      </c>
      <c r="B77" s="2">
        <v>9.0</v>
      </c>
      <c r="C77" s="2">
        <v>116.0</v>
      </c>
      <c r="D77" s="2">
        <v>46.0</v>
      </c>
      <c r="E77" s="3">
        <f t="shared" si="1"/>
        <v>0.4299065421</v>
      </c>
      <c r="F77" s="2">
        <v>22.0</v>
      </c>
      <c r="G77" s="3">
        <f t="shared" si="2"/>
        <v>0.2056074766</v>
      </c>
      <c r="H77" s="2">
        <v>17.0</v>
      </c>
      <c r="I77" s="3">
        <f t="shared" si="3"/>
        <v>0.1588785047</v>
      </c>
      <c r="J77" s="2">
        <v>15.0</v>
      </c>
      <c r="K77" s="3">
        <f t="shared" si="4"/>
        <v>0.1401869159</v>
      </c>
      <c r="L77" s="2">
        <v>13.0</v>
      </c>
      <c r="M77" s="3">
        <f t="shared" si="5"/>
        <v>0.7647058824</v>
      </c>
      <c r="N77" s="2">
        <v>69100.0</v>
      </c>
      <c r="O77" s="4">
        <f t="shared" si="6"/>
        <v>4064.705882</v>
      </c>
      <c r="P77" s="2">
        <v>0.0</v>
      </c>
      <c r="Q77" s="3">
        <f t="shared" si="7"/>
        <v>0</v>
      </c>
      <c r="R77" s="2">
        <v>0.0</v>
      </c>
      <c r="S77" s="5">
        <f t="shared" si="8"/>
        <v>0</v>
      </c>
    </row>
    <row r="78">
      <c r="A78" s="2" t="s">
        <v>94</v>
      </c>
      <c r="B78" s="2">
        <v>31.0</v>
      </c>
      <c r="C78" s="2">
        <v>367.0</v>
      </c>
      <c r="D78" s="2">
        <v>97.0</v>
      </c>
      <c r="E78" s="3">
        <f t="shared" si="1"/>
        <v>0.2886904762</v>
      </c>
      <c r="F78" s="2">
        <v>69.0</v>
      </c>
      <c r="G78" s="3">
        <f t="shared" si="2"/>
        <v>0.2053571429</v>
      </c>
      <c r="H78" s="2">
        <v>60.0</v>
      </c>
      <c r="I78" s="3">
        <f t="shared" si="3"/>
        <v>0.1785714286</v>
      </c>
      <c r="J78" s="2">
        <v>39.0</v>
      </c>
      <c r="K78" s="3">
        <f t="shared" si="4"/>
        <v>0.1160714286</v>
      </c>
      <c r="L78" s="2">
        <v>40.0</v>
      </c>
      <c r="M78" s="3">
        <f t="shared" si="5"/>
        <v>0.6666666667</v>
      </c>
      <c r="N78" s="2">
        <v>295100.0</v>
      </c>
      <c r="O78" s="4">
        <f t="shared" si="6"/>
        <v>4918.333333</v>
      </c>
      <c r="P78" s="2">
        <v>0.0</v>
      </c>
      <c r="Q78" s="3">
        <f t="shared" si="7"/>
        <v>0</v>
      </c>
      <c r="R78" s="2">
        <v>31.0</v>
      </c>
      <c r="S78" s="5">
        <f t="shared" si="8"/>
        <v>1</v>
      </c>
    </row>
    <row r="79">
      <c r="A79" s="2" t="s">
        <v>95</v>
      </c>
      <c r="B79" s="2">
        <v>5.0</v>
      </c>
      <c r="C79" s="2">
        <v>64.0</v>
      </c>
      <c r="D79" s="2">
        <v>25.0</v>
      </c>
      <c r="E79" s="3">
        <f t="shared" si="1"/>
        <v>0.4237288136</v>
      </c>
      <c r="F79" s="2">
        <v>12.0</v>
      </c>
      <c r="G79" s="3">
        <f t="shared" si="2"/>
        <v>0.2033898305</v>
      </c>
      <c r="H79" s="2">
        <v>11.0</v>
      </c>
      <c r="I79" s="3">
        <f t="shared" si="3"/>
        <v>0.186440678</v>
      </c>
      <c r="J79" s="2">
        <v>9.0</v>
      </c>
      <c r="K79" s="3">
        <f t="shared" si="4"/>
        <v>0.1525423729</v>
      </c>
      <c r="L79" s="2">
        <v>5.0</v>
      </c>
      <c r="M79" s="3">
        <f t="shared" si="5"/>
        <v>0.4545454545</v>
      </c>
      <c r="N79" s="2">
        <v>46200.0</v>
      </c>
      <c r="O79" s="4">
        <f t="shared" si="6"/>
        <v>4200</v>
      </c>
      <c r="P79" s="2">
        <v>0.0</v>
      </c>
      <c r="Q79" s="3">
        <f t="shared" si="7"/>
        <v>0</v>
      </c>
      <c r="R79" s="2">
        <v>5.0</v>
      </c>
      <c r="S79" s="5">
        <f t="shared" si="8"/>
        <v>1</v>
      </c>
    </row>
    <row r="80">
      <c r="A80" s="2" t="s">
        <v>96</v>
      </c>
      <c r="B80" s="2">
        <v>142.0</v>
      </c>
      <c r="C80" s="2">
        <v>1711.0</v>
      </c>
      <c r="D80" s="2">
        <v>674.0</v>
      </c>
      <c r="E80" s="3">
        <f t="shared" si="1"/>
        <v>0.4295729764</v>
      </c>
      <c r="F80" s="2">
        <v>318.0</v>
      </c>
      <c r="G80" s="3">
        <f t="shared" si="2"/>
        <v>0.2026768642</v>
      </c>
      <c r="H80" s="2">
        <v>359.0</v>
      </c>
      <c r="I80" s="3">
        <f t="shared" si="3"/>
        <v>0.2288081581</v>
      </c>
      <c r="J80" s="2">
        <v>281.0</v>
      </c>
      <c r="K80" s="3">
        <f t="shared" si="4"/>
        <v>0.1790949649</v>
      </c>
      <c r="L80" s="2">
        <v>215.0</v>
      </c>
      <c r="M80" s="3">
        <f t="shared" si="5"/>
        <v>0.5988857939</v>
      </c>
      <c r="N80" s="2">
        <v>1824900.0</v>
      </c>
      <c r="O80" s="4">
        <f t="shared" si="6"/>
        <v>5083.286908</v>
      </c>
      <c r="P80" s="2">
        <v>0.0</v>
      </c>
      <c r="Q80" s="3">
        <f t="shared" si="7"/>
        <v>0</v>
      </c>
      <c r="R80" s="2">
        <v>142.0</v>
      </c>
      <c r="S80" s="5">
        <f t="shared" si="8"/>
        <v>1</v>
      </c>
    </row>
    <row r="81">
      <c r="A81" s="2" t="s">
        <v>97</v>
      </c>
      <c r="B81" s="2">
        <v>36.0</v>
      </c>
      <c r="C81" s="2">
        <v>421.0</v>
      </c>
      <c r="D81" s="2">
        <v>112.0</v>
      </c>
      <c r="E81" s="3">
        <f t="shared" si="1"/>
        <v>0.2909090909</v>
      </c>
      <c r="F81" s="2">
        <v>78.0</v>
      </c>
      <c r="G81" s="3">
        <f t="shared" si="2"/>
        <v>0.2025974026</v>
      </c>
      <c r="H81" s="2">
        <v>77.0</v>
      </c>
      <c r="I81" s="3">
        <f t="shared" si="3"/>
        <v>0.2</v>
      </c>
      <c r="J81" s="2">
        <v>73.0</v>
      </c>
      <c r="K81" s="3">
        <f t="shared" si="4"/>
        <v>0.1896103896</v>
      </c>
      <c r="L81" s="2">
        <v>43.0</v>
      </c>
      <c r="M81" s="3">
        <f t="shared" si="5"/>
        <v>0.5584415584</v>
      </c>
      <c r="N81" s="2">
        <v>482600.0</v>
      </c>
      <c r="O81" s="4">
        <f t="shared" si="6"/>
        <v>6267.532468</v>
      </c>
      <c r="P81" s="2">
        <v>0.0</v>
      </c>
      <c r="Q81" s="3">
        <f t="shared" si="7"/>
        <v>0</v>
      </c>
      <c r="R81" s="2">
        <v>36.0</v>
      </c>
      <c r="S81" s="5">
        <f t="shared" si="8"/>
        <v>1</v>
      </c>
    </row>
    <row r="82">
      <c r="A82" s="2" t="s">
        <v>98</v>
      </c>
      <c r="B82" s="2">
        <v>9.0</v>
      </c>
      <c r="C82" s="2">
        <v>93.0</v>
      </c>
      <c r="D82" s="2">
        <v>29.0</v>
      </c>
      <c r="E82" s="3">
        <f t="shared" si="1"/>
        <v>0.3452380952</v>
      </c>
      <c r="F82" s="2">
        <v>17.0</v>
      </c>
      <c r="G82" s="3">
        <f t="shared" si="2"/>
        <v>0.2023809524</v>
      </c>
      <c r="H82" s="2">
        <v>14.0</v>
      </c>
      <c r="I82" s="3">
        <f t="shared" si="3"/>
        <v>0.1666666667</v>
      </c>
      <c r="J82" s="2">
        <v>14.0</v>
      </c>
      <c r="K82" s="3">
        <f t="shared" si="4"/>
        <v>0.1666666667</v>
      </c>
      <c r="L82" s="2">
        <v>6.0</v>
      </c>
      <c r="M82" s="3">
        <f t="shared" si="5"/>
        <v>0.4285714286</v>
      </c>
      <c r="N82" s="2">
        <v>73800.0</v>
      </c>
      <c r="O82" s="4">
        <f t="shared" si="6"/>
        <v>5271.428571</v>
      </c>
      <c r="P82" s="2">
        <v>0.0</v>
      </c>
      <c r="Q82" s="3">
        <f t="shared" si="7"/>
        <v>0</v>
      </c>
      <c r="R82" s="2">
        <v>9.0</v>
      </c>
      <c r="S82" s="5">
        <f t="shared" si="8"/>
        <v>1</v>
      </c>
    </row>
    <row r="83">
      <c r="A83" s="2" t="s">
        <v>99</v>
      </c>
      <c r="B83" s="2">
        <v>37.0</v>
      </c>
      <c r="C83" s="2">
        <v>410.0</v>
      </c>
      <c r="D83" s="2">
        <v>144.0</v>
      </c>
      <c r="E83" s="3">
        <f t="shared" si="1"/>
        <v>0.3860589812</v>
      </c>
      <c r="F83" s="2">
        <v>75.0</v>
      </c>
      <c r="G83" s="3">
        <f t="shared" si="2"/>
        <v>0.2010723861</v>
      </c>
      <c r="H83" s="2">
        <v>69.0</v>
      </c>
      <c r="I83" s="3">
        <f t="shared" si="3"/>
        <v>0.1849865952</v>
      </c>
      <c r="J83" s="2">
        <v>61.0</v>
      </c>
      <c r="K83" s="3">
        <f t="shared" si="4"/>
        <v>0.163538874</v>
      </c>
      <c r="L83" s="2">
        <v>46.0</v>
      </c>
      <c r="M83" s="3">
        <f t="shared" si="5"/>
        <v>0.6666666667</v>
      </c>
      <c r="N83" s="2">
        <v>401000.0</v>
      </c>
      <c r="O83" s="4">
        <f t="shared" si="6"/>
        <v>5811.594203</v>
      </c>
      <c r="P83" s="2">
        <v>0.0</v>
      </c>
      <c r="Q83" s="3">
        <f t="shared" si="7"/>
        <v>0</v>
      </c>
      <c r="R83" s="2">
        <v>37.0</v>
      </c>
      <c r="S83" s="5">
        <f t="shared" si="8"/>
        <v>1</v>
      </c>
    </row>
    <row r="84">
      <c r="A84" s="2" t="s">
        <v>100</v>
      </c>
      <c r="B84" s="2">
        <v>9.0</v>
      </c>
      <c r="C84" s="2">
        <v>104.0</v>
      </c>
      <c r="D84" s="2">
        <v>29.0</v>
      </c>
      <c r="E84" s="3">
        <f t="shared" si="1"/>
        <v>0.3052631579</v>
      </c>
      <c r="F84" s="2">
        <v>19.0</v>
      </c>
      <c r="G84" s="3">
        <f t="shared" si="2"/>
        <v>0.2</v>
      </c>
      <c r="H84" s="2">
        <v>19.0</v>
      </c>
      <c r="I84" s="3">
        <f t="shared" si="3"/>
        <v>0.2</v>
      </c>
      <c r="J84" s="2">
        <v>20.0</v>
      </c>
      <c r="K84" s="3">
        <f t="shared" si="4"/>
        <v>0.2105263158</v>
      </c>
      <c r="L84" s="2">
        <v>10.0</v>
      </c>
      <c r="M84" s="3">
        <f t="shared" si="5"/>
        <v>0.5263157895</v>
      </c>
      <c r="N84" s="2">
        <v>112900.0</v>
      </c>
      <c r="O84" s="4">
        <f t="shared" si="6"/>
        <v>5942.105263</v>
      </c>
      <c r="P84" s="2">
        <v>0.0</v>
      </c>
      <c r="Q84" s="3">
        <f t="shared" si="7"/>
        <v>0</v>
      </c>
      <c r="R84" s="2">
        <v>9.0</v>
      </c>
      <c r="S84" s="5">
        <f t="shared" si="8"/>
        <v>1</v>
      </c>
    </row>
    <row r="85">
      <c r="A85" s="2" t="s">
        <v>101</v>
      </c>
      <c r="B85" s="2">
        <v>2.0</v>
      </c>
      <c r="C85" s="2">
        <v>22.0</v>
      </c>
      <c r="D85" s="2">
        <v>8.0</v>
      </c>
      <c r="E85" s="3">
        <f t="shared" si="1"/>
        <v>0.4</v>
      </c>
      <c r="F85" s="2">
        <v>4.0</v>
      </c>
      <c r="G85" s="3">
        <f t="shared" si="2"/>
        <v>0.2</v>
      </c>
      <c r="H85" s="2">
        <v>5.0</v>
      </c>
      <c r="I85" s="3">
        <f t="shared" si="3"/>
        <v>0.25</v>
      </c>
      <c r="J85" s="2">
        <v>4.0</v>
      </c>
      <c r="K85" s="3">
        <f t="shared" si="4"/>
        <v>0.2</v>
      </c>
      <c r="L85" s="2">
        <v>4.0</v>
      </c>
      <c r="M85" s="3">
        <f t="shared" si="5"/>
        <v>0.8</v>
      </c>
      <c r="N85" s="2">
        <v>27200.0</v>
      </c>
      <c r="O85" s="4">
        <f t="shared" si="6"/>
        <v>5440</v>
      </c>
      <c r="P85" s="2">
        <v>0.0</v>
      </c>
      <c r="Q85" s="3">
        <f t="shared" si="7"/>
        <v>0</v>
      </c>
      <c r="R85" s="2">
        <v>2.0</v>
      </c>
      <c r="S85" s="5">
        <f t="shared" si="8"/>
        <v>1</v>
      </c>
    </row>
    <row r="86">
      <c r="A86" s="2" t="s">
        <v>102</v>
      </c>
      <c r="B86" s="2">
        <v>3.0</v>
      </c>
      <c r="C86" s="2">
        <v>38.0</v>
      </c>
      <c r="D86" s="2">
        <v>8.0</v>
      </c>
      <c r="E86" s="3">
        <f t="shared" si="1"/>
        <v>0.2285714286</v>
      </c>
      <c r="F86" s="2">
        <v>7.0</v>
      </c>
      <c r="G86" s="3">
        <f t="shared" si="2"/>
        <v>0.2</v>
      </c>
      <c r="H86" s="2">
        <v>10.0</v>
      </c>
      <c r="I86" s="3">
        <f t="shared" si="3"/>
        <v>0.2857142857</v>
      </c>
      <c r="J86" s="2">
        <v>6.0</v>
      </c>
      <c r="K86" s="3">
        <f t="shared" si="4"/>
        <v>0.1714285714</v>
      </c>
      <c r="L86" s="2">
        <v>8.0</v>
      </c>
      <c r="M86" s="3">
        <f t="shared" si="5"/>
        <v>0.8</v>
      </c>
      <c r="N86" s="2">
        <v>38500.0</v>
      </c>
      <c r="O86" s="4">
        <f t="shared" si="6"/>
        <v>3850</v>
      </c>
      <c r="P86" s="2">
        <v>0.0</v>
      </c>
      <c r="Q86" s="3">
        <f t="shared" si="7"/>
        <v>0</v>
      </c>
      <c r="R86" s="2">
        <v>3.0</v>
      </c>
      <c r="S86" s="5">
        <f t="shared" si="8"/>
        <v>1</v>
      </c>
    </row>
    <row r="87">
      <c r="A87" s="2" t="s">
        <v>103</v>
      </c>
      <c r="B87" s="2">
        <v>2.0</v>
      </c>
      <c r="C87" s="2">
        <v>27.0</v>
      </c>
      <c r="D87" s="2">
        <v>6.0</v>
      </c>
      <c r="E87" s="3">
        <f t="shared" si="1"/>
        <v>0.24</v>
      </c>
      <c r="F87" s="2">
        <v>5.0</v>
      </c>
      <c r="G87" s="3">
        <f t="shared" si="2"/>
        <v>0.2</v>
      </c>
      <c r="H87" s="2">
        <v>6.0</v>
      </c>
      <c r="I87" s="3">
        <f t="shared" si="3"/>
        <v>0.24</v>
      </c>
      <c r="J87" s="2">
        <v>4.0</v>
      </c>
      <c r="K87" s="3">
        <f t="shared" si="4"/>
        <v>0.16</v>
      </c>
      <c r="L87" s="2">
        <v>4.0</v>
      </c>
      <c r="M87" s="3">
        <f t="shared" si="5"/>
        <v>0.6666666667</v>
      </c>
      <c r="N87" s="2">
        <v>36700.0</v>
      </c>
      <c r="O87" s="4">
        <f t="shared" si="6"/>
        <v>6116.666667</v>
      </c>
      <c r="P87" s="2">
        <v>0.0</v>
      </c>
      <c r="Q87" s="3">
        <f t="shared" si="7"/>
        <v>0</v>
      </c>
      <c r="R87" s="2">
        <v>2.0</v>
      </c>
      <c r="S87" s="5">
        <f t="shared" si="8"/>
        <v>1</v>
      </c>
    </row>
    <row r="88">
      <c r="A88" s="2" t="s">
        <v>104</v>
      </c>
      <c r="B88" s="2">
        <v>6.0</v>
      </c>
      <c r="C88" s="2">
        <v>71.0</v>
      </c>
      <c r="D88" s="2">
        <v>32.0</v>
      </c>
      <c r="E88" s="3">
        <f t="shared" si="1"/>
        <v>0.4923076923</v>
      </c>
      <c r="F88" s="2">
        <v>13.0</v>
      </c>
      <c r="G88" s="3">
        <f t="shared" si="2"/>
        <v>0.2</v>
      </c>
      <c r="H88" s="2">
        <v>8.0</v>
      </c>
      <c r="I88" s="3">
        <f t="shared" si="3"/>
        <v>0.1230769231</v>
      </c>
      <c r="J88" s="2">
        <v>10.0</v>
      </c>
      <c r="K88" s="3">
        <f t="shared" si="4"/>
        <v>0.1538461538</v>
      </c>
      <c r="L88" s="2">
        <v>7.0</v>
      </c>
      <c r="M88" s="3">
        <f t="shared" si="5"/>
        <v>0.875</v>
      </c>
      <c r="N88" s="2">
        <v>33500.0</v>
      </c>
      <c r="O88" s="4">
        <f t="shared" si="6"/>
        <v>4187.5</v>
      </c>
      <c r="P88" s="2">
        <v>0.0</v>
      </c>
      <c r="Q88" s="3">
        <f t="shared" si="7"/>
        <v>0</v>
      </c>
      <c r="R88" s="2">
        <v>0.0</v>
      </c>
      <c r="S88" s="5">
        <f t="shared" si="8"/>
        <v>0</v>
      </c>
    </row>
    <row r="89">
      <c r="A89" s="2" t="s">
        <v>105</v>
      </c>
      <c r="B89" s="2">
        <v>22.0</v>
      </c>
      <c r="C89" s="2">
        <v>262.0</v>
      </c>
      <c r="D89" s="2">
        <v>126.0</v>
      </c>
      <c r="E89" s="3">
        <f t="shared" si="1"/>
        <v>0.525</v>
      </c>
      <c r="F89" s="2">
        <v>48.0</v>
      </c>
      <c r="G89" s="3">
        <f t="shared" si="2"/>
        <v>0.2</v>
      </c>
      <c r="H89" s="2">
        <v>48.0</v>
      </c>
      <c r="I89" s="3">
        <f t="shared" si="3"/>
        <v>0.2</v>
      </c>
      <c r="J89" s="2">
        <v>36.0</v>
      </c>
      <c r="K89" s="3">
        <f t="shared" si="4"/>
        <v>0.15</v>
      </c>
      <c r="L89" s="2">
        <v>24.0</v>
      </c>
      <c r="M89" s="3">
        <f t="shared" si="5"/>
        <v>0.5</v>
      </c>
      <c r="N89" s="2">
        <v>253200.0</v>
      </c>
      <c r="O89" s="4">
        <f t="shared" si="6"/>
        <v>5275</v>
      </c>
      <c r="P89" s="2">
        <v>0.0</v>
      </c>
      <c r="Q89" s="3">
        <f t="shared" si="7"/>
        <v>0</v>
      </c>
      <c r="R89" s="2">
        <v>22.0</v>
      </c>
      <c r="S89" s="5">
        <f t="shared" si="8"/>
        <v>1</v>
      </c>
    </row>
    <row r="90">
      <c r="A90" s="2" t="s">
        <v>106</v>
      </c>
      <c r="B90" s="2">
        <v>2.0</v>
      </c>
      <c r="C90" s="2">
        <v>22.0</v>
      </c>
      <c r="D90" s="2">
        <v>6.0</v>
      </c>
      <c r="E90" s="3">
        <f t="shared" si="1"/>
        <v>0.3</v>
      </c>
      <c r="F90" s="2">
        <v>4.0</v>
      </c>
      <c r="G90" s="3">
        <f t="shared" si="2"/>
        <v>0.2</v>
      </c>
      <c r="H90" s="2">
        <v>4.0</v>
      </c>
      <c r="I90" s="3">
        <f t="shared" si="3"/>
        <v>0.2</v>
      </c>
      <c r="J90" s="2">
        <v>3.0</v>
      </c>
      <c r="K90" s="3">
        <f t="shared" si="4"/>
        <v>0.15</v>
      </c>
      <c r="L90" s="2">
        <v>2.0</v>
      </c>
      <c r="M90" s="3">
        <f t="shared" si="5"/>
        <v>0.5</v>
      </c>
      <c r="N90" s="2">
        <v>11400.0</v>
      </c>
      <c r="O90" s="4">
        <f t="shared" si="6"/>
        <v>2850</v>
      </c>
      <c r="P90" s="2">
        <v>0.0</v>
      </c>
      <c r="Q90" s="3">
        <f t="shared" si="7"/>
        <v>0</v>
      </c>
      <c r="R90" s="2">
        <v>2.0</v>
      </c>
      <c r="S90" s="5">
        <f t="shared" si="8"/>
        <v>1</v>
      </c>
    </row>
    <row r="91">
      <c r="A91" s="2" t="s">
        <v>107</v>
      </c>
      <c r="B91" s="2">
        <v>5.0</v>
      </c>
      <c r="C91" s="2">
        <v>60.0</v>
      </c>
      <c r="D91" s="2">
        <v>19.0</v>
      </c>
      <c r="E91" s="3">
        <f t="shared" si="1"/>
        <v>0.3454545455</v>
      </c>
      <c r="F91" s="2">
        <v>11.0</v>
      </c>
      <c r="G91" s="3">
        <f t="shared" si="2"/>
        <v>0.2</v>
      </c>
      <c r="H91" s="2">
        <v>14.0</v>
      </c>
      <c r="I91" s="3">
        <f t="shared" si="3"/>
        <v>0.2545454545</v>
      </c>
      <c r="J91" s="2">
        <v>8.0</v>
      </c>
      <c r="K91" s="3">
        <f t="shared" si="4"/>
        <v>0.1454545455</v>
      </c>
      <c r="L91" s="2">
        <v>6.0</v>
      </c>
      <c r="M91" s="3">
        <f t="shared" si="5"/>
        <v>0.4285714286</v>
      </c>
      <c r="N91" s="2">
        <v>77300.0</v>
      </c>
      <c r="O91" s="4">
        <f t="shared" si="6"/>
        <v>5521.428571</v>
      </c>
      <c r="P91" s="2">
        <v>0.0</v>
      </c>
      <c r="Q91" s="3">
        <f t="shared" si="7"/>
        <v>0</v>
      </c>
      <c r="R91" s="2">
        <v>5.0</v>
      </c>
      <c r="S91" s="5">
        <f t="shared" si="8"/>
        <v>1</v>
      </c>
    </row>
    <row r="92">
      <c r="A92" s="2" t="s">
        <v>108</v>
      </c>
      <c r="B92" s="2">
        <v>8.0</v>
      </c>
      <c r="C92" s="2">
        <v>98.0</v>
      </c>
      <c r="D92" s="2">
        <v>40.0</v>
      </c>
      <c r="E92" s="3">
        <f t="shared" si="1"/>
        <v>0.4444444444</v>
      </c>
      <c r="F92" s="2">
        <v>18.0</v>
      </c>
      <c r="G92" s="3">
        <f t="shared" si="2"/>
        <v>0.2</v>
      </c>
      <c r="H92" s="2">
        <v>11.0</v>
      </c>
      <c r="I92" s="3">
        <f t="shared" si="3"/>
        <v>0.1222222222</v>
      </c>
      <c r="J92" s="2">
        <v>13.0</v>
      </c>
      <c r="K92" s="3">
        <f t="shared" si="4"/>
        <v>0.1444444444</v>
      </c>
      <c r="L92" s="2">
        <v>7.0</v>
      </c>
      <c r="M92" s="3">
        <f t="shared" si="5"/>
        <v>0.6363636364</v>
      </c>
      <c r="N92" s="2">
        <v>49800.0</v>
      </c>
      <c r="O92" s="4">
        <f t="shared" si="6"/>
        <v>4527.272727</v>
      </c>
      <c r="P92" s="2">
        <v>0.0</v>
      </c>
      <c r="Q92" s="3">
        <f t="shared" si="7"/>
        <v>0</v>
      </c>
      <c r="R92" s="2">
        <v>8.0</v>
      </c>
      <c r="S92" s="5">
        <f t="shared" si="8"/>
        <v>1</v>
      </c>
    </row>
    <row r="93">
      <c r="A93" s="2" t="s">
        <v>109</v>
      </c>
      <c r="B93" s="2">
        <v>4.0</v>
      </c>
      <c r="C93" s="2">
        <v>54.0</v>
      </c>
      <c r="D93" s="2">
        <v>22.0</v>
      </c>
      <c r="E93" s="3">
        <f t="shared" si="1"/>
        <v>0.44</v>
      </c>
      <c r="F93" s="2">
        <v>10.0</v>
      </c>
      <c r="G93" s="3">
        <f t="shared" si="2"/>
        <v>0.2</v>
      </c>
      <c r="H93" s="2">
        <v>10.0</v>
      </c>
      <c r="I93" s="3">
        <f t="shared" si="3"/>
        <v>0.2</v>
      </c>
      <c r="J93" s="2">
        <v>7.0</v>
      </c>
      <c r="K93" s="3">
        <f t="shared" si="4"/>
        <v>0.14</v>
      </c>
      <c r="L93" s="2">
        <v>7.0</v>
      </c>
      <c r="M93" s="3">
        <f t="shared" si="5"/>
        <v>0.7</v>
      </c>
      <c r="N93" s="2">
        <v>48900.0</v>
      </c>
      <c r="O93" s="4">
        <f t="shared" si="6"/>
        <v>4890</v>
      </c>
      <c r="P93" s="2">
        <v>0.0</v>
      </c>
      <c r="Q93" s="3">
        <f t="shared" si="7"/>
        <v>0</v>
      </c>
      <c r="R93" s="2">
        <v>4.0</v>
      </c>
      <c r="S93" s="5">
        <f t="shared" si="8"/>
        <v>1</v>
      </c>
    </row>
    <row r="94">
      <c r="A94" s="2" t="s">
        <v>110</v>
      </c>
      <c r="B94" s="2">
        <v>1.0</v>
      </c>
      <c r="C94" s="2">
        <v>16.0</v>
      </c>
      <c r="D94" s="2">
        <v>6.0</v>
      </c>
      <c r="E94" s="3">
        <f t="shared" si="1"/>
        <v>0.4</v>
      </c>
      <c r="F94" s="2">
        <v>3.0</v>
      </c>
      <c r="G94" s="3">
        <f t="shared" si="2"/>
        <v>0.2</v>
      </c>
      <c r="H94" s="2">
        <v>4.0</v>
      </c>
      <c r="I94" s="3">
        <f t="shared" si="3"/>
        <v>0.2666666667</v>
      </c>
      <c r="J94" s="2">
        <v>2.0</v>
      </c>
      <c r="K94" s="3">
        <f t="shared" si="4"/>
        <v>0.1333333333</v>
      </c>
      <c r="L94" s="2">
        <v>1.0</v>
      </c>
      <c r="M94" s="3">
        <f t="shared" si="5"/>
        <v>0.25</v>
      </c>
      <c r="N94" s="2">
        <v>18600.0</v>
      </c>
      <c r="O94" s="4">
        <f t="shared" si="6"/>
        <v>4650</v>
      </c>
      <c r="P94" s="2">
        <v>0.0</v>
      </c>
      <c r="Q94" s="3">
        <f t="shared" si="7"/>
        <v>0</v>
      </c>
      <c r="R94" s="2">
        <v>1.0</v>
      </c>
      <c r="S94" s="5">
        <f t="shared" si="8"/>
        <v>1</v>
      </c>
    </row>
    <row r="95">
      <c r="A95" s="2" t="s">
        <v>111</v>
      </c>
      <c r="B95" s="2">
        <v>1.0</v>
      </c>
      <c r="C95" s="2">
        <v>16.0</v>
      </c>
      <c r="D95" s="2">
        <v>6.0</v>
      </c>
      <c r="E95" s="3">
        <f t="shared" si="1"/>
        <v>0.4</v>
      </c>
      <c r="F95" s="2">
        <v>3.0</v>
      </c>
      <c r="G95" s="3">
        <f t="shared" si="2"/>
        <v>0.2</v>
      </c>
      <c r="H95" s="2">
        <v>3.0</v>
      </c>
      <c r="I95" s="3">
        <f t="shared" si="3"/>
        <v>0.2</v>
      </c>
      <c r="J95" s="2">
        <v>2.0</v>
      </c>
      <c r="K95" s="3">
        <f t="shared" si="4"/>
        <v>0.1333333333</v>
      </c>
      <c r="L95" s="2">
        <v>2.0</v>
      </c>
      <c r="M95" s="3">
        <f t="shared" si="5"/>
        <v>0.6666666667</v>
      </c>
      <c r="N95" s="2">
        <v>21700.0</v>
      </c>
      <c r="O95" s="4">
        <f t="shared" si="6"/>
        <v>7233.333333</v>
      </c>
      <c r="P95" s="2">
        <v>0.0</v>
      </c>
      <c r="Q95" s="3">
        <f t="shared" si="7"/>
        <v>0</v>
      </c>
      <c r="R95" s="2">
        <v>1.0</v>
      </c>
      <c r="S95" s="5">
        <f t="shared" si="8"/>
        <v>1</v>
      </c>
    </row>
    <row r="96">
      <c r="A96" s="2" t="s">
        <v>112</v>
      </c>
      <c r="B96" s="2">
        <v>2.0</v>
      </c>
      <c r="C96" s="2">
        <v>17.0</v>
      </c>
      <c r="D96" s="2">
        <v>8.0</v>
      </c>
      <c r="E96" s="3">
        <f t="shared" si="1"/>
        <v>0.5333333333</v>
      </c>
      <c r="F96" s="2">
        <v>3.0</v>
      </c>
      <c r="G96" s="3">
        <f t="shared" si="2"/>
        <v>0.2</v>
      </c>
      <c r="H96" s="2">
        <v>3.0</v>
      </c>
      <c r="I96" s="3">
        <f t="shared" si="3"/>
        <v>0.2</v>
      </c>
      <c r="J96" s="2">
        <v>0.0</v>
      </c>
      <c r="K96" s="3">
        <f t="shared" si="4"/>
        <v>0</v>
      </c>
      <c r="L96" s="2">
        <v>1.0</v>
      </c>
      <c r="M96" s="3">
        <f t="shared" si="5"/>
        <v>0.3333333333</v>
      </c>
      <c r="N96" s="2">
        <v>6400.0</v>
      </c>
      <c r="O96" s="4">
        <f t="shared" si="6"/>
        <v>2133.333333</v>
      </c>
      <c r="P96" s="2">
        <v>0.0</v>
      </c>
      <c r="Q96" s="3">
        <f t="shared" si="7"/>
        <v>0</v>
      </c>
      <c r="R96" s="2">
        <v>2.0</v>
      </c>
      <c r="S96" s="5">
        <f t="shared" si="8"/>
        <v>1</v>
      </c>
    </row>
    <row r="97">
      <c r="A97" s="2" t="s">
        <v>113</v>
      </c>
      <c r="B97" s="2">
        <v>1.0</v>
      </c>
      <c r="C97" s="2">
        <v>11.0</v>
      </c>
      <c r="D97" s="2">
        <v>2.0</v>
      </c>
      <c r="E97" s="3">
        <f t="shared" si="1"/>
        <v>0.2</v>
      </c>
      <c r="F97" s="2">
        <v>2.0</v>
      </c>
      <c r="G97" s="3">
        <f t="shared" si="2"/>
        <v>0.2</v>
      </c>
      <c r="H97" s="2">
        <v>1.0</v>
      </c>
      <c r="I97" s="3">
        <f t="shared" si="3"/>
        <v>0.1</v>
      </c>
      <c r="J97" s="2">
        <v>0.0</v>
      </c>
      <c r="K97" s="3">
        <f t="shared" si="4"/>
        <v>0</v>
      </c>
      <c r="L97" s="2">
        <v>0.0</v>
      </c>
      <c r="M97" s="3">
        <f t="shared" si="5"/>
        <v>0</v>
      </c>
      <c r="N97" s="2">
        <v>1500.0</v>
      </c>
      <c r="O97" s="4">
        <f t="shared" si="6"/>
        <v>1500</v>
      </c>
      <c r="P97" s="2">
        <v>0.0</v>
      </c>
      <c r="Q97" s="3">
        <f t="shared" si="7"/>
        <v>0</v>
      </c>
      <c r="R97" s="2">
        <v>1.0</v>
      </c>
      <c r="S97" s="5">
        <f t="shared" si="8"/>
        <v>1</v>
      </c>
    </row>
    <row r="98">
      <c r="A98" s="2" t="s">
        <v>114</v>
      </c>
      <c r="B98" s="2">
        <v>33.0</v>
      </c>
      <c r="C98" s="2">
        <v>400.0</v>
      </c>
      <c r="D98" s="2">
        <v>127.0</v>
      </c>
      <c r="E98" s="3">
        <f t="shared" si="1"/>
        <v>0.3460490463</v>
      </c>
      <c r="F98" s="2">
        <v>73.0</v>
      </c>
      <c r="G98" s="3">
        <f t="shared" si="2"/>
        <v>0.1989100817</v>
      </c>
      <c r="H98" s="2">
        <v>71.0</v>
      </c>
      <c r="I98" s="3">
        <f t="shared" si="3"/>
        <v>0.1934604905</v>
      </c>
      <c r="J98" s="2">
        <v>77.0</v>
      </c>
      <c r="K98" s="3">
        <f t="shared" si="4"/>
        <v>0.2098092643</v>
      </c>
      <c r="L98" s="2">
        <v>43.0</v>
      </c>
      <c r="M98" s="3">
        <f t="shared" si="5"/>
        <v>0.6056338028</v>
      </c>
      <c r="N98" s="2">
        <v>361000.0</v>
      </c>
      <c r="O98" s="4">
        <f t="shared" si="6"/>
        <v>5084.507042</v>
      </c>
      <c r="P98" s="2">
        <v>0.0</v>
      </c>
      <c r="Q98" s="3">
        <f t="shared" si="7"/>
        <v>0</v>
      </c>
      <c r="R98" s="2">
        <v>23.0</v>
      </c>
      <c r="S98" s="5">
        <f t="shared" si="8"/>
        <v>0.696969697</v>
      </c>
    </row>
    <row r="99">
      <c r="A99" s="2" t="s">
        <v>115</v>
      </c>
      <c r="B99" s="2">
        <v>14.0</v>
      </c>
      <c r="C99" s="2">
        <v>160.0</v>
      </c>
      <c r="D99" s="2">
        <v>62.0</v>
      </c>
      <c r="E99" s="3">
        <f t="shared" si="1"/>
        <v>0.4246575342</v>
      </c>
      <c r="F99" s="2">
        <v>29.0</v>
      </c>
      <c r="G99" s="3">
        <f t="shared" si="2"/>
        <v>0.198630137</v>
      </c>
      <c r="H99" s="2">
        <v>33.0</v>
      </c>
      <c r="I99" s="3">
        <f t="shared" si="3"/>
        <v>0.2260273973</v>
      </c>
      <c r="J99" s="2">
        <v>24.0</v>
      </c>
      <c r="K99" s="3">
        <f t="shared" si="4"/>
        <v>0.1643835616</v>
      </c>
      <c r="L99" s="2">
        <v>20.0</v>
      </c>
      <c r="M99" s="3">
        <f t="shared" si="5"/>
        <v>0.6060606061</v>
      </c>
      <c r="N99" s="2">
        <v>142400.0</v>
      </c>
      <c r="O99" s="4">
        <f t="shared" si="6"/>
        <v>4315.151515</v>
      </c>
      <c r="P99" s="2">
        <v>0.0</v>
      </c>
      <c r="Q99" s="3">
        <f t="shared" si="7"/>
        <v>0</v>
      </c>
      <c r="R99" s="2">
        <v>0.0</v>
      </c>
      <c r="S99" s="5">
        <f t="shared" si="8"/>
        <v>0</v>
      </c>
    </row>
    <row r="100">
      <c r="A100" s="2" t="s">
        <v>116</v>
      </c>
      <c r="B100" s="2">
        <v>45.0</v>
      </c>
      <c r="C100" s="2">
        <v>547.0</v>
      </c>
      <c r="D100" s="2">
        <v>208.0</v>
      </c>
      <c r="E100" s="3">
        <f t="shared" si="1"/>
        <v>0.4143426295</v>
      </c>
      <c r="F100" s="2">
        <v>99.0</v>
      </c>
      <c r="G100" s="3">
        <f t="shared" si="2"/>
        <v>0.1972111554</v>
      </c>
      <c r="H100" s="2">
        <v>83.0</v>
      </c>
      <c r="I100" s="3">
        <f t="shared" si="3"/>
        <v>0.1653386454</v>
      </c>
      <c r="J100" s="2">
        <v>75.0</v>
      </c>
      <c r="K100" s="3">
        <f t="shared" si="4"/>
        <v>0.1494023904</v>
      </c>
      <c r="L100" s="2">
        <v>50.0</v>
      </c>
      <c r="M100" s="3">
        <f t="shared" si="5"/>
        <v>0.6024096386</v>
      </c>
      <c r="N100" s="2">
        <v>494100.0</v>
      </c>
      <c r="O100" s="4">
        <f t="shared" si="6"/>
        <v>5953.012048</v>
      </c>
      <c r="P100" s="2">
        <v>0.0</v>
      </c>
      <c r="Q100" s="3">
        <f t="shared" si="7"/>
        <v>0</v>
      </c>
      <c r="R100" s="2">
        <v>45.0</v>
      </c>
      <c r="S100" s="5">
        <f t="shared" si="8"/>
        <v>1</v>
      </c>
    </row>
    <row r="101">
      <c r="A101" s="2" t="s">
        <v>117</v>
      </c>
      <c r="B101" s="2">
        <v>7.0</v>
      </c>
      <c r="C101" s="2">
        <v>78.0</v>
      </c>
      <c r="D101" s="2">
        <v>28.0</v>
      </c>
      <c r="E101" s="3">
        <f t="shared" si="1"/>
        <v>0.3943661972</v>
      </c>
      <c r="F101" s="2">
        <v>14.0</v>
      </c>
      <c r="G101" s="3">
        <f t="shared" si="2"/>
        <v>0.1971830986</v>
      </c>
      <c r="H101" s="2">
        <v>18.0</v>
      </c>
      <c r="I101" s="3">
        <f t="shared" si="3"/>
        <v>0.2535211268</v>
      </c>
      <c r="J101" s="2">
        <v>12.0</v>
      </c>
      <c r="K101" s="3">
        <f t="shared" si="4"/>
        <v>0.1690140845</v>
      </c>
      <c r="L101" s="2">
        <v>14.0</v>
      </c>
      <c r="M101" s="3">
        <f t="shared" si="5"/>
        <v>0.7777777778</v>
      </c>
      <c r="N101" s="2">
        <v>57200.0</v>
      </c>
      <c r="O101" s="4">
        <f t="shared" si="6"/>
        <v>3177.777778</v>
      </c>
      <c r="P101" s="2">
        <v>0.0</v>
      </c>
      <c r="Q101" s="3">
        <f t="shared" si="7"/>
        <v>0</v>
      </c>
      <c r="R101" s="2">
        <v>0.0</v>
      </c>
      <c r="S101" s="5">
        <f t="shared" si="8"/>
        <v>0</v>
      </c>
    </row>
    <row r="102">
      <c r="A102" s="2" t="s">
        <v>118</v>
      </c>
      <c r="B102" s="2">
        <v>18.0</v>
      </c>
      <c r="C102" s="2">
        <v>201.0</v>
      </c>
      <c r="D102" s="2">
        <v>50.0</v>
      </c>
      <c r="E102" s="3">
        <f t="shared" si="1"/>
        <v>0.2732240437</v>
      </c>
      <c r="F102" s="2">
        <v>36.0</v>
      </c>
      <c r="G102" s="3">
        <f t="shared" si="2"/>
        <v>0.1967213115</v>
      </c>
      <c r="H102" s="2">
        <v>31.0</v>
      </c>
      <c r="I102" s="3">
        <f t="shared" si="3"/>
        <v>0.1693989071</v>
      </c>
      <c r="J102" s="2">
        <v>28.0</v>
      </c>
      <c r="K102" s="3">
        <f t="shared" si="4"/>
        <v>0.1530054645</v>
      </c>
      <c r="L102" s="2">
        <v>14.0</v>
      </c>
      <c r="M102" s="3">
        <f t="shared" si="5"/>
        <v>0.4516129032</v>
      </c>
      <c r="N102" s="2">
        <v>165600.0</v>
      </c>
      <c r="O102" s="4">
        <f t="shared" si="6"/>
        <v>5341.935484</v>
      </c>
      <c r="P102" s="2">
        <v>0.0</v>
      </c>
      <c r="Q102" s="3">
        <f t="shared" si="7"/>
        <v>0</v>
      </c>
      <c r="R102" s="2">
        <v>18.0</v>
      </c>
      <c r="S102" s="5">
        <f t="shared" si="8"/>
        <v>1</v>
      </c>
    </row>
    <row r="103">
      <c r="A103" s="2" t="s">
        <v>119</v>
      </c>
      <c r="B103" s="2">
        <v>16.0</v>
      </c>
      <c r="C103" s="2">
        <v>194.0</v>
      </c>
      <c r="D103" s="2">
        <v>38.0</v>
      </c>
      <c r="E103" s="3">
        <f t="shared" si="1"/>
        <v>0.2134831461</v>
      </c>
      <c r="F103" s="2">
        <v>35.0</v>
      </c>
      <c r="G103" s="3">
        <f t="shared" si="2"/>
        <v>0.1966292135</v>
      </c>
      <c r="H103" s="2">
        <v>33.0</v>
      </c>
      <c r="I103" s="3">
        <f t="shared" si="3"/>
        <v>0.1853932584</v>
      </c>
      <c r="J103" s="2">
        <v>48.0</v>
      </c>
      <c r="K103" s="3">
        <f t="shared" si="4"/>
        <v>0.2696629213</v>
      </c>
      <c r="L103" s="2">
        <v>13.0</v>
      </c>
      <c r="M103" s="3">
        <f t="shared" si="5"/>
        <v>0.3939393939</v>
      </c>
      <c r="N103" s="2">
        <v>193700.0</v>
      </c>
      <c r="O103" s="4">
        <f t="shared" si="6"/>
        <v>5869.69697</v>
      </c>
      <c r="P103" s="2">
        <v>0.0</v>
      </c>
      <c r="Q103" s="3">
        <f t="shared" si="7"/>
        <v>0</v>
      </c>
      <c r="R103" s="2">
        <v>16.0</v>
      </c>
      <c r="S103" s="5">
        <f t="shared" si="8"/>
        <v>1</v>
      </c>
    </row>
    <row r="104">
      <c r="A104" s="2" t="s">
        <v>120</v>
      </c>
      <c r="B104" s="2">
        <v>15.0</v>
      </c>
      <c r="C104" s="2">
        <v>183.0</v>
      </c>
      <c r="D104" s="2">
        <v>39.0</v>
      </c>
      <c r="E104" s="3">
        <f t="shared" si="1"/>
        <v>0.2321428571</v>
      </c>
      <c r="F104" s="2">
        <v>33.0</v>
      </c>
      <c r="G104" s="3">
        <f t="shared" si="2"/>
        <v>0.1964285714</v>
      </c>
      <c r="H104" s="2">
        <v>29.0</v>
      </c>
      <c r="I104" s="3">
        <f t="shared" si="3"/>
        <v>0.1726190476</v>
      </c>
      <c r="J104" s="2">
        <v>31.0</v>
      </c>
      <c r="K104" s="3">
        <f t="shared" si="4"/>
        <v>0.1845238095</v>
      </c>
      <c r="L104" s="2">
        <v>14.0</v>
      </c>
      <c r="M104" s="3">
        <f t="shared" si="5"/>
        <v>0.4827586207</v>
      </c>
      <c r="N104" s="2">
        <v>152200.0</v>
      </c>
      <c r="O104" s="4">
        <f t="shared" si="6"/>
        <v>5248.275862</v>
      </c>
      <c r="P104" s="2">
        <v>0.0</v>
      </c>
      <c r="Q104" s="3">
        <f t="shared" si="7"/>
        <v>0</v>
      </c>
      <c r="R104" s="2">
        <v>15.0</v>
      </c>
      <c r="S104" s="5">
        <f t="shared" si="8"/>
        <v>1</v>
      </c>
    </row>
    <row r="105">
      <c r="A105" s="2" t="s">
        <v>121</v>
      </c>
      <c r="B105" s="2">
        <v>95.0</v>
      </c>
      <c r="C105" s="2">
        <v>1064.0</v>
      </c>
      <c r="D105" s="2">
        <v>339.0</v>
      </c>
      <c r="E105" s="3">
        <f t="shared" si="1"/>
        <v>0.3498452012</v>
      </c>
      <c r="F105" s="2">
        <v>190.0</v>
      </c>
      <c r="G105" s="3">
        <f t="shared" si="2"/>
        <v>0.1960784314</v>
      </c>
      <c r="H105" s="2">
        <v>209.0</v>
      </c>
      <c r="I105" s="3">
        <f t="shared" si="3"/>
        <v>0.2156862745</v>
      </c>
      <c r="J105" s="2">
        <v>203.0</v>
      </c>
      <c r="K105" s="3">
        <f t="shared" si="4"/>
        <v>0.209494324</v>
      </c>
      <c r="L105" s="2">
        <v>123.0</v>
      </c>
      <c r="M105" s="3">
        <f t="shared" si="5"/>
        <v>0.5885167464</v>
      </c>
      <c r="N105" s="2">
        <v>1180900.0</v>
      </c>
      <c r="O105" s="4">
        <f t="shared" si="6"/>
        <v>5650.239234</v>
      </c>
      <c r="P105" s="2">
        <v>0.0</v>
      </c>
      <c r="Q105" s="3">
        <f t="shared" si="7"/>
        <v>0</v>
      </c>
      <c r="R105" s="2">
        <v>95.0</v>
      </c>
      <c r="S105" s="5">
        <f t="shared" si="8"/>
        <v>1</v>
      </c>
    </row>
    <row r="106">
      <c r="A106" s="2" t="s">
        <v>122</v>
      </c>
      <c r="B106" s="2">
        <v>8.0</v>
      </c>
      <c r="C106" s="2">
        <v>105.0</v>
      </c>
      <c r="D106" s="2">
        <v>49.0</v>
      </c>
      <c r="E106" s="3">
        <f t="shared" si="1"/>
        <v>0.5051546392</v>
      </c>
      <c r="F106" s="2">
        <v>19.0</v>
      </c>
      <c r="G106" s="3">
        <f t="shared" si="2"/>
        <v>0.1958762887</v>
      </c>
      <c r="H106" s="2">
        <v>24.0</v>
      </c>
      <c r="I106" s="3">
        <f t="shared" si="3"/>
        <v>0.2474226804</v>
      </c>
      <c r="J106" s="2">
        <v>19.0</v>
      </c>
      <c r="K106" s="3">
        <f t="shared" si="4"/>
        <v>0.1958762887</v>
      </c>
      <c r="L106" s="2">
        <v>14.0</v>
      </c>
      <c r="M106" s="3">
        <f t="shared" si="5"/>
        <v>0.5833333333</v>
      </c>
      <c r="N106" s="2">
        <v>147800.0</v>
      </c>
      <c r="O106" s="4">
        <f t="shared" si="6"/>
        <v>6158.333333</v>
      </c>
      <c r="P106" s="2">
        <v>0.0</v>
      </c>
      <c r="Q106" s="3">
        <f t="shared" si="7"/>
        <v>0</v>
      </c>
      <c r="R106" s="2">
        <v>8.0</v>
      </c>
      <c r="S106" s="5">
        <f t="shared" si="8"/>
        <v>1</v>
      </c>
    </row>
    <row r="107">
      <c r="A107" s="2" t="s">
        <v>123</v>
      </c>
      <c r="B107" s="2">
        <v>26.0</v>
      </c>
      <c r="C107" s="2">
        <v>298.0</v>
      </c>
      <c r="D107" s="2">
        <v>85.0</v>
      </c>
      <c r="E107" s="3">
        <f t="shared" si="1"/>
        <v>0.3125</v>
      </c>
      <c r="F107" s="2">
        <v>53.0</v>
      </c>
      <c r="G107" s="3">
        <f t="shared" si="2"/>
        <v>0.1948529412</v>
      </c>
      <c r="H107" s="2">
        <v>46.0</v>
      </c>
      <c r="I107" s="3">
        <f t="shared" si="3"/>
        <v>0.1691176471</v>
      </c>
      <c r="J107" s="2">
        <v>58.0</v>
      </c>
      <c r="K107" s="3">
        <f t="shared" si="4"/>
        <v>0.2132352941</v>
      </c>
      <c r="L107" s="2">
        <v>25.0</v>
      </c>
      <c r="M107" s="3">
        <f t="shared" si="5"/>
        <v>0.5434782609</v>
      </c>
      <c r="N107" s="2">
        <v>261900.0</v>
      </c>
      <c r="O107" s="4">
        <f t="shared" si="6"/>
        <v>5693.478261</v>
      </c>
      <c r="P107" s="2">
        <v>0.0</v>
      </c>
      <c r="Q107" s="3">
        <f t="shared" si="7"/>
        <v>0</v>
      </c>
      <c r="R107" s="2">
        <v>25.0</v>
      </c>
      <c r="S107" s="5">
        <f t="shared" si="8"/>
        <v>0.9615384615</v>
      </c>
    </row>
    <row r="108">
      <c r="A108" s="2" t="s">
        <v>124</v>
      </c>
      <c r="B108" s="2">
        <v>104.0</v>
      </c>
      <c r="C108" s="2">
        <v>1223.0</v>
      </c>
      <c r="D108" s="2">
        <v>355.0</v>
      </c>
      <c r="E108" s="3">
        <f t="shared" si="1"/>
        <v>0.3172475424</v>
      </c>
      <c r="F108" s="2">
        <v>218.0</v>
      </c>
      <c r="G108" s="3">
        <f t="shared" si="2"/>
        <v>0.1948168007</v>
      </c>
      <c r="H108" s="2">
        <v>255.0</v>
      </c>
      <c r="I108" s="3">
        <f t="shared" si="3"/>
        <v>0.2278820375</v>
      </c>
      <c r="J108" s="2">
        <v>223.0</v>
      </c>
      <c r="K108" s="3">
        <f t="shared" si="4"/>
        <v>0.199285076</v>
      </c>
      <c r="L108" s="2">
        <v>147.0</v>
      </c>
      <c r="M108" s="3">
        <f t="shared" si="5"/>
        <v>0.5764705882</v>
      </c>
      <c r="N108" s="2">
        <v>1386000.0</v>
      </c>
      <c r="O108" s="4">
        <f t="shared" si="6"/>
        <v>5435.294118</v>
      </c>
      <c r="P108" s="2">
        <v>0.0</v>
      </c>
      <c r="Q108" s="3">
        <f t="shared" si="7"/>
        <v>0</v>
      </c>
      <c r="R108" s="2">
        <v>104.0</v>
      </c>
      <c r="S108" s="5">
        <f t="shared" si="8"/>
        <v>1</v>
      </c>
    </row>
    <row r="109">
      <c r="A109" s="2" t="s">
        <v>125</v>
      </c>
      <c r="B109" s="2">
        <v>11.0</v>
      </c>
      <c r="C109" s="2">
        <v>124.0</v>
      </c>
      <c r="D109" s="2">
        <v>31.0</v>
      </c>
      <c r="E109" s="3">
        <f t="shared" si="1"/>
        <v>0.2743362832</v>
      </c>
      <c r="F109" s="2">
        <v>22.0</v>
      </c>
      <c r="G109" s="3">
        <f t="shared" si="2"/>
        <v>0.1946902655</v>
      </c>
      <c r="H109" s="2">
        <v>13.0</v>
      </c>
      <c r="I109" s="3">
        <f t="shared" si="3"/>
        <v>0.1150442478</v>
      </c>
      <c r="J109" s="2">
        <v>12.0</v>
      </c>
      <c r="K109" s="3">
        <f t="shared" si="4"/>
        <v>0.1061946903</v>
      </c>
      <c r="L109" s="2">
        <v>8.0</v>
      </c>
      <c r="M109" s="3">
        <f t="shared" si="5"/>
        <v>0.6153846154</v>
      </c>
      <c r="N109" s="2">
        <v>72300.0</v>
      </c>
      <c r="O109" s="4">
        <f t="shared" si="6"/>
        <v>5561.538462</v>
      </c>
      <c r="P109" s="2">
        <v>0.0</v>
      </c>
      <c r="Q109" s="3">
        <f t="shared" si="7"/>
        <v>0</v>
      </c>
      <c r="R109" s="2">
        <v>0.0</v>
      </c>
      <c r="S109" s="5">
        <f t="shared" si="8"/>
        <v>0</v>
      </c>
    </row>
    <row r="110">
      <c r="A110" s="2" t="s">
        <v>126</v>
      </c>
      <c r="B110" s="2">
        <v>25.0</v>
      </c>
      <c r="C110" s="2">
        <v>287.0</v>
      </c>
      <c r="D110" s="2">
        <v>85.0</v>
      </c>
      <c r="E110" s="3">
        <f t="shared" si="1"/>
        <v>0.3244274809</v>
      </c>
      <c r="F110" s="2">
        <v>51.0</v>
      </c>
      <c r="G110" s="3">
        <f t="shared" si="2"/>
        <v>0.1946564885</v>
      </c>
      <c r="H110" s="2">
        <v>39.0</v>
      </c>
      <c r="I110" s="3">
        <f t="shared" si="3"/>
        <v>0.1488549618</v>
      </c>
      <c r="J110" s="2">
        <v>41.0</v>
      </c>
      <c r="K110" s="3">
        <f t="shared" si="4"/>
        <v>0.1564885496</v>
      </c>
      <c r="L110" s="2">
        <v>21.0</v>
      </c>
      <c r="M110" s="3">
        <f t="shared" si="5"/>
        <v>0.5384615385</v>
      </c>
      <c r="N110" s="2">
        <v>209400.0</v>
      </c>
      <c r="O110" s="4">
        <f t="shared" si="6"/>
        <v>5369.230769</v>
      </c>
      <c r="P110" s="2">
        <v>0.0</v>
      </c>
      <c r="Q110" s="3">
        <f t="shared" si="7"/>
        <v>0</v>
      </c>
      <c r="R110" s="2">
        <v>0.0</v>
      </c>
      <c r="S110" s="5">
        <f t="shared" si="8"/>
        <v>0</v>
      </c>
    </row>
    <row r="111">
      <c r="A111" s="2" t="s">
        <v>127</v>
      </c>
      <c r="B111" s="2">
        <v>38.0</v>
      </c>
      <c r="C111" s="2">
        <v>444.0</v>
      </c>
      <c r="D111" s="2">
        <v>136.0</v>
      </c>
      <c r="E111" s="3">
        <f t="shared" si="1"/>
        <v>0.3349753695</v>
      </c>
      <c r="F111" s="2">
        <v>79.0</v>
      </c>
      <c r="G111" s="3">
        <f t="shared" si="2"/>
        <v>0.1945812808</v>
      </c>
      <c r="H111" s="2">
        <v>69.0</v>
      </c>
      <c r="I111" s="3">
        <f t="shared" si="3"/>
        <v>0.1699507389</v>
      </c>
      <c r="J111" s="2">
        <v>84.0</v>
      </c>
      <c r="K111" s="3">
        <f t="shared" si="4"/>
        <v>0.2068965517</v>
      </c>
      <c r="L111" s="2">
        <v>42.0</v>
      </c>
      <c r="M111" s="3">
        <f t="shared" si="5"/>
        <v>0.6086956522</v>
      </c>
      <c r="N111" s="2">
        <v>498000.0</v>
      </c>
      <c r="O111" s="4">
        <f t="shared" si="6"/>
        <v>7217.391304</v>
      </c>
      <c r="P111" s="2">
        <v>1.0</v>
      </c>
      <c r="Q111" s="3">
        <f t="shared" si="7"/>
        <v>0.02631578947</v>
      </c>
      <c r="R111" s="2">
        <v>38.0</v>
      </c>
      <c r="S111" s="5">
        <f t="shared" si="8"/>
        <v>1</v>
      </c>
    </row>
    <row r="112">
      <c r="A112" s="2" t="s">
        <v>128</v>
      </c>
      <c r="B112" s="2">
        <v>13.0</v>
      </c>
      <c r="C112" s="2">
        <v>152.0</v>
      </c>
      <c r="D112" s="2">
        <v>52.0</v>
      </c>
      <c r="E112" s="3">
        <f t="shared" si="1"/>
        <v>0.3741007194</v>
      </c>
      <c r="F112" s="2">
        <v>27.0</v>
      </c>
      <c r="G112" s="3">
        <f t="shared" si="2"/>
        <v>0.1942446043</v>
      </c>
      <c r="H112" s="2">
        <v>23.0</v>
      </c>
      <c r="I112" s="3">
        <f t="shared" si="3"/>
        <v>0.1654676259</v>
      </c>
      <c r="J112" s="2">
        <v>16.0</v>
      </c>
      <c r="K112" s="3">
        <f t="shared" si="4"/>
        <v>0.1151079137</v>
      </c>
      <c r="L112" s="2">
        <v>18.0</v>
      </c>
      <c r="M112" s="3">
        <f t="shared" si="5"/>
        <v>0.7826086957</v>
      </c>
      <c r="N112" s="2">
        <v>111500.0</v>
      </c>
      <c r="O112" s="4">
        <f t="shared" si="6"/>
        <v>4847.826087</v>
      </c>
      <c r="P112" s="2">
        <v>0.0</v>
      </c>
      <c r="Q112" s="3">
        <f t="shared" si="7"/>
        <v>0</v>
      </c>
      <c r="R112" s="2">
        <v>13.0</v>
      </c>
      <c r="S112" s="5">
        <f t="shared" si="8"/>
        <v>1</v>
      </c>
    </row>
    <row r="113">
      <c r="A113" s="2" t="s">
        <v>129</v>
      </c>
      <c r="B113" s="2">
        <v>2.0</v>
      </c>
      <c r="C113" s="2">
        <v>33.0</v>
      </c>
      <c r="D113" s="2">
        <v>14.0</v>
      </c>
      <c r="E113" s="3">
        <f t="shared" si="1"/>
        <v>0.4516129032</v>
      </c>
      <c r="F113" s="2">
        <v>6.0</v>
      </c>
      <c r="G113" s="3">
        <f t="shared" si="2"/>
        <v>0.1935483871</v>
      </c>
      <c r="H113" s="2">
        <v>5.0</v>
      </c>
      <c r="I113" s="3">
        <f t="shared" si="3"/>
        <v>0.1612903226</v>
      </c>
      <c r="J113" s="2">
        <v>6.0</v>
      </c>
      <c r="K113" s="3">
        <f t="shared" si="4"/>
        <v>0.1935483871</v>
      </c>
      <c r="L113" s="2">
        <v>1.0</v>
      </c>
      <c r="M113" s="3">
        <f t="shared" si="5"/>
        <v>0.2</v>
      </c>
      <c r="N113" s="2">
        <v>21500.0</v>
      </c>
      <c r="O113" s="4">
        <f t="shared" si="6"/>
        <v>4300</v>
      </c>
      <c r="P113" s="2">
        <v>0.0</v>
      </c>
      <c r="Q113" s="3">
        <f t="shared" si="7"/>
        <v>0</v>
      </c>
      <c r="R113" s="2">
        <v>2.0</v>
      </c>
      <c r="S113" s="5">
        <f t="shared" si="8"/>
        <v>1</v>
      </c>
    </row>
    <row r="114">
      <c r="A114" s="2" t="s">
        <v>130</v>
      </c>
      <c r="B114" s="2">
        <v>84.0</v>
      </c>
      <c r="C114" s="2">
        <v>934.0</v>
      </c>
      <c r="D114" s="2">
        <v>320.0</v>
      </c>
      <c r="E114" s="3">
        <f t="shared" si="1"/>
        <v>0.3764705882</v>
      </c>
      <c r="F114" s="2">
        <v>164.0</v>
      </c>
      <c r="G114" s="3">
        <f t="shared" si="2"/>
        <v>0.1929411765</v>
      </c>
      <c r="H114" s="2">
        <v>185.0</v>
      </c>
      <c r="I114" s="3">
        <f t="shared" si="3"/>
        <v>0.2176470588</v>
      </c>
      <c r="J114" s="2">
        <v>162.0</v>
      </c>
      <c r="K114" s="3">
        <f t="shared" si="4"/>
        <v>0.1905882353</v>
      </c>
      <c r="L114" s="2">
        <v>96.0</v>
      </c>
      <c r="M114" s="3">
        <f t="shared" si="5"/>
        <v>0.5189189189</v>
      </c>
      <c r="N114" s="2">
        <v>1187300.0</v>
      </c>
      <c r="O114" s="4">
        <f t="shared" si="6"/>
        <v>6417.837838</v>
      </c>
      <c r="P114" s="2">
        <v>1.0</v>
      </c>
      <c r="Q114" s="3">
        <f t="shared" si="7"/>
        <v>0.0119047619</v>
      </c>
      <c r="R114" s="2">
        <v>84.0</v>
      </c>
      <c r="S114" s="5">
        <f t="shared" si="8"/>
        <v>1</v>
      </c>
    </row>
    <row r="115">
      <c r="A115" s="2" t="s">
        <v>131</v>
      </c>
      <c r="B115" s="2">
        <v>7.0</v>
      </c>
      <c r="C115" s="2">
        <v>85.0</v>
      </c>
      <c r="D115" s="2">
        <v>24.0</v>
      </c>
      <c r="E115" s="3">
        <f t="shared" si="1"/>
        <v>0.3076923077</v>
      </c>
      <c r="F115" s="2">
        <v>15.0</v>
      </c>
      <c r="G115" s="3">
        <f t="shared" si="2"/>
        <v>0.1923076923</v>
      </c>
      <c r="H115" s="2">
        <v>17.0</v>
      </c>
      <c r="I115" s="3">
        <f t="shared" si="3"/>
        <v>0.2179487179</v>
      </c>
      <c r="J115" s="2">
        <v>15.0</v>
      </c>
      <c r="K115" s="3">
        <f t="shared" si="4"/>
        <v>0.1923076923</v>
      </c>
      <c r="L115" s="2">
        <v>12.0</v>
      </c>
      <c r="M115" s="3">
        <f t="shared" si="5"/>
        <v>0.7058823529</v>
      </c>
      <c r="N115" s="2">
        <v>87800.0</v>
      </c>
      <c r="O115" s="4">
        <f t="shared" si="6"/>
        <v>5164.705882</v>
      </c>
      <c r="P115" s="2">
        <v>0.0</v>
      </c>
      <c r="Q115" s="3">
        <f t="shared" si="7"/>
        <v>0</v>
      </c>
      <c r="R115" s="2">
        <v>7.0</v>
      </c>
      <c r="S115" s="5">
        <f t="shared" si="8"/>
        <v>1</v>
      </c>
    </row>
    <row r="116">
      <c r="A116" s="2" t="s">
        <v>132</v>
      </c>
      <c r="B116" s="2">
        <v>50.0</v>
      </c>
      <c r="C116" s="2">
        <v>609.0</v>
      </c>
      <c r="D116" s="2">
        <v>204.0</v>
      </c>
      <c r="E116" s="3">
        <f t="shared" si="1"/>
        <v>0.3649373882</v>
      </c>
      <c r="F116" s="2">
        <v>107.0</v>
      </c>
      <c r="G116" s="3">
        <f t="shared" si="2"/>
        <v>0.1914132379</v>
      </c>
      <c r="H116" s="2">
        <v>110.0</v>
      </c>
      <c r="I116" s="3">
        <f t="shared" si="3"/>
        <v>0.1967799642</v>
      </c>
      <c r="J116" s="2">
        <v>76.0</v>
      </c>
      <c r="K116" s="3">
        <f t="shared" si="4"/>
        <v>0.1359570662</v>
      </c>
      <c r="L116" s="2">
        <v>63.0</v>
      </c>
      <c r="M116" s="3">
        <f t="shared" si="5"/>
        <v>0.5727272727</v>
      </c>
      <c r="N116" s="2">
        <v>594500.0</v>
      </c>
      <c r="O116" s="4">
        <f t="shared" si="6"/>
        <v>5404.545455</v>
      </c>
      <c r="P116" s="2">
        <v>0.0</v>
      </c>
      <c r="Q116" s="3">
        <f t="shared" si="7"/>
        <v>0</v>
      </c>
      <c r="R116" s="2">
        <v>50.0</v>
      </c>
      <c r="S116" s="5">
        <f t="shared" si="8"/>
        <v>1</v>
      </c>
    </row>
    <row r="117">
      <c r="A117" s="2" t="s">
        <v>133</v>
      </c>
      <c r="B117" s="2">
        <v>12.0</v>
      </c>
      <c r="C117" s="2">
        <v>148.0</v>
      </c>
      <c r="D117" s="2">
        <v>36.0</v>
      </c>
      <c r="E117" s="3">
        <f t="shared" si="1"/>
        <v>0.2647058824</v>
      </c>
      <c r="F117" s="2">
        <v>26.0</v>
      </c>
      <c r="G117" s="3">
        <f t="shared" si="2"/>
        <v>0.1911764706</v>
      </c>
      <c r="H117" s="2">
        <v>20.0</v>
      </c>
      <c r="I117" s="3">
        <f t="shared" si="3"/>
        <v>0.1470588235</v>
      </c>
      <c r="J117" s="2">
        <v>19.0</v>
      </c>
      <c r="K117" s="3">
        <f t="shared" si="4"/>
        <v>0.1397058824</v>
      </c>
      <c r="L117" s="2">
        <v>8.0</v>
      </c>
      <c r="M117" s="3">
        <f t="shared" si="5"/>
        <v>0.4</v>
      </c>
      <c r="N117" s="2">
        <v>118100.0</v>
      </c>
      <c r="O117" s="4">
        <f t="shared" si="6"/>
        <v>5905</v>
      </c>
      <c r="P117" s="2">
        <v>0.0</v>
      </c>
      <c r="Q117" s="3">
        <f t="shared" si="7"/>
        <v>0</v>
      </c>
      <c r="R117" s="2">
        <v>12.0</v>
      </c>
      <c r="S117" s="5">
        <f t="shared" si="8"/>
        <v>1</v>
      </c>
    </row>
    <row r="118">
      <c r="A118" s="2" t="s">
        <v>134</v>
      </c>
      <c r="B118" s="2">
        <v>14.0</v>
      </c>
      <c r="C118" s="2">
        <v>171.0</v>
      </c>
      <c r="D118" s="2">
        <v>64.0</v>
      </c>
      <c r="E118" s="3">
        <f t="shared" si="1"/>
        <v>0.4076433121</v>
      </c>
      <c r="F118" s="2">
        <v>30.0</v>
      </c>
      <c r="G118" s="3">
        <f t="shared" si="2"/>
        <v>0.1910828025</v>
      </c>
      <c r="H118" s="2">
        <v>25.0</v>
      </c>
      <c r="I118" s="3">
        <f t="shared" si="3"/>
        <v>0.1592356688</v>
      </c>
      <c r="J118" s="2">
        <v>18.0</v>
      </c>
      <c r="K118" s="3">
        <f t="shared" si="4"/>
        <v>0.1146496815</v>
      </c>
      <c r="L118" s="2">
        <v>16.0</v>
      </c>
      <c r="M118" s="3">
        <f t="shared" si="5"/>
        <v>0.64</v>
      </c>
      <c r="N118" s="2">
        <v>120100.0</v>
      </c>
      <c r="O118" s="4">
        <f t="shared" si="6"/>
        <v>4804</v>
      </c>
      <c r="P118" s="2">
        <v>0.0</v>
      </c>
      <c r="Q118" s="3">
        <f t="shared" si="7"/>
        <v>0</v>
      </c>
      <c r="R118" s="2">
        <v>14.0</v>
      </c>
      <c r="S118" s="5">
        <f t="shared" si="8"/>
        <v>1</v>
      </c>
    </row>
    <row r="119">
      <c r="A119" s="2" t="s">
        <v>135</v>
      </c>
      <c r="B119" s="2">
        <v>10.0</v>
      </c>
      <c r="C119" s="2">
        <v>120.0</v>
      </c>
      <c r="D119" s="2">
        <v>39.0</v>
      </c>
      <c r="E119" s="3">
        <f t="shared" si="1"/>
        <v>0.3545454545</v>
      </c>
      <c r="F119" s="2">
        <v>21.0</v>
      </c>
      <c r="G119" s="3">
        <f t="shared" si="2"/>
        <v>0.1909090909</v>
      </c>
      <c r="H119" s="2">
        <v>13.0</v>
      </c>
      <c r="I119" s="3">
        <f t="shared" si="3"/>
        <v>0.1181818182</v>
      </c>
      <c r="J119" s="2">
        <v>21.0</v>
      </c>
      <c r="K119" s="3">
        <f t="shared" si="4"/>
        <v>0.1909090909</v>
      </c>
      <c r="L119" s="2">
        <v>7.0</v>
      </c>
      <c r="M119" s="3">
        <f t="shared" si="5"/>
        <v>0.5384615385</v>
      </c>
      <c r="N119" s="2">
        <v>53300.0</v>
      </c>
      <c r="O119" s="4">
        <f t="shared" si="6"/>
        <v>4100</v>
      </c>
      <c r="P119" s="2">
        <v>0.0</v>
      </c>
      <c r="Q119" s="3">
        <f t="shared" si="7"/>
        <v>0</v>
      </c>
      <c r="R119" s="2">
        <v>0.0</v>
      </c>
      <c r="S119" s="5">
        <f t="shared" si="8"/>
        <v>0</v>
      </c>
    </row>
    <row r="120">
      <c r="A120" s="2" t="s">
        <v>136</v>
      </c>
      <c r="B120" s="2">
        <v>26.0</v>
      </c>
      <c r="C120" s="2">
        <v>309.0</v>
      </c>
      <c r="D120" s="2">
        <v>91.0</v>
      </c>
      <c r="E120" s="3">
        <f t="shared" si="1"/>
        <v>0.3215547703</v>
      </c>
      <c r="F120" s="2">
        <v>54.0</v>
      </c>
      <c r="G120" s="3">
        <f t="shared" si="2"/>
        <v>0.1908127208</v>
      </c>
      <c r="H120" s="2">
        <v>58.0</v>
      </c>
      <c r="I120" s="3">
        <f t="shared" si="3"/>
        <v>0.2049469965</v>
      </c>
      <c r="J120" s="2">
        <v>59.0</v>
      </c>
      <c r="K120" s="3">
        <f t="shared" si="4"/>
        <v>0.2084805654</v>
      </c>
      <c r="L120" s="2">
        <v>40.0</v>
      </c>
      <c r="M120" s="3">
        <f t="shared" si="5"/>
        <v>0.6896551724</v>
      </c>
      <c r="N120" s="2">
        <v>285700.0</v>
      </c>
      <c r="O120" s="4">
        <f t="shared" si="6"/>
        <v>4925.862069</v>
      </c>
      <c r="P120" s="2">
        <v>0.0</v>
      </c>
      <c r="Q120" s="3">
        <f t="shared" si="7"/>
        <v>0</v>
      </c>
      <c r="R120" s="2">
        <v>26.0</v>
      </c>
      <c r="S120" s="5">
        <f t="shared" si="8"/>
        <v>1</v>
      </c>
    </row>
    <row r="121">
      <c r="A121" s="2" t="s">
        <v>137</v>
      </c>
      <c r="B121" s="2">
        <v>2.0</v>
      </c>
      <c r="C121" s="2">
        <v>23.0</v>
      </c>
      <c r="D121" s="2">
        <v>7.0</v>
      </c>
      <c r="E121" s="3">
        <f t="shared" si="1"/>
        <v>0.3333333333</v>
      </c>
      <c r="F121" s="2">
        <v>4.0</v>
      </c>
      <c r="G121" s="3">
        <f t="shared" si="2"/>
        <v>0.1904761905</v>
      </c>
      <c r="H121" s="2">
        <v>3.0</v>
      </c>
      <c r="I121" s="3">
        <f t="shared" si="3"/>
        <v>0.1428571429</v>
      </c>
      <c r="J121" s="2">
        <v>8.0</v>
      </c>
      <c r="K121" s="3">
        <f t="shared" si="4"/>
        <v>0.380952381</v>
      </c>
      <c r="L121" s="2">
        <v>1.0</v>
      </c>
      <c r="M121" s="3">
        <f t="shared" si="5"/>
        <v>0.3333333333</v>
      </c>
      <c r="N121" s="2">
        <v>21100.0</v>
      </c>
      <c r="O121" s="4">
        <f t="shared" si="6"/>
        <v>7033.333333</v>
      </c>
      <c r="P121" s="2">
        <v>0.0</v>
      </c>
      <c r="Q121" s="3">
        <f t="shared" si="7"/>
        <v>0</v>
      </c>
      <c r="R121" s="2">
        <v>2.0</v>
      </c>
      <c r="S121" s="5">
        <f t="shared" si="8"/>
        <v>1</v>
      </c>
    </row>
    <row r="122">
      <c r="A122" s="2" t="s">
        <v>138</v>
      </c>
      <c r="B122" s="2">
        <v>2.0</v>
      </c>
      <c r="C122" s="2">
        <v>23.0</v>
      </c>
      <c r="D122" s="2">
        <v>4.0</v>
      </c>
      <c r="E122" s="3">
        <f t="shared" si="1"/>
        <v>0.1904761905</v>
      </c>
      <c r="F122" s="2">
        <v>4.0</v>
      </c>
      <c r="G122" s="3">
        <f t="shared" si="2"/>
        <v>0.1904761905</v>
      </c>
      <c r="H122" s="2">
        <v>4.0</v>
      </c>
      <c r="I122" s="3">
        <f t="shared" si="3"/>
        <v>0.1904761905</v>
      </c>
      <c r="J122" s="2">
        <v>7.0</v>
      </c>
      <c r="K122" s="3">
        <f t="shared" si="4"/>
        <v>0.3333333333</v>
      </c>
      <c r="L122" s="2">
        <v>1.0</v>
      </c>
      <c r="M122" s="3">
        <f t="shared" si="5"/>
        <v>0.25</v>
      </c>
      <c r="N122" s="2">
        <v>42000.0</v>
      </c>
      <c r="O122" s="4">
        <f t="shared" si="6"/>
        <v>10500</v>
      </c>
      <c r="P122" s="2">
        <v>0.0</v>
      </c>
      <c r="Q122" s="3">
        <f t="shared" si="7"/>
        <v>0</v>
      </c>
      <c r="R122" s="2">
        <v>2.0</v>
      </c>
      <c r="S122" s="5">
        <f t="shared" si="8"/>
        <v>1</v>
      </c>
    </row>
    <row r="123">
      <c r="A123" s="2" t="s">
        <v>139</v>
      </c>
      <c r="B123" s="2">
        <v>6.0</v>
      </c>
      <c r="C123" s="2">
        <v>69.0</v>
      </c>
      <c r="D123" s="2">
        <v>14.0</v>
      </c>
      <c r="E123" s="3">
        <f t="shared" si="1"/>
        <v>0.2222222222</v>
      </c>
      <c r="F123" s="2">
        <v>12.0</v>
      </c>
      <c r="G123" s="3">
        <f t="shared" si="2"/>
        <v>0.1904761905</v>
      </c>
      <c r="H123" s="2">
        <v>13.0</v>
      </c>
      <c r="I123" s="3">
        <f t="shared" si="3"/>
        <v>0.2063492063</v>
      </c>
      <c r="J123" s="2">
        <v>12.0</v>
      </c>
      <c r="K123" s="3">
        <f t="shared" si="4"/>
        <v>0.1904761905</v>
      </c>
      <c r="L123" s="2">
        <v>6.0</v>
      </c>
      <c r="M123" s="3">
        <f t="shared" si="5"/>
        <v>0.4615384615</v>
      </c>
      <c r="N123" s="2">
        <v>81700.0</v>
      </c>
      <c r="O123" s="4">
        <f t="shared" si="6"/>
        <v>6284.615385</v>
      </c>
      <c r="P123" s="2">
        <v>0.0</v>
      </c>
      <c r="Q123" s="3">
        <f t="shared" si="7"/>
        <v>0</v>
      </c>
      <c r="R123" s="2">
        <v>6.0</v>
      </c>
      <c r="S123" s="5">
        <f t="shared" si="8"/>
        <v>1</v>
      </c>
    </row>
    <row r="124">
      <c r="A124" s="2" t="s">
        <v>140</v>
      </c>
      <c r="B124" s="2">
        <v>2.0</v>
      </c>
      <c r="C124" s="2">
        <v>23.0</v>
      </c>
      <c r="D124" s="2">
        <v>13.0</v>
      </c>
      <c r="E124" s="3">
        <f t="shared" si="1"/>
        <v>0.619047619</v>
      </c>
      <c r="F124" s="2">
        <v>4.0</v>
      </c>
      <c r="G124" s="3">
        <f t="shared" si="2"/>
        <v>0.1904761905</v>
      </c>
      <c r="H124" s="2">
        <v>7.0</v>
      </c>
      <c r="I124" s="3">
        <f t="shared" si="3"/>
        <v>0.3333333333</v>
      </c>
      <c r="J124" s="2">
        <v>3.0</v>
      </c>
      <c r="K124" s="3">
        <f t="shared" si="4"/>
        <v>0.1428571429</v>
      </c>
      <c r="L124" s="2">
        <v>3.0</v>
      </c>
      <c r="M124" s="3">
        <f t="shared" si="5"/>
        <v>0.4285714286</v>
      </c>
      <c r="N124" s="2">
        <v>42000.0</v>
      </c>
      <c r="O124" s="4">
        <f t="shared" si="6"/>
        <v>6000</v>
      </c>
      <c r="P124" s="2">
        <v>0.0</v>
      </c>
      <c r="Q124" s="3">
        <f t="shared" si="7"/>
        <v>0</v>
      </c>
      <c r="R124" s="2">
        <v>2.0</v>
      </c>
      <c r="S124" s="5">
        <f t="shared" si="8"/>
        <v>1</v>
      </c>
    </row>
    <row r="125">
      <c r="A125" s="2" t="s">
        <v>141</v>
      </c>
      <c r="B125" s="2">
        <v>2.0</v>
      </c>
      <c r="C125" s="2">
        <v>23.0</v>
      </c>
      <c r="D125" s="2">
        <v>6.0</v>
      </c>
      <c r="E125" s="3">
        <f t="shared" si="1"/>
        <v>0.2857142857</v>
      </c>
      <c r="F125" s="2">
        <v>4.0</v>
      </c>
      <c r="G125" s="3">
        <f t="shared" si="2"/>
        <v>0.1904761905</v>
      </c>
      <c r="H125" s="2">
        <v>3.0</v>
      </c>
      <c r="I125" s="3">
        <f t="shared" si="3"/>
        <v>0.1428571429</v>
      </c>
      <c r="J125" s="2">
        <v>2.0</v>
      </c>
      <c r="K125" s="3">
        <f t="shared" si="4"/>
        <v>0.09523809524</v>
      </c>
      <c r="L125" s="2">
        <v>2.0</v>
      </c>
      <c r="M125" s="3">
        <f t="shared" si="5"/>
        <v>0.6666666667</v>
      </c>
      <c r="N125" s="2">
        <v>11700.0</v>
      </c>
      <c r="O125" s="4">
        <f t="shared" si="6"/>
        <v>3900</v>
      </c>
      <c r="P125" s="2">
        <v>0.0</v>
      </c>
      <c r="Q125" s="3">
        <f t="shared" si="7"/>
        <v>0</v>
      </c>
      <c r="R125" s="2">
        <v>2.0</v>
      </c>
      <c r="S125" s="5">
        <f t="shared" si="8"/>
        <v>1</v>
      </c>
    </row>
    <row r="126">
      <c r="A126" s="2" t="s">
        <v>142</v>
      </c>
      <c r="B126" s="2">
        <v>2.0</v>
      </c>
      <c r="C126" s="2">
        <v>23.0</v>
      </c>
      <c r="D126" s="2">
        <v>5.0</v>
      </c>
      <c r="E126" s="3">
        <f t="shared" si="1"/>
        <v>0.2380952381</v>
      </c>
      <c r="F126" s="2">
        <v>4.0</v>
      </c>
      <c r="G126" s="3">
        <f t="shared" si="2"/>
        <v>0.1904761905</v>
      </c>
      <c r="H126" s="2">
        <v>2.0</v>
      </c>
      <c r="I126" s="3">
        <f t="shared" si="3"/>
        <v>0.09523809524</v>
      </c>
      <c r="J126" s="2">
        <v>2.0</v>
      </c>
      <c r="K126" s="3">
        <f t="shared" si="4"/>
        <v>0.09523809524</v>
      </c>
      <c r="L126" s="2">
        <v>1.0</v>
      </c>
      <c r="M126" s="3">
        <f t="shared" si="5"/>
        <v>0.5</v>
      </c>
      <c r="N126" s="2">
        <v>10000.0</v>
      </c>
      <c r="O126" s="4">
        <f t="shared" si="6"/>
        <v>5000</v>
      </c>
      <c r="P126" s="2">
        <v>0.0</v>
      </c>
      <c r="Q126" s="3">
        <f t="shared" si="7"/>
        <v>0</v>
      </c>
      <c r="R126" s="2">
        <v>2.0</v>
      </c>
      <c r="S126" s="5">
        <f t="shared" si="8"/>
        <v>1</v>
      </c>
    </row>
    <row r="127">
      <c r="A127" s="2" t="s">
        <v>143</v>
      </c>
      <c r="B127" s="2">
        <v>49.0</v>
      </c>
      <c r="C127" s="2">
        <v>527.0</v>
      </c>
      <c r="D127" s="2">
        <v>170.0</v>
      </c>
      <c r="E127" s="3">
        <f t="shared" si="1"/>
        <v>0.3556485356</v>
      </c>
      <c r="F127" s="2">
        <v>91.0</v>
      </c>
      <c r="G127" s="3">
        <f t="shared" si="2"/>
        <v>0.190376569</v>
      </c>
      <c r="H127" s="2">
        <v>78.0</v>
      </c>
      <c r="I127" s="3">
        <f t="shared" si="3"/>
        <v>0.1631799163</v>
      </c>
      <c r="J127" s="2">
        <v>87.0</v>
      </c>
      <c r="K127" s="3">
        <f t="shared" si="4"/>
        <v>0.1820083682</v>
      </c>
      <c r="L127" s="2">
        <v>37.0</v>
      </c>
      <c r="M127" s="3">
        <f t="shared" si="5"/>
        <v>0.4743589744</v>
      </c>
      <c r="N127" s="2">
        <v>503500.0</v>
      </c>
      <c r="O127" s="4">
        <f t="shared" si="6"/>
        <v>6455.128205</v>
      </c>
      <c r="P127" s="2">
        <v>0.0</v>
      </c>
      <c r="Q127" s="3">
        <f t="shared" si="7"/>
        <v>0</v>
      </c>
      <c r="R127" s="2">
        <v>49.0</v>
      </c>
      <c r="S127" s="5">
        <f t="shared" si="8"/>
        <v>1</v>
      </c>
    </row>
    <row r="128">
      <c r="A128" s="2" t="s">
        <v>144</v>
      </c>
      <c r="B128" s="2">
        <v>19.0</v>
      </c>
      <c r="C128" s="2">
        <v>203.0</v>
      </c>
      <c r="D128" s="2">
        <v>79.0</v>
      </c>
      <c r="E128" s="3">
        <f t="shared" si="1"/>
        <v>0.4293478261</v>
      </c>
      <c r="F128" s="2">
        <v>35.0</v>
      </c>
      <c r="G128" s="3">
        <f t="shared" si="2"/>
        <v>0.1902173913</v>
      </c>
      <c r="H128" s="2">
        <v>44.0</v>
      </c>
      <c r="I128" s="3">
        <f t="shared" si="3"/>
        <v>0.2391304348</v>
      </c>
      <c r="J128" s="2">
        <v>39.0</v>
      </c>
      <c r="K128" s="3">
        <f t="shared" si="4"/>
        <v>0.2119565217</v>
      </c>
      <c r="L128" s="2">
        <v>23.0</v>
      </c>
      <c r="M128" s="3">
        <f t="shared" si="5"/>
        <v>0.5227272727</v>
      </c>
      <c r="N128" s="2">
        <v>269000.0</v>
      </c>
      <c r="O128" s="4">
        <f t="shared" si="6"/>
        <v>6113.636364</v>
      </c>
      <c r="P128" s="2">
        <v>0.0</v>
      </c>
      <c r="Q128" s="3">
        <f t="shared" si="7"/>
        <v>0</v>
      </c>
      <c r="R128" s="2">
        <v>19.0</v>
      </c>
      <c r="S128" s="5">
        <f t="shared" si="8"/>
        <v>1</v>
      </c>
    </row>
    <row r="129">
      <c r="A129" s="2" t="s">
        <v>145</v>
      </c>
      <c r="B129" s="2">
        <v>7.0</v>
      </c>
      <c r="C129" s="2">
        <v>86.0</v>
      </c>
      <c r="D129" s="2">
        <v>38.0</v>
      </c>
      <c r="E129" s="3">
        <f t="shared" si="1"/>
        <v>0.4810126582</v>
      </c>
      <c r="F129" s="2">
        <v>15.0</v>
      </c>
      <c r="G129" s="3">
        <f t="shared" si="2"/>
        <v>0.1898734177</v>
      </c>
      <c r="H129" s="2">
        <v>19.0</v>
      </c>
      <c r="I129" s="3">
        <f t="shared" si="3"/>
        <v>0.2405063291</v>
      </c>
      <c r="J129" s="2">
        <v>16.0</v>
      </c>
      <c r="K129" s="3">
        <f t="shared" si="4"/>
        <v>0.2025316456</v>
      </c>
      <c r="L129" s="2">
        <v>13.0</v>
      </c>
      <c r="M129" s="3">
        <f t="shared" si="5"/>
        <v>0.6842105263</v>
      </c>
      <c r="N129" s="2">
        <v>69700.0</v>
      </c>
      <c r="O129" s="4">
        <f t="shared" si="6"/>
        <v>3668.421053</v>
      </c>
      <c r="P129" s="2">
        <v>0.0</v>
      </c>
      <c r="Q129" s="3">
        <f t="shared" si="7"/>
        <v>0</v>
      </c>
      <c r="R129" s="2">
        <v>7.0</v>
      </c>
      <c r="S129" s="5">
        <f t="shared" si="8"/>
        <v>1</v>
      </c>
    </row>
    <row r="130">
      <c r="A130" s="2" t="s">
        <v>146</v>
      </c>
      <c r="B130" s="2">
        <v>37.0</v>
      </c>
      <c r="C130" s="2">
        <v>411.0</v>
      </c>
      <c r="D130" s="2">
        <v>154.0</v>
      </c>
      <c r="E130" s="3">
        <f t="shared" si="1"/>
        <v>0.4117647059</v>
      </c>
      <c r="F130" s="2">
        <v>71.0</v>
      </c>
      <c r="G130" s="3">
        <f t="shared" si="2"/>
        <v>0.1898395722</v>
      </c>
      <c r="H130" s="2">
        <v>71.0</v>
      </c>
      <c r="I130" s="3">
        <f t="shared" si="3"/>
        <v>0.1898395722</v>
      </c>
      <c r="J130" s="2">
        <v>55.0</v>
      </c>
      <c r="K130" s="3">
        <f t="shared" si="4"/>
        <v>0.1470588235</v>
      </c>
      <c r="L130" s="2">
        <v>47.0</v>
      </c>
      <c r="M130" s="3">
        <f t="shared" si="5"/>
        <v>0.661971831</v>
      </c>
      <c r="N130" s="2">
        <v>387500.0</v>
      </c>
      <c r="O130" s="4">
        <f t="shared" si="6"/>
        <v>5457.746479</v>
      </c>
      <c r="P130" s="2">
        <v>0.0</v>
      </c>
      <c r="Q130" s="3">
        <f t="shared" si="7"/>
        <v>0</v>
      </c>
      <c r="R130" s="2">
        <v>37.0</v>
      </c>
      <c r="S130" s="5">
        <f t="shared" si="8"/>
        <v>1</v>
      </c>
    </row>
    <row r="131">
      <c r="A131" s="2" t="s">
        <v>147</v>
      </c>
      <c r="B131" s="2">
        <v>13.0</v>
      </c>
      <c r="C131" s="2">
        <v>150.0</v>
      </c>
      <c r="D131" s="2">
        <v>61.0</v>
      </c>
      <c r="E131" s="3">
        <f t="shared" si="1"/>
        <v>0.4452554745</v>
      </c>
      <c r="F131" s="2">
        <v>26.0</v>
      </c>
      <c r="G131" s="3">
        <f t="shared" si="2"/>
        <v>0.1897810219</v>
      </c>
      <c r="H131" s="2">
        <v>23.0</v>
      </c>
      <c r="I131" s="3">
        <f t="shared" si="3"/>
        <v>0.1678832117</v>
      </c>
      <c r="J131" s="2">
        <v>29.0</v>
      </c>
      <c r="K131" s="3">
        <f t="shared" si="4"/>
        <v>0.2116788321</v>
      </c>
      <c r="L131" s="2">
        <v>13.0</v>
      </c>
      <c r="M131" s="3">
        <f t="shared" si="5"/>
        <v>0.5652173913</v>
      </c>
      <c r="N131" s="2">
        <v>149900.0</v>
      </c>
      <c r="O131" s="4">
        <f t="shared" si="6"/>
        <v>6517.391304</v>
      </c>
      <c r="P131" s="2">
        <v>0.0</v>
      </c>
      <c r="Q131" s="3">
        <f t="shared" si="7"/>
        <v>0</v>
      </c>
      <c r="R131" s="2">
        <v>13.0</v>
      </c>
      <c r="S131" s="5">
        <f t="shared" si="8"/>
        <v>1</v>
      </c>
    </row>
    <row r="132">
      <c r="A132" s="2" t="s">
        <v>148</v>
      </c>
      <c r="B132" s="2">
        <v>31.0</v>
      </c>
      <c r="C132" s="2">
        <v>332.0</v>
      </c>
      <c r="D132" s="2">
        <v>70.0</v>
      </c>
      <c r="E132" s="3">
        <f t="shared" si="1"/>
        <v>0.2325581395</v>
      </c>
      <c r="F132" s="2">
        <v>57.0</v>
      </c>
      <c r="G132" s="3">
        <f t="shared" si="2"/>
        <v>0.1893687708</v>
      </c>
      <c r="H132" s="2">
        <v>50.0</v>
      </c>
      <c r="I132" s="3">
        <f t="shared" si="3"/>
        <v>0.1661129568</v>
      </c>
      <c r="J132" s="2">
        <v>47.0</v>
      </c>
      <c r="K132" s="3">
        <f t="shared" si="4"/>
        <v>0.1561461794</v>
      </c>
      <c r="L132" s="2">
        <v>27.0</v>
      </c>
      <c r="M132" s="3">
        <f t="shared" si="5"/>
        <v>0.54</v>
      </c>
      <c r="N132" s="2">
        <v>309100.0</v>
      </c>
      <c r="O132" s="4">
        <f t="shared" si="6"/>
        <v>6182</v>
      </c>
      <c r="P132" s="2">
        <v>1.0</v>
      </c>
      <c r="Q132" s="3">
        <f t="shared" si="7"/>
        <v>0.03225806452</v>
      </c>
      <c r="R132" s="2">
        <v>31.0</v>
      </c>
      <c r="S132" s="5">
        <f t="shared" si="8"/>
        <v>1</v>
      </c>
    </row>
    <row r="133">
      <c r="A133" s="2" t="s">
        <v>149</v>
      </c>
      <c r="B133" s="2">
        <v>48.0</v>
      </c>
      <c r="C133" s="2">
        <v>566.0</v>
      </c>
      <c r="D133" s="2">
        <v>208.0</v>
      </c>
      <c r="E133" s="3">
        <f t="shared" si="1"/>
        <v>0.4015444015</v>
      </c>
      <c r="F133" s="2">
        <v>98.0</v>
      </c>
      <c r="G133" s="3">
        <f t="shared" si="2"/>
        <v>0.1891891892</v>
      </c>
      <c r="H133" s="2">
        <v>112.0</v>
      </c>
      <c r="I133" s="3">
        <f t="shared" si="3"/>
        <v>0.2162162162</v>
      </c>
      <c r="J133" s="2">
        <v>76.0</v>
      </c>
      <c r="K133" s="3">
        <f t="shared" si="4"/>
        <v>0.1467181467</v>
      </c>
      <c r="L133" s="2">
        <v>65.0</v>
      </c>
      <c r="M133" s="3">
        <f t="shared" si="5"/>
        <v>0.5803571429</v>
      </c>
      <c r="N133" s="2">
        <v>578400.0</v>
      </c>
      <c r="O133" s="4">
        <f t="shared" si="6"/>
        <v>5164.285714</v>
      </c>
      <c r="P133" s="2">
        <v>0.0</v>
      </c>
      <c r="Q133" s="3">
        <f t="shared" si="7"/>
        <v>0</v>
      </c>
      <c r="R133" s="2">
        <v>48.0</v>
      </c>
      <c r="S133" s="5">
        <f t="shared" si="8"/>
        <v>1</v>
      </c>
    </row>
    <row r="134">
      <c r="A134" s="2" t="s">
        <v>150</v>
      </c>
      <c r="B134" s="2">
        <v>18.0</v>
      </c>
      <c r="C134" s="2">
        <v>214.0</v>
      </c>
      <c r="D134" s="2">
        <v>60.0</v>
      </c>
      <c r="E134" s="3">
        <f t="shared" si="1"/>
        <v>0.306122449</v>
      </c>
      <c r="F134" s="2">
        <v>37.0</v>
      </c>
      <c r="G134" s="3">
        <f t="shared" si="2"/>
        <v>0.1887755102</v>
      </c>
      <c r="H134" s="2">
        <v>33.0</v>
      </c>
      <c r="I134" s="3">
        <f t="shared" si="3"/>
        <v>0.1683673469</v>
      </c>
      <c r="J134" s="2">
        <v>37.0</v>
      </c>
      <c r="K134" s="3">
        <f t="shared" si="4"/>
        <v>0.1887755102</v>
      </c>
      <c r="L134" s="2">
        <v>16.0</v>
      </c>
      <c r="M134" s="3">
        <f t="shared" si="5"/>
        <v>0.4848484848</v>
      </c>
      <c r="N134" s="2">
        <v>190200.0</v>
      </c>
      <c r="O134" s="4">
        <f t="shared" si="6"/>
        <v>5763.636364</v>
      </c>
      <c r="P134" s="2">
        <v>0.0</v>
      </c>
      <c r="Q134" s="3">
        <f t="shared" si="7"/>
        <v>0</v>
      </c>
      <c r="R134" s="2">
        <v>0.0</v>
      </c>
      <c r="S134" s="5">
        <f t="shared" si="8"/>
        <v>0</v>
      </c>
    </row>
    <row r="135">
      <c r="A135" s="2" t="s">
        <v>151</v>
      </c>
      <c r="B135" s="2">
        <v>63.0</v>
      </c>
      <c r="C135" s="2">
        <v>684.0</v>
      </c>
      <c r="D135" s="2">
        <v>242.0</v>
      </c>
      <c r="E135" s="3">
        <f t="shared" si="1"/>
        <v>0.3896940419</v>
      </c>
      <c r="F135" s="2">
        <v>117.0</v>
      </c>
      <c r="G135" s="3">
        <f t="shared" si="2"/>
        <v>0.1884057971</v>
      </c>
      <c r="H135" s="2">
        <v>132.0</v>
      </c>
      <c r="I135" s="3">
        <f t="shared" si="3"/>
        <v>0.2125603865</v>
      </c>
      <c r="J135" s="2">
        <v>105.0</v>
      </c>
      <c r="K135" s="3">
        <f t="shared" si="4"/>
        <v>0.1690821256</v>
      </c>
      <c r="L135" s="2">
        <v>81.0</v>
      </c>
      <c r="M135" s="3">
        <f t="shared" si="5"/>
        <v>0.6136363636</v>
      </c>
      <c r="N135" s="2">
        <v>647900.0</v>
      </c>
      <c r="O135" s="4">
        <f t="shared" si="6"/>
        <v>4908.333333</v>
      </c>
      <c r="P135" s="2">
        <v>0.0</v>
      </c>
      <c r="Q135" s="3">
        <f t="shared" si="7"/>
        <v>0</v>
      </c>
      <c r="R135" s="2">
        <v>63.0</v>
      </c>
      <c r="S135" s="5">
        <f t="shared" si="8"/>
        <v>1</v>
      </c>
    </row>
    <row r="136">
      <c r="A136" s="2" t="s">
        <v>152</v>
      </c>
      <c r="B136" s="2">
        <v>29.0</v>
      </c>
      <c r="C136" s="2">
        <v>338.0</v>
      </c>
      <c r="D136" s="2">
        <v>118.0</v>
      </c>
      <c r="E136" s="3">
        <f t="shared" si="1"/>
        <v>0.3818770227</v>
      </c>
      <c r="F136" s="2">
        <v>58.0</v>
      </c>
      <c r="G136" s="3">
        <f t="shared" si="2"/>
        <v>0.1877022654</v>
      </c>
      <c r="H136" s="2">
        <v>63.0</v>
      </c>
      <c r="I136" s="3">
        <f t="shared" si="3"/>
        <v>0.2038834951</v>
      </c>
      <c r="J136" s="2">
        <v>68.0</v>
      </c>
      <c r="K136" s="3">
        <f t="shared" si="4"/>
        <v>0.2200647249</v>
      </c>
      <c r="L136" s="2">
        <v>29.0</v>
      </c>
      <c r="M136" s="3">
        <f t="shared" si="5"/>
        <v>0.4603174603</v>
      </c>
      <c r="N136" s="2">
        <v>305100.0</v>
      </c>
      <c r="O136" s="4">
        <f t="shared" si="6"/>
        <v>4842.857143</v>
      </c>
      <c r="P136" s="2">
        <v>0.0</v>
      </c>
      <c r="Q136" s="3">
        <f t="shared" si="7"/>
        <v>0</v>
      </c>
      <c r="R136" s="2">
        <v>29.0</v>
      </c>
      <c r="S136" s="5">
        <f t="shared" si="8"/>
        <v>1</v>
      </c>
    </row>
    <row r="137">
      <c r="A137" s="2" t="s">
        <v>153</v>
      </c>
      <c r="B137" s="2">
        <v>31.0</v>
      </c>
      <c r="C137" s="2">
        <v>356.0</v>
      </c>
      <c r="D137" s="2">
        <v>100.0</v>
      </c>
      <c r="E137" s="3">
        <f t="shared" si="1"/>
        <v>0.3076923077</v>
      </c>
      <c r="F137" s="2">
        <v>61.0</v>
      </c>
      <c r="G137" s="3">
        <f t="shared" si="2"/>
        <v>0.1876923077</v>
      </c>
      <c r="H137" s="2">
        <v>58.0</v>
      </c>
      <c r="I137" s="3">
        <f t="shared" si="3"/>
        <v>0.1784615385</v>
      </c>
      <c r="J137" s="2">
        <v>66.0</v>
      </c>
      <c r="K137" s="3">
        <f t="shared" si="4"/>
        <v>0.2030769231</v>
      </c>
      <c r="L137" s="2">
        <v>35.0</v>
      </c>
      <c r="M137" s="3">
        <f t="shared" si="5"/>
        <v>0.6034482759</v>
      </c>
      <c r="N137" s="2">
        <v>359900.0</v>
      </c>
      <c r="O137" s="4">
        <f t="shared" si="6"/>
        <v>6205.172414</v>
      </c>
      <c r="P137" s="2">
        <v>0.0</v>
      </c>
      <c r="Q137" s="3">
        <f t="shared" si="7"/>
        <v>0</v>
      </c>
      <c r="R137" s="2">
        <v>31.0</v>
      </c>
      <c r="S137" s="5">
        <f t="shared" si="8"/>
        <v>1</v>
      </c>
    </row>
    <row r="138">
      <c r="A138" s="2" t="s">
        <v>154</v>
      </c>
      <c r="B138" s="2">
        <v>2.0</v>
      </c>
      <c r="C138" s="2">
        <v>18.0</v>
      </c>
      <c r="D138" s="2">
        <v>8.0</v>
      </c>
      <c r="E138" s="3">
        <f t="shared" si="1"/>
        <v>0.5</v>
      </c>
      <c r="F138" s="2">
        <v>3.0</v>
      </c>
      <c r="G138" s="3">
        <f t="shared" si="2"/>
        <v>0.1875</v>
      </c>
      <c r="H138" s="2">
        <v>2.0</v>
      </c>
      <c r="I138" s="3">
        <f t="shared" si="3"/>
        <v>0.125</v>
      </c>
      <c r="J138" s="2">
        <v>3.0</v>
      </c>
      <c r="K138" s="3">
        <f t="shared" si="4"/>
        <v>0.1875</v>
      </c>
      <c r="L138" s="2">
        <v>1.0</v>
      </c>
      <c r="M138" s="3">
        <f t="shared" si="5"/>
        <v>0.5</v>
      </c>
      <c r="N138" s="2">
        <v>14000.0</v>
      </c>
      <c r="O138" s="4">
        <f t="shared" si="6"/>
        <v>7000</v>
      </c>
      <c r="P138" s="2">
        <v>0.0</v>
      </c>
      <c r="Q138" s="3">
        <f t="shared" si="7"/>
        <v>0</v>
      </c>
      <c r="R138" s="2">
        <v>0.0</v>
      </c>
      <c r="S138" s="5">
        <f t="shared" si="8"/>
        <v>0</v>
      </c>
    </row>
    <row r="139">
      <c r="A139" s="2" t="s">
        <v>155</v>
      </c>
      <c r="B139" s="2">
        <v>22.0</v>
      </c>
      <c r="C139" s="2">
        <v>262.0</v>
      </c>
      <c r="D139" s="2">
        <v>90.0</v>
      </c>
      <c r="E139" s="3">
        <f t="shared" si="1"/>
        <v>0.375</v>
      </c>
      <c r="F139" s="2">
        <v>45.0</v>
      </c>
      <c r="G139" s="3">
        <f t="shared" si="2"/>
        <v>0.1875</v>
      </c>
      <c r="H139" s="2">
        <v>45.0</v>
      </c>
      <c r="I139" s="3">
        <f t="shared" si="3"/>
        <v>0.1875</v>
      </c>
      <c r="J139" s="2">
        <v>41.0</v>
      </c>
      <c r="K139" s="3">
        <f t="shared" si="4"/>
        <v>0.1708333333</v>
      </c>
      <c r="L139" s="2">
        <v>21.0</v>
      </c>
      <c r="M139" s="3">
        <f t="shared" si="5"/>
        <v>0.4666666667</v>
      </c>
      <c r="N139" s="2">
        <v>236100.0</v>
      </c>
      <c r="O139" s="4">
        <f t="shared" si="6"/>
        <v>5246.666667</v>
      </c>
      <c r="P139" s="2">
        <v>0.0</v>
      </c>
      <c r="Q139" s="3">
        <f t="shared" si="7"/>
        <v>0</v>
      </c>
      <c r="R139" s="2">
        <v>22.0</v>
      </c>
      <c r="S139" s="5">
        <f t="shared" si="8"/>
        <v>1</v>
      </c>
    </row>
    <row r="140">
      <c r="A140" s="2" t="s">
        <v>156</v>
      </c>
      <c r="B140" s="2">
        <v>15.0</v>
      </c>
      <c r="C140" s="2">
        <v>170.0</v>
      </c>
      <c r="D140" s="2">
        <v>47.0</v>
      </c>
      <c r="E140" s="3">
        <f t="shared" si="1"/>
        <v>0.3032258065</v>
      </c>
      <c r="F140" s="2">
        <v>29.0</v>
      </c>
      <c r="G140" s="3">
        <f t="shared" si="2"/>
        <v>0.1870967742</v>
      </c>
      <c r="H140" s="2">
        <v>29.0</v>
      </c>
      <c r="I140" s="3">
        <f t="shared" si="3"/>
        <v>0.1870967742</v>
      </c>
      <c r="J140" s="2">
        <v>32.0</v>
      </c>
      <c r="K140" s="3">
        <f t="shared" si="4"/>
        <v>0.2064516129</v>
      </c>
      <c r="L140" s="2">
        <v>14.0</v>
      </c>
      <c r="M140" s="3">
        <f t="shared" si="5"/>
        <v>0.4827586207</v>
      </c>
      <c r="N140" s="2">
        <v>212100.0</v>
      </c>
      <c r="O140" s="4">
        <f t="shared" si="6"/>
        <v>7313.793103</v>
      </c>
      <c r="P140" s="2">
        <v>0.0</v>
      </c>
      <c r="Q140" s="3">
        <f t="shared" si="7"/>
        <v>0</v>
      </c>
      <c r="R140" s="2">
        <v>15.0</v>
      </c>
      <c r="S140" s="5">
        <f t="shared" si="8"/>
        <v>1</v>
      </c>
    </row>
    <row r="141">
      <c r="A141" s="2" t="s">
        <v>157</v>
      </c>
      <c r="B141" s="2">
        <v>52.0</v>
      </c>
      <c r="C141" s="2">
        <v>604.0</v>
      </c>
      <c r="D141" s="2">
        <v>237.0</v>
      </c>
      <c r="E141" s="3">
        <f t="shared" si="1"/>
        <v>0.4293478261</v>
      </c>
      <c r="F141" s="2">
        <v>103.0</v>
      </c>
      <c r="G141" s="3">
        <f t="shared" si="2"/>
        <v>0.1865942029</v>
      </c>
      <c r="H141" s="2">
        <v>130.0</v>
      </c>
      <c r="I141" s="3">
        <f t="shared" si="3"/>
        <v>0.2355072464</v>
      </c>
      <c r="J141" s="2">
        <v>94.0</v>
      </c>
      <c r="K141" s="3">
        <f t="shared" si="4"/>
        <v>0.1702898551</v>
      </c>
      <c r="L141" s="2">
        <v>80.0</v>
      </c>
      <c r="M141" s="3">
        <f t="shared" si="5"/>
        <v>0.6153846154</v>
      </c>
      <c r="N141" s="2">
        <v>602100.0</v>
      </c>
      <c r="O141" s="4">
        <f t="shared" si="6"/>
        <v>4631.538462</v>
      </c>
      <c r="P141" s="2">
        <v>0.0</v>
      </c>
      <c r="Q141" s="3">
        <f t="shared" si="7"/>
        <v>0</v>
      </c>
      <c r="R141" s="2">
        <v>52.0</v>
      </c>
      <c r="S141" s="5">
        <f t="shared" si="8"/>
        <v>1</v>
      </c>
    </row>
    <row r="142">
      <c r="A142" s="2" t="s">
        <v>158</v>
      </c>
      <c r="B142" s="2">
        <v>49.0</v>
      </c>
      <c r="C142" s="2">
        <v>580.0</v>
      </c>
      <c r="D142" s="2">
        <v>228.0</v>
      </c>
      <c r="E142" s="3">
        <f t="shared" si="1"/>
        <v>0.4293785311</v>
      </c>
      <c r="F142" s="2">
        <v>99.0</v>
      </c>
      <c r="G142" s="3">
        <f t="shared" si="2"/>
        <v>0.186440678</v>
      </c>
      <c r="H142" s="2">
        <v>124.0</v>
      </c>
      <c r="I142" s="3">
        <f t="shared" si="3"/>
        <v>0.2335216573</v>
      </c>
      <c r="J142" s="2">
        <v>108.0</v>
      </c>
      <c r="K142" s="3">
        <f t="shared" si="4"/>
        <v>0.2033898305</v>
      </c>
      <c r="L142" s="2">
        <v>69.0</v>
      </c>
      <c r="M142" s="3">
        <f t="shared" si="5"/>
        <v>0.5564516129</v>
      </c>
      <c r="N142" s="2">
        <v>732800.0</v>
      </c>
      <c r="O142" s="4">
        <f t="shared" si="6"/>
        <v>5909.677419</v>
      </c>
      <c r="P142" s="2">
        <v>0.0</v>
      </c>
      <c r="Q142" s="3">
        <f t="shared" si="7"/>
        <v>0</v>
      </c>
      <c r="R142" s="2">
        <v>0.0</v>
      </c>
      <c r="S142" s="5">
        <f t="shared" si="8"/>
        <v>0</v>
      </c>
    </row>
    <row r="143">
      <c r="A143" s="2" t="s">
        <v>159</v>
      </c>
      <c r="B143" s="2">
        <v>62.0</v>
      </c>
      <c r="C143" s="2">
        <v>695.0</v>
      </c>
      <c r="D143" s="2">
        <v>260.0</v>
      </c>
      <c r="E143" s="3">
        <f t="shared" si="1"/>
        <v>0.4107424961</v>
      </c>
      <c r="F143" s="2">
        <v>118.0</v>
      </c>
      <c r="G143" s="3">
        <f t="shared" si="2"/>
        <v>0.1864139021</v>
      </c>
      <c r="H143" s="2">
        <v>120.0</v>
      </c>
      <c r="I143" s="3">
        <f t="shared" si="3"/>
        <v>0.1895734597</v>
      </c>
      <c r="J143" s="2">
        <v>113.0</v>
      </c>
      <c r="K143" s="3">
        <f t="shared" si="4"/>
        <v>0.1785150079</v>
      </c>
      <c r="L143" s="2">
        <v>64.0</v>
      </c>
      <c r="M143" s="3">
        <f t="shared" si="5"/>
        <v>0.5333333333</v>
      </c>
      <c r="N143" s="2">
        <v>617500.0</v>
      </c>
      <c r="O143" s="4">
        <f t="shared" si="6"/>
        <v>5145.833333</v>
      </c>
      <c r="P143" s="2">
        <v>0.0</v>
      </c>
      <c r="Q143" s="3">
        <f t="shared" si="7"/>
        <v>0</v>
      </c>
      <c r="R143" s="2">
        <v>62.0</v>
      </c>
      <c r="S143" s="5">
        <f t="shared" si="8"/>
        <v>1</v>
      </c>
    </row>
    <row r="144">
      <c r="A144" s="2" t="s">
        <v>160</v>
      </c>
      <c r="B144" s="2">
        <v>10.0</v>
      </c>
      <c r="C144" s="2">
        <v>112.0</v>
      </c>
      <c r="D144" s="2">
        <v>43.0</v>
      </c>
      <c r="E144" s="3">
        <f t="shared" si="1"/>
        <v>0.4215686275</v>
      </c>
      <c r="F144" s="2">
        <v>19.0</v>
      </c>
      <c r="G144" s="3">
        <f t="shared" si="2"/>
        <v>0.1862745098</v>
      </c>
      <c r="H144" s="2">
        <v>23.0</v>
      </c>
      <c r="I144" s="3">
        <f t="shared" si="3"/>
        <v>0.2254901961</v>
      </c>
      <c r="J144" s="2">
        <v>20.0</v>
      </c>
      <c r="K144" s="3">
        <f t="shared" si="4"/>
        <v>0.1960784314</v>
      </c>
      <c r="L144" s="2">
        <v>13.0</v>
      </c>
      <c r="M144" s="3">
        <f t="shared" si="5"/>
        <v>0.5652173913</v>
      </c>
      <c r="N144" s="2">
        <v>136700.0</v>
      </c>
      <c r="O144" s="4">
        <f t="shared" si="6"/>
        <v>5943.478261</v>
      </c>
      <c r="P144" s="2">
        <v>0.0</v>
      </c>
      <c r="Q144" s="3">
        <f t="shared" si="7"/>
        <v>0</v>
      </c>
      <c r="R144" s="2">
        <v>10.0</v>
      </c>
      <c r="S144" s="5">
        <f t="shared" si="8"/>
        <v>1</v>
      </c>
    </row>
    <row r="145">
      <c r="A145" s="2" t="s">
        <v>161</v>
      </c>
      <c r="B145" s="2">
        <v>29.0</v>
      </c>
      <c r="C145" s="2">
        <v>335.0</v>
      </c>
      <c r="D145" s="2">
        <v>131.0</v>
      </c>
      <c r="E145" s="3">
        <f t="shared" si="1"/>
        <v>0.4281045752</v>
      </c>
      <c r="F145" s="2">
        <v>57.0</v>
      </c>
      <c r="G145" s="3">
        <f t="shared" si="2"/>
        <v>0.1862745098</v>
      </c>
      <c r="H145" s="2">
        <v>62.0</v>
      </c>
      <c r="I145" s="3">
        <f t="shared" si="3"/>
        <v>0.2026143791</v>
      </c>
      <c r="J145" s="2">
        <v>47.0</v>
      </c>
      <c r="K145" s="3">
        <f t="shared" si="4"/>
        <v>0.1535947712</v>
      </c>
      <c r="L145" s="2">
        <v>37.0</v>
      </c>
      <c r="M145" s="3">
        <f t="shared" si="5"/>
        <v>0.5967741935</v>
      </c>
      <c r="N145" s="2">
        <v>347500.0</v>
      </c>
      <c r="O145" s="4">
        <f t="shared" si="6"/>
        <v>5604.83871</v>
      </c>
      <c r="P145" s="2">
        <v>0.0</v>
      </c>
      <c r="Q145" s="3">
        <f t="shared" si="7"/>
        <v>0</v>
      </c>
      <c r="R145" s="2">
        <v>29.0</v>
      </c>
      <c r="S145" s="5">
        <f t="shared" si="8"/>
        <v>1</v>
      </c>
    </row>
    <row r="146">
      <c r="A146" s="2" t="s">
        <v>162</v>
      </c>
      <c r="B146" s="2">
        <v>16.0</v>
      </c>
      <c r="C146" s="2">
        <v>199.0</v>
      </c>
      <c r="D146" s="2">
        <v>56.0</v>
      </c>
      <c r="E146" s="3">
        <f t="shared" si="1"/>
        <v>0.306010929</v>
      </c>
      <c r="F146" s="2">
        <v>34.0</v>
      </c>
      <c r="G146" s="3">
        <f t="shared" si="2"/>
        <v>0.1857923497</v>
      </c>
      <c r="H146" s="2">
        <v>26.0</v>
      </c>
      <c r="I146" s="3">
        <f t="shared" si="3"/>
        <v>0.1420765027</v>
      </c>
      <c r="J146" s="2">
        <v>33.0</v>
      </c>
      <c r="K146" s="3">
        <f t="shared" si="4"/>
        <v>0.1803278689</v>
      </c>
      <c r="L146" s="2">
        <v>18.0</v>
      </c>
      <c r="M146" s="3">
        <f t="shared" si="5"/>
        <v>0.6923076923</v>
      </c>
      <c r="N146" s="2">
        <v>130300.0</v>
      </c>
      <c r="O146" s="4">
        <f t="shared" si="6"/>
        <v>5011.538462</v>
      </c>
      <c r="P146" s="2">
        <v>0.0</v>
      </c>
      <c r="Q146" s="3">
        <f t="shared" si="7"/>
        <v>0</v>
      </c>
      <c r="R146" s="2">
        <v>16.0</v>
      </c>
      <c r="S146" s="5">
        <f t="shared" si="8"/>
        <v>1</v>
      </c>
    </row>
    <row r="147">
      <c r="A147" s="2" t="s">
        <v>163</v>
      </c>
      <c r="B147" s="2">
        <v>15.0</v>
      </c>
      <c r="C147" s="2">
        <v>177.0</v>
      </c>
      <c r="D147" s="2">
        <v>53.0</v>
      </c>
      <c r="E147" s="3">
        <f t="shared" si="1"/>
        <v>0.3271604938</v>
      </c>
      <c r="F147" s="2">
        <v>30.0</v>
      </c>
      <c r="G147" s="3">
        <f t="shared" si="2"/>
        <v>0.1851851852</v>
      </c>
      <c r="H147" s="2">
        <v>36.0</v>
      </c>
      <c r="I147" s="3">
        <f t="shared" si="3"/>
        <v>0.2222222222</v>
      </c>
      <c r="J147" s="2">
        <v>34.0</v>
      </c>
      <c r="K147" s="3">
        <f t="shared" si="4"/>
        <v>0.2098765432</v>
      </c>
      <c r="L147" s="2">
        <v>22.0</v>
      </c>
      <c r="M147" s="3">
        <f t="shared" si="5"/>
        <v>0.6111111111</v>
      </c>
      <c r="N147" s="2">
        <v>206000.0</v>
      </c>
      <c r="O147" s="4">
        <f t="shared" si="6"/>
        <v>5722.222222</v>
      </c>
      <c r="P147" s="2">
        <v>0.0</v>
      </c>
      <c r="Q147" s="3">
        <f t="shared" si="7"/>
        <v>0</v>
      </c>
      <c r="R147" s="2">
        <v>15.0</v>
      </c>
      <c r="S147" s="5">
        <f t="shared" si="8"/>
        <v>1</v>
      </c>
    </row>
    <row r="148">
      <c r="A148" s="2" t="s">
        <v>164</v>
      </c>
      <c r="B148" s="2">
        <v>8.0</v>
      </c>
      <c r="C148" s="2">
        <v>89.0</v>
      </c>
      <c r="D148" s="2">
        <v>24.0</v>
      </c>
      <c r="E148" s="3">
        <f t="shared" si="1"/>
        <v>0.2962962963</v>
      </c>
      <c r="F148" s="2">
        <v>15.0</v>
      </c>
      <c r="G148" s="3">
        <f t="shared" si="2"/>
        <v>0.1851851852</v>
      </c>
      <c r="H148" s="2">
        <v>11.0</v>
      </c>
      <c r="I148" s="3">
        <f t="shared" si="3"/>
        <v>0.1358024691</v>
      </c>
      <c r="J148" s="2">
        <v>14.0</v>
      </c>
      <c r="K148" s="3">
        <f t="shared" si="4"/>
        <v>0.1728395062</v>
      </c>
      <c r="L148" s="2">
        <v>8.0</v>
      </c>
      <c r="M148" s="3">
        <f t="shared" si="5"/>
        <v>0.7272727273</v>
      </c>
      <c r="N148" s="2">
        <v>63300.0</v>
      </c>
      <c r="O148" s="4">
        <f t="shared" si="6"/>
        <v>5754.545455</v>
      </c>
      <c r="P148" s="2">
        <v>0.0</v>
      </c>
      <c r="Q148" s="3">
        <f t="shared" si="7"/>
        <v>0</v>
      </c>
      <c r="R148" s="2">
        <v>8.0</v>
      </c>
      <c r="S148" s="5">
        <f t="shared" si="8"/>
        <v>1</v>
      </c>
    </row>
    <row r="149">
      <c r="A149" s="2" t="s">
        <v>165</v>
      </c>
      <c r="B149" s="2">
        <v>51.0</v>
      </c>
      <c r="C149" s="2">
        <v>618.0</v>
      </c>
      <c r="D149" s="2">
        <v>186.0</v>
      </c>
      <c r="E149" s="3">
        <f t="shared" si="1"/>
        <v>0.328042328</v>
      </c>
      <c r="F149" s="2">
        <v>105.0</v>
      </c>
      <c r="G149" s="3">
        <f t="shared" si="2"/>
        <v>0.1851851852</v>
      </c>
      <c r="H149" s="2">
        <v>101.0</v>
      </c>
      <c r="I149" s="3">
        <f t="shared" si="3"/>
        <v>0.1781305115</v>
      </c>
      <c r="J149" s="2">
        <v>91.0</v>
      </c>
      <c r="K149" s="3">
        <f t="shared" si="4"/>
        <v>0.1604938272</v>
      </c>
      <c r="L149" s="2">
        <v>52.0</v>
      </c>
      <c r="M149" s="3">
        <f t="shared" si="5"/>
        <v>0.5148514851</v>
      </c>
      <c r="N149" s="2">
        <v>587800.0</v>
      </c>
      <c r="O149" s="4">
        <f t="shared" si="6"/>
        <v>5819.80198</v>
      </c>
      <c r="P149" s="2">
        <v>0.0</v>
      </c>
      <c r="Q149" s="3">
        <f t="shared" si="7"/>
        <v>0</v>
      </c>
      <c r="R149" s="2">
        <v>51.0</v>
      </c>
      <c r="S149" s="5">
        <f t="shared" si="8"/>
        <v>1</v>
      </c>
    </row>
    <row r="150">
      <c r="A150" s="2" t="s">
        <v>166</v>
      </c>
      <c r="B150" s="2">
        <v>5.0</v>
      </c>
      <c r="C150" s="2">
        <v>59.0</v>
      </c>
      <c r="D150" s="2">
        <v>12.0</v>
      </c>
      <c r="E150" s="3">
        <f t="shared" si="1"/>
        <v>0.2222222222</v>
      </c>
      <c r="F150" s="2">
        <v>10.0</v>
      </c>
      <c r="G150" s="3">
        <f t="shared" si="2"/>
        <v>0.1851851852</v>
      </c>
      <c r="H150" s="2">
        <v>9.0</v>
      </c>
      <c r="I150" s="3">
        <f t="shared" si="3"/>
        <v>0.1666666667</v>
      </c>
      <c r="J150" s="2">
        <v>7.0</v>
      </c>
      <c r="K150" s="3">
        <f t="shared" si="4"/>
        <v>0.1296296296</v>
      </c>
      <c r="L150" s="2">
        <v>6.0</v>
      </c>
      <c r="M150" s="3">
        <f t="shared" si="5"/>
        <v>0.6666666667</v>
      </c>
      <c r="N150" s="2">
        <v>51000.0</v>
      </c>
      <c r="O150" s="4">
        <f t="shared" si="6"/>
        <v>5666.666667</v>
      </c>
      <c r="P150" s="2">
        <v>0.0</v>
      </c>
      <c r="Q150" s="3">
        <f t="shared" si="7"/>
        <v>0</v>
      </c>
      <c r="R150" s="2">
        <v>5.0</v>
      </c>
      <c r="S150" s="5">
        <f t="shared" si="8"/>
        <v>1</v>
      </c>
    </row>
    <row r="151">
      <c r="A151" s="2" t="s">
        <v>167</v>
      </c>
      <c r="B151" s="2">
        <v>60.0</v>
      </c>
      <c r="C151" s="2">
        <v>698.0</v>
      </c>
      <c r="D151" s="2">
        <v>240.0</v>
      </c>
      <c r="E151" s="3">
        <f t="shared" si="1"/>
        <v>0.3761755486</v>
      </c>
      <c r="F151" s="2">
        <v>118.0</v>
      </c>
      <c r="G151" s="3">
        <f t="shared" si="2"/>
        <v>0.1849529781</v>
      </c>
      <c r="H151" s="2">
        <v>128.0</v>
      </c>
      <c r="I151" s="3">
        <f t="shared" si="3"/>
        <v>0.2006269592</v>
      </c>
      <c r="J151" s="2">
        <v>124.0</v>
      </c>
      <c r="K151" s="3">
        <f t="shared" si="4"/>
        <v>0.1943573668</v>
      </c>
      <c r="L151" s="2">
        <v>80.0</v>
      </c>
      <c r="M151" s="3">
        <f t="shared" si="5"/>
        <v>0.625</v>
      </c>
      <c r="N151" s="2">
        <v>660600.0</v>
      </c>
      <c r="O151" s="4">
        <f t="shared" si="6"/>
        <v>5160.9375</v>
      </c>
      <c r="P151" s="2">
        <v>0.0</v>
      </c>
      <c r="Q151" s="3">
        <f t="shared" si="7"/>
        <v>0</v>
      </c>
      <c r="R151" s="2">
        <v>0.0</v>
      </c>
      <c r="S151" s="5">
        <f t="shared" si="8"/>
        <v>0</v>
      </c>
    </row>
    <row r="152">
      <c r="A152" s="2" t="s">
        <v>168</v>
      </c>
      <c r="B152" s="2">
        <v>44.0</v>
      </c>
      <c r="C152" s="2">
        <v>526.0</v>
      </c>
      <c r="D152" s="2">
        <v>130.0</v>
      </c>
      <c r="E152" s="3">
        <f t="shared" si="1"/>
        <v>0.2697095436</v>
      </c>
      <c r="F152" s="2">
        <v>89.0</v>
      </c>
      <c r="G152" s="3">
        <f t="shared" si="2"/>
        <v>0.1846473029</v>
      </c>
      <c r="H152" s="2">
        <v>77.0</v>
      </c>
      <c r="I152" s="3">
        <f t="shared" si="3"/>
        <v>0.1597510373</v>
      </c>
      <c r="J152" s="2">
        <v>116.0</v>
      </c>
      <c r="K152" s="3">
        <f t="shared" si="4"/>
        <v>0.2406639004</v>
      </c>
      <c r="L152" s="2">
        <v>38.0</v>
      </c>
      <c r="M152" s="3">
        <f t="shared" si="5"/>
        <v>0.4935064935</v>
      </c>
      <c r="N152" s="2">
        <v>485400.0</v>
      </c>
      <c r="O152" s="4">
        <f t="shared" si="6"/>
        <v>6303.896104</v>
      </c>
      <c r="P152" s="2">
        <v>0.0</v>
      </c>
      <c r="Q152" s="3">
        <f t="shared" si="7"/>
        <v>0</v>
      </c>
      <c r="R152" s="2">
        <v>44.0</v>
      </c>
      <c r="S152" s="5">
        <f t="shared" si="8"/>
        <v>1</v>
      </c>
    </row>
    <row r="153">
      <c r="A153" s="2" t="s">
        <v>169</v>
      </c>
      <c r="B153" s="2">
        <v>26.0</v>
      </c>
      <c r="C153" s="2">
        <v>297.0</v>
      </c>
      <c r="D153" s="2">
        <v>88.0</v>
      </c>
      <c r="E153" s="3">
        <f t="shared" si="1"/>
        <v>0.3247232472</v>
      </c>
      <c r="F153" s="2">
        <v>50.0</v>
      </c>
      <c r="G153" s="3">
        <f t="shared" si="2"/>
        <v>0.184501845</v>
      </c>
      <c r="H153" s="2">
        <v>45.0</v>
      </c>
      <c r="I153" s="3">
        <f t="shared" si="3"/>
        <v>0.1660516605</v>
      </c>
      <c r="J153" s="2">
        <v>47.0</v>
      </c>
      <c r="K153" s="3">
        <f t="shared" si="4"/>
        <v>0.1734317343</v>
      </c>
      <c r="L153" s="2">
        <v>23.0</v>
      </c>
      <c r="M153" s="3">
        <f t="shared" si="5"/>
        <v>0.5111111111</v>
      </c>
      <c r="N153" s="2">
        <v>243300.0</v>
      </c>
      <c r="O153" s="4">
        <f t="shared" si="6"/>
        <v>5406.666667</v>
      </c>
      <c r="P153" s="2">
        <v>1.0</v>
      </c>
      <c r="Q153" s="3">
        <f t="shared" si="7"/>
        <v>0.03846153846</v>
      </c>
      <c r="R153" s="2">
        <v>0.0</v>
      </c>
      <c r="S153" s="5">
        <f t="shared" si="8"/>
        <v>0</v>
      </c>
    </row>
    <row r="154">
      <c r="A154" s="2" t="s">
        <v>170</v>
      </c>
      <c r="B154" s="2">
        <v>18.0</v>
      </c>
      <c r="C154" s="2">
        <v>224.0</v>
      </c>
      <c r="D154" s="2">
        <v>62.0</v>
      </c>
      <c r="E154" s="3">
        <f t="shared" si="1"/>
        <v>0.3009708738</v>
      </c>
      <c r="F154" s="2">
        <v>38.0</v>
      </c>
      <c r="G154" s="3">
        <f t="shared" si="2"/>
        <v>0.1844660194</v>
      </c>
      <c r="H154" s="2">
        <v>45.0</v>
      </c>
      <c r="I154" s="3">
        <f t="shared" si="3"/>
        <v>0.2184466019</v>
      </c>
      <c r="J154" s="2">
        <v>44.0</v>
      </c>
      <c r="K154" s="3">
        <f t="shared" si="4"/>
        <v>0.213592233</v>
      </c>
      <c r="L154" s="2">
        <v>29.0</v>
      </c>
      <c r="M154" s="3">
        <f t="shared" si="5"/>
        <v>0.6444444444</v>
      </c>
      <c r="N154" s="2">
        <v>239400.0</v>
      </c>
      <c r="O154" s="4">
        <f t="shared" si="6"/>
        <v>5320</v>
      </c>
      <c r="P154" s="2">
        <v>0.0</v>
      </c>
      <c r="Q154" s="3">
        <f t="shared" si="7"/>
        <v>0</v>
      </c>
      <c r="R154" s="2">
        <v>18.0</v>
      </c>
      <c r="S154" s="5">
        <f t="shared" si="8"/>
        <v>1</v>
      </c>
    </row>
    <row r="155">
      <c r="A155" s="2" t="s">
        <v>171</v>
      </c>
      <c r="B155" s="2">
        <v>122.0</v>
      </c>
      <c r="C155" s="2">
        <v>1375.0</v>
      </c>
      <c r="D155" s="2">
        <v>478.0</v>
      </c>
      <c r="E155" s="3">
        <f t="shared" si="1"/>
        <v>0.3814844374</v>
      </c>
      <c r="F155" s="2">
        <v>231.0</v>
      </c>
      <c r="G155" s="3">
        <f t="shared" si="2"/>
        <v>0.1843575419</v>
      </c>
      <c r="H155" s="2">
        <v>290.0</v>
      </c>
      <c r="I155" s="3">
        <f t="shared" si="3"/>
        <v>0.2314445331</v>
      </c>
      <c r="J155" s="2">
        <v>229.0</v>
      </c>
      <c r="K155" s="3">
        <f t="shared" si="4"/>
        <v>0.1827613727</v>
      </c>
      <c r="L155" s="2">
        <v>167.0</v>
      </c>
      <c r="M155" s="3">
        <f t="shared" si="5"/>
        <v>0.575862069</v>
      </c>
      <c r="N155" s="2">
        <v>1784600.0</v>
      </c>
      <c r="O155" s="4">
        <f t="shared" si="6"/>
        <v>6153.793103</v>
      </c>
      <c r="P155" s="2">
        <v>1.0</v>
      </c>
      <c r="Q155" s="3">
        <f t="shared" si="7"/>
        <v>0.008196721311</v>
      </c>
      <c r="R155" s="2">
        <v>122.0</v>
      </c>
      <c r="S155" s="5">
        <f t="shared" si="8"/>
        <v>1</v>
      </c>
    </row>
    <row r="156">
      <c r="A156" s="2" t="s">
        <v>172</v>
      </c>
      <c r="B156" s="2">
        <v>79.0</v>
      </c>
      <c r="C156" s="2">
        <v>921.0</v>
      </c>
      <c r="D156" s="2">
        <v>316.0</v>
      </c>
      <c r="E156" s="3">
        <f t="shared" si="1"/>
        <v>0.3752969121</v>
      </c>
      <c r="F156" s="2">
        <v>155.0</v>
      </c>
      <c r="G156" s="3">
        <f t="shared" si="2"/>
        <v>0.1840855107</v>
      </c>
      <c r="H156" s="2">
        <v>175.0</v>
      </c>
      <c r="I156" s="3">
        <f t="shared" si="3"/>
        <v>0.2078384798</v>
      </c>
      <c r="J156" s="2">
        <v>173.0</v>
      </c>
      <c r="K156" s="3">
        <f t="shared" si="4"/>
        <v>0.2054631829</v>
      </c>
      <c r="L156" s="2">
        <v>109.0</v>
      </c>
      <c r="M156" s="3">
        <f t="shared" si="5"/>
        <v>0.6228571429</v>
      </c>
      <c r="N156" s="2">
        <v>1053900.0</v>
      </c>
      <c r="O156" s="4">
        <f t="shared" si="6"/>
        <v>6022.285714</v>
      </c>
      <c r="P156" s="2">
        <v>0.0</v>
      </c>
      <c r="Q156" s="3">
        <f t="shared" si="7"/>
        <v>0</v>
      </c>
      <c r="R156" s="2">
        <v>79.0</v>
      </c>
      <c r="S156" s="5">
        <f t="shared" si="8"/>
        <v>1</v>
      </c>
    </row>
    <row r="157">
      <c r="A157" s="2" t="s">
        <v>173</v>
      </c>
      <c r="B157" s="2">
        <v>21.0</v>
      </c>
      <c r="C157" s="2">
        <v>244.0</v>
      </c>
      <c r="D157" s="2">
        <v>71.0</v>
      </c>
      <c r="E157" s="3">
        <f t="shared" si="1"/>
        <v>0.3183856502</v>
      </c>
      <c r="F157" s="2">
        <v>41.0</v>
      </c>
      <c r="G157" s="3">
        <f t="shared" si="2"/>
        <v>0.1838565022</v>
      </c>
      <c r="H157" s="2">
        <v>57.0</v>
      </c>
      <c r="I157" s="3">
        <f t="shared" si="3"/>
        <v>0.2556053812</v>
      </c>
      <c r="J157" s="2">
        <v>43.0</v>
      </c>
      <c r="K157" s="3">
        <f t="shared" si="4"/>
        <v>0.1928251121</v>
      </c>
      <c r="L157" s="2">
        <v>37.0</v>
      </c>
      <c r="M157" s="3">
        <f t="shared" si="5"/>
        <v>0.649122807</v>
      </c>
      <c r="N157" s="2">
        <v>280900.0</v>
      </c>
      <c r="O157" s="4">
        <f t="shared" si="6"/>
        <v>4928.070175</v>
      </c>
      <c r="P157" s="2">
        <v>0.0</v>
      </c>
      <c r="Q157" s="3">
        <f t="shared" si="7"/>
        <v>0</v>
      </c>
      <c r="R157" s="2">
        <v>21.0</v>
      </c>
      <c r="S157" s="5">
        <f t="shared" si="8"/>
        <v>1</v>
      </c>
    </row>
    <row r="158">
      <c r="A158" s="2" t="s">
        <v>174</v>
      </c>
      <c r="B158" s="2">
        <v>19.0</v>
      </c>
      <c r="C158" s="2">
        <v>215.0</v>
      </c>
      <c r="D158" s="2">
        <v>69.0</v>
      </c>
      <c r="E158" s="3">
        <f t="shared" si="1"/>
        <v>0.3520408163</v>
      </c>
      <c r="F158" s="2">
        <v>36.0</v>
      </c>
      <c r="G158" s="3">
        <f t="shared" si="2"/>
        <v>0.1836734694</v>
      </c>
      <c r="H158" s="2">
        <v>35.0</v>
      </c>
      <c r="I158" s="3">
        <f t="shared" si="3"/>
        <v>0.1785714286</v>
      </c>
      <c r="J158" s="2">
        <v>39.0</v>
      </c>
      <c r="K158" s="3">
        <f t="shared" si="4"/>
        <v>0.1989795918</v>
      </c>
      <c r="L158" s="2">
        <v>17.0</v>
      </c>
      <c r="M158" s="3">
        <f t="shared" si="5"/>
        <v>0.4857142857</v>
      </c>
      <c r="N158" s="2">
        <v>211500.0</v>
      </c>
      <c r="O158" s="4">
        <f t="shared" si="6"/>
        <v>6042.857143</v>
      </c>
      <c r="P158" s="2">
        <v>0.0</v>
      </c>
      <c r="Q158" s="3">
        <f t="shared" si="7"/>
        <v>0</v>
      </c>
      <c r="R158" s="2">
        <v>19.0</v>
      </c>
      <c r="S158" s="5">
        <f t="shared" si="8"/>
        <v>1</v>
      </c>
    </row>
    <row r="159">
      <c r="A159" s="2" t="s">
        <v>175</v>
      </c>
      <c r="B159" s="2">
        <v>55.0</v>
      </c>
      <c r="C159" s="2">
        <v>649.0</v>
      </c>
      <c r="D159" s="2">
        <v>267.0</v>
      </c>
      <c r="E159" s="3">
        <f t="shared" si="1"/>
        <v>0.4494949495</v>
      </c>
      <c r="F159" s="2">
        <v>109.0</v>
      </c>
      <c r="G159" s="3">
        <f t="shared" si="2"/>
        <v>0.1835016835</v>
      </c>
      <c r="H159" s="2">
        <v>119.0</v>
      </c>
      <c r="I159" s="3">
        <f t="shared" si="3"/>
        <v>0.2003367003</v>
      </c>
      <c r="J159" s="2">
        <v>112.0</v>
      </c>
      <c r="K159" s="3">
        <f t="shared" si="4"/>
        <v>0.1885521886</v>
      </c>
      <c r="L159" s="2">
        <v>65.0</v>
      </c>
      <c r="M159" s="3">
        <f t="shared" si="5"/>
        <v>0.5462184874</v>
      </c>
      <c r="N159" s="2">
        <v>659000.0</v>
      </c>
      <c r="O159" s="4">
        <f t="shared" si="6"/>
        <v>5537.815126</v>
      </c>
      <c r="P159" s="2">
        <v>0.0</v>
      </c>
      <c r="Q159" s="3">
        <f t="shared" si="7"/>
        <v>0</v>
      </c>
      <c r="R159" s="2">
        <v>1.0</v>
      </c>
      <c r="S159" s="5">
        <f t="shared" si="8"/>
        <v>0.01818181818</v>
      </c>
    </row>
    <row r="160">
      <c r="A160" s="2" t="s">
        <v>176</v>
      </c>
      <c r="B160" s="2">
        <v>99.0</v>
      </c>
      <c r="C160" s="2">
        <v>1168.0</v>
      </c>
      <c r="D160" s="2">
        <v>358.0</v>
      </c>
      <c r="E160" s="3">
        <f t="shared" si="1"/>
        <v>0.3348924228</v>
      </c>
      <c r="F160" s="2">
        <v>196.0</v>
      </c>
      <c r="G160" s="3">
        <f t="shared" si="2"/>
        <v>0.1833489242</v>
      </c>
      <c r="H160" s="2">
        <v>209.0</v>
      </c>
      <c r="I160" s="3">
        <f t="shared" si="3"/>
        <v>0.1955098223</v>
      </c>
      <c r="J160" s="2">
        <v>165.0</v>
      </c>
      <c r="K160" s="3">
        <f t="shared" si="4"/>
        <v>0.1543498597</v>
      </c>
      <c r="L160" s="2">
        <v>131.0</v>
      </c>
      <c r="M160" s="3">
        <f t="shared" si="5"/>
        <v>0.6267942584</v>
      </c>
      <c r="N160" s="2">
        <v>1371200.0</v>
      </c>
      <c r="O160" s="4">
        <f t="shared" si="6"/>
        <v>6560.76555</v>
      </c>
      <c r="P160" s="2">
        <v>1.0</v>
      </c>
      <c r="Q160" s="3">
        <f t="shared" si="7"/>
        <v>0.0101010101</v>
      </c>
      <c r="R160" s="2">
        <v>99.0</v>
      </c>
      <c r="S160" s="5">
        <f t="shared" si="8"/>
        <v>1</v>
      </c>
    </row>
    <row r="161">
      <c r="A161" s="2" t="s">
        <v>177</v>
      </c>
      <c r="B161" s="2">
        <v>7.0</v>
      </c>
      <c r="C161" s="2">
        <v>78.0</v>
      </c>
      <c r="D161" s="2">
        <v>34.0</v>
      </c>
      <c r="E161" s="3">
        <f t="shared" si="1"/>
        <v>0.4788732394</v>
      </c>
      <c r="F161" s="2">
        <v>13.0</v>
      </c>
      <c r="G161" s="3">
        <f t="shared" si="2"/>
        <v>0.1830985915</v>
      </c>
      <c r="H161" s="2">
        <v>12.0</v>
      </c>
      <c r="I161" s="3">
        <f t="shared" si="3"/>
        <v>0.1690140845</v>
      </c>
      <c r="J161" s="2">
        <v>12.0</v>
      </c>
      <c r="K161" s="3">
        <f t="shared" si="4"/>
        <v>0.1690140845</v>
      </c>
      <c r="L161" s="2">
        <v>7.0</v>
      </c>
      <c r="M161" s="3">
        <f t="shared" si="5"/>
        <v>0.5833333333</v>
      </c>
      <c r="N161" s="2">
        <v>49600.0</v>
      </c>
      <c r="O161" s="4">
        <f t="shared" si="6"/>
        <v>4133.333333</v>
      </c>
      <c r="P161" s="2">
        <v>0.0</v>
      </c>
      <c r="Q161" s="3">
        <f t="shared" si="7"/>
        <v>0</v>
      </c>
      <c r="R161" s="2">
        <v>7.0</v>
      </c>
      <c r="S161" s="5">
        <f t="shared" si="8"/>
        <v>1</v>
      </c>
    </row>
    <row r="162">
      <c r="A162" s="2" t="s">
        <v>178</v>
      </c>
      <c r="B162" s="2">
        <v>50.0</v>
      </c>
      <c r="C162" s="2">
        <v>569.0</v>
      </c>
      <c r="D162" s="2">
        <v>169.0</v>
      </c>
      <c r="E162" s="3">
        <f t="shared" si="1"/>
        <v>0.3256262042</v>
      </c>
      <c r="F162" s="2">
        <v>95.0</v>
      </c>
      <c r="G162" s="3">
        <f t="shared" si="2"/>
        <v>0.183044316</v>
      </c>
      <c r="H162" s="2">
        <v>90.0</v>
      </c>
      <c r="I162" s="3">
        <f t="shared" si="3"/>
        <v>0.1734104046</v>
      </c>
      <c r="J162" s="2">
        <v>64.0</v>
      </c>
      <c r="K162" s="3">
        <f t="shared" si="4"/>
        <v>0.1233140655</v>
      </c>
      <c r="L162" s="2">
        <v>56.0</v>
      </c>
      <c r="M162" s="3">
        <f t="shared" si="5"/>
        <v>0.6222222222</v>
      </c>
      <c r="N162" s="2">
        <v>513700.0</v>
      </c>
      <c r="O162" s="4">
        <f t="shared" si="6"/>
        <v>5707.777778</v>
      </c>
      <c r="P162" s="2">
        <v>0.0</v>
      </c>
      <c r="Q162" s="3">
        <f t="shared" si="7"/>
        <v>0</v>
      </c>
      <c r="R162" s="2">
        <v>50.0</v>
      </c>
      <c r="S162" s="5">
        <f t="shared" si="8"/>
        <v>1</v>
      </c>
    </row>
    <row r="163">
      <c r="A163" s="2" t="s">
        <v>179</v>
      </c>
      <c r="B163" s="2">
        <v>73.0</v>
      </c>
      <c r="C163" s="2">
        <v>827.0</v>
      </c>
      <c r="D163" s="2">
        <v>340.0</v>
      </c>
      <c r="E163" s="3">
        <f t="shared" si="1"/>
        <v>0.450928382</v>
      </c>
      <c r="F163" s="2">
        <v>138.0</v>
      </c>
      <c r="G163" s="3">
        <f t="shared" si="2"/>
        <v>0.1830238727</v>
      </c>
      <c r="H163" s="2">
        <v>161.0</v>
      </c>
      <c r="I163" s="3">
        <f t="shared" si="3"/>
        <v>0.2135278515</v>
      </c>
      <c r="J163" s="2">
        <v>117.0</v>
      </c>
      <c r="K163" s="3">
        <f t="shared" si="4"/>
        <v>0.1551724138</v>
      </c>
      <c r="L163" s="2">
        <v>107.0</v>
      </c>
      <c r="M163" s="3">
        <f t="shared" si="5"/>
        <v>0.6645962733</v>
      </c>
      <c r="N163" s="2">
        <v>874400.0</v>
      </c>
      <c r="O163" s="4">
        <f t="shared" si="6"/>
        <v>5431.055901</v>
      </c>
      <c r="P163" s="2">
        <v>0.0</v>
      </c>
      <c r="Q163" s="3">
        <f t="shared" si="7"/>
        <v>0</v>
      </c>
      <c r="R163" s="2">
        <v>73.0</v>
      </c>
      <c r="S163" s="5">
        <f t="shared" si="8"/>
        <v>1</v>
      </c>
    </row>
    <row r="164">
      <c r="A164" s="2" t="s">
        <v>180</v>
      </c>
      <c r="B164" s="2">
        <v>8.0</v>
      </c>
      <c r="C164" s="2">
        <v>90.0</v>
      </c>
      <c r="D164" s="2">
        <v>26.0</v>
      </c>
      <c r="E164" s="3">
        <f t="shared" si="1"/>
        <v>0.3170731707</v>
      </c>
      <c r="F164" s="2">
        <v>15.0</v>
      </c>
      <c r="G164" s="3">
        <f t="shared" si="2"/>
        <v>0.1829268293</v>
      </c>
      <c r="H164" s="2">
        <v>15.0</v>
      </c>
      <c r="I164" s="3">
        <f t="shared" si="3"/>
        <v>0.1829268293</v>
      </c>
      <c r="J164" s="2">
        <v>14.0</v>
      </c>
      <c r="K164" s="3">
        <f t="shared" si="4"/>
        <v>0.1707317073</v>
      </c>
      <c r="L164" s="2">
        <v>9.0</v>
      </c>
      <c r="M164" s="3">
        <f t="shared" si="5"/>
        <v>0.6</v>
      </c>
      <c r="N164" s="2">
        <v>97400.0</v>
      </c>
      <c r="O164" s="4">
        <f t="shared" si="6"/>
        <v>6493.333333</v>
      </c>
      <c r="P164" s="2">
        <v>0.0</v>
      </c>
      <c r="Q164" s="3">
        <f t="shared" si="7"/>
        <v>0</v>
      </c>
      <c r="R164" s="2">
        <v>8.0</v>
      </c>
      <c r="S164" s="5">
        <f t="shared" si="8"/>
        <v>1</v>
      </c>
    </row>
    <row r="165">
      <c r="A165" s="2" t="s">
        <v>181</v>
      </c>
      <c r="B165" s="2">
        <v>71.0</v>
      </c>
      <c r="C165" s="2">
        <v>837.0</v>
      </c>
      <c r="D165" s="2">
        <v>253.0</v>
      </c>
      <c r="E165" s="3">
        <f t="shared" si="1"/>
        <v>0.3302872063</v>
      </c>
      <c r="F165" s="2">
        <v>140.0</v>
      </c>
      <c r="G165" s="3">
        <f t="shared" si="2"/>
        <v>0.182767624</v>
      </c>
      <c r="H165" s="2">
        <v>149.0</v>
      </c>
      <c r="I165" s="3">
        <f t="shared" si="3"/>
        <v>0.1945169713</v>
      </c>
      <c r="J165" s="2">
        <v>122.0</v>
      </c>
      <c r="K165" s="3">
        <f t="shared" si="4"/>
        <v>0.1592689295</v>
      </c>
      <c r="L165" s="2">
        <v>86.0</v>
      </c>
      <c r="M165" s="3">
        <f t="shared" si="5"/>
        <v>0.5771812081</v>
      </c>
      <c r="N165" s="2">
        <v>901800.0</v>
      </c>
      <c r="O165" s="4">
        <f t="shared" si="6"/>
        <v>6052.348993</v>
      </c>
      <c r="P165" s="2">
        <v>0.0</v>
      </c>
      <c r="Q165" s="3">
        <f t="shared" si="7"/>
        <v>0</v>
      </c>
      <c r="R165" s="2">
        <v>71.0</v>
      </c>
      <c r="S165" s="5">
        <f t="shared" si="8"/>
        <v>1</v>
      </c>
    </row>
    <row r="166">
      <c r="A166" s="2" t="s">
        <v>182</v>
      </c>
      <c r="B166" s="2">
        <v>11.0</v>
      </c>
      <c r="C166" s="2">
        <v>126.0</v>
      </c>
      <c r="D166" s="2">
        <v>37.0</v>
      </c>
      <c r="E166" s="3">
        <f t="shared" si="1"/>
        <v>0.3217391304</v>
      </c>
      <c r="F166" s="2">
        <v>21.0</v>
      </c>
      <c r="G166" s="3">
        <f t="shared" si="2"/>
        <v>0.1826086957</v>
      </c>
      <c r="H166" s="2">
        <v>20.0</v>
      </c>
      <c r="I166" s="3">
        <f t="shared" si="3"/>
        <v>0.1739130435</v>
      </c>
      <c r="J166" s="2">
        <v>16.0</v>
      </c>
      <c r="K166" s="3">
        <f t="shared" si="4"/>
        <v>0.1391304348</v>
      </c>
      <c r="L166" s="2">
        <v>10.0</v>
      </c>
      <c r="M166" s="3">
        <f t="shared" si="5"/>
        <v>0.5</v>
      </c>
      <c r="N166" s="2">
        <v>91000.0</v>
      </c>
      <c r="O166" s="4">
        <f t="shared" si="6"/>
        <v>4550</v>
      </c>
      <c r="P166" s="2">
        <v>0.0</v>
      </c>
      <c r="Q166" s="3">
        <f t="shared" si="7"/>
        <v>0</v>
      </c>
      <c r="R166" s="2">
        <v>0.0</v>
      </c>
      <c r="S166" s="5">
        <f t="shared" si="8"/>
        <v>0</v>
      </c>
    </row>
    <row r="167">
      <c r="A167" s="2" t="s">
        <v>183</v>
      </c>
      <c r="B167" s="2">
        <v>11.0</v>
      </c>
      <c r="C167" s="2">
        <v>137.0</v>
      </c>
      <c r="D167" s="2">
        <v>43.0</v>
      </c>
      <c r="E167" s="3">
        <f t="shared" si="1"/>
        <v>0.3412698413</v>
      </c>
      <c r="F167" s="2">
        <v>23.0</v>
      </c>
      <c r="G167" s="3">
        <f t="shared" si="2"/>
        <v>0.1825396825</v>
      </c>
      <c r="H167" s="2">
        <v>18.0</v>
      </c>
      <c r="I167" s="3">
        <f t="shared" si="3"/>
        <v>0.1428571429</v>
      </c>
      <c r="J167" s="2">
        <v>17.0</v>
      </c>
      <c r="K167" s="3">
        <f t="shared" si="4"/>
        <v>0.1349206349</v>
      </c>
      <c r="L167" s="2">
        <v>5.0</v>
      </c>
      <c r="M167" s="3">
        <f t="shared" si="5"/>
        <v>0.2777777778</v>
      </c>
      <c r="N167" s="2">
        <v>106300.0</v>
      </c>
      <c r="O167" s="4">
        <f t="shared" si="6"/>
        <v>5905.555556</v>
      </c>
      <c r="P167" s="2">
        <v>0.0</v>
      </c>
      <c r="Q167" s="3">
        <f t="shared" si="7"/>
        <v>0</v>
      </c>
      <c r="R167" s="2">
        <v>11.0</v>
      </c>
      <c r="S167" s="5">
        <f t="shared" si="8"/>
        <v>1</v>
      </c>
    </row>
    <row r="168">
      <c r="A168" s="2" t="s">
        <v>184</v>
      </c>
      <c r="B168" s="2">
        <v>63.0</v>
      </c>
      <c r="C168" s="2">
        <v>721.0</v>
      </c>
      <c r="D168" s="2">
        <v>229.0</v>
      </c>
      <c r="E168" s="3">
        <f t="shared" si="1"/>
        <v>0.3480243161</v>
      </c>
      <c r="F168" s="2">
        <v>120.0</v>
      </c>
      <c r="G168" s="3">
        <f t="shared" si="2"/>
        <v>0.1823708207</v>
      </c>
      <c r="H168" s="2">
        <v>136.0</v>
      </c>
      <c r="I168" s="3">
        <f t="shared" si="3"/>
        <v>0.2066869301</v>
      </c>
      <c r="J168" s="2">
        <v>122.0</v>
      </c>
      <c r="K168" s="3">
        <f t="shared" si="4"/>
        <v>0.1854103343</v>
      </c>
      <c r="L168" s="2">
        <v>89.0</v>
      </c>
      <c r="M168" s="3">
        <f t="shared" si="5"/>
        <v>0.6544117647</v>
      </c>
      <c r="N168" s="2">
        <v>689900.0</v>
      </c>
      <c r="O168" s="4">
        <f t="shared" si="6"/>
        <v>5072.794118</v>
      </c>
      <c r="P168" s="2">
        <v>0.0</v>
      </c>
      <c r="Q168" s="3">
        <f t="shared" si="7"/>
        <v>0</v>
      </c>
      <c r="R168" s="2">
        <v>63.0</v>
      </c>
      <c r="S168" s="5">
        <f t="shared" si="8"/>
        <v>1</v>
      </c>
    </row>
    <row r="169">
      <c r="A169" s="2" t="s">
        <v>185</v>
      </c>
      <c r="B169" s="2">
        <v>16.0</v>
      </c>
      <c r="C169" s="2">
        <v>197.0</v>
      </c>
      <c r="D169" s="2">
        <v>63.0</v>
      </c>
      <c r="E169" s="3">
        <f t="shared" si="1"/>
        <v>0.3480662983</v>
      </c>
      <c r="F169" s="2">
        <v>33.0</v>
      </c>
      <c r="G169" s="3">
        <f t="shared" si="2"/>
        <v>0.182320442</v>
      </c>
      <c r="H169" s="2">
        <v>33.0</v>
      </c>
      <c r="I169" s="3">
        <f t="shared" si="3"/>
        <v>0.182320442</v>
      </c>
      <c r="J169" s="2">
        <v>34.0</v>
      </c>
      <c r="K169" s="3">
        <f t="shared" si="4"/>
        <v>0.1878453039</v>
      </c>
      <c r="L169" s="2">
        <v>23.0</v>
      </c>
      <c r="M169" s="3">
        <f t="shared" si="5"/>
        <v>0.696969697</v>
      </c>
      <c r="N169" s="2">
        <v>175600.0</v>
      </c>
      <c r="O169" s="4">
        <f t="shared" si="6"/>
        <v>5321.212121</v>
      </c>
      <c r="P169" s="2">
        <v>0.0</v>
      </c>
      <c r="Q169" s="3">
        <f t="shared" si="7"/>
        <v>0</v>
      </c>
      <c r="R169" s="2">
        <v>16.0</v>
      </c>
      <c r="S169" s="5">
        <f t="shared" si="8"/>
        <v>1</v>
      </c>
    </row>
    <row r="170">
      <c r="A170" s="2" t="s">
        <v>186</v>
      </c>
      <c r="B170" s="2">
        <v>54.0</v>
      </c>
      <c r="C170" s="2">
        <v>625.0</v>
      </c>
      <c r="D170" s="2">
        <v>201.0</v>
      </c>
      <c r="E170" s="3">
        <f t="shared" si="1"/>
        <v>0.3520140105</v>
      </c>
      <c r="F170" s="2">
        <v>104.0</v>
      </c>
      <c r="G170" s="3">
        <f t="shared" si="2"/>
        <v>0.1821366025</v>
      </c>
      <c r="H170" s="2">
        <v>109.0</v>
      </c>
      <c r="I170" s="3">
        <f t="shared" si="3"/>
        <v>0.1908931699</v>
      </c>
      <c r="J170" s="2">
        <v>98.0</v>
      </c>
      <c r="K170" s="3">
        <f t="shared" si="4"/>
        <v>0.1716287215</v>
      </c>
      <c r="L170" s="2">
        <v>58.0</v>
      </c>
      <c r="M170" s="3">
        <f t="shared" si="5"/>
        <v>0.5321100917</v>
      </c>
      <c r="N170" s="2">
        <v>631000.0</v>
      </c>
      <c r="O170" s="4">
        <f t="shared" si="6"/>
        <v>5788.990826</v>
      </c>
      <c r="P170" s="2">
        <v>0.0</v>
      </c>
      <c r="Q170" s="3">
        <f t="shared" si="7"/>
        <v>0</v>
      </c>
      <c r="R170" s="2">
        <v>0.0</v>
      </c>
      <c r="S170" s="5">
        <f t="shared" si="8"/>
        <v>0</v>
      </c>
    </row>
    <row r="171">
      <c r="A171" s="2" t="s">
        <v>187</v>
      </c>
      <c r="B171" s="2">
        <v>1.0</v>
      </c>
      <c r="C171" s="2">
        <v>12.0</v>
      </c>
      <c r="D171" s="2">
        <v>4.0</v>
      </c>
      <c r="E171" s="3">
        <f t="shared" si="1"/>
        <v>0.3636363636</v>
      </c>
      <c r="F171" s="2">
        <v>2.0</v>
      </c>
      <c r="G171" s="3">
        <f t="shared" si="2"/>
        <v>0.1818181818</v>
      </c>
      <c r="H171" s="2">
        <v>5.0</v>
      </c>
      <c r="I171" s="3">
        <f t="shared" si="3"/>
        <v>0.4545454545</v>
      </c>
      <c r="J171" s="2">
        <v>3.0</v>
      </c>
      <c r="K171" s="3">
        <f t="shared" si="4"/>
        <v>0.2727272727</v>
      </c>
      <c r="L171" s="2">
        <v>2.0</v>
      </c>
      <c r="M171" s="3">
        <f t="shared" si="5"/>
        <v>0.4</v>
      </c>
      <c r="N171" s="2">
        <v>21200.0</v>
      </c>
      <c r="O171" s="4">
        <f t="shared" si="6"/>
        <v>4240</v>
      </c>
      <c r="P171" s="2">
        <v>0.0</v>
      </c>
      <c r="Q171" s="3">
        <f t="shared" si="7"/>
        <v>0</v>
      </c>
      <c r="R171" s="2">
        <v>0.0</v>
      </c>
      <c r="S171" s="5">
        <f t="shared" si="8"/>
        <v>0</v>
      </c>
    </row>
    <row r="172">
      <c r="A172" s="2" t="s">
        <v>188</v>
      </c>
      <c r="B172" s="2">
        <v>1.0</v>
      </c>
      <c r="C172" s="2">
        <v>12.0</v>
      </c>
      <c r="D172" s="2">
        <v>1.0</v>
      </c>
      <c r="E172" s="3">
        <f t="shared" si="1"/>
        <v>0.09090909091</v>
      </c>
      <c r="F172" s="2">
        <v>2.0</v>
      </c>
      <c r="G172" s="3">
        <f t="shared" si="2"/>
        <v>0.1818181818</v>
      </c>
      <c r="H172" s="2">
        <v>2.0</v>
      </c>
      <c r="I172" s="3">
        <f t="shared" si="3"/>
        <v>0.1818181818</v>
      </c>
      <c r="J172" s="2">
        <v>3.0</v>
      </c>
      <c r="K172" s="3">
        <f t="shared" si="4"/>
        <v>0.2727272727</v>
      </c>
      <c r="L172" s="2">
        <v>1.0</v>
      </c>
      <c r="M172" s="3">
        <f t="shared" si="5"/>
        <v>0.5</v>
      </c>
      <c r="N172" s="2">
        <v>6500.0</v>
      </c>
      <c r="O172" s="4">
        <f t="shared" si="6"/>
        <v>3250</v>
      </c>
      <c r="P172" s="2">
        <v>0.0</v>
      </c>
      <c r="Q172" s="3">
        <f t="shared" si="7"/>
        <v>0</v>
      </c>
      <c r="R172" s="2">
        <v>1.0</v>
      </c>
      <c r="S172" s="5">
        <f t="shared" si="8"/>
        <v>1</v>
      </c>
    </row>
    <row r="173">
      <c r="A173" s="2" t="s">
        <v>189</v>
      </c>
      <c r="B173" s="2">
        <v>4.0</v>
      </c>
      <c r="C173" s="2">
        <v>48.0</v>
      </c>
      <c r="D173" s="2">
        <v>13.0</v>
      </c>
      <c r="E173" s="3">
        <f t="shared" si="1"/>
        <v>0.2954545455</v>
      </c>
      <c r="F173" s="2">
        <v>8.0</v>
      </c>
      <c r="G173" s="3">
        <f t="shared" si="2"/>
        <v>0.1818181818</v>
      </c>
      <c r="H173" s="2">
        <v>6.0</v>
      </c>
      <c r="I173" s="3">
        <f t="shared" si="3"/>
        <v>0.1363636364</v>
      </c>
      <c r="J173" s="2">
        <v>12.0</v>
      </c>
      <c r="K173" s="3">
        <f t="shared" si="4"/>
        <v>0.2727272727</v>
      </c>
      <c r="L173" s="2">
        <v>3.0</v>
      </c>
      <c r="M173" s="3">
        <f t="shared" si="5"/>
        <v>0.5</v>
      </c>
      <c r="N173" s="2">
        <v>40100.0</v>
      </c>
      <c r="O173" s="4">
        <f t="shared" si="6"/>
        <v>6683.333333</v>
      </c>
      <c r="P173" s="2">
        <v>0.0</v>
      </c>
      <c r="Q173" s="3">
        <f t="shared" si="7"/>
        <v>0</v>
      </c>
      <c r="R173" s="2">
        <v>4.0</v>
      </c>
      <c r="S173" s="5">
        <f t="shared" si="8"/>
        <v>1</v>
      </c>
    </row>
    <row r="174">
      <c r="A174" s="2" t="s">
        <v>190</v>
      </c>
      <c r="B174" s="2">
        <v>1.0</v>
      </c>
      <c r="C174" s="2">
        <v>12.0</v>
      </c>
      <c r="D174" s="2">
        <v>3.0</v>
      </c>
      <c r="E174" s="3">
        <f t="shared" si="1"/>
        <v>0.2727272727</v>
      </c>
      <c r="F174" s="2">
        <v>2.0</v>
      </c>
      <c r="G174" s="3">
        <f t="shared" si="2"/>
        <v>0.1818181818</v>
      </c>
      <c r="H174" s="2">
        <v>1.0</v>
      </c>
      <c r="I174" s="3">
        <f t="shared" si="3"/>
        <v>0.09090909091</v>
      </c>
      <c r="J174" s="2">
        <v>3.0</v>
      </c>
      <c r="K174" s="3">
        <f t="shared" si="4"/>
        <v>0.2727272727</v>
      </c>
      <c r="L174" s="2">
        <v>0.0</v>
      </c>
      <c r="M174" s="3">
        <f t="shared" si="5"/>
        <v>0</v>
      </c>
      <c r="N174" s="2">
        <v>8000.0</v>
      </c>
      <c r="O174" s="4">
        <f t="shared" si="6"/>
        <v>8000</v>
      </c>
      <c r="P174" s="2">
        <v>0.0</v>
      </c>
      <c r="Q174" s="3">
        <f t="shared" si="7"/>
        <v>0</v>
      </c>
      <c r="R174" s="2">
        <v>1.0</v>
      </c>
      <c r="S174" s="5">
        <f t="shared" si="8"/>
        <v>1</v>
      </c>
    </row>
    <row r="175">
      <c r="A175" s="2" t="s">
        <v>191</v>
      </c>
      <c r="B175" s="2">
        <v>14.0</v>
      </c>
      <c r="C175" s="2">
        <v>157.0</v>
      </c>
      <c r="D175" s="2">
        <v>47.0</v>
      </c>
      <c r="E175" s="3">
        <f t="shared" si="1"/>
        <v>0.3286713287</v>
      </c>
      <c r="F175" s="2">
        <v>26.0</v>
      </c>
      <c r="G175" s="3">
        <f t="shared" si="2"/>
        <v>0.1818181818</v>
      </c>
      <c r="H175" s="2">
        <v>27.0</v>
      </c>
      <c r="I175" s="3">
        <f t="shared" si="3"/>
        <v>0.1888111888</v>
      </c>
      <c r="J175" s="2">
        <v>26.0</v>
      </c>
      <c r="K175" s="3">
        <f t="shared" si="4"/>
        <v>0.1818181818</v>
      </c>
      <c r="L175" s="2">
        <v>19.0</v>
      </c>
      <c r="M175" s="3">
        <f t="shared" si="5"/>
        <v>0.7037037037</v>
      </c>
      <c r="N175" s="2">
        <v>148500.0</v>
      </c>
      <c r="O175" s="4">
        <f t="shared" si="6"/>
        <v>5500</v>
      </c>
      <c r="P175" s="2">
        <v>0.0</v>
      </c>
      <c r="Q175" s="3">
        <f t="shared" si="7"/>
        <v>0</v>
      </c>
      <c r="R175" s="2">
        <v>14.0</v>
      </c>
      <c r="S175" s="5">
        <f t="shared" si="8"/>
        <v>1</v>
      </c>
    </row>
    <row r="176">
      <c r="A176" s="2" t="s">
        <v>192</v>
      </c>
      <c r="B176" s="2">
        <v>1.0</v>
      </c>
      <c r="C176" s="2">
        <v>12.0</v>
      </c>
      <c r="D176" s="2">
        <v>2.0</v>
      </c>
      <c r="E176" s="3">
        <f t="shared" si="1"/>
        <v>0.1818181818</v>
      </c>
      <c r="F176" s="2">
        <v>2.0</v>
      </c>
      <c r="G176" s="3">
        <f t="shared" si="2"/>
        <v>0.1818181818</v>
      </c>
      <c r="H176" s="2">
        <v>2.0</v>
      </c>
      <c r="I176" s="3">
        <f t="shared" si="3"/>
        <v>0.1818181818</v>
      </c>
      <c r="J176" s="2">
        <v>2.0</v>
      </c>
      <c r="K176" s="3">
        <f t="shared" si="4"/>
        <v>0.1818181818</v>
      </c>
      <c r="L176" s="2">
        <v>1.0</v>
      </c>
      <c r="M176" s="3">
        <f t="shared" si="5"/>
        <v>0.5</v>
      </c>
      <c r="N176" s="2">
        <v>10000.0</v>
      </c>
      <c r="O176" s="4">
        <f t="shared" si="6"/>
        <v>5000</v>
      </c>
      <c r="P176" s="2">
        <v>0.0</v>
      </c>
      <c r="Q176" s="3">
        <f t="shared" si="7"/>
        <v>0</v>
      </c>
      <c r="R176" s="2">
        <v>1.0</v>
      </c>
      <c r="S176" s="5">
        <f t="shared" si="8"/>
        <v>1</v>
      </c>
    </row>
    <row r="177">
      <c r="A177" s="2" t="s">
        <v>193</v>
      </c>
      <c r="B177" s="2">
        <v>2.0</v>
      </c>
      <c r="C177" s="2">
        <v>24.0</v>
      </c>
      <c r="D177" s="2">
        <v>10.0</v>
      </c>
      <c r="E177" s="3">
        <f t="shared" si="1"/>
        <v>0.4545454545</v>
      </c>
      <c r="F177" s="2">
        <v>4.0</v>
      </c>
      <c r="G177" s="3">
        <f t="shared" si="2"/>
        <v>0.1818181818</v>
      </c>
      <c r="H177" s="2">
        <v>3.0</v>
      </c>
      <c r="I177" s="3">
        <f t="shared" si="3"/>
        <v>0.1363636364</v>
      </c>
      <c r="J177" s="2">
        <v>4.0</v>
      </c>
      <c r="K177" s="3">
        <f t="shared" si="4"/>
        <v>0.1818181818</v>
      </c>
      <c r="L177" s="2">
        <v>2.0</v>
      </c>
      <c r="M177" s="3">
        <f t="shared" si="5"/>
        <v>0.6666666667</v>
      </c>
      <c r="N177" s="2">
        <v>21100.0</v>
      </c>
      <c r="O177" s="4">
        <f t="shared" si="6"/>
        <v>7033.333333</v>
      </c>
      <c r="P177" s="2">
        <v>0.0</v>
      </c>
      <c r="Q177" s="3">
        <f t="shared" si="7"/>
        <v>0</v>
      </c>
      <c r="R177" s="2">
        <v>2.0</v>
      </c>
      <c r="S177" s="5">
        <f t="shared" si="8"/>
        <v>1</v>
      </c>
    </row>
    <row r="178">
      <c r="A178" s="2" t="s">
        <v>194</v>
      </c>
      <c r="B178" s="2">
        <v>4.0</v>
      </c>
      <c r="C178" s="2">
        <v>48.0</v>
      </c>
      <c r="D178" s="2">
        <v>13.0</v>
      </c>
      <c r="E178" s="3">
        <f t="shared" si="1"/>
        <v>0.2954545455</v>
      </c>
      <c r="F178" s="2">
        <v>8.0</v>
      </c>
      <c r="G178" s="3">
        <f t="shared" si="2"/>
        <v>0.1818181818</v>
      </c>
      <c r="H178" s="2">
        <v>5.0</v>
      </c>
      <c r="I178" s="3">
        <f t="shared" si="3"/>
        <v>0.1136363636</v>
      </c>
      <c r="J178" s="2">
        <v>8.0</v>
      </c>
      <c r="K178" s="3">
        <f t="shared" si="4"/>
        <v>0.1818181818</v>
      </c>
      <c r="L178" s="2">
        <v>5.0</v>
      </c>
      <c r="M178" s="3">
        <f t="shared" si="5"/>
        <v>1</v>
      </c>
      <c r="N178" s="2">
        <v>19000.0</v>
      </c>
      <c r="O178" s="4">
        <f t="shared" si="6"/>
        <v>3800</v>
      </c>
      <c r="P178" s="2">
        <v>0.0</v>
      </c>
      <c r="Q178" s="3">
        <f t="shared" si="7"/>
        <v>0</v>
      </c>
      <c r="R178" s="2">
        <v>0.0</v>
      </c>
      <c r="S178" s="5">
        <f t="shared" si="8"/>
        <v>0</v>
      </c>
    </row>
    <row r="179">
      <c r="A179" s="2" t="s">
        <v>195</v>
      </c>
      <c r="B179" s="2">
        <v>20.0</v>
      </c>
      <c r="C179" s="2">
        <v>229.0</v>
      </c>
      <c r="D179" s="2">
        <v>73.0</v>
      </c>
      <c r="E179" s="3">
        <f t="shared" si="1"/>
        <v>0.3492822967</v>
      </c>
      <c r="F179" s="2">
        <v>38.0</v>
      </c>
      <c r="G179" s="3">
        <f t="shared" si="2"/>
        <v>0.1818181818</v>
      </c>
      <c r="H179" s="2">
        <v>39.0</v>
      </c>
      <c r="I179" s="3">
        <f t="shared" si="3"/>
        <v>0.1866028708</v>
      </c>
      <c r="J179" s="2">
        <v>33.0</v>
      </c>
      <c r="K179" s="3">
        <f t="shared" si="4"/>
        <v>0.1578947368</v>
      </c>
      <c r="L179" s="2">
        <v>24.0</v>
      </c>
      <c r="M179" s="3">
        <f t="shared" si="5"/>
        <v>0.6153846154</v>
      </c>
      <c r="N179" s="2">
        <v>186900.0</v>
      </c>
      <c r="O179" s="4">
        <f t="shared" si="6"/>
        <v>4792.307692</v>
      </c>
      <c r="P179" s="2">
        <v>0.0</v>
      </c>
      <c r="Q179" s="3">
        <f t="shared" si="7"/>
        <v>0</v>
      </c>
      <c r="R179" s="2">
        <v>20.0</v>
      </c>
      <c r="S179" s="5">
        <f t="shared" si="8"/>
        <v>1</v>
      </c>
    </row>
    <row r="180">
      <c r="A180" s="2" t="s">
        <v>196</v>
      </c>
      <c r="B180" s="2">
        <v>1.0</v>
      </c>
      <c r="C180" s="2">
        <v>12.0</v>
      </c>
      <c r="D180" s="2">
        <v>6.0</v>
      </c>
      <c r="E180" s="3">
        <f t="shared" si="1"/>
        <v>0.5454545455</v>
      </c>
      <c r="F180" s="2">
        <v>2.0</v>
      </c>
      <c r="G180" s="3">
        <f t="shared" si="2"/>
        <v>0.1818181818</v>
      </c>
      <c r="H180" s="2">
        <v>2.0</v>
      </c>
      <c r="I180" s="3">
        <f t="shared" si="3"/>
        <v>0.1818181818</v>
      </c>
      <c r="J180" s="2">
        <v>1.0</v>
      </c>
      <c r="K180" s="3">
        <f t="shared" si="4"/>
        <v>0.09090909091</v>
      </c>
      <c r="L180" s="2">
        <v>1.0</v>
      </c>
      <c r="M180" s="3">
        <f t="shared" si="5"/>
        <v>0.5</v>
      </c>
      <c r="N180" s="2">
        <v>12700.0</v>
      </c>
      <c r="O180" s="4">
        <f t="shared" si="6"/>
        <v>6350</v>
      </c>
      <c r="P180" s="2">
        <v>0.0</v>
      </c>
      <c r="Q180" s="3">
        <f t="shared" si="7"/>
        <v>0</v>
      </c>
      <c r="R180" s="2">
        <v>0.0</v>
      </c>
      <c r="S180" s="5">
        <f t="shared" si="8"/>
        <v>0</v>
      </c>
    </row>
    <row r="181">
      <c r="A181" s="2" t="s">
        <v>197</v>
      </c>
      <c r="B181" s="2">
        <v>1.0</v>
      </c>
      <c r="C181" s="2">
        <v>12.0</v>
      </c>
      <c r="D181" s="2">
        <v>6.0</v>
      </c>
      <c r="E181" s="3">
        <f t="shared" si="1"/>
        <v>0.5454545455</v>
      </c>
      <c r="F181" s="2">
        <v>2.0</v>
      </c>
      <c r="G181" s="3">
        <f t="shared" si="2"/>
        <v>0.1818181818</v>
      </c>
      <c r="H181" s="2">
        <v>1.0</v>
      </c>
      <c r="I181" s="3">
        <f t="shared" si="3"/>
        <v>0.09090909091</v>
      </c>
      <c r="J181" s="2">
        <v>1.0</v>
      </c>
      <c r="K181" s="3">
        <f t="shared" si="4"/>
        <v>0.09090909091</v>
      </c>
      <c r="L181" s="2">
        <v>1.0</v>
      </c>
      <c r="M181" s="3">
        <f t="shared" si="5"/>
        <v>1</v>
      </c>
      <c r="N181" s="2">
        <v>1000.0</v>
      </c>
      <c r="O181" s="4">
        <f t="shared" si="6"/>
        <v>1000</v>
      </c>
      <c r="P181" s="2">
        <v>0.0</v>
      </c>
      <c r="Q181" s="3">
        <f t="shared" si="7"/>
        <v>0</v>
      </c>
      <c r="R181" s="2">
        <v>1.0</v>
      </c>
      <c r="S181" s="5">
        <f t="shared" si="8"/>
        <v>1</v>
      </c>
    </row>
    <row r="182">
      <c r="A182" s="2" t="s">
        <v>198</v>
      </c>
      <c r="B182" s="2">
        <v>1.0</v>
      </c>
      <c r="C182" s="2">
        <v>12.0</v>
      </c>
      <c r="D182" s="2">
        <v>3.0</v>
      </c>
      <c r="E182" s="3">
        <f t="shared" si="1"/>
        <v>0.2727272727</v>
      </c>
      <c r="F182" s="2">
        <v>2.0</v>
      </c>
      <c r="G182" s="3">
        <f t="shared" si="2"/>
        <v>0.1818181818</v>
      </c>
      <c r="H182" s="2">
        <v>1.0</v>
      </c>
      <c r="I182" s="3">
        <f t="shared" si="3"/>
        <v>0.09090909091</v>
      </c>
      <c r="J182" s="2">
        <v>1.0</v>
      </c>
      <c r="K182" s="3">
        <f t="shared" si="4"/>
        <v>0.09090909091</v>
      </c>
      <c r="L182" s="2">
        <v>1.0</v>
      </c>
      <c r="M182" s="3">
        <f t="shared" si="5"/>
        <v>1</v>
      </c>
      <c r="N182" s="2">
        <v>2000.0</v>
      </c>
      <c r="O182" s="4">
        <f t="shared" si="6"/>
        <v>2000</v>
      </c>
      <c r="P182" s="2">
        <v>0.0</v>
      </c>
      <c r="Q182" s="3">
        <f t="shared" si="7"/>
        <v>0</v>
      </c>
      <c r="R182" s="2">
        <v>1.0</v>
      </c>
      <c r="S182" s="5">
        <f t="shared" si="8"/>
        <v>1</v>
      </c>
    </row>
    <row r="183">
      <c r="A183" s="2" t="s">
        <v>199</v>
      </c>
      <c r="B183" s="2">
        <v>62.0</v>
      </c>
      <c r="C183" s="2">
        <v>750.0</v>
      </c>
      <c r="D183" s="2">
        <v>241.0</v>
      </c>
      <c r="E183" s="3">
        <f t="shared" si="1"/>
        <v>0.3502906977</v>
      </c>
      <c r="F183" s="2">
        <v>125.0</v>
      </c>
      <c r="G183" s="3">
        <f t="shared" si="2"/>
        <v>0.1816860465</v>
      </c>
      <c r="H183" s="2">
        <v>139.0</v>
      </c>
      <c r="I183" s="3">
        <f t="shared" si="3"/>
        <v>0.2020348837</v>
      </c>
      <c r="J183" s="2">
        <v>137.0</v>
      </c>
      <c r="K183" s="3">
        <f t="shared" si="4"/>
        <v>0.199127907</v>
      </c>
      <c r="L183" s="2">
        <v>77.0</v>
      </c>
      <c r="M183" s="3">
        <f t="shared" si="5"/>
        <v>0.5539568345</v>
      </c>
      <c r="N183" s="2">
        <v>754500.0</v>
      </c>
      <c r="O183" s="4">
        <f t="shared" si="6"/>
        <v>5428.057554</v>
      </c>
      <c r="P183" s="2">
        <v>0.0</v>
      </c>
      <c r="Q183" s="3">
        <f t="shared" si="7"/>
        <v>0</v>
      </c>
      <c r="R183" s="2">
        <v>62.0</v>
      </c>
      <c r="S183" s="5">
        <f t="shared" si="8"/>
        <v>1</v>
      </c>
    </row>
    <row r="184">
      <c r="A184" s="2" t="s">
        <v>200</v>
      </c>
      <c r="B184" s="2">
        <v>64.0</v>
      </c>
      <c r="C184" s="2">
        <v>708.0</v>
      </c>
      <c r="D184" s="2">
        <v>264.0</v>
      </c>
      <c r="E184" s="3">
        <f t="shared" si="1"/>
        <v>0.4099378882</v>
      </c>
      <c r="F184" s="2">
        <v>117.0</v>
      </c>
      <c r="G184" s="3">
        <f t="shared" si="2"/>
        <v>0.1816770186</v>
      </c>
      <c r="H184" s="2">
        <v>145.0</v>
      </c>
      <c r="I184" s="3">
        <f t="shared" si="3"/>
        <v>0.2251552795</v>
      </c>
      <c r="J184" s="2">
        <v>123.0</v>
      </c>
      <c r="K184" s="3">
        <f t="shared" si="4"/>
        <v>0.1909937888</v>
      </c>
      <c r="L184" s="2">
        <v>87.0</v>
      </c>
      <c r="M184" s="3">
        <f t="shared" si="5"/>
        <v>0.6</v>
      </c>
      <c r="N184" s="2">
        <v>769400.0</v>
      </c>
      <c r="O184" s="4">
        <f t="shared" si="6"/>
        <v>5306.206897</v>
      </c>
      <c r="P184" s="2">
        <v>0.0</v>
      </c>
      <c r="Q184" s="3">
        <f t="shared" si="7"/>
        <v>0</v>
      </c>
      <c r="R184" s="2">
        <v>0.0</v>
      </c>
      <c r="S184" s="5">
        <f t="shared" si="8"/>
        <v>0</v>
      </c>
    </row>
    <row r="185">
      <c r="A185" s="2" t="s">
        <v>201</v>
      </c>
      <c r="B185" s="2">
        <v>45.0</v>
      </c>
      <c r="C185" s="2">
        <v>497.0</v>
      </c>
      <c r="D185" s="2">
        <v>156.0</v>
      </c>
      <c r="E185" s="3">
        <f t="shared" si="1"/>
        <v>0.3451327434</v>
      </c>
      <c r="F185" s="2">
        <v>82.0</v>
      </c>
      <c r="G185" s="3">
        <f t="shared" si="2"/>
        <v>0.1814159292</v>
      </c>
      <c r="H185" s="2">
        <v>90.0</v>
      </c>
      <c r="I185" s="3">
        <f t="shared" si="3"/>
        <v>0.1991150442</v>
      </c>
      <c r="J185" s="2">
        <v>67.0</v>
      </c>
      <c r="K185" s="3">
        <f t="shared" si="4"/>
        <v>0.1482300885</v>
      </c>
      <c r="L185" s="2">
        <v>58.0</v>
      </c>
      <c r="M185" s="3">
        <f t="shared" si="5"/>
        <v>0.6444444444</v>
      </c>
      <c r="N185" s="2">
        <v>489800.0</v>
      </c>
      <c r="O185" s="4">
        <f t="shared" si="6"/>
        <v>5442.222222</v>
      </c>
      <c r="P185" s="2">
        <v>0.0</v>
      </c>
      <c r="Q185" s="3">
        <f t="shared" si="7"/>
        <v>0</v>
      </c>
      <c r="R185" s="2">
        <v>0.0</v>
      </c>
      <c r="S185" s="5">
        <f t="shared" si="8"/>
        <v>0</v>
      </c>
    </row>
    <row r="186">
      <c r="A186" s="2" t="s">
        <v>202</v>
      </c>
      <c r="B186" s="2">
        <v>50.0</v>
      </c>
      <c r="C186" s="2">
        <v>613.0</v>
      </c>
      <c r="D186" s="2">
        <v>216.0</v>
      </c>
      <c r="E186" s="3">
        <f t="shared" si="1"/>
        <v>0.3836589698</v>
      </c>
      <c r="F186" s="2">
        <v>102.0</v>
      </c>
      <c r="G186" s="3">
        <f t="shared" si="2"/>
        <v>0.1811722913</v>
      </c>
      <c r="H186" s="2">
        <v>108.0</v>
      </c>
      <c r="I186" s="3">
        <f t="shared" si="3"/>
        <v>0.1918294849</v>
      </c>
      <c r="J186" s="2">
        <v>91.0</v>
      </c>
      <c r="K186" s="3">
        <f t="shared" si="4"/>
        <v>0.161634103</v>
      </c>
      <c r="L186" s="2">
        <v>62.0</v>
      </c>
      <c r="M186" s="3">
        <f t="shared" si="5"/>
        <v>0.5740740741</v>
      </c>
      <c r="N186" s="2">
        <v>577000.0</v>
      </c>
      <c r="O186" s="4">
        <f t="shared" si="6"/>
        <v>5342.592593</v>
      </c>
      <c r="P186" s="2">
        <v>0.0</v>
      </c>
      <c r="Q186" s="3">
        <f t="shared" si="7"/>
        <v>0</v>
      </c>
      <c r="R186" s="2">
        <v>50.0</v>
      </c>
      <c r="S186" s="5">
        <f t="shared" si="8"/>
        <v>1</v>
      </c>
    </row>
    <row r="187">
      <c r="A187" s="2" t="s">
        <v>203</v>
      </c>
      <c r="B187" s="2">
        <v>11.0</v>
      </c>
      <c r="C187" s="2">
        <v>127.0</v>
      </c>
      <c r="D187" s="2">
        <v>39.0</v>
      </c>
      <c r="E187" s="3">
        <f t="shared" si="1"/>
        <v>0.3362068966</v>
      </c>
      <c r="F187" s="2">
        <v>21.0</v>
      </c>
      <c r="G187" s="3">
        <f t="shared" si="2"/>
        <v>0.1810344828</v>
      </c>
      <c r="H187" s="2">
        <v>25.0</v>
      </c>
      <c r="I187" s="3">
        <f t="shared" si="3"/>
        <v>0.2155172414</v>
      </c>
      <c r="J187" s="2">
        <v>17.0</v>
      </c>
      <c r="K187" s="3">
        <f t="shared" si="4"/>
        <v>0.1465517241</v>
      </c>
      <c r="L187" s="2">
        <v>16.0</v>
      </c>
      <c r="M187" s="3">
        <f t="shared" si="5"/>
        <v>0.64</v>
      </c>
      <c r="N187" s="2">
        <v>114800.0</v>
      </c>
      <c r="O187" s="4">
        <f t="shared" si="6"/>
        <v>4592</v>
      </c>
      <c r="P187" s="2">
        <v>0.0</v>
      </c>
      <c r="Q187" s="3">
        <f t="shared" si="7"/>
        <v>0</v>
      </c>
      <c r="R187" s="2">
        <v>11.0</v>
      </c>
      <c r="S187" s="5">
        <f t="shared" si="8"/>
        <v>1</v>
      </c>
    </row>
    <row r="188">
      <c r="A188" s="2" t="s">
        <v>204</v>
      </c>
      <c r="B188" s="2">
        <v>9.0</v>
      </c>
      <c r="C188" s="2">
        <v>103.0</v>
      </c>
      <c r="D188" s="2">
        <v>41.0</v>
      </c>
      <c r="E188" s="3">
        <f t="shared" si="1"/>
        <v>0.4361702128</v>
      </c>
      <c r="F188" s="2">
        <v>17.0</v>
      </c>
      <c r="G188" s="3">
        <f t="shared" si="2"/>
        <v>0.1808510638</v>
      </c>
      <c r="H188" s="2">
        <v>15.0</v>
      </c>
      <c r="I188" s="3">
        <f t="shared" si="3"/>
        <v>0.1595744681</v>
      </c>
      <c r="J188" s="2">
        <v>23.0</v>
      </c>
      <c r="K188" s="3">
        <f t="shared" si="4"/>
        <v>0.2446808511</v>
      </c>
      <c r="L188" s="2">
        <v>7.0</v>
      </c>
      <c r="M188" s="3">
        <f t="shared" si="5"/>
        <v>0.4666666667</v>
      </c>
      <c r="N188" s="2">
        <v>68800.0</v>
      </c>
      <c r="O188" s="4">
        <f t="shared" si="6"/>
        <v>4586.666667</v>
      </c>
      <c r="P188" s="2">
        <v>0.0</v>
      </c>
      <c r="Q188" s="3">
        <f t="shared" si="7"/>
        <v>0</v>
      </c>
      <c r="R188" s="2">
        <v>9.0</v>
      </c>
      <c r="S188" s="5">
        <f t="shared" si="8"/>
        <v>1</v>
      </c>
    </row>
    <row r="189">
      <c r="A189" s="2" t="s">
        <v>205</v>
      </c>
      <c r="B189" s="2">
        <v>44.0</v>
      </c>
      <c r="C189" s="2">
        <v>514.0</v>
      </c>
      <c r="D189" s="2">
        <v>168.0</v>
      </c>
      <c r="E189" s="3">
        <f t="shared" si="1"/>
        <v>0.3574468085</v>
      </c>
      <c r="F189" s="2">
        <v>85.0</v>
      </c>
      <c r="G189" s="3">
        <f t="shared" si="2"/>
        <v>0.1808510638</v>
      </c>
      <c r="H189" s="2">
        <v>87.0</v>
      </c>
      <c r="I189" s="3">
        <f t="shared" si="3"/>
        <v>0.185106383</v>
      </c>
      <c r="J189" s="2">
        <v>73.0</v>
      </c>
      <c r="K189" s="3">
        <f t="shared" si="4"/>
        <v>0.1553191489</v>
      </c>
      <c r="L189" s="2">
        <v>51.0</v>
      </c>
      <c r="M189" s="3">
        <f t="shared" si="5"/>
        <v>0.5862068966</v>
      </c>
      <c r="N189" s="2">
        <v>547600.0</v>
      </c>
      <c r="O189" s="4">
        <f t="shared" si="6"/>
        <v>6294.252874</v>
      </c>
      <c r="P189" s="2">
        <v>0.0</v>
      </c>
      <c r="Q189" s="3">
        <f t="shared" si="7"/>
        <v>0</v>
      </c>
      <c r="R189" s="2">
        <v>44.0</v>
      </c>
      <c r="S189" s="5">
        <f t="shared" si="8"/>
        <v>1</v>
      </c>
    </row>
    <row r="190">
      <c r="A190" s="2" t="s">
        <v>206</v>
      </c>
      <c r="B190" s="2">
        <v>24.0</v>
      </c>
      <c r="C190" s="2">
        <v>273.0</v>
      </c>
      <c r="D190" s="2">
        <v>69.0</v>
      </c>
      <c r="E190" s="3">
        <f t="shared" si="1"/>
        <v>0.2771084337</v>
      </c>
      <c r="F190" s="2">
        <v>45.0</v>
      </c>
      <c r="G190" s="3">
        <f t="shared" si="2"/>
        <v>0.1807228916</v>
      </c>
      <c r="H190" s="2">
        <v>51.0</v>
      </c>
      <c r="I190" s="3">
        <f t="shared" si="3"/>
        <v>0.2048192771</v>
      </c>
      <c r="J190" s="2">
        <v>48.0</v>
      </c>
      <c r="K190" s="3">
        <f t="shared" si="4"/>
        <v>0.1927710843</v>
      </c>
      <c r="L190" s="2">
        <v>31.0</v>
      </c>
      <c r="M190" s="3">
        <f t="shared" si="5"/>
        <v>0.6078431373</v>
      </c>
      <c r="N190" s="2">
        <v>292300.0</v>
      </c>
      <c r="O190" s="4">
        <f t="shared" si="6"/>
        <v>5731.372549</v>
      </c>
      <c r="P190" s="2">
        <v>0.0</v>
      </c>
      <c r="Q190" s="3">
        <f t="shared" si="7"/>
        <v>0</v>
      </c>
      <c r="R190" s="2">
        <v>24.0</v>
      </c>
      <c r="S190" s="5">
        <f t="shared" si="8"/>
        <v>1</v>
      </c>
    </row>
    <row r="191">
      <c r="A191" s="2" t="s">
        <v>207</v>
      </c>
      <c r="B191" s="2">
        <v>46.0</v>
      </c>
      <c r="C191" s="2">
        <v>544.0</v>
      </c>
      <c r="D191" s="2">
        <v>187.0</v>
      </c>
      <c r="E191" s="3">
        <f t="shared" si="1"/>
        <v>0.375502008</v>
      </c>
      <c r="F191" s="2">
        <v>90.0</v>
      </c>
      <c r="G191" s="3">
        <f t="shared" si="2"/>
        <v>0.1807228916</v>
      </c>
      <c r="H191" s="2">
        <v>109.0</v>
      </c>
      <c r="I191" s="3">
        <f t="shared" si="3"/>
        <v>0.218875502</v>
      </c>
      <c r="J191" s="2">
        <v>86.0</v>
      </c>
      <c r="K191" s="3">
        <f t="shared" si="4"/>
        <v>0.1726907631</v>
      </c>
      <c r="L191" s="2">
        <v>61.0</v>
      </c>
      <c r="M191" s="3">
        <f t="shared" si="5"/>
        <v>0.5596330275</v>
      </c>
      <c r="N191" s="2">
        <v>561500.0</v>
      </c>
      <c r="O191" s="4">
        <f t="shared" si="6"/>
        <v>5151.376147</v>
      </c>
      <c r="P191" s="2">
        <v>0.0</v>
      </c>
      <c r="Q191" s="3">
        <f t="shared" si="7"/>
        <v>0</v>
      </c>
      <c r="R191" s="2">
        <v>46.0</v>
      </c>
      <c r="S191" s="5">
        <f t="shared" si="8"/>
        <v>1</v>
      </c>
    </row>
    <row r="192">
      <c r="A192" s="2" t="s">
        <v>208</v>
      </c>
      <c r="B192" s="2">
        <v>25.0</v>
      </c>
      <c r="C192" s="2">
        <v>263.0</v>
      </c>
      <c r="D192" s="2">
        <v>85.0</v>
      </c>
      <c r="E192" s="3">
        <f t="shared" si="1"/>
        <v>0.3571428571</v>
      </c>
      <c r="F192" s="2">
        <v>43.0</v>
      </c>
      <c r="G192" s="3">
        <f t="shared" si="2"/>
        <v>0.1806722689</v>
      </c>
      <c r="H192" s="2">
        <v>47.0</v>
      </c>
      <c r="I192" s="3">
        <f t="shared" si="3"/>
        <v>0.1974789916</v>
      </c>
      <c r="J192" s="2">
        <v>55.0</v>
      </c>
      <c r="K192" s="3">
        <f t="shared" si="4"/>
        <v>0.231092437</v>
      </c>
      <c r="L192" s="2">
        <v>27.0</v>
      </c>
      <c r="M192" s="3">
        <f t="shared" si="5"/>
        <v>0.5744680851</v>
      </c>
      <c r="N192" s="2">
        <v>269400.0</v>
      </c>
      <c r="O192" s="4">
        <f t="shared" si="6"/>
        <v>5731.914894</v>
      </c>
      <c r="P192" s="2">
        <v>0.0</v>
      </c>
      <c r="Q192" s="3">
        <f t="shared" si="7"/>
        <v>0</v>
      </c>
      <c r="R192" s="2">
        <v>25.0</v>
      </c>
      <c r="S192" s="5">
        <f t="shared" si="8"/>
        <v>1</v>
      </c>
    </row>
    <row r="193">
      <c r="A193" s="2" t="s">
        <v>209</v>
      </c>
      <c r="B193" s="2">
        <v>27.0</v>
      </c>
      <c r="C193" s="2">
        <v>315.0</v>
      </c>
      <c r="D193" s="2">
        <v>107.0</v>
      </c>
      <c r="E193" s="3">
        <f t="shared" si="1"/>
        <v>0.3715277778</v>
      </c>
      <c r="F193" s="2">
        <v>52.0</v>
      </c>
      <c r="G193" s="3">
        <f t="shared" si="2"/>
        <v>0.1805555556</v>
      </c>
      <c r="H193" s="2">
        <v>55.0</v>
      </c>
      <c r="I193" s="3">
        <f t="shared" si="3"/>
        <v>0.1909722222</v>
      </c>
      <c r="J193" s="2">
        <v>41.0</v>
      </c>
      <c r="K193" s="3">
        <f t="shared" si="4"/>
        <v>0.1423611111</v>
      </c>
      <c r="L193" s="2">
        <v>33.0</v>
      </c>
      <c r="M193" s="3">
        <f t="shared" si="5"/>
        <v>0.6</v>
      </c>
      <c r="N193" s="2">
        <v>271900.0</v>
      </c>
      <c r="O193" s="4">
        <f t="shared" si="6"/>
        <v>4943.636364</v>
      </c>
      <c r="P193" s="2">
        <v>0.0</v>
      </c>
      <c r="Q193" s="3">
        <f t="shared" si="7"/>
        <v>0</v>
      </c>
      <c r="R193" s="2">
        <v>27.0</v>
      </c>
      <c r="S193" s="5">
        <f t="shared" si="8"/>
        <v>1</v>
      </c>
    </row>
    <row r="194">
      <c r="A194" s="2" t="s">
        <v>210</v>
      </c>
      <c r="B194" s="2">
        <v>148.0</v>
      </c>
      <c r="C194" s="2">
        <v>1710.0</v>
      </c>
      <c r="D194" s="2">
        <v>491.0</v>
      </c>
      <c r="E194" s="3">
        <f t="shared" si="1"/>
        <v>0.314340589</v>
      </c>
      <c r="F194" s="2">
        <v>282.0</v>
      </c>
      <c r="G194" s="3">
        <f t="shared" si="2"/>
        <v>0.1805377721</v>
      </c>
      <c r="H194" s="2">
        <v>339.0</v>
      </c>
      <c r="I194" s="3">
        <f t="shared" si="3"/>
        <v>0.2170294494</v>
      </c>
      <c r="J194" s="2">
        <v>346.0</v>
      </c>
      <c r="K194" s="3">
        <f t="shared" si="4"/>
        <v>0.2215108835</v>
      </c>
      <c r="L194" s="2">
        <v>194.0</v>
      </c>
      <c r="M194" s="3">
        <f t="shared" si="5"/>
        <v>0.5722713864</v>
      </c>
      <c r="N194" s="2">
        <v>2088700.0</v>
      </c>
      <c r="O194" s="4">
        <f t="shared" si="6"/>
        <v>6161.356932</v>
      </c>
      <c r="P194" s="2">
        <v>1.0</v>
      </c>
      <c r="Q194" s="3">
        <f t="shared" si="7"/>
        <v>0.006756756757</v>
      </c>
      <c r="R194" s="2">
        <v>148.0</v>
      </c>
      <c r="S194" s="5">
        <f t="shared" si="8"/>
        <v>1</v>
      </c>
    </row>
    <row r="195">
      <c r="A195" s="2" t="s">
        <v>211</v>
      </c>
      <c r="B195" s="2">
        <v>9.0</v>
      </c>
      <c r="C195" s="2">
        <v>98.0</v>
      </c>
      <c r="D195" s="2">
        <v>36.0</v>
      </c>
      <c r="E195" s="3">
        <f t="shared" si="1"/>
        <v>0.404494382</v>
      </c>
      <c r="F195" s="2">
        <v>16.0</v>
      </c>
      <c r="G195" s="3">
        <f t="shared" si="2"/>
        <v>0.1797752809</v>
      </c>
      <c r="H195" s="2">
        <v>19.0</v>
      </c>
      <c r="I195" s="3">
        <f t="shared" si="3"/>
        <v>0.2134831461</v>
      </c>
      <c r="J195" s="2">
        <v>23.0</v>
      </c>
      <c r="K195" s="3">
        <f t="shared" si="4"/>
        <v>0.2584269663</v>
      </c>
      <c r="L195" s="2">
        <v>13.0</v>
      </c>
      <c r="M195" s="3">
        <f t="shared" si="5"/>
        <v>0.6842105263</v>
      </c>
      <c r="N195" s="2">
        <v>111100.0</v>
      </c>
      <c r="O195" s="4">
        <f t="shared" si="6"/>
        <v>5847.368421</v>
      </c>
      <c r="P195" s="2">
        <v>0.0</v>
      </c>
      <c r="Q195" s="3">
        <f t="shared" si="7"/>
        <v>0</v>
      </c>
      <c r="R195" s="2">
        <v>9.0</v>
      </c>
      <c r="S195" s="5">
        <f t="shared" si="8"/>
        <v>1</v>
      </c>
    </row>
    <row r="196">
      <c r="A196" s="2" t="s">
        <v>212</v>
      </c>
      <c r="B196" s="2">
        <v>14.0</v>
      </c>
      <c r="C196" s="2">
        <v>142.0</v>
      </c>
      <c r="D196" s="2">
        <v>44.0</v>
      </c>
      <c r="E196" s="3">
        <f t="shared" si="1"/>
        <v>0.34375</v>
      </c>
      <c r="F196" s="2">
        <v>23.0</v>
      </c>
      <c r="G196" s="3">
        <f t="shared" si="2"/>
        <v>0.1796875</v>
      </c>
      <c r="H196" s="2">
        <v>27.0</v>
      </c>
      <c r="I196" s="3">
        <f t="shared" si="3"/>
        <v>0.2109375</v>
      </c>
      <c r="J196" s="2">
        <v>34.0</v>
      </c>
      <c r="K196" s="3">
        <f t="shared" si="4"/>
        <v>0.265625</v>
      </c>
      <c r="L196" s="2">
        <v>19.0</v>
      </c>
      <c r="M196" s="3">
        <f t="shared" si="5"/>
        <v>0.7037037037</v>
      </c>
      <c r="N196" s="2">
        <v>132100.0</v>
      </c>
      <c r="O196" s="4">
        <f t="shared" si="6"/>
        <v>4892.592593</v>
      </c>
      <c r="P196" s="2">
        <v>0.0</v>
      </c>
      <c r="Q196" s="3">
        <f t="shared" si="7"/>
        <v>0</v>
      </c>
      <c r="R196" s="2">
        <v>14.0</v>
      </c>
      <c r="S196" s="5">
        <f t="shared" si="8"/>
        <v>1</v>
      </c>
    </row>
    <row r="197">
      <c r="A197" s="2" t="s">
        <v>213</v>
      </c>
      <c r="B197" s="2">
        <v>43.0</v>
      </c>
      <c r="C197" s="2">
        <v>511.0</v>
      </c>
      <c r="D197" s="2">
        <v>134.0</v>
      </c>
      <c r="E197" s="3">
        <f t="shared" si="1"/>
        <v>0.2863247863</v>
      </c>
      <c r="F197" s="2">
        <v>84.0</v>
      </c>
      <c r="G197" s="3">
        <f t="shared" si="2"/>
        <v>0.1794871795</v>
      </c>
      <c r="H197" s="2">
        <v>98.0</v>
      </c>
      <c r="I197" s="3">
        <f t="shared" si="3"/>
        <v>0.2094017094</v>
      </c>
      <c r="J197" s="2">
        <v>114.0</v>
      </c>
      <c r="K197" s="3">
        <f t="shared" si="4"/>
        <v>0.2435897436</v>
      </c>
      <c r="L197" s="2">
        <v>60.0</v>
      </c>
      <c r="M197" s="3">
        <f t="shared" si="5"/>
        <v>0.612244898</v>
      </c>
      <c r="N197" s="2">
        <v>589000.0</v>
      </c>
      <c r="O197" s="4">
        <f t="shared" si="6"/>
        <v>6010.204082</v>
      </c>
      <c r="P197" s="2">
        <v>0.0</v>
      </c>
      <c r="Q197" s="3">
        <f t="shared" si="7"/>
        <v>0</v>
      </c>
      <c r="R197" s="2">
        <v>43.0</v>
      </c>
      <c r="S197" s="5">
        <f t="shared" si="8"/>
        <v>1</v>
      </c>
    </row>
    <row r="198">
      <c r="A198" s="2" t="s">
        <v>214</v>
      </c>
      <c r="B198" s="2">
        <v>10.0</v>
      </c>
      <c r="C198" s="2">
        <v>127.0</v>
      </c>
      <c r="D198" s="2">
        <v>27.0</v>
      </c>
      <c r="E198" s="3">
        <f t="shared" si="1"/>
        <v>0.2307692308</v>
      </c>
      <c r="F198" s="2">
        <v>21.0</v>
      </c>
      <c r="G198" s="3">
        <f t="shared" si="2"/>
        <v>0.1794871795</v>
      </c>
      <c r="H198" s="2">
        <v>26.0</v>
      </c>
      <c r="I198" s="3">
        <f t="shared" si="3"/>
        <v>0.2222222222</v>
      </c>
      <c r="J198" s="2">
        <v>21.0</v>
      </c>
      <c r="K198" s="3">
        <f t="shared" si="4"/>
        <v>0.1794871795</v>
      </c>
      <c r="L198" s="2">
        <v>11.0</v>
      </c>
      <c r="M198" s="3">
        <f t="shared" si="5"/>
        <v>0.4230769231</v>
      </c>
      <c r="N198" s="2">
        <v>139300.0</v>
      </c>
      <c r="O198" s="4">
        <f t="shared" si="6"/>
        <v>5357.692308</v>
      </c>
      <c r="P198" s="2">
        <v>0.0</v>
      </c>
      <c r="Q198" s="3">
        <f t="shared" si="7"/>
        <v>0</v>
      </c>
      <c r="R198" s="2">
        <v>2.0</v>
      </c>
      <c r="S198" s="5">
        <f t="shared" si="8"/>
        <v>0.2</v>
      </c>
    </row>
    <row r="199">
      <c r="A199" s="2" t="s">
        <v>215</v>
      </c>
      <c r="B199" s="2">
        <v>41.0</v>
      </c>
      <c r="C199" s="2">
        <v>476.0</v>
      </c>
      <c r="D199" s="2">
        <v>134.0</v>
      </c>
      <c r="E199" s="3">
        <f t="shared" si="1"/>
        <v>0.308045977</v>
      </c>
      <c r="F199" s="2">
        <v>78.0</v>
      </c>
      <c r="G199" s="3">
        <f t="shared" si="2"/>
        <v>0.1793103448</v>
      </c>
      <c r="H199" s="2">
        <v>78.0</v>
      </c>
      <c r="I199" s="3">
        <f t="shared" si="3"/>
        <v>0.1793103448</v>
      </c>
      <c r="J199" s="2">
        <v>96.0</v>
      </c>
      <c r="K199" s="3">
        <f t="shared" si="4"/>
        <v>0.2206896552</v>
      </c>
      <c r="L199" s="2">
        <v>46.0</v>
      </c>
      <c r="M199" s="3">
        <f t="shared" si="5"/>
        <v>0.5897435897</v>
      </c>
      <c r="N199" s="2">
        <v>493300.0</v>
      </c>
      <c r="O199" s="4">
        <f t="shared" si="6"/>
        <v>6324.358974</v>
      </c>
      <c r="P199" s="2">
        <v>0.0</v>
      </c>
      <c r="Q199" s="3">
        <f t="shared" si="7"/>
        <v>0</v>
      </c>
      <c r="R199" s="2">
        <v>41.0</v>
      </c>
      <c r="S199" s="5">
        <f t="shared" si="8"/>
        <v>1</v>
      </c>
    </row>
    <row r="200">
      <c r="A200" s="2" t="s">
        <v>216</v>
      </c>
      <c r="B200" s="2">
        <v>40.0</v>
      </c>
      <c r="C200" s="2">
        <v>464.0</v>
      </c>
      <c r="D200" s="2">
        <v>212.0</v>
      </c>
      <c r="E200" s="3">
        <f t="shared" si="1"/>
        <v>0.5</v>
      </c>
      <c r="F200" s="2">
        <v>76.0</v>
      </c>
      <c r="G200" s="3">
        <f t="shared" si="2"/>
        <v>0.179245283</v>
      </c>
      <c r="H200" s="2">
        <v>98.0</v>
      </c>
      <c r="I200" s="3">
        <f t="shared" si="3"/>
        <v>0.2311320755</v>
      </c>
      <c r="J200" s="2">
        <v>64.0</v>
      </c>
      <c r="K200" s="3">
        <f t="shared" si="4"/>
        <v>0.1509433962</v>
      </c>
      <c r="L200" s="2">
        <v>60.0</v>
      </c>
      <c r="M200" s="3">
        <f t="shared" si="5"/>
        <v>0.612244898</v>
      </c>
      <c r="N200" s="2">
        <v>553100.0</v>
      </c>
      <c r="O200" s="4">
        <f t="shared" si="6"/>
        <v>5643.877551</v>
      </c>
      <c r="P200" s="2">
        <v>0.0</v>
      </c>
      <c r="Q200" s="3">
        <f t="shared" si="7"/>
        <v>0</v>
      </c>
      <c r="R200" s="2">
        <v>40.0</v>
      </c>
      <c r="S200" s="5">
        <f t="shared" si="8"/>
        <v>1</v>
      </c>
    </row>
    <row r="201">
      <c r="A201" s="2" t="s">
        <v>217</v>
      </c>
      <c r="B201" s="2">
        <v>151.0</v>
      </c>
      <c r="C201" s="2">
        <v>1747.0</v>
      </c>
      <c r="D201" s="2">
        <v>664.0</v>
      </c>
      <c r="E201" s="3">
        <f t="shared" si="1"/>
        <v>0.4160401003</v>
      </c>
      <c r="F201" s="2">
        <v>286.0</v>
      </c>
      <c r="G201" s="3">
        <f t="shared" si="2"/>
        <v>0.179197995</v>
      </c>
      <c r="H201" s="2">
        <v>361.0</v>
      </c>
      <c r="I201" s="3">
        <f t="shared" si="3"/>
        <v>0.2261904762</v>
      </c>
      <c r="J201" s="2">
        <v>304.0</v>
      </c>
      <c r="K201" s="3">
        <f t="shared" si="4"/>
        <v>0.1904761905</v>
      </c>
      <c r="L201" s="2">
        <v>201.0</v>
      </c>
      <c r="M201" s="3">
        <f t="shared" si="5"/>
        <v>0.5567867036</v>
      </c>
      <c r="N201" s="2">
        <v>2089100.0</v>
      </c>
      <c r="O201" s="4">
        <f t="shared" si="6"/>
        <v>5786.980609</v>
      </c>
      <c r="P201" s="2">
        <v>0.0</v>
      </c>
      <c r="Q201" s="3">
        <f t="shared" si="7"/>
        <v>0</v>
      </c>
      <c r="R201" s="2">
        <v>89.0</v>
      </c>
      <c r="S201" s="5">
        <f t="shared" si="8"/>
        <v>0.5894039735</v>
      </c>
    </row>
    <row r="202">
      <c r="A202" s="2" t="s">
        <v>218</v>
      </c>
      <c r="B202" s="2">
        <v>45.0</v>
      </c>
      <c r="C202" s="2">
        <v>525.0</v>
      </c>
      <c r="D202" s="2">
        <v>155.0</v>
      </c>
      <c r="E202" s="3">
        <f t="shared" si="1"/>
        <v>0.3229166667</v>
      </c>
      <c r="F202" s="2">
        <v>86.0</v>
      </c>
      <c r="G202" s="3">
        <f t="shared" si="2"/>
        <v>0.1791666667</v>
      </c>
      <c r="H202" s="2">
        <v>102.0</v>
      </c>
      <c r="I202" s="3">
        <f t="shared" si="3"/>
        <v>0.2125</v>
      </c>
      <c r="J202" s="2">
        <v>87.0</v>
      </c>
      <c r="K202" s="3">
        <f t="shared" si="4"/>
        <v>0.18125</v>
      </c>
      <c r="L202" s="2">
        <v>62.0</v>
      </c>
      <c r="M202" s="3">
        <f t="shared" si="5"/>
        <v>0.6078431373</v>
      </c>
      <c r="N202" s="2">
        <v>617600.0</v>
      </c>
      <c r="O202" s="4">
        <f t="shared" si="6"/>
        <v>6054.901961</v>
      </c>
      <c r="P202" s="2">
        <v>0.0</v>
      </c>
      <c r="Q202" s="3">
        <f t="shared" si="7"/>
        <v>0</v>
      </c>
      <c r="R202" s="2">
        <v>45.0</v>
      </c>
      <c r="S202" s="5">
        <f t="shared" si="8"/>
        <v>1</v>
      </c>
    </row>
    <row r="203">
      <c r="A203" s="2" t="s">
        <v>219</v>
      </c>
      <c r="B203" s="2">
        <v>20.0</v>
      </c>
      <c r="C203" s="2">
        <v>221.0</v>
      </c>
      <c r="D203" s="2">
        <v>69.0</v>
      </c>
      <c r="E203" s="3">
        <f t="shared" si="1"/>
        <v>0.3432835821</v>
      </c>
      <c r="F203" s="2">
        <v>36.0</v>
      </c>
      <c r="G203" s="3">
        <f t="shared" si="2"/>
        <v>0.1791044776</v>
      </c>
      <c r="H203" s="2">
        <v>33.0</v>
      </c>
      <c r="I203" s="3">
        <f t="shared" si="3"/>
        <v>0.1641791045</v>
      </c>
      <c r="J203" s="2">
        <v>37.0</v>
      </c>
      <c r="K203" s="3">
        <f t="shared" si="4"/>
        <v>0.184079602</v>
      </c>
      <c r="L203" s="2">
        <v>21.0</v>
      </c>
      <c r="M203" s="3">
        <f t="shared" si="5"/>
        <v>0.6363636364</v>
      </c>
      <c r="N203" s="2">
        <v>185800.0</v>
      </c>
      <c r="O203" s="4">
        <f t="shared" si="6"/>
        <v>5630.30303</v>
      </c>
      <c r="P203" s="2">
        <v>0.0</v>
      </c>
      <c r="Q203" s="3">
        <f t="shared" si="7"/>
        <v>0</v>
      </c>
      <c r="R203" s="2">
        <v>20.0</v>
      </c>
      <c r="S203" s="5">
        <f t="shared" si="8"/>
        <v>1</v>
      </c>
    </row>
    <row r="204">
      <c r="A204" s="2" t="s">
        <v>220</v>
      </c>
      <c r="B204" s="2">
        <v>44.0</v>
      </c>
      <c r="C204" s="2">
        <v>502.0</v>
      </c>
      <c r="D204" s="2">
        <v>120.0</v>
      </c>
      <c r="E204" s="3">
        <f t="shared" si="1"/>
        <v>0.2620087336</v>
      </c>
      <c r="F204" s="2">
        <v>82.0</v>
      </c>
      <c r="G204" s="3">
        <f t="shared" si="2"/>
        <v>0.1790393013</v>
      </c>
      <c r="H204" s="2">
        <v>83.0</v>
      </c>
      <c r="I204" s="3">
        <f t="shared" si="3"/>
        <v>0.1812227074</v>
      </c>
      <c r="J204" s="2">
        <v>104.0</v>
      </c>
      <c r="K204" s="3">
        <f t="shared" si="4"/>
        <v>0.2270742358</v>
      </c>
      <c r="L204" s="2">
        <v>50.0</v>
      </c>
      <c r="M204" s="3">
        <f t="shared" si="5"/>
        <v>0.6024096386</v>
      </c>
      <c r="N204" s="2">
        <v>471000.0</v>
      </c>
      <c r="O204" s="4">
        <f t="shared" si="6"/>
        <v>5674.698795</v>
      </c>
      <c r="P204" s="2">
        <v>0.0</v>
      </c>
      <c r="Q204" s="3">
        <f t="shared" si="7"/>
        <v>0</v>
      </c>
      <c r="R204" s="2">
        <v>44.0</v>
      </c>
      <c r="S204" s="5">
        <f t="shared" si="8"/>
        <v>1</v>
      </c>
    </row>
    <row r="205">
      <c r="A205" s="2" t="s">
        <v>221</v>
      </c>
      <c r="B205" s="2">
        <v>34.0</v>
      </c>
      <c r="C205" s="2">
        <v>403.0</v>
      </c>
      <c r="D205" s="2">
        <v>120.0</v>
      </c>
      <c r="E205" s="3">
        <f t="shared" si="1"/>
        <v>0.325203252</v>
      </c>
      <c r="F205" s="2">
        <v>66.0</v>
      </c>
      <c r="G205" s="3">
        <f t="shared" si="2"/>
        <v>0.1788617886</v>
      </c>
      <c r="H205" s="2">
        <v>67.0</v>
      </c>
      <c r="I205" s="3">
        <f t="shared" si="3"/>
        <v>0.1815718157</v>
      </c>
      <c r="J205" s="2">
        <v>47.0</v>
      </c>
      <c r="K205" s="3">
        <f t="shared" si="4"/>
        <v>0.1273712737</v>
      </c>
      <c r="L205" s="2">
        <v>37.0</v>
      </c>
      <c r="M205" s="3">
        <f t="shared" si="5"/>
        <v>0.552238806</v>
      </c>
      <c r="N205" s="2">
        <v>435700.0</v>
      </c>
      <c r="O205" s="4">
        <f t="shared" si="6"/>
        <v>6502.985075</v>
      </c>
      <c r="P205" s="2">
        <v>1.0</v>
      </c>
      <c r="Q205" s="3">
        <f t="shared" si="7"/>
        <v>0.02941176471</v>
      </c>
      <c r="R205" s="2">
        <v>34.0</v>
      </c>
      <c r="S205" s="5">
        <f t="shared" si="8"/>
        <v>1</v>
      </c>
    </row>
    <row r="206">
      <c r="A206" s="2" t="s">
        <v>222</v>
      </c>
      <c r="B206" s="2">
        <v>50.0</v>
      </c>
      <c r="C206" s="2">
        <v>576.0</v>
      </c>
      <c r="D206" s="2">
        <v>186.0</v>
      </c>
      <c r="E206" s="3">
        <f t="shared" si="1"/>
        <v>0.3536121673</v>
      </c>
      <c r="F206" s="2">
        <v>94.0</v>
      </c>
      <c r="G206" s="3">
        <f t="shared" si="2"/>
        <v>0.1787072243</v>
      </c>
      <c r="H206" s="2">
        <v>104.0</v>
      </c>
      <c r="I206" s="3">
        <f t="shared" si="3"/>
        <v>0.1977186312</v>
      </c>
      <c r="J206" s="2">
        <v>103.0</v>
      </c>
      <c r="K206" s="3">
        <f t="shared" si="4"/>
        <v>0.1958174905</v>
      </c>
      <c r="L206" s="2">
        <v>56.0</v>
      </c>
      <c r="M206" s="3">
        <f t="shared" si="5"/>
        <v>0.5384615385</v>
      </c>
      <c r="N206" s="2">
        <v>625800.0</v>
      </c>
      <c r="O206" s="4">
        <f t="shared" si="6"/>
        <v>6017.307692</v>
      </c>
      <c r="P206" s="2">
        <v>1.0</v>
      </c>
      <c r="Q206" s="3">
        <f t="shared" si="7"/>
        <v>0.02</v>
      </c>
      <c r="R206" s="2">
        <v>50.0</v>
      </c>
      <c r="S206" s="5">
        <f t="shared" si="8"/>
        <v>1</v>
      </c>
    </row>
    <row r="207">
      <c r="A207" s="2" t="s">
        <v>223</v>
      </c>
      <c r="B207" s="2">
        <v>92.0</v>
      </c>
      <c r="C207" s="2">
        <v>1049.0</v>
      </c>
      <c r="D207" s="2">
        <v>322.0</v>
      </c>
      <c r="E207" s="3">
        <f t="shared" si="1"/>
        <v>0.3364681296</v>
      </c>
      <c r="F207" s="2">
        <v>171.0</v>
      </c>
      <c r="G207" s="3">
        <f t="shared" si="2"/>
        <v>0.1786833856</v>
      </c>
      <c r="H207" s="2">
        <v>210.0</v>
      </c>
      <c r="I207" s="3">
        <f t="shared" si="3"/>
        <v>0.2194357367</v>
      </c>
      <c r="J207" s="2">
        <v>182.0</v>
      </c>
      <c r="K207" s="3">
        <f t="shared" si="4"/>
        <v>0.1901776385</v>
      </c>
      <c r="L207" s="2">
        <v>134.0</v>
      </c>
      <c r="M207" s="3">
        <f t="shared" si="5"/>
        <v>0.6380952381</v>
      </c>
      <c r="N207" s="2">
        <v>1249900.0</v>
      </c>
      <c r="O207" s="4">
        <f t="shared" si="6"/>
        <v>5951.904762</v>
      </c>
      <c r="P207" s="2">
        <v>0.0</v>
      </c>
      <c r="Q207" s="3">
        <f t="shared" si="7"/>
        <v>0</v>
      </c>
      <c r="R207" s="2">
        <v>92.0</v>
      </c>
      <c r="S207" s="5">
        <f t="shared" si="8"/>
        <v>1</v>
      </c>
    </row>
    <row r="208">
      <c r="A208" s="2" t="s">
        <v>224</v>
      </c>
      <c r="B208" s="2">
        <v>129.0</v>
      </c>
      <c r="C208" s="2">
        <v>1461.0</v>
      </c>
      <c r="D208" s="2">
        <v>480.0</v>
      </c>
      <c r="E208" s="3">
        <f t="shared" si="1"/>
        <v>0.3603603604</v>
      </c>
      <c r="F208" s="2">
        <v>238.0</v>
      </c>
      <c r="G208" s="3">
        <f t="shared" si="2"/>
        <v>0.1786786787</v>
      </c>
      <c r="H208" s="2">
        <v>271.0</v>
      </c>
      <c r="I208" s="3">
        <f t="shared" si="3"/>
        <v>0.2034534535</v>
      </c>
      <c r="J208" s="2">
        <v>240.0</v>
      </c>
      <c r="K208" s="3">
        <f t="shared" si="4"/>
        <v>0.1801801802</v>
      </c>
      <c r="L208" s="2">
        <v>152.0</v>
      </c>
      <c r="M208" s="3">
        <f t="shared" si="5"/>
        <v>0.5608856089</v>
      </c>
      <c r="N208" s="2">
        <v>1674600.0</v>
      </c>
      <c r="O208" s="4">
        <f t="shared" si="6"/>
        <v>6179.335793</v>
      </c>
      <c r="P208" s="2">
        <v>0.0</v>
      </c>
      <c r="Q208" s="3">
        <f t="shared" si="7"/>
        <v>0</v>
      </c>
      <c r="R208" s="2">
        <v>129.0</v>
      </c>
      <c r="S208" s="5">
        <f t="shared" si="8"/>
        <v>1</v>
      </c>
    </row>
    <row r="209">
      <c r="A209" s="2" t="s">
        <v>225</v>
      </c>
      <c r="B209" s="2">
        <v>11.0</v>
      </c>
      <c r="C209" s="2">
        <v>123.0</v>
      </c>
      <c r="D209" s="2">
        <v>44.0</v>
      </c>
      <c r="E209" s="3">
        <f t="shared" si="1"/>
        <v>0.3928571429</v>
      </c>
      <c r="F209" s="2">
        <v>20.0</v>
      </c>
      <c r="G209" s="3">
        <f t="shared" si="2"/>
        <v>0.1785714286</v>
      </c>
      <c r="H209" s="2">
        <v>24.0</v>
      </c>
      <c r="I209" s="3">
        <f t="shared" si="3"/>
        <v>0.2142857143</v>
      </c>
      <c r="J209" s="2">
        <v>22.0</v>
      </c>
      <c r="K209" s="3">
        <f t="shared" si="4"/>
        <v>0.1964285714</v>
      </c>
      <c r="L209" s="2">
        <v>17.0</v>
      </c>
      <c r="M209" s="3">
        <f t="shared" si="5"/>
        <v>0.7083333333</v>
      </c>
      <c r="N209" s="2">
        <v>112000.0</v>
      </c>
      <c r="O209" s="4">
        <f t="shared" si="6"/>
        <v>4666.666667</v>
      </c>
      <c r="P209" s="2">
        <v>0.0</v>
      </c>
      <c r="Q209" s="3">
        <f t="shared" si="7"/>
        <v>0</v>
      </c>
      <c r="R209" s="2">
        <v>11.0</v>
      </c>
      <c r="S209" s="5">
        <f t="shared" si="8"/>
        <v>1</v>
      </c>
    </row>
    <row r="210">
      <c r="A210" s="2" t="s">
        <v>226</v>
      </c>
      <c r="B210" s="2">
        <v>20.0</v>
      </c>
      <c r="C210" s="2">
        <v>244.0</v>
      </c>
      <c r="D210" s="2">
        <v>95.0</v>
      </c>
      <c r="E210" s="3">
        <f t="shared" si="1"/>
        <v>0.4241071429</v>
      </c>
      <c r="F210" s="2">
        <v>40.0</v>
      </c>
      <c r="G210" s="3">
        <f t="shared" si="2"/>
        <v>0.1785714286</v>
      </c>
      <c r="H210" s="2">
        <v>53.0</v>
      </c>
      <c r="I210" s="3">
        <f t="shared" si="3"/>
        <v>0.2366071429</v>
      </c>
      <c r="J210" s="2">
        <v>38.0</v>
      </c>
      <c r="K210" s="3">
        <f t="shared" si="4"/>
        <v>0.1696428571</v>
      </c>
      <c r="L210" s="2">
        <v>34.0</v>
      </c>
      <c r="M210" s="3">
        <f t="shared" si="5"/>
        <v>0.641509434</v>
      </c>
      <c r="N210" s="2">
        <v>279300.0</v>
      </c>
      <c r="O210" s="4">
        <f t="shared" si="6"/>
        <v>5269.811321</v>
      </c>
      <c r="P210" s="2">
        <v>0.0</v>
      </c>
      <c r="Q210" s="3">
        <f t="shared" si="7"/>
        <v>0</v>
      </c>
      <c r="R210" s="2">
        <v>0.0</v>
      </c>
      <c r="S210" s="5">
        <f t="shared" si="8"/>
        <v>0</v>
      </c>
    </row>
    <row r="211">
      <c r="A211" s="2" t="s">
        <v>227</v>
      </c>
      <c r="B211" s="2">
        <v>19.0</v>
      </c>
      <c r="C211" s="2">
        <v>215.0</v>
      </c>
      <c r="D211" s="2">
        <v>65.0</v>
      </c>
      <c r="E211" s="3">
        <f t="shared" si="1"/>
        <v>0.3316326531</v>
      </c>
      <c r="F211" s="2">
        <v>35.0</v>
      </c>
      <c r="G211" s="3">
        <f t="shared" si="2"/>
        <v>0.1785714286</v>
      </c>
      <c r="H211" s="2">
        <v>30.0</v>
      </c>
      <c r="I211" s="3">
        <f t="shared" si="3"/>
        <v>0.1530612245</v>
      </c>
      <c r="J211" s="2">
        <v>32.0</v>
      </c>
      <c r="K211" s="3">
        <f t="shared" si="4"/>
        <v>0.1632653061</v>
      </c>
      <c r="L211" s="2">
        <v>22.0</v>
      </c>
      <c r="M211" s="3">
        <f t="shared" si="5"/>
        <v>0.7333333333</v>
      </c>
      <c r="N211" s="2">
        <v>159900.0</v>
      </c>
      <c r="O211" s="4">
        <f t="shared" si="6"/>
        <v>5330</v>
      </c>
      <c r="P211" s="2">
        <v>0.0</v>
      </c>
      <c r="Q211" s="3">
        <f t="shared" si="7"/>
        <v>0</v>
      </c>
      <c r="R211" s="2">
        <v>0.0</v>
      </c>
      <c r="S211" s="5">
        <f t="shared" si="8"/>
        <v>0</v>
      </c>
    </row>
    <row r="212">
      <c r="A212" s="2" t="s">
        <v>228</v>
      </c>
      <c r="B212" s="2">
        <v>12.0</v>
      </c>
      <c r="C212" s="2">
        <v>124.0</v>
      </c>
      <c r="D212" s="2">
        <v>31.0</v>
      </c>
      <c r="E212" s="3">
        <f t="shared" si="1"/>
        <v>0.2767857143</v>
      </c>
      <c r="F212" s="2">
        <v>20.0</v>
      </c>
      <c r="G212" s="3">
        <f t="shared" si="2"/>
        <v>0.1785714286</v>
      </c>
      <c r="H212" s="2">
        <v>17.0</v>
      </c>
      <c r="I212" s="3">
        <f t="shared" si="3"/>
        <v>0.1517857143</v>
      </c>
      <c r="J212" s="2">
        <v>13.0</v>
      </c>
      <c r="K212" s="3">
        <f t="shared" si="4"/>
        <v>0.1160714286</v>
      </c>
      <c r="L212" s="2">
        <v>13.0</v>
      </c>
      <c r="M212" s="3">
        <f t="shared" si="5"/>
        <v>0.7647058824</v>
      </c>
      <c r="N212" s="2">
        <v>104800.0</v>
      </c>
      <c r="O212" s="4">
        <f t="shared" si="6"/>
        <v>6164.705882</v>
      </c>
      <c r="P212" s="2">
        <v>0.0</v>
      </c>
      <c r="Q212" s="3">
        <f t="shared" si="7"/>
        <v>0</v>
      </c>
      <c r="R212" s="2">
        <v>12.0</v>
      </c>
      <c r="S212" s="5">
        <f t="shared" si="8"/>
        <v>1</v>
      </c>
    </row>
    <row r="213">
      <c r="A213" s="2" t="s">
        <v>229</v>
      </c>
      <c r="B213" s="2">
        <v>27.0</v>
      </c>
      <c r="C213" s="2">
        <v>341.0</v>
      </c>
      <c r="D213" s="2">
        <v>127.0</v>
      </c>
      <c r="E213" s="3">
        <f t="shared" si="1"/>
        <v>0.4044585987</v>
      </c>
      <c r="F213" s="2">
        <v>56.0</v>
      </c>
      <c r="G213" s="3">
        <f t="shared" si="2"/>
        <v>0.178343949</v>
      </c>
      <c r="H213" s="2">
        <v>61.0</v>
      </c>
      <c r="I213" s="3">
        <f t="shared" si="3"/>
        <v>0.1942675159</v>
      </c>
      <c r="J213" s="2">
        <v>52.0</v>
      </c>
      <c r="K213" s="3">
        <f t="shared" si="4"/>
        <v>0.1656050955</v>
      </c>
      <c r="L213" s="2">
        <v>34.0</v>
      </c>
      <c r="M213" s="3">
        <f t="shared" si="5"/>
        <v>0.5573770492</v>
      </c>
      <c r="N213" s="2">
        <v>379000.0</v>
      </c>
      <c r="O213" s="4">
        <f t="shared" si="6"/>
        <v>6213.114754</v>
      </c>
      <c r="P213" s="2">
        <v>0.0</v>
      </c>
      <c r="Q213" s="3">
        <f t="shared" si="7"/>
        <v>0</v>
      </c>
      <c r="R213" s="2">
        <v>0.0</v>
      </c>
      <c r="S213" s="5">
        <f t="shared" si="8"/>
        <v>0</v>
      </c>
    </row>
    <row r="214">
      <c r="A214" s="2" t="s">
        <v>230</v>
      </c>
      <c r="B214" s="2">
        <v>11.0</v>
      </c>
      <c r="C214" s="2">
        <v>129.0</v>
      </c>
      <c r="D214" s="2">
        <v>42.0</v>
      </c>
      <c r="E214" s="3">
        <f t="shared" si="1"/>
        <v>0.3559322034</v>
      </c>
      <c r="F214" s="2">
        <v>21.0</v>
      </c>
      <c r="G214" s="3">
        <f t="shared" si="2"/>
        <v>0.1779661017</v>
      </c>
      <c r="H214" s="2">
        <v>19.0</v>
      </c>
      <c r="I214" s="3">
        <f t="shared" si="3"/>
        <v>0.1610169492</v>
      </c>
      <c r="J214" s="2">
        <v>21.0</v>
      </c>
      <c r="K214" s="3">
        <f t="shared" si="4"/>
        <v>0.1779661017</v>
      </c>
      <c r="L214" s="2">
        <v>14.0</v>
      </c>
      <c r="M214" s="3">
        <f t="shared" si="5"/>
        <v>0.7368421053</v>
      </c>
      <c r="N214" s="2">
        <v>99800.0</v>
      </c>
      <c r="O214" s="4">
        <f t="shared" si="6"/>
        <v>5252.631579</v>
      </c>
      <c r="P214" s="2">
        <v>0.0</v>
      </c>
      <c r="Q214" s="3">
        <f t="shared" si="7"/>
        <v>0</v>
      </c>
      <c r="R214" s="2">
        <v>11.0</v>
      </c>
      <c r="S214" s="5">
        <f t="shared" si="8"/>
        <v>1</v>
      </c>
    </row>
    <row r="215">
      <c r="A215" s="2" t="s">
        <v>231</v>
      </c>
      <c r="B215" s="2">
        <v>92.0</v>
      </c>
      <c r="C215" s="2">
        <v>1087.0</v>
      </c>
      <c r="D215" s="2">
        <v>343.0</v>
      </c>
      <c r="E215" s="3">
        <f t="shared" si="1"/>
        <v>0.3447236181</v>
      </c>
      <c r="F215" s="2">
        <v>177.0</v>
      </c>
      <c r="G215" s="3">
        <f t="shared" si="2"/>
        <v>0.1778894472</v>
      </c>
      <c r="H215" s="2">
        <v>202.0</v>
      </c>
      <c r="I215" s="3">
        <f t="shared" si="3"/>
        <v>0.2030150754</v>
      </c>
      <c r="J215" s="2">
        <v>139.0</v>
      </c>
      <c r="K215" s="3">
        <f t="shared" si="4"/>
        <v>0.1396984925</v>
      </c>
      <c r="L215" s="2">
        <v>133.0</v>
      </c>
      <c r="M215" s="3">
        <f t="shared" si="5"/>
        <v>0.6584158416</v>
      </c>
      <c r="N215" s="2">
        <v>1178100.0</v>
      </c>
      <c r="O215" s="4">
        <f t="shared" si="6"/>
        <v>5832.178218</v>
      </c>
      <c r="P215" s="2">
        <v>1.0</v>
      </c>
      <c r="Q215" s="3">
        <f t="shared" si="7"/>
        <v>0.01086956522</v>
      </c>
      <c r="R215" s="2">
        <v>0.0</v>
      </c>
      <c r="S215" s="5">
        <f t="shared" si="8"/>
        <v>0</v>
      </c>
    </row>
    <row r="216">
      <c r="A216" s="2" t="s">
        <v>232</v>
      </c>
      <c r="B216" s="2">
        <v>4.0</v>
      </c>
      <c r="C216" s="2">
        <v>49.0</v>
      </c>
      <c r="D216" s="2">
        <v>12.0</v>
      </c>
      <c r="E216" s="3">
        <f t="shared" si="1"/>
        <v>0.2666666667</v>
      </c>
      <c r="F216" s="2">
        <v>8.0</v>
      </c>
      <c r="G216" s="3">
        <f t="shared" si="2"/>
        <v>0.1777777778</v>
      </c>
      <c r="H216" s="2">
        <v>7.0</v>
      </c>
      <c r="I216" s="3">
        <f t="shared" si="3"/>
        <v>0.1555555556</v>
      </c>
      <c r="J216" s="2">
        <v>13.0</v>
      </c>
      <c r="K216" s="3">
        <f t="shared" si="4"/>
        <v>0.2888888889</v>
      </c>
      <c r="L216" s="2">
        <v>5.0</v>
      </c>
      <c r="M216" s="3">
        <f t="shared" si="5"/>
        <v>0.7142857143</v>
      </c>
      <c r="N216" s="2">
        <v>58900.0</v>
      </c>
      <c r="O216" s="4">
        <f t="shared" si="6"/>
        <v>8414.285714</v>
      </c>
      <c r="P216" s="2">
        <v>0.0</v>
      </c>
      <c r="Q216" s="3">
        <f t="shared" si="7"/>
        <v>0</v>
      </c>
      <c r="R216" s="2">
        <v>4.0</v>
      </c>
      <c r="S216" s="5">
        <f t="shared" si="8"/>
        <v>1</v>
      </c>
    </row>
    <row r="217">
      <c r="A217" s="2" t="s">
        <v>233</v>
      </c>
      <c r="B217" s="2">
        <v>4.0</v>
      </c>
      <c r="C217" s="2">
        <v>49.0</v>
      </c>
      <c r="D217" s="2">
        <v>17.0</v>
      </c>
      <c r="E217" s="3">
        <f t="shared" si="1"/>
        <v>0.3777777778</v>
      </c>
      <c r="F217" s="2">
        <v>8.0</v>
      </c>
      <c r="G217" s="3">
        <f t="shared" si="2"/>
        <v>0.1777777778</v>
      </c>
      <c r="H217" s="2">
        <v>10.0</v>
      </c>
      <c r="I217" s="3">
        <f t="shared" si="3"/>
        <v>0.2222222222</v>
      </c>
      <c r="J217" s="2">
        <v>10.0</v>
      </c>
      <c r="K217" s="3">
        <f t="shared" si="4"/>
        <v>0.2222222222</v>
      </c>
      <c r="L217" s="2">
        <v>7.0</v>
      </c>
      <c r="M217" s="3">
        <f t="shared" si="5"/>
        <v>0.7</v>
      </c>
      <c r="N217" s="2">
        <v>60600.0</v>
      </c>
      <c r="O217" s="4">
        <f t="shared" si="6"/>
        <v>6060</v>
      </c>
      <c r="P217" s="2">
        <v>0.0</v>
      </c>
      <c r="Q217" s="3">
        <f t="shared" si="7"/>
        <v>0</v>
      </c>
      <c r="R217" s="2">
        <v>4.0</v>
      </c>
      <c r="S217" s="5">
        <f t="shared" si="8"/>
        <v>1</v>
      </c>
    </row>
    <row r="218">
      <c r="A218" s="2" t="s">
        <v>234</v>
      </c>
      <c r="B218" s="2">
        <v>4.0</v>
      </c>
      <c r="C218" s="2">
        <v>49.0</v>
      </c>
      <c r="D218" s="2">
        <v>15.0</v>
      </c>
      <c r="E218" s="3">
        <f t="shared" si="1"/>
        <v>0.3333333333</v>
      </c>
      <c r="F218" s="2">
        <v>8.0</v>
      </c>
      <c r="G218" s="3">
        <f t="shared" si="2"/>
        <v>0.1777777778</v>
      </c>
      <c r="H218" s="2">
        <v>6.0</v>
      </c>
      <c r="I218" s="3">
        <f t="shared" si="3"/>
        <v>0.1333333333</v>
      </c>
      <c r="J218" s="2">
        <v>7.0</v>
      </c>
      <c r="K218" s="3">
        <f t="shared" si="4"/>
        <v>0.1555555556</v>
      </c>
      <c r="L218" s="2">
        <v>2.0</v>
      </c>
      <c r="M218" s="3">
        <f t="shared" si="5"/>
        <v>0.3333333333</v>
      </c>
      <c r="N218" s="2">
        <v>32700.0</v>
      </c>
      <c r="O218" s="4">
        <f t="shared" si="6"/>
        <v>5450</v>
      </c>
      <c r="P218" s="2">
        <v>0.0</v>
      </c>
      <c r="Q218" s="3">
        <f t="shared" si="7"/>
        <v>0</v>
      </c>
      <c r="R218" s="2">
        <v>4.0</v>
      </c>
      <c r="S218" s="5">
        <f t="shared" si="8"/>
        <v>1</v>
      </c>
    </row>
    <row r="219">
      <c r="A219" s="2" t="s">
        <v>235</v>
      </c>
      <c r="B219" s="2">
        <v>6.0</v>
      </c>
      <c r="C219" s="2">
        <v>68.0</v>
      </c>
      <c r="D219" s="2">
        <v>19.0</v>
      </c>
      <c r="E219" s="3">
        <f t="shared" si="1"/>
        <v>0.3064516129</v>
      </c>
      <c r="F219" s="2">
        <v>11.0</v>
      </c>
      <c r="G219" s="3">
        <f t="shared" si="2"/>
        <v>0.1774193548</v>
      </c>
      <c r="H219" s="2">
        <v>10.0</v>
      </c>
      <c r="I219" s="3">
        <f t="shared" si="3"/>
        <v>0.1612903226</v>
      </c>
      <c r="J219" s="2">
        <v>11.0</v>
      </c>
      <c r="K219" s="3">
        <f t="shared" si="4"/>
        <v>0.1774193548</v>
      </c>
      <c r="L219" s="2">
        <v>5.0</v>
      </c>
      <c r="M219" s="3">
        <f t="shared" si="5"/>
        <v>0.5</v>
      </c>
      <c r="N219" s="2">
        <v>62800.0</v>
      </c>
      <c r="O219" s="4">
        <f t="shared" si="6"/>
        <v>6280</v>
      </c>
      <c r="P219" s="2">
        <v>0.0</v>
      </c>
      <c r="Q219" s="3">
        <f t="shared" si="7"/>
        <v>0</v>
      </c>
      <c r="R219" s="2">
        <v>6.0</v>
      </c>
      <c r="S219" s="5">
        <f t="shared" si="8"/>
        <v>1</v>
      </c>
    </row>
    <row r="220">
      <c r="A220" s="2" t="s">
        <v>236</v>
      </c>
      <c r="B220" s="2">
        <v>136.0</v>
      </c>
      <c r="C220" s="2">
        <v>1546.0</v>
      </c>
      <c r="D220" s="2">
        <v>513.0</v>
      </c>
      <c r="E220" s="3">
        <f t="shared" si="1"/>
        <v>0.3638297872</v>
      </c>
      <c r="F220" s="2">
        <v>250.0</v>
      </c>
      <c r="G220" s="3">
        <f t="shared" si="2"/>
        <v>0.1773049645</v>
      </c>
      <c r="H220" s="2">
        <v>284.0</v>
      </c>
      <c r="I220" s="3">
        <f t="shared" si="3"/>
        <v>0.2014184397</v>
      </c>
      <c r="J220" s="2">
        <v>286.0</v>
      </c>
      <c r="K220" s="3">
        <f t="shared" si="4"/>
        <v>0.2028368794</v>
      </c>
      <c r="L220" s="2">
        <v>169.0</v>
      </c>
      <c r="M220" s="3">
        <f t="shared" si="5"/>
        <v>0.5950704225</v>
      </c>
      <c r="N220" s="2">
        <v>1463000.0</v>
      </c>
      <c r="O220" s="4">
        <f t="shared" si="6"/>
        <v>5151.408451</v>
      </c>
      <c r="P220" s="2">
        <v>0.0</v>
      </c>
      <c r="Q220" s="3">
        <f t="shared" si="7"/>
        <v>0</v>
      </c>
      <c r="R220" s="2">
        <v>136.0</v>
      </c>
      <c r="S220" s="5">
        <f t="shared" si="8"/>
        <v>1</v>
      </c>
    </row>
    <row r="221">
      <c r="A221" s="2" t="s">
        <v>237</v>
      </c>
      <c r="B221" s="2">
        <v>61.0</v>
      </c>
      <c r="C221" s="2">
        <v>659.0</v>
      </c>
      <c r="D221" s="2">
        <v>150.0</v>
      </c>
      <c r="E221" s="3">
        <f t="shared" si="1"/>
        <v>0.2508361204</v>
      </c>
      <c r="F221" s="2">
        <v>106.0</v>
      </c>
      <c r="G221" s="3">
        <f t="shared" si="2"/>
        <v>0.1772575251</v>
      </c>
      <c r="H221" s="2">
        <v>126.0</v>
      </c>
      <c r="I221" s="3">
        <f t="shared" si="3"/>
        <v>0.2107023411</v>
      </c>
      <c r="J221" s="2">
        <v>141.0</v>
      </c>
      <c r="K221" s="3">
        <f t="shared" si="4"/>
        <v>0.2357859532</v>
      </c>
      <c r="L221" s="2">
        <v>84.0</v>
      </c>
      <c r="M221" s="3">
        <f t="shared" si="5"/>
        <v>0.6666666667</v>
      </c>
      <c r="N221" s="2">
        <v>830000.0</v>
      </c>
      <c r="O221" s="4">
        <f t="shared" si="6"/>
        <v>6587.301587</v>
      </c>
      <c r="P221" s="2">
        <v>0.0</v>
      </c>
      <c r="Q221" s="3">
        <f t="shared" si="7"/>
        <v>0</v>
      </c>
      <c r="R221" s="2">
        <v>61.0</v>
      </c>
      <c r="S221" s="5">
        <f t="shared" si="8"/>
        <v>1</v>
      </c>
    </row>
    <row r="222">
      <c r="A222" s="2" t="s">
        <v>238</v>
      </c>
      <c r="B222" s="2">
        <v>188.0</v>
      </c>
      <c r="C222" s="2">
        <v>2174.0</v>
      </c>
      <c r="D222" s="2">
        <v>768.0</v>
      </c>
      <c r="E222" s="3">
        <f t="shared" si="1"/>
        <v>0.3867069486</v>
      </c>
      <c r="F222" s="2">
        <v>352.0</v>
      </c>
      <c r="G222" s="3">
        <f t="shared" si="2"/>
        <v>0.1772406848</v>
      </c>
      <c r="H222" s="2">
        <v>437.0</v>
      </c>
      <c r="I222" s="3">
        <f t="shared" si="3"/>
        <v>0.220040282</v>
      </c>
      <c r="J222" s="2">
        <v>300.0</v>
      </c>
      <c r="K222" s="3">
        <f t="shared" si="4"/>
        <v>0.1510574018</v>
      </c>
      <c r="L222" s="2">
        <v>254.0</v>
      </c>
      <c r="M222" s="3">
        <f t="shared" si="5"/>
        <v>0.5812356979</v>
      </c>
      <c r="N222" s="2">
        <v>2529100.0</v>
      </c>
      <c r="O222" s="4">
        <f t="shared" si="6"/>
        <v>5787.414188</v>
      </c>
      <c r="P222" s="2">
        <v>1.0</v>
      </c>
      <c r="Q222" s="3">
        <f t="shared" si="7"/>
        <v>0.005319148936</v>
      </c>
      <c r="R222" s="2">
        <v>188.0</v>
      </c>
      <c r="S222" s="5">
        <f t="shared" si="8"/>
        <v>1</v>
      </c>
    </row>
    <row r="223">
      <c r="A223" s="2" t="s">
        <v>239</v>
      </c>
      <c r="B223" s="2">
        <v>7.0</v>
      </c>
      <c r="C223" s="2">
        <v>86.0</v>
      </c>
      <c r="D223" s="2">
        <v>28.0</v>
      </c>
      <c r="E223" s="3">
        <f t="shared" si="1"/>
        <v>0.3544303797</v>
      </c>
      <c r="F223" s="2">
        <v>14.0</v>
      </c>
      <c r="G223" s="3">
        <f t="shared" si="2"/>
        <v>0.1772151899</v>
      </c>
      <c r="H223" s="2">
        <v>14.0</v>
      </c>
      <c r="I223" s="3">
        <f t="shared" si="3"/>
        <v>0.1772151899</v>
      </c>
      <c r="J223" s="2">
        <v>15.0</v>
      </c>
      <c r="K223" s="3">
        <f t="shared" si="4"/>
        <v>0.1898734177</v>
      </c>
      <c r="L223" s="2">
        <v>11.0</v>
      </c>
      <c r="M223" s="3">
        <f t="shared" si="5"/>
        <v>0.7857142857</v>
      </c>
      <c r="N223" s="2">
        <v>65200.0</v>
      </c>
      <c r="O223" s="4">
        <f t="shared" si="6"/>
        <v>4657.142857</v>
      </c>
      <c r="P223" s="2">
        <v>0.0</v>
      </c>
      <c r="Q223" s="3">
        <f t="shared" si="7"/>
        <v>0</v>
      </c>
      <c r="R223" s="2">
        <v>0.0</v>
      </c>
      <c r="S223" s="5">
        <f t="shared" si="8"/>
        <v>0</v>
      </c>
    </row>
    <row r="224">
      <c r="A224" s="2" t="s">
        <v>240</v>
      </c>
      <c r="B224" s="2">
        <v>52.0</v>
      </c>
      <c r="C224" s="2">
        <v>594.0</v>
      </c>
      <c r="D224" s="2">
        <v>188.0</v>
      </c>
      <c r="E224" s="3">
        <f t="shared" si="1"/>
        <v>0.3468634686</v>
      </c>
      <c r="F224" s="2">
        <v>96.0</v>
      </c>
      <c r="G224" s="3">
        <f t="shared" si="2"/>
        <v>0.1771217712</v>
      </c>
      <c r="H224" s="2">
        <v>130.0</v>
      </c>
      <c r="I224" s="3">
        <f t="shared" si="3"/>
        <v>0.2398523985</v>
      </c>
      <c r="J224" s="2">
        <v>103.0</v>
      </c>
      <c r="K224" s="3">
        <f t="shared" si="4"/>
        <v>0.1900369004</v>
      </c>
      <c r="L224" s="2">
        <v>77.0</v>
      </c>
      <c r="M224" s="3">
        <f t="shared" si="5"/>
        <v>0.5923076923</v>
      </c>
      <c r="N224" s="2">
        <v>705600.0</v>
      </c>
      <c r="O224" s="4">
        <f t="shared" si="6"/>
        <v>5427.692308</v>
      </c>
      <c r="P224" s="2">
        <v>0.0</v>
      </c>
      <c r="Q224" s="3">
        <f t="shared" si="7"/>
        <v>0</v>
      </c>
      <c r="R224" s="2">
        <v>52.0</v>
      </c>
      <c r="S224" s="5">
        <f t="shared" si="8"/>
        <v>1</v>
      </c>
    </row>
    <row r="225">
      <c r="A225" s="2" t="s">
        <v>241</v>
      </c>
      <c r="B225" s="2">
        <v>44.0</v>
      </c>
      <c r="C225" s="2">
        <v>524.0</v>
      </c>
      <c r="D225" s="2">
        <v>140.0</v>
      </c>
      <c r="E225" s="3">
        <f t="shared" si="1"/>
        <v>0.2916666667</v>
      </c>
      <c r="F225" s="2">
        <v>85.0</v>
      </c>
      <c r="G225" s="3">
        <f t="shared" si="2"/>
        <v>0.1770833333</v>
      </c>
      <c r="H225" s="2">
        <v>82.0</v>
      </c>
      <c r="I225" s="3">
        <f t="shared" si="3"/>
        <v>0.1708333333</v>
      </c>
      <c r="J225" s="2">
        <v>81.0</v>
      </c>
      <c r="K225" s="3">
        <f t="shared" si="4"/>
        <v>0.16875</v>
      </c>
      <c r="L225" s="2">
        <v>48.0</v>
      </c>
      <c r="M225" s="3">
        <f t="shared" si="5"/>
        <v>0.5853658537</v>
      </c>
      <c r="N225" s="2">
        <v>454900.0</v>
      </c>
      <c r="O225" s="4">
        <f t="shared" si="6"/>
        <v>5547.560976</v>
      </c>
      <c r="P225" s="2">
        <v>0.0</v>
      </c>
      <c r="Q225" s="3">
        <f t="shared" si="7"/>
        <v>0</v>
      </c>
      <c r="R225" s="2">
        <v>44.0</v>
      </c>
      <c r="S225" s="5">
        <f t="shared" si="8"/>
        <v>1</v>
      </c>
    </row>
    <row r="226">
      <c r="A226" s="2" t="s">
        <v>242</v>
      </c>
      <c r="B226" s="2">
        <v>35.0</v>
      </c>
      <c r="C226" s="2">
        <v>391.0</v>
      </c>
      <c r="D226" s="2">
        <v>94.0</v>
      </c>
      <c r="E226" s="3">
        <f t="shared" si="1"/>
        <v>0.2640449438</v>
      </c>
      <c r="F226" s="2">
        <v>63.0</v>
      </c>
      <c r="G226" s="3">
        <f t="shared" si="2"/>
        <v>0.1769662921</v>
      </c>
      <c r="H226" s="2">
        <v>62.0</v>
      </c>
      <c r="I226" s="3">
        <f t="shared" si="3"/>
        <v>0.1741573034</v>
      </c>
      <c r="J226" s="2">
        <v>61.0</v>
      </c>
      <c r="K226" s="3">
        <f t="shared" si="4"/>
        <v>0.1713483146</v>
      </c>
      <c r="L226" s="2">
        <v>36.0</v>
      </c>
      <c r="M226" s="3">
        <f t="shared" si="5"/>
        <v>0.5806451613</v>
      </c>
      <c r="N226" s="2">
        <v>349500.0</v>
      </c>
      <c r="O226" s="4">
        <f t="shared" si="6"/>
        <v>5637.096774</v>
      </c>
      <c r="P226" s="2">
        <v>0.0</v>
      </c>
      <c r="Q226" s="3">
        <f t="shared" si="7"/>
        <v>0</v>
      </c>
      <c r="R226" s="2">
        <v>35.0</v>
      </c>
      <c r="S226" s="5">
        <f t="shared" si="8"/>
        <v>1</v>
      </c>
    </row>
    <row r="227">
      <c r="A227" s="2" t="s">
        <v>243</v>
      </c>
      <c r="B227" s="2">
        <v>27.0</v>
      </c>
      <c r="C227" s="2">
        <v>304.0</v>
      </c>
      <c r="D227" s="2">
        <v>127.0</v>
      </c>
      <c r="E227" s="3">
        <f t="shared" si="1"/>
        <v>0.4584837545</v>
      </c>
      <c r="F227" s="2">
        <v>49.0</v>
      </c>
      <c r="G227" s="3">
        <f t="shared" si="2"/>
        <v>0.1768953069</v>
      </c>
      <c r="H227" s="2">
        <v>46.0</v>
      </c>
      <c r="I227" s="3">
        <f t="shared" si="3"/>
        <v>0.1660649819</v>
      </c>
      <c r="J227" s="2">
        <v>39.0</v>
      </c>
      <c r="K227" s="3">
        <f t="shared" si="4"/>
        <v>0.1407942238</v>
      </c>
      <c r="L227" s="2">
        <v>25.0</v>
      </c>
      <c r="M227" s="3">
        <f t="shared" si="5"/>
        <v>0.5434782609</v>
      </c>
      <c r="N227" s="2">
        <v>281000.0</v>
      </c>
      <c r="O227" s="4">
        <f t="shared" si="6"/>
        <v>6108.695652</v>
      </c>
      <c r="P227" s="2">
        <v>1.0</v>
      </c>
      <c r="Q227" s="3">
        <f t="shared" si="7"/>
        <v>0.03703703704</v>
      </c>
      <c r="R227" s="2">
        <v>0.0</v>
      </c>
      <c r="S227" s="5">
        <f t="shared" si="8"/>
        <v>0</v>
      </c>
    </row>
    <row r="228">
      <c r="A228" s="2" t="s">
        <v>244</v>
      </c>
      <c r="B228" s="2">
        <v>22.0</v>
      </c>
      <c r="C228" s="2">
        <v>254.0</v>
      </c>
      <c r="D228" s="2">
        <v>83.0</v>
      </c>
      <c r="E228" s="3">
        <f t="shared" si="1"/>
        <v>0.3577586207</v>
      </c>
      <c r="F228" s="2">
        <v>41.0</v>
      </c>
      <c r="G228" s="3">
        <f t="shared" si="2"/>
        <v>0.1767241379</v>
      </c>
      <c r="H228" s="2">
        <v>48.0</v>
      </c>
      <c r="I228" s="3">
        <f t="shared" si="3"/>
        <v>0.2068965517</v>
      </c>
      <c r="J228" s="2">
        <v>39.0</v>
      </c>
      <c r="K228" s="3">
        <f t="shared" si="4"/>
        <v>0.1681034483</v>
      </c>
      <c r="L228" s="2">
        <v>33.0</v>
      </c>
      <c r="M228" s="3">
        <f t="shared" si="5"/>
        <v>0.6875</v>
      </c>
      <c r="N228" s="2">
        <v>279500.0</v>
      </c>
      <c r="O228" s="4">
        <f t="shared" si="6"/>
        <v>5822.916667</v>
      </c>
      <c r="P228" s="2">
        <v>0.0</v>
      </c>
      <c r="Q228" s="3">
        <f t="shared" si="7"/>
        <v>0</v>
      </c>
      <c r="R228" s="2">
        <v>22.0</v>
      </c>
      <c r="S228" s="5">
        <f t="shared" si="8"/>
        <v>1</v>
      </c>
    </row>
    <row r="229">
      <c r="A229" s="2" t="s">
        <v>245</v>
      </c>
      <c r="B229" s="2">
        <v>24.0</v>
      </c>
      <c r="C229" s="2">
        <v>273.0</v>
      </c>
      <c r="D229" s="2">
        <v>97.0</v>
      </c>
      <c r="E229" s="3">
        <f t="shared" si="1"/>
        <v>0.3895582329</v>
      </c>
      <c r="F229" s="2">
        <v>44.0</v>
      </c>
      <c r="G229" s="3">
        <f t="shared" si="2"/>
        <v>0.1767068273</v>
      </c>
      <c r="H229" s="2">
        <v>47.0</v>
      </c>
      <c r="I229" s="3">
        <f t="shared" si="3"/>
        <v>0.1887550201</v>
      </c>
      <c r="J229" s="2">
        <v>53.0</v>
      </c>
      <c r="K229" s="3">
        <f t="shared" si="4"/>
        <v>0.2128514056</v>
      </c>
      <c r="L229" s="2">
        <v>32.0</v>
      </c>
      <c r="M229" s="3">
        <f t="shared" si="5"/>
        <v>0.6808510638</v>
      </c>
      <c r="N229" s="2">
        <v>238400.0</v>
      </c>
      <c r="O229" s="4">
        <f t="shared" si="6"/>
        <v>5072.340426</v>
      </c>
      <c r="P229" s="2">
        <v>0.0</v>
      </c>
      <c r="Q229" s="3">
        <f t="shared" si="7"/>
        <v>0</v>
      </c>
      <c r="R229" s="2">
        <v>24.0</v>
      </c>
      <c r="S229" s="5">
        <f t="shared" si="8"/>
        <v>1</v>
      </c>
    </row>
    <row r="230">
      <c r="A230" s="2" t="s">
        <v>246</v>
      </c>
      <c r="B230" s="2">
        <v>246.0</v>
      </c>
      <c r="C230" s="2">
        <v>2863.0</v>
      </c>
      <c r="D230" s="2">
        <v>1081.0</v>
      </c>
      <c r="E230" s="3">
        <f t="shared" si="1"/>
        <v>0.4130683989</v>
      </c>
      <c r="F230" s="2">
        <v>462.0</v>
      </c>
      <c r="G230" s="3">
        <f t="shared" si="2"/>
        <v>0.1765380206</v>
      </c>
      <c r="H230" s="2">
        <v>522.0</v>
      </c>
      <c r="I230" s="3">
        <f t="shared" si="3"/>
        <v>0.1994650363</v>
      </c>
      <c r="J230" s="2">
        <v>476.0</v>
      </c>
      <c r="K230" s="3">
        <f t="shared" si="4"/>
        <v>0.1818876576</v>
      </c>
      <c r="L230" s="2">
        <v>324.0</v>
      </c>
      <c r="M230" s="3">
        <f t="shared" si="5"/>
        <v>0.6206896552</v>
      </c>
      <c r="N230" s="2">
        <v>3170100.0</v>
      </c>
      <c r="O230" s="4">
        <f t="shared" si="6"/>
        <v>6072.988506</v>
      </c>
      <c r="P230" s="2">
        <v>1.0</v>
      </c>
      <c r="Q230" s="3">
        <f t="shared" si="7"/>
        <v>0.00406504065</v>
      </c>
      <c r="R230" s="2">
        <v>246.0</v>
      </c>
      <c r="S230" s="5">
        <f t="shared" si="8"/>
        <v>1</v>
      </c>
    </row>
    <row r="231">
      <c r="A231" s="2" t="s">
        <v>247</v>
      </c>
      <c r="B231" s="2">
        <v>5.0</v>
      </c>
      <c r="C231" s="2">
        <v>56.0</v>
      </c>
      <c r="D231" s="2">
        <v>20.0</v>
      </c>
      <c r="E231" s="3">
        <f t="shared" si="1"/>
        <v>0.3921568627</v>
      </c>
      <c r="F231" s="2">
        <v>9.0</v>
      </c>
      <c r="G231" s="3">
        <f t="shared" si="2"/>
        <v>0.1764705882</v>
      </c>
      <c r="H231" s="2">
        <v>12.0</v>
      </c>
      <c r="I231" s="3">
        <f t="shared" si="3"/>
        <v>0.2352941176</v>
      </c>
      <c r="J231" s="2">
        <v>10.0</v>
      </c>
      <c r="K231" s="3">
        <f t="shared" si="4"/>
        <v>0.1960784314</v>
      </c>
      <c r="L231" s="2">
        <v>8.0</v>
      </c>
      <c r="M231" s="3">
        <f t="shared" si="5"/>
        <v>0.6666666667</v>
      </c>
      <c r="N231" s="2">
        <v>57300.0</v>
      </c>
      <c r="O231" s="4">
        <f t="shared" si="6"/>
        <v>4775</v>
      </c>
      <c r="P231" s="2">
        <v>0.0</v>
      </c>
      <c r="Q231" s="3">
        <f t="shared" si="7"/>
        <v>0</v>
      </c>
      <c r="R231" s="2">
        <v>0.0</v>
      </c>
      <c r="S231" s="5">
        <f t="shared" si="8"/>
        <v>0</v>
      </c>
    </row>
    <row r="232">
      <c r="A232" s="2" t="s">
        <v>248</v>
      </c>
      <c r="B232" s="2">
        <v>7.0</v>
      </c>
      <c r="C232" s="2">
        <v>75.0</v>
      </c>
      <c r="D232" s="2">
        <v>27.0</v>
      </c>
      <c r="E232" s="3">
        <f t="shared" si="1"/>
        <v>0.3970588235</v>
      </c>
      <c r="F232" s="2">
        <v>12.0</v>
      </c>
      <c r="G232" s="3">
        <f t="shared" si="2"/>
        <v>0.1764705882</v>
      </c>
      <c r="H232" s="2">
        <v>12.0</v>
      </c>
      <c r="I232" s="3">
        <f t="shared" si="3"/>
        <v>0.1764705882</v>
      </c>
      <c r="J232" s="2">
        <v>9.0</v>
      </c>
      <c r="K232" s="3">
        <f t="shared" si="4"/>
        <v>0.1323529412</v>
      </c>
      <c r="L232" s="2">
        <v>6.0</v>
      </c>
      <c r="M232" s="3">
        <f t="shared" si="5"/>
        <v>0.5</v>
      </c>
      <c r="N232" s="2">
        <v>60100.0</v>
      </c>
      <c r="O232" s="4">
        <f t="shared" si="6"/>
        <v>5008.333333</v>
      </c>
      <c r="P232" s="2">
        <v>0.0</v>
      </c>
      <c r="Q232" s="3">
        <f t="shared" si="7"/>
        <v>0</v>
      </c>
      <c r="R232" s="2">
        <v>0.0</v>
      </c>
      <c r="S232" s="5">
        <f t="shared" si="8"/>
        <v>0</v>
      </c>
    </row>
    <row r="233">
      <c r="A233" s="2" t="s">
        <v>249</v>
      </c>
      <c r="B233" s="2">
        <v>39.0</v>
      </c>
      <c r="C233" s="2">
        <v>481.0</v>
      </c>
      <c r="D233" s="2">
        <v>185.0</v>
      </c>
      <c r="E233" s="3">
        <f t="shared" si="1"/>
        <v>0.4185520362</v>
      </c>
      <c r="F233" s="2">
        <v>78.0</v>
      </c>
      <c r="G233" s="3">
        <f t="shared" si="2"/>
        <v>0.1764705882</v>
      </c>
      <c r="H233" s="2">
        <v>77.0</v>
      </c>
      <c r="I233" s="3">
        <f t="shared" si="3"/>
        <v>0.1742081448</v>
      </c>
      <c r="J233" s="2">
        <v>52.0</v>
      </c>
      <c r="K233" s="3">
        <f t="shared" si="4"/>
        <v>0.1176470588</v>
      </c>
      <c r="L233" s="2">
        <v>48.0</v>
      </c>
      <c r="M233" s="3">
        <f t="shared" si="5"/>
        <v>0.6233766234</v>
      </c>
      <c r="N233" s="2">
        <v>363400.0</v>
      </c>
      <c r="O233" s="4">
        <f t="shared" si="6"/>
        <v>4719.480519</v>
      </c>
      <c r="P233" s="2">
        <v>0.0</v>
      </c>
      <c r="Q233" s="3">
        <f t="shared" si="7"/>
        <v>0</v>
      </c>
      <c r="R233" s="2">
        <v>39.0</v>
      </c>
      <c r="S233" s="5">
        <f t="shared" si="8"/>
        <v>1</v>
      </c>
    </row>
    <row r="234">
      <c r="A234" s="2" t="s">
        <v>250</v>
      </c>
      <c r="B234" s="2">
        <v>369.0</v>
      </c>
      <c r="C234" s="2">
        <v>4201.0</v>
      </c>
      <c r="D234" s="2">
        <v>1067.0</v>
      </c>
      <c r="E234" s="3">
        <f t="shared" si="1"/>
        <v>0.2784446764</v>
      </c>
      <c r="F234" s="2">
        <v>676.0</v>
      </c>
      <c r="G234" s="3">
        <f t="shared" si="2"/>
        <v>0.1764091858</v>
      </c>
      <c r="H234" s="2">
        <v>780.0</v>
      </c>
      <c r="I234" s="3">
        <f t="shared" si="3"/>
        <v>0.2035490605</v>
      </c>
      <c r="J234" s="2">
        <v>845.0</v>
      </c>
      <c r="K234" s="3">
        <f t="shared" si="4"/>
        <v>0.2205114823</v>
      </c>
      <c r="L234" s="2">
        <v>451.0</v>
      </c>
      <c r="M234" s="3">
        <f t="shared" si="5"/>
        <v>0.5782051282</v>
      </c>
      <c r="N234" s="2">
        <v>4930300.0</v>
      </c>
      <c r="O234" s="4">
        <f t="shared" si="6"/>
        <v>6320.897436</v>
      </c>
      <c r="P234" s="2">
        <v>1.0</v>
      </c>
      <c r="Q234" s="3">
        <f t="shared" si="7"/>
        <v>0.0027100271</v>
      </c>
      <c r="R234" s="2">
        <v>369.0</v>
      </c>
      <c r="S234" s="5">
        <f t="shared" si="8"/>
        <v>1</v>
      </c>
    </row>
    <row r="235">
      <c r="A235" s="2" t="s">
        <v>251</v>
      </c>
      <c r="B235" s="2">
        <v>27.0</v>
      </c>
      <c r="C235" s="2">
        <v>322.0</v>
      </c>
      <c r="D235" s="2">
        <v>93.0</v>
      </c>
      <c r="E235" s="3">
        <f t="shared" si="1"/>
        <v>0.3152542373</v>
      </c>
      <c r="F235" s="2">
        <v>52.0</v>
      </c>
      <c r="G235" s="3">
        <f t="shared" si="2"/>
        <v>0.1762711864</v>
      </c>
      <c r="H235" s="2">
        <v>44.0</v>
      </c>
      <c r="I235" s="3">
        <f t="shared" si="3"/>
        <v>0.1491525424</v>
      </c>
      <c r="J235" s="2">
        <v>41.0</v>
      </c>
      <c r="K235" s="3">
        <f t="shared" si="4"/>
        <v>0.1389830508</v>
      </c>
      <c r="L235" s="2">
        <v>35.0</v>
      </c>
      <c r="M235" s="3">
        <f t="shared" si="5"/>
        <v>0.7954545455</v>
      </c>
      <c r="N235" s="2">
        <v>220100.0</v>
      </c>
      <c r="O235" s="4">
        <f t="shared" si="6"/>
        <v>5002.272727</v>
      </c>
      <c r="P235" s="2">
        <v>0.0</v>
      </c>
      <c r="Q235" s="3">
        <f t="shared" si="7"/>
        <v>0</v>
      </c>
      <c r="R235" s="2">
        <v>27.0</v>
      </c>
      <c r="S235" s="5">
        <f t="shared" si="8"/>
        <v>1</v>
      </c>
    </row>
    <row r="236">
      <c r="A236" s="2" t="s">
        <v>252</v>
      </c>
      <c r="B236" s="2">
        <v>79.0</v>
      </c>
      <c r="C236" s="2">
        <v>930.0</v>
      </c>
      <c r="D236" s="2">
        <v>239.0</v>
      </c>
      <c r="E236" s="3">
        <f t="shared" si="1"/>
        <v>0.2808460635</v>
      </c>
      <c r="F236" s="2">
        <v>150.0</v>
      </c>
      <c r="G236" s="3">
        <f t="shared" si="2"/>
        <v>0.1762632197</v>
      </c>
      <c r="H236" s="2">
        <v>148.0</v>
      </c>
      <c r="I236" s="3">
        <f t="shared" si="3"/>
        <v>0.1739130435</v>
      </c>
      <c r="J236" s="2">
        <v>134.0</v>
      </c>
      <c r="K236" s="3">
        <f t="shared" si="4"/>
        <v>0.1574618096</v>
      </c>
      <c r="L236" s="2">
        <v>91.0</v>
      </c>
      <c r="M236" s="3">
        <f t="shared" si="5"/>
        <v>0.6148648649</v>
      </c>
      <c r="N236" s="2">
        <v>951700.0</v>
      </c>
      <c r="O236" s="4">
        <f t="shared" si="6"/>
        <v>6430.405405</v>
      </c>
      <c r="P236" s="2">
        <v>1.0</v>
      </c>
      <c r="Q236" s="3">
        <f t="shared" si="7"/>
        <v>0.01265822785</v>
      </c>
      <c r="R236" s="2">
        <v>79.0</v>
      </c>
      <c r="S236" s="5">
        <f t="shared" si="8"/>
        <v>1</v>
      </c>
    </row>
    <row r="237">
      <c r="A237" s="2" t="s">
        <v>253</v>
      </c>
      <c r="B237" s="2">
        <v>235.0</v>
      </c>
      <c r="C237" s="2">
        <v>2687.0</v>
      </c>
      <c r="D237" s="2">
        <v>1000.0</v>
      </c>
      <c r="E237" s="3">
        <f t="shared" si="1"/>
        <v>0.4078303426</v>
      </c>
      <c r="F237" s="2">
        <v>432.0</v>
      </c>
      <c r="G237" s="3">
        <f t="shared" si="2"/>
        <v>0.176182708</v>
      </c>
      <c r="H237" s="2">
        <v>501.0</v>
      </c>
      <c r="I237" s="3">
        <f t="shared" si="3"/>
        <v>0.2043230016</v>
      </c>
      <c r="J237" s="2">
        <v>453.0</v>
      </c>
      <c r="K237" s="3">
        <f t="shared" si="4"/>
        <v>0.1847471452</v>
      </c>
      <c r="L237" s="2">
        <v>301.0</v>
      </c>
      <c r="M237" s="3">
        <f t="shared" si="5"/>
        <v>0.6007984032</v>
      </c>
      <c r="N237" s="2">
        <v>3109400.0</v>
      </c>
      <c r="O237" s="4">
        <f t="shared" si="6"/>
        <v>6206.387226</v>
      </c>
      <c r="P237" s="2">
        <v>0.0</v>
      </c>
      <c r="Q237" s="3">
        <f t="shared" si="7"/>
        <v>0</v>
      </c>
      <c r="R237" s="2">
        <v>235.0</v>
      </c>
      <c r="S237" s="5">
        <f t="shared" si="8"/>
        <v>1</v>
      </c>
    </row>
    <row r="238">
      <c r="A238" s="2" t="s">
        <v>254</v>
      </c>
      <c r="B238" s="2">
        <v>111.0</v>
      </c>
      <c r="C238" s="2">
        <v>1315.0</v>
      </c>
      <c r="D238" s="2">
        <v>449.0</v>
      </c>
      <c r="E238" s="3">
        <f t="shared" si="1"/>
        <v>0.372923588</v>
      </c>
      <c r="F238" s="2">
        <v>212.0</v>
      </c>
      <c r="G238" s="3">
        <f t="shared" si="2"/>
        <v>0.1760797342</v>
      </c>
      <c r="H238" s="2">
        <v>278.0</v>
      </c>
      <c r="I238" s="3">
        <f t="shared" si="3"/>
        <v>0.23089701</v>
      </c>
      <c r="J238" s="2">
        <v>212.0</v>
      </c>
      <c r="K238" s="3">
        <f t="shared" si="4"/>
        <v>0.1760797342</v>
      </c>
      <c r="L238" s="2">
        <v>160.0</v>
      </c>
      <c r="M238" s="3">
        <f t="shared" si="5"/>
        <v>0.5755395683</v>
      </c>
      <c r="N238" s="2">
        <v>1475500.0</v>
      </c>
      <c r="O238" s="4">
        <f t="shared" si="6"/>
        <v>5307.553957</v>
      </c>
      <c r="P238" s="2">
        <v>0.0</v>
      </c>
      <c r="Q238" s="3">
        <f t="shared" si="7"/>
        <v>0</v>
      </c>
      <c r="R238" s="2">
        <v>110.0</v>
      </c>
      <c r="S238" s="5">
        <f t="shared" si="8"/>
        <v>0.990990991</v>
      </c>
    </row>
    <row r="239">
      <c r="A239" s="2" t="s">
        <v>255</v>
      </c>
      <c r="B239" s="2">
        <v>14.0</v>
      </c>
      <c r="C239" s="2">
        <v>156.0</v>
      </c>
      <c r="D239" s="2">
        <v>43.0</v>
      </c>
      <c r="E239" s="3">
        <f t="shared" si="1"/>
        <v>0.3028169014</v>
      </c>
      <c r="F239" s="2">
        <v>25.0</v>
      </c>
      <c r="G239" s="3">
        <f t="shared" si="2"/>
        <v>0.176056338</v>
      </c>
      <c r="H239" s="2">
        <v>24.0</v>
      </c>
      <c r="I239" s="3">
        <f t="shared" si="3"/>
        <v>0.1690140845</v>
      </c>
      <c r="J239" s="2">
        <v>23.0</v>
      </c>
      <c r="K239" s="3">
        <f t="shared" si="4"/>
        <v>0.161971831</v>
      </c>
      <c r="L239" s="2">
        <v>15.0</v>
      </c>
      <c r="M239" s="3">
        <f t="shared" si="5"/>
        <v>0.625</v>
      </c>
      <c r="N239" s="2">
        <v>143400.0</v>
      </c>
      <c r="O239" s="4">
        <f t="shared" si="6"/>
        <v>5975</v>
      </c>
      <c r="P239" s="2">
        <v>0.0</v>
      </c>
      <c r="Q239" s="3">
        <f t="shared" si="7"/>
        <v>0</v>
      </c>
      <c r="R239" s="2">
        <v>14.0</v>
      </c>
      <c r="S239" s="5">
        <f t="shared" si="8"/>
        <v>1</v>
      </c>
    </row>
    <row r="240">
      <c r="A240" s="2" t="s">
        <v>256</v>
      </c>
      <c r="B240" s="2">
        <v>43.0</v>
      </c>
      <c r="C240" s="2">
        <v>526.0</v>
      </c>
      <c r="D240" s="2">
        <v>138.0</v>
      </c>
      <c r="E240" s="3">
        <f t="shared" si="1"/>
        <v>0.2857142857</v>
      </c>
      <c r="F240" s="2">
        <v>85.0</v>
      </c>
      <c r="G240" s="3">
        <f t="shared" si="2"/>
        <v>0.1759834369</v>
      </c>
      <c r="H240" s="2">
        <v>95.0</v>
      </c>
      <c r="I240" s="3">
        <f t="shared" si="3"/>
        <v>0.1966873706</v>
      </c>
      <c r="J240" s="2">
        <v>86.0</v>
      </c>
      <c r="K240" s="3">
        <f t="shared" si="4"/>
        <v>0.1780538302</v>
      </c>
      <c r="L240" s="2">
        <v>61.0</v>
      </c>
      <c r="M240" s="3">
        <f t="shared" si="5"/>
        <v>0.6421052632</v>
      </c>
      <c r="N240" s="2">
        <v>607000.0</v>
      </c>
      <c r="O240" s="4">
        <f t="shared" si="6"/>
        <v>6389.473684</v>
      </c>
      <c r="P240" s="2">
        <v>0.0</v>
      </c>
      <c r="Q240" s="3">
        <f t="shared" si="7"/>
        <v>0</v>
      </c>
      <c r="R240" s="2">
        <v>43.0</v>
      </c>
      <c r="S240" s="5">
        <f t="shared" si="8"/>
        <v>1</v>
      </c>
    </row>
    <row r="241">
      <c r="A241" s="2" t="s">
        <v>257</v>
      </c>
      <c r="B241" s="2">
        <v>121.0</v>
      </c>
      <c r="C241" s="2">
        <v>1394.0</v>
      </c>
      <c r="D241" s="2">
        <v>476.0</v>
      </c>
      <c r="E241" s="3">
        <f t="shared" si="1"/>
        <v>0.3739198743</v>
      </c>
      <c r="F241" s="2">
        <v>224.0</v>
      </c>
      <c r="G241" s="3">
        <f t="shared" si="2"/>
        <v>0.1759622938</v>
      </c>
      <c r="H241" s="2">
        <v>271.0</v>
      </c>
      <c r="I241" s="3">
        <f t="shared" si="3"/>
        <v>0.2128829537</v>
      </c>
      <c r="J241" s="2">
        <v>193.0</v>
      </c>
      <c r="K241" s="3">
        <f t="shared" si="4"/>
        <v>0.1516103692</v>
      </c>
      <c r="L241" s="2">
        <v>168.0</v>
      </c>
      <c r="M241" s="3">
        <f t="shared" si="5"/>
        <v>0.6199261993</v>
      </c>
      <c r="N241" s="2">
        <v>1576100.0</v>
      </c>
      <c r="O241" s="4">
        <f t="shared" si="6"/>
        <v>5815.867159</v>
      </c>
      <c r="P241" s="2">
        <v>0.0</v>
      </c>
      <c r="Q241" s="3">
        <f t="shared" si="7"/>
        <v>0</v>
      </c>
      <c r="R241" s="2">
        <v>121.0</v>
      </c>
      <c r="S241" s="5">
        <f t="shared" si="8"/>
        <v>1</v>
      </c>
    </row>
    <row r="242">
      <c r="A242" s="2" t="s">
        <v>258</v>
      </c>
      <c r="B242" s="2">
        <v>106.0</v>
      </c>
      <c r="C242" s="2">
        <v>1216.0</v>
      </c>
      <c r="D242" s="2">
        <v>296.0</v>
      </c>
      <c r="E242" s="3">
        <f t="shared" si="1"/>
        <v>0.2666666667</v>
      </c>
      <c r="F242" s="2">
        <v>195.0</v>
      </c>
      <c r="G242" s="3">
        <f t="shared" si="2"/>
        <v>0.1756756757</v>
      </c>
      <c r="H242" s="2">
        <v>205.0</v>
      </c>
      <c r="I242" s="3">
        <f t="shared" si="3"/>
        <v>0.1846846847</v>
      </c>
      <c r="J242" s="2">
        <v>231.0</v>
      </c>
      <c r="K242" s="3">
        <f t="shared" si="4"/>
        <v>0.2081081081</v>
      </c>
      <c r="L242" s="2">
        <v>122.0</v>
      </c>
      <c r="M242" s="3">
        <f t="shared" si="5"/>
        <v>0.5951219512</v>
      </c>
      <c r="N242" s="2">
        <v>1185300.0</v>
      </c>
      <c r="O242" s="4">
        <f t="shared" si="6"/>
        <v>5781.95122</v>
      </c>
      <c r="P242" s="2">
        <v>0.0</v>
      </c>
      <c r="Q242" s="3">
        <f t="shared" si="7"/>
        <v>0</v>
      </c>
      <c r="R242" s="2">
        <v>0.0</v>
      </c>
      <c r="S242" s="5">
        <f t="shared" si="8"/>
        <v>0</v>
      </c>
    </row>
    <row r="243">
      <c r="A243" s="2" t="s">
        <v>259</v>
      </c>
      <c r="B243" s="2">
        <v>54.0</v>
      </c>
      <c r="C243" s="2">
        <v>629.0</v>
      </c>
      <c r="D243" s="2">
        <v>214.0</v>
      </c>
      <c r="E243" s="3">
        <f t="shared" si="1"/>
        <v>0.372173913</v>
      </c>
      <c r="F243" s="2">
        <v>101.0</v>
      </c>
      <c r="G243" s="3">
        <f t="shared" si="2"/>
        <v>0.1756521739</v>
      </c>
      <c r="H243" s="2">
        <v>115.0</v>
      </c>
      <c r="I243" s="3">
        <f t="shared" si="3"/>
        <v>0.2</v>
      </c>
      <c r="J243" s="2">
        <v>96.0</v>
      </c>
      <c r="K243" s="3">
        <f t="shared" si="4"/>
        <v>0.1669565217</v>
      </c>
      <c r="L243" s="2">
        <v>72.0</v>
      </c>
      <c r="M243" s="3">
        <f t="shared" si="5"/>
        <v>0.6260869565</v>
      </c>
      <c r="N243" s="2">
        <v>649600.0</v>
      </c>
      <c r="O243" s="4">
        <f t="shared" si="6"/>
        <v>5648.695652</v>
      </c>
      <c r="P243" s="2">
        <v>0.0</v>
      </c>
      <c r="Q243" s="3">
        <f t="shared" si="7"/>
        <v>0</v>
      </c>
      <c r="R243" s="2">
        <v>54.0</v>
      </c>
      <c r="S243" s="5">
        <f t="shared" si="8"/>
        <v>1</v>
      </c>
    </row>
    <row r="244">
      <c r="A244" s="2" t="s">
        <v>260</v>
      </c>
      <c r="B244" s="2">
        <v>51.0</v>
      </c>
      <c r="C244" s="2">
        <v>575.0</v>
      </c>
      <c r="D244" s="2">
        <v>166.0</v>
      </c>
      <c r="E244" s="3">
        <f t="shared" si="1"/>
        <v>0.3167938931</v>
      </c>
      <c r="F244" s="2">
        <v>92.0</v>
      </c>
      <c r="G244" s="3">
        <f t="shared" si="2"/>
        <v>0.1755725191</v>
      </c>
      <c r="H244" s="2">
        <v>82.0</v>
      </c>
      <c r="I244" s="3">
        <f t="shared" si="3"/>
        <v>0.1564885496</v>
      </c>
      <c r="J244" s="2">
        <v>109.0</v>
      </c>
      <c r="K244" s="3">
        <f t="shared" si="4"/>
        <v>0.2080152672</v>
      </c>
      <c r="L244" s="2">
        <v>47.0</v>
      </c>
      <c r="M244" s="3">
        <f t="shared" si="5"/>
        <v>0.5731707317</v>
      </c>
      <c r="N244" s="2">
        <v>576000.0</v>
      </c>
      <c r="O244" s="4">
        <f t="shared" si="6"/>
        <v>7024.390244</v>
      </c>
      <c r="P244" s="2">
        <v>1.0</v>
      </c>
      <c r="Q244" s="3">
        <f t="shared" si="7"/>
        <v>0.01960784314</v>
      </c>
      <c r="R244" s="2">
        <v>50.0</v>
      </c>
      <c r="S244" s="5">
        <f t="shared" si="8"/>
        <v>0.9803921569</v>
      </c>
    </row>
    <row r="245">
      <c r="A245" s="2" t="s">
        <v>261</v>
      </c>
      <c r="B245" s="2">
        <v>23.0</v>
      </c>
      <c r="C245" s="2">
        <v>268.0</v>
      </c>
      <c r="D245" s="2">
        <v>85.0</v>
      </c>
      <c r="E245" s="3">
        <f t="shared" si="1"/>
        <v>0.3469387755</v>
      </c>
      <c r="F245" s="2">
        <v>43.0</v>
      </c>
      <c r="G245" s="3">
        <f t="shared" si="2"/>
        <v>0.1755102041</v>
      </c>
      <c r="H245" s="2">
        <v>50.0</v>
      </c>
      <c r="I245" s="3">
        <f t="shared" si="3"/>
        <v>0.2040816327</v>
      </c>
      <c r="J245" s="2">
        <v>37.0</v>
      </c>
      <c r="K245" s="3">
        <f t="shared" si="4"/>
        <v>0.1510204082</v>
      </c>
      <c r="L245" s="2">
        <v>32.0</v>
      </c>
      <c r="M245" s="3">
        <f t="shared" si="5"/>
        <v>0.64</v>
      </c>
      <c r="N245" s="2">
        <v>282300.0</v>
      </c>
      <c r="O245" s="4">
        <f t="shared" si="6"/>
        <v>5646</v>
      </c>
      <c r="P245" s="2">
        <v>0.0</v>
      </c>
      <c r="Q245" s="3">
        <f t="shared" si="7"/>
        <v>0</v>
      </c>
      <c r="R245" s="2">
        <v>23.0</v>
      </c>
      <c r="S245" s="5">
        <f t="shared" si="8"/>
        <v>1</v>
      </c>
    </row>
    <row r="246">
      <c r="A246" s="2" t="s">
        <v>262</v>
      </c>
      <c r="B246" s="2">
        <v>5.0</v>
      </c>
      <c r="C246" s="2">
        <v>62.0</v>
      </c>
      <c r="D246" s="2">
        <v>27.0</v>
      </c>
      <c r="E246" s="3">
        <f t="shared" si="1"/>
        <v>0.4736842105</v>
      </c>
      <c r="F246" s="2">
        <v>10.0</v>
      </c>
      <c r="G246" s="3">
        <f t="shared" si="2"/>
        <v>0.1754385965</v>
      </c>
      <c r="H246" s="2">
        <v>14.0</v>
      </c>
      <c r="I246" s="3">
        <f t="shared" si="3"/>
        <v>0.2456140351</v>
      </c>
      <c r="J246" s="2">
        <v>7.0</v>
      </c>
      <c r="K246" s="3">
        <f t="shared" si="4"/>
        <v>0.1228070175</v>
      </c>
      <c r="L246" s="2">
        <v>7.0</v>
      </c>
      <c r="M246" s="3">
        <f t="shared" si="5"/>
        <v>0.5</v>
      </c>
      <c r="N246" s="2">
        <v>73900.0</v>
      </c>
      <c r="O246" s="4">
        <f t="shared" si="6"/>
        <v>5278.571429</v>
      </c>
      <c r="P246" s="2">
        <v>0.0</v>
      </c>
      <c r="Q246" s="3">
        <f t="shared" si="7"/>
        <v>0</v>
      </c>
      <c r="R246" s="2">
        <v>5.0</v>
      </c>
      <c r="S246" s="5">
        <f t="shared" si="8"/>
        <v>1</v>
      </c>
    </row>
    <row r="247">
      <c r="A247" s="2" t="s">
        <v>263</v>
      </c>
      <c r="B247" s="2">
        <v>16.0</v>
      </c>
      <c r="C247" s="2">
        <v>170.0</v>
      </c>
      <c r="D247" s="2">
        <v>66.0</v>
      </c>
      <c r="E247" s="3">
        <f t="shared" si="1"/>
        <v>0.4285714286</v>
      </c>
      <c r="F247" s="2">
        <v>27.0</v>
      </c>
      <c r="G247" s="3">
        <f t="shared" si="2"/>
        <v>0.1753246753</v>
      </c>
      <c r="H247" s="2">
        <v>36.0</v>
      </c>
      <c r="I247" s="3">
        <f t="shared" si="3"/>
        <v>0.2337662338</v>
      </c>
      <c r="J247" s="2">
        <v>24.0</v>
      </c>
      <c r="K247" s="3">
        <f t="shared" si="4"/>
        <v>0.1558441558</v>
      </c>
      <c r="L247" s="2">
        <v>18.0</v>
      </c>
      <c r="M247" s="3">
        <f t="shared" si="5"/>
        <v>0.5</v>
      </c>
      <c r="N247" s="2">
        <v>151600.0</v>
      </c>
      <c r="O247" s="4">
        <f t="shared" si="6"/>
        <v>4211.111111</v>
      </c>
      <c r="P247" s="2">
        <v>0.0</v>
      </c>
      <c r="Q247" s="3">
        <f t="shared" si="7"/>
        <v>0</v>
      </c>
      <c r="R247" s="2">
        <v>16.0</v>
      </c>
      <c r="S247" s="5">
        <f t="shared" si="8"/>
        <v>1</v>
      </c>
    </row>
    <row r="248">
      <c r="A248" s="2" t="s">
        <v>264</v>
      </c>
      <c r="B248" s="2">
        <v>66.0</v>
      </c>
      <c r="C248" s="2">
        <v>791.0</v>
      </c>
      <c r="D248" s="2">
        <v>191.0</v>
      </c>
      <c r="E248" s="3">
        <f t="shared" si="1"/>
        <v>0.2634482759</v>
      </c>
      <c r="F248" s="2">
        <v>127.0</v>
      </c>
      <c r="G248" s="3">
        <f t="shared" si="2"/>
        <v>0.1751724138</v>
      </c>
      <c r="H248" s="2">
        <v>133.0</v>
      </c>
      <c r="I248" s="3">
        <f t="shared" si="3"/>
        <v>0.1834482759</v>
      </c>
      <c r="J248" s="2">
        <v>147.0</v>
      </c>
      <c r="K248" s="3">
        <f t="shared" si="4"/>
        <v>0.2027586207</v>
      </c>
      <c r="L248" s="2">
        <v>90.0</v>
      </c>
      <c r="M248" s="3">
        <f t="shared" si="5"/>
        <v>0.6766917293</v>
      </c>
      <c r="N248" s="2">
        <v>851300.0</v>
      </c>
      <c r="O248" s="4">
        <f t="shared" si="6"/>
        <v>6400.75188</v>
      </c>
      <c r="P248" s="2">
        <v>0.0</v>
      </c>
      <c r="Q248" s="3">
        <f t="shared" si="7"/>
        <v>0</v>
      </c>
      <c r="R248" s="2">
        <v>66.0</v>
      </c>
      <c r="S248" s="5">
        <f t="shared" si="8"/>
        <v>1</v>
      </c>
    </row>
    <row r="249">
      <c r="A249" s="2" t="s">
        <v>265</v>
      </c>
      <c r="B249" s="2">
        <v>4.0</v>
      </c>
      <c r="C249" s="2">
        <v>44.0</v>
      </c>
      <c r="D249" s="2">
        <v>17.0</v>
      </c>
      <c r="E249" s="3">
        <f t="shared" si="1"/>
        <v>0.425</v>
      </c>
      <c r="F249" s="2">
        <v>7.0</v>
      </c>
      <c r="G249" s="3">
        <f t="shared" si="2"/>
        <v>0.175</v>
      </c>
      <c r="H249" s="2">
        <v>11.0</v>
      </c>
      <c r="I249" s="3">
        <f t="shared" si="3"/>
        <v>0.275</v>
      </c>
      <c r="J249" s="2">
        <v>7.0</v>
      </c>
      <c r="K249" s="3">
        <f t="shared" si="4"/>
        <v>0.175</v>
      </c>
      <c r="L249" s="2">
        <v>7.0</v>
      </c>
      <c r="M249" s="3">
        <f t="shared" si="5"/>
        <v>0.6363636364</v>
      </c>
      <c r="N249" s="2">
        <v>47800.0</v>
      </c>
      <c r="O249" s="4">
        <f t="shared" si="6"/>
        <v>4345.454545</v>
      </c>
      <c r="P249" s="2">
        <v>0.0</v>
      </c>
      <c r="Q249" s="3">
        <f t="shared" si="7"/>
        <v>0</v>
      </c>
      <c r="R249" s="2">
        <v>4.0</v>
      </c>
      <c r="S249" s="5">
        <f t="shared" si="8"/>
        <v>1</v>
      </c>
    </row>
    <row r="250">
      <c r="A250" s="2" t="s">
        <v>266</v>
      </c>
      <c r="B250" s="2">
        <v>4.0</v>
      </c>
      <c r="C250" s="2">
        <v>44.0</v>
      </c>
      <c r="D250" s="2">
        <v>16.0</v>
      </c>
      <c r="E250" s="3">
        <f t="shared" si="1"/>
        <v>0.4</v>
      </c>
      <c r="F250" s="2">
        <v>7.0</v>
      </c>
      <c r="G250" s="3">
        <f t="shared" si="2"/>
        <v>0.175</v>
      </c>
      <c r="H250" s="2">
        <v>3.0</v>
      </c>
      <c r="I250" s="3">
        <f t="shared" si="3"/>
        <v>0.075</v>
      </c>
      <c r="J250" s="2">
        <v>6.0</v>
      </c>
      <c r="K250" s="3">
        <f t="shared" si="4"/>
        <v>0.15</v>
      </c>
      <c r="L250" s="2">
        <v>3.0</v>
      </c>
      <c r="M250" s="3">
        <f t="shared" si="5"/>
        <v>1</v>
      </c>
      <c r="N250" s="2">
        <v>12900.0</v>
      </c>
      <c r="O250" s="4">
        <f t="shared" si="6"/>
        <v>4300</v>
      </c>
      <c r="P250" s="2">
        <v>0.0</v>
      </c>
      <c r="Q250" s="3">
        <f t="shared" si="7"/>
        <v>0</v>
      </c>
      <c r="R250" s="2">
        <v>4.0</v>
      </c>
      <c r="S250" s="5">
        <f t="shared" si="8"/>
        <v>1</v>
      </c>
    </row>
    <row r="251">
      <c r="A251" s="2" t="s">
        <v>267</v>
      </c>
      <c r="B251" s="2">
        <v>192.0</v>
      </c>
      <c r="C251" s="2">
        <v>2255.0</v>
      </c>
      <c r="D251" s="2">
        <v>737.0</v>
      </c>
      <c r="E251" s="3">
        <f t="shared" si="1"/>
        <v>0.3572467281</v>
      </c>
      <c r="F251" s="2">
        <v>361.0</v>
      </c>
      <c r="G251" s="3">
        <f t="shared" si="2"/>
        <v>0.1749878817</v>
      </c>
      <c r="H251" s="2">
        <v>475.0</v>
      </c>
      <c r="I251" s="3">
        <f t="shared" si="3"/>
        <v>0.2302472128</v>
      </c>
      <c r="J251" s="2">
        <v>363.0</v>
      </c>
      <c r="K251" s="3">
        <f t="shared" si="4"/>
        <v>0.1759573437</v>
      </c>
      <c r="L251" s="2">
        <v>294.0</v>
      </c>
      <c r="M251" s="3">
        <f t="shared" si="5"/>
        <v>0.6189473684</v>
      </c>
      <c r="N251" s="2">
        <v>2512100.0</v>
      </c>
      <c r="O251" s="4">
        <f t="shared" si="6"/>
        <v>5288.631579</v>
      </c>
      <c r="P251" s="2">
        <v>1.0</v>
      </c>
      <c r="Q251" s="3">
        <f t="shared" si="7"/>
        <v>0.005208333333</v>
      </c>
      <c r="R251" s="2">
        <v>192.0</v>
      </c>
      <c r="S251" s="5">
        <f t="shared" si="8"/>
        <v>1</v>
      </c>
    </row>
    <row r="252">
      <c r="A252" s="2" t="s">
        <v>268</v>
      </c>
      <c r="B252" s="2">
        <v>35.0</v>
      </c>
      <c r="C252" s="2">
        <v>401.0</v>
      </c>
      <c r="D252" s="2">
        <v>105.0</v>
      </c>
      <c r="E252" s="3">
        <f t="shared" si="1"/>
        <v>0.2868852459</v>
      </c>
      <c r="F252" s="2">
        <v>64.0</v>
      </c>
      <c r="G252" s="3">
        <f t="shared" si="2"/>
        <v>0.174863388</v>
      </c>
      <c r="H252" s="2">
        <v>67.0</v>
      </c>
      <c r="I252" s="3">
        <f t="shared" si="3"/>
        <v>0.1830601093</v>
      </c>
      <c r="J252" s="2">
        <v>72.0</v>
      </c>
      <c r="K252" s="3">
        <f t="shared" si="4"/>
        <v>0.1967213115</v>
      </c>
      <c r="L252" s="2">
        <v>43.0</v>
      </c>
      <c r="M252" s="3">
        <f t="shared" si="5"/>
        <v>0.6417910448</v>
      </c>
      <c r="N252" s="2">
        <v>385700.0</v>
      </c>
      <c r="O252" s="4">
        <f t="shared" si="6"/>
        <v>5756.716418</v>
      </c>
      <c r="P252" s="2">
        <v>0.0</v>
      </c>
      <c r="Q252" s="3">
        <f t="shared" si="7"/>
        <v>0</v>
      </c>
      <c r="R252" s="2">
        <v>35.0</v>
      </c>
      <c r="S252" s="5">
        <f t="shared" si="8"/>
        <v>1</v>
      </c>
    </row>
    <row r="253">
      <c r="A253" s="2" t="s">
        <v>269</v>
      </c>
      <c r="B253" s="2">
        <v>24.0</v>
      </c>
      <c r="C253" s="2">
        <v>270.0</v>
      </c>
      <c r="D253" s="2">
        <v>90.0</v>
      </c>
      <c r="E253" s="3">
        <f t="shared" si="1"/>
        <v>0.3658536585</v>
      </c>
      <c r="F253" s="2">
        <v>43.0</v>
      </c>
      <c r="G253" s="3">
        <f t="shared" si="2"/>
        <v>0.174796748</v>
      </c>
      <c r="H253" s="2">
        <v>56.0</v>
      </c>
      <c r="I253" s="3">
        <f t="shared" si="3"/>
        <v>0.2276422764</v>
      </c>
      <c r="J253" s="2">
        <v>50.0</v>
      </c>
      <c r="K253" s="3">
        <f t="shared" si="4"/>
        <v>0.2032520325</v>
      </c>
      <c r="L253" s="2">
        <v>34.0</v>
      </c>
      <c r="M253" s="3">
        <f t="shared" si="5"/>
        <v>0.6071428571</v>
      </c>
      <c r="N253" s="2">
        <v>340000.0</v>
      </c>
      <c r="O253" s="4">
        <f t="shared" si="6"/>
        <v>6071.428571</v>
      </c>
      <c r="P253" s="2">
        <v>0.0</v>
      </c>
      <c r="Q253" s="3">
        <f t="shared" si="7"/>
        <v>0</v>
      </c>
      <c r="R253" s="2">
        <v>24.0</v>
      </c>
      <c r="S253" s="5">
        <f t="shared" si="8"/>
        <v>1</v>
      </c>
    </row>
    <row r="254">
      <c r="A254" s="2" t="s">
        <v>270</v>
      </c>
      <c r="B254" s="2">
        <v>65.0</v>
      </c>
      <c r="C254" s="2">
        <v>723.0</v>
      </c>
      <c r="D254" s="2">
        <v>248.0</v>
      </c>
      <c r="E254" s="3">
        <f t="shared" si="1"/>
        <v>0.376899696</v>
      </c>
      <c r="F254" s="2">
        <v>115.0</v>
      </c>
      <c r="G254" s="3">
        <f t="shared" si="2"/>
        <v>0.1747720365</v>
      </c>
      <c r="H254" s="2">
        <v>135.0</v>
      </c>
      <c r="I254" s="3">
        <f t="shared" si="3"/>
        <v>0.2051671733</v>
      </c>
      <c r="J254" s="2">
        <v>94.0</v>
      </c>
      <c r="K254" s="3">
        <f t="shared" si="4"/>
        <v>0.1428571429</v>
      </c>
      <c r="L254" s="2">
        <v>79.0</v>
      </c>
      <c r="M254" s="3">
        <f t="shared" si="5"/>
        <v>0.5851851852</v>
      </c>
      <c r="N254" s="2">
        <v>858900.0</v>
      </c>
      <c r="O254" s="4">
        <f t="shared" si="6"/>
        <v>6362.222222</v>
      </c>
      <c r="P254" s="2">
        <v>0.0</v>
      </c>
      <c r="Q254" s="3">
        <f t="shared" si="7"/>
        <v>0</v>
      </c>
      <c r="R254" s="2">
        <v>65.0</v>
      </c>
      <c r="S254" s="5">
        <f t="shared" si="8"/>
        <v>1</v>
      </c>
    </row>
    <row r="255">
      <c r="A255" s="2" t="s">
        <v>271</v>
      </c>
      <c r="B255" s="2">
        <v>60.0</v>
      </c>
      <c r="C255" s="2">
        <v>701.0</v>
      </c>
      <c r="D255" s="2">
        <v>254.0</v>
      </c>
      <c r="E255" s="3">
        <f t="shared" si="1"/>
        <v>0.3962558502</v>
      </c>
      <c r="F255" s="2">
        <v>112.0</v>
      </c>
      <c r="G255" s="3">
        <f t="shared" si="2"/>
        <v>0.1747269891</v>
      </c>
      <c r="H255" s="2">
        <v>142.0</v>
      </c>
      <c r="I255" s="3">
        <f t="shared" si="3"/>
        <v>0.2215288612</v>
      </c>
      <c r="J255" s="2">
        <v>115.0</v>
      </c>
      <c r="K255" s="3">
        <f t="shared" si="4"/>
        <v>0.1794071763</v>
      </c>
      <c r="L255" s="2">
        <v>81.0</v>
      </c>
      <c r="M255" s="3">
        <f t="shared" si="5"/>
        <v>0.5704225352</v>
      </c>
      <c r="N255" s="2">
        <v>755500.0</v>
      </c>
      <c r="O255" s="4">
        <f t="shared" si="6"/>
        <v>5320.422535</v>
      </c>
      <c r="P255" s="2">
        <v>0.0</v>
      </c>
      <c r="Q255" s="3">
        <f t="shared" si="7"/>
        <v>0</v>
      </c>
      <c r="R255" s="2">
        <v>60.0</v>
      </c>
      <c r="S255" s="5">
        <f t="shared" si="8"/>
        <v>1</v>
      </c>
    </row>
    <row r="256">
      <c r="A256" s="2" t="s">
        <v>272</v>
      </c>
      <c r="B256" s="2">
        <v>73.0</v>
      </c>
      <c r="C256" s="2">
        <v>840.0</v>
      </c>
      <c r="D256" s="2">
        <v>254.0</v>
      </c>
      <c r="E256" s="3">
        <f t="shared" si="1"/>
        <v>0.3311603651</v>
      </c>
      <c r="F256" s="2">
        <v>134.0</v>
      </c>
      <c r="G256" s="3">
        <f t="shared" si="2"/>
        <v>0.1747066493</v>
      </c>
      <c r="H256" s="2">
        <v>168.0</v>
      </c>
      <c r="I256" s="3">
        <f t="shared" si="3"/>
        <v>0.2190352021</v>
      </c>
      <c r="J256" s="2">
        <v>156.0</v>
      </c>
      <c r="K256" s="3">
        <f t="shared" si="4"/>
        <v>0.2033898305</v>
      </c>
      <c r="L256" s="2">
        <v>108.0</v>
      </c>
      <c r="M256" s="3">
        <f t="shared" si="5"/>
        <v>0.6428571429</v>
      </c>
      <c r="N256" s="2">
        <v>1055200.0</v>
      </c>
      <c r="O256" s="4">
        <f t="shared" si="6"/>
        <v>6280.952381</v>
      </c>
      <c r="P256" s="2">
        <v>1.0</v>
      </c>
      <c r="Q256" s="3">
        <f t="shared" si="7"/>
        <v>0.01369863014</v>
      </c>
      <c r="R256" s="2">
        <v>73.0</v>
      </c>
      <c r="S256" s="5">
        <f t="shared" si="8"/>
        <v>1</v>
      </c>
    </row>
    <row r="257">
      <c r="A257" s="2" t="s">
        <v>273</v>
      </c>
      <c r="B257" s="2">
        <v>106.0</v>
      </c>
      <c r="C257" s="2">
        <v>1234.0</v>
      </c>
      <c r="D257" s="2">
        <v>462.0</v>
      </c>
      <c r="E257" s="3">
        <f t="shared" si="1"/>
        <v>0.4095744681</v>
      </c>
      <c r="F257" s="2">
        <v>197.0</v>
      </c>
      <c r="G257" s="3">
        <f t="shared" si="2"/>
        <v>0.1746453901</v>
      </c>
      <c r="H257" s="2">
        <v>231.0</v>
      </c>
      <c r="I257" s="3">
        <f t="shared" si="3"/>
        <v>0.204787234</v>
      </c>
      <c r="J257" s="2">
        <v>187.0</v>
      </c>
      <c r="K257" s="3">
        <f t="shared" si="4"/>
        <v>0.1657801418</v>
      </c>
      <c r="L257" s="2">
        <v>147.0</v>
      </c>
      <c r="M257" s="3">
        <f t="shared" si="5"/>
        <v>0.6363636364</v>
      </c>
      <c r="N257" s="2">
        <v>1356700.0</v>
      </c>
      <c r="O257" s="4">
        <f t="shared" si="6"/>
        <v>5873.160173</v>
      </c>
      <c r="P257" s="2">
        <v>0.0</v>
      </c>
      <c r="Q257" s="3">
        <f t="shared" si="7"/>
        <v>0</v>
      </c>
      <c r="R257" s="2">
        <v>106.0</v>
      </c>
      <c r="S257" s="5">
        <f t="shared" si="8"/>
        <v>1</v>
      </c>
    </row>
    <row r="258">
      <c r="A258" s="2" t="s">
        <v>274</v>
      </c>
      <c r="B258" s="2">
        <v>56.0</v>
      </c>
      <c r="C258" s="2">
        <v>663.0</v>
      </c>
      <c r="D258" s="2">
        <v>209.0</v>
      </c>
      <c r="E258" s="3">
        <f t="shared" si="1"/>
        <v>0.3443163097</v>
      </c>
      <c r="F258" s="2">
        <v>106.0</v>
      </c>
      <c r="G258" s="3">
        <f t="shared" si="2"/>
        <v>0.1746293245</v>
      </c>
      <c r="H258" s="2">
        <v>137.0</v>
      </c>
      <c r="I258" s="3">
        <f t="shared" si="3"/>
        <v>0.2257001647</v>
      </c>
      <c r="J258" s="2">
        <v>121.0</v>
      </c>
      <c r="K258" s="3">
        <f t="shared" si="4"/>
        <v>0.1993410214</v>
      </c>
      <c r="L258" s="2">
        <v>84.0</v>
      </c>
      <c r="M258" s="3">
        <f t="shared" si="5"/>
        <v>0.6131386861</v>
      </c>
      <c r="N258" s="2">
        <v>709600.0</v>
      </c>
      <c r="O258" s="4">
        <f t="shared" si="6"/>
        <v>5179.562044</v>
      </c>
      <c r="P258" s="2">
        <v>0.0</v>
      </c>
      <c r="Q258" s="3">
        <f t="shared" si="7"/>
        <v>0</v>
      </c>
      <c r="R258" s="2">
        <v>56.0</v>
      </c>
      <c r="S258" s="5">
        <f t="shared" si="8"/>
        <v>1</v>
      </c>
    </row>
    <row r="259">
      <c r="A259" s="2" t="s">
        <v>275</v>
      </c>
      <c r="B259" s="2">
        <v>6.0</v>
      </c>
      <c r="C259" s="2">
        <v>69.0</v>
      </c>
      <c r="D259" s="2">
        <v>23.0</v>
      </c>
      <c r="E259" s="3">
        <f t="shared" si="1"/>
        <v>0.3650793651</v>
      </c>
      <c r="F259" s="2">
        <v>11.0</v>
      </c>
      <c r="G259" s="3">
        <f t="shared" si="2"/>
        <v>0.1746031746</v>
      </c>
      <c r="H259" s="2">
        <v>11.0</v>
      </c>
      <c r="I259" s="3">
        <f t="shared" si="3"/>
        <v>0.1746031746</v>
      </c>
      <c r="J259" s="2">
        <v>11.0</v>
      </c>
      <c r="K259" s="3">
        <f t="shared" si="4"/>
        <v>0.1746031746</v>
      </c>
      <c r="L259" s="2">
        <v>8.0</v>
      </c>
      <c r="M259" s="3">
        <f t="shared" si="5"/>
        <v>0.7272727273</v>
      </c>
      <c r="N259" s="2">
        <v>50000.0</v>
      </c>
      <c r="O259" s="4">
        <f t="shared" si="6"/>
        <v>4545.454545</v>
      </c>
      <c r="P259" s="2">
        <v>0.0</v>
      </c>
      <c r="Q259" s="3">
        <f t="shared" si="7"/>
        <v>0</v>
      </c>
      <c r="R259" s="2">
        <v>6.0</v>
      </c>
      <c r="S259" s="5">
        <f t="shared" si="8"/>
        <v>1</v>
      </c>
    </row>
    <row r="260">
      <c r="A260" s="2" t="s">
        <v>276</v>
      </c>
      <c r="B260" s="2">
        <v>187.0</v>
      </c>
      <c r="C260" s="2">
        <v>2129.0</v>
      </c>
      <c r="D260" s="2">
        <v>629.0</v>
      </c>
      <c r="E260" s="3">
        <f t="shared" si="1"/>
        <v>0.3238928939</v>
      </c>
      <c r="F260" s="2">
        <v>339.0</v>
      </c>
      <c r="G260" s="3">
        <f t="shared" si="2"/>
        <v>0.1745623069</v>
      </c>
      <c r="H260" s="2">
        <v>431.0</v>
      </c>
      <c r="I260" s="3">
        <f t="shared" si="3"/>
        <v>0.2219361483</v>
      </c>
      <c r="J260" s="2">
        <v>376.0</v>
      </c>
      <c r="K260" s="3">
        <f t="shared" si="4"/>
        <v>0.1936148301</v>
      </c>
      <c r="L260" s="2">
        <v>263.0</v>
      </c>
      <c r="M260" s="3">
        <f t="shared" si="5"/>
        <v>0.6102088167</v>
      </c>
      <c r="N260" s="2">
        <v>2383400.0</v>
      </c>
      <c r="O260" s="4">
        <f t="shared" si="6"/>
        <v>5529.930394</v>
      </c>
      <c r="P260" s="2">
        <v>0.0</v>
      </c>
      <c r="Q260" s="3">
        <f t="shared" si="7"/>
        <v>0</v>
      </c>
      <c r="R260" s="2">
        <v>187.0</v>
      </c>
      <c r="S260" s="5">
        <f t="shared" si="8"/>
        <v>1</v>
      </c>
    </row>
    <row r="261">
      <c r="A261" s="2" t="s">
        <v>277</v>
      </c>
      <c r="B261" s="2">
        <v>123.0</v>
      </c>
      <c r="C261" s="2">
        <v>1464.0</v>
      </c>
      <c r="D261" s="2">
        <v>430.0</v>
      </c>
      <c r="E261" s="3">
        <f t="shared" si="1"/>
        <v>0.3206562267</v>
      </c>
      <c r="F261" s="2">
        <v>234.0</v>
      </c>
      <c r="G261" s="3">
        <f t="shared" si="2"/>
        <v>0.1744966443</v>
      </c>
      <c r="H261" s="2">
        <v>272.0</v>
      </c>
      <c r="I261" s="3">
        <f t="shared" si="3"/>
        <v>0.2028337062</v>
      </c>
      <c r="J261" s="2">
        <v>302.0</v>
      </c>
      <c r="K261" s="3">
        <f t="shared" si="4"/>
        <v>0.2252050708</v>
      </c>
      <c r="L261" s="2">
        <v>155.0</v>
      </c>
      <c r="M261" s="3">
        <f t="shared" si="5"/>
        <v>0.5698529412</v>
      </c>
      <c r="N261" s="2">
        <v>1694400.0</v>
      </c>
      <c r="O261" s="4">
        <f t="shared" si="6"/>
        <v>6229.411765</v>
      </c>
      <c r="P261" s="2">
        <v>0.0</v>
      </c>
      <c r="Q261" s="3">
        <f t="shared" si="7"/>
        <v>0</v>
      </c>
      <c r="R261" s="2">
        <v>123.0</v>
      </c>
      <c r="S261" s="5">
        <f t="shared" si="8"/>
        <v>1</v>
      </c>
    </row>
    <row r="262">
      <c r="A262" s="2" t="s">
        <v>278</v>
      </c>
      <c r="B262" s="2">
        <v>75.0</v>
      </c>
      <c r="C262" s="2">
        <v>872.0</v>
      </c>
      <c r="D262" s="2">
        <v>317.0</v>
      </c>
      <c r="E262" s="3">
        <f t="shared" si="1"/>
        <v>0.3977415307</v>
      </c>
      <c r="F262" s="2">
        <v>139.0</v>
      </c>
      <c r="G262" s="3">
        <f t="shared" si="2"/>
        <v>0.1744040151</v>
      </c>
      <c r="H262" s="2">
        <v>178.0</v>
      </c>
      <c r="I262" s="3">
        <f t="shared" si="3"/>
        <v>0.2233375157</v>
      </c>
      <c r="J262" s="2">
        <v>118.0</v>
      </c>
      <c r="K262" s="3">
        <f t="shared" si="4"/>
        <v>0.148055207</v>
      </c>
      <c r="L262" s="2">
        <v>113.0</v>
      </c>
      <c r="M262" s="3">
        <f t="shared" si="5"/>
        <v>0.6348314607</v>
      </c>
      <c r="N262" s="2">
        <v>963900.0</v>
      </c>
      <c r="O262" s="4">
        <f t="shared" si="6"/>
        <v>5415.168539</v>
      </c>
      <c r="P262" s="2">
        <v>0.0</v>
      </c>
      <c r="Q262" s="3">
        <f t="shared" si="7"/>
        <v>0</v>
      </c>
      <c r="R262" s="2">
        <v>75.0</v>
      </c>
      <c r="S262" s="5">
        <f t="shared" si="8"/>
        <v>1</v>
      </c>
    </row>
    <row r="263">
      <c r="A263" s="2" t="s">
        <v>279</v>
      </c>
      <c r="B263" s="2">
        <v>12.0</v>
      </c>
      <c r="C263" s="2">
        <v>144.0</v>
      </c>
      <c r="D263" s="2">
        <v>49.0</v>
      </c>
      <c r="E263" s="3">
        <f t="shared" si="1"/>
        <v>0.3712121212</v>
      </c>
      <c r="F263" s="2">
        <v>23.0</v>
      </c>
      <c r="G263" s="3">
        <f t="shared" si="2"/>
        <v>0.1742424242</v>
      </c>
      <c r="H263" s="2">
        <v>22.0</v>
      </c>
      <c r="I263" s="3">
        <f t="shared" si="3"/>
        <v>0.1666666667</v>
      </c>
      <c r="J263" s="2">
        <v>21.0</v>
      </c>
      <c r="K263" s="3">
        <f t="shared" si="4"/>
        <v>0.1590909091</v>
      </c>
      <c r="L263" s="2">
        <v>14.0</v>
      </c>
      <c r="M263" s="3">
        <f t="shared" si="5"/>
        <v>0.6363636364</v>
      </c>
      <c r="N263" s="2">
        <v>116200.0</v>
      </c>
      <c r="O263" s="4">
        <f t="shared" si="6"/>
        <v>5281.818182</v>
      </c>
      <c r="P263" s="2">
        <v>0.0</v>
      </c>
      <c r="Q263" s="3">
        <f t="shared" si="7"/>
        <v>0</v>
      </c>
      <c r="R263" s="2">
        <v>0.0</v>
      </c>
      <c r="S263" s="5">
        <f t="shared" si="8"/>
        <v>0</v>
      </c>
    </row>
    <row r="264">
      <c r="A264" s="2" t="s">
        <v>280</v>
      </c>
      <c r="B264" s="2">
        <v>110.0</v>
      </c>
      <c r="C264" s="2">
        <v>1304.0</v>
      </c>
      <c r="D264" s="2">
        <v>384.0</v>
      </c>
      <c r="E264" s="3">
        <f t="shared" si="1"/>
        <v>0.3216080402</v>
      </c>
      <c r="F264" s="2">
        <v>208.0</v>
      </c>
      <c r="G264" s="3">
        <f t="shared" si="2"/>
        <v>0.1742043551</v>
      </c>
      <c r="H264" s="2">
        <v>253.0</v>
      </c>
      <c r="I264" s="3">
        <f t="shared" si="3"/>
        <v>0.2118927973</v>
      </c>
      <c r="J264" s="2">
        <v>242.0</v>
      </c>
      <c r="K264" s="3">
        <f t="shared" si="4"/>
        <v>0.202680067</v>
      </c>
      <c r="L264" s="2">
        <v>149.0</v>
      </c>
      <c r="M264" s="3">
        <f t="shared" si="5"/>
        <v>0.5889328063</v>
      </c>
      <c r="N264" s="2">
        <v>1454900.0</v>
      </c>
      <c r="O264" s="4">
        <f t="shared" si="6"/>
        <v>5750.592885</v>
      </c>
      <c r="P264" s="2">
        <v>0.0</v>
      </c>
      <c r="Q264" s="3">
        <f t="shared" si="7"/>
        <v>0</v>
      </c>
      <c r="R264" s="2">
        <v>110.0</v>
      </c>
      <c r="S264" s="5">
        <f t="shared" si="8"/>
        <v>1</v>
      </c>
    </row>
    <row r="265">
      <c r="A265" s="2" t="s">
        <v>281</v>
      </c>
      <c r="B265" s="2">
        <v>230.0</v>
      </c>
      <c r="C265" s="2">
        <v>2679.0</v>
      </c>
      <c r="D265" s="2">
        <v>820.0</v>
      </c>
      <c r="E265" s="3">
        <f t="shared" si="1"/>
        <v>0.3348305431</v>
      </c>
      <c r="F265" s="2">
        <v>426.0</v>
      </c>
      <c r="G265" s="3">
        <f t="shared" si="2"/>
        <v>0.1739485504</v>
      </c>
      <c r="H265" s="2">
        <v>516.0</v>
      </c>
      <c r="I265" s="3">
        <f t="shared" si="3"/>
        <v>0.2106982442</v>
      </c>
      <c r="J265" s="2">
        <v>351.0</v>
      </c>
      <c r="K265" s="3">
        <f t="shared" si="4"/>
        <v>0.1433238056</v>
      </c>
      <c r="L265" s="2">
        <v>328.0</v>
      </c>
      <c r="M265" s="3">
        <f t="shared" si="5"/>
        <v>0.6356589147</v>
      </c>
      <c r="N265" s="2">
        <v>3007100.0</v>
      </c>
      <c r="O265" s="4">
        <f t="shared" si="6"/>
        <v>5827.713178</v>
      </c>
      <c r="P265" s="2">
        <v>2.0</v>
      </c>
      <c r="Q265" s="3">
        <f t="shared" si="7"/>
        <v>0.008695652174</v>
      </c>
      <c r="R265" s="2">
        <v>230.0</v>
      </c>
      <c r="S265" s="5">
        <f t="shared" si="8"/>
        <v>1</v>
      </c>
    </row>
    <row r="266">
      <c r="A266" s="2" t="s">
        <v>282</v>
      </c>
      <c r="B266" s="2">
        <v>4.0</v>
      </c>
      <c r="C266" s="2">
        <v>50.0</v>
      </c>
      <c r="D266" s="2">
        <v>20.0</v>
      </c>
      <c r="E266" s="3">
        <f t="shared" si="1"/>
        <v>0.4347826087</v>
      </c>
      <c r="F266" s="2">
        <v>8.0</v>
      </c>
      <c r="G266" s="3">
        <f t="shared" si="2"/>
        <v>0.1739130435</v>
      </c>
      <c r="H266" s="2">
        <v>9.0</v>
      </c>
      <c r="I266" s="3">
        <f t="shared" si="3"/>
        <v>0.1956521739</v>
      </c>
      <c r="J266" s="2">
        <v>8.0</v>
      </c>
      <c r="K266" s="3">
        <f t="shared" si="4"/>
        <v>0.1739130435</v>
      </c>
      <c r="L266" s="2">
        <v>4.0</v>
      </c>
      <c r="M266" s="3">
        <f t="shared" si="5"/>
        <v>0.4444444444</v>
      </c>
      <c r="N266" s="2">
        <v>48200.0</v>
      </c>
      <c r="O266" s="4">
        <f t="shared" si="6"/>
        <v>5355.555556</v>
      </c>
      <c r="P266" s="2">
        <v>0.0</v>
      </c>
      <c r="Q266" s="3">
        <f t="shared" si="7"/>
        <v>0</v>
      </c>
      <c r="R266" s="2">
        <v>4.0</v>
      </c>
      <c r="S266" s="5">
        <f t="shared" si="8"/>
        <v>1</v>
      </c>
    </row>
    <row r="267">
      <c r="A267" s="2" t="s">
        <v>283</v>
      </c>
      <c r="B267" s="2">
        <v>58.0</v>
      </c>
      <c r="C267" s="2">
        <v>662.0</v>
      </c>
      <c r="D267" s="2">
        <v>226.0</v>
      </c>
      <c r="E267" s="3">
        <f t="shared" si="1"/>
        <v>0.3741721854</v>
      </c>
      <c r="F267" s="2">
        <v>105.0</v>
      </c>
      <c r="G267" s="3">
        <f t="shared" si="2"/>
        <v>0.1738410596</v>
      </c>
      <c r="H267" s="2">
        <v>122.0</v>
      </c>
      <c r="I267" s="3">
        <f t="shared" si="3"/>
        <v>0.201986755</v>
      </c>
      <c r="J267" s="2">
        <v>107.0</v>
      </c>
      <c r="K267" s="3">
        <f t="shared" si="4"/>
        <v>0.1771523179</v>
      </c>
      <c r="L267" s="2">
        <v>84.0</v>
      </c>
      <c r="M267" s="3">
        <f t="shared" si="5"/>
        <v>0.6885245902</v>
      </c>
      <c r="N267" s="2">
        <v>728000.0</v>
      </c>
      <c r="O267" s="4">
        <f t="shared" si="6"/>
        <v>5967.213115</v>
      </c>
      <c r="P267" s="2">
        <v>1.0</v>
      </c>
      <c r="Q267" s="3">
        <f t="shared" si="7"/>
        <v>0.01724137931</v>
      </c>
      <c r="R267" s="2">
        <v>0.0</v>
      </c>
      <c r="S267" s="5">
        <f t="shared" si="8"/>
        <v>0</v>
      </c>
    </row>
    <row r="268">
      <c r="A268" s="2" t="s">
        <v>284</v>
      </c>
      <c r="B268" s="2">
        <v>415.0</v>
      </c>
      <c r="C268" s="2">
        <v>4879.0</v>
      </c>
      <c r="D268" s="2">
        <v>1538.0</v>
      </c>
      <c r="E268" s="3">
        <f t="shared" si="1"/>
        <v>0.3445340502</v>
      </c>
      <c r="F268" s="2">
        <v>776.0</v>
      </c>
      <c r="G268" s="3">
        <f t="shared" si="2"/>
        <v>0.1738351254</v>
      </c>
      <c r="H268" s="2">
        <v>1037.0</v>
      </c>
      <c r="I268" s="3">
        <f t="shared" si="3"/>
        <v>0.2323028674</v>
      </c>
      <c r="J268" s="2">
        <v>938.0</v>
      </c>
      <c r="K268" s="3">
        <f t="shared" si="4"/>
        <v>0.210125448</v>
      </c>
      <c r="L268" s="2">
        <v>605.0</v>
      </c>
      <c r="M268" s="3">
        <f t="shared" si="5"/>
        <v>0.5834136933</v>
      </c>
      <c r="N268" s="2">
        <v>5753100.0</v>
      </c>
      <c r="O268" s="4">
        <f t="shared" si="6"/>
        <v>5547.83028</v>
      </c>
      <c r="P268" s="2">
        <v>0.0</v>
      </c>
      <c r="Q268" s="3">
        <f t="shared" si="7"/>
        <v>0</v>
      </c>
      <c r="R268" s="2">
        <v>414.0</v>
      </c>
      <c r="S268" s="5">
        <f t="shared" si="8"/>
        <v>0.9975903614</v>
      </c>
    </row>
    <row r="269">
      <c r="A269" s="2" t="s">
        <v>285</v>
      </c>
      <c r="B269" s="2">
        <v>91.0</v>
      </c>
      <c r="C269" s="2">
        <v>1046.0</v>
      </c>
      <c r="D269" s="2">
        <v>377.0</v>
      </c>
      <c r="E269" s="3">
        <f t="shared" si="1"/>
        <v>0.3947643979</v>
      </c>
      <c r="F269" s="2">
        <v>166.0</v>
      </c>
      <c r="G269" s="3">
        <f t="shared" si="2"/>
        <v>0.1738219895</v>
      </c>
      <c r="H269" s="2">
        <v>201.0</v>
      </c>
      <c r="I269" s="3">
        <f t="shared" si="3"/>
        <v>0.2104712042</v>
      </c>
      <c r="J269" s="2">
        <v>154.0</v>
      </c>
      <c r="K269" s="3">
        <f t="shared" si="4"/>
        <v>0.1612565445</v>
      </c>
      <c r="L269" s="2">
        <v>121.0</v>
      </c>
      <c r="M269" s="3">
        <f t="shared" si="5"/>
        <v>0.6019900498</v>
      </c>
      <c r="N269" s="2">
        <v>1173100.0</v>
      </c>
      <c r="O269" s="4">
        <f t="shared" si="6"/>
        <v>5836.318408</v>
      </c>
      <c r="P269" s="2">
        <v>0.0</v>
      </c>
      <c r="Q269" s="3">
        <f t="shared" si="7"/>
        <v>0</v>
      </c>
      <c r="R269" s="2">
        <v>91.0</v>
      </c>
      <c r="S269" s="5">
        <f t="shared" si="8"/>
        <v>1</v>
      </c>
    </row>
    <row r="270">
      <c r="A270" s="2" t="s">
        <v>286</v>
      </c>
      <c r="B270" s="2">
        <v>38.0</v>
      </c>
      <c r="C270" s="2">
        <v>435.0</v>
      </c>
      <c r="D270" s="2">
        <v>141.0</v>
      </c>
      <c r="E270" s="3">
        <f t="shared" si="1"/>
        <v>0.355163728</v>
      </c>
      <c r="F270" s="2">
        <v>69.0</v>
      </c>
      <c r="G270" s="3">
        <f t="shared" si="2"/>
        <v>0.1738035264</v>
      </c>
      <c r="H270" s="2">
        <v>79.0</v>
      </c>
      <c r="I270" s="3">
        <f t="shared" si="3"/>
        <v>0.1989924433</v>
      </c>
      <c r="J270" s="2">
        <v>59.0</v>
      </c>
      <c r="K270" s="3">
        <f t="shared" si="4"/>
        <v>0.1486146096</v>
      </c>
      <c r="L270" s="2">
        <v>46.0</v>
      </c>
      <c r="M270" s="3">
        <f t="shared" si="5"/>
        <v>0.582278481</v>
      </c>
      <c r="N270" s="2">
        <v>446800.0</v>
      </c>
      <c r="O270" s="4">
        <f t="shared" si="6"/>
        <v>5655.696203</v>
      </c>
      <c r="P270" s="2">
        <v>0.0</v>
      </c>
      <c r="Q270" s="3">
        <f t="shared" si="7"/>
        <v>0</v>
      </c>
      <c r="R270" s="2">
        <v>34.0</v>
      </c>
      <c r="S270" s="5">
        <f t="shared" si="8"/>
        <v>0.8947368421</v>
      </c>
    </row>
    <row r="271">
      <c r="A271" s="2" t="s">
        <v>287</v>
      </c>
      <c r="B271" s="2">
        <v>65.0</v>
      </c>
      <c r="C271" s="2">
        <v>756.0</v>
      </c>
      <c r="D271" s="2">
        <v>200.0</v>
      </c>
      <c r="E271" s="3">
        <f t="shared" si="1"/>
        <v>0.2894356006</v>
      </c>
      <c r="F271" s="2">
        <v>120.0</v>
      </c>
      <c r="G271" s="3">
        <f t="shared" si="2"/>
        <v>0.1736613603</v>
      </c>
      <c r="H271" s="2">
        <v>123.0</v>
      </c>
      <c r="I271" s="3">
        <f t="shared" si="3"/>
        <v>0.1780028944</v>
      </c>
      <c r="J271" s="2">
        <v>130.0</v>
      </c>
      <c r="K271" s="3">
        <f t="shared" si="4"/>
        <v>0.1881331404</v>
      </c>
      <c r="L271" s="2">
        <v>76.0</v>
      </c>
      <c r="M271" s="3">
        <f t="shared" si="5"/>
        <v>0.6178861789</v>
      </c>
      <c r="N271" s="2">
        <v>787900.0</v>
      </c>
      <c r="O271" s="4">
        <f t="shared" si="6"/>
        <v>6405.691057</v>
      </c>
      <c r="P271" s="2">
        <v>0.0</v>
      </c>
      <c r="Q271" s="3">
        <f t="shared" si="7"/>
        <v>0</v>
      </c>
      <c r="R271" s="2">
        <v>65.0</v>
      </c>
      <c r="S271" s="5">
        <f t="shared" si="8"/>
        <v>1</v>
      </c>
    </row>
    <row r="272">
      <c r="A272" s="2" t="s">
        <v>288</v>
      </c>
      <c r="B272" s="2">
        <v>66.0</v>
      </c>
      <c r="C272" s="2">
        <v>763.0</v>
      </c>
      <c r="D272" s="2">
        <v>299.0</v>
      </c>
      <c r="E272" s="3">
        <f t="shared" si="1"/>
        <v>0.4289813486</v>
      </c>
      <c r="F272" s="2">
        <v>121.0</v>
      </c>
      <c r="G272" s="3">
        <f t="shared" si="2"/>
        <v>0.1736011478</v>
      </c>
      <c r="H272" s="2">
        <v>161.0</v>
      </c>
      <c r="I272" s="3">
        <f t="shared" si="3"/>
        <v>0.230989957</v>
      </c>
      <c r="J272" s="2">
        <v>102.0</v>
      </c>
      <c r="K272" s="3">
        <f t="shared" si="4"/>
        <v>0.1463414634</v>
      </c>
      <c r="L272" s="2">
        <v>96.0</v>
      </c>
      <c r="M272" s="3">
        <f t="shared" si="5"/>
        <v>0.5962732919</v>
      </c>
      <c r="N272" s="2">
        <v>769300.0</v>
      </c>
      <c r="O272" s="4">
        <f t="shared" si="6"/>
        <v>4778.26087</v>
      </c>
      <c r="P272" s="2">
        <v>0.0</v>
      </c>
      <c r="Q272" s="3">
        <f t="shared" si="7"/>
        <v>0</v>
      </c>
      <c r="R272" s="2">
        <v>66.0</v>
      </c>
      <c r="S272" s="5">
        <f t="shared" si="8"/>
        <v>1</v>
      </c>
    </row>
    <row r="273">
      <c r="A273" s="2" t="s">
        <v>289</v>
      </c>
      <c r="B273" s="2">
        <v>11.0</v>
      </c>
      <c r="C273" s="2">
        <v>132.0</v>
      </c>
      <c r="D273" s="2">
        <v>38.0</v>
      </c>
      <c r="E273" s="3">
        <f t="shared" si="1"/>
        <v>0.3140495868</v>
      </c>
      <c r="F273" s="2">
        <v>21.0</v>
      </c>
      <c r="G273" s="3">
        <f t="shared" si="2"/>
        <v>0.173553719</v>
      </c>
      <c r="H273" s="2">
        <v>20.0</v>
      </c>
      <c r="I273" s="3">
        <f t="shared" si="3"/>
        <v>0.1652892562</v>
      </c>
      <c r="J273" s="2">
        <v>25.0</v>
      </c>
      <c r="K273" s="3">
        <f t="shared" si="4"/>
        <v>0.2066115702</v>
      </c>
      <c r="L273" s="2">
        <v>15.0</v>
      </c>
      <c r="M273" s="3">
        <f t="shared" si="5"/>
        <v>0.75</v>
      </c>
      <c r="N273" s="2">
        <v>104800.0</v>
      </c>
      <c r="O273" s="4">
        <f t="shared" si="6"/>
        <v>5240</v>
      </c>
      <c r="P273" s="2">
        <v>0.0</v>
      </c>
      <c r="Q273" s="3">
        <f t="shared" si="7"/>
        <v>0</v>
      </c>
      <c r="R273" s="2">
        <v>11.0</v>
      </c>
      <c r="S273" s="5">
        <f t="shared" si="8"/>
        <v>1</v>
      </c>
    </row>
    <row r="274">
      <c r="A274" s="2" t="s">
        <v>290</v>
      </c>
      <c r="B274" s="2">
        <v>29.0</v>
      </c>
      <c r="C274" s="2">
        <v>346.0</v>
      </c>
      <c r="D274" s="2">
        <v>100.0</v>
      </c>
      <c r="E274" s="3">
        <f t="shared" si="1"/>
        <v>0.3154574132</v>
      </c>
      <c r="F274" s="2">
        <v>55.0</v>
      </c>
      <c r="G274" s="3">
        <f t="shared" si="2"/>
        <v>0.1735015773</v>
      </c>
      <c r="H274" s="2">
        <v>57.0</v>
      </c>
      <c r="I274" s="3">
        <f t="shared" si="3"/>
        <v>0.1798107256</v>
      </c>
      <c r="J274" s="2">
        <v>60.0</v>
      </c>
      <c r="K274" s="3">
        <f t="shared" si="4"/>
        <v>0.1892744479</v>
      </c>
      <c r="L274" s="2">
        <v>31.0</v>
      </c>
      <c r="M274" s="3">
        <f t="shared" si="5"/>
        <v>0.5438596491</v>
      </c>
      <c r="N274" s="2">
        <v>277800.0</v>
      </c>
      <c r="O274" s="4">
        <f t="shared" si="6"/>
        <v>4873.684211</v>
      </c>
      <c r="P274" s="2">
        <v>0.0</v>
      </c>
      <c r="Q274" s="3">
        <f t="shared" si="7"/>
        <v>0</v>
      </c>
      <c r="R274" s="2">
        <v>20.0</v>
      </c>
      <c r="S274" s="5">
        <f t="shared" si="8"/>
        <v>0.6896551724</v>
      </c>
    </row>
    <row r="275">
      <c r="A275" s="2" t="s">
        <v>291</v>
      </c>
      <c r="B275" s="2">
        <v>235.0</v>
      </c>
      <c r="C275" s="2">
        <v>2652.0</v>
      </c>
      <c r="D275" s="2">
        <v>964.0</v>
      </c>
      <c r="E275" s="3">
        <f t="shared" si="1"/>
        <v>0.3988415391</v>
      </c>
      <c r="F275" s="2">
        <v>419.0</v>
      </c>
      <c r="G275" s="3">
        <f t="shared" si="2"/>
        <v>0.1733553993</v>
      </c>
      <c r="H275" s="2">
        <v>559.0</v>
      </c>
      <c r="I275" s="3">
        <f t="shared" si="3"/>
        <v>0.2312784444</v>
      </c>
      <c r="J275" s="2">
        <v>322.0</v>
      </c>
      <c r="K275" s="3">
        <f t="shared" si="4"/>
        <v>0.1332230037</v>
      </c>
      <c r="L275" s="2">
        <v>336.0</v>
      </c>
      <c r="M275" s="3">
        <f t="shared" si="5"/>
        <v>0.6010733453</v>
      </c>
      <c r="N275" s="2">
        <v>3004400.0</v>
      </c>
      <c r="O275" s="4">
        <f t="shared" si="6"/>
        <v>5374.597496</v>
      </c>
      <c r="P275" s="2">
        <v>3.0</v>
      </c>
      <c r="Q275" s="3">
        <f t="shared" si="7"/>
        <v>0.01276595745</v>
      </c>
      <c r="R275" s="2">
        <v>235.0</v>
      </c>
      <c r="S275" s="5">
        <f t="shared" si="8"/>
        <v>1</v>
      </c>
    </row>
    <row r="276">
      <c r="A276" s="2" t="s">
        <v>292</v>
      </c>
      <c r="B276" s="2">
        <v>42.0</v>
      </c>
      <c r="C276" s="2">
        <v>464.0</v>
      </c>
      <c r="D276" s="2">
        <v>169.0</v>
      </c>
      <c r="E276" s="3">
        <f t="shared" si="1"/>
        <v>0.4004739336</v>
      </c>
      <c r="F276" s="2">
        <v>73.0</v>
      </c>
      <c r="G276" s="3">
        <f t="shared" si="2"/>
        <v>0.172985782</v>
      </c>
      <c r="H276" s="2">
        <v>77.0</v>
      </c>
      <c r="I276" s="3">
        <f t="shared" si="3"/>
        <v>0.182464455</v>
      </c>
      <c r="J276" s="2">
        <v>78.0</v>
      </c>
      <c r="K276" s="3">
        <f t="shared" si="4"/>
        <v>0.1848341232</v>
      </c>
      <c r="L276" s="2">
        <v>44.0</v>
      </c>
      <c r="M276" s="3">
        <f t="shared" si="5"/>
        <v>0.5714285714</v>
      </c>
      <c r="N276" s="2">
        <v>492500.0</v>
      </c>
      <c r="O276" s="4">
        <f t="shared" si="6"/>
        <v>6396.103896</v>
      </c>
      <c r="P276" s="2">
        <v>1.0</v>
      </c>
      <c r="Q276" s="3">
        <f t="shared" si="7"/>
        <v>0.02380952381</v>
      </c>
      <c r="R276" s="2">
        <v>42.0</v>
      </c>
      <c r="S276" s="5">
        <f t="shared" si="8"/>
        <v>1</v>
      </c>
    </row>
    <row r="277">
      <c r="A277" s="2" t="s">
        <v>293</v>
      </c>
      <c r="B277" s="2">
        <v>12.0</v>
      </c>
      <c r="C277" s="2">
        <v>145.0</v>
      </c>
      <c r="D277" s="2">
        <v>44.0</v>
      </c>
      <c r="E277" s="3">
        <f t="shared" si="1"/>
        <v>0.3308270677</v>
      </c>
      <c r="F277" s="2">
        <v>23.0</v>
      </c>
      <c r="G277" s="3">
        <f t="shared" si="2"/>
        <v>0.1729323308</v>
      </c>
      <c r="H277" s="2">
        <v>15.0</v>
      </c>
      <c r="I277" s="3">
        <f t="shared" si="3"/>
        <v>0.1127819549</v>
      </c>
      <c r="J277" s="2">
        <v>23.0</v>
      </c>
      <c r="K277" s="3">
        <f t="shared" si="4"/>
        <v>0.1729323308</v>
      </c>
      <c r="L277" s="2">
        <v>7.0</v>
      </c>
      <c r="M277" s="3">
        <f t="shared" si="5"/>
        <v>0.4666666667</v>
      </c>
      <c r="N277" s="2">
        <v>79700.0</v>
      </c>
      <c r="O277" s="4">
        <f t="shared" si="6"/>
        <v>5313.333333</v>
      </c>
      <c r="P277" s="2">
        <v>0.0</v>
      </c>
      <c r="Q277" s="3">
        <f t="shared" si="7"/>
        <v>0</v>
      </c>
      <c r="R277" s="2">
        <v>12.0</v>
      </c>
      <c r="S277" s="5">
        <f t="shared" si="8"/>
        <v>1</v>
      </c>
    </row>
    <row r="278">
      <c r="A278" s="2" t="s">
        <v>294</v>
      </c>
      <c r="B278" s="2">
        <v>75.0</v>
      </c>
      <c r="C278" s="2">
        <v>902.0</v>
      </c>
      <c r="D278" s="2">
        <v>303.0</v>
      </c>
      <c r="E278" s="3">
        <f t="shared" si="1"/>
        <v>0.3663845224</v>
      </c>
      <c r="F278" s="2">
        <v>143.0</v>
      </c>
      <c r="G278" s="3">
        <f t="shared" si="2"/>
        <v>0.1729141475</v>
      </c>
      <c r="H278" s="2">
        <v>163.0</v>
      </c>
      <c r="I278" s="3">
        <f t="shared" si="3"/>
        <v>0.1970979444</v>
      </c>
      <c r="J278" s="2">
        <v>130.0</v>
      </c>
      <c r="K278" s="3">
        <f t="shared" si="4"/>
        <v>0.1571946796</v>
      </c>
      <c r="L278" s="2">
        <v>88.0</v>
      </c>
      <c r="M278" s="3">
        <f t="shared" si="5"/>
        <v>0.5398773006</v>
      </c>
      <c r="N278" s="2">
        <v>951300.0</v>
      </c>
      <c r="O278" s="4">
        <f t="shared" si="6"/>
        <v>5836.196319</v>
      </c>
      <c r="P278" s="2">
        <v>0.0</v>
      </c>
      <c r="Q278" s="3">
        <f t="shared" si="7"/>
        <v>0</v>
      </c>
      <c r="R278" s="2">
        <v>75.0</v>
      </c>
      <c r="S278" s="5">
        <f t="shared" si="8"/>
        <v>1</v>
      </c>
    </row>
    <row r="279">
      <c r="A279" s="2" t="s">
        <v>295</v>
      </c>
      <c r="B279" s="2">
        <v>230.0</v>
      </c>
      <c r="C279" s="2">
        <v>2660.0</v>
      </c>
      <c r="D279" s="2">
        <v>1041.0</v>
      </c>
      <c r="E279" s="3">
        <f t="shared" si="1"/>
        <v>0.4283950617</v>
      </c>
      <c r="F279" s="2">
        <v>420.0</v>
      </c>
      <c r="G279" s="3">
        <f t="shared" si="2"/>
        <v>0.1728395062</v>
      </c>
      <c r="H279" s="2">
        <v>576.0</v>
      </c>
      <c r="I279" s="3">
        <f t="shared" si="3"/>
        <v>0.237037037</v>
      </c>
      <c r="J279" s="2">
        <v>402.0</v>
      </c>
      <c r="K279" s="3">
        <f t="shared" si="4"/>
        <v>0.1654320988</v>
      </c>
      <c r="L279" s="2">
        <v>351.0</v>
      </c>
      <c r="M279" s="3">
        <f t="shared" si="5"/>
        <v>0.609375</v>
      </c>
      <c r="N279" s="2">
        <v>3094700.0</v>
      </c>
      <c r="O279" s="4">
        <f t="shared" si="6"/>
        <v>5372.743056</v>
      </c>
      <c r="P279" s="2">
        <v>1.0</v>
      </c>
      <c r="Q279" s="3">
        <f t="shared" si="7"/>
        <v>0.004347826087</v>
      </c>
      <c r="R279" s="2">
        <v>230.0</v>
      </c>
      <c r="S279" s="5">
        <f t="shared" si="8"/>
        <v>1</v>
      </c>
    </row>
    <row r="280">
      <c r="A280" s="2" t="s">
        <v>296</v>
      </c>
      <c r="B280" s="2">
        <v>39.0</v>
      </c>
      <c r="C280" s="2">
        <v>450.0</v>
      </c>
      <c r="D280" s="2">
        <v>181.0</v>
      </c>
      <c r="E280" s="3">
        <f t="shared" si="1"/>
        <v>0.4403892944</v>
      </c>
      <c r="F280" s="2">
        <v>71.0</v>
      </c>
      <c r="G280" s="3">
        <f t="shared" si="2"/>
        <v>0.1727493917</v>
      </c>
      <c r="H280" s="2">
        <v>82.0</v>
      </c>
      <c r="I280" s="3">
        <f t="shared" si="3"/>
        <v>0.199513382</v>
      </c>
      <c r="J280" s="2">
        <v>59.0</v>
      </c>
      <c r="K280" s="3">
        <f t="shared" si="4"/>
        <v>0.1435523114</v>
      </c>
      <c r="L280" s="2">
        <v>50.0</v>
      </c>
      <c r="M280" s="3">
        <f t="shared" si="5"/>
        <v>0.6097560976</v>
      </c>
      <c r="N280" s="2">
        <v>452600.0</v>
      </c>
      <c r="O280" s="4">
        <f t="shared" si="6"/>
        <v>5519.512195</v>
      </c>
      <c r="P280" s="2">
        <v>0.0</v>
      </c>
      <c r="Q280" s="3">
        <f t="shared" si="7"/>
        <v>0</v>
      </c>
      <c r="R280" s="2">
        <v>0.0</v>
      </c>
      <c r="S280" s="5">
        <f t="shared" si="8"/>
        <v>0</v>
      </c>
    </row>
    <row r="281">
      <c r="A281" s="2" t="s">
        <v>297</v>
      </c>
      <c r="B281" s="2">
        <v>39.0</v>
      </c>
      <c r="C281" s="2">
        <v>462.0</v>
      </c>
      <c r="D281" s="2">
        <v>114.0</v>
      </c>
      <c r="E281" s="3">
        <f t="shared" si="1"/>
        <v>0.2695035461</v>
      </c>
      <c r="F281" s="2">
        <v>73.0</v>
      </c>
      <c r="G281" s="3">
        <f t="shared" si="2"/>
        <v>0.1725768322</v>
      </c>
      <c r="H281" s="2">
        <v>83.0</v>
      </c>
      <c r="I281" s="3">
        <f t="shared" si="3"/>
        <v>0.1962174941</v>
      </c>
      <c r="J281" s="2">
        <v>81.0</v>
      </c>
      <c r="K281" s="3">
        <f t="shared" si="4"/>
        <v>0.1914893617</v>
      </c>
      <c r="L281" s="2">
        <v>58.0</v>
      </c>
      <c r="M281" s="3">
        <f t="shared" si="5"/>
        <v>0.6987951807</v>
      </c>
      <c r="N281" s="2">
        <v>467000.0</v>
      </c>
      <c r="O281" s="4">
        <f t="shared" si="6"/>
        <v>5626.506024</v>
      </c>
      <c r="P281" s="2">
        <v>1.0</v>
      </c>
      <c r="Q281" s="3">
        <f t="shared" si="7"/>
        <v>0.02564102564</v>
      </c>
      <c r="R281" s="2">
        <v>16.0</v>
      </c>
      <c r="S281" s="5">
        <f t="shared" si="8"/>
        <v>0.4102564103</v>
      </c>
    </row>
    <row r="282">
      <c r="A282" s="2" t="s">
        <v>298</v>
      </c>
      <c r="B282" s="2">
        <v>156.0</v>
      </c>
      <c r="C282" s="2">
        <v>1756.0</v>
      </c>
      <c r="D282" s="2">
        <v>556.0</v>
      </c>
      <c r="E282" s="3">
        <f t="shared" si="1"/>
        <v>0.3475</v>
      </c>
      <c r="F282" s="2">
        <v>276.0</v>
      </c>
      <c r="G282" s="3">
        <f t="shared" si="2"/>
        <v>0.1725</v>
      </c>
      <c r="H282" s="2">
        <v>332.0</v>
      </c>
      <c r="I282" s="3">
        <f t="shared" si="3"/>
        <v>0.2075</v>
      </c>
      <c r="J282" s="2">
        <v>332.0</v>
      </c>
      <c r="K282" s="3">
        <f t="shared" si="4"/>
        <v>0.2075</v>
      </c>
      <c r="L282" s="2">
        <v>182.0</v>
      </c>
      <c r="M282" s="3">
        <f t="shared" si="5"/>
        <v>0.5481927711</v>
      </c>
      <c r="N282" s="2">
        <v>2201700.0</v>
      </c>
      <c r="O282" s="4">
        <f t="shared" si="6"/>
        <v>6631.626506</v>
      </c>
      <c r="P282" s="2">
        <v>3.0</v>
      </c>
      <c r="Q282" s="3">
        <f t="shared" si="7"/>
        <v>0.01923076923</v>
      </c>
      <c r="R282" s="2">
        <v>156.0</v>
      </c>
      <c r="S282" s="5">
        <f t="shared" si="8"/>
        <v>1</v>
      </c>
    </row>
    <row r="283">
      <c r="A283" s="2" t="s">
        <v>299</v>
      </c>
      <c r="B283" s="2">
        <v>85.0</v>
      </c>
      <c r="C283" s="2">
        <v>1007.0</v>
      </c>
      <c r="D283" s="2">
        <v>374.0</v>
      </c>
      <c r="E283" s="3">
        <f t="shared" si="1"/>
        <v>0.4056399132</v>
      </c>
      <c r="F283" s="2">
        <v>159.0</v>
      </c>
      <c r="G283" s="3">
        <f t="shared" si="2"/>
        <v>0.1724511931</v>
      </c>
      <c r="H283" s="2">
        <v>206.0</v>
      </c>
      <c r="I283" s="3">
        <f t="shared" si="3"/>
        <v>0.2234273319</v>
      </c>
      <c r="J283" s="2">
        <v>154.0</v>
      </c>
      <c r="K283" s="3">
        <f t="shared" si="4"/>
        <v>0.1670281996</v>
      </c>
      <c r="L283" s="2">
        <v>117.0</v>
      </c>
      <c r="M283" s="3">
        <f t="shared" si="5"/>
        <v>0.567961165</v>
      </c>
      <c r="N283" s="2">
        <v>1161000.0</v>
      </c>
      <c r="O283" s="4">
        <f t="shared" si="6"/>
        <v>5635.92233</v>
      </c>
      <c r="P283" s="2">
        <v>0.0</v>
      </c>
      <c r="Q283" s="3">
        <f t="shared" si="7"/>
        <v>0</v>
      </c>
      <c r="R283" s="2">
        <v>85.0</v>
      </c>
      <c r="S283" s="5">
        <f t="shared" si="8"/>
        <v>1</v>
      </c>
    </row>
    <row r="284">
      <c r="A284" s="2" t="s">
        <v>300</v>
      </c>
      <c r="B284" s="2">
        <v>3.0</v>
      </c>
      <c r="C284" s="2">
        <v>32.0</v>
      </c>
      <c r="D284" s="2">
        <v>12.0</v>
      </c>
      <c r="E284" s="3">
        <f t="shared" si="1"/>
        <v>0.4137931034</v>
      </c>
      <c r="F284" s="2">
        <v>5.0</v>
      </c>
      <c r="G284" s="3">
        <f t="shared" si="2"/>
        <v>0.1724137931</v>
      </c>
      <c r="H284" s="2">
        <v>6.0</v>
      </c>
      <c r="I284" s="3">
        <f t="shared" si="3"/>
        <v>0.2068965517</v>
      </c>
      <c r="J284" s="2">
        <v>7.0</v>
      </c>
      <c r="K284" s="3">
        <f t="shared" si="4"/>
        <v>0.2413793103</v>
      </c>
      <c r="L284" s="2">
        <v>4.0</v>
      </c>
      <c r="M284" s="3">
        <f t="shared" si="5"/>
        <v>0.6666666667</v>
      </c>
      <c r="N284" s="2">
        <v>36400.0</v>
      </c>
      <c r="O284" s="4">
        <f t="shared" si="6"/>
        <v>6066.666667</v>
      </c>
      <c r="P284" s="2">
        <v>0.0</v>
      </c>
      <c r="Q284" s="3">
        <f t="shared" si="7"/>
        <v>0</v>
      </c>
      <c r="R284" s="2">
        <v>0.0</v>
      </c>
      <c r="S284" s="5">
        <f t="shared" si="8"/>
        <v>0</v>
      </c>
    </row>
    <row r="285">
      <c r="A285" s="2" t="s">
        <v>301</v>
      </c>
      <c r="B285" s="2">
        <v>16.0</v>
      </c>
      <c r="C285" s="2">
        <v>190.0</v>
      </c>
      <c r="D285" s="2">
        <v>68.0</v>
      </c>
      <c r="E285" s="3">
        <f t="shared" si="1"/>
        <v>0.3908045977</v>
      </c>
      <c r="F285" s="2">
        <v>30.0</v>
      </c>
      <c r="G285" s="3">
        <f t="shared" si="2"/>
        <v>0.1724137931</v>
      </c>
      <c r="H285" s="2">
        <v>38.0</v>
      </c>
      <c r="I285" s="3">
        <f t="shared" si="3"/>
        <v>0.2183908046</v>
      </c>
      <c r="J285" s="2">
        <v>28.0</v>
      </c>
      <c r="K285" s="3">
        <f t="shared" si="4"/>
        <v>0.1609195402</v>
      </c>
      <c r="L285" s="2">
        <v>24.0</v>
      </c>
      <c r="M285" s="3">
        <f t="shared" si="5"/>
        <v>0.6315789474</v>
      </c>
      <c r="N285" s="2">
        <v>213100.0</v>
      </c>
      <c r="O285" s="4">
        <f t="shared" si="6"/>
        <v>5607.894737</v>
      </c>
      <c r="P285" s="2">
        <v>0.0</v>
      </c>
      <c r="Q285" s="3">
        <f t="shared" si="7"/>
        <v>0</v>
      </c>
      <c r="R285" s="2">
        <v>16.0</v>
      </c>
      <c r="S285" s="5">
        <f t="shared" si="8"/>
        <v>1</v>
      </c>
    </row>
    <row r="286">
      <c r="A286" s="2" t="s">
        <v>302</v>
      </c>
      <c r="B286" s="2">
        <v>36.0</v>
      </c>
      <c r="C286" s="2">
        <v>419.0</v>
      </c>
      <c r="D286" s="2">
        <v>130.0</v>
      </c>
      <c r="E286" s="3">
        <f t="shared" si="1"/>
        <v>0.3394255875</v>
      </c>
      <c r="F286" s="2">
        <v>66.0</v>
      </c>
      <c r="G286" s="3">
        <f t="shared" si="2"/>
        <v>0.1723237598</v>
      </c>
      <c r="H286" s="2">
        <v>70.0</v>
      </c>
      <c r="I286" s="3">
        <f t="shared" si="3"/>
        <v>0.182767624</v>
      </c>
      <c r="J286" s="2">
        <v>61.0</v>
      </c>
      <c r="K286" s="3">
        <f t="shared" si="4"/>
        <v>0.1592689295</v>
      </c>
      <c r="L286" s="2">
        <v>45.0</v>
      </c>
      <c r="M286" s="3">
        <f t="shared" si="5"/>
        <v>0.6428571429</v>
      </c>
      <c r="N286" s="2">
        <v>351300.0</v>
      </c>
      <c r="O286" s="4">
        <f t="shared" si="6"/>
        <v>5018.571429</v>
      </c>
      <c r="P286" s="2">
        <v>0.0</v>
      </c>
      <c r="Q286" s="3">
        <f t="shared" si="7"/>
        <v>0</v>
      </c>
      <c r="R286" s="2">
        <v>36.0</v>
      </c>
      <c r="S286" s="5">
        <f t="shared" si="8"/>
        <v>1</v>
      </c>
    </row>
    <row r="287">
      <c r="A287" s="2" t="s">
        <v>303</v>
      </c>
      <c r="B287" s="2">
        <v>29.0</v>
      </c>
      <c r="C287" s="2">
        <v>325.0</v>
      </c>
      <c r="D287" s="2">
        <v>90.0</v>
      </c>
      <c r="E287" s="3">
        <f t="shared" si="1"/>
        <v>0.3040540541</v>
      </c>
      <c r="F287" s="2">
        <v>51.0</v>
      </c>
      <c r="G287" s="3">
        <f t="shared" si="2"/>
        <v>0.1722972973</v>
      </c>
      <c r="H287" s="2">
        <v>44.0</v>
      </c>
      <c r="I287" s="3">
        <f t="shared" si="3"/>
        <v>0.1486486486</v>
      </c>
      <c r="J287" s="2">
        <v>51.0</v>
      </c>
      <c r="K287" s="3">
        <f t="shared" si="4"/>
        <v>0.1722972973</v>
      </c>
      <c r="L287" s="2">
        <v>23.0</v>
      </c>
      <c r="M287" s="3">
        <f t="shared" si="5"/>
        <v>0.5227272727</v>
      </c>
      <c r="N287" s="2">
        <v>218100.0</v>
      </c>
      <c r="O287" s="4">
        <f t="shared" si="6"/>
        <v>4956.818182</v>
      </c>
      <c r="P287" s="2">
        <v>0.0</v>
      </c>
      <c r="Q287" s="3">
        <f t="shared" si="7"/>
        <v>0</v>
      </c>
      <c r="R287" s="2">
        <v>17.0</v>
      </c>
      <c r="S287" s="5">
        <f t="shared" si="8"/>
        <v>0.5862068966</v>
      </c>
    </row>
    <row r="288">
      <c r="A288" s="2" t="s">
        <v>304</v>
      </c>
      <c r="B288" s="2">
        <v>139.0</v>
      </c>
      <c r="C288" s="2">
        <v>1532.0</v>
      </c>
      <c r="D288" s="2">
        <v>552.0</v>
      </c>
      <c r="E288" s="3">
        <f t="shared" si="1"/>
        <v>0.3962670495</v>
      </c>
      <c r="F288" s="2">
        <v>240.0</v>
      </c>
      <c r="G288" s="3">
        <f t="shared" si="2"/>
        <v>0.1722900215</v>
      </c>
      <c r="H288" s="2">
        <v>314.0</v>
      </c>
      <c r="I288" s="3">
        <f t="shared" si="3"/>
        <v>0.2254127782</v>
      </c>
      <c r="J288" s="2">
        <v>249.0</v>
      </c>
      <c r="K288" s="3">
        <f t="shared" si="4"/>
        <v>0.1787508973</v>
      </c>
      <c r="L288" s="2">
        <v>196.0</v>
      </c>
      <c r="M288" s="3">
        <f t="shared" si="5"/>
        <v>0.6242038217</v>
      </c>
      <c r="N288" s="2">
        <v>1816400.0</v>
      </c>
      <c r="O288" s="4">
        <f t="shared" si="6"/>
        <v>5784.713376</v>
      </c>
      <c r="P288" s="2">
        <v>0.0</v>
      </c>
      <c r="Q288" s="3">
        <f t="shared" si="7"/>
        <v>0</v>
      </c>
      <c r="R288" s="2">
        <v>139.0</v>
      </c>
      <c r="S288" s="5">
        <f t="shared" si="8"/>
        <v>1</v>
      </c>
    </row>
    <row r="289">
      <c r="A289" s="2" t="s">
        <v>305</v>
      </c>
      <c r="B289" s="2">
        <v>63.0</v>
      </c>
      <c r="C289" s="2">
        <v>748.0</v>
      </c>
      <c r="D289" s="2">
        <v>262.0</v>
      </c>
      <c r="E289" s="3">
        <f t="shared" si="1"/>
        <v>0.3824817518</v>
      </c>
      <c r="F289" s="2">
        <v>118.0</v>
      </c>
      <c r="G289" s="3">
        <f t="shared" si="2"/>
        <v>0.1722627737</v>
      </c>
      <c r="H289" s="2">
        <v>148.0</v>
      </c>
      <c r="I289" s="3">
        <f t="shared" si="3"/>
        <v>0.2160583942</v>
      </c>
      <c r="J289" s="2">
        <v>129.0</v>
      </c>
      <c r="K289" s="3">
        <f t="shared" si="4"/>
        <v>0.1883211679</v>
      </c>
      <c r="L289" s="2">
        <v>87.0</v>
      </c>
      <c r="M289" s="3">
        <f t="shared" si="5"/>
        <v>0.5878378378</v>
      </c>
      <c r="N289" s="2">
        <v>744600.0</v>
      </c>
      <c r="O289" s="4">
        <f t="shared" si="6"/>
        <v>5031.081081</v>
      </c>
      <c r="P289" s="2">
        <v>0.0</v>
      </c>
      <c r="Q289" s="3">
        <f t="shared" si="7"/>
        <v>0</v>
      </c>
      <c r="R289" s="2">
        <v>63.0</v>
      </c>
      <c r="S289" s="5">
        <f t="shared" si="8"/>
        <v>1</v>
      </c>
    </row>
    <row r="290">
      <c r="A290" s="2" t="s">
        <v>306</v>
      </c>
      <c r="B290" s="2">
        <v>441.0</v>
      </c>
      <c r="C290" s="2">
        <v>5115.0</v>
      </c>
      <c r="D290" s="2">
        <v>2192.0</v>
      </c>
      <c r="E290" s="3">
        <f t="shared" si="1"/>
        <v>0.4689773214</v>
      </c>
      <c r="F290" s="2">
        <v>805.0</v>
      </c>
      <c r="G290" s="3">
        <f t="shared" si="2"/>
        <v>0.1722293539</v>
      </c>
      <c r="H290" s="2">
        <v>1093.0</v>
      </c>
      <c r="I290" s="3">
        <f t="shared" si="3"/>
        <v>0.2338468122</v>
      </c>
      <c r="J290" s="2">
        <v>780.0</v>
      </c>
      <c r="K290" s="3">
        <f t="shared" si="4"/>
        <v>0.1668806162</v>
      </c>
      <c r="L290" s="2">
        <v>626.0</v>
      </c>
      <c r="M290" s="3">
        <f t="shared" si="5"/>
        <v>0.5727355901</v>
      </c>
      <c r="N290" s="2">
        <v>6435700.0</v>
      </c>
      <c r="O290" s="4">
        <f t="shared" si="6"/>
        <v>5888.10613</v>
      </c>
      <c r="P290" s="2">
        <v>2.0</v>
      </c>
      <c r="Q290" s="3">
        <f t="shared" si="7"/>
        <v>0.004535147392</v>
      </c>
      <c r="R290" s="2">
        <v>441.0</v>
      </c>
      <c r="S290" s="5">
        <f t="shared" si="8"/>
        <v>1</v>
      </c>
    </row>
    <row r="291">
      <c r="A291" s="2" t="s">
        <v>307</v>
      </c>
      <c r="B291" s="2">
        <v>124.0</v>
      </c>
      <c r="C291" s="2">
        <v>1396.0</v>
      </c>
      <c r="D291" s="2">
        <v>507.0</v>
      </c>
      <c r="E291" s="3">
        <f t="shared" si="1"/>
        <v>0.3985849057</v>
      </c>
      <c r="F291" s="2">
        <v>219.0</v>
      </c>
      <c r="G291" s="3">
        <f t="shared" si="2"/>
        <v>0.1721698113</v>
      </c>
      <c r="H291" s="2">
        <v>248.0</v>
      </c>
      <c r="I291" s="3">
        <f t="shared" si="3"/>
        <v>0.1949685535</v>
      </c>
      <c r="J291" s="2">
        <v>220.0</v>
      </c>
      <c r="K291" s="3">
        <f t="shared" si="4"/>
        <v>0.1729559748</v>
      </c>
      <c r="L291" s="2">
        <v>150.0</v>
      </c>
      <c r="M291" s="3">
        <f t="shared" si="5"/>
        <v>0.6048387097</v>
      </c>
      <c r="N291" s="2">
        <v>1312700.0</v>
      </c>
      <c r="O291" s="4">
        <f t="shared" si="6"/>
        <v>5293.145161</v>
      </c>
      <c r="P291" s="2">
        <v>0.0</v>
      </c>
      <c r="Q291" s="3">
        <f t="shared" si="7"/>
        <v>0</v>
      </c>
      <c r="R291" s="2">
        <v>0.0</v>
      </c>
      <c r="S291" s="5">
        <f t="shared" si="8"/>
        <v>0</v>
      </c>
    </row>
    <row r="292">
      <c r="A292" s="2" t="s">
        <v>308</v>
      </c>
      <c r="B292" s="2">
        <v>65.0</v>
      </c>
      <c r="C292" s="2">
        <v>768.0</v>
      </c>
      <c r="D292" s="2">
        <v>152.0</v>
      </c>
      <c r="E292" s="3">
        <f t="shared" si="1"/>
        <v>0.2162162162</v>
      </c>
      <c r="F292" s="2">
        <v>121.0</v>
      </c>
      <c r="G292" s="3">
        <f t="shared" si="2"/>
        <v>0.1721194879</v>
      </c>
      <c r="H292" s="2">
        <v>125.0</v>
      </c>
      <c r="I292" s="3">
        <f t="shared" si="3"/>
        <v>0.1778093883</v>
      </c>
      <c r="J292" s="2">
        <v>130.0</v>
      </c>
      <c r="K292" s="3">
        <f t="shared" si="4"/>
        <v>0.1849217639</v>
      </c>
      <c r="L292" s="2">
        <v>83.0</v>
      </c>
      <c r="M292" s="3">
        <f t="shared" si="5"/>
        <v>0.664</v>
      </c>
      <c r="N292" s="2">
        <v>702000.0</v>
      </c>
      <c r="O292" s="4">
        <f t="shared" si="6"/>
        <v>5616</v>
      </c>
      <c r="P292" s="2">
        <v>0.0</v>
      </c>
      <c r="Q292" s="3">
        <f t="shared" si="7"/>
        <v>0</v>
      </c>
      <c r="R292" s="2">
        <v>65.0</v>
      </c>
      <c r="S292" s="5">
        <f t="shared" si="8"/>
        <v>1</v>
      </c>
    </row>
    <row r="293">
      <c r="A293" s="2" t="s">
        <v>309</v>
      </c>
      <c r="B293" s="2">
        <v>121.0</v>
      </c>
      <c r="C293" s="2">
        <v>1418.0</v>
      </c>
      <c r="D293" s="2">
        <v>535.0</v>
      </c>
      <c r="E293" s="3">
        <f t="shared" si="1"/>
        <v>0.4124903624</v>
      </c>
      <c r="F293" s="2">
        <v>223.0</v>
      </c>
      <c r="G293" s="3">
        <f t="shared" si="2"/>
        <v>0.1719352352</v>
      </c>
      <c r="H293" s="2">
        <v>270.0</v>
      </c>
      <c r="I293" s="3">
        <f t="shared" si="3"/>
        <v>0.2081727062</v>
      </c>
      <c r="J293" s="2">
        <v>235.0</v>
      </c>
      <c r="K293" s="3">
        <f t="shared" si="4"/>
        <v>0.1811873554</v>
      </c>
      <c r="L293" s="2">
        <v>162.0</v>
      </c>
      <c r="M293" s="3">
        <f t="shared" si="5"/>
        <v>0.6</v>
      </c>
      <c r="N293" s="2">
        <v>1504000.0</v>
      </c>
      <c r="O293" s="4">
        <f t="shared" si="6"/>
        <v>5570.37037</v>
      </c>
      <c r="P293" s="2">
        <v>0.0</v>
      </c>
      <c r="Q293" s="3">
        <f t="shared" si="7"/>
        <v>0</v>
      </c>
      <c r="R293" s="2">
        <v>121.0</v>
      </c>
      <c r="S293" s="5">
        <f t="shared" si="8"/>
        <v>1</v>
      </c>
    </row>
    <row r="294">
      <c r="A294" s="2" t="s">
        <v>310</v>
      </c>
      <c r="B294" s="2">
        <v>87.0</v>
      </c>
      <c r="C294" s="2">
        <v>983.0</v>
      </c>
      <c r="D294" s="2">
        <v>254.0</v>
      </c>
      <c r="E294" s="3">
        <f t="shared" si="1"/>
        <v>0.2834821429</v>
      </c>
      <c r="F294" s="2">
        <v>154.0</v>
      </c>
      <c r="G294" s="3">
        <f t="shared" si="2"/>
        <v>0.171875</v>
      </c>
      <c r="H294" s="2">
        <v>170.0</v>
      </c>
      <c r="I294" s="3">
        <f t="shared" si="3"/>
        <v>0.1897321429</v>
      </c>
      <c r="J294" s="2">
        <v>194.0</v>
      </c>
      <c r="K294" s="3">
        <f t="shared" si="4"/>
        <v>0.2165178571</v>
      </c>
      <c r="L294" s="2">
        <v>87.0</v>
      </c>
      <c r="M294" s="3">
        <f t="shared" si="5"/>
        <v>0.5117647059</v>
      </c>
      <c r="N294" s="2">
        <v>1136500.0</v>
      </c>
      <c r="O294" s="4">
        <f t="shared" si="6"/>
        <v>6685.294118</v>
      </c>
      <c r="P294" s="2">
        <v>0.0</v>
      </c>
      <c r="Q294" s="3">
        <f t="shared" si="7"/>
        <v>0</v>
      </c>
      <c r="R294" s="2">
        <v>86.0</v>
      </c>
      <c r="S294" s="5">
        <f t="shared" si="8"/>
        <v>0.9885057471</v>
      </c>
    </row>
    <row r="295">
      <c r="A295" s="2" t="s">
        <v>311</v>
      </c>
      <c r="B295" s="2">
        <v>101.0</v>
      </c>
      <c r="C295" s="2">
        <v>1125.0</v>
      </c>
      <c r="D295" s="2">
        <v>341.0</v>
      </c>
      <c r="E295" s="3">
        <f t="shared" si="1"/>
        <v>0.3330078125</v>
      </c>
      <c r="F295" s="2">
        <v>176.0</v>
      </c>
      <c r="G295" s="3">
        <f t="shared" si="2"/>
        <v>0.171875</v>
      </c>
      <c r="H295" s="2">
        <v>206.0</v>
      </c>
      <c r="I295" s="3">
        <f t="shared" si="3"/>
        <v>0.201171875</v>
      </c>
      <c r="J295" s="2">
        <v>178.0</v>
      </c>
      <c r="K295" s="3">
        <f t="shared" si="4"/>
        <v>0.173828125</v>
      </c>
      <c r="L295" s="2">
        <v>131.0</v>
      </c>
      <c r="M295" s="3">
        <f t="shared" si="5"/>
        <v>0.6359223301</v>
      </c>
      <c r="N295" s="2">
        <v>1267500.0</v>
      </c>
      <c r="O295" s="4">
        <f t="shared" si="6"/>
        <v>6152.912621</v>
      </c>
      <c r="P295" s="2">
        <v>0.0</v>
      </c>
      <c r="Q295" s="3">
        <f t="shared" si="7"/>
        <v>0</v>
      </c>
      <c r="R295" s="2">
        <v>101.0</v>
      </c>
      <c r="S295" s="5">
        <f t="shared" si="8"/>
        <v>1</v>
      </c>
    </row>
    <row r="296">
      <c r="A296" s="2" t="s">
        <v>312</v>
      </c>
      <c r="B296" s="2">
        <v>32.0</v>
      </c>
      <c r="C296" s="2">
        <v>352.0</v>
      </c>
      <c r="D296" s="2">
        <v>86.0</v>
      </c>
      <c r="E296" s="3">
        <f t="shared" si="1"/>
        <v>0.26875</v>
      </c>
      <c r="F296" s="2">
        <v>55.0</v>
      </c>
      <c r="G296" s="3">
        <f t="shared" si="2"/>
        <v>0.171875</v>
      </c>
      <c r="H296" s="2">
        <v>51.0</v>
      </c>
      <c r="I296" s="3">
        <f t="shared" si="3"/>
        <v>0.159375</v>
      </c>
      <c r="J296" s="2">
        <v>51.0</v>
      </c>
      <c r="K296" s="3">
        <f t="shared" si="4"/>
        <v>0.159375</v>
      </c>
      <c r="L296" s="2">
        <v>25.0</v>
      </c>
      <c r="M296" s="3">
        <f t="shared" si="5"/>
        <v>0.4901960784</v>
      </c>
      <c r="N296" s="2">
        <v>288600.0</v>
      </c>
      <c r="O296" s="4">
        <f t="shared" si="6"/>
        <v>5658.823529</v>
      </c>
      <c r="P296" s="2">
        <v>0.0</v>
      </c>
      <c r="Q296" s="3">
        <f t="shared" si="7"/>
        <v>0</v>
      </c>
      <c r="R296" s="2">
        <v>32.0</v>
      </c>
      <c r="S296" s="5">
        <f t="shared" si="8"/>
        <v>1</v>
      </c>
    </row>
    <row r="297">
      <c r="A297" s="2" t="s">
        <v>313</v>
      </c>
      <c r="B297" s="2">
        <v>26.0</v>
      </c>
      <c r="C297" s="2">
        <v>317.0</v>
      </c>
      <c r="D297" s="2">
        <v>107.0</v>
      </c>
      <c r="E297" s="3">
        <f t="shared" si="1"/>
        <v>0.3676975945</v>
      </c>
      <c r="F297" s="2">
        <v>50.0</v>
      </c>
      <c r="G297" s="3">
        <f t="shared" si="2"/>
        <v>0.1718213058</v>
      </c>
      <c r="H297" s="2">
        <v>54.0</v>
      </c>
      <c r="I297" s="3">
        <f t="shared" si="3"/>
        <v>0.1855670103</v>
      </c>
      <c r="J297" s="2">
        <v>51.0</v>
      </c>
      <c r="K297" s="3">
        <f t="shared" si="4"/>
        <v>0.175257732</v>
      </c>
      <c r="L297" s="2">
        <v>40.0</v>
      </c>
      <c r="M297" s="3">
        <f t="shared" si="5"/>
        <v>0.7407407407</v>
      </c>
      <c r="N297" s="2">
        <v>272700.0</v>
      </c>
      <c r="O297" s="4">
        <f t="shared" si="6"/>
        <v>5050</v>
      </c>
      <c r="P297" s="2">
        <v>0.0</v>
      </c>
      <c r="Q297" s="3">
        <f t="shared" si="7"/>
        <v>0</v>
      </c>
      <c r="R297" s="2">
        <v>26.0</v>
      </c>
      <c r="S297" s="5">
        <f t="shared" si="8"/>
        <v>1</v>
      </c>
    </row>
    <row r="298">
      <c r="A298" s="2" t="s">
        <v>314</v>
      </c>
      <c r="B298" s="2">
        <v>7.0</v>
      </c>
      <c r="C298" s="2">
        <v>77.0</v>
      </c>
      <c r="D298" s="2">
        <v>31.0</v>
      </c>
      <c r="E298" s="3">
        <f t="shared" si="1"/>
        <v>0.4428571429</v>
      </c>
      <c r="F298" s="2">
        <v>12.0</v>
      </c>
      <c r="G298" s="3">
        <f t="shared" si="2"/>
        <v>0.1714285714</v>
      </c>
      <c r="H298" s="2">
        <v>13.0</v>
      </c>
      <c r="I298" s="3">
        <f t="shared" si="3"/>
        <v>0.1857142857</v>
      </c>
      <c r="J298" s="2">
        <v>6.0</v>
      </c>
      <c r="K298" s="3">
        <f t="shared" si="4"/>
        <v>0.08571428571</v>
      </c>
      <c r="L298" s="2">
        <v>8.0</v>
      </c>
      <c r="M298" s="3">
        <f t="shared" si="5"/>
        <v>0.6153846154</v>
      </c>
      <c r="N298" s="2">
        <v>60500.0</v>
      </c>
      <c r="O298" s="4">
        <f t="shared" si="6"/>
        <v>4653.846154</v>
      </c>
      <c r="P298" s="2">
        <v>0.0</v>
      </c>
      <c r="Q298" s="3">
        <f t="shared" si="7"/>
        <v>0</v>
      </c>
      <c r="R298" s="2">
        <v>7.0</v>
      </c>
      <c r="S298" s="5">
        <f t="shared" si="8"/>
        <v>1</v>
      </c>
    </row>
    <row r="299">
      <c r="A299" s="2" t="s">
        <v>315</v>
      </c>
      <c r="B299" s="2">
        <v>88.0</v>
      </c>
      <c r="C299" s="2">
        <v>1010.0</v>
      </c>
      <c r="D299" s="2">
        <v>345.0</v>
      </c>
      <c r="E299" s="3">
        <f t="shared" si="1"/>
        <v>0.374186551</v>
      </c>
      <c r="F299" s="2">
        <v>158.0</v>
      </c>
      <c r="G299" s="3">
        <f t="shared" si="2"/>
        <v>0.1713665944</v>
      </c>
      <c r="H299" s="2">
        <v>190.0</v>
      </c>
      <c r="I299" s="3">
        <f t="shared" si="3"/>
        <v>0.2060737527</v>
      </c>
      <c r="J299" s="2">
        <v>182.0</v>
      </c>
      <c r="K299" s="3">
        <f t="shared" si="4"/>
        <v>0.1973969631</v>
      </c>
      <c r="L299" s="2">
        <v>109.0</v>
      </c>
      <c r="M299" s="3">
        <f t="shared" si="5"/>
        <v>0.5736842105</v>
      </c>
      <c r="N299" s="2">
        <v>1093000.0</v>
      </c>
      <c r="O299" s="4">
        <f t="shared" si="6"/>
        <v>5752.631579</v>
      </c>
      <c r="P299" s="2">
        <v>0.0</v>
      </c>
      <c r="Q299" s="3">
        <f t="shared" si="7"/>
        <v>0</v>
      </c>
      <c r="R299" s="2">
        <v>88.0</v>
      </c>
      <c r="S299" s="5">
        <f t="shared" si="8"/>
        <v>1</v>
      </c>
    </row>
    <row r="300">
      <c r="A300" s="2" t="s">
        <v>316</v>
      </c>
      <c r="B300" s="2">
        <v>15.0</v>
      </c>
      <c r="C300" s="2">
        <v>161.0</v>
      </c>
      <c r="D300" s="2">
        <v>45.0</v>
      </c>
      <c r="E300" s="3">
        <f t="shared" si="1"/>
        <v>0.3082191781</v>
      </c>
      <c r="F300" s="2">
        <v>25.0</v>
      </c>
      <c r="G300" s="3">
        <f t="shared" si="2"/>
        <v>0.1712328767</v>
      </c>
      <c r="H300" s="2">
        <v>37.0</v>
      </c>
      <c r="I300" s="3">
        <f t="shared" si="3"/>
        <v>0.2534246575</v>
      </c>
      <c r="J300" s="2">
        <v>43.0</v>
      </c>
      <c r="K300" s="3">
        <f t="shared" si="4"/>
        <v>0.2945205479</v>
      </c>
      <c r="L300" s="2">
        <v>21.0</v>
      </c>
      <c r="M300" s="3">
        <f t="shared" si="5"/>
        <v>0.5675675676</v>
      </c>
      <c r="N300" s="2">
        <v>199400.0</v>
      </c>
      <c r="O300" s="4">
        <f t="shared" si="6"/>
        <v>5389.189189</v>
      </c>
      <c r="P300" s="2">
        <v>0.0</v>
      </c>
      <c r="Q300" s="3">
        <f t="shared" si="7"/>
        <v>0</v>
      </c>
      <c r="R300" s="2">
        <v>15.0</v>
      </c>
      <c r="S300" s="5">
        <f t="shared" si="8"/>
        <v>1</v>
      </c>
    </row>
    <row r="301">
      <c r="A301" s="2" t="s">
        <v>317</v>
      </c>
      <c r="B301" s="2">
        <v>214.0</v>
      </c>
      <c r="C301" s="2">
        <v>2469.0</v>
      </c>
      <c r="D301" s="2">
        <v>648.0</v>
      </c>
      <c r="E301" s="3">
        <f t="shared" si="1"/>
        <v>0.2873614191</v>
      </c>
      <c r="F301" s="2">
        <v>386.0</v>
      </c>
      <c r="G301" s="3">
        <f t="shared" si="2"/>
        <v>0.1711751663</v>
      </c>
      <c r="H301" s="2">
        <v>496.0</v>
      </c>
      <c r="I301" s="3">
        <f t="shared" si="3"/>
        <v>0.2199556541</v>
      </c>
      <c r="J301" s="2">
        <v>454.0</v>
      </c>
      <c r="K301" s="3">
        <f t="shared" si="4"/>
        <v>0.2013303769</v>
      </c>
      <c r="L301" s="2">
        <v>296.0</v>
      </c>
      <c r="M301" s="3">
        <f t="shared" si="5"/>
        <v>0.5967741935</v>
      </c>
      <c r="N301" s="2">
        <v>2958300.0</v>
      </c>
      <c r="O301" s="4">
        <f t="shared" si="6"/>
        <v>5964.314516</v>
      </c>
      <c r="P301" s="2">
        <v>1.0</v>
      </c>
      <c r="Q301" s="3">
        <f t="shared" si="7"/>
        <v>0.004672897196</v>
      </c>
      <c r="R301" s="2">
        <v>214.0</v>
      </c>
      <c r="S301" s="5">
        <f t="shared" si="8"/>
        <v>1</v>
      </c>
    </row>
    <row r="302">
      <c r="A302" s="2" t="s">
        <v>318</v>
      </c>
      <c r="B302" s="2">
        <v>20.0</v>
      </c>
      <c r="C302" s="2">
        <v>219.0</v>
      </c>
      <c r="D302" s="2">
        <v>56.0</v>
      </c>
      <c r="E302" s="3">
        <f t="shared" si="1"/>
        <v>0.2814070352</v>
      </c>
      <c r="F302" s="2">
        <v>34.0</v>
      </c>
      <c r="G302" s="3">
        <f t="shared" si="2"/>
        <v>0.1708542714</v>
      </c>
      <c r="H302" s="2">
        <v>36.0</v>
      </c>
      <c r="I302" s="3">
        <f t="shared" si="3"/>
        <v>0.1809045226</v>
      </c>
      <c r="J302" s="2">
        <v>38.0</v>
      </c>
      <c r="K302" s="3">
        <f t="shared" si="4"/>
        <v>0.1909547739</v>
      </c>
      <c r="L302" s="2">
        <v>26.0</v>
      </c>
      <c r="M302" s="3">
        <f t="shared" si="5"/>
        <v>0.7222222222</v>
      </c>
      <c r="N302" s="2">
        <v>215100.0</v>
      </c>
      <c r="O302" s="4">
        <f t="shared" si="6"/>
        <v>5975</v>
      </c>
      <c r="P302" s="2">
        <v>0.0</v>
      </c>
      <c r="Q302" s="3">
        <f t="shared" si="7"/>
        <v>0</v>
      </c>
      <c r="R302" s="2">
        <v>20.0</v>
      </c>
      <c r="S302" s="5">
        <f t="shared" si="8"/>
        <v>1</v>
      </c>
    </row>
    <row r="303">
      <c r="A303" s="2" t="s">
        <v>319</v>
      </c>
      <c r="B303" s="2">
        <v>79.0</v>
      </c>
      <c r="C303" s="2">
        <v>916.0</v>
      </c>
      <c r="D303" s="2">
        <v>307.0</v>
      </c>
      <c r="E303" s="3">
        <f t="shared" si="1"/>
        <v>0.366786141</v>
      </c>
      <c r="F303" s="2">
        <v>143.0</v>
      </c>
      <c r="G303" s="3">
        <f t="shared" si="2"/>
        <v>0.1708482676</v>
      </c>
      <c r="H303" s="2">
        <v>165.0</v>
      </c>
      <c r="I303" s="3">
        <f t="shared" si="3"/>
        <v>0.1971326165</v>
      </c>
      <c r="J303" s="2">
        <v>138.0</v>
      </c>
      <c r="K303" s="3">
        <f t="shared" si="4"/>
        <v>0.164874552</v>
      </c>
      <c r="L303" s="2">
        <v>110.0</v>
      </c>
      <c r="M303" s="3">
        <f t="shared" si="5"/>
        <v>0.6666666667</v>
      </c>
      <c r="N303" s="2">
        <v>983700.0</v>
      </c>
      <c r="O303" s="4">
        <f t="shared" si="6"/>
        <v>5961.818182</v>
      </c>
      <c r="P303" s="2">
        <v>0.0</v>
      </c>
      <c r="Q303" s="3">
        <f t="shared" si="7"/>
        <v>0</v>
      </c>
      <c r="R303" s="2">
        <v>79.0</v>
      </c>
      <c r="S303" s="5">
        <f t="shared" si="8"/>
        <v>1</v>
      </c>
    </row>
    <row r="304">
      <c r="A304" s="2" t="s">
        <v>320</v>
      </c>
      <c r="B304" s="2">
        <v>76.0</v>
      </c>
      <c r="C304" s="2">
        <v>843.0</v>
      </c>
      <c r="D304" s="2">
        <v>198.0</v>
      </c>
      <c r="E304" s="3">
        <f t="shared" si="1"/>
        <v>0.258148631</v>
      </c>
      <c r="F304" s="2">
        <v>131.0</v>
      </c>
      <c r="G304" s="3">
        <f t="shared" si="2"/>
        <v>0.1707953064</v>
      </c>
      <c r="H304" s="2">
        <v>142.0</v>
      </c>
      <c r="I304" s="3">
        <f t="shared" si="3"/>
        <v>0.185136897</v>
      </c>
      <c r="J304" s="2">
        <v>167.0</v>
      </c>
      <c r="K304" s="3">
        <f t="shared" si="4"/>
        <v>0.2177314211</v>
      </c>
      <c r="L304" s="2">
        <v>78.0</v>
      </c>
      <c r="M304" s="3">
        <f t="shared" si="5"/>
        <v>0.5492957746</v>
      </c>
      <c r="N304" s="2">
        <v>913000.0</v>
      </c>
      <c r="O304" s="4">
        <f t="shared" si="6"/>
        <v>6429.577465</v>
      </c>
      <c r="P304" s="2">
        <v>0.0</v>
      </c>
      <c r="Q304" s="3">
        <f t="shared" si="7"/>
        <v>0</v>
      </c>
      <c r="R304" s="2">
        <v>76.0</v>
      </c>
      <c r="S304" s="5">
        <f t="shared" si="8"/>
        <v>1</v>
      </c>
    </row>
    <row r="305">
      <c r="A305" s="2" t="s">
        <v>321</v>
      </c>
      <c r="B305" s="2">
        <v>40.0</v>
      </c>
      <c r="C305" s="2">
        <v>444.0</v>
      </c>
      <c r="D305" s="2">
        <v>151.0</v>
      </c>
      <c r="E305" s="3">
        <f t="shared" si="1"/>
        <v>0.3737623762</v>
      </c>
      <c r="F305" s="2">
        <v>69.0</v>
      </c>
      <c r="G305" s="3">
        <f t="shared" si="2"/>
        <v>0.1707920792</v>
      </c>
      <c r="H305" s="2">
        <v>78.0</v>
      </c>
      <c r="I305" s="3">
        <f t="shared" si="3"/>
        <v>0.1930693069</v>
      </c>
      <c r="J305" s="2">
        <v>71.0</v>
      </c>
      <c r="K305" s="3">
        <f t="shared" si="4"/>
        <v>0.1757425743</v>
      </c>
      <c r="L305" s="2">
        <v>40.0</v>
      </c>
      <c r="M305" s="3">
        <f t="shared" si="5"/>
        <v>0.5128205128</v>
      </c>
      <c r="N305" s="2">
        <v>435900.0</v>
      </c>
      <c r="O305" s="4">
        <f t="shared" si="6"/>
        <v>5588.461538</v>
      </c>
      <c r="P305" s="2">
        <v>0.0</v>
      </c>
      <c r="Q305" s="3">
        <f t="shared" si="7"/>
        <v>0</v>
      </c>
      <c r="R305" s="2">
        <v>40.0</v>
      </c>
      <c r="S305" s="5">
        <f t="shared" si="8"/>
        <v>1</v>
      </c>
    </row>
    <row r="306">
      <c r="A306" s="2" t="s">
        <v>322</v>
      </c>
      <c r="B306" s="2">
        <v>8.0</v>
      </c>
      <c r="C306" s="2">
        <v>90.0</v>
      </c>
      <c r="D306" s="2">
        <v>25.0</v>
      </c>
      <c r="E306" s="3">
        <f t="shared" si="1"/>
        <v>0.3048780488</v>
      </c>
      <c r="F306" s="2">
        <v>14.0</v>
      </c>
      <c r="G306" s="3">
        <f t="shared" si="2"/>
        <v>0.1707317073</v>
      </c>
      <c r="H306" s="2">
        <v>8.0</v>
      </c>
      <c r="I306" s="3">
        <f t="shared" si="3"/>
        <v>0.09756097561</v>
      </c>
      <c r="J306" s="2">
        <v>16.0</v>
      </c>
      <c r="K306" s="3">
        <f t="shared" si="4"/>
        <v>0.1951219512</v>
      </c>
      <c r="L306" s="2">
        <v>5.0</v>
      </c>
      <c r="M306" s="3">
        <f t="shared" si="5"/>
        <v>0.625</v>
      </c>
      <c r="N306" s="2">
        <v>58900.0</v>
      </c>
      <c r="O306" s="4">
        <f t="shared" si="6"/>
        <v>7362.5</v>
      </c>
      <c r="P306" s="2">
        <v>0.0</v>
      </c>
      <c r="Q306" s="3">
        <f t="shared" si="7"/>
        <v>0</v>
      </c>
      <c r="R306" s="2">
        <v>8.0</v>
      </c>
      <c r="S306" s="5">
        <f t="shared" si="8"/>
        <v>1</v>
      </c>
    </row>
    <row r="307">
      <c r="A307" s="2" t="s">
        <v>323</v>
      </c>
      <c r="B307" s="2">
        <v>4.0</v>
      </c>
      <c r="C307" s="2">
        <v>45.0</v>
      </c>
      <c r="D307" s="2">
        <v>7.0</v>
      </c>
      <c r="E307" s="3">
        <f t="shared" si="1"/>
        <v>0.1707317073</v>
      </c>
      <c r="F307" s="2">
        <v>7.0</v>
      </c>
      <c r="G307" s="3">
        <f t="shared" si="2"/>
        <v>0.1707317073</v>
      </c>
      <c r="H307" s="2">
        <v>3.0</v>
      </c>
      <c r="I307" s="3">
        <f t="shared" si="3"/>
        <v>0.07317073171</v>
      </c>
      <c r="J307" s="2">
        <v>7.0</v>
      </c>
      <c r="K307" s="3">
        <f t="shared" si="4"/>
        <v>0.1707317073</v>
      </c>
      <c r="L307" s="2">
        <v>1.0</v>
      </c>
      <c r="M307" s="3">
        <f t="shared" si="5"/>
        <v>0.3333333333</v>
      </c>
      <c r="N307" s="2">
        <v>11400.0</v>
      </c>
      <c r="O307" s="4">
        <f t="shared" si="6"/>
        <v>3800</v>
      </c>
      <c r="P307" s="2">
        <v>0.0</v>
      </c>
      <c r="Q307" s="3">
        <f t="shared" si="7"/>
        <v>0</v>
      </c>
      <c r="R307" s="2">
        <v>4.0</v>
      </c>
      <c r="S307" s="5">
        <f t="shared" si="8"/>
        <v>1</v>
      </c>
    </row>
    <row r="308">
      <c r="A308" s="2" t="s">
        <v>324</v>
      </c>
      <c r="B308" s="2">
        <v>24.0</v>
      </c>
      <c r="C308" s="2">
        <v>276.0</v>
      </c>
      <c r="D308" s="2">
        <v>68.0</v>
      </c>
      <c r="E308" s="3">
        <f t="shared" si="1"/>
        <v>0.2698412698</v>
      </c>
      <c r="F308" s="2">
        <v>43.0</v>
      </c>
      <c r="G308" s="3">
        <f t="shared" si="2"/>
        <v>0.1706349206</v>
      </c>
      <c r="H308" s="2">
        <v>59.0</v>
      </c>
      <c r="I308" s="3">
        <f t="shared" si="3"/>
        <v>0.2341269841</v>
      </c>
      <c r="J308" s="2">
        <v>54.0</v>
      </c>
      <c r="K308" s="3">
        <f t="shared" si="4"/>
        <v>0.2142857143</v>
      </c>
      <c r="L308" s="2">
        <v>33.0</v>
      </c>
      <c r="M308" s="3">
        <f t="shared" si="5"/>
        <v>0.5593220339</v>
      </c>
      <c r="N308" s="2">
        <v>409700.0</v>
      </c>
      <c r="O308" s="4">
        <f t="shared" si="6"/>
        <v>6944.067797</v>
      </c>
      <c r="P308" s="2">
        <v>1.0</v>
      </c>
      <c r="Q308" s="3">
        <f t="shared" si="7"/>
        <v>0.04166666667</v>
      </c>
      <c r="R308" s="2">
        <v>24.0</v>
      </c>
      <c r="S308" s="5">
        <f t="shared" si="8"/>
        <v>1</v>
      </c>
    </row>
    <row r="309">
      <c r="A309" s="2" t="s">
        <v>325</v>
      </c>
      <c r="B309" s="2">
        <v>30.0</v>
      </c>
      <c r="C309" s="2">
        <v>335.0</v>
      </c>
      <c r="D309" s="2">
        <v>68.0</v>
      </c>
      <c r="E309" s="3">
        <f t="shared" si="1"/>
        <v>0.2229508197</v>
      </c>
      <c r="F309" s="2">
        <v>52.0</v>
      </c>
      <c r="G309" s="3">
        <f t="shared" si="2"/>
        <v>0.1704918033</v>
      </c>
      <c r="H309" s="2">
        <v>57.0</v>
      </c>
      <c r="I309" s="3">
        <f t="shared" si="3"/>
        <v>0.1868852459</v>
      </c>
      <c r="J309" s="2">
        <v>67.0</v>
      </c>
      <c r="K309" s="3">
        <f t="shared" si="4"/>
        <v>0.2196721311</v>
      </c>
      <c r="L309" s="2">
        <v>34.0</v>
      </c>
      <c r="M309" s="3">
        <f t="shared" si="5"/>
        <v>0.5964912281</v>
      </c>
      <c r="N309" s="2">
        <v>285500.0</v>
      </c>
      <c r="O309" s="4">
        <f t="shared" si="6"/>
        <v>5008.77193</v>
      </c>
      <c r="P309" s="2">
        <v>0.0</v>
      </c>
      <c r="Q309" s="3">
        <f t="shared" si="7"/>
        <v>0</v>
      </c>
      <c r="R309" s="2">
        <v>30.0</v>
      </c>
      <c r="S309" s="5">
        <f t="shared" si="8"/>
        <v>1</v>
      </c>
    </row>
    <row r="310">
      <c r="A310" s="2" t="s">
        <v>326</v>
      </c>
      <c r="B310" s="2">
        <v>84.0</v>
      </c>
      <c r="C310" s="2">
        <v>959.0</v>
      </c>
      <c r="D310" s="2">
        <v>424.0</v>
      </c>
      <c r="E310" s="3">
        <f t="shared" si="1"/>
        <v>0.4845714286</v>
      </c>
      <c r="F310" s="2">
        <v>149.0</v>
      </c>
      <c r="G310" s="3">
        <f t="shared" si="2"/>
        <v>0.1702857143</v>
      </c>
      <c r="H310" s="2">
        <v>185.0</v>
      </c>
      <c r="I310" s="3">
        <f t="shared" si="3"/>
        <v>0.2114285714</v>
      </c>
      <c r="J310" s="2">
        <v>101.0</v>
      </c>
      <c r="K310" s="3">
        <f t="shared" si="4"/>
        <v>0.1154285714</v>
      </c>
      <c r="L310" s="2">
        <v>113.0</v>
      </c>
      <c r="M310" s="3">
        <f t="shared" si="5"/>
        <v>0.6108108108</v>
      </c>
      <c r="N310" s="2">
        <v>997600.0</v>
      </c>
      <c r="O310" s="4">
        <f t="shared" si="6"/>
        <v>5392.432432</v>
      </c>
      <c r="P310" s="2">
        <v>1.0</v>
      </c>
      <c r="Q310" s="3">
        <f t="shared" si="7"/>
        <v>0.0119047619</v>
      </c>
      <c r="R310" s="2">
        <v>84.0</v>
      </c>
      <c r="S310" s="5">
        <f t="shared" si="8"/>
        <v>1</v>
      </c>
    </row>
    <row r="311">
      <c r="A311" s="2" t="s">
        <v>327</v>
      </c>
      <c r="B311" s="2">
        <v>31.0</v>
      </c>
      <c r="C311" s="2">
        <v>354.0</v>
      </c>
      <c r="D311" s="2">
        <v>129.0</v>
      </c>
      <c r="E311" s="3">
        <f t="shared" si="1"/>
        <v>0.399380805</v>
      </c>
      <c r="F311" s="2">
        <v>55.0</v>
      </c>
      <c r="G311" s="3">
        <f t="shared" si="2"/>
        <v>0.1702786378</v>
      </c>
      <c r="H311" s="2">
        <v>56.0</v>
      </c>
      <c r="I311" s="3">
        <f t="shared" si="3"/>
        <v>0.173374613</v>
      </c>
      <c r="J311" s="2">
        <v>47.0</v>
      </c>
      <c r="K311" s="3">
        <f t="shared" si="4"/>
        <v>0.1455108359</v>
      </c>
      <c r="L311" s="2">
        <v>26.0</v>
      </c>
      <c r="M311" s="3">
        <f t="shared" si="5"/>
        <v>0.4642857143</v>
      </c>
      <c r="N311" s="2">
        <v>300800.0</v>
      </c>
      <c r="O311" s="4">
        <f t="shared" si="6"/>
        <v>5371.428571</v>
      </c>
      <c r="P311" s="2">
        <v>0.0</v>
      </c>
      <c r="Q311" s="3">
        <f t="shared" si="7"/>
        <v>0</v>
      </c>
      <c r="R311" s="2">
        <v>31.0</v>
      </c>
      <c r="S311" s="5">
        <f t="shared" si="8"/>
        <v>1</v>
      </c>
    </row>
    <row r="312">
      <c r="A312" s="2" t="s">
        <v>328</v>
      </c>
      <c r="B312" s="2">
        <v>46.0</v>
      </c>
      <c r="C312" s="2">
        <v>516.0</v>
      </c>
      <c r="D312" s="2">
        <v>181.0</v>
      </c>
      <c r="E312" s="3">
        <f t="shared" si="1"/>
        <v>0.385106383</v>
      </c>
      <c r="F312" s="2">
        <v>80.0</v>
      </c>
      <c r="G312" s="3">
        <f t="shared" si="2"/>
        <v>0.170212766</v>
      </c>
      <c r="H312" s="2">
        <v>123.0</v>
      </c>
      <c r="I312" s="3">
        <f t="shared" si="3"/>
        <v>0.2617021277</v>
      </c>
      <c r="J312" s="2">
        <v>113.0</v>
      </c>
      <c r="K312" s="3">
        <f t="shared" si="4"/>
        <v>0.2404255319</v>
      </c>
      <c r="L312" s="2">
        <v>72.0</v>
      </c>
      <c r="M312" s="3">
        <f t="shared" si="5"/>
        <v>0.5853658537</v>
      </c>
      <c r="N312" s="2">
        <v>698800.0</v>
      </c>
      <c r="O312" s="4">
        <f t="shared" si="6"/>
        <v>5681.300813</v>
      </c>
      <c r="P312" s="2">
        <v>0.0</v>
      </c>
      <c r="Q312" s="3">
        <f t="shared" si="7"/>
        <v>0</v>
      </c>
      <c r="R312" s="2">
        <v>46.0</v>
      </c>
      <c r="S312" s="5">
        <f t="shared" si="8"/>
        <v>1</v>
      </c>
    </row>
    <row r="313">
      <c r="A313" s="2" t="s">
        <v>329</v>
      </c>
      <c r="B313" s="2">
        <v>4.0</v>
      </c>
      <c r="C313" s="2">
        <v>51.0</v>
      </c>
      <c r="D313" s="2">
        <v>15.0</v>
      </c>
      <c r="E313" s="3">
        <f t="shared" si="1"/>
        <v>0.3191489362</v>
      </c>
      <c r="F313" s="2">
        <v>8.0</v>
      </c>
      <c r="G313" s="3">
        <f t="shared" si="2"/>
        <v>0.170212766</v>
      </c>
      <c r="H313" s="2">
        <v>8.0</v>
      </c>
      <c r="I313" s="3">
        <f t="shared" si="3"/>
        <v>0.170212766</v>
      </c>
      <c r="J313" s="2">
        <v>11.0</v>
      </c>
      <c r="K313" s="3">
        <f t="shared" si="4"/>
        <v>0.2340425532</v>
      </c>
      <c r="L313" s="2">
        <v>4.0</v>
      </c>
      <c r="M313" s="3">
        <f t="shared" si="5"/>
        <v>0.5</v>
      </c>
      <c r="N313" s="2">
        <v>36300.0</v>
      </c>
      <c r="O313" s="4">
        <f t="shared" si="6"/>
        <v>4537.5</v>
      </c>
      <c r="P313" s="2">
        <v>0.0</v>
      </c>
      <c r="Q313" s="3">
        <f t="shared" si="7"/>
        <v>0</v>
      </c>
      <c r="R313" s="2">
        <v>4.0</v>
      </c>
      <c r="S313" s="5">
        <f t="shared" si="8"/>
        <v>1</v>
      </c>
    </row>
    <row r="314">
      <c r="A314" s="2" t="s">
        <v>330</v>
      </c>
      <c r="B314" s="2">
        <v>36.0</v>
      </c>
      <c r="C314" s="2">
        <v>412.0</v>
      </c>
      <c r="D314" s="2">
        <v>136.0</v>
      </c>
      <c r="E314" s="3">
        <f t="shared" si="1"/>
        <v>0.3617021277</v>
      </c>
      <c r="F314" s="2">
        <v>64.0</v>
      </c>
      <c r="G314" s="3">
        <f t="shared" si="2"/>
        <v>0.170212766</v>
      </c>
      <c r="H314" s="2">
        <v>65.0</v>
      </c>
      <c r="I314" s="3">
        <f t="shared" si="3"/>
        <v>0.1728723404</v>
      </c>
      <c r="J314" s="2">
        <v>79.0</v>
      </c>
      <c r="K314" s="3">
        <f t="shared" si="4"/>
        <v>0.210106383</v>
      </c>
      <c r="L314" s="2">
        <v>37.0</v>
      </c>
      <c r="M314" s="3">
        <f t="shared" si="5"/>
        <v>0.5692307692</v>
      </c>
      <c r="N314" s="2">
        <v>417300.0</v>
      </c>
      <c r="O314" s="4">
        <f t="shared" si="6"/>
        <v>6420</v>
      </c>
      <c r="P314" s="2">
        <v>0.0</v>
      </c>
      <c r="Q314" s="3">
        <f t="shared" si="7"/>
        <v>0</v>
      </c>
      <c r="R314" s="2">
        <v>36.0</v>
      </c>
      <c r="S314" s="5">
        <f t="shared" si="8"/>
        <v>1</v>
      </c>
    </row>
    <row r="315">
      <c r="A315" s="2" t="s">
        <v>331</v>
      </c>
      <c r="B315" s="2">
        <v>55.0</v>
      </c>
      <c r="C315" s="2">
        <v>637.0</v>
      </c>
      <c r="D315" s="2">
        <v>246.0</v>
      </c>
      <c r="E315" s="3">
        <f t="shared" si="1"/>
        <v>0.4226804124</v>
      </c>
      <c r="F315" s="2">
        <v>99.0</v>
      </c>
      <c r="G315" s="3">
        <f t="shared" si="2"/>
        <v>0.1701030928</v>
      </c>
      <c r="H315" s="2">
        <v>112.0</v>
      </c>
      <c r="I315" s="3">
        <f t="shared" si="3"/>
        <v>0.1924398625</v>
      </c>
      <c r="J315" s="2">
        <v>97.0</v>
      </c>
      <c r="K315" s="3">
        <f t="shared" si="4"/>
        <v>0.1666666667</v>
      </c>
      <c r="L315" s="2">
        <v>71.0</v>
      </c>
      <c r="M315" s="3">
        <f t="shared" si="5"/>
        <v>0.6339285714</v>
      </c>
      <c r="N315" s="2">
        <v>542200.0</v>
      </c>
      <c r="O315" s="4">
        <f t="shared" si="6"/>
        <v>4841.071429</v>
      </c>
      <c r="P315" s="2">
        <v>1.0</v>
      </c>
      <c r="Q315" s="3">
        <f t="shared" si="7"/>
        <v>0.01818181818</v>
      </c>
      <c r="R315" s="2">
        <v>55.0</v>
      </c>
      <c r="S315" s="5">
        <f t="shared" si="8"/>
        <v>1</v>
      </c>
    </row>
    <row r="316">
      <c r="A316" s="2" t="s">
        <v>332</v>
      </c>
      <c r="B316" s="2">
        <v>140.0</v>
      </c>
      <c r="C316" s="2">
        <v>1605.0</v>
      </c>
      <c r="D316" s="2">
        <v>610.0</v>
      </c>
      <c r="E316" s="3">
        <f t="shared" si="1"/>
        <v>0.4163822526</v>
      </c>
      <c r="F316" s="2">
        <v>249.0</v>
      </c>
      <c r="G316" s="3">
        <f t="shared" si="2"/>
        <v>0.1699658703</v>
      </c>
      <c r="H316" s="2">
        <v>309.0</v>
      </c>
      <c r="I316" s="3">
        <f t="shared" si="3"/>
        <v>0.2109215017</v>
      </c>
      <c r="J316" s="2">
        <v>267.0</v>
      </c>
      <c r="K316" s="3">
        <f t="shared" si="4"/>
        <v>0.1822525597</v>
      </c>
      <c r="L316" s="2">
        <v>190.0</v>
      </c>
      <c r="M316" s="3">
        <f t="shared" si="5"/>
        <v>0.6148867314</v>
      </c>
      <c r="N316" s="2">
        <v>1747500.0</v>
      </c>
      <c r="O316" s="4">
        <f t="shared" si="6"/>
        <v>5655.339806</v>
      </c>
      <c r="P316" s="2">
        <v>0.0</v>
      </c>
      <c r="Q316" s="3">
        <f t="shared" si="7"/>
        <v>0</v>
      </c>
      <c r="R316" s="2">
        <v>140.0</v>
      </c>
      <c r="S316" s="5">
        <f t="shared" si="8"/>
        <v>1</v>
      </c>
    </row>
    <row r="317">
      <c r="A317" s="2" t="s">
        <v>333</v>
      </c>
      <c r="B317" s="2">
        <v>128.0</v>
      </c>
      <c r="C317" s="2">
        <v>1435.0</v>
      </c>
      <c r="D317" s="2">
        <v>426.0</v>
      </c>
      <c r="E317" s="3">
        <f t="shared" si="1"/>
        <v>0.3259372609</v>
      </c>
      <c r="F317" s="2">
        <v>222.0</v>
      </c>
      <c r="G317" s="3">
        <f t="shared" si="2"/>
        <v>0.1698546289</v>
      </c>
      <c r="H317" s="2">
        <v>267.0</v>
      </c>
      <c r="I317" s="3">
        <f t="shared" si="3"/>
        <v>0.2042846213</v>
      </c>
      <c r="J317" s="2">
        <v>282.0</v>
      </c>
      <c r="K317" s="3">
        <f t="shared" si="4"/>
        <v>0.2157612854</v>
      </c>
      <c r="L317" s="2">
        <v>170.0</v>
      </c>
      <c r="M317" s="3">
        <f t="shared" si="5"/>
        <v>0.6367041199</v>
      </c>
      <c r="N317" s="2">
        <v>1574900.0</v>
      </c>
      <c r="O317" s="4">
        <f t="shared" si="6"/>
        <v>5898.501873</v>
      </c>
      <c r="P317" s="2">
        <v>1.0</v>
      </c>
      <c r="Q317" s="3">
        <f t="shared" si="7"/>
        <v>0.0078125</v>
      </c>
      <c r="R317" s="2">
        <v>128.0</v>
      </c>
      <c r="S317" s="5">
        <f t="shared" si="8"/>
        <v>1</v>
      </c>
    </row>
    <row r="318">
      <c r="A318" s="2" t="s">
        <v>334</v>
      </c>
      <c r="B318" s="2">
        <v>18.0</v>
      </c>
      <c r="C318" s="2">
        <v>230.0</v>
      </c>
      <c r="D318" s="2">
        <v>88.0</v>
      </c>
      <c r="E318" s="3">
        <f t="shared" si="1"/>
        <v>0.4150943396</v>
      </c>
      <c r="F318" s="2">
        <v>36.0</v>
      </c>
      <c r="G318" s="3">
        <f t="shared" si="2"/>
        <v>0.1698113208</v>
      </c>
      <c r="H318" s="2">
        <v>47.0</v>
      </c>
      <c r="I318" s="3">
        <f t="shared" si="3"/>
        <v>0.2216981132</v>
      </c>
      <c r="J318" s="2">
        <v>47.0</v>
      </c>
      <c r="K318" s="3">
        <f t="shared" si="4"/>
        <v>0.2216981132</v>
      </c>
      <c r="L318" s="2">
        <v>28.0</v>
      </c>
      <c r="M318" s="3">
        <f t="shared" si="5"/>
        <v>0.5957446809</v>
      </c>
      <c r="N318" s="2">
        <v>237800.0</v>
      </c>
      <c r="O318" s="4">
        <f t="shared" si="6"/>
        <v>5059.574468</v>
      </c>
      <c r="P318" s="2">
        <v>0.0</v>
      </c>
      <c r="Q318" s="3">
        <f t="shared" si="7"/>
        <v>0</v>
      </c>
      <c r="R318" s="2">
        <v>18.0</v>
      </c>
      <c r="S318" s="5">
        <f t="shared" si="8"/>
        <v>1</v>
      </c>
    </row>
    <row r="319">
      <c r="A319" s="2" t="s">
        <v>335</v>
      </c>
      <c r="B319" s="2">
        <v>20.0</v>
      </c>
      <c r="C319" s="2">
        <v>238.0</v>
      </c>
      <c r="D319" s="2">
        <v>65.0</v>
      </c>
      <c r="E319" s="3">
        <f t="shared" si="1"/>
        <v>0.2981651376</v>
      </c>
      <c r="F319" s="2">
        <v>37.0</v>
      </c>
      <c r="G319" s="3">
        <f t="shared" si="2"/>
        <v>0.1697247706</v>
      </c>
      <c r="H319" s="2">
        <v>38.0</v>
      </c>
      <c r="I319" s="3">
        <f t="shared" si="3"/>
        <v>0.1743119266</v>
      </c>
      <c r="J319" s="2">
        <v>49.0</v>
      </c>
      <c r="K319" s="3">
        <f t="shared" si="4"/>
        <v>0.2247706422</v>
      </c>
      <c r="L319" s="2">
        <v>20.0</v>
      </c>
      <c r="M319" s="3">
        <f t="shared" si="5"/>
        <v>0.5263157895</v>
      </c>
      <c r="N319" s="2">
        <v>251800.0</v>
      </c>
      <c r="O319" s="4">
        <f t="shared" si="6"/>
        <v>6626.315789</v>
      </c>
      <c r="P319" s="2">
        <v>0.0</v>
      </c>
      <c r="Q319" s="3">
        <f t="shared" si="7"/>
        <v>0</v>
      </c>
      <c r="R319" s="2">
        <v>20.0</v>
      </c>
      <c r="S319" s="5">
        <f t="shared" si="8"/>
        <v>1</v>
      </c>
    </row>
    <row r="320">
      <c r="A320" s="2" t="s">
        <v>336</v>
      </c>
      <c r="B320" s="2">
        <v>76.0</v>
      </c>
      <c r="C320" s="2">
        <v>895.0</v>
      </c>
      <c r="D320" s="2">
        <v>280.0</v>
      </c>
      <c r="E320" s="3">
        <f t="shared" si="1"/>
        <v>0.3418803419</v>
      </c>
      <c r="F320" s="2">
        <v>139.0</v>
      </c>
      <c r="G320" s="3">
        <f t="shared" si="2"/>
        <v>0.1697191697</v>
      </c>
      <c r="H320" s="2">
        <v>157.0</v>
      </c>
      <c r="I320" s="3">
        <f t="shared" si="3"/>
        <v>0.1916971917</v>
      </c>
      <c r="J320" s="2">
        <v>165.0</v>
      </c>
      <c r="K320" s="3">
        <f t="shared" si="4"/>
        <v>0.2014652015</v>
      </c>
      <c r="L320" s="2">
        <v>82.0</v>
      </c>
      <c r="M320" s="3">
        <f t="shared" si="5"/>
        <v>0.5222929936</v>
      </c>
      <c r="N320" s="2">
        <v>1009300.0</v>
      </c>
      <c r="O320" s="4">
        <f t="shared" si="6"/>
        <v>6428.66242</v>
      </c>
      <c r="P320" s="2">
        <v>0.0</v>
      </c>
      <c r="Q320" s="3">
        <f t="shared" si="7"/>
        <v>0</v>
      </c>
      <c r="R320" s="2">
        <v>76.0</v>
      </c>
      <c r="S320" s="5">
        <f t="shared" si="8"/>
        <v>1</v>
      </c>
    </row>
    <row r="321">
      <c r="A321" s="2" t="s">
        <v>337</v>
      </c>
      <c r="B321" s="2">
        <v>75.0</v>
      </c>
      <c r="C321" s="2">
        <v>847.0</v>
      </c>
      <c r="D321" s="2">
        <v>255.0</v>
      </c>
      <c r="E321" s="3">
        <f t="shared" si="1"/>
        <v>0.3303108808</v>
      </c>
      <c r="F321" s="2">
        <v>131.0</v>
      </c>
      <c r="G321" s="3">
        <f t="shared" si="2"/>
        <v>0.1696891192</v>
      </c>
      <c r="H321" s="2">
        <v>164.0</v>
      </c>
      <c r="I321" s="3">
        <f t="shared" si="3"/>
        <v>0.2124352332</v>
      </c>
      <c r="J321" s="2">
        <v>171.0</v>
      </c>
      <c r="K321" s="3">
        <f t="shared" si="4"/>
        <v>0.2215025907</v>
      </c>
      <c r="L321" s="2">
        <v>109.0</v>
      </c>
      <c r="M321" s="3">
        <f t="shared" si="5"/>
        <v>0.6646341463</v>
      </c>
      <c r="N321" s="2">
        <v>989700.0</v>
      </c>
      <c r="O321" s="4">
        <f t="shared" si="6"/>
        <v>6034.756098</v>
      </c>
      <c r="P321" s="2">
        <v>0.0</v>
      </c>
      <c r="Q321" s="3">
        <f t="shared" si="7"/>
        <v>0</v>
      </c>
      <c r="R321" s="2">
        <v>75.0</v>
      </c>
      <c r="S321" s="5">
        <f t="shared" si="8"/>
        <v>1</v>
      </c>
    </row>
    <row r="322">
      <c r="A322" s="2" t="s">
        <v>338</v>
      </c>
      <c r="B322" s="2">
        <v>639.0</v>
      </c>
      <c r="C322" s="2">
        <v>7282.0</v>
      </c>
      <c r="D322" s="2">
        <v>2195.0</v>
      </c>
      <c r="E322" s="3">
        <f t="shared" si="1"/>
        <v>0.3304230017</v>
      </c>
      <c r="F322" s="2">
        <v>1127.0</v>
      </c>
      <c r="G322" s="3">
        <f t="shared" si="2"/>
        <v>0.1696522655</v>
      </c>
      <c r="H322" s="2">
        <v>1412.0</v>
      </c>
      <c r="I322" s="3">
        <f t="shared" si="3"/>
        <v>0.2125545687</v>
      </c>
      <c r="J322" s="2">
        <v>1406.0</v>
      </c>
      <c r="K322" s="3">
        <f t="shared" si="4"/>
        <v>0.2116513623</v>
      </c>
      <c r="L322" s="2">
        <v>839.0</v>
      </c>
      <c r="M322" s="3">
        <f t="shared" si="5"/>
        <v>0.5941926346</v>
      </c>
      <c r="N322" s="2">
        <v>8652400.0</v>
      </c>
      <c r="O322" s="4">
        <f t="shared" si="6"/>
        <v>6127.76204</v>
      </c>
      <c r="P322" s="2">
        <v>5.0</v>
      </c>
      <c r="Q322" s="3">
        <f t="shared" si="7"/>
        <v>0.007824726135</v>
      </c>
      <c r="R322" s="2">
        <v>639.0</v>
      </c>
      <c r="S322" s="5">
        <f t="shared" si="8"/>
        <v>1</v>
      </c>
    </row>
    <row r="323">
      <c r="A323" s="2" t="s">
        <v>339</v>
      </c>
      <c r="B323" s="2">
        <v>21.0</v>
      </c>
      <c r="C323" s="2">
        <v>245.0</v>
      </c>
      <c r="D323" s="2">
        <v>68.0</v>
      </c>
      <c r="E323" s="3">
        <f t="shared" si="1"/>
        <v>0.3035714286</v>
      </c>
      <c r="F323" s="2">
        <v>38.0</v>
      </c>
      <c r="G323" s="3">
        <f t="shared" si="2"/>
        <v>0.1696428571</v>
      </c>
      <c r="H323" s="2">
        <v>27.0</v>
      </c>
      <c r="I323" s="3">
        <f t="shared" si="3"/>
        <v>0.1205357143</v>
      </c>
      <c r="J323" s="2">
        <v>40.0</v>
      </c>
      <c r="K323" s="3">
        <f t="shared" si="4"/>
        <v>0.1785714286</v>
      </c>
      <c r="L323" s="2">
        <v>15.0</v>
      </c>
      <c r="M323" s="3">
        <f t="shared" si="5"/>
        <v>0.5555555556</v>
      </c>
      <c r="N323" s="2">
        <v>130700.0</v>
      </c>
      <c r="O323" s="4">
        <f t="shared" si="6"/>
        <v>4840.740741</v>
      </c>
      <c r="P323" s="2">
        <v>0.0</v>
      </c>
      <c r="Q323" s="3">
        <f t="shared" si="7"/>
        <v>0</v>
      </c>
      <c r="R323" s="2">
        <v>21.0</v>
      </c>
      <c r="S323" s="5">
        <f t="shared" si="8"/>
        <v>1</v>
      </c>
    </row>
    <row r="324">
      <c r="A324" s="2" t="s">
        <v>340</v>
      </c>
      <c r="B324" s="2">
        <v>100.0</v>
      </c>
      <c r="C324" s="2">
        <v>1220.0</v>
      </c>
      <c r="D324" s="2">
        <v>521.0</v>
      </c>
      <c r="E324" s="3">
        <f t="shared" si="1"/>
        <v>0.4651785714</v>
      </c>
      <c r="F324" s="2">
        <v>190.0</v>
      </c>
      <c r="G324" s="3">
        <f t="shared" si="2"/>
        <v>0.1696428571</v>
      </c>
      <c r="H324" s="2">
        <v>229.0</v>
      </c>
      <c r="I324" s="3">
        <f t="shared" si="3"/>
        <v>0.2044642857</v>
      </c>
      <c r="J324" s="2">
        <v>151.0</v>
      </c>
      <c r="K324" s="3">
        <f t="shared" si="4"/>
        <v>0.1348214286</v>
      </c>
      <c r="L324" s="2">
        <v>135.0</v>
      </c>
      <c r="M324" s="3">
        <f t="shared" si="5"/>
        <v>0.5895196507</v>
      </c>
      <c r="N324" s="2">
        <v>1242000.0</v>
      </c>
      <c r="O324" s="4">
        <f t="shared" si="6"/>
        <v>5423.580786</v>
      </c>
      <c r="P324" s="2">
        <v>0.0</v>
      </c>
      <c r="Q324" s="3">
        <f t="shared" si="7"/>
        <v>0</v>
      </c>
      <c r="R324" s="2">
        <v>100.0</v>
      </c>
      <c r="S324" s="5">
        <f t="shared" si="8"/>
        <v>1</v>
      </c>
    </row>
    <row r="325">
      <c r="A325" s="2" t="s">
        <v>341</v>
      </c>
      <c r="B325" s="2">
        <v>298.0</v>
      </c>
      <c r="C325" s="2">
        <v>3329.0</v>
      </c>
      <c r="D325" s="2">
        <v>999.0</v>
      </c>
      <c r="E325" s="3">
        <f t="shared" si="1"/>
        <v>0.3295941933</v>
      </c>
      <c r="F325" s="2">
        <v>514.0</v>
      </c>
      <c r="G325" s="3">
        <f t="shared" si="2"/>
        <v>0.1695809964</v>
      </c>
      <c r="H325" s="2">
        <v>651.0</v>
      </c>
      <c r="I325" s="3">
        <f t="shared" si="3"/>
        <v>0.2147806005</v>
      </c>
      <c r="J325" s="2">
        <v>566.0</v>
      </c>
      <c r="K325" s="3">
        <f t="shared" si="4"/>
        <v>0.1867370505</v>
      </c>
      <c r="L325" s="2">
        <v>408.0</v>
      </c>
      <c r="M325" s="3">
        <f t="shared" si="5"/>
        <v>0.6267281106</v>
      </c>
      <c r="N325" s="2">
        <v>3751200.0</v>
      </c>
      <c r="O325" s="4">
        <f t="shared" si="6"/>
        <v>5762.211982</v>
      </c>
      <c r="P325" s="2">
        <v>1.0</v>
      </c>
      <c r="Q325" s="3">
        <f t="shared" si="7"/>
        <v>0.003355704698</v>
      </c>
      <c r="R325" s="2">
        <v>298.0</v>
      </c>
      <c r="S325" s="5">
        <f t="shared" si="8"/>
        <v>1</v>
      </c>
    </row>
    <row r="326">
      <c r="A326" s="2" t="s">
        <v>342</v>
      </c>
      <c r="B326" s="2">
        <v>216.0</v>
      </c>
      <c r="C326" s="2">
        <v>2504.0</v>
      </c>
      <c r="D326" s="2">
        <v>978.0</v>
      </c>
      <c r="E326" s="3">
        <f t="shared" si="1"/>
        <v>0.4274475524</v>
      </c>
      <c r="F326" s="2">
        <v>388.0</v>
      </c>
      <c r="G326" s="3">
        <f t="shared" si="2"/>
        <v>0.1695804196</v>
      </c>
      <c r="H326" s="2">
        <v>552.0</v>
      </c>
      <c r="I326" s="3">
        <f t="shared" si="3"/>
        <v>0.2412587413</v>
      </c>
      <c r="J326" s="2">
        <v>440.0</v>
      </c>
      <c r="K326" s="3">
        <f t="shared" si="4"/>
        <v>0.1923076923</v>
      </c>
      <c r="L326" s="2">
        <v>332.0</v>
      </c>
      <c r="M326" s="3">
        <f t="shared" si="5"/>
        <v>0.6014492754</v>
      </c>
      <c r="N326" s="2">
        <v>2800400.0</v>
      </c>
      <c r="O326" s="4">
        <f t="shared" si="6"/>
        <v>5073.188406</v>
      </c>
      <c r="P326" s="2">
        <v>0.0</v>
      </c>
      <c r="Q326" s="3">
        <f t="shared" si="7"/>
        <v>0</v>
      </c>
      <c r="R326" s="2">
        <v>216.0</v>
      </c>
      <c r="S326" s="5">
        <f t="shared" si="8"/>
        <v>1</v>
      </c>
    </row>
    <row r="327">
      <c r="A327" s="2" t="s">
        <v>343</v>
      </c>
      <c r="B327" s="2">
        <v>5.0</v>
      </c>
      <c r="C327" s="2">
        <v>64.0</v>
      </c>
      <c r="D327" s="2">
        <v>21.0</v>
      </c>
      <c r="E327" s="3">
        <f t="shared" si="1"/>
        <v>0.3559322034</v>
      </c>
      <c r="F327" s="2">
        <v>10.0</v>
      </c>
      <c r="G327" s="3">
        <f t="shared" si="2"/>
        <v>0.1694915254</v>
      </c>
      <c r="H327" s="2">
        <v>12.0</v>
      </c>
      <c r="I327" s="3">
        <f t="shared" si="3"/>
        <v>0.2033898305</v>
      </c>
      <c r="J327" s="2">
        <v>9.0</v>
      </c>
      <c r="K327" s="3">
        <f t="shared" si="4"/>
        <v>0.1525423729</v>
      </c>
      <c r="L327" s="2">
        <v>7.0</v>
      </c>
      <c r="M327" s="3">
        <f t="shared" si="5"/>
        <v>0.5833333333</v>
      </c>
      <c r="N327" s="2">
        <v>60500.0</v>
      </c>
      <c r="O327" s="4">
        <f t="shared" si="6"/>
        <v>5041.666667</v>
      </c>
      <c r="P327" s="2">
        <v>0.0</v>
      </c>
      <c r="Q327" s="3">
        <f t="shared" si="7"/>
        <v>0</v>
      </c>
      <c r="R327" s="2">
        <v>5.0</v>
      </c>
      <c r="S327" s="5">
        <f t="shared" si="8"/>
        <v>1</v>
      </c>
    </row>
    <row r="328">
      <c r="A328" s="2" t="s">
        <v>344</v>
      </c>
      <c r="B328" s="2">
        <v>90.0</v>
      </c>
      <c r="C328" s="2">
        <v>1064.0</v>
      </c>
      <c r="D328" s="2">
        <v>341.0</v>
      </c>
      <c r="E328" s="3">
        <f t="shared" si="1"/>
        <v>0.3501026694</v>
      </c>
      <c r="F328" s="2">
        <v>165.0</v>
      </c>
      <c r="G328" s="3">
        <f t="shared" si="2"/>
        <v>0.1694045175</v>
      </c>
      <c r="H328" s="2">
        <v>184.0</v>
      </c>
      <c r="I328" s="3">
        <f t="shared" si="3"/>
        <v>0.1889117043</v>
      </c>
      <c r="J328" s="2">
        <v>170.0</v>
      </c>
      <c r="K328" s="3">
        <f t="shared" si="4"/>
        <v>0.1745379877</v>
      </c>
      <c r="L328" s="2">
        <v>110.0</v>
      </c>
      <c r="M328" s="3">
        <f t="shared" si="5"/>
        <v>0.597826087</v>
      </c>
      <c r="N328" s="2">
        <v>1134700.0</v>
      </c>
      <c r="O328" s="4">
        <f t="shared" si="6"/>
        <v>6166.847826</v>
      </c>
      <c r="P328" s="2">
        <v>0.0</v>
      </c>
      <c r="Q328" s="3">
        <f t="shared" si="7"/>
        <v>0</v>
      </c>
      <c r="R328" s="2">
        <v>90.0</v>
      </c>
      <c r="S328" s="5">
        <f t="shared" si="8"/>
        <v>1</v>
      </c>
    </row>
    <row r="329">
      <c r="A329" s="2" t="s">
        <v>345</v>
      </c>
      <c r="B329" s="2">
        <v>16.0</v>
      </c>
      <c r="C329" s="2">
        <v>199.0</v>
      </c>
      <c r="D329" s="2">
        <v>58.0</v>
      </c>
      <c r="E329" s="3">
        <f t="shared" si="1"/>
        <v>0.3169398907</v>
      </c>
      <c r="F329" s="2">
        <v>31.0</v>
      </c>
      <c r="G329" s="3">
        <f t="shared" si="2"/>
        <v>0.1693989071</v>
      </c>
      <c r="H329" s="2">
        <v>25.0</v>
      </c>
      <c r="I329" s="3">
        <f t="shared" si="3"/>
        <v>0.1366120219</v>
      </c>
      <c r="J329" s="2">
        <v>12.0</v>
      </c>
      <c r="K329" s="3">
        <f t="shared" si="4"/>
        <v>0.06557377049</v>
      </c>
      <c r="L329" s="2">
        <v>14.0</v>
      </c>
      <c r="M329" s="3">
        <f t="shared" si="5"/>
        <v>0.56</v>
      </c>
      <c r="N329" s="2">
        <v>168700.0</v>
      </c>
      <c r="O329" s="4">
        <f t="shared" si="6"/>
        <v>6748</v>
      </c>
      <c r="P329" s="2">
        <v>0.0</v>
      </c>
      <c r="Q329" s="3">
        <f t="shared" si="7"/>
        <v>0</v>
      </c>
      <c r="R329" s="2">
        <v>16.0</v>
      </c>
      <c r="S329" s="5">
        <f t="shared" si="8"/>
        <v>1</v>
      </c>
    </row>
    <row r="330">
      <c r="A330" s="2" t="s">
        <v>346</v>
      </c>
      <c r="B330" s="2">
        <v>24.0</v>
      </c>
      <c r="C330" s="2">
        <v>272.0</v>
      </c>
      <c r="D330" s="2">
        <v>67.0</v>
      </c>
      <c r="E330" s="3">
        <f t="shared" si="1"/>
        <v>0.2701612903</v>
      </c>
      <c r="F330" s="2">
        <v>42.0</v>
      </c>
      <c r="G330" s="3">
        <f t="shared" si="2"/>
        <v>0.1693548387</v>
      </c>
      <c r="H330" s="2">
        <v>49.0</v>
      </c>
      <c r="I330" s="3">
        <f t="shared" si="3"/>
        <v>0.1975806452</v>
      </c>
      <c r="J330" s="2">
        <v>59.0</v>
      </c>
      <c r="K330" s="3">
        <f t="shared" si="4"/>
        <v>0.2379032258</v>
      </c>
      <c r="L330" s="2">
        <v>30.0</v>
      </c>
      <c r="M330" s="3">
        <f t="shared" si="5"/>
        <v>0.612244898</v>
      </c>
      <c r="N330" s="2">
        <v>280500.0</v>
      </c>
      <c r="O330" s="4">
        <f t="shared" si="6"/>
        <v>5724.489796</v>
      </c>
      <c r="P330" s="2">
        <v>0.0</v>
      </c>
      <c r="Q330" s="3">
        <f t="shared" si="7"/>
        <v>0</v>
      </c>
      <c r="R330" s="2">
        <v>24.0</v>
      </c>
      <c r="S330" s="5">
        <f t="shared" si="8"/>
        <v>1</v>
      </c>
    </row>
    <row r="331">
      <c r="A331" s="2" t="s">
        <v>347</v>
      </c>
      <c r="B331" s="2">
        <v>111.0</v>
      </c>
      <c r="C331" s="2">
        <v>1292.0</v>
      </c>
      <c r="D331" s="2">
        <v>302.0</v>
      </c>
      <c r="E331" s="3">
        <f t="shared" si="1"/>
        <v>0.2557154953</v>
      </c>
      <c r="F331" s="2">
        <v>200.0</v>
      </c>
      <c r="G331" s="3">
        <f t="shared" si="2"/>
        <v>0.1693480102</v>
      </c>
      <c r="H331" s="2">
        <v>233.0</v>
      </c>
      <c r="I331" s="3">
        <f t="shared" si="3"/>
        <v>0.1972904318</v>
      </c>
      <c r="J331" s="2">
        <v>236.0</v>
      </c>
      <c r="K331" s="3">
        <f t="shared" si="4"/>
        <v>0.199830652</v>
      </c>
      <c r="L331" s="2">
        <v>151.0</v>
      </c>
      <c r="M331" s="3">
        <f t="shared" si="5"/>
        <v>0.6480686695</v>
      </c>
      <c r="N331" s="2">
        <v>1326700.0</v>
      </c>
      <c r="O331" s="4">
        <f t="shared" si="6"/>
        <v>5693.991416</v>
      </c>
      <c r="P331" s="2">
        <v>0.0</v>
      </c>
      <c r="Q331" s="3">
        <f t="shared" si="7"/>
        <v>0</v>
      </c>
      <c r="R331" s="2">
        <v>111.0</v>
      </c>
      <c r="S331" s="5">
        <f t="shared" si="8"/>
        <v>1</v>
      </c>
    </row>
    <row r="332">
      <c r="A332" s="2" t="s">
        <v>348</v>
      </c>
      <c r="B332" s="2">
        <v>96.0</v>
      </c>
      <c r="C332" s="2">
        <v>1100.0</v>
      </c>
      <c r="D332" s="2">
        <v>394.0</v>
      </c>
      <c r="E332" s="3">
        <f t="shared" si="1"/>
        <v>0.3924302789</v>
      </c>
      <c r="F332" s="2">
        <v>170.0</v>
      </c>
      <c r="G332" s="3">
        <f t="shared" si="2"/>
        <v>0.1693227092</v>
      </c>
      <c r="H332" s="2">
        <v>212.0</v>
      </c>
      <c r="I332" s="3">
        <f t="shared" si="3"/>
        <v>0.2111553785</v>
      </c>
      <c r="J332" s="2">
        <v>191.0</v>
      </c>
      <c r="K332" s="3">
        <f t="shared" si="4"/>
        <v>0.1902390438</v>
      </c>
      <c r="L332" s="2">
        <v>123.0</v>
      </c>
      <c r="M332" s="3">
        <f t="shared" si="5"/>
        <v>0.5801886792</v>
      </c>
      <c r="N332" s="2">
        <v>1097500.0</v>
      </c>
      <c r="O332" s="4">
        <f t="shared" si="6"/>
        <v>5176.886792</v>
      </c>
      <c r="P332" s="2">
        <v>0.0</v>
      </c>
      <c r="Q332" s="3">
        <f t="shared" si="7"/>
        <v>0</v>
      </c>
      <c r="R332" s="2">
        <v>82.0</v>
      </c>
      <c r="S332" s="5">
        <f t="shared" si="8"/>
        <v>0.8541666667</v>
      </c>
    </row>
    <row r="333">
      <c r="A333" s="2" t="s">
        <v>349</v>
      </c>
      <c r="B333" s="2">
        <v>6.0</v>
      </c>
      <c r="C333" s="2">
        <v>71.0</v>
      </c>
      <c r="D333" s="2">
        <v>19.0</v>
      </c>
      <c r="E333" s="3">
        <f t="shared" si="1"/>
        <v>0.2923076923</v>
      </c>
      <c r="F333" s="2">
        <v>11.0</v>
      </c>
      <c r="G333" s="3">
        <f t="shared" si="2"/>
        <v>0.1692307692</v>
      </c>
      <c r="H333" s="2">
        <v>13.0</v>
      </c>
      <c r="I333" s="3">
        <f t="shared" si="3"/>
        <v>0.2</v>
      </c>
      <c r="J333" s="2">
        <v>12.0</v>
      </c>
      <c r="K333" s="3">
        <f t="shared" si="4"/>
        <v>0.1846153846</v>
      </c>
      <c r="L333" s="2">
        <v>5.0</v>
      </c>
      <c r="M333" s="3">
        <f t="shared" si="5"/>
        <v>0.3846153846</v>
      </c>
      <c r="N333" s="2">
        <v>77000.0</v>
      </c>
      <c r="O333" s="4">
        <f t="shared" si="6"/>
        <v>5923.076923</v>
      </c>
      <c r="P333" s="2">
        <v>0.0</v>
      </c>
      <c r="Q333" s="3">
        <f t="shared" si="7"/>
        <v>0</v>
      </c>
      <c r="R333" s="2">
        <v>6.0</v>
      </c>
      <c r="S333" s="5">
        <f t="shared" si="8"/>
        <v>1</v>
      </c>
    </row>
    <row r="334">
      <c r="A334" s="2" t="s">
        <v>350</v>
      </c>
      <c r="B334" s="2">
        <v>536.0</v>
      </c>
      <c r="C334" s="2">
        <v>6129.0</v>
      </c>
      <c r="D334" s="2">
        <v>1886.0</v>
      </c>
      <c r="E334" s="3">
        <f t="shared" si="1"/>
        <v>0.3372072233</v>
      </c>
      <c r="F334" s="2">
        <v>946.0</v>
      </c>
      <c r="G334" s="3">
        <f t="shared" si="2"/>
        <v>0.1691399964</v>
      </c>
      <c r="H334" s="2">
        <v>1270.0</v>
      </c>
      <c r="I334" s="3">
        <f t="shared" si="3"/>
        <v>0.2270695512</v>
      </c>
      <c r="J334" s="2">
        <v>1174.0</v>
      </c>
      <c r="K334" s="3">
        <f t="shared" si="4"/>
        <v>0.2099052387</v>
      </c>
      <c r="L334" s="2">
        <v>746.0</v>
      </c>
      <c r="M334" s="3">
        <f t="shared" si="5"/>
        <v>0.5874015748</v>
      </c>
      <c r="N334" s="2">
        <v>7516800.0</v>
      </c>
      <c r="O334" s="4">
        <f t="shared" si="6"/>
        <v>5918.740157</v>
      </c>
      <c r="P334" s="2">
        <v>0.0</v>
      </c>
      <c r="Q334" s="3">
        <f t="shared" si="7"/>
        <v>0</v>
      </c>
      <c r="R334" s="2">
        <v>534.0</v>
      </c>
      <c r="S334" s="5">
        <f t="shared" si="8"/>
        <v>0.9962686567</v>
      </c>
    </row>
    <row r="335">
      <c r="A335" s="2" t="s">
        <v>351</v>
      </c>
      <c r="B335" s="2">
        <v>12.0</v>
      </c>
      <c r="C335" s="2">
        <v>148.0</v>
      </c>
      <c r="D335" s="2">
        <v>41.0</v>
      </c>
      <c r="E335" s="3">
        <f t="shared" si="1"/>
        <v>0.3014705882</v>
      </c>
      <c r="F335" s="2">
        <v>23.0</v>
      </c>
      <c r="G335" s="3">
        <f t="shared" si="2"/>
        <v>0.1691176471</v>
      </c>
      <c r="H335" s="2">
        <v>32.0</v>
      </c>
      <c r="I335" s="3">
        <f t="shared" si="3"/>
        <v>0.2352941176</v>
      </c>
      <c r="J335" s="2">
        <v>27.0</v>
      </c>
      <c r="K335" s="3">
        <f t="shared" si="4"/>
        <v>0.1985294118</v>
      </c>
      <c r="L335" s="2">
        <v>19.0</v>
      </c>
      <c r="M335" s="3">
        <f t="shared" si="5"/>
        <v>0.59375</v>
      </c>
      <c r="N335" s="2">
        <v>194800.0</v>
      </c>
      <c r="O335" s="4">
        <f t="shared" si="6"/>
        <v>6087.5</v>
      </c>
      <c r="P335" s="2">
        <v>0.0</v>
      </c>
      <c r="Q335" s="3">
        <f t="shared" si="7"/>
        <v>0</v>
      </c>
      <c r="R335" s="2">
        <v>12.0</v>
      </c>
      <c r="S335" s="5">
        <f t="shared" si="8"/>
        <v>1</v>
      </c>
    </row>
    <row r="336">
      <c r="A336" s="2" t="s">
        <v>352</v>
      </c>
      <c r="B336" s="2">
        <v>1018.0</v>
      </c>
      <c r="C336" s="2">
        <v>11860.0</v>
      </c>
      <c r="D336" s="2">
        <v>3987.0</v>
      </c>
      <c r="E336" s="3">
        <f t="shared" si="1"/>
        <v>0.36773658</v>
      </c>
      <c r="F336" s="2">
        <v>1833.0</v>
      </c>
      <c r="G336" s="3">
        <f t="shared" si="2"/>
        <v>0.1690647482</v>
      </c>
      <c r="H336" s="2">
        <v>2436.0</v>
      </c>
      <c r="I336" s="3">
        <f t="shared" si="3"/>
        <v>0.224681793</v>
      </c>
      <c r="J336" s="2">
        <v>1943.0</v>
      </c>
      <c r="K336" s="3">
        <f t="shared" si="4"/>
        <v>0.1792104778</v>
      </c>
      <c r="L336" s="2">
        <v>1502.0</v>
      </c>
      <c r="M336" s="3">
        <f t="shared" si="5"/>
        <v>0.6165845649</v>
      </c>
      <c r="N336" s="2">
        <v>1.48579E7</v>
      </c>
      <c r="O336" s="4">
        <f t="shared" si="6"/>
        <v>6099.302135</v>
      </c>
      <c r="P336" s="2">
        <v>4.0</v>
      </c>
      <c r="Q336" s="3">
        <f t="shared" si="7"/>
        <v>0.003929273084</v>
      </c>
      <c r="R336" s="2">
        <v>1018.0</v>
      </c>
      <c r="S336" s="5">
        <f t="shared" si="8"/>
        <v>1</v>
      </c>
    </row>
    <row r="337">
      <c r="A337" s="2" t="s">
        <v>353</v>
      </c>
      <c r="B337" s="2">
        <v>20.0</v>
      </c>
      <c r="C337" s="2">
        <v>233.0</v>
      </c>
      <c r="D337" s="2">
        <v>74.0</v>
      </c>
      <c r="E337" s="3">
        <f t="shared" si="1"/>
        <v>0.3474178404</v>
      </c>
      <c r="F337" s="2">
        <v>36.0</v>
      </c>
      <c r="G337" s="3">
        <f t="shared" si="2"/>
        <v>0.1690140845</v>
      </c>
      <c r="H337" s="2">
        <v>43.0</v>
      </c>
      <c r="I337" s="3">
        <f t="shared" si="3"/>
        <v>0.2018779343</v>
      </c>
      <c r="J337" s="2">
        <v>40.0</v>
      </c>
      <c r="K337" s="3">
        <f t="shared" si="4"/>
        <v>0.1877934272</v>
      </c>
      <c r="L337" s="2">
        <v>25.0</v>
      </c>
      <c r="M337" s="3">
        <f t="shared" si="5"/>
        <v>0.5813953488</v>
      </c>
      <c r="N337" s="2">
        <v>255200.0</v>
      </c>
      <c r="O337" s="4">
        <f t="shared" si="6"/>
        <v>5934.883721</v>
      </c>
      <c r="P337" s="2">
        <v>0.0</v>
      </c>
      <c r="Q337" s="3">
        <f t="shared" si="7"/>
        <v>0</v>
      </c>
      <c r="R337" s="2">
        <v>20.0</v>
      </c>
      <c r="S337" s="5">
        <f t="shared" si="8"/>
        <v>1</v>
      </c>
    </row>
    <row r="338">
      <c r="A338" s="2" t="s">
        <v>354</v>
      </c>
      <c r="B338" s="2">
        <v>14.0</v>
      </c>
      <c r="C338" s="2">
        <v>162.0</v>
      </c>
      <c r="D338" s="2">
        <v>47.0</v>
      </c>
      <c r="E338" s="3">
        <f t="shared" si="1"/>
        <v>0.3175675676</v>
      </c>
      <c r="F338" s="2">
        <v>25.0</v>
      </c>
      <c r="G338" s="3">
        <f t="shared" si="2"/>
        <v>0.1689189189</v>
      </c>
      <c r="H338" s="2">
        <v>24.0</v>
      </c>
      <c r="I338" s="3">
        <f t="shared" si="3"/>
        <v>0.1621621622</v>
      </c>
      <c r="J338" s="2">
        <v>29.0</v>
      </c>
      <c r="K338" s="3">
        <f t="shared" si="4"/>
        <v>0.1959459459</v>
      </c>
      <c r="L338" s="2">
        <v>10.0</v>
      </c>
      <c r="M338" s="3">
        <f t="shared" si="5"/>
        <v>0.4166666667</v>
      </c>
      <c r="N338" s="2">
        <v>149500.0</v>
      </c>
      <c r="O338" s="4">
        <f t="shared" si="6"/>
        <v>6229.166667</v>
      </c>
      <c r="P338" s="2">
        <v>0.0</v>
      </c>
      <c r="Q338" s="3">
        <f t="shared" si="7"/>
        <v>0</v>
      </c>
      <c r="R338" s="2">
        <v>14.0</v>
      </c>
      <c r="S338" s="5">
        <f t="shared" si="8"/>
        <v>1</v>
      </c>
    </row>
    <row r="339">
      <c r="A339" s="2" t="s">
        <v>355</v>
      </c>
      <c r="B339" s="2">
        <v>15.0</v>
      </c>
      <c r="C339" s="2">
        <v>163.0</v>
      </c>
      <c r="D339" s="2">
        <v>45.0</v>
      </c>
      <c r="E339" s="3">
        <f t="shared" si="1"/>
        <v>0.3040540541</v>
      </c>
      <c r="F339" s="2">
        <v>25.0</v>
      </c>
      <c r="G339" s="3">
        <f t="shared" si="2"/>
        <v>0.1689189189</v>
      </c>
      <c r="H339" s="2">
        <v>32.0</v>
      </c>
      <c r="I339" s="3">
        <f t="shared" si="3"/>
        <v>0.2162162162</v>
      </c>
      <c r="J339" s="2">
        <v>24.0</v>
      </c>
      <c r="K339" s="3">
        <f t="shared" si="4"/>
        <v>0.1621621622</v>
      </c>
      <c r="L339" s="2">
        <v>23.0</v>
      </c>
      <c r="M339" s="3">
        <f t="shared" si="5"/>
        <v>0.71875</v>
      </c>
      <c r="N339" s="2">
        <v>178700.0</v>
      </c>
      <c r="O339" s="4">
        <f t="shared" si="6"/>
        <v>5584.375</v>
      </c>
      <c r="P339" s="2">
        <v>0.0</v>
      </c>
      <c r="Q339" s="3">
        <f t="shared" si="7"/>
        <v>0</v>
      </c>
      <c r="R339" s="2">
        <v>15.0</v>
      </c>
      <c r="S339" s="5">
        <f t="shared" si="8"/>
        <v>1</v>
      </c>
    </row>
    <row r="340">
      <c r="A340" s="2" t="s">
        <v>356</v>
      </c>
      <c r="B340" s="2">
        <v>14.0</v>
      </c>
      <c r="C340" s="2">
        <v>162.0</v>
      </c>
      <c r="D340" s="2">
        <v>52.0</v>
      </c>
      <c r="E340" s="3">
        <f t="shared" si="1"/>
        <v>0.3513513514</v>
      </c>
      <c r="F340" s="2">
        <v>25.0</v>
      </c>
      <c r="G340" s="3">
        <f t="shared" si="2"/>
        <v>0.1689189189</v>
      </c>
      <c r="H340" s="2">
        <v>29.0</v>
      </c>
      <c r="I340" s="3">
        <f t="shared" si="3"/>
        <v>0.1959459459</v>
      </c>
      <c r="J340" s="2">
        <v>22.0</v>
      </c>
      <c r="K340" s="3">
        <f t="shared" si="4"/>
        <v>0.1486486486</v>
      </c>
      <c r="L340" s="2">
        <v>22.0</v>
      </c>
      <c r="M340" s="3">
        <f t="shared" si="5"/>
        <v>0.7586206897</v>
      </c>
      <c r="N340" s="2">
        <v>157600.0</v>
      </c>
      <c r="O340" s="4">
        <f t="shared" si="6"/>
        <v>5434.482759</v>
      </c>
      <c r="P340" s="2">
        <v>0.0</v>
      </c>
      <c r="Q340" s="3">
        <f t="shared" si="7"/>
        <v>0</v>
      </c>
      <c r="R340" s="2">
        <v>14.0</v>
      </c>
      <c r="S340" s="5">
        <f t="shared" si="8"/>
        <v>1</v>
      </c>
    </row>
    <row r="341">
      <c r="A341" s="2" t="s">
        <v>357</v>
      </c>
      <c r="B341" s="2">
        <v>27.0</v>
      </c>
      <c r="C341" s="2">
        <v>329.0</v>
      </c>
      <c r="D341" s="2">
        <v>79.0</v>
      </c>
      <c r="E341" s="3">
        <f t="shared" si="1"/>
        <v>0.261589404</v>
      </c>
      <c r="F341" s="2">
        <v>51.0</v>
      </c>
      <c r="G341" s="3">
        <f t="shared" si="2"/>
        <v>0.1688741722</v>
      </c>
      <c r="H341" s="2">
        <v>65.0</v>
      </c>
      <c r="I341" s="3">
        <f t="shared" si="3"/>
        <v>0.2152317881</v>
      </c>
      <c r="J341" s="2">
        <v>55.0</v>
      </c>
      <c r="K341" s="3">
        <f t="shared" si="4"/>
        <v>0.1821192053</v>
      </c>
      <c r="L341" s="2">
        <v>35.0</v>
      </c>
      <c r="M341" s="3">
        <f t="shared" si="5"/>
        <v>0.5384615385</v>
      </c>
      <c r="N341" s="2">
        <v>377200.0</v>
      </c>
      <c r="O341" s="4">
        <f t="shared" si="6"/>
        <v>5803.076923</v>
      </c>
      <c r="P341" s="2">
        <v>0.0</v>
      </c>
      <c r="Q341" s="3">
        <f t="shared" si="7"/>
        <v>0</v>
      </c>
      <c r="R341" s="2">
        <v>0.0</v>
      </c>
      <c r="S341" s="5">
        <f t="shared" si="8"/>
        <v>0</v>
      </c>
    </row>
    <row r="342">
      <c r="A342" s="2" t="s">
        <v>358</v>
      </c>
      <c r="B342" s="2">
        <v>43.0</v>
      </c>
      <c r="C342" s="2">
        <v>499.0</v>
      </c>
      <c r="D342" s="2">
        <v>177.0</v>
      </c>
      <c r="E342" s="3">
        <f t="shared" si="1"/>
        <v>0.3881578947</v>
      </c>
      <c r="F342" s="2">
        <v>77.0</v>
      </c>
      <c r="G342" s="3">
        <f t="shared" si="2"/>
        <v>0.1688596491</v>
      </c>
      <c r="H342" s="2">
        <v>88.0</v>
      </c>
      <c r="I342" s="3">
        <f t="shared" si="3"/>
        <v>0.1929824561</v>
      </c>
      <c r="J342" s="2">
        <v>65.0</v>
      </c>
      <c r="K342" s="3">
        <f t="shared" si="4"/>
        <v>0.1425438596</v>
      </c>
      <c r="L342" s="2">
        <v>51.0</v>
      </c>
      <c r="M342" s="3">
        <f t="shared" si="5"/>
        <v>0.5795454545</v>
      </c>
      <c r="N342" s="2">
        <v>406600.0</v>
      </c>
      <c r="O342" s="4">
        <f t="shared" si="6"/>
        <v>4620.454545</v>
      </c>
      <c r="P342" s="2">
        <v>0.0</v>
      </c>
      <c r="Q342" s="3">
        <f t="shared" si="7"/>
        <v>0</v>
      </c>
      <c r="R342" s="2">
        <v>43.0</v>
      </c>
      <c r="S342" s="5">
        <f t="shared" si="8"/>
        <v>1</v>
      </c>
    </row>
    <row r="343">
      <c r="A343" s="2" t="s">
        <v>359</v>
      </c>
      <c r="B343" s="2">
        <v>102.0</v>
      </c>
      <c r="C343" s="2">
        <v>1204.0</v>
      </c>
      <c r="D343" s="2">
        <v>368.0</v>
      </c>
      <c r="E343" s="3">
        <f t="shared" si="1"/>
        <v>0.333938294</v>
      </c>
      <c r="F343" s="2">
        <v>186.0</v>
      </c>
      <c r="G343" s="3">
        <f t="shared" si="2"/>
        <v>0.168784029</v>
      </c>
      <c r="H343" s="2">
        <v>239.0</v>
      </c>
      <c r="I343" s="3">
        <f t="shared" si="3"/>
        <v>0.2168784029</v>
      </c>
      <c r="J343" s="2">
        <v>183.0</v>
      </c>
      <c r="K343" s="3">
        <f t="shared" si="4"/>
        <v>0.166061706</v>
      </c>
      <c r="L343" s="2">
        <v>159.0</v>
      </c>
      <c r="M343" s="3">
        <f t="shared" si="5"/>
        <v>0.6652719665</v>
      </c>
      <c r="N343" s="2">
        <v>1269600.0</v>
      </c>
      <c r="O343" s="4">
        <f t="shared" si="6"/>
        <v>5312.133891</v>
      </c>
      <c r="P343" s="2">
        <v>0.0</v>
      </c>
      <c r="Q343" s="3">
        <f t="shared" si="7"/>
        <v>0</v>
      </c>
      <c r="R343" s="2">
        <v>102.0</v>
      </c>
      <c r="S343" s="5">
        <f t="shared" si="8"/>
        <v>1</v>
      </c>
    </row>
    <row r="344">
      <c r="A344" s="2" t="s">
        <v>360</v>
      </c>
      <c r="B344" s="2">
        <v>106.0</v>
      </c>
      <c r="C344" s="2">
        <v>1245.0</v>
      </c>
      <c r="D344" s="2">
        <v>551.0</v>
      </c>
      <c r="E344" s="3">
        <f t="shared" si="1"/>
        <v>0.4837576822</v>
      </c>
      <c r="F344" s="2">
        <v>192.0</v>
      </c>
      <c r="G344" s="3">
        <f t="shared" si="2"/>
        <v>0.1685689201</v>
      </c>
      <c r="H344" s="2">
        <v>263.0</v>
      </c>
      <c r="I344" s="3">
        <f t="shared" si="3"/>
        <v>0.230904302</v>
      </c>
      <c r="J344" s="2">
        <v>183.0</v>
      </c>
      <c r="K344" s="3">
        <f t="shared" si="4"/>
        <v>0.160667252</v>
      </c>
      <c r="L344" s="2">
        <v>157.0</v>
      </c>
      <c r="M344" s="3">
        <f t="shared" si="5"/>
        <v>0.5969581749</v>
      </c>
      <c r="N344" s="2">
        <v>1292700.0</v>
      </c>
      <c r="O344" s="4">
        <f t="shared" si="6"/>
        <v>4915.209125</v>
      </c>
      <c r="P344" s="2">
        <v>0.0</v>
      </c>
      <c r="Q344" s="3">
        <f t="shared" si="7"/>
        <v>0</v>
      </c>
      <c r="R344" s="2">
        <v>106.0</v>
      </c>
      <c r="S344" s="5">
        <f t="shared" si="8"/>
        <v>1</v>
      </c>
    </row>
    <row r="345">
      <c r="A345" s="2" t="s">
        <v>361</v>
      </c>
      <c r="B345" s="2">
        <v>17.0</v>
      </c>
      <c r="C345" s="2">
        <v>201.0</v>
      </c>
      <c r="D345" s="2">
        <v>78.0</v>
      </c>
      <c r="E345" s="3">
        <f t="shared" si="1"/>
        <v>0.4239130435</v>
      </c>
      <c r="F345" s="2">
        <v>31.0</v>
      </c>
      <c r="G345" s="3">
        <f t="shared" si="2"/>
        <v>0.1684782609</v>
      </c>
      <c r="H345" s="2">
        <v>42.0</v>
      </c>
      <c r="I345" s="3">
        <f t="shared" si="3"/>
        <v>0.2282608696</v>
      </c>
      <c r="J345" s="2">
        <v>27.0</v>
      </c>
      <c r="K345" s="3">
        <f t="shared" si="4"/>
        <v>0.1467391304</v>
      </c>
      <c r="L345" s="2">
        <v>23.0</v>
      </c>
      <c r="M345" s="3">
        <f t="shared" si="5"/>
        <v>0.5476190476</v>
      </c>
      <c r="N345" s="2">
        <v>223800.0</v>
      </c>
      <c r="O345" s="4">
        <f t="shared" si="6"/>
        <v>5328.571429</v>
      </c>
      <c r="P345" s="2">
        <v>0.0</v>
      </c>
      <c r="Q345" s="3">
        <f t="shared" si="7"/>
        <v>0</v>
      </c>
      <c r="R345" s="2">
        <v>17.0</v>
      </c>
      <c r="S345" s="5">
        <f t="shared" si="8"/>
        <v>1</v>
      </c>
    </row>
    <row r="346">
      <c r="A346" s="2" t="s">
        <v>362</v>
      </c>
      <c r="B346" s="2">
        <v>34.0</v>
      </c>
      <c r="C346" s="2">
        <v>414.0</v>
      </c>
      <c r="D346" s="2">
        <v>123.0</v>
      </c>
      <c r="E346" s="3">
        <f t="shared" si="1"/>
        <v>0.3236842105</v>
      </c>
      <c r="F346" s="2">
        <v>64.0</v>
      </c>
      <c r="G346" s="3">
        <f t="shared" si="2"/>
        <v>0.1684210526</v>
      </c>
      <c r="H346" s="2">
        <v>82.0</v>
      </c>
      <c r="I346" s="3">
        <f t="shared" si="3"/>
        <v>0.2157894737</v>
      </c>
      <c r="J346" s="2">
        <v>72.0</v>
      </c>
      <c r="K346" s="3">
        <f t="shared" si="4"/>
        <v>0.1894736842</v>
      </c>
      <c r="L346" s="2">
        <v>50.0</v>
      </c>
      <c r="M346" s="3">
        <f t="shared" si="5"/>
        <v>0.6097560976</v>
      </c>
      <c r="N346" s="2">
        <v>469900.0</v>
      </c>
      <c r="O346" s="4">
        <f t="shared" si="6"/>
        <v>5730.487805</v>
      </c>
      <c r="P346" s="2">
        <v>0.0</v>
      </c>
      <c r="Q346" s="3">
        <f t="shared" si="7"/>
        <v>0</v>
      </c>
      <c r="R346" s="2">
        <v>0.0</v>
      </c>
      <c r="S346" s="5">
        <f t="shared" si="8"/>
        <v>0</v>
      </c>
    </row>
    <row r="347">
      <c r="A347" s="2" t="s">
        <v>363</v>
      </c>
      <c r="B347" s="2">
        <v>17.0</v>
      </c>
      <c r="C347" s="2">
        <v>207.0</v>
      </c>
      <c r="D347" s="2">
        <v>80.0</v>
      </c>
      <c r="E347" s="3">
        <f t="shared" si="1"/>
        <v>0.4210526316</v>
      </c>
      <c r="F347" s="2">
        <v>32.0</v>
      </c>
      <c r="G347" s="3">
        <f t="shared" si="2"/>
        <v>0.1684210526</v>
      </c>
      <c r="H347" s="2">
        <v>32.0</v>
      </c>
      <c r="I347" s="3">
        <f t="shared" si="3"/>
        <v>0.1684210526</v>
      </c>
      <c r="J347" s="2">
        <v>30.0</v>
      </c>
      <c r="K347" s="3">
        <f t="shared" si="4"/>
        <v>0.1578947368</v>
      </c>
      <c r="L347" s="2">
        <v>20.0</v>
      </c>
      <c r="M347" s="3">
        <f t="shared" si="5"/>
        <v>0.625</v>
      </c>
      <c r="N347" s="2">
        <v>118800.0</v>
      </c>
      <c r="O347" s="4">
        <f t="shared" si="6"/>
        <v>3712.5</v>
      </c>
      <c r="P347" s="2">
        <v>0.0</v>
      </c>
      <c r="Q347" s="3">
        <f t="shared" si="7"/>
        <v>0</v>
      </c>
      <c r="R347" s="2">
        <v>17.0</v>
      </c>
      <c r="S347" s="5">
        <f t="shared" si="8"/>
        <v>1</v>
      </c>
    </row>
    <row r="348">
      <c r="A348" s="2" t="s">
        <v>364</v>
      </c>
      <c r="B348" s="2">
        <v>99.0</v>
      </c>
      <c r="C348" s="2">
        <v>1150.0</v>
      </c>
      <c r="D348" s="2">
        <v>376.0</v>
      </c>
      <c r="E348" s="3">
        <f t="shared" si="1"/>
        <v>0.3577545195</v>
      </c>
      <c r="F348" s="2">
        <v>177.0</v>
      </c>
      <c r="G348" s="3">
        <f t="shared" si="2"/>
        <v>0.1684110371</v>
      </c>
      <c r="H348" s="2">
        <v>208.0</v>
      </c>
      <c r="I348" s="3">
        <f t="shared" si="3"/>
        <v>0.1979067555</v>
      </c>
      <c r="J348" s="2">
        <v>211.0</v>
      </c>
      <c r="K348" s="3">
        <f t="shared" si="4"/>
        <v>0.2007611798</v>
      </c>
      <c r="L348" s="2">
        <v>125.0</v>
      </c>
      <c r="M348" s="3">
        <f t="shared" si="5"/>
        <v>0.6009615385</v>
      </c>
      <c r="N348" s="2">
        <v>1340800.0</v>
      </c>
      <c r="O348" s="4">
        <f t="shared" si="6"/>
        <v>6446.153846</v>
      </c>
      <c r="P348" s="2">
        <v>0.0</v>
      </c>
      <c r="Q348" s="3">
        <f t="shared" si="7"/>
        <v>0</v>
      </c>
      <c r="R348" s="2">
        <v>99.0</v>
      </c>
      <c r="S348" s="5">
        <f t="shared" si="8"/>
        <v>1</v>
      </c>
    </row>
    <row r="349">
      <c r="A349" s="2" t="s">
        <v>365</v>
      </c>
      <c r="B349" s="2">
        <v>37.0</v>
      </c>
      <c r="C349" s="2">
        <v>423.0</v>
      </c>
      <c r="D349" s="2">
        <v>167.0</v>
      </c>
      <c r="E349" s="3">
        <f t="shared" si="1"/>
        <v>0.432642487</v>
      </c>
      <c r="F349" s="2">
        <v>65.0</v>
      </c>
      <c r="G349" s="3">
        <f t="shared" si="2"/>
        <v>0.1683937824</v>
      </c>
      <c r="H349" s="2">
        <v>82.0</v>
      </c>
      <c r="I349" s="3">
        <f t="shared" si="3"/>
        <v>0.2124352332</v>
      </c>
      <c r="J349" s="2">
        <v>70.0</v>
      </c>
      <c r="K349" s="3">
        <f t="shared" si="4"/>
        <v>0.1813471503</v>
      </c>
      <c r="L349" s="2">
        <v>40.0</v>
      </c>
      <c r="M349" s="3">
        <f t="shared" si="5"/>
        <v>0.487804878</v>
      </c>
      <c r="N349" s="2">
        <v>409600.0</v>
      </c>
      <c r="O349" s="4">
        <f t="shared" si="6"/>
        <v>4995.121951</v>
      </c>
      <c r="P349" s="2">
        <v>0.0</v>
      </c>
      <c r="Q349" s="3">
        <f t="shared" si="7"/>
        <v>0</v>
      </c>
      <c r="R349" s="2">
        <v>37.0</v>
      </c>
      <c r="S349" s="5">
        <f t="shared" si="8"/>
        <v>1</v>
      </c>
    </row>
    <row r="350">
      <c r="A350" s="2" t="s">
        <v>366</v>
      </c>
      <c r="B350" s="2">
        <v>110.0</v>
      </c>
      <c r="C350" s="2">
        <v>1274.0</v>
      </c>
      <c r="D350" s="2">
        <v>312.0</v>
      </c>
      <c r="E350" s="3">
        <f t="shared" si="1"/>
        <v>0.2680412371</v>
      </c>
      <c r="F350" s="2">
        <v>196.0</v>
      </c>
      <c r="G350" s="3">
        <f t="shared" si="2"/>
        <v>0.1683848797</v>
      </c>
      <c r="H350" s="2">
        <v>227.0</v>
      </c>
      <c r="I350" s="3">
        <f t="shared" si="3"/>
        <v>0.1950171821</v>
      </c>
      <c r="J350" s="2">
        <v>229.0</v>
      </c>
      <c r="K350" s="3">
        <f t="shared" si="4"/>
        <v>0.1967353952</v>
      </c>
      <c r="L350" s="2">
        <v>123.0</v>
      </c>
      <c r="M350" s="3">
        <f t="shared" si="5"/>
        <v>0.5418502203</v>
      </c>
      <c r="N350" s="2">
        <v>1339100.0</v>
      </c>
      <c r="O350" s="4">
        <f t="shared" si="6"/>
        <v>5899.118943</v>
      </c>
      <c r="P350" s="2">
        <v>0.0</v>
      </c>
      <c r="Q350" s="3">
        <f t="shared" si="7"/>
        <v>0</v>
      </c>
      <c r="R350" s="2">
        <v>110.0</v>
      </c>
      <c r="S350" s="5">
        <f t="shared" si="8"/>
        <v>1</v>
      </c>
    </row>
    <row r="351">
      <c r="A351" s="2" t="s">
        <v>367</v>
      </c>
      <c r="B351" s="2">
        <v>38.0</v>
      </c>
      <c r="C351" s="2">
        <v>460.0</v>
      </c>
      <c r="D351" s="2">
        <v>124.0</v>
      </c>
      <c r="E351" s="3">
        <f t="shared" si="1"/>
        <v>0.2938388626</v>
      </c>
      <c r="F351" s="2">
        <v>71.0</v>
      </c>
      <c r="G351" s="3">
        <f t="shared" si="2"/>
        <v>0.1682464455</v>
      </c>
      <c r="H351" s="2">
        <v>71.0</v>
      </c>
      <c r="I351" s="3">
        <f t="shared" si="3"/>
        <v>0.1682464455</v>
      </c>
      <c r="J351" s="2">
        <v>75.0</v>
      </c>
      <c r="K351" s="3">
        <f t="shared" si="4"/>
        <v>0.1777251185</v>
      </c>
      <c r="L351" s="2">
        <v>39.0</v>
      </c>
      <c r="M351" s="3">
        <f t="shared" si="5"/>
        <v>0.5492957746</v>
      </c>
      <c r="N351" s="2">
        <v>471900.0</v>
      </c>
      <c r="O351" s="4">
        <f t="shared" si="6"/>
        <v>6646.478873</v>
      </c>
      <c r="P351" s="2">
        <v>0.0</v>
      </c>
      <c r="Q351" s="3">
        <f t="shared" si="7"/>
        <v>0</v>
      </c>
      <c r="R351" s="2">
        <v>38.0</v>
      </c>
      <c r="S351" s="5">
        <f t="shared" si="8"/>
        <v>1</v>
      </c>
    </row>
    <row r="352">
      <c r="A352" s="2" t="s">
        <v>368</v>
      </c>
      <c r="B352" s="2">
        <v>131.0</v>
      </c>
      <c r="C352" s="2">
        <v>1504.0</v>
      </c>
      <c r="D352" s="2">
        <v>323.0</v>
      </c>
      <c r="E352" s="3">
        <f t="shared" si="1"/>
        <v>0.2352512746</v>
      </c>
      <c r="F352" s="2">
        <v>231.0</v>
      </c>
      <c r="G352" s="3">
        <f t="shared" si="2"/>
        <v>0.1682447196</v>
      </c>
      <c r="H352" s="2">
        <v>258.0</v>
      </c>
      <c r="I352" s="3">
        <f t="shared" si="3"/>
        <v>0.1879096868</v>
      </c>
      <c r="J352" s="2">
        <v>243.0</v>
      </c>
      <c r="K352" s="3">
        <f t="shared" si="4"/>
        <v>0.176984705</v>
      </c>
      <c r="L352" s="2">
        <v>154.0</v>
      </c>
      <c r="M352" s="3">
        <f t="shared" si="5"/>
        <v>0.5968992248</v>
      </c>
      <c r="N352" s="2">
        <v>1453300.0</v>
      </c>
      <c r="O352" s="4">
        <f t="shared" si="6"/>
        <v>5632.945736</v>
      </c>
      <c r="P352" s="2">
        <v>0.0</v>
      </c>
      <c r="Q352" s="3">
        <f t="shared" si="7"/>
        <v>0</v>
      </c>
      <c r="R352" s="2">
        <v>131.0</v>
      </c>
      <c r="S352" s="5">
        <f t="shared" si="8"/>
        <v>1</v>
      </c>
    </row>
    <row r="353">
      <c r="A353" s="2" t="s">
        <v>369</v>
      </c>
      <c r="B353" s="2">
        <v>230.0</v>
      </c>
      <c r="C353" s="2">
        <v>2667.0</v>
      </c>
      <c r="D353" s="2">
        <v>903.0</v>
      </c>
      <c r="E353" s="3">
        <f t="shared" si="1"/>
        <v>0.3705375462</v>
      </c>
      <c r="F353" s="2">
        <v>410.0</v>
      </c>
      <c r="G353" s="3">
        <f t="shared" si="2"/>
        <v>0.1682396389</v>
      </c>
      <c r="H353" s="2">
        <v>547.0</v>
      </c>
      <c r="I353" s="3">
        <f t="shared" si="3"/>
        <v>0.2244562987</v>
      </c>
      <c r="J353" s="2">
        <v>463.0</v>
      </c>
      <c r="K353" s="3">
        <f t="shared" si="4"/>
        <v>0.1899876898</v>
      </c>
      <c r="L353" s="2">
        <v>326.0</v>
      </c>
      <c r="M353" s="3">
        <f t="shared" si="5"/>
        <v>0.5959780622</v>
      </c>
      <c r="N353" s="2">
        <v>2962500.0</v>
      </c>
      <c r="O353" s="4">
        <f t="shared" si="6"/>
        <v>5415.904936</v>
      </c>
      <c r="P353" s="2">
        <v>1.0</v>
      </c>
      <c r="Q353" s="3">
        <f t="shared" si="7"/>
        <v>0.004347826087</v>
      </c>
      <c r="R353" s="2">
        <v>224.0</v>
      </c>
      <c r="S353" s="5">
        <f t="shared" si="8"/>
        <v>0.9739130435</v>
      </c>
    </row>
    <row r="354">
      <c r="A354" s="2" t="s">
        <v>370</v>
      </c>
      <c r="B354" s="2">
        <v>39.0</v>
      </c>
      <c r="C354" s="2">
        <v>473.0</v>
      </c>
      <c r="D354" s="2">
        <v>150.0</v>
      </c>
      <c r="E354" s="3">
        <f t="shared" si="1"/>
        <v>0.3456221198</v>
      </c>
      <c r="F354" s="2">
        <v>73.0</v>
      </c>
      <c r="G354" s="3">
        <f t="shared" si="2"/>
        <v>0.168202765</v>
      </c>
      <c r="H354" s="2">
        <v>70.0</v>
      </c>
      <c r="I354" s="3">
        <f t="shared" si="3"/>
        <v>0.1612903226</v>
      </c>
      <c r="J354" s="2">
        <v>74.0</v>
      </c>
      <c r="K354" s="3">
        <f t="shared" si="4"/>
        <v>0.1705069124</v>
      </c>
      <c r="L354" s="2">
        <v>38.0</v>
      </c>
      <c r="M354" s="3">
        <f t="shared" si="5"/>
        <v>0.5428571429</v>
      </c>
      <c r="N354" s="2">
        <v>411700.0</v>
      </c>
      <c r="O354" s="4">
        <f t="shared" si="6"/>
        <v>5881.428571</v>
      </c>
      <c r="P354" s="2">
        <v>0.0</v>
      </c>
      <c r="Q354" s="3">
        <f t="shared" si="7"/>
        <v>0</v>
      </c>
      <c r="R354" s="2">
        <v>39.0</v>
      </c>
      <c r="S354" s="5">
        <f t="shared" si="8"/>
        <v>1</v>
      </c>
    </row>
    <row r="355">
      <c r="A355" s="2" t="s">
        <v>371</v>
      </c>
      <c r="B355" s="2">
        <v>139.0</v>
      </c>
      <c r="C355" s="2">
        <v>1584.0</v>
      </c>
      <c r="D355" s="2">
        <v>596.0</v>
      </c>
      <c r="E355" s="3">
        <f t="shared" si="1"/>
        <v>0.4124567474</v>
      </c>
      <c r="F355" s="2">
        <v>243.0</v>
      </c>
      <c r="G355" s="3">
        <f t="shared" si="2"/>
        <v>0.16816609</v>
      </c>
      <c r="H355" s="2">
        <v>346.0</v>
      </c>
      <c r="I355" s="3">
        <f t="shared" si="3"/>
        <v>0.2394463668</v>
      </c>
      <c r="J355" s="2">
        <v>252.0</v>
      </c>
      <c r="K355" s="3">
        <f t="shared" si="4"/>
        <v>0.1743944637</v>
      </c>
      <c r="L355" s="2">
        <v>205.0</v>
      </c>
      <c r="M355" s="3">
        <f t="shared" si="5"/>
        <v>0.5924855491</v>
      </c>
      <c r="N355" s="2">
        <v>1893000.0</v>
      </c>
      <c r="O355" s="4">
        <f t="shared" si="6"/>
        <v>5471.098266</v>
      </c>
      <c r="P355" s="2">
        <v>0.0</v>
      </c>
      <c r="Q355" s="3">
        <f t="shared" si="7"/>
        <v>0</v>
      </c>
      <c r="R355" s="2">
        <v>139.0</v>
      </c>
      <c r="S355" s="5">
        <f t="shared" si="8"/>
        <v>1</v>
      </c>
    </row>
    <row r="356">
      <c r="A356" s="2" t="s">
        <v>372</v>
      </c>
      <c r="B356" s="2">
        <v>125.0</v>
      </c>
      <c r="C356" s="2">
        <v>1463.0</v>
      </c>
      <c r="D356" s="2">
        <v>480.0</v>
      </c>
      <c r="E356" s="3">
        <f t="shared" si="1"/>
        <v>0.3587443946</v>
      </c>
      <c r="F356" s="2">
        <v>225.0</v>
      </c>
      <c r="G356" s="3">
        <f t="shared" si="2"/>
        <v>0.168161435</v>
      </c>
      <c r="H356" s="2">
        <v>299.0</v>
      </c>
      <c r="I356" s="3">
        <f t="shared" si="3"/>
        <v>0.2234678625</v>
      </c>
      <c r="J356" s="2">
        <v>242.0</v>
      </c>
      <c r="K356" s="3">
        <f t="shared" si="4"/>
        <v>0.1808669656</v>
      </c>
      <c r="L356" s="2">
        <v>182.0</v>
      </c>
      <c r="M356" s="3">
        <f t="shared" si="5"/>
        <v>0.6086956522</v>
      </c>
      <c r="N356" s="2">
        <v>1711300.0</v>
      </c>
      <c r="O356" s="4">
        <f t="shared" si="6"/>
        <v>5723.411371</v>
      </c>
      <c r="P356" s="2">
        <v>0.0</v>
      </c>
      <c r="Q356" s="3">
        <f t="shared" si="7"/>
        <v>0</v>
      </c>
      <c r="R356" s="2">
        <v>125.0</v>
      </c>
      <c r="S356" s="5">
        <f t="shared" si="8"/>
        <v>1</v>
      </c>
    </row>
    <row r="357">
      <c r="A357" s="2" t="s">
        <v>373</v>
      </c>
      <c r="B357" s="2">
        <v>55.0</v>
      </c>
      <c r="C357" s="2">
        <v>614.0</v>
      </c>
      <c r="D357" s="2">
        <v>171.0</v>
      </c>
      <c r="E357" s="3">
        <f t="shared" si="1"/>
        <v>0.3059033989</v>
      </c>
      <c r="F357" s="2">
        <v>94.0</v>
      </c>
      <c r="G357" s="3">
        <f t="shared" si="2"/>
        <v>0.168157424</v>
      </c>
      <c r="H357" s="2">
        <v>114.0</v>
      </c>
      <c r="I357" s="3">
        <f t="shared" si="3"/>
        <v>0.2039355993</v>
      </c>
      <c r="J357" s="2">
        <v>112.0</v>
      </c>
      <c r="K357" s="3">
        <f t="shared" si="4"/>
        <v>0.2003577818</v>
      </c>
      <c r="L357" s="2">
        <v>63.0</v>
      </c>
      <c r="M357" s="3">
        <f t="shared" si="5"/>
        <v>0.5526315789</v>
      </c>
      <c r="N357" s="2">
        <v>589800.0</v>
      </c>
      <c r="O357" s="4">
        <f t="shared" si="6"/>
        <v>5173.684211</v>
      </c>
      <c r="P357" s="2">
        <v>0.0</v>
      </c>
      <c r="Q357" s="3">
        <f t="shared" si="7"/>
        <v>0</v>
      </c>
      <c r="R357" s="2">
        <v>55.0</v>
      </c>
      <c r="S357" s="5">
        <f t="shared" si="8"/>
        <v>1</v>
      </c>
    </row>
    <row r="358">
      <c r="A358" s="2" t="s">
        <v>374</v>
      </c>
      <c r="B358" s="2">
        <v>92.0</v>
      </c>
      <c r="C358" s="2">
        <v>1026.0</v>
      </c>
      <c r="D358" s="2">
        <v>238.0</v>
      </c>
      <c r="E358" s="3">
        <f t="shared" si="1"/>
        <v>0.2548179872</v>
      </c>
      <c r="F358" s="2">
        <v>157.0</v>
      </c>
      <c r="G358" s="3">
        <f t="shared" si="2"/>
        <v>0.1680942184</v>
      </c>
      <c r="H358" s="2">
        <v>186.0</v>
      </c>
      <c r="I358" s="3">
        <f t="shared" si="3"/>
        <v>0.199143469</v>
      </c>
      <c r="J358" s="2">
        <v>183.0</v>
      </c>
      <c r="K358" s="3">
        <f t="shared" si="4"/>
        <v>0.1959314775</v>
      </c>
      <c r="L358" s="2">
        <v>116.0</v>
      </c>
      <c r="M358" s="3">
        <f t="shared" si="5"/>
        <v>0.623655914</v>
      </c>
      <c r="N358" s="2">
        <v>1156800.0</v>
      </c>
      <c r="O358" s="4">
        <f t="shared" si="6"/>
        <v>6219.354839</v>
      </c>
      <c r="P358" s="2">
        <v>0.0</v>
      </c>
      <c r="Q358" s="3">
        <f t="shared" si="7"/>
        <v>0</v>
      </c>
      <c r="R358" s="2">
        <v>92.0</v>
      </c>
      <c r="S358" s="5">
        <f t="shared" si="8"/>
        <v>1</v>
      </c>
    </row>
    <row r="359">
      <c r="A359" s="2" t="s">
        <v>375</v>
      </c>
      <c r="B359" s="2">
        <v>164.0</v>
      </c>
      <c r="C359" s="2">
        <v>1896.0</v>
      </c>
      <c r="D359" s="2">
        <v>532.0</v>
      </c>
      <c r="E359" s="3">
        <f t="shared" si="1"/>
        <v>0.3071593533</v>
      </c>
      <c r="F359" s="2">
        <v>291.0</v>
      </c>
      <c r="G359" s="3">
        <f t="shared" si="2"/>
        <v>0.1680138568</v>
      </c>
      <c r="H359" s="2">
        <v>384.0</v>
      </c>
      <c r="I359" s="3">
        <f t="shared" si="3"/>
        <v>0.2217090069</v>
      </c>
      <c r="J359" s="2">
        <v>232.0</v>
      </c>
      <c r="K359" s="3">
        <f t="shared" si="4"/>
        <v>0.1339491917</v>
      </c>
      <c r="L359" s="2">
        <v>231.0</v>
      </c>
      <c r="M359" s="3">
        <f t="shared" si="5"/>
        <v>0.6015625</v>
      </c>
      <c r="N359" s="2">
        <v>2316400.0</v>
      </c>
      <c r="O359" s="4">
        <f t="shared" si="6"/>
        <v>6032.291667</v>
      </c>
      <c r="P359" s="2">
        <v>1.0</v>
      </c>
      <c r="Q359" s="3">
        <f t="shared" si="7"/>
        <v>0.006097560976</v>
      </c>
      <c r="R359" s="2">
        <v>164.0</v>
      </c>
      <c r="S359" s="5">
        <f t="shared" si="8"/>
        <v>1</v>
      </c>
    </row>
    <row r="360">
      <c r="A360" s="2" t="s">
        <v>376</v>
      </c>
      <c r="B360" s="2">
        <v>883.0</v>
      </c>
      <c r="C360" s="2">
        <v>10338.0</v>
      </c>
      <c r="D360" s="2">
        <v>3882.0</v>
      </c>
      <c r="E360" s="3">
        <f t="shared" si="1"/>
        <v>0.4105764146</v>
      </c>
      <c r="F360" s="2">
        <v>1588.0</v>
      </c>
      <c r="G360" s="3">
        <f t="shared" si="2"/>
        <v>0.1679534638</v>
      </c>
      <c r="H360" s="2">
        <v>2211.0</v>
      </c>
      <c r="I360" s="3">
        <f t="shared" si="3"/>
        <v>0.2338445267</v>
      </c>
      <c r="J360" s="2">
        <v>1895.0</v>
      </c>
      <c r="K360" s="3">
        <f t="shared" si="4"/>
        <v>0.2004230566</v>
      </c>
      <c r="L360" s="2">
        <v>1324.0</v>
      </c>
      <c r="M360" s="3">
        <f t="shared" si="5"/>
        <v>0.5988240615</v>
      </c>
      <c r="N360" s="2">
        <v>1.21682E7</v>
      </c>
      <c r="O360" s="4">
        <f t="shared" si="6"/>
        <v>5503.482587</v>
      </c>
      <c r="P360" s="2">
        <v>1.0</v>
      </c>
      <c r="Q360" s="3">
        <f t="shared" si="7"/>
        <v>0.001132502831</v>
      </c>
      <c r="R360" s="2">
        <v>883.0</v>
      </c>
      <c r="S360" s="5">
        <f t="shared" si="8"/>
        <v>1</v>
      </c>
    </row>
    <row r="361">
      <c r="A361" s="2" t="s">
        <v>377</v>
      </c>
      <c r="B361" s="2">
        <v>182.0</v>
      </c>
      <c r="C361" s="2">
        <v>2129.0</v>
      </c>
      <c r="D361" s="2">
        <v>713.0</v>
      </c>
      <c r="E361" s="3">
        <f t="shared" si="1"/>
        <v>0.3662044171</v>
      </c>
      <c r="F361" s="2">
        <v>327.0</v>
      </c>
      <c r="G361" s="3">
        <f t="shared" si="2"/>
        <v>0.1679506934</v>
      </c>
      <c r="H361" s="2">
        <v>412.0</v>
      </c>
      <c r="I361" s="3">
        <f t="shared" si="3"/>
        <v>0.2116076014</v>
      </c>
      <c r="J361" s="2">
        <v>369.0</v>
      </c>
      <c r="K361" s="3">
        <f t="shared" si="4"/>
        <v>0.1895223421</v>
      </c>
      <c r="L361" s="2">
        <v>268.0</v>
      </c>
      <c r="M361" s="3">
        <f t="shared" si="5"/>
        <v>0.6504854369</v>
      </c>
      <c r="N361" s="2">
        <v>2239600.0</v>
      </c>
      <c r="O361" s="4">
        <f t="shared" si="6"/>
        <v>5435.92233</v>
      </c>
      <c r="P361" s="2">
        <v>0.0</v>
      </c>
      <c r="Q361" s="3">
        <f t="shared" si="7"/>
        <v>0</v>
      </c>
      <c r="R361" s="2">
        <v>37.0</v>
      </c>
      <c r="S361" s="5">
        <f t="shared" si="8"/>
        <v>0.2032967033</v>
      </c>
    </row>
    <row r="362">
      <c r="A362" s="2" t="s">
        <v>378</v>
      </c>
      <c r="B362" s="2">
        <v>36.0</v>
      </c>
      <c r="C362" s="2">
        <v>429.0</v>
      </c>
      <c r="D362" s="2">
        <v>113.0</v>
      </c>
      <c r="E362" s="3">
        <f t="shared" si="1"/>
        <v>0.2875318066</v>
      </c>
      <c r="F362" s="2">
        <v>66.0</v>
      </c>
      <c r="G362" s="3">
        <f t="shared" si="2"/>
        <v>0.1679389313</v>
      </c>
      <c r="H362" s="2">
        <v>78.0</v>
      </c>
      <c r="I362" s="3">
        <f t="shared" si="3"/>
        <v>0.1984732824</v>
      </c>
      <c r="J362" s="2">
        <v>83.0</v>
      </c>
      <c r="K362" s="3">
        <f t="shared" si="4"/>
        <v>0.2111959288</v>
      </c>
      <c r="L362" s="2">
        <v>38.0</v>
      </c>
      <c r="M362" s="3">
        <f t="shared" si="5"/>
        <v>0.4871794872</v>
      </c>
      <c r="N362" s="2">
        <v>454700.0</v>
      </c>
      <c r="O362" s="4">
        <f t="shared" si="6"/>
        <v>5829.487179</v>
      </c>
      <c r="P362" s="2">
        <v>0.0</v>
      </c>
      <c r="Q362" s="3">
        <f t="shared" si="7"/>
        <v>0</v>
      </c>
      <c r="R362" s="2">
        <v>36.0</v>
      </c>
      <c r="S362" s="5">
        <f t="shared" si="8"/>
        <v>1</v>
      </c>
    </row>
    <row r="363">
      <c r="A363" s="2" t="s">
        <v>379</v>
      </c>
      <c r="B363" s="2">
        <v>13.0</v>
      </c>
      <c r="C363" s="2">
        <v>144.0</v>
      </c>
      <c r="D363" s="2">
        <v>28.0</v>
      </c>
      <c r="E363" s="3">
        <f t="shared" si="1"/>
        <v>0.213740458</v>
      </c>
      <c r="F363" s="2">
        <v>22.0</v>
      </c>
      <c r="G363" s="3">
        <f t="shared" si="2"/>
        <v>0.1679389313</v>
      </c>
      <c r="H363" s="2">
        <v>21.0</v>
      </c>
      <c r="I363" s="3">
        <f t="shared" si="3"/>
        <v>0.1603053435</v>
      </c>
      <c r="J363" s="2">
        <v>24.0</v>
      </c>
      <c r="K363" s="3">
        <f t="shared" si="4"/>
        <v>0.1832061069</v>
      </c>
      <c r="L363" s="2">
        <v>13.0</v>
      </c>
      <c r="M363" s="3">
        <f t="shared" si="5"/>
        <v>0.619047619</v>
      </c>
      <c r="N363" s="2">
        <v>104600.0</v>
      </c>
      <c r="O363" s="4">
        <f t="shared" si="6"/>
        <v>4980.952381</v>
      </c>
      <c r="P363" s="2">
        <v>0.0</v>
      </c>
      <c r="Q363" s="3">
        <f t="shared" si="7"/>
        <v>0</v>
      </c>
      <c r="R363" s="2">
        <v>0.0</v>
      </c>
      <c r="S363" s="5">
        <f t="shared" si="8"/>
        <v>0</v>
      </c>
    </row>
    <row r="364">
      <c r="A364" s="2" t="s">
        <v>380</v>
      </c>
      <c r="B364" s="2">
        <v>141.0</v>
      </c>
      <c r="C364" s="2">
        <v>1636.0</v>
      </c>
      <c r="D364" s="2">
        <v>508.0</v>
      </c>
      <c r="E364" s="3">
        <f t="shared" si="1"/>
        <v>0.3397993311</v>
      </c>
      <c r="F364" s="2">
        <v>251.0</v>
      </c>
      <c r="G364" s="3">
        <f t="shared" si="2"/>
        <v>0.1678929766</v>
      </c>
      <c r="H364" s="2">
        <v>322.0</v>
      </c>
      <c r="I364" s="3">
        <f t="shared" si="3"/>
        <v>0.2153846154</v>
      </c>
      <c r="J364" s="2">
        <v>306.0</v>
      </c>
      <c r="K364" s="3">
        <f t="shared" si="4"/>
        <v>0.2046822742</v>
      </c>
      <c r="L364" s="2">
        <v>188.0</v>
      </c>
      <c r="M364" s="3">
        <f t="shared" si="5"/>
        <v>0.5838509317</v>
      </c>
      <c r="N364" s="2">
        <v>1901300.0</v>
      </c>
      <c r="O364" s="4">
        <f t="shared" si="6"/>
        <v>5904.658385</v>
      </c>
      <c r="P364" s="2">
        <v>2.0</v>
      </c>
      <c r="Q364" s="3">
        <f t="shared" si="7"/>
        <v>0.01418439716</v>
      </c>
      <c r="R364" s="2">
        <v>141.0</v>
      </c>
      <c r="S364" s="5">
        <f t="shared" si="8"/>
        <v>1</v>
      </c>
    </row>
    <row r="365">
      <c r="A365" s="2" t="s">
        <v>381</v>
      </c>
      <c r="B365" s="2">
        <v>13.0</v>
      </c>
      <c r="C365" s="2">
        <v>162.0</v>
      </c>
      <c r="D365" s="2">
        <v>49.0</v>
      </c>
      <c r="E365" s="3">
        <f t="shared" si="1"/>
        <v>0.3288590604</v>
      </c>
      <c r="F365" s="2">
        <v>25.0</v>
      </c>
      <c r="G365" s="3">
        <f t="shared" si="2"/>
        <v>0.1677852349</v>
      </c>
      <c r="H365" s="2">
        <v>28.0</v>
      </c>
      <c r="I365" s="3">
        <f t="shared" si="3"/>
        <v>0.1879194631</v>
      </c>
      <c r="J365" s="2">
        <v>20.0</v>
      </c>
      <c r="K365" s="3">
        <f t="shared" si="4"/>
        <v>0.1342281879</v>
      </c>
      <c r="L365" s="2">
        <v>17.0</v>
      </c>
      <c r="M365" s="3">
        <f t="shared" si="5"/>
        <v>0.6071428571</v>
      </c>
      <c r="N365" s="2">
        <v>130000.0</v>
      </c>
      <c r="O365" s="4">
        <f t="shared" si="6"/>
        <v>4642.857143</v>
      </c>
      <c r="P365" s="2">
        <v>0.0</v>
      </c>
      <c r="Q365" s="3">
        <f t="shared" si="7"/>
        <v>0</v>
      </c>
      <c r="R365" s="2">
        <v>13.0</v>
      </c>
      <c r="S365" s="5">
        <f t="shared" si="8"/>
        <v>1</v>
      </c>
    </row>
    <row r="366">
      <c r="A366" s="2" t="s">
        <v>382</v>
      </c>
      <c r="B366" s="2">
        <v>1339.0</v>
      </c>
      <c r="C366" s="2">
        <v>15494.0</v>
      </c>
      <c r="D366" s="2">
        <v>4500.0</v>
      </c>
      <c r="E366" s="3">
        <f t="shared" si="1"/>
        <v>0.3179088661</v>
      </c>
      <c r="F366" s="2">
        <v>2373.0</v>
      </c>
      <c r="G366" s="3">
        <f t="shared" si="2"/>
        <v>0.1676439421</v>
      </c>
      <c r="H366" s="2">
        <v>3169.0</v>
      </c>
      <c r="I366" s="3">
        <f t="shared" si="3"/>
        <v>0.2238784882</v>
      </c>
      <c r="J366" s="2">
        <v>2344.0</v>
      </c>
      <c r="K366" s="3">
        <f t="shared" si="4"/>
        <v>0.165595196</v>
      </c>
      <c r="L366" s="2">
        <v>1912.0</v>
      </c>
      <c r="M366" s="3">
        <f t="shared" si="5"/>
        <v>0.6033449038</v>
      </c>
      <c r="N366" s="2">
        <v>1.86466E7</v>
      </c>
      <c r="O366" s="4">
        <f t="shared" si="6"/>
        <v>5884.064374</v>
      </c>
      <c r="P366" s="2">
        <v>4.0</v>
      </c>
      <c r="Q366" s="3">
        <f t="shared" si="7"/>
        <v>0.002987303958</v>
      </c>
      <c r="R366" s="2">
        <v>1338.0</v>
      </c>
      <c r="S366" s="5">
        <f t="shared" si="8"/>
        <v>0.999253174</v>
      </c>
    </row>
    <row r="367">
      <c r="A367" s="2" t="s">
        <v>383</v>
      </c>
      <c r="B367" s="2">
        <v>33.0</v>
      </c>
      <c r="C367" s="2">
        <v>397.0</v>
      </c>
      <c r="D367" s="2">
        <v>150.0</v>
      </c>
      <c r="E367" s="3">
        <f t="shared" si="1"/>
        <v>0.4120879121</v>
      </c>
      <c r="F367" s="2">
        <v>61.0</v>
      </c>
      <c r="G367" s="3">
        <f t="shared" si="2"/>
        <v>0.1675824176</v>
      </c>
      <c r="H367" s="2">
        <v>82.0</v>
      </c>
      <c r="I367" s="3">
        <f t="shared" si="3"/>
        <v>0.2252747253</v>
      </c>
      <c r="J367" s="2">
        <v>64.0</v>
      </c>
      <c r="K367" s="3">
        <f t="shared" si="4"/>
        <v>0.1758241758</v>
      </c>
      <c r="L367" s="2">
        <v>48.0</v>
      </c>
      <c r="M367" s="3">
        <f t="shared" si="5"/>
        <v>0.5853658537</v>
      </c>
      <c r="N367" s="2">
        <v>455500.0</v>
      </c>
      <c r="O367" s="4">
        <f t="shared" si="6"/>
        <v>5554.878049</v>
      </c>
      <c r="P367" s="2">
        <v>0.0</v>
      </c>
      <c r="Q367" s="3">
        <f t="shared" si="7"/>
        <v>0</v>
      </c>
      <c r="R367" s="2">
        <v>33.0</v>
      </c>
      <c r="S367" s="5">
        <f t="shared" si="8"/>
        <v>1</v>
      </c>
    </row>
    <row r="368">
      <c r="A368" s="2" t="s">
        <v>384</v>
      </c>
      <c r="B368" s="2">
        <v>36.0</v>
      </c>
      <c r="C368" s="2">
        <v>436.0</v>
      </c>
      <c r="D368" s="2">
        <v>123.0</v>
      </c>
      <c r="E368" s="3">
        <f t="shared" si="1"/>
        <v>0.3075</v>
      </c>
      <c r="F368" s="2">
        <v>67.0</v>
      </c>
      <c r="G368" s="3">
        <f t="shared" si="2"/>
        <v>0.1675</v>
      </c>
      <c r="H368" s="2">
        <v>62.0</v>
      </c>
      <c r="I368" s="3">
        <f t="shared" si="3"/>
        <v>0.155</v>
      </c>
      <c r="J368" s="2">
        <v>57.0</v>
      </c>
      <c r="K368" s="3">
        <f t="shared" si="4"/>
        <v>0.1425</v>
      </c>
      <c r="L368" s="2">
        <v>33.0</v>
      </c>
      <c r="M368" s="3">
        <f t="shared" si="5"/>
        <v>0.5322580645</v>
      </c>
      <c r="N368" s="2">
        <v>371600.0</v>
      </c>
      <c r="O368" s="4">
        <f t="shared" si="6"/>
        <v>5993.548387</v>
      </c>
      <c r="P368" s="2">
        <v>0.0</v>
      </c>
      <c r="Q368" s="3">
        <f t="shared" si="7"/>
        <v>0</v>
      </c>
      <c r="R368" s="2">
        <v>36.0</v>
      </c>
      <c r="S368" s="5">
        <f t="shared" si="8"/>
        <v>1</v>
      </c>
    </row>
    <row r="369">
      <c r="A369" s="2" t="s">
        <v>385</v>
      </c>
      <c r="B369" s="2">
        <v>40.0</v>
      </c>
      <c r="C369" s="2">
        <v>482.0</v>
      </c>
      <c r="D369" s="2">
        <v>139.0</v>
      </c>
      <c r="E369" s="3">
        <f t="shared" si="1"/>
        <v>0.314479638</v>
      </c>
      <c r="F369" s="2">
        <v>74.0</v>
      </c>
      <c r="G369" s="3">
        <f t="shared" si="2"/>
        <v>0.1674208145</v>
      </c>
      <c r="H369" s="2">
        <v>69.0</v>
      </c>
      <c r="I369" s="3">
        <f t="shared" si="3"/>
        <v>0.1561085973</v>
      </c>
      <c r="J369" s="2">
        <v>71.0</v>
      </c>
      <c r="K369" s="3">
        <f t="shared" si="4"/>
        <v>0.1606334842</v>
      </c>
      <c r="L369" s="2">
        <v>35.0</v>
      </c>
      <c r="M369" s="3">
        <f t="shared" si="5"/>
        <v>0.5072463768</v>
      </c>
      <c r="N369" s="2">
        <v>426100.0</v>
      </c>
      <c r="O369" s="4">
        <f t="shared" si="6"/>
        <v>6175.362319</v>
      </c>
      <c r="P369" s="2">
        <v>0.0</v>
      </c>
      <c r="Q369" s="3">
        <f t="shared" si="7"/>
        <v>0</v>
      </c>
      <c r="R369" s="2">
        <v>23.0</v>
      </c>
      <c r="S369" s="5">
        <f t="shared" si="8"/>
        <v>0.575</v>
      </c>
    </row>
    <row r="370">
      <c r="A370" s="2" t="s">
        <v>386</v>
      </c>
      <c r="B370" s="2">
        <v>233.0</v>
      </c>
      <c r="C370" s="2">
        <v>2672.0</v>
      </c>
      <c r="D370" s="2">
        <v>612.0</v>
      </c>
      <c r="E370" s="3">
        <f t="shared" si="1"/>
        <v>0.2509225092</v>
      </c>
      <c r="F370" s="2">
        <v>408.0</v>
      </c>
      <c r="G370" s="3">
        <f t="shared" si="2"/>
        <v>0.1672816728</v>
      </c>
      <c r="H370" s="2">
        <v>525.0</v>
      </c>
      <c r="I370" s="3">
        <f t="shared" si="3"/>
        <v>0.2152521525</v>
      </c>
      <c r="J370" s="2">
        <v>701.0</v>
      </c>
      <c r="K370" s="3">
        <f t="shared" si="4"/>
        <v>0.2874128741</v>
      </c>
      <c r="L370" s="2">
        <v>294.0</v>
      </c>
      <c r="M370" s="3">
        <f t="shared" si="5"/>
        <v>0.56</v>
      </c>
      <c r="N370" s="2">
        <v>3322100.0</v>
      </c>
      <c r="O370" s="4">
        <f t="shared" si="6"/>
        <v>6327.809524</v>
      </c>
      <c r="P370" s="2">
        <v>1.0</v>
      </c>
      <c r="Q370" s="3">
        <f t="shared" si="7"/>
        <v>0.004291845494</v>
      </c>
      <c r="R370" s="2">
        <v>233.0</v>
      </c>
      <c r="S370" s="5">
        <f t="shared" si="8"/>
        <v>1</v>
      </c>
    </row>
    <row r="371">
      <c r="A371" s="2" t="s">
        <v>387</v>
      </c>
      <c r="B371" s="2">
        <v>27.0</v>
      </c>
      <c r="C371" s="2">
        <v>308.0</v>
      </c>
      <c r="D371" s="2">
        <v>113.0</v>
      </c>
      <c r="E371" s="3">
        <f t="shared" si="1"/>
        <v>0.4021352313</v>
      </c>
      <c r="F371" s="2">
        <v>47.0</v>
      </c>
      <c r="G371" s="3">
        <f t="shared" si="2"/>
        <v>0.1672597865</v>
      </c>
      <c r="H371" s="2">
        <v>51.0</v>
      </c>
      <c r="I371" s="3">
        <f t="shared" si="3"/>
        <v>0.1814946619</v>
      </c>
      <c r="J371" s="2">
        <v>46.0</v>
      </c>
      <c r="K371" s="3">
        <f t="shared" si="4"/>
        <v>0.1637010676</v>
      </c>
      <c r="L371" s="2">
        <v>28.0</v>
      </c>
      <c r="M371" s="3">
        <f t="shared" si="5"/>
        <v>0.5490196078</v>
      </c>
      <c r="N371" s="2">
        <v>238400.0</v>
      </c>
      <c r="O371" s="4">
        <f t="shared" si="6"/>
        <v>4674.509804</v>
      </c>
      <c r="P371" s="2">
        <v>0.0</v>
      </c>
      <c r="Q371" s="3">
        <f t="shared" si="7"/>
        <v>0</v>
      </c>
      <c r="R371" s="2">
        <v>27.0</v>
      </c>
      <c r="S371" s="5">
        <f t="shared" si="8"/>
        <v>1</v>
      </c>
    </row>
    <row r="372">
      <c r="A372" s="2" t="s">
        <v>388</v>
      </c>
      <c r="B372" s="2">
        <v>58.0</v>
      </c>
      <c r="C372" s="2">
        <v>668.0</v>
      </c>
      <c r="D372" s="2">
        <v>210.0</v>
      </c>
      <c r="E372" s="3">
        <f t="shared" si="1"/>
        <v>0.3442622951</v>
      </c>
      <c r="F372" s="2">
        <v>102.0</v>
      </c>
      <c r="G372" s="3">
        <f t="shared" si="2"/>
        <v>0.1672131148</v>
      </c>
      <c r="H372" s="2">
        <v>104.0</v>
      </c>
      <c r="I372" s="3">
        <f t="shared" si="3"/>
        <v>0.1704918033</v>
      </c>
      <c r="J372" s="2">
        <v>106.0</v>
      </c>
      <c r="K372" s="3">
        <f t="shared" si="4"/>
        <v>0.1737704918</v>
      </c>
      <c r="L372" s="2">
        <v>62.0</v>
      </c>
      <c r="M372" s="3">
        <f t="shared" si="5"/>
        <v>0.5961538462</v>
      </c>
      <c r="N372" s="2">
        <v>637100.0</v>
      </c>
      <c r="O372" s="4">
        <f t="shared" si="6"/>
        <v>6125.961538</v>
      </c>
      <c r="P372" s="2">
        <v>0.0</v>
      </c>
      <c r="Q372" s="3">
        <f t="shared" si="7"/>
        <v>0</v>
      </c>
      <c r="R372" s="2">
        <v>58.0</v>
      </c>
      <c r="S372" s="5">
        <f t="shared" si="8"/>
        <v>1</v>
      </c>
    </row>
    <row r="373">
      <c r="A373" s="2" t="s">
        <v>389</v>
      </c>
      <c r="B373" s="2">
        <v>161.0</v>
      </c>
      <c r="C373" s="2">
        <v>1824.0</v>
      </c>
      <c r="D373" s="2">
        <v>600.0</v>
      </c>
      <c r="E373" s="3">
        <f t="shared" si="1"/>
        <v>0.3607937462</v>
      </c>
      <c r="F373" s="2">
        <v>278.0</v>
      </c>
      <c r="G373" s="3">
        <f t="shared" si="2"/>
        <v>0.1671677691</v>
      </c>
      <c r="H373" s="2">
        <v>363.0</v>
      </c>
      <c r="I373" s="3">
        <f t="shared" si="3"/>
        <v>0.2182802165</v>
      </c>
      <c r="J373" s="2">
        <v>319.0</v>
      </c>
      <c r="K373" s="3">
        <f t="shared" si="4"/>
        <v>0.1918220084</v>
      </c>
      <c r="L373" s="2">
        <v>208.0</v>
      </c>
      <c r="M373" s="3">
        <f t="shared" si="5"/>
        <v>0.5730027548</v>
      </c>
      <c r="N373" s="2">
        <v>2158700.0</v>
      </c>
      <c r="O373" s="4">
        <f t="shared" si="6"/>
        <v>5946.831956</v>
      </c>
      <c r="P373" s="2">
        <v>0.0</v>
      </c>
      <c r="Q373" s="3">
        <f t="shared" si="7"/>
        <v>0</v>
      </c>
      <c r="R373" s="2">
        <v>161.0</v>
      </c>
      <c r="S373" s="5">
        <f t="shared" si="8"/>
        <v>1</v>
      </c>
    </row>
    <row r="374">
      <c r="A374" s="2" t="s">
        <v>390</v>
      </c>
      <c r="B374" s="2">
        <v>371.0</v>
      </c>
      <c r="C374" s="2">
        <v>4249.0</v>
      </c>
      <c r="D374" s="2">
        <v>1457.0</v>
      </c>
      <c r="E374" s="3">
        <f t="shared" si="1"/>
        <v>0.3757091284</v>
      </c>
      <c r="F374" s="2">
        <v>648.0</v>
      </c>
      <c r="G374" s="3">
        <f t="shared" si="2"/>
        <v>0.1670964415</v>
      </c>
      <c r="H374" s="2">
        <v>941.0</v>
      </c>
      <c r="I374" s="3">
        <f t="shared" si="3"/>
        <v>0.242650851</v>
      </c>
      <c r="J374" s="2">
        <v>674.0</v>
      </c>
      <c r="K374" s="3">
        <f t="shared" si="4"/>
        <v>0.1738009283</v>
      </c>
      <c r="L374" s="2">
        <v>568.0</v>
      </c>
      <c r="M374" s="3">
        <f t="shared" si="5"/>
        <v>0.6036131775</v>
      </c>
      <c r="N374" s="2">
        <v>5520500.0</v>
      </c>
      <c r="O374" s="4">
        <f t="shared" si="6"/>
        <v>5866.631243</v>
      </c>
      <c r="P374" s="2">
        <v>2.0</v>
      </c>
      <c r="Q374" s="3">
        <f t="shared" si="7"/>
        <v>0.00539083558</v>
      </c>
      <c r="R374" s="2">
        <v>371.0</v>
      </c>
      <c r="S374" s="5">
        <f t="shared" si="8"/>
        <v>1</v>
      </c>
    </row>
    <row r="375">
      <c r="A375" s="2" t="s">
        <v>391</v>
      </c>
      <c r="B375" s="2">
        <v>161.0</v>
      </c>
      <c r="C375" s="2">
        <v>1849.0</v>
      </c>
      <c r="D375" s="2">
        <v>620.0</v>
      </c>
      <c r="E375" s="3">
        <f t="shared" si="1"/>
        <v>0.3672985782</v>
      </c>
      <c r="F375" s="2">
        <v>282.0</v>
      </c>
      <c r="G375" s="3">
        <f t="shared" si="2"/>
        <v>0.1670616114</v>
      </c>
      <c r="H375" s="2">
        <v>377.0</v>
      </c>
      <c r="I375" s="3">
        <f t="shared" si="3"/>
        <v>0.2233412322</v>
      </c>
      <c r="J375" s="2">
        <v>328.0</v>
      </c>
      <c r="K375" s="3">
        <f t="shared" si="4"/>
        <v>0.1943127962</v>
      </c>
      <c r="L375" s="2">
        <v>228.0</v>
      </c>
      <c r="M375" s="3">
        <f t="shared" si="5"/>
        <v>0.6047745358</v>
      </c>
      <c r="N375" s="2">
        <v>2235200.0</v>
      </c>
      <c r="O375" s="4">
        <f t="shared" si="6"/>
        <v>5928.912467</v>
      </c>
      <c r="P375" s="2">
        <v>0.0</v>
      </c>
      <c r="Q375" s="3">
        <f t="shared" si="7"/>
        <v>0</v>
      </c>
      <c r="R375" s="2">
        <v>161.0</v>
      </c>
      <c r="S375" s="5">
        <f t="shared" si="8"/>
        <v>1</v>
      </c>
    </row>
    <row r="376">
      <c r="A376" s="2" t="s">
        <v>392</v>
      </c>
      <c r="B376" s="2">
        <v>161.0</v>
      </c>
      <c r="C376" s="2">
        <v>1874.0</v>
      </c>
      <c r="D376" s="2">
        <v>649.0</v>
      </c>
      <c r="E376" s="3">
        <f t="shared" si="1"/>
        <v>0.3788674839</v>
      </c>
      <c r="F376" s="2">
        <v>286.0</v>
      </c>
      <c r="G376" s="3">
        <f t="shared" si="2"/>
        <v>0.1669585522</v>
      </c>
      <c r="H376" s="2">
        <v>390.0</v>
      </c>
      <c r="I376" s="3">
        <f t="shared" si="3"/>
        <v>0.2276707531</v>
      </c>
      <c r="J376" s="2">
        <v>253.0</v>
      </c>
      <c r="K376" s="3">
        <f t="shared" si="4"/>
        <v>0.1476941039</v>
      </c>
      <c r="L376" s="2">
        <v>233.0</v>
      </c>
      <c r="M376" s="3">
        <f t="shared" si="5"/>
        <v>0.5974358974</v>
      </c>
      <c r="N376" s="2">
        <v>2169900.0</v>
      </c>
      <c r="O376" s="4">
        <f t="shared" si="6"/>
        <v>5563.846154</v>
      </c>
      <c r="P376" s="2">
        <v>0.0</v>
      </c>
      <c r="Q376" s="3">
        <f t="shared" si="7"/>
        <v>0</v>
      </c>
      <c r="R376" s="2">
        <v>89.0</v>
      </c>
      <c r="S376" s="5">
        <f t="shared" si="8"/>
        <v>0.5527950311</v>
      </c>
    </row>
    <row r="377">
      <c r="A377" s="2" t="s">
        <v>393</v>
      </c>
      <c r="B377" s="2">
        <v>577.0</v>
      </c>
      <c r="C377" s="2">
        <v>6665.0</v>
      </c>
      <c r="D377" s="2">
        <v>2091.0</v>
      </c>
      <c r="E377" s="3">
        <f t="shared" si="1"/>
        <v>0.3434625493</v>
      </c>
      <c r="F377" s="2">
        <v>1016.0</v>
      </c>
      <c r="G377" s="3">
        <f t="shared" si="2"/>
        <v>0.1668856767</v>
      </c>
      <c r="H377" s="2">
        <v>1452.0</v>
      </c>
      <c r="I377" s="3">
        <f t="shared" si="3"/>
        <v>0.2385019711</v>
      </c>
      <c r="J377" s="2">
        <v>1251.0</v>
      </c>
      <c r="K377" s="3">
        <f t="shared" si="4"/>
        <v>0.2054862024</v>
      </c>
      <c r="L377" s="2">
        <v>865.0</v>
      </c>
      <c r="M377" s="3">
        <f t="shared" si="5"/>
        <v>0.5957300275</v>
      </c>
      <c r="N377" s="2">
        <v>8226900.0</v>
      </c>
      <c r="O377" s="4">
        <f t="shared" si="6"/>
        <v>5665.909091</v>
      </c>
      <c r="P377" s="2">
        <v>2.0</v>
      </c>
      <c r="Q377" s="3">
        <f t="shared" si="7"/>
        <v>0.003466204506</v>
      </c>
      <c r="R377" s="2">
        <v>577.0</v>
      </c>
      <c r="S377" s="5">
        <f t="shared" si="8"/>
        <v>1</v>
      </c>
    </row>
    <row r="378">
      <c r="A378" s="2" t="s">
        <v>394</v>
      </c>
      <c r="B378" s="2">
        <v>81.0</v>
      </c>
      <c r="C378" s="2">
        <v>938.0</v>
      </c>
      <c r="D378" s="2">
        <v>290.0</v>
      </c>
      <c r="E378" s="3">
        <f t="shared" si="1"/>
        <v>0.3383897316</v>
      </c>
      <c r="F378" s="2">
        <v>143.0</v>
      </c>
      <c r="G378" s="3">
        <f t="shared" si="2"/>
        <v>0.1668611435</v>
      </c>
      <c r="H378" s="2">
        <v>159.0</v>
      </c>
      <c r="I378" s="3">
        <f t="shared" si="3"/>
        <v>0.1855309218</v>
      </c>
      <c r="J378" s="2">
        <v>125.0</v>
      </c>
      <c r="K378" s="3">
        <f t="shared" si="4"/>
        <v>0.1458576429</v>
      </c>
      <c r="L378" s="2">
        <v>94.0</v>
      </c>
      <c r="M378" s="3">
        <f t="shared" si="5"/>
        <v>0.5911949686</v>
      </c>
      <c r="N378" s="2">
        <v>897400.0</v>
      </c>
      <c r="O378" s="4">
        <f t="shared" si="6"/>
        <v>5644.025157</v>
      </c>
      <c r="P378" s="2">
        <v>0.0</v>
      </c>
      <c r="Q378" s="3">
        <f t="shared" si="7"/>
        <v>0</v>
      </c>
      <c r="R378" s="2">
        <v>81.0</v>
      </c>
      <c r="S378" s="5">
        <f t="shared" si="8"/>
        <v>1</v>
      </c>
    </row>
    <row r="379">
      <c r="A379" s="2" t="s">
        <v>395</v>
      </c>
      <c r="B379" s="2">
        <v>112.0</v>
      </c>
      <c r="C379" s="2">
        <v>1263.0</v>
      </c>
      <c r="D379" s="2">
        <v>424.0</v>
      </c>
      <c r="E379" s="3">
        <f t="shared" si="1"/>
        <v>0.3683753258</v>
      </c>
      <c r="F379" s="2">
        <v>192.0</v>
      </c>
      <c r="G379" s="3">
        <f t="shared" si="2"/>
        <v>0.1668114683</v>
      </c>
      <c r="H379" s="2">
        <v>231.0</v>
      </c>
      <c r="I379" s="3">
        <f t="shared" si="3"/>
        <v>0.2006950478</v>
      </c>
      <c r="J379" s="2">
        <v>214.0</v>
      </c>
      <c r="K379" s="3">
        <f t="shared" si="4"/>
        <v>0.1859252824</v>
      </c>
      <c r="L379" s="2">
        <v>129.0</v>
      </c>
      <c r="M379" s="3">
        <f t="shared" si="5"/>
        <v>0.5584415584</v>
      </c>
      <c r="N379" s="2">
        <v>1473400.0</v>
      </c>
      <c r="O379" s="4">
        <f t="shared" si="6"/>
        <v>6378.354978</v>
      </c>
      <c r="P379" s="2">
        <v>0.0</v>
      </c>
      <c r="Q379" s="3">
        <f t="shared" si="7"/>
        <v>0</v>
      </c>
      <c r="R379" s="2">
        <v>112.0</v>
      </c>
      <c r="S379" s="5">
        <f t="shared" si="8"/>
        <v>1</v>
      </c>
    </row>
    <row r="380">
      <c r="A380" s="2" t="s">
        <v>396</v>
      </c>
      <c r="B380" s="2">
        <v>323.0</v>
      </c>
      <c r="C380" s="2">
        <v>3771.0</v>
      </c>
      <c r="D380" s="2">
        <v>1181.0</v>
      </c>
      <c r="E380" s="3">
        <f t="shared" si="1"/>
        <v>0.3425174014</v>
      </c>
      <c r="F380" s="2">
        <v>575.0</v>
      </c>
      <c r="G380" s="3">
        <f t="shared" si="2"/>
        <v>0.1667633411</v>
      </c>
      <c r="H380" s="2">
        <v>725.0</v>
      </c>
      <c r="I380" s="3">
        <f t="shared" si="3"/>
        <v>0.2102668213</v>
      </c>
      <c r="J380" s="2">
        <v>624.0</v>
      </c>
      <c r="K380" s="3">
        <f t="shared" si="4"/>
        <v>0.180974478</v>
      </c>
      <c r="L380" s="2">
        <v>439.0</v>
      </c>
      <c r="M380" s="3">
        <f t="shared" si="5"/>
        <v>0.6055172414</v>
      </c>
      <c r="N380" s="2">
        <v>4594200.0</v>
      </c>
      <c r="O380" s="4">
        <f t="shared" si="6"/>
        <v>6336.827586</v>
      </c>
      <c r="P380" s="2">
        <v>1.0</v>
      </c>
      <c r="Q380" s="3">
        <f t="shared" si="7"/>
        <v>0.003095975232</v>
      </c>
      <c r="R380" s="2">
        <v>323.0</v>
      </c>
      <c r="S380" s="5">
        <f t="shared" si="8"/>
        <v>1</v>
      </c>
    </row>
    <row r="381">
      <c r="A381" s="2" t="s">
        <v>397</v>
      </c>
      <c r="B381" s="2">
        <v>179.0</v>
      </c>
      <c r="C381" s="2">
        <v>2068.0</v>
      </c>
      <c r="D381" s="2">
        <v>721.0</v>
      </c>
      <c r="E381" s="3">
        <f t="shared" si="1"/>
        <v>0.3816834304</v>
      </c>
      <c r="F381" s="2">
        <v>315.0</v>
      </c>
      <c r="G381" s="3">
        <f t="shared" si="2"/>
        <v>0.1667548968</v>
      </c>
      <c r="H381" s="2">
        <v>389.0</v>
      </c>
      <c r="I381" s="3">
        <f t="shared" si="3"/>
        <v>0.205929063</v>
      </c>
      <c r="J381" s="2">
        <v>268.0</v>
      </c>
      <c r="K381" s="3">
        <f t="shared" si="4"/>
        <v>0.1418740074</v>
      </c>
      <c r="L381" s="2">
        <v>250.0</v>
      </c>
      <c r="M381" s="3">
        <f t="shared" si="5"/>
        <v>0.6426735219</v>
      </c>
      <c r="N381" s="2">
        <v>2441300.0</v>
      </c>
      <c r="O381" s="4">
        <f t="shared" si="6"/>
        <v>6275.835476</v>
      </c>
      <c r="P381" s="2">
        <v>1.0</v>
      </c>
      <c r="Q381" s="3">
        <f t="shared" si="7"/>
        <v>0.005586592179</v>
      </c>
      <c r="R381" s="2">
        <v>179.0</v>
      </c>
      <c r="S381" s="5">
        <f t="shared" si="8"/>
        <v>1</v>
      </c>
    </row>
    <row r="382">
      <c r="A382" s="2" t="s">
        <v>398</v>
      </c>
      <c r="B382" s="2">
        <v>4.0</v>
      </c>
      <c r="C382" s="2">
        <v>34.0</v>
      </c>
      <c r="D382" s="2">
        <v>11.0</v>
      </c>
      <c r="E382" s="3">
        <f t="shared" si="1"/>
        <v>0.3666666667</v>
      </c>
      <c r="F382" s="2">
        <v>5.0</v>
      </c>
      <c r="G382" s="3">
        <f t="shared" si="2"/>
        <v>0.1666666667</v>
      </c>
      <c r="H382" s="2">
        <v>9.0</v>
      </c>
      <c r="I382" s="3">
        <f t="shared" si="3"/>
        <v>0.3</v>
      </c>
      <c r="J382" s="2">
        <v>12.0</v>
      </c>
      <c r="K382" s="3">
        <f t="shared" si="4"/>
        <v>0.4</v>
      </c>
      <c r="L382" s="2">
        <v>6.0</v>
      </c>
      <c r="M382" s="3">
        <f t="shared" si="5"/>
        <v>0.6666666667</v>
      </c>
      <c r="N382" s="2">
        <v>66400.0</v>
      </c>
      <c r="O382" s="4">
        <f t="shared" si="6"/>
        <v>7377.777778</v>
      </c>
      <c r="P382" s="2">
        <v>0.0</v>
      </c>
      <c r="Q382" s="3">
        <f t="shared" si="7"/>
        <v>0</v>
      </c>
      <c r="R382" s="2">
        <v>4.0</v>
      </c>
      <c r="S382" s="5">
        <f t="shared" si="8"/>
        <v>1</v>
      </c>
    </row>
    <row r="383">
      <c r="A383" s="2" t="s">
        <v>399</v>
      </c>
      <c r="B383" s="2">
        <v>1.0</v>
      </c>
      <c r="C383" s="2">
        <v>13.0</v>
      </c>
      <c r="D383" s="2">
        <v>5.0</v>
      </c>
      <c r="E383" s="3">
        <f t="shared" si="1"/>
        <v>0.4166666667</v>
      </c>
      <c r="F383" s="2">
        <v>2.0</v>
      </c>
      <c r="G383" s="3">
        <f t="shared" si="2"/>
        <v>0.1666666667</v>
      </c>
      <c r="H383" s="2">
        <v>4.0</v>
      </c>
      <c r="I383" s="3">
        <f t="shared" si="3"/>
        <v>0.3333333333</v>
      </c>
      <c r="J383" s="2">
        <v>3.0</v>
      </c>
      <c r="K383" s="3">
        <f t="shared" si="4"/>
        <v>0.25</v>
      </c>
      <c r="L383" s="2">
        <v>0.0</v>
      </c>
      <c r="M383" s="3">
        <f t="shared" si="5"/>
        <v>0</v>
      </c>
      <c r="N383" s="2">
        <v>24500.0</v>
      </c>
      <c r="O383" s="4">
        <f t="shared" si="6"/>
        <v>6125</v>
      </c>
      <c r="P383" s="2">
        <v>0.0</v>
      </c>
      <c r="Q383" s="3">
        <f t="shared" si="7"/>
        <v>0</v>
      </c>
      <c r="R383" s="2">
        <v>0.0</v>
      </c>
      <c r="S383" s="5">
        <f t="shared" si="8"/>
        <v>0</v>
      </c>
    </row>
    <row r="384">
      <c r="A384" s="2" t="s">
        <v>400</v>
      </c>
      <c r="B384" s="2">
        <v>4.0</v>
      </c>
      <c r="C384" s="2">
        <v>52.0</v>
      </c>
      <c r="D384" s="2">
        <v>15.0</v>
      </c>
      <c r="E384" s="3">
        <f t="shared" si="1"/>
        <v>0.3125</v>
      </c>
      <c r="F384" s="2">
        <v>8.0</v>
      </c>
      <c r="G384" s="3">
        <f t="shared" si="2"/>
        <v>0.1666666667</v>
      </c>
      <c r="H384" s="2">
        <v>9.0</v>
      </c>
      <c r="I384" s="3">
        <f t="shared" si="3"/>
        <v>0.1875</v>
      </c>
      <c r="J384" s="2">
        <v>12.0</v>
      </c>
      <c r="K384" s="3">
        <f t="shared" si="4"/>
        <v>0.25</v>
      </c>
      <c r="L384" s="2">
        <v>6.0</v>
      </c>
      <c r="M384" s="3">
        <f t="shared" si="5"/>
        <v>0.6666666667</v>
      </c>
      <c r="N384" s="2">
        <v>60600.0</v>
      </c>
      <c r="O384" s="4">
        <f t="shared" si="6"/>
        <v>6733.333333</v>
      </c>
      <c r="P384" s="2">
        <v>0.0</v>
      </c>
      <c r="Q384" s="3">
        <f t="shared" si="7"/>
        <v>0</v>
      </c>
      <c r="R384" s="2">
        <v>4.0</v>
      </c>
      <c r="S384" s="5">
        <f t="shared" si="8"/>
        <v>1</v>
      </c>
    </row>
    <row r="385">
      <c r="A385" s="2" t="s">
        <v>401</v>
      </c>
      <c r="B385" s="2">
        <v>1.0</v>
      </c>
      <c r="C385" s="2">
        <v>13.0</v>
      </c>
      <c r="D385" s="2">
        <v>5.0</v>
      </c>
      <c r="E385" s="3">
        <f t="shared" si="1"/>
        <v>0.4166666667</v>
      </c>
      <c r="F385" s="2">
        <v>2.0</v>
      </c>
      <c r="G385" s="3">
        <f t="shared" si="2"/>
        <v>0.1666666667</v>
      </c>
      <c r="H385" s="2">
        <v>2.0</v>
      </c>
      <c r="I385" s="3">
        <f t="shared" si="3"/>
        <v>0.1666666667</v>
      </c>
      <c r="J385" s="2">
        <v>3.0</v>
      </c>
      <c r="K385" s="3">
        <f t="shared" si="4"/>
        <v>0.25</v>
      </c>
      <c r="L385" s="2">
        <v>1.0</v>
      </c>
      <c r="M385" s="3">
        <f t="shared" si="5"/>
        <v>0.5</v>
      </c>
      <c r="N385" s="2">
        <v>4700.0</v>
      </c>
      <c r="O385" s="4">
        <f t="shared" si="6"/>
        <v>2350</v>
      </c>
      <c r="P385" s="2">
        <v>0.0</v>
      </c>
      <c r="Q385" s="3">
        <f t="shared" si="7"/>
        <v>0</v>
      </c>
      <c r="R385" s="2">
        <v>0.0</v>
      </c>
      <c r="S385" s="5">
        <f t="shared" si="8"/>
        <v>0</v>
      </c>
    </row>
    <row r="386">
      <c r="A386" s="2" t="s">
        <v>402</v>
      </c>
      <c r="B386" s="2">
        <v>17.0</v>
      </c>
      <c r="C386" s="2">
        <v>191.0</v>
      </c>
      <c r="D386" s="2">
        <v>57.0</v>
      </c>
      <c r="E386" s="3">
        <f t="shared" si="1"/>
        <v>0.3275862069</v>
      </c>
      <c r="F386" s="2">
        <v>29.0</v>
      </c>
      <c r="G386" s="3">
        <f t="shared" si="2"/>
        <v>0.1666666667</v>
      </c>
      <c r="H386" s="2">
        <v>35.0</v>
      </c>
      <c r="I386" s="3">
        <f t="shared" si="3"/>
        <v>0.2011494253</v>
      </c>
      <c r="J386" s="2">
        <v>40.0</v>
      </c>
      <c r="K386" s="3">
        <f t="shared" si="4"/>
        <v>0.2298850575</v>
      </c>
      <c r="L386" s="2">
        <v>21.0</v>
      </c>
      <c r="M386" s="3">
        <f t="shared" si="5"/>
        <v>0.6</v>
      </c>
      <c r="N386" s="2">
        <v>209600.0</v>
      </c>
      <c r="O386" s="4">
        <f t="shared" si="6"/>
        <v>5988.571429</v>
      </c>
      <c r="P386" s="2">
        <v>0.0</v>
      </c>
      <c r="Q386" s="3">
        <f t="shared" si="7"/>
        <v>0</v>
      </c>
      <c r="R386" s="2">
        <v>17.0</v>
      </c>
      <c r="S386" s="5">
        <f t="shared" si="8"/>
        <v>1</v>
      </c>
    </row>
    <row r="387">
      <c r="A387" s="2" t="s">
        <v>403</v>
      </c>
      <c r="B387" s="2">
        <v>27.0</v>
      </c>
      <c r="C387" s="2">
        <v>315.0</v>
      </c>
      <c r="D387" s="2">
        <v>100.0</v>
      </c>
      <c r="E387" s="3">
        <f t="shared" si="1"/>
        <v>0.3472222222</v>
      </c>
      <c r="F387" s="2">
        <v>48.0</v>
      </c>
      <c r="G387" s="3">
        <f t="shared" si="2"/>
        <v>0.1666666667</v>
      </c>
      <c r="H387" s="2">
        <v>61.0</v>
      </c>
      <c r="I387" s="3">
        <f t="shared" si="3"/>
        <v>0.2118055556</v>
      </c>
      <c r="J387" s="2">
        <v>61.0</v>
      </c>
      <c r="K387" s="3">
        <f t="shared" si="4"/>
        <v>0.2118055556</v>
      </c>
      <c r="L387" s="2">
        <v>39.0</v>
      </c>
      <c r="M387" s="3">
        <f t="shared" si="5"/>
        <v>0.6393442623</v>
      </c>
      <c r="N387" s="2">
        <v>307600.0</v>
      </c>
      <c r="O387" s="4">
        <f t="shared" si="6"/>
        <v>5042.622951</v>
      </c>
      <c r="P387" s="2">
        <v>0.0</v>
      </c>
      <c r="Q387" s="3">
        <f t="shared" si="7"/>
        <v>0</v>
      </c>
      <c r="R387" s="2">
        <v>27.0</v>
      </c>
      <c r="S387" s="5">
        <f t="shared" si="8"/>
        <v>1</v>
      </c>
    </row>
    <row r="388">
      <c r="A388" s="2" t="s">
        <v>404</v>
      </c>
      <c r="B388" s="2">
        <v>115.0</v>
      </c>
      <c r="C388" s="2">
        <v>1303.0</v>
      </c>
      <c r="D388" s="2">
        <v>314.0</v>
      </c>
      <c r="E388" s="3">
        <f t="shared" si="1"/>
        <v>0.2643097643</v>
      </c>
      <c r="F388" s="2">
        <v>198.0</v>
      </c>
      <c r="G388" s="3">
        <f t="shared" si="2"/>
        <v>0.1666666667</v>
      </c>
      <c r="H388" s="2">
        <v>232.0</v>
      </c>
      <c r="I388" s="3">
        <f t="shared" si="3"/>
        <v>0.1952861953</v>
      </c>
      <c r="J388" s="2">
        <v>235.0</v>
      </c>
      <c r="K388" s="3">
        <f t="shared" si="4"/>
        <v>0.1978114478</v>
      </c>
      <c r="L388" s="2">
        <v>140.0</v>
      </c>
      <c r="M388" s="3">
        <f t="shared" si="5"/>
        <v>0.6034482759</v>
      </c>
      <c r="N388" s="2">
        <v>1432700.0</v>
      </c>
      <c r="O388" s="4">
        <f t="shared" si="6"/>
        <v>6175.431034</v>
      </c>
      <c r="P388" s="2">
        <v>0.0</v>
      </c>
      <c r="Q388" s="3">
        <f t="shared" si="7"/>
        <v>0</v>
      </c>
      <c r="R388" s="2">
        <v>115.0</v>
      </c>
      <c r="S388" s="5">
        <f t="shared" si="8"/>
        <v>1</v>
      </c>
    </row>
    <row r="389">
      <c r="A389" s="2" t="s">
        <v>405</v>
      </c>
      <c r="B389" s="2">
        <v>27.0</v>
      </c>
      <c r="C389" s="2">
        <v>291.0</v>
      </c>
      <c r="D389" s="2">
        <v>94.0</v>
      </c>
      <c r="E389" s="3">
        <f t="shared" si="1"/>
        <v>0.3560606061</v>
      </c>
      <c r="F389" s="2">
        <v>44.0</v>
      </c>
      <c r="G389" s="3">
        <f t="shared" si="2"/>
        <v>0.1666666667</v>
      </c>
      <c r="H389" s="2">
        <v>51.0</v>
      </c>
      <c r="I389" s="3">
        <f t="shared" si="3"/>
        <v>0.1931818182</v>
      </c>
      <c r="J389" s="2">
        <v>51.0</v>
      </c>
      <c r="K389" s="3">
        <f t="shared" si="4"/>
        <v>0.1931818182</v>
      </c>
      <c r="L389" s="2">
        <v>27.0</v>
      </c>
      <c r="M389" s="3">
        <f t="shared" si="5"/>
        <v>0.5294117647</v>
      </c>
      <c r="N389" s="2">
        <v>288900.0</v>
      </c>
      <c r="O389" s="4">
        <f t="shared" si="6"/>
        <v>5664.705882</v>
      </c>
      <c r="P389" s="2">
        <v>0.0</v>
      </c>
      <c r="Q389" s="3">
        <f t="shared" si="7"/>
        <v>0</v>
      </c>
      <c r="R389" s="2">
        <v>27.0</v>
      </c>
      <c r="S389" s="5">
        <f t="shared" si="8"/>
        <v>1</v>
      </c>
    </row>
    <row r="390">
      <c r="A390" s="2" t="s">
        <v>406</v>
      </c>
      <c r="B390" s="2">
        <v>20.0</v>
      </c>
      <c r="C390" s="2">
        <v>212.0</v>
      </c>
      <c r="D390" s="2">
        <v>60.0</v>
      </c>
      <c r="E390" s="3">
        <f t="shared" si="1"/>
        <v>0.3125</v>
      </c>
      <c r="F390" s="2">
        <v>32.0</v>
      </c>
      <c r="G390" s="3">
        <f t="shared" si="2"/>
        <v>0.1666666667</v>
      </c>
      <c r="H390" s="2">
        <v>41.0</v>
      </c>
      <c r="I390" s="3">
        <f t="shared" si="3"/>
        <v>0.2135416667</v>
      </c>
      <c r="J390" s="2">
        <v>36.0</v>
      </c>
      <c r="K390" s="3">
        <f t="shared" si="4"/>
        <v>0.1875</v>
      </c>
      <c r="L390" s="2">
        <v>24.0</v>
      </c>
      <c r="M390" s="3">
        <f t="shared" si="5"/>
        <v>0.5853658537</v>
      </c>
      <c r="N390" s="2">
        <v>249900.0</v>
      </c>
      <c r="O390" s="4">
        <f t="shared" si="6"/>
        <v>6095.121951</v>
      </c>
      <c r="P390" s="2">
        <v>0.0</v>
      </c>
      <c r="Q390" s="3">
        <f t="shared" si="7"/>
        <v>0</v>
      </c>
      <c r="R390" s="2">
        <v>0.0</v>
      </c>
      <c r="S390" s="5">
        <f t="shared" si="8"/>
        <v>0</v>
      </c>
    </row>
    <row r="391">
      <c r="A391" s="2" t="s">
        <v>407</v>
      </c>
      <c r="B391" s="2">
        <v>75.0</v>
      </c>
      <c r="C391" s="2">
        <v>885.0</v>
      </c>
      <c r="D391" s="2">
        <v>302.0</v>
      </c>
      <c r="E391" s="3">
        <f t="shared" si="1"/>
        <v>0.3728395062</v>
      </c>
      <c r="F391" s="2">
        <v>135.0</v>
      </c>
      <c r="G391" s="3">
        <f t="shared" si="2"/>
        <v>0.1666666667</v>
      </c>
      <c r="H391" s="2">
        <v>169.0</v>
      </c>
      <c r="I391" s="3">
        <f t="shared" si="3"/>
        <v>0.2086419753</v>
      </c>
      <c r="J391" s="2">
        <v>145.0</v>
      </c>
      <c r="K391" s="3">
        <f t="shared" si="4"/>
        <v>0.1790123457</v>
      </c>
      <c r="L391" s="2">
        <v>107.0</v>
      </c>
      <c r="M391" s="3">
        <f t="shared" si="5"/>
        <v>0.6331360947</v>
      </c>
      <c r="N391" s="2">
        <v>930800.0</v>
      </c>
      <c r="O391" s="4">
        <f t="shared" si="6"/>
        <v>5507.692308</v>
      </c>
      <c r="P391" s="2">
        <v>0.0</v>
      </c>
      <c r="Q391" s="3">
        <f t="shared" si="7"/>
        <v>0</v>
      </c>
      <c r="R391" s="2">
        <v>0.0</v>
      </c>
      <c r="S391" s="5">
        <f t="shared" si="8"/>
        <v>0</v>
      </c>
    </row>
    <row r="392">
      <c r="A392" s="2" t="s">
        <v>408</v>
      </c>
      <c r="B392" s="2">
        <v>29.0</v>
      </c>
      <c r="C392" s="2">
        <v>359.0</v>
      </c>
      <c r="D392" s="2">
        <v>108.0</v>
      </c>
      <c r="E392" s="3">
        <f t="shared" si="1"/>
        <v>0.3272727273</v>
      </c>
      <c r="F392" s="2">
        <v>55.0</v>
      </c>
      <c r="G392" s="3">
        <f t="shared" si="2"/>
        <v>0.1666666667</v>
      </c>
      <c r="H392" s="2">
        <v>58.0</v>
      </c>
      <c r="I392" s="3">
        <f t="shared" si="3"/>
        <v>0.1757575758</v>
      </c>
      <c r="J392" s="2">
        <v>58.0</v>
      </c>
      <c r="K392" s="3">
        <f t="shared" si="4"/>
        <v>0.1757575758</v>
      </c>
      <c r="L392" s="2">
        <v>36.0</v>
      </c>
      <c r="M392" s="3">
        <f t="shared" si="5"/>
        <v>0.6206896552</v>
      </c>
      <c r="N392" s="2">
        <v>288700.0</v>
      </c>
      <c r="O392" s="4">
        <f t="shared" si="6"/>
        <v>4977.586207</v>
      </c>
      <c r="P392" s="2">
        <v>0.0</v>
      </c>
      <c r="Q392" s="3">
        <f t="shared" si="7"/>
        <v>0</v>
      </c>
      <c r="R392" s="2">
        <v>0.0</v>
      </c>
      <c r="S392" s="5">
        <f t="shared" si="8"/>
        <v>0</v>
      </c>
    </row>
    <row r="393">
      <c r="A393" s="2" t="s">
        <v>409</v>
      </c>
      <c r="B393" s="2">
        <v>25.0</v>
      </c>
      <c r="C393" s="2">
        <v>277.0</v>
      </c>
      <c r="D393" s="2">
        <v>66.0</v>
      </c>
      <c r="E393" s="3">
        <f t="shared" si="1"/>
        <v>0.2619047619</v>
      </c>
      <c r="F393" s="2">
        <v>42.0</v>
      </c>
      <c r="G393" s="3">
        <f t="shared" si="2"/>
        <v>0.1666666667</v>
      </c>
      <c r="H393" s="2">
        <v>31.0</v>
      </c>
      <c r="I393" s="3">
        <f t="shared" si="3"/>
        <v>0.123015873</v>
      </c>
      <c r="J393" s="2">
        <v>42.0</v>
      </c>
      <c r="K393" s="3">
        <f t="shared" si="4"/>
        <v>0.1666666667</v>
      </c>
      <c r="L393" s="2">
        <v>18.0</v>
      </c>
      <c r="M393" s="3">
        <f t="shared" si="5"/>
        <v>0.5806451613</v>
      </c>
      <c r="N393" s="2">
        <v>157900.0</v>
      </c>
      <c r="O393" s="4">
        <f t="shared" si="6"/>
        <v>5093.548387</v>
      </c>
      <c r="P393" s="2">
        <v>0.0</v>
      </c>
      <c r="Q393" s="3">
        <f t="shared" si="7"/>
        <v>0</v>
      </c>
      <c r="R393" s="2">
        <v>25.0</v>
      </c>
      <c r="S393" s="5">
        <f t="shared" si="8"/>
        <v>1</v>
      </c>
    </row>
    <row r="394">
      <c r="A394" s="2" t="s">
        <v>410</v>
      </c>
      <c r="B394" s="2">
        <v>70.0</v>
      </c>
      <c r="C394" s="2">
        <v>820.0</v>
      </c>
      <c r="D394" s="2">
        <v>220.0</v>
      </c>
      <c r="E394" s="3">
        <f t="shared" si="1"/>
        <v>0.2933333333</v>
      </c>
      <c r="F394" s="2">
        <v>125.0</v>
      </c>
      <c r="G394" s="3">
        <f t="shared" si="2"/>
        <v>0.1666666667</v>
      </c>
      <c r="H394" s="2">
        <v>124.0</v>
      </c>
      <c r="I394" s="3">
        <f t="shared" si="3"/>
        <v>0.1653333333</v>
      </c>
      <c r="J394" s="2">
        <v>115.0</v>
      </c>
      <c r="K394" s="3">
        <f t="shared" si="4"/>
        <v>0.1533333333</v>
      </c>
      <c r="L394" s="2">
        <v>72.0</v>
      </c>
      <c r="M394" s="3">
        <f t="shared" si="5"/>
        <v>0.5806451613</v>
      </c>
      <c r="N394" s="2">
        <v>768800.0</v>
      </c>
      <c r="O394" s="4">
        <f t="shared" si="6"/>
        <v>6200</v>
      </c>
      <c r="P394" s="2">
        <v>0.0</v>
      </c>
      <c r="Q394" s="3">
        <f t="shared" si="7"/>
        <v>0</v>
      </c>
      <c r="R394" s="2">
        <v>70.0</v>
      </c>
      <c r="S394" s="5">
        <f t="shared" si="8"/>
        <v>1</v>
      </c>
    </row>
    <row r="395">
      <c r="A395" s="2" t="s">
        <v>411</v>
      </c>
      <c r="B395" s="2">
        <v>12.0</v>
      </c>
      <c r="C395" s="2">
        <v>126.0</v>
      </c>
      <c r="D395" s="2">
        <v>30.0</v>
      </c>
      <c r="E395" s="3">
        <f t="shared" si="1"/>
        <v>0.2631578947</v>
      </c>
      <c r="F395" s="2">
        <v>19.0</v>
      </c>
      <c r="G395" s="3">
        <f t="shared" si="2"/>
        <v>0.1666666667</v>
      </c>
      <c r="H395" s="2">
        <v>22.0</v>
      </c>
      <c r="I395" s="3">
        <f t="shared" si="3"/>
        <v>0.1929824561</v>
      </c>
      <c r="J395" s="2">
        <v>17.0</v>
      </c>
      <c r="K395" s="3">
        <f t="shared" si="4"/>
        <v>0.149122807</v>
      </c>
      <c r="L395" s="2">
        <v>11.0</v>
      </c>
      <c r="M395" s="3">
        <f t="shared" si="5"/>
        <v>0.5</v>
      </c>
      <c r="N395" s="2">
        <v>139000.0</v>
      </c>
      <c r="O395" s="4">
        <f t="shared" si="6"/>
        <v>6318.181818</v>
      </c>
      <c r="P395" s="2">
        <v>0.0</v>
      </c>
      <c r="Q395" s="3">
        <f t="shared" si="7"/>
        <v>0</v>
      </c>
      <c r="R395" s="2">
        <v>12.0</v>
      </c>
      <c r="S395" s="5">
        <f t="shared" si="8"/>
        <v>1</v>
      </c>
    </row>
    <row r="396">
      <c r="A396" s="2" t="s">
        <v>412</v>
      </c>
      <c r="B396" s="2">
        <v>3.0</v>
      </c>
      <c r="C396" s="2">
        <v>33.0</v>
      </c>
      <c r="D396" s="2">
        <v>16.0</v>
      </c>
      <c r="E396" s="3">
        <f t="shared" si="1"/>
        <v>0.5333333333</v>
      </c>
      <c r="F396" s="2">
        <v>5.0</v>
      </c>
      <c r="G396" s="3">
        <f t="shared" si="2"/>
        <v>0.1666666667</v>
      </c>
      <c r="H396" s="2">
        <v>5.0</v>
      </c>
      <c r="I396" s="3">
        <f t="shared" si="3"/>
        <v>0.1666666667</v>
      </c>
      <c r="J396" s="2">
        <v>4.0</v>
      </c>
      <c r="K396" s="3">
        <f t="shared" si="4"/>
        <v>0.1333333333</v>
      </c>
      <c r="L396" s="2">
        <v>5.0</v>
      </c>
      <c r="M396" s="3">
        <f t="shared" si="5"/>
        <v>1</v>
      </c>
      <c r="N396" s="2">
        <v>38000.0</v>
      </c>
      <c r="O396" s="4">
        <f t="shared" si="6"/>
        <v>7600</v>
      </c>
      <c r="P396" s="2">
        <v>0.0</v>
      </c>
      <c r="Q396" s="3">
        <f t="shared" si="7"/>
        <v>0</v>
      </c>
      <c r="R396" s="2">
        <v>3.0</v>
      </c>
      <c r="S396" s="5">
        <f t="shared" si="8"/>
        <v>1</v>
      </c>
    </row>
    <row r="397">
      <c r="A397" s="2" t="s">
        <v>413</v>
      </c>
      <c r="B397" s="2">
        <v>83.0</v>
      </c>
      <c r="C397" s="2">
        <v>929.0</v>
      </c>
      <c r="D397" s="2">
        <v>258.0</v>
      </c>
      <c r="E397" s="3">
        <f t="shared" si="1"/>
        <v>0.304964539</v>
      </c>
      <c r="F397" s="2">
        <v>141.0</v>
      </c>
      <c r="G397" s="3">
        <f t="shared" si="2"/>
        <v>0.1666666667</v>
      </c>
      <c r="H397" s="2">
        <v>162.0</v>
      </c>
      <c r="I397" s="3">
        <f t="shared" si="3"/>
        <v>0.1914893617</v>
      </c>
      <c r="J397" s="2">
        <v>108.0</v>
      </c>
      <c r="K397" s="3">
        <f t="shared" si="4"/>
        <v>0.1276595745</v>
      </c>
      <c r="L397" s="2">
        <v>95.0</v>
      </c>
      <c r="M397" s="3">
        <f t="shared" si="5"/>
        <v>0.5864197531</v>
      </c>
      <c r="N397" s="2">
        <v>961800.0</v>
      </c>
      <c r="O397" s="4">
        <f t="shared" si="6"/>
        <v>5937.037037</v>
      </c>
      <c r="P397" s="2">
        <v>0.0</v>
      </c>
      <c r="Q397" s="3">
        <f t="shared" si="7"/>
        <v>0</v>
      </c>
      <c r="R397" s="2">
        <v>83.0</v>
      </c>
      <c r="S397" s="5">
        <f t="shared" si="8"/>
        <v>1</v>
      </c>
    </row>
    <row r="398">
      <c r="A398" s="2" t="s">
        <v>414</v>
      </c>
      <c r="B398" s="2">
        <v>2.0</v>
      </c>
      <c r="C398" s="2">
        <v>20.0</v>
      </c>
      <c r="D398" s="2">
        <v>5.0</v>
      </c>
      <c r="E398" s="3">
        <f t="shared" si="1"/>
        <v>0.2777777778</v>
      </c>
      <c r="F398" s="2">
        <v>3.0</v>
      </c>
      <c r="G398" s="3">
        <f t="shared" si="2"/>
        <v>0.1666666667</v>
      </c>
      <c r="H398" s="2">
        <v>1.0</v>
      </c>
      <c r="I398" s="3">
        <f t="shared" si="3"/>
        <v>0.05555555556</v>
      </c>
      <c r="J398" s="2">
        <v>2.0</v>
      </c>
      <c r="K398" s="3">
        <f t="shared" si="4"/>
        <v>0.1111111111</v>
      </c>
      <c r="L398" s="2">
        <v>1.0</v>
      </c>
      <c r="M398" s="3">
        <f t="shared" si="5"/>
        <v>1</v>
      </c>
      <c r="N398" s="2">
        <v>2900.0</v>
      </c>
      <c r="O398" s="4">
        <f t="shared" si="6"/>
        <v>2900</v>
      </c>
      <c r="P398" s="2">
        <v>0.0</v>
      </c>
      <c r="Q398" s="3">
        <f t="shared" si="7"/>
        <v>0</v>
      </c>
      <c r="R398" s="2">
        <v>0.0</v>
      </c>
      <c r="S398" s="5">
        <f t="shared" si="8"/>
        <v>0</v>
      </c>
    </row>
    <row r="399">
      <c r="A399" s="2" t="s">
        <v>415</v>
      </c>
      <c r="B399" s="2">
        <v>1.0</v>
      </c>
      <c r="C399" s="2">
        <v>13.0</v>
      </c>
      <c r="D399" s="2">
        <v>8.0</v>
      </c>
      <c r="E399" s="3">
        <f t="shared" si="1"/>
        <v>0.6666666667</v>
      </c>
      <c r="F399" s="2">
        <v>2.0</v>
      </c>
      <c r="G399" s="3">
        <f t="shared" si="2"/>
        <v>0.1666666667</v>
      </c>
      <c r="H399" s="2">
        <v>3.0</v>
      </c>
      <c r="I399" s="3">
        <f t="shared" si="3"/>
        <v>0.25</v>
      </c>
      <c r="J399" s="2">
        <v>1.0</v>
      </c>
      <c r="K399" s="3">
        <f t="shared" si="4"/>
        <v>0.08333333333</v>
      </c>
      <c r="L399" s="2">
        <v>1.0</v>
      </c>
      <c r="M399" s="3">
        <f t="shared" si="5"/>
        <v>0.3333333333</v>
      </c>
      <c r="N399" s="2">
        <v>23300.0</v>
      </c>
      <c r="O399" s="4">
        <f t="shared" si="6"/>
        <v>7766.666667</v>
      </c>
      <c r="P399" s="2">
        <v>0.0</v>
      </c>
      <c r="Q399" s="3">
        <f t="shared" si="7"/>
        <v>0</v>
      </c>
      <c r="R399" s="2">
        <v>1.0</v>
      </c>
      <c r="S399" s="5">
        <f t="shared" si="8"/>
        <v>1</v>
      </c>
    </row>
    <row r="400">
      <c r="A400" s="2" t="s">
        <v>416</v>
      </c>
      <c r="B400" s="2">
        <v>4.0</v>
      </c>
      <c r="C400" s="2">
        <v>46.0</v>
      </c>
      <c r="D400" s="2">
        <v>15.0</v>
      </c>
      <c r="E400" s="3">
        <f t="shared" si="1"/>
        <v>0.3571428571</v>
      </c>
      <c r="F400" s="2">
        <v>7.0</v>
      </c>
      <c r="G400" s="3">
        <f t="shared" si="2"/>
        <v>0.1666666667</v>
      </c>
      <c r="H400" s="2">
        <v>6.0</v>
      </c>
      <c r="I400" s="3">
        <f t="shared" si="3"/>
        <v>0.1428571429</v>
      </c>
      <c r="J400" s="2">
        <v>3.0</v>
      </c>
      <c r="K400" s="3">
        <f t="shared" si="4"/>
        <v>0.07142857143</v>
      </c>
      <c r="L400" s="2">
        <v>5.0</v>
      </c>
      <c r="M400" s="3">
        <f t="shared" si="5"/>
        <v>0.8333333333</v>
      </c>
      <c r="N400" s="2">
        <v>19600.0</v>
      </c>
      <c r="O400" s="4">
        <f t="shared" si="6"/>
        <v>3266.666667</v>
      </c>
      <c r="P400" s="2">
        <v>0.0</v>
      </c>
      <c r="Q400" s="3">
        <f t="shared" si="7"/>
        <v>0</v>
      </c>
      <c r="R400" s="2">
        <v>4.0</v>
      </c>
      <c r="S400" s="5">
        <f t="shared" si="8"/>
        <v>1</v>
      </c>
    </row>
    <row r="401">
      <c r="A401" s="2" t="s">
        <v>417</v>
      </c>
      <c r="B401" s="2">
        <v>212.0</v>
      </c>
      <c r="C401" s="2">
        <v>2431.0</v>
      </c>
      <c r="D401" s="2">
        <v>909.0</v>
      </c>
      <c r="E401" s="3">
        <f t="shared" si="1"/>
        <v>0.4096439838</v>
      </c>
      <c r="F401" s="2">
        <v>369.0</v>
      </c>
      <c r="G401" s="3">
        <f t="shared" si="2"/>
        <v>0.1662911221</v>
      </c>
      <c r="H401" s="2">
        <v>504.0</v>
      </c>
      <c r="I401" s="3">
        <f t="shared" si="3"/>
        <v>0.2271293375</v>
      </c>
      <c r="J401" s="2">
        <v>380.0</v>
      </c>
      <c r="K401" s="3">
        <f t="shared" si="4"/>
        <v>0.17124831</v>
      </c>
      <c r="L401" s="2">
        <v>274.0</v>
      </c>
      <c r="M401" s="3">
        <f t="shared" si="5"/>
        <v>0.5436507937</v>
      </c>
      <c r="N401" s="2">
        <v>2787400.0</v>
      </c>
      <c r="O401" s="4">
        <f t="shared" si="6"/>
        <v>5530.555556</v>
      </c>
      <c r="P401" s="2">
        <v>0.0</v>
      </c>
      <c r="Q401" s="3">
        <f t="shared" si="7"/>
        <v>0</v>
      </c>
      <c r="R401" s="2">
        <v>210.0</v>
      </c>
      <c r="S401" s="5">
        <f t="shared" si="8"/>
        <v>0.9905660377</v>
      </c>
    </row>
    <row r="402">
      <c r="A402" s="2" t="s">
        <v>418</v>
      </c>
      <c r="B402" s="2">
        <v>77.0</v>
      </c>
      <c r="C402" s="2">
        <v>907.0</v>
      </c>
      <c r="D402" s="2">
        <v>288.0</v>
      </c>
      <c r="E402" s="3">
        <f t="shared" si="1"/>
        <v>0.3469879518</v>
      </c>
      <c r="F402" s="2">
        <v>138.0</v>
      </c>
      <c r="G402" s="3">
        <f t="shared" si="2"/>
        <v>0.1662650602</v>
      </c>
      <c r="H402" s="2">
        <v>177.0</v>
      </c>
      <c r="I402" s="3">
        <f t="shared" si="3"/>
        <v>0.213253012</v>
      </c>
      <c r="J402" s="2">
        <v>164.0</v>
      </c>
      <c r="K402" s="3">
        <f t="shared" si="4"/>
        <v>0.1975903614</v>
      </c>
      <c r="L402" s="2">
        <v>99.0</v>
      </c>
      <c r="M402" s="3">
        <f t="shared" si="5"/>
        <v>0.5593220339</v>
      </c>
      <c r="N402" s="2">
        <v>1058800.0</v>
      </c>
      <c r="O402" s="4">
        <f t="shared" si="6"/>
        <v>5981.920904</v>
      </c>
      <c r="P402" s="2">
        <v>0.0</v>
      </c>
      <c r="Q402" s="3">
        <f t="shared" si="7"/>
        <v>0</v>
      </c>
      <c r="R402" s="2">
        <v>77.0</v>
      </c>
      <c r="S402" s="5">
        <f t="shared" si="8"/>
        <v>1</v>
      </c>
    </row>
    <row r="403">
      <c r="A403" s="2" t="s">
        <v>419</v>
      </c>
      <c r="B403" s="2">
        <v>187.0</v>
      </c>
      <c r="C403" s="2">
        <v>2208.0</v>
      </c>
      <c r="D403" s="2">
        <v>936.0</v>
      </c>
      <c r="E403" s="3">
        <f t="shared" si="1"/>
        <v>0.4631370609</v>
      </c>
      <c r="F403" s="2">
        <v>336.0</v>
      </c>
      <c r="G403" s="3">
        <f t="shared" si="2"/>
        <v>0.1662543295</v>
      </c>
      <c r="H403" s="2">
        <v>485.0</v>
      </c>
      <c r="I403" s="3">
        <f t="shared" si="3"/>
        <v>0.2399802078</v>
      </c>
      <c r="J403" s="2">
        <v>348.0</v>
      </c>
      <c r="K403" s="3">
        <f t="shared" si="4"/>
        <v>0.1721919842</v>
      </c>
      <c r="L403" s="2">
        <v>287.0</v>
      </c>
      <c r="M403" s="3">
        <f t="shared" si="5"/>
        <v>0.5917525773</v>
      </c>
      <c r="N403" s="2">
        <v>2624200.0</v>
      </c>
      <c r="O403" s="4">
        <f t="shared" si="6"/>
        <v>5410.721649</v>
      </c>
      <c r="P403" s="2">
        <v>0.0</v>
      </c>
      <c r="Q403" s="3">
        <f t="shared" si="7"/>
        <v>0</v>
      </c>
      <c r="R403" s="2">
        <v>187.0</v>
      </c>
      <c r="S403" s="5">
        <f t="shared" si="8"/>
        <v>1</v>
      </c>
    </row>
    <row r="404">
      <c r="A404" s="2" t="s">
        <v>420</v>
      </c>
      <c r="B404" s="2">
        <v>100.0</v>
      </c>
      <c r="C404" s="2">
        <v>1183.0</v>
      </c>
      <c r="D404" s="2">
        <v>331.0</v>
      </c>
      <c r="E404" s="3">
        <f t="shared" si="1"/>
        <v>0.3056325023</v>
      </c>
      <c r="F404" s="2">
        <v>180.0</v>
      </c>
      <c r="G404" s="3">
        <f t="shared" si="2"/>
        <v>0.1662049861</v>
      </c>
      <c r="H404" s="2">
        <v>225.0</v>
      </c>
      <c r="I404" s="3">
        <f t="shared" si="3"/>
        <v>0.2077562327</v>
      </c>
      <c r="J404" s="2">
        <v>185.0</v>
      </c>
      <c r="K404" s="3">
        <f t="shared" si="4"/>
        <v>0.1708217913</v>
      </c>
      <c r="L404" s="2">
        <v>144.0</v>
      </c>
      <c r="M404" s="3">
        <f t="shared" si="5"/>
        <v>0.64</v>
      </c>
      <c r="N404" s="2">
        <v>1227800.0</v>
      </c>
      <c r="O404" s="4">
        <f t="shared" si="6"/>
        <v>5456.888889</v>
      </c>
      <c r="P404" s="2">
        <v>0.0</v>
      </c>
      <c r="Q404" s="3">
        <f t="shared" si="7"/>
        <v>0</v>
      </c>
      <c r="R404" s="2">
        <v>98.0</v>
      </c>
      <c r="S404" s="5">
        <f t="shared" si="8"/>
        <v>0.98</v>
      </c>
    </row>
    <row r="405">
      <c r="A405" s="2" t="s">
        <v>421</v>
      </c>
      <c r="B405" s="2">
        <v>63.0</v>
      </c>
      <c r="C405" s="2">
        <v>707.0</v>
      </c>
      <c r="D405" s="2">
        <v>264.0</v>
      </c>
      <c r="E405" s="3">
        <f t="shared" si="1"/>
        <v>0.4099378882</v>
      </c>
      <c r="F405" s="2">
        <v>107.0</v>
      </c>
      <c r="G405" s="3">
        <f t="shared" si="2"/>
        <v>0.1661490683</v>
      </c>
      <c r="H405" s="2">
        <v>156.0</v>
      </c>
      <c r="I405" s="3">
        <f t="shared" si="3"/>
        <v>0.2422360248</v>
      </c>
      <c r="J405" s="2">
        <v>135.0</v>
      </c>
      <c r="K405" s="3">
        <f t="shared" si="4"/>
        <v>0.2096273292</v>
      </c>
      <c r="L405" s="2">
        <v>86.0</v>
      </c>
      <c r="M405" s="3">
        <f t="shared" si="5"/>
        <v>0.5512820513</v>
      </c>
      <c r="N405" s="2">
        <v>896900.0</v>
      </c>
      <c r="O405" s="4">
        <f t="shared" si="6"/>
        <v>5749.358974</v>
      </c>
      <c r="P405" s="2">
        <v>0.0</v>
      </c>
      <c r="Q405" s="3">
        <f t="shared" si="7"/>
        <v>0</v>
      </c>
      <c r="R405" s="2">
        <v>0.0</v>
      </c>
      <c r="S405" s="5">
        <f t="shared" si="8"/>
        <v>0</v>
      </c>
    </row>
    <row r="406">
      <c r="A406" s="2" t="s">
        <v>422</v>
      </c>
      <c r="B406" s="2">
        <v>26.0</v>
      </c>
      <c r="C406" s="2">
        <v>297.0</v>
      </c>
      <c r="D406" s="2">
        <v>122.0</v>
      </c>
      <c r="E406" s="3">
        <f t="shared" si="1"/>
        <v>0.4501845018</v>
      </c>
      <c r="F406" s="2">
        <v>45.0</v>
      </c>
      <c r="G406" s="3">
        <f t="shared" si="2"/>
        <v>0.1660516605</v>
      </c>
      <c r="H406" s="2">
        <v>57.0</v>
      </c>
      <c r="I406" s="3">
        <f t="shared" si="3"/>
        <v>0.2103321033</v>
      </c>
      <c r="J406" s="2">
        <v>44.0</v>
      </c>
      <c r="K406" s="3">
        <f t="shared" si="4"/>
        <v>0.1623616236</v>
      </c>
      <c r="L406" s="2">
        <v>28.0</v>
      </c>
      <c r="M406" s="3">
        <f t="shared" si="5"/>
        <v>0.4912280702</v>
      </c>
      <c r="N406" s="2">
        <v>299100.0</v>
      </c>
      <c r="O406" s="4">
        <f t="shared" si="6"/>
        <v>5247.368421</v>
      </c>
      <c r="P406" s="2">
        <v>0.0</v>
      </c>
      <c r="Q406" s="3">
        <f t="shared" si="7"/>
        <v>0</v>
      </c>
      <c r="R406" s="2">
        <v>26.0</v>
      </c>
      <c r="S406" s="5">
        <f t="shared" si="8"/>
        <v>1</v>
      </c>
    </row>
    <row r="407">
      <c r="A407" s="2" t="s">
        <v>423</v>
      </c>
      <c r="B407" s="2">
        <v>338.0</v>
      </c>
      <c r="C407" s="2">
        <v>3940.0</v>
      </c>
      <c r="D407" s="2">
        <v>1011.0</v>
      </c>
      <c r="E407" s="3">
        <f t="shared" si="1"/>
        <v>0.2806774014</v>
      </c>
      <c r="F407" s="2">
        <v>598.0</v>
      </c>
      <c r="G407" s="3">
        <f t="shared" si="2"/>
        <v>0.1660188784</v>
      </c>
      <c r="H407" s="2">
        <v>776.0</v>
      </c>
      <c r="I407" s="3">
        <f t="shared" si="3"/>
        <v>0.215435869</v>
      </c>
      <c r="J407" s="2">
        <v>828.0</v>
      </c>
      <c r="K407" s="3">
        <f t="shared" si="4"/>
        <v>0.2298722932</v>
      </c>
      <c r="L407" s="2">
        <v>437.0</v>
      </c>
      <c r="M407" s="3">
        <f t="shared" si="5"/>
        <v>0.5631443299</v>
      </c>
      <c r="N407" s="2">
        <v>4820200.0</v>
      </c>
      <c r="O407" s="4">
        <f t="shared" si="6"/>
        <v>6211.597938</v>
      </c>
      <c r="P407" s="2">
        <v>0.0</v>
      </c>
      <c r="Q407" s="3">
        <f t="shared" si="7"/>
        <v>0</v>
      </c>
      <c r="R407" s="2">
        <v>338.0</v>
      </c>
      <c r="S407" s="5">
        <f t="shared" si="8"/>
        <v>1</v>
      </c>
    </row>
    <row r="408">
      <c r="A408" s="2" t="s">
        <v>424</v>
      </c>
      <c r="B408" s="2">
        <v>42.0</v>
      </c>
      <c r="C408" s="2">
        <v>488.0</v>
      </c>
      <c r="D408" s="2">
        <v>120.0</v>
      </c>
      <c r="E408" s="3">
        <f t="shared" si="1"/>
        <v>0.269058296</v>
      </c>
      <c r="F408" s="2">
        <v>74.0</v>
      </c>
      <c r="G408" s="3">
        <f t="shared" si="2"/>
        <v>0.1659192825</v>
      </c>
      <c r="H408" s="2">
        <v>88.0</v>
      </c>
      <c r="I408" s="3">
        <f t="shared" si="3"/>
        <v>0.197309417</v>
      </c>
      <c r="J408" s="2">
        <v>108.0</v>
      </c>
      <c r="K408" s="3">
        <f t="shared" si="4"/>
        <v>0.2421524664</v>
      </c>
      <c r="L408" s="2">
        <v>51.0</v>
      </c>
      <c r="M408" s="3">
        <f t="shared" si="5"/>
        <v>0.5795454545</v>
      </c>
      <c r="N408" s="2">
        <v>544300.0</v>
      </c>
      <c r="O408" s="4">
        <f t="shared" si="6"/>
        <v>6185.227273</v>
      </c>
      <c r="P408" s="2">
        <v>0.0</v>
      </c>
      <c r="Q408" s="3">
        <f t="shared" si="7"/>
        <v>0</v>
      </c>
      <c r="R408" s="2">
        <v>42.0</v>
      </c>
      <c r="S408" s="5">
        <f t="shared" si="8"/>
        <v>1</v>
      </c>
    </row>
    <row r="409">
      <c r="A409" s="2" t="s">
        <v>425</v>
      </c>
      <c r="B409" s="2">
        <v>73.0</v>
      </c>
      <c r="C409" s="2">
        <v>863.0</v>
      </c>
      <c r="D409" s="2">
        <v>292.0</v>
      </c>
      <c r="E409" s="3">
        <f t="shared" si="1"/>
        <v>0.3696202532</v>
      </c>
      <c r="F409" s="2">
        <v>131.0</v>
      </c>
      <c r="G409" s="3">
        <f t="shared" si="2"/>
        <v>0.1658227848</v>
      </c>
      <c r="H409" s="2">
        <v>160.0</v>
      </c>
      <c r="I409" s="3">
        <f t="shared" si="3"/>
        <v>0.2025316456</v>
      </c>
      <c r="J409" s="2">
        <v>140.0</v>
      </c>
      <c r="K409" s="3">
        <f t="shared" si="4"/>
        <v>0.1772151899</v>
      </c>
      <c r="L409" s="2">
        <v>92.0</v>
      </c>
      <c r="M409" s="3">
        <f t="shared" si="5"/>
        <v>0.575</v>
      </c>
      <c r="N409" s="2">
        <v>783800.0</v>
      </c>
      <c r="O409" s="4">
        <f t="shared" si="6"/>
        <v>4898.75</v>
      </c>
      <c r="P409" s="2">
        <v>0.0</v>
      </c>
      <c r="Q409" s="3">
        <f t="shared" si="7"/>
        <v>0</v>
      </c>
      <c r="R409" s="2">
        <v>73.0</v>
      </c>
      <c r="S409" s="5">
        <f t="shared" si="8"/>
        <v>1</v>
      </c>
    </row>
    <row r="410">
      <c r="A410" s="2" t="s">
        <v>426</v>
      </c>
      <c r="B410" s="2">
        <v>189.0</v>
      </c>
      <c r="C410" s="2">
        <v>2161.0</v>
      </c>
      <c r="D410" s="2">
        <v>690.0</v>
      </c>
      <c r="E410" s="3">
        <f t="shared" si="1"/>
        <v>0.3498985801</v>
      </c>
      <c r="F410" s="2">
        <v>327.0</v>
      </c>
      <c r="G410" s="3">
        <f t="shared" si="2"/>
        <v>0.165821501</v>
      </c>
      <c r="H410" s="2">
        <v>452.0</v>
      </c>
      <c r="I410" s="3">
        <f t="shared" si="3"/>
        <v>0.2292089249</v>
      </c>
      <c r="J410" s="2">
        <v>384.0</v>
      </c>
      <c r="K410" s="3">
        <f t="shared" si="4"/>
        <v>0.1947261663</v>
      </c>
      <c r="L410" s="2">
        <v>259.0</v>
      </c>
      <c r="M410" s="3">
        <f t="shared" si="5"/>
        <v>0.5730088496</v>
      </c>
      <c r="N410" s="2">
        <v>2568300.0</v>
      </c>
      <c r="O410" s="4">
        <f t="shared" si="6"/>
        <v>5682.079646</v>
      </c>
      <c r="P410" s="2">
        <v>0.0</v>
      </c>
      <c r="Q410" s="3">
        <f t="shared" si="7"/>
        <v>0</v>
      </c>
      <c r="R410" s="2">
        <v>189.0</v>
      </c>
      <c r="S410" s="5">
        <f t="shared" si="8"/>
        <v>1</v>
      </c>
    </row>
    <row r="411">
      <c r="A411" s="2" t="s">
        <v>427</v>
      </c>
      <c r="B411" s="2">
        <v>55.0</v>
      </c>
      <c r="C411" s="2">
        <v>634.0</v>
      </c>
      <c r="D411" s="2">
        <v>222.0</v>
      </c>
      <c r="E411" s="3">
        <f t="shared" si="1"/>
        <v>0.3834196891</v>
      </c>
      <c r="F411" s="2">
        <v>96.0</v>
      </c>
      <c r="G411" s="3">
        <f t="shared" si="2"/>
        <v>0.1658031088</v>
      </c>
      <c r="H411" s="2">
        <v>112.0</v>
      </c>
      <c r="I411" s="3">
        <f t="shared" si="3"/>
        <v>0.1934369603</v>
      </c>
      <c r="J411" s="2">
        <v>103.0</v>
      </c>
      <c r="K411" s="3">
        <f t="shared" si="4"/>
        <v>0.1778929188</v>
      </c>
      <c r="L411" s="2">
        <v>63.0</v>
      </c>
      <c r="M411" s="3">
        <f t="shared" si="5"/>
        <v>0.5625</v>
      </c>
      <c r="N411" s="2">
        <v>632200.0</v>
      </c>
      <c r="O411" s="4">
        <f t="shared" si="6"/>
        <v>5644.642857</v>
      </c>
      <c r="P411" s="2">
        <v>0.0</v>
      </c>
      <c r="Q411" s="3">
        <f t="shared" si="7"/>
        <v>0</v>
      </c>
      <c r="R411" s="2">
        <v>55.0</v>
      </c>
      <c r="S411" s="5">
        <f t="shared" si="8"/>
        <v>1</v>
      </c>
    </row>
    <row r="412">
      <c r="A412" s="2" t="s">
        <v>428</v>
      </c>
      <c r="B412" s="2">
        <v>142.0</v>
      </c>
      <c r="C412" s="2">
        <v>1668.0</v>
      </c>
      <c r="D412" s="2">
        <v>448.0</v>
      </c>
      <c r="E412" s="3">
        <f t="shared" si="1"/>
        <v>0.2935779817</v>
      </c>
      <c r="F412" s="2">
        <v>253.0</v>
      </c>
      <c r="G412" s="3">
        <f t="shared" si="2"/>
        <v>0.1657929227</v>
      </c>
      <c r="H412" s="2">
        <v>270.0</v>
      </c>
      <c r="I412" s="3">
        <f t="shared" si="3"/>
        <v>0.1769331586</v>
      </c>
      <c r="J412" s="2">
        <v>299.0</v>
      </c>
      <c r="K412" s="3">
        <f t="shared" si="4"/>
        <v>0.1959370904</v>
      </c>
      <c r="L412" s="2">
        <v>150.0</v>
      </c>
      <c r="M412" s="3">
        <f t="shared" si="5"/>
        <v>0.5555555556</v>
      </c>
      <c r="N412" s="2">
        <v>1741900.0</v>
      </c>
      <c r="O412" s="4">
        <f t="shared" si="6"/>
        <v>6451.481481</v>
      </c>
      <c r="P412" s="2">
        <v>0.0</v>
      </c>
      <c r="Q412" s="3">
        <f t="shared" si="7"/>
        <v>0</v>
      </c>
      <c r="R412" s="2">
        <v>142.0</v>
      </c>
      <c r="S412" s="5">
        <f t="shared" si="8"/>
        <v>1</v>
      </c>
    </row>
    <row r="413">
      <c r="A413" s="2" t="s">
        <v>429</v>
      </c>
      <c r="B413" s="2">
        <v>549.0</v>
      </c>
      <c r="C413" s="2">
        <v>6401.0</v>
      </c>
      <c r="D413" s="2">
        <v>2427.0</v>
      </c>
      <c r="E413" s="3">
        <f t="shared" si="1"/>
        <v>0.4147300068</v>
      </c>
      <c r="F413" s="2">
        <v>970.0</v>
      </c>
      <c r="G413" s="3">
        <f t="shared" si="2"/>
        <v>0.1657552973</v>
      </c>
      <c r="H413" s="2">
        <v>1334.0</v>
      </c>
      <c r="I413" s="3">
        <f t="shared" si="3"/>
        <v>0.2279562543</v>
      </c>
      <c r="J413" s="2">
        <v>1040.0</v>
      </c>
      <c r="K413" s="3">
        <f t="shared" si="4"/>
        <v>0.1777170198</v>
      </c>
      <c r="L413" s="2">
        <v>795.0</v>
      </c>
      <c r="M413" s="3">
        <f t="shared" si="5"/>
        <v>0.595952024</v>
      </c>
      <c r="N413" s="2">
        <v>7278200.0</v>
      </c>
      <c r="O413" s="4">
        <f t="shared" si="6"/>
        <v>5455.922039</v>
      </c>
      <c r="P413" s="2">
        <v>5.0</v>
      </c>
      <c r="Q413" s="3">
        <f t="shared" si="7"/>
        <v>0.009107468124</v>
      </c>
      <c r="R413" s="2">
        <v>549.0</v>
      </c>
      <c r="S413" s="5">
        <f t="shared" si="8"/>
        <v>1</v>
      </c>
    </row>
    <row r="414">
      <c r="A414" s="2" t="s">
        <v>430</v>
      </c>
      <c r="B414" s="2">
        <v>17.0</v>
      </c>
      <c r="C414" s="2">
        <v>198.0</v>
      </c>
      <c r="D414" s="2">
        <v>65.0</v>
      </c>
      <c r="E414" s="3">
        <f t="shared" si="1"/>
        <v>0.3591160221</v>
      </c>
      <c r="F414" s="2">
        <v>30.0</v>
      </c>
      <c r="G414" s="3">
        <f t="shared" si="2"/>
        <v>0.1657458564</v>
      </c>
      <c r="H414" s="2">
        <v>27.0</v>
      </c>
      <c r="I414" s="3">
        <f t="shared" si="3"/>
        <v>0.1491712707</v>
      </c>
      <c r="J414" s="2">
        <v>27.0</v>
      </c>
      <c r="K414" s="3">
        <f t="shared" si="4"/>
        <v>0.1491712707</v>
      </c>
      <c r="L414" s="2">
        <v>17.0</v>
      </c>
      <c r="M414" s="3">
        <f t="shared" si="5"/>
        <v>0.6296296296</v>
      </c>
      <c r="N414" s="2">
        <v>115100.0</v>
      </c>
      <c r="O414" s="4">
        <f t="shared" si="6"/>
        <v>4262.962963</v>
      </c>
      <c r="P414" s="2">
        <v>0.0</v>
      </c>
      <c r="Q414" s="3">
        <f t="shared" si="7"/>
        <v>0</v>
      </c>
      <c r="R414" s="2">
        <v>17.0</v>
      </c>
      <c r="S414" s="5">
        <f t="shared" si="8"/>
        <v>1</v>
      </c>
    </row>
    <row r="415">
      <c r="A415" s="2" t="s">
        <v>431</v>
      </c>
      <c r="B415" s="2">
        <v>163.0</v>
      </c>
      <c r="C415" s="2">
        <v>1931.0</v>
      </c>
      <c r="D415" s="2">
        <v>700.0</v>
      </c>
      <c r="E415" s="3">
        <f t="shared" si="1"/>
        <v>0.3959276018</v>
      </c>
      <c r="F415" s="2">
        <v>293.0</v>
      </c>
      <c r="G415" s="3">
        <f t="shared" si="2"/>
        <v>0.1657239819</v>
      </c>
      <c r="H415" s="2">
        <v>398.0</v>
      </c>
      <c r="I415" s="3">
        <f t="shared" si="3"/>
        <v>0.2251131222</v>
      </c>
      <c r="J415" s="2">
        <v>238.0</v>
      </c>
      <c r="K415" s="3">
        <f t="shared" si="4"/>
        <v>0.1346153846</v>
      </c>
      <c r="L415" s="2">
        <v>224.0</v>
      </c>
      <c r="M415" s="3">
        <f t="shared" si="5"/>
        <v>0.5628140704</v>
      </c>
      <c r="N415" s="2">
        <v>2105700.0</v>
      </c>
      <c r="O415" s="4">
        <f t="shared" si="6"/>
        <v>5290.703518</v>
      </c>
      <c r="P415" s="2">
        <v>0.0</v>
      </c>
      <c r="Q415" s="3">
        <f t="shared" si="7"/>
        <v>0</v>
      </c>
      <c r="R415" s="2">
        <v>163.0</v>
      </c>
      <c r="S415" s="5">
        <f t="shared" si="8"/>
        <v>1</v>
      </c>
    </row>
    <row r="416">
      <c r="A416" s="2" t="s">
        <v>432</v>
      </c>
      <c r="B416" s="2">
        <v>285.0</v>
      </c>
      <c r="C416" s="2">
        <v>3280.0</v>
      </c>
      <c r="D416" s="2">
        <v>1194.0</v>
      </c>
      <c r="E416" s="3">
        <f t="shared" si="1"/>
        <v>0.3986644407</v>
      </c>
      <c r="F416" s="2">
        <v>496.0</v>
      </c>
      <c r="G416" s="3">
        <f t="shared" si="2"/>
        <v>0.1656093489</v>
      </c>
      <c r="H416" s="2">
        <v>709.0</v>
      </c>
      <c r="I416" s="3">
        <f t="shared" si="3"/>
        <v>0.2367278798</v>
      </c>
      <c r="J416" s="2">
        <v>592.0</v>
      </c>
      <c r="K416" s="3">
        <f t="shared" si="4"/>
        <v>0.1976627713</v>
      </c>
      <c r="L416" s="2">
        <v>412.0</v>
      </c>
      <c r="M416" s="3">
        <f t="shared" si="5"/>
        <v>0.581100141</v>
      </c>
      <c r="N416" s="2">
        <v>3796300.0</v>
      </c>
      <c r="O416" s="4">
        <f t="shared" si="6"/>
        <v>5354.442877</v>
      </c>
      <c r="P416" s="2">
        <v>0.0</v>
      </c>
      <c r="Q416" s="3">
        <f t="shared" si="7"/>
        <v>0</v>
      </c>
      <c r="R416" s="2">
        <v>285.0</v>
      </c>
      <c r="S416" s="5">
        <f t="shared" si="8"/>
        <v>1</v>
      </c>
    </row>
    <row r="417">
      <c r="A417" s="2" t="s">
        <v>433</v>
      </c>
      <c r="B417" s="2">
        <v>42.0</v>
      </c>
      <c r="C417" s="2">
        <v>501.0</v>
      </c>
      <c r="D417" s="2">
        <v>161.0</v>
      </c>
      <c r="E417" s="3">
        <f t="shared" si="1"/>
        <v>0.3507625272</v>
      </c>
      <c r="F417" s="2">
        <v>76.0</v>
      </c>
      <c r="G417" s="3">
        <f t="shared" si="2"/>
        <v>0.165577342</v>
      </c>
      <c r="H417" s="2">
        <v>80.0</v>
      </c>
      <c r="I417" s="3">
        <f t="shared" si="3"/>
        <v>0.174291939</v>
      </c>
      <c r="J417" s="2">
        <v>85.0</v>
      </c>
      <c r="K417" s="3">
        <f t="shared" si="4"/>
        <v>0.1851851852</v>
      </c>
      <c r="L417" s="2">
        <v>45.0</v>
      </c>
      <c r="M417" s="3">
        <f t="shared" si="5"/>
        <v>0.5625</v>
      </c>
      <c r="N417" s="2">
        <v>456000.0</v>
      </c>
      <c r="O417" s="4">
        <f t="shared" si="6"/>
        <v>5700</v>
      </c>
      <c r="P417" s="2">
        <v>0.0</v>
      </c>
      <c r="Q417" s="3">
        <f t="shared" si="7"/>
        <v>0</v>
      </c>
      <c r="R417" s="2">
        <v>42.0</v>
      </c>
      <c r="S417" s="5">
        <f t="shared" si="8"/>
        <v>1</v>
      </c>
    </row>
    <row r="418">
      <c r="A418" s="2" t="s">
        <v>434</v>
      </c>
      <c r="B418" s="2">
        <v>14.0</v>
      </c>
      <c r="C418" s="2">
        <v>159.0</v>
      </c>
      <c r="D418" s="2">
        <v>38.0</v>
      </c>
      <c r="E418" s="3">
        <f t="shared" si="1"/>
        <v>0.2620689655</v>
      </c>
      <c r="F418" s="2">
        <v>24.0</v>
      </c>
      <c r="G418" s="3">
        <f t="shared" si="2"/>
        <v>0.1655172414</v>
      </c>
      <c r="H418" s="2">
        <v>19.0</v>
      </c>
      <c r="I418" s="3">
        <f t="shared" si="3"/>
        <v>0.1310344828</v>
      </c>
      <c r="J418" s="2">
        <v>23.0</v>
      </c>
      <c r="K418" s="3">
        <f t="shared" si="4"/>
        <v>0.1586206897</v>
      </c>
      <c r="L418" s="2">
        <v>9.0</v>
      </c>
      <c r="M418" s="3">
        <f t="shared" si="5"/>
        <v>0.4736842105</v>
      </c>
      <c r="N418" s="2">
        <v>114100.0</v>
      </c>
      <c r="O418" s="4">
        <f t="shared" si="6"/>
        <v>6005.263158</v>
      </c>
      <c r="P418" s="2">
        <v>0.0</v>
      </c>
      <c r="Q418" s="3">
        <f t="shared" si="7"/>
        <v>0</v>
      </c>
      <c r="R418" s="2">
        <v>14.0</v>
      </c>
      <c r="S418" s="5">
        <f t="shared" si="8"/>
        <v>1</v>
      </c>
    </row>
    <row r="419">
      <c r="A419" s="2" t="s">
        <v>435</v>
      </c>
      <c r="B419" s="2">
        <v>37.0</v>
      </c>
      <c r="C419" s="2">
        <v>442.0</v>
      </c>
      <c r="D419" s="2">
        <v>118.0</v>
      </c>
      <c r="E419" s="3">
        <f t="shared" si="1"/>
        <v>0.2913580247</v>
      </c>
      <c r="F419" s="2">
        <v>67.0</v>
      </c>
      <c r="G419" s="3">
        <f t="shared" si="2"/>
        <v>0.1654320988</v>
      </c>
      <c r="H419" s="2">
        <v>91.0</v>
      </c>
      <c r="I419" s="3">
        <f t="shared" si="3"/>
        <v>0.224691358</v>
      </c>
      <c r="J419" s="2">
        <v>89.0</v>
      </c>
      <c r="K419" s="3">
        <f t="shared" si="4"/>
        <v>0.2197530864</v>
      </c>
      <c r="L419" s="2">
        <v>55.0</v>
      </c>
      <c r="M419" s="3">
        <f t="shared" si="5"/>
        <v>0.6043956044</v>
      </c>
      <c r="N419" s="2">
        <v>444700.0</v>
      </c>
      <c r="O419" s="4">
        <f t="shared" si="6"/>
        <v>4886.813187</v>
      </c>
      <c r="P419" s="2">
        <v>0.0</v>
      </c>
      <c r="Q419" s="3">
        <f t="shared" si="7"/>
        <v>0</v>
      </c>
      <c r="R419" s="2">
        <v>37.0</v>
      </c>
      <c r="S419" s="5">
        <f t="shared" si="8"/>
        <v>1</v>
      </c>
    </row>
    <row r="420">
      <c r="A420" s="2" t="s">
        <v>436</v>
      </c>
      <c r="B420" s="2">
        <v>48.0</v>
      </c>
      <c r="C420" s="2">
        <v>580.0</v>
      </c>
      <c r="D420" s="2">
        <v>177.0</v>
      </c>
      <c r="E420" s="3">
        <f t="shared" si="1"/>
        <v>0.3327067669</v>
      </c>
      <c r="F420" s="2">
        <v>88.0</v>
      </c>
      <c r="G420" s="3">
        <f t="shared" si="2"/>
        <v>0.1654135338</v>
      </c>
      <c r="H420" s="2">
        <v>111.0</v>
      </c>
      <c r="I420" s="3">
        <f t="shared" si="3"/>
        <v>0.2086466165</v>
      </c>
      <c r="J420" s="2">
        <v>99.0</v>
      </c>
      <c r="K420" s="3">
        <f t="shared" si="4"/>
        <v>0.1860902256</v>
      </c>
      <c r="L420" s="2">
        <v>72.0</v>
      </c>
      <c r="M420" s="3">
        <f t="shared" si="5"/>
        <v>0.6486486486</v>
      </c>
      <c r="N420" s="2">
        <v>637200.0</v>
      </c>
      <c r="O420" s="4">
        <f t="shared" si="6"/>
        <v>5740.540541</v>
      </c>
      <c r="P420" s="2">
        <v>1.0</v>
      </c>
      <c r="Q420" s="3">
        <f t="shared" si="7"/>
        <v>0.02083333333</v>
      </c>
      <c r="R420" s="2">
        <v>48.0</v>
      </c>
      <c r="S420" s="5">
        <f t="shared" si="8"/>
        <v>1</v>
      </c>
    </row>
    <row r="421">
      <c r="A421" s="2" t="s">
        <v>437</v>
      </c>
      <c r="B421" s="2">
        <v>284.0</v>
      </c>
      <c r="C421" s="2">
        <v>3344.0</v>
      </c>
      <c r="D421" s="2">
        <v>1180.0</v>
      </c>
      <c r="E421" s="3">
        <f t="shared" si="1"/>
        <v>0.385620915</v>
      </c>
      <c r="F421" s="2">
        <v>506.0</v>
      </c>
      <c r="G421" s="3">
        <f t="shared" si="2"/>
        <v>0.1653594771</v>
      </c>
      <c r="H421" s="2">
        <v>699.0</v>
      </c>
      <c r="I421" s="3">
        <f t="shared" si="3"/>
        <v>0.2284313725</v>
      </c>
      <c r="J421" s="2">
        <v>655.0</v>
      </c>
      <c r="K421" s="3">
        <f t="shared" si="4"/>
        <v>0.2140522876</v>
      </c>
      <c r="L421" s="2">
        <v>412.0</v>
      </c>
      <c r="M421" s="3">
        <f t="shared" si="5"/>
        <v>0.5894134478</v>
      </c>
      <c r="N421" s="2">
        <v>4100000.0</v>
      </c>
      <c r="O421" s="4">
        <f t="shared" si="6"/>
        <v>5865.522175</v>
      </c>
      <c r="P421" s="2">
        <v>0.0</v>
      </c>
      <c r="Q421" s="3">
        <f t="shared" si="7"/>
        <v>0</v>
      </c>
      <c r="R421" s="2">
        <v>284.0</v>
      </c>
      <c r="S421" s="5">
        <f t="shared" si="8"/>
        <v>1</v>
      </c>
    </row>
    <row r="422">
      <c r="A422" s="2" t="s">
        <v>438</v>
      </c>
      <c r="B422" s="2">
        <v>13.0</v>
      </c>
      <c r="C422" s="2">
        <v>140.0</v>
      </c>
      <c r="D422" s="2">
        <v>53.0</v>
      </c>
      <c r="E422" s="3">
        <f t="shared" si="1"/>
        <v>0.4173228346</v>
      </c>
      <c r="F422" s="2">
        <v>21.0</v>
      </c>
      <c r="G422" s="3">
        <f t="shared" si="2"/>
        <v>0.1653543307</v>
      </c>
      <c r="H422" s="2">
        <v>30.0</v>
      </c>
      <c r="I422" s="3">
        <f t="shared" si="3"/>
        <v>0.2362204724</v>
      </c>
      <c r="J422" s="2">
        <v>20.0</v>
      </c>
      <c r="K422" s="3">
        <f t="shared" si="4"/>
        <v>0.157480315</v>
      </c>
      <c r="L422" s="2">
        <v>20.0</v>
      </c>
      <c r="M422" s="3">
        <f t="shared" si="5"/>
        <v>0.6666666667</v>
      </c>
      <c r="N422" s="2">
        <v>152000.0</v>
      </c>
      <c r="O422" s="4">
        <f t="shared" si="6"/>
        <v>5066.666667</v>
      </c>
      <c r="P422" s="2">
        <v>0.0</v>
      </c>
      <c r="Q422" s="3">
        <f t="shared" si="7"/>
        <v>0</v>
      </c>
      <c r="R422" s="2">
        <v>13.0</v>
      </c>
      <c r="S422" s="5">
        <f t="shared" si="8"/>
        <v>1</v>
      </c>
    </row>
    <row r="423">
      <c r="A423" s="2" t="s">
        <v>439</v>
      </c>
      <c r="B423" s="2">
        <v>85.0</v>
      </c>
      <c r="C423" s="2">
        <v>968.0</v>
      </c>
      <c r="D423" s="2">
        <v>258.0</v>
      </c>
      <c r="E423" s="3">
        <f t="shared" si="1"/>
        <v>0.2921857305</v>
      </c>
      <c r="F423" s="2">
        <v>146.0</v>
      </c>
      <c r="G423" s="3">
        <f t="shared" si="2"/>
        <v>0.1653454134</v>
      </c>
      <c r="H423" s="2">
        <v>166.0</v>
      </c>
      <c r="I423" s="3">
        <f t="shared" si="3"/>
        <v>0.18799547</v>
      </c>
      <c r="J423" s="2">
        <v>160.0</v>
      </c>
      <c r="K423" s="3">
        <f t="shared" si="4"/>
        <v>0.181200453</v>
      </c>
      <c r="L423" s="2">
        <v>105.0</v>
      </c>
      <c r="M423" s="3">
        <f t="shared" si="5"/>
        <v>0.6325301205</v>
      </c>
      <c r="N423" s="2">
        <v>890600.0</v>
      </c>
      <c r="O423" s="4">
        <f t="shared" si="6"/>
        <v>5365.060241</v>
      </c>
      <c r="P423" s="2">
        <v>0.0</v>
      </c>
      <c r="Q423" s="3">
        <f t="shared" si="7"/>
        <v>0</v>
      </c>
      <c r="R423" s="2">
        <v>85.0</v>
      </c>
      <c r="S423" s="5">
        <f t="shared" si="8"/>
        <v>1</v>
      </c>
    </row>
    <row r="424">
      <c r="A424" s="2" t="s">
        <v>440</v>
      </c>
      <c r="B424" s="2">
        <v>146.0</v>
      </c>
      <c r="C424" s="2">
        <v>1646.0</v>
      </c>
      <c r="D424" s="2">
        <v>612.0</v>
      </c>
      <c r="E424" s="3">
        <f t="shared" si="1"/>
        <v>0.408</v>
      </c>
      <c r="F424" s="2">
        <v>248.0</v>
      </c>
      <c r="G424" s="3">
        <f t="shared" si="2"/>
        <v>0.1653333333</v>
      </c>
      <c r="H424" s="2">
        <v>348.0</v>
      </c>
      <c r="I424" s="3">
        <f t="shared" si="3"/>
        <v>0.232</v>
      </c>
      <c r="J424" s="2">
        <v>232.0</v>
      </c>
      <c r="K424" s="3">
        <f t="shared" si="4"/>
        <v>0.1546666667</v>
      </c>
      <c r="L424" s="2">
        <v>222.0</v>
      </c>
      <c r="M424" s="3">
        <f t="shared" si="5"/>
        <v>0.6379310345</v>
      </c>
      <c r="N424" s="2">
        <v>2040500.0</v>
      </c>
      <c r="O424" s="4">
        <f t="shared" si="6"/>
        <v>5863.505747</v>
      </c>
      <c r="P424" s="2">
        <v>1.0</v>
      </c>
      <c r="Q424" s="3">
        <f t="shared" si="7"/>
        <v>0.006849315068</v>
      </c>
      <c r="R424" s="2">
        <v>146.0</v>
      </c>
      <c r="S424" s="5">
        <f t="shared" si="8"/>
        <v>1</v>
      </c>
    </row>
    <row r="425">
      <c r="A425" s="2" t="s">
        <v>441</v>
      </c>
      <c r="B425" s="2">
        <v>119.0</v>
      </c>
      <c r="C425" s="2">
        <v>1414.0</v>
      </c>
      <c r="D425" s="2">
        <v>480.0</v>
      </c>
      <c r="E425" s="3">
        <f t="shared" si="1"/>
        <v>0.3706563707</v>
      </c>
      <c r="F425" s="2">
        <v>214.0</v>
      </c>
      <c r="G425" s="3">
        <f t="shared" si="2"/>
        <v>0.1652509653</v>
      </c>
      <c r="H425" s="2">
        <v>275.0</v>
      </c>
      <c r="I425" s="3">
        <f t="shared" si="3"/>
        <v>0.2123552124</v>
      </c>
      <c r="J425" s="2">
        <v>252.0</v>
      </c>
      <c r="K425" s="3">
        <f t="shared" si="4"/>
        <v>0.1945945946</v>
      </c>
      <c r="L425" s="2">
        <v>168.0</v>
      </c>
      <c r="M425" s="3">
        <f t="shared" si="5"/>
        <v>0.6109090909</v>
      </c>
      <c r="N425" s="2">
        <v>1534000.0</v>
      </c>
      <c r="O425" s="4">
        <f t="shared" si="6"/>
        <v>5578.181818</v>
      </c>
      <c r="P425" s="2">
        <v>0.0</v>
      </c>
      <c r="Q425" s="3">
        <f t="shared" si="7"/>
        <v>0</v>
      </c>
      <c r="R425" s="2">
        <v>119.0</v>
      </c>
      <c r="S425" s="5">
        <f t="shared" si="8"/>
        <v>1</v>
      </c>
    </row>
    <row r="426">
      <c r="A426" s="2" t="s">
        <v>442</v>
      </c>
      <c r="B426" s="2">
        <v>44.0</v>
      </c>
      <c r="C426" s="2">
        <v>504.0</v>
      </c>
      <c r="D426" s="2">
        <v>174.0</v>
      </c>
      <c r="E426" s="3">
        <f t="shared" si="1"/>
        <v>0.3782608696</v>
      </c>
      <c r="F426" s="2">
        <v>76.0</v>
      </c>
      <c r="G426" s="3">
        <f t="shared" si="2"/>
        <v>0.1652173913</v>
      </c>
      <c r="H426" s="2">
        <v>86.0</v>
      </c>
      <c r="I426" s="3">
        <f t="shared" si="3"/>
        <v>0.1869565217</v>
      </c>
      <c r="J426" s="2">
        <v>69.0</v>
      </c>
      <c r="K426" s="3">
        <f t="shared" si="4"/>
        <v>0.15</v>
      </c>
      <c r="L426" s="2">
        <v>56.0</v>
      </c>
      <c r="M426" s="3">
        <f t="shared" si="5"/>
        <v>0.6511627907</v>
      </c>
      <c r="N426" s="2">
        <v>479300.0</v>
      </c>
      <c r="O426" s="4">
        <f t="shared" si="6"/>
        <v>5573.255814</v>
      </c>
      <c r="P426" s="2">
        <v>0.0</v>
      </c>
      <c r="Q426" s="3">
        <f t="shared" si="7"/>
        <v>0</v>
      </c>
      <c r="R426" s="2">
        <v>0.0</v>
      </c>
      <c r="S426" s="5">
        <f t="shared" si="8"/>
        <v>0</v>
      </c>
    </row>
    <row r="427">
      <c r="A427" s="2" t="s">
        <v>443</v>
      </c>
      <c r="B427" s="2">
        <v>137.0</v>
      </c>
      <c r="C427" s="2">
        <v>1566.0</v>
      </c>
      <c r="D427" s="2">
        <v>511.0</v>
      </c>
      <c r="E427" s="3">
        <f t="shared" si="1"/>
        <v>0.3575927222</v>
      </c>
      <c r="F427" s="2">
        <v>236.0</v>
      </c>
      <c r="G427" s="3">
        <f t="shared" si="2"/>
        <v>0.1651504549</v>
      </c>
      <c r="H427" s="2">
        <v>309.0</v>
      </c>
      <c r="I427" s="3">
        <f t="shared" si="3"/>
        <v>0.2162351295</v>
      </c>
      <c r="J427" s="2">
        <v>233.0</v>
      </c>
      <c r="K427" s="3">
        <f t="shared" si="4"/>
        <v>0.1630510847</v>
      </c>
      <c r="L427" s="2">
        <v>177.0</v>
      </c>
      <c r="M427" s="3">
        <f t="shared" si="5"/>
        <v>0.572815534</v>
      </c>
      <c r="N427" s="2">
        <v>1671000.0</v>
      </c>
      <c r="O427" s="4">
        <f t="shared" si="6"/>
        <v>5407.76699</v>
      </c>
      <c r="P427" s="2">
        <v>1.0</v>
      </c>
      <c r="Q427" s="3">
        <f t="shared" si="7"/>
        <v>0.007299270073</v>
      </c>
      <c r="R427" s="2">
        <v>137.0</v>
      </c>
      <c r="S427" s="5">
        <f t="shared" si="8"/>
        <v>1</v>
      </c>
    </row>
    <row r="428">
      <c r="A428" s="2" t="s">
        <v>444</v>
      </c>
      <c r="B428" s="2">
        <v>59.0</v>
      </c>
      <c r="C428" s="2">
        <v>695.0</v>
      </c>
      <c r="D428" s="2">
        <v>235.0</v>
      </c>
      <c r="E428" s="3">
        <f t="shared" si="1"/>
        <v>0.3694968553</v>
      </c>
      <c r="F428" s="2">
        <v>105.0</v>
      </c>
      <c r="G428" s="3">
        <f t="shared" si="2"/>
        <v>0.1650943396</v>
      </c>
      <c r="H428" s="2">
        <v>138.0</v>
      </c>
      <c r="I428" s="3">
        <f t="shared" si="3"/>
        <v>0.2169811321</v>
      </c>
      <c r="J428" s="2">
        <v>130.0</v>
      </c>
      <c r="K428" s="3">
        <f t="shared" si="4"/>
        <v>0.2044025157</v>
      </c>
      <c r="L428" s="2">
        <v>70.0</v>
      </c>
      <c r="M428" s="3">
        <f t="shared" si="5"/>
        <v>0.5072463768</v>
      </c>
      <c r="N428" s="2">
        <v>707000.0</v>
      </c>
      <c r="O428" s="4">
        <f t="shared" si="6"/>
        <v>5123.188406</v>
      </c>
      <c r="P428" s="2">
        <v>0.0</v>
      </c>
      <c r="Q428" s="3">
        <f t="shared" si="7"/>
        <v>0</v>
      </c>
      <c r="R428" s="2">
        <v>59.0</v>
      </c>
      <c r="S428" s="5">
        <f t="shared" si="8"/>
        <v>1</v>
      </c>
    </row>
    <row r="429">
      <c r="A429" s="2" t="s">
        <v>445</v>
      </c>
      <c r="B429" s="2">
        <v>47.0</v>
      </c>
      <c r="C429" s="2">
        <v>574.0</v>
      </c>
      <c r="D429" s="2">
        <v>204.0</v>
      </c>
      <c r="E429" s="3">
        <f t="shared" si="1"/>
        <v>0.3870967742</v>
      </c>
      <c r="F429" s="2">
        <v>87.0</v>
      </c>
      <c r="G429" s="3">
        <f t="shared" si="2"/>
        <v>0.165085389</v>
      </c>
      <c r="H429" s="2">
        <v>121.0</v>
      </c>
      <c r="I429" s="3">
        <f t="shared" si="3"/>
        <v>0.229601518</v>
      </c>
      <c r="J429" s="2">
        <v>81.0</v>
      </c>
      <c r="K429" s="3">
        <f t="shared" si="4"/>
        <v>0.1537001898</v>
      </c>
      <c r="L429" s="2">
        <v>64.0</v>
      </c>
      <c r="M429" s="3">
        <f t="shared" si="5"/>
        <v>0.5289256198</v>
      </c>
      <c r="N429" s="2">
        <v>670600.0</v>
      </c>
      <c r="O429" s="4">
        <f t="shared" si="6"/>
        <v>5542.14876</v>
      </c>
      <c r="P429" s="2">
        <v>0.0</v>
      </c>
      <c r="Q429" s="3">
        <f t="shared" si="7"/>
        <v>0</v>
      </c>
      <c r="R429" s="2">
        <v>47.0</v>
      </c>
      <c r="S429" s="5">
        <f t="shared" si="8"/>
        <v>1</v>
      </c>
    </row>
    <row r="430">
      <c r="A430" s="2" t="s">
        <v>446</v>
      </c>
      <c r="B430" s="2">
        <v>31.0</v>
      </c>
      <c r="C430" s="2">
        <v>346.0</v>
      </c>
      <c r="D430" s="2">
        <v>83.0</v>
      </c>
      <c r="E430" s="3">
        <f t="shared" si="1"/>
        <v>0.2634920635</v>
      </c>
      <c r="F430" s="2">
        <v>52.0</v>
      </c>
      <c r="G430" s="3">
        <f t="shared" si="2"/>
        <v>0.1650793651</v>
      </c>
      <c r="H430" s="2">
        <v>55.0</v>
      </c>
      <c r="I430" s="3">
        <f t="shared" si="3"/>
        <v>0.1746031746</v>
      </c>
      <c r="J430" s="2">
        <v>68.0</v>
      </c>
      <c r="K430" s="3">
        <f t="shared" si="4"/>
        <v>0.2158730159</v>
      </c>
      <c r="L430" s="2">
        <v>34.0</v>
      </c>
      <c r="M430" s="3">
        <f t="shared" si="5"/>
        <v>0.6181818182</v>
      </c>
      <c r="N430" s="2">
        <v>244900.0</v>
      </c>
      <c r="O430" s="4">
        <f t="shared" si="6"/>
        <v>4452.727273</v>
      </c>
      <c r="P430" s="2">
        <v>0.0</v>
      </c>
      <c r="Q430" s="3">
        <f t="shared" si="7"/>
        <v>0</v>
      </c>
      <c r="R430" s="2">
        <v>31.0</v>
      </c>
      <c r="S430" s="5">
        <f t="shared" si="8"/>
        <v>1</v>
      </c>
    </row>
    <row r="431">
      <c r="A431" s="2" t="s">
        <v>447</v>
      </c>
      <c r="B431" s="2">
        <v>339.0</v>
      </c>
      <c r="C431" s="2">
        <v>3951.0</v>
      </c>
      <c r="D431" s="2">
        <v>1106.0</v>
      </c>
      <c r="E431" s="3">
        <f t="shared" si="1"/>
        <v>0.3062015504</v>
      </c>
      <c r="F431" s="2">
        <v>596.0</v>
      </c>
      <c r="G431" s="3">
        <f t="shared" si="2"/>
        <v>0.1650055371</v>
      </c>
      <c r="H431" s="2">
        <v>788.0</v>
      </c>
      <c r="I431" s="3">
        <f t="shared" si="3"/>
        <v>0.2181616833</v>
      </c>
      <c r="J431" s="2">
        <v>681.0</v>
      </c>
      <c r="K431" s="3">
        <f t="shared" si="4"/>
        <v>0.188538206</v>
      </c>
      <c r="L431" s="2">
        <v>452.0</v>
      </c>
      <c r="M431" s="3">
        <f t="shared" si="5"/>
        <v>0.5736040609</v>
      </c>
      <c r="N431" s="2">
        <v>4748600.0</v>
      </c>
      <c r="O431" s="4">
        <f t="shared" si="6"/>
        <v>6026.142132</v>
      </c>
      <c r="P431" s="2">
        <v>1.0</v>
      </c>
      <c r="Q431" s="3">
        <f t="shared" si="7"/>
        <v>0.002949852507</v>
      </c>
      <c r="R431" s="2">
        <v>339.0</v>
      </c>
      <c r="S431" s="5">
        <f t="shared" si="8"/>
        <v>1</v>
      </c>
    </row>
    <row r="432">
      <c r="A432" s="2" t="s">
        <v>448</v>
      </c>
      <c r="B432" s="2">
        <v>63.0</v>
      </c>
      <c r="C432" s="2">
        <v>742.0</v>
      </c>
      <c r="D432" s="2">
        <v>246.0</v>
      </c>
      <c r="E432" s="3">
        <f t="shared" si="1"/>
        <v>0.3622974963</v>
      </c>
      <c r="F432" s="2">
        <v>112.0</v>
      </c>
      <c r="G432" s="3">
        <f t="shared" si="2"/>
        <v>0.1649484536</v>
      </c>
      <c r="H432" s="2">
        <v>163.0</v>
      </c>
      <c r="I432" s="3">
        <f t="shared" si="3"/>
        <v>0.2400589102</v>
      </c>
      <c r="J432" s="2">
        <v>145.0</v>
      </c>
      <c r="K432" s="3">
        <f t="shared" si="4"/>
        <v>0.2135493373</v>
      </c>
      <c r="L432" s="2">
        <v>93.0</v>
      </c>
      <c r="M432" s="3">
        <f t="shared" si="5"/>
        <v>0.5705521472</v>
      </c>
      <c r="N432" s="2">
        <v>924000.0</v>
      </c>
      <c r="O432" s="4">
        <f t="shared" si="6"/>
        <v>5668.711656</v>
      </c>
      <c r="P432" s="2">
        <v>0.0</v>
      </c>
      <c r="Q432" s="3">
        <f t="shared" si="7"/>
        <v>0</v>
      </c>
      <c r="R432" s="2">
        <v>63.0</v>
      </c>
      <c r="S432" s="5">
        <f t="shared" si="8"/>
        <v>1</v>
      </c>
    </row>
    <row r="433">
      <c r="A433" s="2" t="s">
        <v>449</v>
      </c>
      <c r="B433" s="2">
        <v>466.0</v>
      </c>
      <c r="C433" s="2">
        <v>5359.0</v>
      </c>
      <c r="D433" s="2">
        <v>2163.0</v>
      </c>
      <c r="E433" s="3">
        <f t="shared" si="1"/>
        <v>0.4420600858</v>
      </c>
      <c r="F433" s="2">
        <v>807.0</v>
      </c>
      <c r="G433" s="3">
        <f t="shared" si="2"/>
        <v>0.1649294911</v>
      </c>
      <c r="H433" s="2">
        <v>1128.0</v>
      </c>
      <c r="I433" s="3">
        <f t="shared" si="3"/>
        <v>0.2305334151</v>
      </c>
      <c r="J433" s="2">
        <v>859.0</v>
      </c>
      <c r="K433" s="3">
        <f t="shared" si="4"/>
        <v>0.175556918</v>
      </c>
      <c r="L433" s="2">
        <v>701.0</v>
      </c>
      <c r="M433" s="3">
        <f t="shared" si="5"/>
        <v>0.6214539007</v>
      </c>
      <c r="N433" s="2">
        <v>5988100.0</v>
      </c>
      <c r="O433" s="4">
        <f t="shared" si="6"/>
        <v>5308.599291</v>
      </c>
      <c r="P433" s="2">
        <v>2.0</v>
      </c>
      <c r="Q433" s="3">
        <f t="shared" si="7"/>
        <v>0.004291845494</v>
      </c>
      <c r="R433" s="2">
        <v>466.0</v>
      </c>
      <c r="S433" s="5">
        <f t="shared" si="8"/>
        <v>1</v>
      </c>
    </row>
    <row r="434">
      <c r="A434" s="2" t="s">
        <v>450</v>
      </c>
      <c r="B434" s="2">
        <v>301.0</v>
      </c>
      <c r="C434" s="2">
        <v>3419.0</v>
      </c>
      <c r="D434" s="2">
        <v>968.0</v>
      </c>
      <c r="E434" s="3">
        <f t="shared" si="1"/>
        <v>0.3104554201</v>
      </c>
      <c r="F434" s="2">
        <v>514.0</v>
      </c>
      <c r="G434" s="3">
        <f t="shared" si="2"/>
        <v>0.1648492623</v>
      </c>
      <c r="H434" s="2">
        <v>692.0</v>
      </c>
      <c r="I434" s="3">
        <f t="shared" si="3"/>
        <v>0.2219371392</v>
      </c>
      <c r="J434" s="2">
        <v>618.0</v>
      </c>
      <c r="K434" s="3">
        <f t="shared" si="4"/>
        <v>0.1982039769</v>
      </c>
      <c r="L434" s="2">
        <v>433.0</v>
      </c>
      <c r="M434" s="3">
        <f t="shared" si="5"/>
        <v>0.6257225434</v>
      </c>
      <c r="N434" s="2">
        <v>4099300.0</v>
      </c>
      <c r="O434" s="4">
        <f t="shared" si="6"/>
        <v>5923.843931</v>
      </c>
      <c r="P434" s="2">
        <v>1.0</v>
      </c>
      <c r="Q434" s="3">
        <f t="shared" si="7"/>
        <v>0.003322259136</v>
      </c>
      <c r="R434" s="2">
        <v>301.0</v>
      </c>
      <c r="S434" s="5">
        <f t="shared" si="8"/>
        <v>1</v>
      </c>
    </row>
    <row r="435">
      <c r="A435" s="2" t="s">
        <v>451</v>
      </c>
      <c r="B435" s="2">
        <v>26.0</v>
      </c>
      <c r="C435" s="2">
        <v>299.0</v>
      </c>
      <c r="D435" s="2">
        <v>114.0</v>
      </c>
      <c r="E435" s="3">
        <f t="shared" si="1"/>
        <v>0.4175824176</v>
      </c>
      <c r="F435" s="2">
        <v>45.0</v>
      </c>
      <c r="G435" s="3">
        <f t="shared" si="2"/>
        <v>0.1648351648</v>
      </c>
      <c r="H435" s="2">
        <v>51.0</v>
      </c>
      <c r="I435" s="3">
        <f t="shared" si="3"/>
        <v>0.1868131868</v>
      </c>
      <c r="J435" s="2">
        <v>49.0</v>
      </c>
      <c r="K435" s="3">
        <f t="shared" si="4"/>
        <v>0.1794871795</v>
      </c>
      <c r="L435" s="2">
        <v>32.0</v>
      </c>
      <c r="M435" s="3">
        <f t="shared" si="5"/>
        <v>0.6274509804</v>
      </c>
      <c r="N435" s="2">
        <v>265000.0</v>
      </c>
      <c r="O435" s="4">
        <f t="shared" si="6"/>
        <v>5196.078431</v>
      </c>
      <c r="P435" s="2">
        <v>0.0</v>
      </c>
      <c r="Q435" s="3">
        <f t="shared" si="7"/>
        <v>0</v>
      </c>
      <c r="R435" s="2">
        <v>0.0</v>
      </c>
      <c r="S435" s="5">
        <f t="shared" si="8"/>
        <v>0</v>
      </c>
    </row>
    <row r="436">
      <c r="A436" s="2" t="s">
        <v>452</v>
      </c>
      <c r="B436" s="2">
        <v>16.0</v>
      </c>
      <c r="C436" s="2">
        <v>192.0</v>
      </c>
      <c r="D436" s="2">
        <v>67.0</v>
      </c>
      <c r="E436" s="3">
        <f t="shared" si="1"/>
        <v>0.3806818182</v>
      </c>
      <c r="F436" s="2">
        <v>29.0</v>
      </c>
      <c r="G436" s="3">
        <f t="shared" si="2"/>
        <v>0.1647727273</v>
      </c>
      <c r="H436" s="2">
        <v>32.0</v>
      </c>
      <c r="I436" s="3">
        <f t="shared" si="3"/>
        <v>0.1818181818</v>
      </c>
      <c r="J436" s="2">
        <v>19.0</v>
      </c>
      <c r="K436" s="3">
        <f t="shared" si="4"/>
        <v>0.1079545455</v>
      </c>
      <c r="L436" s="2">
        <v>21.0</v>
      </c>
      <c r="M436" s="3">
        <f t="shared" si="5"/>
        <v>0.65625</v>
      </c>
      <c r="N436" s="2">
        <v>177000.0</v>
      </c>
      <c r="O436" s="4">
        <f t="shared" si="6"/>
        <v>5531.25</v>
      </c>
      <c r="P436" s="2">
        <v>0.0</v>
      </c>
      <c r="Q436" s="3">
        <f t="shared" si="7"/>
        <v>0</v>
      </c>
      <c r="R436" s="2">
        <v>16.0</v>
      </c>
      <c r="S436" s="5">
        <f t="shared" si="8"/>
        <v>1</v>
      </c>
    </row>
    <row r="437">
      <c r="A437" s="2" t="s">
        <v>453</v>
      </c>
      <c r="B437" s="2">
        <v>311.0</v>
      </c>
      <c r="C437" s="2">
        <v>3644.0</v>
      </c>
      <c r="D437" s="2">
        <v>1065.0</v>
      </c>
      <c r="E437" s="3">
        <f t="shared" si="1"/>
        <v>0.3195319532</v>
      </c>
      <c r="F437" s="2">
        <v>549.0</v>
      </c>
      <c r="G437" s="3">
        <f t="shared" si="2"/>
        <v>0.1647164716</v>
      </c>
      <c r="H437" s="2">
        <v>738.0</v>
      </c>
      <c r="I437" s="3">
        <f t="shared" si="3"/>
        <v>0.2214221422</v>
      </c>
      <c r="J437" s="2">
        <v>540.0</v>
      </c>
      <c r="K437" s="3">
        <f t="shared" si="4"/>
        <v>0.1620162016</v>
      </c>
      <c r="L437" s="2">
        <v>435.0</v>
      </c>
      <c r="M437" s="3">
        <f t="shared" si="5"/>
        <v>0.5894308943</v>
      </c>
      <c r="N437" s="2">
        <v>4471600.0</v>
      </c>
      <c r="O437" s="4">
        <f t="shared" si="6"/>
        <v>6059.078591</v>
      </c>
      <c r="P437" s="2">
        <v>2.0</v>
      </c>
      <c r="Q437" s="3">
        <f t="shared" si="7"/>
        <v>0.006430868167</v>
      </c>
      <c r="R437" s="2">
        <v>311.0</v>
      </c>
      <c r="S437" s="5">
        <f t="shared" si="8"/>
        <v>1</v>
      </c>
    </row>
    <row r="438">
      <c r="A438" s="2" t="s">
        <v>454</v>
      </c>
      <c r="B438" s="2">
        <v>9.0</v>
      </c>
      <c r="C438" s="2">
        <v>94.0</v>
      </c>
      <c r="D438" s="2">
        <v>26.0</v>
      </c>
      <c r="E438" s="3">
        <f t="shared" si="1"/>
        <v>0.3058823529</v>
      </c>
      <c r="F438" s="2">
        <v>14.0</v>
      </c>
      <c r="G438" s="3">
        <f t="shared" si="2"/>
        <v>0.1647058824</v>
      </c>
      <c r="H438" s="2">
        <v>8.0</v>
      </c>
      <c r="I438" s="3">
        <f t="shared" si="3"/>
        <v>0.09411764706</v>
      </c>
      <c r="J438" s="2">
        <v>21.0</v>
      </c>
      <c r="K438" s="3">
        <f t="shared" si="4"/>
        <v>0.2470588235</v>
      </c>
      <c r="L438" s="2">
        <v>6.0</v>
      </c>
      <c r="M438" s="3">
        <f t="shared" si="5"/>
        <v>0.75</v>
      </c>
      <c r="N438" s="2">
        <v>41500.0</v>
      </c>
      <c r="O438" s="4">
        <f t="shared" si="6"/>
        <v>5187.5</v>
      </c>
      <c r="P438" s="2">
        <v>0.0</v>
      </c>
      <c r="Q438" s="3">
        <f t="shared" si="7"/>
        <v>0</v>
      </c>
      <c r="R438" s="2">
        <v>9.0</v>
      </c>
      <c r="S438" s="5">
        <f t="shared" si="8"/>
        <v>1</v>
      </c>
    </row>
    <row r="439">
      <c r="A439" s="2" t="s">
        <v>455</v>
      </c>
      <c r="B439" s="2">
        <v>93.0</v>
      </c>
      <c r="C439" s="2">
        <v>1028.0</v>
      </c>
      <c r="D439" s="2">
        <v>366.0</v>
      </c>
      <c r="E439" s="3">
        <f t="shared" si="1"/>
        <v>0.3914438503</v>
      </c>
      <c r="F439" s="2">
        <v>154.0</v>
      </c>
      <c r="G439" s="3">
        <f t="shared" si="2"/>
        <v>0.1647058824</v>
      </c>
      <c r="H439" s="2">
        <v>215.0</v>
      </c>
      <c r="I439" s="3">
        <f t="shared" si="3"/>
        <v>0.2299465241</v>
      </c>
      <c r="J439" s="2">
        <v>172.0</v>
      </c>
      <c r="K439" s="3">
        <f t="shared" si="4"/>
        <v>0.1839572193</v>
      </c>
      <c r="L439" s="2">
        <v>130.0</v>
      </c>
      <c r="M439" s="3">
        <f t="shared" si="5"/>
        <v>0.6046511628</v>
      </c>
      <c r="N439" s="2">
        <v>1158300.0</v>
      </c>
      <c r="O439" s="4">
        <f t="shared" si="6"/>
        <v>5387.44186</v>
      </c>
      <c r="P439" s="2">
        <v>1.0</v>
      </c>
      <c r="Q439" s="3">
        <f t="shared" si="7"/>
        <v>0.01075268817</v>
      </c>
      <c r="R439" s="2">
        <v>93.0</v>
      </c>
      <c r="S439" s="5">
        <f t="shared" si="8"/>
        <v>1</v>
      </c>
    </row>
    <row r="440">
      <c r="A440" s="2" t="s">
        <v>456</v>
      </c>
      <c r="B440" s="2">
        <v>80.0</v>
      </c>
      <c r="C440" s="2">
        <v>930.0</v>
      </c>
      <c r="D440" s="2">
        <v>358.0</v>
      </c>
      <c r="E440" s="3">
        <f t="shared" si="1"/>
        <v>0.4211764706</v>
      </c>
      <c r="F440" s="2">
        <v>140.0</v>
      </c>
      <c r="G440" s="3">
        <f t="shared" si="2"/>
        <v>0.1647058824</v>
      </c>
      <c r="H440" s="2">
        <v>202.0</v>
      </c>
      <c r="I440" s="3">
        <f t="shared" si="3"/>
        <v>0.2376470588</v>
      </c>
      <c r="J440" s="2">
        <v>128.0</v>
      </c>
      <c r="K440" s="3">
        <f t="shared" si="4"/>
        <v>0.1505882353</v>
      </c>
      <c r="L440" s="2">
        <v>127.0</v>
      </c>
      <c r="M440" s="3">
        <f t="shared" si="5"/>
        <v>0.6287128713</v>
      </c>
      <c r="N440" s="2">
        <v>1052400.0</v>
      </c>
      <c r="O440" s="4">
        <f t="shared" si="6"/>
        <v>5209.90099</v>
      </c>
      <c r="P440" s="2">
        <v>0.0</v>
      </c>
      <c r="Q440" s="3">
        <f t="shared" si="7"/>
        <v>0</v>
      </c>
      <c r="R440" s="2">
        <v>80.0</v>
      </c>
      <c r="S440" s="5">
        <f t="shared" si="8"/>
        <v>1</v>
      </c>
    </row>
    <row r="441">
      <c r="A441" s="2" t="s">
        <v>457</v>
      </c>
      <c r="B441" s="2">
        <v>16.0</v>
      </c>
      <c r="C441" s="2">
        <v>186.0</v>
      </c>
      <c r="D441" s="2">
        <v>64.0</v>
      </c>
      <c r="E441" s="3">
        <f t="shared" si="1"/>
        <v>0.3764705882</v>
      </c>
      <c r="F441" s="2">
        <v>28.0</v>
      </c>
      <c r="G441" s="3">
        <f t="shared" si="2"/>
        <v>0.1647058824</v>
      </c>
      <c r="H441" s="2">
        <v>29.0</v>
      </c>
      <c r="I441" s="3">
        <f t="shared" si="3"/>
        <v>0.1705882353</v>
      </c>
      <c r="J441" s="2">
        <v>24.0</v>
      </c>
      <c r="K441" s="3">
        <f t="shared" si="4"/>
        <v>0.1411764706</v>
      </c>
      <c r="L441" s="2">
        <v>16.0</v>
      </c>
      <c r="M441" s="3">
        <f t="shared" si="5"/>
        <v>0.5517241379</v>
      </c>
      <c r="N441" s="2">
        <v>141500.0</v>
      </c>
      <c r="O441" s="4">
        <f t="shared" si="6"/>
        <v>4879.310345</v>
      </c>
      <c r="P441" s="2">
        <v>0.0</v>
      </c>
      <c r="Q441" s="3">
        <f t="shared" si="7"/>
        <v>0</v>
      </c>
      <c r="R441" s="2">
        <v>16.0</v>
      </c>
      <c r="S441" s="5">
        <f t="shared" si="8"/>
        <v>1</v>
      </c>
    </row>
    <row r="442">
      <c r="A442" s="2" t="s">
        <v>458</v>
      </c>
      <c r="B442" s="2">
        <v>125.0</v>
      </c>
      <c r="C442" s="2">
        <v>1461.0</v>
      </c>
      <c r="D442" s="2">
        <v>617.0</v>
      </c>
      <c r="E442" s="3">
        <f t="shared" si="1"/>
        <v>0.4618263473</v>
      </c>
      <c r="F442" s="2">
        <v>220.0</v>
      </c>
      <c r="G442" s="3">
        <f t="shared" si="2"/>
        <v>0.1646706587</v>
      </c>
      <c r="H442" s="2">
        <v>292.0</v>
      </c>
      <c r="I442" s="3">
        <f t="shared" si="3"/>
        <v>0.2185628743</v>
      </c>
      <c r="J442" s="2">
        <v>227.0</v>
      </c>
      <c r="K442" s="3">
        <f t="shared" si="4"/>
        <v>0.1699101796</v>
      </c>
      <c r="L442" s="2">
        <v>182.0</v>
      </c>
      <c r="M442" s="3">
        <f t="shared" si="5"/>
        <v>0.6232876712</v>
      </c>
      <c r="N442" s="2">
        <v>1532000.0</v>
      </c>
      <c r="O442" s="4">
        <f t="shared" si="6"/>
        <v>5246.575342</v>
      </c>
      <c r="P442" s="2">
        <v>1.0</v>
      </c>
      <c r="Q442" s="3">
        <f t="shared" si="7"/>
        <v>0.008</v>
      </c>
      <c r="R442" s="2">
        <v>125.0</v>
      </c>
      <c r="S442" s="5">
        <f t="shared" si="8"/>
        <v>1</v>
      </c>
    </row>
    <row r="443">
      <c r="A443" s="2" t="s">
        <v>459</v>
      </c>
      <c r="B443" s="2">
        <v>669.0</v>
      </c>
      <c r="C443" s="2">
        <v>7726.0</v>
      </c>
      <c r="D443" s="2">
        <v>2093.0</v>
      </c>
      <c r="E443" s="3">
        <f t="shared" si="1"/>
        <v>0.2965849511</v>
      </c>
      <c r="F443" s="2">
        <v>1162.0</v>
      </c>
      <c r="G443" s="3">
        <f t="shared" si="2"/>
        <v>0.1646592036</v>
      </c>
      <c r="H443" s="2">
        <v>1525.0</v>
      </c>
      <c r="I443" s="3">
        <f t="shared" si="3"/>
        <v>0.2160974919</v>
      </c>
      <c r="J443" s="2">
        <v>1271.0</v>
      </c>
      <c r="K443" s="3">
        <f t="shared" si="4"/>
        <v>0.1801048604</v>
      </c>
      <c r="L443" s="2">
        <v>942.0</v>
      </c>
      <c r="M443" s="3">
        <f t="shared" si="5"/>
        <v>0.617704918</v>
      </c>
      <c r="N443" s="2">
        <v>9656400.0</v>
      </c>
      <c r="O443" s="4">
        <f t="shared" si="6"/>
        <v>6332.065574</v>
      </c>
      <c r="P443" s="2">
        <v>3.0</v>
      </c>
      <c r="Q443" s="3">
        <f t="shared" si="7"/>
        <v>0.004484304933</v>
      </c>
      <c r="R443" s="2">
        <v>669.0</v>
      </c>
      <c r="S443" s="5">
        <f t="shared" si="8"/>
        <v>1</v>
      </c>
    </row>
    <row r="444">
      <c r="A444" s="2" t="s">
        <v>460</v>
      </c>
      <c r="B444" s="2">
        <v>52.0</v>
      </c>
      <c r="C444" s="2">
        <v>593.0</v>
      </c>
      <c r="D444" s="2">
        <v>183.0</v>
      </c>
      <c r="E444" s="3">
        <f t="shared" si="1"/>
        <v>0.3382624769</v>
      </c>
      <c r="F444" s="2">
        <v>89.0</v>
      </c>
      <c r="G444" s="3">
        <f t="shared" si="2"/>
        <v>0.1645101664</v>
      </c>
      <c r="H444" s="2">
        <v>101.0</v>
      </c>
      <c r="I444" s="3">
        <f t="shared" si="3"/>
        <v>0.1866913124</v>
      </c>
      <c r="J444" s="2">
        <v>74.0</v>
      </c>
      <c r="K444" s="3">
        <f t="shared" si="4"/>
        <v>0.1367837338</v>
      </c>
      <c r="L444" s="2">
        <v>59.0</v>
      </c>
      <c r="M444" s="3">
        <f t="shared" si="5"/>
        <v>0.5841584158</v>
      </c>
      <c r="N444" s="2">
        <v>521300.0</v>
      </c>
      <c r="O444" s="4">
        <f t="shared" si="6"/>
        <v>5161.386139</v>
      </c>
      <c r="P444" s="2">
        <v>0.0</v>
      </c>
      <c r="Q444" s="3">
        <f t="shared" si="7"/>
        <v>0</v>
      </c>
      <c r="R444" s="2">
        <v>52.0</v>
      </c>
      <c r="S444" s="5">
        <f t="shared" si="8"/>
        <v>1</v>
      </c>
    </row>
    <row r="445">
      <c r="A445" s="2" t="s">
        <v>461</v>
      </c>
      <c r="B445" s="2">
        <v>222.0</v>
      </c>
      <c r="C445" s="2">
        <v>2587.0</v>
      </c>
      <c r="D445" s="2">
        <v>738.0</v>
      </c>
      <c r="E445" s="3">
        <f t="shared" si="1"/>
        <v>0.31205074</v>
      </c>
      <c r="F445" s="2">
        <v>389.0</v>
      </c>
      <c r="G445" s="3">
        <f t="shared" si="2"/>
        <v>0.1644820296</v>
      </c>
      <c r="H445" s="2">
        <v>573.0</v>
      </c>
      <c r="I445" s="3">
        <f t="shared" si="3"/>
        <v>0.2422832981</v>
      </c>
      <c r="J445" s="2">
        <v>499.0</v>
      </c>
      <c r="K445" s="3">
        <f t="shared" si="4"/>
        <v>0.2109936575</v>
      </c>
      <c r="L445" s="2">
        <v>344.0</v>
      </c>
      <c r="M445" s="3">
        <f t="shared" si="5"/>
        <v>0.6003490401</v>
      </c>
      <c r="N445" s="2">
        <v>3402400.0</v>
      </c>
      <c r="O445" s="4">
        <f t="shared" si="6"/>
        <v>5937.870855</v>
      </c>
      <c r="P445" s="2">
        <v>2.0</v>
      </c>
      <c r="Q445" s="3">
        <f t="shared" si="7"/>
        <v>0.009009009009</v>
      </c>
      <c r="R445" s="2">
        <v>222.0</v>
      </c>
      <c r="S445" s="5">
        <f t="shared" si="8"/>
        <v>1</v>
      </c>
    </row>
    <row r="446">
      <c r="A446" s="2" t="s">
        <v>462</v>
      </c>
      <c r="B446" s="2">
        <v>129.0</v>
      </c>
      <c r="C446" s="2">
        <v>1485.0</v>
      </c>
      <c r="D446" s="2">
        <v>537.0</v>
      </c>
      <c r="E446" s="3">
        <f t="shared" si="1"/>
        <v>0.3960176991</v>
      </c>
      <c r="F446" s="2">
        <v>223.0</v>
      </c>
      <c r="G446" s="3">
        <f t="shared" si="2"/>
        <v>0.1644542773</v>
      </c>
      <c r="H446" s="2">
        <v>288.0</v>
      </c>
      <c r="I446" s="3">
        <f t="shared" si="3"/>
        <v>0.2123893805</v>
      </c>
      <c r="J446" s="2">
        <v>243.0</v>
      </c>
      <c r="K446" s="3">
        <f t="shared" si="4"/>
        <v>0.1792035398</v>
      </c>
      <c r="L446" s="2">
        <v>171.0</v>
      </c>
      <c r="M446" s="3">
        <f t="shared" si="5"/>
        <v>0.59375</v>
      </c>
      <c r="N446" s="2">
        <v>1665000.0</v>
      </c>
      <c r="O446" s="4">
        <f t="shared" si="6"/>
        <v>5781.25</v>
      </c>
      <c r="P446" s="2">
        <v>0.0</v>
      </c>
      <c r="Q446" s="3">
        <f t="shared" si="7"/>
        <v>0</v>
      </c>
      <c r="R446" s="2">
        <v>0.0</v>
      </c>
      <c r="S446" s="5">
        <f t="shared" si="8"/>
        <v>0</v>
      </c>
    </row>
    <row r="447">
      <c r="A447" s="2" t="s">
        <v>463</v>
      </c>
      <c r="B447" s="2">
        <v>27.0</v>
      </c>
      <c r="C447" s="2">
        <v>325.0</v>
      </c>
      <c r="D447" s="2">
        <v>114.0</v>
      </c>
      <c r="E447" s="3">
        <f t="shared" si="1"/>
        <v>0.3825503356</v>
      </c>
      <c r="F447" s="2">
        <v>49.0</v>
      </c>
      <c r="G447" s="3">
        <f t="shared" si="2"/>
        <v>0.1644295302</v>
      </c>
      <c r="H447" s="2">
        <v>52.0</v>
      </c>
      <c r="I447" s="3">
        <f t="shared" si="3"/>
        <v>0.1744966443</v>
      </c>
      <c r="J447" s="2">
        <v>59.0</v>
      </c>
      <c r="K447" s="3">
        <f t="shared" si="4"/>
        <v>0.1979865772</v>
      </c>
      <c r="L447" s="2">
        <v>29.0</v>
      </c>
      <c r="M447" s="3">
        <f t="shared" si="5"/>
        <v>0.5576923077</v>
      </c>
      <c r="N447" s="2">
        <v>294300.0</v>
      </c>
      <c r="O447" s="4">
        <f t="shared" si="6"/>
        <v>5659.615385</v>
      </c>
      <c r="P447" s="2">
        <v>0.0</v>
      </c>
      <c r="Q447" s="3">
        <f t="shared" si="7"/>
        <v>0</v>
      </c>
      <c r="R447" s="2">
        <v>27.0</v>
      </c>
      <c r="S447" s="5">
        <f t="shared" si="8"/>
        <v>1</v>
      </c>
    </row>
    <row r="448">
      <c r="A448" s="2" t="s">
        <v>464</v>
      </c>
      <c r="B448" s="2">
        <v>73.0</v>
      </c>
      <c r="C448" s="2">
        <v>870.0</v>
      </c>
      <c r="D448" s="2">
        <v>283.0</v>
      </c>
      <c r="E448" s="3">
        <f t="shared" si="1"/>
        <v>0.3550815558</v>
      </c>
      <c r="F448" s="2">
        <v>131.0</v>
      </c>
      <c r="G448" s="3">
        <f t="shared" si="2"/>
        <v>0.1643663739</v>
      </c>
      <c r="H448" s="2">
        <v>165.0</v>
      </c>
      <c r="I448" s="3">
        <f t="shared" si="3"/>
        <v>0.2070263488</v>
      </c>
      <c r="J448" s="2">
        <v>158.0</v>
      </c>
      <c r="K448" s="3">
        <f t="shared" si="4"/>
        <v>0.1982434128</v>
      </c>
      <c r="L448" s="2">
        <v>100.0</v>
      </c>
      <c r="M448" s="3">
        <f t="shared" si="5"/>
        <v>0.6060606061</v>
      </c>
      <c r="N448" s="2">
        <v>944200.0</v>
      </c>
      <c r="O448" s="4">
        <f t="shared" si="6"/>
        <v>5722.424242</v>
      </c>
      <c r="P448" s="2">
        <v>0.0</v>
      </c>
      <c r="Q448" s="3">
        <f t="shared" si="7"/>
        <v>0</v>
      </c>
      <c r="R448" s="2">
        <v>0.0</v>
      </c>
      <c r="S448" s="5">
        <f t="shared" si="8"/>
        <v>0</v>
      </c>
    </row>
    <row r="449">
      <c r="A449" s="2" t="s">
        <v>465</v>
      </c>
      <c r="B449" s="2">
        <v>49.0</v>
      </c>
      <c r="C449" s="2">
        <v>548.0</v>
      </c>
      <c r="D449" s="2">
        <v>178.0</v>
      </c>
      <c r="E449" s="3">
        <f t="shared" si="1"/>
        <v>0.3567134269</v>
      </c>
      <c r="F449" s="2">
        <v>82.0</v>
      </c>
      <c r="G449" s="3">
        <f t="shared" si="2"/>
        <v>0.1643286573</v>
      </c>
      <c r="H449" s="2">
        <v>93.0</v>
      </c>
      <c r="I449" s="3">
        <f t="shared" si="3"/>
        <v>0.1863727455</v>
      </c>
      <c r="J449" s="2">
        <v>93.0</v>
      </c>
      <c r="K449" s="3">
        <f t="shared" si="4"/>
        <v>0.1863727455</v>
      </c>
      <c r="L449" s="2">
        <v>58.0</v>
      </c>
      <c r="M449" s="3">
        <f t="shared" si="5"/>
        <v>0.623655914</v>
      </c>
      <c r="N449" s="2">
        <v>567100.0</v>
      </c>
      <c r="O449" s="4">
        <f t="shared" si="6"/>
        <v>6097.849462</v>
      </c>
      <c r="P449" s="2">
        <v>0.0</v>
      </c>
      <c r="Q449" s="3">
        <f t="shared" si="7"/>
        <v>0</v>
      </c>
      <c r="R449" s="2">
        <v>49.0</v>
      </c>
      <c r="S449" s="5">
        <f t="shared" si="8"/>
        <v>1</v>
      </c>
    </row>
    <row r="450">
      <c r="A450" s="2" t="s">
        <v>466</v>
      </c>
      <c r="B450" s="2">
        <v>254.0</v>
      </c>
      <c r="C450" s="2">
        <v>2938.0</v>
      </c>
      <c r="D450" s="2">
        <v>987.0</v>
      </c>
      <c r="E450" s="3">
        <f t="shared" si="1"/>
        <v>0.3677347243</v>
      </c>
      <c r="F450" s="2">
        <v>441.0</v>
      </c>
      <c r="G450" s="3">
        <f t="shared" si="2"/>
        <v>0.1643070045</v>
      </c>
      <c r="H450" s="2">
        <v>579.0</v>
      </c>
      <c r="I450" s="3">
        <f t="shared" si="3"/>
        <v>0.2157228018</v>
      </c>
      <c r="J450" s="2">
        <v>568.0</v>
      </c>
      <c r="K450" s="3">
        <f t="shared" si="4"/>
        <v>0.2116244411</v>
      </c>
      <c r="L450" s="2">
        <v>353.0</v>
      </c>
      <c r="M450" s="3">
        <f t="shared" si="5"/>
        <v>0.609671848</v>
      </c>
      <c r="N450" s="2">
        <v>3661900.0</v>
      </c>
      <c r="O450" s="4">
        <f t="shared" si="6"/>
        <v>6324.525043</v>
      </c>
      <c r="P450" s="2">
        <v>0.0</v>
      </c>
      <c r="Q450" s="3">
        <f t="shared" si="7"/>
        <v>0</v>
      </c>
      <c r="R450" s="2">
        <v>0.0</v>
      </c>
      <c r="S450" s="5">
        <f t="shared" si="8"/>
        <v>0</v>
      </c>
    </row>
    <row r="451">
      <c r="A451" s="2" t="s">
        <v>467</v>
      </c>
      <c r="B451" s="2">
        <v>46.0</v>
      </c>
      <c r="C451" s="2">
        <v>539.0</v>
      </c>
      <c r="D451" s="2">
        <v>119.0</v>
      </c>
      <c r="E451" s="3">
        <f t="shared" si="1"/>
        <v>0.2413793103</v>
      </c>
      <c r="F451" s="2">
        <v>81.0</v>
      </c>
      <c r="G451" s="3">
        <f t="shared" si="2"/>
        <v>0.1643002028</v>
      </c>
      <c r="H451" s="2">
        <v>83.0</v>
      </c>
      <c r="I451" s="3">
        <f t="shared" si="3"/>
        <v>0.168356998</v>
      </c>
      <c r="J451" s="2">
        <v>101.0</v>
      </c>
      <c r="K451" s="3">
        <f t="shared" si="4"/>
        <v>0.2048681542</v>
      </c>
      <c r="L451" s="2">
        <v>52.0</v>
      </c>
      <c r="M451" s="3">
        <f t="shared" si="5"/>
        <v>0.6265060241</v>
      </c>
      <c r="N451" s="2">
        <v>488000.0</v>
      </c>
      <c r="O451" s="4">
        <f t="shared" si="6"/>
        <v>5879.518072</v>
      </c>
      <c r="P451" s="2">
        <v>0.0</v>
      </c>
      <c r="Q451" s="3">
        <f t="shared" si="7"/>
        <v>0</v>
      </c>
      <c r="R451" s="2">
        <v>46.0</v>
      </c>
      <c r="S451" s="5">
        <f t="shared" si="8"/>
        <v>1</v>
      </c>
    </row>
    <row r="452">
      <c r="A452" s="2" t="s">
        <v>468</v>
      </c>
      <c r="B452" s="2">
        <v>557.0</v>
      </c>
      <c r="C452" s="2">
        <v>6384.0</v>
      </c>
      <c r="D452" s="2">
        <v>2046.0</v>
      </c>
      <c r="E452" s="3">
        <f t="shared" si="1"/>
        <v>0.3511240776</v>
      </c>
      <c r="F452" s="2">
        <v>957.0</v>
      </c>
      <c r="G452" s="3">
        <f t="shared" si="2"/>
        <v>0.1642354556</v>
      </c>
      <c r="H452" s="2">
        <v>1306.0</v>
      </c>
      <c r="I452" s="3">
        <f t="shared" si="3"/>
        <v>0.2241290544</v>
      </c>
      <c r="J452" s="2">
        <v>919.0</v>
      </c>
      <c r="K452" s="3">
        <f t="shared" si="4"/>
        <v>0.1577140896</v>
      </c>
      <c r="L452" s="2">
        <v>830.0</v>
      </c>
      <c r="M452" s="3">
        <f t="shared" si="5"/>
        <v>0.6355283308</v>
      </c>
      <c r="N452" s="2">
        <v>7517300.0</v>
      </c>
      <c r="O452" s="4">
        <f t="shared" si="6"/>
        <v>5755.972435</v>
      </c>
      <c r="P452" s="2">
        <v>1.0</v>
      </c>
      <c r="Q452" s="3">
        <f t="shared" si="7"/>
        <v>0.001795332136</v>
      </c>
      <c r="R452" s="2">
        <v>557.0</v>
      </c>
      <c r="S452" s="5">
        <f t="shared" si="8"/>
        <v>1</v>
      </c>
    </row>
    <row r="453">
      <c r="A453" s="2" t="s">
        <v>469</v>
      </c>
      <c r="B453" s="2">
        <v>13.0</v>
      </c>
      <c r="C453" s="2">
        <v>147.0</v>
      </c>
      <c r="D453" s="2">
        <v>37.0</v>
      </c>
      <c r="E453" s="3">
        <f t="shared" si="1"/>
        <v>0.276119403</v>
      </c>
      <c r="F453" s="2">
        <v>22.0</v>
      </c>
      <c r="G453" s="3">
        <f t="shared" si="2"/>
        <v>0.1641791045</v>
      </c>
      <c r="H453" s="2">
        <v>28.0</v>
      </c>
      <c r="I453" s="3">
        <f t="shared" si="3"/>
        <v>0.2089552239</v>
      </c>
      <c r="J453" s="2">
        <v>33.0</v>
      </c>
      <c r="K453" s="3">
        <f t="shared" si="4"/>
        <v>0.2462686567</v>
      </c>
      <c r="L453" s="2">
        <v>18.0</v>
      </c>
      <c r="M453" s="3">
        <f t="shared" si="5"/>
        <v>0.6428571429</v>
      </c>
      <c r="N453" s="2">
        <v>140100.0</v>
      </c>
      <c r="O453" s="4">
        <f t="shared" si="6"/>
        <v>5003.571429</v>
      </c>
      <c r="P453" s="2">
        <v>0.0</v>
      </c>
      <c r="Q453" s="3">
        <f t="shared" si="7"/>
        <v>0</v>
      </c>
      <c r="R453" s="2">
        <v>13.0</v>
      </c>
      <c r="S453" s="5">
        <f t="shared" si="8"/>
        <v>1</v>
      </c>
    </row>
    <row r="454">
      <c r="A454" s="2" t="s">
        <v>470</v>
      </c>
      <c r="B454" s="2">
        <v>6.0</v>
      </c>
      <c r="C454" s="2">
        <v>73.0</v>
      </c>
      <c r="D454" s="2">
        <v>18.0</v>
      </c>
      <c r="E454" s="3">
        <f t="shared" si="1"/>
        <v>0.2686567164</v>
      </c>
      <c r="F454" s="2">
        <v>11.0</v>
      </c>
      <c r="G454" s="3">
        <f t="shared" si="2"/>
        <v>0.1641791045</v>
      </c>
      <c r="H454" s="2">
        <v>10.0</v>
      </c>
      <c r="I454" s="3">
        <f t="shared" si="3"/>
        <v>0.1492537313</v>
      </c>
      <c r="J454" s="2">
        <v>11.0</v>
      </c>
      <c r="K454" s="3">
        <f t="shared" si="4"/>
        <v>0.1641791045</v>
      </c>
      <c r="L454" s="2">
        <v>7.0</v>
      </c>
      <c r="M454" s="3">
        <f t="shared" si="5"/>
        <v>0.7</v>
      </c>
      <c r="N454" s="2">
        <v>39500.0</v>
      </c>
      <c r="O454" s="4">
        <f t="shared" si="6"/>
        <v>3950</v>
      </c>
      <c r="P454" s="2">
        <v>0.0</v>
      </c>
      <c r="Q454" s="3">
        <f t="shared" si="7"/>
        <v>0</v>
      </c>
      <c r="R454" s="2">
        <v>6.0</v>
      </c>
      <c r="S454" s="5">
        <f t="shared" si="8"/>
        <v>1</v>
      </c>
    </row>
    <row r="455">
      <c r="A455" s="2" t="s">
        <v>471</v>
      </c>
      <c r="B455" s="2">
        <v>35.0</v>
      </c>
      <c r="C455" s="2">
        <v>419.0</v>
      </c>
      <c r="D455" s="2">
        <v>139.0</v>
      </c>
      <c r="E455" s="3">
        <f t="shared" si="1"/>
        <v>0.3619791667</v>
      </c>
      <c r="F455" s="2">
        <v>63.0</v>
      </c>
      <c r="G455" s="3">
        <f t="shared" si="2"/>
        <v>0.1640625</v>
      </c>
      <c r="H455" s="2">
        <v>70.0</v>
      </c>
      <c r="I455" s="3">
        <f t="shared" si="3"/>
        <v>0.1822916667</v>
      </c>
      <c r="J455" s="2">
        <v>70.0</v>
      </c>
      <c r="K455" s="3">
        <f t="shared" si="4"/>
        <v>0.1822916667</v>
      </c>
      <c r="L455" s="2">
        <v>43.0</v>
      </c>
      <c r="M455" s="3">
        <f t="shared" si="5"/>
        <v>0.6142857143</v>
      </c>
      <c r="N455" s="2">
        <v>422100.0</v>
      </c>
      <c r="O455" s="4">
        <f t="shared" si="6"/>
        <v>6030</v>
      </c>
      <c r="P455" s="2">
        <v>0.0</v>
      </c>
      <c r="Q455" s="3">
        <f t="shared" si="7"/>
        <v>0</v>
      </c>
      <c r="R455" s="2">
        <v>35.0</v>
      </c>
      <c r="S455" s="5">
        <f t="shared" si="8"/>
        <v>1</v>
      </c>
    </row>
    <row r="456">
      <c r="A456" s="2" t="s">
        <v>472</v>
      </c>
      <c r="B456" s="2">
        <v>19.0</v>
      </c>
      <c r="C456" s="2">
        <v>208.0</v>
      </c>
      <c r="D456" s="2">
        <v>68.0</v>
      </c>
      <c r="E456" s="3">
        <f t="shared" si="1"/>
        <v>0.3597883598</v>
      </c>
      <c r="F456" s="2">
        <v>31.0</v>
      </c>
      <c r="G456" s="3">
        <f t="shared" si="2"/>
        <v>0.164021164</v>
      </c>
      <c r="H456" s="2">
        <v>29.0</v>
      </c>
      <c r="I456" s="3">
        <f t="shared" si="3"/>
        <v>0.1534391534</v>
      </c>
      <c r="J456" s="2">
        <v>27.0</v>
      </c>
      <c r="K456" s="3">
        <f t="shared" si="4"/>
        <v>0.1428571429</v>
      </c>
      <c r="L456" s="2">
        <v>20.0</v>
      </c>
      <c r="M456" s="3">
        <f t="shared" si="5"/>
        <v>0.6896551724</v>
      </c>
      <c r="N456" s="2">
        <v>219700.0</v>
      </c>
      <c r="O456" s="4">
        <f t="shared" si="6"/>
        <v>7575.862069</v>
      </c>
      <c r="P456" s="2">
        <v>0.0</v>
      </c>
      <c r="Q456" s="3">
        <f t="shared" si="7"/>
        <v>0</v>
      </c>
      <c r="R456" s="2">
        <v>19.0</v>
      </c>
      <c r="S456" s="5">
        <f t="shared" si="8"/>
        <v>1</v>
      </c>
    </row>
    <row r="457">
      <c r="A457" s="2" t="s">
        <v>473</v>
      </c>
      <c r="B457" s="2">
        <v>5.0</v>
      </c>
      <c r="C457" s="2">
        <v>66.0</v>
      </c>
      <c r="D457" s="2">
        <v>22.0</v>
      </c>
      <c r="E457" s="3">
        <f t="shared" si="1"/>
        <v>0.3606557377</v>
      </c>
      <c r="F457" s="2">
        <v>10.0</v>
      </c>
      <c r="G457" s="3">
        <f t="shared" si="2"/>
        <v>0.1639344262</v>
      </c>
      <c r="H457" s="2">
        <v>9.0</v>
      </c>
      <c r="I457" s="3">
        <f t="shared" si="3"/>
        <v>0.1475409836</v>
      </c>
      <c r="J457" s="2">
        <v>7.0</v>
      </c>
      <c r="K457" s="3">
        <f t="shared" si="4"/>
        <v>0.1147540984</v>
      </c>
      <c r="L457" s="2">
        <v>4.0</v>
      </c>
      <c r="M457" s="3">
        <f t="shared" si="5"/>
        <v>0.4444444444</v>
      </c>
      <c r="N457" s="2">
        <v>32800.0</v>
      </c>
      <c r="O457" s="4">
        <f t="shared" si="6"/>
        <v>3644.444444</v>
      </c>
      <c r="P457" s="2">
        <v>0.0</v>
      </c>
      <c r="Q457" s="3">
        <f t="shared" si="7"/>
        <v>0</v>
      </c>
      <c r="R457" s="2">
        <v>5.0</v>
      </c>
      <c r="S457" s="5">
        <f t="shared" si="8"/>
        <v>1</v>
      </c>
    </row>
    <row r="458">
      <c r="A458" s="2" t="s">
        <v>474</v>
      </c>
      <c r="B458" s="2">
        <v>106.0</v>
      </c>
      <c r="C458" s="2">
        <v>1253.0</v>
      </c>
      <c r="D458" s="2">
        <v>288.0</v>
      </c>
      <c r="E458" s="3">
        <f t="shared" si="1"/>
        <v>0.2510897995</v>
      </c>
      <c r="F458" s="2">
        <v>188.0</v>
      </c>
      <c r="G458" s="3">
        <f t="shared" si="2"/>
        <v>0.1639058413</v>
      </c>
      <c r="H458" s="2">
        <v>242.0</v>
      </c>
      <c r="I458" s="3">
        <f t="shared" si="3"/>
        <v>0.2109851787</v>
      </c>
      <c r="J458" s="2">
        <v>218.0</v>
      </c>
      <c r="K458" s="3">
        <f t="shared" si="4"/>
        <v>0.1900610288</v>
      </c>
      <c r="L458" s="2">
        <v>142.0</v>
      </c>
      <c r="M458" s="3">
        <f t="shared" si="5"/>
        <v>0.5867768595</v>
      </c>
      <c r="N458" s="2">
        <v>1312400.0</v>
      </c>
      <c r="O458" s="4">
        <f t="shared" si="6"/>
        <v>5423.140496</v>
      </c>
      <c r="P458" s="2">
        <v>0.0</v>
      </c>
      <c r="Q458" s="3">
        <f t="shared" si="7"/>
        <v>0</v>
      </c>
      <c r="R458" s="2">
        <v>106.0</v>
      </c>
      <c r="S458" s="5">
        <f t="shared" si="8"/>
        <v>1</v>
      </c>
    </row>
    <row r="459">
      <c r="A459" s="2" t="s">
        <v>475</v>
      </c>
      <c r="B459" s="2">
        <v>131.0</v>
      </c>
      <c r="C459" s="2">
        <v>1492.0</v>
      </c>
      <c r="D459" s="2">
        <v>522.0</v>
      </c>
      <c r="E459" s="3">
        <f t="shared" si="1"/>
        <v>0.3835415136</v>
      </c>
      <c r="F459" s="2">
        <v>223.0</v>
      </c>
      <c r="G459" s="3">
        <f t="shared" si="2"/>
        <v>0.1638501102</v>
      </c>
      <c r="H459" s="2">
        <v>338.0</v>
      </c>
      <c r="I459" s="3">
        <f t="shared" si="3"/>
        <v>0.2483468038</v>
      </c>
      <c r="J459" s="2">
        <v>243.0</v>
      </c>
      <c r="K459" s="3">
        <f t="shared" si="4"/>
        <v>0.1785451874</v>
      </c>
      <c r="L459" s="2">
        <v>209.0</v>
      </c>
      <c r="M459" s="3">
        <f t="shared" si="5"/>
        <v>0.6183431953</v>
      </c>
      <c r="N459" s="2">
        <v>1946600.0</v>
      </c>
      <c r="O459" s="4">
        <f t="shared" si="6"/>
        <v>5759.171598</v>
      </c>
      <c r="P459" s="2">
        <v>1.0</v>
      </c>
      <c r="Q459" s="3">
        <f t="shared" si="7"/>
        <v>0.007633587786</v>
      </c>
      <c r="R459" s="2">
        <v>131.0</v>
      </c>
      <c r="S459" s="5">
        <f t="shared" si="8"/>
        <v>1</v>
      </c>
    </row>
    <row r="460">
      <c r="A460" s="2">
        <v>1943.0</v>
      </c>
      <c r="B460" s="2">
        <v>11.0</v>
      </c>
      <c r="C460" s="2">
        <v>127.0</v>
      </c>
      <c r="D460" s="2">
        <v>40.0</v>
      </c>
      <c r="E460" s="3">
        <f t="shared" si="1"/>
        <v>0.3448275862</v>
      </c>
      <c r="F460" s="2">
        <v>19.0</v>
      </c>
      <c r="G460" s="3">
        <f t="shared" si="2"/>
        <v>0.1637931034</v>
      </c>
      <c r="H460" s="2">
        <v>19.0</v>
      </c>
      <c r="I460" s="3">
        <f t="shared" si="3"/>
        <v>0.1637931034</v>
      </c>
      <c r="J460" s="2">
        <v>21.0</v>
      </c>
      <c r="K460" s="3">
        <f t="shared" si="4"/>
        <v>0.1810344828</v>
      </c>
      <c r="L460" s="2">
        <v>10.0</v>
      </c>
      <c r="M460" s="3">
        <f t="shared" si="5"/>
        <v>0.5263157895</v>
      </c>
      <c r="N460" s="2">
        <v>103400.0</v>
      </c>
      <c r="O460" s="4">
        <f t="shared" si="6"/>
        <v>5442.105263</v>
      </c>
      <c r="P460" s="2">
        <v>0.0</v>
      </c>
      <c r="Q460" s="3">
        <f t="shared" si="7"/>
        <v>0</v>
      </c>
      <c r="R460" s="2">
        <v>11.0</v>
      </c>
      <c r="S460" s="5">
        <f t="shared" si="8"/>
        <v>1</v>
      </c>
    </row>
    <row r="461">
      <c r="A461" s="2" t="s">
        <v>476</v>
      </c>
      <c r="B461" s="2">
        <v>16.0</v>
      </c>
      <c r="C461" s="2">
        <v>187.0</v>
      </c>
      <c r="D461" s="2">
        <v>62.0</v>
      </c>
      <c r="E461" s="3">
        <f t="shared" si="1"/>
        <v>0.3625730994</v>
      </c>
      <c r="F461" s="2">
        <v>28.0</v>
      </c>
      <c r="G461" s="3">
        <f t="shared" si="2"/>
        <v>0.1637426901</v>
      </c>
      <c r="H461" s="2">
        <v>38.0</v>
      </c>
      <c r="I461" s="3">
        <f t="shared" si="3"/>
        <v>0.2222222222</v>
      </c>
      <c r="J461" s="2">
        <v>32.0</v>
      </c>
      <c r="K461" s="3">
        <f t="shared" si="4"/>
        <v>0.1871345029</v>
      </c>
      <c r="L461" s="2">
        <v>25.0</v>
      </c>
      <c r="M461" s="3">
        <f t="shared" si="5"/>
        <v>0.6578947368</v>
      </c>
      <c r="N461" s="2">
        <v>215000.0</v>
      </c>
      <c r="O461" s="4">
        <f t="shared" si="6"/>
        <v>5657.894737</v>
      </c>
      <c r="P461" s="2">
        <v>0.0</v>
      </c>
      <c r="Q461" s="3">
        <f t="shared" si="7"/>
        <v>0</v>
      </c>
      <c r="R461" s="2">
        <v>16.0</v>
      </c>
      <c r="S461" s="5">
        <f t="shared" si="8"/>
        <v>1</v>
      </c>
    </row>
    <row r="462">
      <c r="A462" s="2" t="s">
        <v>477</v>
      </c>
      <c r="B462" s="2">
        <v>183.0</v>
      </c>
      <c r="C462" s="2">
        <v>2107.0</v>
      </c>
      <c r="D462" s="2">
        <v>614.0</v>
      </c>
      <c r="E462" s="3">
        <f t="shared" si="1"/>
        <v>0.3191268191</v>
      </c>
      <c r="F462" s="2">
        <v>315.0</v>
      </c>
      <c r="G462" s="3">
        <f t="shared" si="2"/>
        <v>0.1637214137</v>
      </c>
      <c r="H462" s="2">
        <v>382.0</v>
      </c>
      <c r="I462" s="3">
        <f t="shared" si="3"/>
        <v>0.1985446985</v>
      </c>
      <c r="J462" s="2">
        <v>405.0</v>
      </c>
      <c r="K462" s="3">
        <f t="shared" si="4"/>
        <v>0.2104989605</v>
      </c>
      <c r="L462" s="2">
        <v>210.0</v>
      </c>
      <c r="M462" s="3">
        <f t="shared" si="5"/>
        <v>0.5497382199</v>
      </c>
      <c r="N462" s="2">
        <v>2326800.0</v>
      </c>
      <c r="O462" s="4">
        <f t="shared" si="6"/>
        <v>6091.099476</v>
      </c>
      <c r="P462" s="2">
        <v>0.0</v>
      </c>
      <c r="Q462" s="3">
        <f t="shared" si="7"/>
        <v>0</v>
      </c>
      <c r="R462" s="2">
        <v>183.0</v>
      </c>
      <c r="S462" s="5">
        <f t="shared" si="8"/>
        <v>1</v>
      </c>
    </row>
    <row r="463">
      <c r="A463" s="2" t="s">
        <v>478</v>
      </c>
      <c r="B463" s="2">
        <v>162.0</v>
      </c>
      <c r="C463" s="2">
        <v>1909.0</v>
      </c>
      <c r="D463" s="2">
        <v>628.0</v>
      </c>
      <c r="E463" s="3">
        <f t="shared" si="1"/>
        <v>0.3594733829</v>
      </c>
      <c r="F463" s="2">
        <v>286.0</v>
      </c>
      <c r="G463" s="3">
        <f t="shared" si="2"/>
        <v>0.1637092158</v>
      </c>
      <c r="H463" s="2">
        <v>362.0</v>
      </c>
      <c r="I463" s="3">
        <f t="shared" si="3"/>
        <v>0.2072123641</v>
      </c>
      <c r="J463" s="2">
        <v>318.0</v>
      </c>
      <c r="K463" s="3">
        <f t="shared" si="4"/>
        <v>0.1820263309</v>
      </c>
      <c r="L463" s="2">
        <v>201.0</v>
      </c>
      <c r="M463" s="3">
        <f t="shared" si="5"/>
        <v>0.5552486188</v>
      </c>
      <c r="N463" s="2">
        <v>2114700.0</v>
      </c>
      <c r="O463" s="4">
        <f t="shared" si="6"/>
        <v>5841.712707</v>
      </c>
      <c r="P463" s="2">
        <v>0.0</v>
      </c>
      <c r="Q463" s="3">
        <f t="shared" si="7"/>
        <v>0</v>
      </c>
      <c r="R463" s="2">
        <v>162.0</v>
      </c>
      <c r="S463" s="5">
        <f t="shared" si="8"/>
        <v>1</v>
      </c>
    </row>
    <row r="464">
      <c r="A464" s="2" t="s">
        <v>479</v>
      </c>
      <c r="B464" s="2">
        <v>67.0</v>
      </c>
      <c r="C464" s="2">
        <v>825.0</v>
      </c>
      <c r="D464" s="2">
        <v>293.0</v>
      </c>
      <c r="E464" s="3">
        <f t="shared" si="1"/>
        <v>0.3865435356</v>
      </c>
      <c r="F464" s="2">
        <v>124.0</v>
      </c>
      <c r="G464" s="3">
        <f t="shared" si="2"/>
        <v>0.1635883905</v>
      </c>
      <c r="H464" s="2">
        <v>128.0</v>
      </c>
      <c r="I464" s="3">
        <f t="shared" si="3"/>
        <v>0.1688654354</v>
      </c>
      <c r="J464" s="2">
        <v>104.0</v>
      </c>
      <c r="K464" s="3">
        <f t="shared" si="4"/>
        <v>0.1372031662</v>
      </c>
      <c r="L464" s="2">
        <v>69.0</v>
      </c>
      <c r="M464" s="3">
        <f t="shared" si="5"/>
        <v>0.5390625</v>
      </c>
      <c r="N464" s="2">
        <v>832800.0</v>
      </c>
      <c r="O464" s="4">
        <f t="shared" si="6"/>
        <v>6506.25</v>
      </c>
      <c r="P464" s="2">
        <v>0.0</v>
      </c>
      <c r="Q464" s="3">
        <f t="shared" si="7"/>
        <v>0</v>
      </c>
      <c r="R464" s="2">
        <v>67.0</v>
      </c>
      <c r="S464" s="5">
        <f t="shared" si="8"/>
        <v>1</v>
      </c>
    </row>
    <row r="465">
      <c r="A465" s="2" t="s">
        <v>480</v>
      </c>
      <c r="B465" s="2">
        <v>15.0</v>
      </c>
      <c r="C465" s="2">
        <v>174.0</v>
      </c>
      <c r="D465" s="2">
        <v>67.0</v>
      </c>
      <c r="E465" s="3">
        <f t="shared" si="1"/>
        <v>0.4213836478</v>
      </c>
      <c r="F465" s="2">
        <v>26.0</v>
      </c>
      <c r="G465" s="3">
        <f t="shared" si="2"/>
        <v>0.1635220126</v>
      </c>
      <c r="H465" s="2">
        <v>32.0</v>
      </c>
      <c r="I465" s="3">
        <f t="shared" si="3"/>
        <v>0.2012578616</v>
      </c>
      <c r="J465" s="2">
        <v>22.0</v>
      </c>
      <c r="K465" s="3">
        <f t="shared" si="4"/>
        <v>0.1383647799</v>
      </c>
      <c r="L465" s="2">
        <v>18.0</v>
      </c>
      <c r="M465" s="3">
        <f t="shared" si="5"/>
        <v>0.5625</v>
      </c>
      <c r="N465" s="2">
        <v>157200.0</v>
      </c>
      <c r="O465" s="4">
        <f t="shared" si="6"/>
        <v>4912.5</v>
      </c>
      <c r="P465" s="2">
        <v>0.0</v>
      </c>
      <c r="Q465" s="3">
        <f t="shared" si="7"/>
        <v>0</v>
      </c>
      <c r="R465" s="2">
        <v>0.0</v>
      </c>
      <c r="S465" s="5">
        <f t="shared" si="8"/>
        <v>0</v>
      </c>
    </row>
    <row r="466">
      <c r="A466" s="2" t="s">
        <v>481</v>
      </c>
      <c r="B466" s="2">
        <v>9.0</v>
      </c>
      <c r="C466" s="2">
        <v>113.0</v>
      </c>
      <c r="D466" s="2">
        <v>35.0</v>
      </c>
      <c r="E466" s="3">
        <f t="shared" si="1"/>
        <v>0.3365384615</v>
      </c>
      <c r="F466" s="2">
        <v>17.0</v>
      </c>
      <c r="G466" s="3">
        <f t="shared" si="2"/>
        <v>0.1634615385</v>
      </c>
      <c r="H466" s="2">
        <v>16.0</v>
      </c>
      <c r="I466" s="3">
        <f t="shared" si="3"/>
        <v>0.1538461538</v>
      </c>
      <c r="J466" s="2">
        <v>22.0</v>
      </c>
      <c r="K466" s="3">
        <f t="shared" si="4"/>
        <v>0.2115384615</v>
      </c>
      <c r="L466" s="2">
        <v>8.0</v>
      </c>
      <c r="M466" s="3">
        <f t="shared" si="5"/>
        <v>0.5</v>
      </c>
      <c r="N466" s="2">
        <v>65200.0</v>
      </c>
      <c r="O466" s="4">
        <f t="shared" si="6"/>
        <v>4075</v>
      </c>
      <c r="P466" s="2">
        <v>0.0</v>
      </c>
      <c r="Q466" s="3">
        <f t="shared" si="7"/>
        <v>0</v>
      </c>
      <c r="R466" s="2">
        <v>9.0</v>
      </c>
      <c r="S466" s="5">
        <f t="shared" si="8"/>
        <v>1</v>
      </c>
    </row>
    <row r="467">
      <c r="A467" s="2" t="s">
        <v>482</v>
      </c>
      <c r="B467" s="2">
        <v>11.0</v>
      </c>
      <c r="C467" s="2">
        <v>115.0</v>
      </c>
      <c r="D467" s="2">
        <v>27.0</v>
      </c>
      <c r="E467" s="3">
        <f t="shared" si="1"/>
        <v>0.2596153846</v>
      </c>
      <c r="F467" s="2">
        <v>17.0</v>
      </c>
      <c r="G467" s="3">
        <f t="shared" si="2"/>
        <v>0.1634615385</v>
      </c>
      <c r="H467" s="2">
        <v>15.0</v>
      </c>
      <c r="I467" s="3">
        <f t="shared" si="3"/>
        <v>0.1442307692</v>
      </c>
      <c r="J467" s="2">
        <v>18.0</v>
      </c>
      <c r="K467" s="3">
        <f t="shared" si="4"/>
        <v>0.1730769231</v>
      </c>
      <c r="L467" s="2">
        <v>10.0</v>
      </c>
      <c r="M467" s="3">
        <f t="shared" si="5"/>
        <v>0.6666666667</v>
      </c>
      <c r="N467" s="2">
        <v>106500.0</v>
      </c>
      <c r="O467" s="4">
        <f t="shared" si="6"/>
        <v>7100</v>
      </c>
      <c r="P467" s="2">
        <v>0.0</v>
      </c>
      <c r="Q467" s="3">
        <f t="shared" si="7"/>
        <v>0</v>
      </c>
      <c r="R467" s="2">
        <v>11.0</v>
      </c>
      <c r="S467" s="5">
        <f t="shared" si="8"/>
        <v>1</v>
      </c>
    </row>
    <row r="468">
      <c r="A468" s="2" t="s">
        <v>483</v>
      </c>
      <c r="B468" s="2">
        <v>58.0</v>
      </c>
      <c r="C468" s="2">
        <v>682.0</v>
      </c>
      <c r="D468" s="2">
        <v>236.0</v>
      </c>
      <c r="E468" s="3">
        <f t="shared" si="1"/>
        <v>0.3782051282</v>
      </c>
      <c r="F468" s="2">
        <v>102.0</v>
      </c>
      <c r="G468" s="3">
        <f t="shared" si="2"/>
        <v>0.1634615385</v>
      </c>
      <c r="H468" s="2">
        <v>130.0</v>
      </c>
      <c r="I468" s="3">
        <f t="shared" si="3"/>
        <v>0.2083333333</v>
      </c>
      <c r="J468" s="2">
        <v>96.0</v>
      </c>
      <c r="K468" s="3">
        <f t="shared" si="4"/>
        <v>0.1538461538</v>
      </c>
      <c r="L468" s="2">
        <v>76.0</v>
      </c>
      <c r="M468" s="3">
        <f t="shared" si="5"/>
        <v>0.5846153846</v>
      </c>
      <c r="N468" s="2">
        <v>805600.0</v>
      </c>
      <c r="O468" s="4">
        <f t="shared" si="6"/>
        <v>6196.923077</v>
      </c>
      <c r="P468" s="2">
        <v>1.0</v>
      </c>
      <c r="Q468" s="3">
        <f t="shared" si="7"/>
        <v>0.01724137931</v>
      </c>
      <c r="R468" s="2">
        <v>58.0</v>
      </c>
      <c r="S468" s="5">
        <f t="shared" si="8"/>
        <v>1</v>
      </c>
    </row>
    <row r="469">
      <c r="A469" s="2" t="s">
        <v>484</v>
      </c>
      <c r="B469" s="2">
        <v>1159.0</v>
      </c>
      <c r="C469" s="2">
        <v>13371.0</v>
      </c>
      <c r="D469" s="2">
        <v>4935.0</v>
      </c>
      <c r="E469" s="3">
        <f t="shared" si="1"/>
        <v>0.4041107108</v>
      </c>
      <c r="F469" s="2">
        <v>1996.0</v>
      </c>
      <c r="G469" s="3">
        <f t="shared" si="2"/>
        <v>0.163445791</v>
      </c>
      <c r="H469" s="2">
        <v>2799.0</v>
      </c>
      <c r="I469" s="3">
        <f t="shared" si="3"/>
        <v>0.2292007861</v>
      </c>
      <c r="J469" s="2">
        <v>1650.0</v>
      </c>
      <c r="K469" s="3">
        <f t="shared" si="4"/>
        <v>0.1351130036</v>
      </c>
      <c r="L469" s="2">
        <v>1713.0</v>
      </c>
      <c r="M469" s="3">
        <f t="shared" si="5"/>
        <v>0.6120042872</v>
      </c>
      <c r="N469" s="2">
        <v>1.47815E7</v>
      </c>
      <c r="O469" s="4">
        <f t="shared" si="6"/>
        <v>5280.993212</v>
      </c>
      <c r="P469" s="2">
        <v>5.0</v>
      </c>
      <c r="Q469" s="3">
        <f t="shared" si="7"/>
        <v>0.004314063848</v>
      </c>
      <c r="R469" s="2">
        <v>1159.0</v>
      </c>
      <c r="S469" s="5">
        <f t="shared" si="8"/>
        <v>1</v>
      </c>
    </row>
    <row r="470">
      <c r="A470" s="2" t="s">
        <v>485</v>
      </c>
      <c r="B470" s="2">
        <v>84.0</v>
      </c>
      <c r="C470" s="2">
        <v>1008.0</v>
      </c>
      <c r="D470" s="2">
        <v>292.0</v>
      </c>
      <c r="E470" s="3">
        <f t="shared" si="1"/>
        <v>0.316017316</v>
      </c>
      <c r="F470" s="2">
        <v>151.0</v>
      </c>
      <c r="G470" s="3">
        <f t="shared" si="2"/>
        <v>0.1634199134</v>
      </c>
      <c r="H470" s="2">
        <v>192.0</v>
      </c>
      <c r="I470" s="3">
        <f t="shared" si="3"/>
        <v>0.2077922078</v>
      </c>
      <c r="J470" s="2">
        <v>182.0</v>
      </c>
      <c r="K470" s="3">
        <f t="shared" si="4"/>
        <v>0.196969697</v>
      </c>
      <c r="L470" s="2">
        <v>112.0</v>
      </c>
      <c r="M470" s="3">
        <f t="shared" si="5"/>
        <v>0.5833333333</v>
      </c>
      <c r="N470" s="2">
        <v>1114300.0</v>
      </c>
      <c r="O470" s="4">
        <f t="shared" si="6"/>
        <v>5803.645833</v>
      </c>
      <c r="P470" s="2">
        <v>0.0</v>
      </c>
      <c r="Q470" s="3">
        <f t="shared" si="7"/>
        <v>0</v>
      </c>
      <c r="R470" s="2">
        <v>84.0</v>
      </c>
      <c r="S470" s="5">
        <f t="shared" si="8"/>
        <v>1</v>
      </c>
    </row>
    <row r="471">
      <c r="A471" s="2" t="s">
        <v>486</v>
      </c>
      <c r="B471" s="2">
        <v>24.0</v>
      </c>
      <c r="C471" s="2">
        <v>275.0</v>
      </c>
      <c r="D471" s="2">
        <v>94.0</v>
      </c>
      <c r="E471" s="3">
        <f t="shared" si="1"/>
        <v>0.374501992</v>
      </c>
      <c r="F471" s="2">
        <v>41.0</v>
      </c>
      <c r="G471" s="3">
        <f t="shared" si="2"/>
        <v>0.1633466135</v>
      </c>
      <c r="H471" s="2">
        <v>53.0</v>
      </c>
      <c r="I471" s="3">
        <f t="shared" si="3"/>
        <v>0.2111553785</v>
      </c>
      <c r="J471" s="2">
        <v>51.0</v>
      </c>
      <c r="K471" s="3">
        <f t="shared" si="4"/>
        <v>0.203187251</v>
      </c>
      <c r="L471" s="2">
        <v>33.0</v>
      </c>
      <c r="M471" s="3">
        <f t="shared" si="5"/>
        <v>0.6226415094</v>
      </c>
      <c r="N471" s="2">
        <v>331100.0</v>
      </c>
      <c r="O471" s="4">
        <f t="shared" si="6"/>
        <v>6247.169811</v>
      </c>
      <c r="P471" s="2">
        <v>0.0</v>
      </c>
      <c r="Q471" s="3">
        <f t="shared" si="7"/>
        <v>0</v>
      </c>
      <c r="R471" s="2">
        <v>24.0</v>
      </c>
      <c r="S471" s="5">
        <f t="shared" si="8"/>
        <v>1</v>
      </c>
    </row>
    <row r="472">
      <c r="A472" s="2" t="s">
        <v>487</v>
      </c>
      <c r="B472" s="2">
        <v>70.0</v>
      </c>
      <c r="C472" s="2">
        <v>823.0</v>
      </c>
      <c r="D472" s="2">
        <v>264.0</v>
      </c>
      <c r="E472" s="3">
        <f t="shared" si="1"/>
        <v>0.3505976096</v>
      </c>
      <c r="F472" s="2">
        <v>123.0</v>
      </c>
      <c r="G472" s="3">
        <f t="shared" si="2"/>
        <v>0.1633466135</v>
      </c>
      <c r="H472" s="2">
        <v>137.0</v>
      </c>
      <c r="I472" s="3">
        <f t="shared" si="3"/>
        <v>0.181938911</v>
      </c>
      <c r="J472" s="2">
        <v>93.0</v>
      </c>
      <c r="K472" s="3">
        <f t="shared" si="4"/>
        <v>0.1235059761</v>
      </c>
      <c r="L472" s="2">
        <v>85.0</v>
      </c>
      <c r="M472" s="3">
        <f t="shared" si="5"/>
        <v>0.6204379562</v>
      </c>
      <c r="N472" s="2">
        <v>784900.0</v>
      </c>
      <c r="O472" s="4">
        <f t="shared" si="6"/>
        <v>5729.19708</v>
      </c>
      <c r="P472" s="2">
        <v>0.0</v>
      </c>
      <c r="Q472" s="3">
        <f t="shared" si="7"/>
        <v>0</v>
      </c>
      <c r="R472" s="2">
        <v>70.0</v>
      </c>
      <c r="S472" s="5">
        <f t="shared" si="8"/>
        <v>1</v>
      </c>
    </row>
    <row r="473">
      <c r="A473" s="2" t="s">
        <v>488</v>
      </c>
      <c r="B473" s="2">
        <v>5.0</v>
      </c>
      <c r="C473" s="2">
        <v>54.0</v>
      </c>
      <c r="D473" s="2">
        <v>17.0</v>
      </c>
      <c r="E473" s="3">
        <f t="shared" si="1"/>
        <v>0.3469387755</v>
      </c>
      <c r="F473" s="2">
        <v>8.0</v>
      </c>
      <c r="G473" s="3">
        <f t="shared" si="2"/>
        <v>0.1632653061</v>
      </c>
      <c r="H473" s="2">
        <v>12.0</v>
      </c>
      <c r="I473" s="3">
        <f t="shared" si="3"/>
        <v>0.2448979592</v>
      </c>
      <c r="J473" s="2">
        <v>12.0</v>
      </c>
      <c r="K473" s="3">
        <f t="shared" si="4"/>
        <v>0.2448979592</v>
      </c>
      <c r="L473" s="2">
        <v>5.0</v>
      </c>
      <c r="M473" s="3">
        <f t="shared" si="5"/>
        <v>0.4166666667</v>
      </c>
      <c r="N473" s="2">
        <v>63400.0</v>
      </c>
      <c r="O473" s="4">
        <f t="shared" si="6"/>
        <v>5283.333333</v>
      </c>
      <c r="P473" s="2">
        <v>0.0</v>
      </c>
      <c r="Q473" s="3">
        <f t="shared" si="7"/>
        <v>0</v>
      </c>
      <c r="R473" s="2">
        <v>0.0</v>
      </c>
      <c r="S473" s="5">
        <f t="shared" si="8"/>
        <v>0</v>
      </c>
    </row>
    <row r="474">
      <c r="A474" s="2" t="s">
        <v>489</v>
      </c>
      <c r="B474" s="2">
        <v>357.0</v>
      </c>
      <c r="C474" s="2">
        <v>4108.0</v>
      </c>
      <c r="D474" s="2">
        <v>1144.0</v>
      </c>
      <c r="E474" s="3">
        <f t="shared" si="1"/>
        <v>0.3049853372</v>
      </c>
      <c r="F474" s="2">
        <v>612.0</v>
      </c>
      <c r="G474" s="3">
        <f t="shared" si="2"/>
        <v>0.1631564916</v>
      </c>
      <c r="H474" s="2">
        <v>771.0</v>
      </c>
      <c r="I474" s="3">
        <f t="shared" si="3"/>
        <v>0.2055451879</v>
      </c>
      <c r="J474" s="2">
        <v>688.0</v>
      </c>
      <c r="K474" s="3">
        <f t="shared" si="4"/>
        <v>0.1834177553</v>
      </c>
      <c r="L474" s="2">
        <v>482.0</v>
      </c>
      <c r="M474" s="3">
        <f t="shared" si="5"/>
        <v>0.6251621271</v>
      </c>
      <c r="N474" s="2">
        <v>4695000.0</v>
      </c>
      <c r="O474" s="4">
        <f t="shared" si="6"/>
        <v>6089.494163</v>
      </c>
      <c r="P474" s="2">
        <v>1.0</v>
      </c>
      <c r="Q474" s="3">
        <f t="shared" si="7"/>
        <v>0.002801120448</v>
      </c>
      <c r="R474" s="2">
        <v>357.0</v>
      </c>
      <c r="S474" s="5">
        <f t="shared" si="8"/>
        <v>1</v>
      </c>
    </row>
    <row r="475">
      <c r="A475" s="2" t="s">
        <v>490</v>
      </c>
      <c r="B475" s="2">
        <v>97.0</v>
      </c>
      <c r="C475" s="2">
        <v>1176.0</v>
      </c>
      <c r="D475" s="2">
        <v>420.0</v>
      </c>
      <c r="E475" s="3">
        <f t="shared" si="1"/>
        <v>0.3892493049</v>
      </c>
      <c r="F475" s="2">
        <v>176.0</v>
      </c>
      <c r="G475" s="3">
        <f t="shared" si="2"/>
        <v>0.1631139944</v>
      </c>
      <c r="H475" s="2">
        <v>227.0</v>
      </c>
      <c r="I475" s="3">
        <f t="shared" si="3"/>
        <v>0.2103799815</v>
      </c>
      <c r="J475" s="2">
        <v>178.0</v>
      </c>
      <c r="K475" s="3">
        <f t="shared" si="4"/>
        <v>0.1649675626</v>
      </c>
      <c r="L475" s="2">
        <v>140.0</v>
      </c>
      <c r="M475" s="3">
        <f t="shared" si="5"/>
        <v>0.6167400881</v>
      </c>
      <c r="N475" s="2">
        <v>1356400.0</v>
      </c>
      <c r="O475" s="4">
        <f t="shared" si="6"/>
        <v>5975.330396</v>
      </c>
      <c r="P475" s="2">
        <v>0.0</v>
      </c>
      <c r="Q475" s="3">
        <f t="shared" si="7"/>
        <v>0</v>
      </c>
      <c r="R475" s="2">
        <v>97.0</v>
      </c>
      <c r="S475" s="5">
        <f t="shared" si="8"/>
        <v>1</v>
      </c>
    </row>
    <row r="476">
      <c r="A476" s="2" t="s">
        <v>491</v>
      </c>
      <c r="B476" s="2">
        <v>162.0</v>
      </c>
      <c r="C476" s="2">
        <v>1940.0</v>
      </c>
      <c r="D476" s="2">
        <v>553.0</v>
      </c>
      <c r="E476" s="3">
        <f t="shared" si="1"/>
        <v>0.311023622</v>
      </c>
      <c r="F476" s="2">
        <v>290.0</v>
      </c>
      <c r="G476" s="3">
        <f t="shared" si="2"/>
        <v>0.1631046119</v>
      </c>
      <c r="H476" s="2">
        <v>391.0</v>
      </c>
      <c r="I476" s="3">
        <f t="shared" si="3"/>
        <v>0.2199100112</v>
      </c>
      <c r="J476" s="2">
        <v>340.0</v>
      </c>
      <c r="K476" s="3">
        <f t="shared" si="4"/>
        <v>0.1912260967</v>
      </c>
      <c r="L476" s="2">
        <v>240.0</v>
      </c>
      <c r="M476" s="3">
        <f t="shared" si="5"/>
        <v>0.6138107417</v>
      </c>
      <c r="N476" s="2">
        <v>2333900.0</v>
      </c>
      <c r="O476" s="4">
        <f t="shared" si="6"/>
        <v>5969.053708</v>
      </c>
      <c r="P476" s="2">
        <v>0.0</v>
      </c>
      <c r="Q476" s="3">
        <f t="shared" si="7"/>
        <v>0</v>
      </c>
      <c r="R476" s="2">
        <v>162.0</v>
      </c>
      <c r="S476" s="5">
        <f t="shared" si="8"/>
        <v>1</v>
      </c>
    </row>
    <row r="477">
      <c r="A477" s="2" t="s">
        <v>492</v>
      </c>
      <c r="B477" s="2">
        <v>67.0</v>
      </c>
      <c r="C477" s="2">
        <v>754.0</v>
      </c>
      <c r="D477" s="2">
        <v>284.0</v>
      </c>
      <c r="E477" s="3">
        <f t="shared" si="1"/>
        <v>0.4133915575</v>
      </c>
      <c r="F477" s="2">
        <v>112.0</v>
      </c>
      <c r="G477" s="3">
        <f t="shared" si="2"/>
        <v>0.1630276565</v>
      </c>
      <c r="H477" s="2">
        <v>137.0</v>
      </c>
      <c r="I477" s="3">
        <f t="shared" si="3"/>
        <v>0.1994177584</v>
      </c>
      <c r="J477" s="2">
        <v>96.0</v>
      </c>
      <c r="K477" s="3">
        <f t="shared" si="4"/>
        <v>0.1397379913</v>
      </c>
      <c r="L477" s="2">
        <v>82.0</v>
      </c>
      <c r="M477" s="3">
        <f t="shared" si="5"/>
        <v>0.598540146</v>
      </c>
      <c r="N477" s="2">
        <v>805600.0</v>
      </c>
      <c r="O477" s="4">
        <f t="shared" si="6"/>
        <v>5880.291971</v>
      </c>
      <c r="P477" s="2">
        <v>0.0</v>
      </c>
      <c r="Q477" s="3">
        <f t="shared" si="7"/>
        <v>0</v>
      </c>
      <c r="R477" s="2">
        <v>67.0</v>
      </c>
      <c r="S477" s="5">
        <f t="shared" si="8"/>
        <v>1</v>
      </c>
    </row>
    <row r="478">
      <c r="A478" s="2" t="s">
        <v>493</v>
      </c>
      <c r="B478" s="2">
        <v>47.0</v>
      </c>
      <c r="C478" s="2">
        <v>544.0</v>
      </c>
      <c r="D478" s="2">
        <v>164.0</v>
      </c>
      <c r="E478" s="3">
        <f t="shared" si="1"/>
        <v>0.3299798793</v>
      </c>
      <c r="F478" s="2">
        <v>81.0</v>
      </c>
      <c r="G478" s="3">
        <f t="shared" si="2"/>
        <v>0.1629778672</v>
      </c>
      <c r="H478" s="2">
        <v>104.0</v>
      </c>
      <c r="I478" s="3">
        <f t="shared" si="3"/>
        <v>0.2092555332</v>
      </c>
      <c r="J478" s="2">
        <v>100.0</v>
      </c>
      <c r="K478" s="3">
        <f t="shared" si="4"/>
        <v>0.2012072435</v>
      </c>
      <c r="L478" s="2">
        <v>75.0</v>
      </c>
      <c r="M478" s="3">
        <f t="shared" si="5"/>
        <v>0.7211538462</v>
      </c>
      <c r="N478" s="2">
        <v>565600.0</v>
      </c>
      <c r="O478" s="4">
        <f t="shared" si="6"/>
        <v>5438.461538</v>
      </c>
      <c r="P478" s="2">
        <v>0.0</v>
      </c>
      <c r="Q478" s="3">
        <f t="shared" si="7"/>
        <v>0</v>
      </c>
      <c r="R478" s="2">
        <v>47.0</v>
      </c>
      <c r="S478" s="5">
        <f t="shared" si="8"/>
        <v>1</v>
      </c>
    </row>
    <row r="479">
      <c r="A479" s="2" t="s">
        <v>494</v>
      </c>
      <c r="B479" s="2">
        <v>161.0</v>
      </c>
      <c r="C479" s="2">
        <v>1849.0</v>
      </c>
      <c r="D479" s="2">
        <v>667.0</v>
      </c>
      <c r="E479" s="3">
        <f t="shared" si="1"/>
        <v>0.3951421801</v>
      </c>
      <c r="F479" s="2">
        <v>275.0</v>
      </c>
      <c r="G479" s="3">
        <f t="shared" si="2"/>
        <v>0.1629146919</v>
      </c>
      <c r="H479" s="2">
        <v>376.0</v>
      </c>
      <c r="I479" s="3">
        <f t="shared" si="3"/>
        <v>0.2227488152</v>
      </c>
      <c r="J479" s="2">
        <v>259.0</v>
      </c>
      <c r="K479" s="3">
        <f t="shared" si="4"/>
        <v>0.153436019</v>
      </c>
      <c r="L479" s="2">
        <v>218.0</v>
      </c>
      <c r="M479" s="3">
        <f t="shared" si="5"/>
        <v>0.579787234</v>
      </c>
      <c r="N479" s="2">
        <v>2048300.0</v>
      </c>
      <c r="O479" s="4">
        <f t="shared" si="6"/>
        <v>5447.606383</v>
      </c>
      <c r="P479" s="2">
        <v>0.0</v>
      </c>
      <c r="Q479" s="3">
        <f t="shared" si="7"/>
        <v>0</v>
      </c>
      <c r="R479" s="2">
        <v>0.0</v>
      </c>
      <c r="S479" s="5">
        <f t="shared" si="8"/>
        <v>0</v>
      </c>
    </row>
    <row r="480">
      <c r="A480" s="2" t="s">
        <v>495</v>
      </c>
      <c r="B480" s="2">
        <v>45.0</v>
      </c>
      <c r="C480" s="2">
        <v>530.0</v>
      </c>
      <c r="D480" s="2">
        <v>148.0</v>
      </c>
      <c r="E480" s="3">
        <f t="shared" si="1"/>
        <v>0.3051546392</v>
      </c>
      <c r="F480" s="2">
        <v>79.0</v>
      </c>
      <c r="G480" s="3">
        <f t="shared" si="2"/>
        <v>0.1628865979</v>
      </c>
      <c r="H480" s="2">
        <v>104.0</v>
      </c>
      <c r="I480" s="3">
        <f t="shared" si="3"/>
        <v>0.2144329897</v>
      </c>
      <c r="J480" s="2">
        <v>83.0</v>
      </c>
      <c r="K480" s="3">
        <f t="shared" si="4"/>
        <v>0.1711340206</v>
      </c>
      <c r="L480" s="2">
        <v>60.0</v>
      </c>
      <c r="M480" s="3">
        <f t="shared" si="5"/>
        <v>0.5769230769</v>
      </c>
      <c r="N480" s="2">
        <v>596200.0</v>
      </c>
      <c r="O480" s="4">
        <f t="shared" si="6"/>
        <v>5732.692308</v>
      </c>
      <c r="P480" s="2">
        <v>0.0</v>
      </c>
      <c r="Q480" s="3">
        <f t="shared" si="7"/>
        <v>0</v>
      </c>
      <c r="R480" s="2">
        <v>36.0</v>
      </c>
      <c r="S480" s="5">
        <f t="shared" si="8"/>
        <v>0.8</v>
      </c>
    </row>
    <row r="481">
      <c r="A481" s="2" t="s">
        <v>496</v>
      </c>
      <c r="B481" s="2">
        <v>23.0</v>
      </c>
      <c r="C481" s="2">
        <v>287.0</v>
      </c>
      <c r="D481" s="2">
        <v>61.0</v>
      </c>
      <c r="E481" s="3">
        <f t="shared" si="1"/>
        <v>0.2310606061</v>
      </c>
      <c r="F481" s="2">
        <v>43.0</v>
      </c>
      <c r="G481" s="3">
        <f t="shared" si="2"/>
        <v>0.1628787879</v>
      </c>
      <c r="H481" s="2">
        <v>49.0</v>
      </c>
      <c r="I481" s="3">
        <f t="shared" si="3"/>
        <v>0.1856060606</v>
      </c>
      <c r="J481" s="2">
        <v>45.0</v>
      </c>
      <c r="K481" s="3">
        <f t="shared" si="4"/>
        <v>0.1704545455</v>
      </c>
      <c r="L481" s="2">
        <v>30.0</v>
      </c>
      <c r="M481" s="3">
        <f t="shared" si="5"/>
        <v>0.612244898</v>
      </c>
      <c r="N481" s="2">
        <v>284000.0</v>
      </c>
      <c r="O481" s="4">
        <f t="shared" si="6"/>
        <v>5795.918367</v>
      </c>
      <c r="P481" s="2">
        <v>0.0</v>
      </c>
      <c r="Q481" s="3">
        <f t="shared" si="7"/>
        <v>0</v>
      </c>
      <c r="R481" s="2">
        <v>23.0</v>
      </c>
      <c r="S481" s="5">
        <f t="shared" si="8"/>
        <v>1</v>
      </c>
    </row>
    <row r="482">
      <c r="A482" s="2" t="s">
        <v>497</v>
      </c>
      <c r="B482" s="2">
        <v>205.0</v>
      </c>
      <c r="C482" s="2">
        <v>2342.0</v>
      </c>
      <c r="D482" s="2">
        <v>937.0</v>
      </c>
      <c r="E482" s="3">
        <f t="shared" si="1"/>
        <v>0.438465138</v>
      </c>
      <c r="F482" s="2">
        <v>348.0</v>
      </c>
      <c r="G482" s="3">
        <f t="shared" si="2"/>
        <v>0.16284511</v>
      </c>
      <c r="H482" s="2">
        <v>481.0</v>
      </c>
      <c r="I482" s="3">
        <f t="shared" si="3"/>
        <v>0.2250818905</v>
      </c>
      <c r="J482" s="2">
        <v>417.0</v>
      </c>
      <c r="K482" s="3">
        <f t="shared" si="4"/>
        <v>0.1951333645</v>
      </c>
      <c r="L482" s="2">
        <v>283.0</v>
      </c>
      <c r="M482" s="3">
        <f t="shared" si="5"/>
        <v>0.5883575884</v>
      </c>
      <c r="N482" s="2">
        <v>2694600.0</v>
      </c>
      <c r="O482" s="4">
        <f t="shared" si="6"/>
        <v>5602.079002</v>
      </c>
      <c r="P482" s="2">
        <v>1.0</v>
      </c>
      <c r="Q482" s="3">
        <f t="shared" si="7"/>
        <v>0.00487804878</v>
      </c>
      <c r="R482" s="2">
        <v>205.0</v>
      </c>
      <c r="S482" s="5">
        <f t="shared" si="8"/>
        <v>1</v>
      </c>
    </row>
    <row r="483">
      <c r="A483" s="2" t="s">
        <v>498</v>
      </c>
      <c r="B483" s="2">
        <v>107.0</v>
      </c>
      <c r="C483" s="2">
        <v>1274.0</v>
      </c>
      <c r="D483" s="2">
        <v>265.0</v>
      </c>
      <c r="E483" s="3">
        <f t="shared" si="1"/>
        <v>0.2270779777</v>
      </c>
      <c r="F483" s="2">
        <v>190.0</v>
      </c>
      <c r="G483" s="3">
        <f t="shared" si="2"/>
        <v>0.1628106255</v>
      </c>
      <c r="H483" s="2">
        <v>238.0</v>
      </c>
      <c r="I483" s="3">
        <f t="shared" si="3"/>
        <v>0.2039417309</v>
      </c>
      <c r="J483" s="2">
        <v>252.0</v>
      </c>
      <c r="K483" s="3">
        <f t="shared" si="4"/>
        <v>0.2159383033</v>
      </c>
      <c r="L483" s="2">
        <v>145.0</v>
      </c>
      <c r="M483" s="3">
        <f t="shared" si="5"/>
        <v>0.6092436975</v>
      </c>
      <c r="N483" s="2">
        <v>1417700.0</v>
      </c>
      <c r="O483" s="4">
        <f t="shared" si="6"/>
        <v>5956.722689</v>
      </c>
      <c r="P483" s="2">
        <v>0.0</v>
      </c>
      <c r="Q483" s="3">
        <f t="shared" si="7"/>
        <v>0</v>
      </c>
      <c r="R483" s="2">
        <v>107.0</v>
      </c>
      <c r="S483" s="5">
        <f t="shared" si="8"/>
        <v>1</v>
      </c>
    </row>
    <row r="484">
      <c r="A484" s="2" t="s">
        <v>499</v>
      </c>
      <c r="B484" s="2">
        <v>166.0</v>
      </c>
      <c r="C484" s="2">
        <v>1979.0</v>
      </c>
      <c r="D484" s="2">
        <v>572.0</v>
      </c>
      <c r="E484" s="3">
        <f t="shared" si="1"/>
        <v>0.3154991726</v>
      </c>
      <c r="F484" s="2">
        <v>295.0</v>
      </c>
      <c r="G484" s="3">
        <f t="shared" si="2"/>
        <v>0.1627137341</v>
      </c>
      <c r="H484" s="2">
        <v>366.0</v>
      </c>
      <c r="I484" s="3">
        <f t="shared" si="3"/>
        <v>0.2018753447</v>
      </c>
      <c r="J484" s="2">
        <v>267.0</v>
      </c>
      <c r="K484" s="3">
        <f t="shared" si="4"/>
        <v>0.1472697187</v>
      </c>
      <c r="L484" s="2">
        <v>208.0</v>
      </c>
      <c r="M484" s="3">
        <f t="shared" si="5"/>
        <v>0.5683060109</v>
      </c>
      <c r="N484" s="2">
        <v>2104100.0</v>
      </c>
      <c r="O484" s="4">
        <f t="shared" si="6"/>
        <v>5748.907104</v>
      </c>
      <c r="P484" s="2">
        <v>0.0</v>
      </c>
      <c r="Q484" s="3">
        <f t="shared" si="7"/>
        <v>0</v>
      </c>
      <c r="R484" s="2">
        <v>0.0</v>
      </c>
      <c r="S484" s="5">
        <f t="shared" si="8"/>
        <v>0</v>
      </c>
    </row>
    <row r="485">
      <c r="A485" s="2" t="s">
        <v>500</v>
      </c>
      <c r="B485" s="2">
        <v>165.0</v>
      </c>
      <c r="C485" s="2">
        <v>1923.0</v>
      </c>
      <c r="D485" s="2">
        <v>620.0</v>
      </c>
      <c r="E485" s="3">
        <f t="shared" si="1"/>
        <v>0.3526734926</v>
      </c>
      <c r="F485" s="2">
        <v>286.0</v>
      </c>
      <c r="G485" s="3">
        <f t="shared" si="2"/>
        <v>0.1626848692</v>
      </c>
      <c r="H485" s="2">
        <v>382.0</v>
      </c>
      <c r="I485" s="3">
        <f t="shared" si="3"/>
        <v>0.2172923777</v>
      </c>
      <c r="J485" s="2">
        <v>280.0</v>
      </c>
      <c r="K485" s="3">
        <f t="shared" si="4"/>
        <v>0.1592718999</v>
      </c>
      <c r="L485" s="2">
        <v>240.0</v>
      </c>
      <c r="M485" s="3">
        <f t="shared" si="5"/>
        <v>0.6282722513</v>
      </c>
      <c r="N485" s="2">
        <v>2048000.0</v>
      </c>
      <c r="O485" s="4">
        <f t="shared" si="6"/>
        <v>5361.256545</v>
      </c>
      <c r="P485" s="2">
        <v>0.0</v>
      </c>
      <c r="Q485" s="3">
        <f t="shared" si="7"/>
        <v>0</v>
      </c>
      <c r="R485" s="2">
        <v>165.0</v>
      </c>
      <c r="S485" s="5">
        <f t="shared" si="8"/>
        <v>1</v>
      </c>
    </row>
    <row r="486">
      <c r="A486" s="2" t="s">
        <v>501</v>
      </c>
      <c r="B486" s="2">
        <v>258.0</v>
      </c>
      <c r="C486" s="2">
        <v>2933.0</v>
      </c>
      <c r="D486" s="2">
        <v>911.0</v>
      </c>
      <c r="E486" s="3">
        <f t="shared" si="1"/>
        <v>0.3405607477</v>
      </c>
      <c r="F486" s="2">
        <v>435.0</v>
      </c>
      <c r="G486" s="3">
        <f t="shared" si="2"/>
        <v>0.1626168224</v>
      </c>
      <c r="H486" s="2">
        <v>563.0</v>
      </c>
      <c r="I486" s="3">
        <f t="shared" si="3"/>
        <v>0.2104672897</v>
      </c>
      <c r="J486" s="2">
        <v>529.0</v>
      </c>
      <c r="K486" s="3">
        <f t="shared" si="4"/>
        <v>0.1977570093</v>
      </c>
      <c r="L486" s="2">
        <v>343.0</v>
      </c>
      <c r="M486" s="3">
        <f t="shared" si="5"/>
        <v>0.6092362345</v>
      </c>
      <c r="N486" s="2">
        <v>3374800.0</v>
      </c>
      <c r="O486" s="4">
        <f t="shared" si="6"/>
        <v>5994.316163</v>
      </c>
      <c r="P486" s="2">
        <v>0.0</v>
      </c>
      <c r="Q486" s="3">
        <f t="shared" si="7"/>
        <v>0</v>
      </c>
      <c r="R486" s="2">
        <v>258.0</v>
      </c>
      <c r="S486" s="5">
        <f t="shared" si="8"/>
        <v>1</v>
      </c>
    </row>
    <row r="487">
      <c r="A487" s="2" t="s">
        <v>502</v>
      </c>
      <c r="B487" s="2">
        <v>66.0</v>
      </c>
      <c r="C487" s="2">
        <v>804.0</v>
      </c>
      <c r="D487" s="2">
        <v>264.0</v>
      </c>
      <c r="E487" s="3">
        <f t="shared" si="1"/>
        <v>0.3577235772</v>
      </c>
      <c r="F487" s="2">
        <v>120.0</v>
      </c>
      <c r="G487" s="3">
        <f t="shared" si="2"/>
        <v>0.162601626</v>
      </c>
      <c r="H487" s="2">
        <v>148.0</v>
      </c>
      <c r="I487" s="3">
        <f t="shared" si="3"/>
        <v>0.2005420054</v>
      </c>
      <c r="J487" s="2">
        <v>142.0</v>
      </c>
      <c r="K487" s="3">
        <f t="shared" si="4"/>
        <v>0.1924119241</v>
      </c>
      <c r="L487" s="2">
        <v>82.0</v>
      </c>
      <c r="M487" s="3">
        <f t="shared" si="5"/>
        <v>0.5540540541</v>
      </c>
      <c r="N487" s="2">
        <v>864000.0</v>
      </c>
      <c r="O487" s="4">
        <f t="shared" si="6"/>
        <v>5837.837838</v>
      </c>
      <c r="P487" s="2">
        <v>0.0</v>
      </c>
      <c r="Q487" s="3">
        <f t="shared" si="7"/>
        <v>0</v>
      </c>
      <c r="R487" s="2">
        <v>66.0</v>
      </c>
      <c r="S487" s="5">
        <f t="shared" si="8"/>
        <v>1</v>
      </c>
    </row>
    <row r="488">
      <c r="A488" s="2" t="s">
        <v>503</v>
      </c>
      <c r="B488" s="2">
        <v>146.0</v>
      </c>
      <c r="C488" s="2">
        <v>1709.0</v>
      </c>
      <c r="D488" s="2">
        <v>891.0</v>
      </c>
      <c r="E488" s="3">
        <f t="shared" si="1"/>
        <v>0.5700575816</v>
      </c>
      <c r="F488" s="2">
        <v>254.0</v>
      </c>
      <c r="G488" s="3">
        <f t="shared" si="2"/>
        <v>0.1625079974</v>
      </c>
      <c r="H488" s="2">
        <v>336.0</v>
      </c>
      <c r="I488" s="3">
        <f t="shared" si="3"/>
        <v>0.2149712092</v>
      </c>
      <c r="J488" s="2">
        <v>208.0</v>
      </c>
      <c r="K488" s="3">
        <f t="shared" si="4"/>
        <v>0.1330774152</v>
      </c>
      <c r="L488" s="2">
        <v>218.0</v>
      </c>
      <c r="M488" s="3">
        <f t="shared" si="5"/>
        <v>0.6488095238</v>
      </c>
      <c r="N488" s="2">
        <v>1823900.0</v>
      </c>
      <c r="O488" s="4">
        <f t="shared" si="6"/>
        <v>5428.27381</v>
      </c>
      <c r="P488" s="2">
        <v>0.0</v>
      </c>
      <c r="Q488" s="3">
        <f t="shared" si="7"/>
        <v>0</v>
      </c>
      <c r="R488" s="2">
        <v>146.0</v>
      </c>
      <c r="S488" s="5">
        <f t="shared" si="8"/>
        <v>1</v>
      </c>
    </row>
    <row r="489">
      <c r="A489" s="2" t="s">
        <v>504</v>
      </c>
      <c r="B489" s="2">
        <v>8.0</v>
      </c>
      <c r="C489" s="2">
        <v>88.0</v>
      </c>
      <c r="D489" s="2">
        <v>11.0</v>
      </c>
      <c r="E489" s="3">
        <f t="shared" si="1"/>
        <v>0.1375</v>
      </c>
      <c r="F489" s="2">
        <v>13.0</v>
      </c>
      <c r="G489" s="3">
        <f t="shared" si="2"/>
        <v>0.1625</v>
      </c>
      <c r="H489" s="2">
        <v>15.0</v>
      </c>
      <c r="I489" s="3">
        <f t="shared" si="3"/>
        <v>0.1875</v>
      </c>
      <c r="J489" s="2">
        <v>15.0</v>
      </c>
      <c r="K489" s="3">
        <f t="shared" si="4"/>
        <v>0.1875</v>
      </c>
      <c r="L489" s="2">
        <v>9.0</v>
      </c>
      <c r="M489" s="3">
        <f t="shared" si="5"/>
        <v>0.6</v>
      </c>
      <c r="N489" s="2">
        <v>88200.0</v>
      </c>
      <c r="O489" s="4">
        <f t="shared" si="6"/>
        <v>5880</v>
      </c>
      <c r="P489" s="2">
        <v>0.0</v>
      </c>
      <c r="Q489" s="3">
        <f t="shared" si="7"/>
        <v>0</v>
      </c>
      <c r="R489" s="2">
        <v>0.0</v>
      </c>
      <c r="S489" s="5">
        <f t="shared" si="8"/>
        <v>0</v>
      </c>
    </row>
    <row r="490">
      <c r="A490" s="2" t="s">
        <v>505</v>
      </c>
      <c r="B490" s="2">
        <v>14.0</v>
      </c>
      <c r="C490" s="2">
        <v>174.0</v>
      </c>
      <c r="D490" s="2">
        <v>53.0</v>
      </c>
      <c r="E490" s="3">
        <f t="shared" si="1"/>
        <v>0.33125</v>
      </c>
      <c r="F490" s="2">
        <v>26.0</v>
      </c>
      <c r="G490" s="3">
        <f t="shared" si="2"/>
        <v>0.1625</v>
      </c>
      <c r="H490" s="2">
        <v>27.0</v>
      </c>
      <c r="I490" s="3">
        <f t="shared" si="3"/>
        <v>0.16875</v>
      </c>
      <c r="J490" s="2">
        <v>27.0</v>
      </c>
      <c r="K490" s="3">
        <f t="shared" si="4"/>
        <v>0.16875</v>
      </c>
      <c r="L490" s="2">
        <v>19.0</v>
      </c>
      <c r="M490" s="3">
        <f t="shared" si="5"/>
        <v>0.7037037037</v>
      </c>
      <c r="N490" s="2">
        <v>128200.0</v>
      </c>
      <c r="O490" s="4">
        <f t="shared" si="6"/>
        <v>4748.148148</v>
      </c>
      <c r="P490" s="2">
        <v>0.0</v>
      </c>
      <c r="Q490" s="3">
        <f t="shared" si="7"/>
        <v>0</v>
      </c>
      <c r="R490" s="2">
        <v>0.0</v>
      </c>
      <c r="S490" s="5">
        <f t="shared" si="8"/>
        <v>0</v>
      </c>
    </row>
    <row r="491">
      <c r="A491" s="2" t="s">
        <v>506</v>
      </c>
      <c r="B491" s="2">
        <v>56.0</v>
      </c>
      <c r="C491" s="2">
        <v>653.0</v>
      </c>
      <c r="D491" s="2">
        <v>199.0</v>
      </c>
      <c r="E491" s="3">
        <f t="shared" si="1"/>
        <v>0.3333333333</v>
      </c>
      <c r="F491" s="2">
        <v>97.0</v>
      </c>
      <c r="G491" s="3">
        <f t="shared" si="2"/>
        <v>0.162479062</v>
      </c>
      <c r="H491" s="2">
        <v>137.0</v>
      </c>
      <c r="I491" s="3">
        <f t="shared" si="3"/>
        <v>0.229480737</v>
      </c>
      <c r="J491" s="2">
        <v>119.0</v>
      </c>
      <c r="K491" s="3">
        <f t="shared" si="4"/>
        <v>0.1993299832</v>
      </c>
      <c r="L491" s="2">
        <v>92.0</v>
      </c>
      <c r="M491" s="3">
        <f t="shared" si="5"/>
        <v>0.6715328467</v>
      </c>
      <c r="N491" s="2">
        <v>745100.0</v>
      </c>
      <c r="O491" s="4">
        <f t="shared" si="6"/>
        <v>5438.686131</v>
      </c>
      <c r="P491" s="2">
        <v>1.0</v>
      </c>
      <c r="Q491" s="3">
        <f t="shared" si="7"/>
        <v>0.01785714286</v>
      </c>
      <c r="R491" s="2">
        <v>56.0</v>
      </c>
      <c r="S491" s="5">
        <f t="shared" si="8"/>
        <v>1</v>
      </c>
    </row>
    <row r="492">
      <c r="A492" s="2" t="s">
        <v>507</v>
      </c>
      <c r="B492" s="2">
        <v>58.0</v>
      </c>
      <c r="C492" s="2">
        <v>692.0</v>
      </c>
      <c r="D492" s="2">
        <v>209.0</v>
      </c>
      <c r="E492" s="3">
        <f t="shared" si="1"/>
        <v>0.3296529968</v>
      </c>
      <c r="F492" s="2">
        <v>103.0</v>
      </c>
      <c r="G492" s="3">
        <f t="shared" si="2"/>
        <v>0.1624605678</v>
      </c>
      <c r="H492" s="2">
        <v>120.0</v>
      </c>
      <c r="I492" s="3">
        <f t="shared" si="3"/>
        <v>0.1892744479</v>
      </c>
      <c r="J492" s="2">
        <v>133.0</v>
      </c>
      <c r="K492" s="3">
        <f t="shared" si="4"/>
        <v>0.2097791798</v>
      </c>
      <c r="L492" s="2">
        <v>62.0</v>
      </c>
      <c r="M492" s="3">
        <f t="shared" si="5"/>
        <v>0.5166666667</v>
      </c>
      <c r="N492" s="2">
        <v>673500.0</v>
      </c>
      <c r="O492" s="4">
        <f t="shared" si="6"/>
        <v>5612.5</v>
      </c>
      <c r="P492" s="2">
        <v>0.0</v>
      </c>
      <c r="Q492" s="3">
        <f t="shared" si="7"/>
        <v>0</v>
      </c>
      <c r="R492" s="2">
        <v>58.0</v>
      </c>
      <c r="S492" s="5">
        <f t="shared" si="8"/>
        <v>1</v>
      </c>
    </row>
    <row r="493">
      <c r="A493" s="2" t="s">
        <v>508</v>
      </c>
      <c r="B493" s="2">
        <v>84.0</v>
      </c>
      <c r="C493" s="2">
        <v>1020.0</v>
      </c>
      <c r="D493" s="2">
        <v>424.0</v>
      </c>
      <c r="E493" s="3">
        <f t="shared" si="1"/>
        <v>0.452991453</v>
      </c>
      <c r="F493" s="2">
        <v>152.0</v>
      </c>
      <c r="G493" s="3">
        <f t="shared" si="2"/>
        <v>0.1623931624</v>
      </c>
      <c r="H493" s="2">
        <v>208.0</v>
      </c>
      <c r="I493" s="3">
        <f t="shared" si="3"/>
        <v>0.2222222222</v>
      </c>
      <c r="J493" s="2">
        <v>137.0</v>
      </c>
      <c r="K493" s="3">
        <f t="shared" si="4"/>
        <v>0.1463675214</v>
      </c>
      <c r="L493" s="2">
        <v>124.0</v>
      </c>
      <c r="M493" s="3">
        <f t="shared" si="5"/>
        <v>0.5961538462</v>
      </c>
      <c r="N493" s="2">
        <v>1000600.0</v>
      </c>
      <c r="O493" s="4">
        <f t="shared" si="6"/>
        <v>4810.576923</v>
      </c>
      <c r="P493" s="2">
        <v>0.0</v>
      </c>
      <c r="Q493" s="3">
        <f t="shared" si="7"/>
        <v>0</v>
      </c>
      <c r="R493" s="2">
        <v>84.0</v>
      </c>
      <c r="S493" s="5">
        <f t="shared" si="8"/>
        <v>1</v>
      </c>
    </row>
    <row r="494">
      <c r="A494" s="2" t="s">
        <v>509</v>
      </c>
      <c r="B494" s="2">
        <v>131.0</v>
      </c>
      <c r="C494" s="2">
        <v>1572.0</v>
      </c>
      <c r="D494" s="2">
        <v>652.0</v>
      </c>
      <c r="E494" s="3">
        <f t="shared" si="1"/>
        <v>0.452463567</v>
      </c>
      <c r="F494" s="2">
        <v>234.0</v>
      </c>
      <c r="G494" s="3">
        <f t="shared" si="2"/>
        <v>0.1623872311</v>
      </c>
      <c r="H494" s="2">
        <v>356.0</v>
      </c>
      <c r="I494" s="3">
        <f t="shared" si="3"/>
        <v>0.2470506593</v>
      </c>
      <c r="J494" s="2">
        <v>305.0</v>
      </c>
      <c r="K494" s="3">
        <f t="shared" si="4"/>
        <v>0.2116585704</v>
      </c>
      <c r="L494" s="2">
        <v>216.0</v>
      </c>
      <c r="M494" s="3">
        <f t="shared" si="5"/>
        <v>0.606741573</v>
      </c>
      <c r="N494" s="2">
        <v>1866600.0</v>
      </c>
      <c r="O494" s="4">
        <f t="shared" si="6"/>
        <v>5243.258427</v>
      </c>
      <c r="P494" s="2">
        <v>0.0</v>
      </c>
      <c r="Q494" s="3">
        <f t="shared" si="7"/>
        <v>0</v>
      </c>
      <c r="R494" s="2">
        <v>131.0</v>
      </c>
      <c r="S494" s="5">
        <f t="shared" si="8"/>
        <v>1</v>
      </c>
    </row>
    <row r="495">
      <c r="A495" s="2" t="s">
        <v>510</v>
      </c>
      <c r="B495" s="2">
        <v>71.0</v>
      </c>
      <c r="C495" s="2">
        <v>810.0</v>
      </c>
      <c r="D495" s="2">
        <v>234.0</v>
      </c>
      <c r="E495" s="3">
        <f t="shared" si="1"/>
        <v>0.3166441137</v>
      </c>
      <c r="F495" s="2">
        <v>120.0</v>
      </c>
      <c r="G495" s="3">
        <f t="shared" si="2"/>
        <v>0.1623815968</v>
      </c>
      <c r="H495" s="2">
        <v>153.0</v>
      </c>
      <c r="I495" s="3">
        <f t="shared" si="3"/>
        <v>0.2070365359</v>
      </c>
      <c r="J495" s="2">
        <v>136.0</v>
      </c>
      <c r="K495" s="3">
        <f t="shared" si="4"/>
        <v>0.1840324763</v>
      </c>
      <c r="L495" s="2">
        <v>90.0</v>
      </c>
      <c r="M495" s="3">
        <f t="shared" si="5"/>
        <v>0.5882352941</v>
      </c>
      <c r="N495" s="2">
        <v>885400.0</v>
      </c>
      <c r="O495" s="4">
        <f t="shared" si="6"/>
        <v>5786.928105</v>
      </c>
      <c r="P495" s="2">
        <v>0.0</v>
      </c>
      <c r="Q495" s="3">
        <f t="shared" si="7"/>
        <v>0</v>
      </c>
      <c r="R495" s="2">
        <v>71.0</v>
      </c>
      <c r="S495" s="5">
        <f t="shared" si="8"/>
        <v>1</v>
      </c>
    </row>
    <row r="496">
      <c r="A496" s="2" t="s">
        <v>511</v>
      </c>
      <c r="B496" s="2">
        <v>66.0</v>
      </c>
      <c r="C496" s="2">
        <v>793.0</v>
      </c>
      <c r="D496" s="2">
        <v>223.0</v>
      </c>
      <c r="E496" s="3">
        <f t="shared" si="1"/>
        <v>0.3067400275</v>
      </c>
      <c r="F496" s="2">
        <v>118.0</v>
      </c>
      <c r="G496" s="3">
        <f t="shared" si="2"/>
        <v>0.1623108666</v>
      </c>
      <c r="H496" s="2">
        <v>140.0</v>
      </c>
      <c r="I496" s="3">
        <f t="shared" si="3"/>
        <v>0.1925722146</v>
      </c>
      <c r="J496" s="2">
        <v>124.0</v>
      </c>
      <c r="K496" s="3">
        <f t="shared" si="4"/>
        <v>0.1705639615</v>
      </c>
      <c r="L496" s="2">
        <v>80.0</v>
      </c>
      <c r="M496" s="3">
        <f t="shared" si="5"/>
        <v>0.5714285714</v>
      </c>
      <c r="N496" s="2">
        <v>852700.0</v>
      </c>
      <c r="O496" s="4">
        <f t="shared" si="6"/>
        <v>6090.714286</v>
      </c>
      <c r="P496" s="2">
        <v>0.0</v>
      </c>
      <c r="Q496" s="3">
        <f t="shared" si="7"/>
        <v>0</v>
      </c>
      <c r="R496" s="2">
        <v>66.0</v>
      </c>
      <c r="S496" s="5">
        <f t="shared" si="8"/>
        <v>1</v>
      </c>
    </row>
    <row r="497">
      <c r="A497" s="2" t="s">
        <v>512</v>
      </c>
      <c r="B497" s="2">
        <v>85.0</v>
      </c>
      <c r="C497" s="2">
        <v>1003.0</v>
      </c>
      <c r="D497" s="2">
        <v>313.0</v>
      </c>
      <c r="E497" s="3">
        <f t="shared" si="1"/>
        <v>0.3409586057</v>
      </c>
      <c r="F497" s="2">
        <v>149.0</v>
      </c>
      <c r="G497" s="3">
        <f t="shared" si="2"/>
        <v>0.1623093682</v>
      </c>
      <c r="H497" s="2">
        <v>183.0</v>
      </c>
      <c r="I497" s="3">
        <f t="shared" si="3"/>
        <v>0.1993464052</v>
      </c>
      <c r="J497" s="2">
        <v>180.0</v>
      </c>
      <c r="K497" s="3">
        <f t="shared" si="4"/>
        <v>0.1960784314</v>
      </c>
      <c r="L497" s="2">
        <v>103.0</v>
      </c>
      <c r="M497" s="3">
        <f t="shared" si="5"/>
        <v>0.5628415301</v>
      </c>
      <c r="N497" s="2">
        <v>1164200.0</v>
      </c>
      <c r="O497" s="4">
        <f t="shared" si="6"/>
        <v>6361.748634</v>
      </c>
      <c r="P497" s="2">
        <v>0.0</v>
      </c>
      <c r="Q497" s="3">
        <f t="shared" si="7"/>
        <v>0</v>
      </c>
      <c r="R497" s="2">
        <v>85.0</v>
      </c>
      <c r="S497" s="5">
        <f t="shared" si="8"/>
        <v>1</v>
      </c>
    </row>
    <row r="498">
      <c r="A498" s="2" t="s">
        <v>513</v>
      </c>
      <c r="B498" s="2">
        <v>69.0</v>
      </c>
      <c r="C498" s="2">
        <v>833.0</v>
      </c>
      <c r="D498" s="2">
        <v>255.0</v>
      </c>
      <c r="E498" s="3">
        <f t="shared" si="1"/>
        <v>0.3337696335</v>
      </c>
      <c r="F498" s="2">
        <v>124.0</v>
      </c>
      <c r="G498" s="3">
        <f t="shared" si="2"/>
        <v>0.1623036649</v>
      </c>
      <c r="H498" s="2">
        <v>142.0</v>
      </c>
      <c r="I498" s="3">
        <f t="shared" si="3"/>
        <v>0.1858638743</v>
      </c>
      <c r="J498" s="2">
        <v>133.0</v>
      </c>
      <c r="K498" s="3">
        <f t="shared" si="4"/>
        <v>0.1740837696</v>
      </c>
      <c r="L498" s="2">
        <v>95.0</v>
      </c>
      <c r="M498" s="3">
        <f t="shared" si="5"/>
        <v>0.6690140845</v>
      </c>
      <c r="N498" s="2">
        <v>878900.0</v>
      </c>
      <c r="O498" s="4">
        <f t="shared" si="6"/>
        <v>6189.43662</v>
      </c>
      <c r="P498" s="2">
        <v>0.0</v>
      </c>
      <c r="Q498" s="3">
        <f t="shared" si="7"/>
        <v>0</v>
      </c>
      <c r="R498" s="2">
        <v>69.0</v>
      </c>
      <c r="S498" s="5">
        <f t="shared" si="8"/>
        <v>1</v>
      </c>
    </row>
    <row r="499">
      <c r="A499" s="2" t="s">
        <v>514</v>
      </c>
      <c r="B499" s="2">
        <v>20.0</v>
      </c>
      <c r="C499" s="2">
        <v>242.0</v>
      </c>
      <c r="D499" s="2">
        <v>75.0</v>
      </c>
      <c r="E499" s="3">
        <f t="shared" si="1"/>
        <v>0.3378378378</v>
      </c>
      <c r="F499" s="2">
        <v>36.0</v>
      </c>
      <c r="G499" s="3">
        <f t="shared" si="2"/>
        <v>0.1621621622</v>
      </c>
      <c r="H499" s="2">
        <v>52.0</v>
      </c>
      <c r="I499" s="3">
        <f t="shared" si="3"/>
        <v>0.2342342342</v>
      </c>
      <c r="J499" s="2">
        <v>38.0</v>
      </c>
      <c r="K499" s="3">
        <f t="shared" si="4"/>
        <v>0.1711711712</v>
      </c>
      <c r="L499" s="2">
        <v>28.0</v>
      </c>
      <c r="M499" s="3">
        <f t="shared" si="5"/>
        <v>0.5384615385</v>
      </c>
      <c r="N499" s="2">
        <v>272300.0</v>
      </c>
      <c r="O499" s="4">
        <f t="shared" si="6"/>
        <v>5236.538462</v>
      </c>
      <c r="P499" s="2">
        <v>0.0</v>
      </c>
      <c r="Q499" s="3">
        <f t="shared" si="7"/>
        <v>0</v>
      </c>
      <c r="R499" s="2">
        <v>20.0</v>
      </c>
      <c r="S499" s="5">
        <f t="shared" si="8"/>
        <v>1</v>
      </c>
    </row>
    <row r="500">
      <c r="A500" s="2" t="s">
        <v>515</v>
      </c>
      <c r="B500" s="2">
        <v>23.0</v>
      </c>
      <c r="C500" s="2">
        <v>282.0</v>
      </c>
      <c r="D500" s="2">
        <v>95.0</v>
      </c>
      <c r="E500" s="3">
        <f t="shared" si="1"/>
        <v>0.3667953668</v>
      </c>
      <c r="F500" s="2">
        <v>42.0</v>
      </c>
      <c r="G500" s="3">
        <f t="shared" si="2"/>
        <v>0.1621621622</v>
      </c>
      <c r="H500" s="2">
        <v>40.0</v>
      </c>
      <c r="I500" s="3">
        <f t="shared" si="3"/>
        <v>0.1544401544</v>
      </c>
      <c r="J500" s="2">
        <v>40.0</v>
      </c>
      <c r="K500" s="3">
        <f t="shared" si="4"/>
        <v>0.1544401544</v>
      </c>
      <c r="L500" s="2">
        <v>25.0</v>
      </c>
      <c r="M500" s="3">
        <f t="shared" si="5"/>
        <v>0.625</v>
      </c>
      <c r="N500" s="2">
        <v>225300.0</v>
      </c>
      <c r="O500" s="4">
        <f t="shared" si="6"/>
        <v>5632.5</v>
      </c>
      <c r="P500" s="2">
        <v>0.0</v>
      </c>
      <c r="Q500" s="3">
        <f t="shared" si="7"/>
        <v>0</v>
      </c>
      <c r="R500" s="2">
        <v>23.0</v>
      </c>
      <c r="S500" s="5">
        <f t="shared" si="8"/>
        <v>1</v>
      </c>
    </row>
    <row r="501">
      <c r="A501" s="2" t="s">
        <v>516</v>
      </c>
      <c r="B501" s="2">
        <v>192.0</v>
      </c>
      <c r="C501" s="2">
        <v>2209.0</v>
      </c>
      <c r="D501" s="2">
        <v>674.0</v>
      </c>
      <c r="E501" s="3">
        <f t="shared" si="1"/>
        <v>0.334159643</v>
      </c>
      <c r="F501" s="2">
        <v>327.0</v>
      </c>
      <c r="G501" s="3">
        <f t="shared" si="2"/>
        <v>0.1621219633</v>
      </c>
      <c r="H501" s="2">
        <v>402.0</v>
      </c>
      <c r="I501" s="3">
        <f t="shared" si="3"/>
        <v>0.1993058999</v>
      </c>
      <c r="J501" s="2">
        <v>442.0</v>
      </c>
      <c r="K501" s="3">
        <f t="shared" si="4"/>
        <v>0.2191373327</v>
      </c>
      <c r="L501" s="2">
        <v>247.0</v>
      </c>
      <c r="M501" s="3">
        <f t="shared" si="5"/>
        <v>0.6144278607</v>
      </c>
      <c r="N501" s="2">
        <v>2567000.0</v>
      </c>
      <c r="O501" s="4">
        <f t="shared" si="6"/>
        <v>6385.572139</v>
      </c>
      <c r="P501" s="2">
        <v>1.0</v>
      </c>
      <c r="Q501" s="3">
        <f t="shared" si="7"/>
        <v>0.005208333333</v>
      </c>
      <c r="R501" s="2">
        <v>192.0</v>
      </c>
      <c r="S501" s="5">
        <f t="shared" si="8"/>
        <v>1</v>
      </c>
    </row>
    <row r="502">
      <c r="A502" s="2" t="s">
        <v>517</v>
      </c>
      <c r="B502" s="2">
        <v>46.0</v>
      </c>
      <c r="C502" s="2">
        <v>521.0</v>
      </c>
      <c r="D502" s="2">
        <v>152.0</v>
      </c>
      <c r="E502" s="3">
        <f t="shared" si="1"/>
        <v>0.32</v>
      </c>
      <c r="F502" s="2">
        <v>77.0</v>
      </c>
      <c r="G502" s="3">
        <f t="shared" si="2"/>
        <v>0.1621052632</v>
      </c>
      <c r="H502" s="2">
        <v>83.0</v>
      </c>
      <c r="I502" s="3">
        <f t="shared" si="3"/>
        <v>0.1747368421</v>
      </c>
      <c r="J502" s="2">
        <v>91.0</v>
      </c>
      <c r="K502" s="3">
        <f t="shared" si="4"/>
        <v>0.1915789474</v>
      </c>
      <c r="L502" s="2">
        <v>45.0</v>
      </c>
      <c r="M502" s="3">
        <f t="shared" si="5"/>
        <v>0.5421686747</v>
      </c>
      <c r="N502" s="2">
        <v>477000.0</v>
      </c>
      <c r="O502" s="4">
        <f t="shared" si="6"/>
        <v>5746.987952</v>
      </c>
      <c r="P502" s="2">
        <v>0.0</v>
      </c>
      <c r="Q502" s="3">
        <f t="shared" si="7"/>
        <v>0</v>
      </c>
      <c r="R502" s="2">
        <v>46.0</v>
      </c>
      <c r="S502" s="5">
        <f t="shared" si="8"/>
        <v>1</v>
      </c>
    </row>
    <row r="503">
      <c r="A503" s="2" t="s">
        <v>518</v>
      </c>
      <c r="B503" s="2">
        <v>174.0</v>
      </c>
      <c r="C503" s="2">
        <v>2044.0</v>
      </c>
      <c r="D503" s="2">
        <v>830.0</v>
      </c>
      <c r="E503" s="3">
        <f t="shared" si="1"/>
        <v>0.4438502674</v>
      </c>
      <c r="F503" s="2">
        <v>303.0</v>
      </c>
      <c r="G503" s="3">
        <f t="shared" si="2"/>
        <v>0.1620320856</v>
      </c>
      <c r="H503" s="2">
        <v>439.0</v>
      </c>
      <c r="I503" s="3">
        <f t="shared" si="3"/>
        <v>0.2347593583</v>
      </c>
      <c r="J503" s="2">
        <v>341.0</v>
      </c>
      <c r="K503" s="3">
        <f t="shared" si="4"/>
        <v>0.1823529412</v>
      </c>
      <c r="L503" s="2">
        <v>266.0</v>
      </c>
      <c r="M503" s="3">
        <f t="shared" si="5"/>
        <v>0.6059225513</v>
      </c>
      <c r="N503" s="2">
        <v>2443300.0</v>
      </c>
      <c r="O503" s="4">
        <f t="shared" si="6"/>
        <v>5565.603645</v>
      </c>
      <c r="P503" s="2">
        <v>0.0</v>
      </c>
      <c r="Q503" s="3">
        <f t="shared" si="7"/>
        <v>0</v>
      </c>
      <c r="R503" s="2">
        <v>174.0</v>
      </c>
      <c r="S503" s="5">
        <f t="shared" si="8"/>
        <v>1</v>
      </c>
    </row>
    <row r="504">
      <c r="A504" s="2" t="s">
        <v>519</v>
      </c>
      <c r="B504" s="2">
        <v>86.0</v>
      </c>
      <c r="C504" s="2">
        <v>1018.0</v>
      </c>
      <c r="D504" s="2">
        <v>336.0</v>
      </c>
      <c r="E504" s="3">
        <f t="shared" si="1"/>
        <v>0.3605150215</v>
      </c>
      <c r="F504" s="2">
        <v>151.0</v>
      </c>
      <c r="G504" s="3">
        <f t="shared" si="2"/>
        <v>0.1620171674</v>
      </c>
      <c r="H504" s="2">
        <v>173.0</v>
      </c>
      <c r="I504" s="3">
        <f t="shared" si="3"/>
        <v>0.1856223176</v>
      </c>
      <c r="J504" s="2">
        <v>170.0</v>
      </c>
      <c r="K504" s="3">
        <f t="shared" si="4"/>
        <v>0.1824034335</v>
      </c>
      <c r="L504" s="2">
        <v>109.0</v>
      </c>
      <c r="M504" s="3">
        <f t="shared" si="5"/>
        <v>0.6300578035</v>
      </c>
      <c r="N504" s="2">
        <v>852300.0</v>
      </c>
      <c r="O504" s="4">
        <f t="shared" si="6"/>
        <v>4926.589595</v>
      </c>
      <c r="P504" s="2">
        <v>0.0</v>
      </c>
      <c r="Q504" s="3">
        <f t="shared" si="7"/>
        <v>0</v>
      </c>
      <c r="R504" s="2">
        <v>58.0</v>
      </c>
      <c r="S504" s="5">
        <f t="shared" si="8"/>
        <v>0.6744186047</v>
      </c>
    </row>
    <row r="505">
      <c r="A505" s="2" t="s">
        <v>520</v>
      </c>
      <c r="B505" s="2">
        <v>1359.0</v>
      </c>
      <c r="C505" s="2">
        <v>15707.0</v>
      </c>
      <c r="D505" s="2">
        <v>6005.0</v>
      </c>
      <c r="E505" s="3">
        <f t="shared" si="1"/>
        <v>0.41852523</v>
      </c>
      <c r="F505" s="2">
        <v>2323.0</v>
      </c>
      <c r="G505" s="3">
        <f t="shared" si="2"/>
        <v>0.1619040981</v>
      </c>
      <c r="H505" s="2">
        <v>3445.0</v>
      </c>
      <c r="I505" s="3">
        <f t="shared" si="3"/>
        <v>0.2401031503</v>
      </c>
      <c r="J505" s="2">
        <v>2959.0</v>
      </c>
      <c r="K505" s="3">
        <f t="shared" si="4"/>
        <v>0.2062308336</v>
      </c>
      <c r="L505" s="2">
        <v>2052.0</v>
      </c>
      <c r="M505" s="3">
        <f t="shared" si="5"/>
        <v>0.5956458636</v>
      </c>
      <c r="N505" s="2">
        <v>1.94415E7</v>
      </c>
      <c r="O505" s="4">
        <f t="shared" si="6"/>
        <v>5643.396226</v>
      </c>
      <c r="P505" s="2">
        <v>4.0</v>
      </c>
      <c r="Q505" s="3">
        <f t="shared" si="7"/>
        <v>0.002943340692</v>
      </c>
      <c r="R505" s="2">
        <v>1359.0</v>
      </c>
      <c r="S505" s="5">
        <f t="shared" si="8"/>
        <v>1</v>
      </c>
    </row>
    <row r="506">
      <c r="A506" s="2" t="s">
        <v>521</v>
      </c>
      <c r="B506" s="2">
        <v>137.0</v>
      </c>
      <c r="C506" s="2">
        <v>1638.0</v>
      </c>
      <c r="D506" s="2">
        <v>464.0</v>
      </c>
      <c r="E506" s="3">
        <f t="shared" si="1"/>
        <v>0.3091272485</v>
      </c>
      <c r="F506" s="2">
        <v>243.0</v>
      </c>
      <c r="G506" s="3">
        <f t="shared" si="2"/>
        <v>0.161892072</v>
      </c>
      <c r="H506" s="2">
        <v>331.0</v>
      </c>
      <c r="I506" s="3">
        <f t="shared" si="3"/>
        <v>0.2205196536</v>
      </c>
      <c r="J506" s="2">
        <v>310.0</v>
      </c>
      <c r="K506" s="3">
        <f t="shared" si="4"/>
        <v>0.2065289807</v>
      </c>
      <c r="L506" s="2">
        <v>206.0</v>
      </c>
      <c r="M506" s="3">
        <f t="shared" si="5"/>
        <v>0.6223564955</v>
      </c>
      <c r="N506" s="2">
        <v>1832400.0</v>
      </c>
      <c r="O506" s="4">
        <f t="shared" si="6"/>
        <v>5535.951662</v>
      </c>
      <c r="P506" s="2">
        <v>1.0</v>
      </c>
      <c r="Q506" s="3">
        <f t="shared" si="7"/>
        <v>0.007299270073</v>
      </c>
      <c r="R506" s="2">
        <v>137.0</v>
      </c>
      <c r="S506" s="5">
        <f t="shared" si="8"/>
        <v>1</v>
      </c>
    </row>
    <row r="507">
      <c r="A507" s="2" t="s">
        <v>522</v>
      </c>
      <c r="B507" s="2">
        <v>344.0</v>
      </c>
      <c r="C507" s="2">
        <v>3905.0</v>
      </c>
      <c r="D507" s="2">
        <v>1758.0</v>
      </c>
      <c r="E507" s="3">
        <f t="shared" si="1"/>
        <v>0.4936815501</v>
      </c>
      <c r="F507" s="2">
        <v>576.0</v>
      </c>
      <c r="G507" s="3">
        <f t="shared" si="2"/>
        <v>0.1617523168</v>
      </c>
      <c r="H507" s="2">
        <v>790.0</v>
      </c>
      <c r="I507" s="3">
        <f t="shared" si="3"/>
        <v>0.2218477956</v>
      </c>
      <c r="J507" s="2">
        <v>569.0</v>
      </c>
      <c r="K507" s="3">
        <f t="shared" si="4"/>
        <v>0.1597865768</v>
      </c>
      <c r="L507" s="2">
        <v>493.0</v>
      </c>
      <c r="M507" s="3">
        <f t="shared" si="5"/>
        <v>0.6240506329</v>
      </c>
      <c r="N507" s="2">
        <v>4731500.0</v>
      </c>
      <c r="O507" s="4">
        <f t="shared" si="6"/>
        <v>5989.240506</v>
      </c>
      <c r="P507" s="2">
        <v>1.0</v>
      </c>
      <c r="Q507" s="3">
        <f t="shared" si="7"/>
        <v>0.002906976744</v>
      </c>
      <c r="R507" s="2">
        <v>344.0</v>
      </c>
      <c r="S507" s="5">
        <f t="shared" si="8"/>
        <v>1</v>
      </c>
    </row>
    <row r="508">
      <c r="A508" s="2" t="s">
        <v>523</v>
      </c>
      <c r="B508" s="2">
        <v>118.0</v>
      </c>
      <c r="C508" s="2">
        <v>1386.0</v>
      </c>
      <c r="D508" s="2">
        <v>422.0</v>
      </c>
      <c r="E508" s="3">
        <f t="shared" si="1"/>
        <v>0.332807571</v>
      </c>
      <c r="F508" s="2">
        <v>205.0</v>
      </c>
      <c r="G508" s="3">
        <f t="shared" si="2"/>
        <v>0.1616719243</v>
      </c>
      <c r="H508" s="2">
        <v>274.0</v>
      </c>
      <c r="I508" s="3">
        <f t="shared" si="3"/>
        <v>0.2160883281</v>
      </c>
      <c r="J508" s="2">
        <v>258.0</v>
      </c>
      <c r="K508" s="3">
        <f t="shared" si="4"/>
        <v>0.2034700315</v>
      </c>
      <c r="L508" s="2">
        <v>164.0</v>
      </c>
      <c r="M508" s="3">
        <f t="shared" si="5"/>
        <v>0.598540146</v>
      </c>
      <c r="N508" s="2">
        <v>1458900.0</v>
      </c>
      <c r="O508" s="4">
        <f t="shared" si="6"/>
        <v>5324.452555</v>
      </c>
      <c r="P508" s="2">
        <v>0.0</v>
      </c>
      <c r="Q508" s="3">
        <f t="shared" si="7"/>
        <v>0</v>
      </c>
      <c r="R508" s="2">
        <v>118.0</v>
      </c>
      <c r="S508" s="5">
        <f t="shared" si="8"/>
        <v>1</v>
      </c>
    </row>
    <row r="509">
      <c r="A509" s="2" t="s">
        <v>524</v>
      </c>
      <c r="B509" s="2">
        <v>80.0</v>
      </c>
      <c r="C509" s="2">
        <v>878.0</v>
      </c>
      <c r="D509" s="2">
        <v>245.0</v>
      </c>
      <c r="E509" s="3">
        <f t="shared" si="1"/>
        <v>0.3070175439</v>
      </c>
      <c r="F509" s="2">
        <v>129.0</v>
      </c>
      <c r="G509" s="3">
        <f t="shared" si="2"/>
        <v>0.1616541353</v>
      </c>
      <c r="H509" s="2">
        <v>155.0</v>
      </c>
      <c r="I509" s="3">
        <f t="shared" si="3"/>
        <v>0.194235589</v>
      </c>
      <c r="J509" s="2">
        <v>133.0</v>
      </c>
      <c r="K509" s="3">
        <f t="shared" si="4"/>
        <v>0.1666666667</v>
      </c>
      <c r="L509" s="2">
        <v>102.0</v>
      </c>
      <c r="M509" s="3">
        <f t="shared" si="5"/>
        <v>0.6580645161</v>
      </c>
      <c r="N509" s="2">
        <v>966300.0</v>
      </c>
      <c r="O509" s="4">
        <f t="shared" si="6"/>
        <v>6234.193548</v>
      </c>
      <c r="P509" s="2">
        <v>0.0</v>
      </c>
      <c r="Q509" s="3">
        <f t="shared" si="7"/>
        <v>0</v>
      </c>
      <c r="R509" s="2">
        <v>80.0</v>
      </c>
      <c r="S509" s="5">
        <f t="shared" si="8"/>
        <v>1</v>
      </c>
    </row>
    <row r="510">
      <c r="A510" s="2" t="s">
        <v>525</v>
      </c>
      <c r="B510" s="2">
        <v>316.0</v>
      </c>
      <c r="C510" s="2">
        <v>3627.0</v>
      </c>
      <c r="D510" s="2">
        <v>1057.0</v>
      </c>
      <c r="E510" s="3">
        <f t="shared" si="1"/>
        <v>0.3192389006</v>
      </c>
      <c r="F510" s="2">
        <v>535.0</v>
      </c>
      <c r="G510" s="3">
        <f t="shared" si="2"/>
        <v>0.1615826034</v>
      </c>
      <c r="H510" s="2">
        <v>692.0</v>
      </c>
      <c r="I510" s="3">
        <f t="shared" si="3"/>
        <v>0.209000302</v>
      </c>
      <c r="J510" s="2">
        <v>676.0</v>
      </c>
      <c r="K510" s="3">
        <f t="shared" si="4"/>
        <v>0.2041679251</v>
      </c>
      <c r="L510" s="2">
        <v>420.0</v>
      </c>
      <c r="M510" s="3">
        <f t="shared" si="5"/>
        <v>0.6069364162</v>
      </c>
      <c r="N510" s="2">
        <v>4147000.0</v>
      </c>
      <c r="O510" s="4">
        <f t="shared" si="6"/>
        <v>5992.774566</v>
      </c>
      <c r="P510" s="2">
        <v>2.0</v>
      </c>
      <c r="Q510" s="3">
        <f t="shared" si="7"/>
        <v>0.006329113924</v>
      </c>
      <c r="R510" s="2">
        <v>316.0</v>
      </c>
      <c r="S510" s="5">
        <f t="shared" si="8"/>
        <v>1</v>
      </c>
    </row>
    <row r="511">
      <c r="A511" s="2" t="s">
        <v>526</v>
      </c>
      <c r="B511" s="2">
        <v>122.0</v>
      </c>
      <c r="C511" s="2">
        <v>1428.0</v>
      </c>
      <c r="D511" s="2">
        <v>509.0</v>
      </c>
      <c r="E511" s="3">
        <f t="shared" si="1"/>
        <v>0.3897396631</v>
      </c>
      <c r="F511" s="2">
        <v>211.0</v>
      </c>
      <c r="G511" s="3">
        <f t="shared" si="2"/>
        <v>0.1615620214</v>
      </c>
      <c r="H511" s="2">
        <v>309.0</v>
      </c>
      <c r="I511" s="3">
        <f t="shared" si="3"/>
        <v>0.2366003063</v>
      </c>
      <c r="J511" s="2">
        <v>232.0</v>
      </c>
      <c r="K511" s="3">
        <f t="shared" si="4"/>
        <v>0.1776416539</v>
      </c>
      <c r="L511" s="2">
        <v>199.0</v>
      </c>
      <c r="M511" s="3">
        <f t="shared" si="5"/>
        <v>0.644012945</v>
      </c>
      <c r="N511" s="2">
        <v>1583000.0</v>
      </c>
      <c r="O511" s="4">
        <f t="shared" si="6"/>
        <v>5122.977346</v>
      </c>
      <c r="P511" s="2">
        <v>0.0</v>
      </c>
      <c r="Q511" s="3">
        <f t="shared" si="7"/>
        <v>0</v>
      </c>
      <c r="R511" s="2">
        <v>27.0</v>
      </c>
      <c r="S511" s="5">
        <f t="shared" si="8"/>
        <v>0.2213114754</v>
      </c>
    </row>
    <row r="512">
      <c r="A512" s="2" t="s">
        <v>527</v>
      </c>
      <c r="B512" s="2">
        <v>65.0</v>
      </c>
      <c r="C512" s="2">
        <v>746.0</v>
      </c>
      <c r="D512" s="2">
        <v>247.0</v>
      </c>
      <c r="E512" s="3">
        <f t="shared" si="1"/>
        <v>0.362701909</v>
      </c>
      <c r="F512" s="2">
        <v>110.0</v>
      </c>
      <c r="G512" s="3">
        <f t="shared" si="2"/>
        <v>0.1615271659</v>
      </c>
      <c r="H512" s="2">
        <v>131.0</v>
      </c>
      <c r="I512" s="3">
        <f t="shared" si="3"/>
        <v>0.1923641703</v>
      </c>
      <c r="J512" s="2">
        <v>127.0</v>
      </c>
      <c r="K512" s="3">
        <f t="shared" si="4"/>
        <v>0.1864904552</v>
      </c>
      <c r="L512" s="2">
        <v>82.0</v>
      </c>
      <c r="M512" s="3">
        <f t="shared" si="5"/>
        <v>0.6259541985</v>
      </c>
      <c r="N512" s="2">
        <v>770900.0</v>
      </c>
      <c r="O512" s="4">
        <f t="shared" si="6"/>
        <v>5884.732824</v>
      </c>
      <c r="P512" s="2">
        <v>0.0</v>
      </c>
      <c r="Q512" s="3">
        <f t="shared" si="7"/>
        <v>0</v>
      </c>
      <c r="R512" s="2">
        <v>65.0</v>
      </c>
      <c r="S512" s="5">
        <f t="shared" si="8"/>
        <v>1</v>
      </c>
    </row>
    <row r="513">
      <c r="A513" s="2" t="s">
        <v>528</v>
      </c>
      <c r="B513" s="2">
        <v>806.0</v>
      </c>
      <c r="C513" s="2">
        <v>9215.0</v>
      </c>
      <c r="D513" s="2">
        <v>2914.0</v>
      </c>
      <c r="E513" s="3">
        <f t="shared" si="1"/>
        <v>0.346533476</v>
      </c>
      <c r="F513" s="2">
        <v>1358.0</v>
      </c>
      <c r="G513" s="3">
        <f t="shared" si="2"/>
        <v>0.1614936378</v>
      </c>
      <c r="H513" s="2">
        <v>1886.0</v>
      </c>
      <c r="I513" s="3">
        <f t="shared" si="3"/>
        <v>0.2242835058</v>
      </c>
      <c r="J513" s="2">
        <v>1631.0</v>
      </c>
      <c r="K513" s="3">
        <f t="shared" si="4"/>
        <v>0.1939588536</v>
      </c>
      <c r="L513" s="2">
        <v>1125.0</v>
      </c>
      <c r="M513" s="3">
        <f t="shared" si="5"/>
        <v>0.5965005302</v>
      </c>
      <c r="N513" s="2">
        <v>1.10832E7</v>
      </c>
      <c r="O513" s="4">
        <f t="shared" si="6"/>
        <v>5876.564157</v>
      </c>
      <c r="P513" s="2">
        <v>2.0</v>
      </c>
      <c r="Q513" s="3">
        <f t="shared" si="7"/>
        <v>0.002481389578</v>
      </c>
      <c r="R513" s="2">
        <v>806.0</v>
      </c>
      <c r="S513" s="5">
        <f t="shared" si="8"/>
        <v>1</v>
      </c>
    </row>
    <row r="514">
      <c r="A514" s="2" t="s">
        <v>529</v>
      </c>
      <c r="B514" s="2">
        <v>15.0</v>
      </c>
      <c r="C514" s="2">
        <v>176.0</v>
      </c>
      <c r="D514" s="2">
        <v>63.0</v>
      </c>
      <c r="E514" s="3">
        <f t="shared" si="1"/>
        <v>0.3913043478</v>
      </c>
      <c r="F514" s="2">
        <v>26.0</v>
      </c>
      <c r="G514" s="3">
        <f t="shared" si="2"/>
        <v>0.1614906832</v>
      </c>
      <c r="H514" s="2">
        <v>36.0</v>
      </c>
      <c r="I514" s="3">
        <f t="shared" si="3"/>
        <v>0.2236024845</v>
      </c>
      <c r="J514" s="2">
        <v>28.0</v>
      </c>
      <c r="K514" s="3">
        <f t="shared" si="4"/>
        <v>0.1739130435</v>
      </c>
      <c r="L514" s="2">
        <v>23.0</v>
      </c>
      <c r="M514" s="3">
        <f t="shared" si="5"/>
        <v>0.6388888889</v>
      </c>
      <c r="N514" s="2">
        <v>191700.0</v>
      </c>
      <c r="O514" s="4">
        <f t="shared" si="6"/>
        <v>5325</v>
      </c>
      <c r="P514" s="2">
        <v>0.0</v>
      </c>
      <c r="Q514" s="3">
        <f t="shared" si="7"/>
        <v>0</v>
      </c>
      <c r="R514" s="2">
        <v>15.0</v>
      </c>
      <c r="S514" s="5">
        <f t="shared" si="8"/>
        <v>1</v>
      </c>
    </row>
    <row r="515">
      <c r="A515" s="2" t="s">
        <v>530</v>
      </c>
      <c r="B515" s="2">
        <v>83.0</v>
      </c>
      <c r="C515" s="2">
        <v>981.0</v>
      </c>
      <c r="D515" s="2">
        <v>339.0</v>
      </c>
      <c r="E515" s="3">
        <f t="shared" si="1"/>
        <v>0.3775055679</v>
      </c>
      <c r="F515" s="2">
        <v>145.0</v>
      </c>
      <c r="G515" s="3">
        <f t="shared" si="2"/>
        <v>0.1614699332</v>
      </c>
      <c r="H515" s="2">
        <v>189.0</v>
      </c>
      <c r="I515" s="3">
        <f t="shared" si="3"/>
        <v>0.210467706</v>
      </c>
      <c r="J515" s="2">
        <v>156.0</v>
      </c>
      <c r="K515" s="3">
        <f t="shared" si="4"/>
        <v>0.1737193764</v>
      </c>
      <c r="L515" s="2">
        <v>104.0</v>
      </c>
      <c r="M515" s="3">
        <f t="shared" si="5"/>
        <v>0.5502645503</v>
      </c>
      <c r="N515" s="2">
        <v>1036100.0</v>
      </c>
      <c r="O515" s="4">
        <f t="shared" si="6"/>
        <v>5482.010582</v>
      </c>
      <c r="P515" s="2">
        <v>0.0</v>
      </c>
      <c r="Q515" s="3">
        <f t="shared" si="7"/>
        <v>0</v>
      </c>
      <c r="R515" s="2">
        <v>83.0</v>
      </c>
      <c r="S515" s="5">
        <f t="shared" si="8"/>
        <v>1</v>
      </c>
    </row>
    <row r="516">
      <c r="A516" s="2" t="s">
        <v>531</v>
      </c>
      <c r="B516" s="2">
        <v>67.0</v>
      </c>
      <c r="C516" s="2">
        <v>835.0</v>
      </c>
      <c r="D516" s="2">
        <v>308.0</v>
      </c>
      <c r="E516" s="3">
        <f t="shared" si="1"/>
        <v>0.4010416667</v>
      </c>
      <c r="F516" s="2">
        <v>124.0</v>
      </c>
      <c r="G516" s="3">
        <f t="shared" si="2"/>
        <v>0.1614583333</v>
      </c>
      <c r="H516" s="2">
        <v>173.0</v>
      </c>
      <c r="I516" s="3">
        <f t="shared" si="3"/>
        <v>0.2252604167</v>
      </c>
      <c r="J516" s="2">
        <v>149.0</v>
      </c>
      <c r="K516" s="3">
        <f t="shared" si="4"/>
        <v>0.1940104167</v>
      </c>
      <c r="L516" s="2">
        <v>114.0</v>
      </c>
      <c r="M516" s="3">
        <f t="shared" si="5"/>
        <v>0.6589595376</v>
      </c>
      <c r="N516" s="2">
        <v>957000.0</v>
      </c>
      <c r="O516" s="4">
        <f t="shared" si="6"/>
        <v>5531.791908</v>
      </c>
      <c r="P516" s="2">
        <v>0.0</v>
      </c>
      <c r="Q516" s="3">
        <f t="shared" si="7"/>
        <v>0</v>
      </c>
      <c r="R516" s="2">
        <v>67.0</v>
      </c>
      <c r="S516" s="5">
        <f t="shared" si="8"/>
        <v>1</v>
      </c>
    </row>
    <row r="517">
      <c r="A517" s="2" t="s">
        <v>532</v>
      </c>
      <c r="B517" s="2">
        <v>313.0</v>
      </c>
      <c r="C517" s="2">
        <v>3602.0</v>
      </c>
      <c r="D517" s="2">
        <v>904.0</v>
      </c>
      <c r="E517" s="3">
        <f t="shared" si="1"/>
        <v>0.2748555792</v>
      </c>
      <c r="F517" s="2">
        <v>531.0</v>
      </c>
      <c r="G517" s="3">
        <f t="shared" si="2"/>
        <v>0.1614472484</v>
      </c>
      <c r="H517" s="2">
        <v>675.0</v>
      </c>
      <c r="I517" s="3">
        <f t="shared" si="3"/>
        <v>0.2052295531</v>
      </c>
      <c r="J517" s="2">
        <v>719.0</v>
      </c>
      <c r="K517" s="3">
        <f t="shared" si="4"/>
        <v>0.2186074795</v>
      </c>
      <c r="L517" s="2">
        <v>396.0</v>
      </c>
      <c r="M517" s="3">
        <f t="shared" si="5"/>
        <v>0.5866666667</v>
      </c>
      <c r="N517" s="2">
        <v>4389400.0</v>
      </c>
      <c r="O517" s="4">
        <f t="shared" si="6"/>
        <v>6502.814815</v>
      </c>
      <c r="P517" s="2">
        <v>0.0</v>
      </c>
      <c r="Q517" s="3">
        <f t="shared" si="7"/>
        <v>0</v>
      </c>
      <c r="R517" s="2">
        <v>0.0</v>
      </c>
      <c r="S517" s="5">
        <f t="shared" si="8"/>
        <v>0</v>
      </c>
    </row>
    <row r="518">
      <c r="A518" s="2" t="s">
        <v>533</v>
      </c>
      <c r="B518" s="2">
        <v>23.0</v>
      </c>
      <c r="C518" s="2">
        <v>246.0</v>
      </c>
      <c r="D518" s="2">
        <v>46.0</v>
      </c>
      <c r="E518" s="3">
        <f t="shared" si="1"/>
        <v>0.2062780269</v>
      </c>
      <c r="F518" s="2">
        <v>36.0</v>
      </c>
      <c r="G518" s="3">
        <f t="shared" si="2"/>
        <v>0.1614349776</v>
      </c>
      <c r="H518" s="2">
        <v>43.0</v>
      </c>
      <c r="I518" s="3">
        <f t="shared" si="3"/>
        <v>0.1928251121</v>
      </c>
      <c r="J518" s="2">
        <v>51.0</v>
      </c>
      <c r="K518" s="3">
        <f t="shared" si="4"/>
        <v>0.2286995516</v>
      </c>
      <c r="L518" s="2">
        <v>29.0</v>
      </c>
      <c r="M518" s="3">
        <f t="shared" si="5"/>
        <v>0.6744186047</v>
      </c>
      <c r="N518" s="2">
        <v>258500.0</v>
      </c>
      <c r="O518" s="4">
        <f t="shared" si="6"/>
        <v>6011.627907</v>
      </c>
      <c r="P518" s="2">
        <v>0.0</v>
      </c>
      <c r="Q518" s="3">
        <f t="shared" si="7"/>
        <v>0</v>
      </c>
      <c r="R518" s="2">
        <v>0.0</v>
      </c>
      <c r="S518" s="5">
        <f t="shared" si="8"/>
        <v>0</v>
      </c>
    </row>
    <row r="519">
      <c r="A519" s="2" t="s">
        <v>534</v>
      </c>
      <c r="B519" s="2">
        <v>342.0</v>
      </c>
      <c r="C519" s="2">
        <v>3991.0</v>
      </c>
      <c r="D519" s="2">
        <v>1315.0</v>
      </c>
      <c r="E519" s="3">
        <f t="shared" si="1"/>
        <v>0.3603727049</v>
      </c>
      <c r="F519" s="2">
        <v>589.0</v>
      </c>
      <c r="G519" s="3">
        <f t="shared" si="2"/>
        <v>0.1614140861</v>
      </c>
      <c r="H519" s="2">
        <v>791.0</v>
      </c>
      <c r="I519" s="3">
        <f t="shared" si="3"/>
        <v>0.2167717183</v>
      </c>
      <c r="J519" s="2">
        <v>673.0</v>
      </c>
      <c r="K519" s="3">
        <f t="shared" si="4"/>
        <v>0.1844340915</v>
      </c>
      <c r="L519" s="2">
        <v>473.0</v>
      </c>
      <c r="M519" s="3">
        <f t="shared" si="5"/>
        <v>0.597977244</v>
      </c>
      <c r="N519" s="2">
        <v>4950200.0</v>
      </c>
      <c r="O519" s="4">
        <f t="shared" si="6"/>
        <v>6258.154235</v>
      </c>
      <c r="P519" s="2">
        <v>5.0</v>
      </c>
      <c r="Q519" s="3">
        <f t="shared" si="7"/>
        <v>0.01461988304</v>
      </c>
      <c r="R519" s="2">
        <v>342.0</v>
      </c>
      <c r="S519" s="5">
        <f t="shared" si="8"/>
        <v>1</v>
      </c>
    </row>
    <row r="520">
      <c r="A520" s="2" t="s">
        <v>535</v>
      </c>
      <c r="B520" s="2">
        <v>59.0</v>
      </c>
      <c r="C520" s="2">
        <v>654.0</v>
      </c>
      <c r="D520" s="2">
        <v>190.0</v>
      </c>
      <c r="E520" s="3">
        <f t="shared" si="1"/>
        <v>0.3193277311</v>
      </c>
      <c r="F520" s="2">
        <v>96.0</v>
      </c>
      <c r="G520" s="3">
        <f t="shared" si="2"/>
        <v>0.1613445378</v>
      </c>
      <c r="H520" s="2">
        <v>108.0</v>
      </c>
      <c r="I520" s="3">
        <f t="shared" si="3"/>
        <v>0.181512605</v>
      </c>
      <c r="J520" s="2">
        <v>104.0</v>
      </c>
      <c r="K520" s="3">
        <f t="shared" si="4"/>
        <v>0.174789916</v>
      </c>
      <c r="L520" s="2">
        <v>67.0</v>
      </c>
      <c r="M520" s="3">
        <f t="shared" si="5"/>
        <v>0.6203703704</v>
      </c>
      <c r="N520" s="2">
        <v>690800.0</v>
      </c>
      <c r="O520" s="4">
        <f t="shared" si="6"/>
        <v>6396.296296</v>
      </c>
      <c r="P520" s="2">
        <v>1.0</v>
      </c>
      <c r="Q520" s="3">
        <f t="shared" si="7"/>
        <v>0.01694915254</v>
      </c>
      <c r="R520" s="2">
        <v>51.0</v>
      </c>
      <c r="S520" s="5">
        <f t="shared" si="8"/>
        <v>0.8644067797</v>
      </c>
    </row>
    <row r="521">
      <c r="A521" s="2" t="s">
        <v>536</v>
      </c>
      <c r="B521" s="2">
        <v>6.0</v>
      </c>
      <c r="C521" s="2">
        <v>68.0</v>
      </c>
      <c r="D521" s="2">
        <v>16.0</v>
      </c>
      <c r="E521" s="3">
        <f t="shared" si="1"/>
        <v>0.2580645161</v>
      </c>
      <c r="F521" s="2">
        <v>10.0</v>
      </c>
      <c r="G521" s="3">
        <f t="shared" si="2"/>
        <v>0.1612903226</v>
      </c>
      <c r="H521" s="2">
        <v>12.0</v>
      </c>
      <c r="I521" s="3">
        <f t="shared" si="3"/>
        <v>0.1935483871</v>
      </c>
      <c r="J521" s="2">
        <v>9.0</v>
      </c>
      <c r="K521" s="3">
        <f t="shared" si="4"/>
        <v>0.1451612903</v>
      </c>
      <c r="L521" s="2">
        <v>8.0</v>
      </c>
      <c r="M521" s="3">
        <f t="shared" si="5"/>
        <v>0.6666666667</v>
      </c>
      <c r="N521" s="2">
        <v>68900.0</v>
      </c>
      <c r="O521" s="4">
        <f t="shared" si="6"/>
        <v>5741.666667</v>
      </c>
      <c r="P521" s="2">
        <v>0.0</v>
      </c>
      <c r="Q521" s="3">
        <f t="shared" si="7"/>
        <v>0</v>
      </c>
      <c r="R521" s="2">
        <v>0.0</v>
      </c>
      <c r="S521" s="5">
        <f t="shared" si="8"/>
        <v>0</v>
      </c>
    </row>
    <row r="522">
      <c r="A522" s="2" t="s">
        <v>537</v>
      </c>
      <c r="B522" s="2">
        <v>1099.0</v>
      </c>
      <c r="C522" s="2">
        <v>12684.0</v>
      </c>
      <c r="D522" s="2">
        <v>3815.0</v>
      </c>
      <c r="E522" s="3">
        <f t="shared" si="1"/>
        <v>0.329305136</v>
      </c>
      <c r="F522" s="2">
        <v>1868.0</v>
      </c>
      <c r="G522" s="3">
        <f t="shared" si="2"/>
        <v>0.1612429866</v>
      </c>
      <c r="H522" s="2">
        <v>2552.0</v>
      </c>
      <c r="I522" s="3">
        <f t="shared" si="3"/>
        <v>0.2202848511</v>
      </c>
      <c r="J522" s="2">
        <v>2291.0</v>
      </c>
      <c r="K522" s="3">
        <f t="shared" si="4"/>
        <v>0.1977557186</v>
      </c>
      <c r="L522" s="2">
        <v>1499.0</v>
      </c>
      <c r="M522" s="3">
        <f t="shared" si="5"/>
        <v>0.5873824451</v>
      </c>
      <c r="N522" s="2">
        <v>1.54445E7</v>
      </c>
      <c r="O522" s="4">
        <f t="shared" si="6"/>
        <v>6051.920063</v>
      </c>
      <c r="P522" s="2">
        <v>5.0</v>
      </c>
      <c r="Q522" s="3">
        <f t="shared" si="7"/>
        <v>0.004549590537</v>
      </c>
      <c r="R522" s="2">
        <v>1061.0</v>
      </c>
      <c r="S522" s="5">
        <f t="shared" si="8"/>
        <v>0.9654231119</v>
      </c>
    </row>
    <row r="523">
      <c r="A523" s="2" t="s">
        <v>538</v>
      </c>
      <c r="B523" s="2">
        <v>44.0</v>
      </c>
      <c r="C523" s="2">
        <v>534.0</v>
      </c>
      <c r="D523" s="2">
        <v>150.0</v>
      </c>
      <c r="E523" s="3">
        <f t="shared" si="1"/>
        <v>0.306122449</v>
      </c>
      <c r="F523" s="2">
        <v>79.0</v>
      </c>
      <c r="G523" s="3">
        <f t="shared" si="2"/>
        <v>0.1612244898</v>
      </c>
      <c r="H523" s="2">
        <v>79.0</v>
      </c>
      <c r="I523" s="3">
        <f t="shared" si="3"/>
        <v>0.1612244898</v>
      </c>
      <c r="J523" s="2">
        <v>82.0</v>
      </c>
      <c r="K523" s="3">
        <f t="shared" si="4"/>
        <v>0.1673469388</v>
      </c>
      <c r="L523" s="2">
        <v>49.0</v>
      </c>
      <c r="M523" s="3">
        <f t="shared" si="5"/>
        <v>0.6202531646</v>
      </c>
      <c r="N523" s="2">
        <v>391900.0</v>
      </c>
      <c r="O523" s="4">
        <f t="shared" si="6"/>
        <v>4960.759494</v>
      </c>
      <c r="P523" s="2">
        <v>0.0</v>
      </c>
      <c r="Q523" s="3">
        <f t="shared" si="7"/>
        <v>0</v>
      </c>
      <c r="R523" s="2">
        <v>44.0</v>
      </c>
      <c r="S523" s="5">
        <f t="shared" si="8"/>
        <v>1</v>
      </c>
    </row>
    <row r="524">
      <c r="A524" s="2" t="s">
        <v>539</v>
      </c>
      <c r="B524" s="2">
        <v>36.0</v>
      </c>
      <c r="C524" s="2">
        <v>402.0</v>
      </c>
      <c r="D524" s="2">
        <v>125.0</v>
      </c>
      <c r="E524" s="3">
        <f t="shared" si="1"/>
        <v>0.3415300546</v>
      </c>
      <c r="F524" s="2">
        <v>59.0</v>
      </c>
      <c r="G524" s="3">
        <f t="shared" si="2"/>
        <v>0.1612021858</v>
      </c>
      <c r="H524" s="2">
        <v>71.0</v>
      </c>
      <c r="I524" s="3">
        <f t="shared" si="3"/>
        <v>0.193989071</v>
      </c>
      <c r="J524" s="2">
        <v>60.0</v>
      </c>
      <c r="K524" s="3">
        <f t="shared" si="4"/>
        <v>0.1639344262</v>
      </c>
      <c r="L524" s="2">
        <v>47.0</v>
      </c>
      <c r="M524" s="3">
        <f t="shared" si="5"/>
        <v>0.661971831</v>
      </c>
      <c r="N524" s="2">
        <v>431300.0</v>
      </c>
      <c r="O524" s="4">
        <f t="shared" si="6"/>
        <v>6074.647887</v>
      </c>
      <c r="P524" s="2">
        <v>0.0</v>
      </c>
      <c r="Q524" s="3">
        <f t="shared" si="7"/>
        <v>0</v>
      </c>
      <c r="R524" s="2">
        <v>36.0</v>
      </c>
      <c r="S524" s="5">
        <f t="shared" si="8"/>
        <v>1</v>
      </c>
    </row>
    <row r="525">
      <c r="A525" s="2" t="s">
        <v>540</v>
      </c>
      <c r="B525" s="2">
        <v>43.0</v>
      </c>
      <c r="C525" s="2">
        <v>496.0</v>
      </c>
      <c r="D525" s="2">
        <v>175.0</v>
      </c>
      <c r="E525" s="3">
        <f t="shared" si="1"/>
        <v>0.3863134658</v>
      </c>
      <c r="F525" s="2">
        <v>73.0</v>
      </c>
      <c r="G525" s="3">
        <f t="shared" si="2"/>
        <v>0.1611479029</v>
      </c>
      <c r="H525" s="2">
        <v>92.0</v>
      </c>
      <c r="I525" s="3">
        <f t="shared" si="3"/>
        <v>0.2030905077</v>
      </c>
      <c r="J525" s="2">
        <v>85.0</v>
      </c>
      <c r="K525" s="3">
        <f t="shared" si="4"/>
        <v>0.1876379691</v>
      </c>
      <c r="L525" s="2">
        <v>59.0</v>
      </c>
      <c r="M525" s="3">
        <f t="shared" si="5"/>
        <v>0.6413043478</v>
      </c>
      <c r="N525" s="2">
        <v>448600.0</v>
      </c>
      <c r="O525" s="4">
        <f t="shared" si="6"/>
        <v>4876.086957</v>
      </c>
      <c r="P525" s="2">
        <v>0.0</v>
      </c>
      <c r="Q525" s="3">
        <f t="shared" si="7"/>
        <v>0</v>
      </c>
      <c r="R525" s="2">
        <v>43.0</v>
      </c>
      <c r="S525" s="5">
        <f t="shared" si="8"/>
        <v>1</v>
      </c>
    </row>
    <row r="526">
      <c r="A526" s="2" t="s">
        <v>541</v>
      </c>
      <c r="B526" s="2">
        <v>480.0</v>
      </c>
      <c r="C526" s="2">
        <v>5572.0</v>
      </c>
      <c r="D526" s="2">
        <v>2009.0</v>
      </c>
      <c r="E526" s="3">
        <f t="shared" si="1"/>
        <v>0.3945404556</v>
      </c>
      <c r="F526" s="2">
        <v>820.0</v>
      </c>
      <c r="G526" s="3">
        <f t="shared" si="2"/>
        <v>0.1610369207</v>
      </c>
      <c r="H526" s="2">
        <v>1096.0</v>
      </c>
      <c r="I526" s="3">
        <f t="shared" si="3"/>
        <v>0.2152395915</v>
      </c>
      <c r="J526" s="2">
        <v>881.0</v>
      </c>
      <c r="K526" s="3">
        <f t="shared" si="4"/>
        <v>0.1730164965</v>
      </c>
      <c r="L526" s="2">
        <v>636.0</v>
      </c>
      <c r="M526" s="3">
        <f t="shared" si="5"/>
        <v>0.5802919708</v>
      </c>
      <c r="N526" s="2">
        <v>6146000.0</v>
      </c>
      <c r="O526" s="4">
        <f t="shared" si="6"/>
        <v>5607.664234</v>
      </c>
      <c r="P526" s="2">
        <v>1.0</v>
      </c>
      <c r="Q526" s="3">
        <f t="shared" si="7"/>
        <v>0.002083333333</v>
      </c>
      <c r="R526" s="2">
        <v>480.0</v>
      </c>
      <c r="S526" s="5">
        <f t="shared" si="8"/>
        <v>1</v>
      </c>
    </row>
    <row r="527">
      <c r="A527" s="2" t="s">
        <v>542</v>
      </c>
      <c r="B527" s="2">
        <v>43.0</v>
      </c>
      <c r="C527" s="2">
        <v>515.0</v>
      </c>
      <c r="D527" s="2">
        <v>189.0</v>
      </c>
      <c r="E527" s="3">
        <f t="shared" si="1"/>
        <v>0.4004237288</v>
      </c>
      <c r="F527" s="2">
        <v>76.0</v>
      </c>
      <c r="G527" s="3">
        <f t="shared" si="2"/>
        <v>0.1610169492</v>
      </c>
      <c r="H527" s="2">
        <v>87.0</v>
      </c>
      <c r="I527" s="3">
        <f t="shared" si="3"/>
        <v>0.1843220339</v>
      </c>
      <c r="J527" s="2">
        <v>80.0</v>
      </c>
      <c r="K527" s="3">
        <f t="shared" si="4"/>
        <v>0.1694915254</v>
      </c>
      <c r="L527" s="2">
        <v>50.0</v>
      </c>
      <c r="M527" s="3">
        <f t="shared" si="5"/>
        <v>0.5747126437</v>
      </c>
      <c r="N527" s="2">
        <v>462500.0</v>
      </c>
      <c r="O527" s="4">
        <f t="shared" si="6"/>
        <v>5316.091954</v>
      </c>
      <c r="P527" s="2">
        <v>0.0</v>
      </c>
      <c r="Q527" s="3">
        <f t="shared" si="7"/>
        <v>0</v>
      </c>
      <c r="R527" s="2">
        <v>0.0</v>
      </c>
      <c r="S527" s="5">
        <f t="shared" si="8"/>
        <v>0</v>
      </c>
    </row>
    <row r="528">
      <c r="A528" s="2" t="s">
        <v>543</v>
      </c>
      <c r="B528" s="2">
        <v>59.0</v>
      </c>
      <c r="C528" s="2">
        <v>705.0</v>
      </c>
      <c r="D528" s="2">
        <v>295.0</v>
      </c>
      <c r="E528" s="3">
        <f t="shared" si="1"/>
        <v>0.4566563467</v>
      </c>
      <c r="F528" s="2">
        <v>104.0</v>
      </c>
      <c r="G528" s="3">
        <f t="shared" si="2"/>
        <v>0.1609907121</v>
      </c>
      <c r="H528" s="2">
        <v>138.0</v>
      </c>
      <c r="I528" s="3">
        <f t="shared" si="3"/>
        <v>0.213622291</v>
      </c>
      <c r="J528" s="2">
        <v>111.0</v>
      </c>
      <c r="K528" s="3">
        <f t="shared" si="4"/>
        <v>0.1718266254</v>
      </c>
      <c r="L528" s="2">
        <v>94.0</v>
      </c>
      <c r="M528" s="3">
        <f t="shared" si="5"/>
        <v>0.6811594203</v>
      </c>
      <c r="N528" s="2">
        <v>688000.0</v>
      </c>
      <c r="O528" s="4">
        <f t="shared" si="6"/>
        <v>4985.507246</v>
      </c>
      <c r="P528" s="2">
        <v>0.0</v>
      </c>
      <c r="Q528" s="3">
        <f t="shared" si="7"/>
        <v>0</v>
      </c>
      <c r="R528" s="2">
        <v>0.0</v>
      </c>
      <c r="S528" s="5">
        <f t="shared" si="8"/>
        <v>0</v>
      </c>
    </row>
    <row r="529">
      <c r="A529" s="2" t="s">
        <v>544</v>
      </c>
      <c r="B529" s="2">
        <v>19.0</v>
      </c>
      <c r="C529" s="2">
        <v>224.0</v>
      </c>
      <c r="D529" s="2">
        <v>73.0</v>
      </c>
      <c r="E529" s="3">
        <f t="shared" si="1"/>
        <v>0.356097561</v>
      </c>
      <c r="F529" s="2">
        <v>33.0</v>
      </c>
      <c r="G529" s="3">
        <f t="shared" si="2"/>
        <v>0.1609756098</v>
      </c>
      <c r="H529" s="2">
        <v>41.0</v>
      </c>
      <c r="I529" s="3">
        <f t="shared" si="3"/>
        <v>0.2</v>
      </c>
      <c r="J529" s="2">
        <v>41.0</v>
      </c>
      <c r="K529" s="3">
        <f t="shared" si="4"/>
        <v>0.2</v>
      </c>
      <c r="L529" s="2">
        <v>28.0</v>
      </c>
      <c r="M529" s="3">
        <f t="shared" si="5"/>
        <v>0.6829268293</v>
      </c>
      <c r="N529" s="2">
        <v>249600.0</v>
      </c>
      <c r="O529" s="4">
        <f t="shared" si="6"/>
        <v>6087.804878</v>
      </c>
      <c r="P529" s="2">
        <v>0.0</v>
      </c>
      <c r="Q529" s="3">
        <f t="shared" si="7"/>
        <v>0</v>
      </c>
      <c r="R529" s="2">
        <v>19.0</v>
      </c>
      <c r="S529" s="5">
        <f t="shared" si="8"/>
        <v>1</v>
      </c>
    </row>
    <row r="530">
      <c r="A530" s="2" t="s">
        <v>545</v>
      </c>
      <c r="B530" s="2">
        <v>28.0</v>
      </c>
      <c r="C530" s="2">
        <v>320.0</v>
      </c>
      <c r="D530" s="2">
        <v>129.0</v>
      </c>
      <c r="E530" s="3">
        <f t="shared" si="1"/>
        <v>0.4417808219</v>
      </c>
      <c r="F530" s="2">
        <v>47.0</v>
      </c>
      <c r="G530" s="3">
        <f t="shared" si="2"/>
        <v>0.1609589041</v>
      </c>
      <c r="H530" s="2">
        <v>73.0</v>
      </c>
      <c r="I530" s="3">
        <f t="shared" si="3"/>
        <v>0.25</v>
      </c>
      <c r="J530" s="2">
        <v>48.0</v>
      </c>
      <c r="K530" s="3">
        <f t="shared" si="4"/>
        <v>0.1643835616</v>
      </c>
      <c r="L530" s="2">
        <v>38.0</v>
      </c>
      <c r="M530" s="3">
        <f t="shared" si="5"/>
        <v>0.5205479452</v>
      </c>
      <c r="N530" s="2">
        <v>414200.0</v>
      </c>
      <c r="O530" s="4">
        <f t="shared" si="6"/>
        <v>5673.972603</v>
      </c>
      <c r="P530" s="2">
        <v>0.0</v>
      </c>
      <c r="Q530" s="3">
        <f t="shared" si="7"/>
        <v>0</v>
      </c>
      <c r="R530" s="2">
        <v>28.0</v>
      </c>
      <c r="S530" s="5">
        <f t="shared" si="8"/>
        <v>1</v>
      </c>
    </row>
    <row r="531">
      <c r="A531" s="2" t="s">
        <v>546</v>
      </c>
      <c r="B531" s="2">
        <v>145.0</v>
      </c>
      <c r="C531" s="2">
        <v>1680.0</v>
      </c>
      <c r="D531" s="2">
        <v>477.0</v>
      </c>
      <c r="E531" s="3">
        <f t="shared" si="1"/>
        <v>0.3107491857</v>
      </c>
      <c r="F531" s="2">
        <v>247.0</v>
      </c>
      <c r="G531" s="3">
        <f t="shared" si="2"/>
        <v>0.1609120521</v>
      </c>
      <c r="H531" s="2">
        <v>277.0</v>
      </c>
      <c r="I531" s="3">
        <f t="shared" si="3"/>
        <v>0.1804560261</v>
      </c>
      <c r="J531" s="2">
        <v>296.0</v>
      </c>
      <c r="K531" s="3">
        <f t="shared" si="4"/>
        <v>0.1928338762</v>
      </c>
      <c r="L531" s="2">
        <v>173.0</v>
      </c>
      <c r="M531" s="3">
        <f t="shared" si="5"/>
        <v>0.6245487365</v>
      </c>
      <c r="N531" s="2">
        <v>1605700.0</v>
      </c>
      <c r="O531" s="4">
        <f t="shared" si="6"/>
        <v>5796.750903</v>
      </c>
      <c r="P531" s="2">
        <v>0.0</v>
      </c>
      <c r="Q531" s="3">
        <f t="shared" si="7"/>
        <v>0</v>
      </c>
      <c r="R531" s="2">
        <v>145.0</v>
      </c>
      <c r="S531" s="5">
        <f t="shared" si="8"/>
        <v>1</v>
      </c>
    </row>
    <row r="532">
      <c r="A532" s="2" t="s">
        <v>547</v>
      </c>
      <c r="B532" s="2">
        <v>21.0</v>
      </c>
      <c r="C532" s="2">
        <v>251.0</v>
      </c>
      <c r="D532" s="2">
        <v>69.0</v>
      </c>
      <c r="E532" s="3">
        <f t="shared" si="1"/>
        <v>0.3</v>
      </c>
      <c r="F532" s="2">
        <v>37.0</v>
      </c>
      <c r="G532" s="3">
        <f t="shared" si="2"/>
        <v>0.1608695652</v>
      </c>
      <c r="H532" s="2">
        <v>36.0</v>
      </c>
      <c r="I532" s="3">
        <f t="shared" si="3"/>
        <v>0.1565217391</v>
      </c>
      <c r="J532" s="2">
        <v>39.0</v>
      </c>
      <c r="K532" s="3">
        <f t="shared" si="4"/>
        <v>0.1695652174</v>
      </c>
      <c r="L532" s="2">
        <v>20.0</v>
      </c>
      <c r="M532" s="3">
        <f t="shared" si="5"/>
        <v>0.5555555556</v>
      </c>
      <c r="N532" s="2">
        <v>193300.0</v>
      </c>
      <c r="O532" s="4">
        <f t="shared" si="6"/>
        <v>5369.444444</v>
      </c>
      <c r="P532" s="2">
        <v>0.0</v>
      </c>
      <c r="Q532" s="3">
        <f t="shared" si="7"/>
        <v>0</v>
      </c>
      <c r="R532" s="2">
        <v>21.0</v>
      </c>
      <c r="S532" s="5">
        <f t="shared" si="8"/>
        <v>1</v>
      </c>
    </row>
    <row r="533">
      <c r="A533" s="2" t="s">
        <v>548</v>
      </c>
      <c r="B533" s="2">
        <v>163.0</v>
      </c>
      <c r="C533" s="2">
        <v>1854.0</v>
      </c>
      <c r="D533" s="2">
        <v>751.0</v>
      </c>
      <c r="E533" s="3">
        <f t="shared" si="1"/>
        <v>0.4441159077</v>
      </c>
      <c r="F533" s="2">
        <v>272.0</v>
      </c>
      <c r="G533" s="3">
        <f t="shared" si="2"/>
        <v>0.1608515671</v>
      </c>
      <c r="H533" s="2">
        <v>403.0</v>
      </c>
      <c r="I533" s="3">
        <f t="shared" si="3"/>
        <v>0.2383205204</v>
      </c>
      <c r="J533" s="2">
        <v>284.0</v>
      </c>
      <c r="K533" s="3">
        <f t="shared" si="4"/>
        <v>0.1679479598</v>
      </c>
      <c r="L533" s="2">
        <v>243.0</v>
      </c>
      <c r="M533" s="3">
        <f t="shared" si="5"/>
        <v>0.6029776675</v>
      </c>
      <c r="N533" s="2">
        <v>2291200.0</v>
      </c>
      <c r="O533" s="4">
        <f t="shared" si="6"/>
        <v>5685.359801</v>
      </c>
      <c r="P533" s="2">
        <v>1.0</v>
      </c>
      <c r="Q533" s="3">
        <f t="shared" si="7"/>
        <v>0.006134969325</v>
      </c>
      <c r="R533" s="2">
        <v>163.0</v>
      </c>
      <c r="S533" s="5">
        <f t="shared" si="8"/>
        <v>1</v>
      </c>
    </row>
    <row r="534">
      <c r="A534" s="2" t="s">
        <v>549</v>
      </c>
      <c r="B534" s="2">
        <v>111.0</v>
      </c>
      <c r="C534" s="2">
        <v>1255.0</v>
      </c>
      <c r="D534" s="2">
        <v>426.0</v>
      </c>
      <c r="E534" s="3">
        <f t="shared" si="1"/>
        <v>0.3723776224</v>
      </c>
      <c r="F534" s="2">
        <v>184.0</v>
      </c>
      <c r="G534" s="3">
        <f t="shared" si="2"/>
        <v>0.1608391608</v>
      </c>
      <c r="H534" s="2">
        <v>256.0</v>
      </c>
      <c r="I534" s="3">
        <f t="shared" si="3"/>
        <v>0.2237762238</v>
      </c>
      <c r="J534" s="2">
        <v>195.0</v>
      </c>
      <c r="K534" s="3">
        <f t="shared" si="4"/>
        <v>0.1704545455</v>
      </c>
      <c r="L534" s="2">
        <v>147.0</v>
      </c>
      <c r="M534" s="3">
        <f t="shared" si="5"/>
        <v>0.57421875</v>
      </c>
      <c r="N534" s="2">
        <v>1435500.0</v>
      </c>
      <c r="O534" s="4">
        <f t="shared" si="6"/>
        <v>5607.421875</v>
      </c>
      <c r="P534" s="2">
        <v>0.0</v>
      </c>
      <c r="Q534" s="3">
        <f t="shared" si="7"/>
        <v>0</v>
      </c>
      <c r="R534" s="2">
        <v>111.0</v>
      </c>
      <c r="S534" s="5">
        <f t="shared" si="8"/>
        <v>1</v>
      </c>
    </row>
    <row r="535">
      <c r="A535" s="2" t="s">
        <v>550</v>
      </c>
      <c r="B535" s="2">
        <v>86.0</v>
      </c>
      <c r="C535" s="2">
        <v>988.0</v>
      </c>
      <c r="D535" s="2">
        <v>252.0</v>
      </c>
      <c r="E535" s="3">
        <f t="shared" si="1"/>
        <v>0.2793791574</v>
      </c>
      <c r="F535" s="2">
        <v>145.0</v>
      </c>
      <c r="G535" s="3">
        <f t="shared" si="2"/>
        <v>0.1607538803</v>
      </c>
      <c r="H535" s="2">
        <v>173.0</v>
      </c>
      <c r="I535" s="3">
        <f t="shared" si="3"/>
        <v>0.1917960089</v>
      </c>
      <c r="J535" s="2">
        <v>160.0</v>
      </c>
      <c r="K535" s="3">
        <f t="shared" si="4"/>
        <v>0.177383592</v>
      </c>
      <c r="L535" s="2">
        <v>115.0</v>
      </c>
      <c r="M535" s="3">
        <f t="shared" si="5"/>
        <v>0.6647398844</v>
      </c>
      <c r="N535" s="2">
        <v>1126200.0</v>
      </c>
      <c r="O535" s="4">
        <f t="shared" si="6"/>
        <v>6509.82659</v>
      </c>
      <c r="P535" s="2">
        <v>1.0</v>
      </c>
      <c r="Q535" s="3">
        <f t="shared" si="7"/>
        <v>0.01162790698</v>
      </c>
      <c r="R535" s="2">
        <v>0.0</v>
      </c>
      <c r="S535" s="5">
        <f t="shared" si="8"/>
        <v>0</v>
      </c>
    </row>
    <row r="536">
      <c r="A536" s="2" t="s">
        <v>551</v>
      </c>
      <c r="B536" s="2">
        <v>247.0</v>
      </c>
      <c r="C536" s="2">
        <v>2910.0</v>
      </c>
      <c r="D536" s="2">
        <v>1066.0</v>
      </c>
      <c r="E536" s="3">
        <f t="shared" si="1"/>
        <v>0.4003004131</v>
      </c>
      <c r="F536" s="2">
        <v>428.0</v>
      </c>
      <c r="G536" s="3">
        <f t="shared" si="2"/>
        <v>0.1607209914</v>
      </c>
      <c r="H536" s="2">
        <v>563.0</v>
      </c>
      <c r="I536" s="3">
        <f t="shared" si="3"/>
        <v>0.2114156966</v>
      </c>
      <c r="J536" s="2">
        <v>525.0</v>
      </c>
      <c r="K536" s="3">
        <f t="shared" si="4"/>
        <v>0.1971460759</v>
      </c>
      <c r="L536" s="2">
        <v>331.0</v>
      </c>
      <c r="M536" s="3">
        <f t="shared" si="5"/>
        <v>0.5879218472</v>
      </c>
      <c r="N536" s="2">
        <v>3159100.0</v>
      </c>
      <c r="O536" s="4">
        <f t="shared" si="6"/>
        <v>5611.190053</v>
      </c>
      <c r="P536" s="2">
        <v>0.0</v>
      </c>
      <c r="Q536" s="3">
        <f t="shared" si="7"/>
        <v>0</v>
      </c>
      <c r="R536" s="2">
        <v>0.0</v>
      </c>
      <c r="S536" s="5">
        <f t="shared" si="8"/>
        <v>0</v>
      </c>
    </row>
    <row r="537">
      <c r="A537" s="2" t="s">
        <v>552</v>
      </c>
      <c r="B537" s="2">
        <v>85.0</v>
      </c>
      <c r="C537" s="2">
        <v>969.0</v>
      </c>
      <c r="D537" s="2">
        <v>278.0</v>
      </c>
      <c r="E537" s="3">
        <f t="shared" si="1"/>
        <v>0.314479638</v>
      </c>
      <c r="F537" s="2">
        <v>142.0</v>
      </c>
      <c r="G537" s="3">
        <f t="shared" si="2"/>
        <v>0.1606334842</v>
      </c>
      <c r="H537" s="2">
        <v>187.0</v>
      </c>
      <c r="I537" s="3">
        <f t="shared" si="3"/>
        <v>0.2115384615</v>
      </c>
      <c r="J537" s="2">
        <v>199.0</v>
      </c>
      <c r="K537" s="3">
        <f t="shared" si="4"/>
        <v>0.2251131222</v>
      </c>
      <c r="L537" s="2">
        <v>114.0</v>
      </c>
      <c r="M537" s="3">
        <f t="shared" si="5"/>
        <v>0.6096256684</v>
      </c>
      <c r="N537" s="2">
        <v>1070800.0</v>
      </c>
      <c r="O537" s="4">
        <f t="shared" si="6"/>
        <v>5726.203209</v>
      </c>
      <c r="P537" s="2">
        <v>0.0</v>
      </c>
      <c r="Q537" s="3">
        <f t="shared" si="7"/>
        <v>0</v>
      </c>
      <c r="R537" s="2">
        <v>85.0</v>
      </c>
      <c r="S537" s="5">
        <f t="shared" si="8"/>
        <v>1</v>
      </c>
    </row>
    <row r="538">
      <c r="A538" s="2" t="s">
        <v>553</v>
      </c>
      <c r="B538" s="2">
        <v>55.0</v>
      </c>
      <c r="C538" s="2">
        <v>634.0</v>
      </c>
      <c r="D538" s="2">
        <v>271.0</v>
      </c>
      <c r="E538" s="3">
        <f t="shared" si="1"/>
        <v>0.4680483592</v>
      </c>
      <c r="F538" s="2">
        <v>93.0</v>
      </c>
      <c r="G538" s="3">
        <f t="shared" si="2"/>
        <v>0.1606217617</v>
      </c>
      <c r="H538" s="2">
        <v>136.0</v>
      </c>
      <c r="I538" s="3">
        <f t="shared" si="3"/>
        <v>0.2348877375</v>
      </c>
      <c r="J538" s="2">
        <v>86.0</v>
      </c>
      <c r="K538" s="3">
        <f t="shared" si="4"/>
        <v>0.1485319516</v>
      </c>
      <c r="L538" s="2">
        <v>87.0</v>
      </c>
      <c r="M538" s="3">
        <f t="shared" si="5"/>
        <v>0.6397058824</v>
      </c>
      <c r="N538" s="2">
        <v>727700.0</v>
      </c>
      <c r="O538" s="4">
        <f t="shared" si="6"/>
        <v>5350.735294</v>
      </c>
      <c r="P538" s="2">
        <v>0.0</v>
      </c>
      <c r="Q538" s="3">
        <f t="shared" si="7"/>
        <v>0</v>
      </c>
      <c r="R538" s="2">
        <v>55.0</v>
      </c>
      <c r="S538" s="5">
        <f t="shared" si="8"/>
        <v>1</v>
      </c>
    </row>
    <row r="539">
      <c r="A539" s="2" t="s">
        <v>554</v>
      </c>
      <c r="B539" s="2">
        <v>374.0</v>
      </c>
      <c r="C539" s="2">
        <v>4316.0</v>
      </c>
      <c r="D539" s="2">
        <v>1595.0</v>
      </c>
      <c r="E539" s="3">
        <f t="shared" si="1"/>
        <v>0.4046169457</v>
      </c>
      <c r="F539" s="2">
        <v>633.0</v>
      </c>
      <c r="G539" s="3">
        <f t="shared" si="2"/>
        <v>0.1605783866</v>
      </c>
      <c r="H539" s="2">
        <v>938.0</v>
      </c>
      <c r="I539" s="3">
        <f t="shared" si="3"/>
        <v>0.237950279</v>
      </c>
      <c r="J539" s="2">
        <v>769.0</v>
      </c>
      <c r="K539" s="3">
        <f t="shared" si="4"/>
        <v>0.1950786403</v>
      </c>
      <c r="L539" s="2">
        <v>579.0</v>
      </c>
      <c r="M539" s="3">
        <f t="shared" si="5"/>
        <v>0.6172707889</v>
      </c>
      <c r="N539" s="2">
        <v>5119200.0</v>
      </c>
      <c r="O539" s="4">
        <f t="shared" si="6"/>
        <v>5457.569296</v>
      </c>
      <c r="P539" s="2">
        <v>0.0</v>
      </c>
      <c r="Q539" s="3">
        <f t="shared" si="7"/>
        <v>0</v>
      </c>
      <c r="R539" s="2">
        <v>374.0</v>
      </c>
      <c r="S539" s="5">
        <f t="shared" si="8"/>
        <v>1</v>
      </c>
    </row>
    <row r="540">
      <c r="A540" s="2" t="s">
        <v>555</v>
      </c>
      <c r="B540" s="2">
        <v>46.0</v>
      </c>
      <c r="C540" s="2">
        <v>538.0</v>
      </c>
      <c r="D540" s="2">
        <v>176.0</v>
      </c>
      <c r="E540" s="3">
        <f t="shared" si="1"/>
        <v>0.3577235772</v>
      </c>
      <c r="F540" s="2">
        <v>79.0</v>
      </c>
      <c r="G540" s="3">
        <f t="shared" si="2"/>
        <v>0.1605691057</v>
      </c>
      <c r="H540" s="2">
        <v>86.0</v>
      </c>
      <c r="I540" s="3">
        <f t="shared" si="3"/>
        <v>0.174796748</v>
      </c>
      <c r="J540" s="2">
        <v>66.0</v>
      </c>
      <c r="K540" s="3">
        <f t="shared" si="4"/>
        <v>0.1341463415</v>
      </c>
      <c r="L540" s="2">
        <v>53.0</v>
      </c>
      <c r="M540" s="3">
        <f t="shared" si="5"/>
        <v>0.6162790698</v>
      </c>
      <c r="N540" s="2">
        <v>483300.0</v>
      </c>
      <c r="O540" s="4">
        <f t="shared" si="6"/>
        <v>5619.767442</v>
      </c>
      <c r="P540" s="2">
        <v>0.0</v>
      </c>
      <c r="Q540" s="3">
        <f t="shared" si="7"/>
        <v>0</v>
      </c>
      <c r="R540" s="2">
        <v>46.0</v>
      </c>
      <c r="S540" s="5">
        <f t="shared" si="8"/>
        <v>1</v>
      </c>
    </row>
    <row r="541">
      <c r="A541" s="2" t="s">
        <v>556</v>
      </c>
      <c r="B541" s="2">
        <v>97.0</v>
      </c>
      <c r="C541" s="2">
        <v>1162.0</v>
      </c>
      <c r="D541" s="2">
        <v>270.0</v>
      </c>
      <c r="E541" s="3">
        <f t="shared" si="1"/>
        <v>0.2535211268</v>
      </c>
      <c r="F541" s="2">
        <v>171.0</v>
      </c>
      <c r="G541" s="3">
        <f t="shared" si="2"/>
        <v>0.1605633803</v>
      </c>
      <c r="H541" s="2">
        <v>194.0</v>
      </c>
      <c r="I541" s="3">
        <f t="shared" si="3"/>
        <v>0.1821596244</v>
      </c>
      <c r="J541" s="2">
        <v>184.0</v>
      </c>
      <c r="K541" s="3">
        <f t="shared" si="4"/>
        <v>0.1727699531</v>
      </c>
      <c r="L541" s="2">
        <v>117.0</v>
      </c>
      <c r="M541" s="3">
        <f t="shared" si="5"/>
        <v>0.6030927835</v>
      </c>
      <c r="N541" s="2">
        <v>1193900.0</v>
      </c>
      <c r="O541" s="4">
        <f t="shared" si="6"/>
        <v>6154.123711</v>
      </c>
      <c r="P541" s="2">
        <v>0.0</v>
      </c>
      <c r="Q541" s="3">
        <f t="shared" si="7"/>
        <v>0</v>
      </c>
      <c r="R541" s="2">
        <v>97.0</v>
      </c>
      <c r="S541" s="5">
        <f t="shared" si="8"/>
        <v>1</v>
      </c>
    </row>
    <row r="542">
      <c r="A542" s="2" t="s">
        <v>557</v>
      </c>
      <c r="B542" s="2">
        <v>182.0</v>
      </c>
      <c r="C542" s="2">
        <v>2113.0</v>
      </c>
      <c r="D542" s="2">
        <v>754.0</v>
      </c>
      <c r="E542" s="3">
        <f t="shared" si="1"/>
        <v>0.3904712584</v>
      </c>
      <c r="F542" s="2">
        <v>310.0</v>
      </c>
      <c r="G542" s="3">
        <f t="shared" si="2"/>
        <v>0.160538581</v>
      </c>
      <c r="H542" s="2">
        <v>408.0</v>
      </c>
      <c r="I542" s="3">
        <f t="shared" si="3"/>
        <v>0.2112894873</v>
      </c>
      <c r="J542" s="2">
        <v>422.0</v>
      </c>
      <c r="K542" s="3">
        <f t="shared" si="4"/>
        <v>0.2185396168</v>
      </c>
      <c r="L542" s="2">
        <v>243.0</v>
      </c>
      <c r="M542" s="3">
        <f t="shared" si="5"/>
        <v>0.5955882353</v>
      </c>
      <c r="N542" s="2">
        <v>2432200.0</v>
      </c>
      <c r="O542" s="4">
        <f t="shared" si="6"/>
        <v>5961.27451</v>
      </c>
      <c r="P542" s="2">
        <v>0.0</v>
      </c>
      <c r="Q542" s="3">
        <f t="shared" si="7"/>
        <v>0</v>
      </c>
      <c r="R542" s="2">
        <v>0.0</v>
      </c>
      <c r="S542" s="5">
        <f t="shared" si="8"/>
        <v>0</v>
      </c>
    </row>
    <row r="543">
      <c r="A543" s="2" t="s">
        <v>558</v>
      </c>
      <c r="B543" s="2">
        <v>15.0</v>
      </c>
      <c r="C543" s="2">
        <v>177.0</v>
      </c>
      <c r="D543" s="2">
        <v>42.0</v>
      </c>
      <c r="E543" s="3">
        <f t="shared" si="1"/>
        <v>0.2592592593</v>
      </c>
      <c r="F543" s="2">
        <v>26.0</v>
      </c>
      <c r="G543" s="3">
        <f t="shared" si="2"/>
        <v>0.1604938272</v>
      </c>
      <c r="H543" s="2">
        <v>20.0</v>
      </c>
      <c r="I543" s="3">
        <f t="shared" si="3"/>
        <v>0.1234567901</v>
      </c>
      <c r="J543" s="2">
        <v>20.0</v>
      </c>
      <c r="K543" s="3">
        <f t="shared" si="4"/>
        <v>0.1234567901</v>
      </c>
      <c r="L543" s="2">
        <v>13.0</v>
      </c>
      <c r="M543" s="3">
        <f t="shared" si="5"/>
        <v>0.65</v>
      </c>
      <c r="N543" s="2">
        <v>98800.0</v>
      </c>
      <c r="O543" s="4">
        <f t="shared" si="6"/>
        <v>4940</v>
      </c>
      <c r="P543" s="2">
        <v>0.0</v>
      </c>
      <c r="Q543" s="3">
        <f t="shared" si="7"/>
        <v>0</v>
      </c>
      <c r="R543" s="2">
        <v>15.0</v>
      </c>
      <c r="S543" s="5">
        <f t="shared" si="8"/>
        <v>1</v>
      </c>
    </row>
    <row r="544">
      <c r="A544" s="2" t="s">
        <v>559</v>
      </c>
      <c r="B544" s="2">
        <v>36.0</v>
      </c>
      <c r="C544" s="2">
        <v>410.0</v>
      </c>
      <c r="D544" s="2">
        <v>111.0</v>
      </c>
      <c r="E544" s="3">
        <f t="shared" si="1"/>
        <v>0.2967914439</v>
      </c>
      <c r="F544" s="2">
        <v>60.0</v>
      </c>
      <c r="G544" s="3">
        <f t="shared" si="2"/>
        <v>0.1604278075</v>
      </c>
      <c r="H544" s="2">
        <v>73.0</v>
      </c>
      <c r="I544" s="3">
        <f t="shared" si="3"/>
        <v>0.1951871658</v>
      </c>
      <c r="J544" s="2">
        <v>68.0</v>
      </c>
      <c r="K544" s="3">
        <f t="shared" si="4"/>
        <v>0.1818181818</v>
      </c>
      <c r="L544" s="2">
        <v>38.0</v>
      </c>
      <c r="M544" s="3">
        <f t="shared" si="5"/>
        <v>0.5205479452</v>
      </c>
      <c r="N544" s="2">
        <v>416900.0</v>
      </c>
      <c r="O544" s="4">
        <f t="shared" si="6"/>
        <v>5710.958904</v>
      </c>
      <c r="P544" s="2">
        <v>0.0</v>
      </c>
      <c r="Q544" s="3">
        <f t="shared" si="7"/>
        <v>0</v>
      </c>
      <c r="R544" s="2">
        <v>36.0</v>
      </c>
      <c r="S544" s="5">
        <f t="shared" si="8"/>
        <v>1</v>
      </c>
    </row>
    <row r="545">
      <c r="A545" s="2" t="s">
        <v>560</v>
      </c>
      <c r="B545" s="2">
        <v>82.0</v>
      </c>
      <c r="C545" s="2">
        <v>961.0</v>
      </c>
      <c r="D545" s="2">
        <v>406.0</v>
      </c>
      <c r="E545" s="3">
        <f t="shared" si="1"/>
        <v>0.4618885097</v>
      </c>
      <c r="F545" s="2">
        <v>141.0</v>
      </c>
      <c r="G545" s="3">
        <f t="shared" si="2"/>
        <v>0.1604095563</v>
      </c>
      <c r="H545" s="2">
        <v>187.0</v>
      </c>
      <c r="I545" s="3">
        <f t="shared" si="3"/>
        <v>0.212741752</v>
      </c>
      <c r="J545" s="2">
        <v>149.0</v>
      </c>
      <c r="K545" s="3">
        <f t="shared" si="4"/>
        <v>0.1695108077</v>
      </c>
      <c r="L545" s="2">
        <v>114.0</v>
      </c>
      <c r="M545" s="3">
        <f t="shared" si="5"/>
        <v>0.6096256684</v>
      </c>
      <c r="N545" s="2">
        <v>990100.0</v>
      </c>
      <c r="O545" s="4">
        <f t="shared" si="6"/>
        <v>5294.652406</v>
      </c>
      <c r="P545" s="2">
        <v>0.0</v>
      </c>
      <c r="Q545" s="3">
        <f t="shared" si="7"/>
        <v>0</v>
      </c>
      <c r="R545" s="2">
        <v>82.0</v>
      </c>
      <c r="S545" s="5">
        <f t="shared" si="8"/>
        <v>1</v>
      </c>
    </row>
    <row r="546">
      <c r="A546" s="2" t="s">
        <v>561</v>
      </c>
      <c r="B546" s="2">
        <v>70.0</v>
      </c>
      <c r="C546" s="2">
        <v>837.0</v>
      </c>
      <c r="D546" s="2">
        <v>278.0</v>
      </c>
      <c r="E546" s="3">
        <f t="shared" si="1"/>
        <v>0.3624511082</v>
      </c>
      <c r="F546" s="2">
        <v>123.0</v>
      </c>
      <c r="G546" s="3">
        <f t="shared" si="2"/>
        <v>0.1603650587</v>
      </c>
      <c r="H546" s="2">
        <v>171.0</v>
      </c>
      <c r="I546" s="3">
        <f t="shared" si="3"/>
        <v>0.222946545</v>
      </c>
      <c r="J546" s="2">
        <v>141.0</v>
      </c>
      <c r="K546" s="3">
        <f t="shared" si="4"/>
        <v>0.183833116</v>
      </c>
      <c r="L546" s="2">
        <v>111.0</v>
      </c>
      <c r="M546" s="3">
        <f t="shared" si="5"/>
        <v>0.649122807</v>
      </c>
      <c r="N546" s="2">
        <v>991200.0</v>
      </c>
      <c r="O546" s="4">
        <f t="shared" si="6"/>
        <v>5796.491228</v>
      </c>
      <c r="P546" s="2">
        <v>0.0</v>
      </c>
      <c r="Q546" s="3">
        <f t="shared" si="7"/>
        <v>0</v>
      </c>
      <c r="R546" s="2">
        <v>70.0</v>
      </c>
      <c r="S546" s="5">
        <f t="shared" si="8"/>
        <v>1</v>
      </c>
    </row>
    <row r="547">
      <c r="A547" s="2" t="s">
        <v>562</v>
      </c>
      <c r="B547" s="2">
        <v>296.0</v>
      </c>
      <c r="C547" s="2">
        <v>3477.0</v>
      </c>
      <c r="D547" s="2">
        <v>1329.0</v>
      </c>
      <c r="E547" s="3">
        <f t="shared" si="1"/>
        <v>0.4177931468</v>
      </c>
      <c r="F547" s="2">
        <v>510.0</v>
      </c>
      <c r="G547" s="3">
        <f t="shared" si="2"/>
        <v>0.1603269412</v>
      </c>
      <c r="H547" s="2">
        <v>697.0</v>
      </c>
      <c r="I547" s="3">
        <f t="shared" si="3"/>
        <v>0.2191134863</v>
      </c>
      <c r="J547" s="2">
        <v>319.0</v>
      </c>
      <c r="K547" s="3">
        <f t="shared" si="4"/>
        <v>0.1002829299</v>
      </c>
      <c r="L547" s="2">
        <v>432.0</v>
      </c>
      <c r="M547" s="3">
        <f t="shared" si="5"/>
        <v>0.6197991392</v>
      </c>
      <c r="N547" s="2">
        <v>3939500.0</v>
      </c>
      <c r="O547" s="4">
        <f t="shared" si="6"/>
        <v>5652.080344</v>
      </c>
      <c r="P547" s="2">
        <v>1.0</v>
      </c>
      <c r="Q547" s="3">
        <f t="shared" si="7"/>
        <v>0.003378378378</v>
      </c>
      <c r="R547" s="2">
        <v>296.0</v>
      </c>
      <c r="S547" s="5">
        <f t="shared" si="8"/>
        <v>1</v>
      </c>
    </row>
    <row r="548">
      <c r="A548" s="2" t="s">
        <v>563</v>
      </c>
      <c r="B548" s="2">
        <v>51.0</v>
      </c>
      <c r="C548" s="2">
        <v>613.0</v>
      </c>
      <c r="D548" s="2">
        <v>180.0</v>
      </c>
      <c r="E548" s="3">
        <f t="shared" si="1"/>
        <v>0.3202846975</v>
      </c>
      <c r="F548" s="2">
        <v>90.0</v>
      </c>
      <c r="G548" s="3">
        <f t="shared" si="2"/>
        <v>0.1601423488</v>
      </c>
      <c r="H548" s="2">
        <v>126.0</v>
      </c>
      <c r="I548" s="3">
        <f t="shared" si="3"/>
        <v>0.2241992883</v>
      </c>
      <c r="J548" s="2">
        <v>141.0</v>
      </c>
      <c r="K548" s="3">
        <f t="shared" si="4"/>
        <v>0.2508896797</v>
      </c>
      <c r="L548" s="2">
        <v>83.0</v>
      </c>
      <c r="M548" s="3">
        <f t="shared" si="5"/>
        <v>0.6587301587</v>
      </c>
      <c r="N548" s="2">
        <v>634800.0</v>
      </c>
      <c r="O548" s="4">
        <f t="shared" si="6"/>
        <v>5038.095238</v>
      </c>
      <c r="P548" s="2">
        <v>0.0</v>
      </c>
      <c r="Q548" s="3">
        <f t="shared" si="7"/>
        <v>0</v>
      </c>
      <c r="R548" s="2">
        <v>51.0</v>
      </c>
      <c r="S548" s="5">
        <f t="shared" si="8"/>
        <v>1</v>
      </c>
    </row>
    <row r="549">
      <c r="A549" s="2" t="s">
        <v>564</v>
      </c>
      <c r="B549" s="2">
        <v>726.0</v>
      </c>
      <c r="C549" s="2">
        <v>8383.0</v>
      </c>
      <c r="D549" s="2">
        <v>3035.0</v>
      </c>
      <c r="E549" s="3">
        <f t="shared" si="1"/>
        <v>0.3963693352</v>
      </c>
      <c r="F549" s="2">
        <v>1226.0</v>
      </c>
      <c r="G549" s="3">
        <f t="shared" si="2"/>
        <v>0.1601149275</v>
      </c>
      <c r="H549" s="2">
        <v>1667.0</v>
      </c>
      <c r="I549" s="3">
        <f t="shared" si="3"/>
        <v>0.2177092856</v>
      </c>
      <c r="J549" s="2">
        <v>1539.0</v>
      </c>
      <c r="K549" s="3">
        <f t="shared" si="4"/>
        <v>0.2009925558</v>
      </c>
      <c r="L549" s="2">
        <v>990.0</v>
      </c>
      <c r="M549" s="3">
        <f t="shared" si="5"/>
        <v>0.5938812238</v>
      </c>
      <c r="N549" s="2">
        <v>9928400.0</v>
      </c>
      <c r="O549" s="4">
        <f t="shared" si="6"/>
        <v>5955.84883</v>
      </c>
      <c r="P549" s="2">
        <v>1.0</v>
      </c>
      <c r="Q549" s="3">
        <f t="shared" si="7"/>
        <v>0.001377410468</v>
      </c>
      <c r="R549" s="2">
        <v>726.0</v>
      </c>
      <c r="S549" s="5">
        <f t="shared" si="8"/>
        <v>1</v>
      </c>
    </row>
    <row r="550">
      <c r="A550" s="2" t="s">
        <v>565</v>
      </c>
      <c r="B550" s="2">
        <v>49.0</v>
      </c>
      <c r="C550" s="2">
        <v>530.0</v>
      </c>
      <c r="D550" s="2">
        <v>151.0</v>
      </c>
      <c r="E550" s="3">
        <f t="shared" si="1"/>
        <v>0.3139293139</v>
      </c>
      <c r="F550" s="2">
        <v>77.0</v>
      </c>
      <c r="G550" s="3">
        <f t="shared" si="2"/>
        <v>0.1600831601</v>
      </c>
      <c r="H550" s="2">
        <v>112.0</v>
      </c>
      <c r="I550" s="3">
        <f t="shared" si="3"/>
        <v>0.2328482328</v>
      </c>
      <c r="J550" s="2">
        <v>76.0</v>
      </c>
      <c r="K550" s="3">
        <f t="shared" si="4"/>
        <v>0.158004158</v>
      </c>
      <c r="L550" s="2">
        <v>65.0</v>
      </c>
      <c r="M550" s="3">
        <f t="shared" si="5"/>
        <v>0.5803571429</v>
      </c>
      <c r="N550" s="2">
        <v>640500.0</v>
      </c>
      <c r="O550" s="4">
        <f t="shared" si="6"/>
        <v>5718.75</v>
      </c>
      <c r="P550" s="2">
        <v>0.0</v>
      </c>
      <c r="Q550" s="3">
        <f t="shared" si="7"/>
        <v>0</v>
      </c>
      <c r="R550" s="2">
        <v>49.0</v>
      </c>
      <c r="S550" s="5">
        <f t="shared" si="8"/>
        <v>1</v>
      </c>
    </row>
    <row r="551">
      <c r="A551" s="2" t="s">
        <v>566</v>
      </c>
      <c r="B551" s="2">
        <v>197.0</v>
      </c>
      <c r="C551" s="2">
        <v>2221.0</v>
      </c>
      <c r="D551" s="2">
        <v>676.0</v>
      </c>
      <c r="E551" s="3">
        <f t="shared" si="1"/>
        <v>0.3339920949</v>
      </c>
      <c r="F551" s="2">
        <v>324.0</v>
      </c>
      <c r="G551" s="3">
        <f t="shared" si="2"/>
        <v>0.1600790514</v>
      </c>
      <c r="H551" s="2">
        <v>401.0</v>
      </c>
      <c r="I551" s="3">
        <f t="shared" si="3"/>
        <v>0.1981225296</v>
      </c>
      <c r="J551" s="2">
        <v>399.0</v>
      </c>
      <c r="K551" s="3">
        <f t="shared" si="4"/>
        <v>0.1971343874</v>
      </c>
      <c r="L551" s="2">
        <v>238.0</v>
      </c>
      <c r="M551" s="3">
        <f t="shared" si="5"/>
        <v>0.5935162095</v>
      </c>
      <c r="N551" s="2">
        <v>2549900.0</v>
      </c>
      <c r="O551" s="4">
        <f t="shared" si="6"/>
        <v>6358.852868</v>
      </c>
      <c r="P551" s="2">
        <v>0.0</v>
      </c>
      <c r="Q551" s="3">
        <f t="shared" si="7"/>
        <v>0</v>
      </c>
      <c r="R551" s="2">
        <v>90.0</v>
      </c>
      <c r="S551" s="5">
        <f t="shared" si="8"/>
        <v>0.4568527919</v>
      </c>
    </row>
    <row r="552">
      <c r="A552" s="2" t="s">
        <v>567</v>
      </c>
      <c r="B552" s="2">
        <v>114.0</v>
      </c>
      <c r="C552" s="2">
        <v>1301.0</v>
      </c>
      <c r="D552" s="2">
        <v>326.0</v>
      </c>
      <c r="E552" s="3">
        <f t="shared" si="1"/>
        <v>0.2746419545</v>
      </c>
      <c r="F552" s="2">
        <v>190.0</v>
      </c>
      <c r="G552" s="3">
        <f t="shared" si="2"/>
        <v>0.1600673968</v>
      </c>
      <c r="H552" s="2">
        <v>220.0</v>
      </c>
      <c r="I552" s="3">
        <f t="shared" si="3"/>
        <v>0.1853411963</v>
      </c>
      <c r="J552" s="2">
        <v>256.0</v>
      </c>
      <c r="K552" s="3">
        <f t="shared" si="4"/>
        <v>0.2156697557</v>
      </c>
      <c r="L552" s="2">
        <v>140.0</v>
      </c>
      <c r="M552" s="3">
        <f t="shared" si="5"/>
        <v>0.6363636364</v>
      </c>
      <c r="N552" s="2">
        <v>1448500.0</v>
      </c>
      <c r="O552" s="4">
        <f t="shared" si="6"/>
        <v>6584.090909</v>
      </c>
      <c r="P552" s="2">
        <v>0.0</v>
      </c>
      <c r="Q552" s="3">
        <f t="shared" si="7"/>
        <v>0</v>
      </c>
      <c r="R552" s="2">
        <v>114.0</v>
      </c>
      <c r="S552" s="5">
        <f t="shared" si="8"/>
        <v>1</v>
      </c>
    </row>
    <row r="553">
      <c r="A553" s="2" t="s">
        <v>568</v>
      </c>
      <c r="B553" s="2">
        <v>80.0</v>
      </c>
      <c r="C553" s="2">
        <v>911.0</v>
      </c>
      <c r="D553" s="2">
        <v>325.0</v>
      </c>
      <c r="E553" s="3">
        <f t="shared" si="1"/>
        <v>0.3910950662</v>
      </c>
      <c r="F553" s="2">
        <v>133.0</v>
      </c>
      <c r="G553" s="3">
        <f t="shared" si="2"/>
        <v>0.1600481348</v>
      </c>
      <c r="H553" s="2">
        <v>166.0</v>
      </c>
      <c r="I553" s="3">
        <f t="shared" si="3"/>
        <v>0.1997593261</v>
      </c>
      <c r="J553" s="2">
        <v>140.0</v>
      </c>
      <c r="K553" s="3">
        <f t="shared" si="4"/>
        <v>0.1684717208</v>
      </c>
      <c r="L553" s="2">
        <v>92.0</v>
      </c>
      <c r="M553" s="3">
        <f t="shared" si="5"/>
        <v>0.5542168675</v>
      </c>
      <c r="N553" s="2">
        <v>906400.0</v>
      </c>
      <c r="O553" s="4">
        <f t="shared" si="6"/>
        <v>5460.240964</v>
      </c>
      <c r="P553" s="2">
        <v>0.0</v>
      </c>
      <c r="Q553" s="3">
        <f t="shared" si="7"/>
        <v>0</v>
      </c>
      <c r="R553" s="2">
        <v>0.0</v>
      </c>
      <c r="S553" s="5">
        <f t="shared" si="8"/>
        <v>0</v>
      </c>
    </row>
    <row r="554">
      <c r="A554" s="2" t="s">
        <v>569</v>
      </c>
      <c r="B554" s="2">
        <v>5.0</v>
      </c>
      <c r="C554" s="2">
        <v>55.0</v>
      </c>
      <c r="D554" s="2">
        <v>16.0</v>
      </c>
      <c r="E554" s="3">
        <f t="shared" si="1"/>
        <v>0.32</v>
      </c>
      <c r="F554" s="2">
        <v>8.0</v>
      </c>
      <c r="G554" s="3">
        <f t="shared" si="2"/>
        <v>0.16</v>
      </c>
      <c r="H554" s="2">
        <v>8.0</v>
      </c>
      <c r="I554" s="3">
        <f t="shared" si="3"/>
        <v>0.16</v>
      </c>
      <c r="J554" s="2">
        <v>12.0</v>
      </c>
      <c r="K554" s="3">
        <f t="shared" si="4"/>
        <v>0.24</v>
      </c>
      <c r="L554" s="2">
        <v>6.0</v>
      </c>
      <c r="M554" s="3">
        <f t="shared" si="5"/>
        <v>0.75</v>
      </c>
      <c r="N554" s="2">
        <v>38400.0</v>
      </c>
      <c r="O554" s="4">
        <f t="shared" si="6"/>
        <v>4800</v>
      </c>
      <c r="P554" s="2">
        <v>0.0</v>
      </c>
      <c r="Q554" s="3">
        <f t="shared" si="7"/>
        <v>0</v>
      </c>
      <c r="R554" s="2">
        <v>5.0</v>
      </c>
      <c r="S554" s="5">
        <f t="shared" si="8"/>
        <v>1</v>
      </c>
    </row>
    <row r="555">
      <c r="A555" s="2" t="s">
        <v>570</v>
      </c>
      <c r="B555" s="2">
        <v>2.0</v>
      </c>
      <c r="C555" s="2">
        <v>27.0</v>
      </c>
      <c r="D555" s="2">
        <v>9.0</v>
      </c>
      <c r="E555" s="3">
        <f t="shared" si="1"/>
        <v>0.36</v>
      </c>
      <c r="F555" s="2">
        <v>4.0</v>
      </c>
      <c r="G555" s="3">
        <f t="shared" si="2"/>
        <v>0.16</v>
      </c>
      <c r="H555" s="2">
        <v>5.0</v>
      </c>
      <c r="I555" s="3">
        <f t="shared" si="3"/>
        <v>0.2</v>
      </c>
      <c r="J555" s="2">
        <v>4.0</v>
      </c>
      <c r="K555" s="3">
        <f t="shared" si="4"/>
        <v>0.16</v>
      </c>
      <c r="L555" s="2">
        <v>5.0</v>
      </c>
      <c r="M555" s="3">
        <f t="shared" si="5"/>
        <v>1</v>
      </c>
      <c r="N555" s="2">
        <v>27100.0</v>
      </c>
      <c r="O555" s="4">
        <f t="shared" si="6"/>
        <v>5420</v>
      </c>
      <c r="P555" s="2">
        <v>0.0</v>
      </c>
      <c r="Q555" s="3">
        <f t="shared" si="7"/>
        <v>0</v>
      </c>
      <c r="R555" s="2">
        <v>0.0</v>
      </c>
      <c r="S555" s="5">
        <f t="shared" si="8"/>
        <v>0</v>
      </c>
    </row>
    <row r="556">
      <c r="A556" s="2" t="s">
        <v>571</v>
      </c>
      <c r="B556" s="2">
        <v>93.0</v>
      </c>
      <c r="C556" s="2">
        <v>1062.0</v>
      </c>
      <c r="D556" s="2">
        <v>368.0</v>
      </c>
      <c r="E556" s="3">
        <f t="shared" si="1"/>
        <v>0.3797729618</v>
      </c>
      <c r="F556" s="2">
        <v>155.0</v>
      </c>
      <c r="G556" s="3">
        <f t="shared" si="2"/>
        <v>0.1599587203</v>
      </c>
      <c r="H556" s="2">
        <v>190.0</v>
      </c>
      <c r="I556" s="3">
        <f t="shared" si="3"/>
        <v>0.1960784314</v>
      </c>
      <c r="J556" s="2">
        <v>155.0</v>
      </c>
      <c r="K556" s="3">
        <f t="shared" si="4"/>
        <v>0.1599587203</v>
      </c>
      <c r="L556" s="2">
        <v>122.0</v>
      </c>
      <c r="M556" s="3">
        <f t="shared" si="5"/>
        <v>0.6421052632</v>
      </c>
      <c r="N556" s="2">
        <v>1125200.0</v>
      </c>
      <c r="O556" s="4">
        <f t="shared" si="6"/>
        <v>5922.105263</v>
      </c>
      <c r="P556" s="2">
        <v>0.0</v>
      </c>
      <c r="Q556" s="3">
        <f t="shared" si="7"/>
        <v>0</v>
      </c>
      <c r="R556" s="2">
        <v>93.0</v>
      </c>
      <c r="S556" s="5">
        <f t="shared" si="8"/>
        <v>1</v>
      </c>
    </row>
    <row r="557">
      <c r="A557" s="2" t="s">
        <v>572</v>
      </c>
      <c r="B557" s="2">
        <v>80.0</v>
      </c>
      <c r="C557" s="2">
        <v>899.0</v>
      </c>
      <c r="D557" s="2">
        <v>263.0</v>
      </c>
      <c r="E557" s="3">
        <f t="shared" si="1"/>
        <v>0.3211233211</v>
      </c>
      <c r="F557" s="2">
        <v>131.0</v>
      </c>
      <c r="G557" s="3">
        <f t="shared" si="2"/>
        <v>0.15995116</v>
      </c>
      <c r="H557" s="2">
        <v>176.0</v>
      </c>
      <c r="I557" s="3">
        <f t="shared" si="3"/>
        <v>0.2148962149</v>
      </c>
      <c r="J557" s="2">
        <v>133.0</v>
      </c>
      <c r="K557" s="3">
        <f t="shared" si="4"/>
        <v>0.1623931624</v>
      </c>
      <c r="L557" s="2">
        <v>109.0</v>
      </c>
      <c r="M557" s="3">
        <f t="shared" si="5"/>
        <v>0.6193181818</v>
      </c>
      <c r="N557" s="2">
        <v>1001400.0</v>
      </c>
      <c r="O557" s="4">
        <f t="shared" si="6"/>
        <v>5689.772727</v>
      </c>
      <c r="P557" s="2">
        <v>0.0</v>
      </c>
      <c r="Q557" s="3">
        <f t="shared" si="7"/>
        <v>0</v>
      </c>
      <c r="R557" s="2">
        <v>80.0</v>
      </c>
      <c r="S557" s="5">
        <f t="shared" si="8"/>
        <v>1</v>
      </c>
    </row>
    <row r="558">
      <c r="A558" s="2" t="s">
        <v>573</v>
      </c>
      <c r="B558" s="2">
        <v>46.0</v>
      </c>
      <c r="C558" s="2">
        <v>540.0</v>
      </c>
      <c r="D558" s="2">
        <v>148.0</v>
      </c>
      <c r="E558" s="3">
        <f t="shared" si="1"/>
        <v>0.2995951417</v>
      </c>
      <c r="F558" s="2">
        <v>79.0</v>
      </c>
      <c r="G558" s="3">
        <f t="shared" si="2"/>
        <v>0.1599190283</v>
      </c>
      <c r="H558" s="2">
        <v>104.0</v>
      </c>
      <c r="I558" s="3">
        <f t="shared" si="3"/>
        <v>0.2105263158</v>
      </c>
      <c r="J558" s="2">
        <v>115.0</v>
      </c>
      <c r="K558" s="3">
        <f t="shared" si="4"/>
        <v>0.2327935223</v>
      </c>
      <c r="L558" s="2">
        <v>53.0</v>
      </c>
      <c r="M558" s="3">
        <f t="shared" si="5"/>
        <v>0.5096153846</v>
      </c>
      <c r="N558" s="2">
        <v>597200.0</v>
      </c>
      <c r="O558" s="4">
        <f t="shared" si="6"/>
        <v>5742.307692</v>
      </c>
      <c r="P558" s="2">
        <v>0.0</v>
      </c>
      <c r="Q558" s="3">
        <f t="shared" si="7"/>
        <v>0</v>
      </c>
      <c r="R558" s="2">
        <v>46.0</v>
      </c>
      <c r="S558" s="5">
        <f t="shared" si="8"/>
        <v>1</v>
      </c>
    </row>
    <row r="559">
      <c r="A559" s="2" t="s">
        <v>574</v>
      </c>
      <c r="B559" s="2">
        <v>93.0</v>
      </c>
      <c r="C559" s="2">
        <v>1031.0</v>
      </c>
      <c r="D559" s="2">
        <v>310.0</v>
      </c>
      <c r="E559" s="3">
        <f t="shared" si="1"/>
        <v>0.3304904051</v>
      </c>
      <c r="F559" s="2">
        <v>150.0</v>
      </c>
      <c r="G559" s="3">
        <f t="shared" si="2"/>
        <v>0.1599147122</v>
      </c>
      <c r="H559" s="2">
        <v>194.0</v>
      </c>
      <c r="I559" s="3">
        <f t="shared" si="3"/>
        <v>0.2068230277</v>
      </c>
      <c r="J559" s="2">
        <v>184.0</v>
      </c>
      <c r="K559" s="3">
        <f t="shared" si="4"/>
        <v>0.1961620469</v>
      </c>
      <c r="L559" s="2">
        <v>120.0</v>
      </c>
      <c r="M559" s="3">
        <f t="shared" si="5"/>
        <v>0.618556701</v>
      </c>
      <c r="N559" s="2">
        <v>1138000.0</v>
      </c>
      <c r="O559" s="4">
        <f t="shared" si="6"/>
        <v>5865.979381</v>
      </c>
      <c r="P559" s="2">
        <v>0.0</v>
      </c>
      <c r="Q559" s="3">
        <f t="shared" si="7"/>
        <v>0</v>
      </c>
      <c r="R559" s="2">
        <v>0.0</v>
      </c>
      <c r="S559" s="5">
        <f t="shared" si="8"/>
        <v>0</v>
      </c>
    </row>
    <row r="560">
      <c r="A560" s="2" t="s">
        <v>575</v>
      </c>
      <c r="B560" s="2">
        <v>55.0</v>
      </c>
      <c r="C560" s="2">
        <v>643.0</v>
      </c>
      <c r="D560" s="2">
        <v>225.0</v>
      </c>
      <c r="E560" s="3">
        <f t="shared" si="1"/>
        <v>0.3826530612</v>
      </c>
      <c r="F560" s="2">
        <v>94.0</v>
      </c>
      <c r="G560" s="3">
        <f t="shared" si="2"/>
        <v>0.1598639456</v>
      </c>
      <c r="H560" s="2">
        <v>117.0</v>
      </c>
      <c r="I560" s="3">
        <f t="shared" si="3"/>
        <v>0.1989795918</v>
      </c>
      <c r="J560" s="2">
        <v>94.0</v>
      </c>
      <c r="K560" s="3">
        <f t="shared" si="4"/>
        <v>0.1598639456</v>
      </c>
      <c r="L560" s="2">
        <v>81.0</v>
      </c>
      <c r="M560" s="3">
        <f t="shared" si="5"/>
        <v>0.6923076923</v>
      </c>
      <c r="N560" s="2">
        <v>639800.0</v>
      </c>
      <c r="O560" s="4">
        <f t="shared" si="6"/>
        <v>5468.376068</v>
      </c>
      <c r="P560" s="2">
        <v>0.0</v>
      </c>
      <c r="Q560" s="3">
        <f t="shared" si="7"/>
        <v>0</v>
      </c>
      <c r="R560" s="2">
        <v>55.0</v>
      </c>
      <c r="S560" s="5">
        <f t="shared" si="8"/>
        <v>1</v>
      </c>
    </row>
    <row r="561">
      <c r="A561" s="2" t="s">
        <v>576</v>
      </c>
      <c r="B561" s="2">
        <v>400.0</v>
      </c>
      <c r="C561" s="2">
        <v>4698.0</v>
      </c>
      <c r="D561" s="2">
        <v>1442.0</v>
      </c>
      <c r="E561" s="3">
        <f t="shared" si="1"/>
        <v>0.335504886</v>
      </c>
      <c r="F561" s="2">
        <v>687.0</v>
      </c>
      <c r="G561" s="3">
        <f t="shared" si="2"/>
        <v>0.1598417869</v>
      </c>
      <c r="H561" s="2">
        <v>962.0</v>
      </c>
      <c r="I561" s="3">
        <f t="shared" si="3"/>
        <v>0.2238250349</v>
      </c>
      <c r="J561" s="2">
        <v>774.0</v>
      </c>
      <c r="K561" s="3">
        <f t="shared" si="4"/>
        <v>0.1800837599</v>
      </c>
      <c r="L561" s="2">
        <v>592.0</v>
      </c>
      <c r="M561" s="3">
        <f t="shared" si="5"/>
        <v>0.6153846154</v>
      </c>
      <c r="N561" s="2">
        <v>5331700.0</v>
      </c>
      <c r="O561" s="4">
        <f t="shared" si="6"/>
        <v>5542.307692</v>
      </c>
      <c r="P561" s="2">
        <v>0.0</v>
      </c>
      <c r="Q561" s="3">
        <f t="shared" si="7"/>
        <v>0</v>
      </c>
      <c r="R561" s="2">
        <v>0.0</v>
      </c>
      <c r="S561" s="5">
        <f t="shared" si="8"/>
        <v>0</v>
      </c>
    </row>
    <row r="562">
      <c r="A562" s="2" t="s">
        <v>577</v>
      </c>
      <c r="B562" s="2">
        <v>18.0</v>
      </c>
      <c r="C562" s="2">
        <v>212.0</v>
      </c>
      <c r="D562" s="2">
        <v>78.0</v>
      </c>
      <c r="E562" s="3">
        <f t="shared" si="1"/>
        <v>0.4020618557</v>
      </c>
      <c r="F562" s="2">
        <v>31.0</v>
      </c>
      <c r="G562" s="3">
        <f t="shared" si="2"/>
        <v>0.1597938144</v>
      </c>
      <c r="H562" s="2">
        <v>38.0</v>
      </c>
      <c r="I562" s="3">
        <f t="shared" si="3"/>
        <v>0.1958762887</v>
      </c>
      <c r="J562" s="2">
        <v>32.0</v>
      </c>
      <c r="K562" s="3">
        <f t="shared" si="4"/>
        <v>0.1649484536</v>
      </c>
      <c r="L562" s="2">
        <v>20.0</v>
      </c>
      <c r="M562" s="3">
        <f t="shared" si="5"/>
        <v>0.5263157895</v>
      </c>
      <c r="N562" s="2">
        <v>232900.0</v>
      </c>
      <c r="O562" s="4">
        <f t="shared" si="6"/>
        <v>6128.947368</v>
      </c>
      <c r="P562" s="2">
        <v>0.0</v>
      </c>
      <c r="Q562" s="3">
        <f t="shared" si="7"/>
        <v>0</v>
      </c>
      <c r="R562" s="2">
        <v>18.0</v>
      </c>
      <c r="S562" s="5">
        <f t="shared" si="8"/>
        <v>1</v>
      </c>
    </row>
    <row r="563">
      <c r="A563" s="2" t="s">
        <v>578</v>
      </c>
      <c r="B563" s="2">
        <v>37.0</v>
      </c>
      <c r="C563" s="2">
        <v>425.0</v>
      </c>
      <c r="D563" s="2">
        <v>144.0</v>
      </c>
      <c r="E563" s="3">
        <f t="shared" si="1"/>
        <v>0.3711340206</v>
      </c>
      <c r="F563" s="2">
        <v>62.0</v>
      </c>
      <c r="G563" s="3">
        <f t="shared" si="2"/>
        <v>0.1597938144</v>
      </c>
      <c r="H563" s="2">
        <v>69.0</v>
      </c>
      <c r="I563" s="3">
        <f t="shared" si="3"/>
        <v>0.1778350515</v>
      </c>
      <c r="J563" s="2">
        <v>64.0</v>
      </c>
      <c r="K563" s="3">
        <f t="shared" si="4"/>
        <v>0.1649484536</v>
      </c>
      <c r="L563" s="2">
        <v>44.0</v>
      </c>
      <c r="M563" s="3">
        <f t="shared" si="5"/>
        <v>0.6376811594</v>
      </c>
      <c r="N563" s="2">
        <v>324100.0</v>
      </c>
      <c r="O563" s="4">
        <f t="shared" si="6"/>
        <v>4697.101449</v>
      </c>
      <c r="P563" s="2">
        <v>0.0</v>
      </c>
      <c r="Q563" s="3">
        <f t="shared" si="7"/>
        <v>0</v>
      </c>
      <c r="R563" s="2">
        <v>37.0</v>
      </c>
      <c r="S563" s="5">
        <f t="shared" si="8"/>
        <v>1</v>
      </c>
    </row>
    <row r="564">
      <c r="A564" s="2" t="s">
        <v>579</v>
      </c>
      <c r="B564" s="2">
        <v>738.0</v>
      </c>
      <c r="C564" s="2">
        <v>8658.0</v>
      </c>
      <c r="D564" s="2">
        <v>2874.0</v>
      </c>
      <c r="E564" s="3">
        <f t="shared" si="1"/>
        <v>0.3628787879</v>
      </c>
      <c r="F564" s="2">
        <v>1265.0</v>
      </c>
      <c r="G564" s="3">
        <f t="shared" si="2"/>
        <v>0.1597222222</v>
      </c>
      <c r="H564" s="2">
        <v>1922.0</v>
      </c>
      <c r="I564" s="3">
        <f t="shared" si="3"/>
        <v>0.2426767677</v>
      </c>
      <c r="J564" s="2">
        <v>1668.0</v>
      </c>
      <c r="K564" s="3">
        <f t="shared" si="4"/>
        <v>0.2106060606</v>
      </c>
      <c r="L564" s="2">
        <v>1126.0</v>
      </c>
      <c r="M564" s="3">
        <f t="shared" si="5"/>
        <v>0.5858480749</v>
      </c>
      <c r="N564" s="2">
        <v>1.0314E7</v>
      </c>
      <c r="O564" s="4">
        <f t="shared" si="6"/>
        <v>5366.28512</v>
      </c>
      <c r="P564" s="2">
        <v>1.0</v>
      </c>
      <c r="Q564" s="3">
        <f t="shared" si="7"/>
        <v>0.00135501355</v>
      </c>
      <c r="R564" s="2">
        <v>738.0</v>
      </c>
      <c r="S564" s="5">
        <f t="shared" si="8"/>
        <v>1</v>
      </c>
    </row>
    <row r="565">
      <c r="A565" s="2" t="s">
        <v>580</v>
      </c>
      <c r="B565" s="2">
        <v>138.0</v>
      </c>
      <c r="C565" s="2">
        <v>1578.0</v>
      </c>
      <c r="D565" s="2">
        <v>504.0</v>
      </c>
      <c r="E565" s="3">
        <f t="shared" si="1"/>
        <v>0.35</v>
      </c>
      <c r="F565" s="2">
        <v>230.0</v>
      </c>
      <c r="G565" s="3">
        <f t="shared" si="2"/>
        <v>0.1597222222</v>
      </c>
      <c r="H565" s="2">
        <v>327.0</v>
      </c>
      <c r="I565" s="3">
        <f t="shared" si="3"/>
        <v>0.2270833333</v>
      </c>
      <c r="J565" s="2">
        <v>268.0</v>
      </c>
      <c r="K565" s="3">
        <f t="shared" si="4"/>
        <v>0.1861111111</v>
      </c>
      <c r="L565" s="2">
        <v>204.0</v>
      </c>
      <c r="M565" s="3">
        <f t="shared" si="5"/>
        <v>0.623853211</v>
      </c>
      <c r="N565" s="2">
        <v>1779200.0</v>
      </c>
      <c r="O565" s="4">
        <f t="shared" si="6"/>
        <v>5440.978593</v>
      </c>
      <c r="P565" s="2">
        <v>1.0</v>
      </c>
      <c r="Q565" s="3">
        <f t="shared" si="7"/>
        <v>0.007246376812</v>
      </c>
      <c r="R565" s="2">
        <v>138.0</v>
      </c>
      <c r="S565" s="5">
        <f t="shared" si="8"/>
        <v>1</v>
      </c>
    </row>
    <row r="566">
      <c r="A566" s="2" t="s">
        <v>581</v>
      </c>
      <c r="B566" s="2">
        <v>139.0</v>
      </c>
      <c r="C566" s="2">
        <v>1623.0</v>
      </c>
      <c r="D566" s="2">
        <v>522.0</v>
      </c>
      <c r="E566" s="3">
        <f t="shared" si="1"/>
        <v>0.3517520216</v>
      </c>
      <c r="F566" s="2">
        <v>237.0</v>
      </c>
      <c r="G566" s="3">
        <f t="shared" si="2"/>
        <v>0.159703504</v>
      </c>
      <c r="H566" s="2">
        <v>312.0</v>
      </c>
      <c r="I566" s="3">
        <f t="shared" si="3"/>
        <v>0.2102425876</v>
      </c>
      <c r="J566" s="2">
        <v>239.0</v>
      </c>
      <c r="K566" s="3">
        <f t="shared" si="4"/>
        <v>0.1610512129</v>
      </c>
      <c r="L566" s="2">
        <v>185.0</v>
      </c>
      <c r="M566" s="3">
        <f t="shared" si="5"/>
        <v>0.5929487179</v>
      </c>
      <c r="N566" s="2">
        <v>1828900.0</v>
      </c>
      <c r="O566" s="4">
        <f t="shared" si="6"/>
        <v>5861.858974</v>
      </c>
      <c r="P566" s="2">
        <v>0.0</v>
      </c>
      <c r="Q566" s="3">
        <f t="shared" si="7"/>
        <v>0</v>
      </c>
      <c r="R566" s="2">
        <v>0.0</v>
      </c>
      <c r="S566" s="5">
        <f t="shared" si="8"/>
        <v>0</v>
      </c>
    </row>
    <row r="567">
      <c r="A567" s="2" t="s">
        <v>582</v>
      </c>
      <c r="B567" s="2">
        <v>417.0</v>
      </c>
      <c r="C567" s="2">
        <v>4844.0</v>
      </c>
      <c r="D567" s="2">
        <v>1816.0</v>
      </c>
      <c r="E567" s="3">
        <f t="shared" si="1"/>
        <v>0.4102100745</v>
      </c>
      <c r="F567" s="2">
        <v>707.0</v>
      </c>
      <c r="G567" s="3">
        <f t="shared" si="2"/>
        <v>0.1597018297</v>
      </c>
      <c r="H567" s="2">
        <v>1008.0</v>
      </c>
      <c r="I567" s="3">
        <f t="shared" si="3"/>
        <v>0.2276936978</v>
      </c>
      <c r="J567" s="2">
        <v>764.0</v>
      </c>
      <c r="K567" s="3">
        <f t="shared" si="4"/>
        <v>0.1725773662</v>
      </c>
      <c r="L567" s="2">
        <v>608.0</v>
      </c>
      <c r="M567" s="3">
        <f t="shared" si="5"/>
        <v>0.6031746032</v>
      </c>
      <c r="N567" s="2">
        <v>5551900.0</v>
      </c>
      <c r="O567" s="4">
        <f t="shared" si="6"/>
        <v>5507.837302</v>
      </c>
      <c r="P567" s="2">
        <v>1.0</v>
      </c>
      <c r="Q567" s="3">
        <f t="shared" si="7"/>
        <v>0.002398081535</v>
      </c>
      <c r="R567" s="2">
        <v>417.0</v>
      </c>
      <c r="S567" s="5">
        <f t="shared" si="8"/>
        <v>1</v>
      </c>
    </row>
    <row r="568">
      <c r="A568" s="2" t="s">
        <v>583</v>
      </c>
      <c r="B568" s="2">
        <v>51.0</v>
      </c>
      <c r="C568" s="2">
        <v>577.0</v>
      </c>
      <c r="D568" s="2">
        <v>205.0</v>
      </c>
      <c r="E568" s="3">
        <f t="shared" si="1"/>
        <v>0.3897338403</v>
      </c>
      <c r="F568" s="2">
        <v>84.0</v>
      </c>
      <c r="G568" s="3">
        <f t="shared" si="2"/>
        <v>0.1596958175</v>
      </c>
      <c r="H568" s="2">
        <v>107.0</v>
      </c>
      <c r="I568" s="3">
        <f t="shared" si="3"/>
        <v>0.2034220532</v>
      </c>
      <c r="J568" s="2">
        <v>107.0</v>
      </c>
      <c r="K568" s="3">
        <f t="shared" si="4"/>
        <v>0.2034220532</v>
      </c>
      <c r="L568" s="2">
        <v>63.0</v>
      </c>
      <c r="M568" s="3">
        <f t="shared" si="5"/>
        <v>0.5887850467</v>
      </c>
      <c r="N568" s="2">
        <v>620400.0</v>
      </c>
      <c r="O568" s="4">
        <f t="shared" si="6"/>
        <v>5798.130841</v>
      </c>
      <c r="P568" s="2">
        <v>0.0</v>
      </c>
      <c r="Q568" s="3">
        <f t="shared" si="7"/>
        <v>0</v>
      </c>
      <c r="R568" s="2">
        <v>51.0</v>
      </c>
      <c r="S568" s="5">
        <f t="shared" si="8"/>
        <v>1</v>
      </c>
    </row>
    <row r="569">
      <c r="A569" s="2" t="s">
        <v>584</v>
      </c>
      <c r="B569" s="2">
        <v>136.0</v>
      </c>
      <c r="C569" s="2">
        <v>1545.0</v>
      </c>
      <c r="D569" s="2">
        <v>462.0</v>
      </c>
      <c r="E569" s="3">
        <f t="shared" si="1"/>
        <v>0.3278921221</v>
      </c>
      <c r="F569" s="2">
        <v>225.0</v>
      </c>
      <c r="G569" s="3">
        <f t="shared" si="2"/>
        <v>0.1596877218</v>
      </c>
      <c r="H569" s="2">
        <v>327.0</v>
      </c>
      <c r="I569" s="3">
        <f t="shared" si="3"/>
        <v>0.232079489</v>
      </c>
      <c r="J569" s="2">
        <v>288.0</v>
      </c>
      <c r="K569" s="3">
        <f t="shared" si="4"/>
        <v>0.2044002839</v>
      </c>
      <c r="L569" s="2">
        <v>194.0</v>
      </c>
      <c r="M569" s="3">
        <f t="shared" si="5"/>
        <v>0.5932721713</v>
      </c>
      <c r="N569" s="2">
        <v>1979400.0</v>
      </c>
      <c r="O569" s="4">
        <f t="shared" si="6"/>
        <v>6053.211009</v>
      </c>
      <c r="P569" s="2">
        <v>0.0</v>
      </c>
      <c r="Q569" s="3">
        <f t="shared" si="7"/>
        <v>0</v>
      </c>
      <c r="R569" s="2">
        <v>136.0</v>
      </c>
      <c r="S569" s="5">
        <f t="shared" si="8"/>
        <v>1</v>
      </c>
    </row>
    <row r="570">
      <c r="A570" s="2" t="s">
        <v>585</v>
      </c>
      <c r="B570" s="2">
        <v>117.0</v>
      </c>
      <c r="C570" s="2">
        <v>1351.0</v>
      </c>
      <c r="D570" s="2">
        <v>408.0</v>
      </c>
      <c r="E570" s="3">
        <f t="shared" si="1"/>
        <v>0.3306320908</v>
      </c>
      <c r="F570" s="2">
        <v>197.0</v>
      </c>
      <c r="G570" s="3">
        <f t="shared" si="2"/>
        <v>0.159643436</v>
      </c>
      <c r="H570" s="2">
        <v>254.0</v>
      </c>
      <c r="I570" s="3">
        <f t="shared" si="3"/>
        <v>0.205834684</v>
      </c>
      <c r="J570" s="2">
        <v>209.0</v>
      </c>
      <c r="K570" s="3">
        <f t="shared" si="4"/>
        <v>0.1693679092</v>
      </c>
      <c r="L570" s="2">
        <v>162.0</v>
      </c>
      <c r="M570" s="3">
        <f t="shared" si="5"/>
        <v>0.6377952756</v>
      </c>
      <c r="N570" s="2">
        <v>1342200.0</v>
      </c>
      <c r="O570" s="4">
        <f t="shared" si="6"/>
        <v>5284.251969</v>
      </c>
      <c r="P570" s="2">
        <v>0.0</v>
      </c>
      <c r="Q570" s="3">
        <f t="shared" si="7"/>
        <v>0</v>
      </c>
      <c r="R570" s="2">
        <v>117.0</v>
      </c>
      <c r="S570" s="5">
        <f t="shared" si="8"/>
        <v>1</v>
      </c>
    </row>
    <row r="571">
      <c r="A571" s="2" t="s">
        <v>586</v>
      </c>
      <c r="B571" s="2">
        <v>77.0</v>
      </c>
      <c r="C571" s="2">
        <v>879.0</v>
      </c>
      <c r="D571" s="2">
        <v>338.0</v>
      </c>
      <c r="E571" s="3">
        <f t="shared" si="1"/>
        <v>0.421446384</v>
      </c>
      <c r="F571" s="2">
        <v>128.0</v>
      </c>
      <c r="G571" s="3">
        <f t="shared" si="2"/>
        <v>0.1596009975</v>
      </c>
      <c r="H571" s="2">
        <v>148.0</v>
      </c>
      <c r="I571" s="3">
        <f t="shared" si="3"/>
        <v>0.1845386534</v>
      </c>
      <c r="J571" s="2">
        <v>138.0</v>
      </c>
      <c r="K571" s="3">
        <f t="shared" si="4"/>
        <v>0.1720698254</v>
      </c>
      <c r="L571" s="2">
        <v>98.0</v>
      </c>
      <c r="M571" s="3">
        <f t="shared" si="5"/>
        <v>0.6621621622</v>
      </c>
      <c r="N571" s="2">
        <v>791200.0</v>
      </c>
      <c r="O571" s="4">
        <f t="shared" si="6"/>
        <v>5345.945946</v>
      </c>
      <c r="P571" s="2">
        <v>1.0</v>
      </c>
      <c r="Q571" s="3">
        <f t="shared" si="7"/>
        <v>0.01298701299</v>
      </c>
      <c r="R571" s="2">
        <v>66.0</v>
      </c>
      <c r="S571" s="5">
        <f t="shared" si="8"/>
        <v>0.8571428571</v>
      </c>
    </row>
    <row r="572">
      <c r="A572" s="2" t="s">
        <v>587</v>
      </c>
      <c r="B572" s="2">
        <v>179.0</v>
      </c>
      <c r="C572" s="2">
        <v>2065.0</v>
      </c>
      <c r="D572" s="2">
        <v>608.0</v>
      </c>
      <c r="E572" s="3">
        <f t="shared" si="1"/>
        <v>0.3223753977</v>
      </c>
      <c r="F572" s="2">
        <v>301.0</v>
      </c>
      <c r="G572" s="3">
        <f t="shared" si="2"/>
        <v>0.1595970308</v>
      </c>
      <c r="H572" s="2">
        <v>409.0</v>
      </c>
      <c r="I572" s="3">
        <f t="shared" si="3"/>
        <v>0.2168610817</v>
      </c>
      <c r="J572" s="2">
        <v>270.0</v>
      </c>
      <c r="K572" s="3">
        <f t="shared" si="4"/>
        <v>0.1431601273</v>
      </c>
      <c r="L572" s="2">
        <v>261.0</v>
      </c>
      <c r="M572" s="3">
        <f t="shared" si="5"/>
        <v>0.6381418093</v>
      </c>
      <c r="N572" s="2">
        <v>2174900.0</v>
      </c>
      <c r="O572" s="4">
        <f t="shared" si="6"/>
        <v>5317.603912</v>
      </c>
      <c r="P572" s="2">
        <v>1.0</v>
      </c>
      <c r="Q572" s="3">
        <f t="shared" si="7"/>
        <v>0.005586592179</v>
      </c>
      <c r="R572" s="2">
        <v>179.0</v>
      </c>
      <c r="S572" s="5">
        <f t="shared" si="8"/>
        <v>1</v>
      </c>
    </row>
    <row r="573">
      <c r="A573" s="2" t="s">
        <v>588</v>
      </c>
      <c r="B573" s="2">
        <v>114.0</v>
      </c>
      <c r="C573" s="2">
        <v>1361.0</v>
      </c>
      <c r="D573" s="2">
        <v>446.0</v>
      </c>
      <c r="E573" s="3">
        <f t="shared" si="1"/>
        <v>0.3576583801</v>
      </c>
      <c r="F573" s="2">
        <v>199.0</v>
      </c>
      <c r="G573" s="3">
        <f t="shared" si="2"/>
        <v>0.1595829992</v>
      </c>
      <c r="H573" s="2">
        <v>237.0</v>
      </c>
      <c r="I573" s="3">
        <f t="shared" si="3"/>
        <v>0.1900561347</v>
      </c>
      <c r="J573" s="2">
        <v>246.0</v>
      </c>
      <c r="K573" s="3">
        <f t="shared" si="4"/>
        <v>0.1972734563</v>
      </c>
      <c r="L573" s="2">
        <v>132.0</v>
      </c>
      <c r="M573" s="3">
        <f t="shared" si="5"/>
        <v>0.5569620253</v>
      </c>
      <c r="N573" s="2">
        <v>1394400.0</v>
      </c>
      <c r="O573" s="4">
        <f t="shared" si="6"/>
        <v>5883.544304</v>
      </c>
      <c r="P573" s="2">
        <v>0.0</v>
      </c>
      <c r="Q573" s="3">
        <f t="shared" si="7"/>
        <v>0</v>
      </c>
      <c r="R573" s="2">
        <v>114.0</v>
      </c>
      <c r="S573" s="5">
        <f t="shared" si="8"/>
        <v>1</v>
      </c>
    </row>
    <row r="574">
      <c r="A574" s="2" t="s">
        <v>589</v>
      </c>
      <c r="B574" s="2">
        <v>53.0</v>
      </c>
      <c r="C574" s="2">
        <v>617.0</v>
      </c>
      <c r="D574" s="2">
        <v>215.0</v>
      </c>
      <c r="E574" s="3">
        <f t="shared" si="1"/>
        <v>0.3812056738</v>
      </c>
      <c r="F574" s="2">
        <v>90.0</v>
      </c>
      <c r="G574" s="3">
        <f t="shared" si="2"/>
        <v>0.1595744681</v>
      </c>
      <c r="H574" s="2">
        <v>129.0</v>
      </c>
      <c r="I574" s="3">
        <f t="shared" si="3"/>
        <v>0.2287234043</v>
      </c>
      <c r="J574" s="2">
        <v>118.0</v>
      </c>
      <c r="K574" s="3">
        <f t="shared" si="4"/>
        <v>0.2092198582</v>
      </c>
      <c r="L574" s="2">
        <v>76.0</v>
      </c>
      <c r="M574" s="3">
        <f t="shared" si="5"/>
        <v>0.5891472868</v>
      </c>
      <c r="N574" s="2">
        <v>746600.0</v>
      </c>
      <c r="O574" s="4">
        <f t="shared" si="6"/>
        <v>5787.596899</v>
      </c>
      <c r="P574" s="2">
        <v>0.0</v>
      </c>
      <c r="Q574" s="3">
        <f t="shared" si="7"/>
        <v>0</v>
      </c>
      <c r="R574" s="2">
        <v>12.0</v>
      </c>
      <c r="S574" s="5">
        <f t="shared" si="8"/>
        <v>0.2264150943</v>
      </c>
    </row>
    <row r="575">
      <c r="A575" s="2" t="s">
        <v>590</v>
      </c>
      <c r="B575" s="2">
        <v>8.0</v>
      </c>
      <c r="C575" s="2">
        <v>102.0</v>
      </c>
      <c r="D575" s="2">
        <v>34.0</v>
      </c>
      <c r="E575" s="3">
        <f t="shared" si="1"/>
        <v>0.3617021277</v>
      </c>
      <c r="F575" s="2">
        <v>15.0</v>
      </c>
      <c r="G575" s="3">
        <f t="shared" si="2"/>
        <v>0.1595744681</v>
      </c>
      <c r="H575" s="2">
        <v>20.0</v>
      </c>
      <c r="I575" s="3">
        <f t="shared" si="3"/>
        <v>0.2127659574</v>
      </c>
      <c r="J575" s="2">
        <v>13.0</v>
      </c>
      <c r="K575" s="3">
        <f t="shared" si="4"/>
        <v>0.1382978723</v>
      </c>
      <c r="L575" s="2">
        <v>10.0</v>
      </c>
      <c r="M575" s="3">
        <f t="shared" si="5"/>
        <v>0.5</v>
      </c>
      <c r="N575" s="2">
        <v>88700.0</v>
      </c>
      <c r="O575" s="4">
        <f t="shared" si="6"/>
        <v>4435</v>
      </c>
      <c r="P575" s="2">
        <v>0.0</v>
      </c>
      <c r="Q575" s="3">
        <f t="shared" si="7"/>
        <v>0</v>
      </c>
      <c r="R575" s="2">
        <v>8.0</v>
      </c>
      <c r="S575" s="5">
        <f t="shared" si="8"/>
        <v>1</v>
      </c>
    </row>
    <row r="576">
      <c r="A576" s="2" t="s">
        <v>591</v>
      </c>
      <c r="B576" s="2">
        <v>22.0</v>
      </c>
      <c r="C576" s="2">
        <v>254.0</v>
      </c>
      <c r="D576" s="2">
        <v>103.0</v>
      </c>
      <c r="E576" s="3">
        <f t="shared" si="1"/>
        <v>0.4439655172</v>
      </c>
      <c r="F576" s="2">
        <v>37.0</v>
      </c>
      <c r="G576" s="3">
        <f t="shared" si="2"/>
        <v>0.1594827586</v>
      </c>
      <c r="H576" s="2">
        <v>46.0</v>
      </c>
      <c r="I576" s="3">
        <f t="shared" si="3"/>
        <v>0.1982758621</v>
      </c>
      <c r="J576" s="2">
        <v>39.0</v>
      </c>
      <c r="K576" s="3">
        <f t="shared" si="4"/>
        <v>0.1681034483</v>
      </c>
      <c r="L576" s="2">
        <v>27.0</v>
      </c>
      <c r="M576" s="3">
        <f t="shared" si="5"/>
        <v>0.5869565217</v>
      </c>
      <c r="N576" s="2">
        <v>250600.0</v>
      </c>
      <c r="O576" s="4">
        <f t="shared" si="6"/>
        <v>5447.826087</v>
      </c>
      <c r="P576" s="2">
        <v>0.0</v>
      </c>
      <c r="Q576" s="3">
        <f t="shared" si="7"/>
        <v>0</v>
      </c>
      <c r="R576" s="2">
        <v>0.0</v>
      </c>
      <c r="S576" s="5">
        <f t="shared" si="8"/>
        <v>0</v>
      </c>
    </row>
    <row r="577">
      <c r="A577" s="2" t="s">
        <v>592</v>
      </c>
      <c r="B577" s="2">
        <v>79.0</v>
      </c>
      <c r="C577" s="2">
        <v>913.0</v>
      </c>
      <c r="D577" s="2">
        <v>243.0</v>
      </c>
      <c r="E577" s="3">
        <f t="shared" si="1"/>
        <v>0.2913669065</v>
      </c>
      <c r="F577" s="2">
        <v>133.0</v>
      </c>
      <c r="G577" s="3">
        <f t="shared" si="2"/>
        <v>0.1594724221</v>
      </c>
      <c r="H577" s="2">
        <v>174.0</v>
      </c>
      <c r="I577" s="3">
        <f t="shared" si="3"/>
        <v>0.2086330935</v>
      </c>
      <c r="J577" s="2">
        <v>161.0</v>
      </c>
      <c r="K577" s="3">
        <f t="shared" si="4"/>
        <v>0.1930455635</v>
      </c>
      <c r="L577" s="2">
        <v>108.0</v>
      </c>
      <c r="M577" s="3">
        <f t="shared" si="5"/>
        <v>0.6206896552</v>
      </c>
      <c r="N577" s="2">
        <v>1057400.0</v>
      </c>
      <c r="O577" s="4">
        <f t="shared" si="6"/>
        <v>6077.011494</v>
      </c>
      <c r="P577" s="2">
        <v>1.0</v>
      </c>
      <c r="Q577" s="3">
        <f t="shared" si="7"/>
        <v>0.01265822785</v>
      </c>
      <c r="R577" s="2">
        <v>79.0</v>
      </c>
      <c r="S577" s="5">
        <f t="shared" si="8"/>
        <v>1</v>
      </c>
    </row>
    <row r="578">
      <c r="A578" s="2" t="s">
        <v>593</v>
      </c>
      <c r="B578" s="2">
        <v>195.0</v>
      </c>
      <c r="C578" s="2">
        <v>2247.0</v>
      </c>
      <c r="D578" s="2">
        <v>668.0</v>
      </c>
      <c r="E578" s="3">
        <f t="shared" si="1"/>
        <v>0.3255360624</v>
      </c>
      <c r="F578" s="2">
        <v>327.0</v>
      </c>
      <c r="G578" s="3">
        <f t="shared" si="2"/>
        <v>0.1593567251</v>
      </c>
      <c r="H578" s="2">
        <v>439.0</v>
      </c>
      <c r="I578" s="3">
        <f t="shared" si="3"/>
        <v>0.2139376218</v>
      </c>
      <c r="J578" s="2">
        <v>398.0</v>
      </c>
      <c r="K578" s="3">
        <f t="shared" si="4"/>
        <v>0.193957115</v>
      </c>
      <c r="L578" s="2">
        <v>243.0</v>
      </c>
      <c r="M578" s="3">
        <f t="shared" si="5"/>
        <v>0.5535307517</v>
      </c>
      <c r="N578" s="2">
        <v>2605400.0</v>
      </c>
      <c r="O578" s="4">
        <f t="shared" si="6"/>
        <v>5934.851936</v>
      </c>
      <c r="P578" s="2">
        <v>1.0</v>
      </c>
      <c r="Q578" s="3">
        <f t="shared" si="7"/>
        <v>0.005128205128</v>
      </c>
      <c r="R578" s="2">
        <v>195.0</v>
      </c>
      <c r="S578" s="5">
        <f t="shared" si="8"/>
        <v>1</v>
      </c>
    </row>
    <row r="579">
      <c r="A579" s="2" t="s">
        <v>594</v>
      </c>
      <c r="B579" s="2">
        <v>120.0</v>
      </c>
      <c r="C579" s="2">
        <v>1419.0</v>
      </c>
      <c r="D579" s="2">
        <v>412.0</v>
      </c>
      <c r="E579" s="3">
        <f t="shared" si="1"/>
        <v>0.3171670516</v>
      </c>
      <c r="F579" s="2">
        <v>207.0</v>
      </c>
      <c r="G579" s="3">
        <f t="shared" si="2"/>
        <v>0.1593533487</v>
      </c>
      <c r="H579" s="2">
        <v>246.0</v>
      </c>
      <c r="I579" s="3">
        <f t="shared" si="3"/>
        <v>0.1893764434</v>
      </c>
      <c r="J579" s="2">
        <v>199.0</v>
      </c>
      <c r="K579" s="3">
        <f t="shared" si="4"/>
        <v>0.1531947652</v>
      </c>
      <c r="L579" s="2">
        <v>145.0</v>
      </c>
      <c r="M579" s="3">
        <f t="shared" si="5"/>
        <v>0.5894308943</v>
      </c>
      <c r="N579" s="2">
        <v>1397700.0</v>
      </c>
      <c r="O579" s="4">
        <f t="shared" si="6"/>
        <v>5681.707317</v>
      </c>
      <c r="P579" s="2">
        <v>0.0</v>
      </c>
      <c r="Q579" s="3">
        <f t="shared" si="7"/>
        <v>0</v>
      </c>
      <c r="R579" s="2">
        <v>120.0</v>
      </c>
      <c r="S579" s="5">
        <f t="shared" si="8"/>
        <v>1</v>
      </c>
    </row>
    <row r="580">
      <c r="A580" s="2" t="s">
        <v>595</v>
      </c>
      <c r="B580" s="2">
        <v>459.0</v>
      </c>
      <c r="C580" s="2">
        <v>5361.0</v>
      </c>
      <c r="D580" s="2">
        <v>1989.0</v>
      </c>
      <c r="E580" s="3">
        <f t="shared" si="1"/>
        <v>0.405752754</v>
      </c>
      <c r="F580" s="2">
        <v>781.0</v>
      </c>
      <c r="G580" s="3">
        <f t="shared" si="2"/>
        <v>0.1593227254</v>
      </c>
      <c r="H580" s="2">
        <v>1097.0</v>
      </c>
      <c r="I580" s="3">
        <f t="shared" si="3"/>
        <v>0.2237862097</v>
      </c>
      <c r="J580" s="2">
        <v>927.0</v>
      </c>
      <c r="K580" s="3">
        <f t="shared" si="4"/>
        <v>0.1891064871</v>
      </c>
      <c r="L580" s="2">
        <v>652.0</v>
      </c>
      <c r="M580" s="3">
        <f t="shared" si="5"/>
        <v>0.5943482224</v>
      </c>
      <c r="N580" s="2">
        <v>6260700.0</v>
      </c>
      <c r="O580" s="4">
        <f t="shared" si="6"/>
        <v>5707.110301</v>
      </c>
      <c r="P580" s="2">
        <v>0.0</v>
      </c>
      <c r="Q580" s="3">
        <f t="shared" si="7"/>
        <v>0</v>
      </c>
      <c r="R580" s="2">
        <v>263.0</v>
      </c>
      <c r="S580" s="5">
        <f t="shared" si="8"/>
        <v>0.5729847495</v>
      </c>
    </row>
    <row r="581">
      <c r="A581" s="2" t="s">
        <v>596</v>
      </c>
      <c r="B581" s="2">
        <v>26.0</v>
      </c>
      <c r="C581" s="2">
        <v>321.0</v>
      </c>
      <c r="D581" s="2">
        <v>97.0</v>
      </c>
      <c r="E581" s="3">
        <f t="shared" si="1"/>
        <v>0.3288135593</v>
      </c>
      <c r="F581" s="2">
        <v>47.0</v>
      </c>
      <c r="G581" s="3">
        <f t="shared" si="2"/>
        <v>0.1593220339</v>
      </c>
      <c r="H581" s="2">
        <v>54.0</v>
      </c>
      <c r="I581" s="3">
        <f t="shared" si="3"/>
        <v>0.1830508475</v>
      </c>
      <c r="J581" s="2">
        <v>39.0</v>
      </c>
      <c r="K581" s="3">
        <f t="shared" si="4"/>
        <v>0.1322033898</v>
      </c>
      <c r="L581" s="2">
        <v>27.0</v>
      </c>
      <c r="M581" s="3">
        <f t="shared" si="5"/>
        <v>0.5</v>
      </c>
      <c r="N581" s="2">
        <v>291500.0</v>
      </c>
      <c r="O581" s="4">
        <f t="shared" si="6"/>
        <v>5398.148148</v>
      </c>
      <c r="P581" s="2">
        <v>0.0</v>
      </c>
      <c r="Q581" s="3">
        <f t="shared" si="7"/>
        <v>0</v>
      </c>
      <c r="R581" s="2">
        <v>26.0</v>
      </c>
      <c r="S581" s="5">
        <f t="shared" si="8"/>
        <v>1</v>
      </c>
    </row>
    <row r="582">
      <c r="A582" s="2" t="s">
        <v>597</v>
      </c>
      <c r="B582" s="2">
        <v>43.0</v>
      </c>
      <c r="C582" s="2">
        <v>495.0</v>
      </c>
      <c r="D582" s="2">
        <v>177.0</v>
      </c>
      <c r="E582" s="3">
        <f t="shared" si="1"/>
        <v>0.3915929204</v>
      </c>
      <c r="F582" s="2">
        <v>72.0</v>
      </c>
      <c r="G582" s="3">
        <f t="shared" si="2"/>
        <v>0.1592920354</v>
      </c>
      <c r="H582" s="2">
        <v>88.0</v>
      </c>
      <c r="I582" s="3">
        <f t="shared" si="3"/>
        <v>0.1946902655</v>
      </c>
      <c r="J582" s="2">
        <v>67.0</v>
      </c>
      <c r="K582" s="3">
        <f t="shared" si="4"/>
        <v>0.1482300885</v>
      </c>
      <c r="L582" s="2">
        <v>54.0</v>
      </c>
      <c r="M582" s="3">
        <f t="shared" si="5"/>
        <v>0.6136363636</v>
      </c>
      <c r="N582" s="2">
        <v>410300.0</v>
      </c>
      <c r="O582" s="4">
        <f t="shared" si="6"/>
        <v>4662.5</v>
      </c>
      <c r="P582" s="2">
        <v>0.0</v>
      </c>
      <c r="Q582" s="3">
        <f t="shared" si="7"/>
        <v>0</v>
      </c>
      <c r="R582" s="2">
        <v>43.0</v>
      </c>
      <c r="S582" s="5">
        <f t="shared" si="8"/>
        <v>1</v>
      </c>
    </row>
    <row r="583">
      <c r="A583" s="2" t="s">
        <v>598</v>
      </c>
      <c r="B583" s="2">
        <v>37.0</v>
      </c>
      <c r="C583" s="2">
        <v>420.0</v>
      </c>
      <c r="D583" s="2">
        <v>136.0</v>
      </c>
      <c r="E583" s="3">
        <f t="shared" si="1"/>
        <v>0.3550913838</v>
      </c>
      <c r="F583" s="2">
        <v>61.0</v>
      </c>
      <c r="G583" s="3">
        <f t="shared" si="2"/>
        <v>0.1592689295</v>
      </c>
      <c r="H583" s="2">
        <v>82.0</v>
      </c>
      <c r="I583" s="3">
        <f t="shared" si="3"/>
        <v>0.2140992167</v>
      </c>
      <c r="J583" s="2">
        <v>62.0</v>
      </c>
      <c r="K583" s="3">
        <f t="shared" si="4"/>
        <v>0.1618798956</v>
      </c>
      <c r="L583" s="2">
        <v>56.0</v>
      </c>
      <c r="M583" s="3">
        <f t="shared" si="5"/>
        <v>0.6829268293</v>
      </c>
      <c r="N583" s="2">
        <v>448700.0</v>
      </c>
      <c r="O583" s="4">
        <f t="shared" si="6"/>
        <v>5471.95122</v>
      </c>
      <c r="P583" s="2">
        <v>0.0</v>
      </c>
      <c r="Q583" s="3">
        <f t="shared" si="7"/>
        <v>0</v>
      </c>
      <c r="R583" s="2">
        <v>37.0</v>
      </c>
      <c r="S583" s="5">
        <f t="shared" si="8"/>
        <v>1</v>
      </c>
    </row>
    <row r="584">
      <c r="A584" s="2" t="s">
        <v>599</v>
      </c>
      <c r="B584" s="2">
        <v>15.0</v>
      </c>
      <c r="C584" s="2">
        <v>172.0</v>
      </c>
      <c r="D584" s="2">
        <v>43.0</v>
      </c>
      <c r="E584" s="3">
        <f t="shared" si="1"/>
        <v>0.2738853503</v>
      </c>
      <c r="F584" s="2">
        <v>25.0</v>
      </c>
      <c r="G584" s="3">
        <f t="shared" si="2"/>
        <v>0.1592356688</v>
      </c>
      <c r="H584" s="2">
        <v>28.0</v>
      </c>
      <c r="I584" s="3">
        <f t="shared" si="3"/>
        <v>0.178343949</v>
      </c>
      <c r="J584" s="2">
        <v>30.0</v>
      </c>
      <c r="K584" s="3">
        <f t="shared" si="4"/>
        <v>0.1910828025</v>
      </c>
      <c r="L584" s="2">
        <v>20.0</v>
      </c>
      <c r="M584" s="3">
        <f t="shared" si="5"/>
        <v>0.7142857143</v>
      </c>
      <c r="N584" s="2">
        <v>171900.0</v>
      </c>
      <c r="O584" s="4">
        <f t="shared" si="6"/>
        <v>6139.285714</v>
      </c>
      <c r="P584" s="2">
        <v>0.0</v>
      </c>
      <c r="Q584" s="3">
        <f t="shared" si="7"/>
        <v>0</v>
      </c>
      <c r="R584" s="2">
        <v>15.0</v>
      </c>
      <c r="S584" s="5">
        <f t="shared" si="8"/>
        <v>1</v>
      </c>
    </row>
    <row r="585">
      <c r="A585" s="2" t="s">
        <v>600</v>
      </c>
      <c r="B585" s="2">
        <v>189.0</v>
      </c>
      <c r="C585" s="2">
        <v>2224.0</v>
      </c>
      <c r="D585" s="2">
        <v>550.0</v>
      </c>
      <c r="E585" s="3">
        <f t="shared" si="1"/>
        <v>0.2702702703</v>
      </c>
      <c r="F585" s="2">
        <v>324.0</v>
      </c>
      <c r="G585" s="3">
        <f t="shared" si="2"/>
        <v>0.1592137592</v>
      </c>
      <c r="H585" s="2">
        <v>424.0</v>
      </c>
      <c r="I585" s="3">
        <f t="shared" si="3"/>
        <v>0.2083538084</v>
      </c>
      <c r="J585" s="2">
        <v>454.0</v>
      </c>
      <c r="K585" s="3">
        <f t="shared" si="4"/>
        <v>0.2230958231</v>
      </c>
      <c r="L585" s="2">
        <v>263.0</v>
      </c>
      <c r="M585" s="3">
        <f t="shared" si="5"/>
        <v>0.6202830189</v>
      </c>
      <c r="N585" s="2">
        <v>2672200.0</v>
      </c>
      <c r="O585" s="4">
        <f t="shared" si="6"/>
        <v>6302.358491</v>
      </c>
      <c r="P585" s="2">
        <v>1.0</v>
      </c>
      <c r="Q585" s="3">
        <f t="shared" si="7"/>
        <v>0.005291005291</v>
      </c>
      <c r="R585" s="2">
        <v>189.0</v>
      </c>
      <c r="S585" s="5">
        <f t="shared" si="8"/>
        <v>1</v>
      </c>
    </row>
    <row r="586">
      <c r="A586" s="2" t="s">
        <v>601</v>
      </c>
      <c r="B586" s="2">
        <v>39.0</v>
      </c>
      <c r="C586" s="2">
        <v>441.0</v>
      </c>
      <c r="D586" s="2">
        <v>150.0</v>
      </c>
      <c r="E586" s="3">
        <f t="shared" si="1"/>
        <v>0.3731343284</v>
      </c>
      <c r="F586" s="2">
        <v>64.0</v>
      </c>
      <c r="G586" s="3">
        <f t="shared" si="2"/>
        <v>0.1592039801</v>
      </c>
      <c r="H586" s="2">
        <v>88.0</v>
      </c>
      <c r="I586" s="3">
        <f t="shared" si="3"/>
        <v>0.2189054726</v>
      </c>
      <c r="J586" s="2">
        <v>85.0</v>
      </c>
      <c r="K586" s="3">
        <f t="shared" si="4"/>
        <v>0.2114427861</v>
      </c>
      <c r="L586" s="2">
        <v>53.0</v>
      </c>
      <c r="M586" s="3">
        <f t="shared" si="5"/>
        <v>0.6022727273</v>
      </c>
      <c r="N586" s="2">
        <v>521400.0</v>
      </c>
      <c r="O586" s="4">
        <f t="shared" si="6"/>
        <v>5925</v>
      </c>
      <c r="P586" s="2">
        <v>0.0</v>
      </c>
      <c r="Q586" s="3">
        <f t="shared" si="7"/>
        <v>0</v>
      </c>
      <c r="R586" s="2">
        <v>39.0</v>
      </c>
      <c r="S586" s="5">
        <f t="shared" si="8"/>
        <v>1</v>
      </c>
    </row>
    <row r="587">
      <c r="A587" s="2" t="s">
        <v>602</v>
      </c>
      <c r="B587" s="2">
        <v>154.0</v>
      </c>
      <c r="C587" s="2">
        <v>1775.0</v>
      </c>
      <c r="D587" s="2">
        <v>581.0</v>
      </c>
      <c r="E587" s="3">
        <f t="shared" si="1"/>
        <v>0.3584207279</v>
      </c>
      <c r="F587" s="2">
        <v>258.0</v>
      </c>
      <c r="G587" s="3">
        <f t="shared" si="2"/>
        <v>0.1591610117</v>
      </c>
      <c r="H587" s="2">
        <v>334.0</v>
      </c>
      <c r="I587" s="3">
        <f t="shared" si="3"/>
        <v>0.2060456508</v>
      </c>
      <c r="J587" s="2">
        <v>309.0</v>
      </c>
      <c r="K587" s="3">
        <f t="shared" si="4"/>
        <v>0.1906230722</v>
      </c>
      <c r="L587" s="2">
        <v>203.0</v>
      </c>
      <c r="M587" s="3">
        <f t="shared" si="5"/>
        <v>0.6077844311</v>
      </c>
      <c r="N587" s="2">
        <v>1963200.0</v>
      </c>
      <c r="O587" s="4">
        <f t="shared" si="6"/>
        <v>5877.844311</v>
      </c>
      <c r="P587" s="2">
        <v>1.0</v>
      </c>
      <c r="Q587" s="3">
        <f t="shared" si="7"/>
        <v>0.006493506494</v>
      </c>
      <c r="R587" s="2">
        <v>154.0</v>
      </c>
      <c r="S587" s="5">
        <f t="shared" si="8"/>
        <v>1</v>
      </c>
    </row>
    <row r="588">
      <c r="A588" s="2" t="s">
        <v>603</v>
      </c>
      <c r="B588" s="2">
        <v>255.0</v>
      </c>
      <c r="C588" s="2">
        <v>2926.0</v>
      </c>
      <c r="D588" s="2">
        <v>955.0</v>
      </c>
      <c r="E588" s="3">
        <f t="shared" si="1"/>
        <v>0.357543991</v>
      </c>
      <c r="F588" s="2">
        <v>425.0</v>
      </c>
      <c r="G588" s="3">
        <f t="shared" si="2"/>
        <v>0.1591164358</v>
      </c>
      <c r="H588" s="2">
        <v>580.0</v>
      </c>
      <c r="I588" s="3">
        <f t="shared" si="3"/>
        <v>0.2171471359</v>
      </c>
      <c r="J588" s="2">
        <v>494.0</v>
      </c>
      <c r="K588" s="3">
        <f t="shared" si="4"/>
        <v>0.1849494571</v>
      </c>
      <c r="L588" s="2">
        <v>370.0</v>
      </c>
      <c r="M588" s="3">
        <f t="shared" si="5"/>
        <v>0.6379310345</v>
      </c>
      <c r="N588" s="2">
        <v>3062600.0</v>
      </c>
      <c r="O588" s="4">
        <f t="shared" si="6"/>
        <v>5280.344828</v>
      </c>
      <c r="P588" s="2">
        <v>0.0</v>
      </c>
      <c r="Q588" s="3">
        <f t="shared" si="7"/>
        <v>0</v>
      </c>
      <c r="R588" s="2">
        <v>33.0</v>
      </c>
      <c r="S588" s="5">
        <f t="shared" si="8"/>
        <v>0.1294117647</v>
      </c>
    </row>
    <row r="589">
      <c r="A589" s="2" t="s">
        <v>604</v>
      </c>
      <c r="B589" s="2">
        <v>5.0</v>
      </c>
      <c r="C589" s="2">
        <v>49.0</v>
      </c>
      <c r="D589" s="2">
        <v>19.0</v>
      </c>
      <c r="E589" s="3">
        <f t="shared" si="1"/>
        <v>0.4318181818</v>
      </c>
      <c r="F589" s="2">
        <v>7.0</v>
      </c>
      <c r="G589" s="3">
        <f t="shared" si="2"/>
        <v>0.1590909091</v>
      </c>
      <c r="H589" s="2">
        <v>11.0</v>
      </c>
      <c r="I589" s="3">
        <f t="shared" si="3"/>
        <v>0.25</v>
      </c>
      <c r="J589" s="2">
        <v>11.0</v>
      </c>
      <c r="K589" s="3">
        <f t="shared" si="4"/>
        <v>0.25</v>
      </c>
      <c r="L589" s="2">
        <v>7.0</v>
      </c>
      <c r="M589" s="3">
        <f t="shared" si="5"/>
        <v>0.6363636364</v>
      </c>
      <c r="N589" s="2">
        <v>54200.0</v>
      </c>
      <c r="O589" s="4">
        <f t="shared" si="6"/>
        <v>4927.272727</v>
      </c>
      <c r="P589" s="2">
        <v>0.0</v>
      </c>
      <c r="Q589" s="3">
        <f t="shared" si="7"/>
        <v>0</v>
      </c>
      <c r="R589" s="2">
        <v>5.0</v>
      </c>
      <c r="S589" s="5">
        <f t="shared" si="8"/>
        <v>1</v>
      </c>
    </row>
    <row r="590">
      <c r="A590" s="2" t="s">
        <v>605</v>
      </c>
      <c r="B590" s="2">
        <v>57.0</v>
      </c>
      <c r="C590" s="2">
        <v>673.0</v>
      </c>
      <c r="D590" s="2">
        <v>212.0</v>
      </c>
      <c r="E590" s="3">
        <f t="shared" si="1"/>
        <v>0.3441558442</v>
      </c>
      <c r="F590" s="2">
        <v>98.0</v>
      </c>
      <c r="G590" s="3">
        <f t="shared" si="2"/>
        <v>0.1590909091</v>
      </c>
      <c r="H590" s="2">
        <v>135.0</v>
      </c>
      <c r="I590" s="3">
        <f t="shared" si="3"/>
        <v>0.2191558442</v>
      </c>
      <c r="J590" s="2">
        <v>137.0</v>
      </c>
      <c r="K590" s="3">
        <f t="shared" si="4"/>
        <v>0.2224025974</v>
      </c>
      <c r="L590" s="2">
        <v>84.0</v>
      </c>
      <c r="M590" s="3">
        <f t="shared" si="5"/>
        <v>0.6222222222</v>
      </c>
      <c r="N590" s="2">
        <v>757900.0</v>
      </c>
      <c r="O590" s="4">
        <f t="shared" si="6"/>
        <v>5614.074074</v>
      </c>
      <c r="P590" s="2">
        <v>0.0</v>
      </c>
      <c r="Q590" s="3">
        <f t="shared" si="7"/>
        <v>0</v>
      </c>
      <c r="R590" s="2">
        <v>57.0</v>
      </c>
      <c r="S590" s="5">
        <f t="shared" si="8"/>
        <v>1</v>
      </c>
    </row>
    <row r="591">
      <c r="A591" s="2" t="s">
        <v>606</v>
      </c>
      <c r="B591" s="2">
        <v>91.0</v>
      </c>
      <c r="C591" s="2">
        <v>1059.0</v>
      </c>
      <c r="D591" s="2">
        <v>439.0</v>
      </c>
      <c r="E591" s="3">
        <f t="shared" si="1"/>
        <v>0.4535123967</v>
      </c>
      <c r="F591" s="2">
        <v>154.0</v>
      </c>
      <c r="G591" s="3">
        <f t="shared" si="2"/>
        <v>0.1590909091</v>
      </c>
      <c r="H591" s="2">
        <v>212.0</v>
      </c>
      <c r="I591" s="3">
        <f t="shared" si="3"/>
        <v>0.2190082645</v>
      </c>
      <c r="J591" s="2">
        <v>143.0</v>
      </c>
      <c r="K591" s="3">
        <f t="shared" si="4"/>
        <v>0.1477272727</v>
      </c>
      <c r="L591" s="2">
        <v>127.0</v>
      </c>
      <c r="M591" s="3">
        <f t="shared" si="5"/>
        <v>0.5990566038</v>
      </c>
      <c r="N591" s="2">
        <v>1068100.0</v>
      </c>
      <c r="O591" s="4">
        <f t="shared" si="6"/>
        <v>5038.207547</v>
      </c>
      <c r="P591" s="2">
        <v>0.0</v>
      </c>
      <c r="Q591" s="3">
        <f t="shared" si="7"/>
        <v>0</v>
      </c>
      <c r="R591" s="2">
        <v>91.0</v>
      </c>
      <c r="S591" s="5">
        <f t="shared" si="8"/>
        <v>1</v>
      </c>
    </row>
    <row r="592">
      <c r="A592" s="2" t="s">
        <v>607</v>
      </c>
      <c r="B592" s="2">
        <v>139.0</v>
      </c>
      <c r="C592" s="2">
        <v>1604.0</v>
      </c>
      <c r="D592" s="2">
        <v>544.0</v>
      </c>
      <c r="E592" s="3">
        <f t="shared" si="1"/>
        <v>0.371331058</v>
      </c>
      <c r="F592" s="2">
        <v>233.0</v>
      </c>
      <c r="G592" s="3">
        <f t="shared" si="2"/>
        <v>0.1590443686</v>
      </c>
      <c r="H592" s="2">
        <v>283.0</v>
      </c>
      <c r="I592" s="3">
        <f t="shared" si="3"/>
        <v>0.1931740614</v>
      </c>
      <c r="J592" s="2">
        <v>256.0</v>
      </c>
      <c r="K592" s="3">
        <f t="shared" si="4"/>
        <v>0.1747440273</v>
      </c>
      <c r="L592" s="2">
        <v>157.0</v>
      </c>
      <c r="M592" s="3">
        <f t="shared" si="5"/>
        <v>0.554770318</v>
      </c>
      <c r="N592" s="2">
        <v>1630900.0</v>
      </c>
      <c r="O592" s="4">
        <f t="shared" si="6"/>
        <v>5762.897527</v>
      </c>
      <c r="P592" s="2">
        <v>1.0</v>
      </c>
      <c r="Q592" s="3">
        <f t="shared" si="7"/>
        <v>0.007194244604</v>
      </c>
      <c r="R592" s="2">
        <v>139.0</v>
      </c>
      <c r="S592" s="5">
        <f t="shared" si="8"/>
        <v>1</v>
      </c>
    </row>
    <row r="593">
      <c r="A593" s="2" t="s">
        <v>608</v>
      </c>
      <c r="B593" s="2">
        <v>634.0</v>
      </c>
      <c r="C593" s="2">
        <v>7400.0</v>
      </c>
      <c r="D593" s="2">
        <v>3329.0</v>
      </c>
      <c r="E593" s="3">
        <f t="shared" si="1"/>
        <v>0.4920189181</v>
      </c>
      <c r="F593" s="2">
        <v>1076.0</v>
      </c>
      <c r="G593" s="3">
        <f t="shared" si="2"/>
        <v>0.1590304463</v>
      </c>
      <c r="H593" s="2">
        <v>1533.0</v>
      </c>
      <c r="I593" s="3">
        <f t="shared" si="3"/>
        <v>0.2265740467</v>
      </c>
      <c r="J593" s="2">
        <v>817.0</v>
      </c>
      <c r="K593" s="3">
        <f t="shared" si="4"/>
        <v>0.1207508129</v>
      </c>
      <c r="L593" s="2">
        <v>961.0</v>
      </c>
      <c r="M593" s="3">
        <f t="shared" si="5"/>
        <v>0.6268754077</v>
      </c>
      <c r="N593" s="2">
        <v>8001000.0</v>
      </c>
      <c r="O593" s="4">
        <f t="shared" si="6"/>
        <v>5219.178082</v>
      </c>
      <c r="P593" s="2">
        <v>0.0</v>
      </c>
      <c r="Q593" s="3">
        <f t="shared" si="7"/>
        <v>0</v>
      </c>
      <c r="R593" s="2">
        <v>634.0</v>
      </c>
      <c r="S593" s="5">
        <f t="shared" si="8"/>
        <v>1</v>
      </c>
    </row>
    <row r="594">
      <c r="A594" s="2" t="s">
        <v>609</v>
      </c>
      <c r="B594" s="2">
        <v>437.0</v>
      </c>
      <c r="C594" s="2">
        <v>5078.0</v>
      </c>
      <c r="D594" s="2">
        <v>1903.0</v>
      </c>
      <c r="E594" s="3">
        <f t="shared" si="1"/>
        <v>0.4100409395</v>
      </c>
      <c r="F594" s="2">
        <v>738.0</v>
      </c>
      <c r="G594" s="3">
        <f t="shared" si="2"/>
        <v>0.1590174531</v>
      </c>
      <c r="H594" s="2">
        <v>1017.0</v>
      </c>
      <c r="I594" s="3">
        <f t="shared" si="3"/>
        <v>0.2191338074</v>
      </c>
      <c r="J594" s="2">
        <v>686.0</v>
      </c>
      <c r="K594" s="3">
        <f t="shared" si="4"/>
        <v>0.1478129713</v>
      </c>
      <c r="L594" s="2">
        <v>636.0</v>
      </c>
      <c r="M594" s="3">
        <f t="shared" si="5"/>
        <v>0.6253687316</v>
      </c>
      <c r="N594" s="2">
        <v>5848800.0</v>
      </c>
      <c r="O594" s="4">
        <f t="shared" si="6"/>
        <v>5751.032448</v>
      </c>
      <c r="P594" s="2">
        <v>0.0</v>
      </c>
      <c r="Q594" s="3">
        <f t="shared" si="7"/>
        <v>0</v>
      </c>
      <c r="R594" s="2">
        <v>437.0</v>
      </c>
      <c r="S594" s="5">
        <f t="shared" si="8"/>
        <v>1</v>
      </c>
    </row>
    <row r="595">
      <c r="A595" s="2" t="s">
        <v>610</v>
      </c>
      <c r="B595" s="2">
        <v>256.0</v>
      </c>
      <c r="C595" s="2">
        <v>2998.0</v>
      </c>
      <c r="D595" s="2">
        <v>835.0</v>
      </c>
      <c r="E595" s="3">
        <f t="shared" si="1"/>
        <v>0.3045222465</v>
      </c>
      <c r="F595" s="2">
        <v>436.0</v>
      </c>
      <c r="G595" s="3">
        <f t="shared" si="2"/>
        <v>0.1590080233</v>
      </c>
      <c r="H595" s="2">
        <v>583.0</v>
      </c>
      <c r="I595" s="3">
        <f t="shared" si="3"/>
        <v>0.2126185266</v>
      </c>
      <c r="J595" s="2">
        <v>434.0</v>
      </c>
      <c r="K595" s="3">
        <f t="shared" si="4"/>
        <v>0.1582786287</v>
      </c>
      <c r="L595" s="2">
        <v>349.0</v>
      </c>
      <c r="M595" s="3">
        <f t="shared" si="5"/>
        <v>0.5986277873</v>
      </c>
      <c r="N595" s="2">
        <v>3539300.0</v>
      </c>
      <c r="O595" s="4">
        <f t="shared" si="6"/>
        <v>6070.84048</v>
      </c>
      <c r="P595" s="2">
        <v>5.0</v>
      </c>
      <c r="Q595" s="3">
        <f t="shared" si="7"/>
        <v>0.01953125</v>
      </c>
      <c r="R595" s="2">
        <v>256.0</v>
      </c>
      <c r="S595" s="5">
        <f t="shared" si="8"/>
        <v>1</v>
      </c>
    </row>
    <row r="596">
      <c r="A596" s="2" t="s">
        <v>611</v>
      </c>
      <c r="B596" s="2">
        <v>40.0</v>
      </c>
      <c r="C596" s="2">
        <v>474.0</v>
      </c>
      <c r="D596" s="2">
        <v>144.0</v>
      </c>
      <c r="E596" s="3">
        <f t="shared" si="1"/>
        <v>0.331797235</v>
      </c>
      <c r="F596" s="2">
        <v>69.0</v>
      </c>
      <c r="G596" s="3">
        <f t="shared" si="2"/>
        <v>0.1589861751</v>
      </c>
      <c r="H596" s="2">
        <v>96.0</v>
      </c>
      <c r="I596" s="3">
        <f t="shared" si="3"/>
        <v>0.2211981567</v>
      </c>
      <c r="J596" s="2">
        <v>49.0</v>
      </c>
      <c r="K596" s="3">
        <f t="shared" si="4"/>
        <v>0.1129032258</v>
      </c>
      <c r="L596" s="2">
        <v>64.0</v>
      </c>
      <c r="M596" s="3">
        <f t="shared" si="5"/>
        <v>0.6666666667</v>
      </c>
      <c r="N596" s="2">
        <v>481100.0</v>
      </c>
      <c r="O596" s="4">
        <f t="shared" si="6"/>
        <v>5011.458333</v>
      </c>
      <c r="P596" s="2">
        <v>0.0</v>
      </c>
      <c r="Q596" s="3">
        <f t="shared" si="7"/>
        <v>0</v>
      </c>
      <c r="R596" s="2">
        <v>40.0</v>
      </c>
      <c r="S596" s="5">
        <f t="shared" si="8"/>
        <v>1</v>
      </c>
    </row>
    <row r="597">
      <c r="A597" s="2" t="s">
        <v>612</v>
      </c>
      <c r="B597" s="2">
        <v>103.0</v>
      </c>
      <c r="C597" s="2">
        <v>1192.0</v>
      </c>
      <c r="D597" s="2">
        <v>471.0</v>
      </c>
      <c r="E597" s="3">
        <f t="shared" si="1"/>
        <v>0.4325068871</v>
      </c>
      <c r="F597" s="2">
        <v>173.0</v>
      </c>
      <c r="G597" s="3">
        <f t="shared" si="2"/>
        <v>0.1588613407</v>
      </c>
      <c r="H597" s="2">
        <v>247.0</v>
      </c>
      <c r="I597" s="3">
        <f t="shared" si="3"/>
        <v>0.2268135904</v>
      </c>
      <c r="J597" s="2">
        <v>192.0</v>
      </c>
      <c r="K597" s="3">
        <f t="shared" si="4"/>
        <v>0.1763085399</v>
      </c>
      <c r="L597" s="2">
        <v>155.0</v>
      </c>
      <c r="M597" s="3">
        <f t="shared" si="5"/>
        <v>0.6275303644</v>
      </c>
      <c r="N597" s="2">
        <v>1349700.0</v>
      </c>
      <c r="O597" s="4">
        <f t="shared" si="6"/>
        <v>5464.37247</v>
      </c>
      <c r="P597" s="2">
        <v>0.0</v>
      </c>
      <c r="Q597" s="3">
        <f t="shared" si="7"/>
        <v>0</v>
      </c>
      <c r="R597" s="2">
        <v>30.0</v>
      </c>
      <c r="S597" s="5">
        <f t="shared" si="8"/>
        <v>0.2912621359</v>
      </c>
    </row>
    <row r="598">
      <c r="A598" s="2" t="s">
        <v>613</v>
      </c>
      <c r="B598" s="2">
        <v>43.0</v>
      </c>
      <c r="C598" s="2">
        <v>534.0</v>
      </c>
      <c r="D598" s="2">
        <v>180.0</v>
      </c>
      <c r="E598" s="3">
        <f t="shared" si="1"/>
        <v>0.366598778</v>
      </c>
      <c r="F598" s="2">
        <v>78.0</v>
      </c>
      <c r="G598" s="3">
        <f t="shared" si="2"/>
        <v>0.1588594705</v>
      </c>
      <c r="H598" s="2">
        <v>85.0</v>
      </c>
      <c r="I598" s="3">
        <f t="shared" si="3"/>
        <v>0.1731160896</v>
      </c>
      <c r="J598" s="2">
        <v>80.0</v>
      </c>
      <c r="K598" s="3">
        <f t="shared" si="4"/>
        <v>0.1629327902</v>
      </c>
      <c r="L598" s="2">
        <v>48.0</v>
      </c>
      <c r="M598" s="3">
        <f t="shared" si="5"/>
        <v>0.5647058824</v>
      </c>
      <c r="N598" s="2">
        <v>489400.0</v>
      </c>
      <c r="O598" s="4">
        <f t="shared" si="6"/>
        <v>5757.647059</v>
      </c>
      <c r="P598" s="2">
        <v>0.0</v>
      </c>
      <c r="Q598" s="3">
        <f t="shared" si="7"/>
        <v>0</v>
      </c>
      <c r="R598" s="2">
        <v>43.0</v>
      </c>
      <c r="S598" s="5">
        <f t="shared" si="8"/>
        <v>1</v>
      </c>
    </row>
    <row r="599">
      <c r="A599" s="2" t="s">
        <v>614</v>
      </c>
      <c r="B599" s="2">
        <v>165.0</v>
      </c>
      <c r="C599" s="2">
        <v>1809.0</v>
      </c>
      <c r="D599" s="2">
        <v>475.0</v>
      </c>
      <c r="E599" s="3">
        <f t="shared" si="1"/>
        <v>0.2889294404</v>
      </c>
      <c r="F599" s="2">
        <v>261.0</v>
      </c>
      <c r="G599" s="3">
        <f t="shared" si="2"/>
        <v>0.1587591241</v>
      </c>
      <c r="H599" s="2">
        <v>332.0</v>
      </c>
      <c r="I599" s="3">
        <f t="shared" si="3"/>
        <v>0.201946472</v>
      </c>
      <c r="J599" s="2">
        <v>363.0</v>
      </c>
      <c r="K599" s="3">
        <f t="shared" si="4"/>
        <v>0.2208029197</v>
      </c>
      <c r="L599" s="2">
        <v>194.0</v>
      </c>
      <c r="M599" s="3">
        <f t="shared" si="5"/>
        <v>0.5843373494</v>
      </c>
      <c r="N599" s="2">
        <v>2098800.0</v>
      </c>
      <c r="O599" s="4">
        <f t="shared" si="6"/>
        <v>6321.686747</v>
      </c>
      <c r="P599" s="2">
        <v>0.0</v>
      </c>
      <c r="Q599" s="3">
        <f t="shared" si="7"/>
        <v>0</v>
      </c>
      <c r="R599" s="2">
        <v>165.0</v>
      </c>
      <c r="S599" s="5">
        <f t="shared" si="8"/>
        <v>1</v>
      </c>
    </row>
    <row r="600">
      <c r="A600" s="2" t="s">
        <v>615</v>
      </c>
      <c r="B600" s="2">
        <v>221.0</v>
      </c>
      <c r="C600" s="2">
        <v>2659.0</v>
      </c>
      <c r="D600" s="2">
        <v>1106.0</v>
      </c>
      <c r="E600" s="3">
        <f t="shared" si="1"/>
        <v>0.4536505332</v>
      </c>
      <c r="F600" s="2">
        <v>387.0</v>
      </c>
      <c r="G600" s="3">
        <f t="shared" si="2"/>
        <v>0.1587366694</v>
      </c>
      <c r="H600" s="2">
        <v>506.0</v>
      </c>
      <c r="I600" s="3">
        <f t="shared" si="3"/>
        <v>0.2075471698</v>
      </c>
      <c r="J600" s="2">
        <v>394.0</v>
      </c>
      <c r="K600" s="3">
        <f t="shared" si="4"/>
        <v>0.1616078753</v>
      </c>
      <c r="L600" s="2">
        <v>305.0</v>
      </c>
      <c r="M600" s="3">
        <f t="shared" si="5"/>
        <v>0.6027667984</v>
      </c>
      <c r="N600" s="2">
        <v>2837500.0</v>
      </c>
      <c r="O600" s="4">
        <f t="shared" si="6"/>
        <v>5607.70751</v>
      </c>
      <c r="P600" s="2">
        <v>3.0</v>
      </c>
      <c r="Q600" s="3">
        <f t="shared" si="7"/>
        <v>0.01357466063</v>
      </c>
      <c r="R600" s="2">
        <v>221.0</v>
      </c>
      <c r="S600" s="5">
        <f t="shared" si="8"/>
        <v>1</v>
      </c>
    </row>
    <row r="601">
      <c r="A601" s="2" t="s">
        <v>616</v>
      </c>
      <c r="B601" s="2">
        <v>17.0</v>
      </c>
      <c r="C601" s="2">
        <v>206.0</v>
      </c>
      <c r="D601" s="2">
        <v>54.0</v>
      </c>
      <c r="E601" s="3">
        <f t="shared" si="1"/>
        <v>0.2857142857</v>
      </c>
      <c r="F601" s="2">
        <v>30.0</v>
      </c>
      <c r="G601" s="3">
        <f t="shared" si="2"/>
        <v>0.1587301587</v>
      </c>
      <c r="H601" s="2">
        <v>31.0</v>
      </c>
      <c r="I601" s="3">
        <f t="shared" si="3"/>
        <v>0.164021164</v>
      </c>
      <c r="J601" s="2">
        <v>20.0</v>
      </c>
      <c r="K601" s="3">
        <f t="shared" si="4"/>
        <v>0.1058201058</v>
      </c>
      <c r="L601" s="2">
        <v>22.0</v>
      </c>
      <c r="M601" s="3">
        <f t="shared" si="5"/>
        <v>0.7096774194</v>
      </c>
      <c r="N601" s="2">
        <v>187700.0</v>
      </c>
      <c r="O601" s="4">
        <f t="shared" si="6"/>
        <v>6054.83871</v>
      </c>
      <c r="P601" s="2">
        <v>0.0</v>
      </c>
      <c r="Q601" s="3">
        <f t="shared" si="7"/>
        <v>0</v>
      </c>
      <c r="R601" s="2">
        <v>17.0</v>
      </c>
      <c r="S601" s="5">
        <f t="shared" si="8"/>
        <v>1</v>
      </c>
    </row>
    <row r="602">
      <c r="A602" s="2" t="s">
        <v>617</v>
      </c>
      <c r="B602" s="2">
        <v>101.0</v>
      </c>
      <c r="C602" s="2">
        <v>1191.0</v>
      </c>
      <c r="D602" s="2">
        <v>418.0</v>
      </c>
      <c r="E602" s="3">
        <f t="shared" si="1"/>
        <v>0.3834862385</v>
      </c>
      <c r="F602" s="2">
        <v>173.0</v>
      </c>
      <c r="G602" s="3">
        <f t="shared" si="2"/>
        <v>0.1587155963</v>
      </c>
      <c r="H602" s="2">
        <v>237.0</v>
      </c>
      <c r="I602" s="3">
        <f t="shared" si="3"/>
        <v>0.2174311927</v>
      </c>
      <c r="J602" s="2">
        <v>207.0</v>
      </c>
      <c r="K602" s="3">
        <f t="shared" si="4"/>
        <v>0.1899082569</v>
      </c>
      <c r="L602" s="2">
        <v>134.0</v>
      </c>
      <c r="M602" s="3">
        <f t="shared" si="5"/>
        <v>0.5654008439</v>
      </c>
      <c r="N602" s="2">
        <v>1352000.0</v>
      </c>
      <c r="O602" s="4">
        <f t="shared" si="6"/>
        <v>5704.64135</v>
      </c>
      <c r="P602" s="2">
        <v>0.0</v>
      </c>
      <c r="Q602" s="3">
        <f t="shared" si="7"/>
        <v>0</v>
      </c>
      <c r="R602" s="2">
        <v>101.0</v>
      </c>
      <c r="S602" s="5">
        <f t="shared" si="8"/>
        <v>1</v>
      </c>
    </row>
    <row r="603">
      <c r="A603" s="2" t="s">
        <v>618</v>
      </c>
      <c r="B603" s="2">
        <v>867.0</v>
      </c>
      <c r="C603" s="2">
        <v>10105.0</v>
      </c>
      <c r="D603" s="2">
        <v>3523.0</v>
      </c>
      <c r="E603" s="3">
        <f t="shared" si="1"/>
        <v>0.3813596016</v>
      </c>
      <c r="F603" s="2">
        <v>1466.0</v>
      </c>
      <c r="G603" s="3">
        <f t="shared" si="2"/>
        <v>0.1586923577</v>
      </c>
      <c r="H603" s="2">
        <v>2048.0</v>
      </c>
      <c r="I603" s="3">
        <f t="shared" si="3"/>
        <v>0.2216930071</v>
      </c>
      <c r="J603" s="2">
        <v>1747.0</v>
      </c>
      <c r="K603" s="3">
        <f t="shared" si="4"/>
        <v>0.189110197</v>
      </c>
      <c r="L603" s="2">
        <v>1211.0</v>
      </c>
      <c r="M603" s="3">
        <f t="shared" si="5"/>
        <v>0.5913085938</v>
      </c>
      <c r="N603" s="2">
        <v>1.24181E7</v>
      </c>
      <c r="O603" s="4">
        <f t="shared" si="6"/>
        <v>6063.525391</v>
      </c>
      <c r="P603" s="2">
        <v>4.0</v>
      </c>
      <c r="Q603" s="3">
        <f t="shared" si="7"/>
        <v>0.00461361015</v>
      </c>
      <c r="R603" s="2">
        <v>867.0</v>
      </c>
      <c r="S603" s="5">
        <f t="shared" si="8"/>
        <v>1</v>
      </c>
    </row>
    <row r="604">
      <c r="A604" s="2" t="s">
        <v>619</v>
      </c>
      <c r="B604" s="2">
        <v>33.0</v>
      </c>
      <c r="C604" s="2">
        <v>430.0</v>
      </c>
      <c r="D604" s="2">
        <v>144.0</v>
      </c>
      <c r="E604" s="3">
        <f t="shared" si="1"/>
        <v>0.362720403</v>
      </c>
      <c r="F604" s="2">
        <v>63.0</v>
      </c>
      <c r="G604" s="3">
        <f t="shared" si="2"/>
        <v>0.1586901763</v>
      </c>
      <c r="H604" s="2">
        <v>73.0</v>
      </c>
      <c r="I604" s="3">
        <f t="shared" si="3"/>
        <v>0.1838790932</v>
      </c>
      <c r="J604" s="2">
        <v>73.0</v>
      </c>
      <c r="K604" s="3">
        <f t="shared" si="4"/>
        <v>0.1838790932</v>
      </c>
      <c r="L604" s="2">
        <v>47.0</v>
      </c>
      <c r="M604" s="3">
        <f t="shared" si="5"/>
        <v>0.6438356164</v>
      </c>
      <c r="N604" s="2">
        <v>430800.0</v>
      </c>
      <c r="O604" s="4">
        <f t="shared" si="6"/>
        <v>5901.369863</v>
      </c>
      <c r="P604" s="2">
        <v>0.0</v>
      </c>
      <c r="Q604" s="3">
        <f t="shared" si="7"/>
        <v>0</v>
      </c>
      <c r="R604" s="2">
        <v>33.0</v>
      </c>
      <c r="S604" s="5">
        <f t="shared" si="8"/>
        <v>1</v>
      </c>
    </row>
    <row r="605">
      <c r="A605" s="2" t="s">
        <v>620</v>
      </c>
      <c r="B605" s="2">
        <v>427.0</v>
      </c>
      <c r="C605" s="2">
        <v>4933.0</v>
      </c>
      <c r="D605" s="2">
        <v>1792.0</v>
      </c>
      <c r="E605" s="3">
        <f t="shared" si="1"/>
        <v>0.3976919663</v>
      </c>
      <c r="F605" s="2">
        <v>715.0</v>
      </c>
      <c r="G605" s="3">
        <f t="shared" si="2"/>
        <v>0.1586773191</v>
      </c>
      <c r="H605" s="2">
        <v>951.0</v>
      </c>
      <c r="I605" s="3">
        <f t="shared" si="3"/>
        <v>0.2110519308</v>
      </c>
      <c r="J605" s="2">
        <v>664.0</v>
      </c>
      <c r="K605" s="3">
        <f t="shared" si="4"/>
        <v>0.1473590768</v>
      </c>
      <c r="L605" s="2">
        <v>565.0</v>
      </c>
      <c r="M605" s="3">
        <f t="shared" si="5"/>
        <v>0.5941114616</v>
      </c>
      <c r="N605" s="2">
        <v>5477700.0</v>
      </c>
      <c r="O605" s="4">
        <f t="shared" si="6"/>
        <v>5759.936909</v>
      </c>
      <c r="P605" s="2">
        <v>2.0</v>
      </c>
      <c r="Q605" s="3">
        <f t="shared" si="7"/>
        <v>0.004683840749</v>
      </c>
      <c r="R605" s="2">
        <v>427.0</v>
      </c>
      <c r="S605" s="5">
        <f t="shared" si="8"/>
        <v>1</v>
      </c>
    </row>
    <row r="606">
      <c r="A606" s="2" t="s">
        <v>621</v>
      </c>
      <c r="B606" s="2">
        <v>108.0</v>
      </c>
      <c r="C606" s="2">
        <v>1255.0</v>
      </c>
      <c r="D606" s="2">
        <v>364.0</v>
      </c>
      <c r="E606" s="3">
        <f t="shared" si="1"/>
        <v>0.3173496077</v>
      </c>
      <c r="F606" s="2">
        <v>182.0</v>
      </c>
      <c r="G606" s="3">
        <f t="shared" si="2"/>
        <v>0.1586748038</v>
      </c>
      <c r="H606" s="2">
        <v>249.0</v>
      </c>
      <c r="I606" s="3">
        <f t="shared" si="3"/>
        <v>0.2170880558</v>
      </c>
      <c r="J606" s="2">
        <v>225.0</v>
      </c>
      <c r="K606" s="3">
        <f t="shared" si="4"/>
        <v>0.1961639058</v>
      </c>
      <c r="L606" s="2">
        <v>146.0</v>
      </c>
      <c r="M606" s="3">
        <f t="shared" si="5"/>
        <v>0.5863453815</v>
      </c>
      <c r="N606" s="2">
        <v>1399400.0</v>
      </c>
      <c r="O606" s="4">
        <f t="shared" si="6"/>
        <v>5620.080321</v>
      </c>
      <c r="P606" s="2">
        <v>0.0</v>
      </c>
      <c r="Q606" s="3">
        <f t="shared" si="7"/>
        <v>0</v>
      </c>
      <c r="R606" s="2">
        <v>108.0</v>
      </c>
      <c r="S606" s="5">
        <f t="shared" si="8"/>
        <v>1</v>
      </c>
    </row>
    <row r="607">
      <c r="A607" s="2" t="s">
        <v>622</v>
      </c>
      <c r="B607" s="2">
        <v>333.0</v>
      </c>
      <c r="C607" s="2">
        <v>3869.0</v>
      </c>
      <c r="D607" s="2">
        <v>1303.0</v>
      </c>
      <c r="E607" s="3">
        <f t="shared" si="1"/>
        <v>0.3684954751</v>
      </c>
      <c r="F607" s="2">
        <v>561.0</v>
      </c>
      <c r="G607" s="3">
        <f t="shared" si="2"/>
        <v>0.1586538462</v>
      </c>
      <c r="H607" s="2">
        <v>816.0</v>
      </c>
      <c r="I607" s="3">
        <f t="shared" si="3"/>
        <v>0.2307692308</v>
      </c>
      <c r="J607" s="2">
        <v>691.0</v>
      </c>
      <c r="K607" s="3">
        <f t="shared" si="4"/>
        <v>0.195418552</v>
      </c>
      <c r="L607" s="2">
        <v>473.0</v>
      </c>
      <c r="M607" s="3">
        <f t="shared" si="5"/>
        <v>0.5796568627</v>
      </c>
      <c r="N607" s="2">
        <v>4615100.0</v>
      </c>
      <c r="O607" s="4">
        <f t="shared" si="6"/>
        <v>5655.759804</v>
      </c>
      <c r="P607" s="2">
        <v>1.0</v>
      </c>
      <c r="Q607" s="3">
        <f t="shared" si="7"/>
        <v>0.003003003003</v>
      </c>
      <c r="R607" s="2">
        <v>333.0</v>
      </c>
      <c r="S607" s="5">
        <f t="shared" si="8"/>
        <v>1</v>
      </c>
    </row>
    <row r="608">
      <c r="A608" s="2" t="s">
        <v>623</v>
      </c>
      <c r="B608" s="2">
        <v>83.0</v>
      </c>
      <c r="C608" s="2">
        <v>972.0</v>
      </c>
      <c r="D608" s="2">
        <v>232.0</v>
      </c>
      <c r="E608" s="3">
        <f t="shared" si="1"/>
        <v>0.2609673791</v>
      </c>
      <c r="F608" s="2">
        <v>141.0</v>
      </c>
      <c r="G608" s="3">
        <f t="shared" si="2"/>
        <v>0.1586051744</v>
      </c>
      <c r="H608" s="2">
        <v>195.0</v>
      </c>
      <c r="I608" s="3">
        <f t="shared" si="3"/>
        <v>0.2193475816</v>
      </c>
      <c r="J608" s="2">
        <v>193.0</v>
      </c>
      <c r="K608" s="3">
        <f t="shared" si="4"/>
        <v>0.2170978628</v>
      </c>
      <c r="L608" s="2">
        <v>108.0</v>
      </c>
      <c r="M608" s="3">
        <f t="shared" si="5"/>
        <v>0.5538461538</v>
      </c>
      <c r="N608" s="2">
        <v>1239300.0</v>
      </c>
      <c r="O608" s="4">
        <f t="shared" si="6"/>
        <v>6355.384615</v>
      </c>
      <c r="P608" s="2">
        <v>0.0</v>
      </c>
      <c r="Q608" s="3">
        <f t="shared" si="7"/>
        <v>0</v>
      </c>
      <c r="R608" s="2">
        <v>83.0</v>
      </c>
      <c r="S608" s="5">
        <f t="shared" si="8"/>
        <v>1</v>
      </c>
    </row>
    <row r="609">
      <c r="A609" s="2" t="s">
        <v>624</v>
      </c>
      <c r="B609" s="2">
        <v>296.0</v>
      </c>
      <c r="C609" s="2">
        <v>3488.0</v>
      </c>
      <c r="D609" s="2">
        <v>990.0</v>
      </c>
      <c r="E609" s="3">
        <f t="shared" si="1"/>
        <v>0.3101503759</v>
      </c>
      <c r="F609" s="2">
        <v>506.0</v>
      </c>
      <c r="G609" s="3">
        <f t="shared" si="2"/>
        <v>0.1585213033</v>
      </c>
      <c r="H609" s="2">
        <v>666.0</v>
      </c>
      <c r="I609" s="3">
        <f t="shared" si="3"/>
        <v>0.2086466165</v>
      </c>
      <c r="J609" s="2">
        <v>554.0</v>
      </c>
      <c r="K609" s="3">
        <f t="shared" si="4"/>
        <v>0.1735588972</v>
      </c>
      <c r="L609" s="2">
        <v>417.0</v>
      </c>
      <c r="M609" s="3">
        <f t="shared" si="5"/>
        <v>0.6261261261</v>
      </c>
      <c r="N609" s="2">
        <v>3680400.0</v>
      </c>
      <c r="O609" s="4">
        <f t="shared" si="6"/>
        <v>5526.126126</v>
      </c>
      <c r="P609" s="2">
        <v>0.0</v>
      </c>
      <c r="Q609" s="3">
        <f t="shared" si="7"/>
        <v>0</v>
      </c>
      <c r="R609" s="2">
        <v>296.0</v>
      </c>
      <c r="S609" s="5">
        <f t="shared" si="8"/>
        <v>1</v>
      </c>
    </row>
    <row r="610">
      <c r="A610" s="2" t="s">
        <v>625</v>
      </c>
      <c r="B610" s="2">
        <v>165.0</v>
      </c>
      <c r="C610" s="2">
        <v>1913.0</v>
      </c>
      <c r="D610" s="2">
        <v>561.0</v>
      </c>
      <c r="E610" s="3">
        <f t="shared" si="1"/>
        <v>0.3209382151</v>
      </c>
      <c r="F610" s="2">
        <v>277.0</v>
      </c>
      <c r="G610" s="3">
        <f t="shared" si="2"/>
        <v>0.1584668192</v>
      </c>
      <c r="H610" s="2">
        <v>339.0</v>
      </c>
      <c r="I610" s="3">
        <f t="shared" si="3"/>
        <v>0.1939359268</v>
      </c>
      <c r="J610" s="2">
        <v>370.0</v>
      </c>
      <c r="K610" s="3">
        <f t="shared" si="4"/>
        <v>0.2116704805</v>
      </c>
      <c r="L610" s="2">
        <v>197.0</v>
      </c>
      <c r="M610" s="3">
        <f t="shared" si="5"/>
        <v>0.581120944</v>
      </c>
      <c r="N610" s="2">
        <v>2056000.0</v>
      </c>
      <c r="O610" s="4">
        <f t="shared" si="6"/>
        <v>6064.896755</v>
      </c>
      <c r="P610" s="2">
        <v>0.0</v>
      </c>
      <c r="Q610" s="3">
        <f t="shared" si="7"/>
        <v>0</v>
      </c>
      <c r="R610" s="2">
        <v>165.0</v>
      </c>
      <c r="S610" s="5">
        <f t="shared" si="8"/>
        <v>1</v>
      </c>
    </row>
    <row r="611">
      <c r="A611" s="2" t="s">
        <v>626</v>
      </c>
      <c r="B611" s="2">
        <v>16.0</v>
      </c>
      <c r="C611" s="2">
        <v>155.0</v>
      </c>
      <c r="D611" s="2">
        <v>52.0</v>
      </c>
      <c r="E611" s="3">
        <f t="shared" si="1"/>
        <v>0.3741007194</v>
      </c>
      <c r="F611" s="2">
        <v>22.0</v>
      </c>
      <c r="G611" s="3">
        <f t="shared" si="2"/>
        <v>0.1582733813</v>
      </c>
      <c r="H611" s="2">
        <v>29.0</v>
      </c>
      <c r="I611" s="3">
        <f t="shared" si="3"/>
        <v>0.2086330935</v>
      </c>
      <c r="J611" s="2">
        <v>27.0</v>
      </c>
      <c r="K611" s="3">
        <f t="shared" si="4"/>
        <v>0.1942446043</v>
      </c>
      <c r="L611" s="2">
        <v>19.0</v>
      </c>
      <c r="M611" s="3">
        <f t="shared" si="5"/>
        <v>0.6551724138</v>
      </c>
      <c r="N611" s="2">
        <v>160200.0</v>
      </c>
      <c r="O611" s="4">
        <f t="shared" si="6"/>
        <v>5524.137931</v>
      </c>
      <c r="P611" s="2">
        <v>0.0</v>
      </c>
      <c r="Q611" s="3">
        <f t="shared" si="7"/>
        <v>0</v>
      </c>
      <c r="R611" s="2">
        <v>16.0</v>
      </c>
      <c r="S611" s="5">
        <f t="shared" si="8"/>
        <v>1</v>
      </c>
    </row>
    <row r="612">
      <c r="A612" s="2" t="s">
        <v>627</v>
      </c>
      <c r="B612" s="2">
        <v>329.0</v>
      </c>
      <c r="C612" s="2">
        <v>3799.0</v>
      </c>
      <c r="D612" s="2">
        <v>1310.0</v>
      </c>
      <c r="E612" s="3">
        <f t="shared" si="1"/>
        <v>0.3775216138</v>
      </c>
      <c r="F612" s="2">
        <v>549.0</v>
      </c>
      <c r="G612" s="3">
        <f t="shared" si="2"/>
        <v>0.1582132565</v>
      </c>
      <c r="H612" s="2">
        <v>785.0</v>
      </c>
      <c r="I612" s="3">
        <f t="shared" si="3"/>
        <v>0.2262247839</v>
      </c>
      <c r="J612" s="2">
        <v>612.0</v>
      </c>
      <c r="K612" s="3">
        <f t="shared" si="4"/>
        <v>0.1763688761</v>
      </c>
      <c r="L612" s="2">
        <v>478.0</v>
      </c>
      <c r="M612" s="3">
        <f t="shared" si="5"/>
        <v>0.6089171975</v>
      </c>
      <c r="N612" s="2">
        <v>4298000.0</v>
      </c>
      <c r="O612" s="4">
        <f t="shared" si="6"/>
        <v>5475.159236</v>
      </c>
      <c r="P612" s="2">
        <v>0.0</v>
      </c>
      <c r="Q612" s="3">
        <f t="shared" si="7"/>
        <v>0</v>
      </c>
      <c r="R612" s="2">
        <v>0.0</v>
      </c>
      <c r="S612" s="5">
        <f t="shared" si="8"/>
        <v>0</v>
      </c>
    </row>
    <row r="613">
      <c r="A613" s="2" t="s">
        <v>628</v>
      </c>
      <c r="B613" s="2">
        <v>265.0</v>
      </c>
      <c r="C613" s="2">
        <v>3141.0</v>
      </c>
      <c r="D613" s="2">
        <v>1057.0</v>
      </c>
      <c r="E613" s="3">
        <f t="shared" si="1"/>
        <v>0.3675243394</v>
      </c>
      <c r="F613" s="2">
        <v>455.0</v>
      </c>
      <c r="G613" s="3">
        <f t="shared" si="2"/>
        <v>0.1582058414</v>
      </c>
      <c r="H613" s="2">
        <v>661.0</v>
      </c>
      <c r="I613" s="3">
        <f t="shared" si="3"/>
        <v>0.2298331015</v>
      </c>
      <c r="J613" s="2">
        <v>468.0</v>
      </c>
      <c r="K613" s="3">
        <f t="shared" si="4"/>
        <v>0.1627260083</v>
      </c>
      <c r="L613" s="2">
        <v>385.0</v>
      </c>
      <c r="M613" s="3">
        <f t="shared" si="5"/>
        <v>0.5824508321</v>
      </c>
      <c r="N613" s="2">
        <v>3531500.0</v>
      </c>
      <c r="O613" s="4">
        <f t="shared" si="6"/>
        <v>5342.662632</v>
      </c>
      <c r="P613" s="2">
        <v>1.0</v>
      </c>
      <c r="Q613" s="3">
        <f t="shared" si="7"/>
        <v>0.003773584906</v>
      </c>
      <c r="R613" s="2">
        <v>265.0</v>
      </c>
      <c r="S613" s="5">
        <f t="shared" si="8"/>
        <v>1</v>
      </c>
    </row>
    <row r="614">
      <c r="A614" s="2" t="s">
        <v>629</v>
      </c>
      <c r="B614" s="2">
        <v>88.0</v>
      </c>
      <c r="C614" s="2">
        <v>1005.0</v>
      </c>
      <c r="D614" s="2">
        <v>382.0</v>
      </c>
      <c r="E614" s="3">
        <f t="shared" si="1"/>
        <v>0.4165757906</v>
      </c>
      <c r="F614" s="2">
        <v>145.0</v>
      </c>
      <c r="G614" s="3">
        <f t="shared" si="2"/>
        <v>0.1581243184</v>
      </c>
      <c r="H614" s="2">
        <v>206.0</v>
      </c>
      <c r="I614" s="3">
        <f t="shared" si="3"/>
        <v>0.2246455834</v>
      </c>
      <c r="J614" s="2">
        <v>167.0</v>
      </c>
      <c r="K614" s="3">
        <f t="shared" si="4"/>
        <v>0.1821155943</v>
      </c>
      <c r="L614" s="2">
        <v>125.0</v>
      </c>
      <c r="M614" s="3">
        <f t="shared" si="5"/>
        <v>0.6067961165</v>
      </c>
      <c r="N614" s="2">
        <v>1070900.0</v>
      </c>
      <c r="O614" s="4">
        <f t="shared" si="6"/>
        <v>5198.543689</v>
      </c>
      <c r="P614" s="2">
        <v>0.0</v>
      </c>
      <c r="Q614" s="3">
        <f t="shared" si="7"/>
        <v>0</v>
      </c>
      <c r="R614" s="2">
        <v>7.0</v>
      </c>
      <c r="S614" s="5">
        <f t="shared" si="8"/>
        <v>0.07954545455</v>
      </c>
    </row>
    <row r="615">
      <c r="A615" s="2" t="s">
        <v>630</v>
      </c>
      <c r="B615" s="2">
        <v>490.0</v>
      </c>
      <c r="C615" s="2">
        <v>5646.0</v>
      </c>
      <c r="D615" s="2">
        <v>1654.0</v>
      </c>
      <c r="E615" s="3">
        <f t="shared" si="1"/>
        <v>0.3207913111</v>
      </c>
      <c r="F615" s="2">
        <v>815.0</v>
      </c>
      <c r="G615" s="3">
        <f t="shared" si="2"/>
        <v>0.15806827</v>
      </c>
      <c r="H615" s="2">
        <v>1019.0</v>
      </c>
      <c r="I615" s="3">
        <f t="shared" si="3"/>
        <v>0.1976338247</v>
      </c>
      <c r="J615" s="2">
        <v>954.0</v>
      </c>
      <c r="K615" s="3">
        <f t="shared" si="4"/>
        <v>0.1850271528</v>
      </c>
      <c r="L615" s="2">
        <v>583.0</v>
      </c>
      <c r="M615" s="3">
        <f t="shared" si="5"/>
        <v>0.5721295388</v>
      </c>
      <c r="N615" s="2">
        <v>6307500.0</v>
      </c>
      <c r="O615" s="4">
        <f t="shared" si="6"/>
        <v>6189.892051</v>
      </c>
      <c r="P615" s="2">
        <v>1.0</v>
      </c>
      <c r="Q615" s="3">
        <f t="shared" si="7"/>
        <v>0.002040816327</v>
      </c>
      <c r="R615" s="2">
        <v>490.0</v>
      </c>
      <c r="S615" s="5">
        <f t="shared" si="8"/>
        <v>1</v>
      </c>
    </row>
    <row r="616">
      <c r="A616" s="2" t="s">
        <v>631</v>
      </c>
      <c r="B616" s="2">
        <v>63.0</v>
      </c>
      <c r="C616" s="2">
        <v>721.0</v>
      </c>
      <c r="D616" s="2">
        <v>204.0</v>
      </c>
      <c r="E616" s="3">
        <f t="shared" si="1"/>
        <v>0.3100303951</v>
      </c>
      <c r="F616" s="2">
        <v>104.0</v>
      </c>
      <c r="G616" s="3">
        <f t="shared" si="2"/>
        <v>0.1580547112</v>
      </c>
      <c r="H616" s="2">
        <v>127.0</v>
      </c>
      <c r="I616" s="3">
        <f t="shared" si="3"/>
        <v>0.1930091185</v>
      </c>
      <c r="J616" s="2">
        <v>130.0</v>
      </c>
      <c r="K616" s="3">
        <f t="shared" si="4"/>
        <v>0.1975683891</v>
      </c>
      <c r="L616" s="2">
        <v>80.0</v>
      </c>
      <c r="M616" s="3">
        <f t="shared" si="5"/>
        <v>0.6299212598</v>
      </c>
      <c r="N616" s="2">
        <v>740300.0</v>
      </c>
      <c r="O616" s="4">
        <f t="shared" si="6"/>
        <v>5829.133858</v>
      </c>
      <c r="P616" s="2">
        <v>0.0</v>
      </c>
      <c r="Q616" s="3">
        <f t="shared" si="7"/>
        <v>0</v>
      </c>
      <c r="R616" s="2">
        <v>63.0</v>
      </c>
      <c r="S616" s="5">
        <f t="shared" si="8"/>
        <v>1</v>
      </c>
    </row>
    <row r="617">
      <c r="A617" s="2" t="s">
        <v>632</v>
      </c>
      <c r="B617" s="2">
        <v>323.0</v>
      </c>
      <c r="C617" s="2">
        <v>3843.0</v>
      </c>
      <c r="D617" s="2">
        <v>1260.0</v>
      </c>
      <c r="E617" s="3">
        <f t="shared" si="1"/>
        <v>0.3579545455</v>
      </c>
      <c r="F617" s="2">
        <v>556.0</v>
      </c>
      <c r="G617" s="3">
        <f t="shared" si="2"/>
        <v>0.1579545455</v>
      </c>
      <c r="H617" s="2">
        <v>837.0</v>
      </c>
      <c r="I617" s="3">
        <f t="shared" si="3"/>
        <v>0.2377840909</v>
      </c>
      <c r="J617" s="2">
        <v>704.0</v>
      </c>
      <c r="K617" s="3">
        <f t="shared" si="4"/>
        <v>0.2</v>
      </c>
      <c r="L617" s="2">
        <v>497.0</v>
      </c>
      <c r="M617" s="3">
        <f t="shared" si="5"/>
        <v>0.5937873357</v>
      </c>
      <c r="N617" s="2">
        <v>4619900.0</v>
      </c>
      <c r="O617" s="4">
        <f t="shared" si="6"/>
        <v>5519.593787</v>
      </c>
      <c r="P617" s="2">
        <v>2.0</v>
      </c>
      <c r="Q617" s="3">
        <f t="shared" si="7"/>
        <v>0.006191950464</v>
      </c>
      <c r="R617" s="2">
        <v>323.0</v>
      </c>
      <c r="S617" s="5">
        <f t="shared" si="8"/>
        <v>1</v>
      </c>
    </row>
    <row r="618">
      <c r="A618" s="2" t="s">
        <v>633</v>
      </c>
      <c r="B618" s="2">
        <v>133.0</v>
      </c>
      <c r="C618" s="2">
        <v>1545.0</v>
      </c>
      <c r="D618" s="2">
        <v>405.0</v>
      </c>
      <c r="E618" s="3">
        <f t="shared" si="1"/>
        <v>0.2868271955</v>
      </c>
      <c r="F618" s="2">
        <v>223.0</v>
      </c>
      <c r="G618" s="3">
        <f t="shared" si="2"/>
        <v>0.1579320113</v>
      </c>
      <c r="H618" s="2">
        <v>286.0</v>
      </c>
      <c r="I618" s="3">
        <f t="shared" si="3"/>
        <v>0.2025495751</v>
      </c>
      <c r="J618" s="2">
        <v>246.0</v>
      </c>
      <c r="K618" s="3">
        <f t="shared" si="4"/>
        <v>0.1742209632</v>
      </c>
      <c r="L618" s="2">
        <v>184.0</v>
      </c>
      <c r="M618" s="3">
        <f t="shared" si="5"/>
        <v>0.6433566434</v>
      </c>
      <c r="N618" s="2">
        <v>1813400.0</v>
      </c>
      <c r="O618" s="4">
        <f t="shared" si="6"/>
        <v>6340.559441</v>
      </c>
      <c r="P618" s="2">
        <v>0.0</v>
      </c>
      <c r="Q618" s="3">
        <f t="shared" si="7"/>
        <v>0</v>
      </c>
      <c r="R618" s="2">
        <v>133.0</v>
      </c>
      <c r="S618" s="5">
        <f t="shared" si="8"/>
        <v>1</v>
      </c>
    </row>
    <row r="619">
      <c r="A619" s="2" t="s">
        <v>634</v>
      </c>
      <c r="B619" s="2">
        <v>267.0</v>
      </c>
      <c r="C619" s="2">
        <v>3142.0</v>
      </c>
      <c r="D619" s="2">
        <v>720.0</v>
      </c>
      <c r="E619" s="3">
        <f t="shared" si="1"/>
        <v>0.2504347826</v>
      </c>
      <c r="F619" s="2">
        <v>454.0</v>
      </c>
      <c r="G619" s="3">
        <f t="shared" si="2"/>
        <v>0.1579130435</v>
      </c>
      <c r="H619" s="2">
        <v>537.0</v>
      </c>
      <c r="I619" s="3">
        <f t="shared" si="3"/>
        <v>0.1867826087</v>
      </c>
      <c r="J619" s="2">
        <v>432.0</v>
      </c>
      <c r="K619" s="3">
        <f t="shared" si="4"/>
        <v>0.1502608696</v>
      </c>
      <c r="L619" s="2">
        <v>316.0</v>
      </c>
      <c r="M619" s="3">
        <f t="shared" si="5"/>
        <v>0.5884543762</v>
      </c>
      <c r="N619" s="2">
        <v>3064800.0</v>
      </c>
      <c r="O619" s="4">
        <f t="shared" si="6"/>
        <v>5707.26257</v>
      </c>
      <c r="P619" s="2">
        <v>1.0</v>
      </c>
      <c r="Q619" s="3">
        <f t="shared" si="7"/>
        <v>0.003745318352</v>
      </c>
      <c r="R619" s="2">
        <v>267.0</v>
      </c>
      <c r="S619" s="5">
        <f t="shared" si="8"/>
        <v>1</v>
      </c>
    </row>
    <row r="620">
      <c r="A620" s="2" t="s">
        <v>635</v>
      </c>
      <c r="B620" s="2">
        <v>1008.0</v>
      </c>
      <c r="C620" s="2">
        <v>11692.0</v>
      </c>
      <c r="D620" s="2">
        <v>4695.0</v>
      </c>
      <c r="E620" s="3">
        <f t="shared" si="1"/>
        <v>0.4394421565</v>
      </c>
      <c r="F620" s="2">
        <v>1687.0</v>
      </c>
      <c r="G620" s="3">
        <f t="shared" si="2"/>
        <v>0.157899663</v>
      </c>
      <c r="H620" s="2">
        <v>2362.0</v>
      </c>
      <c r="I620" s="3">
        <f t="shared" si="3"/>
        <v>0.2210782478</v>
      </c>
      <c r="J620" s="2">
        <v>1436.0</v>
      </c>
      <c r="K620" s="3">
        <f t="shared" si="4"/>
        <v>0.1344065893</v>
      </c>
      <c r="L620" s="2">
        <v>1445.0</v>
      </c>
      <c r="M620" s="3">
        <f t="shared" si="5"/>
        <v>0.6117696867</v>
      </c>
      <c r="N620" s="2">
        <v>1.36803E7</v>
      </c>
      <c r="O620" s="4">
        <f t="shared" si="6"/>
        <v>5791.828959</v>
      </c>
      <c r="P620" s="2">
        <v>4.0</v>
      </c>
      <c r="Q620" s="3">
        <f t="shared" si="7"/>
        <v>0.003968253968</v>
      </c>
      <c r="R620" s="2">
        <v>1008.0</v>
      </c>
      <c r="S620" s="5">
        <f t="shared" si="8"/>
        <v>1</v>
      </c>
    </row>
    <row r="621">
      <c r="A621" s="2" t="s">
        <v>636</v>
      </c>
      <c r="B621" s="2">
        <v>21.0</v>
      </c>
      <c r="C621" s="2">
        <v>230.0</v>
      </c>
      <c r="D621" s="2">
        <v>61.0</v>
      </c>
      <c r="E621" s="3">
        <f t="shared" si="1"/>
        <v>0.2918660287</v>
      </c>
      <c r="F621" s="2">
        <v>33.0</v>
      </c>
      <c r="G621" s="3">
        <f t="shared" si="2"/>
        <v>0.1578947368</v>
      </c>
      <c r="H621" s="2">
        <v>32.0</v>
      </c>
      <c r="I621" s="3">
        <f t="shared" si="3"/>
        <v>0.1531100478</v>
      </c>
      <c r="J621" s="2">
        <v>52.0</v>
      </c>
      <c r="K621" s="3">
        <f t="shared" si="4"/>
        <v>0.2488038278</v>
      </c>
      <c r="L621" s="2">
        <v>21.0</v>
      </c>
      <c r="M621" s="3">
        <f t="shared" si="5"/>
        <v>0.65625</v>
      </c>
      <c r="N621" s="2">
        <v>181300.0</v>
      </c>
      <c r="O621" s="4">
        <f t="shared" si="6"/>
        <v>5665.625</v>
      </c>
      <c r="P621" s="2">
        <v>0.0</v>
      </c>
      <c r="Q621" s="3">
        <f t="shared" si="7"/>
        <v>0</v>
      </c>
      <c r="R621" s="2">
        <v>21.0</v>
      </c>
      <c r="S621" s="5">
        <f t="shared" si="8"/>
        <v>1</v>
      </c>
    </row>
    <row r="622">
      <c r="A622" s="2" t="s">
        <v>637</v>
      </c>
      <c r="B622" s="2">
        <v>74.0</v>
      </c>
      <c r="C622" s="2">
        <v>853.0</v>
      </c>
      <c r="D622" s="2">
        <v>277.0</v>
      </c>
      <c r="E622" s="3">
        <f t="shared" si="1"/>
        <v>0.3555840822</v>
      </c>
      <c r="F622" s="2">
        <v>123.0</v>
      </c>
      <c r="G622" s="3">
        <f t="shared" si="2"/>
        <v>0.1578947368</v>
      </c>
      <c r="H622" s="2">
        <v>177.0</v>
      </c>
      <c r="I622" s="3">
        <f t="shared" si="3"/>
        <v>0.2272143774</v>
      </c>
      <c r="J622" s="2">
        <v>141.0</v>
      </c>
      <c r="K622" s="3">
        <f t="shared" si="4"/>
        <v>0.1810012837</v>
      </c>
      <c r="L622" s="2">
        <v>105.0</v>
      </c>
      <c r="M622" s="3">
        <f t="shared" si="5"/>
        <v>0.593220339</v>
      </c>
      <c r="N622" s="2">
        <v>1064600.0</v>
      </c>
      <c r="O622" s="4">
        <f t="shared" si="6"/>
        <v>6014.689266</v>
      </c>
      <c r="P622" s="2">
        <v>0.0</v>
      </c>
      <c r="Q622" s="3">
        <f t="shared" si="7"/>
        <v>0</v>
      </c>
      <c r="R622" s="2">
        <v>74.0</v>
      </c>
      <c r="S622" s="5">
        <f t="shared" si="8"/>
        <v>1</v>
      </c>
    </row>
    <row r="623">
      <c r="A623" s="2" t="s">
        <v>638</v>
      </c>
      <c r="B623" s="2">
        <v>39.0</v>
      </c>
      <c r="C623" s="2">
        <v>419.0</v>
      </c>
      <c r="D623" s="2">
        <v>131.0</v>
      </c>
      <c r="E623" s="3">
        <f t="shared" si="1"/>
        <v>0.3447368421</v>
      </c>
      <c r="F623" s="2">
        <v>60.0</v>
      </c>
      <c r="G623" s="3">
        <f t="shared" si="2"/>
        <v>0.1578947368</v>
      </c>
      <c r="H623" s="2">
        <v>67.0</v>
      </c>
      <c r="I623" s="3">
        <f t="shared" si="3"/>
        <v>0.1763157895</v>
      </c>
      <c r="J623" s="2">
        <v>67.0</v>
      </c>
      <c r="K623" s="3">
        <f t="shared" si="4"/>
        <v>0.1763157895</v>
      </c>
      <c r="L623" s="2">
        <v>45.0</v>
      </c>
      <c r="M623" s="3">
        <f t="shared" si="5"/>
        <v>0.671641791</v>
      </c>
      <c r="N623" s="2">
        <v>324300.0</v>
      </c>
      <c r="O623" s="4">
        <f t="shared" si="6"/>
        <v>4840.298507</v>
      </c>
      <c r="P623" s="2">
        <v>0.0</v>
      </c>
      <c r="Q623" s="3">
        <f t="shared" si="7"/>
        <v>0</v>
      </c>
      <c r="R623" s="2">
        <v>39.0</v>
      </c>
      <c r="S623" s="5">
        <f t="shared" si="8"/>
        <v>1</v>
      </c>
    </row>
    <row r="624">
      <c r="A624" s="2" t="s">
        <v>639</v>
      </c>
      <c r="B624" s="2">
        <v>121.0</v>
      </c>
      <c r="C624" s="2">
        <v>1337.0</v>
      </c>
      <c r="D624" s="2">
        <v>367.0</v>
      </c>
      <c r="E624" s="3">
        <f t="shared" si="1"/>
        <v>0.3018092105</v>
      </c>
      <c r="F624" s="2">
        <v>192.0</v>
      </c>
      <c r="G624" s="3">
        <f t="shared" si="2"/>
        <v>0.1578947368</v>
      </c>
      <c r="H624" s="2">
        <v>226.0</v>
      </c>
      <c r="I624" s="3">
        <f t="shared" si="3"/>
        <v>0.1858552632</v>
      </c>
      <c r="J624" s="2">
        <v>208.0</v>
      </c>
      <c r="K624" s="3">
        <f t="shared" si="4"/>
        <v>0.1710526316</v>
      </c>
      <c r="L624" s="2">
        <v>145.0</v>
      </c>
      <c r="M624" s="3">
        <f t="shared" si="5"/>
        <v>0.6415929204</v>
      </c>
      <c r="N624" s="2">
        <v>1392500.0</v>
      </c>
      <c r="O624" s="4">
        <f t="shared" si="6"/>
        <v>6161.504425</v>
      </c>
      <c r="P624" s="2">
        <v>0.0</v>
      </c>
      <c r="Q624" s="3">
        <f t="shared" si="7"/>
        <v>0</v>
      </c>
      <c r="R624" s="2">
        <v>121.0</v>
      </c>
      <c r="S624" s="5">
        <f t="shared" si="8"/>
        <v>1</v>
      </c>
    </row>
    <row r="625">
      <c r="A625" s="2" t="s">
        <v>640</v>
      </c>
      <c r="B625" s="2">
        <v>18.0</v>
      </c>
      <c r="C625" s="2">
        <v>208.0</v>
      </c>
      <c r="D625" s="2">
        <v>55.0</v>
      </c>
      <c r="E625" s="3">
        <f t="shared" si="1"/>
        <v>0.2894736842</v>
      </c>
      <c r="F625" s="2">
        <v>30.0</v>
      </c>
      <c r="G625" s="3">
        <f t="shared" si="2"/>
        <v>0.1578947368</v>
      </c>
      <c r="H625" s="2">
        <v>31.0</v>
      </c>
      <c r="I625" s="3">
        <f t="shared" si="3"/>
        <v>0.1631578947</v>
      </c>
      <c r="J625" s="2">
        <v>32.0</v>
      </c>
      <c r="K625" s="3">
        <f t="shared" si="4"/>
        <v>0.1684210526</v>
      </c>
      <c r="L625" s="2">
        <v>23.0</v>
      </c>
      <c r="M625" s="3">
        <f t="shared" si="5"/>
        <v>0.7419354839</v>
      </c>
      <c r="N625" s="2">
        <v>180400.0</v>
      </c>
      <c r="O625" s="4">
        <f t="shared" si="6"/>
        <v>5819.354839</v>
      </c>
      <c r="P625" s="2">
        <v>0.0</v>
      </c>
      <c r="Q625" s="3">
        <f t="shared" si="7"/>
        <v>0</v>
      </c>
      <c r="R625" s="2">
        <v>18.0</v>
      </c>
      <c r="S625" s="5">
        <f t="shared" si="8"/>
        <v>1</v>
      </c>
    </row>
    <row r="626">
      <c r="A626" s="2" t="s">
        <v>641</v>
      </c>
      <c r="B626" s="2">
        <v>2.0</v>
      </c>
      <c r="C626" s="2">
        <v>21.0</v>
      </c>
      <c r="D626" s="2">
        <v>9.0</v>
      </c>
      <c r="E626" s="3">
        <f t="shared" si="1"/>
        <v>0.4736842105</v>
      </c>
      <c r="F626" s="2">
        <v>3.0</v>
      </c>
      <c r="G626" s="3">
        <f t="shared" si="2"/>
        <v>0.1578947368</v>
      </c>
      <c r="H626" s="2">
        <v>3.0</v>
      </c>
      <c r="I626" s="3">
        <f t="shared" si="3"/>
        <v>0.1578947368</v>
      </c>
      <c r="J626" s="2">
        <v>3.0</v>
      </c>
      <c r="K626" s="3">
        <f t="shared" si="4"/>
        <v>0.1578947368</v>
      </c>
      <c r="L626" s="2">
        <v>3.0</v>
      </c>
      <c r="M626" s="3">
        <f t="shared" si="5"/>
        <v>1</v>
      </c>
      <c r="N626" s="2">
        <v>13000.0</v>
      </c>
      <c r="O626" s="4">
        <f t="shared" si="6"/>
        <v>4333.333333</v>
      </c>
      <c r="P626" s="2">
        <v>0.0</v>
      </c>
      <c r="Q626" s="3">
        <f t="shared" si="7"/>
        <v>0</v>
      </c>
      <c r="R626" s="2">
        <v>2.0</v>
      </c>
      <c r="S626" s="5">
        <f t="shared" si="8"/>
        <v>1</v>
      </c>
    </row>
    <row r="627">
      <c r="A627" s="2" t="s">
        <v>642</v>
      </c>
      <c r="B627" s="2">
        <v>51.0</v>
      </c>
      <c r="C627" s="2">
        <v>558.0</v>
      </c>
      <c r="D627" s="2">
        <v>163.0</v>
      </c>
      <c r="E627" s="3">
        <f t="shared" si="1"/>
        <v>0.3214990138</v>
      </c>
      <c r="F627" s="2">
        <v>80.0</v>
      </c>
      <c r="G627" s="3">
        <f t="shared" si="2"/>
        <v>0.157790927</v>
      </c>
      <c r="H627" s="2">
        <v>101.0</v>
      </c>
      <c r="I627" s="3">
        <f t="shared" si="3"/>
        <v>0.1992110454</v>
      </c>
      <c r="J627" s="2">
        <v>102.0</v>
      </c>
      <c r="K627" s="3">
        <f t="shared" si="4"/>
        <v>0.201183432</v>
      </c>
      <c r="L627" s="2">
        <v>55.0</v>
      </c>
      <c r="M627" s="3">
        <f t="shared" si="5"/>
        <v>0.5445544554</v>
      </c>
      <c r="N627" s="2">
        <v>653300.0</v>
      </c>
      <c r="O627" s="4">
        <f t="shared" si="6"/>
        <v>6468.316832</v>
      </c>
      <c r="P627" s="2">
        <v>0.0</v>
      </c>
      <c r="Q627" s="3">
        <f t="shared" si="7"/>
        <v>0</v>
      </c>
      <c r="R627" s="2">
        <v>46.0</v>
      </c>
      <c r="S627" s="5">
        <f t="shared" si="8"/>
        <v>0.9019607843</v>
      </c>
    </row>
    <row r="628">
      <c r="A628" s="2" t="s">
        <v>643</v>
      </c>
      <c r="B628" s="2">
        <v>30.0</v>
      </c>
      <c r="C628" s="2">
        <v>328.0</v>
      </c>
      <c r="D628" s="2">
        <v>76.0</v>
      </c>
      <c r="E628" s="3">
        <f t="shared" si="1"/>
        <v>0.255033557</v>
      </c>
      <c r="F628" s="2">
        <v>47.0</v>
      </c>
      <c r="G628" s="3">
        <f t="shared" si="2"/>
        <v>0.1577181208</v>
      </c>
      <c r="H628" s="2">
        <v>69.0</v>
      </c>
      <c r="I628" s="3">
        <f t="shared" si="3"/>
        <v>0.2315436242</v>
      </c>
      <c r="J628" s="2">
        <v>56.0</v>
      </c>
      <c r="K628" s="3">
        <f t="shared" si="4"/>
        <v>0.1879194631</v>
      </c>
      <c r="L628" s="2">
        <v>43.0</v>
      </c>
      <c r="M628" s="3">
        <f t="shared" si="5"/>
        <v>0.6231884058</v>
      </c>
      <c r="N628" s="2">
        <v>373600.0</v>
      </c>
      <c r="O628" s="4">
        <f t="shared" si="6"/>
        <v>5414.492754</v>
      </c>
      <c r="P628" s="2">
        <v>0.0</v>
      </c>
      <c r="Q628" s="3">
        <f t="shared" si="7"/>
        <v>0</v>
      </c>
      <c r="R628" s="2">
        <v>30.0</v>
      </c>
      <c r="S628" s="5">
        <f t="shared" si="8"/>
        <v>1</v>
      </c>
    </row>
    <row r="629">
      <c r="A629" s="2" t="s">
        <v>644</v>
      </c>
      <c r="B629" s="2">
        <v>51.0</v>
      </c>
      <c r="C629" s="2">
        <v>571.0</v>
      </c>
      <c r="D629" s="2">
        <v>175.0</v>
      </c>
      <c r="E629" s="3">
        <f t="shared" si="1"/>
        <v>0.3365384615</v>
      </c>
      <c r="F629" s="2">
        <v>82.0</v>
      </c>
      <c r="G629" s="3">
        <f t="shared" si="2"/>
        <v>0.1576923077</v>
      </c>
      <c r="H629" s="2">
        <v>96.0</v>
      </c>
      <c r="I629" s="3">
        <f t="shared" si="3"/>
        <v>0.1846153846</v>
      </c>
      <c r="J629" s="2">
        <v>87.0</v>
      </c>
      <c r="K629" s="3">
        <f t="shared" si="4"/>
        <v>0.1673076923</v>
      </c>
      <c r="L629" s="2">
        <v>56.0</v>
      </c>
      <c r="M629" s="3">
        <f t="shared" si="5"/>
        <v>0.5833333333</v>
      </c>
      <c r="N629" s="2">
        <v>557000.0</v>
      </c>
      <c r="O629" s="4">
        <f t="shared" si="6"/>
        <v>5802.083333</v>
      </c>
      <c r="P629" s="2">
        <v>0.0</v>
      </c>
      <c r="Q629" s="3">
        <f t="shared" si="7"/>
        <v>0</v>
      </c>
      <c r="R629" s="2">
        <v>0.0</v>
      </c>
      <c r="S629" s="5">
        <f t="shared" si="8"/>
        <v>0</v>
      </c>
    </row>
    <row r="630">
      <c r="A630" s="2" t="s">
        <v>645</v>
      </c>
      <c r="B630" s="2">
        <v>536.0</v>
      </c>
      <c r="C630" s="2">
        <v>6218.0</v>
      </c>
      <c r="D630" s="2">
        <v>2344.0</v>
      </c>
      <c r="E630" s="3">
        <f t="shared" si="1"/>
        <v>0.412530799</v>
      </c>
      <c r="F630" s="2">
        <v>896.0</v>
      </c>
      <c r="G630" s="3">
        <f t="shared" si="2"/>
        <v>0.1576909539</v>
      </c>
      <c r="H630" s="2">
        <v>1249.0</v>
      </c>
      <c r="I630" s="3">
        <f t="shared" si="3"/>
        <v>0.2198169659</v>
      </c>
      <c r="J630" s="2">
        <v>1069.0</v>
      </c>
      <c r="K630" s="3">
        <f t="shared" si="4"/>
        <v>0.1881379796</v>
      </c>
      <c r="L630" s="2">
        <v>738.0</v>
      </c>
      <c r="M630" s="3">
        <f t="shared" si="5"/>
        <v>0.5908726982</v>
      </c>
      <c r="N630" s="2">
        <v>7174100.0</v>
      </c>
      <c r="O630" s="4">
        <f t="shared" si="6"/>
        <v>5743.8751</v>
      </c>
      <c r="P630" s="2">
        <v>1.0</v>
      </c>
      <c r="Q630" s="3">
        <f t="shared" si="7"/>
        <v>0.001865671642</v>
      </c>
      <c r="R630" s="2">
        <v>497.0</v>
      </c>
      <c r="S630" s="5">
        <f t="shared" si="8"/>
        <v>0.927238806</v>
      </c>
    </row>
    <row r="631">
      <c r="A631" s="2" t="s">
        <v>646</v>
      </c>
      <c r="B631" s="2">
        <v>76.0</v>
      </c>
      <c r="C631" s="2">
        <v>907.0</v>
      </c>
      <c r="D631" s="2">
        <v>208.0</v>
      </c>
      <c r="E631" s="3">
        <f t="shared" si="1"/>
        <v>0.2503008424</v>
      </c>
      <c r="F631" s="2">
        <v>131.0</v>
      </c>
      <c r="G631" s="3">
        <f t="shared" si="2"/>
        <v>0.1576413959</v>
      </c>
      <c r="H631" s="2">
        <v>151.0</v>
      </c>
      <c r="I631" s="3">
        <f t="shared" si="3"/>
        <v>0.1817087846</v>
      </c>
      <c r="J631" s="2">
        <v>164.0</v>
      </c>
      <c r="K631" s="3">
        <f t="shared" si="4"/>
        <v>0.1973525872</v>
      </c>
      <c r="L631" s="2">
        <v>94.0</v>
      </c>
      <c r="M631" s="3">
        <f t="shared" si="5"/>
        <v>0.6225165563</v>
      </c>
      <c r="N631" s="2">
        <v>960800.0</v>
      </c>
      <c r="O631" s="4">
        <f t="shared" si="6"/>
        <v>6362.913907</v>
      </c>
      <c r="P631" s="2">
        <v>0.0</v>
      </c>
      <c r="Q631" s="3">
        <f t="shared" si="7"/>
        <v>0</v>
      </c>
      <c r="R631" s="2">
        <v>76.0</v>
      </c>
      <c r="S631" s="5">
        <f t="shared" si="8"/>
        <v>1</v>
      </c>
    </row>
    <row r="632">
      <c r="A632" s="2" t="s">
        <v>647</v>
      </c>
      <c r="B632" s="2">
        <v>366.0</v>
      </c>
      <c r="C632" s="2">
        <v>4293.0</v>
      </c>
      <c r="D632" s="2">
        <v>1457.0</v>
      </c>
      <c r="E632" s="3">
        <f t="shared" si="1"/>
        <v>0.3710211357</v>
      </c>
      <c r="F632" s="2">
        <v>619.0</v>
      </c>
      <c r="G632" s="3">
        <f t="shared" si="2"/>
        <v>0.157626687</v>
      </c>
      <c r="H632" s="2">
        <v>852.0</v>
      </c>
      <c r="I632" s="3">
        <f t="shared" si="3"/>
        <v>0.2169595111</v>
      </c>
      <c r="J632" s="2">
        <v>636.0</v>
      </c>
      <c r="K632" s="3">
        <f t="shared" si="4"/>
        <v>0.1619556914</v>
      </c>
      <c r="L632" s="2">
        <v>496.0</v>
      </c>
      <c r="M632" s="3">
        <f t="shared" si="5"/>
        <v>0.5821596244</v>
      </c>
      <c r="N632" s="2">
        <v>4832600.0</v>
      </c>
      <c r="O632" s="4">
        <f t="shared" si="6"/>
        <v>5672.065728</v>
      </c>
      <c r="P632" s="2">
        <v>1.0</v>
      </c>
      <c r="Q632" s="3">
        <f t="shared" si="7"/>
        <v>0.002732240437</v>
      </c>
      <c r="R632" s="2">
        <v>366.0</v>
      </c>
      <c r="S632" s="5">
        <f t="shared" si="8"/>
        <v>1</v>
      </c>
    </row>
    <row r="633">
      <c r="A633" s="2" t="s">
        <v>648</v>
      </c>
      <c r="B633" s="2">
        <v>272.0</v>
      </c>
      <c r="C633" s="2">
        <v>3210.0</v>
      </c>
      <c r="D633" s="2">
        <v>1077.0</v>
      </c>
      <c r="E633" s="3">
        <f t="shared" si="1"/>
        <v>0.366575902</v>
      </c>
      <c r="F633" s="2">
        <v>463.0</v>
      </c>
      <c r="G633" s="3">
        <f t="shared" si="2"/>
        <v>0.1575901974</v>
      </c>
      <c r="H633" s="2">
        <v>671.0</v>
      </c>
      <c r="I633" s="3">
        <f t="shared" si="3"/>
        <v>0.2283866576</v>
      </c>
      <c r="J633" s="2">
        <v>564.0</v>
      </c>
      <c r="K633" s="3">
        <f t="shared" si="4"/>
        <v>0.1919673247</v>
      </c>
      <c r="L633" s="2">
        <v>408.0</v>
      </c>
      <c r="M633" s="3">
        <f t="shared" si="5"/>
        <v>0.60804769</v>
      </c>
      <c r="N633" s="2">
        <v>3934700.0</v>
      </c>
      <c r="O633" s="4">
        <f t="shared" si="6"/>
        <v>5863.934426</v>
      </c>
      <c r="P633" s="2">
        <v>2.0</v>
      </c>
      <c r="Q633" s="3">
        <f t="shared" si="7"/>
        <v>0.007352941176</v>
      </c>
      <c r="R633" s="2">
        <v>272.0</v>
      </c>
      <c r="S633" s="5">
        <f t="shared" si="8"/>
        <v>1</v>
      </c>
    </row>
    <row r="634">
      <c r="A634" s="2" t="s">
        <v>649</v>
      </c>
      <c r="B634" s="2">
        <v>30.0</v>
      </c>
      <c r="C634" s="2">
        <v>341.0</v>
      </c>
      <c r="D634" s="2">
        <v>110.0</v>
      </c>
      <c r="E634" s="3">
        <f t="shared" si="1"/>
        <v>0.3536977492</v>
      </c>
      <c r="F634" s="2">
        <v>49.0</v>
      </c>
      <c r="G634" s="3">
        <f t="shared" si="2"/>
        <v>0.1575562701</v>
      </c>
      <c r="H634" s="2">
        <v>59.0</v>
      </c>
      <c r="I634" s="3">
        <f t="shared" si="3"/>
        <v>0.1897106109</v>
      </c>
      <c r="J634" s="2">
        <v>58.0</v>
      </c>
      <c r="K634" s="3">
        <f t="shared" si="4"/>
        <v>0.1864951768</v>
      </c>
      <c r="L634" s="2">
        <v>32.0</v>
      </c>
      <c r="M634" s="3">
        <f t="shared" si="5"/>
        <v>0.5423728814</v>
      </c>
      <c r="N634" s="2">
        <v>309400.0</v>
      </c>
      <c r="O634" s="4">
        <f t="shared" si="6"/>
        <v>5244.067797</v>
      </c>
      <c r="P634" s="2">
        <v>0.0</v>
      </c>
      <c r="Q634" s="3">
        <f t="shared" si="7"/>
        <v>0</v>
      </c>
      <c r="R634" s="2">
        <v>30.0</v>
      </c>
      <c r="S634" s="5">
        <f t="shared" si="8"/>
        <v>1</v>
      </c>
    </row>
    <row r="635">
      <c r="A635" s="2" t="s">
        <v>650</v>
      </c>
      <c r="B635" s="2">
        <v>27.0</v>
      </c>
      <c r="C635" s="2">
        <v>338.0</v>
      </c>
      <c r="D635" s="2">
        <v>121.0</v>
      </c>
      <c r="E635" s="3">
        <f t="shared" si="1"/>
        <v>0.3890675241</v>
      </c>
      <c r="F635" s="2">
        <v>49.0</v>
      </c>
      <c r="G635" s="3">
        <f t="shared" si="2"/>
        <v>0.1575562701</v>
      </c>
      <c r="H635" s="2">
        <v>58.0</v>
      </c>
      <c r="I635" s="3">
        <f t="shared" si="3"/>
        <v>0.1864951768</v>
      </c>
      <c r="J635" s="2">
        <v>47.0</v>
      </c>
      <c r="K635" s="3">
        <f t="shared" si="4"/>
        <v>0.1511254019</v>
      </c>
      <c r="L635" s="2">
        <v>34.0</v>
      </c>
      <c r="M635" s="3">
        <f t="shared" si="5"/>
        <v>0.5862068966</v>
      </c>
      <c r="N635" s="2">
        <v>301500.0</v>
      </c>
      <c r="O635" s="4">
        <f t="shared" si="6"/>
        <v>5198.275862</v>
      </c>
      <c r="P635" s="2">
        <v>0.0</v>
      </c>
      <c r="Q635" s="3">
        <f t="shared" si="7"/>
        <v>0</v>
      </c>
      <c r="R635" s="2">
        <v>27.0</v>
      </c>
      <c r="S635" s="5">
        <f t="shared" si="8"/>
        <v>1</v>
      </c>
    </row>
    <row r="636">
      <c r="A636" s="2" t="s">
        <v>651</v>
      </c>
      <c r="B636" s="2">
        <v>58.0</v>
      </c>
      <c r="C636" s="2">
        <v>661.0</v>
      </c>
      <c r="D636" s="2">
        <v>189.0</v>
      </c>
      <c r="E636" s="3">
        <f t="shared" si="1"/>
        <v>0.3134328358</v>
      </c>
      <c r="F636" s="2">
        <v>95.0</v>
      </c>
      <c r="G636" s="3">
        <f t="shared" si="2"/>
        <v>0.1575456053</v>
      </c>
      <c r="H636" s="2">
        <v>96.0</v>
      </c>
      <c r="I636" s="3">
        <f t="shared" si="3"/>
        <v>0.1592039801</v>
      </c>
      <c r="J636" s="2">
        <v>102.0</v>
      </c>
      <c r="K636" s="3">
        <f t="shared" si="4"/>
        <v>0.1691542289</v>
      </c>
      <c r="L636" s="2">
        <v>59.0</v>
      </c>
      <c r="M636" s="3">
        <f t="shared" si="5"/>
        <v>0.6145833333</v>
      </c>
      <c r="N636" s="2">
        <v>534400.0</v>
      </c>
      <c r="O636" s="4">
        <f t="shared" si="6"/>
        <v>5566.666667</v>
      </c>
      <c r="P636" s="2">
        <v>0.0</v>
      </c>
      <c r="Q636" s="3">
        <f t="shared" si="7"/>
        <v>0</v>
      </c>
      <c r="R636" s="2">
        <v>58.0</v>
      </c>
      <c r="S636" s="5">
        <f t="shared" si="8"/>
        <v>1</v>
      </c>
    </row>
    <row r="637">
      <c r="A637" s="2" t="s">
        <v>652</v>
      </c>
      <c r="B637" s="2">
        <v>25.0</v>
      </c>
      <c r="C637" s="2">
        <v>317.0</v>
      </c>
      <c r="D637" s="2">
        <v>107.0</v>
      </c>
      <c r="E637" s="3">
        <f t="shared" si="1"/>
        <v>0.3664383562</v>
      </c>
      <c r="F637" s="2">
        <v>46.0</v>
      </c>
      <c r="G637" s="3">
        <f t="shared" si="2"/>
        <v>0.1575342466</v>
      </c>
      <c r="H637" s="2">
        <v>78.0</v>
      </c>
      <c r="I637" s="3">
        <f t="shared" si="3"/>
        <v>0.2671232877</v>
      </c>
      <c r="J637" s="2">
        <v>67.0</v>
      </c>
      <c r="K637" s="3">
        <f t="shared" si="4"/>
        <v>0.2294520548</v>
      </c>
      <c r="L637" s="2">
        <v>51.0</v>
      </c>
      <c r="M637" s="3">
        <f t="shared" si="5"/>
        <v>0.6538461538</v>
      </c>
      <c r="N637" s="2">
        <v>512200.0</v>
      </c>
      <c r="O637" s="4">
        <f t="shared" si="6"/>
        <v>6566.666667</v>
      </c>
      <c r="P637" s="2">
        <v>1.0</v>
      </c>
      <c r="Q637" s="3">
        <f t="shared" si="7"/>
        <v>0.04</v>
      </c>
      <c r="R637" s="2">
        <v>25.0</v>
      </c>
      <c r="S637" s="5">
        <f t="shared" si="8"/>
        <v>1</v>
      </c>
    </row>
    <row r="638">
      <c r="A638" s="2" t="s">
        <v>653</v>
      </c>
      <c r="B638" s="2">
        <v>335.0</v>
      </c>
      <c r="C638" s="2">
        <v>3955.0</v>
      </c>
      <c r="D638" s="2">
        <v>1395.0</v>
      </c>
      <c r="E638" s="3">
        <f t="shared" si="1"/>
        <v>0.385359116</v>
      </c>
      <c r="F638" s="2">
        <v>570.0</v>
      </c>
      <c r="G638" s="3">
        <f t="shared" si="2"/>
        <v>0.1574585635</v>
      </c>
      <c r="H638" s="2">
        <v>753.0</v>
      </c>
      <c r="I638" s="3">
        <f t="shared" si="3"/>
        <v>0.2080110497</v>
      </c>
      <c r="J638" s="2">
        <v>592.0</v>
      </c>
      <c r="K638" s="3">
        <f t="shared" si="4"/>
        <v>0.1635359116</v>
      </c>
      <c r="L638" s="2">
        <v>443.0</v>
      </c>
      <c r="M638" s="3">
        <f t="shared" si="5"/>
        <v>0.588313413</v>
      </c>
      <c r="N638" s="2">
        <v>4436400.0</v>
      </c>
      <c r="O638" s="4">
        <f t="shared" si="6"/>
        <v>5891.633466</v>
      </c>
      <c r="P638" s="2">
        <v>2.0</v>
      </c>
      <c r="Q638" s="3">
        <f t="shared" si="7"/>
        <v>0.005970149254</v>
      </c>
      <c r="R638" s="2">
        <v>16.0</v>
      </c>
      <c r="S638" s="5">
        <f t="shared" si="8"/>
        <v>0.04776119403</v>
      </c>
    </row>
    <row r="639">
      <c r="A639" s="2" t="s">
        <v>654</v>
      </c>
      <c r="B639" s="2">
        <v>21.0</v>
      </c>
      <c r="C639" s="2">
        <v>237.0</v>
      </c>
      <c r="D639" s="2">
        <v>31.0</v>
      </c>
      <c r="E639" s="3">
        <f t="shared" si="1"/>
        <v>0.1435185185</v>
      </c>
      <c r="F639" s="2">
        <v>34.0</v>
      </c>
      <c r="G639" s="3">
        <f t="shared" si="2"/>
        <v>0.1574074074</v>
      </c>
      <c r="H639" s="2">
        <v>32.0</v>
      </c>
      <c r="I639" s="3">
        <f t="shared" si="3"/>
        <v>0.1481481481</v>
      </c>
      <c r="J639" s="2">
        <v>30.0</v>
      </c>
      <c r="K639" s="3">
        <f t="shared" si="4"/>
        <v>0.1388888889</v>
      </c>
      <c r="L639" s="2">
        <v>20.0</v>
      </c>
      <c r="M639" s="3">
        <f t="shared" si="5"/>
        <v>0.625</v>
      </c>
      <c r="N639" s="2">
        <v>200400.0</v>
      </c>
      <c r="O639" s="4">
        <f t="shared" si="6"/>
        <v>6262.5</v>
      </c>
      <c r="P639" s="2">
        <v>0.0</v>
      </c>
      <c r="Q639" s="3">
        <f t="shared" si="7"/>
        <v>0</v>
      </c>
      <c r="R639" s="2">
        <v>21.0</v>
      </c>
      <c r="S639" s="5">
        <f t="shared" si="8"/>
        <v>1</v>
      </c>
    </row>
    <row r="640">
      <c r="A640" s="2" t="s">
        <v>655</v>
      </c>
      <c r="B640" s="2">
        <v>338.0</v>
      </c>
      <c r="C640" s="2">
        <v>3884.0</v>
      </c>
      <c r="D640" s="2">
        <v>1185.0</v>
      </c>
      <c r="E640" s="3">
        <f t="shared" si="1"/>
        <v>0.334179357</v>
      </c>
      <c r="F640" s="2">
        <v>558.0</v>
      </c>
      <c r="G640" s="3">
        <f t="shared" si="2"/>
        <v>0.1573604061</v>
      </c>
      <c r="H640" s="2">
        <v>788.0</v>
      </c>
      <c r="I640" s="3">
        <f t="shared" si="3"/>
        <v>0.2222222222</v>
      </c>
      <c r="J640" s="2">
        <v>537.0</v>
      </c>
      <c r="K640" s="3">
        <f t="shared" si="4"/>
        <v>0.1514382403</v>
      </c>
      <c r="L640" s="2">
        <v>465.0</v>
      </c>
      <c r="M640" s="3">
        <f t="shared" si="5"/>
        <v>0.5901015228</v>
      </c>
      <c r="N640" s="2">
        <v>4520400.0</v>
      </c>
      <c r="O640" s="4">
        <f t="shared" si="6"/>
        <v>5736.548223</v>
      </c>
      <c r="P640" s="2">
        <v>2.0</v>
      </c>
      <c r="Q640" s="3">
        <f t="shared" si="7"/>
        <v>0.005917159763</v>
      </c>
      <c r="R640" s="2">
        <v>338.0</v>
      </c>
      <c r="S640" s="5">
        <f t="shared" si="8"/>
        <v>1</v>
      </c>
    </row>
    <row r="641">
      <c r="A641" s="2" t="s">
        <v>656</v>
      </c>
      <c r="B641" s="2">
        <v>870.0</v>
      </c>
      <c r="C641" s="2">
        <v>10337.0</v>
      </c>
      <c r="D641" s="2">
        <v>3378.0</v>
      </c>
      <c r="E641" s="3">
        <f t="shared" si="1"/>
        <v>0.3568184219</v>
      </c>
      <c r="F641" s="2">
        <v>1489.0</v>
      </c>
      <c r="G641" s="3">
        <f t="shared" si="2"/>
        <v>0.1572831943</v>
      </c>
      <c r="H641" s="2">
        <v>2167.0</v>
      </c>
      <c r="I641" s="3">
        <f t="shared" si="3"/>
        <v>0.2289003908</v>
      </c>
      <c r="J641" s="2">
        <v>1741.0</v>
      </c>
      <c r="K641" s="3">
        <f t="shared" si="4"/>
        <v>0.1839019753</v>
      </c>
      <c r="L641" s="2">
        <v>1311.0</v>
      </c>
      <c r="M641" s="3">
        <f t="shared" si="5"/>
        <v>0.6049838486</v>
      </c>
      <c r="N641" s="2">
        <v>1.21416E7</v>
      </c>
      <c r="O641" s="4">
        <f t="shared" si="6"/>
        <v>5602.953392</v>
      </c>
      <c r="P641" s="2">
        <v>3.0</v>
      </c>
      <c r="Q641" s="3">
        <f t="shared" si="7"/>
        <v>0.003448275862</v>
      </c>
      <c r="R641" s="2">
        <v>870.0</v>
      </c>
      <c r="S641" s="5">
        <f t="shared" si="8"/>
        <v>1</v>
      </c>
    </row>
    <row r="642">
      <c r="A642" s="2" t="s">
        <v>657</v>
      </c>
      <c r="B642" s="2">
        <v>267.0</v>
      </c>
      <c r="C642" s="2">
        <v>3160.0</v>
      </c>
      <c r="D642" s="2">
        <v>914.0</v>
      </c>
      <c r="E642" s="3">
        <f t="shared" si="1"/>
        <v>0.3159350156</v>
      </c>
      <c r="F642" s="2">
        <v>455.0</v>
      </c>
      <c r="G642" s="3">
        <f t="shared" si="2"/>
        <v>0.1572761839</v>
      </c>
      <c r="H642" s="2">
        <v>592.0</v>
      </c>
      <c r="I642" s="3">
        <f t="shared" si="3"/>
        <v>0.20463187</v>
      </c>
      <c r="J642" s="2">
        <v>442.0</v>
      </c>
      <c r="K642" s="3">
        <f t="shared" si="4"/>
        <v>0.1527825786</v>
      </c>
      <c r="L642" s="2">
        <v>339.0</v>
      </c>
      <c r="M642" s="3">
        <f t="shared" si="5"/>
        <v>0.5726351351</v>
      </c>
      <c r="N642" s="2">
        <v>3677900.0</v>
      </c>
      <c r="O642" s="4">
        <f t="shared" si="6"/>
        <v>6212.668919</v>
      </c>
      <c r="P642" s="2">
        <v>3.0</v>
      </c>
      <c r="Q642" s="3">
        <f t="shared" si="7"/>
        <v>0.01123595506</v>
      </c>
      <c r="R642" s="2">
        <v>267.0</v>
      </c>
      <c r="S642" s="5">
        <f t="shared" si="8"/>
        <v>1</v>
      </c>
    </row>
    <row r="643">
      <c r="A643" s="2" t="s">
        <v>658</v>
      </c>
      <c r="B643" s="2">
        <v>148.0</v>
      </c>
      <c r="C643" s="2">
        <v>1674.0</v>
      </c>
      <c r="D643" s="2">
        <v>468.0</v>
      </c>
      <c r="E643" s="3">
        <f t="shared" si="1"/>
        <v>0.3066841415</v>
      </c>
      <c r="F643" s="2">
        <v>240.0</v>
      </c>
      <c r="G643" s="3">
        <f t="shared" si="2"/>
        <v>0.1572739187</v>
      </c>
      <c r="H643" s="2">
        <v>326.0</v>
      </c>
      <c r="I643" s="3">
        <f t="shared" si="3"/>
        <v>0.2136304063</v>
      </c>
      <c r="J643" s="2">
        <v>236.0</v>
      </c>
      <c r="K643" s="3">
        <f t="shared" si="4"/>
        <v>0.1546526868</v>
      </c>
      <c r="L643" s="2">
        <v>208.0</v>
      </c>
      <c r="M643" s="3">
        <f t="shared" si="5"/>
        <v>0.6380368098</v>
      </c>
      <c r="N643" s="2">
        <v>1925300.0</v>
      </c>
      <c r="O643" s="4">
        <f t="shared" si="6"/>
        <v>5905.828221</v>
      </c>
      <c r="P643" s="2">
        <v>1.0</v>
      </c>
      <c r="Q643" s="3">
        <f t="shared" si="7"/>
        <v>0.006756756757</v>
      </c>
      <c r="R643" s="2">
        <v>148.0</v>
      </c>
      <c r="S643" s="5">
        <f t="shared" si="8"/>
        <v>1</v>
      </c>
    </row>
    <row r="644">
      <c r="A644" s="2" t="s">
        <v>659</v>
      </c>
      <c r="B644" s="2">
        <v>141.0</v>
      </c>
      <c r="C644" s="2">
        <v>1648.0</v>
      </c>
      <c r="D644" s="2">
        <v>570.0</v>
      </c>
      <c r="E644" s="3">
        <f t="shared" si="1"/>
        <v>0.3782349038</v>
      </c>
      <c r="F644" s="2">
        <v>237.0</v>
      </c>
      <c r="G644" s="3">
        <f t="shared" si="2"/>
        <v>0.1572660916</v>
      </c>
      <c r="H644" s="2">
        <v>327.0</v>
      </c>
      <c r="I644" s="3">
        <f t="shared" si="3"/>
        <v>0.2169873922</v>
      </c>
      <c r="J644" s="2">
        <v>258.0</v>
      </c>
      <c r="K644" s="3">
        <f t="shared" si="4"/>
        <v>0.1712010617</v>
      </c>
      <c r="L644" s="2">
        <v>202.0</v>
      </c>
      <c r="M644" s="3">
        <f t="shared" si="5"/>
        <v>0.6177370031</v>
      </c>
      <c r="N644" s="2">
        <v>1785900.0</v>
      </c>
      <c r="O644" s="4">
        <f t="shared" si="6"/>
        <v>5461.46789</v>
      </c>
      <c r="P644" s="2">
        <v>0.0</v>
      </c>
      <c r="Q644" s="3">
        <f t="shared" si="7"/>
        <v>0</v>
      </c>
      <c r="R644" s="2">
        <v>0.0</v>
      </c>
      <c r="S644" s="5">
        <f t="shared" si="8"/>
        <v>0</v>
      </c>
    </row>
    <row r="645">
      <c r="A645" s="2" t="s">
        <v>660</v>
      </c>
      <c r="B645" s="2">
        <v>1158.0</v>
      </c>
      <c r="C645" s="2">
        <v>13419.0</v>
      </c>
      <c r="D645" s="2">
        <v>4593.0</v>
      </c>
      <c r="E645" s="3">
        <f t="shared" si="1"/>
        <v>0.3746023978</v>
      </c>
      <c r="F645" s="2">
        <v>1928.0</v>
      </c>
      <c r="G645" s="3">
        <f t="shared" si="2"/>
        <v>0.1572465541</v>
      </c>
      <c r="H645" s="2">
        <v>2748.0</v>
      </c>
      <c r="I645" s="3">
        <f t="shared" si="3"/>
        <v>0.2241252753</v>
      </c>
      <c r="J645" s="2">
        <v>2226.0</v>
      </c>
      <c r="K645" s="3">
        <f t="shared" si="4"/>
        <v>0.1815512601</v>
      </c>
      <c r="L645" s="2">
        <v>1648.0</v>
      </c>
      <c r="M645" s="3">
        <f t="shared" si="5"/>
        <v>0.5997088792</v>
      </c>
      <c r="N645" s="2">
        <v>1.59897E7</v>
      </c>
      <c r="O645" s="4">
        <f t="shared" si="6"/>
        <v>5818.668122</v>
      </c>
      <c r="P645" s="2">
        <v>3.0</v>
      </c>
      <c r="Q645" s="3">
        <f t="shared" si="7"/>
        <v>0.002590673575</v>
      </c>
      <c r="R645" s="2">
        <v>1158.0</v>
      </c>
      <c r="S645" s="5">
        <f t="shared" si="8"/>
        <v>1</v>
      </c>
    </row>
    <row r="646">
      <c r="A646" s="2" t="s">
        <v>661</v>
      </c>
      <c r="B646" s="2">
        <v>50.0</v>
      </c>
      <c r="C646" s="2">
        <v>578.0</v>
      </c>
      <c r="D646" s="2">
        <v>209.0</v>
      </c>
      <c r="E646" s="3">
        <f t="shared" si="1"/>
        <v>0.3958333333</v>
      </c>
      <c r="F646" s="2">
        <v>83.0</v>
      </c>
      <c r="G646" s="3">
        <f t="shared" si="2"/>
        <v>0.1571969697</v>
      </c>
      <c r="H646" s="2">
        <v>95.0</v>
      </c>
      <c r="I646" s="3">
        <f t="shared" si="3"/>
        <v>0.1799242424</v>
      </c>
      <c r="J646" s="2">
        <v>78.0</v>
      </c>
      <c r="K646" s="3">
        <f t="shared" si="4"/>
        <v>0.1477272727</v>
      </c>
      <c r="L646" s="2">
        <v>57.0</v>
      </c>
      <c r="M646" s="3">
        <f t="shared" si="5"/>
        <v>0.6</v>
      </c>
      <c r="N646" s="2">
        <v>511300.0</v>
      </c>
      <c r="O646" s="4">
        <f t="shared" si="6"/>
        <v>5382.105263</v>
      </c>
      <c r="P646" s="2">
        <v>0.0</v>
      </c>
      <c r="Q646" s="3">
        <f t="shared" si="7"/>
        <v>0</v>
      </c>
      <c r="R646" s="2">
        <v>0.0</v>
      </c>
      <c r="S646" s="5">
        <f t="shared" si="8"/>
        <v>0</v>
      </c>
    </row>
    <row r="647">
      <c r="A647" s="2" t="s">
        <v>662</v>
      </c>
      <c r="B647" s="2">
        <v>8.0</v>
      </c>
      <c r="C647" s="2">
        <v>78.0</v>
      </c>
      <c r="D647" s="2">
        <v>20.0</v>
      </c>
      <c r="E647" s="3">
        <f t="shared" si="1"/>
        <v>0.2857142857</v>
      </c>
      <c r="F647" s="2">
        <v>11.0</v>
      </c>
      <c r="G647" s="3">
        <f t="shared" si="2"/>
        <v>0.1571428571</v>
      </c>
      <c r="H647" s="2">
        <v>12.0</v>
      </c>
      <c r="I647" s="3">
        <f t="shared" si="3"/>
        <v>0.1714285714</v>
      </c>
      <c r="J647" s="2">
        <v>16.0</v>
      </c>
      <c r="K647" s="3">
        <f t="shared" si="4"/>
        <v>0.2285714286</v>
      </c>
      <c r="L647" s="2">
        <v>6.0</v>
      </c>
      <c r="M647" s="3">
        <f t="shared" si="5"/>
        <v>0.5</v>
      </c>
      <c r="N647" s="2">
        <v>60200.0</v>
      </c>
      <c r="O647" s="4">
        <f t="shared" si="6"/>
        <v>5016.666667</v>
      </c>
      <c r="P647" s="2">
        <v>0.0</v>
      </c>
      <c r="Q647" s="3">
        <f t="shared" si="7"/>
        <v>0</v>
      </c>
      <c r="R647" s="2">
        <v>0.0</v>
      </c>
      <c r="S647" s="5">
        <f t="shared" si="8"/>
        <v>0</v>
      </c>
    </row>
    <row r="648">
      <c r="A648" s="2" t="s">
        <v>663</v>
      </c>
      <c r="B648" s="2">
        <v>66.0</v>
      </c>
      <c r="C648" s="2">
        <v>766.0</v>
      </c>
      <c r="D648" s="2">
        <v>204.0</v>
      </c>
      <c r="E648" s="3">
        <f t="shared" si="1"/>
        <v>0.2914285714</v>
      </c>
      <c r="F648" s="2">
        <v>110.0</v>
      </c>
      <c r="G648" s="3">
        <f t="shared" si="2"/>
        <v>0.1571428571</v>
      </c>
      <c r="H648" s="2">
        <v>132.0</v>
      </c>
      <c r="I648" s="3">
        <f t="shared" si="3"/>
        <v>0.1885714286</v>
      </c>
      <c r="J648" s="2">
        <v>107.0</v>
      </c>
      <c r="K648" s="3">
        <f t="shared" si="4"/>
        <v>0.1528571429</v>
      </c>
      <c r="L648" s="2">
        <v>80.0</v>
      </c>
      <c r="M648" s="3">
        <f t="shared" si="5"/>
        <v>0.6060606061</v>
      </c>
      <c r="N648" s="2">
        <v>784400.0</v>
      </c>
      <c r="O648" s="4">
        <f t="shared" si="6"/>
        <v>5942.424242</v>
      </c>
      <c r="P648" s="2">
        <v>0.0</v>
      </c>
      <c r="Q648" s="3">
        <f t="shared" si="7"/>
        <v>0</v>
      </c>
      <c r="R648" s="2">
        <v>66.0</v>
      </c>
      <c r="S648" s="5">
        <f t="shared" si="8"/>
        <v>1</v>
      </c>
    </row>
    <row r="649">
      <c r="A649" s="2" t="s">
        <v>664</v>
      </c>
      <c r="B649" s="2">
        <v>468.0</v>
      </c>
      <c r="C649" s="2">
        <v>5470.0</v>
      </c>
      <c r="D649" s="2">
        <v>2209.0</v>
      </c>
      <c r="E649" s="3">
        <f t="shared" si="1"/>
        <v>0.4416233507</v>
      </c>
      <c r="F649" s="2">
        <v>786.0</v>
      </c>
      <c r="G649" s="3">
        <f t="shared" si="2"/>
        <v>0.1571371451</v>
      </c>
      <c r="H649" s="2">
        <v>1065.0</v>
      </c>
      <c r="I649" s="3">
        <f t="shared" si="3"/>
        <v>0.2129148341</v>
      </c>
      <c r="J649" s="2">
        <v>747.0</v>
      </c>
      <c r="K649" s="3">
        <f t="shared" si="4"/>
        <v>0.1493402639</v>
      </c>
      <c r="L649" s="2">
        <v>649.0</v>
      </c>
      <c r="M649" s="3">
        <f t="shared" si="5"/>
        <v>0.6093896714</v>
      </c>
      <c r="N649" s="2">
        <v>5941500.0</v>
      </c>
      <c r="O649" s="4">
        <f t="shared" si="6"/>
        <v>5578.873239</v>
      </c>
      <c r="P649" s="2">
        <v>1.0</v>
      </c>
      <c r="Q649" s="3">
        <f t="shared" si="7"/>
        <v>0.002136752137</v>
      </c>
      <c r="R649" s="2">
        <v>468.0</v>
      </c>
      <c r="S649" s="5">
        <f t="shared" si="8"/>
        <v>1</v>
      </c>
    </row>
    <row r="650">
      <c r="A650" s="2" t="s">
        <v>665</v>
      </c>
      <c r="B650" s="2">
        <v>488.0</v>
      </c>
      <c r="C650" s="2">
        <v>5726.0</v>
      </c>
      <c r="D650" s="2">
        <v>1924.0</v>
      </c>
      <c r="E650" s="3">
        <f t="shared" si="1"/>
        <v>0.3673157694</v>
      </c>
      <c r="F650" s="2">
        <v>823.0</v>
      </c>
      <c r="G650" s="3">
        <f t="shared" si="2"/>
        <v>0.1571210386</v>
      </c>
      <c r="H650" s="2">
        <v>1137.0</v>
      </c>
      <c r="I650" s="3">
        <f t="shared" si="3"/>
        <v>0.217067583</v>
      </c>
      <c r="J650" s="2">
        <v>964.0</v>
      </c>
      <c r="K650" s="3">
        <f t="shared" si="4"/>
        <v>0.1840397098</v>
      </c>
      <c r="L650" s="2">
        <v>678.0</v>
      </c>
      <c r="M650" s="3">
        <f t="shared" si="5"/>
        <v>0.5963060686</v>
      </c>
      <c r="N650" s="2">
        <v>6911500.0</v>
      </c>
      <c r="O650" s="4">
        <f t="shared" si="6"/>
        <v>6078.715919</v>
      </c>
      <c r="P650" s="2">
        <v>3.0</v>
      </c>
      <c r="Q650" s="3">
        <f t="shared" si="7"/>
        <v>0.006147540984</v>
      </c>
      <c r="R650" s="2">
        <v>488.0</v>
      </c>
      <c r="S650" s="5">
        <f t="shared" si="8"/>
        <v>1</v>
      </c>
    </row>
    <row r="651">
      <c r="A651" s="2" t="s">
        <v>666</v>
      </c>
      <c r="B651" s="2">
        <v>43.0</v>
      </c>
      <c r="C651" s="2">
        <v>514.0</v>
      </c>
      <c r="D651" s="2">
        <v>144.0</v>
      </c>
      <c r="E651" s="3">
        <f t="shared" si="1"/>
        <v>0.3057324841</v>
      </c>
      <c r="F651" s="2">
        <v>74.0</v>
      </c>
      <c r="G651" s="3">
        <f t="shared" si="2"/>
        <v>0.1571125265</v>
      </c>
      <c r="H651" s="2">
        <v>98.0</v>
      </c>
      <c r="I651" s="3">
        <f t="shared" si="3"/>
        <v>0.2080679406</v>
      </c>
      <c r="J651" s="2">
        <v>64.0</v>
      </c>
      <c r="K651" s="3">
        <f t="shared" si="4"/>
        <v>0.135881104</v>
      </c>
      <c r="L651" s="2">
        <v>58.0</v>
      </c>
      <c r="M651" s="3">
        <f t="shared" si="5"/>
        <v>0.5918367347</v>
      </c>
      <c r="N651" s="2">
        <v>545400.0</v>
      </c>
      <c r="O651" s="4">
        <f t="shared" si="6"/>
        <v>5565.306122</v>
      </c>
      <c r="P651" s="2">
        <v>0.0</v>
      </c>
      <c r="Q651" s="3">
        <f t="shared" si="7"/>
        <v>0</v>
      </c>
      <c r="R651" s="2">
        <v>43.0</v>
      </c>
      <c r="S651" s="5">
        <f t="shared" si="8"/>
        <v>1</v>
      </c>
    </row>
    <row r="652">
      <c r="A652" s="2" t="s">
        <v>667</v>
      </c>
      <c r="B652" s="2">
        <v>532.0</v>
      </c>
      <c r="C652" s="2">
        <v>6237.0</v>
      </c>
      <c r="D652" s="2">
        <v>2408.0</v>
      </c>
      <c r="E652" s="3">
        <f t="shared" si="1"/>
        <v>0.4220858896</v>
      </c>
      <c r="F652" s="2">
        <v>896.0</v>
      </c>
      <c r="G652" s="3">
        <f t="shared" si="2"/>
        <v>0.1570552147</v>
      </c>
      <c r="H652" s="2">
        <v>1234.0</v>
      </c>
      <c r="I652" s="3">
        <f t="shared" si="3"/>
        <v>0.2163014899</v>
      </c>
      <c r="J652" s="2">
        <v>1037.0</v>
      </c>
      <c r="K652" s="3">
        <f t="shared" si="4"/>
        <v>0.1817703769</v>
      </c>
      <c r="L652" s="2">
        <v>743.0</v>
      </c>
      <c r="M652" s="3">
        <f t="shared" si="5"/>
        <v>0.6021069692</v>
      </c>
      <c r="N652" s="2">
        <v>7303200.0</v>
      </c>
      <c r="O652" s="4">
        <f t="shared" si="6"/>
        <v>5918.314425</v>
      </c>
      <c r="P652" s="2">
        <v>3.0</v>
      </c>
      <c r="Q652" s="3">
        <f t="shared" si="7"/>
        <v>0.005639097744</v>
      </c>
      <c r="R652" s="2">
        <v>532.0</v>
      </c>
      <c r="S652" s="5">
        <f t="shared" si="8"/>
        <v>1</v>
      </c>
    </row>
    <row r="653">
      <c r="A653" s="2" t="s">
        <v>668</v>
      </c>
      <c r="B653" s="2">
        <v>186.0</v>
      </c>
      <c r="C653" s="2">
        <v>2192.0</v>
      </c>
      <c r="D653" s="2">
        <v>761.0</v>
      </c>
      <c r="E653" s="3">
        <f t="shared" si="1"/>
        <v>0.3793619143</v>
      </c>
      <c r="F653" s="2">
        <v>315.0</v>
      </c>
      <c r="G653" s="3">
        <f t="shared" si="2"/>
        <v>0.1570289133</v>
      </c>
      <c r="H653" s="2">
        <v>435.0</v>
      </c>
      <c r="I653" s="3">
        <f t="shared" si="3"/>
        <v>0.2168494516</v>
      </c>
      <c r="J653" s="2">
        <v>308.0</v>
      </c>
      <c r="K653" s="3">
        <f t="shared" si="4"/>
        <v>0.1535393819</v>
      </c>
      <c r="L653" s="2">
        <v>259.0</v>
      </c>
      <c r="M653" s="3">
        <f t="shared" si="5"/>
        <v>0.5954022989</v>
      </c>
      <c r="N653" s="2">
        <v>2388900.0</v>
      </c>
      <c r="O653" s="4">
        <f t="shared" si="6"/>
        <v>5491.724138</v>
      </c>
      <c r="P653" s="2">
        <v>0.0</v>
      </c>
      <c r="Q653" s="3">
        <f t="shared" si="7"/>
        <v>0</v>
      </c>
      <c r="R653" s="2">
        <v>186.0</v>
      </c>
      <c r="S653" s="5">
        <f t="shared" si="8"/>
        <v>1</v>
      </c>
    </row>
    <row r="654">
      <c r="A654" s="2" t="s">
        <v>669</v>
      </c>
      <c r="B654" s="2">
        <v>170.0</v>
      </c>
      <c r="C654" s="2">
        <v>1980.0</v>
      </c>
      <c r="D654" s="2">
        <v>552.0</v>
      </c>
      <c r="E654" s="3">
        <f t="shared" si="1"/>
        <v>0.3049723757</v>
      </c>
      <c r="F654" s="2">
        <v>284.0</v>
      </c>
      <c r="G654" s="3">
        <f t="shared" si="2"/>
        <v>0.1569060773</v>
      </c>
      <c r="H654" s="2">
        <v>424.0</v>
      </c>
      <c r="I654" s="3">
        <f t="shared" si="3"/>
        <v>0.2342541436</v>
      </c>
      <c r="J654" s="2">
        <v>359.0</v>
      </c>
      <c r="K654" s="3">
        <f t="shared" si="4"/>
        <v>0.1983425414</v>
      </c>
      <c r="L654" s="2">
        <v>265.0</v>
      </c>
      <c r="M654" s="3">
        <f t="shared" si="5"/>
        <v>0.625</v>
      </c>
      <c r="N654" s="2">
        <v>2317900.0</v>
      </c>
      <c r="O654" s="4">
        <f t="shared" si="6"/>
        <v>5466.745283</v>
      </c>
      <c r="P654" s="2">
        <v>1.0</v>
      </c>
      <c r="Q654" s="3">
        <f t="shared" si="7"/>
        <v>0.005882352941</v>
      </c>
      <c r="R654" s="2">
        <v>170.0</v>
      </c>
      <c r="S654" s="5">
        <f t="shared" si="8"/>
        <v>1</v>
      </c>
    </row>
    <row r="655">
      <c r="A655" s="2" t="s">
        <v>670</v>
      </c>
      <c r="B655" s="2">
        <v>52.0</v>
      </c>
      <c r="C655" s="2">
        <v>613.0</v>
      </c>
      <c r="D655" s="2">
        <v>203.0</v>
      </c>
      <c r="E655" s="3">
        <f t="shared" si="1"/>
        <v>0.3618538324</v>
      </c>
      <c r="F655" s="2">
        <v>88.0</v>
      </c>
      <c r="G655" s="3">
        <f t="shared" si="2"/>
        <v>0.1568627451</v>
      </c>
      <c r="H655" s="2">
        <v>113.0</v>
      </c>
      <c r="I655" s="3">
        <f t="shared" si="3"/>
        <v>0.201426025</v>
      </c>
      <c r="J655" s="2">
        <v>78.0</v>
      </c>
      <c r="K655" s="3">
        <f t="shared" si="4"/>
        <v>0.1390374332</v>
      </c>
      <c r="L655" s="2">
        <v>69.0</v>
      </c>
      <c r="M655" s="3">
        <f t="shared" si="5"/>
        <v>0.610619469</v>
      </c>
      <c r="N655" s="2">
        <v>668400.0</v>
      </c>
      <c r="O655" s="4">
        <f t="shared" si="6"/>
        <v>5915.044248</v>
      </c>
      <c r="P655" s="2">
        <v>0.0</v>
      </c>
      <c r="Q655" s="3">
        <f t="shared" si="7"/>
        <v>0</v>
      </c>
      <c r="R655" s="2">
        <v>0.0</v>
      </c>
      <c r="S655" s="5">
        <f t="shared" si="8"/>
        <v>0</v>
      </c>
    </row>
    <row r="656">
      <c r="A656" s="2" t="s">
        <v>671</v>
      </c>
      <c r="B656" s="2">
        <v>936.0</v>
      </c>
      <c r="C656" s="2">
        <v>10741.0</v>
      </c>
      <c r="D656" s="2">
        <v>3914.0</v>
      </c>
      <c r="E656" s="3">
        <f t="shared" si="1"/>
        <v>0.3991840898</v>
      </c>
      <c r="F656" s="2">
        <v>1538.0</v>
      </c>
      <c r="G656" s="3">
        <f t="shared" si="2"/>
        <v>0.1568587455</v>
      </c>
      <c r="H656" s="2">
        <v>2213.0</v>
      </c>
      <c r="I656" s="3">
        <f t="shared" si="3"/>
        <v>0.2257011729</v>
      </c>
      <c r="J656" s="2">
        <v>1590.0</v>
      </c>
      <c r="K656" s="3">
        <f t="shared" si="4"/>
        <v>0.1621621622</v>
      </c>
      <c r="L656" s="2">
        <v>1323.0</v>
      </c>
      <c r="M656" s="3">
        <f t="shared" si="5"/>
        <v>0.5978309986</v>
      </c>
      <c r="N656" s="2">
        <v>1.28605E7</v>
      </c>
      <c r="O656" s="4">
        <f t="shared" si="6"/>
        <v>5811.34207</v>
      </c>
      <c r="P656" s="2">
        <v>4.0</v>
      </c>
      <c r="Q656" s="3">
        <f t="shared" si="7"/>
        <v>0.004273504274</v>
      </c>
      <c r="R656" s="2">
        <v>936.0</v>
      </c>
      <c r="S656" s="5">
        <f t="shared" si="8"/>
        <v>1</v>
      </c>
    </row>
    <row r="657">
      <c r="A657" s="2" t="s">
        <v>672</v>
      </c>
      <c r="B657" s="2">
        <v>39.0</v>
      </c>
      <c r="C657" s="2">
        <v>479.0</v>
      </c>
      <c r="D657" s="2">
        <v>135.0</v>
      </c>
      <c r="E657" s="3">
        <f t="shared" si="1"/>
        <v>0.3068181818</v>
      </c>
      <c r="F657" s="2">
        <v>69.0</v>
      </c>
      <c r="G657" s="3">
        <f t="shared" si="2"/>
        <v>0.1568181818</v>
      </c>
      <c r="H657" s="2">
        <v>75.0</v>
      </c>
      <c r="I657" s="3">
        <f t="shared" si="3"/>
        <v>0.1704545455</v>
      </c>
      <c r="J657" s="2">
        <v>79.0</v>
      </c>
      <c r="K657" s="3">
        <f t="shared" si="4"/>
        <v>0.1795454545</v>
      </c>
      <c r="L657" s="2">
        <v>47.0</v>
      </c>
      <c r="M657" s="3">
        <f t="shared" si="5"/>
        <v>0.6266666667</v>
      </c>
      <c r="N657" s="2">
        <v>403500.0</v>
      </c>
      <c r="O657" s="4">
        <f t="shared" si="6"/>
        <v>5380</v>
      </c>
      <c r="P657" s="2">
        <v>0.0</v>
      </c>
      <c r="Q657" s="3">
        <f t="shared" si="7"/>
        <v>0</v>
      </c>
      <c r="R657" s="2">
        <v>39.0</v>
      </c>
      <c r="S657" s="5">
        <f t="shared" si="8"/>
        <v>1</v>
      </c>
    </row>
    <row r="658">
      <c r="A658" s="2" t="s">
        <v>673</v>
      </c>
      <c r="B658" s="2">
        <v>373.0</v>
      </c>
      <c r="C658" s="2">
        <v>4314.0</v>
      </c>
      <c r="D658" s="2">
        <v>1264.0</v>
      </c>
      <c r="E658" s="3">
        <f t="shared" si="1"/>
        <v>0.320730779</v>
      </c>
      <c r="F658" s="2">
        <v>618.0</v>
      </c>
      <c r="G658" s="3">
        <f t="shared" si="2"/>
        <v>0.1568129916</v>
      </c>
      <c r="H658" s="2">
        <v>776.0</v>
      </c>
      <c r="I658" s="3">
        <f t="shared" si="3"/>
        <v>0.196904339</v>
      </c>
      <c r="J658" s="2">
        <v>672.0</v>
      </c>
      <c r="K658" s="3">
        <f t="shared" si="4"/>
        <v>0.1705150977</v>
      </c>
      <c r="L658" s="2">
        <v>476.0</v>
      </c>
      <c r="M658" s="3">
        <f t="shared" si="5"/>
        <v>0.6134020619</v>
      </c>
      <c r="N658" s="2">
        <v>4427700.0</v>
      </c>
      <c r="O658" s="4">
        <f t="shared" si="6"/>
        <v>5705.798969</v>
      </c>
      <c r="P658" s="2">
        <v>1.0</v>
      </c>
      <c r="Q658" s="3">
        <f t="shared" si="7"/>
        <v>0.002680965147</v>
      </c>
      <c r="R658" s="2">
        <v>373.0</v>
      </c>
      <c r="S658" s="5">
        <f t="shared" si="8"/>
        <v>1</v>
      </c>
    </row>
    <row r="659">
      <c r="A659" s="2" t="s">
        <v>674</v>
      </c>
      <c r="B659" s="2">
        <v>106.0</v>
      </c>
      <c r="C659" s="2">
        <v>1254.0</v>
      </c>
      <c r="D659" s="2">
        <v>452.0</v>
      </c>
      <c r="E659" s="3">
        <f t="shared" si="1"/>
        <v>0.393728223</v>
      </c>
      <c r="F659" s="2">
        <v>180.0</v>
      </c>
      <c r="G659" s="3">
        <f t="shared" si="2"/>
        <v>0.1567944251</v>
      </c>
      <c r="H659" s="2">
        <v>247.0</v>
      </c>
      <c r="I659" s="3">
        <f t="shared" si="3"/>
        <v>0.2151567944</v>
      </c>
      <c r="J659" s="2">
        <v>194.0</v>
      </c>
      <c r="K659" s="3">
        <f t="shared" si="4"/>
        <v>0.168989547</v>
      </c>
      <c r="L659" s="2">
        <v>148.0</v>
      </c>
      <c r="M659" s="3">
        <f t="shared" si="5"/>
        <v>0.5991902834</v>
      </c>
      <c r="N659" s="2">
        <v>1433000.0</v>
      </c>
      <c r="O659" s="4">
        <f t="shared" si="6"/>
        <v>5801.619433</v>
      </c>
      <c r="P659" s="2">
        <v>1.0</v>
      </c>
      <c r="Q659" s="3">
        <f t="shared" si="7"/>
        <v>0.009433962264</v>
      </c>
      <c r="R659" s="2">
        <v>106.0</v>
      </c>
      <c r="S659" s="5">
        <f t="shared" si="8"/>
        <v>1</v>
      </c>
    </row>
    <row r="660">
      <c r="A660" s="2" t="s">
        <v>675</v>
      </c>
      <c r="B660" s="2">
        <v>51.0</v>
      </c>
      <c r="C660" s="2">
        <v>574.0</v>
      </c>
      <c r="D660" s="2">
        <v>218.0</v>
      </c>
      <c r="E660" s="3">
        <f t="shared" si="1"/>
        <v>0.4168260038</v>
      </c>
      <c r="F660" s="2">
        <v>82.0</v>
      </c>
      <c r="G660" s="3">
        <f t="shared" si="2"/>
        <v>0.1567877629</v>
      </c>
      <c r="H660" s="2">
        <v>122.0</v>
      </c>
      <c r="I660" s="3">
        <f t="shared" si="3"/>
        <v>0.2332695985</v>
      </c>
      <c r="J660" s="2">
        <v>105.0</v>
      </c>
      <c r="K660" s="3">
        <f t="shared" si="4"/>
        <v>0.2007648184</v>
      </c>
      <c r="L660" s="2">
        <v>82.0</v>
      </c>
      <c r="M660" s="3">
        <f t="shared" si="5"/>
        <v>0.6721311475</v>
      </c>
      <c r="N660" s="2">
        <v>626500.0</v>
      </c>
      <c r="O660" s="4">
        <f t="shared" si="6"/>
        <v>5135.245902</v>
      </c>
      <c r="P660" s="2">
        <v>0.0</v>
      </c>
      <c r="Q660" s="3">
        <f t="shared" si="7"/>
        <v>0</v>
      </c>
      <c r="R660" s="2">
        <v>0.0</v>
      </c>
      <c r="S660" s="5">
        <f t="shared" si="8"/>
        <v>0</v>
      </c>
    </row>
    <row r="661">
      <c r="A661" s="2" t="s">
        <v>676</v>
      </c>
      <c r="B661" s="2">
        <v>576.0</v>
      </c>
      <c r="C661" s="2">
        <v>6782.0</v>
      </c>
      <c r="D661" s="2">
        <v>2182.0</v>
      </c>
      <c r="E661" s="3">
        <f t="shared" si="1"/>
        <v>0.3515952304</v>
      </c>
      <c r="F661" s="2">
        <v>973.0</v>
      </c>
      <c r="G661" s="3">
        <f t="shared" si="2"/>
        <v>0.1567837577</v>
      </c>
      <c r="H661" s="2">
        <v>1400.0</v>
      </c>
      <c r="I661" s="3">
        <f t="shared" si="3"/>
        <v>0.2255881405</v>
      </c>
      <c r="J661" s="2">
        <v>1151.0</v>
      </c>
      <c r="K661" s="3">
        <f t="shared" si="4"/>
        <v>0.1854656784</v>
      </c>
      <c r="L661" s="2">
        <v>832.0</v>
      </c>
      <c r="M661" s="3">
        <f t="shared" si="5"/>
        <v>0.5942857143</v>
      </c>
      <c r="N661" s="2">
        <v>8121700.0</v>
      </c>
      <c r="O661" s="4">
        <f t="shared" si="6"/>
        <v>5801.214286</v>
      </c>
      <c r="P661" s="2">
        <v>1.0</v>
      </c>
      <c r="Q661" s="3">
        <f t="shared" si="7"/>
        <v>0.001736111111</v>
      </c>
      <c r="R661" s="2">
        <v>576.0</v>
      </c>
      <c r="S661" s="5">
        <f t="shared" si="8"/>
        <v>1</v>
      </c>
    </row>
    <row r="662">
      <c r="A662" s="2" t="s">
        <v>677</v>
      </c>
      <c r="B662" s="2">
        <v>22.0</v>
      </c>
      <c r="C662" s="2">
        <v>258.0</v>
      </c>
      <c r="D662" s="2">
        <v>72.0</v>
      </c>
      <c r="E662" s="3">
        <f t="shared" si="1"/>
        <v>0.3050847458</v>
      </c>
      <c r="F662" s="2">
        <v>37.0</v>
      </c>
      <c r="G662" s="3">
        <f t="shared" si="2"/>
        <v>0.156779661</v>
      </c>
      <c r="H662" s="2">
        <v>40.0</v>
      </c>
      <c r="I662" s="3">
        <f t="shared" si="3"/>
        <v>0.1694915254</v>
      </c>
      <c r="J662" s="2">
        <v>44.0</v>
      </c>
      <c r="K662" s="3">
        <f t="shared" si="4"/>
        <v>0.186440678</v>
      </c>
      <c r="L662" s="2">
        <v>27.0</v>
      </c>
      <c r="M662" s="3">
        <f t="shared" si="5"/>
        <v>0.675</v>
      </c>
      <c r="N662" s="2">
        <v>253800.0</v>
      </c>
      <c r="O662" s="4">
        <f t="shared" si="6"/>
        <v>6345</v>
      </c>
      <c r="P662" s="2">
        <v>0.0</v>
      </c>
      <c r="Q662" s="3">
        <f t="shared" si="7"/>
        <v>0</v>
      </c>
      <c r="R662" s="2">
        <v>22.0</v>
      </c>
      <c r="S662" s="5">
        <f t="shared" si="8"/>
        <v>1</v>
      </c>
    </row>
    <row r="663">
      <c r="A663" s="2" t="s">
        <v>678</v>
      </c>
      <c r="B663" s="2">
        <v>904.0</v>
      </c>
      <c r="C663" s="2">
        <v>10543.0</v>
      </c>
      <c r="D663" s="2">
        <v>3560.0</v>
      </c>
      <c r="E663" s="3">
        <f t="shared" si="1"/>
        <v>0.3693329184</v>
      </c>
      <c r="F663" s="2">
        <v>1511.0</v>
      </c>
      <c r="G663" s="3">
        <f t="shared" si="2"/>
        <v>0.1567589999</v>
      </c>
      <c r="H663" s="2">
        <v>2164.0</v>
      </c>
      <c r="I663" s="3">
        <f t="shared" si="3"/>
        <v>0.2245046167</v>
      </c>
      <c r="J663" s="2">
        <v>1270.0</v>
      </c>
      <c r="K663" s="3">
        <f t="shared" si="4"/>
        <v>0.1317564063</v>
      </c>
      <c r="L663" s="2">
        <v>1316.0</v>
      </c>
      <c r="M663" s="3">
        <f t="shared" si="5"/>
        <v>0.6081330869</v>
      </c>
      <c r="N663" s="2">
        <v>1.11883E7</v>
      </c>
      <c r="O663" s="4">
        <f t="shared" si="6"/>
        <v>5170.194085</v>
      </c>
      <c r="P663" s="2">
        <v>2.0</v>
      </c>
      <c r="Q663" s="3">
        <f t="shared" si="7"/>
        <v>0.002212389381</v>
      </c>
      <c r="R663" s="2">
        <v>904.0</v>
      </c>
      <c r="S663" s="5">
        <f t="shared" si="8"/>
        <v>1</v>
      </c>
    </row>
    <row r="664">
      <c r="A664" s="2" t="s">
        <v>679</v>
      </c>
      <c r="B664" s="2">
        <v>108.0</v>
      </c>
      <c r="C664" s="2">
        <v>1218.0</v>
      </c>
      <c r="D664" s="2">
        <v>428.0</v>
      </c>
      <c r="E664" s="3">
        <f t="shared" si="1"/>
        <v>0.3855855856</v>
      </c>
      <c r="F664" s="2">
        <v>174.0</v>
      </c>
      <c r="G664" s="3">
        <f t="shared" si="2"/>
        <v>0.1567567568</v>
      </c>
      <c r="H664" s="2">
        <v>221.0</v>
      </c>
      <c r="I664" s="3">
        <f t="shared" si="3"/>
        <v>0.1990990991</v>
      </c>
      <c r="J664" s="2">
        <v>212.0</v>
      </c>
      <c r="K664" s="3">
        <f t="shared" si="4"/>
        <v>0.190990991</v>
      </c>
      <c r="L664" s="2">
        <v>134.0</v>
      </c>
      <c r="M664" s="3">
        <f t="shared" si="5"/>
        <v>0.6063348416</v>
      </c>
      <c r="N664" s="2">
        <v>1178400.0</v>
      </c>
      <c r="O664" s="4">
        <f t="shared" si="6"/>
        <v>5332.126697</v>
      </c>
      <c r="P664" s="2">
        <v>0.0</v>
      </c>
      <c r="Q664" s="3">
        <f t="shared" si="7"/>
        <v>0</v>
      </c>
      <c r="R664" s="2">
        <v>108.0</v>
      </c>
      <c r="S664" s="5">
        <f t="shared" si="8"/>
        <v>1</v>
      </c>
    </row>
    <row r="665">
      <c r="A665" s="2" t="s">
        <v>680</v>
      </c>
      <c r="B665" s="2">
        <v>32.0</v>
      </c>
      <c r="C665" s="2">
        <v>351.0</v>
      </c>
      <c r="D665" s="2">
        <v>92.0</v>
      </c>
      <c r="E665" s="3">
        <f t="shared" si="1"/>
        <v>0.2884012539</v>
      </c>
      <c r="F665" s="2">
        <v>50.0</v>
      </c>
      <c r="G665" s="3">
        <f t="shared" si="2"/>
        <v>0.1567398119</v>
      </c>
      <c r="H665" s="2">
        <v>67.0</v>
      </c>
      <c r="I665" s="3">
        <f t="shared" si="3"/>
        <v>0.210031348</v>
      </c>
      <c r="J665" s="2">
        <v>71.0</v>
      </c>
      <c r="K665" s="3">
        <f t="shared" si="4"/>
        <v>0.2225705329</v>
      </c>
      <c r="L665" s="2">
        <v>36.0</v>
      </c>
      <c r="M665" s="3">
        <f t="shared" si="5"/>
        <v>0.5373134328</v>
      </c>
      <c r="N665" s="2">
        <v>460700.0</v>
      </c>
      <c r="O665" s="4">
        <f t="shared" si="6"/>
        <v>6876.119403</v>
      </c>
      <c r="P665" s="2">
        <v>0.0</v>
      </c>
      <c r="Q665" s="3">
        <f t="shared" si="7"/>
        <v>0</v>
      </c>
      <c r="R665" s="2">
        <v>32.0</v>
      </c>
      <c r="S665" s="5">
        <f t="shared" si="8"/>
        <v>1</v>
      </c>
    </row>
    <row r="666">
      <c r="A666" s="2" t="s">
        <v>681</v>
      </c>
      <c r="B666" s="2">
        <v>79.0</v>
      </c>
      <c r="C666" s="2">
        <v>915.0</v>
      </c>
      <c r="D666" s="2">
        <v>318.0</v>
      </c>
      <c r="E666" s="3">
        <f t="shared" si="1"/>
        <v>0.3803827751</v>
      </c>
      <c r="F666" s="2">
        <v>131.0</v>
      </c>
      <c r="G666" s="3">
        <f t="shared" si="2"/>
        <v>0.1566985646</v>
      </c>
      <c r="H666" s="2">
        <v>153.0</v>
      </c>
      <c r="I666" s="3">
        <f t="shared" si="3"/>
        <v>0.1830143541</v>
      </c>
      <c r="J666" s="2">
        <v>143.0</v>
      </c>
      <c r="K666" s="3">
        <f t="shared" si="4"/>
        <v>0.1710526316</v>
      </c>
      <c r="L666" s="2">
        <v>93.0</v>
      </c>
      <c r="M666" s="3">
        <f t="shared" si="5"/>
        <v>0.6078431373</v>
      </c>
      <c r="N666" s="2">
        <v>891700.0</v>
      </c>
      <c r="O666" s="4">
        <f t="shared" si="6"/>
        <v>5828.104575</v>
      </c>
      <c r="P666" s="2">
        <v>0.0</v>
      </c>
      <c r="Q666" s="3">
        <f t="shared" si="7"/>
        <v>0</v>
      </c>
      <c r="R666" s="2">
        <v>79.0</v>
      </c>
      <c r="S666" s="5">
        <f t="shared" si="8"/>
        <v>1</v>
      </c>
    </row>
    <row r="667">
      <c r="A667" s="2" t="s">
        <v>682</v>
      </c>
      <c r="B667" s="2">
        <v>122.0</v>
      </c>
      <c r="C667" s="2">
        <v>1424.0</v>
      </c>
      <c r="D667" s="2">
        <v>373.0</v>
      </c>
      <c r="E667" s="3">
        <f t="shared" si="1"/>
        <v>0.2864823349</v>
      </c>
      <c r="F667" s="2">
        <v>204.0</v>
      </c>
      <c r="G667" s="3">
        <f t="shared" si="2"/>
        <v>0.1566820276</v>
      </c>
      <c r="H667" s="2">
        <v>289.0</v>
      </c>
      <c r="I667" s="3">
        <f t="shared" si="3"/>
        <v>0.2219662058</v>
      </c>
      <c r="J667" s="2">
        <v>236.0</v>
      </c>
      <c r="K667" s="3">
        <f t="shared" si="4"/>
        <v>0.1812596006</v>
      </c>
      <c r="L667" s="2">
        <v>177.0</v>
      </c>
      <c r="M667" s="3">
        <f t="shared" si="5"/>
        <v>0.6124567474</v>
      </c>
      <c r="N667" s="2">
        <v>1688400.0</v>
      </c>
      <c r="O667" s="4">
        <f t="shared" si="6"/>
        <v>5842.214533</v>
      </c>
      <c r="P667" s="2">
        <v>0.0</v>
      </c>
      <c r="Q667" s="3">
        <f t="shared" si="7"/>
        <v>0</v>
      </c>
      <c r="R667" s="2">
        <v>122.0</v>
      </c>
      <c r="S667" s="5">
        <f t="shared" si="8"/>
        <v>1</v>
      </c>
    </row>
    <row r="668">
      <c r="A668" s="2" t="s">
        <v>683</v>
      </c>
      <c r="B668" s="2">
        <v>253.0</v>
      </c>
      <c r="C668" s="2">
        <v>3037.0</v>
      </c>
      <c r="D668" s="2">
        <v>1095.0</v>
      </c>
      <c r="E668" s="3">
        <f t="shared" si="1"/>
        <v>0.3933189655</v>
      </c>
      <c r="F668" s="2">
        <v>436.0</v>
      </c>
      <c r="G668" s="3">
        <f t="shared" si="2"/>
        <v>0.1566091954</v>
      </c>
      <c r="H668" s="2">
        <v>628.0</v>
      </c>
      <c r="I668" s="3">
        <f t="shared" si="3"/>
        <v>0.2255747126</v>
      </c>
      <c r="J668" s="2">
        <v>485.0</v>
      </c>
      <c r="K668" s="3">
        <f t="shared" si="4"/>
        <v>0.1742097701</v>
      </c>
      <c r="L668" s="2">
        <v>382.0</v>
      </c>
      <c r="M668" s="3">
        <f t="shared" si="5"/>
        <v>0.6082802548</v>
      </c>
      <c r="N668" s="2">
        <v>3368900.0</v>
      </c>
      <c r="O668" s="4">
        <f t="shared" si="6"/>
        <v>5364.490446</v>
      </c>
      <c r="P668" s="2">
        <v>0.0</v>
      </c>
      <c r="Q668" s="3">
        <f t="shared" si="7"/>
        <v>0</v>
      </c>
      <c r="R668" s="2">
        <v>253.0</v>
      </c>
      <c r="S668" s="5">
        <f t="shared" si="8"/>
        <v>1</v>
      </c>
    </row>
    <row r="669">
      <c r="A669" s="2" t="s">
        <v>684</v>
      </c>
      <c r="B669" s="2">
        <v>32.0</v>
      </c>
      <c r="C669" s="2">
        <v>396.0</v>
      </c>
      <c r="D669" s="2">
        <v>112.0</v>
      </c>
      <c r="E669" s="3">
        <f t="shared" si="1"/>
        <v>0.3076923077</v>
      </c>
      <c r="F669" s="2">
        <v>57.0</v>
      </c>
      <c r="G669" s="3">
        <f t="shared" si="2"/>
        <v>0.1565934066</v>
      </c>
      <c r="H669" s="2">
        <v>76.0</v>
      </c>
      <c r="I669" s="3">
        <f t="shared" si="3"/>
        <v>0.2087912088</v>
      </c>
      <c r="J669" s="2">
        <v>72.0</v>
      </c>
      <c r="K669" s="3">
        <f t="shared" si="4"/>
        <v>0.1978021978</v>
      </c>
      <c r="L669" s="2">
        <v>42.0</v>
      </c>
      <c r="M669" s="3">
        <f t="shared" si="5"/>
        <v>0.5526315789</v>
      </c>
      <c r="N669" s="2">
        <v>462000.0</v>
      </c>
      <c r="O669" s="4">
        <f t="shared" si="6"/>
        <v>6078.947368</v>
      </c>
      <c r="P669" s="2">
        <v>0.0</v>
      </c>
      <c r="Q669" s="3">
        <f t="shared" si="7"/>
        <v>0</v>
      </c>
      <c r="R669" s="2">
        <v>0.0</v>
      </c>
      <c r="S669" s="5">
        <f t="shared" si="8"/>
        <v>0</v>
      </c>
    </row>
    <row r="670">
      <c r="A670" s="2" t="s">
        <v>685</v>
      </c>
      <c r="B670" s="2">
        <v>43.0</v>
      </c>
      <c r="C670" s="2">
        <v>522.0</v>
      </c>
      <c r="D670" s="2">
        <v>184.0</v>
      </c>
      <c r="E670" s="3">
        <f t="shared" si="1"/>
        <v>0.3841336117</v>
      </c>
      <c r="F670" s="2">
        <v>75.0</v>
      </c>
      <c r="G670" s="3">
        <f t="shared" si="2"/>
        <v>0.1565762004</v>
      </c>
      <c r="H670" s="2">
        <v>94.0</v>
      </c>
      <c r="I670" s="3">
        <f t="shared" si="3"/>
        <v>0.1962421712</v>
      </c>
      <c r="J670" s="2">
        <v>84.0</v>
      </c>
      <c r="K670" s="3">
        <f t="shared" si="4"/>
        <v>0.1753653445</v>
      </c>
      <c r="L670" s="2">
        <v>47.0</v>
      </c>
      <c r="M670" s="3">
        <f t="shared" si="5"/>
        <v>0.5</v>
      </c>
      <c r="N670" s="2">
        <v>471100.0</v>
      </c>
      <c r="O670" s="4">
        <f t="shared" si="6"/>
        <v>5011.702128</v>
      </c>
      <c r="P670" s="2">
        <v>0.0</v>
      </c>
      <c r="Q670" s="3">
        <f t="shared" si="7"/>
        <v>0</v>
      </c>
      <c r="R670" s="2">
        <v>43.0</v>
      </c>
      <c r="S670" s="5">
        <f t="shared" si="8"/>
        <v>1</v>
      </c>
    </row>
    <row r="671">
      <c r="A671" s="2" t="s">
        <v>686</v>
      </c>
      <c r="B671" s="2">
        <v>716.0</v>
      </c>
      <c r="C671" s="2">
        <v>8292.0</v>
      </c>
      <c r="D671" s="2">
        <v>3004.0</v>
      </c>
      <c r="E671" s="3">
        <f t="shared" si="1"/>
        <v>0.3965153115</v>
      </c>
      <c r="F671" s="2">
        <v>1186.0</v>
      </c>
      <c r="G671" s="3">
        <f t="shared" si="2"/>
        <v>0.1565469905</v>
      </c>
      <c r="H671" s="2">
        <v>1766.0</v>
      </c>
      <c r="I671" s="3">
        <f t="shared" si="3"/>
        <v>0.2331045407</v>
      </c>
      <c r="J671" s="2">
        <v>1580.0</v>
      </c>
      <c r="K671" s="3">
        <f t="shared" si="4"/>
        <v>0.2085533263</v>
      </c>
      <c r="L671" s="2">
        <v>1084.0</v>
      </c>
      <c r="M671" s="3">
        <f t="shared" si="5"/>
        <v>0.6138165345</v>
      </c>
      <c r="N671" s="2">
        <v>9819000.0</v>
      </c>
      <c r="O671" s="4">
        <f t="shared" si="6"/>
        <v>5560.02265</v>
      </c>
      <c r="P671" s="2">
        <v>4.0</v>
      </c>
      <c r="Q671" s="3">
        <f t="shared" si="7"/>
        <v>0.005586592179</v>
      </c>
      <c r="R671" s="2">
        <v>716.0</v>
      </c>
      <c r="S671" s="5">
        <f t="shared" si="8"/>
        <v>1</v>
      </c>
    </row>
    <row r="672">
      <c r="A672" s="2" t="s">
        <v>687</v>
      </c>
      <c r="B672" s="2">
        <v>43.0</v>
      </c>
      <c r="C672" s="2">
        <v>503.0</v>
      </c>
      <c r="D672" s="2">
        <v>168.0</v>
      </c>
      <c r="E672" s="3">
        <f t="shared" si="1"/>
        <v>0.3652173913</v>
      </c>
      <c r="F672" s="2">
        <v>72.0</v>
      </c>
      <c r="G672" s="3">
        <f t="shared" si="2"/>
        <v>0.1565217391</v>
      </c>
      <c r="H672" s="2">
        <v>99.0</v>
      </c>
      <c r="I672" s="3">
        <f t="shared" si="3"/>
        <v>0.2152173913</v>
      </c>
      <c r="J672" s="2">
        <v>69.0</v>
      </c>
      <c r="K672" s="3">
        <f t="shared" si="4"/>
        <v>0.15</v>
      </c>
      <c r="L672" s="2">
        <v>60.0</v>
      </c>
      <c r="M672" s="3">
        <f t="shared" si="5"/>
        <v>0.6060606061</v>
      </c>
      <c r="N672" s="2">
        <v>519600.0</v>
      </c>
      <c r="O672" s="4">
        <f t="shared" si="6"/>
        <v>5248.484848</v>
      </c>
      <c r="P672" s="2">
        <v>0.0</v>
      </c>
      <c r="Q672" s="3">
        <f t="shared" si="7"/>
        <v>0</v>
      </c>
      <c r="R672" s="2">
        <v>43.0</v>
      </c>
      <c r="S672" s="5">
        <f t="shared" si="8"/>
        <v>1</v>
      </c>
    </row>
    <row r="673">
      <c r="A673" s="2" t="s">
        <v>688</v>
      </c>
      <c r="B673" s="2">
        <v>24.0</v>
      </c>
      <c r="C673" s="2">
        <v>254.0</v>
      </c>
      <c r="D673" s="2">
        <v>76.0</v>
      </c>
      <c r="E673" s="3">
        <f t="shared" si="1"/>
        <v>0.3304347826</v>
      </c>
      <c r="F673" s="2">
        <v>36.0</v>
      </c>
      <c r="G673" s="3">
        <f t="shared" si="2"/>
        <v>0.1565217391</v>
      </c>
      <c r="H673" s="2">
        <v>38.0</v>
      </c>
      <c r="I673" s="3">
        <f t="shared" si="3"/>
        <v>0.1652173913</v>
      </c>
      <c r="J673" s="2">
        <v>33.0</v>
      </c>
      <c r="K673" s="3">
        <f t="shared" si="4"/>
        <v>0.1434782609</v>
      </c>
      <c r="L673" s="2">
        <v>28.0</v>
      </c>
      <c r="M673" s="3">
        <f t="shared" si="5"/>
        <v>0.7368421053</v>
      </c>
      <c r="N673" s="2">
        <v>187500.0</v>
      </c>
      <c r="O673" s="4">
        <f t="shared" si="6"/>
        <v>4934.210526</v>
      </c>
      <c r="P673" s="2">
        <v>0.0</v>
      </c>
      <c r="Q673" s="3">
        <f t="shared" si="7"/>
        <v>0</v>
      </c>
      <c r="R673" s="2">
        <v>24.0</v>
      </c>
      <c r="S673" s="5">
        <f t="shared" si="8"/>
        <v>1</v>
      </c>
    </row>
    <row r="674">
      <c r="A674" s="2" t="s">
        <v>689</v>
      </c>
      <c r="B674" s="2">
        <v>128.0</v>
      </c>
      <c r="C674" s="2">
        <v>1515.0</v>
      </c>
      <c r="D674" s="2">
        <v>520.0</v>
      </c>
      <c r="E674" s="3">
        <f t="shared" si="1"/>
        <v>0.3749098774</v>
      </c>
      <c r="F674" s="2">
        <v>217.0</v>
      </c>
      <c r="G674" s="3">
        <f t="shared" si="2"/>
        <v>0.1564527758</v>
      </c>
      <c r="H674" s="2">
        <v>286.0</v>
      </c>
      <c r="I674" s="3">
        <f t="shared" si="3"/>
        <v>0.2062004326</v>
      </c>
      <c r="J674" s="2">
        <v>230.0</v>
      </c>
      <c r="K674" s="3">
        <f t="shared" si="4"/>
        <v>0.1658255227</v>
      </c>
      <c r="L674" s="2">
        <v>170.0</v>
      </c>
      <c r="M674" s="3">
        <f t="shared" si="5"/>
        <v>0.5944055944</v>
      </c>
      <c r="N674" s="2">
        <v>1668500.0</v>
      </c>
      <c r="O674" s="4">
        <f t="shared" si="6"/>
        <v>5833.916084</v>
      </c>
      <c r="P674" s="2">
        <v>0.0</v>
      </c>
      <c r="Q674" s="3">
        <f t="shared" si="7"/>
        <v>0</v>
      </c>
      <c r="R674" s="2">
        <v>128.0</v>
      </c>
      <c r="S674" s="5">
        <f t="shared" si="8"/>
        <v>1</v>
      </c>
    </row>
    <row r="675">
      <c r="A675" s="2" t="s">
        <v>690</v>
      </c>
      <c r="B675" s="2">
        <v>143.0</v>
      </c>
      <c r="C675" s="2">
        <v>1697.0</v>
      </c>
      <c r="D675" s="2">
        <v>606.0</v>
      </c>
      <c r="E675" s="3">
        <f t="shared" si="1"/>
        <v>0.38996139</v>
      </c>
      <c r="F675" s="2">
        <v>243.0</v>
      </c>
      <c r="G675" s="3">
        <f t="shared" si="2"/>
        <v>0.1563706564</v>
      </c>
      <c r="H675" s="2">
        <v>353.0</v>
      </c>
      <c r="I675" s="3">
        <f t="shared" si="3"/>
        <v>0.2271557272</v>
      </c>
      <c r="J675" s="2">
        <v>278.0</v>
      </c>
      <c r="K675" s="3">
        <f t="shared" si="4"/>
        <v>0.1788931789</v>
      </c>
      <c r="L675" s="2">
        <v>210.0</v>
      </c>
      <c r="M675" s="3">
        <f t="shared" si="5"/>
        <v>0.5949008499</v>
      </c>
      <c r="N675" s="2">
        <v>2041600.0</v>
      </c>
      <c r="O675" s="4">
        <f t="shared" si="6"/>
        <v>5783.569405</v>
      </c>
      <c r="P675" s="2">
        <v>1.0</v>
      </c>
      <c r="Q675" s="3">
        <f t="shared" si="7"/>
        <v>0.006993006993</v>
      </c>
      <c r="R675" s="2">
        <v>143.0</v>
      </c>
      <c r="S675" s="5">
        <f t="shared" si="8"/>
        <v>1</v>
      </c>
    </row>
    <row r="676">
      <c r="A676" s="2" t="s">
        <v>691</v>
      </c>
      <c r="B676" s="2">
        <v>80.0</v>
      </c>
      <c r="C676" s="2">
        <v>937.0</v>
      </c>
      <c r="D676" s="2">
        <v>334.0</v>
      </c>
      <c r="E676" s="3">
        <f t="shared" si="1"/>
        <v>0.3897316219</v>
      </c>
      <c r="F676" s="2">
        <v>134.0</v>
      </c>
      <c r="G676" s="3">
        <f t="shared" si="2"/>
        <v>0.1563593932</v>
      </c>
      <c r="H676" s="2">
        <v>184.0</v>
      </c>
      <c r="I676" s="3">
        <f t="shared" si="3"/>
        <v>0.2147024504</v>
      </c>
      <c r="J676" s="2">
        <v>164.0</v>
      </c>
      <c r="K676" s="3">
        <f t="shared" si="4"/>
        <v>0.1913652275</v>
      </c>
      <c r="L676" s="2">
        <v>121.0</v>
      </c>
      <c r="M676" s="3">
        <f t="shared" si="5"/>
        <v>0.6576086957</v>
      </c>
      <c r="N676" s="2">
        <v>976900.0</v>
      </c>
      <c r="O676" s="4">
        <f t="shared" si="6"/>
        <v>5309.23913</v>
      </c>
      <c r="P676" s="2">
        <v>0.0</v>
      </c>
      <c r="Q676" s="3">
        <f t="shared" si="7"/>
        <v>0</v>
      </c>
      <c r="R676" s="2">
        <v>80.0</v>
      </c>
      <c r="S676" s="5">
        <f t="shared" si="8"/>
        <v>1</v>
      </c>
    </row>
    <row r="677">
      <c r="A677" s="2" t="s">
        <v>692</v>
      </c>
      <c r="B677" s="2">
        <v>158.0</v>
      </c>
      <c r="C677" s="2">
        <v>1853.0</v>
      </c>
      <c r="D677" s="2">
        <v>546.0</v>
      </c>
      <c r="E677" s="3">
        <f t="shared" si="1"/>
        <v>0.3221238938</v>
      </c>
      <c r="F677" s="2">
        <v>265.0</v>
      </c>
      <c r="G677" s="3">
        <f t="shared" si="2"/>
        <v>0.1563421829</v>
      </c>
      <c r="H677" s="2">
        <v>345.0</v>
      </c>
      <c r="I677" s="3">
        <f t="shared" si="3"/>
        <v>0.203539823</v>
      </c>
      <c r="J677" s="2">
        <v>286.0</v>
      </c>
      <c r="K677" s="3">
        <f t="shared" si="4"/>
        <v>0.1687315634</v>
      </c>
      <c r="L677" s="2">
        <v>215.0</v>
      </c>
      <c r="M677" s="3">
        <f t="shared" si="5"/>
        <v>0.6231884058</v>
      </c>
      <c r="N677" s="2">
        <v>1920400.0</v>
      </c>
      <c r="O677" s="4">
        <f t="shared" si="6"/>
        <v>5566.376812</v>
      </c>
      <c r="P677" s="2">
        <v>0.0</v>
      </c>
      <c r="Q677" s="3">
        <f t="shared" si="7"/>
        <v>0</v>
      </c>
      <c r="R677" s="2">
        <v>158.0</v>
      </c>
      <c r="S677" s="5">
        <f t="shared" si="8"/>
        <v>1</v>
      </c>
    </row>
    <row r="678">
      <c r="A678" s="2" t="s">
        <v>693</v>
      </c>
      <c r="B678" s="2">
        <v>149.0</v>
      </c>
      <c r="C678" s="2">
        <v>1710.0</v>
      </c>
      <c r="D678" s="2">
        <v>442.0</v>
      </c>
      <c r="E678" s="3">
        <f t="shared" si="1"/>
        <v>0.2831518258</v>
      </c>
      <c r="F678" s="2">
        <v>244.0</v>
      </c>
      <c r="G678" s="3">
        <f t="shared" si="2"/>
        <v>0.1563100577</v>
      </c>
      <c r="H678" s="2">
        <v>312.0</v>
      </c>
      <c r="I678" s="3">
        <f t="shared" si="3"/>
        <v>0.199871877</v>
      </c>
      <c r="J678" s="2">
        <v>270.0</v>
      </c>
      <c r="K678" s="3">
        <f t="shared" si="4"/>
        <v>0.1729660474</v>
      </c>
      <c r="L678" s="2">
        <v>206.0</v>
      </c>
      <c r="M678" s="3">
        <f t="shared" si="5"/>
        <v>0.6602564103</v>
      </c>
      <c r="N678" s="2">
        <v>1757500.0</v>
      </c>
      <c r="O678" s="4">
        <f t="shared" si="6"/>
        <v>5633.012821</v>
      </c>
      <c r="P678" s="2">
        <v>0.0</v>
      </c>
      <c r="Q678" s="3">
        <f t="shared" si="7"/>
        <v>0</v>
      </c>
      <c r="R678" s="2">
        <v>149.0</v>
      </c>
      <c r="S678" s="5">
        <f t="shared" si="8"/>
        <v>1</v>
      </c>
    </row>
    <row r="679">
      <c r="A679" s="2" t="s">
        <v>694</v>
      </c>
      <c r="B679" s="2">
        <v>100.0</v>
      </c>
      <c r="C679" s="2">
        <v>1124.0</v>
      </c>
      <c r="D679" s="2">
        <v>346.0</v>
      </c>
      <c r="E679" s="3">
        <f t="shared" si="1"/>
        <v>0.337890625</v>
      </c>
      <c r="F679" s="2">
        <v>160.0</v>
      </c>
      <c r="G679" s="3">
        <f t="shared" si="2"/>
        <v>0.15625</v>
      </c>
      <c r="H679" s="2">
        <v>196.0</v>
      </c>
      <c r="I679" s="3">
        <f t="shared" si="3"/>
        <v>0.19140625</v>
      </c>
      <c r="J679" s="2">
        <v>158.0</v>
      </c>
      <c r="K679" s="3">
        <f t="shared" si="4"/>
        <v>0.154296875</v>
      </c>
      <c r="L679" s="2">
        <v>110.0</v>
      </c>
      <c r="M679" s="3">
        <f t="shared" si="5"/>
        <v>0.5612244898</v>
      </c>
      <c r="N679" s="2">
        <v>1101600.0</v>
      </c>
      <c r="O679" s="4">
        <f t="shared" si="6"/>
        <v>5620.408163</v>
      </c>
      <c r="P679" s="2">
        <v>0.0</v>
      </c>
      <c r="Q679" s="3">
        <f t="shared" si="7"/>
        <v>0</v>
      </c>
      <c r="R679" s="2">
        <v>100.0</v>
      </c>
      <c r="S679" s="5">
        <f t="shared" si="8"/>
        <v>1</v>
      </c>
    </row>
    <row r="680">
      <c r="A680" s="2" t="s">
        <v>695</v>
      </c>
      <c r="B680" s="2">
        <v>45.0</v>
      </c>
      <c r="C680" s="2">
        <v>557.0</v>
      </c>
      <c r="D680" s="2">
        <v>180.0</v>
      </c>
      <c r="E680" s="3">
        <f t="shared" si="1"/>
        <v>0.3515625</v>
      </c>
      <c r="F680" s="2">
        <v>80.0</v>
      </c>
      <c r="G680" s="3">
        <f t="shared" si="2"/>
        <v>0.15625</v>
      </c>
      <c r="H680" s="2">
        <v>93.0</v>
      </c>
      <c r="I680" s="3">
        <f t="shared" si="3"/>
        <v>0.181640625</v>
      </c>
      <c r="J680" s="2">
        <v>77.0</v>
      </c>
      <c r="K680" s="3">
        <f t="shared" si="4"/>
        <v>0.150390625</v>
      </c>
      <c r="L680" s="2">
        <v>53.0</v>
      </c>
      <c r="M680" s="3">
        <f t="shared" si="5"/>
        <v>0.5698924731</v>
      </c>
      <c r="N680" s="2">
        <v>521700.0</v>
      </c>
      <c r="O680" s="4">
        <f t="shared" si="6"/>
        <v>5609.677419</v>
      </c>
      <c r="P680" s="2">
        <v>0.0</v>
      </c>
      <c r="Q680" s="3">
        <f t="shared" si="7"/>
        <v>0</v>
      </c>
      <c r="R680" s="2">
        <v>0.0</v>
      </c>
      <c r="S680" s="5">
        <f t="shared" si="8"/>
        <v>0</v>
      </c>
    </row>
    <row r="681">
      <c r="A681" s="2" t="s">
        <v>696</v>
      </c>
      <c r="B681" s="2">
        <v>6.0</v>
      </c>
      <c r="C681" s="2">
        <v>70.0</v>
      </c>
      <c r="D681" s="2">
        <v>16.0</v>
      </c>
      <c r="E681" s="3">
        <f t="shared" si="1"/>
        <v>0.25</v>
      </c>
      <c r="F681" s="2">
        <v>10.0</v>
      </c>
      <c r="G681" s="3">
        <f t="shared" si="2"/>
        <v>0.15625</v>
      </c>
      <c r="H681" s="2">
        <v>19.0</v>
      </c>
      <c r="I681" s="3">
        <f t="shared" si="3"/>
        <v>0.296875</v>
      </c>
      <c r="J681" s="2">
        <v>8.0</v>
      </c>
      <c r="K681" s="3">
        <f t="shared" si="4"/>
        <v>0.125</v>
      </c>
      <c r="L681" s="2">
        <v>12.0</v>
      </c>
      <c r="M681" s="3">
        <f t="shared" si="5"/>
        <v>0.6315789474</v>
      </c>
      <c r="N681" s="2">
        <v>88600.0</v>
      </c>
      <c r="O681" s="4">
        <f t="shared" si="6"/>
        <v>4663.157895</v>
      </c>
      <c r="P681" s="2">
        <v>0.0</v>
      </c>
      <c r="Q681" s="3">
        <f t="shared" si="7"/>
        <v>0</v>
      </c>
      <c r="R681" s="2">
        <v>6.0</v>
      </c>
      <c r="S681" s="5">
        <f t="shared" si="8"/>
        <v>1</v>
      </c>
    </row>
    <row r="682">
      <c r="A682" s="2" t="s">
        <v>697</v>
      </c>
      <c r="B682" s="2">
        <v>80.0</v>
      </c>
      <c r="C682" s="2">
        <v>906.0</v>
      </c>
      <c r="D682" s="2">
        <v>321.0</v>
      </c>
      <c r="E682" s="3">
        <f t="shared" si="1"/>
        <v>0.3886198547</v>
      </c>
      <c r="F682" s="2">
        <v>129.0</v>
      </c>
      <c r="G682" s="3">
        <f t="shared" si="2"/>
        <v>0.1561743341</v>
      </c>
      <c r="H682" s="2">
        <v>174.0</v>
      </c>
      <c r="I682" s="3">
        <f t="shared" si="3"/>
        <v>0.210653753</v>
      </c>
      <c r="J682" s="2">
        <v>137.0</v>
      </c>
      <c r="K682" s="3">
        <f t="shared" si="4"/>
        <v>0.1658595642</v>
      </c>
      <c r="L682" s="2">
        <v>107.0</v>
      </c>
      <c r="M682" s="3">
        <f t="shared" si="5"/>
        <v>0.6149425287</v>
      </c>
      <c r="N682" s="2">
        <v>841000.0</v>
      </c>
      <c r="O682" s="4">
        <f t="shared" si="6"/>
        <v>4833.333333</v>
      </c>
      <c r="P682" s="2">
        <v>0.0</v>
      </c>
      <c r="Q682" s="3">
        <f t="shared" si="7"/>
        <v>0</v>
      </c>
      <c r="R682" s="2">
        <v>80.0</v>
      </c>
      <c r="S682" s="5">
        <f t="shared" si="8"/>
        <v>1</v>
      </c>
    </row>
    <row r="683">
      <c r="A683" s="2" t="s">
        <v>698</v>
      </c>
      <c r="B683" s="2">
        <v>77.0</v>
      </c>
      <c r="C683" s="2">
        <v>903.0</v>
      </c>
      <c r="D683" s="2">
        <v>287.0</v>
      </c>
      <c r="E683" s="3">
        <f t="shared" si="1"/>
        <v>0.3474576271</v>
      </c>
      <c r="F683" s="2">
        <v>129.0</v>
      </c>
      <c r="G683" s="3">
        <f t="shared" si="2"/>
        <v>0.1561743341</v>
      </c>
      <c r="H683" s="2">
        <v>153.0</v>
      </c>
      <c r="I683" s="3">
        <f t="shared" si="3"/>
        <v>0.1852300242</v>
      </c>
      <c r="J683" s="2">
        <v>129.0</v>
      </c>
      <c r="K683" s="3">
        <f t="shared" si="4"/>
        <v>0.1561743341</v>
      </c>
      <c r="L683" s="2">
        <v>89.0</v>
      </c>
      <c r="M683" s="3">
        <f t="shared" si="5"/>
        <v>0.5816993464</v>
      </c>
      <c r="N683" s="2">
        <v>893100.0</v>
      </c>
      <c r="O683" s="4">
        <f t="shared" si="6"/>
        <v>5837.254902</v>
      </c>
      <c r="P683" s="2">
        <v>0.0</v>
      </c>
      <c r="Q683" s="3">
        <f t="shared" si="7"/>
        <v>0</v>
      </c>
      <c r="R683" s="2">
        <v>0.0</v>
      </c>
      <c r="S683" s="5">
        <f t="shared" si="8"/>
        <v>0</v>
      </c>
    </row>
    <row r="684">
      <c r="A684" s="2" t="s">
        <v>699</v>
      </c>
      <c r="B684" s="2">
        <v>726.0</v>
      </c>
      <c r="C684" s="2">
        <v>8366.0</v>
      </c>
      <c r="D684" s="2">
        <v>2212.0</v>
      </c>
      <c r="E684" s="3">
        <f t="shared" si="1"/>
        <v>0.2895287958</v>
      </c>
      <c r="F684" s="2">
        <v>1193.0</v>
      </c>
      <c r="G684" s="3">
        <f t="shared" si="2"/>
        <v>0.1561518325</v>
      </c>
      <c r="H684" s="2">
        <v>1614.0</v>
      </c>
      <c r="I684" s="3">
        <f t="shared" si="3"/>
        <v>0.2112565445</v>
      </c>
      <c r="J684" s="2">
        <v>1514.0</v>
      </c>
      <c r="K684" s="3">
        <f t="shared" si="4"/>
        <v>0.1981675393</v>
      </c>
      <c r="L684" s="2">
        <v>968.0</v>
      </c>
      <c r="M684" s="3">
        <f t="shared" si="5"/>
        <v>0.5997521685</v>
      </c>
      <c r="N684" s="2">
        <v>9818200.0</v>
      </c>
      <c r="O684" s="4">
        <f t="shared" si="6"/>
        <v>6083.14746</v>
      </c>
      <c r="P684" s="2">
        <v>2.0</v>
      </c>
      <c r="Q684" s="3">
        <f t="shared" si="7"/>
        <v>0.002754820937</v>
      </c>
      <c r="R684" s="2">
        <v>726.0</v>
      </c>
      <c r="S684" s="5">
        <f t="shared" si="8"/>
        <v>1</v>
      </c>
    </row>
    <row r="685">
      <c r="A685" s="2" t="s">
        <v>700</v>
      </c>
      <c r="B685" s="2">
        <v>433.0</v>
      </c>
      <c r="C685" s="2">
        <v>5122.0</v>
      </c>
      <c r="D685" s="2">
        <v>1742.0</v>
      </c>
      <c r="E685" s="3">
        <f t="shared" si="1"/>
        <v>0.3715077842</v>
      </c>
      <c r="F685" s="2">
        <v>732.0</v>
      </c>
      <c r="G685" s="3">
        <f t="shared" si="2"/>
        <v>0.1561100448</v>
      </c>
      <c r="H685" s="2">
        <v>978.0</v>
      </c>
      <c r="I685" s="3">
        <f t="shared" si="3"/>
        <v>0.2085732566</v>
      </c>
      <c r="J685" s="2">
        <v>786.0</v>
      </c>
      <c r="K685" s="3">
        <f t="shared" si="4"/>
        <v>0.1676263596</v>
      </c>
      <c r="L685" s="2">
        <v>570.0</v>
      </c>
      <c r="M685" s="3">
        <f t="shared" si="5"/>
        <v>0.5828220859</v>
      </c>
      <c r="N685" s="2">
        <v>5626700.0</v>
      </c>
      <c r="O685" s="4">
        <f t="shared" si="6"/>
        <v>5753.271984</v>
      </c>
      <c r="P685" s="2">
        <v>1.0</v>
      </c>
      <c r="Q685" s="3">
        <f t="shared" si="7"/>
        <v>0.002309468822</v>
      </c>
      <c r="R685" s="2">
        <v>433.0</v>
      </c>
      <c r="S685" s="5">
        <f t="shared" si="8"/>
        <v>1</v>
      </c>
    </row>
    <row r="686">
      <c r="A686" s="2" t="s">
        <v>701</v>
      </c>
      <c r="B686" s="2">
        <v>35.0</v>
      </c>
      <c r="C686" s="2">
        <v>413.0</v>
      </c>
      <c r="D686" s="2">
        <v>146.0</v>
      </c>
      <c r="E686" s="3">
        <f t="shared" si="1"/>
        <v>0.3862433862</v>
      </c>
      <c r="F686" s="2">
        <v>59.0</v>
      </c>
      <c r="G686" s="3">
        <f t="shared" si="2"/>
        <v>0.1560846561</v>
      </c>
      <c r="H686" s="2">
        <v>79.0</v>
      </c>
      <c r="I686" s="3">
        <f t="shared" si="3"/>
        <v>0.208994709</v>
      </c>
      <c r="J686" s="2">
        <v>68.0</v>
      </c>
      <c r="K686" s="3">
        <f t="shared" si="4"/>
        <v>0.1798941799</v>
      </c>
      <c r="L686" s="2">
        <v>41.0</v>
      </c>
      <c r="M686" s="3">
        <f t="shared" si="5"/>
        <v>0.5189873418</v>
      </c>
      <c r="N686" s="2">
        <v>425500.0</v>
      </c>
      <c r="O686" s="4">
        <f t="shared" si="6"/>
        <v>5386.075949</v>
      </c>
      <c r="P686" s="2">
        <v>1.0</v>
      </c>
      <c r="Q686" s="3">
        <f t="shared" si="7"/>
        <v>0.02857142857</v>
      </c>
      <c r="R686" s="2">
        <v>35.0</v>
      </c>
      <c r="S686" s="5">
        <f t="shared" si="8"/>
        <v>1</v>
      </c>
    </row>
    <row r="687">
      <c r="A687" s="2" t="s">
        <v>702</v>
      </c>
      <c r="B687" s="2">
        <v>170.0</v>
      </c>
      <c r="C687" s="2">
        <v>1996.0</v>
      </c>
      <c r="D687" s="2">
        <v>677.0</v>
      </c>
      <c r="E687" s="3">
        <f t="shared" si="1"/>
        <v>0.3707557503</v>
      </c>
      <c r="F687" s="2">
        <v>285.0</v>
      </c>
      <c r="G687" s="3">
        <f t="shared" si="2"/>
        <v>0.1560788609</v>
      </c>
      <c r="H687" s="2">
        <v>372.0</v>
      </c>
      <c r="I687" s="3">
        <f t="shared" si="3"/>
        <v>0.2037239869</v>
      </c>
      <c r="J687" s="2">
        <v>276.0</v>
      </c>
      <c r="K687" s="3">
        <f t="shared" si="4"/>
        <v>0.1511500548</v>
      </c>
      <c r="L687" s="2">
        <v>232.0</v>
      </c>
      <c r="M687" s="3">
        <f t="shared" si="5"/>
        <v>0.623655914</v>
      </c>
      <c r="N687" s="2">
        <v>2172900.0</v>
      </c>
      <c r="O687" s="4">
        <f t="shared" si="6"/>
        <v>5841.129032</v>
      </c>
      <c r="P687" s="2">
        <v>1.0</v>
      </c>
      <c r="Q687" s="3">
        <f t="shared" si="7"/>
        <v>0.005882352941</v>
      </c>
      <c r="R687" s="2">
        <v>170.0</v>
      </c>
      <c r="S687" s="5">
        <f t="shared" si="8"/>
        <v>1</v>
      </c>
    </row>
    <row r="688">
      <c r="A688" s="2" t="s">
        <v>703</v>
      </c>
      <c r="B688" s="2">
        <v>139.0</v>
      </c>
      <c r="C688" s="2">
        <v>1600.0</v>
      </c>
      <c r="D688" s="2">
        <v>557.0</v>
      </c>
      <c r="E688" s="3">
        <f t="shared" si="1"/>
        <v>0.3812457221</v>
      </c>
      <c r="F688" s="2">
        <v>228.0</v>
      </c>
      <c r="G688" s="3">
        <f t="shared" si="2"/>
        <v>0.1560574949</v>
      </c>
      <c r="H688" s="2">
        <v>333.0</v>
      </c>
      <c r="I688" s="3">
        <f t="shared" si="3"/>
        <v>0.227926078</v>
      </c>
      <c r="J688" s="2">
        <v>232.0</v>
      </c>
      <c r="K688" s="3">
        <f t="shared" si="4"/>
        <v>0.1587953457</v>
      </c>
      <c r="L688" s="2">
        <v>203.0</v>
      </c>
      <c r="M688" s="3">
        <f t="shared" si="5"/>
        <v>0.6096096096</v>
      </c>
      <c r="N688" s="2">
        <v>1871800.0</v>
      </c>
      <c r="O688" s="4">
        <f t="shared" si="6"/>
        <v>5621.021021</v>
      </c>
      <c r="P688" s="2">
        <v>1.0</v>
      </c>
      <c r="Q688" s="3">
        <f t="shared" si="7"/>
        <v>0.007194244604</v>
      </c>
      <c r="R688" s="2">
        <v>20.0</v>
      </c>
      <c r="S688" s="5">
        <f t="shared" si="8"/>
        <v>0.1438848921</v>
      </c>
    </row>
    <row r="689">
      <c r="A689" s="2" t="s">
        <v>704</v>
      </c>
      <c r="B689" s="2">
        <v>183.0</v>
      </c>
      <c r="C689" s="2">
        <v>2099.0</v>
      </c>
      <c r="D689" s="2">
        <v>708.0</v>
      </c>
      <c r="E689" s="3">
        <f t="shared" si="1"/>
        <v>0.369519833</v>
      </c>
      <c r="F689" s="2">
        <v>299.0</v>
      </c>
      <c r="G689" s="3">
        <f t="shared" si="2"/>
        <v>0.1560542797</v>
      </c>
      <c r="H689" s="2">
        <v>427.0</v>
      </c>
      <c r="I689" s="3">
        <f t="shared" si="3"/>
        <v>0.2228601253</v>
      </c>
      <c r="J689" s="2">
        <v>350.0</v>
      </c>
      <c r="K689" s="3">
        <f t="shared" si="4"/>
        <v>0.1826722338</v>
      </c>
      <c r="L689" s="2">
        <v>262.0</v>
      </c>
      <c r="M689" s="3">
        <f t="shared" si="5"/>
        <v>0.6135831382</v>
      </c>
      <c r="N689" s="2">
        <v>2469600.0</v>
      </c>
      <c r="O689" s="4">
        <f t="shared" si="6"/>
        <v>5783.606557</v>
      </c>
      <c r="P689" s="2">
        <v>0.0</v>
      </c>
      <c r="Q689" s="3">
        <f t="shared" si="7"/>
        <v>0</v>
      </c>
      <c r="R689" s="2">
        <v>183.0</v>
      </c>
      <c r="S689" s="5">
        <f t="shared" si="8"/>
        <v>1</v>
      </c>
    </row>
    <row r="690">
      <c r="A690" s="2" t="s">
        <v>705</v>
      </c>
      <c r="B690" s="2">
        <v>292.0</v>
      </c>
      <c r="C690" s="2">
        <v>3336.0</v>
      </c>
      <c r="D690" s="2">
        <v>970.0</v>
      </c>
      <c r="E690" s="3">
        <f t="shared" si="1"/>
        <v>0.3186596583</v>
      </c>
      <c r="F690" s="2">
        <v>475.0</v>
      </c>
      <c r="G690" s="3">
        <f t="shared" si="2"/>
        <v>0.1560446781</v>
      </c>
      <c r="H690" s="2">
        <v>624.0</v>
      </c>
      <c r="I690" s="3">
        <f t="shared" si="3"/>
        <v>0.2049934297</v>
      </c>
      <c r="J690" s="2">
        <v>590.0</v>
      </c>
      <c r="K690" s="3">
        <f t="shared" si="4"/>
        <v>0.1938239159</v>
      </c>
      <c r="L690" s="2">
        <v>368.0</v>
      </c>
      <c r="M690" s="3">
        <f t="shared" si="5"/>
        <v>0.5897435897</v>
      </c>
      <c r="N690" s="2">
        <v>3895900.0</v>
      </c>
      <c r="O690" s="4">
        <f t="shared" si="6"/>
        <v>6243.429487</v>
      </c>
      <c r="P690" s="2">
        <v>1.0</v>
      </c>
      <c r="Q690" s="3">
        <f t="shared" si="7"/>
        <v>0.003424657534</v>
      </c>
      <c r="R690" s="2">
        <v>0.0</v>
      </c>
      <c r="S690" s="5">
        <f t="shared" si="8"/>
        <v>0</v>
      </c>
    </row>
    <row r="691">
      <c r="A691" s="2" t="s">
        <v>706</v>
      </c>
      <c r="B691" s="2">
        <v>222.0</v>
      </c>
      <c r="C691" s="2">
        <v>2574.0</v>
      </c>
      <c r="D691" s="2">
        <v>1027.0</v>
      </c>
      <c r="E691" s="3">
        <f t="shared" si="1"/>
        <v>0.4366496599</v>
      </c>
      <c r="F691" s="2">
        <v>367.0</v>
      </c>
      <c r="G691" s="3">
        <f t="shared" si="2"/>
        <v>0.156037415</v>
      </c>
      <c r="H691" s="2">
        <v>526.0</v>
      </c>
      <c r="I691" s="3">
        <f t="shared" si="3"/>
        <v>0.2236394558</v>
      </c>
      <c r="J691" s="2">
        <v>384.0</v>
      </c>
      <c r="K691" s="3">
        <f t="shared" si="4"/>
        <v>0.1632653061</v>
      </c>
      <c r="L691" s="2">
        <v>318.0</v>
      </c>
      <c r="M691" s="3">
        <f t="shared" si="5"/>
        <v>0.6045627376</v>
      </c>
      <c r="N691" s="2">
        <v>2859700.0</v>
      </c>
      <c r="O691" s="4">
        <f t="shared" si="6"/>
        <v>5436.692015</v>
      </c>
      <c r="P691" s="2">
        <v>1.0</v>
      </c>
      <c r="Q691" s="3">
        <f t="shared" si="7"/>
        <v>0.004504504505</v>
      </c>
      <c r="R691" s="2">
        <v>222.0</v>
      </c>
      <c r="S691" s="5">
        <f t="shared" si="8"/>
        <v>1</v>
      </c>
    </row>
    <row r="692">
      <c r="A692" s="2" t="s">
        <v>707</v>
      </c>
      <c r="B692" s="2">
        <v>122.0</v>
      </c>
      <c r="C692" s="2">
        <v>1423.0</v>
      </c>
      <c r="D692" s="2">
        <v>526.0</v>
      </c>
      <c r="E692" s="3">
        <f t="shared" si="1"/>
        <v>0.4043043812</v>
      </c>
      <c r="F692" s="2">
        <v>203.0</v>
      </c>
      <c r="G692" s="3">
        <f t="shared" si="2"/>
        <v>0.1560338201</v>
      </c>
      <c r="H692" s="2">
        <v>286.0</v>
      </c>
      <c r="I692" s="3">
        <f t="shared" si="3"/>
        <v>0.2198308993</v>
      </c>
      <c r="J692" s="2">
        <v>229.0</v>
      </c>
      <c r="K692" s="3">
        <f t="shared" si="4"/>
        <v>0.1760184473</v>
      </c>
      <c r="L692" s="2">
        <v>174.0</v>
      </c>
      <c r="M692" s="3">
        <f t="shared" si="5"/>
        <v>0.6083916084</v>
      </c>
      <c r="N692" s="2">
        <v>1435400.0</v>
      </c>
      <c r="O692" s="4">
        <f t="shared" si="6"/>
        <v>5018.881119</v>
      </c>
      <c r="P692" s="2">
        <v>1.0</v>
      </c>
      <c r="Q692" s="3">
        <f t="shared" si="7"/>
        <v>0.008196721311</v>
      </c>
      <c r="R692" s="2">
        <v>122.0</v>
      </c>
      <c r="S692" s="5">
        <f t="shared" si="8"/>
        <v>1</v>
      </c>
    </row>
    <row r="693">
      <c r="A693" s="2" t="s">
        <v>708</v>
      </c>
      <c r="B693" s="2">
        <v>211.0</v>
      </c>
      <c r="C693" s="2">
        <v>2448.0</v>
      </c>
      <c r="D693" s="2">
        <v>728.0</v>
      </c>
      <c r="E693" s="3">
        <f t="shared" si="1"/>
        <v>0.3254358516</v>
      </c>
      <c r="F693" s="2">
        <v>349.0</v>
      </c>
      <c r="G693" s="3">
        <f t="shared" si="2"/>
        <v>0.1560125168</v>
      </c>
      <c r="H693" s="2">
        <v>502.0</v>
      </c>
      <c r="I693" s="3">
        <f t="shared" si="3"/>
        <v>0.2244076889</v>
      </c>
      <c r="J693" s="2">
        <v>485.0</v>
      </c>
      <c r="K693" s="3">
        <f t="shared" si="4"/>
        <v>0.2168082253</v>
      </c>
      <c r="L693" s="2">
        <v>305.0</v>
      </c>
      <c r="M693" s="3">
        <f t="shared" si="5"/>
        <v>0.6075697211</v>
      </c>
      <c r="N693" s="2">
        <v>3094700.0</v>
      </c>
      <c r="O693" s="4">
        <f t="shared" si="6"/>
        <v>6164.741036</v>
      </c>
      <c r="P693" s="2">
        <v>0.0</v>
      </c>
      <c r="Q693" s="3">
        <f t="shared" si="7"/>
        <v>0</v>
      </c>
      <c r="R693" s="2">
        <v>211.0</v>
      </c>
      <c r="S693" s="5">
        <f t="shared" si="8"/>
        <v>1</v>
      </c>
    </row>
    <row r="694">
      <c r="A694" s="2" t="s">
        <v>709</v>
      </c>
      <c r="B694" s="2">
        <v>435.0</v>
      </c>
      <c r="C694" s="2">
        <v>5115.0</v>
      </c>
      <c r="D694" s="2">
        <v>1443.0</v>
      </c>
      <c r="E694" s="3">
        <f t="shared" si="1"/>
        <v>0.3083333333</v>
      </c>
      <c r="F694" s="2">
        <v>730.0</v>
      </c>
      <c r="G694" s="3">
        <f t="shared" si="2"/>
        <v>0.155982906</v>
      </c>
      <c r="H694" s="2">
        <v>920.0</v>
      </c>
      <c r="I694" s="3">
        <f t="shared" si="3"/>
        <v>0.1965811966</v>
      </c>
      <c r="J694" s="2">
        <v>911.0</v>
      </c>
      <c r="K694" s="3">
        <f t="shared" si="4"/>
        <v>0.1946581197</v>
      </c>
      <c r="L694" s="2">
        <v>541.0</v>
      </c>
      <c r="M694" s="3">
        <f t="shared" si="5"/>
        <v>0.5880434783</v>
      </c>
      <c r="N694" s="2">
        <v>5727200.0</v>
      </c>
      <c r="O694" s="4">
        <f t="shared" si="6"/>
        <v>6225.217391</v>
      </c>
      <c r="P694" s="2">
        <v>4.0</v>
      </c>
      <c r="Q694" s="3">
        <f t="shared" si="7"/>
        <v>0.009195402299</v>
      </c>
      <c r="R694" s="2">
        <v>435.0</v>
      </c>
      <c r="S694" s="5">
        <f t="shared" si="8"/>
        <v>1</v>
      </c>
    </row>
    <row r="695">
      <c r="A695" s="2" t="s">
        <v>710</v>
      </c>
      <c r="B695" s="2">
        <v>708.0</v>
      </c>
      <c r="C695" s="2">
        <v>8152.0</v>
      </c>
      <c r="D695" s="2">
        <v>3546.0</v>
      </c>
      <c r="E695" s="3">
        <f t="shared" si="1"/>
        <v>0.4763567974</v>
      </c>
      <c r="F695" s="2">
        <v>1161.0</v>
      </c>
      <c r="G695" s="3">
        <f t="shared" si="2"/>
        <v>0.1559645352</v>
      </c>
      <c r="H695" s="2">
        <v>1784.0</v>
      </c>
      <c r="I695" s="3">
        <f t="shared" si="3"/>
        <v>0.2396560989</v>
      </c>
      <c r="J695" s="2">
        <v>1280.0</v>
      </c>
      <c r="K695" s="3">
        <f t="shared" si="4"/>
        <v>0.1719505642</v>
      </c>
      <c r="L695" s="2">
        <v>1094.0</v>
      </c>
      <c r="M695" s="3">
        <f t="shared" si="5"/>
        <v>0.6132286996</v>
      </c>
      <c r="N695" s="2">
        <v>9567400.0</v>
      </c>
      <c r="O695" s="4">
        <f t="shared" si="6"/>
        <v>5362.892377</v>
      </c>
      <c r="P695" s="2">
        <v>4.0</v>
      </c>
      <c r="Q695" s="3">
        <f t="shared" si="7"/>
        <v>0.005649717514</v>
      </c>
      <c r="R695" s="2">
        <v>0.0</v>
      </c>
      <c r="S695" s="5">
        <f t="shared" si="8"/>
        <v>0</v>
      </c>
    </row>
    <row r="696">
      <c r="A696" s="2" t="s">
        <v>711</v>
      </c>
      <c r="B696" s="2">
        <v>79.0</v>
      </c>
      <c r="C696" s="2">
        <v>887.0</v>
      </c>
      <c r="D696" s="2">
        <v>283.0</v>
      </c>
      <c r="E696" s="3">
        <f t="shared" si="1"/>
        <v>0.3502475248</v>
      </c>
      <c r="F696" s="2">
        <v>126.0</v>
      </c>
      <c r="G696" s="3">
        <f t="shared" si="2"/>
        <v>0.1559405941</v>
      </c>
      <c r="H696" s="2">
        <v>168.0</v>
      </c>
      <c r="I696" s="3">
        <f t="shared" si="3"/>
        <v>0.2079207921</v>
      </c>
      <c r="J696" s="2">
        <v>143.0</v>
      </c>
      <c r="K696" s="3">
        <f t="shared" si="4"/>
        <v>0.176980198</v>
      </c>
      <c r="L696" s="2">
        <v>103.0</v>
      </c>
      <c r="M696" s="3">
        <f t="shared" si="5"/>
        <v>0.6130952381</v>
      </c>
      <c r="N696" s="2">
        <v>906000.0</v>
      </c>
      <c r="O696" s="4">
        <f t="shared" si="6"/>
        <v>5392.857143</v>
      </c>
      <c r="P696" s="2">
        <v>0.0</v>
      </c>
      <c r="Q696" s="3">
        <f t="shared" si="7"/>
        <v>0</v>
      </c>
      <c r="R696" s="2">
        <v>79.0</v>
      </c>
      <c r="S696" s="5">
        <f t="shared" si="8"/>
        <v>1</v>
      </c>
    </row>
    <row r="697">
      <c r="A697" s="2" t="s">
        <v>712</v>
      </c>
      <c r="B697" s="2">
        <v>66.0</v>
      </c>
      <c r="C697" s="2">
        <v>765.0</v>
      </c>
      <c r="D697" s="2">
        <v>268.0</v>
      </c>
      <c r="E697" s="3">
        <f t="shared" si="1"/>
        <v>0.3834048641</v>
      </c>
      <c r="F697" s="2">
        <v>109.0</v>
      </c>
      <c r="G697" s="3">
        <f t="shared" si="2"/>
        <v>0.1559370529</v>
      </c>
      <c r="H697" s="2">
        <v>134.0</v>
      </c>
      <c r="I697" s="3">
        <f t="shared" si="3"/>
        <v>0.191702432</v>
      </c>
      <c r="J697" s="2">
        <v>107.0</v>
      </c>
      <c r="K697" s="3">
        <f t="shared" si="4"/>
        <v>0.1530758226</v>
      </c>
      <c r="L697" s="2">
        <v>79.0</v>
      </c>
      <c r="M697" s="3">
        <f t="shared" si="5"/>
        <v>0.5895522388</v>
      </c>
      <c r="N697" s="2">
        <v>717800.0</v>
      </c>
      <c r="O697" s="4">
        <f t="shared" si="6"/>
        <v>5356.716418</v>
      </c>
      <c r="P697" s="2">
        <v>0.0</v>
      </c>
      <c r="Q697" s="3">
        <f t="shared" si="7"/>
        <v>0</v>
      </c>
      <c r="R697" s="2">
        <v>66.0</v>
      </c>
      <c r="S697" s="5">
        <f t="shared" si="8"/>
        <v>1</v>
      </c>
    </row>
    <row r="698">
      <c r="A698" s="2" t="s">
        <v>713</v>
      </c>
      <c r="B698" s="2">
        <v>935.0</v>
      </c>
      <c r="C698" s="2">
        <v>10843.0</v>
      </c>
      <c r="D698" s="2">
        <v>3363.0</v>
      </c>
      <c r="E698" s="3">
        <f t="shared" si="1"/>
        <v>0.3394226887</v>
      </c>
      <c r="F698" s="2">
        <v>1545.0</v>
      </c>
      <c r="G698" s="3">
        <f t="shared" si="2"/>
        <v>0.1559345983</v>
      </c>
      <c r="H698" s="2">
        <v>2116.0</v>
      </c>
      <c r="I698" s="3">
        <f t="shared" si="3"/>
        <v>0.2135647961</v>
      </c>
      <c r="J698" s="2">
        <v>1901.0</v>
      </c>
      <c r="K698" s="3">
        <f t="shared" si="4"/>
        <v>0.1918651595</v>
      </c>
      <c r="L698" s="2">
        <v>1252.0</v>
      </c>
      <c r="M698" s="3">
        <f t="shared" si="5"/>
        <v>0.5916824197</v>
      </c>
      <c r="N698" s="2">
        <v>1.21645E7</v>
      </c>
      <c r="O698" s="4">
        <f t="shared" si="6"/>
        <v>5748.818526</v>
      </c>
      <c r="P698" s="2">
        <v>5.0</v>
      </c>
      <c r="Q698" s="3">
        <f t="shared" si="7"/>
        <v>0.005347593583</v>
      </c>
      <c r="R698" s="2">
        <v>935.0</v>
      </c>
      <c r="S698" s="5">
        <f t="shared" si="8"/>
        <v>1</v>
      </c>
    </row>
    <row r="699">
      <c r="A699" s="2" t="s">
        <v>714</v>
      </c>
      <c r="B699" s="2">
        <v>42.0</v>
      </c>
      <c r="C699" s="2">
        <v>523.0</v>
      </c>
      <c r="D699" s="2">
        <v>189.0</v>
      </c>
      <c r="E699" s="3">
        <f t="shared" si="1"/>
        <v>0.3929313929</v>
      </c>
      <c r="F699" s="2">
        <v>75.0</v>
      </c>
      <c r="G699" s="3">
        <f t="shared" si="2"/>
        <v>0.1559251559</v>
      </c>
      <c r="H699" s="2">
        <v>82.0</v>
      </c>
      <c r="I699" s="3">
        <f t="shared" si="3"/>
        <v>0.1704781705</v>
      </c>
      <c r="J699" s="2">
        <v>64.0</v>
      </c>
      <c r="K699" s="3">
        <f t="shared" si="4"/>
        <v>0.1330561331</v>
      </c>
      <c r="L699" s="2">
        <v>47.0</v>
      </c>
      <c r="M699" s="3">
        <f t="shared" si="5"/>
        <v>0.5731707317</v>
      </c>
      <c r="N699" s="2">
        <v>403600.0</v>
      </c>
      <c r="O699" s="4">
        <f t="shared" si="6"/>
        <v>4921.95122</v>
      </c>
      <c r="P699" s="2">
        <v>0.0</v>
      </c>
      <c r="Q699" s="3">
        <f t="shared" si="7"/>
        <v>0</v>
      </c>
      <c r="R699" s="2">
        <v>42.0</v>
      </c>
      <c r="S699" s="5">
        <f t="shared" si="8"/>
        <v>1</v>
      </c>
    </row>
    <row r="700">
      <c r="A700" s="2" t="s">
        <v>715</v>
      </c>
      <c r="B700" s="2">
        <v>70.0</v>
      </c>
      <c r="C700" s="2">
        <v>859.0</v>
      </c>
      <c r="D700" s="2">
        <v>246.0</v>
      </c>
      <c r="E700" s="3">
        <f t="shared" si="1"/>
        <v>0.3117870722</v>
      </c>
      <c r="F700" s="2">
        <v>123.0</v>
      </c>
      <c r="G700" s="3">
        <f t="shared" si="2"/>
        <v>0.1558935361</v>
      </c>
      <c r="H700" s="2">
        <v>162.0</v>
      </c>
      <c r="I700" s="3">
        <f t="shared" si="3"/>
        <v>0.2053231939</v>
      </c>
      <c r="J700" s="2">
        <v>203.0</v>
      </c>
      <c r="K700" s="3">
        <f t="shared" si="4"/>
        <v>0.257287706</v>
      </c>
      <c r="L700" s="2">
        <v>91.0</v>
      </c>
      <c r="M700" s="3">
        <f t="shared" si="5"/>
        <v>0.5617283951</v>
      </c>
      <c r="N700" s="2">
        <v>967900.0</v>
      </c>
      <c r="O700" s="4">
        <f t="shared" si="6"/>
        <v>5974.691358</v>
      </c>
      <c r="P700" s="2">
        <v>0.0</v>
      </c>
      <c r="Q700" s="3">
        <f t="shared" si="7"/>
        <v>0</v>
      </c>
      <c r="R700" s="2">
        <v>0.0</v>
      </c>
      <c r="S700" s="5">
        <f t="shared" si="8"/>
        <v>0</v>
      </c>
    </row>
    <row r="701">
      <c r="A701" s="2" t="s">
        <v>716</v>
      </c>
      <c r="B701" s="2">
        <v>250.0</v>
      </c>
      <c r="C701" s="2">
        <v>2893.0</v>
      </c>
      <c r="D701" s="2">
        <v>1013.0</v>
      </c>
      <c r="E701" s="3">
        <f t="shared" si="1"/>
        <v>0.3832765796</v>
      </c>
      <c r="F701" s="2">
        <v>412.0</v>
      </c>
      <c r="G701" s="3">
        <f t="shared" si="2"/>
        <v>0.1558834658</v>
      </c>
      <c r="H701" s="2">
        <v>557.0</v>
      </c>
      <c r="I701" s="3">
        <f t="shared" si="3"/>
        <v>0.2107453651</v>
      </c>
      <c r="J701" s="2">
        <v>475.0</v>
      </c>
      <c r="K701" s="3">
        <f t="shared" si="4"/>
        <v>0.1797200151</v>
      </c>
      <c r="L701" s="2">
        <v>336.0</v>
      </c>
      <c r="M701" s="3">
        <f t="shared" si="5"/>
        <v>0.6032315978</v>
      </c>
      <c r="N701" s="2">
        <v>3122300.0</v>
      </c>
      <c r="O701" s="4">
        <f t="shared" si="6"/>
        <v>5605.56553</v>
      </c>
      <c r="P701" s="2">
        <v>0.0</v>
      </c>
      <c r="Q701" s="3">
        <f t="shared" si="7"/>
        <v>0</v>
      </c>
      <c r="R701" s="2">
        <v>250.0</v>
      </c>
      <c r="S701" s="5">
        <f t="shared" si="8"/>
        <v>1</v>
      </c>
    </row>
    <row r="702">
      <c r="A702" s="2" t="s">
        <v>717</v>
      </c>
      <c r="B702" s="2">
        <v>156.0</v>
      </c>
      <c r="C702" s="2">
        <v>1856.0</v>
      </c>
      <c r="D702" s="2">
        <v>589.0</v>
      </c>
      <c r="E702" s="3">
        <f t="shared" si="1"/>
        <v>0.3464705882</v>
      </c>
      <c r="F702" s="2">
        <v>265.0</v>
      </c>
      <c r="G702" s="3">
        <f t="shared" si="2"/>
        <v>0.1558823529</v>
      </c>
      <c r="H702" s="2">
        <v>371.0</v>
      </c>
      <c r="I702" s="3">
        <f t="shared" si="3"/>
        <v>0.2182352941</v>
      </c>
      <c r="J702" s="2">
        <v>350.0</v>
      </c>
      <c r="K702" s="3">
        <f t="shared" si="4"/>
        <v>0.2058823529</v>
      </c>
      <c r="L702" s="2">
        <v>235.0</v>
      </c>
      <c r="M702" s="3">
        <f t="shared" si="5"/>
        <v>0.6334231806</v>
      </c>
      <c r="N702" s="2">
        <v>1977200.0</v>
      </c>
      <c r="O702" s="4">
        <f t="shared" si="6"/>
        <v>5329.380054</v>
      </c>
      <c r="P702" s="2">
        <v>0.0</v>
      </c>
      <c r="Q702" s="3">
        <f t="shared" si="7"/>
        <v>0</v>
      </c>
      <c r="R702" s="2">
        <v>156.0</v>
      </c>
      <c r="S702" s="5">
        <f t="shared" si="8"/>
        <v>1</v>
      </c>
    </row>
    <row r="703">
      <c r="A703" s="2" t="s">
        <v>718</v>
      </c>
      <c r="B703" s="2">
        <v>395.0</v>
      </c>
      <c r="C703" s="2">
        <v>4732.0</v>
      </c>
      <c r="D703" s="2">
        <v>1407.0</v>
      </c>
      <c r="E703" s="3">
        <f t="shared" si="1"/>
        <v>0.3244178003</v>
      </c>
      <c r="F703" s="2">
        <v>676.0</v>
      </c>
      <c r="G703" s="3">
        <f t="shared" si="2"/>
        <v>0.1558681116</v>
      </c>
      <c r="H703" s="2">
        <v>978.0</v>
      </c>
      <c r="I703" s="3">
        <f t="shared" si="3"/>
        <v>0.2255014987</v>
      </c>
      <c r="J703" s="2">
        <v>657.0</v>
      </c>
      <c r="K703" s="3">
        <f t="shared" si="4"/>
        <v>0.1514872031</v>
      </c>
      <c r="L703" s="2">
        <v>603.0</v>
      </c>
      <c r="M703" s="3">
        <f t="shared" si="5"/>
        <v>0.6165644172</v>
      </c>
      <c r="N703" s="2">
        <v>5328100.0</v>
      </c>
      <c r="O703" s="4">
        <f t="shared" si="6"/>
        <v>5447.95501</v>
      </c>
      <c r="P703" s="2">
        <v>0.0</v>
      </c>
      <c r="Q703" s="3">
        <f t="shared" si="7"/>
        <v>0</v>
      </c>
      <c r="R703" s="2">
        <v>395.0</v>
      </c>
      <c r="S703" s="5">
        <f t="shared" si="8"/>
        <v>1</v>
      </c>
    </row>
    <row r="704">
      <c r="A704" s="2" t="s">
        <v>719</v>
      </c>
      <c r="B704" s="2">
        <v>192.0</v>
      </c>
      <c r="C704" s="2">
        <v>2271.0</v>
      </c>
      <c r="D704" s="2">
        <v>834.0</v>
      </c>
      <c r="E704" s="3">
        <f t="shared" si="1"/>
        <v>0.4011544012</v>
      </c>
      <c r="F704" s="2">
        <v>324.0</v>
      </c>
      <c r="G704" s="3">
        <f t="shared" si="2"/>
        <v>0.1558441558</v>
      </c>
      <c r="H704" s="2">
        <v>439.0</v>
      </c>
      <c r="I704" s="3">
        <f t="shared" si="3"/>
        <v>0.2111592112</v>
      </c>
      <c r="J704" s="2">
        <v>260.0</v>
      </c>
      <c r="K704" s="3">
        <f t="shared" si="4"/>
        <v>0.1250601251</v>
      </c>
      <c r="L704" s="2">
        <v>258.0</v>
      </c>
      <c r="M704" s="3">
        <f t="shared" si="5"/>
        <v>0.5876993166</v>
      </c>
      <c r="N704" s="2">
        <v>2283800.0</v>
      </c>
      <c r="O704" s="4">
        <f t="shared" si="6"/>
        <v>5202.277904</v>
      </c>
      <c r="P704" s="2">
        <v>0.0</v>
      </c>
      <c r="Q704" s="3">
        <f t="shared" si="7"/>
        <v>0</v>
      </c>
      <c r="R704" s="2">
        <v>192.0</v>
      </c>
      <c r="S704" s="5">
        <f t="shared" si="8"/>
        <v>1</v>
      </c>
    </row>
    <row r="705">
      <c r="A705" s="2" t="s">
        <v>720</v>
      </c>
      <c r="B705" s="2">
        <v>2442.0</v>
      </c>
      <c r="C705" s="2">
        <v>28721.0</v>
      </c>
      <c r="D705" s="2">
        <v>8860.0</v>
      </c>
      <c r="E705" s="3">
        <f t="shared" si="1"/>
        <v>0.3371513376</v>
      </c>
      <c r="F705" s="2">
        <v>4095.0</v>
      </c>
      <c r="G705" s="3">
        <f t="shared" si="2"/>
        <v>0.1558278473</v>
      </c>
      <c r="H705" s="2">
        <v>6014.0</v>
      </c>
      <c r="I705" s="3">
        <f t="shared" si="3"/>
        <v>0.228851935</v>
      </c>
      <c r="J705" s="2">
        <v>4602.0</v>
      </c>
      <c r="K705" s="3">
        <f t="shared" si="4"/>
        <v>0.1751208189</v>
      </c>
      <c r="L705" s="2">
        <v>3647.0</v>
      </c>
      <c r="M705" s="3">
        <f t="shared" si="5"/>
        <v>0.6064183572</v>
      </c>
      <c r="N705" s="2">
        <v>3.49092E7</v>
      </c>
      <c r="O705" s="4">
        <f t="shared" si="6"/>
        <v>5804.655803</v>
      </c>
      <c r="P705" s="2">
        <v>8.0</v>
      </c>
      <c r="Q705" s="3">
        <f t="shared" si="7"/>
        <v>0.003276003276</v>
      </c>
      <c r="R705" s="2">
        <v>2442.0</v>
      </c>
      <c r="S705" s="5">
        <f t="shared" si="8"/>
        <v>1</v>
      </c>
    </row>
    <row r="706">
      <c r="A706" s="2" t="s">
        <v>721</v>
      </c>
      <c r="B706" s="2">
        <v>48.0</v>
      </c>
      <c r="C706" s="2">
        <v>555.0</v>
      </c>
      <c r="D706" s="2">
        <v>224.0</v>
      </c>
      <c r="E706" s="3">
        <f t="shared" si="1"/>
        <v>0.4418145957</v>
      </c>
      <c r="F706" s="2">
        <v>79.0</v>
      </c>
      <c r="G706" s="3">
        <f t="shared" si="2"/>
        <v>0.1558185404</v>
      </c>
      <c r="H706" s="2">
        <v>102.0</v>
      </c>
      <c r="I706" s="3">
        <f t="shared" si="3"/>
        <v>0.201183432</v>
      </c>
      <c r="J706" s="2">
        <v>85.0</v>
      </c>
      <c r="K706" s="3">
        <f t="shared" si="4"/>
        <v>0.16765286</v>
      </c>
      <c r="L706" s="2">
        <v>54.0</v>
      </c>
      <c r="M706" s="3">
        <f t="shared" si="5"/>
        <v>0.5294117647</v>
      </c>
      <c r="N706" s="2">
        <v>658200.0</v>
      </c>
      <c r="O706" s="4">
        <f t="shared" si="6"/>
        <v>6452.941176</v>
      </c>
      <c r="P706" s="2">
        <v>0.0</v>
      </c>
      <c r="Q706" s="3">
        <f t="shared" si="7"/>
        <v>0</v>
      </c>
      <c r="R706" s="2">
        <v>48.0</v>
      </c>
      <c r="S706" s="5">
        <f t="shared" si="8"/>
        <v>1</v>
      </c>
    </row>
    <row r="707">
      <c r="A707" s="2" t="s">
        <v>722</v>
      </c>
      <c r="B707" s="2">
        <v>161.0</v>
      </c>
      <c r="C707" s="2">
        <v>1849.0</v>
      </c>
      <c r="D707" s="2">
        <v>557.0</v>
      </c>
      <c r="E707" s="3">
        <f t="shared" si="1"/>
        <v>0.3299763033</v>
      </c>
      <c r="F707" s="2">
        <v>263.0</v>
      </c>
      <c r="G707" s="3">
        <f t="shared" si="2"/>
        <v>0.1558056872</v>
      </c>
      <c r="H707" s="2">
        <v>353.0</v>
      </c>
      <c r="I707" s="3">
        <f t="shared" si="3"/>
        <v>0.2091232227</v>
      </c>
      <c r="J707" s="2">
        <v>324.0</v>
      </c>
      <c r="K707" s="3">
        <f t="shared" si="4"/>
        <v>0.191943128</v>
      </c>
      <c r="L707" s="2">
        <v>207.0</v>
      </c>
      <c r="M707" s="3">
        <f t="shared" si="5"/>
        <v>0.5864022663</v>
      </c>
      <c r="N707" s="2">
        <v>2243400.0</v>
      </c>
      <c r="O707" s="4">
        <f t="shared" si="6"/>
        <v>6355.240793</v>
      </c>
      <c r="P707" s="2">
        <v>1.0</v>
      </c>
      <c r="Q707" s="3">
        <f t="shared" si="7"/>
        <v>0.006211180124</v>
      </c>
      <c r="R707" s="2">
        <v>161.0</v>
      </c>
      <c r="S707" s="5">
        <f t="shared" si="8"/>
        <v>1</v>
      </c>
    </row>
    <row r="708">
      <c r="A708" s="2" t="s">
        <v>723</v>
      </c>
      <c r="B708" s="2">
        <v>4991.0</v>
      </c>
      <c r="C708" s="2">
        <v>58411.0</v>
      </c>
      <c r="D708" s="2">
        <v>20007.0</v>
      </c>
      <c r="E708" s="3">
        <f t="shared" si="1"/>
        <v>0.3745226507</v>
      </c>
      <c r="F708" s="2">
        <v>8322.0</v>
      </c>
      <c r="G708" s="3">
        <f t="shared" si="2"/>
        <v>0.1557843504</v>
      </c>
      <c r="H708" s="2">
        <v>12599.0</v>
      </c>
      <c r="I708" s="3">
        <f t="shared" si="3"/>
        <v>0.235847997</v>
      </c>
      <c r="J708" s="2">
        <v>9058.0</v>
      </c>
      <c r="K708" s="3">
        <f t="shared" si="4"/>
        <v>0.1695619618</v>
      </c>
      <c r="L708" s="2">
        <v>7706.0</v>
      </c>
      <c r="M708" s="3">
        <f t="shared" si="5"/>
        <v>0.6116358441</v>
      </c>
      <c r="N708" s="2">
        <v>6.69786E7</v>
      </c>
      <c r="O708" s="4">
        <f t="shared" si="6"/>
        <v>5316.183824</v>
      </c>
      <c r="P708" s="2">
        <v>8.0</v>
      </c>
      <c r="Q708" s="3">
        <f t="shared" si="7"/>
        <v>0.001602885193</v>
      </c>
      <c r="R708" s="2">
        <v>4991.0</v>
      </c>
      <c r="S708" s="5">
        <f t="shared" si="8"/>
        <v>1</v>
      </c>
    </row>
    <row r="709">
      <c r="A709" s="2" t="s">
        <v>724</v>
      </c>
      <c r="B709" s="2">
        <v>79.0</v>
      </c>
      <c r="C709" s="2">
        <v>920.0</v>
      </c>
      <c r="D709" s="2">
        <v>221.0</v>
      </c>
      <c r="E709" s="3">
        <f t="shared" si="1"/>
        <v>0.2627824019</v>
      </c>
      <c r="F709" s="2">
        <v>131.0</v>
      </c>
      <c r="G709" s="3">
        <f t="shared" si="2"/>
        <v>0.1557669441</v>
      </c>
      <c r="H709" s="2">
        <v>151.0</v>
      </c>
      <c r="I709" s="3">
        <f t="shared" si="3"/>
        <v>0.179548157</v>
      </c>
      <c r="J709" s="2">
        <v>125.0</v>
      </c>
      <c r="K709" s="3">
        <f t="shared" si="4"/>
        <v>0.1486325803</v>
      </c>
      <c r="L709" s="2">
        <v>88.0</v>
      </c>
      <c r="M709" s="3">
        <f t="shared" si="5"/>
        <v>0.582781457</v>
      </c>
      <c r="N709" s="2">
        <v>936400.0</v>
      </c>
      <c r="O709" s="4">
        <f t="shared" si="6"/>
        <v>6201.324503</v>
      </c>
      <c r="P709" s="2">
        <v>0.0</v>
      </c>
      <c r="Q709" s="3">
        <f t="shared" si="7"/>
        <v>0</v>
      </c>
      <c r="R709" s="2">
        <v>79.0</v>
      </c>
      <c r="S709" s="5">
        <f t="shared" si="8"/>
        <v>1</v>
      </c>
    </row>
    <row r="710">
      <c r="A710" s="2" t="s">
        <v>725</v>
      </c>
      <c r="B710" s="2">
        <v>59.0</v>
      </c>
      <c r="C710" s="2">
        <v>701.0</v>
      </c>
      <c r="D710" s="2">
        <v>212.0</v>
      </c>
      <c r="E710" s="3">
        <f t="shared" si="1"/>
        <v>0.3302180685</v>
      </c>
      <c r="F710" s="2">
        <v>100.0</v>
      </c>
      <c r="G710" s="3">
        <f t="shared" si="2"/>
        <v>0.1557632399</v>
      </c>
      <c r="H710" s="2">
        <v>119.0</v>
      </c>
      <c r="I710" s="3">
        <f t="shared" si="3"/>
        <v>0.1853582555</v>
      </c>
      <c r="J710" s="2">
        <v>102.0</v>
      </c>
      <c r="K710" s="3">
        <f t="shared" si="4"/>
        <v>0.1588785047</v>
      </c>
      <c r="L710" s="2">
        <v>73.0</v>
      </c>
      <c r="M710" s="3">
        <f t="shared" si="5"/>
        <v>0.6134453782</v>
      </c>
      <c r="N710" s="2">
        <v>642300.0</v>
      </c>
      <c r="O710" s="4">
        <f t="shared" si="6"/>
        <v>5397.478992</v>
      </c>
      <c r="P710" s="2">
        <v>0.0</v>
      </c>
      <c r="Q710" s="3">
        <f t="shared" si="7"/>
        <v>0</v>
      </c>
      <c r="R710" s="2">
        <v>59.0</v>
      </c>
      <c r="S710" s="5">
        <f t="shared" si="8"/>
        <v>1</v>
      </c>
    </row>
    <row r="711">
      <c r="A711" s="2" t="s">
        <v>726</v>
      </c>
      <c r="B711" s="2">
        <v>589.0</v>
      </c>
      <c r="C711" s="2">
        <v>6958.0</v>
      </c>
      <c r="D711" s="2">
        <v>2246.0</v>
      </c>
      <c r="E711" s="3">
        <f t="shared" si="1"/>
        <v>0.3526456273</v>
      </c>
      <c r="F711" s="2">
        <v>992.0</v>
      </c>
      <c r="G711" s="3">
        <f t="shared" si="2"/>
        <v>0.1557544355</v>
      </c>
      <c r="H711" s="2">
        <v>1364.0</v>
      </c>
      <c r="I711" s="3">
        <f t="shared" si="3"/>
        <v>0.2141623489</v>
      </c>
      <c r="J711" s="2">
        <v>1119.0</v>
      </c>
      <c r="K711" s="3">
        <f t="shared" si="4"/>
        <v>0.1756947715</v>
      </c>
      <c r="L711" s="2">
        <v>837.0</v>
      </c>
      <c r="M711" s="3">
        <f t="shared" si="5"/>
        <v>0.6136363636</v>
      </c>
      <c r="N711" s="2">
        <v>7368400.0</v>
      </c>
      <c r="O711" s="4">
        <f t="shared" si="6"/>
        <v>5402.052786</v>
      </c>
      <c r="P711" s="2">
        <v>2.0</v>
      </c>
      <c r="Q711" s="3">
        <f t="shared" si="7"/>
        <v>0.003395585739</v>
      </c>
      <c r="R711" s="2">
        <v>217.0</v>
      </c>
      <c r="S711" s="5">
        <f t="shared" si="8"/>
        <v>0.3684210526</v>
      </c>
    </row>
    <row r="712">
      <c r="A712" s="2" t="s">
        <v>727</v>
      </c>
      <c r="B712" s="2">
        <v>55.0</v>
      </c>
      <c r="C712" s="2">
        <v>620.0</v>
      </c>
      <c r="D712" s="2">
        <v>214.0</v>
      </c>
      <c r="E712" s="3">
        <f t="shared" si="1"/>
        <v>0.3787610619</v>
      </c>
      <c r="F712" s="2">
        <v>88.0</v>
      </c>
      <c r="G712" s="3">
        <f t="shared" si="2"/>
        <v>0.1557522124</v>
      </c>
      <c r="H712" s="2">
        <v>120.0</v>
      </c>
      <c r="I712" s="3">
        <f t="shared" si="3"/>
        <v>0.2123893805</v>
      </c>
      <c r="J712" s="2">
        <v>82.0</v>
      </c>
      <c r="K712" s="3">
        <f t="shared" si="4"/>
        <v>0.1451327434</v>
      </c>
      <c r="L712" s="2">
        <v>70.0</v>
      </c>
      <c r="M712" s="3">
        <f t="shared" si="5"/>
        <v>0.5833333333</v>
      </c>
      <c r="N712" s="2">
        <v>737900.0</v>
      </c>
      <c r="O712" s="4">
        <f t="shared" si="6"/>
        <v>6149.166667</v>
      </c>
      <c r="P712" s="2">
        <v>0.0</v>
      </c>
      <c r="Q712" s="3">
        <f t="shared" si="7"/>
        <v>0</v>
      </c>
      <c r="R712" s="2">
        <v>55.0</v>
      </c>
      <c r="S712" s="5">
        <f t="shared" si="8"/>
        <v>1</v>
      </c>
    </row>
    <row r="713">
      <c r="A713" s="2" t="s">
        <v>728</v>
      </c>
      <c r="B713" s="2">
        <v>488.0</v>
      </c>
      <c r="C713" s="2">
        <v>5676.0</v>
      </c>
      <c r="D713" s="2">
        <v>1491.0</v>
      </c>
      <c r="E713" s="3">
        <f t="shared" si="1"/>
        <v>0.2873939861</v>
      </c>
      <c r="F713" s="2">
        <v>808.0</v>
      </c>
      <c r="G713" s="3">
        <f t="shared" si="2"/>
        <v>0.1557440247</v>
      </c>
      <c r="H713" s="2">
        <v>1065.0</v>
      </c>
      <c r="I713" s="3">
        <f t="shared" si="3"/>
        <v>0.2052814187</v>
      </c>
      <c r="J713" s="2">
        <v>787.0</v>
      </c>
      <c r="K713" s="3">
        <f t="shared" si="4"/>
        <v>0.1516962221</v>
      </c>
      <c r="L713" s="2">
        <v>636.0</v>
      </c>
      <c r="M713" s="3">
        <f t="shared" si="5"/>
        <v>0.5971830986</v>
      </c>
      <c r="N713" s="2">
        <v>6411900.0</v>
      </c>
      <c r="O713" s="4">
        <f t="shared" si="6"/>
        <v>6020.56338</v>
      </c>
      <c r="P713" s="2">
        <v>2.0</v>
      </c>
      <c r="Q713" s="3">
        <f t="shared" si="7"/>
        <v>0.004098360656</v>
      </c>
      <c r="R713" s="2">
        <v>488.0</v>
      </c>
      <c r="S713" s="5">
        <f t="shared" si="8"/>
        <v>1</v>
      </c>
    </row>
    <row r="714">
      <c r="A714" s="2" t="s">
        <v>729</v>
      </c>
      <c r="B714" s="2">
        <v>126.0</v>
      </c>
      <c r="C714" s="2">
        <v>1526.0</v>
      </c>
      <c r="D714" s="2">
        <v>488.0</v>
      </c>
      <c r="E714" s="3">
        <f t="shared" si="1"/>
        <v>0.3485714286</v>
      </c>
      <c r="F714" s="2">
        <v>218.0</v>
      </c>
      <c r="G714" s="3">
        <f t="shared" si="2"/>
        <v>0.1557142857</v>
      </c>
      <c r="H714" s="2">
        <v>310.0</v>
      </c>
      <c r="I714" s="3">
        <f t="shared" si="3"/>
        <v>0.2214285714</v>
      </c>
      <c r="J714" s="2">
        <v>286.0</v>
      </c>
      <c r="K714" s="3">
        <f t="shared" si="4"/>
        <v>0.2042857143</v>
      </c>
      <c r="L714" s="2">
        <v>187.0</v>
      </c>
      <c r="M714" s="3">
        <f t="shared" si="5"/>
        <v>0.6032258065</v>
      </c>
      <c r="N714" s="2">
        <v>1718600.0</v>
      </c>
      <c r="O714" s="4">
        <f t="shared" si="6"/>
        <v>5543.870968</v>
      </c>
      <c r="P714" s="2">
        <v>0.0</v>
      </c>
      <c r="Q714" s="3">
        <f t="shared" si="7"/>
        <v>0</v>
      </c>
      <c r="R714" s="2">
        <v>126.0</v>
      </c>
      <c r="S714" s="5">
        <f t="shared" si="8"/>
        <v>1</v>
      </c>
    </row>
    <row r="715">
      <c r="A715" s="2" t="s">
        <v>730</v>
      </c>
      <c r="B715" s="2">
        <v>94.0</v>
      </c>
      <c r="C715" s="2">
        <v>1096.0</v>
      </c>
      <c r="D715" s="2">
        <v>389.0</v>
      </c>
      <c r="E715" s="3">
        <f t="shared" si="1"/>
        <v>0.3882235529</v>
      </c>
      <c r="F715" s="2">
        <v>156.0</v>
      </c>
      <c r="G715" s="3">
        <f t="shared" si="2"/>
        <v>0.1556886228</v>
      </c>
      <c r="H715" s="2">
        <v>221.0</v>
      </c>
      <c r="I715" s="3">
        <f t="shared" si="3"/>
        <v>0.2205588822</v>
      </c>
      <c r="J715" s="2">
        <v>177.0</v>
      </c>
      <c r="K715" s="3">
        <f t="shared" si="4"/>
        <v>0.1766467066</v>
      </c>
      <c r="L715" s="2">
        <v>140.0</v>
      </c>
      <c r="M715" s="3">
        <f t="shared" si="5"/>
        <v>0.6334841629</v>
      </c>
      <c r="N715" s="2">
        <v>1105100.0</v>
      </c>
      <c r="O715" s="4">
        <f t="shared" si="6"/>
        <v>5000.452489</v>
      </c>
      <c r="P715" s="2">
        <v>0.0</v>
      </c>
      <c r="Q715" s="3">
        <f t="shared" si="7"/>
        <v>0</v>
      </c>
      <c r="R715" s="2">
        <v>94.0</v>
      </c>
      <c r="S715" s="5">
        <f t="shared" si="8"/>
        <v>1</v>
      </c>
    </row>
    <row r="716">
      <c r="A716" s="2" t="s">
        <v>731</v>
      </c>
      <c r="B716" s="2">
        <v>52.0</v>
      </c>
      <c r="C716" s="2">
        <v>643.0</v>
      </c>
      <c r="D716" s="2">
        <v>256.0</v>
      </c>
      <c r="E716" s="3">
        <f t="shared" si="1"/>
        <v>0.4331641286</v>
      </c>
      <c r="F716" s="2">
        <v>92.0</v>
      </c>
      <c r="G716" s="3">
        <f t="shared" si="2"/>
        <v>0.1556683587</v>
      </c>
      <c r="H716" s="2">
        <v>129.0</v>
      </c>
      <c r="I716" s="3">
        <f t="shared" si="3"/>
        <v>0.2182741117</v>
      </c>
      <c r="J716" s="2">
        <v>112.0</v>
      </c>
      <c r="K716" s="3">
        <f t="shared" si="4"/>
        <v>0.1895093063</v>
      </c>
      <c r="L716" s="2">
        <v>66.0</v>
      </c>
      <c r="M716" s="3">
        <f t="shared" si="5"/>
        <v>0.511627907</v>
      </c>
      <c r="N716" s="2">
        <v>662900.0</v>
      </c>
      <c r="O716" s="4">
        <f t="shared" si="6"/>
        <v>5138.75969</v>
      </c>
      <c r="P716" s="2">
        <v>0.0</v>
      </c>
      <c r="Q716" s="3">
        <f t="shared" si="7"/>
        <v>0</v>
      </c>
      <c r="R716" s="2">
        <v>52.0</v>
      </c>
      <c r="S716" s="5">
        <f t="shared" si="8"/>
        <v>1</v>
      </c>
    </row>
    <row r="717">
      <c r="A717" s="2" t="s">
        <v>732</v>
      </c>
      <c r="B717" s="2">
        <v>354.0</v>
      </c>
      <c r="C717" s="2">
        <v>4145.0</v>
      </c>
      <c r="D717" s="2">
        <v>1455.0</v>
      </c>
      <c r="E717" s="3">
        <f t="shared" si="1"/>
        <v>0.3838037457</v>
      </c>
      <c r="F717" s="2">
        <v>590.0</v>
      </c>
      <c r="G717" s="3">
        <f t="shared" si="2"/>
        <v>0.1556317594</v>
      </c>
      <c r="H717" s="2">
        <v>777.0</v>
      </c>
      <c r="I717" s="3">
        <f t="shared" si="3"/>
        <v>0.2049591137</v>
      </c>
      <c r="J717" s="2">
        <v>582.0</v>
      </c>
      <c r="K717" s="3">
        <f t="shared" si="4"/>
        <v>0.1535214983</v>
      </c>
      <c r="L717" s="2">
        <v>450.0</v>
      </c>
      <c r="M717" s="3">
        <f t="shared" si="5"/>
        <v>0.5791505792</v>
      </c>
      <c r="N717" s="2">
        <v>4674000.0</v>
      </c>
      <c r="O717" s="4">
        <f t="shared" si="6"/>
        <v>6015.444015</v>
      </c>
      <c r="P717" s="2">
        <v>1.0</v>
      </c>
      <c r="Q717" s="3">
        <f t="shared" si="7"/>
        <v>0.002824858757</v>
      </c>
      <c r="R717" s="2">
        <v>354.0</v>
      </c>
      <c r="S717" s="5">
        <f t="shared" si="8"/>
        <v>1</v>
      </c>
    </row>
    <row r="718">
      <c r="A718" s="2" t="s">
        <v>733</v>
      </c>
      <c r="B718" s="2">
        <v>8.0</v>
      </c>
      <c r="C718" s="2">
        <v>98.0</v>
      </c>
      <c r="D718" s="2">
        <v>29.0</v>
      </c>
      <c r="E718" s="3">
        <f t="shared" si="1"/>
        <v>0.3222222222</v>
      </c>
      <c r="F718" s="2">
        <v>14.0</v>
      </c>
      <c r="G718" s="3">
        <f t="shared" si="2"/>
        <v>0.1555555556</v>
      </c>
      <c r="H718" s="2">
        <v>10.0</v>
      </c>
      <c r="I718" s="3">
        <f t="shared" si="3"/>
        <v>0.1111111111</v>
      </c>
      <c r="J718" s="2">
        <v>19.0</v>
      </c>
      <c r="K718" s="3">
        <f t="shared" si="4"/>
        <v>0.2111111111</v>
      </c>
      <c r="L718" s="2">
        <v>4.0</v>
      </c>
      <c r="M718" s="3">
        <f t="shared" si="5"/>
        <v>0.4</v>
      </c>
      <c r="N718" s="2">
        <v>62900.0</v>
      </c>
      <c r="O718" s="4">
        <f t="shared" si="6"/>
        <v>6290</v>
      </c>
      <c r="P718" s="2">
        <v>0.0</v>
      </c>
      <c r="Q718" s="3">
        <f t="shared" si="7"/>
        <v>0</v>
      </c>
      <c r="R718" s="2">
        <v>8.0</v>
      </c>
      <c r="S718" s="5">
        <f t="shared" si="8"/>
        <v>1</v>
      </c>
    </row>
    <row r="719">
      <c r="A719" s="2" t="s">
        <v>734</v>
      </c>
      <c r="B719" s="2">
        <v>55.0</v>
      </c>
      <c r="C719" s="2">
        <v>621.0</v>
      </c>
      <c r="D719" s="2">
        <v>223.0</v>
      </c>
      <c r="E719" s="3">
        <f t="shared" si="1"/>
        <v>0.3939929329</v>
      </c>
      <c r="F719" s="2">
        <v>88.0</v>
      </c>
      <c r="G719" s="3">
        <f t="shared" si="2"/>
        <v>0.1554770318</v>
      </c>
      <c r="H719" s="2">
        <v>113.0</v>
      </c>
      <c r="I719" s="3">
        <f t="shared" si="3"/>
        <v>0.1996466431</v>
      </c>
      <c r="J719" s="2">
        <v>120.0</v>
      </c>
      <c r="K719" s="3">
        <f t="shared" si="4"/>
        <v>0.2120141343</v>
      </c>
      <c r="L719" s="2">
        <v>63.0</v>
      </c>
      <c r="M719" s="3">
        <f t="shared" si="5"/>
        <v>0.5575221239</v>
      </c>
      <c r="N719" s="2">
        <v>592500.0</v>
      </c>
      <c r="O719" s="4">
        <f t="shared" si="6"/>
        <v>5243.362832</v>
      </c>
      <c r="P719" s="2">
        <v>0.0</v>
      </c>
      <c r="Q719" s="3">
        <f t="shared" si="7"/>
        <v>0</v>
      </c>
      <c r="R719" s="2">
        <v>55.0</v>
      </c>
      <c r="S719" s="5">
        <f t="shared" si="8"/>
        <v>1</v>
      </c>
    </row>
    <row r="720">
      <c r="A720" s="2" t="s">
        <v>735</v>
      </c>
      <c r="B720" s="2">
        <v>3609.0</v>
      </c>
      <c r="C720" s="2">
        <v>41794.0</v>
      </c>
      <c r="D720" s="2">
        <v>10115.0</v>
      </c>
      <c r="E720" s="3">
        <f t="shared" si="1"/>
        <v>0.2648945921</v>
      </c>
      <c r="F720" s="2">
        <v>5936.0</v>
      </c>
      <c r="G720" s="3">
        <f t="shared" si="2"/>
        <v>0.1554537122</v>
      </c>
      <c r="H720" s="2">
        <v>8240.0</v>
      </c>
      <c r="I720" s="3">
        <f t="shared" si="3"/>
        <v>0.2157915412</v>
      </c>
      <c r="J720" s="2">
        <v>9385.0</v>
      </c>
      <c r="K720" s="3">
        <f t="shared" si="4"/>
        <v>0.2457771376</v>
      </c>
      <c r="L720" s="2">
        <v>4766.0</v>
      </c>
      <c r="M720" s="3">
        <f t="shared" si="5"/>
        <v>0.5783980583</v>
      </c>
      <c r="N720" s="2">
        <v>5.39346E7</v>
      </c>
      <c r="O720" s="4">
        <f t="shared" si="6"/>
        <v>6545.461165</v>
      </c>
      <c r="P720" s="2">
        <v>17.0</v>
      </c>
      <c r="Q720" s="3">
        <f t="shared" si="7"/>
        <v>0.004710446107</v>
      </c>
      <c r="R720" s="2">
        <v>3609.0</v>
      </c>
      <c r="S720" s="5">
        <f t="shared" si="8"/>
        <v>1</v>
      </c>
    </row>
    <row r="721">
      <c r="A721" s="2" t="s">
        <v>736</v>
      </c>
      <c r="B721" s="2">
        <v>104.0</v>
      </c>
      <c r="C721" s="2">
        <v>1262.0</v>
      </c>
      <c r="D721" s="2">
        <v>338.0</v>
      </c>
      <c r="E721" s="3">
        <f t="shared" si="1"/>
        <v>0.2918825561</v>
      </c>
      <c r="F721" s="2">
        <v>180.0</v>
      </c>
      <c r="G721" s="3">
        <f t="shared" si="2"/>
        <v>0.1554404145</v>
      </c>
      <c r="H721" s="2">
        <v>235.0</v>
      </c>
      <c r="I721" s="3">
        <f t="shared" si="3"/>
        <v>0.2029360967</v>
      </c>
      <c r="J721" s="2">
        <v>226.0</v>
      </c>
      <c r="K721" s="3">
        <f t="shared" si="4"/>
        <v>0.195164076</v>
      </c>
      <c r="L721" s="2">
        <v>133.0</v>
      </c>
      <c r="M721" s="3">
        <f t="shared" si="5"/>
        <v>0.5659574468</v>
      </c>
      <c r="N721" s="2">
        <v>1286800.0</v>
      </c>
      <c r="O721" s="4">
        <f t="shared" si="6"/>
        <v>5475.744681</v>
      </c>
      <c r="P721" s="2">
        <v>0.0</v>
      </c>
      <c r="Q721" s="3">
        <f t="shared" si="7"/>
        <v>0</v>
      </c>
      <c r="R721" s="2">
        <v>104.0</v>
      </c>
      <c r="S721" s="5">
        <f t="shared" si="8"/>
        <v>1</v>
      </c>
    </row>
    <row r="722">
      <c r="A722" s="2" t="s">
        <v>737</v>
      </c>
      <c r="B722" s="2">
        <v>265.0</v>
      </c>
      <c r="C722" s="2">
        <v>3064.0</v>
      </c>
      <c r="D722" s="2">
        <v>826.0</v>
      </c>
      <c r="E722" s="3">
        <f t="shared" si="1"/>
        <v>0.2951053948</v>
      </c>
      <c r="F722" s="2">
        <v>435.0</v>
      </c>
      <c r="G722" s="3">
        <f t="shared" si="2"/>
        <v>0.1554126474</v>
      </c>
      <c r="H722" s="2">
        <v>650.0</v>
      </c>
      <c r="I722" s="3">
        <f t="shared" si="3"/>
        <v>0.2322257949</v>
      </c>
      <c r="J722" s="2">
        <v>579.0</v>
      </c>
      <c r="K722" s="3">
        <f t="shared" si="4"/>
        <v>0.2068595927</v>
      </c>
      <c r="L722" s="2">
        <v>393.0</v>
      </c>
      <c r="M722" s="3">
        <f t="shared" si="5"/>
        <v>0.6046153846</v>
      </c>
      <c r="N722" s="2">
        <v>3922900.0</v>
      </c>
      <c r="O722" s="4">
        <f t="shared" si="6"/>
        <v>6035.230769</v>
      </c>
      <c r="P722" s="2">
        <v>2.0</v>
      </c>
      <c r="Q722" s="3">
        <f t="shared" si="7"/>
        <v>0.007547169811</v>
      </c>
      <c r="R722" s="2">
        <v>13.0</v>
      </c>
      <c r="S722" s="5">
        <f t="shared" si="8"/>
        <v>0.04905660377</v>
      </c>
    </row>
    <row r="723">
      <c r="A723" s="2" t="s">
        <v>738</v>
      </c>
      <c r="B723" s="2">
        <v>368.0</v>
      </c>
      <c r="C723" s="2">
        <v>4351.0</v>
      </c>
      <c r="D723" s="2">
        <v>1601.0</v>
      </c>
      <c r="E723" s="3">
        <f t="shared" si="1"/>
        <v>0.4019583229</v>
      </c>
      <c r="F723" s="2">
        <v>619.0</v>
      </c>
      <c r="G723" s="3">
        <f t="shared" si="2"/>
        <v>0.1554104946</v>
      </c>
      <c r="H723" s="2">
        <v>847.0</v>
      </c>
      <c r="I723" s="3">
        <f t="shared" si="3"/>
        <v>0.2126537786</v>
      </c>
      <c r="J723" s="2">
        <v>755.0</v>
      </c>
      <c r="K723" s="3">
        <f t="shared" si="4"/>
        <v>0.1895556113</v>
      </c>
      <c r="L723" s="2">
        <v>504.0</v>
      </c>
      <c r="M723" s="3">
        <f t="shared" si="5"/>
        <v>0.5950413223</v>
      </c>
      <c r="N723" s="2">
        <v>4858500.0</v>
      </c>
      <c r="O723" s="4">
        <f t="shared" si="6"/>
        <v>5736.127509</v>
      </c>
      <c r="P723" s="2">
        <v>0.0</v>
      </c>
      <c r="Q723" s="3">
        <f t="shared" si="7"/>
        <v>0</v>
      </c>
      <c r="R723" s="2">
        <v>103.0</v>
      </c>
      <c r="S723" s="5">
        <f t="shared" si="8"/>
        <v>0.2798913043</v>
      </c>
    </row>
    <row r="724">
      <c r="A724" s="2" t="s">
        <v>739</v>
      </c>
      <c r="B724" s="2">
        <v>103.0</v>
      </c>
      <c r="C724" s="2">
        <v>1210.0</v>
      </c>
      <c r="D724" s="2">
        <v>462.0</v>
      </c>
      <c r="E724" s="3">
        <f t="shared" si="1"/>
        <v>0.4173441734</v>
      </c>
      <c r="F724" s="2">
        <v>172.0</v>
      </c>
      <c r="G724" s="3">
        <f t="shared" si="2"/>
        <v>0.1553748871</v>
      </c>
      <c r="H724" s="2">
        <v>246.0</v>
      </c>
      <c r="I724" s="3">
        <f t="shared" si="3"/>
        <v>0.2222222222</v>
      </c>
      <c r="J724" s="2">
        <v>154.0</v>
      </c>
      <c r="K724" s="3">
        <f t="shared" si="4"/>
        <v>0.1391147245</v>
      </c>
      <c r="L724" s="2">
        <v>153.0</v>
      </c>
      <c r="M724" s="3">
        <f t="shared" si="5"/>
        <v>0.6219512195</v>
      </c>
      <c r="N724" s="2">
        <v>1217600.0</v>
      </c>
      <c r="O724" s="4">
        <f t="shared" si="6"/>
        <v>4949.593496</v>
      </c>
      <c r="P724" s="2">
        <v>0.0</v>
      </c>
      <c r="Q724" s="3">
        <f t="shared" si="7"/>
        <v>0</v>
      </c>
      <c r="R724" s="2">
        <v>96.0</v>
      </c>
      <c r="S724" s="5">
        <f t="shared" si="8"/>
        <v>0.932038835</v>
      </c>
    </row>
    <row r="725">
      <c r="A725" s="2" t="s">
        <v>740</v>
      </c>
      <c r="B725" s="2">
        <v>116.0</v>
      </c>
      <c r="C725" s="2">
        <v>1384.0</v>
      </c>
      <c r="D725" s="2">
        <v>418.0</v>
      </c>
      <c r="E725" s="3">
        <f t="shared" si="1"/>
        <v>0.3296529968</v>
      </c>
      <c r="F725" s="2">
        <v>197.0</v>
      </c>
      <c r="G725" s="3">
        <f t="shared" si="2"/>
        <v>0.155362776</v>
      </c>
      <c r="H725" s="2">
        <v>262.0</v>
      </c>
      <c r="I725" s="3">
        <f t="shared" si="3"/>
        <v>0.2066246057</v>
      </c>
      <c r="J725" s="2">
        <v>244.0</v>
      </c>
      <c r="K725" s="3">
        <f t="shared" si="4"/>
        <v>0.1924290221</v>
      </c>
      <c r="L725" s="2">
        <v>155.0</v>
      </c>
      <c r="M725" s="3">
        <f t="shared" si="5"/>
        <v>0.5916030534</v>
      </c>
      <c r="N725" s="2">
        <v>1511100.0</v>
      </c>
      <c r="O725" s="4">
        <f t="shared" si="6"/>
        <v>5767.557252</v>
      </c>
      <c r="P725" s="2">
        <v>0.0</v>
      </c>
      <c r="Q725" s="3">
        <f t="shared" si="7"/>
        <v>0</v>
      </c>
      <c r="R725" s="2">
        <v>116.0</v>
      </c>
      <c r="S725" s="5">
        <f t="shared" si="8"/>
        <v>1</v>
      </c>
    </row>
    <row r="726">
      <c r="A726" s="2" t="s">
        <v>741</v>
      </c>
      <c r="B726" s="2">
        <v>305.0</v>
      </c>
      <c r="C726" s="2">
        <v>3556.0</v>
      </c>
      <c r="D726" s="2">
        <v>1103.0</v>
      </c>
      <c r="E726" s="3">
        <f t="shared" si="1"/>
        <v>0.3392802215</v>
      </c>
      <c r="F726" s="2">
        <v>505.0</v>
      </c>
      <c r="G726" s="3">
        <f t="shared" si="2"/>
        <v>0.1553368194</v>
      </c>
      <c r="H726" s="2">
        <v>734.0</v>
      </c>
      <c r="I726" s="3">
        <f t="shared" si="3"/>
        <v>0.2257766841</v>
      </c>
      <c r="J726" s="2">
        <v>549.0</v>
      </c>
      <c r="K726" s="3">
        <f t="shared" si="4"/>
        <v>0.1688711166</v>
      </c>
      <c r="L726" s="2">
        <v>454.0</v>
      </c>
      <c r="M726" s="3">
        <f t="shared" si="5"/>
        <v>0.6185286104</v>
      </c>
      <c r="N726" s="2">
        <v>4332600.0</v>
      </c>
      <c r="O726" s="4">
        <f t="shared" si="6"/>
        <v>5902.724796</v>
      </c>
      <c r="P726" s="2">
        <v>0.0</v>
      </c>
      <c r="Q726" s="3">
        <f t="shared" si="7"/>
        <v>0</v>
      </c>
      <c r="R726" s="2">
        <v>305.0</v>
      </c>
      <c r="S726" s="5">
        <f t="shared" si="8"/>
        <v>1</v>
      </c>
    </row>
    <row r="727">
      <c r="A727" s="2" t="s">
        <v>742</v>
      </c>
      <c r="B727" s="2">
        <v>254.0</v>
      </c>
      <c r="C727" s="2">
        <v>2990.0</v>
      </c>
      <c r="D727" s="2">
        <v>917.0</v>
      </c>
      <c r="E727" s="3">
        <f t="shared" si="1"/>
        <v>0.3351608187</v>
      </c>
      <c r="F727" s="2">
        <v>425.0</v>
      </c>
      <c r="G727" s="3">
        <f t="shared" si="2"/>
        <v>0.1553362573</v>
      </c>
      <c r="H727" s="2">
        <v>541.0</v>
      </c>
      <c r="I727" s="3">
        <f t="shared" si="3"/>
        <v>0.1977339181</v>
      </c>
      <c r="J727" s="2">
        <v>492.0</v>
      </c>
      <c r="K727" s="3">
        <f t="shared" si="4"/>
        <v>0.1798245614</v>
      </c>
      <c r="L727" s="2">
        <v>326.0</v>
      </c>
      <c r="M727" s="3">
        <f t="shared" si="5"/>
        <v>0.6025878004</v>
      </c>
      <c r="N727" s="2">
        <v>3323900.0</v>
      </c>
      <c r="O727" s="4">
        <f t="shared" si="6"/>
        <v>6143.992606</v>
      </c>
      <c r="P727" s="2">
        <v>2.0</v>
      </c>
      <c r="Q727" s="3">
        <f t="shared" si="7"/>
        <v>0.007874015748</v>
      </c>
      <c r="R727" s="2">
        <v>254.0</v>
      </c>
      <c r="S727" s="5">
        <f t="shared" si="8"/>
        <v>1</v>
      </c>
    </row>
    <row r="728">
      <c r="A728" s="2" t="s">
        <v>743</v>
      </c>
      <c r="B728" s="2">
        <v>224.0</v>
      </c>
      <c r="C728" s="2">
        <v>2529.0</v>
      </c>
      <c r="D728" s="2">
        <v>762.0</v>
      </c>
      <c r="E728" s="3">
        <f t="shared" si="1"/>
        <v>0.3305856833</v>
      </c>
      <c r="F728" s="2">
        <v>358.0</v>
      </c>
      <c r="G728" s="3">
        <f t="shared" si="2"/>
        <v>0.1553145336</v>
      </c>
      <c r="H728" s="2">
        <v>476.0</v>
      </c>
      <c r="I728" s="3">
        <f t="shared" si="3"/>
        <v>0.2065075922</v>
      </c>
      <c r="J728" s="2">
        <v>502.0</v>
      </c>
      <c r="K728" s="3">
        <f t="shared" si="4"/>
        <v>0.2177874187</v>
      </c>
      <c r="L728" s="2">
        <v>269.0</v>
      </c>
      <c r="M728" s="3">
        <f t="shared" si="5"/>
        <v>0.5651260504</v>
      </c>
      <c r="N728" s="2">
        <v>3074500.0</v>
      </c>
      <c r="O728" s="4">
        <f t="shared" si="6"/>
        <v>6459.033613</v>
      </c>
      <c r="P728" s="2">
        <v>0.0</v>
      </c>
      <c r="Q728" s="3">
        <f t="shared" si="7"/>
        <v>0</v>
      </c>
      <c r="R728" s="2">
        <v>202.0</v>
      </c>
      <c r="S728" s="5">
        <f t="shared" si="8"/>
        <v>0.9017857143</v>
      </c>
    </row>
    <row r="729">
      <c r="A729" s="2" t="s">
        <v>744</v>
      </c>
      <c r="B729" s="2">
        <v>32.0</v>
      </c>
      <c r="C729" s="2">
        <v>367.0</v>
      </c>
      <c r="D729" s="2">
        <v>94.0</v>
      </c>
      <c r="E729" s="3">
        <f t="shared" si="1"/>
        <v>0.2805970149</v>
      </c>
      <c r="F729" s="2">
        <v>52.0</v>
      </c>
      <c r="G729" s="3">
        <f t="shared" si="2"/>
        <v>0.1552238806</v>
      </c>
      <c r="H729" s="2">
        <v>57.0</v>
      </c>
      <c r="I729" s="3">
        <f t="shared" si="3"/>
        <v>0.1701492537</v>
      </c>
      <c r="J729" s="2">
        <v>36.0</v>
      </c>
      <c r="K729" s="3">
        <f t="shared" si="4"/>
        <v>0.1074626866</v>
      </c>
      <c r="L729" s="2">
        <v>30.0</v>
      </c>
      <c r="M729" s="3">
        <f t="shared" si="5"/>
        <v>0.5263157895</v>
      </c>
      <c r="N729" s="2">
        <v>318000.0</v>
      </c>
      <c r="O729" s="4">
        <f t="shared" si="6"/>
        <v>5578.947368</v>
      </c>
      <c r="P729" s="2">
        <v>0.0</v>
      </c>
      <c r="Q729" s="3">
        <f t="shared" si="7"/>
        <v>0</v>
      </c>
      <c r="R729" s="2">
        <v>32.0</v>
      </c>
      <c r="S729" s="5">
        <f t="shared" si="8"/>
        <v>1</v>
      </c>
    </row>
    <row r="730">
      <c r="A730" s="2" t="s">
        <v>745</v>
      </c>
      <c r="B730" s="2">
        <v>291.0</v>
      </c>
      <c r="C730" s="2">
        <v>3326.0</v>
      </c>
      <c r="D730" s="2">
        <v>901.0</v>
      </c>
      <c r="E730" s="3">
        <f t="shared" si="1"/>
        <v>0.2968698517</v>
      </c>
      <c r="F730" s="2">
        <v>471.0</v>
      </c>
      <c r="G730" s="3">
        <f t="shared" si="2"/>
        <v>0.1551894563</v>
      </c>
      <c r="H730" s="2">
        <v>597.0</v>
      </c>
      <c r="I730" s="3">
        <f t="shared" si="3"/>
        <v>0.1967051071</v>
      </c>
      <c r="J730" s="2">
        <v>553.0</v>
      </c>
      <c r="K730" s="3">
        <f t="shared" si="4"/>
        <v>0.1822075783</v>
      </c>
      <c r="L730" s="2">
        <v>345.0</v>
      </c>
      <c r="M730" s="3">
        <f t="shared" si="5"/>
        <v>0.5778894472</v>
      </c>
      <c r="N730" s="2">
        <v>3789100.0</v>
      </c>
      <c r="O730" s="4">
        <f t="shared" si="6"/>
        <v>6346.901173</v>
      </c>
      <c r="P730" s="2">
        <v>2.0</v>
      </c>
      <c r="Q730" s="3">
        <f t="shared" si="7"/>
        <v>0.006872852234</v>
      </c>
      <c r="R730" s="2">
        <v>291.0</v>
      </c>
      <c r="S730" s="5">
        <f t="shared" si="8"/>
        <v>1</v>
      </c>
    </row>
    <row r="731">
      <c r="A731" s="2" t="s">
        <v>746</v>
      </c>
      <c r="B731" s="2">
        <v>5.0</v>
      </c>
      <c r="C731" s="2">
        <v>63.0</v>
      </c>
      <c r="D731" s="2">
        <v>26.0</v>
      </c>
      <c r="E731" s="3">
        <f t="shared" si="1"/>
        <v>0.4482758621</v>
      </c>
      <c r="F731" s="2">
        <v>9.0</v>
      </c>
      <c r="G731" s="3">
        <f t="shared" si="2"/>
        <v>0.1551724138</v>
      </c>
      <c r="H731" s="2">
        <v>14.0</v>
      </c>
      <c r="I731" s="3">
        <f t="shared" si="3"/>
        <v>0.2413793103</v>
      </c>
      <c r="J731" s="2">
        <v>9.0</v>
      </c>
      <c r="K731" s="3">
        <f t="shared" si="4"/>
        <v>0.1551724138</v>
      </c>
      <c r="L731" s="2">
        <v>7.0</v>
      </c>
      <c r="M731" s="3">
        <f t="shared" si="5"/>
        <v>0.5</v>
      </c>
      <c r="N731" s="2">
        <v>69600.0</v>
      </c>
      <c r="O731" s="4">
        <f t="shared" si="6"/>
        <v>4971.428571</v>
      </c>
      <c r="P731" s="2">
        <v>0.0</v>
      </c>
      <c r="Q731" s="3">
        <f t="shared" si="7"/>
        <v>0</v>
      </c>
      <c r="R731" s="2">
        <v>5.0</v>
      </c>
      <c r="S731" s="5">
        <f t="shared" si="8"/>
        <v>1</v>
      </c>
    </row>
    <row r="732">
      <c r="A732" s="2" t="s">
        <v>747</v>
      </c>
      <c r="B732" s="2">
        <v>2834.0</v>
      </c>
      <c r="C732" s="2">
        <v>32869.0</v>
      </c>
      <c r="D732" s="2">
        <v>11012.0</v>
      </c>
      <c r="E732" s="3">
        <f t="shared" si="1"/>
        <v>0.3666389213</v>
      </c>
      <c r="F732" s="2">
        <v>4660.0</v>
      </c>
      <c r="G732" s="3">
        <f t="shared" si="2"/>
        <v>0.1551523223</v>
      </c>
      <c r="H732" s="2">
        <v>6575.0</v>
      </c>
      <c r="I732" s="3">
        <f t="shared" si="3"/>
        <v>0.2189112702</v>
      </c>
      <c r="J732" s="2">
        <v>5631.0</v>
      </c>
      <c r="K732" s="3">
        <f t="shared" si="4"/>
        <v>0.1874812718</v>
      </c>
      <c r="L732" s="2">
        <v>3955.0</v>
      </c>
      <c r="M732" s="3">
        <f t="shared" si="5"/>
        <v>0.6015209125</v>
      </c>
      <c r="N732" s="2">
        <v>3.93648E7</v>
      </c>
      <c r="O732" s="4">
        <f t="shared" si="6"/>
        <v>5987.041825</v>
      </c>
      <c r="P732" s="2">
        <v>21.0</v>
      </c>
      <c r="Q732" s="3">
        <f t="shared" si="7"/>
        <v>0.007410021171</v>
      </c>
      <c r="R732" s="2">
        <v>230.0</v>
      </c>
      <c r="S732" s="5">
        <f t="shared" si="8"/>
        <v>0.08115737474</v>
      </c>
    </row>
    <row r="733">
      <c r="A733" s="2" t="s">
        <v>748</v>
      </c>
      <c r="B733" s="2">
        <v>385.0</v>
      </c>
      <c r="C733" s="2">
        <v>4394.0</v>
      </c>
      <c r="D733" s="2">
        <v>1142.0</v>
      </c>
      <c r="E733" s="3">
        <f t="shared" si="1"/>
        <v>0.2848590671</v>
      </c>
      <c r="F733" s="2">
        <v>622.0</v>
      </c>
      <c r="G733" s="3">
        <f t="shared" si="2"/>
        <v>0.1551509105</v>
      </c>
      <c r="H733" s="2">
        <v>839.0</v>
      </c>
      <c r="I733" s="3">
        <f t="shared" si="3"/>
        <v>0.209279122</v>
      </c>
      <c r="J733" s="2">
        <v>739.0</v>
      </c>
      <c r="K733" s="3">
        <f t="shared" si="4"/>
        <v>0.1843352457</v>
      </c>
      <c r="L733" s="2">
        <v>510.0</v>
      </c>
      <c r="M733" s="3">
        <f t="shared" si="5"/>
        <v>0.6078665077</v>
      </c>
      <c r="N733" s="2">
        <v>5333300.0</v>
      </c>
      <c r="O733" s="4">
        <f t="shared" si="6"/>
        <v>6356.734207</v>
      </c>
      <c r="P733" s="2">
        <v>2.0</v>
      </c>
      <c r="Q733" s="3">
        <f t="shared" si="7"/>
        <v>0.005194805195</v>
      </c>
      <c r="R733" s="2">
        <v>385.0</v>
      </c>
      <c r="S733" s="5">
        <f t="shared" si="8"/>
        <v>1</v>
      </c>
    </row>
    <row r="734">
      <c r="A734" s="2" t="s">
        <v>749</v>
      </c>
      <c r="B734" s="2">
        <v>43.0</v>
      </c>
      <c r="C734" s="2">
        <v>520.0</v>
      </c>
      <c r="D734" s="2">
        <v>128.0</v>
      </c>
      <c r="E734" s="3">
        <f t="shared" si="1"/>
        <v>0.2683438155</v>
      </c>
      <c r="F734" s="2">
        <v>74.0</v>
      </c>
      <c r="G734" s="3">
        <f t="shared" si="2"/>
        <v>0.1551362683</v>
      </c>
      <c r="H734" s="2">
        <v>81.0</v>
      </c>
      <c r="I734" s="3">
        <f t="shared" si="3"/>
        <v>0.1698113208</v>
      </c>
      <c r="J734" s="2">
        <v>84.0</v>
      </c>
      <c r="K734" s="3">
        <f t="shared" si="4"/>
        <v>0.1761006289</v>
      </c>
      <c r="L734" s="2">
        <v>40.0</v>
      </c>
      <c r="M734" s="3">
        <f t="shared" si="5"/>
        <v>0.4938271605</v>
      </c>
      <c r="N734" s="2">
        <v>446600.0</v>
      </c>
      <c r="O734" s="4">
        <f t="shared" si="6"/>
        <v>5513.580247</v>
      </c>
      <c r="P734" s="2">
        <v>0.0</v>
      </c>
      <c r="Q734" s="3">
        <f t="shared" si="7"/>
        <v>0</v>
      </c>
      <c r="R734" s="2">
        <v>43.0</v>
      </c>
      <c r="S734" s="5">
        <f t="shared" si="8"/>
        <v>1</v>
      </c>
    </row>
    <row r="735">
      <c r="A735" s="2" t="s">
        <v>750</v>
      </c>
      <c r="B735" s="2">
        <v>26.0</v>
      </c>
      <c r="C735" s="2">
        <v>329.0</v>
      </c>
      <c r="D735" s="2">
        <v>77.0</v>
      </c>
      <c r="E735" s="3">
        <f t="shared" si="1"/>
        <v>0.2541254125</v>
      </c>
      <c r="F735" s="2">
        <v>47.0</v>
      </c>
      <c r="G735" s="3">
        <f t="shared" si="2"/>
        <v>0.1551155116</v>
      </c>
      <c r="H735" s="2">
        <v>53.0</v>
      </c>
      <c r="I735" s="3">
        <f t="shared" si="3"/>
        <v>0.1749174917</v>
      </c>
      <c r="J735" s="2">
        <v>38.0</v>
      </c>
      <c r="K735" s="3">
        <f t="shared" si="4"/>
        <v>0.1254125413</v>
      </c>
      <c r="L735" s="2">
        <v>26.0</v>
      </c>
      <c r="M735" s="3">
        <f t="shared" si="5"/>
        <v>0.4905660377</v>
      </c>
      <c r="N735" s="2">
        <v>310600.0</v>
      </c>
      <c r="O735" s="4">
        <f t="shared" si="6"/>
        <v>5860.377358</v>
      </c>
      <c r="P735" s="2">
        <v>0.0</v>
      </c>
      <c r="Q735" s="3">
        <f t="shared" si="7"/>
        <v>0</v>
      </c>
      <c r="R735" s="2">
        <v>26.0</v>
      </c>
      <c r="S735" s="5">
        <f t="shared" si="8"/>
        <v>1</v>
      </c>
    </row>
    <row r="736">
      <c r="A736" s="2" t="s">
        <v>751</v>
      </c>
      <c r="B736" s="2">
        <v>1175.0</v>
      </c>
      <c r="C736" s="2">
        <v>13670.0</v>
      </c>
      <c r="D736" s="2">
        <v>3670.0</v>
      </c>
      <c r="E736" s="3">
        <f t="shared" si="1"/>
        <v>0.293717487</v>
      </c>
      <c r="F736" s="2">
        <v>1938.0</v>
      </c>
      <c r="G736" s="3">
        <f t="shared" si="2"/>
        <v>0.1551020408</v>
      </c>
      <c r="H736" s="2">
        <v>2708.0</v>
      </c>
      <c r="I736" s="3">
        <f t="shared" si="3"/>
        <v>0.2167266907</v>
      </c>
      <c r="J736" s="2">
        <v>2579.0</v>
      </c>
      <c r="K736" s="3">
        <f t="shared" si="4"/>
        <v>0.206402561</v>
      </c>
      <c r="L736" s="2">
        <v>1604.0</v>
      </c>
      <c r="M736" s="3">
        <f t="shared" si="5"/>
        <v>0.5923190547</v>
      </c>
      <c r="N736" s="2">
        <v>1.64972E7</v>
      </c>
      <c r="O736" s="4">
        <f t="shared" si="6"/>
        <v>6092.023634</v>
      </c>
      <c r="P736" s="2">
        <v>4.0</v>
      </c>
      <c r="Q736" s="3">
        <f t="shared" si="7"/>
        <v>0.003404255319</v>
      </c>
      <c r="R736" s="2">
        <v>1175.0</v>
      </c>
      <c r="S736" s="5">
        <f t="shared" si="8"/>
        <v>1</v>
      </c>
    </row>
    <row r="737">
      <c r="A737" s="2" t="s">
        <v>752</v>
      </c>
      <c r="B737" s="2">
        <v>44.0</v>
      </c>
      <c r="C737" s="2">
        <v>534.0</v>
      </c>
      <c r="D737" s="2">
        <v>198.0</v>
      </c>
      <c r="E737" s="3">
        <f t="shared" si="1"/>
        <v>0.4040816327</v>
      </c>
      <c r="F737" s="2">
        <v>76.0</v>
      </c>
      <c r="G737" s="3">
        <f t="shared" si="2"/>
        <v>0.1551020408</v>
      </c>
      <c r="H737" s="2">
        <v>105.0</v>
      </c>
      <c r="I737" s="3">
        <f t="shared" si="3"/>
        <v>0.2142857143</v>
      </c>
      <c r="J737" s="2">
        <v>84.0</v>
      </c>
      <c r="K737" s="3">
        <f t="shared" si="4"/>
        <v>0.1714285714</v>
      </c>
      <c r="L737" s="2">
        <v>61.0</v>
      </c>
      <c r="M737" s="3">
        <f t="shared" si="5"/>
        <v>0.580952381</v>
      </c>
      <c r="N737" s="2">
        <v>517200.0</v>
      </c>
      <c r="O737" s="4">
        <f t="shared" si="6"/>
        <v>4925.714286</v>
      </c>
      <c r="P737" s="2">
        <v>0.0</v>
      </c>
      <c r="Q737" s="3">
        <f t="shared" si="7"/>
        <v>0</v>
      </c>
      <c r="R737" s="2">
        <v>44.0</v>
      </c>
      <c r="S737" s="5">
        <f t="shared" si="8"/>
        <v>1</v>
      </c>
    </row>
    <row r="738">
      <c r="A738" s="2" t="s">
        <v>753</v>
      </c>
      <c r="B738" s="2">
        <v>197.0</v>
      </c>
      <c r="C738" s="2">
        <v>2325.0</v>
      </c>
      <c r="D738" s="2">
        <v>743.0</v>
      </c>
      <c r="E738" s="3">
        <f t="shared" si="1"/>
        <v>0.3491541353</v>
      </c>
      <c r="F738" s="2">
        <v>330.0</v>
      </c>
      <c r="G738" s="3">
        <f t="shared" si="2"/>
        <v>0.155075188</v>
      </c>
      <c r="H738" s="2">
        <v>449.0</v>
      </c>
      <c r="I738" s="3">
        <f t="shared" si="3"/>
        <v>0.2109962406</v>
      </c>
      <c r="J738" s="2">
        <v>435.0</v>
      </c>
      <c r="K738" s="3">
        <f t="shared" si="4"/>
        <v>0.2044172932</v>
      </c>
      <c r="L738" s="2">
        <v>263.0</v>
      </c>
      <c r="M738" s="3">
        <f t="shared" si="5"/>
        <v>0.5857461024</v>
      </c>
      <c r="N738" s="2">
        <v>2638200.0</v>
      </c>
      <c r="O738" s="4">
        <f t="shared" si="6"/>
        <v>5875.723831</v>
      </c>
      <c r="P738" s="2">
        <v>0.0</v>
      </c>
      <c r="Q738" s="3">
        <f t="shared" si="7"/>
        <v>0</v>
      </c>
      <c r="R738" s="2">
        <v>197.0</v>
      </c>
      <c r="S738" s="5">
        <f t="shared" si="8"/>
        <v>1</v>
      </c>
    </row>
    <row r="739">
      <c r="A739" s="2" t="s">
        <v>754</v>
      </c>
      <c r="B739" s="2">
        <v>65.0</v>
      </c>
      <c r="C739" s="2">
        <v>755.0</v>
      </c>
      <c r="D739" s="2">
        <v>234.0</v>
      </c>
      <c r="E739" s="3">
        <f t="shared" si="1"/>
        <v>0.3391304348</v>
      </c>
      <c r="F739" s="2">
        <v>107.0</v>
      </c>
      <c r="G739" s="3">
        <f t="shared" si="2"/>
        <v>0.1550724638</v>
      </c>
      <c r="H739" s="2">
        <v>145.0</v>
      </c>
      <c r="I739" s="3">
        <f t="shared" si="3"/>
        <v>0.2101449275</v>
      </c>
      <c r="J739" s="2">
        <v>113.0</v>
      </c>
      <c r="K739" s="3">
        <f t="shared" si="4"/>
        <v>0.1637681159</v>
      </c>
      <c r="L739" s="2">
        <v>98.0</v>
      </c>
      <c r="M739" s="3">
        <f t="shared" si="5"/>
        <v>0.675862069</v>
      </c>
      <c r="N739" s="2">
        <v>827700.0</v>
      </c>
      <c r="O739" s="4">
        <f t="shared" si="6"/>
        <v>5708.275862</v>
      </c>
      <c r="P739" s="2">
        <v>0.0</v>
      </c>
      <c r="Q739" s="3">
        <f t="shared" si="7"/>
        <v>0</v>
      </c>
      <c r="R739" s="2">
        <v>65.0</v>
      </c>
      <c r="S739" s="5">
        <f t="shared" si="8"/>
        <v>1</v>
      </c>
    </row>
    <row r="740">
      <c r="A740" s="2" t="s">
        <v>755</v>
      </c>
      <c r="B740" s="2">
        <v>94.0</v>
      </c>
      <c r="C740" s="2">
        <v>1126.0</v>
      </c>
      <c r="D740" s="2">
        <v>213.0</v>
      </c>
      <c r="E740" s="3">
        <f t="shared" si="1"/>
        <v>0.2063953488</v>
      </c>
      <c r="F740" s="2">
        <v>160.0</v>
      </c>
      <c r="G740" s="3">
        <f t="shared" si="2"/>
        <v>0.1550387597</v>
      </c>
      <c r="H740" s="2">
        <v>223.0</v>
      </c>
      <c r="I740" s="3">
        <f t="shared" si="3"/>
        <v>0.2160852713</v>
      </c>
      <c r="J740" s="2">
        <v>203.0</v>
      </c>
      <c r="K740" s="3">
        <f t="shared" si="4"/>
        <v>0.1967054264</v>
      </c>
      <c r="L740" s="2">
        <v>145.0</v>
      </c>
      <c r="M740" s="3">
        <f t="shared" si="5"/>
        <v>0.6502242152</v>
      </c>
      <c r="N740" s="2">
        <v>1275200.0</v>
      </c>
      <c r="O740" s="4">
        <f t="shared" si="6"/>
        <v>5718.38565</v>
      </c>
      <c r="P740" s="2">
        <v>0.0</v>
      </c>
      <c r="Q740" s="3">
        <f t="shared" si="7"/>
        <v>0</v>
      </c>
      <c r="R740" s="2">
        <v>94.0</v>
      </c>
      <c r="S740" s="5">
        <f t="shared" si="8"/>
        <v>1</v>
      </c>
    </row>
    <row r="741">
      <c r="A741" s="2" t="s">
        <v>756</v>
      </c>
      <c r="B741" s="2">
        <v>13.0</v>
      </c>
      <c r="C741" s="2">
        <v>142.0</v>
      </c>
      <c r="D741" s="2">
        <v>39.0</v>
      </c>
      <c r="E741" s="3">
        <f t="shared" si="1"/>
        <v>0.3023255814</v>
      </c>
      <c r="F741" s="2">
        <v>20.0</v>
      </c>
      <c r="G741" s="3">
        <f t="shared" si="2"/>
        <v>0.1550387597</v>
      </c>
      <c r="H741" s="2">
        <v>25.0</v>
      </c>
      <c r="I741" s="3">
        <f t="shared" si="3"/>
        <v>0.1937984496</v>
      </c>
      <c r="J741" s="2">
        <v>25.0</v>
      </c>
      <c r="K741" s="3">
        <f t="shared" si="4"/>
        <v>0.1937984496</v>
      </c>
      <c r="L741" s="2">
        <v>13.0</v>
      </c>
      <c r="M741" s="3">
        <f t="shared" si="5"/>
        <v>0.52</v>
      </c>
      <c r="N741" s="2">
        <v>133400.0</v>
      </c>
      <c r="O741" s="4">
        <f t="shared" si="6"/>
        <v>5336</v>
      </c>
      <c r="P741" s="2">
        <v>0.0</v>
      </c>
      <c r="Q741" s="3">
        <f t="shared" si="7"/>
        <v>0</v>
      </c>
      <c r="R741" s="2">
        <v>13.0</v>
      </c>
      <c r="S741" s="5">
        <f t="shared" si="8"/>
        <v>1</v>
      </c>
    </row>
    <row r="742">
      <c r="A742" s="2" t="s">
        <v>757</v>
      </c>
      <c r="B742" s="2">
        <v>114.0</v>
      </c>
      <c r="C742" s="2">
        <v>1314.0</v>
      </c>
      <c r="D742" s="2">
        <v>521.0</v>
      </c>
      <c r="E742" s="3">
        <f t="shared" si="1"/>
        <v>0.4341666667</v>
      </c>
      <c r="F742" s="2">
        <v>186.0</v>
      </c>
      <c r="G742" s="3">
        <f t="shared" si="2"/>
        <v>0.155</v>
      </c>
      <c r="H742" s="2">
        <v>269.0</v>
      </c>
      <c r="I742" s="3">
        <f t="shared" si="3"/>
        <v>0.2241666667</v>
      </c>
      <c r="J742" s="2">
        <v>169.0</v>
      </c>
      <c r="K742" s="3">
        <f t="shared" si="4"/>
        <v>0.1408333333</v>
      </c>
      <c r="L742" s="2">
        <v>177.0</v>
      </c>
      <c r="M742" s="3">
        <f t="shared" si="5"/>
        <v>0.6579925651</v>
      </c>
      <c r="N742" s="2">
        <v>1421800.0</v>
      </c>
      <c r="O742" s="4">
        <f t="shared" si="6"/>
        <v>5285.501859</v>
      </c>
      <c r="P742" s="2">
        <v>0.0</v>
      </c>
      <c r="Q742" s="3">
        <f t="shared" si="7"/>
        <v>0</v>
      </c>
      <c r="R742" s="2">
        <v>114.0</v>
      </c>
      <c r="S742" s="5">
        <f t="shared" si="8"/>
        <v>1</v>
      </c>
    </row>
    <row r="743">
      <c r="A743" s="2" t="s">
        <v>758</v>
      </c>
      <c r="B743" s="2">
        <v>72.0</v>
      </c>
      <c r="C743" s="2">
        <v>814.0</v>
      </c>
      <c r="D743" s="2">
        <v>254.0</v>
      </c>
      <c r="E743" s="3">
        <f t="shared" si="1"/>
        <v>0.3423180593</v>
      </c>
      <c r="F743" s="2">
        <v>115.0</v>
      </c>
      <c r="G743" s="3">
        <f t="shared" si="2"/>
        <v>0.1549865229</v>
      </c>
      <c r="H743" s="2">
        <v>144.0</v>
      </c>
      <c r="I743" s="3">
        <f t="shared" si="3"/>
        <v>0.1940700809</v>
      </c>
      <c r="J743" s="2">
        <v>114.0</v>
      </c>
      <c r="K743" s="3">
        <f t="shared" si="4"/>
        <v>0.153638814</v>
      </c>
      <c r="L743" s="2">
        <v>97.0</v>
      </c>
      <c r="M743" s="3">
        <f t="shared" si="5"/>
        <v>0.6736111111</v>
      </c>
      <c r="N743" s="2">
        <v>776300.0</v>
      </c>
      <c r="O743" s="4">
        <f t="shared" si="6"/>
        <v>5390.972222</v>
      </c>
      <c r="P743" s="2">
        <v>0.0</v>
      </c>
      <c r="Q743" s="3">
        <f t="shared" si="7"/>
        <v>0</v>
      </c>
      <c r="R743" s="2">
        <v>0.0</v>
      </c>
      <c r="S743" s="5">
        <f t="shared" si="8"/>
        <v>0</v>
      </c>
    </row>
    <row r="744">
      <c r="A744" s="2" t="s">
        <v>759</v>
      </c>
      <c r="B744" s="2">
        <v>124.0</v>
      </c>
      <c r="C744" s="2">
        <v>1408.0</v>
      </c>
      <c r="D744" s="2">
        <v>438.0</v>
      </c>
      <c r="E744" s="3">
        <f t="shared" si="1"/>
        <v>0.3411214953</v>
      </c>
      <c r="F744" s="2">
        <v>199.0</v>
      </c>
      <c r="G744" s="3">
        <f t="shared" si="2"/>
        <v>0.1549844237</v>
      </c>
      <c r="H744" s="2">
        <v>272.0</v>
      </c>
      <c r="I744" s="3">
        <f t="shared" si="3"/>
        <v>0.2118380062</v>
      </c>
      <c r="J744" s="2">
        <v>229.0</v>
      </c>
      <c r="K744" s="3">
        <f t="shared" si="4"/>
        <v>0.1783489097</v>
      </c>
      <c r="L744" s="2">
        <v>178.0</v>
      </c>
      <c r="M744" s="3">
        <f t="shared" si="5"/>
        <v>0.6544117647</v>
      </c>
      <c r="N744" s="2">
        <v>1532500.0</v>
      </c>
      <c r="O744" s="4">
        <f t="shared" si="6"/>
        <v>5634.191176</v>
      </c>
      <c r="P744" s="2">
        <v>0.0</v>
      </c>
      <c r="Q744" s="3">
        <f t="shared" si="7"/>
        <v>0</v>
      </c>
      <c r="R744" s="2">
        <v>14.0</v>
      </c>
      <c r="S744" s="5">
        <f t="shared" si="8"/>
        <v>0.1129032258</v>
      </c>
    </row>
    <row r="745">
      <c r="A745" s="2" t="s">
        <v>760</v>
      </c>
      <c r="B745" s="2">
        <v>175.0</v>
      </c>
      <c r="C745" s="2">
        <v>2001.0</v>
      </c>
      <c r="D745" s="2">
        <v>520.0</v>
      </c>
      <c r="E745" s="3">
        <f t="shared" si="1"/>
        <v>0.2847754655</v>
      </c>
      <c r="F745" s="2">
        <v>283.0</v>
      </c>
      <c r="G745" s="3">
        <f t="shared" si="2"/>
        <v>0.1549835706</v>
      </c>
      <c r="H745" s="2">
        <v>374.0</v>
      </c>
      <c r="I745" s="3">
        <f t="shared" si="3"/>
        <v>0.2048192771</v>
      </c>
      <c r="J745" s="2">
        <v>395.0</v>
      </c>
      <c r="K745" s="3">
        <f t="shared" si="4"/>
        <v>0.2163198248</v>
      </c>
      <c r="L745" s="2">
        <v>218.0</v>
      </c>
      <c r="M745" s="3">
        <f t="shared" si="5"/>
        <v>0.5828877005</v>
      </c>
      <c r="N745" s="2">
        <v>2397500.0</v>
      </c>
      <c r="O745" s="4">
        <f t="shared" si="6"/>
        <v>6410.427807</v>
      </c>
      <c r="P745" s="2">
        <v>0.0</v>
      </c>
      <c r="Q745" s="3">
        <f t="shared" si="7"/>
        <v>0</v>
      </c>
      <c r="R745" s="2">
        <v>175.0</v>
      </c>
      <c r="S745" s="5">
        <f t="shared" si="8"/>
        <v>1</v>
      </c>
    </row>
    <row r="746">
      <c r="A746" s="2" t="s">
        <v>761</v>
      </c>
      <c r="B746" s="2">
        <v>69.0</v>
      </c>
      <c r="C746" s="2">
        <v>824.0</v>
      </c>
      <c r="D746" s="2">
        <v>277.0</v>
      </c>
      <c r="E746" s="3">
        <f t="shared" si="1"/>
        <v>0.3668874172</v>
      </c>
      <c r="F746" s="2">
        <v>117.0</v>
      </c>
      <c r="G746" s="3">
        <f t="shared" si="2"/>
        <v>0.1549668874</v>
      </c>
      <c r="H746" s="2">
        <v>174.0</v>
      </c>
      <c r="I746" s="3">
        <f t="shared" si="3"/>
        <v>0.2304635762</v>
      </c>
      <c r="J746" s="2">
        <v>161.0</v>
      </c>
      <c r="K746" s="3">
        <f t="shared" si="4"/>
        <v>0.2132450331</v>
      </c>
      <c r="L746" s="2">
        <v>95.0</v>
      </c>
      <c r="M746" s="3">
        <f t="shared" si="5"/>
        <v>0.5459770115</v>
      </c>
      <c r="N746" s="2">
        <v>1118600.0</v>
      </c>
      <c r="O746" s="4">
        <f t="shared" si="6"/>
        <v>6428.735632</v>
      </c>
      <c r="P746" s="2">
        <v>0.0</v>
      </c>
      <c r="Q746" s="3">
        <f t="shared" si="7"/>
        <v>0</v>
      </c>
      <c r="R746" s="2">
        <v>69.0</v>
      </c>
      <c r="S746" s="5">
        <f t="shared" si="8"/>
        <v>1</v>
      </c>
    </row>
    <row r="747">
      <c r="A747" s="2" t="s">
        <v>762</v>
      </c>
      <c r="B747" s="2">
        <v>39.0</v>
      </c>
      <c r="C747" s="2">
        <v>465.0</v>
      </c>
      <c r="D747" s="2">
        <v>184.0</v>
      </c>
      <c r="E747" s="3">
        <f t="shared" si="1"/>
        <v>0.4319248826</v>
      </c>
      <c r="F747" s="2">
        <v>66.0</v>
      </c>
      <c r="G747" s="3">
        <f t="shared" si="2"/>
        <v>0.1549295775</v>
      </c>
      <c r="H747" s="2">
        <v>98.0</v>
      </c>
      <c r="I747" s="3">
        <f t="shared" si="3"/>
        <v>0.2300469484</v>
      </c>
      <c r="J747" s="2">
        <v>73.0</v>
      </c>
      <c r="K747" s="3">
        <f t="shared" si="4"/>
        <v>0.1713615023</v>
      </c>
      <c r="L747" s="2">
        <v>54.0</v>
      </c>
      <c r="M747" s="3">
        <f t="shared" si="5"/>
        <v>0.5510204082</v>
      </c>
      <c r="N747" s="2">
        <v>487300.0</v>
      </c>
      <c r="O747" s="4">
        <f t="shared" si="6"/>
        <v>4972.44898</v>
      </c>
      <c r="P747" s="2">
        <v>0.0</v>
      </c>
      <c r="Q747" s="3">
        <f t="shared" si="7"/>
        <v>0</v>
      </c>
      <c r="R747" s="2">
        <v>39.0</v>
      </c>
      <c r="S747" s="5">
        <f t="shared" si="8"/>
        <v>1</v>
      </c>
    </row>
    <row r="748">
      <c r="A748" s="2" t="s">
        <v>763</v>
      </c>
      <c r="B748" s="2">
        <v>208.0</v>
      </c>
      <c r="C748" s="2">
        <v>2390.0</v>
      </c>
      <c r="D748" s="2">
        <v>854.0</v>
      </c>
      <c r="E748" s="3">
        <f t="shared" si="1"/>
        <v>0.3913840513</v>
      </c>
      <c r="F748" s="2">
        <v>338.0</v>
      </c>
      <c r="G748" s="3">
        <f t="shared" si="2"/>
        <v>0.154903758</v>
      </c>
      <c r="H748" s="2">
        <v>508.0</v>
      </c>
      <c r="I748" s="3">
        <f t="shared" si="3"/>
        <v>0.2328139322</v>
      </c>
      <c r="J748" s="2">
        <v>377.0</v>
      </c>
      <c r="K748" s="3">
        <f t="shared" si="4"/>
        <v>0.1727772686</v>
      </c>
      <c r="L748" s="2">
        <v>322.0</v>
      </c>
      <c r="M748" s="3">
        <f t="shared" si="5"/>
        <v>0.6338582677</v>
      </c>
      <c r="N748" s="2">
        <v>2682900.0</v>
      </c>
      <c r="O748" s="4">
        <f t="shared" si="6"/>
        <v>5281.299213</v>
      </c>
      <c r="P748" s="2">
        <v>0.0</v>
      </c>
      <c r="Q748" s="3">
        <f t="shared" si="7"/>
        <v>0</v>
      </c>
      <c r="R748" s="2">
        <v>208.0</v>
      </c>
      <c r="S748" s="5">
        <f t="shared" si="8"/>
        <v>1</v>
      </c>
    </row>
    <row r="749">
      <c r="A749" s="2" t="s">
        <v>764</v>
      </c>
      <c r="B749" s="2">
        <v>59.0</v>
      </c>
      <c r="C749" s="2">
        <v>724.0</v>
      </c>
      <c r="D749" s="2">
        <v>228.0</v>
      </c>
      <c r="E749" s="3">
        <f t="shared" si="1"/>
        <v>0.3428571429</v>
      </c>
      <c r="F749" s="2">
        <v>103.0</v>
      </c>
      <c r="G749" s="3">
        <f t="shared" si="2"/>
        <v>0.154887218</v>
      </c>
      <c r="H749" s="2">
        <v>148.0</v>
      </c>
      <c r="I749" s="3">
        <f t="shared" si="3"/>
        <v>0.222556391</v>
      </c>
      <c r="J749" s="2">
        <v>138.0</v>
      </c>
      <c r="K749" s="3">
        <f t="shared" si="4"/>
        <v>0.207518797</v>
      </c>
      <c r="L749" s="2">
        <v>83.0</v>
      </c>
      <c r="M749" s="3">
        <f t="shared" si="5"/>
        <v>0.5608108108</v>
      </c>
      <c r="N749" s="2">
        <v>775500.0</v>
      </c>
      <c r="O749" s="4">
        <f t="shared" si="6"/>
        <v>5239.864865</v>
      </c>
      <c r="P749" s="2">
        <v>0.0</v>
      </c>
      <c r="Q749" s="3">
        <f t="shared" si="7"/>
        <v>0</v>
      </c>
      <c r="R749" s="2">
        <v>59.0</v>
      </c>
      <c r="S749" s="5">
        <f t="shared" si="8"/>
        <v>1</v>
      </c>
    </row>
    <row r="750">
      <c r="A750" s="2" t="s">
        <v>765</v>
      </c>
      <c r="B750" s="2">
        <v>135.0</v>
      </c>
      <c r="C750" s="2">
        <v>1588.0</v>
      </c>
      <c r="D750" s="2">
        <v>560.0</v>
      </c>
      <c r="E750" s="3">
        <f t="shared" si="1"/>
        <v>0.3854094976</v>
      </c>
      <c r="F750" s="2">
        <v>225.0</v>
      </c>
      <c r="G750" s="3">
        <f t="shared" si="2"/>
        <v>0.1548520303</v>
      </c>
      <c r="H750" s="2">
        <v>301.0</v>
      </c>
      <c r="I750" s="3">
        <f t="shared" si="3"/>
        <v>0.207157605</v>
      </c>
      <c r="J750" s="2">
        <v>269.0</v>
      </c>
      <c r="K750" s="3">
        <f t="shared" si="4"/>
        <v>0.1851342051</v>
      </c>
      <c r="L750" s="2">
        <v>177.0</v>
      </c>
      <c r="M750" s="3">
        <f t="shared" si="5"/>
        <v>0.5880398671</v>
      </c>
      <c r="N750" s="2">
        <v>1725300.0</v>
      </c>
      <c r="O750" s="4">
        <f t="shared" si="6"/>
        <v>5731.893688</v>
      </c>
      <c r="P750" s="2">
        <v>0.0</v>
      </c>
      <c r="Q750" s="3">
        <f t="shared" si="7"/>
        <v>0</v>
      </c>
      <c r="R750" s="2">
        <v>0.0</v>
      </c>
      <c r="S750" s="5">
        <f t="shared" si="8"/>
        <v>0</v>
      </c>
    </row>
    <row r="751">
      <c r="A751" s="2" t="s">
        <v>766</v>
      </c>
      <c r="B751" s="2">
        <v>69.0</v>
      </c>
      <c r="C751" s="2">
        <v>773.0</v>
      </c>
      <c r="D751" s="2">
        <v>188.0</v>
      </c>
      <c r="E751" s="3">
        <f t="shared" si="1"/>
        <v>0.2670454545</v>
      </c>
      <c r="F751" s="2">
        <v>109.0</v>
      </c>
      <c r="G751" s="3">
        <f t="shared" si="2"/>
        <v>0.1548295455</v>
      </c>
      <c r="H751" s="2">
        <v>131.0</v>
      </c>
      <c r="I751" s="3">
        <f t="shared" si="3"/>
        <v>0.1860795455</v>
      </c>
      <c r="J751" s="2">
        <v>129.0</v>
      </c>
      <c r="K751" s="3">
        <f t="shared" si="4"/>
        <v>0.1832386364</v>
      </c>
      <c r="L751" s="2">
        <v>69.0</v>
      </c>
      <c r="M751" s="3">
        <f t="shared" si="5"/>
        <v>0.5267175573</v>
      </c>
      <c r="N751" s="2">
        <v>818600.0</v>
      </c>
      <c r="O751" s="4">
        <f t="shared" si="6"/>
        <v>6248.854962</v>
      </c>
      <c r="P751" s="2">
        <v>0.0</v>
      </c>
      <c r="Q751" s="3">
        <f t="shared" si="7"/>
        <v>0</v>
      </c>
      <c r="R751" s="2">
        <v>69.0</v>
      </c>
      <c r="S751" s="5">
        <f t="shared" si="8"/>
        <v>1</v>
      </c>
    </row>
    <row r="752">
      <c r="A752" s="2" t="s">
        <v>767</v>
      </c>
      <c r="B752" s="2">
        <v>52.0</v>
      </c>
      <c r="C752" s="2">
        <v>627.0</v>
      </c>
      <c r="D752" s="2">
        <v>222.0</v>
      </c>
      <c r="E752" s="3">
        <f t="shared" si="1"/>
        <v>0.3860869565</v>
      </c>
      <c r="F752" s="2">
        <v>89.0</v>
      </c>
      <c r="G752" s="3">
        <f t="shared" si="2"/>
        <v>0.1547826087</v>
      </c>
      <c r="H752" s="2">
        <v>122.0</v>
      </c>
      <c r="I752" s="3">
        <f t="shared" si="3"/>
        <v>0.212173913</v>
      </c>
      <c r="J752" s="2">
        <v>101.0</v>
      </c>
      <c r="K752" s="3">
        <f t="shared" si="4"/>
        <v>0.1756521739</v>
      </c>
      <c r="L752" s="2">
        <v>63.0</v>
      </c>
      <c r="M752" s="3">
        <f t="shared" si="5"/>
        <v>0.5163934426</v>
      </c>
      <c r="N752" s="2">
        <v>653100.0</v>
      </c>
      <c r="O752" s="4">
        <f t="shared" si="6"/>
        <v>5353.278689</v>
      </c>
      <c r="P752" s="2">
        <v>0.0</v>
      </c>
      <c r="Q752" s="3">
        <f t="shared" si="7"/>
        <v>0</v>
      </c>
      <c r="R752" s="2">
        <v>0.0</v>
      </c>
      <c r="S752" s="5">
        <f t="shared" si="8"/>
        <v>0</v>
      </c>
    </row>
    <row r="753">
      <c r="A753" s="2" t="s">
        <v>768</v>
      </c>
      <c r="B753" s="2">
        <v>350.0</v>
      </c>
      <c r="C753" s="2">
        <v>3968.0</v>
      </c>
      <c r="D753" s="2">
        <v>1384.0</v>
      </c>
      <c r="E753" s="3">
        <f t="shared" si="1"/>
        <v>0.3825317855</v>
      </c>
      <c r="F753" s="2">
        <v>560.0</v>
      </c>
      <c r="G753" s="3">
        <f t="shared" si="2"/>
        <v>0.1547816473</v>
      </c>
      <c r="H753" s="2">
        <v>851.0</v>
      </c>
      <c r="I753" s="3">
        <f t="shared" si="3"/>
        <v>0.2352128248</v>
      </c>
      <c r="J753" s="2">
        <v>619.0</v>
      </c>
      <c r="K753" s="3">
        <f t="shared" si="4"/>
        <v>0.1710889994</v>
      </c>
      <c r="L753" s="2">
        <v>558.0</v>
      </c>
      <c r="M753" s="3">
        <f t="shared" si="5"/>
        <v>0.6556991774</v>
      </c>
      <c r="N753" s="2">
        <v>4621100.0</v>
      </c>
      <c r="O753" s="4">
        <f t="shared" si="6"/>
        <v>5430.199765</v>
      </c>
      <c r="P753" s="2">
        <v>3.0</v>
      </c>
      <c r="Q753" s="3">
        <f t="shared" si="7"/>
        <v>0.008571428571</v>
      </c>
      <c r="R753" s="2">
        <v>350.0</v>
      </c>
      <c r="S753" s="5">
        <f t="shared" si="8"/>
        <v>1</v>
      </c>
    </row>
    <row r="754">
      <c r="A754" s="2" t="s">
        <v>769</v>
      </c>
      <c r="B754" s="2">
        <v>146.0</v>
      </c>
      <c r="C754" s="2">
        <v>1729.0</v>
      </c>
      <c r="D754" s="2">
        <v>656.0</v>
      </c>
      <c r="E754" s="3">
        <f t="shared" si="1"/>
        <v>0.4144030322</v>
      </c>
      <c r="F754" s="2">
        <v>245.0</v>
      </c>
      <c r="G754" s="3">
        <f t="shared" si="2"/>
        <v>0.1547694251</v>
      </c>
      <c r="H754" s="2">
        <v>337.0</v>
      </c>
      <c r="I754" s="3">
        <f t="shared" si="3"/>
        <v>0.2128869236</v>
      </c>
      <c r="J754" s="2">
        <v>285.0</v>
      </c>
      <c r="K754" s="3">
        <f t="shared" si="4"/>
        <v>0.1800379027</v>
      </c>
      <c r="L754" s="2">
        <v>210.0</v>
      </c>
      <c r="M754" s="3">
        <f t="shared" si="5"/>
        <v>0.6231454006</v>
      </c>
      <c r="N754" s="2">
        <v>1888200.0</v>
      </c>
      <c r="O754" s="4">
        <f t="shared" si="6"/>
        <v>5602.967359</v>
      </c>
      <c r="P754" s="2">
        <v>1.0</v>
      </c>
      <c r="Q754" s="3">
        <f t="shared" si="7"/>
        <v>0.006849315068</v>
      </c>
      <c r="R754" s="2">
        <v>146.0</v>
      </c>
      <c r="S754" s="5">
        <f t="shared" si="8"/>
        <v>1</v>
      </c>
    </row>
    <row r="755">
      <c r="A755" s="2" t="s">
        <v>770</v>
      </c>
      <c r="B755" s="2">
        <v>233.0</v>
      </c>
      <c r="C755" s="2">
        <v>2682.0</v>
      </c>
      <c r="D755" s="2">
        <v>867.0</v>
      </c>
      <c r="E755" s="3">
        <f t="shared" si="1"/>
        <v>0.3540220498</v>
      </c>
      <c r="F755" s="2">
        <v>379.0</v>
      </c>
      <c r="G755" s="3">
        <f t="shared" si="2"/>
        <v>0.1547570437</v>
      </c>
      <c r="H755" s="2">
        <v>501.0</v>
      </c>
      <c r="I755" s="3">
        <f t="shared" si="3"/>
        <v>0.2045732952</v>
      </c>
      <c r="J755" s="2">
        <v>415.0</v>
      </c>
      <c r="K755" s="3">
        <f t="shared" si="4"/>
        <v>0.1694569212</v>
      </c>
      <c r="L755" s="2">
        <v>295.0</v>
      </c>
      <c r="M755" s="3">
        <f t="shared" si="5"/>
        <v>0.5888223553</v>
      </c>
      <c r="N755" s="2">
        <v>2788500.0</v>
      </c>
      <c r="O755" s="4">
        <f t="shared" si="6"/>
        <v>5565.868263</v>
      </c>
      <c r="P755" s="2">
        <v>0.0</v>
      </c>
      <c r="Q755" s="3">
        <f t="shared" si="7"/>
        <v>0</v>
      </c>
      <c r="R755" s="2">
        <v>27.0</v>
      </c>
      <c r="S755" s="5">
        <f t="shared" si="8"/>
        <v>0.1158798283</v>
      </c>
    </row>
    <row r="756">
      <c r="A756" s="2" t="s">
        <v>771</v>
      </c>
      <c r="B756" s="2">
        <v>183.0</v>
      </c>
      <c r="C756" s="2">
        <v>2128.0</v>
      </c>
      <c r="D756" s="2">
        <v>892.0</v>
      </c>
      <c r="E756" s="3">
        <f t="shared" si="1"/>
        <v>0.4586118252</v>
      </c>
      <c r="F756" s="2">
        <v>301.0</v>
      </c>
      <c r="G756" s="3">
        <f t="shared" si="2"/>
        <v>0.1547557841</v>
      </c>
      <c r="H756" s="2">
        <v>438.0</v>
      </c>
      <c r="I756" s="3">
        <f t="shared" si="3"/>
        <v>0.2251928021</v>
      </c>
      <c r="J756" s="2">
        <v>318.0</v>
      </c>
      <c r="K756" s="3">
        <f t="shared" si="4"/>
        <v>0.163496144</v>
      </c>
      <c r="L756" s="2">
        <v>280.0</v>
      </c>
      <c r="M756" s="3">
        <f t="shared" si="5"/>
        <v>0.6392694064</v>
      </c>
      <c r="N756" s="2">
        <v>2393400.0</v>
      </c>
      <c r="O756" s="4">
        <f t="shared" si="6"/>
        <v>5464.383562</v>
      </c>
      <c r="P756" s="2">
        <v>0.0</v>
      </c>
      <c r="Q756" s="3">
        <f t="shared" si="7"/>
        <v>0</v>
      </c>
      <c r="R756" s="2">
        <v>0.0</v>
      </c>
      <c r="S756" s="5">
        <f t="shared" si="8"/>
        <v>0</v>
      </c>
    </row>
    <row r="757">
      <c r="A757" s="2" t="s">
        <v>772</v>
      </c>
      <c r="B757" s="2">
        <v>156.0</v>
      </c>
      <c r="C757" s="2">
        <v>1824.0</v>
      </c>
      <c r="D757" s="2">
        <v>564.0</v>
      </c>
      <c r="E757" s="3">
        <f t="shared" si="1"/>
        <v>0.3381294964</v>
      </c>
      <c r="F757" s="2">
        <v>258.0</v>
      </c>
      <c r="G757" s="3">
        <f t="shared" si="2"/>
        <v>0.154676259</v>
      </c>
      <c r="H757" s="2">
        <v>377.0</v>
      </c>
      <c r="I757" s="3">
        <f t="shared" si="3"/>
        <v>0.2260191847</v>
      </c>
      <c r="J757" s="2">
        <v>335.0</v>
      </c>
      <c r="K757" s="3">
        <f t="shared" si="4"/>
        <v>0.2008393285</v>
      </c>
      <c r="L757" s="2">
        <v>224.0</v>
      </c>
      <c r="M757" s="3">
        <f t="shared" si="5"/>
        <v>0.5941644562</v>
      </c>
      <c r="N757" s="2">
        <v>1950900.0</v>
      </c>
      <c r="O757" s="4">
        <f t="shared" si="6"/>
        <v>5174.801061</v>
      </c>
      <c r="P757" s="2">
        <v>0.0</v>
      </c>
      <c r="Q757" s="3">
        <f t="shared" si="7"/>
        <v>0</v>
      </c>
      <c r="R757" s="2">
        <v>0.0</v>
      </c>
      <c r="S757" s="5">
        <f t="shared" si="8"/>
        <v>0</v>
      </c>
    </row>
    <row r="758">
      <c r="A758" s="2" t="s">
        <v>773</v>
      </c>
      <c r="B758" s="2">
        <v>9.0</v>
      </c>
      <c r="C758" s="2">
        <v>106.0</v>
      </c>
      <c r="D758" s="2">
        <v>27.0</v>
      </c>
      <c r="E758" s="3">
        <f t="shared" si="1"/>
        <v>0.2783505155</v>
      </c>
      <c r="F758" s="2">
        <v>15.0</v>
      </c>
      <c r="G758" s="3">
        <f t="shared" si="2"/>
        <v>0.1546391753</v>
      </c>
      <c r="H758" s="2">
        <v>18.0</v>
      </c>
      <c r="I758" s="3">
        <f t="shared" si="3"/>
        <v>0.1855670103</v>
      </c>
      <c r="J758" s="2">
        <v>18.0</v>
      </c>
      <c r="K758" s="3">
        <f t="shared" si="4"/>
        <v>0.1855670103</v>
      </c>
      <c r="L758" s="2">
        <v>8.0</v>
      </c>
      <c r="M758" s="3">
        <f t="shared" si="5"/>
        <v>0.4444444444</v>
      </c>
      <c r="N758" s="2">
        <v>105900.0</v>
      </c>
      <c r="O758" s="4">
        <f t="shared" si="6"/>
        <v>5883.333333</v>
      </c>
      <c r="P758" s="2">
        <v>0.0</v>
      </c>
      <c r="Q758" s="3">
        <f t="shared" si="7"/>
        <v>0</v>
      </c>
      <c r="R758" s="2">
        <v>0.0</v>
      </c>
      <c r="S758" s="5">
        <f t="shared" si="8"/>
        <v>0</v>
      </c>
    </row>
    <row r="759">
      <c r="A759" s="2" t="s">
        <v>774</v>
      </c>
      <c r="B759" s="2">
        <v>429.0</v>
      </c>
      <c r="C759" s="2">
        <v>5002.0</v>
      </c>
      <c r="D759" s="2">
        <v>1884.0</v>
      </c>
      <c r="E759" s="3">
        <f t="shared" si="1"/>
        <v>0.4119833807</v>
      </c>
      <c r="F759" s="2">
        <v>707.0</v>
      </c>
      <c r="G759" s="3">
        <f t="shared" si="2"/>
        <v>0.1546031052</v>
      </c>
      <c r="H759" s="2">
        <v>914.0</v>
      </c>
      <c r="I759" s="3">
        <f t="shared" si="3"/>
        <v>0.1998687951</v>
      </c>
      <c r="J759" s="2">
        <v>713.0</v>
      </c>
      <c r="K759" s="3">
        <f t="shared" si="4"/>
        <v>0.1559151542</v>
      </c>
      <c r="L759" s="2">
        <v>537.0</v>
      </c>
      <c r="M759" s="3">
        <f t="shared" si="5"/>
        <v>0.5875273523</v>
      </c>
      <c r="N759" s="2">
        <v>5659900.0</v>
      </c>
      <c r="O759" s="4">
        <f t="shared" si="6"/>
        <v>6192.450766</v>
      </c>
      <c r="P759" s="2">
        <v>5.0</v>
      </c>
      <c r="Q759" s="3">
        <f t="shared" si="7"/>
        <v>0.01165501166</v>
      </c>
      <c r="R759" s="2">
        <v>429.0</v>
      </c>
      <c r="S759" s="5">
        <f t="shared" si="8"/>
        <v>1</v>
      </c>
    </row>
    <row r="760">
      <c r="A760" s="2" t="s">
        <v>775</v>
      </c>
      <c r="B760" s="2">
        <v>59.0</v>
      </c>
      <c r="C760" s="2">
        <v>693.0</v>
      </c>
      <c r="D760" s="2">
        <v>214.0</v>
      </c>
      <c r="E760" s="3">
        <f t="shared" si="1"/>
        <v>0.3375394322</v>
      </c>
      <c r="F760" s="2">
        <v>98.0</v>
      </c>
      <c r="G760" s="3">
        <f t="shared" si="2"/>
        <v>0.1545741325</v>
      </c>
      <c r="H760" s="2">
        <v>116.0</v>
      </c>
      <c r="I760" s="3">
        <f t="shared" si="3"/>
        <v>0.1829652997</v>
      </c>
      <c r="J760" s="2">
        <v>119.0</v>
      </c>
      <c r="K760" s="3">
        <f t="shared" si="4"/>
        <v>0.1876971609</v>
      </c>
      <c r="L760" s="2">
        <v>73.0</v>
      </c>
      <c r="M760" s="3">
        <f t="shared" si="5"/>
        <v>0.6293103448</v>
      </c>
      <c r="N760" s="2">
        <v>660400.0</v>
      </c>
      <c r="O760" s="4">
        <f t="shared" si="6"/>
        <v>5693.103448</v>
      </c>
      <c r="P760" s="2">
        <v>0.0</v>
      </c>
      <c r="Q760" s="3">
        <f t="shared" si="7"/>
        <v>0</v>
      </c>
      <c r="R760" s="2">
        <v>59.0</v>
      </c>
      <c r="S760" s="5">
        <f t="shared" si="8"/>
        <v>1</v>
      </c>
    </row>
    <row r="761">
      <c r="A761" s="2" t="s">
        <v>776</v>
      </c>
      <c r="B761" s="2">
        <v>777.0</v>
      </c>
      <c r="C761" s="2">
        <v>9046.0</v>
      </c>
      <c r="D761" s="2">
        <v>2825.0</v>
      </c>
      <c r="E761" s="3">
        <f t="shared" si="1"/>
        <v>0.341637441</v>
      </c>
      <c r="F761" s="2">
        <v>1278.0</v>
      </c>
      <c r="G761" s="3">
        <f t="shared" si="2"/>
        <v>0.1545531503</v>
      </c>
      <c r="H761" s="2">
        <v>1778.0</v>
      </c>
      <c r="I761" s="3">
        <f t="shared" si="3"/>
        <v>0.215019954</v>
      </c>
      <c r="J761" s="2">
        <v>1480.0</v>
      </c>
      <c r="K761" s="3">
        <f t="shared" si="4"/>
        <v>0.178981739</v>
      </c>
      <c r="L761" s="2">
        <v>1048.0</v>
      </c>
      <c r="M761" s="3">
        <f t="shared" si="5"/>
        <v>0.5894263217</v>
      </c>
      <c r="N761" s="2">
        <v>1.07451E7</v>
      </c>
      <c r="O761" s="4">
        <f t="shared" si="6"/>
        <v>6043.36333</v>
      </c>
      <c r="P761" s="2">
        <v>2.0</v>
      </c>
      <c r="Q761" s="3">
        <f t="shared" si="7"/>
        <v>0.002574002574</v>
      </c>
      <c r="R761" s="2">
        <v>777.0</v>
      </c>
      <c r="S761" s="5">
        <f t="shared" si="8"/>
        <v>1</v>
      </c>
    </row>
    <row r="762">
      <c r="A762" s="2" t="s">
        <v>777</v>
      </c>
      <c r="B762" s="2">
        <v>83.0</v>
      </c>
      <c r="C762" s="2">
        <v>976.0</v>
      </c>
      <c r="D762" s="2">
        <v>228.0</v>
      </c>
      <c r="E762" s="3">
        <f t="shared" si="1"/>
        <v>0.2553191489</v>
      </c>
      <c r="F762" s="2">
        <v>138.0</v>
      </c>
      <c r="G762" s="3">
        <f t="shared" si="2"/>
        <v>0.1545352744</v>
      </c>
      <c r="H762" s="2">
        <v>173.0</v>
      </c>
      <c r="I762" s="3">
        <f t="shared" si="3"/>
        <v>0.1937290034</v>
      </c>
      <c r="J762" s="2">
        <v>177.0</v>
      </c>
      <c r="K762" s="3">
        <f t="shared" si="4"/>
        <v>0.1982082867</v>
      </c>
      <c r="L762" s="2">
        <v>109.0</v>
      </c>
      <c r="M762" s="3">
        <f t="shared" si="5"/>
        <v>0.6300578035</v>
      </c>
      <c r="N762" s="2">
        <v>1054500.0</v>
      </c>
      <c r="O762" s="4">
        <f t="shared" si="6"/>
        <v>6095.375723</v>
      </c>
      <c r="P762" s="2">
        <v>0.0</v>
      </c>
      <c r="Q762" s="3">
        <f t="shared" si="7"/>
        <v>0</v>
      </c>
      <c r="R762" s="2">
        <v>83.0</v>
      </c>
      <c r="S762" s="5">
        <f t="shared" si="8"/>
        <v>1</v>
      </c>
    </row>
    <row r="763">
      <c r="A763" s="2" t="s">
        <v>778</v>
      </c>
      <c r="B763" s="2">
        <v>88.0</v>
      </c>
      <c r="C763" s="2">
        <v>1007.0</v>
      </c>
      <c r="D763" s="2">
        <v>334.0</v>
      </c>
      <c r="E763" s="3">
        <f t="shared" si="1"/>
        <v>0.3634385201</v>
      </c>
      <c r="F763" s="2">
        <v>142.0</v>
      </c>
      <c r="G763" s="3">
        <f t="shared" si="2"/>
        <v>0.154515778</v>
      </c>
      <c r="H763" s="2">
        <v>156.0</v>
      </c>
      <c r="I763" s="3">
        <f t="shared" si="3"/>
        <v>0.169749728</v>
      </c>
      <c r="J763" s="2">
        <v>143.0</v>
      </c>
      <c r="K763" s="3">
        <f t="shared" si="4"/>
        <v>0.1556039173</v>
      </c>
      <c r="L763" s="2">
        <v>107.0</v>
      </c>
      <c r="M763" s="3">
        <f t="shared" si="5"/>
        <v>0.6858974359</v>
      </c>
      <c r="N763" s="2">
        <v>870500.0</v>
      </c>
      <c r="O763" s="4">
        <f t="shared" si="6"/>
        <v>5580.128205</v>
      </c>
      <c r="P763" s="2">
        <v>0.0</v>
      </c>
      <c r="Q763" s="3">
        <f t="shared" si="7"/>
        <v>0</v>
      </c>
      <c r="R763" s="2">
        <v>88.0</v>
      </c>
      <c r="S763" s="5">
        <f t="shared" si="8"/>
        <v>1</v>
      </c>
    </row>
    <row r="764">
      <c r="A764" s="2" t="s">
        <v>779</v>
      </c>
      <c r="B764" s="2">
        <v>22.0</v>
      </c>
      <c r="C764" s="2">
        <v>255.0</v>
      </c>
      <c r="D764" s="2">
        <v>80.0</v>
      </c>
      <c r="E764" s="3">
        <f t="shared" si="1"/>
        <v>0.3433476395</v>
      </c>
      <c r="F764" s="2">
        <v>36.0</v>
      </c>
      <c r="G764" s="3">
        <f t="shared" si="2"/>
        <v>0.1545064378</v>
      </c>
      <c r="H764" s="2">
        <v>57.0</v>
      </c>
      <c r="I764" s="3">
        <f t="shared" si="3"/>
        <v>0.2446351931</v>
      </c>
      <c r="J764" s="2">
        <v>41.0</v>
      </c>
      <c r="K764" s="3">
        <f t="shared" si="4"/>
        <v>0.1759656652</v>
      </c>
      <c r="L764" s="2">
        <v>31.0</v>
      </c>
      <c r="M764" s="3">
        <f t="shared" si="5"/>
        <v>0.5438596491</v>
      </c>
      <c r="N764" s="2">
        <v>293200.0</v>
      </c>
      <c r="O764" s="4">
        <f t="shared" si="6"/>
        <v>5143.859649</v>
      </c>
      <c r="P764" s="2">
        <v>0.0</v>
      </c>
      <c r="Q764" s="3">
        <f t="shared" si="7"/>
        <v>0</v>
      </c>
      <c r="R764" s="2">
        <v>0.0</v>
      </c>
      <c r="S764" s="5">
        <f t="shared" si="8"/>
        <v>0</v>
      </c>
    </row>
    <row r="765">
      <c r="A765" s="2" t="s">
        <v>780</v>
      </c>
      <c r="B765" s="2">
        <v>32.0</v>
      </c>
      <c r="C765" s="2">
        <v>388.0</v>
      </c>
      <c r="D765" s="2">
        <v>150.0</v>
      </c>
      <c r="E765" s="3">
        <f t="shared" si="1"/>
        <v>0.4213483146</v>
      </c>
      <c r="F765" s="2">
        <v>55.0</v>
      </c>
      <c r="G765" s="3">
        <f t="shared" si="2"/>
        <v>0.154494382</v>
      </c>
      <c r="H765" s="2">
        <v>56.0</v>
      </c>
      <c r="I765" s="3">
        <f t="shared" si="3"/>
        <v>0.1573033708</v>
      </c>
      <c r="J765" s="2">
        <v>60.0</v>
      </c>
      <c r="K765" s="3">
        <f t="shared" si="4"/>
        <v>0.1685393258</v>
      </c>
      <c r="L765" s="2">
        <v>35.0</v>
      </c>
      <c r="M765" s="3">
        <f t="shared" si="5"/>
        <v>0.625</v>
      </c>
      <c r="N765" s="2">
        <v>322800.0</v>
      </c>
      <c r="O765" s="4">
        <f t="shared" si="6"/>
        <v>5764.285714</v>
      </c>
      <c r="P765" s="2">
        <v>0.0</v>
      </c>
      <c r="Q765" s="3">
        <f t="shared" si="7"/>
        <v>0</v>
      </c>
      <c r="R765" s="2">
        <v>20.0</v>
      </c>
      <c r="S765" s="5">
        <f t="shared" si="8"/>
        <v>0.625</v>
      </c>
    </row>
    <row r="766">
      <c r="A766" s="2" t="s">
        <v>781</v>
      </c>
      <c r="B766" s="2">
        <v>58.0</v>
      </c>
      <c r="C766" s="2">
        <v>660.0</v>
      </c>
      <c r="D766" s="2">
        <v>206.0</v>
      </c>
      <c r="E766" s="3">
        <f t="shared" si="1"/>
        <v>0.342192691</v>
      </c>
      <c r="F766" s="2">
        <v>93.0</v>
      </c>
      <c r="G766" s="3">
        <f t="shared" si="2"/>
        <v>0.1544850498</v>
      </c>
      <c r="H766" s="2">
        <v>133.0</v>
      </c>
      <c r="I766" s="3">
        <f t="shared" si="3"/>
        <v>0.2209302326</v>
      </c>
      <c r="J766" s="2">
        <v>101.0</v>
      </c>
      <c r="K766" s="3">
        <f t="shared" si="4"/>
        <v>0.1677740864</v>
      </c>
      <c r="L766" s="2">
        <v>84.0</v>
      </c>
      <c r="M766" s="3">
        <f t="shared" si="5"/>
        <v>0.6315789474</v>
      </c>
      <c r="N766" s="2">
        <v>725000.0</v>
      </c>
      <c r="O766" s="4">
        <f t="shared" si="6"/>
        <v>5451.12782</v>
      </c>
      <c r="P766" s="2">
        <v>1.0</v>
      </c>
      <c r="Q766" s="3">
        <f t="shared" si="7"/>
        <v>0.01724137931</v>
      </c>
      <c r="R766" s="2">
        <v>0.0</v>
      </c>
      <c r="S766" s="5">
        <f t="shared" si="8"/>
        <v>0</v>
      </c>
    </row>
    <row r="767">
      <c r="A767" s="2" t="s">
        <v>782</v>
      </c>
      <c r="B767" s="2">
        <v>12.0</v>
      </c>
      <c r="C767" s="2">
        <v>135.0</v>
      </c>
      <c r="D767" s="2">
        <v>61.0</v>
      </c>
      <c r="E767" s="3">
        <f t="shared" si="1"/>
        <v>0.4959349593</v>
      </c>
      <c r="F767" s="2">
        <v>19.0</v>
      </c>
      <c r="G767" s="3">
        <f t="shared" si="2"/>
        <v>0.1544715447</v>
      </c>
      <c r="H767" s="2">
        <v>21.0</v>
      </c>
      <c r="I767" s="3">
        <f t="shared" si="3"/>
        <v>0.1707317073</v>
      </c>
      <c r="J767" s="2">
        <v>25.0</v>
      </c>
      <c r="K767" s="3">
        <f t="shared" si="4"/>
        <v>0.2032520325</v>
      </c>
      <c r="L767" s="2">
        <v>15.0</v>
      </c>
      <c r="M767" s="3">
        <f t="shared" si="5"/>
        <v>0.7142857143</v>
      </c>
      <c r="N767" s="2">
        <v>92000.0</v>
      </c>
      <c r="O767" s="4">
        <f t="shared" si="6"/>
        <v>4380.952381</v>
      </c>
      <c r="P767" s="2">
        <v>0.0</v>
      </c>
      <c r="Q767" s="3">
        <f t="shared" si="7"/>
        <v>0</v>
      </c>
      <c r="R767" s="2">
        <v>12.0</v>
      </c>
      <c r="S767" s="5">
        <f t="shared" si="8"/>
        <v>1</v>
      </c>
    </row>
    <row r="768">
      <c r="A768" s="2" t="s">
        <v>783</v>
      </c>
      <c r="B768" s="2">
        <v>11.0</v>
      </c>
      <c r="C768" s="2">
        <v>134.0</v>
      </c>
      <c r="D768" s="2">
        <v>49.0</v>
      </c>
      <c r="E768" s="3">
        <f t="shared" si="1"/>
        <v>0.3983739837</v>
      </c>
      <c r="F768" s="2">
        <v>19.0</v>
      </c>
      <c r="G768" s="3">
        <f t="shared" si="2"/>
        <v>0.1544715447</v>
      </c>
      <c r="H768" s="2">
        <v>22.0</v>
      </c>
      <c r="I768" s="3">
        <f t="shared" si="3"/>
        <v>0.1788617886</v>
      </c>
      <c r="J768" s="2">
        <v>21.0</v>
      </c>
      <c r="K768" s="3">
        <f t="shared" si="4"/>
        <v>0.1707317073</v>
      </c>
      <c r="L768" s="2">
        <v>16.0</v>
      </c>
      <c r="M768" s="3">
        <f t="shared" si="5"/>
        <v>0.7272727273</v>
      </c>
      <c r="N768" s="2">
        <v>103900.0</v>
      </c>
      <c r="O768" s="4">
        <f t="shared" si="6"/>
        <v>4722.727273</v>
      </c>
      <c r="P768" s="2">
        <v>0.0</v>
      </c>
      <c r="Q768" s="3">
        <f t="shared" si="7"/>
        <v>0</v>
      </c>
      <c r="R768" s="2">
        <v>11.0</v>
      </c>
      <c r="S768" s="5">
        <f t="shared" si="8"/>
        <v>1</v>
      </c>
    </row>
    <row r="769">
      <c r="A769" s="2" t="s">
        <v>784</v>
      </c>
      <c r="B769" s="2">
        <v>180.0</v>
      </c>
      <c r="C769" s="2">
        <v>2103.0</v>
      </c>
      <c r="D769" s="2">
        <v>787.0</v>
      </c>
      <c r="E769" s="3">
        <f t="shared" si="1"/>
        <v>0.4092563703</v>
      </c>
      <c r="F769" s="2">
        <v>297.0</v>
      </c>
      <c r="G769" s="3">
        <f t="shared" si="2"/>
        <v>0.1544461778</v>
      </c>
      <c r="H769" s="2">
        <v>427.0</v>
      </c>
      <c r="I769" s="3">
        <f t="shared" si="3"/>
        <v>0.222048882</v>
      </c>
      <c r="J769" s="2">
        <v>310.0</v>
      </c>
      <c r="K769" s="3">
        <f t="shared" si="4"/>
        <v>0.1612064483</v>
      </c>
      <c r="L769" s="2">
        <v>271.0</v>
      </c>
      <c r="M769" s="3">
        <f t="shared" si="5"/>
        <v>0.6346604215</v>
      </c>
      <c r="N769" s="2">
        <v>2569100.0</v>
      </c>
      <c r="O769" s="4">
        <f t="shared" si="6"/>
        <v>6016.627635</v>
      </c>
      <c r="P769" s="2">
        <v>1.0</v>
      </c>
      <c r="Q769" s="3">
        <f t="shared" si="7"/>
        <v>0.005555555556</v>
      </c>
      <c r="R769" s="2">
        <v>180.0</v>
      </c>
      <c r="S769" s="5">
        <f t="shared" si="8"/>
        <v>1</v>
      </c>
    </row>
    <row r="770">
      <c r="A770" s="2" t="s">
        <v>785</v>
      </c>
      <c r="B770" s="2">
        <v>73.0</v>
      </c>
      <c r="C770" s="2">
        <v>850.0</v>
      </c>
      <c r="D770" s="2">
        <v>213.0</v>
      </c>
      <c r="E770" s="3">
        <f t="shared" si="1"/>
        <v>0.2741312741</v>
      </c>
      <c r="F770" s="2">
        <v>120.0</v>
      </c>
      <c r="G770" s="3">
        <f t="shared" si="2"/>
        <v>0.1544401544</v>
      </c>
      <c r="H770" s="2">
        <v>177.0</v>
      </c>
      <c r="I770" s="3">
        <f t="shared" si="3"/>
        <v>0.2277992278</v>
      </c>
      <c r="J770" s="2">
        <v>153.0</v>
      </c>
      <c r="K770" s="3">
        <f t="shared" si="4"/>
        <v>0.1969111969</v>
      </c>
      <c r="L770" s="2">
        <v>101.0</v>
      </c>
      <c r="M770" s="3">
        <f t="shared" si="5"/>
        <v>0.5706214689</v>
      </c>
      <c r="N770" s="2">
        <v>1044000.0</v>
      </c>
      <c r="O770" s="4">
        <f t="shared" si="6"/>
        <v>5898.305085</v>
      </c>
      <c r="P770" s="2">
        <v>0.0</v>
      </c>
      <c r="Q770" s="3">
        <f t="shared" si="7"/>
        <v>0</v>
      </c>
      <c r="R770" s="2">
        <v>73.0</v>
      </c>
      <c r="S770" s="5">
        <f t="shared" si="8"/>
        <v>1</v>
      </c>
    </row>
    <row r="771">
      <c r="A771" s="2" t="s">
        <v>786</v>
      </c>
      <c r="B771" s="2">
        <v>40.0</v>
      </c>
      <c r="C771" s="2">
        <v>435.0</v>
      </c>
      <c r="D771" s="2">
        <v>180.0</v>
      </c>
      <c r="E771" s="3">
        <f t="shared" si="1"/>
        <v>0.4556962025</v>
      </c>
      <c r="F771" s="2">
        <v>61.0</v>
      </c>
      <c r="G771" s="3">
        <f t="shared" si="2"/>
        <v>0.1544303797</v>
      </c>
      <c r="H771" s="2">
        <v>88.0</v>
      </c>
      <c r="I771" s="3">
        <f t="shared" si="3"/>
        <v>0.2227848101</v>
      </c>
      <c r="J771" s="2">
        <v>58.0</v>
      </c>
      <c r="K771" s="3">
        <f t="shared" si="4"/>
        <v>0.146835443</v>
      </c>
      <c r="L771" s="2">
        <v>48.0</v>
      </c>
      <c r="M771" s="3">
        <f t="shared" si="5"/>
        <v>0.5454545455</v>
      </c>
      <c r="N771" s="2">
        <v>503400.0</v>
      </c>
      <c r="O771" s="4">
        <f t="shared" si="6"/>
        <v>5720.454545</v>
      </c>
      <c r="P771" s="2">
        <v>1.0</v>
      </c>
      <c r="Q771" s="3">
        <f t="shared" si="7"/>
        <v>0.025</v>
      </c>
      <c r="R771" s="2">
        <v>40.0</v>
      </c>
      <c r="S771" s="5">
        <f t="shared" si="8"/>
        <v>1</v>
      </c>
    </row>
    <row r="772">
      <c r="A772" s="2" t="s">
        <v>787</v>
      </c>
      <c r="B772" s="2">
        <v>25.0</v>
      </c>
      <c r="C772" s="2">
        <v>297.0</v>
      </c>
      <c r="D772" s="2">
        <v>73.0</v>
      </c>
      <c r="E772" s="3">
        <f t="shared" si="1"/>
        <v>0.2683823529</v>
      </c>
      <c r="F772" s="2">
        <v>42.0</v>
      </c>
      <c r="G772" s="3">
        <f t="shared" si="2"/>
        <v>0.1544117647</v>
      </c>
      <c r="H772" s="2">
        <v>49.0</v>
      </c>
      <c r="I772" s="3">
        <f t="shared" si="3"/>
        <v>0.1801470588</v>
      </c>
      <c r="J772" s="2">
        <v>57.0</v>
      </c>
      <c r="K772" s="3">
        <f t="shared" si="4"/>
        <v>0.2095588235</v>
      </c>
      <c r="L772" s="2">
        <v>30.0</v>
      </c>
      <c r="M772" s="3">
        <f t="shared" si="5"/>
        <v>0.612244898</v>
      </c>
      <c r="N772" s="2">
        <v>314300.0</v>
      </c>
      <c r="O772" s="4">
        <f t="shared" si="6"/>
        <v>6414.285714</v>
      </c>
      <c r="P772" s="2">
        <v>1.0</v>
      </c>
      <c r="Q772" s="3">
        <f t="shared" si="7"/>
        <v>0.04</v>
      </c>
      <c r="R772" s="2">
        <v>25.0</v>
      </c>
      <c r="S772" s="5">
        <f t="shared" si="8"/>
        <v>1</v>
      </c>
    </row>
    <row r="773">
      <c r="A773" s="2" t="s">
        <v>788</v>
      </c>
      <c r="B773" s="2">
        <v>52.0</v>
      </c>
      <c r="C773" s="2">
        <v>596.0</v>
      </c>
      <c r="D773" s="2">
        <v>170.0</v>
      </c>
      <c r="E773" s="3">
        <f t="shared" si="1"/>
        <v>0.3125</v>
      </c>
      <c r="F773" s="2">
        <v>84.0</v>
      </c>
      <c r="G773" s="3">
        <f t="shared" si="2"/>
        <v>0.1544117647</v>
      </c>
      <c r="H773" s="2">
        <v>108.0</v>
      </c>
      <c r="I773" s="3">
        <f t="shared" si="3"/>
        <v>0.1985294118</v>
      </c>
      <c r="J773" s="2">
        <v>101.0</v>
      </c>
      <c r="K773" s="3">
        <f t="shared" si="4"/>
        <v>0.1856617647</v>
      </c>
      <c r="L773" s="2">
        <v>64.0</v>
      </c>
      <c r="M773" s="3">
        <f t="shared" si="5"/>
        <v>0.5925925926</v>
      </c>
      <c r="N773" s="2">
        <v>585600.0</v>
      </c>
      <c r="O773" s="4">
        <f t="shared" si="6"/>
        <v>5422.222222</v>
      </c>
      <c r="P773" s="2">
        <v>0.0</v>
      </c>
      <c r="Q773" s="3">
        <f t="shared" si="7"/>
        <v>0</v>
      </c>
      <c r="R773" s="2">
        <v>0.0</v>
      </c>
      <c r="S773" s="5">
        <f t="shared" si="8"/>
        <v>0</v>
      </c>
    </row>
    <row r="774">
      <c r="A774" s="2" t="s">
        <v>789</v>
      </c>
      <c r="B774" s="2">
        <v>39.0</v>
      </c>
      <c r="C774" s="2">
        <v>460.0</v>
      </c>
      <c r="D774" s="2">
        <v>124.0</v>
      </c>
      <c r="E774" s="3">
        <f t="shared" si="1"/>
        <v>0.2945368171</v>
      </c>
      <c r="F774" s="2">
        <v>65.0</v>
      </c>
      <c r="G774" s="3">
        <f t="shared" si="2"/>
        <v>0.1543942993</v>
      </c>
      <c r="H774" s="2">
        <v>76.0</v>
      </c>
      <c r="I774" s="3">
        <f t="shared" si="3"/>
        <v>0.1805225653</v>
      </c>
      <c r="J774" s="2">
        <v>81.0</v>
      </c>
      <c r="K774" s="3">
        <f t="shared" si="4"/>
        <v>0.1923990499</v>
      </c>
      <c r="L774" s="2">
        <v>41.0</v>
      </c>
      <c r="M774" s="3">
        <f t="shared" si="5"/>
        <v>0.5394736842</v>
      </c>
      <c r="N774" s="2">
        <v>428100.0</v>
      </c>
      <c r="O774" s="4">
        <f t="shared" si="6"/>
        <v>5632.894737</v>
      </c>
      <c r="P774" s="2">
        <v>1.0</v>
      </c>
      <c r="Q774" s="3">
        <f t="shared" si="7"/>
        <v>0.02564102564</v>
      </c>
      <c r="R774" s="2">
        <v>39.0</v>
      </c>
      <c r="S774" s="5">
        <f t="shared" si="8"/>
        <v>1</v>
      </c>
    </row>
    <row r="775">
      <c r="A775" s="2" t="s">
        <v>790</v>
      </c>
      <c r="B775" s="2">
        <v>130.0</v>
      </c>
      <c r="C775" s="2">
        <v>1542.0</v>
      </c>
      <c r="D775" s="2">
        <v>384.0</v>
      </c>
      <c r="E775" s="3">
        <f t="shared" si="1"/>
        <v>0.2719546742</v>
      </c>
      <c r="F775" s="2">
        <v>218.0</v>
      </c>
      <c r="G775" s="3">
        <f t="shared" si="2"/>
        <v>0.1543909348</v>
      </c>
      <c r="H775" s="2">
        <v>280.0</v>
      </c>
      <c r="I775" s="3">
        <f t="shared" si="3"/>
        <v>0.1983002833</v>
      </c>
      <c r="J775" s="2">
        <v>284.0</v>
      </c>
      <c r="K775" s="3">
        <f t="shared" si="4"/>
        <v>0.2011331445</v>
      </c>
      <c r="L775" s="2">
        <v>173.0</v>
      </c>
      <c r="M775" s="3">
        <f t="shared" si="5"/>
        <v>0.6178571429</v>
      </c>
      <c r="N775" s="2">
        <v>1727700.0</v>
      </c>
      <c r="O775" s="4">
        <f t="shared" si="6"/>
        <v>6170.357143</v>
      </c>
      <c r="P775" s="2">
        <v>0.0</v>
      </c>
      <c r="Q775" s="3">
        <f t="shared" si="7"/>
        <v>0</v>
      </c>
      <c r="R775" s="2">
        <v>0.0</v>
      </c>
      <c r="S775" s="5">
        <f t="shared" si="8"/>
        <v>0</v>
      </c>
    </row>
    <row r="776">
      <c r="A776" s="2" t="s">
        <v>791</v>
      </c>
      <c r="B776" s="2">
        <v>146.0</v>
      </c>
      <c r="C776" s="2">
        <v>1707.0</v>
      </c>
      <c r="D776" s="2">
        <v>554.0</v>
      </c>
      <c r="E776" s="3">
        <f t="shared" si="1"/>
        <v>0.3549007047</v>
      </c>
      <c r="F776" s="2">
        <v>241.0</v>
      </c>
      <c r="G776" s="3">
        <f t="shared" si="2"/>
        <v>0.1543882127</v>
      </c>
      <c r="H776" s="2">
        <v>332.0</v>
      </c>
      <c r="I776" s="3">
        <f t="shared" si="3"/>
        <v>0.2126841768</v>
      </c>
      <c r="J776" s="2">
        <v>274.0</v>
      </c>
      <c r="K776" s="3">
        <f t="shared" si="4"/>
        <v>0.1755285074</v>
      </c>
      <c r="L776" s="2">
        <v>213.0</v>
      </c>
      <c r="M776" s="3">
        <f t="shared" si="5"/>
        <v>0.6415662651</v>
      </c>
      <c r="N776" s="2">
        <v>1970800.0</v>
      </c>
      <c r="O776" s="4">
        <f t="shared" si="6"/>
        <v>5936.144578</v>
      </c>
      <c r="P776" s="2">
        <v>0.0</v>
      </c>
      <c r="Q776" s="3">
        <f t="shared" si="7"/>
        <v>0</v>
      </c>
      <c r="R776" s="2">
        <v>146.0</v>
      </c>
      <c r="S776" s="5">
        <f t="shared" si="8"/>
        <v>1</v>
      </c>
    </row>
    <row r="777">
      <c r="A777" s="2" t="s">
        <v>792</v>
      </c>
      <c r="B777" s="2">
        <v>27.0</v>
      </c>
      <c r="C777" s="2">
        <v>312.0</v>
      </c>
      <c r="D777" s="2">
        <v>106.0</v>
      </c>
      <c r="E777" s="3">
        <f t="shared" si="1"/>
        <v>0.3719298246</v>
      </c>
      <c r="F777" s="2">
        <v>44.0</v>
      </c>
      <c r="G777" s="3">
        <f t="shared" si="2"/>
        <v>0.1543859649</v>
      </c>
      <c r="H777" s="2">
        <v>61.0</v>
      </c>
      <c r="I777" s="3">
        <f t="shared" si="3"/>
        <v>0.2140350877</v>
      </c>
      <c r="J777" s="2">
        <v>48.0</v>
      </c>
      <c r="K777" s="3">
        <f t="shared" si="4"/>
        <v>0.1684210526</v>
      </c>
      <c r="L777" s="2">
        <v>34.0</v>
      </c>
      <c r="M777" s="3">
        <f t="shared" si="5"/>
        <v>0.5573770492</v>
      </c>
      <c r="N777" s="2">
        <v>331100.0</v>
      </c>
      <c r="O777" s="4">
        <f t="shared" si="6"/>
        <v>5427.868852</v>
      </c>
      <c r="P777" s="2">
        <v>0.0</v>
      </c>
      <c r="Q777" s="3">
        <f t="shared" si="7"/>
        <v>0</v>
      </c>
      <c r="R777" s="2">
        <v>6.0</v>
      </c>
      <c r="S777" s="5">
        <f t="shared" si="8"/>
        <v>0.2222222222</v>
      </c>
    </row>
    <row r="778">
      <c r="A778" s="2" t="s">
        <v>793</v>
      </c>
      <c r="B778" s="2">
        <v>73.0</v>
      </c>
      <c r="C778" s="2">
        <v>844.0</v>
      </c>
      <c r="D778" s="2">
        <v>235.0</v>
      </c>
      <c r="E778" s="3">
        <f t="shared" si="1"/>
        <v>0.3047989624</v>
      </c>
      <c r="F778" s="2">
        <v>119.0</v>
      </c>
      <c r="G778" s="3">
        <f t="shared" si="2"/>
        <v>0.1543450065</v>
      </c>
      <c r="H778" s="2">
        <v>160.0</v>
      </c>
      <c r="I778" s="3">
        <f t="shared" si="3"/>
        <v>0.2075226978</v>
      </c>
      <c r="J778" s="2">
        <v>115.0</v>
      </c>
      <c r="K778" s="3">
        <f t="shared" si="4"/>
        <v>0.149156939</v>
      </c>
      <c r="L778" s="2">
        <v>99.0</v>
      </c>
      <c r="M778" s="3">
        <f t="shared" si="5"/>
        <v>0.61875</v>
      </c>
      <c r="N778" s="2">
        <v>928600.0</v>
      </c>
      <c r="O778" s="4">
        <f t="shared" si="6"/>
        <v>5803.75</v>
      </c>
      <c r="P778" s="2">
        <v>0.0</v>
      </c>
      <c r="Q778" s="3">
        <f t="shared" si="7"/>
        <v>0</v>
      </c>
      <c r="R778" s="2">
        <v>73.0</v>
      </c>
      <c r="S778" s="5">
        <f t="shared" si="8"/>
        <v>1</v>
      </c>
    </row>
    <row r="779">
      <c r="A779" s="2" t="s">
        <v>794</v>
      </c>
      <c r="B779" s="2">
        <v>119.0</v>
      </c>
      <c r="C779" s="2">
        <v>1415.0</v>
      </c>
      <c r="D779" s="2">
        <v>408.0</v>
      </c>
      <c r="E779" s="3">
        <f t="shared" si="1"/>
        <v>0.3148148148</v>
      </c>
      <c r="F779" s="2">
        <v>200.0</v>
      </c>
      <c r="G779" s="3">
        <f t="shared" si="2"/>
        <v>0.1543209877</v>
      </c>
      <c r="H779" s="2">
        <v>251.0</v>
      </c>
      <c r="I779" s="3">
        <f t="shared" si="3"/>
        <v>0.1936728395</v>
      </c>
      <c r="J779" s="2">
        <v>219.0</v>
      </c>
      <c r="K779" s="3">
        <f t="shared" si="4"/>
        <v>0.1689814815</v>
      </c>
      <c r="L779" s="2">
        <v>154.0</v>
      </c>
      <c r="M779" s="3">
        <f t="shared" si="5"/>
        <v>0.6135458167</v>
      </c>
      <c r="N779" s="2">
        <v>1518900.0</v>
      </c>
      <c r="O779" s="4">
        <f t="shared" si="6"/>
        <v>6051.394422</v>
      </c>
      <c r="P779" s="2">
        <v>1.0</v>
      </c>
      <c r="Q779" s="3">
        <f t="shared" si="7"/>
        <v>0.008403361345</v>
      </c>
      <c r="R779" s="2">
        <v>119.0</v>
      </c>
      <c r="S779" s="5">
        <f t="shared" si="8"/>
        <v>1</v>
      </c>
    </row>
    <row r="780">
      <c r="A780" s="2" t="s">
        <v>795</v>
      </c>
      <c r="B780" s="2">
        <v>347.0</v>
      </c>
      <c r="C780" s="2">
        <v>3976.0</v>
      </c>
      <c r="D780" s="2">
        <v>983.0</v>
      </c>
      <c r="E780" s="3">
        <f t="shared" si="1"/>
        <v>0.2708735189</v>
      </c>
      <c r="F780" s="2">
        <v>560.0</v>
      </c>
      <c r="G780" s="3">
        <f t="shared" si="2"/>
        <v>0.1543124828</v>
      </c>
      <c r="H780" s="2">
        <v>759.0</v>
      </c>
      <c r="I780" s="3">
        <f t="shared" si="3"/>
        <v>0.2091485258</v>
      </c>
      <c r="J780" s="2">
        <v>698.0</v>
      </c>
      <c r="K780" s="3">
        <f t="shared" si="4"/>
        <v>0.1923394875</v>
      </c>
      <c r="L780" s="2">
        <v>450.0</v>
      </c>
      <c r="M780" s="3">
        <f t="shared" si="5"/>
        <v>0.5928853755</v>
      </c>
      <c r="N780" s="2">
        <v>4682100.0</v>
      </c>
      <c r="O780" s="4">
        <f t="shared" si="6"/>
        <v>6168.774704</v>
      </c>
      <c r="P780" s="2">
        <v>1.0</v>
      </c>
      <c r="Q780" s="3">
        <f t="shared" si="7"/>
        <v>0.00288184438</v>
      </c>
      <c r="R780" s="2">
        <v>347.0</v>
      </c>
      <c r="S780" s="5">
        <f t="shared" si="8"/>
        <v>1</v>
      </c>
    </row>
    <row r="781">
      <c r="A781" s="2" t="s">
        <v>796</v>
      </c>
      <c r="B781" s="2">
        <v>622.0</v>
      </c>
      <c r="C781" s="2">
        <v>7214.0</v>
      </c>
      <c r="D781" s="2">
        <v>2744.0</v>
      </c>
      <c r="E781" s="3">
        <f t="shared" si="1"/>
        <v>0.4162621359</v>
      </c>
      <c r="F781" s="2">
        <v>1017.0</v>
      </c>
      <c r="G781" s="3">
        <f t="shared" si="2"/>
        <v>0.1542779126</v>
      </c>
      <c r="H781" s="2">
        <v>1475.0</v>
      </c>
      <c r="I781" s="3">
        <f t="shared" si="3"/>
        <v>0.223756068</v>
      </c>
      <c r="J781" s="2">
        <v>1097.0</v>
      </c>
      <c r="K781" s="3">
        <f t="shared" si="4"/>
        <v>0.166413835</v>
      </c>
      <c r="L781" s="2">
        <v>906.0</v>
      </c>
      <c r="M781" s="3">
        <f t="shared" si="5"/>
        <v>0.6142372881</v>
      </c>
      <c r="N781" s="2">
        <v>8191600.0</v>
      </c>
      <c r="O781" s="4">
        <f t="shared" si="6"/>
        <v>5553.627119</v>
      </c>
      <c r="P781" s="2">
        <v>3.0</v>
      </c>
      <c r="Q781" s="3">
        <f t="shared" si="7"/>
        <v>0.004823151125</v>
      </c>
      <c r="R781" s="2">
        <v>601.0</v>
      </c>
      <c r="S781" s="5">
        <f t="shared" si="8"/>
        <v>0.9662379421</v>
      </c>
    </row>
    <row r="782">
      <c r="A782" s="2" t="s">
        <v>797</v>
      </c>
      <c r="B782" s="2">
        <v>549.0</v>
      </c>
      <c r="C782" s="2">
        <v>6275.0</v>
      </c>
      <c r="D782" s="2">
        <v>2027.0</v>
      </c>
      <c r="E782" s="3">
        <f t="shared" si="1"/>
        <v>0.3539993014</v>
      </c>
      <c r="F782" s="2">
        <v>883.0</v>
      </c>
      <c r="G782" s="3">
        <f t="shared" si="2"/>
        <v>0.1542088718</v>
      </c>
      <c r="H782" s="2">
        <v>1279.0</v>
      </c>
      <c r="I782" s="3">
        <f t="shared" si="3"/>
        <v>0.2233670975</v>
      </c>
      <c r="J782" s="2">
        <v>1063.0</v>
      </c>
      <c r="K782" s="3">
        <f t="shared" si="4"/>
        <v>0.1856444289</v>
      </c>
      <c r="L782" s="2">
        <v>761.0</v>
      </c>
      <c r="M782" s="3">
        <f t="shared" si="5"/>
        <v>0.5949960907</v>
      </c>
      <c r="N782" s="2">
        <v>7464900.0</v>
      </c>
      <c r="O782" s="4">
        <f t="shared" si="6"/>
        <v>5836.512901</v>
      </c>
      <c r="P782" s="2">
        <v>1.0</v>
      </c>
      <c r="Q782" s="3">
        <f t="shared" si="7"/>
        <v>0.001821493625</v>
      </c>
      <c r="R782" s="2">
        <v>549.0</v>
      </c>
      <c r="S782" s="5">
        <f t="shared" si="8"/>
        <v>1</v>
      </c>
    </row>
    <row r="783">
      <c r="A783" s="2" t="s">
        <v>798</v>
      </c>
      <c r="B783" s="2">
        <v>102.0</v>
      </c>
      <c r="C783" s="2">
        <v>1198.0</v>
      </c>
      <c r="D783" s="2">
        <v>299.0</v>
      </c>
      <c r="E783" s="3">
        <f t="shared" si="1"/>
        <v>0.272810219</v>
      </c>
      <c r="F783" s="2">
        <v>169.0</v>
      </c>
      <c r="G783" s="3">
        <f t="shared" si="2"/>
        <v>0.1541970803</v>
      </c>
      <c r="H783" s="2">
        <v>237.0</v>
      </c>
      <c r="I783" s="3">
        <f t="shared" si="3"/>
        <v>0.2162408759</v>
      </c>
      <c r="J783" s="2">
        <v>262.0</v>
      </c>
      <c r="K783" s="3">
        <f t="shared" si="4"/>
        <v>0.2390510949</v>
      </c>
      <c r="L783" s="2">
        <v>152.0</v>
      </c>
      <c r="M783" s="3">
        <f t="shared" si="5"/>
        <v>0.641350211</v>
      </c>
      <c r="N783" s="2">
        <v>1503400.0</v>
      </c>
      <c r="O783" s="4">
        <f t="shared" si="6"/>
        <v>6343.459916</v>
      </c>
      <c r="P783" s="2">
        <v>0.0</v>
      </c>
      <c r="Q783" s="3">
        <f t="shared" si="7"/>
        <v>0</v>
      </c>
      <c r="R783" s="2">
        <v>102.0</v>
      </c>
      <c r="S783" s="5">
        <f t="shared" si="8"/>
        <v>1</v>
      </c>
    </row>
    <row r="784">
      <c r="A784" s="2" t="s">
        <v>799</v>
      </c>
      <c r="B784" s="2">
        <v>22.0</v>
      </c>
      <c r="C784" s="2">
        <v>249.0</v>
      </c>
      <c r="D784" s="2">
        <v>87.0</v>
      </c>
      <c r="E784" s="3">
        <f t="shared" si="1"/>
        <v>0.3832599119</v>
      </c>
      <c r="F784" s="2">
        <v>35.0</v>
      </c>
      <c r="G784" s="3">
        <f t="shared" si="2"/>
        <v>0.154185022</v>
      </c>
      <c r="H784" s="2">
        <v>47.0</v>
      </c>
      <c r="I784" s="3">
        <f t="shared" si="3"/>
        <v>0.2070484581</v>
      </c>
      <c r="J784" s="2">
        <v>38.0</v>
      </c>
      <c r="K784" s="3">
        <f t="shared" si="4"/>
        <v>0.1674008811</v>
      </c>
      <c r="L784" s="2">
        <v>29.0</v>
      </c>
      <c r="M784" s="3">
        <f t="shared" si="5"/>
        <v>0.6170212766</v>
      </c>
      <c r="N784" s="2">
        <v>274900.0</v>
      </c>
      <c r="O784" s="4">
        <f t="shared" si="6"/>
        <v>5848.93617</v>
      </c>
      <c r="P784" s="2">
        <v>0.0</v>
      </c>
      <c r="Q784" s="3">
        <f t="shared" si="7"/>
        <v>0</v>
      </c>
      <c r="R784" s="2">
        <v>22.0</v>
      </c>
      <c r="S784" s="5">
        <f t="shared" si="8"/>
        <v>1</v>
      </c>
    </row>
    <row r="785">
      <c r="A785" s="2" t="s">
        <v>800</v>
      </c>
      <c r="B785" s="2">
        <v>89.0</v>
      </c>
      <c r="C785" s="2">
        <v>1049.0</v>
      </c>
      <c r="D785" s="2">
        <v>327.0</v>
      </c>
      <c r="E785" s="3">
        <f t="shared" si="1"/>
        <v>0.340625</v>
      </c>
      <c r="F785" s="2">
        <v>148.0</v>
      </c>
      <c r="G785" s="3">
        <f t="shared" si="2"/>
        <v>0.1541666667</v>
      </c>
      <c r="H785" s="2">
        <v>194.0</v>
      </c>
      <c r="I785" s="3">
        <f t="shared" si="3"/>
        <v>0.2020833333</v>
      </c>
      <c r="J785" s="2">
        <v>137.0</v>
      </c>
      <c r="K785" s="3">
        <f t="shared" si="4"/>
        <v>0.1427083333</v>
      </c>
      <c r="L785" s="2">
        <v>113.0</v>
      </c>
      <c r="M785" s="3">
        <f t="shared" si="5"/>
        <v>0.5824742268</v>
      </c>
      <c r="N785" s="2">
        <v>1059700.0</v>
      </c>
      <c r="O785" s="4">
        <f t="shared" si="6"/>
        <v>5462.371134</v>
      </c>
      <c r="P785" s="2">
        <v>1.0</v>
      </c>
      <c r="Q785" s="3">
        <f t="shared" si="7"/>
        <v>0.01123595506</v>
      </c>
      <c r="R785" s="2">
        <v>89.0</v>
      </c>
      <c r="S785" s="5">
        <f t="shared" si="8"/>
        <v>1</v>
      </c>
    </row>
    <row r="786">
      <c r="A786" s="2" t="s">
        <v>801</v>
      </c>
      <c r="B786" s="2">
        <v>23.0</v>
      </c>
      <c r="C786" s="2">
        <v>276.0</v>
      </c>
      <c r="D786" s="2">
        <v>89.0</v>
      </c>
      <c r="E786" s="3">
        <f t="shared" si="1"/>
        <v>0.3517786561</v>
      </c>
      <c r="F786" s="2">
        <v>39.0</v>
      </c>
      <c r="G786" s="3">
        <f t="shared" si="2"/>
        <v>0.1541501976</v>
      </c>
      <c r="H786" s="2">
        <v>46.0</v>
      </c>
      <c r="I786" s="3">
        <f t="shared" si="3"/>
        <v>0.1818181818</v>
      </c>
      <c r="J786" s="2">
        <v>58.0</v>
      </c>
      <c r="K786" s="3">
        <f t="shared" si="4"/>
        <v>0.2292490119</v>
      </c>
      <c r="L786" s="2">
        <v>30.0</v>
      </c>
      <c r="M786" s="3">
        <f t="shared" si="5"/>
        <v>0.652173913</v>
      </c>
      <c r="N786" s="2">
        <v>227900.0</v>
      </c>
      <c r="O786" s="4">
        <f t="shared" si="6"/>
        <v>4954.347826</v>
      </c>
      <c r="P786" s="2">
        <v>0.0</v>
      </c>
      <c r="Q786" s="3">
        <f t="shared" si="7"/>
        <v>0</v>
      </c>
      <c r="R786" s="2">
        <v>23.0</v>
      </c>
      <c r="S786" s="5">
        <f t="shared" si="8"/>
        <v>1</v>
      </c>
    </row>
    <row r="787">
      <c r="A787" s="2" t="s">
        <v>802</v>
      </c>
      <c r="B787" s="2">
        <v>55.0</v>
      </c>
      <c r="C787" s="2">
        <v>652.0</v>
      </c>
      <c r="D787" s="2">
        <v>202.0</v>
      </c>
      <c r="E787" s="3">
        <f t="shared" si="1"/>
        <v>0.338358459</v>
      </c>
      <c r="F787" s="2">
        <v>92.0</v>
      </c>
      <c r="G787" s="3">
        <f t="shared" si="2"/>
        <v>0.1541038526</v>
      </c>
      <c r="H787" s="2">
        <v>117.0</v>
      </c>
      <c r="I787" s="3">
        <f t="shared" si="3"/>
        <v>0.1959798995</v>
      </c>
      <c r="J787" s="2">
        <v>105.0</v>
      </c>
      <c r="K787" s="3">
        <f t="shared" si="4"/>
        <v>0.175879397</v>
      </c>
      <c r="L787" s="2">
        <v>59.0</v>
      </c>
      <c r="M787" s="3">
        <f t="shared" si="5"/>
        <v>0.5042735043</v>
      </c>
      <c r="N787" s="2">
        <v>646900.0</v>
      </c>
      <c r="O787" s="4">
        <f t="shared" si="6"/>
        <v>5529.059829</v>
      </c>
      <c r="P787" s="2">
        <v>0.0</v>
      </c>
      <c r="Q787" s="3">
        <f t="shared" si="7"/>
        <v>0</v>
      </c>
      <c r="R787" s="2">
        <v>55.0</v>
      </c>
      <c r="S787" s="5">
        <f t="shared" si="8"/>
        <v>1</v>
      </c>
    </row>
    <row r="788">
      <c r="A788" s="2" t="s">
        <v>803</v>
      </c>
      <c r="B788" s="2">
        <v>151.0</v>
      </c>
      <c r="C788" s="2">
        <v>1715.0</v>
      </c>
      <c r="D788" s="2">
        <v>456.0</v>
      </c>
      <c r="E788" s="3">
        <f t="shared" si="1"/>
        <v>0.2915601023</v>
      </c>
      <c r="F788" s="2">
        <v>241.0</v>
      </c>
      <c r="G788" s="3">
        <f t="shared" si="2"/>
        <v>0.1540920716</v>
      </c>
      <c r="H788" s="2">
        <v>344.0</v>
      </c>
      <c r="I788" s="3">
        <f t="shared" si="3"/>
        <v>0.2199488491</v>
      </c>
      <c r="J788" s="2">
        <v>324.0</v>
      </c>
      <c r="K788" s="3">
        <f t="shared" si="4"/>
        <v>0.2071611253</v>
      </c>
      <c r="L788" s="2">
        <v>200.0</v>
      </c>
      <c r="M788" s="3">
        <f t="shared" si="5"/>
        <v>0.5813953488</v>
      </c>
      <c r="N788" s="2">
        <v>1975400.0</v>
      </c>
      <c r="O788" s="4">
        <f t="shared" si="6"/>
        <v>5742.44186</v>
      </c>
      <c r="P788" s="2">
        <v>0.0</v>
      </c>
      <c r="Q788" s="3">
        <f t="shared" si="7"/>
        <v>0</v>
      </c>
      <c r="R788" s="2">
        <v>151.0</v>
      </c>
      <c r="S788" s="5">
        <f t="shared" si="8"/>
        <v>1</v>
      </c>
    </row>
    <row r="789">
      <c r="A789" s="2" t="s">
        <v>804</v>
      </c>
      <c r="B789" s="2">
        <v>36.0</v>
      </c>
      <c r="C789" s="2">
        <v>419.0</v>
      </c>
      <c r="D789" s="2">
        <v>102.0</v>
      </c>
      <c r="E789" s="3">
        <f t="shared" si="1"/>
        <v>0.2663185379</v>
      </c>
      <c r="F789" s="2">
        <v>59.0</v>
      </c>
      <c r="G789" s="3">
        <f t="shared" si="2"/>
        <v>0.1540469974</v>
      </c>
      <c r="H789" s="2">
        <v>54.0</v>
      </c>
      <c r="I789" s="3">
        <f t="shared" si="3"/>
        <v>0.1409921671</v>
      </c>
      <c r="J789" s="2">
        <v>60.0</v>
      </c>
      <c r="K789" s="3">
        <f t="shared" si="4"/>
        <v>0.1566579634</v>
      </c>
      <c r="L789" s="2">
        <v>33.0</v>
      </c>
      <c r="M789" s="3">
        <f t="shared" si="5"/>
        <v>0.6111111111</v>
      </c>
      <c r="N789" s="2">
        <v>338800.0</v>
      </c>
      <c r="O789" s="4">
        <f t="shared" si="6"/>
        <v>6274.074074</v>
      </c>
      <c r="P789" s="2">
        <v>0.0</v>
      </c>
      <c r="Q789" s="3">
        <f t="shared" si="7"/>
        <v>0</v>
      </c>
      <c r="R789" s="2">
        <v>36.0</v>
      </c>
      <c r="S789" s="5">
        <f t="shared" si="8"/>
        <v>1</v>
      </c>
    </row>
    <row r="790">
      <c r="A790" s="2" t="s">
        <v>805</v>
      </c>
      <c r="B790" s="2">
        <v>315.0</v>
      </c>
      <c r="C790" s="2">
        <v>3600.0</v>
      </c>
      <c r="D790" s="2">
        <v>1081.0</v>
      </c>
      <c r="E790" s="3">
        <f t="shared" si="1"/>
        <v>0.3290715373</v>
      </c>
      <c r="F790" s="2">
        <v>506.0</v>
      </c>
      <c r="G790" s="3">
        <f t="shared" si="2"/>
        <v>0.1540334855</v>
      </c>
      <c r="H790" s="2">
        <v>708.0</v>
      </c>
      <c r="I790" s="3">
        <f t="shared" si="3"/>
        <v>0.2155251142</v>
      </c>
      <c r="J790" s="2">
        <v>524.0</v>
      </c>
      <c r="K790" s="3">
        <f t="shared" si="4"/>
        <v>0.1595129376</v>
      </c>
      <c r="L790" s="2">
        <v>431.0</v>
      </c>
      <c r="M790" s="3">
        <f t="shared" si="5"/>
        <v>0.6087570621</v>
      </c>
      <c r="N790" s="2">
        <v>4145500.0</v>
      </c>
      <c r="O790" s="4">
        <f t="shared" si="6"/>
        <v>5855.225989</v>
      </c>
      <c r="P790" s="2">
        <v>2.0</v>
      </c>
      <c r="Q790" s="3">
        <f t="shared" si="7"/>
        <v>0.006349206349</v>
      </c>
      <c r="R790" s="2">
        <v>315.0</v>
      </c>
      <c r="S790" s="5">
        <f t="shared" si="8"/>
        <v>1</v>
      </c>
    </row>
    <row r="791">
      <c r="A791" s="2" t="s">
        <v>806</v>
      </c>
      <c r="B791" s="2">
        <v>42.0</v>
      </c>
      <c r="C791" s="2">
        <v>490.0</v>
      </c>
      <c r="D791" s="2">
        <v>193.0</v>
      </c>
      <c r="E791" s="3">
        <f t="shared" si="1"/>
        <v>0.4308035714</v>
      </c>
      <c r="F791" s="2">
        <v>69.0</v>
      </c>
      <c r="G791" s="3">
        <f t="shared" si="2"/>
        <v>0.1540178571</v>
      </c>
      <c r="H791" s="2">
        <v>81.0</v>
      </c>
      <c r="I791" s="3">
        <f t="shared" si="3"/>
        <v>0.1808035714</v>
      </c>
      <c r="J791" s="2">
        <v>57.0</v>
      </c>
      <c r="K791" s="3">
        <f t="shared" si="4"/>
        <v>0.1272321429</v>
      </c>
      <c r="L791" s="2">
        <v>51.0</v>
      </c>
      <c r="M791" s="3">
        <f t="shared" si="5"/>
        <v>0.6296296296</v>
      </c>
      <c r="N791" s="2">
        <v>379700.0</v>
      </c>
      <c r="O791" s="4">
        <f t="shared" si="6"/>
        <v>4687.654321</v>
      </c>
      <c r="P791" s="2">
        <v>0.0</v>
      </c>
      <c r="Q791" s="3">
        <f t="shared" si="7"/>
        <v>0</v>
      </c>
      <c r="R791" s="2">
        <v>42.0</v>
      </c>
      <c r="S791" s="5">
        <f t="shared" si="8"/>
        <v>1</v>
      </c>
    </row>
    <row r="792">
      <c r="A792" s="2" t="s">
        <v>807</v>
      </c>
      <c r="B792" s="2">
        <v>43.0</v>
      </c>
      <c r="C792" s="2">
        <v>517.0</v>
      </c>
      <c r="D792" s="2">
        <v>183.0</v>
      </c>
      <c r="E792" s="3">
        <f t="shared" si="1"/>
        <v>0.3860759494</v>
      </c>
      <c r="F792" s="2">
        <v>73.0</v>
      </c>
      <c r="G792" s="3">
        <f t="shared" si="2"/>
        <v>0.1540084388</v>
      </c>
      <c r="H792" s="2">
        <v>88.0</v>
      </c>
      <c r="I792" s="3">
        <f t="shared" si="3"/>
        <v>0.1856540084</v>
      </c>
      <c r="J792" s="2">
        <v>93.0</v>
      </c>
      <c r="K792" s="3">
        <f t="shared" si="4"/>
        <v>0.1962025316</v>
      </c>
      <c r="L792" s="2">
        <v>55.0</v>
      </c>
      <c r="M792" s="3">
        <f t="shared" si="5"/>
        <v>0.625</v>
      </c>
      <c r="N792" s="2">
        <v>454300.0</v>
      </c>
      <c r="O792" s="4">
        <f t="shared" si="6"/>
        <v>5162.5</v>
      </c>
      <c r="P792" s="2">
        <v>0.0</v>
      </c>
      <c r="Q792" s="3">
        <f t="shared" si="7"/>
        <v>0</v>
      </c>
      <c r="R792" s="2">
        <v>43.0</v>
      </c>
      <c r="S792" s="5">
        <f t="shared" si="8"/>
        <v>1</v>
      </c>
    </row>
    <row r="793">
      <c r="A793" s="2" t="s">
        <v>808</v>
      </c>
      <c r="B793" s="2">
        <v>103.0</v>
      </c>
      <c r="C793" s="2">
        <v>1207.0</v>
      </c>
      <c r="D793" s="2">
        <v>408.0</v>
      </c>
      <c r="E793" s="3">
        <f t="shared" si="1"/>
        <v>0.3695652174</v>
      </c>
      <c r="F793" s="2">
        <v>170.0</v>
      </c>
      <c r="G793" s="3">
        <f t="shared" si="2"/>
        <v>0.1539855072</v>
      </c>
      <c r="H793" s="2">
        <v>246.0</v>
      </c>
      <c r="I793" s="3">
        <f t="shared" si="3"/>
        <v>0.222826087</v>
      </c>
      <c r="J793" s="2">
        <v>216.0</v>
      </c>
      <c r="K793" s="3">
        <f t="shared" si="4"/>
        <v>0.1956521739</v>
      </c>
      <c r="L793" s="2">
        <v>150.0</v>
      </c>
      <c r="M793" s="3">
        <f t="shared" si="5"/>
        <v>0.6097560976</v>
      </c>
      <c r="N793" s="2">
        <v>1355100.0</v>
      </c>
      <c r="O793" s="4">
        <f t="shared" si="6"/>
        <v>5508.536585</v>
      </c>
      <c r="P793" s="2">
        <v>0.0</v>
      </c>
      <c r="Q793" s="3">
        <f t="shared" si="7"/>
        <v>0</v>
      </c>
      <c r="R793" s="2">
        <v>103.0</v>
      </c>
      <c r="S793" s="5">
        <f t="shared" si="8"/>
        <v>1</v>
      </c>
    </row>
    <row r="794">
      <c r="A794" s="2" t="s">
        <v>809</v>
      </c>
      <c r="B794" s="2">
        <v>348.0</v>
      </c>
      <c r="C794" s="2">
        <v>4076.0</v>
      </c>
      <c r="D794" s="2">
        <v>1496.0</v>
      </c>
      <c r="E794" s="3">
        <f t="shared" si="1"/>
        <v>0.4012875536</v>
      </c>
      <c r="F794" s="2">
        <v>574.0</v>
      </c>
      <c r="G794" s="3">
        <f t="shared" si="2"/>
        <v>0.1539699571</v>
      </c>
      <c r="H794" s="2">
        <v>742.0</v>
      </c>
      <c r="I794" s="3">
        <f t="shared" si="3"/>
        <v>0.1990343348</v>
      </c>
      <c r="J794" s="2">
        <v>562.0</v>
      </c>
      <c r="K794" s="3">
        <f t="shared" si="4"/>
        <v>0.150751073</v>
      </c>
      <c r="L794" s="2">
        <v>458.0</v>
      </c>
      <c r="M794" s="3">
        <f t="shared" si="5"/>
        <v>0.6172506739</v>
      </c>
      <c r="N794" s="2">
        <v>4183200.0</v>
      </c>
      <c r="O794" s="4">
        <f t="shared" si="6"/>
        <v>5637.735849</v>
      </c>
      <c r="P794" s="2">
        <v>1.0</v>
      </c>
      <c r="Q794" s="3">
        <f t="shared" si="7"/>
        <v>0.002873563218</v>
      </c>
      <c r="R794" s="2">
        <v>348.0</v>
      </c>
      <c r="S794" s="5">
        <f t="shared" si="8"/>
        <v>1</v>
      </c>
    </row>
    <row r="795">
      <c r="A795" s="2" t="s">
        <v>810</v>
      </c>
      <c r="B795" s="2">
        <v>154.0</v>
      </c>
      <c r="C795" s="2">
        <v>1804.0</v>
      </c>
      <c r="D795" s="2">
        <v>468.0</v>
      </c>
      <c r="E795" s="3">
        <f t="shared" si="1"/>
        <v>0.2836363636</v>
      </c>
      <c r="F795" s="2">
        <v>254.0</v>
      </c>
      <c r="G795" s="3">
        <f t="shared" si="2"/>
        <v>0.1539393939</v>
      </c>
      <c r="H795" s="2">
        <v>319.0</v>
      </c>
      <c r="I795" s="3">
        <f t="shared" si="3"/>
        <v>0.1933333333</v>
      </c>
      <c r="J795" s="2">
        <v>192.0</v>
      </c>
      <c r="K795" s="3">
        <f t="shared" si="4"/>
        <v>0.1163636364</v>
      </c>
      <c r="L795" s="2">
        <v>187.0</v>
      </c>
      <c r="M795" s="3">
        <f t="shared" si="5"/>
        <v>0.5862068966</v>
      </c>
      <c r="N795" s="2">
        <v>1912800.0</v>
      </c>
      <c r="O795" s="4">
        <f t="shared" si="6"/>
        <v>5996.238245</v>
      </c>
      <c r="P795" s="2">
        <v>0.0</v>
      </c>
      <c r="Q795" s="3">
        <f t="shared" si="7"/>
        <v>0</v>
      </c>
      <c r="R795" s="2">
        <v>154.0</v>
      </c>
      <c r="S795" s="5">
        <f t="shared" si="8"/>
        <v>1</v>
      </c>
    </row>
    <row r="796">
      <c r="A796" s="2" t="s">
        <v>811</v>
      </c>
      <c r="B796" s="2">
        <v>378.0</v>
      </c>
      <c r="C796" s="2">
        <v>4439.0</v>
      </c>
      <c r="D796" s="2">
        <v>1638.0</v>
      </c>
      <c r="E796" s="3">
        <f t="shared" si="1"/>
        <v>0.4033489288</v>
      </c>
      <c r="F796" s="2">
        <v>625.0</v>
      </c>
      <c r="G796" s="3">
        <f t="shared" si="2"/>
        <v>0.1539029796</v>
      </c>
      <c r="H796" s="2">
        <v>908.0</v>
      </c>
      <c r="I796" s="3">
        <f t="shared" si="3"/>
        <v>0.2235902487</v>
      </c>
      <c r="J796" s="2">
        <v>572.0</v>
      </c>
      <c r="K796" s="3">
        <f t="shared" si="4"/>
        <v>0.1408520069</v>
      </c>
      <c r="L796" s="2">
        <v>571.0</v>
      </c>
      <c r="M796" s="3">
        <f t="shared" si="5"/>
        <v>0.6288546256</v>
      </c>
      <c r="N796" s="2">
        <v>4809500.0</v>
      </c>
      <c r="O796" s="4">
        <f t="shared" si="6"/>
        <v>5296.806167</v>
      </c>
      <c r="P796" s="2">
        <v>0.0</v>
      </c>
      <c r="Q796" s="3">
        <f t="shared" si="7"/>
        <v>0</v>
      </c>
      <c r="R796" s="2">
        <v>322.0</v>
      </c>
      <c r="S796" s="5">
        <f t="shared" si="8"/>
        <v>0.8518518519</v>
      </c>
    </row>
    <row r="797">
      <c r="A797" s="2" t="s">
        <v>812</v>
      </c>
      <c r="B797" s="2">
        <v>127.0</v>
      </c>
      <c r="C797" s="2">
        <v>1498.0</v>
      </c>
      <c r="D797" s="2">
        <v>440.0</v>
      </c>
      <c r="E797" s="3">
        <f t="shared" si="1"/>
        <v>0.3209336251</v>
      </c>
      <c r="F797" s="2">
        <v>211.0</v>
      </c>
      <c r="G797" s="3">
        <f t="shared" si="2"/>
        <v>0.1539022611</v>
      </c>
      <c r="H797" s="2">
        <v>275.0</v>
      </c>
      <c r="I797" s="3">
        <f t="shared" si="3"/>
        <v>0.2005835157</v>
      </c>
      <c r="J797" s="2">
        <v>264.0</v>
      </c>
      <c r="K797" s="3">
        <f t="shared" si="4"/>
        <v>0.1925601751</v>
      </c>
      <c r="L797" s="2">
        <v>171.0</v>
      </c>
      <c r="M797" s="3">
        <f t="shared" si="5"/>
        <v>0.6218181818</v>
      </c>
      <c r="N797" s="2">
        <v>1554600.0</v>
      </c>
      <c r="O797" s="4">
        <f t="shared" si="6"/>
        <v>5653.090909</v>
      </c>
      <c r="P797" s="2">
        <v>0.0</v>
      </c>
      <c r="Q797" s="3">
        <f t="shared" si="7"/>
        <v>0</v>
      </c>
      <c r="R797" s="2">
        <v>24.0</v>
      </c>
      <c r="S797" s="5">
        <f t="shared" si="8"/>
        <v>0.188976378</v>
      </c>
    </row>
    <row r="798">
      <c r="A798" s="2" t="s">
        <v>813</v>
      </c>
      <c r="B798" s="2">
        <v>251.0</v>
      </c>
      <c r="C798" s="2">
        <v>2948.0</v>
      </c>
      <c r="D798" s="2">
        <v>1070.0</v>
      </c>
      <c r="E798" s="3">
        <f t="shared" si="1"/>
        <v>0.3967371153</v>
      </c>
      <c r="F798" s="2">
        <v>415.0</v>
      </c>
      <c r="G798" s="3">
        <f t="shared" si="2"/>
        <v>0.1538746756</v>
      </c>
      <c r="H798" s="2">
        <v>659.0</v>
      </c>
      <c r="I798" s="3">
        <f t="shared" si="3"/>
        <v>0.2443455692</v>
      </c>
      <c r="J798" s="2">
        <v>508.0</v>
      </c>
      <c r="K798" s="3">
        <f t="shared" si="4"/>
        <v>0.1883574342</v>
      </c>
      <c r="L798" s="2">
        <v>381.0</v>
      </c>
      <c r="M798" s="3">
        <f t="shared" si="5"/>
        <v>0.5781487102</v>
      </c>
      <c r="N798" s="2">
        <v>3480400.0</v>
      </c>
      <c r="O798" s="4">
        <f t="shared" si="6"/>
        <v>5281.335357</v>
      </c>
      <c r="P798" s="2">
        <v>0.0</v>
      </c>
      <c r="Q798" s="3">
        <f t="shared" si="7"/>
        <v>0</v>
      </c>
      <c r="R798" s="2">
        <v>242.0</v>
      </c>
      <c r="S798" s="5">
        <f t="shared" si="8"/>
        <v>0.9641434263</v>
      </c>
    </row>
    <row r="799">
      <c r="A799" s="2" t="s">
        <v>814</v>
      </c>
      <c r="B799" s="2">
        <v>19.0</v>
      </c>
      <c r="C799" s="2">
        <v>188.0</v>
      </c>
      <c r="D799" s="2">
        <v>43.0</v>
      </c>
      <c r="E799" s="3">
        <f t="shared" si="1"/>
        <v>0.2544378698</v>
      </c>
      <c r="F799" s="2">
        <v>26.0</v>
      </c>
      <c r="G799" s="3">
        <f t="shared" si="2"/>
        <v>0.1538461538</v>
      </c>
      <c r="H799" s="2">
        <v>32.0</v>
      </c>
      <c r="I799" s="3">
        <f t="shared" si="3"/>
        <v>0.1893491124</v>
      </c>
      <c r="J799" s="2">
        <v>41.0</v>
      </c>
      <c r="K799" s="3">
        <f t="shared" si="4"/>
        <v>0.2426035503</v>
      </c>
      <c r="L799" s="2">
        <v>19.0</v>
      </c>
      <c r="M799" s="3">
        <f t="shared" si="5"/>
        <v>0.59375</v>
      </c>
      <c r="N799" s="2">
        <v>194500.0</v>
      </c>
      <c r="O799" s="4">
        <f t="shared" si="6"/>
        <v>6078.125</v>
      </c>
      <c r="P799" s="2">
        <v>0.0</v>
      </c>
      <c r="Q799" s="3">
        <f t="shared" si="7"/>
        <v>0</v>
      </c>
      <c r="R799" s="2">
        <v>19.0</v>
      </c>
      <c r="S799" s="5">
        <f t="shared" si="8"/>
        <v>1</v>
      </c>
    </row>
    <row r="800">
      <c r="A800" s="2" t="s">
        <v>815</v>
      </c>
      <c r="B800" s="2">
        <v>11.0</v>
      </c>
      <c r="C800" s="2">
        <v>128.0</v>
      </c>
      <c r="D800" s="2">
        <v>44.0</v>
      </c>
      <c r="E800" s="3">
        <f t="shared" si="1"/>
        <v>0.3760683761</v>
      </c>
      <c r="F800" s="2">
        <v>18.0</v>
      </c>
      <c r="G800" s="3">
        <f t="shared" si="2"/>
        <v>0.1538461538</v>
      </c>
      <c r="H800" s="2">
        <v>23.0</v>
      </c>
      <c r="I800" s="3">
        <f t="shared" si="3"/>
        <v>0.1965811966</v>
      </c>
      <c r="J800" s="2">
        <v>24.0</v>
      </c>
      <c r="K800" s="3">
        <f t="shared" si="4"/>
        <v>0.2051282051</v>
      </c>
      <c r="L800" s="2">
        <v>19.0</v>
      </c>
      <c r="M800" s="3">
        <f t="shared" si="5"/>
        <v>0.8260869565</v>
      </c>
      <c r="N800" s="2">
        <v>159100.0</v>
      </c>
      <c r="O800" s="4">
        <f t="shared" si="6"/>
        <v>6917.391304</v>
      </c>
      <c r="P800" s="2">
        <v>0.0</v>
      </c>
      <c r="Q800" s="3">
        <f t="shared" si="7"/>
        <v>0</v>
      </c>
      <c r="R800" s="2">
        <v>0.0</v>
      </c>
      <c r="S800" s="5">
        <f t="shared" si="8"/>
        <v>0</v>
      </c>
    </row>
    <row r="801">
      <c r="A801" s="2" t="s">
        <v>816</v>
      </c>
      <c r="B801" s="2">
        <v>10.0</v>
      </c>
      <c r="C801" s="2">
        <v>114.0</v>
      </c>
      <c r="D801" s="2">
        <v>28.0</v>
      </c>
      <c r="E801" s="3">
        <f t="shared" si="1"/>
        <v>0.2692307692</v>
      </c>
      <c r="F801" s="2">
        <v>16.0</v>
      </c>
      <c r="G801" s="3">
        <f t="shared" si="2"/>
        <v>0.1538461538</v>
      </c>
      <c r="H801" s="2">
        <v>20.0</v>
      </c>
      <c r="I801" s="3">
        <f t="shared" si="3"/>
        <v>0.1923076923</v>
      </c>
      <c r="J801" s="2">
        <v>18.0</v>
      </c>
      <c r="K801" s="3">
        <f t="shared" si="4"/>
        <v>0.1730769231</v>
      </c>
      <c r="L801" s="2">
        <v>14.0</v>
      </c>
      <c r="M801" s="3">
        <f t="shared" si="5"/>
        <v>0.7</v>
      </c>
      <c r="N801" s="2">
        <v>80200.0</v>
      </c>
      <c r="O801" s="4">
        <f t="shared" si="6"/>
        <v>4010</v>
      </c>
      <c r="P801" s="2">
        <v>0.0</v>
      </c>
      <c r="Q801" s="3">
        <f t="shared" si="7"/>
        <v>0</v>
      </c>
      <c r="R801" s="2">
        <v>10.0</v>
      </c>
      <c r="S801" s="5">
        <f t="shared" si="8"/>
        <v>1</v>
      </c>
    </row>
    <row r="802">
      <c r="A802" s="2" t="s">
        <v>817</v>
      </c>
      <c r="B802" s="2">
        <v>14.0</v>
      </c>
      <c r="C802" s="2">
        <v>157.0</v>
      </c>
      <c r="D802" s="2">
        <v>48.0</v>
      </c>
      <c r="E802" s="3">
        <f t="shared" si="1"/>
        <v>0.3356643357</v>
      </c>
      <c r="F802" s="2">
        <v>22.0</v>
      </c>
      <c r="G802" s="3">
        <f t="shared" si="2"/>
        <v>0.1538461538</v>
      </c>
      <c r="H802" s="2">
        <v>21.0</v>
      </c>
      <c r="I802" s="3">
        <f t="shared" si="3"/>
        <v>0.1468531469</v>
      </c>
      <c r="J802" s="2">
        <v>24.0</v>
      </c>
      <c r="K802" s="3">
        <f t="shared" si="4"/>
        <v>0.1678321678</v>
      </c>
      <c r="L802" s="2">
        <v>12.0</v>
      </c>
      <c r="M802" s="3">
        <f t="shared" si="5"/>
        <v>0.5714285714</v>
      </c>
      <c r="N802" s="2">
        <v>136200.0</v>
      </c>
      <c r="O802" s="4">
        <f t="shared" si="6"/>
        <v>6485.714286</v>
      </c>
      <c r="P802" s="2">
        <v>0.0</v>
      </c>
      <c r="Q802" s="3">
        <f t="shared" si="7"/>
        <v>0</v>
      </c>
      <c r="R802" s="2">
        <v>0.0</v>
      </c>
      <c r="S802" s="5">
        <f t="shared" si="8"/>
        <v>0</v>
      </c>
    </row>
    <row r="803">
      <c r="A803" s="2" t="s">
        <v>818</v>
      </c>
      <c r="B803" s="2">
        <v>514.0</v>
      </c>
      <c r="C803" s="2">
        <v>6104.0</v>
      </c>
      <c r="D803" s="2">
        <v>1616.0</v>
      </c>
      <c r="E803" s="3">
        <f t="shared" si="1"/>
        <v>0.2890876565</v>
      </c>
      <c r="F803" s="2">
        <v>860.0</v>
      </c>
      <c r="G803" s="3">
        <f t="shared" si="2"/>
        <v>0.1538461538</v>
      </c>
      <c r="H803" s="2">
        <v>1180.0</v>
      </c>
      <c r="I803" s="3">
        <f t="shared" si="3"/>
        <v>0.2110912343</v>
      </c>
      <c r="J803" s="2">
        <v>890.0</v>
      </c>
      <c r="K803" s="3">
        <f t="shared" si="4"/>
        <v>0.1592128801</v>
      </c>
      <c r="L803" s="2">
        <v>719.0</v>
      </c>
      <c r="M803" s="3">
        <f t="shared" si="5"/>
        <v>0.6093220339</v>
      </c>
      <c r="N803" s="2">
        <v>6492100.0</v>
      </c>
      <c r="O803" s="4">
        <f t="shared" si="6"/>
        <v>5501.779661</v>
      </c>
      <c r="P803" s="2">
        <v>2.0</v>
      </c>
      <c r="Q803" s="3">
        <f t="shared" si="7"/>
        <v>0.003891050584</v>
      </c>
      <c r="R803" s="2">
        <v>514.0</v>
      </c>
      <c r="S803" s="5">
        <f t="shared" si="8"/>
        <v>1</v>
      </c>
    </row>
    <row r="804">
      <c r="A804" s="2" t="s">
        <v>819</v>
      </c>
      <c r="B804" s="2">
        <v>9.0</v>
      </c>
      <c r="C804" s="2">
        <v>113.0</v>
      </c>
      <c r="D804" s="2">
        <v>41.0</v>
      </c>
      <c r="E804" s="3">
        <f t="shared" si="1"/>
        <v>0.3942307692</v>
      </c>
      <c r="F804" s="2">
        <v>16.0</v>
      </c>
      <c r="G804" s="3">
        <f t="shared" si="2"/>
        <v>0.1538461538</v>
      </c>
      <c r="H804" s="2">
        <v>17.0</v>
      </c>
      <c r="I804" s="3">
        <f t="shared" si="3"/>
        <v>0.1634615385</v>
      </c>
      <c r="J804" s="2">
        <v>16.0</v>
      </c>
      <c r="K804" s="3">
        <f t="shared" si="4"/>
        <v>0.1538461538</v>
      </c>
      <c r="L804" s="2">
        <v>7.0</v>
      </c>
      <c r="M804" s="3">
        <f t="shared" si="5"/>
        <v>0.4117647059</v>
      </c>
      <c r="N804" s="2">
        <v>87600.0</v>
      </c>
      <c r="O804" s="4">
        <f t="shared" si="6"/>
        <v>5152.941176</v>
      </c>
      <c r="P804" s="2">
        <v>0.0</v>
      </c>
      <c r="Q804" s="3">
        <f t="shared" si="7"/>
        <v>0</v>
      </c>
      <c r="R804" s="2">
        <v>9.0</v>
      </c>
      <c r="S804" s="5">
        <f t="shared" si="8"/>
        <v>1</v>
      </c>
    </row>
    <row r="805">
      <c r="A805" s="2" t="s">
        <v>820</v>
      </c>
      <c r="B805" s="2">
        <v>15.0</v>
      </c>
      <c r="C805" s="2">
        <v>184.0</v>
      </c>
      <c r="D805" s="2">
        <v>65.0</v>
      </c>
      <c r="E805" s="3">
        <f t="shared" si="1"/>
        <v>0.3846153846</v>
      </c>
      <c r="F805" s="2">
        <v>26.0</v>
      </c>
      <c r="G805" s="3">
        <f t="shared" si="2"/>
        <v>0.1538461538</v>
      </c>
      <c r="H805" s="2">
        <v>32.0</v>
      </c>
      <c r="I805" s="3">
        <f t="shared" si="3"/>
        <v>0.1893491124</v>
      </c>
      <c r="J805" s="2">
        <v>24.0</v>
      </c>
      <c r="K805" s="3">
        <f t="shared" si="4"/>
        <v>0.1420118343</v>
      </c>
      <c r="L805" s="2">
        <v>16.0</v>
      </c>
      <c r="M805" s="3">
        <f t="shared" si="5"/>
        <v>0.5</v>
      </c>
      <c r="N805" s="2">
        <v>188300.0</v>
      </c>
      <c r="O805" s="4">
        <f t="shared" si="6"/>
        <v>5884.375</v>
      </c>
      <c r="P805" s="2">
        <v>0.0</v>
      </c>
      <c r="Q805" s="3">
        <f t="shared" si="7"/>
        <v>0</v>
      </c>
      <c r="R805" s="2">
        <v>15.0</v>
      </c>
      <c r="S805" s="5">
        <f t="shared" si="8"/>
        <v>1</v>
      </c>
    </row>
    <row r="806">
      <c r="A806" s="2" t="s">
        <v>821</v>
      </c>
      <c r="B806" s="2">
        <v>25.0</v>
      </c>
      <c r="C806" s="2">
        <v>285.0</v>
      </c>
      <c r="D806" s="2">
        <v>112.0</v>
      </c>
      <c r="E806" s="3">
        <f t="shared" si="1"/>
        <v>0.4307692308</v>
      </c>
      <c r="F806" s="2">
        <v>40.0</v>
      </c>
      <c r="G806" s="3">
        <f t="shared" si="2"/>
        <v>0.1538461538</v>
      </c>
      <c r="H806" s="2">
        <v>52.0</v>
      </c>
      <c r="I806" s="3">
        <f t="shared" si="3"/>
        <v>0.2</v>
      </c>
      <c r="J806" s="2">
        <v>31.0</v>
      </c>
      <c r="K806" s="3">
        <f t="shared" si="4"/>
        <v>0.1192307692</v>
      </c>
      <c r="L806" s="2">
        <v>31.0</v>
      </c>
      <c r="M806" s="3">
        <f t="shared" si="5"/>
        <v>0.5961538462</v>
      </c>
      <c r="N806" s="2">
        <v>216100.0</v>
      </c>
      <c r="O806" s="4">
        <f t="shared" si="6"/>
        <v>4155.769231</v>
      </c>
      <c r="P806" s="2">
        <v>0.0</v>
      </c>
      <c r="Q806" s="3">
        <f t="shared" si="7"/>
        <v>0</v>
      </c>
      <c r="R806" s="2">
        <v>0.0</v>
      </c>
      <c r="S806" s="5">
        <f t="shared" si="8"/>
        <v>0</v>
      </c>
    </row>
    <row r="807">
      <c r="A807" s="2" t="s">
        <v>822</v>
      </c>
      <c r="B807" s="2">
        <v>1.0</v>
      </c>
      <c r="C807" s="2">
        <v>14.0</v>
      </c>
      <c r="D807" s="2">
        <v>5.0</v>
      </c>
      <c r="E807" s="3">
        <f t="shared" si="1"/>
        <v>0.3846153846</v>
      </c>
      <c r="F807" s="2">
        <v>2.0</v>
      </c>
      <c r="G807" s="3">
        <f t="shared" si="2"/>
        <v>0.1538461538</v>
      </c>
      <c r="H807" s="2">
        <v>2.0</v>
      </c>
      <c r="I807" s="3">
        <f t="shared" si="3"/>
        <v>0.1538461538</v>
      </c>
      <c r="J807" s="2">
        <v>1.0</v>
      </c>
      <c r="K807" s="3">
        <f t="shared" si="4"/>
        <v>0.07692307692</v>
      </c>
      <c r="L807" s="2">
        <v>2.0</v>
      </c>
      <c r="M807" s="3">
        <f t="shared" si="5"/>
        <v>1</v>
      </c>
      <c r="N807" s="2">
        <v>10900.0</v>
      </c>
      <c r="O807" s="4">
        <f t="shared" si="6"/>
        <v>5450</v>
      </c>
      <c r="P807" s="2">
        <v>0.0</v>
      </c>
      <c r="Q807" s="3">
        <f t="shared" si="7"/>
        <v>0</v>
      </c>
      <c r="R807" s="2">
        <v>1.0</v>
      </c>
      <c r="S807" s="5">
        <f t="shared" si="8"/>
        <v>1</v>
      </c>
    </row>
    <row r="808">
      <c r="A808" s="2" t="s">
        <v>823</v>
      </c>
      <c r="B808" s="2">
        <v>693.0</v>
      </c>
      <c r="C808" s="2">
        <v>8191.0</v>
      </c>
      <c r="D808" s="2">
        <v>1912.0</v>
      </c>
      <c r="E808" s="3">
        <f t="shared" si="1"/>
        <v>0.2550013337</v>
      </c>
      <c r="F808" s="2">
        <v>1153.0</v>
      </c>
      <c r="G808" s="3">
        <f t="shared" si="2"/>
        <v>0.1537743398</v>
      </c>
      <c r="H808" s="2">
        <v>1652.0</v>
      </c>
      <c r="I808" s="3">
        <f t="shared" si="3"/>
        <v>0.2203254201</v>
      </c>
      <c r="J808" s="2">
        <v>1594.0</v>
      </c>
      <c r="K808" s="3">
        <f t="shared" si="4"/>
        <v>0.212590024</v>
      </c>
      <c r="L808" s="2">
        <v>987.0</v>
      </c>
      <c r="M808" s="3">
        <f t="shared" si="5"/>
        <v>0.5974576271</v>
      </c>
      <c r="N808" s="2">
        <v>9671000.0</v>
      </c>
      <c r="O808" s="4">
        <f t="shared" si="6"/>
        <v>5854.116223</v>
      </c>
      <c r="P808" s="2">
        <v>1.0</v>
      </c>
      <c r="Q808" s="3">
        <f t="shared" si="7"/>
        <v>0.001443001443</v>
      </c>
      <c r="R808" s="2">
        <v>693.0</v>
      </c>
      <c r="S808" s="5">
        <f t="shared" si="8"/>
        <v>1</v>
      </c>
    </row>
    <row r="809">
      <c r="A809" s="2" t="s">
        <v>824</v>
      </c>
      <c r="B809" s="2">
        <v>146.0</v>
      </c>
      <c r="C809" s="2">
        <v>1642.0</v>
      </c>
      <c r="D809" s="2">
        <v>626.0</v>
      </c>
      <c r="E809" s="3">
        <f t="shared" si="1"/>
        <v>0.4184491979</v>
      </c>
      <c r="F809" s="2">
        <v>230.0</v>
      </c>
      <c r="G809" s="3">
        <f t="shared" si="2"/>
        <v>0.1537433155</v>
      </c>
      <c r="H809" s="2">
        <v>306.0</v>
      </c>
      <c r="I809" s="3">
        <f t="shared" si="3"/>
        <v>0.2045454545</v>
      </c>
      <c r="J809" s="2">
        <v>275.0</v>
      </c>
      <c r="K809" s="3">
        <f t="shared" si="4"/>
        <v>0.1838235294</v>
      </c>
      <c r="L809" s="2">
        <v>193.0</v>
      </c>
      <c r="M809" s="3">
        <f t="shared" si="5"/>
        <v>0.6307189542</v>
      </c>
      <c r="N809" s="2">
        <v>1832600.0</v>
      </c>
      <c r="O809" s="4">
        <f t="shared" si="6"/>
        <v>5988.888889</v>
      </c>
      <c r="P809" s="2">
        <v>2.0</v>
      </c>
      <c r="Q809" s="3">
        <f t="shared" si="7"/>
        <v>0.01369863014</v>
      </c>
      <c r="R809" s="2">
        <v>68.0</v>
      </c>
      <c r="S809" s="5">
        <f t="shared" si="8"/>
        <v>0.4657534247</v>
      </c>
    </row>
    <row r="810">
      <c r="A810" s="2" t="s">
        <v>825</v>
      </c>
      <c r="B810" s="2">
        <v>132.0</v>
      </c>
      <c r="C810" s="2">
        <v>1537.0</v>
      </c>
      <c r="D810" s="2">
        <v>496.0</v>
      </c>
      <c r="E810" s="3">
        <f t="shared" si="1"/>
        <v>0.353024911</v>
      </c>
      <c r="F810" s="2">
        <v>216.0</v>
      </c>
      <c r="G810" s="3">
        <f t="shared" si="2"/>
        <v>0.1537366548</v>
      </c>
      <c r="H810" s="2">
        <v>276.0</v>
      </c>
      <c r="I810" s="3">
        <f t="shared" si="3"/>
        <v>0.1964412811</v>
      </c>
      <c r="J810" s="2">
        <v>221.0</v>
      </c>
      <c r="K810" s="3">
        <f t="shared" si="4"/>
        <v>0.1572953737</v>
      </c>
      <c r="L810" s="2">
        <v>176.0</v>
      </c>
      <c r="M810" s="3">
        <f t="shared" si="5"/>
        <v>0.6376811594</v>
      </c>
      <c r="N810" s="2">
        <v>1431700.0</v>
      </c>
      <c r="O810" s="4">
        <f t="shared" si="6"/>
        <v>5187.318841</v>
      </c>
      <c r="P810" s="2">
        <v>0.0</v>
      </c>
      <c r="Q810" s="3">
        <f t="shared" si="7"/>
        <v>0</v>
      </c>
      <c r="R810" s="2">
        <v>132.0</v>
      </c>
      <c r="S810" s="5">
        <f t="shared" si="8"/>
        <v>1</v>
      </c>
    </row>
    <row r="811">
      <c r="A811" s="2" t="s">
        <v>826</v>
      </c>
      <c r="B811" s="2">
        <v>318.0</v>
      </c>
      <c r="C811" s="2">
        <v>3610.0</v>
      </c>
      <c r="D811" s="2">
        <v>917.0</v>
      </c>
      <c r="E811" s="3">
        <f t="shared" si="1"/>
        <v>0.2785540705</v>
      </c>
      <c r="F811" s="2">
        <v>506.0</v>
      </c>
      <c r="G811" s="3">
        <f t="shared" si="2"/>
        <v>0.1537059538</v>
      </c>
      <c r="H811" s="2">
        <v>647.0</v>
      </c>
      <c r="I811" s="3">
        <f t="shared" si="3"/>
        <v>0.1965370595</v>
      </c>
      <c r="J811" s="2">
        <v>625.0</v>
      </c>
      <c r="K811" s="3">
        <f t="shared" si="4"/>
        <v>0.189854192</v>
      </c>
      <c r="L811" s="2">
        <v>371.0</v>
      </c>
      <c r="M811" s="3">
        <f t="shared" si="5"/>
        <v>0.5734157651</v>
      </c>
      <c r="N811" s="2">
        <v>4376800.0</v>
      </c>
      <c r="O811" s="4">
        <f t="shared" si="6"/>
        <v>6764.760433</v>
      </c>
      <c r="P811" s="2">
        <v>2.0</v>
      </c>
      <c r="Q811" s="3">
        <f t="shared" si="7"/>
        <v>0.006289308176</v>
      </c>
      <c r="R811" s="2">
        <v>318.0</v>
      </c>
      <c r="S811" s="5">
        <f t="shared" si="8"/>
        <v>1</v>
      </c>
    </row>
    <row r="812">
      <c r="A812" s="2" t="s">
        <v>827</v>
      </c>
      <c r="B812" s="2">
        <v>47.0</v>
      </c>
      <c r="C812" s="2">
        <v>561.0</v>
      </c>
      <c r="D812" s="2">
        <v>174.0</v>
      </c>
      <c r="E812" s="3">
        <f t="shared" si="1"/>
        <v>0.3385214008</v>
      </c>
      <c r="F812" s="2">
        <v>79.0</v>
      </c>
      <c r="G812" s="3">
        <f t="shared" si="2"/>
        <v>0.1536964981</v>
      </c>
      <c r="H812" s="2">
        <v>107.0</v>
      </c>
      <c r="I812" s="3">
        <f t="shared" si="3"/>
        <v>0.2081712062</v>
      </c>
      <c r="J812" s="2">
        <v>102.0</v>
      </c>
      <c r="K812" s="3">
        <f t="shared" si="4"/>
        <v>0.1984435798</v>
      </c>
      <c r="L812" s="2">
        <v>58.0</v>
      </c>
      <c r="M812" s="3">
        <f t="shared" si="5"/>
        <v>0.5420560748</v>
      </c>
      <c r="N812" s="2">
        <v>665800.0</v>
      </c>
      <c r="O812" s="4">
        <f t="shared" si="6"/>
        <v>6222.429907</v>
      </c>
      <c r="P812" s="2">
        <v>0.0</v>
      </c>
      <c r="Q812" s="3">
        <f t="shared" si="7"/>
        <v>0</v>
      </c>
      <c r="R812" s="2">
        <v>47.0</v>
      </c>
      <c r="S812" s="5">
        <f t="shared" si="8"/>
        <v>1</v>
      </c>
    </row>
    <row r="813">
      <c r="A813" s="2" t="s">
        <v>828</v>
      </c>
      <c r="B813" s="2">
        <v>146.0</v>
      </c>
      <c r="C813" s="2">
        <v>1688.0</v>
      </c>
      <c r="D813" s="2">
        <v>494.0</v>
      </c>
      <c r="E813" s="3">
        <f t="shared" si="1"/>
        <v>0.3203631647</v>
      </c>
      <c r="F813" s="2">
        <v>237.0</v>
      </c>
      <c r="G813" s="3">
        <f t="shared" si="2"/>
        <v>0.1536964981</v>
      </c>
      <c r="H813" s="2">
        <v>330.0</v>
      </c>
      <c r="I813" s="3">
        <f t="shared" si="3"/>
        <v>0.2140077821</v>
      </c>
      <c r="J813" s="2">
        <v>290.0</v>
      </c>
      <c r="K813" s="3">
        <f t="shared" si="4"/>
        <v>0.1880674449</v>
      </c>
      <c r="L813" s="2">
        <v>201.0</v>
      </c>
      <c r="M813" s="3">
        <f t="shared" si="5"/>
        <v>0.6090909091</v>
      </c>
      <c r="N813" s="2">
        <v>1863700.0</v>
      </c>
      <c r="O813" s="4">
        <f t="shared" si="6"/>
        <v>5647.575758</v>
      </c>
      <c r="P813" s="2">
        <v>1.0</v>
      </c>
      <c r="Q813" s="3">
        <f t="shared" si="7"/>
        <v>0.006849315068</v>
      </c>
      <c r="R813" s="2">
        <v>146.0</v>
      </c>
      <c r="S813" s="5">
        <f t="shared" si="8"/>
        <v>1</v>
      </c>
    </row>
    <row r="814">
      <c r="A814" s="2" t="s">
        <v>829</v>
      </c>
      <c r="B814" s="2">
        <v>486.0</v>
      </c>
      <c r="C814" s="2">
        <v>5659.0</v>
      </c>
      <c r="D814" s="2">
        <v>1889.0</v>
      </c>
      <c r="E814" s="3">
        <f t="shared" si="1"/>
        <v>0.3651652813</v>
      </c>
      <c r="F814" s="2">
        <v>795.0</v>
      </c>
      <c r="G814" s="3">
        <f t="shared" si="2"/>
        <v>0.1536825826</v>
      </c>
      <c r="H814" s="2">
        <v>1117.0</v>
      </c>
      <c r="I814" s="3">
        <f t="shared" si="3"/>
        <v>0.2159288614</v>
      </c>
      <c r="J814" s="2">
        <v>1057.0</v>
      </c>
      <c r="K814" s="3">
        <f t="shared" si="4"/>
        <v>0.2043301759</v>
      </c>
      <c r="L814" s="2">
        <v>644.0</v>
      </c>
      <c r="M814" s="3">
        <f t="shared" si="5"/>
        <v>0.5765443151</v>
      </c>
      <c r="N814" s="2">
        <v>6473500.0</v>
      </c>
      <c r="O814" s="4">
        <f t="shared" si="6"/>
        <v>5795.434199</v>
      </c>
      <c r="P814" s="2">
        <v>1.0</v>
      </c>
      <c r="Q814" s="3">
        <f t="shared" si="7"/>
        <v>0.002057613169</v>
      </c>
      <c r="R814" s="2">
        <v>486.0</v>
      </c>
      <c r="S814" s="5">
        <f t="shared" si="8"/>
        <v>1</v>
      </c>
    </row>
    <row r="815">
      <c r="A815" s="2" t="s">
        <v>830</v>
      </c>
      <c r="B815" s="2">
        <v>110.0</v>
      </c>
      <c r="C815" s="2">
        <v>1288.0</v>
      </c>
      <c r="D815" s="2">
        <v>333.0</v>
      </c>
      <c r="E815" s="3">
        <f t="shared" si="1"/>
        <v>0.2826825127</v>
      </c>
      <c r="F815" s="2">
        <v>181.0</v>
      </c>
      <c r="G815" s="3">
        <f t="shared" si="2"/>
        <v>0.1536502547</v>
      </c>
      <c r="H815" s="2">
        <v>246.0</v>
      </c>
      <c r="I815" s="3">
        <f t="shared" si="3"/>
        <v>0.2088285229</v>
      </c>
      <c r="J815" s="2">
        <v>254.0</v>
      </c>
      <c r="K815" s="3">
        <f t="shared" si="4"/>
        <v>0.2156196944</v>
      </c>
      <c r="L815" s="2">
        <v>141.0</v>
      </c>
      <c r="M815" s="3">
        <f t="shared" si="5"/>
        <v>0.5731707317</v>
      </c>
      <c r="N815" s="2">
        <v>1443800.0</v>
      </c>
      <c r="O815" s="4">
        <f t="shared" si="6"/>
        <v>5869.105691</v>
      </c>
      <c r="P815" s="2">
        <v>0.0</v>
      </c>
      <c r="Q815" s="3">
        <f t="shared" si="7"/>
        <v>0</v>
      </c>
      <c r="R815" s="2">
        <v>110.0</v>
      </c>
      <c r="S815" s="5">
        <f t="shared" si="8"/>
        <v>1</v>
      </c>
    </row>
    <row r="816">
      <c r="A816" s="2" t="s">
        <v>831</v>
      </c>
      <c r="B816" s="2">
        <v>34.0</v>
      </c>
      <c r="C816" s="2">
        <v>405.0</v>
      </c>
      <c r="D816" s="2">
        <v>151.0</v>
      </c>
      <c r="E816" s="3">
        <f t="shared" si="1"/>
        <v>0.4070080863</v>
      </c>
      <c r="F816" s="2">
        <v>57.0</v>
      </c>
      <c r="G816" s="3">
        <f t="shared" si="2"/>
        <v>0.153638814</v>
      </c>
      <c r="H816" s="2">
        <v>74.0</v>
      </c>
      <c r="I816" s="3">
        <f t="shared" si="3"/>
        <v>0.1994609164</v>
      </c>
      <c r="J816" s="2">
        <v>68.0</v>
      </c>
      <c r="K816" s="3">
        <f t="shared" si="4"/>
        <v>0.1832884097</v>
      </c>
      <c r="L816" s="2">
        <v>41.0</v>
      </c>
      <c r="M816" s="3">
        <f t="shared" si="5"/>
        <v>0.5540540541</v>
      </c>
      <c r="N816" s="2">
        <v>376200.0</v>
      </c>
      <c r="O816" s="4">
        <f t="shared" si="6"/>
        <v>5083.783784</v>
      </c>
      <c r="P816" s="2">
        <v>1.0</v>
      </c>
      <c r="Q816" s="3">
        <f t="shared" si="7"/>
        <v>0.02941176471</v>
      </c>
      <c r="R816" s="2">
        <v>34.0</v>
      </c>
      <c r="S816" s="5">
        <f t="shared" si="8"/>
        <v>1</v>
      </c>
    </row>
    <row r="817">
      <c r="A817" s="2" t="s">
        <v>832</v>
      </c>
      <c r="B817" s="2">
        <v>396.0</v>
      </c>
      <c r="C817" s="2">
        <v>4692.0</v>
      </c>
      <c r="D817" s="2">
        <v>1618.0</v>
      </c>
      <c r="E817" s="3">
        <f t="shared" si="1"/>
        <v>0.3766294227</v>
      </c>
      <c r="F817" s="2">
        <v>660.0</v>
      </c>
      <c r="G817" s="3">
        <f t="shared" si="2"/>
        <v>0.1536312849</v>
      </c>
      <c r="H817" s="2">
        <v>938.0</v>
      </c>
      <c r="I817" s="3">
        <f t="shared" si="3"/>
        <v>0.2183426443</v>
      </c>
      <c r="J817" s="2">
        <v>825.0</v>
      </c>
      <c r="K817" s="3">
        <f t="shared" si="4"/>
        <v>0.1920391061</v>
      </c>
      <c r="L817" s="2">
        <v>541.0</v>
      </c>
      <c r="M817" s="3">
        <f t="shared" si="5"/>
        <v>0.5767590618</v>
      </c>
      <c r="N817" s="2">
        <v>5283100.0</v>
      </c>
      <c r="O817" s="4">
        <f t="shared" si="6"/>
        <v>5632.302772</v>
      </c>
      <c r="P817" s="2">
        <v>1.0</v>
      </c>
      <c r="Q817" s="3">
        <f t="shared" si="7"/>
        <v>0.002525252525</v>
      </c>
      <c r="R817" s="2">
        <v>396.0</v>
      </c>
      <c r="S817" s="5">
        <f t="shared" si="8"/>
        <v>1</v>
      </c>
    </row>
    <row r="818">
      <c r="A818" s="2" t="s">
        <v>833</v>
      </c>
      <c r="B818" s="2">
        <v>168.0</v>
      </c>
      <c r="C818" s="2">
        <v>1945.0</v>
      </c>
      <c r="D818" s="2">
        <v>749.0</v>
      </c>
      <c r="E818" s="3">
        <f t="shared" si="1"/>
        <v>0.4214969049</v>
      </c>
      <c r="F818" s="2">
        <v>273.0</v>
      </c>
      <c r="G818" s="3">
        <f t="shared" si="2"/>
        <v>0.153629713</v>
      </c>
      <c r="H818" s="2">
        <v>369.0</v>
      </c>
      <c r="I818" s="3">
        <f t="shared" si="3"/>
        <v>0.2076533483</v>
      </c>
      <c r="J818" s="2">
        <v>280.0</v>
      </c>
      <c r="K818" s="3">
        <f t="shared" si="4"/>
        <v>0.1575689364</v>
      </c>
      <c r="L818" s="2">
        <v>233.0</v>
      </c>
      <c r="M818" s="3">
        <f t="shared" si="5"/>
        <v>0.6314363144</v>
      </c>
      <c r="N818" s="2">
        <v>2048800.0</v>
      </c>
      <c r="O818" s="4">
        <f t="shared" si="6"/>
        <v>5552.303523</v>
      </c>
      <c r="P818" s="2">
        <v>0.0</v>
      </c>
      <c r="Q818" s="3">
        <f t="shared" si="7"/>
        <v>0</v>
      </c>
      <c r="R818" s="2">
        <v>35.0</v>
      </c>
      <c r="S818" s="5">
        <f t="shared" si="8"/>
        <v>0.2083333333</v>
      </c>
    </row>
    <row r="819">
      <c r="A819" s="2" t="s">
        <v>834</v>
      </c>
      <c r="B819" s="2">
        <v>185.0</v>
      </c>
      <c r="C819" s="2">
        <v>2229.0</v>
      </c>
      <c r="D819" s="2">
        <v>793.0</v>
      </c>
      <c r="E819" s="3">
        <f t="shared" si="1"/>
        <v>0.387964775</v>
      </c>
      <c r="F819" s="2">
        <v>314.0</v>
      </c>
      <c r="G819" s="3">
        <f t="shared" si="2"/>
        <v>0.1536203523</v>
      </c>
      <c r="H819" s="2">
        <v>413.0</v>
      </c>
      <c r="I819" s="3">
        <f t="shared" si="3"/>
        <v>0.2020547945</v>
      </c>
      <c r="J819" s="2">
        <v>355.0</v>
      </c>
      <c r="K819" s="3">
        <f t="shared" si="4"/>
        <v>0.1736790607</v>
      </c>
      <c r="L819" s="2">
        <v>255.0</v>
      </c>
      <c r="M819" s="3">
        <f t="shared" si="5"/>
        <v>0.617433414</v>
      </c>
      <c r="N819" s="2">
        <v>2260000.0</v>
      </c>
      <c r="O819" s="4">
        <f t="shared" si="6"/>
        <v>5472.154964</v>
      </c>
      <c r="P819" s="2">
        <v>1.0</v>
      </c>
      <c r="Q819" s="3">
        <f t="shared" si="7"/>
        <v>0.005405405405</v>
      </c>
      <c r="R819" s="2">
        <v>22.0</v>
      </c>
      <c r="S819" s="5">
        <f t="shared" si="8"/>
        <v>0.1189189189</v>
      </c>
    </row>
    <row r="820">
      <c r="A820" s="2" t="s">
        <v>835</v>
      </c>
      <c r="B820" s="2">
        <v>502.0</v>
      </c>
      <c r="C820" s="2">
        <v>5776.0</v>
      </c>
      <c r="D820" s="2">
        <v>1817.0</v>
      </c>
      <c r="E820" s="3">
        <f t="shared" si="1"/>
        <v>0.3445202882</v>
      </c>
      <c r="F820" s="2">
        <v>810.0</v>
      </c>
      <c r="G820" s="3">
        <f t="shared" si="2"/>
        <v>0.1535836177</v>
      </c>
      <c r="H820" s="2">
        <v>1189.0</v>
      </c>
      <c r="I820" s="3">
        <f t="shared" si="3"/>
        <v>0.2254455821</v>
      </c>
      <c r="J820" s="2">
        <v>698.0</v>
      </c>
      <c r="K820" s="3">
        <f t="shared" si="4"/>
        <v>0.1323473644</v>
      </c>
      <c r="L820" s="2">
        <v>742.0</v>
      </c>
      <c r="M820" s="3">
        <f t="shared" si="5"/>
        <v>0.6240538267</v>
      </c>
      <c r="N820" s="2">
        <v>6953700.0</v>
      </c>
      <c r="O820" s="4">
        <f t="shared" si="6"/>
        <v>5848.359966</v>
      </c>
      <c r="P820" s="2">
        <v>2.0</v>
      </c>
      <c r="Q820" s="3">
        <f t="shared" si="7"/>
        <v>0.003984063745</v>
      </c>
      <c r="R820" s="2">
        <v>502.0</v>
      </c>
      <c r="S820" s="5">
        <f t="shared" si="8"/>
        <v>1</v>
      </c>
    </row>
    <row r="821">
      <c r="A821" s="2" t="s">
        <v>836</v>
      </c>
      <c r="B821" s="2">
        <v>145.0</v>
      </c>
      <c r="C821" s="2">
        <v>1747.0</v>
      </c>
      <c r="D821" s="2">
        <v>633.0</v>
      </c>
      <c r="E821" s="3">
        <f t="shared" si="1"/>
        <v>0.3951310861</v>
      </c>
      <c r="F821" s="2">
        <v>246.0</v>
      </c>
      <c r="G821" s="3">
        <f t="shared" si="2"/>
        <v>0.1535580524</v>
      </c>
      <c r="H821" s="2">
        <v>357.0</v>
      </c>
      <c r="I821" s="3">
        <f t="shared" si="3"/>
        <v>0.2228464419</v>
      </c>
      <c r="J821" s="2">
        <v>330.0</v>
      </c>
      <c r="K821" s="3">
        <f t="shared" si="4"/>
        <v>0.2059925094</v>
      </c>
      <c r="L821" s="2">
        <v>215.0</v>
      </c>
      <c r="M821" s="3">
        <f t="shared" si="5"/>
        <v>0.6022408964</v>
      </c>
      <c r="N821" s="2">
        <v>1955400.0</v>
      </c>
      <c r="O821" s="4">
        <f t="shared" si="6"/>
        <v>5477.310924</v>
      </c>
      <c r="P821" s="2">
        <v>0.0</v>
      </c>
      <c r="Q821" s="3">
        <f t="shared" si="7"/>
        <v>0</v>
      </c>
      <c r="R821" s="2">
        <v>145.0</v>
      </c>
      <c r="S821" s="5">
        <f t="shared" si="8"/>
        <v>1</v>
      </c>
    </row>
    <row r="822">
      <c r="A822" s="2" t="s">
        <v>837</v>
      </c>
      <c r="B822" s="2">
        <v>326.0</v>
      </c>
      <c r="C822" s="2">
        <v>3771.0</v>
      </c>
      <c r="D822" s="2">
        <v>1422.0</v>
      </c>
      <c r="E822" s="3">
        <f t="shared" si="1"/>
        <v>0.4127721335</v>
      </c>
      <c r="F822" s="2">
        <v>529.0</v>
      </c>
      <c r="G822" s="3">
        <f t="shared" si="2"/>
        <v>0.1535558781</v>
      </c>
      <c r="H822" s="2">
        <v>773.0</v>
      </c>
      <c r="I822" s="3">
        <f t="shared" si="3"/>
        <v>0.224383164</v>
      </c>
      <c r="J822" s="2">
        <v>443.0</v>
      </c>
      <c r="K822" s="3">
        <f t="shared" si="4"/>
        <v>0.1285921626</v>
      </c>
      <c r="L822" s="2">
        <v>470.0</v>
      </c>
      <c r="M822" s="3">
        <f t="shared" si="5"/>
        <v>0.6080206986</v>
      </c>
      <c r="N822" s="2">
        <v>4130800.0</v>
      </c>
      <c r="O822" s="4">
        <f t="shared" si="6"/>
        <v>5343.85511</v>
      </c>
      <c r="P822" s="2">
        <v>1.0</v>
      </c>
      <c r="Q822" s="3">
        <f t="shared" si="7"/>
        <v>0.003067484663</v>
      </c>
      <c r="R822" s="2">
        <v>326.0</v>
      </c>
      <c r="S822" s="5">
        <f t="shared" si="8"/>
        <v>1</v>
      </c>
    </row>
    <row r="823">
      <c r="A823" s="2" t="s">
        <v>838</v>
      </c>
      <c r="B823" s="2">
        <v>121.0</v>
      </c>
      <c r="C823" s="2">
        <v>1404.0</v>
      </c>
      <c r="D823" s="2">
        <v>403.0</v>
      </c>
      <c r="E823" s="3">
        <f t="shared" si="1"/>
        <v>0.3141075604</v>
      </c>
      <c r="F823" s="2">
        <v>197.0</v>
      </c>
      <c r="G823" s="3">
        <f t="shared" si="2"/>
        <v>0.1535463757</v>
      </c>
      <c r="H823" s="2">
        <v>258.0</v>
      </c>
      <c r="I823" s="3">
        <f t="shared" si="3"/>
        <v>0.2010911925</v>
      </c>
      <c r="J823" s="2">
        <v>251.0</v>
      </c>
      <c r="K823" s="3">
        <f t="shared" si="4"/>
        <v>0.1956352299</v>
      </c>
      <c r="L823" s="2">
        <v>132.0</v>
      </c>
      <c r="M823" s="3">
        <f t="shared" si="5"/>
        <v>0.511627907</v>
      </c>
      <c r="N823" s="2">
        <v>1519100.0</v>
      </c>
      <c r="O823" s="4">
        <f t="shared" si="6"/>
        <v>5887.984496</v>
      </c>
      <c r="P823" s="2">
        <v>1.0</v>
      </c>
      <c r="Q823" s="3">
        <f t="shared" si="7"/>
        <v>0.00826446281</v>
      </c>
      <c r="R823" s="2">
        <v>121.0</v>
      </c>
      <c r="S823" s="5">
        <f t="shared" si="8"/>
        <v>1</v>
      </c>
    </row>
    <row r="824">
      <c r="A824" s="2" t="s">
        <v>839</v>
      </c>
      <c r="B824" s="2">
        <v>659.0</v>
      </c>
      <c r="C824" s="2">
        <v>7569.0</v>
      </c>
      <c r="D824" s="2">
        <v>2382.0</v>
      </c>
      <c r="E824" s="3">
        <f t="shared" si="1"/>
        <v>0.3447178003</v>
      </c>
      <c r="F824" s="2">
        <v>1061.0</v>
      </c>
      <c r="G824" s="3">
        <f t="shared" si="2"/>
        <v>0.1535455861</v>
      </c>
      <c r="H824" s="2">
        <v>1571.0</v>
      </c>
      <c r="I824" s="3">
        <f t="shared" si="3"/>
        <v>0.2273516643</v>
      </c>
      <c r="J824" s="2">
        <v>1447.0</v>
      </c>
      <c r="K824" s="3">
        <f t="shared" si="4"/>
        <v>0.209406657</v>
      </c>
      <c r="L824" s="2">
        <v>939.0</v>
      </c>
      <c r="M824" s="3">
        <f t="shared" si="5"/>
        <v>0.5977084659</v>
      </c>
      <c r="N824" s="2">
        <v>9350300.0</v>
      </c>
      <c r="O824" s="4">
        <f t="shared" si="6"/>
        <v>5951.814131</v>
      </c>
      <c r="P824" s="2">
        <v>1.0</v>
      </c>
      <c r="Q824" s="3">
        <f t="shared" si="7"/>
        <v>0.001517450683</v>
      </c>
      <c r="R824" s="2">
        <v>659.0</v>
      </c>
      <c r="S824" s="5">
        <f t="shared" si="8"/>
        <v>1</v>
      </c>
    </row>
    <row r="825">
      <c r="A825" s="2" t="s">
        <v>840</v>
      </c>
      <c r="B825" s="2">
        <v>311.0</v>
      </c>
      <c r="C825" s="2">
        <v>3613.0</v>
      </c>
      <c r="D825" s="2">
        <v>1301.0</v>
      </c>
      <c r="E825" s="3">
        <f t="shared" si="1"/>
        <v>0.3940036342</v>
      </c>
      <c r="F825" s="2">
        <v>507.0</v>
      </c>
      <c r="G825" s="3">
        <f t="shared" si="2"/>
        <v>0.1535433071</v>
      </c>
      <c r="H825" s="2">
        <v>723.0</v>
      </c>
      <c r="I825" s="3">
        <f t="shared" si="3"/>
        <v>0.2189582071</v>
      </c>
      <c r="J825" s="2">
        <v>637.0</v>
      </c>
      <c r="K825" s="3">
        <f t="shared" si="4"/>
        <v>0.1929133858</v>
      </c>
      <c r="L825" s="2">
        <v>435.0</v>
      </c>
      <c r="M825" s="3">
        <f t="shared" si="5"/>
        <v>0.601659751</v>
      </c>
      <c r="N825" s="2">
        <v>4046100.0</v>
      </c>
      <c r="O825" s="4">
        <f t="shared" si="6"/>
        <v>5596.26556</v>
      </c>
      <c r="P825" s="2">
        <v>0.0</v>
      </c>
      <c r="Q825" s="3">
        <f t="shared" si="7"/>
        <v>0</v>
      </c>
      <c r="R825" s="2">
        <v>311.0</v>
      </c>
      <c r="S825" s="5">
        <f t="shared" si="8"/>
        <v>1</v>
      </c>
    </row>
    <row r="826">
      <c r="A826" s="2" t="s">
        <v>841</v>
      </c>
      <c r="B826" s="2">
        <v>140.0</v>
      </c>
      <c r="C826" s="2">
        <v>1658.0</v>
      </c>
      <c r="D826" s="2">
        <v>483.0</v>
      </c>
      <c r="E826" s="3">
        <f t="shared" si="1"/>
        <v>0.3181818182</v>
      </c>
      <c r="F826" s="2">
        <v>233.0</v>
      </c>
      <c r="G826" s="3">
        <f t="shared" si="2"/>
        <v>0.1534914361</v>
      </c>
      <c r="H826" s="2">
        <v>322.0</v>
      </c>
      <c r="I826" s="3">
        <f t="shared" si="3"/>
        <v>0.2121212121</v>
      </c>
      <c r="J826" s="2">
        <v>253.0</v>
      </c>
      <c r="K826" s="3">
        <f t="shared" si="4"/>
        <v>0.1666666667</v>
      </c>
      <c r="L826" s="2">
        <v>197.0</v>
      </c>
      <c r="M826" s="3">
        <f t="shared" si="5"/>
        <v>0.6118012422</v>
      </c>
      <c r="N826" s="2">
        <v>1704500.0</v>
      </c>
      <c r="O826" s="4">
        <f t="shared" si="6"/>
        <v>5293.478261</v>
      </c>
      <c r="P826" s="2">
        <v>0.0</v>
      </c>
      <c r="Q826" s="3">
        <f t="shared" si="7"/>
        <v>0</v>
      </c>
      <c r="R826" s="2">
        <v>140.0</v>
      </c>
      <c r="S826" s="5">
        <f t="shared" si="8"/>
        <v>1</v>
      </c>
    </row>
    <row r="827">
      <c r="A827" s="2" t="s">
        <v>842</v>
      </c>
      <c r="B827" s="2">
        <v>96.0</v>
      </c>
      <c r="C827" s="2">
        <v>1132.0</v>
      </c>
      <c r="D827" s="2">
        <v>416.0</v>
      </c>
      <c r="E827" s="3">
        <f t="shared" si="1"/>
        <v>0.4015444015</v>
      </c>
      <c r="F827" s="2">
        <v>159.0</v>
      </c>
      <c r="G827" s="3">
        <f t="shared" si="2"/>
        <v>0.1534749035</v>
      </c>
      <c r="H827" s="2">
        <v>202.0</v>
      </c>
      <c r="I827" s="3">
        <f t="shared" si="3"/>
        <v>0.194980695</v>
      </c>
      <c r="J827" s="2">
        <v>164.0</v>
      </c>
      <c r="K827" s="3">
        <f t="shared" si="4"/>
        <v>0.1583011583</v>
      </c>
      <c r="L827" s="2">
        <v>119.0</v>
      </c>
      <c r="M827" s="3">
        <f t="shared" si="5"/>
        <v>0.5891089109</v>
      </c>
      <c r="N827" s="2">
        <v>1103500.0</v>
      </c>
      <c r="O827" s="4">
        <f t="shared" si="6"/>
        <v>5462.871287</v>
      </c>
      <c r="P827" s="2">
        <v>1.0</v>
      </c>
      <c r="Q827" s="3">
        <f t="shared" si="7"/>
        <v>0.01041666667</v>
      </c>
      <c r="R827" s="2">
        <v>96.0</v>
      </c>
      <c r="S827" s="5">
        <f t="shared" si="8"/>
        <v>1</v>
      </c>
    </row>
    <row r="828">
      <c r="A828" s="2" t="s">
        <v>843</v>
      </c>
      <c r="B828" s="2">
        <v>36.0</v>
      </c>
      <c r="C828" s="2">
        <v>401.0</v>
      </c>
      <c r="D828" s="2">
        <v>129.0</v>
      </c>
      <c r="E828" s="3">
        <f t="shared" si="1"/>
        <v>0.3534246575</v>
      </c>
      <c r="F828" s="2">
        <v>56.0</v>
      </c>
      <c r="G828" s="3">
        <f t="shared" si="2"/>
        <v>0.1534246575</v>
      </c>
      <c r="H828" s="2">
        <v>76.0</v>
      </c>
      <c r="I828" s="3">
        <f t="shared" si="3"/>
        <v>0.2082191781</v>
      </c>
      <c r="J828" s="2">
        <v>55.0</v>
      </c>
      <c r="K828" s="3">
        <f t="shared" si="4"/>
        <v>0.1506849315</v>
      </c>
      <c r="L828" s="2">
        <v>40.0</v>
      </c>
      <c r="M828" s="3">
        <f t="shared" si="5"/>
        <v>0.5263157895</v>
      </c>
      <c r="N828" s="2">
        <v>408600.0</v>
      </c>
      <c r="O828" s="4">
        <f t="shared" si="6"/>
        <v>5376.315789</v>
      </c>
      <c r="P828" s="2">
        <v>0.0</v>
      </c>
      <c r="Q828" s="3">
        <f t="shared" si="7"/>
        <v>0</v>
      </c>
      <c r="R828" s="2">
        <v>7.0</v>
      </c>
      <c r="S828" s="5">
        <f t="shared" si="8"/>
        <v>0.1944444444</v>
      </c>
    </row>
    <row r="829">
      <c r="A829" s="2" t="s">
        <v>844</v>
      </c>
      <c r="B829" s="2">
        <v>87.0</v>
      </c>
      <c r="C829" s="2">
        <v>993.0</v>
      </c>
      <c r="D829" s="2">
        <v>361.0</v>
      </c>
      <c r="E829" s="3">
        <f t="shared" si="1"/>
        <v>0.3984547461</v>
      </c>
      <c r="F829" s="2">
        <v>139.0</v>
      </c>
      <c r="G829" s="3">
        <f t="shared" si="2"/>
        <v>0.1534216336</v>
      </c>
      <c r="H829" s="2">
        <v>235.0</v>
      </c>
      <c r="I829" s="3">
        <f t="shared" si="3"/>
        <v>0.2593818985</v>
      </c>
      <c r="J829" s="2">
        <v>159.0</v>
      </c>
      <c r="K829" s="3">
        <f t="shared" si="4"/>
        <v>0.1754966887</v>
      </c>
      <c r="L829" s="2">
        <v>153.0</v>
      </c>
      <c r="M829" s="3">
        <f t="shared" si="5"/>
        <v>0.6510638298</v>
      </c>
      <c r="N829" s="2">
        <v>1262600.0</v>
      </c>
      <c r="O829" s="4">
        <f t="shared" si="6"/>
        <v>5372.765957</v>
      </c>
      <c r="P829" s="2">
        <v>0.0</v>
      </c>
      <c r="Q829" s="3">
        <f t="shared" si="7"/>
        <v>0</v>
      </c>
      <c r="R829" s="2">
        <v>87.0</v>
      </c>
      <c r="S829" s="5">
        <f t="shared" si="8"/>
        <v>1</v>
      </c>
    </row>
    <row r="830">
      <c r="A830" s="2" t="s">
        <v>845</v>
      </c>
      <c r="B830" s="2">
        <v>218.0</v>
      </c>
      <c r="C830" s="2">
        <v>2506.0</v>
      </c>
      <c r="D830" s="2">
        <v>805.0</v>
      </c>
      <c r="E830" s="3">
        <f t="shared" si="1"/>
        <v>0.3518356643</v>
      </c>
      <c r="F830" s="2">
        <v>351.0</v>
      </c>
      <c r="G830" s="3">
        <f t="shared" si="2"/>
        <v>0.1534090909</v>
      </c>
      <c r="H830" s="2">
        <v>486.0</v>
      </c>
      <c r="I830" s="3">
        <f t="shared" si="3"/>
        <v>0.2124125874</v>
      </c>
      <c r="J830" s="2">
        <v>376.0</v>
      </c>
      <c r="K830" s="3">
        <f t="shared" si="4"/>
        <v>0.1643356643</v>
      </c>
      <c r="L830" s="2">
        <v>299.0</v>
      </c>
      <c r="M830" s="3">
        <f t="shared" si="5"/>
        <v>0.6152263374</v>
      </c>
      <c r="N830" s="2">
        <v>2653100.0</v>
      </c>
      <c r="O830" s="4">
        <f t="shared" si="6"/>
        <v>5459.053498</v>
      </c>
      <c r="P830" s="2">
        <v>0.0</v>
      </c>
      <c r="Q830" s="3">
        <f t="shared" si="7"/>
        <v>0</v>
      </c>
      <c r="R830" s="2">
        <v>218.0</v>
      </c>
      <c r="S830" s="5">
        <f t="shared" si="8"/>
        <v>1</v>
      </c>
    </row>
    <row r="831">
      <c r="A831" s="2" t="s">
        <v>846</v>
      </c>
      <c r="B831" s="2">
        <v>51.0</v>
      </c>
      <c r="C831" s="2">
        <v>579.0</v>
      </c>
      <c r="D831" s="2">
        <v>193.0</v>
      </c>
      <c r="E831" s="3">
        <f t="shared" si="1"/>
        <v>0.365530303</v>
      </c>
      <c r="F831" s="2">
        <v>81.0</v>
      </c>
      <c r="G831" s="3">
        <f t="shared" si="2"/>
        <v>0.1534090909</v>
      </c>
      <c r="H831" s="2">
        <v>91.0</v>
      </c>
      <c r="I831" s="3">
        <f t="shared" si="3"/>
        <v>0.1723484848</v>
      </c>
      <c r="J831" s="2">
        <v>69.0</v>
      </c>
      <c r="K831" s="3">
        <f t="shared" si="4"/>
        <v>0.1306818182</v>
      </c>
      <c r="L831" s="2">
        <v>49.0</v>
      </c>
      <c r="M831" s="3">
        <f t="shared" si="5"/>
        <v>0.5384615385</v>
      </c>
      <c r="N831" s="2">
        <v>578100.0</v>
      </c>
      <c r="O831" s="4">
        <f t="shared" si="6"/>
        <v>6352.747253</v>
      </c>
      <c r="P831" s="2">
        <v>1.0</v>
      </c>
      <c r="Q831" s="3">
        <f t="shared" si="7"/>
        <v>0.01960784314</v>
      </c>
      <c r="R831" s="2">
        <v>51.0</v>
      </c>
      <c r="S831" s="5">
        <f t="shared" si="8"/>
        <v>1</v>
      </c>
    </row>
    <row r="832">
      <c r="A832" s="2" t="s">
        <v>847</v>
      </c>
      <c r="B832" s="2">
        <v>118.0</v>
      </c>
      <c r="C832" s="2">
        <v>1324.0</v>
      </c>
      <c r="D832" s="2">
        <v>446.0</v>
      </c>
      <c r="E832" s="3">
        <f t="shared" si="1"/>
        <v>0.3698175788</v>
      </c>
      <c r="F832" s="2">
        <v>185.0</v>
      </c>
      <c r="G832" s="3">
        <f t="shared" si="2"/>
        <v>0.1533996683</v>
      </c>
      <c r="H832" s="2">
        <v>255.0</v>
      </c>
      <c r="I832" s="3">
        <f t="shared" si="3"/>
        <v>0.2114427861</v>
      </c>
      <c r="J832" s="2">
        <v>200.0</v>
      </c>
      <c r="K832" s="3">
        <f t="shared" si="4"/>
        <v>0.1658374793</v>
      </c>
      <c r="L832" s="2">
        <v>154.0</v>
      </c>
      <c r="M832" s="3">
        <f t="shared" si="5"/>
        <v>0.6039215686</v>
      </c>
      <c r="N832" s="2">
        <v>1449000.0</v>
      </c>
      <c r="O832" s="4">
        <f t="shared" si="6"/>
        <v>5682.352941</v>
      </c>
      <c r="P832" s="2">
        <v>0.0</v>
      </c>
      <c r="Q832" s="3">
        <f t="shared" si="7"/>
        <v>0</v>
      </c>
      <c r="R832" s="2">
        <v>118.0</v>
      </c>
      <c r="S832" s="5">
        <f t="shared" si="8"/>
        <v>1</v>
      </c>
    </row>
    <row r="833">
      <c r="A833" s="2" t="s">
        <v>848</v>
      </c>
      <c r="B833" s="2">
        <v>780.0</v>
      </c>
      <c r="C833" s="2">
        <v>8923.0</v>
      </c>
      <c r="D833" s="2">
        <v>2511.0</v>
      </c>
      <c r="E833" s="3">
        <f t="shared" si="1"/>
        <v>0.3083630112</v>
      </c>
      <c r="F833" s="2">
        <v>1249.0</v>
      </c>
      <c r="G833" s="3">
        <f t="shared" si="2"/>
        <v>0.153383274</v>
      </c>
      <c r="H833" s="2">
        <v>1785.0</v>
      </c>
      <c r="I833" s="3">
        <f t="shared" si="3"/>
        <v>0.2192066806</v>
      </c>
      <c r="J833" s="2">
        <v>1719.0</v>
      </c>
      <c r="K833" s="3">
        <f t="shared" si="4"/>
        <v>0.2111015596</v>
      </c>
      <c r="L833" s="2">
        <v>1055.0</v>
      </c>
      <c r="M833" s="3">
        <f t="shared" si="5"/>
        <v>0.5910364146</v>
      </c>
      <c r="N833" s="2">
        <v>1.08546E7</v>
      </c>
      <c r="O833" s="4">
        <f t="shared" si="6"/>
        <v>6081.008403</v>
      </c>
      <c r="P833" s="2">
        <v>1.0</v>
      </c>
      <c r="Q833" s="3">
        <f t="shared" si="7"/>
        <v>0.001282051282</v>
      </c>
      <c r="R833" s="2">
        <v>780.0</v>
      </c>
      <c r="S833" s="5">
        <f t="shared" si="8"/>
        <v>1</v>
      </c>
    </row>
    <row r="834">
      <c r="A834" s="2" t="s">
        <v>849</v>
      </c>
      <c r="B834" s="2">
        <v>47.0</v>
      </c>
      <c r="C834" s="2">
        <v>523.0</v>
      </c>
      <c r="D834" s="2">
        <v>210.0</v>
      </c>
      <c r="E834" s="3">
        <f t="shared" si="1"/>
        <v>0.4411764706</v>
      </c>
      <c r="F834" s="2">
        <v>73.0</v>
      </c>
      <c r="G834" s="3">
        <f t="shared" si="2"/>
        <v>0.1533613445</v>
      </c>
      <c r="H834" s="2">
        <v>93.0</v>
      </c>
      <c r="I834" s="3">
        <f t="shared" si="3"/>
        <v>0.1953781513</v>
      </c>
      <c r="J834" s="2">
        <v>60.0</v>
      </c>
      <c r="K834" s="3">
        <f t="shared" si="4"/>
        <v>0.1260504202</v>
      </c>
      <c r="L834" s="2">
        <v>62.0</v>
      </c>
      <c r="M834" s="3">
        <f t="shared" si="5"/>
        <v>0.6666666667</v>
      </c>
      <c r="N834" s="2">
        <v>460100.0</v>
      </c>
      <c r="O834" s="4">
        <f t="shared" si="6"/>
        <v>4947.311828</v>
      </c>
      <c r="P834" s="2">
        <v>0.0</v>
      </c>
      <c r="Q834" s="3">
        <f t="shared" si="7"/>
        <v>0</v>
      </c>
      <c r="R834" s="2">
        <v>47.0</v>
      </c>
      <c r="S834" s="5">
        <f t="shared" si="8"/>
        <v>1</v>
      </c>
    </row>
    <row r="835">
      <c r="A835" s="2" t="s">
        <v>850</v>
      </c>
      <c r="B835" s="2">
        <v>1994.0</v>
      </c>
      <c r="C835" s="2">
        <v>23128.0</v>
      </c>
      <c r="D835" s="2">
        <v>9837.0</v>
      </c>
      <c r="E835" s="3">
        <f t="shared" si="1"/>
        <v>0.4654585029</v>
      </c>
      <c r="F835" s="2">
        <v>3241.0</v>
      </c>
      <c r="G835" s="3">
        <f t="shared" si="2"/>
        <v>0.1533547838</v>
      </c>
      <c r="H835" s="2">
        <v>4831.0</v>
      </c>
      <c r="I835" s="3">
        <f t="shared" si="3"/>
        <v>0.2285890035</v>
      </c>
      <c r="J835" s="2">
        <v>4060.0</v>
      </c>
      <c r="K835" s="3">
        <f t="shared" si="4"/>
        <v>0.1921075045</v>
      </c>
      <c r="L835" s="2">
        <v>2896.0</v>
      </c>
      <c r="M835" s="3">
        <f t="shared" si="5"/>
        <v>0.5994618091</v>
      </c>
      <c r="N835" s="2">
        <v>2.65103E7</v>
      </c>
      <c r="O835" s="4">
        <f t="shared" si="6"/>
        <v>5487.538812</v>
      </c>
      <c r="P835" s="2">
        <v>2.0</v>
      </c>
      <c r="Q835" s="3">
        <f t="shared" si="7"/>
        <v>0.001003009027</v>
      </c>
      <c r="R835" s="2">
        <v>1994.0</v>
      </c>
      <c r="S835" s="5">
        <f t="shared" si="8"/>
        <v>1</v>
      </c>
    </row>
    <row r="836">
      <c r="A836" s="2" t="s">
        <v>851</v>
      </c>
      <c r="B836" s="2">
        <v>41.0</v>
      </c>
      <c r="C836" s="2">
        <v>491.0</v>
      </c>
      <c r="D836" s="2">
        <v>186.0</v>
      </c>
      <c r="E836" s="3">
        <f t="shared" si="1"/>
        <v>0.4133333333</v>
      </c>
      <c r="F836" s="2">
        <v>69.0</v>
      </c>
      <c r="G836" s="3">
        <f t="shared" si="2"/>
        <v>0.1533333333</v>
      </c>
      <c r="H836" s="2">
        <v>97.0</v>
      </c>
      <c r="I836" s="3">
        <f t="shared" si="3"/>
        <v>0.2155555556</v>
      </c>
      <c r="J836" s="2">
        <v>105.0</v>
      </c>
      <c r="K836" s="3">
        <f t="shared" si="4"/>
        <v>0.2333333333</v>
      </c>
      <c r="L836" s="2">
        <v>51.0</v>
      </c>
      <c r="M836" s="3">
        <f t="shared" si="5"/>
        <v>0.5257731959</v>
      </c>
      <c r="N836" s="2">
        <v>634800.0</v>
      </c>
      <c r="O836" s="4">
        <f t="shared" si="6"/>
        <v>6544.329897</v>
      </c>
      <c r="P836" s="2">
        <v>0.0</v>
      </c>
      <c r="Q836" s="3">
        <f t="shared" si="7"/>
        <v>0</v>
      </c>
      <c r="R836" s="2">
        <v>41.0</v>
      </c>
      <c r="S836" s="5">
        <f t="shared" si="8"/>
        <v>1</v>
      </c>
    </row>
    <row r="837">
      <c r="A837" s="2" t="s">
        <v>852</v>
      </c>
      <c r="B837" s="2">
        <v>1690.0</v>
      </c>
      <c r="C837" s="2">
        <v>19418.0</v>
      </c>
      <c r="D837" s="2">
        <v>6471.0</v>
      </c>
      <c r="E837" s="3">
        <f t="shared" si="1"/>
        <v>0.3650157942</v>
      </c>
      <c r="F837" s="2">
        <v>2718.0</v>
      </c>
      <c r="G837" s="3">
        <f t="shared" si="2"/>
        <v>0.153316787</v>
      </c>
      <c r="H837" s="2">
        <v>3836.0</v>
      </c>
      <c r="I837" s="3">
        <f t="shared" si="3"/>
        <v>0.2163808664</v>
      </c>
      <c r="J837" s="2">
        <v>3211.0</v>
      </c>
      <c r="K837" s="3">
        <f t="shared" si="4"/>
        <v>0.1811259025</v>
      </c>
      <c r="L837" s="2">
        <v>2320.0</v>
      </c>
      <c r="M837" s="3">
        <f t="shared" si="5"/>
        <v>0.6047966632</v>
      </c>
      <c r="N837" s="2">
        <v>2.26709E7</v>
      </c>
      <c r="O837" s="4">
        <f t="shared" si="6"/>
        <v>5910.036496</v>
      </c>
      <c r="P837" s="2">
        <v>5.0</v>
      </c>
      <c r="Q837" s="3">
        <f t="shared" si="7"/>
        <v>0.002958579882</v>
      </c>
      <c r="R837" s="2">
        <v>1690.0</v>
      </c>
      <c r="S837" s="5">
        <f t="shared" si="8"/>
        <v>1</v>
      </c>
    </row>
    <row r="838">
      <c r="A838" s="2" t="s">
        <v>853</v>
      </c>
      <c r="B838" s="2">
        <v>28.0</v>
      </c>
      <c r="C838" s="2">
        <v>315.0</v>
      </c>
      <c r="D838" s="2">
        <v>116.0</v>
      </c>
      <c r="E838" s="3">
        <f t="shared" si="1"/>
        <v>0.4041811847</v>
      </c>
      <c r="F838" s="2">
        <v>44.0</v>
      </c>
      <c r="G838" s="3">
        <f t="shared" si="2"/>
        <v>0.1533101045</v>
      </c>
      <c r="H838" s="2">
        <v>69.0</v>
      </c>
      <c r="I838" s="3">
        <f t="shared" si="3"/>
        <v>0.2404181185</v>
      </c>
      <c r="J838" s="2">
        <v>53.0</v>
      </c>
      <c r="K838" s="3">
        <f t="shared" si="4"/>
        <v>0.1846689895</v>
      </c>
      <c r="L838" s="2">
        <v>48.0</v>
      </c>
      <c r="M838" s="3">
        <f t="shared" si="5"/>
        <v>0.6956521739</v>
      </c>
      <c r="N838" s="2">
        <v>326200.0</v>
      </c>
      <c r="O838" s="4">
        <f t="shared" si="6"/>
        <v>4727.536232</v>
      </c>
      <c r="P838" s="2">
        <v>0.0</v>
      </c>
      <c r="Q838" s="3">
        <f t="shared" si="7"/>
        <v>0</v>
      </c>
      <c r="R838" s="2">
        <v>28.0</v>
      </c>
      <c r="S838" s="5">
        <f t="shared" si="8"/>
        <v>1</v>
      </c>
    </row>
    <row r="839">
      <c r="A839" s="2" t="s">
        <v>854</v>
      </c>
      <c r="B839" s="2">
        <v>145.0</v>
      </c>
      <c r="C839" s="2">
        <v>1691.0</v>
      </c>
      <c r="D839" s="2">
        <v>585.0</v>
      </c>
      <c r="E839" s="3">
        <f t="shared" si="1"/>
        <v>0.3783958603</v>
      </c>
      <c r="F839" s="2">
        <v>237.0</v>
      </c>
      <c r="G839" s="3">
        <f t="shared" si="2"/>
        <v>0.1532988357</v>
      </c>
      <c r="H839" s="2">
        <v>327.0</v>
      </c>
      <c r="I839" s="3">
        <f t="shared" si="3"/>
        <v>0.2115135834</v>
      </c>
      <c r="J839" s="2">
        <v>325.0</v>
      </c>
      <c r="K839" s="3">
        <f t="shared" si="4"/>
        <v>0.2102199224</v>
      </c>
      <c r="L839" s="2">
        <v>199.0</v>
      </c>
      <c r="M839" s="3">
        <f t="shared" si="5"/>
        <v>0.6085626911</v>
      </c>
      <c r="N839" s="2">
        <v>2019600.0</v>
      </c>
      <c r="O839" s="4">
        <f t="shared" si="6"/>
        <v>6176.146789</v>
      </c>
      <c r="P839" s="2">
        <v>3.0</v>
      </c>
      <c r="Q839" s="3">
        <f t="shared" si="7"/>
        <v>0.02068965517</v>
      </c>
      <c r="R839" s="2">
        <v>145.0</v>
      </c>
      <c r="S839" s="5">
        <f t="shared" si="8"/>
        <v>1</v>
      </c>
    </row>
    <row r="840">
      <c r="A840" s="2" t="s">
        <v>855</v>
      </c>
      <c r="B840" s="2">
        <v>53.0</v>
      </c>
      <c r="C840" s="2">
        <v>614.0</v>
      </c>
      <c r="D840" s="2">
        <v>132.0</v>
      </c>
      <c r="E840" s="3">
        <f t="shared" si="1"/>
        <v>0.2352941176</v>
      </c>
      <c r="F840" s="2">
        <v>86.0</v>
      </c>
      <c r="G840" s="3">
        <f t="shared" si="2"/>
        <v>0.1532976827</v>
      </c>
      <c r="H840" s="2">
        <v>106.0</v>
      </c>
      <c r="I840" s="3">
        <f t="shared" si="3"/>
        <v>0.1889483066</v>
      </c>
      <c r="J840" s="2">
        <v>96.0</v>
      </c>
      <c r="K840" s="3">
        <f t="shared" si="4"/>
        <v>0.1711229947</v>
      </c>
      <c r="L840" s="2">
        <v>62.0</v>
      </c>
      <c r="M840" s="3">
        <f t="shared" si="5"/>
        <v>0.5849056604</v>
      </c>
      <c r="N840" s="2">
        <v>620200.0</v>
      </c>
      <c r="O840" s="4">
        <f t="shared" si="6"/>
        <v>5850.943396</v>
      </c>
      <c r="P840" s="2">
        <v>0.0</v>
      </c>
      <c r="Q840" s="3">
        <f t="shared" si="7"/>
        <v>0</v>
      </c>
      <c r="R840" s="2">
        <v>31.0</v>
      </c>
      <c r="S840" s="5">
        <f t="shared" si="8"/>
        <v>0.5849056604</v>
      </c>
    </row>
    <row r="841">
      <c r="A841" s="2" t="s">
        <v>856</v>
      </c>
      <c r="B841" s="2">
        <v>25.0</v>
      </c>
      <c r="C841" s="2">
        <v>286.0</v>
      </c>
      <c r="D841" s="2">
        <v>72.0</v>
      </c>
      <c r="E841" s="3">
        <f t="shared" si="1"/>
        <v>0.275862069</v>
      </c>
      <c r="F841" s="2">
        <v>40.0</v>
      </c>
      <c r="G841" s="3">
        <f t="shared" si="2"/>
        <v>0.153256705</v>
      </c>
      <c r="H841" s="2">
        <v>49.0</v>
      </c>
      <c r="I841" s="3">
        <f t="shared" si="3"/>
        <v>0.1877394636</v>
      </c>
      <c r="J841" s="2">
        <v>53.0</v>
      </c>
      <c r="K841" s="3">
        <f t="shared" si="4"/>
        <v>0.2030651341</v>
      </c>
      <c r="L841" s="2">
        <v>32.0</v>
      </c>
      <c r="M841" s="3">
        <f t="shared" si="5"/>
        <v>0.6530612245</v>
      </c>
      <c r="N841" s="2">
        <v>314400.0</v>
      </c>
      <c r="O841" s="4">
        <f t="shared" si="6"/>
        <v>6416.326531</v>
      </c>
      <c r="P841" s="2">
        <v>0.0</v>
      </c>
      <c r="Q841" s="3">
        <f t="shared" si="7"/>
        <v>0</v>
      </c>
      <c r="R841" s="2">
        <v>25.0</v>
      </c>
      <c r="S841" s="5">
        <f t="shared" si="8"/>
        <v>1</v>
      </c>
    </row>
    <row r="842">
      <c r="A842" s="2" t="s">
        <v>857</v>
      </c>
      <c r="B842" s="2">
        <v>13.0</v>
      </c>
      <c r="C842" s="2">
        <v>137.0</v>
      </c>
      <c r="D842" s="2">
        <v>38.0</v>
      </c>
      <c r="E842" s="3">
        <f t="shared" si="1"/>
        <v>0.3064516129</v>
      </c>
      <c r="F842" s="2">
        <v>19.0</v>
      </c>
      <c r="G842" s="3">
        <f t="shared" si="2"/>
        <v>0.1532258065</v>
      </c>
      <c r="H842" s="2">
        <v>23.0</v>
      </c>
      <c r="I842" s="3">
        <f t="shared" si="3"/>
        <v>0.185483871</v>
      </c>
      <c r="J842" s="2">
        <v>15.0</v>
      </c>
      <c r="K842" s="3">
        <f t="shared" si="4"/>
        <v>0.1209677419</v>
      </c>
      <c r="L842" s="2">
        <v>13.0</v>
      </c>
      <c r="M842" s="3">
        <f t="shared" si="5"/>
        <v>0.5652173913</v>
      </c>
      <c r="N842" s="2">
        <v>145800.0</v>
      </c>
      <c r="O842" s="4">
        <f t="shared" si="6"/>
        <v>6339.130435</v>
      </c>
      <c r="P842" s="2">
        <v>1.0</v>
      </c>
      <c r="Q842" s="3">
        <f t="shared" si="7"/>
        <v>0.07692307692</v>
      </c>
      <c r="R842" s="2">
        <v>13.0</v>
      </c>
      <c r="S842" s="5">
        <f t="shared" si="8"/>
        <v>1</v>
      </c>
    </row>
    <row r="843">
      <c r="A843" s="2" t="s">
        <v>858</v>
      </c>
      <c r="B843" s="2">
        <v>69.0</v>
      </c>
      <c r="C843" s="2">
        <v>787.0</v>
      </c>
      <c r="D843" s="2">
        <v>286.0</v>
      </c>
      <c r="E843" s="3">
        <f t="shared" si="1"/>
        <v>0.3983286908</v>
      </c>
      <c r="F843" s="2">
        <v>110.0</v>
      </c>
      <c r="G843" s="3">
        <f t="shared" si="2"/>
        <v>0.1532033426</v>
      </c>
      <c r="H843" s="2">
        <v>139.0</v>
      </c>
      <c r="I843" s="3">
        <f t="shared" si="3"/>
        <v>0.1935933148</v>
      </c>
      <c r="J843" s="2">
        <v>89.0</v>
      </c>
      <c r="K843" s="3">
        <f t="shared" si="4"/>
        <v>0.1239554318</v>
      </c>
      <c r="L843" s="2">
        <v>84.0</v>
      </c>
      <c r="M843" s="3">
        <f t="shared" si="5"/>
        <v>0.6043165468</v>
      </c>
      <c r="N843" s="2">
        <v>717200.0</v>
      </c>
      <c r="O843" s="4">
        <f t="shared" si="6"/>
        <v>5159.71223</v>
      </c>
      <c r="P843" s="2">
        <v>0.0</v>
      </c>
      <c r="Q843" s="3">
        <f t="shared" si="7"/>
        <v>0</v>
      </c>
      <c r="R843" s="2">
        <v>69.0</v>
      </c>
      <c r="S843" s="5">
        <f t="shared" si="8"/>
        <v>1</v>
      </c>
    </row>
    <row r="844">
      <c r="A844" s="2" t="s">
        <v>859</v>
      </c>
      <c r="B844" s="2">
        <v>190.0</v>
      </c>
      <c r="C844" s="2">
        <v>2194.0</v>
      </c>
      <c r="D844" s="2">
        <v>701.0</v>
      </c>
      <c r="E844" s="3">
        <f t="shared" si="1"/>
        <v>0.3498003992</v>
      </c>
      <c r="F844" s="2">
        <v>307.0</v>
      </c>
      <c r="G844" s="3">
        <f t="shared" si="2"/>
        <v>0.1531936128</v>
      </c>
      <c r="H844" s="2">
        <v>422.0</v>
      </c>
      <c r="I844" s="3">
        <f t="shared" si="3"/>
        <v>0.2105788423</v>
      </c>
      <c r="J844" s="2">
        <v>351.0</v>
      </c>
      <c r="K844" s="3">
        <f t="shared" si="4"/>
        <v>0.1751497006</v>
      </c>
      <c r="L844" s="2">
        <v>260.0</v>
      </c>
      <c r="M844" s="3">
        <f t="shared" si="5"/>
        <v>0.6161137441</v>
      </c>
      <c r="N844" s="2">
        <v>2289600.0</v>
      </c>
      <c r="O844" s="4">
        <f t="shared" si="6"/>
        <v>5425.592417</v>
      </c>
      <c r="P844" s="2">
        <v>1.0</v>
      </c>
      <c r="Q844" s="3">
        <f t="shared" si="7"/>
        <v>0.005263157895</v>
      </c>
      <c r="R844" s="2">
        <v>188.0</v>
      </c>
      <c r="S844" s="5">
        <f t="shared" si="8"/>
        <v>0.9894736842</v>
      </c>
    </row>
    <row r="845">
      <c r="A845" s="2" t="s">
        <v>860</v>
      </c>
      <c r="B845" s="2">
        <v>288.0</v>
      </c>
      <c r="C845" s="2">
        <v>3402.0</v>
      </c>
      <c r="D845" s="2">
        <v>840.0</v>
      </c>
      <c r="E845" s="3">
        <f t="shared" si="1"/>
        <v>0.2697495183</v>
      </c>
      <c r="F845" s="2">
        <v>477.0</v>
      </c>
      <c r="G845" s="3">
        <f t="shared" si="2"/>
        <v>0.1531791908</v>
      </c>
      <c r="H845" s="2">
        <v>612.0</v>
      </c>
      <c r="I845" s="3">
        <f t="shared" si="3"/>
        <v>0.1965317919</v>
      </c>
      <c r="J845" s="2">
        <v>489.0</v>
      </c>
      <c r="K845" s="3">
        <f t="shared" si="4"/>
        <v>0.1570327553</v>
      </c>
      <c r="L845" s="2">
        <v>356.0</v>
      </c>
      <c r="M845" s="3">
        <f t="shared" si="5"/>
        <v>0.5816993464</v>
      </c>
      <c r="N845" s="2">
        <v>3705900.0</v>
      </c>
      <c r="O845" s="4">
        <f t="shared" si="6"/>
        <v>6055.392157</v>
      </c>
      <c r="P845" s="2">
        <v>2.0</v>
      </c>
      <c r="Q845" s="3">
        <f t="shared" si="7"/>
        <v>0.006944444444</v>
      </c>
      <c r="R845" s="2">
        <v>288.0</v>
      </c>
      <c r="S845" s="5">
        <f t="shared" si="8"/>
        <v>1</v>
      </c>
    </row>
    <row r="846">
      <c r="A846" s="2" t="s">
        <v>861</v>
      </c>
      <c r="B846" s="2">
        <v>1180.0</v>
      </c>
      <c r="C846" s="2">
        <v>13898.0</v>
      </c>
      <c r="D846" s="2">
        <v>5712.0</v>
      </c>
      <c r="E846" s="3">
        <f t="shared" si="1"/>
        <v>0.4491272213</v>
      </c>
      <c r="F846" s="2">
        <v>1948.0</v>
      </c>
      <c r="G846" s="3">
        <f t="shared" si="2"/>
        <v>0.1531687372</v>
      </c>
      <c r="H846" s="2">
        <v>2755.0</v>
      </c>
      <c r="I846" s="3">
        <f t="shared" si="3"/>
        <v>0.2166221104</v>
      </c>
      <c r="J846" s="2">
        <v>2041.0</v>
      </c>
      <c r="K846" s="3">
        <f t="shared" si="4"/>
        <v>0.1604812077</v>
      </c>
      <c r="L846" s="2">
        <v>1655.0</v>
      </c>
      <c r="M846" s="3">
        <f t="shared" si="5"/>
        <v>0.6007259528</v>
      </c>
      <c r="N846" s="2">
        <v>1.5392E7</v>
      </c>
      <c r="O846" s="4">
        <f t="shared" si="6"/>
        <v>5586.932849</v>
      </c>
      <c r="P846" s="2">
        <v>1.0</v>
      </c>
      <c r="Q846" s="3">
        <f t="shared" si="7"/>
        <v>0.0008474576271</v>
      </c>
      <c r="R846" s="2">
        <v>1180.0</v>
      </c>
      <c r="S846" s="5">
        <f t="shared" si="8"/>
        <v>1</v>
      </c>
    </row>
    <row r="847">
      <c r="A847" s="2" t="s">
        <v>862</v>
      </c>
      <c r="B847" s="2">
        <v>31.0</v>
      </c>
      <c r="C847" s="2">
        <v>351.0</v>
      </c>
      <c r="D847" s="2">
        <v>94.0</v>
      </c>
      <c r="E847" s="3">
        <f t="shared" si="1"/>
        <v>0.29375</v>
      </c>
      <c r="F847" s="2">
        <v>49.0</v>
      </c>
      <c r="G847" s="3">
        <f t="shared" si="2"/>
        <v>0.153125</v>
      </c>
      <c r="H847" s="2">
        <v>79.0</v>
      </c>
      <c r="I847" s="3">
        <f t="shared" si="3"/>
        <v>0.246875</v>
      </c>
      <c r="J847" s="2">
        <v>71.0</v>
      </c>
      <c r="K847" s="3">
        <f t="shared" si="4"/>
        <v>0.221875</v>
      </c>
      <c r="L847" s="2">
        <v>43.0</v>
      </c>
      <c r="M847" s="3">
        <f t="shared" si="5"/>
        <v>0.5443037975</v>
      </c>
      <c r="N847" s="2">
        <v>441700.0</v>
      </c>
      <c r="O847" s="4">
        <f t="shared" si="6"/>
        <v>5591.139241</v>
      </c>
      <c r="P847" s="2">
        <v>0.0</v>
      </c>
      <c r="Q847" s="3">
        <f t="shared" si="7"/>
        <v>0</v>
      </c>
      <c r="R847" s="2">
        <v>31.0</v>
      </c>
      <c r="S847" s="5">
        <f t="shared" si="8"/>
        <v>1</v>
      </c>
    </row>
    <row r="848">
      <c r="A848" s="2" t="s">
        <v>863</v>
      </c>
      <c r="B848" s="2">
        <v>87.0</v>
      </c>
      <c r="C848" s="2">
        <v>1021.0</v>
      </c>
      <c r="D848" s="2">
        <v>278.0</v>
      </c>
      <c r="E848" s="3">
        <f t="shared" si="1"/>
        <v>0.2976445396</v>
      </c>
      <c r="F848" s="2">
        <v>143.0</v>
      </c>
      <c r="G848" s="3">
        <f t="shared" si="2"/>
        <v>0.1531049251</v>
      </c>
      <c r="H848" s="2">
        <v>196.0</v>
      </c>
      <c r="I848" s="3">
        <f t="shared" si="3"/>
        <v>0.2098501071</v>
      </c>
      <c r="J848" s="2">
        <v>199.0</v>
      </c>
      <c r="K848" s="3">
        <f t="shared" si="4"/>
        <v>0.2130620985</v>
      </c>
      <c r="L848" s="2">
        <v>113.0</v>
      </c>
      <c r="M848" s="3">
        <f t="shared" si="5"/>
        <v>0.5765306122</v>
      </c>
      <c r="N848" s="2">
        <v>1095000.0</v>
      </c>
      <c r="O848" s="4">
        <f t="shared" si="6"/>
        <v>5586.734694</v>
      </c>
      <c r="P848" s="2">
        <v>0.0</v>
      </c>
      <c r="Q848" s="3">
        <f t="shared" si="7"/>
        <v>0</v>
      </c>
      <c r="R848" s="2">
        <v>87.0</v>
      </c>
      <c r="S848" s="5">
        <f t="shared" si="8"/>
        <v>1</v>
      </c>
    </row>
    <row r="849">
      <c r="A849" s="2" t="s">
        <v>864</v>
      </c>
      <c r="B849" s="2">
        <v>380.0</v>
      </c>
      <c r="C849" s="2">
        <v>4456.0</v>
      </c>
      <c r="D849" s="2">
        <v>1353.0</v>
      </c>
      <c r="E849" s="3">
        <f t="shared" si="1"/>
        <v>0.3319430815</v>
      </c>
      <c r="F849" s="2">
        <v>624.0</v>
      </c>
      <c r="G849" s="3">
        <f t="shared" si="2"/>
        <v>0.1530912659</v>
      </c>
      <c r="H849" s="2">
        <v>843.0</v>
      </c>
      <c r="I849" s="3">
        <f t="shared" si="3"/>
        <v>0.2068204122</v>
      </c>
      <c r="J849" s="2">
        <v>786.0</v>
      </c>
      <c r="K849" s="3">
        <f t="shared" si="4"/>
        <v>0.1928361138</v>
      </c>
      <c r="L849" s="2">
        <v>488.0</v>
      </c>
      <c r="M849" s="3">
        <f t="shared" si="5"/>
        <v>0.5788849348</v>
      </c>
      <c r="N849" s="2">
        <v>4986700.0</v>
      </c>
      <c r="O849" s="4">
        <f t="shared" si="6"/>
        <v>5915.421115</v>
      </c>
      <c r="P849" s="2">
        <v>2.0</v>
      </c>
      <c r="Q849" s="3">
        <f t="shared" si="7"/>
        <v>0.005263157895</v>
      </c>
      <c r="R849" s="2">
        <v>380.0</v>
      </c>
      <c r="S849" s="5">
        <f t="shared" si="8"/>
        <v>1</v>
      </c>
    </row>
    <row r="850">
      <c r="A850" s="2" t="s">
        <v>865</v>
      </c>
      <c r="B850" s="2">
        <v>343.0</v>
      </c>
      <c r="C850" s="2">
        <v>3962.0</v>
      </c>
      <c r="D850" s="2">
        <v>1432.0</v>
      </c>
      <c r="E850" s="3">
        <f t="shared" si="1"/>
        <v>0.395689417</v>
      </c>
      <c r="F850" s="2">
        <v>554.0</v>
      </c>
      <c r="G850" s="3">
        <f t="shared" si="2"/>
        <v>0.1530809616</v>
      </c>
      <c r="H850" s="2">
        <v>858.0</v>
      </c>
      <c r="I850" s="3">
        <f t="shared" si="3"/>
        <v>0.2370820669</v>
      </c>
      <c r="J850" s="2">
        <v>635.0</v>
      </c>
      <c r="K850" s="3">
        <f t="shared" si="4"/>
        <v>0.175462835</v>
      </c>
      <c r="L850" s="2">
        <v>520.0</v>
      </c>
      <c r="M850" s="3">
        <f t="shared" si="5"/>
        <v>0.6060606061</v>
      </c>
      <c r="N850" s="2">
        <v>4483000.0</v>
      </c>
      <c r="O850" s="4">
        <f t="shared" si="6"/>
        <v>5224.941725</v>
      </c>
      <c r="P850" s="2">
        <v>0.0</v>
      </c>
      <c r="Q850" s="3">
        <f t="shared" si="7"/>
        <v>0</v>
      </c>
      <c r="R850" s="2">
        <v>343.0</v>
      </c>
      <c r="S850" s="5">
        <f t="shared" si="8"/>
        <v>1</v>
      </c>
    </row>
    <row r="851">
      <c r="A851" s="2" t="s">
        <v>866</v>
      </c>
      <c r="B851" s="2">
        <v>350.0</v>
      </c>
      <c r="C851" s="2">
        <v>4100.0</v>
      </c>
      <c r="D851" s="2">
        <v>1263.0</v>
      </c>
      <c r="E851" s="3">
        <f t="shared" si="1"/>
        <v>0.3368</v>
      </c>
      <c r="F851" s="2">
        <v>574.0</v>
      </c>
      <c r="G851" s="3">
        <f t="shared" si="2"/>
        <v>0.1530666667</v>
      </c>
      <c r="H851" s="2">
        <v>750.0</v>
      </c>
      <c r="I851" s="3">
        <f t="shared" si="3"/>
        <v>0.2</v>
      </c>
      <c r="J851" s="2">
        <v>633.0</v>
      </c>
      <c r="K851" s="3">
        <f t="shared" si="4"/>
        <v>0.1688</v>
      </c>
      <c r="L851" s="2">
        <v>459.0</v>
      </c>
      <c r="M851" s="3">
        <f t="shared" si="5"/>
        <v>0.612</v>
      </c>
      <c r="N851" s="2">
        <v>4724800.0</v>
      </c>
      <c r="O851" s="4">
        <f t="shared" si="6"/>
        <v>6299.733333</v>
      </c>
      <c r="P851" s="2">
        <v>1.0</v>
      </c>
      <c r="Q851" s="3">
        <f t="shared" si="7"/>
        <v>0.002857142857</v>
      </c>
      <c r="R851" s="2">
        <v>350.0</v>
      </c>
      <c r="S851" s="5">
        <f t="shared" si="8"/>
        <v>1</v>
      </c>
    </row>
    <row r="852">
      <c r="A852" s="2" t="s">
        <v>867</v>
      </c>
      <c r="B852" s="2">
        <v>166.0</v>
      </c>
      <c r="C852" s="2">
        <v>1937.0</v>
      </c>
      <c r="D852" s="2">
        <v>518.0</v>
      </c>
      <c r="E852" s="3">
        <f t="shared" si="1"/>
        <v>0.2924901186</v>
      </c>
      <c r="F852" s="2">
        <v>271.0</v>
      </c>
      <c r="G852" s="3">
        <f t="shared" si="2"/>
        <v>0.1530208922</v>
      </c>
      <c r="H852" s="2">
        <v>348.0</v>
      </c>
      <c r="I852" s="3">
        <f t="shared" si="3"/>
        <v>0.196499153</v>
      </c>
      <c r="J852" s="2">
        <v>332.0</v>
      </c>
      <c r="K852" s="3">
        <f t="shared" si="4"/>
        <v>0.1874647092</v>
      </c>
      <c r="L852" s="2">
        <v>192.0</v>
      </c>
      <c r="M852" s="3">
        <f t="shared" si="5"/>
        <v>0.5517241379</v>
      </c>
      <c r="N852" s="2">
        <v>2043300.0</v>
      </c>
      <c r="O852" s="4">
        <f t="shared" si="6"/>
        <v>5871.551724</v>
      </c>
      <c r="P852" s="2">
        <v>0.0</v>
      </c>
      <c r="Q852" s="3">
        <f t="shared" si="7"/>
        <v>0</v>
      </c>
      <c r="R852" s="2">
        <v>166.0</v>
      </c>
      <c r="S852" s="5">
        <f t="shared" si="8"/>
        <v>1</v>
      </c>
    </row>
    <row r="853">
      <c r="A853" s="2" t="s">
        <v>868</v>
      </c>
      <c r="B853" s="2">
        <v>41.0</v>
      </c>
      <c r="C853" s="2">
        <v>492.0</v>
      </c>
      <c r="D853" s="2">
        <v>174.0</v>
      </c>
      <c r="E853" s="3">
        <f t="shared" si="1"/>
        <v>0.3858093126</v>
      </c>
      <c r="F853" s="2">
        <v>69.0</v>
      </c>
      <c r="G853" s="3">
        <f t="shared" si="2"/>
        <v>0.1529933481</v>
      </c>
      <c r="H853" s="2">
        <v>90.0</v>
      </c>
      <c r="I853" s="3">
        <f t="shared" si="3"/>
        <v>0.199556541</v>
      </c>
      <c r="J853" s="2">
        <v>60.0</v>
      </c>
      <c r="K853" s="3">
        <f t="shared" si="4"/>
        <v>0.133037694</v>
      </c>
      <c r="L853" s="2">
        <v>55.0</v>
      </c>
      <c r="M853" s="3">
        <f t="shared" si="5"/>
        <v>0.6111111111</v>
      </c>
      <c r="N853" s="2">
        <v>490800.0</v>
      </c>
      <c r="O853" s="4">
        <f t="shared" si="6"/>
        <v>5453.333333</v>
      </c>
      <c r="P853" s="2">
        <v>0.0</v>
      </c>
      <c r="Q853" s="3">
        <f t="shared" si="7"/>
        <v>0</v>
      </c>
      <c r="R853" s="2">
        <v>41.0</v>
      </c>
      <c r="S853" s="5">
        <f t="shared" si="8"/>
        <v>1</v>
      </c>
    </row>
    <row r="854">
      <c r="A854" s="2" t="s">
        <v>869</v>
      </c>
      <c r="B854" s="2">
        <v>27.0</v>
      </c>
      <c r="C854" s="2">
        <v>295.0</v>
      </c>
      <c r="D854" s="2">
        <v>89.0</v>
      </c>
      <c r="E854" s="3">
        <f t="shared" si="1"/>
        <v>0.3320895522</v>
      </c>
      <c r="F854" s="2">
        <v>41.0</v>
      </c>
      <c r="G854" s="3">
        <f t="shared" si="2"/>
        <v>0.1529850746</v>
      </c>
      <c r="H854" s="2">
        <v>57.0</v>
      </c>
      <c r="I854" s="3">
        <f t="shared" si="3"/>
        <v>0.2126865672</v>
      </c>
      <c r="J854" s="2">
        <v>54.0</v>
      </c>
      <c r="K854" s="3">
        <f t="shared" si="4"/>
        <v>0.2014925373</v>
      </c>
      <c r="L854" s="2">
        <v>36.0</v>
      </c>
      <c r="M854" s="3">
        <f t="shared" si="5"/>
        <v>0.6315789474</v>
      </c>
      <c r="N854" s="2">
        <v>338200.0</v>
      </c>
      <c r="O854" s="4">
        <f t="shared" si="6"/>
        <v>5933.333333</v>
      </c>
      <c r="P854" s="2">
        <v>0.0</v>
      </c>
      <c r="Q854" s="3">
        <f t="shared" si="7"/>
        <v>0</v>
      </c>
      <c r="R854" s="2">
        <v>27.0</v>
      </c>
      <c r="S854" s="5">
        <f t="shared" si="8"/>
        <v>1</v>
      </c>
    </row>
    <row r="855">
      <c r="A855" s="2" t="s">
        <v>870</v>
      </c>
      <c r="B855" s="2">
        <v>231.0</v>
      </c>
      <c r="C855" s="2">
        <v>2715.0</v>
      </c>
      <c r="D855" s="2">
        <v>939.0</v>
      </c>
      <c r="E855" s="3">
        <f t="shared" si="1"/>
        <v>0.3780193237</v>
      </c>
      <c r="F855" s="2">
        <v>380.0</v>
      </c>
      <c r="G855" s="3">
        <f t="shared" si="2"/>
        <v>0.152979066</v>
      </c>
      <c r="H855" s="2">
        <v>537.0</v>
      </c>
      <c r="I855" s="3">
        <f t="shared" si="3"/>
        <v>0.2161835749</v>
      </c>
      <c r="J855" s="2">
        <v>360.0</v>
      </c>
      <c r="K855" s="3">
        <f t="shared" si="4"/>
        <v>0.1449275362</v>
      </c>
      <c r="L855" s="2">
        <v>334.0</v>
      </c>
      <c r="M855" s="3">
        <f t="shared" si="5"/>
        <v>0.6219739292</v>
      </c>
      <c r="N855" s="2">
        <v>2973300.0</v>
      </c>
      <c r="O855" s="4">
        <f t="shared" si="6"/>
        <v>5536.871508</v>
      </c>
      <c r="P855" s="2">
        <v>0.0</v>
      </c>
      <c r="Q855" s="3">
        <f t="shared" si="7"/>
        <v>0</v>
      </c>
      <c r="R855" s="2">
        <v>231.0</v>
      </c>
      <c r="S855" s="5">
        <f t="shared" si="8"/>
        <v>1</v>
      </c>
    </row>
    <row r="856">
      <c r="A856" s="2" t="s">
        <v>871</v>
      </c>
      <c r="B856" s="2">
        <v>248.0</v>
      </c>
      <c r="C856" s="2">
        <v>2883.0</v>
      </c>
      <c r="D856" s="2">
        <v>764.0</v>
      </c>
      <c r="E856" s="3">
        <f t="shared" si="1"/>
        <v>0.289943074</v>
      </c>
      <c r="F856" s="2">
        <v>403.0</v>
      </c>
      <c r="G856" s="3">
        <f t="shared" si="2"/>
        <v>0.1529411765</v>
      </c>
      <c r="H856" s="2">
        <v>542.0</v>
      </c>
      <c r="I856" s="3">
        <f t="shared" si="3"/>
        <v>0.2056925996</v>
      </c>
      <c r="J856" s="2">
        <v>554.0</v>
      </c>
      <c r="K856" s="3">
        <f t="shared" si="4"/>
        <v>0.2102466793</v>
      </c>
      <c r="L856" s="2">
        <v>317.0</v>
      </c>
      <c r="M856" s="3">
        <f t="shared" si="5"/>
        <v>0.5848708487</v>
      </c>
      <c r="N856" s="2">
        <v>3295900.0</v>
      </c>
      <c r="O856" s="4">
        <f t="shared" si="6"/>
        <v>6080.99631</v>
      </c>
      <c r="P856" s="2">
        <v>0.0</v>
      </c>
      <c r="Q856" s="3">
        <f t="shared" si="7"/>
        <v>0</v>
      </c>
      <c r="R856" s="2">
        <v>248.0</v>
      </c>
      <c r="S856" s="5">
        <f t="shared" si="8"/>
        <v>1</v>
      </c>
    </row>
    <row r="857">
      <c r="A857" s="2" t="s">
        <v>872</v>
      </c>
      <c r="B857" s="2">
        <v>298.0</v>
      </c>
      <c r="C857" s="2">
        <v>3561.0</v>
      </c>
      <c r="D857" s="2">
        <v>1134.0</v>
      </c>
      <c r="E857" s="3">
        <f t="shared" si="1"/>
        <v>0.3475329451</v>
      </c>
      <c r="F857" s="2">
        <v>499.0</v>
      </c>
      <c r="G857" s="3">
        <f t="shared" si="2"/>
        <v>0.1529267545</v>
      </c>
      <c r="H857" s="2">
        <v>704.0</v>
      </c>
      <c r="I857" s="3">
        <f t="shared" si="3"/>
        <v>0.2157523751</v>
      </c>
      <c r="J857" s="2">
        <v>680.0</v>
      </c>
      <c r="K857" s="3">
        <f t="shared" si="4"/>
        <v>0.2083971805</v>
      </c>
      <c r="L857" s="2">
        <v>410.0</v>
      </c>
      <c r="M857" s="3">
        <f t="shared" si="5"/>
        <v>0.5823863636</v>
      </c>
      <c r="N857" s="2">
        <v>4238200.0</v>
      </c>
      <c r="O857" s="4">
        <f t="shared" si="6"/>
        <v>6020.170455</v>
      </c>
      <c r="P857" s="2">
        <v>1.0</v>
      </c>
      <c r="Q857" s="3">
        <f t="shared" si="7"/>
        <v>0.003355704698</v>
      </c>
      <c r="R857" s="2">
        <v>0.0</v>
      </c>
      <c r="S857" s="5">
        <f t="shared" si="8"/>
        <v>0</v>
      </c>
    </row>
    <row r="858">
      <c r="A858" s="2" t="s">
        <v>873</v>
      </c>
      <c r="B858" s="2">
        <v>73.0</v>
      </c>
      <c r="C858" s="2">
        <v>871.0</v>
      </c>
      <c r="D858" s="2">
        <v>270.0</v>
      </c>
      <c r="E858" s="3">
        <f t="shared" si="1"/>
        <v>0.3383458647</v>
      </c>
      <c r="F858" s="2">
        <v>122.0</v>
      </c>
      <c r="G858" s="3">
        <f t="shared" si="2"/>
        <v>0.1528822055</v>
      </c>
      <c r="H858" s="2">
        <v>159.0</v>
      </c>
      <c r="I858" s="3">
        <f t="shared" si="3"/>
        <v>0.1992481203</v>
      </c>
      <c r="J858" s="2">
        <v>137.0</v>
      </c>
      <c r="K858" s="3">
        <f t="shared" si="4"/>
        <v>0.171679198</v>
      </c>
      <c r="L858" s="2">
        <v>101.0</v>
      </c>
      <c r="M858" s="3">
        <f t="shared" si="5"/>
        <v>0.6352201258</v>
      </c>
      <c r="N858" s="2">
        <v>977600.0</v>
      </c>
      <c r="O858" s="4">
        <f t="shared" si="6"/>
        <v>6148.427673</v>
      </c>
      <c r="P858" s="2">
        <v>1.0</v>
      </c>
      <c r="Q858" s="3">
        <f t="shared" si="7"/>
        <v>0.01369863014</v>
      </c>
      <c r="R858" s="2">
        <v>73.0</v>
      </c>
      <c r="S858" s="5">
        <f t="shared" si="8"/>
        <v>1</v>
      </c>
    </row>
    <row r="859">
      <c r="A859" s="2" t="s">
        <v>874</v>
      </c>
      <c r="B859" s="2">
        <v>14.0</v>
      </c>
      <c r="C859" s="2">
        <v>171.0</v>
      </c>
      <c r="D859" s="2">
        <v>44.0</v>
      </c>
      <c r="E859" s="3">
        <f t="shared" si="1"/>
        <v>0.2802547771</v>
      </c>
      <c r="F859" s="2">
        <v>24.0</v>
      </c>
      <c r="G859" s="3">
        <f t="shared" si="2"/>
        <v>0.152866242</v>
      </c>
      <c r="H859" s="2">
        <v>30.0</v>
      </c>
      <c r="I859" s="3">
        <f t="shared" si="3"/>
        <v>0.1910828025</v>
      </c>
      <c r="J859" s="2">
        <v>27.0</v>
      </c>
      <c r="K859" s="3">
        <f t="shared" si="4"/>
        <v>0.1719745223</v>
      </c>
      <c r="L859" s="2">
        <v>15.0</v>
      </c>
      <c r="M859" s="3">
        <f t="shared" si="5"/>
        <v>0.5</v>
      </c>
      <c r="N859" s="2">
        <v>151700.0</v>
      </c>
      <c r="O859" s="4">
        <f t="shared" si="6"/>
        <v>5056.666667</v>
      </c>
      <c r="P859" s="2">
        <v>0.0</v>
      </c>
      <c r="Q859" s="3">
        <f t="shared" si="7"/>
        <v>0</v>
      </c>
      <c r="R859" s="2">
        <v>0.0</v>
      </c>
      <c r="S859" s="5">
        <f t="shared" si="8"/>
        <v>0</v>
      </c>
    </row>
    <row r="860">
      <c r="A860" s="2" t="s">
        <v>875</v>
      </c>
      <c r="B860" s="2">
        <v>15.0</v>
      </c>
      <c r="C860" s="2">
        <v>172.0</v>
      </c>
      <c r="D860" s="2">
        <v>46.0</v>
      </c>
      <c r="E860" s="3">
        <f t="shared" si="1"/>
        <v>0.2929936306</v>
      </c>
      <c r="F860" s="2">
        <v>24.0</v>
      </c>
      <c r="G860" s="3">
        <f t="shared" si="2"/>
        <v>0.152866242</v>
      </c>
      <c r="H860" s="2">
        <v>25.0</v>
      </c>
      <c r="I860" s="3">
        <f t="shared" si="3"/>
        <v>0.1592356688</v>
      </c>
      <c r="J860" s="2">
        <v>26.0</v>
      </c>
      <c r="K860" s="3">
        <f t="shared" si="4"/>
        <v>0.1656050955</v>
      </c>
      <c r="L860" s="2">
        <v>15.0</v>
      </c>
      <c r="M860" s="3">
        <f t="shared" si="5"/>
        <v>0.6</v>
      </c>
      <c r="N860" s="2">
        <v>158000.0</v>
      </c>
      <c r="O860" s="4">
        <f t="shared" si="6"/>
        <v>6320</v>
      </c>
      <c r="P860" s="2">
        <v>0.0</v>
      </c>
      <c r="Q860" s="3">
        <f t="shared" si="7"/>
        <v>0</v>
      </c>
      <c r="R860" s="2">
        <v>15.0</v>
      </c>
      <c r="S860" s="5">
        <f t="shared" si="8"/>
        <v>1</v>
      </c>
    </row>
    <row r="861">
      <c r="A861" s="2" t="s">
        <v>876</v>
      </c>
      <c r="B861" s="2">
        <v>19.0</v>
      </c>
      <c r="C861" s="2">
        <v>248.0</v>
      </c>
      <c r="D861" s="2">
        <v>73.0</v>
      </c>
      <c r="E861" s="3">
        <f t="shared" si="1"/>
        <v>0.3187772926</v>
      </c>
      <c r="F861" s="2">
        <v>35.0</v>
      </c>
      <c r="G861" s="3">
        <f t="shared" si="2"/>
        <v>0.1528384279</v>
      </c>
      <c r="H861" s="2">
        <v>56.0</v>
      </c>
      <c r="I861" s="3">
        <f t="shared" si="3"/>
        <v>0.2445414847</v>
      </c>
      <c r="J861" s="2">
        <v>38.0</v>
      </c>
      <c r="K861" s="3">
        <f t="shared" si="4"/>
        <v>0.1659388646</v>
      </c>
      <c r="L861" s="2">
        <v>35.0</v>
      </c>
      <c r="M861" s="3">
        <f t="shared" si="5"/>
        <v>0.625</v>
      </c>
      <c r="N861" s="2">
        <v>348000.0</v>
      </c>
      <c r="O861" s="4">
        <f t="shared" si="6"/>
        <v>6214.285714</v>
      </c>
      <c r="P861" s="2">
        <v>1.0</v>
      </c>
      <c r="Q861" s="3">
        <f t="shared" si="7"/>
        <v>0.05263157895</v>
      </c>
      <c r="R861" s="2">
        <v>19.0</v>
      </c>
      <c r="S861" s="5">
        <f t="shared" si="8"/>
        <v>1</v>
      </c>
    </row>
    <row r="862">
      <c r="A862" s="2" t="s">
        <v>877</v>
      </c>
      <c r="B862" s="2">
        <v>106.0</v>
      </c>
      <c r="C862" s="2">
        <v>1225.0</v>
      </c>
      <c r="D862" s="2">
        <v>381.0</v>
      </c>
      <c r="E862" s="3">
        <f t="shared" si="1"/>
        <v>0.3404825737</v>
      </c>
      <c r="F862" s="2">
        <v>171.0</v>
      </c>
      <c r="G862" s="3">
        <f t="shared" si="2"/>
        <v>0.1528150134</v>
      </c>
      <c r="H862" s="2">
        <v>252.0</v>
      </c>
      <c r="I862" s="3">
        <f t="shared" si="3"/>
        <v>0.2252010724</v>
      </c>
      <c r="J862" s="2">
        <v>232.0</v>
      </c>
      <c r="K862" s="3">
        <f t="shared" si="4"/>
        <v>0.2073279714</v>
      </c>
      <c r="L862" s="2">
        <v>149.0</v>
      </c>
      <c r="M862" s="3">
        <f t="shared" si="5"/>
        <v>0.5912698413</v>
      </c>
      <c r="N862" s="2">
        <v>1345100.0</v>
      </c>
      <c r="O862" s="4">
        <f t="shared" si="6"/>
        <v>5337.698413</v>
      </c>
      <c r="P862" s="2">
        <v>0.0</v>
      </c>
      <c r="Q862" s="3">
        <f t="shared" si="7"/>
        <v>0</v>
      </c>
      <c r="R862" s="2">
        <v>106.0</v>
      </c>
      <c r="S862" s="5">
        <f t="shared" si="8"/>
        <v>1</v>
      </c>
    </row>
    <row r="863">
      <c r="A863" s="2" t="s">
        <v>878</v>
      </c>
      <c r="B863" s="2">
        <v>42.0</v>
      </c>
      <c r="C863" s="2">
        <v>487.0</v>
      </c>
      <c r="D863" s="2">
        <v>184.0</v>
      </c>
      <c r="E863" s="3">
        <f t="shared" si="1"/>
        <v>0.4134831461</v>
      </c>
      <c r="F863" s="2">
        <v>68.0</v>
      </c>
      <c r="G863" s="3">
        <f t="shared" si="2"/>
        <v>0.1528089888</v>
      </c>
      <c r="H863" s="2">
        <v>93.0</v>
      </c>
      <c r="I863" s="3">
        <f t="shared" si="3"/>
        <v>0.208988764</v>
      </c>
      <c r="J863" s="2">
        <v>60.0</v>
      </c>
      <c r="K863" s="3">
        <f t="shared" si="4"/>
        <v>0.1348314607</v>
      </c>
      <c r="L863" s="2">
        <v>51.0</v>
      </c>
      <c r="M863" s="3">
        <f t="shared" si="5"/>
        <v>0.5483870968</v>
      </c>
      <c r="N863" s="2">
        <v>520900.0</v>
      </c>
      <c r="O863" s="4">
        <f t="shared" si="6"/>
        <v>5601.075269</v>
      </c>
      <c r="P863" s="2">
        <v>0.0</v>
      </c>
      <c r="Q863" s="3">
        <f t="shared" si="7"/>
        <v>0</v>
      </c>
      <c r="R863" s="2">
        <v>42.0</v>
      </c>
      <c r="S863" s="5">
        <f t="shared" si="8"/>
        <v>1</v>
      </c>
    </row>
    <row r="864">
      <c r="A864" s="2" t="s">
        <v>879</v>
      </c>
      <c r="B864" s="2">
        <v>275.0</v>
      </c>
      <c r="C864" s="2">
        <v>3233.0</v>
      </c>
      <c r="D864" s="2">
        <v>1044.0</v>
      </c>
      <c r="E864" s="3">
        <f t="shared" si="1"/>
        <v>0.3529411765</v>
      </c>
      <c r="F864" s="2">
        <v>452.0</v>
      </c>
      <c r="G864" s="3">
        <f t="shared" si="2"/>
        <v>0.15280595</v>
      </c>
      <c r="H864" s="2">
        <v>605.0</v>
      </c>
      <c r="I864" s="3">
        <f t="shared" si="3"/>
        <v>0.2045300879</v>
      </c>
      <c r="J864" s="2">
        <v>506.0</v>
      </c>
      <c r="K864" s="3">
        <f t="shared" si="4"/>
        <v>0.1710615281</v>
      </c>
      <c r="L864" s="2">
        <v>369.0</v>
      </c>
      <c r="M864" s="3">
        <f t="shared" si="5"/>
        <v>0.6099173554</v>
      </c>
      <c r="N864" s="2">
        <v>3511100.0</v>
      </c>
      <c r="O864" s="4">
        <f t="shared" si="6"/>
        <v>5803.471074</v>
      </c>
      <c r="P864" s="2">
        <v>0.0</v>
      </c>
      <c r="Q864" s="3">
        <f t="shared" si="7"/>
        <v>0</v>
      </c>
      <c r="R864" s="2">
        <v>0.0</v>
      </c>
      <c r="S864" s="5">
        <f t="shared" si="8"/>
        <v>0</v>
      </c>
    </row>
    <row r="865">
      <c r="A865" s="2" t="s">
        <v>880</v>
      </c>
      <c r="B865" s="2">
        <v>33.0</v>
      </c>
      <c r="C865" s="2">
        <v>393.0</v>
      </c>
      <c r="D865" s="2">
        <v>129.0</v>
      </c>
      <c r="E865" s="3">
        <f t="shared" si="1"/>
        <v>0.3583333333</v>
      </c>
      <c r="F865" s="2">
        <v>55.0</v>
      </c>
      <c r="G865" s="3">
        <f t="shared" si="2"/>
        <v>0.1527777778</v>
      </c>
      <c r="H865" s="2">
        <v>71.0</v>
      </c>
      <c r="I865" s="3">
        <f t="shared" si="3"/>
        <v>0.1972222222</v>
      </c>
      <c r="J865" s="2">
        <v>56.0</v>
      </c>
      <c r="K865" s="3">
        <f t="shared" si="4"/>
        <v>0.1555555556</v>
      </c>
      <c r="L865" s="2">
        <v>41.0</v>
      </c>
      <c r="M865" s="3">
        <f t="shared" si="5"/>
        <v>0.5774647887</v>
      </c>
      <c r="N865" s="2">
        <v>388500.0</v>
      </c>
      <c r="O865" s="4">
        <f t="shared" si="6"/>
        <v>5471.830986</v>
      </c>
      <c r="P865" s="2">
        <v>0.0</v>
      </c>
      <c r="Q865" s="3">
        <f t="shared" si="7"/>
        <v>0</v>
      </c>
      <c r="R865" s="2">
        <v>33.0</v>
      </c>
      <c r="S865" s="5">
        <f t="shared" si="8"/>
        <v>1</v>
      </c>
    </row>
    <row r="866">
      <c r="A866" s="2" t="s">
        <v>881</v>
      </c>
      <c r="B866" s="2">
        <v>203.0</v>
      </c>
      <c r="C866" s="2">
        <v>2409.0</v>
      </c>
      <c r="D866" s="2">
        <v>770.0</v>
      </c>
      <c r="E866" s="3">
        <f t="shared" si="1"/>
        <v>0.3490480508</v>
      </c>
      <c r="F866" s="2">
        <v>337.0</v>
      </c>
      <c r="G866" s="3">
        <f t="shared" si="2"/>
        <v>0.1527651859</v>
      </c>
      <c r="H866" s="2">
        <v>456.0</v>
      </c>
      <c r="I866" s="3">
        <f t="shared" si="3"/>
        <v>0.2067089755</v>
      </c>
      <c r="J866" s="2">
        <v>391.0</v>
      </c>
      <c r="K866" s="3">
        <f t="shared" si="4"/>
        <v>0.1772438803</v>
      </c>
      <c r="L866" s="2">
        <v>282.0</v>
      </c>
      <c r="M866" s="3">
        <f t="shared" si="5"/>
        <v>0.6184210526</v>
      </c>
      <c r="N866" s="2">
        <v>2763900.0</v>
      </c>
      <c r="O866" s="4">
        <f t="shared" si="6"/>
        <v>6061.184211</v>
      </c>
      <c r="P866" s="2">
        <v>0.0</v>
      </c>
      <c r="Q866" s="3">
        <f t="shared" si="7"/>
        <v>0</v>
      </c>
      <c r="R866" s="2">
        <v>0.0</v>
      </c>
      <c r="S866" s="5">
        <f t="shared" si="8"/>
        <v>0</v>
      </c>
    </row>
    <row r="867">
      <c r="A867" s="7">
        <v>43851.0</v>
      </c>
      <c r="B867" s="2">
        <v>263.0</v>
      </c>
      <c r="C867" s="2">
        <v>3104.0</v>
      </c>
      <c r="D867" s="2">
        <v>1167.0</v>
      </c>
      <c r="E867" s="3">
        <f t="shared" si="1"/>
        <v>0.4107708553</v>
      </c>
      <c r="F867" s="2">
        <v>434.0</v>
      </c>
      <c r="G867" s="3">
        <f t="shared" si="2"/>
        <v>0.1527631116</v>
      </c>
      <c r="H867" s="2">
        <v>592.0</v>
      </c>
      <c r="I867" s="3">
        <f t="shared" si="3"/>
        <v>0.2083773319</v>
      </c>
      <c r="J867" s="2">
        <v>423.0</v>
      </c>
      <c r="K867" s="3">
        <f t="shared" si="4"/>
        <v>0.1488912355</v>
      </c>
      <c r="L867" s="2">
        <v>341.0</v>
      </c>
      <c r="M867" s="3">
        <f t="shared" si="5"/>
        <v>0.5760135135</v>
      </c>
      <c r="N867" s="2">
        <v>3243100.0</v>
      </c>
      <c r="O867" s="4">
        <f t="shared" si="6"/>
        <v>5478.209459</v>
      </c>
      <c r="P867" s="2">
        <v>1.0</v>
      </c>
      <c r="Q867" s="3">
        <f t="shared" si="7"/>
        <v>0.003802281369</v>
      </c>
      <c r="R867" s="2">
        <v>263.0</v>
      </c>
      <c r="S867" s="5">
        <f t="shared" si="8"/>
        <v>1</v>
      </c>
    </row>
    <row r="868">
      <c r="A868" s="2" t="s">
        <v>882</v>
      </c>
      <c r="B868" s="2">
        <v>64.0</v>
      </c>
      <c r="C868" s="2">
        <v>758.0</v>
      </c>
      <c r="D868" s="2">
        <v>123.0</v>
      </c>
      <c r="E868" s="3">
        <f t="shared" si="1"/>
        <v>0.1772334294</v>
      </c>
      <c r="F868" s="2">
        <v>106.0</v>
      </c>
      <c r="G868" s="3">
        <f t="shared" si="2"/>
        <v>0.1527377522</v>
      </c>
      <c r="H868" s="2">
        <v>128.0</v>
      </c>
      <c r="I868" s="3">
        <f t="shared" si="3"/>
        <v>0.1844380403</v>
      </c>
      <c r="J868" s="2">
        <v>117.0</v>
      </c>
      <c r="K868" s="3">
        <f t="shared" si="4"/>
        <v>0.1685878963</v>
      </c>
      <c r="L868" s="2">
        <v>76.0</v>
      </c>
      <c r="M868" s="3">
        <f t="shared" si="5"/>
        <v>0.59375</v>
      </c>
      <c r="N868" s="2">
        <v>861500.0</v>
      </c>
      <c r="O868" s="4">
        <f t="shared" si="6"/>
        <v>6730.46875</v>
      </c>
      <c r="P868" s="2">
        <v>0.0</v>
      </c>
      <c r="Q868" s="3">
        <f t="shared" si="7"/>
        <v>0</v>
      </c>
      <c r="R868" s="2">
        <v>64.0</v>
      </c>
      <c r="S868" s="5">
        <f t="shared" si="8"/>
        <v>1</v>
      </c>
    </row>
    <row r="869">
      <c r="A869" s="2" t="s">
        <v>883</v>
      </c>
      <c r="B869" s="2">
        <v>25.0</v>
      </c>
      <c r="C869" s="2">
        <v>300.0</v>
      </c>
      <c r="D869" s="2">
        <v>80.0</v>
      </c>
      <c r="E869" s="3">
        <f t="shared" si="1"/>
        <v>0.2909090909</v>
      </c>
      <c r="F869" s="2">
        <v>42.0</v>
      </c>
      <c r="G869" s="3">
        <f t="shared" si="2"/>
        <v>0.1527272727</v>
      </c>
      <c r="H869" s="2">
        <v>49.0</v>
      </c>
      <c r="I869" s="3">
        <f t="shared" si="3"/>
        <v>0.1781818182</v>
      </c>
      <c r="J869" s="2">
        <v>52.0</v>
      </c>
      <c r="K869" s="3">
        <f t="shared" si="4"/>
        <v>0.1890909091</v>
      </c>
      <c r="L869" s="2">
        <v>25.0</v>
      </c>
      <c r="M869" s="3">
        <f t="shared" si="5"/>
        <v>0.5102040816</v>
      </c>
      <c r="N869" s="2">
        <v>246400.0</v>
      </c>
      <c r="O869" s="4">
        <f t="shared" si="6"/>
        <v>5028.571429</v>
      </c>
      <c r="P869" s="2">
        <v>0.0</v>
      </c>
      <c r="Q869" s="3">
        <f t="shared" si="7"/>
        <v>0</v>
      </c>
      <c r="R869" s="2">
        <v>25.0</v>
      </c>
      <c r="S869" s="5">
        <f t="shared" si="8"/>
        <v>1</v>
      </c>
    </row>
    <row r="870">
      <c r="A870" s="2" t="s">
        <v>884</v>
      </c>
      <c r="B870" s="2">
        <v>110.0</v>
      </c>
      <c r="C870" s="2">
        <v>1256.0</v>
      </c>
      <c r="D870" s="2">
        <v>354.0</v>
      </c>
      <c r="E870" s="3">
        <f t="shared" si="1"/>
        <v>0.3089005236</v>
      </c>
      <c r="F870" s="2">
        <v>175.0</v>
      </c>
      <c r="G870" s="3">
        <f t="shared" si="2"/>
        <v>0.1527050611</v>
      </c>
      <c r="H870" s="2">
        <v>229.0</v>
      </c>
      <c r="I870" s="3">
        <f t="shared" si="3"/>
        <v>0.1998254799</v>
      </c>
      <c r="J870" s="2">
        <v>170.0</v>
      </c>
      <c r="K870" s="3">
        <f t="shared" si="4"/>
        <v>0.1483420593</v>
      </c>
      <c r="L870" s="2">
        <v>141.0</v>
      </c>
      <c r="M870" s="3">
        <f t="shared" si="5"/>
        <v>0.615720524</v>
      </c>
      <c r="N870" s="2">
        <v>1265300.0</v>
      </c>
      <c r="O870" s="4">
        <f t="shared" si="6"/>
        <v>5525.327511</v>
      </c>
      <c r="P870" s="2">
        <v>1.0</v>
      </c>
      <c r="Q870" s="3">
        <f t="shared" si="7"/>
        <v>0.009090909091</v>
      </c>
      <c r="R870" s="2">
        <v>1.0</v>
      </c>
      <c r="S870" s="5">
        <f t="shared" si="8"/>
        <v>0.009090909091</v>
      </c>
    </row>
    <row r="871">
      <c r="A871" s="2" t="s">
        <v>885</v>
      </c>
      <c r="B871" s="2">
        <v>50.0</v>
      </c>
      <c r="C871" s="2">
        <v>587.0</v>
      </c>
      <c r="D871" s="2">
        <v>181.0</v>
      </c>
      <c r="E871" s="3">
        <f t="shared" si="1"/>
        <v>0.3370577281</v>
      </c>
      <c r="F871" s="2">
        <v>82.0</v>
      </c>
      <c r="G871" s="3">
        <f t="shared" si="2"/>
        <v>0.1527001862</v>
      </c>
      <c r="H871" s="2">
        <v>92.0</v>
      </c>
      <c r="I871" s="3">
        <f t="shared" si="3"/>
        <v>0.1713221601</v>
      </c>
      <c r="J871" s="2">
        <v>90.0</v>
      </c>
      <c r="K871" s="3">
        <f t="shared" si="4"/>
        <v>0.1675977654</v>
      </c>
      <c r="L871" s="2">
        <v>53.0</v>
      </c>
      <c r="M871" s="3">
        <f t="shared" si="5"/>
        <v>0.5760869565</v>
      </c>
      <c r="N871" s="2">
        <v>461900.0</v>
      </c>
      <c r="O871" s="4">
        <f t="shared" si="6"/>
        <v>5020.652174</v>
      </c>
      <c r="P871" s="2">
        <v>0.0</v>
      </c>
      <c r="Q871" s="3">
        <f t="shared" si="7"/>
        <v>0</v>
      </c>
      <c r="R871" s="2">
        <v>0.0</v>
      </c>
      <c r="S871" s="5">
        <f t="shared" si="8"/>
        <v>0</v>
      </c>
    </row>
    <row r="872">
      <c r="A872" s="2" t="s">
        <v>886</v>
      </c>
      <c r="B872" s="2">
        <v>31.0</v>
      </c>
      <c r="C872" s="2">
        <v>365.0</v>
      </c>
      <c r="D872" s="2">
        <v>80.0</v>
      </c>
      <c r="E872" s="3">
        <f t="shared" si="1"/>
        <v>0.2395209581</v>
      </c>
      <c r="F872" s="2">
        <v>51.0</v>
      </c>
      <c r="G872" s="3">
        <f t="shared" si="2"/>
        <v>0.1526946108</v>
      </c>
      <c r="H872" s="2">
        <v>59.0</v>
      </c>
      <c r="I872" s="3">
        <f t="shared" si="3"/>
        <v>0.1766467066</v>
      </c>
      <c r="J872" s="2">
        <v>64.0</v>
      </c>
      <c r="K872" s="3">
        <f t="shared" si="4"/>
        <v>0.1916167665</v>
      </c>
      <c r="L872" s="2">
        <v>31.0</v>
      </c>
      <c r="M872" s="3">
        <f t="shared" si="5"/>
        <v>0.5254237288</v>
      </c>
      <c r="N872" s="2">
        <v>337100.0</v>
      </c>
      <c r="O872" s="4">
        <f t="shared" si="6"/>
        <v>5713.559322</v>
      </c>
      <c r="P872" s="2">
        <v>0.0</v>
      </c>
      <c r="Q872" s="3">
        <f t="shared" si="7"/>
        <v>0</v>
      </c>
      <c r="R872" s="2">
        <v>31.0</v>
      </c>
      <c r="S872" s="5">
        <f t="shared" si="8"/>
        <v>1</v>
      </c>
    </row>
    <row r="873">
      <c r="A873" s="2" t="s">
        <v>887</v>
      </c>
      <c r="B873" s="2">
        <v>146.0</v>
      </c>
      <c r="C873" s="2">
        <v>1744.0</v>
      </c>
      <c r="D873" s="2">
        <v>577.0</v>
      </c>
      <c r="E873" s="3">
        <f t="shared" si="1"/>
        <v>0.3610763454</v>
      </c>
      <c r="F873" s="2">
        <v>244.0</v>
      </c>
      <c r="G873" s="3">
        <f t="shared" si="2"/>
        <v>0.1526908636</v>
      </c>
      <c r="H873" s="2">
        <v>325.0</v>
      </c>
      <c r="I873" s="3">
        <f t="shared" si="3"/>
        <v>0.203379224</v>
      </c>
      <c r="J873" s="2">
        <v>295.0</v>
      </c>
      <c r="K873" s="3">
        <f t="shared" si="4"/>
        <v>0.1846057572</v>
      </c>
      <c r="L873" s="2">
        <v>190.0</v>
      </c>
      <c r="M873" s="3">
        <f t="shared" si="5"/>
        <v>0.5846153846</v>
      </c>
      <c r="N873" s="2">
        <v>1855600.0</v>
      </c>
      <c r="O873" s="4">
        <f t="shared" si="6"/>
        <v>5709.538462</v>
      </c>
      <c r="P873" s="2">
        <v>0.0</v>
      </c>
      <c r="Q873" s="3">
        <f t="shared" si="7"/>
        <v>0</v>
      </c>
      <c r="R873" s="2">
        <v>146.0</v>
      </c>
      <c r="S873" s="5">
        <f t="shared" si="8"/>
        <v>1</v>
      </c>
    </row>
    <row r="874">
      <c r="A874" s="2" t="s">
        <v>888</v>
      </c>
      <c r="B874" s="2">
        <v>208.0</v>
      </c>
      <c r="C874" s="2">
        <v>2430.0</v>
      </c>
      <c r="D874" s="2">
        <v>674.0</v>
      </c>
      <c r="E874" s="3">
        <f t="shared" si="1"/>
        <v>0.303330333</v>
      </c>
      <c r="F874" s="2">
        <v>339.0</v>
      </c>
      <c r="G874" s="3">
        <f t="shared" si="2"/>
        <v>0.1525652565</v>
      </c>
      <c r="H874" s="2">
        <v>450.0</v>
      </c>
      <c r="I874" s="3">
        <f t="shared" si="3"/>
        <v>0.202520252</v>
      </c>
      <c r="J874" s="2">
        <v>341.0</v>
      </c>
      <c r="K874" s="3">
        <f t="shared" si="4"/>
        <v>0.1534653465</v>
      </c>
      <c r="L874" s="2">
        <v>262.0</v>
      </c>
      <c r="M874" s="3">
        <f t="shared" si="5"/>
        <v>0.5822222222</v>
      </c>
      <c r="N874" s="2">
        <v>2769100.0</v>
      </c>
      <c r="O874" s="4">
        <f t="shared" si="6"/>
        <v>6153.555556</v>
      </c>
      <c r="P874" s="2">
        <v>0.0</v>
      </c>
      <c r="Q874" s="3">
        <f t="shared" si="7"/>
        <v>0</v>
      </c>
      <c r="R874" s="2">
        <v>208.0</v>
      </c>
      <c r="S874" s="5">
        <f t="shared" si="8"/>
        <v>1</v>
      </c>
    </row>
    <row r="875">
      <c r="A875" s="2" t="s">
        <v>889</v>
      </c>
      <c r="B875" s="2">
        <v>285.0</v>
      </c>
      <c r="C875" s="2">
        <v>3405.0</v>
      </c>
      <c r="D875" s="2">
        <v>1303.0</v>
      </c>
      <c r="E875" s="3">
        <f t="shared" si="1"/>
        <v>0.4176282051</v>
      </c>
      <c r="F875" s="2">
        <v>476.0</v>
      </c>
      <c r="G875" s="3">
        <f t="shared" si="2"/>
        <v>0.1525641026</v>
      </c>
      <c r="H875" s="2">
        <v>671.0</v>
      </c>
      <c r="I875" s="3">
        <f t="shared" si="3"/>
        <v>0.2150641026</v>
      </c>
      <c r="J875" s="2">
        <v>552.0</v>
      </c>
      <c r="K875" s="3">
        <f t="shared" si="4"/>
        <v>0.1769230769</v>
      </c>
      <c r="L875" s="2">
        <v>396.0</v>
      </c>
      <c r="M875" s="3">
        <f t="shared" si="5"/>
        <v>0.5901639344</v>
      </c>
      <c r="N875" s="2">
        <v>3849400.0</v>
      </c>
      <c r="O875" s="4">
        <f t="shared" si="6"/>
        <v>5736.81073</v>
      </c>
      <c r="P875" s="2">
        <v>0.0</v>
      </c>
      <c r="Q875" s="3">
        <f t="shared" si="7"/>
        <v>0</v>
      </c>
      <c r="R875" s="2">
        <v>285.0</v>
      </c>
      <c r="S875" s="5">
        <f t="shared" si="8"/>
        <v>1</v>
      </c>
    </row>
    <row r="876">
      <c r="A876" s="2" t="s">
        <v>890</v>
      </c>
      <c r="B876" s="2">
        <v>575.0</v>
      </c>
      <c r="C876" s="2">
        <v>6680.0</v>
      </c>
      <c r="D876" s="2">
        <v>2296.0</v>
      </c>
      <c r="E876" s="3">
        <f t="shared" si="1"/>
        <v>0.3760851761</v>
      </c>
      <c r="F876" s="2">
        <v>931.0</v>
      </c>
      <c r="G876" s="3">
        <f t="shared" si="2"/>
        <v>0.1524979525</v>
      </c>
      <c r="H876" s="2">
        <v>1330.0</v>
      </c>
      <c r="I876" s="3">
        <f t="shared" si="3"/>
        <v>0.2178542179</v>
      </c>
      <c r="J876" s="2">
        <v>1154.0</v>
      </c>
      <c r="K876" s="3">
        <f t="shared" si="4"/>
        <v>0.189025389</v>
      </c>
      <c r="L876" s="2">
        <v>811.0</v>
      </c>
      <c r="M876" s="3">
        <f t="shared" si="5"/>
        <v>0.6097744361</v>
      </c>
      <c r="N876" s="2">
        <v>7262000.0</v>
      </c>
      <c r="O876" s="4">
        <f t="shared" si="6"/>
        <v>5460.150376</v>
      </c>
      <c r="P876" s="2">
        <v>1.0</v>
      </c>
      <c r="Q876" s="3">
        <f t="shared" si="7"/>
        <v>0.001739130435</v>
      </c>
      <c r="R876" s="2">
        <v>0.0</v>
      </c>
      <c r="S876" s="5">
        <f t="shared" si="8"/>
        <v>0</v>
      </c>
    </row>
    <row r="877">
      <c r="A877" s="2" t="s">
        <v>891</v>
      </c>
      <c r="B877" s="2">
        <v>199.0</v>
      </c>
      <c r="C877" s="2">
        <v>2311.0</v>
      </c>
      <c r="D877" s="2">
        <v>707.0</v>
      </c>
      <c r="E877" s="3">
        <f t="shared" si="1"/>
        <v>0.3347537879</v>
      </c>
      <c r="F877" s="2">
        <v>322.0</v>
      </c>
      <c r="G877" s="3">
        <f t="shared" si="2"/>
        <v>0.1524621212</v>
      </c>
      <c r="H877" s="2">
        <v>451.0</v>
      </c>
      <c r="I877" s="3">
        <f t="shared" si="3"/>
        <v>0.2135416667</v>
      </c>
      <c r="J877" s="2">
        <v>423.0</v>
      </c>
      <c r="K877" s="3">
        <f t="shared" si="4"/>
        <v>0.2002840909</v>
      </c>
      <c r="L877" s="2">
        <v>263.0</v>
      </c>
      <c r="M877" s="3">
        <f t="shared" si="5"/>
        <v>0.5831485588</v>
      </c>
      <c r="N877" s="2">
        <v>2757200.0</v>
      </c>
      <c r="O877" s="4">
        <f t="shared" si="6"/>
        <v>6113.525499</v>
      </c>
      <c r="P877" s="2">
        <v>1.0</v>
      </c>
      <c r="Q877" s="3">
        <f t="shared" si="7"/>
        <v>0.005025125628</v>
      </c>
      <c r="R877" s="2">
        <v>199.0</v>
      </c>
      <c r="S877" s="5">
        <f t="shared" si="8"/>
        <v>1</v>
      </c>
    </row>
    <row r="878">
      <c r="A878" s="2" t="s">
        <v>892</v>
      </c>
      <c r="B878" s="2">
        <v>34.0</v>
      </c>
      <c r="C878" s="2">
        <v>421.0</v>
      </c>
      <c r="D878" s="2">
        <v>169.0</v>
      </c>
      <c r="E878" s="3">
        <f t="shared" si="1"/>
        <v>0.4366925065</v>
      </c>
      <c r="F878" s="2">
        <v>59.0</v>
      </c>
      <c r="G878" s="3">
        <f t="shared" si="2"/>
        <v>0.1524547804</v>
      </c>
      <c r="H878" s="2">
        <v>77.0</v>
      </c>
      <c r="I878" s="3">
        <f t="shared" si="3"/>
        <v>0.1989664083</v>
      </c>
      <c r="J878" s="2">
        <v>60.0</v>
      </c>
      <c r="K878" s="3">
        <f t="shared" si="4"/>
        <v>0.1550387597</v>
      </c>
      <c r="L878" s="2">
        <v>42.0</v>
      </c>
      <c r="M878" s="3">
        <f t="shared" si="5"/>
        <v>0.5454545455</v>
      </c>
      <c r="N878" s="2">
        <v>386900.0</v>
      </c>
      <c r="O878" s="4">
        <f t="shared" si="6"/>
        <v>5024.675325</v>
      </c>
      <c r="P878" s="2">
        <v>0.0</v>
      </c>
      <c r="Q878" s="3">
        <f t="shared" si="7"/>
        <v>0</v>
      </c>
      <c r="R878" s="2">
        <v>34.0</v>
      </c>
      <c r="S878" s="5">
        <f t="shared" si="8"/>
        <v>1</v>
      </c>
    </row>
    <row r="879">
      <c r="A879" s="2" t="s">
        <v>893</v>
      </c>
      <c r="B879" s="2">
        <v>234.0</v>
      </c>
      <c r="C879" s="2">
        <v>2720.0</v>
      </c>
      <c r="D879" s="2">
        <v>951.0</v>
      </c>
      <c r="E879" s="3">
        <f t="shared" si="1"/>
        <v>0.3825422365</v>
      </c>
      <c r="F879" s="2">
        <v>379.0</v>
      </c>
      <c r="G879" s="3">
        <f t="shared" si="2"/>
        <v>0.1524537409</v>
      </c>
      <c r="H879" s="2">
        <v>532.0</v>
      </c>
      <c r="I879" s="3">
        <f t="shared" si="3"/>
        <v>0.213998391</v>
      </c>
      <c r="J879" s="2">
        <v>394.0</v>
      </c>
      <c r="K879" s="3">
        <f t="shared" si="4"/>
        <v>0.1584875302</v>
      </c>
      <c r="L879" s="2">
        <v>316.0</v>
      </c>
      <c r="M879" s="3">
        <f t="shared" si="5"/>
        <v>0.5939849624</v>
      </c>
      <c r="N879" s="2">
        <v>2876200.0</v>
      </c>
      <c r="O879" s="4">
        <f t="shared" si="6"/>
        <v>5406.390977</v>
      </c>
      <c r="P879" s="2">
        <v>0.0</v>
      </c>
      <c r="Q879" s="3">
        <f t="shared" si="7"/>
        <v>0</v>
      </c>
      <c r="R879" s="2">
        <v>27.0</v>
      </c>
      <c r="S879" s="5">
        <f t="shared" si="8"/>
        <v>0.1153846154</v>
      </c>
    </row>
    <row r="880">
      <c r="A880" s="2" t="s">
        <v>894</v>
      </c>
      <c r="B880" s="2">
        <v>1025.0</v>
      </c>
      <c r="C880" s="2">
        <v>11868.0</v>
      </c>
      <c r="D880" s="2">
        <v>3665.0</v>
      </c>
      <c r="E880" s="3">
        <f t="shared" si="1"/>
        <v>0.3380060869</v>
      </c>
      <c r="F880" s="2">
        <v>1653.0</v>
      </c>
      <c r="G880" s="3">
        <f t="shared" si="2"/>
        <v>0.1524485843</v>
      </c>
      <c r="H880" s="2">
        <v>2487.0</v>
      </c>
      <c r="I880" s="3">
        <f t="shared" si="3"/>
        <v>0.229364567</v>
      </c>
      <c r="J880" s="2">
        <v>1864.0</v>
      </c>
      <c r="K880" s="3">
        <f t="shared" si="4"/>
        <v>0.1719081435</v>
      </c>
      <c r="L880" s="2">
        <v>1526.0</v>
      </c>
      <c r="M880" s="3">
        <f t="shared" si="5"/>
        <v>0.6135906715</v>
      </c>
      <c r="N880" s="2">
        <v>1.43365E7</v>
      </c>
      <c r="O880" s="4">
        <f t="shared" si="6"/>
        <v>5764.575794</v>
      </c>
      <c r="P880" s="2">
        <v>3.0</v>
      </c>
      <c r="Q880" s="3">
        <f t="shared" si="7"/>
        <v>0.002926829268</v>
      </c>
      <c r="R880" s="2">
        <v>1019.0</v>
      </c>
      <c r="S880" s="5">
        <f t="shared" si="8"/>
        <v>0.9941463415</v>
      </c>
    </row>
    <row r="881">
      <c r="A881" s="2" t="s">
        <v>895</v>
      </c>
      <c r="B881" s="2">
        <v>209.0</v>
      </c>
      <c r="C881" s="2">
        <v>2466.0</v>
      </c>
      <c r="D881" s="2">
        <v>877.0</v>
      </c>
      <c r="E881" s="3">
        <f t="shared" si="1"/>
        <v>0.3885688968</v>
      </c>
      <c r="F881" s="2">
        <v>344.0</v>
      </c>
      <c r="G881" s="3">
        <f t="shared" si="2"/>
        <v>0.1524147098</v>
      </c>
      <c r="H881" s="2">
        <v>489.0</v>
      </c>
      <c r="I881" s="3">
        <f t="shared" si="3"/>
        <v>0.2166592822</v>
      </c>
      <c r="J881" s="2">
        <v>431.0</v>
      </c>
      <c r="K881" s="3">
        <f t="shared" si="4"/>
        <v>0.1909614533</v>
      </c>
      <c r="L881" s="2">
        <v>282.0</v>
      </c>
      <c r="M881" s="3">
        <f t="shared" si="5"/>
        <v>0.5766871166</v>
      </c>
      <c r="N881" s="2">
        <v>2799100.0</v>
      </c>
      <c r="O881" s="4">
        <f t="shared" si="6"/>
        <v>5724.130879</v>
      </c>
      <c r="P881" s="2">
        <v>0.0</v>
      </c>
      <c r="Q881" s="3">
        <f t="shared" si="7"/>
        <v>0</v>
      </c>
      <c r="R881" s="2">
        <v>209.0</v>
      </c>
      <c r="S881" s="5">
        <f t="shared" si="8"/>
        <v>1</v>
      </c>
    </row>
    <row r="882">
      <c r="A882" s="2" t="s">
        <v>896</v>
      </c>
      <c r="B882" s="2">
        <v>503.0</v>
      </c>
      <c r="C882" s="2">
        <v>5970.0</v>
      </c>
      <c r="D882" s="2">
        <v>1862.0</v>
      </c>
      <c r="E882" s="3">
        <f t="shared" si="1"/>
        <v>0.3405889885</v>
      </c>
      <c r="F882" s="2">
        <v>833.0</v>
      </c>
      <c r="G882" s="3">
        <f t="shared" si="2"/>
        <v>0.152368758</v>
      </c>
      <c r="H882" s="2">
        <v>1128.0</v>
      </c>
      <c r="I882" s="3">
        <f t="shared" si="3"/>
        <v>0.2063288824</v>
      </c>
      <c r="J882" s="2">
        <v>806.0</v>
      </c>
      <c r="K882" s="3">
        <f t="shared" si="4"/>
        <v>0.1474300348</v>
      </c>
      <c r="L882" s="2">
        <v>685.0</v>
      </c>
      <c r="M882" s="3">
        <f t="shared" si="5"/>
        <v>0.6072695035</v>
      </c>
      <c r="N882" s="2">
        <v>6564000.0</v>
      </c>
      <c r="O882" s="4">
        <f t="shared" si="6"/>
        <v>5819.148936</v>
      </c>
      <c r="P882" s="2">
        <v>2.0</v>
      </c>
      <c r="Q882" s="3">
        <f t="shared" si="7"/>
        <v>0.003976143141</v>
      </c>
      <c r="R882" s="2">
        <v>503.0</v>
      </c>
      <c r="S882" s="5">
        <f t="shared" si="8"/>
        <v>1</v>
      </c>
    </row>
    <row r="883">
      <c r="A883" s="2" t="s">
        <v>897</v>
      </c>
      <c r="B883" s="2">
        <v>159.0</v>
      </c>
      <c r="C883" s="2">
        <v>1846.0</v>
      </c>
      <c r="D883" s="2">
        <v>670.0</v>
      </c>
      <c r="E883" s="3">
        <f t="shared" si="1"/>
        <v>0.3971547125</v>
      </c>
      <c r="F883" s="2">
        <v>257.0</v>
      </c>
      <c r="G883" s="3">
        <f t="shared" si="2"/>
        <v>0.1523414345</v>
      </c>
      <c r="H883" s="2">
        <v>339.0</v>
      </c>
      <c r="I883" s="3">
        <f t="shared" si="3"/>
        <v>0.2009484292</v>
      </c>
      <c r="J883" s="2">
        <v>278.0</v>
      </c>
      <c r="K883" s="3">
        <f t="shared" si="4"/>
        <v>0.1647895673</v>
      </c>
      <c r="L883" s="2">
        <v>201.0</v>
      </c>
      <c r="M883" s="3">
        <f t="shared" si="5"/>
        <v>0.592920354</v>
      </c>
      <c r="N883" s="2">
        <v>1978200.0</v>
      </c>
      <c r="O883" s="4">
        <f t="shared" si="6"/>
        <v>5835.39823</v>
      </c>
      <c r="P883" s="2">
        <v>0.0</v>
      </c>
      <c r="Q883" s="3">
        <f t="shared" si="7"/>
        <v>0</v>
      </c>
      <c r="R883" s="2">
        <v>159.0</v>
      </c>
      <c r="S883" s="5">
        <f t="shared" si="8"/>
        <v>1</v>
      </c>
    </row>
    <row r="884">
      <c r="A884" s="2" t="s">
        <v>898</v>
      </c>
      <c r="B884" s="2">
        <v>298.0</v>
      </c>
      <c r="C884" s="2">
        <v>3508.0</v>
      </c>
      <c r="D884" s="2">
        <v>1209.0</v>
      </c>
      <c r="E884" s="3">
        <f t="shared" si="1"/>
        <v>0.376635514</v>
      </c>
      <c r="F884" s="2">
        <v>489.0</v>
      </c>
      <c r="G884" s="3">
        <f t="shared" si="2"/>
        <v>0.1523364486</v>
      </c>
      <c r="H884" s="2">
        <v>668.0</v>
      </c>
      <c r="I884" s="3">
        <f t="shared" si="3"/>
        <v>0.2080996885</v>
      </c>
      <c r="J884" s="2">
        <v>529.0</v>
      </c>
      <c r="K884" s="3">
        <f t="shared" si="4"/>
        <v>0.1647975078</v>
      </c>
      <c r="L884" s="2">
        <v>393.0</v>
      </c>
      <c r="M884" s="3">
        <f t="shared" si="5"/>
        <v>0.5883233533</v>
      </c>
      <c r="N884" s="2">
        <v>3648400.0</v>
      </c>
      <c r="O884" s="4">
        <f t="shared" si="6"/>
        <v>5461.676647</v>
      </c>
      <c r="P884" s="2">
        <v>0.0</v>
      </c>
      <c r="Q884" s="3">
        <f t="shared" si="7"/>
        <v>0</v>
      </c>
      <c r="R884" s="2">
        <v>0.0</v>
      </c>
      <c r="S884" s="5">
        <f t="shared" si="8"/>
        <v>0</v>
      </c>
    </row>
    <row r="885">
      <c r="A885" s="2" t="s">
        <v>899</v>
      </c>
      <c r="B885" s="2">
        <v>201.0</v>
      </c>
      <c r="C885" s="2">
        <v>2387.0</v>
      </c>
      <c r="D885" s="2">
        <v>751.0</v>
      </c>
      <c r="E885" s="3">
        <f t="shared" si="1"/>
        <v>0.3435498628</v>
      </c>
      <c r="F885" s="2">
        <v>333.0</v>
      </c>
      <c r="G885" s="3">
        <f t="shared" si="2"/>
        <v>0.1523330284</v>
      </c>
      <c r="H885" s="2">
        <v>467.0</v>
      </c>
      <c r="I885" s="3">
        <f t="shared" si="3"/>
        <v>0.2136322049</v>
      </c>
      <c r="J885" s="2">
        <v>407.0</v>
      </c>
      <c r="K885" s="3">
        <f t="shared" si="4"/>
        <v>0.1861848124</v>
      </c>
      <c r="L885" s="2">
        <v>280.0</v>
      </c>
      <c r="M885" s="3">
        <f t="shared" si="5"/>
        <v>0.5995717345</v>
      </c>
      <c r="N885" s="2">
        <v>2671200.0</v>
      </c>
      <c r="O885" s="4">
        <f t="shared" si="6"/>
        <v>5719.914347</v>
      </c>
      <c r="P885" s="2">
        <v>0.0</v>
      </c>
      <c r="Q885" s="3">
        <f t="shared" si="7"/>
        <v>0</v>
      </c>
      <c r="R885" s="2">
        <v>201.0</v>
      </c>
      <c r="S885" s="5">
        <f t="shared" si="8"/>
        <v>1</v>
      </c>
    </row>
    <row r="886">
      <c r="A886" s="2" t="s">
        <v>900</v>
      </c>
      <c r="B886" s="2">
        <v>45.0</v>
      </c>
      <c r="C886" s="2">
        <v>544.0</v>
      </c>
      <c r="D886" s="2">
        <v>219.0</v>
      </c>
      <c r="E886" s="3">
        <f t="shared" si="1"/>
        <v>0.4388777555</v>
      </c>
      <c r="F886" s="2">
        <v>76.0</v>
      </c>
      <c r="G886" s="3">
        <f t="shared" si="2"/>
        <v>0.1523046092</v>
      </c>
      <c r="H886" s="2">
        <v>105.0</v>
      </c>
      <c r="I886" s="3">
        <f t="shared" si="3"/>
        <v>0.2104208417</v>
      </c>
      <c r="J886" s="2">
        <v>59.0</v>
      </c>
      <c r="K886" s="3">
        <f t="shared" si="4"/>
        <v>0.1182364729</v>
      </c>
      <c r="L886" s="2">
        <v>71.0</v>
      </c>
      <c r="M886" s="3">
        <f t="shared" si="5"/>
        <v>0.6761904762</v>
      </c>
      <c r="N886" s="2">
        <v>528400.0</v>
      </c>
      <c r="O886" s="4">
        <f t="shared" si="6"/>
        <v>5032.380952</v>
      </c>
      <c r="P886" s="2">
        <v>0.0</v>
      </c>
      <c r="Q886" s="3">
        <f t="shared" si="7"/>
        <v>0</v>
      </c>
      <c r="R886" s="2">
        <v>45.0</v>
      </c>
      <c r="S886" s="5">
        <f t="shared" si="8"/>
        <v>1</v>
      </c>
    </row>
    <row r="887">
      <c r="A887" s="2" t="s">
        <v>901</v>
      </c>
      <c r="B887" s="2">
        <v>156.0</v>
      </c>
      <c r="C887" s="2">
        <v>1850.0</v>
      </c>
      <c r="D887" s="2">
        <v>554.0</v>
      </c>
      <c r="E887" s="3">
        <f t="shared" si="1"/>
        <v>0.3270365998</v>
      </c>
      <c r="F887" s="2">
        <v>258.0</v>
      </c>
      <c r="G887" s="3">
        <f t="shared" si="2"/>
        <v>0.1523022432</v>
      </c>
      <c r="H887" s="2">
        <v>392.0</v>
      </c>
      <c r="I887" s="3">
        <f t="shared" si="3"/>
        <v>0.2314049587</v>
      </c>
      <c r="J887" s="2">
        <v>304.0</v>
      </c>
      <c r="K887" s="3">
        <f t="shared" si="4"/>
        <v>0.1794569067</v>
      </c>
      <c r="L887" s="2">
        <v>230.0</v>
      </c>
      <c r="M887" s="3">
        <f t="shared" si="5"/>
        <v>0.5867346939</v>
      </c>
      <c r="N887" s="2">
        <v>2029900.0</v>
      </c>
      <c r="O887" s="4">
        <f t="shared" si="6"/>
        <v>5178.316327</v>
      </c>
      <c r="P887" s="2">
        <v>0.0</v>
      </c>
      <c r="Q887" s="3">
        <f t="shared" si="7"/>
        <v>0</v>
      </c>
      <c r="R887" s="2">
        <v>156.0</v>
      </c>
      <c r="S887" s="5">
        <f t="shared" si="8"/>
        <v>1</v>
      </c>
    </row>
    <row r="888">
      <c r="A888" s="2" t="s">
        <v>902</v>
      </c>
      <c r="B888" s="2">
        <v>757.0</v>
      </c>
      <c r="C888" s="2">
        <v>8973.0</v>
      </c>
      <c r="D888" s="2">
        <v>2363.0</v>
      </c>
      <c r="E888" s="3">
        <f t="shared" si="1"/>
        <v>0.2876095424</v>
      </c>
      <c r="F888" s="2">
        <v>1251.0</v>
      </c>
      <c r="G888" s="3">
        <f t="shared" si="2"/>
        <v>0.1522638754</v>
      </c>
      <c r="H888" s="2">
        <v>1791.0</v>
      </c>
      <c r="I888" s="3">
        <f t="shared" si="3"/>
        <v>0.2179892892</v>
      </c>
      <c r="J888" s="2">
        <v>1475.0</v>
      </c>
      <c r="K888" s="3">
        <f t="shared" si="4"/>
        <v>0.1795277507</v>
      </c>
      <c r="L888" s="2">
        <v>1101.0</v>
      </c>
      <c r="M888" s="3">
        <f t="shared" si="5"/>
        <v>0.6147403685</v>
      </c>
      <c r="N888" s="2">
        <v>1.06727E7</v>
      </c>
      <c r="O888" s="4">
        <f t="shared" si="6"/>
        <v>5959.073143</v>
      </c>
      <c r="P888" s="2">
        <v>1.0</v>
      </c>
      <c r="Q888" s="3">
        <f t="shared" si="7"/>
        <v>0.001321003963</v>
      </c>
      <c r="R888" s="2">
        <v>757.0</v>
      </c>
      <c r="S888" s="5">
        <f t="shared" si="8"/>
        <v>1</v>
      </c>
    </row>
    <row r="889">
      <c r="A889" s="2" t="s">
        <v>903</v>
      </c>
      <c r="B889" s="2">
        <v>410.0</v>
      </c>
      <c r="C889" s="2">
        <v>4766.0</v>
      </c>
      <c r="D889" s="2">
        <v>1562.0</v>
      </c>
      <c r="E889" s="3">
        <f t="shared" si="1"/>
        <v>0.3585858586</v>
      </c>
      <c r="F889" s="2">
        <v>663.0</v>
      </c>
      <c r="G889" s="3">
        <f t="shared" si="2"/>
        <v>0.1522038567</v>
      </c>
      <c r="H889" s="2">
        <v>882.0</v>
      </c>
      <c r="I889" s="3">
        <f t="shared" si="3"/>
        <v>0.2024793388</v>
      </c>
      <c r="J889" s="2">
        <v>721.0</v>
      </c>
      <c r="K889" s="3">
        <f t="shared" si="4"/>
        <v>0.1655188246</v>
      </c>
      <c r="L889" s="2">
        <v>528.0</v>
      </c>
      <c r="M889" s="3">
        <f t="shared" si="5"/>
        <v>0.5986394558</v>
      </c>
      <c r="N889" s="2">
        <v>5176000.0</v>
      </c>
      <c r="O889" s="4">
        <f t="shared" si="6"/>
        <v>5868.480726</v>
      </c>
      <c r="P889" s="2">
        <v>3.0</v>
      </c>
      <c r="Q889" s="3">
        <f t="shared" si="7"/>
        <v>0.007317073171</v>
      </c>
      <c r="R889" s="2">
        <v>406.0</v>
      </c>
      <c r="S889" s="5">
        <f t="shared" si="8"/>
        <v>0.9902439024</v>
      </c>
    </row>
    <row r="890">
      <c r="A890" s="2" t="s">
        <v>904</v>
      </c>
      <c r="B890" s="2">
        <v>576.0</v>
      </c>
      <c r="C890" s="2">
        <v>6674.0</v>
      </c>
      <c r="D890" s="2">
        <v>2598.0</v>
      </c>
      <c r="E890" s="3">
        <f t="shared" si="1"/>
        <v>0.426041325</v>
      </c>
      <c r="F890" s="2">
        <v>928.0</v>
      </c>
      <c r="G890" s="3">
        <f t="shared" si="2"/>
        <v>0.152181043</v>
      </c>
      <c r="H890" s="2">
        <v>1409.0</v>
      </c>
      <c r="I890" s="3">
        <f t="shared" si="3"/>
        <v>0.2310593637</v>
      </c>
      <c r="J890" s="2">
        <v>1091.0</v>
      </c>
      <c r="K890" s="3">
        <f t="shared" si="4"/>
        <v>0.1789111184</v>
      </c>
      <c r="L890" s="2">
        <v>847.0</v>
      </c>
      <c r="M890" s="3">
        <f t="shared" si="5"/>
        <v>0.6011355571</v>
      </c>
      <c r="N890" s="2">
        <v>7828600.0</v>
      </c>
      <c r="O890" s="4">
        <f t="shared" si="6"/>
        <v>5556.139106</v>
      </c>
      <c r="P890" s="2">
        <v>2.0</v>
      </c>
      <c r="Q890" s="3">
        <f t="shared" si="7"/>
        <v>0.003472222222</v>
      </c>
      <c r="R890" s="2">
        <v>0.0</v>
      </c>
      <c r="S890" s="5">
        <f t="shared" si="8"/>
        <v>0</v>
      </c>
    </row>
    <row r="891">
      <c r="A891" s="2" t="s">
        <v>905</v>
      </c>
      <c r="B891" s="2">
        <v>90.0</v>
      </c>
      <c r="C891" s="2">
        <v>1056.0</v>
      </c>
      <c r="D891" s="2">
        <v>344.0</v>
      </c>
      <c r="E891" s="3">
        <f t="shared" si="1"/>
        <v>0.3561076605</v>
      </c>
      <c r="F891" s="2">
        <v>147.0</v>
      </c>
      <c r="G891" s="3">
        <f t="shared" si="2"/>
        <v>0.152173913</v>
      </c>
      <c r="H891" s="2">
        <v>214.0</v>
      </c>
      <c r="I891" s="3">
        <f t="shared" si="3"/>
        <v>0.2215320911</v>
      </c>
      <c r="J891" s="2">
        <v>188.0</v>
      </c>
      <c r="K891" s="3">
        <f t="shared" si="4"/>
        <v>0.1946169772</v>
      </c>
      <c r="L891" s="2">
        <v>136.0</v>
      </c>
      <c r="M891" s="3">
        <f t="shared" si="5"/>
        <v>0.6355140187</v>
      </c>
      <c r="N891" s="2">
        <v>1184100.0</v>
      </c>
      <c r="O891" s="4">
        <f t="shared" si="6"/>
        <v>5533.17757</v>
      </c>
      <c r="P891" s="2">
        <v>0.0</v>
      </c>
      <c r="Q891" s="3">
        <f t="shared" si="7"/>
        <v>0</v>
      </c>
      <c r="R891" s="2">
        <v>0.0</v>
      </c>
      <c r="S891" s="5">
        <f t="shared" si="8"/>
        <v>0</v>
      </c>
    </row>
    <row r="892">
      <c r="A892" s="2" t="s">
        <v>906</v>
      </c>
      <c r="B892" s="2">
        <v>175.0</v>
      </c>
      <c r="C892" s="2">
        <v>2061.0</v>
      </c>
      <c r="D892" s="2">
        <v>649.0</v>
      </c>
      <c r="E892" s="3">
        <f t="shared" si="1"/>
        <v>0.3441145281</v>
      </c>
      <c r="F892" s="2">
        <v>287.0</v>
      </c>
      <c r="G892" s="3">
        <f t="shared" si="2"/>
        <v>0.152173913</v>
      </c>
      <c r="H892" s="2">
        <v>416.0</v>
      </c>
      <c r="I892" s="3">
        <f t="shared" si="3"/>
        <v>0.2205726405</v>
      </c>
      <c r="J892" s="2">
        <v>332.0</v>
      </c>
      <c r="K892" s="3">
        <f t="shared" si="4"/>
        <v>0.1760339343</v>
      </c>
      <c r="L892" s="2">
        <v>273.0</v>
      </c>
      <c r="M892" s="3">
        <f t="shared" si="5"/>
        <v>0.65625</v>
      </c>
      <c r="N892" s="2">
        <v>2294700.0</v>
      </c>
      <c r="O892" s="4">
        <f t="shared" si="6"/>
        <v>5516.105769</v>
      </c>
      <c r="P892" s="2">
        <v>0.0</v>
      </c>
      <c r="Q892" s="3">
        <f t="shared" si="7"/>
        <v>0</v>
      </c>
      <c r="R892" s="2">
        <v>175.0</v>
      </c>
      <c r="S892" s="5">
        <f t="shared" si="8"/>
        <v>1</v>
      </c>
    </row>
    <row r="893">
      <c r="A893" s="2" t="s">
        <v>907</v>
      </c>
      <c r="B893" s="2">
        <v>4.0</v>
      </c>
      <c r="C893" s="2">
        <v>50.0</v>
      </c>
      <c r="D893" s="2">
        <v>18.0</v>
      </c>
      <c r="E893" s="3">
        <f t="shared" si="1"/>
        <v>0.3913043478</v>
      </c>
      <c r="F893" s="2">
        <v>7.0</v>
      </c>
      <c r="G893" s="3">
        <f t="shared" si="2"/>
        <v>0.152173913</v>
      </c>
      <c r="H893" s="2">
        <v>7.0</v>
      </c>
      <c r="I893" s="3">
        <f t="shared" si="3"/>
        <v>0.152173913</v>
      </c>
      <c r="J893" s="2">
        <v>8.0</v>
      </c>
      <c r="K893" s="3">
        <f t="shared" si="4"/>
        <v>0.1739130435</v>
      </c>
      <c r="L893" s="2">
        <v>3.0</v>
      </c>
      <c r="M893" s="3">
        <f t="shared" si="5"/>
        <v>0.4285714286</v>
      </c>
      <c r="N893" s="2">
        <v>41800.0</v>
      </c>
      <c r="O893" s="4">
        <f t="shared" si="6"/>
        <v>5971.428571</v>
      </c>
      <c r="P893" s="2">
        <v>0.0</v>
      </c>
      <c r="Q893" s="3">
        <f t="shared" si="7"/>
        <v>0</v>
      </c>
      <c r="R893" s="2">
        <v>4.0</v>
      </c>
      <c r="S893" s="5">
        <f t="shared" si="8"/>
        <v>1</v>
      </c>
    </row>
    <row r="894">
      <c r="A894" s="2" t="s">
        <v>908</v>
      </c>
      <c r="B894" s="2">
        <v>159.0</v>
      </c>
      <c r="C894" s="2">
        <v>1848.0</v>
      </c>
      <c r="D894" s="2">
        <v>546.0</v>
      </c>
      <c r="E894" s="3">
        <f t="shared" si="1"/>
        <v>0.323268206</v>
      </c>
      <c r="F894" s="2">
        <v>257.0</v>
      </c>
      <c r="G894" s="3">
        <f t="shared" si="2"/>
        <v>0.152161042</v>
      </c>
      <c r="H894" s="2">
        <v>314.0</v>
      </c>
      <c r="I894" s="3">
        <f t="shared" si="3"/>
        <v>0.1859088218</v>
      </c>
      <c r="J894" s="2">
        <v>305.0</v>
      </c>
      <c r="K894" s="3">
        <f t="shared" si="4"/>
        <v>0.180580225</v>
      </c>
      <c r="L894" s="2">
        <v>186.0</v>
      </c>
      <c r="M894" s="3">
        <f t="shared" si="5"/>
        <v>0.5923566879</v>
      </c>
      <c r="N894" s="2">
        <v>1935900.0</v>
      </c>
      <c r="O894" s="4">
        <f t="shared" si="6"/>
        <v>6165.286624</v>
      </c>
      <c r="P894" s="2">
        <v>0.0</v>
      </c>
      <c r="Q894" s="3">
        <f t="shared" si="7"/>
        <v>0</v>
      </c>
      <c r="R894" s="2">
        <v>0.0</v>
      </c>
      <c r="S894" s="5">
        <f t="shared" si="8"/>
        <v>0</v>
      </c>
    </row>
    <row r="895">
      <c r="A895" s="2" t="s">
        <v>909</v>
      </c>
      <c r="B895" s="2">
        <v>96.0</v>
      </c>
      <c r="C895" s="2">
        <v>1095.0</v>
      </c>
      <c r="D895" s="2">
        <v>427.0</v>
      </c>
      <c r="E895" s="3">
        <f t="shared" si="1"/>
        <v>0.4274274274</v>
      </c>
      <c r="F895" s="2">
        <v>152.0</v>
      </c>
      <c r="G895" s="3">
        <f t="shared" si="2"/>
        <v>0.1521521522</v>
      </c>
      <c r="H895" s="2">
        <v>198.0</v>
      </c>
      <c r="I895" s="3">
        <f t="shared" si="3"/>
        <v>0.1981981982</v>
      </c>
      <c r="J895" s="2">
        <v>150.0</v>
      </c>
      <c r="K895" s="3">
        <f t="shared" si="4"/>
        <v>0.1501501502</v>
      </c>
      <c r="L895" s="2">
        <v>112.0</v>
      </c>
      <c r="M895" s="3">
        <f t="shared" si="5"/>
        <v>0.5656565657</v>
      </c>
      <c r="N895" s="2">
        <v>1037100.0</v>
      </c>
      <c r="O895" s="4">
        <f t="shared" si="6"/>
        <v>5237.878788</v>
      </c>
      <c r="P895" s="2">
        <v>0.0</v>
      </c>
      <c r="Q895" s="3">
        <f t="shared" si="7"/>
        <v>0</v>
      </c>
      <c r="R895" s="2">
        <v>96.0</v>
      </c>
      <c r="S895" s="5">
        <f t="shared" si="8"/>
        <v>1</v>
      </c>
    </row>
    <row r="896">
      <c r="A896" s="2" t="s">
        <v>910</v>
      </c>
      <c r="B896" s="2">
        <v>573.0</v>
      </c>
      <c r="C896" s="2">
        <v>6712.0</v>
      </c>
      <c r="D896" s="2">
        <v>1987.0</v>
      </c>
      <c r="E896" s="3">
        <f t="shared" si="1"/>
        <v>0.3236683499</v>
      </c>
      <c r="F896" s="2">
        <v>934.0</v>
      </c>
      <c r="G896" s="3">
        <f t="shared" si="2"/>
        <v>0.1521420427</v>
      </c>
      <c r="H896" s="2">
        <v>1255.0</v>
      </c>
      <c r="I896" s="3">
        <f t="shared" si="3"/>
        <v>0.204430689</v>
      </c>
      <c r="J896" s="2">
        <v>1124.0</v>
      </c>
      <c r="K896" s="3">
        <f t="shared" si="4"/>
        <v>0.1830917087</v>
      </c>
      <c r="L896" s="2">
        <v>784.0</v>
      </c>
      <c r="M896" s="3">
        <f t="shared" si="5"/>
        <v>0.6247011952</v>
      </c>
      <c r="N896" s="2">
        <v>7807900.0</v>
      </c>
      <c r="O896" s="4">
        <f t="shared" si="6"/>
        <v>6221.434263</v>
      </c>
      <c r="P896" s="2">
        <v>1.0</v>
      </c>
      <c r="Q896" s="3">
        <f t="shared" si="7"/>
        <v>0.001745200698</v>
      </c>
      <c r="R896" s="2">
        <v>573.0</v>
      </c>
      <c r="S896" s="5">
        <f t="shared" si="8"/>
        <v>1</v>
      </c>
    </row>
    <row r="897">
      <c r="A897" s="2" t="s">
        <v>911</v>
      </c>
      <c r="B897" s="2">
        <v>301.0</v>
      </c>
      <c r="C897" s="2">
        <v>3522.0</v>
      </c>
      <c r="D897" s="2">
        <v>1081.0</v>
      </c>
      <c r="E897" s="3">
        <f t="shared" si="1"/>
        <v>0.335610059</v>
      </c>
      <c r="F897" s="2">
        <v>490.0</v>
      </c>
      <c r="G897" s="3">
        <f t="shared" si="2"/>
        <v>0.1521266687</v>
      </c>
      <c r="H897" s="2">
        <v>725.0</v>
      </c>
      <c r="I897" s="3">
        <f t="shared" si="3"/>
        <v>0.2250853772</v>
      </c>
      <c r="J897" s="2">
        <v>520.0</v>
      </c>
      <c r="K897" s="3">
        <f t="shared" si="4"/>
        <v>0.1614405464</v>
      </c>
      <c r="L897" s="2">
        <v>469.0</v>
      </c>
      <c r="M897" s="3">
        <f t="shared" si="5"/>
        <v>0.6468965517</v>
      </c>
      <c r="N897" s="2">
        <v>4030300.0</v>
      </c>
      <c r="O897" s="4">
        <f t="shared" si="6"/>
        <v>5559.034483</v>
      </c>
      <c r="P897" s="2">
        <v>3.0</v>
      </c>
      <c r="Q897" s="3">
        <f t="shared" si="7"/>
        <v>0.009966777409</v>
      </c>
      <c r="R897" s="2">
        <v>301.0</v>
      </c>
      <c r="S897" s="5">
        <f t="shared" si="8"/>
        <v>1</v>
      </c>
    </row>
    <row r="898">
      <c r="A898" s="2" t="s">
        <v>912</v>
      </c>
      <c r="B898" s="2">
        <v>298.0</v>
      </c>
      <c r="C898" s="2">
        <v>3395.0</v>
      </c>
      <c r="D898" s="2">
        <v>1090.0</v>
      </c>
      <c r="E898" s="3">
        <f t="shared" si="1"/>
        <v>0.3519535034</v>
      </c>
      <c r="F898" s="2">
        <v>471.0</v>
      </c>
      <c r="G898" s="3">
        <f t="shared" si="2"/>
        <v>0.1520826606</v>
      </c>
      <c r="H898" s="2">
        <v>641.0</v>
      </c>
      <c r="I898" s="3">
        <f t="shared" si="3"/>
        <v>0.2069744914</v>
      </c>
      <c r="J898" s="2">
        <v>639.0</v>
      </c>
      <c r="K898" s="3">
        <f t="shared" si="4"/>
        <v>0.2063287052</v>
      </c>
      <c r="L898" s="2">
        <v>383.0</v>
      </c>
      <c r="M898" s="3">
        <f t="shared" si="5"/>
        <v>0.5975039002</v>
      </c>
      <c r="N898" s="2">
        <v>3620500.0</v>
      </c>
      <c r="O898" s="4">
        <f t="shared" si="6"/>
        <v>5648.205928</v>
      </c>
      <c r="P898" s="2">
        <v>0.0</v>
      </c>
      <c r="Q898" s="3">
        <f t="shared" si="7"/>
        <v>0</v>
      </c>
      <c r="R898" s="2">
        <v>298.0</v>
      </c>
      <c r="S898" s="5">
        <f t="shared" si="8"/>
        <v>1</v>
      </c>
    </row>
    <row r="899">
      <c r="A899" s="2" t="s">
        <v>913</v>
      </c>
      <c r="B899" s="2">
        <v>41.0</v>
      </c>
      <c r="C899" s="2">
        <v>475.0</v>
      </c>
      <c r="D899" s="2">
        <v>101.0</v>
      </c>
      <c r="E899" s="3">
        <f t="shared" si="1"/>
        <v>0.232718894</v>
      </c>
      <c r="F899" s="2">
        <v>66.0</v>
      </c>
      <c r="G899" s="3">
        <f t="shared" si="2"/>
        <v>0.1520737327</v>
      </c>
      <c r="H899" s="2">
        <v>65.0</v>
      </c>
      <c r="I899" s="3">
        <f t="shared" si="3"/>
        <v>0.1497695853</v>
      </c>
      <c r="J899" s="2">
        <v>77.0</v>
      </c>
      <c r="K899" s="3">
        <f t="shared" si="4"/>
        <v>0.1774193548</v>
      </c>
      <c r="L899" s="2">
        <v>36.0</v>
      </c>
      <c r="M899" s="3">
        <f t="shared" si="5"/>
        <v>0.5538461538</v>
      </c>
      <c r="N899" s="2">
        <v>375500.0</v>
      </c>
      <c r="O899" s="4">
        <f t="shared" si="6"/>
        <v>5776.923077</v>
      </c>
      <c r="P899" s="2">
        <v>0.0</v>
      </c>
      <c r="Q899" s="3">
        <f t="shared" si="7"/>
        <v>0</v>
      </c>
      <c r="R899" s="2">
        <v>41.0</v>
      </c>
      <c r="S899" s="5">
        <f t="shared" si="8"/>
        <v>1</v>
      </c>
    </row>
    <row r="900">
      <c r="A900" s="2" t="s">
        <v>914</v>
      </c>
      <c r="B900" s="2">
        <v>384.0</v>
      </c>
      <c r="C900" s="2">
        <v>4502.0</v>
      </c>
      <c r="D900" s="2">
        <v>1391.0</v>
      </c>
      <c r="E900" s="3">
        <f t="shared" si="1"/>
        <v>0.3377853327</v>
      </c>
      <c r="F900" s="2">
        <v>626.0</v>
      </c>
      <c r="G900" s="3">
        <f t="shared" si="2"/>
        <v>0.1520155415</v>
      </c>
      <c r="H900" s="2">
        <v>896.0</v>
      </c>
      <c r="I900" s="3">
        <f t="shared" si="3"/>
        <v>0.2175813502</v>
      </c>
      <c r="J900" s="2">
        <v>889.0</v>
      </c>
      <c r="K900" s="3">
        <f t="shared" si="4"/>
        <v>0.2158814959</v>
      </c>
      <c r="L900" s="2">
        <v>557.0</v>
      </c>
      <c r="M900" s="3">
        <f t="shared" si="5"/>
        <v>0.6216517857</v>
      </c>
      <c r="N900" s="2">
        <v>5198100.0</v>
      </c>
      <c r="O900" s="4">
        <f t="shared" si="6"/>
        <v>5801.450893</v>
      </c>
      <c r="P900" s="2">
        <v>3.0</v>
      </c>
      <c r="Q900" s="3">
        <f t="shared" si="7"/>
        <v>0.0078125</v>
      </c>
      <c r="R900" s="2">
        <v>384.0</v>
      </c>
      <c r="S900" s="5">
        <f t="shared" si="8"/>
        <v>1</v>
      </c>
    </row>
    <row r="901">
      <c r="A901" s="2" t="s">
        <v>915</v>
      </c>
      <c r="B901" s="2">
        <v>116.0</v>
      </c>
      <c r="C901" s="2">
        <v>1366.0</v>
      </c>
      <c r="D901" s="2">
        <v>489.0</v>
      </c>
      <c r="E901" s="3">
        <f t="shared" si="1"/>
        <v>0.3912</v>
      </c>
      <c r="F901" s="2">
        <v>190.0</v>
      </c>
      <c r="G901" s="3">
        <f t="shared" si="2"/>
        <v>0.152</v>
      </c>
      <c r="H901" s="2">
        <v>262.0</v>
      </c>
      <c r="I901" s="3">
        <f t="shared" si="3"/>
        <v>0.2096</v>
      </c>
      <c r="J901" s="2">
        <v>176.0</v>
      </c>
      <c r="K901" s="3">
        <f t="shared" si="4"/>
        <v>0.1408</v>
      </c>
      <c r="L901" s="2">
        <v>161.0</v>
      </c>
      <c r="M901" s="3">
        <f t="shared" si="5"/>
        <v>0.6145038168</v>
      </c>
      <c r="N901" s="2">
        <v>1371400.0</v>
      </c>
      <c r="O901" s="4">
        <f t="shared" si="6"/>
        <v>5234.351145</v>
      </c>
      <c r="P901" s="2">
        <v>0.0</v>
      </c>
      <c r="Q901" s="3">
        <f t="shared" si="7"/>
        <v>0</v>
      </c>
      <c r="R901" s="2">
        <v>12.0</v>
      </c>
      <c r="S901" s="5">
        <f t="shared" si="8"/>
        <v>0.1034482759</v>
      </c>
    </row>
    <row r="902">
      <c r="A902" s="2" t="s">
        <v>916</v>
      </c>
      <c r="B902" s="2">
        <v>13.0</v>
      </c>
      <c r="C902" s="2">
        <v>138.0</v>
      </c>
      <c r="D902" s="2">
        <v>50.0</v>
      </c>
      <c r="E902" s="3">
        <f t="shared" si="1"/>
        <v>0.4</v>
      </c>
      <c r="F902" s="2">
        <v>19.0</v>
      </c>
      <c r="G902" s="3">
        <f t="shared" si="2"/>
        <v>0.152</v>
      </c>
      <c r="H902" s="2">
        <v>28.0</v>
      </c>
      <c r="I902" s="3">
        <f t="shared" si="3"/>
        <v>0.224</v>
      </c>
      <c r="J902" s="2">
        <v>14.0</v>
      </c>
      <c r="K902" s="3">
        <f t="shared" si="4"/>
        <v>0.112</v>
      </c>
      <c r="L902" s="2">
        <v>19.0</v>
      </c>
      <c r="M902" s="3">
        <f t="shared" si="5"/>
        <v>0.6785714286</v>
      </c>
      <c r="N902" s="2">
        <v>162600.0</v>
      </c>
      <c r="O902" s="4">
        <f t="shared" si="6"/>
        <v>5807.142857</v>
      </c>
      <c r="P902" s="2">
        <v>0.0</v>
      </c>
      <c r="Q902" s="3">
        <f t="shared" si="7"/>
        <v>0</v>
      </c>
      <c r="R902" s="2">
        <v>13.0</v>
      </c>
      <c r="S902" s="5">
        <f t="shared" si="8"/>
        <v>1</v>
      </c>
    </row>
    <row r="903">
      <c r="A903" s="2" t="s">
        <v>917</v>
      </c>
      <c r="B903" s="2">
        <v>589.0</v>
      </c>
      <c r="C903" s="2">
        <v>6905.0</v>
      </c>
      <c r="D903" s="2">
        <v>2735.0</v>
      </c>
      <c r="E903" s="3">
        <f t="shared" si="1"/>
        <v>0.4330272324</v>
      </c>
      <c r="F903" s="2">
        <v>960.0</v>
      </c>
      <c r="G903" s="3">
        <f t="shared" si="2"/>
        <v>0.1519949335</v>
      </c>
      <c r="H903" s="2">
        <v>1469.0</v>
      </c>
      <c r="I903" s="3">
        <f t="shared" si="3"/>
        <v>0.2325839139</v>
      </c>
      <c r="J903" s="2">
        <v>786.0</v>
      </c>
      <c r="K903" s="3">
        <f t="shared" si="4"/>
        <v>0.1244458518</v>
      </c>
      <c r="L903" s="2">
        <v>945.0</v>
      </c>
      <c r="M903" s="3">
        <f t="shared" si="5"/>
        <v>0.6432947583</v>
      </c>
      <c r="N903" s="2">
        <v>7873900.0</v>
      </c>
      <c r="O903" s="4">
        <f t="shared" si="6"/>
        <v>5360.040844</v>
      </c>
      <c r="P903" s="2">
        <v>2.0</v>
      </c>
      <c r="Q903" s="3">
        <f t="shared" si="7"/>
        <v>0.003395585739</v>
      </c>
      <c r="R903" s="2">
        <v>589.0</v>
      </c>
      <c r="S903" s="5">
        <f t="shared" si="8"/>
        <v>1</v>
      </c>
    </row>
    <row r="904">
      <c r="A904" s="2" t="s">
        <v>918</v>
      </c>
      <c r="B904" s="2">
        <v>20.0</v>
      </c>
      <c r="C904" s="2">
        <v>224.0</v>
      </c>
      <c r="D904" s="2">
        <v>78.0</v>
      </c>
      <c r="E904" s="3">
        <f t="shared" si="1"/>
        <v>0.3823529412</v>
      </c>
      <c r="F904" s="2">
        <v>31.0</v>
      </c>
      <c r="G904" s="3">
        <f t="shared" si="2"/>
        <v>0.1519607843</v>
      </c>
      <c r="H904" s="2">
        <v>42.0</v>
      </c>
      <c r="I904" s="3">
        <f t="shared" si="3"/>
        <v>0.2058823529</v>
      </c>
      <c r="J904" s="2">
        <v>35.0</v>
      </c>
      <c r="K904" s="3">
        <f t="shared" si="4"/>
        <v>0.1715686275</v>
      </c>
      <c r="L904" s="2">
        <v>30.0</v>
      </c>
      <c r="M904" s="3">
        <f t="shared" si="5"/>
        <v>0.7142857143</v>
      </c>
      <c r="N904" s="2">
        <v>233300.0</v>
      </c>
      <c r="O904" s="4">
        <f t="shared" si="6"/>
        <v>5554.761905</v>
      </c>
      <c r="P904" s="2">
        <v>0.0</v>
      </c>
      <c r="Q904" s="3">
        <f t="shared" si="7"/>
        <v>0</v>
      </c>
      <c r="R904" s="2">
        <v>0.0</v>
      </c>
      <c r="S904" s="5">
        <f t="shared" si="8"/>
        <v>0</v>
      </c>
    </row>
    <row r="905">
      <c r="A905" s="2" t="s">
        <v>919</v>
      </c>
      <c r="B905" s="2">
        <v>184.0</v>
      </c>
      <c r="C905" s="2">
        <v>2152.0</v>
      </c>
      <c r="D905" s="2">
        <v>829.0</v>
      </c>
      <c r="E905" s="3">
        <f t="shared" si="1"/>
        <v>0.4212398374</v>
      </c>
      <c r="F905" s="2">
        <v>299.0</v>
      </c>
      <c r="G905" s="3">
        <f t="shared" si="2"/>
        <v>0.1519308943</v>
      </c>
      <c r="H905" s="2">
        <v>409.0</v>
      </c>
      <c r="I905" s="3">
        <f t="shared" si="3"/>
        <v>0.2078252033</v>
      </c>
      <c r="J905" s="2">
        <v>345.0</v>
      </c>
      <c r="K905" s="3">
        <f t="shared" si="4"/>
        <v>0.175304878</v>
      </c>
      <c r="L905" s="2">
        <v>238.0</v>
      </c>
      <c r="M905" s="3">
        <f t="shared" si="5"/>
        <v>0.5819070905</v>
      </c>
      <c r="N905" s="2">
        <v>2324600.0</v>
      </c>
      <c r="O905" s="4">
        <f t="shared" si="6"/>
        <v>5683.618582</v>
      </c>
      <c r="P905" s="2">
        <v>0.0</v>
      </c>
      <c r="Q905" s="3">
        <f t="shared" si="7"/>
        <v>0</v>
      </c>
      <c r="R905" s="2">
        <v>74.0</v>
      </c>
      <c r="S905" s="5">
        <f t="shared" si="8"/>
        <v>0.402173913</v>
      </c>
    </row>
    <row r="906">
      <c r="A906" s="2" t="s">
        <v>920</v>
      </c>
      <c r="B906" s="2">
        <v>179.0</v>
      </c>
      <c r="C906" s="2">
        <v>2147.0</v>
      </c>
      <c r="D906" s="2">
        <v>690.0</v>
      </c>
      <c r="E906" s="3">
        <f t="shared" si="1"/>
        <v>0.3506097561</v>
      </c>
      <c r="F906" s="2">
        <v>299.0</v>
      </c>
      <c r="G906" s="3">
        <f t="shared" si="2"/>
        <v>0.1519308943</v>
      </c>
      <c r="H906" s="2">
        <v>395.0</v>
      </c>
      <c r="I906" s="3">
        <f t="shared" si="3"/>
        <v>0.2007113821</v>
      </c>
      <c r="J906" s="2">
        <v>307.0</v>
      </c>
      <c r="K906" s="3">
        <f t="shared" si="4"/>
        <v>0.155995935</v>
      </c>
      <c r="L906" s="2">
        <v>211.0</v>
      </c>
      <c r="M906" s="3">
        <f t="shared" si="5"/>
        <v>0.5341772152</v>
      </c>
      <c r="N906" s="2">
        <v>2232300.0</v>
      </c>
      <c r="O906" s="4">
        <f t="shared" si="6"/>
        <v>5651.392405</v>
      </c>
      <c r="P906" s="2">
        <v>0.0</v>
      </c>
      <c r="Q906" s="3">
        <f t="shared" si="7"/>
        <v>0</v>
      </c>
      <c r="R906" s="2">
        <v>179.0</v>
      </c>
      <c r="S906" s="5">
        <f t="shared" si="8"/>
        <v>1</v>
      </c>
    </row>
    <row r="907">
      <c r="A907" s="2" t="s">
        <v>921</v>
      </c>
      <c r="B907" s="2">
        <v>267.0</v>
      </c>
      <c r="C907" s="2">
        <v>3091.0</v>
      </c>
      <c r="D907" s="2">
        <v>1158.0</v>
      </c>
      <c r="E907" s="3">
        <f t="shared" si="1"/>
        <v>0.4100566572</v>
      </c>
      <c r="F907" s="2">
        <v>429.0</v>
      </c>
      <c r="G907" s="3">
        <f t="shared" si="2"/>
        <v>0.1519121813</v>
      </c>
      <c r="H907" s="2">
        <v>593.0</v>
      </c>
      <c r="I907" s="3">
        <f t="shared" si="3"/>
        <v>0.2099858357</v>
      </c>
      <c r="J907" s="2">
        <v>463.0</v>
      </c>
      <c r="K907" s="3">
        <f t="shared" si="4"/>
        <v>0.1639518414</v>
      </c>
      <c r="L907" s="2">
        <v>356.0</v>
      </c>
      <c r="M907" s="3">
        <f t="shared" si="5"/>
        <v>0.6003372681</v>
      </c>
      <c r="N907" s="2">
        <v>3439000.0</v>
      </c>
      <c r="O907" s="4">
        <f t="shared" si="6"/>
        <v>5799.325464</v>
      </c>
      <c r="P907" s="2">
        <v>0.0</v>
      </c>
      <c r="Q907" s="3">
        <f t="shared" si="7"/>
        <v>0</v>
      </c>
      <c r="R907" s="2">
        <v>0.0</v>
      </c>
      <c r="S907" s="5">
        <f t="shared" si="8"/>
        <v>0</v>
      </c>
    </row>
    <row r="908">
      <c r="A908" s="2" t="s">
        <v>922</v>
      </c>
      <c r="B908" s="2">
        <v>1048.0</v>
      </c>
      <c r="C908" s="2">
        <v>12188.0</v>
      </c>
      <c r="D908" s="2">
        <v>4439.0</v>
      </c>
      <c r="E908" s="3">
        <f t="shared" si="1"/>
        <v>0.3984739677</v>
      </c>
      <c r="F908" s="2">
        <v>1692.0</v>
      </c>
      <c r="G908" s="3">
        <f t="shared" si="2"/>
        <v>0.1518850987</v>
      </c>
      <c r="H908" s="2">
        <v>2617.0</v>
      </c>
      <c r="I908" s="3">
        <f t="shared" si="3"/>
        <v>0.2349192101</v>
      </c>
      <c r="J908" s="2">
        <v>1919.0</v>
      </c>
      <c r="K908" s="3">
        <f t="shared" si="4"/>
        <v>0.1722621185</v>
      </c>
      <c r="L908" s="2">
        <v>1617.0</v>
      </c>
      <c r="M908" s="3">
        <f t="shared" si="5"/>
        <v>0.6178830722</v>
      </c>
      <c r="N908" s="2">
        <v>1.43214E7</v>
      </c>
      <c r="O908" s="4">
        <f t="shared" si="6"/>
        <v>5472.44937</v>
      </c>
      <c r="P908" s="2">
        <v>2.0</v>
      </c>
      <c r="Q908" s="3">
        <f t="shared" si="7"/>
        <v>0.001908396947</v>
      </c>
      <c r="R908" s="2">
        <v>1048.0</v>
      </c>
      <c r="S908" s="5">
        <f t="shared" si="8"/>
        <v>1</v>
      </c>
    </row>
    <row r="909">
      <c r="A909" s="2" t="s">
        <v>923</v>
      </c>
      <c r="B909" s="2">
        <v>40.0</v>
      </c>
      <c r="C909" s="2">
        <v>468.0</v>
      </c>
      <c r="D909" s="2">
        <v>148.0</v>
      </c>
      <c r="E909" s="3">
        <f t="shared" si="1"/>
        <v>0.3457943925</v>
      </c>
      <c r="F909" s="2">
        <v>65.0</v>
      </c>
      <c r="G909" s="3">
        <f t="shared" si="2"/>
        <v>0.1518691589</v>
      </c>
      <c r="H909" s="2">
        <v>76.0</v>
      </c>
      <c r="I909" s="3">
        <f t="shared" si="3"/>
        <v>0.1775700935</v>
      </c>
      <c r="J909" s="2">
        <v>74.0</v>
      </c>
      <c r="K909" s="3">
        <f t="shared" si="4"/>
        <v>0.1728971963</v>
      </c>
      <c r="L909" s="2">
        <v>40.0</v>
      </c>
      <c r="M909" s="3">
        <f t="shared" si="5"/>
        <v>0.5263157895</v>
      </c>
      <c r="N909" s="2">
        <v>441900.0</v>
      </c>
      <c r="O909" s="4">
        <f t="shared" si="6"/>
        <v>5814.473684</v>
      </c>
      <c r="P909" s="2">
        <v>0.0</v>
      </c>
      <c r="Q909" s="3">
        <f t="shared" si="7"/>
        <v>0</v>
      </c>
      <c r="R909" s="2">
        <v>0.0</v>
      </c>
      <c r="S909" s="5">
        <f t="shared" si="8"/>
        <v>0</v>
      </c>
    </row>
    <row r="910">
      <c r="A910" s="2" t="s">
        <v>924</v>
      </c>
      <c r="B910" s="2">
        <v>234.0</v>
      </c>
      <c r="C910" s="2">
        <v>2743.0</v>
      </c>
      <c r="D910" s="2">
        <v>737.0</v>
      </c>
      <c r="E910" s="3">
        <f t="shared" si="1"/>
        <v>0.2937425269</v>
      </c>
      <c r="F910" s="2">
        <v>381.0</v>
      </c>
      <c r="G910" s="3">
        <f t="shared" si="2"/>
        <v>0.151853328</v>
      </c>
      <c r="H910" s="2">
        <v>491.0</v>
      </c>
      <c r="I910" s="3">
        <f t="shared" si="3"/>
        <v>0.1956954962</v>
      </c>
      <c r="J910" s="2">
        <v>434.0</v>
      </c>
      <c r="K910" s="3">
        <f t="shared" si="4"/>
        <v>0.1729772818</v>
      </c>
      <c r="L910" s="2">
        <v>264.0</v>
      </c>
      <c r="M910" s="3">
        <f t="shared" si="5"/>
        <v>0.5376782077</v>
      </c>
      <c r="N910" s="2">
        <v>2825600.0</v>
      </c>
      <c r="O910" s="4">
        <f t="shared" si="6"/>
        <v>5754.786151</v>
      </c>
      <c r="P910" s="2">
        <v>0.0</v>
      </c>
      <c r="Q910" s="3">
        <f t="shared" si="7"/>
        <v>0</v>
      </c>
      <c r="R910" s="2">
        <v>234.0</v>
      </c>
      <c r="S910" s="5">
        <f t="shared" si="8"/>
        <v>1</v>
      </c>
    </row>
    <row r="911">
      <c r="A911" s="2" t="s">
        <v>925</v>
      </c>
      <c r="B911" s="2">
        <v>330.0</v>
      </c>
      <c r="C911" s="2">
        <v>3906.0</v>
      </c>
      <c r="D911" s="2">
        <v>993.0</v>
      </c>
      <c r="E911" s="3">
        <f t="shared" si="1"/>
        <v>0.2776845638</v>
      </c>
      <c r="F911" s="2">
        <v>543.0</v>
      </c>
      <c r="G911" s="3">
        <f t="shared" si="2"/>
        <v>0.1518456376</v>
      </c>
      <c r="H911" s="2">
        <v>703.0</v>
      </c>
      <c r="I911" s="3">
        <f t="shared" si="3"/>
        <v>0.1965883669</v>
      </c>
      <c r="J911" s="2">
        <v>606.0</v>
      </c>
      <c r="K911" s="3">
        <f t="shared" si="4"/>
        <v>0.1694630872</v>
      </c>
      <c r="L911" s="2">
        <v>413.0</v>
      </c>
      <c r="M911" s="3">
        <f t="shared" si="5"/>
        <v>0.5874822191</v>
      </c>
      <c r="N911" s="2">
        <v>4260800.0</v>
      </c>
      <c r="O911" s="4">
        <f t="shared" si="6"/>
        <v>6060.881935</v>
      </c>
      <c r="P911" s="2">
        <v>2.0</v>
      </c>
      <c r="Q911" s="3">
        <f t="shared" si="7"/>
        <v>0.006060606061</v>
      </c>
      <c r="R911" s="2">
        <v>330.0</v>
      </c>
      <c r="S911" s="5">
        <f t="shared" si="8"/>
        <v>1</v>
      </c>
    </row>
    <row r="912">
      <c r="A912" s="2" t="s">
        <v>926</v>
      </c>
      <c r="B912" s="2">
        <v>74.0</v>
      </c>
      <c r="C912" s="2">
        <v>871.0</v>
      </c>
      <c r="D912" s="2">
        <v>289.0</v>
      </c>
      <c r="E912" s="3">
        <f t="shared" si="1"/>
        <v>0.3626097867</v>
      </c>
      <c r="F912" s="2">
        <v>121.0</v>
      </c>
      <c r="G912" s="3">
        <f t="shared" si="2"/>
        <v>0.1518193225</v>
      </c>
      <c r="H912" s="2">
        <v>161.0</v>
      </c>
      <c r="I912" s="3">
        <f t="shared" si="3"/>
        <v>0.2020075282</v>
      </c>
      <c r="J912" s="2">
        <v>154.0</v>
      </c>
      <c r="K912" s="3">
        <f t="shared" si="4"/>
        <v>0.1932245922</v>
      </c>
      <c r="L912" s="2">
        <v>100.0</v>
      </c>
      <c r="M912" s="3">
        <f t="shared" si="5"/>
        <v>0.6211180124</v>
      </c>
      <c r="N912" s="2">
        <v>876000.0</v>
      </c>
      <c r="O912" s="4">
        <f t="shared" si="6"/>
        <v>5440.993789</v>
      </c>
      <c r="P912" s="2">
        <v>0.0</v>
      </c>
      <c r="Q912" s="3">
        <f t="shared" si="7"/>
        <v>0</v>
      </c>
      <c r="R912" s="2">
        <v>74.0</v>
      </c>
      <c r="S912" s="5">
        <f t="shared" si="8"/>
        <v>1</v>
      </c>
    </row>
    <row r="913">
      <c r="A913" s="2" t="s">
        <v>927</v>
      </c>
      <c r="B913" s="2">
        <v>502.0</v>
      </c>
      <c r="C913" s="2">
        <v>5923.0</v>
      </c>
      <c r="D913" s="2">
        <v>1899.0</v>
      </c>
      <c r="E913" s="3">
        <f t="shared" si="1"/>
        <v>0.3503043719</v>
      </c>
      <c r="F913" s="2">
        <v>823.0</v>
      </c>
      <c r="G913" s="3">
        <f t="shared" si="2"/>
        <v>0.1518170079</v>
      </c>
      <c r="H913" s="2">
        <v>1158.0</v>
      </c>
      <c r="I913" s="3">
        <f t="shared" si="3"/>
        <v>0.2136137244</v>
      </c>
      <c r="J913" s="2">
        <v>853.0</v>
      </c>
      <c r="K913" s="3">
        <f t="shared" si="4"/>
        <v>0.1573510422</v>
      </c>
      <c r="L913" s="2">
        <v>695.0</v>
      </c>
      <c r="M913" s="3">
        <f t="shared" si="5"/>
        <v>0.6001727116</v>
      </c>
      <c r="N913" s="2">
        <v>6199600.0</v>
      </c>
      <c r="O913" s="4">
        <f t="shared" si="6"/>
        <v>5353.713299</v>
      </c>
      <c r="P913" s="2">
        <v>3.0</v>
      </c>
      <c r="Q913" s="3">
        <f t="shared" si="7"/>
        <v>0.005976095618</v>
      </c>
      <c r="R913" s="2">
        <v>22.0</v>
      </c>
      <c r="S913" s="5">
        <f t="shared" si="8"/>
        <v>0.0438247012</v>
      </c>
    </row>
    <row r="914">
      <c r="A914" s="2" t="s">
        <v>928</v>
      </c>
      <c r="B914" s="2">
        <v>153.0</v>
      </c>
      <c r="C914" s="2">
        <v>1767.0</v>
      </c>
      <c r="D914" s="2">
        <v>513.0</v>
      </c>
      <c r="E914" s="3">
        <f t="shared" si="1"/>
        <v>0.3178438662</v>
      </c>
      <c r="F914" s="2">
        <v>245.0</v>
      </c>
      <c r="G914" s="3">
        <f t="shared" si="2"/>
        <v>0.1517967782</v>
      </c>
      <c r="H914" s="2">
        <v>384.0</v>
      </c>
      <c r="I914" s="3">
        <f t="shared" si="3"/>
        <v>0.2379182156</v>
      </c>
      <c r="J914" s="2">
        <v>292.0</v>
      </c>
      <c r="K914" s="3">
        <f t="shared" si="4"/>
        <v>0.1809169765</v>
      </c>
      <c r="L914" s="2">
        <v>229.0</v>
      </c>
      <c r="M914" s="3">
        <f t="shared" si="5"/>
        <v>0.5963541667</v>
      </c>
      <c r="N914" s="2">
        <v>2269900.0</v>
      </c>
      <c r="O914" s="4">
        <f t="shared" si="6"/>
        <v>5911.197917</v>
      </c>
      <c r="P914" s="2">
        <v>0.0</v>
      </c>
      <c r="Q914" s="3">
        <f t="shared" si="7"/>
        <v>0</v>
      </c>
      <c r="R914" s="2">
        <v>153.0</v>
      </c>
      <c r="S914" s="5">
        <f t="shared" si="8"/>
        <v>1</v>
      </c>
    </row>
    <row r="915">
      <c r="A915" s="2" t="s">
        <v>929</v>
      </c>
      <c r="B915" s="2">
        <v>31.0</v>
      </c>
      <c r="C915" s="2">
        <v>367.0</v>
      </c>
      <c r="D915" s="2">
        <v>107.0</v>
      </c>
      <c r="E915" s="3">
        <f t="shared" si="1"/>
        <v>0.318452381</v>
      </c>
      <c r="F915" s="2">
        <v>51.0</v>
      </c>
      <c r="G915" s="3">
        <f t="shared" si="2"/>
        <v>0.1517857143</v>
      </c>
      <c r="H915" s="2">
        <v>74.0</v>
      </c>
      <c r="I915" s="3">
        <f t="shared" si="3"/>
        <v>0.2202380952</v>
      </c>
      <c r="J915" s="2">
        <v>54.0</v>
      </c>
      <c r="K915" s="3">
        <f t="shared" si="4"/>
        <v>0.1607142857</v>
      </c>
      <c r="L915" s="2">
        <v>47.0</v>
      </c>
      <c r="M915" s="3">
        <f t="shared" si="5"/>
        <v>0.6351351351</v>
      </c>
      <c r="N915" s="2">
        <v>408800.0</v>
      </c>
      <c r="O915" s="4">
        <f t="shared" si="6"/>
        <v>5524.324324</v>
      </c>
      <c r="P915" s="2">
        <v>0.0</v>
      </c>
      <c r="Q915" s="3">
        <f t="shared" si="7"/>
        <v>0</v>
      </c>
      <c r="R915" s="2">
        <v>31.0</v>
      </c>
      <c r="S915" s="5">
        <f t="shared" si="8"/>
        <v>1</v>
      </c>
    </row>
    <row r="916">
      <c r="A916" s="2" t="s">
        <v>930</v>
      </c>
      <c r="B916" s="2">
        <v>136.0</v>
      </c>
      <c r="C916" s="2">
        <v>1625.0</v>
      </c>
      <c r="D916" s="2">
        <v>465.0</v>
      </c>
      <c r="E916" s="3">
        <f t="shared" si="1"/>
        <v>0.3122901276</v>
      </c>
      <c r="F916" s="2">
        <v>226.0</v>
      </c>
      <c r="G916" s="3">
        <f t="shared" si="2"/>
        <v>0.1517797179</v>
      </c>
      <c r="H916" s="2">
        <v>298.0</v>
      </c>
      <c r="I916" s="3">
        <f t="shared" si="3"/>
        <v>0.2001343183</v>
      </c>
      <c r="J916" s="2">
        <v>269.0</v>
      </c>
      <c r="K916" s="3">
        <f t="shared" si="4"/>
        <v>0.1806581598</v>
      </c>
      <c r="L916" s="2">
        <v>163.0</v>
      </c>
      <c r="M916" s="3">
        <f t="shared" si="5"/>
        <v>0.5469798658</v>
      </c>
      <c r="N916" s="2">
        <v>1690600.0</v>
      </c>
      <c r="O916" s="4">
        <f t="shared" si="6"/>
        <v>5673.154362</v>
      </c>
      <c r="P916" s="2">
        <v>0.0</v>
      </c>
      <c r="Q916" s="3">
        <f t="shared" si="7"/>
        <v>0</v>
      </c>
      <c r="R916" s="2">
        <v>136.0</v>
      </c>
      <c r="S916" s="5">
        <f t="shared" si="8"/>
        <v>1</v>
      </c>
    </row>
    <row r="917">
      <c r="A917" s="2" t="s">
        <v>931</v>
      </c>
      <c r="B917" s="2">
        <v>240.0</v>
      </c>
      <c r="C917" s="2">
        <v>2770.0</v>
      </c>
      <c r="D917" s="2">
        <v>680.0</v>
      </c>
      <c r="E917" s="3">
        <f t="shared" si="1"/>
        <v>0.2687747036</v>
      </c>
      <c r="F917" s="2">
        <v>384.0</v>
      </c>
      <c r="G917" s="3">
        <f t="shared" si="2"/>
        <v>0.1517786561</v>
      </c>
      <c r="H917" s="2">
        <v>504.0</v>
      </c>
      <c r="I917" s="3">
        <f t="shared" si="3"/>
        <v>0.1992094862</v>
      </c>
      <c r="J917" s="2">
        <v>439.0</v>
      </c>
      <c r="K917" s="3">
        <f t="shared" si="4"/>
        <v>0.1735177866</v>
      </c>
      <c r="L917" s="2">
        <v>296.0</v>
      </c>
      <c r="M917" s="3">
        <f t="shared" si="5"/>
        <v>0.5873015873</v>
      </c>
      <c r="N917" s="2">
        <v>3111300.0</v>
      </c>
      <c r="O917" s="4">
        <f t="shared" si="6"/>
        <v>6173.214286</v>
      </c>
      <c r="P917" s="2">
        <v>1.0</v>
      </c>
      <c r="Q917" s="3">
        <f t="shared" si="7"/>
        <v>0.004166666667</v>
      </c>
      <c r="R917" s="2">
        <v>240.0</v>
      </c>
      <c r="S917" s="5">
        <f t="shared" si="8"/>
        <v>1</v>
      </c>
    </row>
    <row r="918">
      <c r="A918" s="2" t="s">
        <v>932</v>
      </c>
      <c r="B918" s="2">
        <v>223.0</v>
      </c>
      <c r="C918" s="2">
        <v>2641.0</v>
      </c>
      <c r="D918" s="2">
        <v>968.0</v>
      </c>
      <c r="E918" s="3">
        <f t="shared" si="1"/>
        <v>0.4003308519</v>
      </c>
      <c r="F918" s="2">
        <v>367.0</v>
      </c>
      <c r="G918" s="3">
        <f t="shared" si="2"/>
        <v>0.1517783292</v>
      </c>
      <c r="H918" s="2">
        <v>521.0</v>
      </c>
      <c r="I918" s="3">
        <f t="shared" si="3"/>
        <v>0.2154673284</v>
      </c>
      <c r="J918" s="2">
        <v>412.0</v>
      </c>
      <c r="K918" s="3">
        <f t="shared" si="4"/>
        <v>0.170388751</v>
      </c>
      <c r="L918" s="2">
        <v>307.0</v>
      </c>
      <c r="M918" s="3">
        <f t="shared" si="5"/>
        <v>0.5892514395</v>
      </c>
      <c r="N918" s="2">
        <v>2679700.0</v>
      </c>
      <c r="O918" s="4">
        <f t="shared" si="6"/>
        <v>5143.378119</v>
      </c>
      <c r="P918" s="2">
        <v>0.0</v>
      </c>
      <c r="Q918" s="3">
        <f t="shared" si="7"/>
        <v>0</v>
      </c>
      <c r="R918" s="2">
        <v>223.0</v>
      </c>
      <c r="S918" s="5">
        <f t="shared" si="8"/>
        <v>1</v>
      </c>
    </row>
    <row r="919">
      <c r="A919" s="2" t="s">
        <v>933</v>
      </c>
      <c r="B919" s="2">
        <v>51.0</v>
      </c>
      <c r="C919" s="2">
        <v>598.0</v>
      </c>
      <c r="D919" s="2">
        <v>157.0</v>
      </c>
      <c r="E919" s="3">
        <f t="shared" si="1"/>
        <v>0.2870201097</v>
      </c>
      <c r="F919" s="2">
        <v>83.0</v>
      </c>
      <c r="G919" s="3">
        <f t="shared" si="2"/>
        <v>0.1517367459</v>
      </c>
      <c r="H919" s="2">
        <v>102.0</v>
      </c>
      <c r="I919" s="3">
        <f t="shared" si="3"/>
        <v>0.1864716636</v>
      </c>
      <c r="J919" s="2">
        <v>121.0</v>
      </c>
      <c r="K919" s="3">
        <f t="shared" si="4"/>
        <v>0.2212065814</v>
      </c>
      <c r="L919" s="2">
        <v>49.0</v>
      </c>
      <c r="M919" s="3">
        <f t="shared" si="5"/>
        <v>0.4803921569</v>
      </c>
      <c r="N919" s="2">
        <v>592800.0</v>
      </c>
      <c r="O919" s="4">
        <f t="shared" si="6"/>
        <v>5811.764706</v>
      </c>
      <c r="P919" s="2">
        <v>0.0</v>
      </c>
      <c r="Q919" s="3">
        <f t="shared" si="7"/>
        <v>0</v>
      </c>
      <c r="R919" s="2">
        <v>51.0</v>
      </c>
      <c r="S919" s="5">
        <f t="shared" si="8"/>
        <v>1</v>
      </c>
    </row>
    <row r="920">
      <c r="A920" s="2" t="s">
        <v>934</v>
      </c>
      <c r="B920" s="2">
        <v>15.0</v>
      </c>
      <c r="C920" s="2">
        <v>160.0</v>
      </c>
      <c r="D920" s="2">
        <v>47.0</v>
      </c>
      <c r="E920" s="3">
        <f t="shared" si="1"/>
        <v>0.324137931</v>
      </c>
      <c r="F920" s="2">
        <v>22.0</v>
      </c>
      <c r="G920" s="3">
        <f t="shared" si="2"/>
        <v>0.1517241379</v>
      </c>
      <c r="H920" s="2">
        <v>32.0</v>
      </c>
      <c r="I920" s="3">
        <f t="shared" si="3"/>
        <v>0.2206896552</v>
      </c>
      <c r="J920" s="2">
        <v>29.0</v>
      </c>
      <c r="K920" s="3">
        <f t="shared" si="4"/>
        <v>0.2</v>
      </c>
      <c r="L920" s="2">
        <v>23.0</v>
      </c>
      <c r="M920" s="3">
        <f t="shared" si="5"/>
        <v>0.71875</v>
      </c>
      <c r="N920" s="2">
        <v>186300.0</v>
      </c>
      <c r="O920" s="4">
        <f t="shared" si="6"/>
        <v>5821.875</v>
      </c>
      <c r="P920" s="2">
        <v>0.0</v>
      </c>
      <c r="Q920" s="3">
        <f t="shared" si="7"/>
        <v>0</v>
      </c>
      <c r="R920" s="2">
        <v>15.0</v>
      </c>
      <c r="S920" s="5">
        <f t="shared" si="8"/>
        <v>1</v>
      </c>
    </row>
    <row r="921">
      <c r="A921" s="2" t="s">
        <v>935</v>
      </c>
      <c r="B921" s="2">
        <v>245.0</v>
      </c>
      <c r="C921" s="2">
        <v>2855.0</v>
      </c>
      <c r="D921" s="2">
        <v>1037.0</v>
      </c>
      <c r="E921" s="3">
        <f t="shared" si="1"/>
        <v>0.3973180077</v>
      </c>
      <c r="F921" s="2">
        <v>396.0</v>
      </c>
      <c r="G921" s="3">
        <f t="shared" si="2"/>
        <v>0.1517241379</v>
      </c>
      <c r="H921" s="2">
        <v>536.0</v>
      </c>
      <c r="I921" s="3">
        <f t="shared" si="3"/>
        <v>0.2053639847</v>
      </c>
      <c r="J921" s="2">
        <v>402.0</v>
      </c>
      <c r="K921" s="3">
        <f t="shared" si="4"/>
        <v>0.1540229885</v>
      </c>
      <c r="L921" s="2">
        <v>321.0</v>
      </c>
      <c r="M921" s="3">
        <f t="shared" si="5"/>
        <v>0.598880597</v>
      </c>
      <c r="N921" s="2">
        <v>3062500.0</v>
      </c>
      <c r="O921" s="4">
        <f t="shared" si="6"/>
        <v>5713.619403</v>
      </c>
      <c r="P921" s="2">
        <v>0.0</v>
      </c>
      <c r="Q921" s="3">
        <f t="shared" si="7"/>
        <v>0</v>
      </c>
      <c r="R921" s="2">
        <v>245.0</v>
      </c>
      <c r="S921" s="5">
        <f t="shared" si="8"/>
        <v>1</v>
      </c>
    </row>
    <row r="922">
      <c r="A922" s="2" t="s">
        <v>936</v>
      </c>
      <c r="B922" s="2">
        <v>34.0</v>
      </c>
      <c r="C922" s="2">
        <v>390.0</v>
      </c>
      <c r="D922" s="2">
        <v>119.0</v>
      </c>
      <c r="E922" s="3">
        <f t="shared" si="1"/>
        <v>0.3342696629</v>
      </c>
      <c r="F922" s="2">
        <v>54.0</v>
      </c>
      <c r="G922" s="3">
        <f t="shared" si="2"/>
        <v>0.1516853933</v>
      </c>
      <c r="H922" s="2">
        <v>63.0</v>
      </c>
      <c r="I922" s="3">
        <f t="shared" si="3"/>
        <v>0.1769662921</v>
      </c>
      <c r="J922" s="2">
        <v>46.0</v>
      </c>
      <c r="K922" s="3">
        <f t="shared" si="4"/>
        <v>0.1292134831</v>
      </c>
      <c r="L922" s="2">
        <v>46.0</v>
      </c>
      <c r="M922" s="3">
        <f t="shared" si="5"/>
        <v>0.7301587302</v>
      </c>
      <c r="N922" s="2">
        <v>382800.0</v>
      </c>
      <c r="O922" s="4">
        <f t="shared" si="6"/>
        <v>6076.190476</v>
      </c>
      <c r="P922" s="2">
        <v>0.0</v>
      </c>
      <c r="Q922" s="3">
        <f t="shared" si="7"/>
        <v>0</v>
      </c>
      <c r="R922" s="2">
        <v>34.0</v>
      </c>
      <c r="S922" s="5">
        <f t="shared" si="8"/>
        <v>1</v>
      </c>
    </row>
    <row r="923">
      <c r="A923" s="2" t="s">
        <v>937</v>
      </c>
      <c r="B923" s="2">
        <v>217.0</v>
      </c>
      <c r="C923" s="2">
        <v>2578.0</v>
      </c>
      <c r="D923" s="2">
        <v>891.0</v>
      </c>
      <c r="E923" s="3">
        <f t="shared" si="1"/>
        <v>0.3773824651</v>
      </c>
      <c r="F923" s="2">
        <v>358.0</v>
      </c>
      <c r="G923" s="3">
        <f t="shared" si="2"/>
        <v>0.151630665</v>
      </c>
      <c r="H923" s="2">
        <v>519.0</v>
      </c>
      <c r="I923" s="3">
        <f t="shared" si="3"/>
        <v>0.2198221093</v>
      </c>
      <c r="J923" s="2">
        <v>434.0</v>
      </c>
      <c r="K923" s="3">
        <f t="shared" si="4"/>
        <v>0.1838204151</v>
      </c>
      <c r="L923" s="2">
        <v>316.0</v>
      </c>
      <c r="M923" s="3">
        <f t="shared" si="5"/>
        <v>0.6088631985</v>
      </c>
      <c r="N923" s="2">
        <v>2741300.0</v>
      </c>
      <c r="O923" s="4">
        <f t="shared" si="6"/>
        <v>5281.888247</v>
      </c>
      <c r="P923" s="2">
        <v>0.0</v>
      </c>
      <c r="Q923" s="3">
        <f t="shared" si="7"/>
        <v>0</v>
      </c>
      <c r="R923" s="2">
        <v>83.0</v>
      </c>
      <c r="S923" s="5">
        <f t="shared" si="8"/>
        <v>0.3824884793</v>
      </c>
    </row>
    <row r="924">
      <c r="A924" s="2" t="s">
        <v>938</v>
      </c>
      <c r="B924" s="2">
        <v>251.0</v>
      </c>
      <c r="C924" s="2">
        <v>2896.0</v>
      </c>
      <c r="D924" s="2">
        <v>662.0</v>
      </c>
      <c r="E924" s="3">
        <f t="shared" si="1"/>
        <v>0.2502835539</v>
      </c>
      <c r="F924" s="2">
        <v>401.0</v>
      </c>
      <c r="G924" s="3">
        <f t="shared" si="2"/>
        <v>0.1516068053</v>
      </c>
      <c r="H924" s="2">
        <v>542.0</v>
      </c>
      <c r="I924" s="3">
        <f t="shared" si="3"/>
        <v>0.2049149338</v>
      </c>
      <c r="J924" s="2">
        <v>553.0</v>
      </c>
      <c r="K924" s="3">
        <f t="shared" si="4"/>
        <v>0.209073724</v>
      </c>
      <c r="L924" s="2">
        <v>311.0</v>
      </c>
      <c r="M924" s="3">
        <f t="shared" si="5"/>
        <v>0.573800738</v>
      </c>
      <c r="N924" s="2">
        <v>3132300.0</v>
      </c>
      <c r="O924" s="4">
        <f t="shared" si="6"/>
        <v>5779.151292</v>
      </c>
      <c r="P924" s="2">
        <v>0.0</v>
      </c>
      <c r="Q924" s="3">
        <f t="shared" si="7"/>
        <v>0</v>
      </c>
      <c r="R924" s="2">
        <v>251.0</v>
      </c>
      <c r="S924" s="5">
        <f t="shared" si="8"/>
        <v>1</v>
      </c>
    </row>
    <row r="925">
      <c r="A925" s="2" t="s">
        <v>939</v>
      </c>
      <c r="B925" s="2">
        <v>291.0</v>
      </c>
      <c r="C925" s="2">
        <v>3431.0</v>
      </c>
      <c r="D925" s="2">
        <v>1080.0</v>
      </c>
      <c r="E925" s="3">
        <f t="shared" si="1"/>
        <v>0.3439490446</v>
      </c>
      <c r="F925" s="2">
        <v>476.0</v>
      </c>
      <c r="G925" s="3">
        <f t="shared" si="2"/>
        <v>0.1515923567</v>
      </c>
      <c r="H925" s="2">
        <v>665.0</v>
      </c>
      <c r="I925" s="3">
        <f t="shared" si="3"/>
        <v>0.2117834395</v>
      </c>
      <c r="J925" s="2">
        <v>509.0</v>
      </c>
      <c r="K925" s="3">
        <f t="shared" si="4"/>
        <v>0.1621019108</v>
      </c>
      <c r="L925" s="2">
        <v>398.0</v>
      </c>
      <c r="M925" s="3">
        <f t="shared" si="5"/>
        <v>0.5984962406</v>
      </c>
      <c r="N925" s="2">
        <v>3736600.0</v>
      </c>
      <c r="O925" s="4">
        <f t="shared" si="6"/>
        <v>5618.947368</v>
      </c>
      <c r="P925" s="2">
        <v>0.0</v>
      </c>
      <c r="Q925" s="3">
        <f t="shared" si="7"/>
        <v>0</v>
      </c>
      <c r="R925" s="2">
        <v>291.0</v>
      </c>
      <c r="S925" s="5">
        <f t="shared" si="8"/>
        <v>1</v>
      </c>
    </row>
    <row r="926">
      <c r="A926" s="2" t="s">
        <v>940</v>
      </c>
      <c r="B926" s="2">
        <v>119.0</v>
      </c>
      <c r="C926" s="2">
        <v>1379.0</v>
      </c>
      <c r="D926" s="2">
        <v>446.0</v>
      </c>
      <c r="E926" s="3">
        <f t="shared" si="1"/>
        <v>0.353968254</v>
      </c>
      <c r="F926" s="2">
        <v>191.0</v>
      </c>
      <c r="G926" s="3">
        <f t="shared" si="2"/>
        <v>0.1515873016</v>
      </c>
      <c r="H926" s="2">
        <v>271.0</v>
      </c>
      <c r="I926" s="3">
        <f t="shared" si="3"/>
        <v>0.2150793651</v>
      </c>
      <c r="J926" s="2">
        <v>204.0</v>
      </c>
      <c r="K926" s="3">
        <f t="shared" si="4"/>
        <v>0.1619047619</v>
      </c>
      <c r="L926" s="2">
        <v>182.0</v>
      </c>
      <c r="M926" s="3">
        <f t="shared" si="5"/>
        <v>0.6715867159</v>
      </c>
      <c r="N926" s="2">
        <v>1485300.0</v>
      </c>
      <c r="O926" s="4">
        <f t="shared" si="6"/>
        <v>5480.811808</v>
      </c>
      <c r="P926" s="2">
        <v>0.0</v>
      </c>
      <c r="Q926" s="3">
        <f t="shared" si="7"/>
        <v>0</v>
      </c>
      <c r="R926" s="2">
        <v>119.0</v>
      </c>
      <c r="S926" s="5">
        <f t="shared" si="8"/>
        <v>1</v>
      </c>
    </row>
    <row r="927">
      <c r="A927" s="2" t="s">
        <v>941</v>
      </c>
      <c r="B927" s="2">
        <v>50.0</v>
      </c>
      <c r="C927" s="2">
        <v>591.0</v>
      </c>
      <c r="D927" s="2">
        <v>185.0</v>
      </c>
      <c r="E927" s="3">
        <f t="shared" si="1"/>
        <v>0.3419593346</v>
      </c>
      <c r="F927" s="2">
        <v>82.0</v>
      </c>
      <c r="G927" s="3">
        <f t="shared" si="2"/>
        <v>0.1515711645</v>
      </c>
      <c r="H927" s="2">
        <v>114.0</v>
      </c>
      <c r="I927" s="3">
        <f t="shared" si="3"/>
        <v>0.2107208872</v>
      </c>
      <c r="J927" s="2">
        <v>129.0</v>
      </c>
      <c r="K927" s="3">
        <f t="shared" si="4"/>
        <v>0.2384473198</v>
      </c>
      <c r="L927" s="2">
        <v>59.0</v>
      </c>
      <c r="M927" s="3">
        <f t="shared" si="5"/>
        <v>0.5175438596</v>
      </c>
      <c r="N927" s="2">
        <v>604500.0</v>
      </c>
      <c r="O927" s="4">
        <f t="shared" si="6"/>
        <v>5302.631579</v>
      </c>
      <c r="P927" s="2">
        <v>0.0</v>
      </c>
      <c r="Q927" s="3">
        <f t="shared" si="7"/>
        <v>0</v>
      </c>
      <c r="R927" s="2">
        <v>50.0</v>
      </c>
      <c r="S927" s="5">
        <f t="shared" si="8"/>
        <v>1</v>
      </c>
    </row>
    <row r="928">
      <c r="A928" s="2" t="s">
        <v>942</v>
      </c>
      <c r="B928" s="2">
        <v>187.0</v>
      </c>
      <c r="C928" s="2">
        <v>2206.0</v>
      </c>
      <c r="D928" s="2">
        <v>841.0</v>
      </c>
      <c r="E928" s="3">
        <f t="shared" si="1"/>
        <v>0.416542843</v>
      </c>
      <c r="F928" s="2">
        <v>306.0</v>
      </c>
      <c r="G928" s="3">
        <f t="shared" si="2"/>
        <v>0.1515601783</v>
      </c>
      <c r="H928" s="2">
        <v>455.0</v>
      </c>
      <c r="I928" s="3">
        <f t="shared" si="3"/>
        <v>0.2253590887</v>
      </c>
      <c r="J928" s="2">
        <v>285.0</v>
      </c>
      <c r="K928" s="3">
        <f t="shared" si="4"/>
        <v>0.1411589896</v>
      </c>
      <c r="L928" s="2">
        <v>272.0</v>
      </c>
      <c r="M928" s="3">
        <f t="shared" si="5"/>
        <v>0.5978021978</v>
      </c>
      <c r="N928" s="2">
        <v>2304600.0</v>
      </c>
      <c r="O928" s="4">
        <f t="shared" si="6"/>
        <v>5065.054945</v>
      </c>
      <c r="P928" s="2">
        <v>0.0</v>
      </c>
      <c r="Q928" s="3">
        <f t="shared" si="7"/>
        <v>0</v>
      </c>
      <c r="R928" s="2">
        <v>0.0</v>
      </c>
      <c r="S928" s="5">
        <f t="shared" si="8"/>
        <v>0</v>
      </c>
    </row>
    <row r="929">
      <c r="A929" s="2" t="s">
        <v>943</v>
      </c>
      <c r="B929" s="2">
        <v>192.0</v>
      </c>
      <c r="C929" s="2">
        <v>2264.0</v>
      </c>
      <c r="D929" s="2">
        <v>864.0</v>
      </c>
      <c r="E929" s="3">
        <f t="shared" si="1"/>
        <v>0.416988417</v>
      </c>
      <c r="F929" s="2">
        <v>314.0</v>
      </c>
      <c r="G929" s="3">
        <f t="shared" si="2"/>
        <v>0.1515444015</v>
      </c>
      <c r="H929" s="2">
        <v>474.0</v>
      </c>
      <c r="I929" s="3">
        <f t="shared" si="3"/>
        <v>0.2287644788</v>
      </c>
      <c r="J929" s="2">
        <v>362.0</v>
      </c>
      <c r="K929" s="3">
        <f t="shared" si="4"/>
        <v>0.1747104247</v>
      </c>
      <c r="L929" s="2">
        <v>278.0</v>
      </c>
      <c r="M929" s="3">
        <f t="shared" si="5"/>
        <v>0.5864978903</v>
      </c>
      <c r="N929" s="2">
        <v>2526100.0</v>
      </c>
      <c r="O929" s="4">
        <f t="shared" si="6"/>
        <v>5329.324895</v>
      </c>
      <c r="P929" s="2">
        <v>0.0</v>
      </c>
      <c r="Q929" s="3">
        <f t="shared" si="7"/>
        <v>0</v>
      </c>
      <c r="R929" s="2">
        <v>192.0</v>
      </c>
      <c r="S929" s="5">
        <f t="shared" si="8"/>
        <v>1</v>
      </c>
    </row>
    <row r="930">
      <c r="A930" s="2" t="s">
        <v>944</v>
      </c>
      <c r="B930" s="2">
        <v>123.0</v>
      </c>
      <c r="C930" s="2">
        <v>1456.0</v>
      </c>
      <c r="D930" s="2">
        <v>371.0</v>
      </c>
      <c r="E930" s="3">
        <f t="shared" si="1"/>
        <v>0.2783195799</v>
      </c>
      <c r="F930" s="2">
        <v>202.0</v>
      </c>
      <c r="G930" s="3">
        <f t="shared" si="2"/>
        <v>0.1515378845</v>
      </c>
      <c r="H930" s="2">
        <v>249.0</v>
      </c>
      <c r="I930" s="3">
        <f t="shared" si="3"/>
        <v>0.1867966992</v>
      </c>
      <c r="J930" s="2">
        <v>259.0</v>
      </c>
      <c r="K930" s="3">
        <f t="shared" si="4"/>
        <v>0.1942985746</v>
      </c>
      <c r="L930" s="2">
        <v>144.0</v>
      </c>
      <c r="M930" s="3">
        <f t="shared" si="5"/>
        <v>0.578313253</v>
      </c>
      <c r="N930" s="2">
        <v>1538700.0</v>
      </c>
      <c r="O930" s="4">
        <f t="shared" si="6"/>
        <v>6179.518072</v>
      </c>
      <c r="P930" s="2">
        <v>1.0</v>
      </c>
      <c r="Q930" s="3">
        <f t="shared" si="7"/>
        <v>0.008130081301</v>
      </c>
      <c r="R930" s="2">
        <v>123.0</v>
      </c>
      <c r="S930" s="5">
        <f t="shared" si="8"/>
        <v>1</v>
      </c>
    </row>
    <row r="931">
      <c r="A931" s="2" t="s">
        <v>945</v>
      </c>
      <c r="B931" s="2">
        <v>571.0</v>
      </c>
      <c r="C931" s="2">
        <v>6550.0</v>
      </c>
      <c r="D931" s="2">
        <v>1895.0</v>
      </c>
      <c r="E931" s="3">
        <f t="shared" si="1"/>
        <v>0.3169426325</v>
      </c>
      <c r="F931" s="2">
        <v>906.0</v>
      </c>
      <c r="G931" s="3">
        <f t="shared" si="2"/>
        <v>0.1515303562</v>
      </c>
      <c r="H931" s="2">
        <v>1330.0</v>
      </c>
      <c r="I931" s="3">
        <f t="shared" si="3"/>
        <v>0.222445225</v>
      </c>
      <c r="J931" s="2">
        <v>1034.0</v>
      </c>
      <c r="K931" s="3">
        <f t="shared" si="4"/>
        <v>0.1729386185</v>
      </c>
      <c r="L931" s="2">
        <v>814.0</v>
      </c>
      <c r="M931" s="3">
        <f t="shared" si="5"/>
        <v>0.6120300752</v>
      </c>
      <c r="N931" s="2">
        <v>7948600.0</v>
      </c>
      <c r="O931" s="4">
        <f t="shared" si="6"/>
        <v>5976.390977</v>
      </c>
      <c r="P931" s="2">
        <v>0.0</v>
      </c>
      <c r="Q931" s="3">
        <f t="shared" si="7"/>
        <v>0</v>
      </c>
      <c r="R931" s="2">
        <v>571.0</v>
      </c>
      <c r="S931" s="5">
        <f t="shared" si="8"/>
        <v>1</v>
      </c>
    </row>
    <row r="932">
      <c r="A932" s="2" t="s">
        <v>946</v>
      </c>
      <c r="B932" s="2">
        <v>11.0</v>
      </c>
      <c r="C932" s="2">
        <v>110.0</v>
      </c>
      <c r="D932" s="2">
        <v>27.0</v>
      </c>
      <c r="E932" s="3">
        <f t="shared" si="1"/>
        <v>0.2727272727</v>
      </c>
      <c r="F932" s="2">
        <v>15.0</v>
      </c>
      <c r="G932" s="3">
        <f t="shared" si="2"/>
        <v>0.1515151515</v>
      </c>
      <c r="H932" s="2">
        <v>23.0</v>
      </c>
      <c r="I932" s="3">
        <f t="shared" si="3"/>
        <v>0.2323232323</v>
      </c>
      <c r="J932" s="2">
        <v>23.0</v>
      </c>
      <c r="K932" s="3">
        <f t="shared" si="4"/>
        <v>0.2323232323</v>
      </c>
      <c r="L932" s="2">
        <v>15.0</v>
      </c>
      <c r="M932" s="3">
        <f t="shared" si="5"/>
        <v>0.652173913</v>
      </c>
      <c r="N932" s="2">
        <v>127100.0</v>
      </c>
      <c r="O932" s="4">
        <f t="shared" si="6"/>
        <v>5526.086957</v>
      </c>
      <c r="P932" s="2">
        <v>0.0</v>
      </c>
      <c r="Q932" s="3">
        <f t="shared" si="7"/>
        <v>0</v>
      </c>
      <c r="R932" s="2">
        <v>0.0</v>
      </c>
      <c r="S932" s="5">
        <f t="shared" si="8"/>
        <v>0</v>
      </c>
    </row>
    <row r="933">
      <c r="A933" s="2" t="s">
        <v>947</v>
      </c>
      <c r="B933" s="2">
        <v>50.0</v>
      </c>
      <c r="C933" s="2">
        <v>611.0</v>
      </c>
      <c r="D933" s="2">
        <v>174.0</v>
      </c>
      <c r="E933" s="3">
        <f t="shared" si="1"/>
        <v>0.3101604278</v>
      </c>
      <c r="F933" s="2">
        <v>85.0</v>
      </c>
      <c r="G933" s="3">
        <f t="shared" si="2"/>
        <v>0.1515151515</v>
      </c>
      <c r="H933" s="2">
        <v>101.0</v>
      </c>
      <c r="I933" s="3">
        <f t="shared" si="3"/>
        <v>0.1800356506</v>
      </c>
      <c r="J933" s="2">
        <v>110.0</v>
      </c>
      <c r="K933" s="3">
        <f t="shared" si="4"/>
        <v>0.1960784314</v>
      </c>
      <c r="L933" s="2">
        <v>58.0</v>
      </c>
      <c r="M933" s="3">
        <f t="shared" si="5"/>
        <v>0.5742574257</v>
      </c>
      <c r="N933" s="2">
        <v>556700.0</v>
      </c>
      <c r="O933" s="4">
        <f t="shared" si="6"/>
        <v>5511.881188</v>
      </c>
      <c r="P933" s="2">
        <v>0.0</v>
      </c>
      <c r="Q933" s="3">
        <f t="shared" si="7"/>
        <v>0</v>
      </c>
      <c r="R933" s="2">
        <v>50.0</v>
      </c>
      <c r="S933" s="5">
        <f t="shared" si="8"/>
        <v>1</v>
      </c>
    </row>
    <row r="934">
      <c r="A934" s="2" t="s">
        <v>948</v>
      </c>
      <c r="B934" s="2">
        <v>29.0</v>
      </c>
      <c r="C934" s="2">
        <v>326.0</v>
      </c>
      <c r="D934" s="2">
        <v>108.0</v>
      </c>
      <c r="E934" s="3">
        <f t="shared" si="1"/>
        <v>0.3636363636</v>
      </c>
      <c r="F934" s="2">
        <v>45.0</v>
      </c>
      <c r="G934" s="3">
        <f t="shared" si="2"/>
        <v>0.1515151515</v>
      </c>
      <c r="H934" s="2">
        <v>51.0</v>
      </c>
      <c r="I934" s="3">
        <f t="shared" si="3"/>
        <v>0.1717171717</v>
      </c>
      <c r="J934" s="2">
        <v>49.0</v>
      </c>
      <c r="K934" s="3">
        <f t="shared" si="4"/>
        <v>0.164983165</v>
      </c>
      <c r="L934" s="2">
        <v>29.0</v>
      </c>
      <c r="M934" s="3">
        <f t="shared" si="5"/>
        <v>0.568627451</v>
      </c>
      <c r="N934" s="2">
        <v>267400.0</v>
      </c>
      <c r="O934" s="4">
        <f t="shared" si="6"/>
        <v>5243.137255</v>
      </c>
      <c r="P934" s="2">
        <v>0.0</v>
      </c>
      <c r="Q934" s="3">
        <f t="shared" si="7"/>
        <v>0</v>
      </c>
      <c r="R934" s="2">
        <v>29.0</v>
      </c>
      <c r="S934" s="5">
        <f t="shared" si="8"/>
        <v>1</v>
      </c>
    </row>
    <row r="935">
      <c r="A935" s="2" t="s">
        <v>949</v>
      </c>
      <c r="B935" s="2">
        <v>103.0</v>
      </c>
      <c r="C935" s="2">
        <v>1212.0</v>
      </c>
      <c r="D935" s="2">
        <v>344.0</v>
      </c>
      <c r="E935" s="3">
        <f t="shared" si="1"/>
        <v>0.3101893598</v>
      </c>
      <c r="F935" s="2">
        <v>168.0</v>
      </c>
      <c r="G935" s="3">
        <f t="shared" si="2"/>
        <v>0.1514878269</v>
      </c>
      <c r="H935" s="2">
        <v>218.0</v>
      </c>
      <c r="I935" s="3">
        <f t="shared" si="3"/>
        <v>0.1965734896</v>
      </c>
      <c r="J935" s="2">
        <v>194.0</v>
      </c>
      <c r="K935" s="3">
        <f t="shared" si="4"/>
        <v>0.1749323715</v>
      </c>
      <c r="L935" s="2">
        <v>131.0</v>
      </c>
      <c r="M935" s="3">
        <f t="shared" si="5"/>
        <v>0.6009174312</v>
      </c>
      <c r="N935" s="2">
        <v>1235100.0</v>
      </c>
      <c r="O935" s="4">
        <f t="shared" si="6"/>
        <v>5665.59633</v>
      </c>
      <c r="P935" s="2">
        <v>0.0</v>
      </c>
      <c r="Q935" s="3">
        <f t="shared" si="7"/>
        <v>0</v>
      </c>
      <c r="R935" s="2">
        <v>103.0</v>
      </c>
      <c r="S935" s="5">
        <f t="shared" si="8"/>
        <v>1</v>
      </c>
    </row>
    <row r="936">
      <c r="A936" s="2" t="s">
        <v>950</v>
      </c>
      <c r="B936" s="2">
        <v>292.0</v>
      </c>
      <c r="C936" s="2">
        <v>3441.0</v>
      </c>
      <c r="D936" s="2">
        <v>652.0</v>
      </c>
      <c r="E936" s="3">
        <f t="shared" si="1"/>
        <v>0.2070498571</v>
      </c>
      <c r="F936" s="2">
        <v>477.0</v>
      </c>
      <c r="G936" s="3">
        <f t="shared" si="2"/>
        <v>0.1514766593</v>
      </c>
      <c r="H936" s="2">
        <v>681.0</v>
      </c>
      <c r="I936" s="3">
        <f t="shared" si="3"/>
        <v>0.2162591299</v>
      </c>
      <c r="J936" s="2">
        <v>524.0</v>
      </c>
      <c r="K936" s="3">
        <f t="shared" si="4"/>
        <v>0.1664020324</v>
      </c>
      <c r="L936" s="2">
        <v>397.0</v>
      </c>
      <c r="M936" s="3">
        <f t="shared" si="5"/>
        <v>0.5829662261</v>
      </c>
      <c r="N936" s="2">
        <v>4130400.0</v>
      </c>
      <c r="O936" s="4">
        <f t="shared" si="6"/>
        <v>6065.198238</v>
      </c>
      <c r="P936" s="2">
        <v>1.0</v>
      </c>
      <c r="Q936" s="3">
        <f t="shared" si="7"/>
        <v>0.003424657534</v>
      </c>
      <c r="R936" s="2">
        <v>292.0</v>
      </c>
      <c r="S936" s="5">
        <f t="shared" si="8"/>
        <v>1</v>
      </c>
    </row>
    <row r="937">
      <c r="A937" s="2" t="s">
        <v>951</v>
      </c>
      <c r="B937" s="2">
        <v>66.0</v>
      </c>
      <c r="C937" s="2">
        <v>779.0</v>
      </c>
      <c r="D937" s="2">
        <v>227.0</v>
      </c>
      <c r="E937" s="3">
        <f t="shared" si="1"/>
        <v>0.3183730715</v>
      </c>
      <c r="F937" s="2">
        <v>108.0</v>
      </c>
      <c r="G937" s="3">
        <f t="shared" si="2"/>
        <v>0.1514726508</v>
      </c>
      <c r="H937" s="2">
        <v>130.0</v>
      </c>
      <c r="I937" s="3">
        <f t="shared" si="3"/>
        <v>0.1823281907</v>
      </c>
      <c r="J937" s="2">
        <v>120.0</v>
      </c>
      <c r="K937" s="3">
        <f t="shared" si="4"/>
        <v>0.1683029453</v>
      </c>
      <c r="L937" s="2">
        <v>80.0</v>
      </c>
      <c r="M937" s="3">
        <f t="shared" si="5"/>
        <v>0.6153846154</v>
      </c>
      <c r="N937" s="2">
        <v>763200.0</v>
      </c>
      <c r="O937" s="4">
        <f t="shared" si="6"/>
        <v>5870.769231</v>
      </c>
      <c r="P937" s="2">
        <v>0.0</v>
      </c>
      <c r="Q937" s="3">
        <f t="shared" si="7"/>
        <v>0</v>
      </c>
      <c r="R937" s="2">
        <v>66.0</v>
      </c>
      <c r="S937" s="5">
        <f t="shared" si="8"/>
        <v>1</v>
      </c>
    </row>
    <row r="938">
      <c r="A938" s="2" t="s">
        <v>952</v>
      </c>
      <c r="B938" s="2">
        <v>128.0</v>
      </c>
      <c r="C938" s="2">
        <v>1508.0</v>
      </c>
      <c r="D938" s="2">
        <v>456.0</v>
      </c>
      <c r="E938" s="3">
        <f t="shared" si="1"/>
        <v>0.3304347826</v>
      </c>
      <c r="F938" s="2">
        <v>209.0</v>
      </c>
      <c r="G938" s="3">
        <f t="shared" si="2"/>
        <v>0.1514492754</v>
      </c>
      <c r="H938" s="2">
        <v>288.0</v>
      </c>
      <c r="I938" s="3">
        <f t="shared" si="3"/>
        <v>0.2086956522</v>
      </c>
      <c r="J938" s="2">
        <v>258.0</v>
      </c>
      <c r="K938" s="3">
        <f t="shared" si="4"/>
        <v>0.1869565217</v>
      </c>
      <c r="L938" s="2">
        <v>182.0</v>
      </c>
      <c r="M938" s="3">
        <f t="shared" si="5"/>
        <v>0.6319444444</v>
      </c>
      <c r="N938" s="2">
        <v>1730100.0</v>
      </c>
      <c r="O938" s="4">
        <f t="shared" si="6"/>
        <v>6007.291667</v>
      </c>
      <c r="P938" s="2">
        <v>2.0</v>
      </c>
      <c r="Q938" s="3">
        <f t="shared" si="7"/>
        <v>0.015625</v>
      </c>
      <c r="R938" s="2">
        <v>128.0</v>
      </c>
      <c r="S938" s="5">
        <f t="shared" si="8"/>
        <v>1</v>
      </c>
    </row>
    <row r="939">
      <c r="A939" s="2" t="s">
        <v>953</v>
      </c>
      <c r="B939" s="2">
        <v>29.0</v>
      </c>
      <c r="C939" s="2">
        <v>346.0</v>
      </c>
      <c r="D939" s="2">
        <v>138.0</v>
      </c>
      <c r="E939" s="3">
        <f t="shared" si="1"/>
        <v>0.4353312303</v>
      </c>
      <c r="F939" s="2">
        <v>48.0</v>
      </c>
      <c r="G939" s="3">
        <f t="shared" si="2"/>
        <v>0.1514195584</v>
      </c>
      <c r="H939" s="2">
        <v>62.0</v>
      </c>
      <c r="I939" s="3">
        <f t="shared" si="3"/>
        <v>0.1955835962</v>
      </c>
      <c r="J939" s="2">
        <v>43.0</v>
      </c>
      <c r="K939" s="3">
        <f t="shared" si="4"/>
        <v>0.1356466877</v>
      </c>
      <c r="L939" s="2">
        <v>39.0</v>
      </c>
      <c r="M939" s="3">
        <f t="shared" si="5"/>
        <v>0.6290322581</v>
      </c>
      <c r="N939" s="2">
        <v>325800.0</v>
      </c>
      <c r="O939" s="4">
        <f t="shared" si="6"/>
        <v>5254.83871</v>
      </c>
      <c r="P939" s="2">
        <v>0.0</v>
      </c>
      <c r="Q939" s="3">
        <f t="shared" si="7"/>
        <v>0</v>
      </c>
      <c r="R939" s="2">
        <v>4.0</v>
      </c>
      <c r="S939" s="5">
        <f t="shared" si="8"/>
        <v>0.1379310345</v>
      </c>
    </row>
    <row r="940">
      <c r="A940" s="2" t="s">
        <v>954</v>
      </c>
      <c r="B940" s="2">
        <v>589.0</v>
      </c>
      <c r="C940" s="2">
        <v>6778.0</v>
      </c>
      <c r="D940" s="2">
        <v>1939.0</v>
      </c>
      <c r="E940" s="3">
        <f t="shared" si="1"/>
        <v>0.3132977864</v>
      </c>
      <c r="F940" s="2">
        <v>937.0</v>
      </c>
      <c r="G940" s="3">
        <f t="shared" si="2"/>
        <v>0.151397641</v>
      </c>
      <c r="H940" s="2">
        <v>1418.0</v>
      </c>
      <c r="I940" s="3">
        <f t="shared" si="3"/>
        <v>0.2291161739</v>
      </c>
      <c r="J940" s="2">
        <v>1239.0</v>
      </c>
      <c r="K940" s="3">
        <f t="shared" si="4"/>
        <v>0.2001938924</v>
      </c>
      <c r="L940" s="2">
        <v>840.0</v>
      </c>
      <c r="M940" s="3">
        <f t="shared" si="5"/>
        <v>0.5923836389</v>
      </c>
      <c r="N940" s="2">
        <v>8088900.0</v>
      </c>
      <c r="O940" s="4">
        <f t="shared" si="6"/>
        <v>5704.442877</v>
      </c>
      <c r="P940" s="2">
        <v>2.0</v>
      </c>
      <c r="Q940" s="3">
        <f t="shared" si="7"/>
        <v>0.003395585739</v>
      </c>
      <c r="R940" s="2">
        <v>589.0</v>
      </c>
      <c r="S940" s="5">
        <f t="shared" si="8"/>
        <v>1</v>
      </c>
    </row>
    <row r="941">
      <c r="A941" s="2" t="s">
        <v>955</v>
      </c>
      <c r="B941" s="2">
        <v>41.0</v>
      </c>
      <c r="C941" s="2">
        <v>477.0</v>
      </c>
      <c r="D941" s="2">
        <v>98.0</v>
      </c>
      <c r="E941" s="3">
        <f t="shared" si="1"/>
        <v>0.2247706422</v>
      </c>
      <c r="F941" s="2">
        <v>66.0</v>
      </c>
      <c r="G941" s="3">
        <f t="shared" si="2"/>
        <v>0.1513761468</v>
      </c>
      <c r="H941" s="2">
        <v>82.0</v>
      </c>
      <c r="I941" s="3">
        <f t="shared" si="3"/>
        <v>0.1880733945</v>
      </c>
      <c r="J941" s="2">
        <v>68.0</v>
      </c>
      <c r="K941" s="3">
        <f t="shared" si="4"/>
        <v>0.1559633028</v>
      </c>
      <c r="L941" s="2">
        <v>44.0</v>
      </c>
      <c r="M941" s="3">
        <f t="shared" si="5"/>
        <v>0.5365853659</v>
      </c>
      <c r="N941" s="2">
        <v>518900.0</v>
      </c>
      <c r="O941" s="4">
        <f t="shared" si="6"/>
        <v>6328.04878</v>
      </c>
      <c r="P941" s="2">
        <v>0.0</v>
      </c>
      <c r="Q941" s="3">
        <f t="shared" si="7"/>
        <v>0</v>
      </c>
      <c r="R941" s="2">
        <v>41.0</v>
      </c>
      <c r="S941" s="5">
        <f t="shared" si="8"/>
        <v>1</v>
      </c>
    </row>
    <row r="942">
      <c r="A942" s="2" t="s">
        <v>956</v>
      </c>
      <c r="B942" s="2">
        <v>481.0</v>
      </c>
      <c r="C942" s="2">
        <v>5661.0</v>
      </c>
      <c r="D942" s="2">
        <v>2006.0</v>
      </c>
      <c r="E942" s="3">
        <f t="shared" si="1"/>
        <v>0.3872586873</v>
      </c>
      <c r="F942" s="2">
        <v>784.0</v>
      </c>
      <c r="G942" s="3">
        <f t="shared" si="2"/>
        <v>0.1513513514</v>
      </c>
      <c r="H942" s="2">
        <v>1152.0</v>
      </c>
      <c r="I942" s="3">
        <f t="shared" si="3"/>
        <v>0.2223938224</v>
      </c>
      <c r="J942" s="2">
        <v>887.0</v>
      </c>
      <c r="K942" s="3">
        <f t="shared" si="4"/>
        <v>0.1712355212</v>
      </c>
      <c r="L942" s="2">
        <v>709.0</v>
      </c>
      <c r="M942" s="3">
        <f t="shared" si="5"/>
        <v>0.6154513889</v>
      </c>
      <c r="N942" s="2">
        <v>6201600.0</v>
      </c>
      <c r="O942" s="4">
        <f t="shared" si="6"/>
        <v>5383.333333</v>
      </c>
      <c r="P942" s="2">
        <v>1.0</v>
      </c>
      <c r="Q942" s="3">
        <f t="shared" si="7"/>
        <v>0.002079002079</v>
      </c>
      <c r="R942" s="2">
        <v>481.0</v>
      </c>
      <c r="S942" s="5">
        <f t="shared" si="8"/>
        <v>1</v>
      </c>
    </row>
    <row r="943">
      <c r="A943" s="2" t="s">
        <v>957</v>
      </c>
      <c r="B943" s="2">
        <v>170.0</v>
      </c>
      <c r="C943" s="2">
        <v>2020.0</v>
      </c>
      <c r="D943" s="2">
        <v>608.0</v>
      </c>
      <c r="E943" s="3">
        <f t="shared" si="1"/>
        <v>0.3286486486</v>
      </c>
      <c r="F943" s="2">
        <v>280.0</v>
      </c>
      <c r="G943" s="3">
        <f t="shared" si="2"/>
        <v>0.1513513514</v>
      </c>
      <c r="H943" s="2">
        <v>359.0</v>
      </c>
      <c r="I943" s="3">
        <f t="shared" si="3"/>
        <v>0.1940540541</v>
      </c>
      <c r="J943" s="2">
        <v>287.0</v>
      </c>
      <c r="K943" s="3">
        <f t="shared" si="4"/>
        <v>0.1551351351</v>
      </c>
      <c r="L943" s="2">
        <v>228.0</v>
      </c>
      <c r="M943" s="3">
        <f t="shared" si="5"/>
        <v>0.635097493</v>
      </c>
      <c r="N943" s="2">
        <v>2030400.0</v>
      </c>
      <c r="O943" s="4">
        <f t="shared" si="6"/>
        <v>5655.710306</v>
      </c>
      <c r="P943" s="2">
        <v>0.0</v>
      </c>
      <c r="Q943" s="3">
        <f t="shared" si="7"/>
        <v>0</v>
      </c>
      <c r="R943" s="2">
        <v>170.0</v>
      </c>
      <c r="S943" s="5">
        <f t="shared" si="8"/>
        <v>1</v>
      </c>
    </row>
    <row r="944">
      <c r="A944" s="2" t="s">
        <v>958</v>
      </c>
      <c r="B944" s="2">
        <v>107.0</v>
      </c>
      <c r="C944" s="2">
        <v>1217.0</v>
      </c>
      <c r="D944" s="2">
        <v>512.0</v>
      </c>
      <c r="E944" s="3">
        <f t="shared" si="1"/>
        <v>0.4612612613</v>
      </c>
      <c r="F944" s="2">
        <v>168.0</v>
      </c>
      <c r="G944" s="3">
        <f t="shared" si="2"/>
        <v>0.1513513514</v>
      </c>
      <c r="H944" s="2">
        <v>222.0</v>
      </c>
      <c r="I944" s="3">
        <f t="shared" si="3"/>
        <v>0.2</v>
      </c>
      <c r="J944" s="2">
        <v>171.0</v>
      </c>
      <c r="K944" s="3">
        <f t="shared" si="4"/>
        <v>0.1540540541</v>
      </c>
      <c r="L944" s="2">
        <v>121.0</v>
      </c>
      <c r="M944" s="3">
        <f t="shared" si="5"/>
        <v>0.545045045</v>
      </c>
      <c r="N944" s="2">
        <v>1076400.0</v>
      </c>
      <c r="O944" s="4">
        <f t="shared" si="6"/>
        <v>4848.648649</v>
      </c>
      <c r="P944" s="2">
        <v>0.0</v>
      </c>
      <c r="Q944" s="3">
        <f t="shared" si="7"/>
        <v>0</v>
      </c>
      <c r="R944" s="2">
        <v>0.0</v>
      </c>
      <c r="S944" s="5">
        <f t="shared" si="8"/>
        <v>0</v>
      </c>
    </row>
    <row r="945">
      <c r="A945" s="2" t="s">
        <v>959</v>
      </c>
      <c r="B945" s="2">
        <v>149.0</v>
      </c>
      <c r="C945" s="2">
        <v>1748.0</v>
      </c>
      <c r="D945" s="2">
        <v>623.0</v>
      </c>
      <c r="E945" s="3">
        <f t="shared" si="1"/>
        <v>0.3896185116</v>
      </c>
      <c r="F945" s="2">
        <v>242.0</v>
      </c>
      <c r="G945" s="3">
        <f t="shared" si="2"/>
        <v>0.1513445904</v>
      </c>
      <c r="H945" s="2">
        <v>367.0</v>
      </c>
      <c r="I945" s="3">
        <f t="shared" si="3"/>
        <v>0.229518449</v>
      </c>
      <c r="J945" s="2">
        <v>315.0</v>
      </c>
      <c r="K945" s="3">
        <f t="shared" si="4"/>
        <v>0.1969981238</v>
      </c>
      <c r="L945" s="2">
        <v>214.0</v>
      </c>
      <c r="M945" s="3">
        <f t="shared" si="5"/>
        <v>0.583106267</v>
      </c>
      <c r="N945" s="2">
        <v>2157400.0</v>
      </c>
      <c r="O945" s="4">
        <f t="shared" si="6"/>
        <v>5878.474114</v>
      </c>
      <c r="P945" s="2">
        <v>0.0</v>
      </c>
      <c r="Q945" s="3">
        <f t="shared" si="7"/>
        <v>0</v>
      </c>
      <c r="R945" s="2">
        <v>149.0</v>
      </c>
      <c r="S945" s="5">
        <f t="shared" si="8"/>
        <v>1</v>
      </c>
    </row>
    <row r="946">
      <c r="A946" s="2" t="s">
        <v>960</v>
      </c>
      <c r="B946" s="2">
        <v>347.0</v>
      </c>
      <c r="C946" s="2">
        <v>4034.0</v>
      </c>
      <c r="D946" s="2">
        <v>1075.0</v>
      </c>
      <c r="E946" s="3">
        <f t="shared" si="1"/>
        <v>0.291564958</v>
      </c>
      <c r="F946" s="2">
        <v>558.0</v>
      </c>
      <c r="G946" s="3">
        <f t="shared" si="2"/>
        <v>0.1513425549</v>
      </c>
      <c r="H946" s="2">
        <v>823.0</v>
      </c>
      <c r="I946" s="3">
        <f t="shared" si="3"/>
        <v>0.2232167074</v>
      </c>
      <c r="J946" s="2">
        <v>801.0</v>
      </c>
      <c r="K946" s="3">
        <f t="shared" si="4"/>
        <v>0.2172497966</v>
      </c>
      <c r="L946" s="2">
        <v>475.0</v>
      </c>
      <c r="M946" s="3">
        <f t="shared" si="5"/>
        <v>0.5771567436</v>
      </c>
      <c r="N946" s="2">
        <v>4908100.0</v>
      </c>
      <c r="O946" s="4">
        <f t="shared" si="6"/>
        <v>5963.669502</v>
      </c>
      <c r="P946" s="2">
        <v>1.0</v>
      </c>
      <c r="Q946" s="3">
        <f t="shared" si="7"/>
        <v>0.00288184438</v>
      </c>
      <c r="R946" s="2">
        <v>347.0</v>
      </c>
      <c r="S946" s="5">
        <f t="shared" si="8"/>
        <v>1</v>
      </c>
    </row>
    <row r="947">
      <c r="A947" s="2" t="s">
        <v>961</v>
      </c>
      <c r="B947" s="2">
        <v>154.0</v>
      </c>
      <c r="C947" s="2">
        <v>1773.0</v>
      </c>
      <c r="D947" s="2">
        <v>559.0</v>
      </c>
      <c r="E947" s="3">
        <f t="shared" si="1"/>
        <v>0.345274861</v>
      </c>
      <c r="F947" s="2">
        <v>245.0</v>
      </c>
      <c r="G947" s="3">
        <f t="shared" si="2"/>
        <v>0.1513279802</v>
      </c>
      <c r="H947" s="2">
        <v>375.0</v>
      </c>
      <c r="I947" s="3">
        <f t="shared" si="3"/>
        <v>0.2316244595</v>
      </c>
      <c r="J947" s="2">
        <v>241.0</v>
      </c>
      <c r="K947" s="3">
        <f t="shared" si="4"/>
        <v>0.1488573193</v>
      </c>
      <c r="L947" s="2">
        <v>237.0</v>
      </c>
      <c r="M947" s="3">
        <f t="shared" si="5"/>
        <v>0.632</v>
      </c>
      <c r="N947" s="2">
        <v>2077400.0</v>
      </c>
      <c r="O947" s="4">
        <f t="shared" si="6"/>
        <v>5539.733333</v>
      </c>
      <c r="P947" s="2">
        <v>0.0</v>
      </c>
      <c r="Q947" s="3">
        <f t="shared" si="7"/>
        <v>0</v>
      </c>
      <c r="R947" s="2">
        <v>154.0</v>
      </c>
      <c r="S947" s="5">
        <f t="shared" si="8"/>
        <v>1</v>
      </c>
    </row>
    <row r="948">
      <c r="A948" s="2" t="s">
        <v>962</v>
      </c>
      <c r="B948" s="2">
        <v>14.0</v>
      </c>
      <c r="C948" s="2">
        <v>166.0</v>
      </c>
      <c r="D948" s="2">
        <v>61.0</v>
      </c>
      <c r="E948" s="3">
        <f t="shared" si="1"/>
        <v>0.4013157895</v>
      </c>
      <c r="F948" s="2">
        <v>23.0</v>
      </c>
      <c r="G948" s="3">
        <f t="shared" si="2"/>
        <v>0.1513157895</v>
      </c>
      <c r="H948" s="2">
        <v>28.0</v>
      </c>
      <c r="I948" s="3">
        <f t="shared" si="3"/>
        <v>0.1842105263</v>
      </c>
      <c r="J948" s="2">
        <v>18.0</v>
      </c>
      <c r="K948" s="3">
        <f t="shared" si="4"/>
        <v>0.1184210526</v>
      </c>
      <c r="L948" s="2">
        <v>15.0</v>
      </c>
      <c r="M948" s="3">
        <f t="shared" si="5"/>
        <v>0.5357142857</v>
      </c>
      <c r="N948" s="2">
        <v>177300.0</v>
      </c>
      <c r="O948" s="4">
        <f t="shared" si="6"/>
        <v>6332.142857</v>
      </c>
      <c r="P948" s="2">
        <v>0.0</v>
      </c>
      <c r="Q948" s="3">
        <f t="shared" si="7"/>
        <v>0</v>
      </c>
      <c r="R948" s="2">
        <v>0.0</v>
      </c>
      <c r="S948" s="5">
        <f t="shared" si="8"/>
        <v>0</v>
      </c>
    </row>
    <row r="949">
      <c r="A949" s="2" t="s">
        <v>963</v>
      </c>
      <c r="B949" s="2">
        <v>195.0</v>
      </c>
      <c r="C949" s="2">
        <v>2290.0</v>
      </c>
      <c r="D949" s="2">
        <v>789.0</v>
      </c>
      <c r="E949" s="3">
        <f t="shared" si="1"/>
        <v>0.3766109785</v>
      </c>
      <c r="F949" s="2">
        <v>317.0</v>
      </c>
      <c r="G949" s="3">
        <f t="shared" si="2"/>
        <v>0.1513126492</v>
      </c>
      <c r="H949" s="2">
        <v>454.0</v>
      </c>
      <c r="I949" s="3">
        <f t="shared" si="3"/>
        <v>0.2167064439</v>
      </c>
      <c r="J949" s="2">
        <v>360.0</v>
      </c>
      <c r="K949" s="3">
        <f t="shared" si="4"/>
        <v>0.1718377088</v>
      </c>
      <c r="L949" s="2">
        <v>263.0</v>
      </c>
      <c r="M949" s="3">
        <f t="shared" si="5"/>
        <v>0.5792951542</v>
      </c>
      <c r="N949" s="2">
        <v>2449200.0</v>
      </c>
      <c r="O949" s="4">
        <f t="shared" si="6"/>
        <v>5394.713656</v>
      </c>
      <c r="P949" s="2">
        <v>1.0</v>
      </c>
      <c r="Q949" s="3">
        <f t="shared" si="7"/>
        <v>0.005128205128</v>
      </c>
      <c r="R949" s="2">
        <v>195.0</v>
      </c>
      <c r="S949" s="5">
        <f t="shared" si="8"/>
        <v>1</v>
      </c>
    </row>
    <row r="950">
      <c r="A950" s="2" t="s">
        <v>964</v>
      </c>
      <c r="B950" s="2">
        <v>142.0</v>
      </c>
      <c r="C950" s="2">
        <v>1603.0</v>
      </c>
      <c r="D950" s="2">
        <v>367.0</v>
      </c>
      <c r="E950" s="3">
        <f t="shared" si="1"/>
        <v>0.2511978097</v>
      </c>
      <c r="F950" s="2">
        <v>221.0</v>
      </c>
      <c r="G950" s="3">
        <f t="shared" si="2"/>
        <v>0.151266256</v>
      </c>
      <c r="H950" s="2">
        <v>299.0</v>
      </c>
      <c r="I950" s="3">
        <f t="shared" si="3"/>
        <v>0.2046543463</v>
      </c>
      <c r="J950" s="2">
        <v>234.0</v>
      </c>
      <c r="K950" s="3">
        <f t="shared" si="4"/>
        <v>0.160164271</v>
      </c>
      <c r="L950" s="2">
        <v>182.0</v>
      </c>
      <c r="M950" s="3">
        <f t="shared" si="5"/>
        <v>0.6086956522</v>
      </c>
      <c r="N950" s="2">
        <v>1770100.0</v>
      </c>
      <c r="O950" s="4">
        <f t="shared" si="6"/>
        <v>5920.06689</v>
      </c>
      <c r="P950" s="2">
        <v>1.0</v>
      </c>
      <c r="Q950" s="3">
        <f t="shared" si="7"/>
        <v>0.007042253521</v>
      </c>
      <c r="R950" s="2">
        <v>142.0</v>
      </c>
      <c r="S950" s="5">
        <f t="shared" si="8"/>
        <v>1</v>
      </c>
    </row>
    <row r="951">
      <c r="A951" s="2" t="s">
        <v>965</v>
      </c>
      <c r="B951" s="2">
        <v>1662.0</v>
      </c>
      <c r="C951" s="2">
        <v>19539.0</v>
      </c>
      <c r="D951" s="2">
        <v>7749.0</v>
      </c>
      <c r="E951" s="3">
        <f t="shared" si="1"/>
        <v>0.4334619903</v>
      </c>
      <c r="F951" s="2">
        <v>2704.0</v>
      </c>
      <c r="G951" s="3">
        <f t="shared" si="2"/>
        <v>0.1512558035</v>
      </c>
      <c r="H951" s="2">
        <v>4035.0</v>
      </c>
      <c r="I951" s="3">
        <f t="shared" si="3"/>
        <v>0.2257090116</v>
      </c>
      <c r="J951" s="2">
        <v>3063.0</v>
      </c>
      <c r="K951" s="3">
        <f t="shared" si="4"/>
        <v>0.1713374727</v>
      </c>
      <c r="L951" s="2">
        <v>2386.0</v>
      </c>
      <c r="M951" s="3">
        <f t="shared" si="5"/>
        <v>0.5913258984</v>
      </c>
      <c r="N951" s="2">
        <v>2.23555E7</v>
      </c>
      <c r="O951" s="4">
        <f t="shared" si="6"/>
        <v>5540.39653</v>
      </c>
      <c r="P951" s="2">
        <v>6.0</v>
      </c>
      <c r="Q951" s="3">
        <f t="shared" si="7"/>
        <v>0.003610108303</v>
      </c>
      <c r="R951" s="2">
        <v>1015.0</v>
      </c>
      <c r="S951" s="5">
        <f t="shared" si="8"/>
        <v>0.610709988</v>
      </c>
    </row>
    <row r="952">
      <c r="A952" s="2" t="s">
        <v>966</v>
      </c>
      <c r="B952" s="2">
        <v>52.0</v>
      </c>
      <c r="C952" s="2">
        <v>614.0</v>
      </c>
      <c r="D952" s="2">
        <v>221.0</v>
      </c>
      <c r="E952" s="3">
        <f t="shared" si="1"/>
        <v>0.3932384342</v>
      </c>
      <c r="F952" s="2">
        <v>85.0</v>
      </c>
      <c r="G952" s="3">
        <f t="shared" si="2"/>
        <v>0.1512455516</v>
      </c>
      <c r="H952" s="2">
        <v>124.0</v>
      </c>
      <c r="I952" s="3">
        <f t="shared" si="3"/>
        <v>0.2206405694</v>
      </c>
      <c r="J952" s="2">
        <v>98.0</v>
      </c>
      <c r="K952" s="3">
        <f t="shared" si="4"/>
        <v>0.1743772242</v>
      </c>
      <c r="L952" s="2">
        <v>74.0</v>
      </c>
      <c r="M952" s="3">
        <f t="shared" si="5"/>
        <v>0.5967741935</v>
      </c>
      <c r="N952" s="2">
        <v>681200.0</v>
      </c>
      <c r="O952" s="4">
        <f t="shared" si="6"/>
        <v>5493.548387</v>
      </c>
      <c r="P952" s="2">
        <v>0.0</v>
      </c>
      <c r="Q952" s="3">
        <f t="shared" si="7"/>
        <v>0</v>
      </c>
      <c r="R952" s="2">
        <v>52.0</v>
      </c>
      <c r="S952" s="5">
        <f t="shared" si="8"/>
        <v>1</v>
      </c>
    </row>
    <row r="953">
      <c r="A953" s="2" t="s">
        <v>967</v>
      </c>
      <c r="B953" s="2">
        <v>946.0</v>
      </c>
      <c r="C953" s="2">
        <v>10970.0</v>
      </c>
      <c r="D953" s="2">
        <v>4178.0</v>
      </c>
      <c r="E953" s="3">
        <f t="shared" si="1"/>
        <v>0.4167996808</v>
      </c>
      <c r="F953" s="2">
        <v>1516.0</v>
      </c>
      <c r="G953" s="3">
        <f t="shared" si="2"/>
        <v>0.1512370311</v>
      </c>
      <c r="H953" s="2">
        <v>2341.0</v>
      </c>
      <c r="I953" s="3">
        <f t="shared" si="3"/>
        <v>0.2335395052</v>
      </c>
      <c r="J953" s="2">
        <v>1493.0</v>
      </c>
      <c r="K953" s="3">
        <f t="shared" si="4"/>
        <v>0.1489425379</v>
      </c>
      <c r="L953" s="2">
        <v>1409.0</v>
      </c>
      <c r="M953" s="3">
        <f t="shared" si="5"/>
        <v>0.6018795387</v>
      </c>
      <c r="N953" s="2">
        <v>1.22223E7</v>
      </c>
      <c r="O953" s="4">
        <f t="shared" si="6"/>
        <v>5220.973943</v>
      </c>
      <c r="P953" s="2">
        <v>5.0</v>
      </c>
      <c r="Q953" s="3">
        <f t="shared" si="7"/>
        <v>0.005285412262</v>
      </c>
      <c r="R953" s="2">
        <v>381.0</v>
      </c>
      <c r="S953" s="5">
        <f t="shared" si="8"/>
        <v>0.4027484144</v>
      </c>
    </row>
    <row r="954">
      <c r="A954" s="2" t="s">
        <v>968</v>
      </c>
      <c r="B954" s="2">
        <v>115.0</v>
      </c>
      <c r="C954" s="2">
        <v>1352.0</v>
      </c>
      <c r="D954" s="2">
        <v>313.0</v>
      </c>
      <c r="E954" s="3">
        <f t="shared" si="1"/>
        <v>0.2530315279</v>
      </c>
      <c r="F954" s="2">
        <v>187.0</v>
      </c>
      <c r="G954" s="3">
        <f t="shared" si="2"/>
        <v>0.1511721908</v>
      </c>
      <c r="H954" s="2">
        <v>247.0</v>
      </c>
      <c r="I954" s="3">
        <f t="shared" si="3"/>
        <v>0.199676637</v>
      </c>
      <c r="J954" s="2">
        <v>190.0</v>
      </c>
      <c r="K954" s="3">
        <f t="shared" si="4"/>
        <v>0.1535974131</v>
      </c>
      <c r="L954" s="2">
        <v>148.0</v>
      </c>
      <c r="M954" s="3">
        <f t="shared" si="5"/>
        <v>0.5991902834</v>
      </c>
      <c r="N954" s="2">
        <v>1484300.0</v>
      </c>
      <c r="O954" s="4">
        <f t="shared" si="6"/>
        <v>6009.311741</v>
      </c>
      <c r="P954" s="2">
        <v>1.0</v>
      </c>
      <c r="Q954" s="3">
        <f t="shared" si="7"/>
        <v>0.008695652174</v>
      </c>
      <c r="R954" s="2">
        <v>115.0</v>
      </c>
      <c r="S954" s="5">
        <f t="shared" si="8"/>
        <v>1</v>
      </c>
    </row>
    <row r="955">
      <c r="A955" s="2" t="s">
        <v>969</v>
      </c>
      <c r="B955" s="2">
        <v>7.0</v>
      </c>
      <c r="C955" s="2">
        <v>93.0</v>
      </c>
      <c r="D955" s="2">
        <v>33.0</v>
      </c>
      <c r="E955" s="3">
        <f t="shared" si="1"/>
        <v>0.3837209302</v>
      </c>
      <c r="F955" s="2">
        <v>13.0</v>
      </c>
      <c r="G955" s="3">
        <f t="shared" si="2"/>
        <v>0.1511627907</v>
      </c>
      <c r="H955" s="2">
        <v>9.0</v>
      </c>
      <c r="I955" s="3">
        <f t="shared" si="3"/>
        <v>0.1046511628</v>
      </c>
      <c r="J955" s="2">
        <v>16.0</v>
      </c>
      <c r="K955" s="3">
        <f t="shared" si="4"/>
        <v>0.1860465116</v>
      </c>
      <c r="L955" s="2">
        <v>4.0</v>
      </c>
      <c r="M955" s="3">
        <f t="shared" si="5"/>
        <v>0.4444444444</v>
      </c>
      <c r="N955" s="2">
        <v>47300.0</v>
      </c>
      <c r="O955" s="4">
        <f t="shared" si="6"/>
        <v>5255.555556</v>
      </c>
      <c r="P955" s="2">
        <v>0.0</v>
      </c>
      <c r="Q955" s="3">
        <f t="shared" si="7"/>
        <v>0</v>
      </c>
      <c r="R955" s="2">
        <v>0.0</v>
      </c>
      <c r="S955" s="5">
        <f t="shared" si="8"/>
        <v>0</v>
      </c>
    </row>
    <row r="956">
      <c r="A956" s="2" t="s">
        <v>970</v>
      </c>
      <c r="B956" s="2">
        <v>61.0</v>
      </c>
      <c r="C956" s="2">
        <v>716.0</v>
      </c>
      <c r="D956" s="2">
        <v>242.0</v>
      </c>
      <c r="E956" s="3">
        <f t="shared" si="1"/>
        <v>0.3694656489</v>
      </c>
      <c r="F956" s="2">
        <v>99.0</v>
      </c>
      <c r="G956" s="3">
        <f t="shared" si="2"/>
        <v>0.1511450382</v>
      </c>
      <c r="H956" s="2">
        <v>121.0</v>
      </c>
      <c r="I956" s="3">
        <f t="shared" si="3"/>
        <v>0.1847328244</v>
      </c>
      <c r="J956" s="2">
        <v>112.0</v>
      </c>
      <c r="K956" s="3">
        <f t="shared" si="4"/>
        <v>0.1709923664</v>
      </c>
      <c r="L956" s="2">
        <v>73.0</v>
      </c>
      <c r="M956" s="3">
        <f t="shared" si="5"/>
        <v>0.6033057851</v>
      </c>
      <c r="N956" s="2">
        <v>740300.0</v>
      </c>
      <c r="O956" s="4">
        <f t="shared" si="6"/>
        <v>6118.181818</v>
      </c>
      <c r="P956" s="2">
        <v>0.0</v>
      </c>
      <c r="Q956" s="3">
        <f t="shared" si="7"/>
        <v>0</v>
      </c>
      <c r="R956" s="2">
        <v>61.0</v>
      </c>
      <c r="S956" s="5">
        <f t="shared" si="8"/>
        <v>1</v>
      </c>
    </row>
    <row r="957">
      <c r="A957" s="2" t="s">
        <v>971</v>
      </c>
      <c r="B957" s="2">
        <v>136.0</v>
      </c>
      <c r="C957" s="2">
        <v>1592.0</v>
      </c>
      <c r="D957" s="2">
        <v>560.0</v>
      </c>
      <c r="E957" s="3">
        <f t="shared" si="1"/>
        <v>0.3846153846</v>
      </c>
      <c r="F957" s="2">
        <v>220.0</v>
      </c>
      <c r="G957" s="3">
        <f t="shared" si="2"/>
        <v>0.1510989011</v>
      </c>
      <c r="H957" s="2">
        <v>314.0</v>
      </c>
      <c r="I957" s="3">
        <f t="shared" si="3"/>
        <v>0.2156593407</v>
      </c>
      <c r="J957" s="2">
        <v>239.0</v>
      </c>
      <c r="K957" s="3">
        <f t="shared" si="4"/>
        <v>0.1641483516</v>
      </c>
      <c r="L957" s="2">
        <v>194.0</v>
      </c>
      <c r="M957" s="3">
        <f t="shared" si="5"/>
        <v>0.6178343949</v>
      </c>
      <c r="N957" s="2">
        <v>1735900.0</v>
      </c>
      <c r="O957" s="4">
        <f t="shared" si="6"/>
        <v>5528.343949</v>
      </c>
      <c r="P957" s="2">
        <v>0.0</v>
      </c>
      <c r="Q957" s="3">
        <f t="shared" si="7"/>
        <v>0</v>
      </c>
      <c r="R957" s="2">
        <v>115.0</v>
      </c>
      <c r="S957" s="5">
        <f t="shared" si="8"/>
        <v>0.8455882353</v>
      </c>
    </row>
    <row r="958">
      <c r="A958" s="2" t="s">
        <v>972</v>
      </c>
      <c r="B958" s="2">
        <v>248.0</v>
      </c>
      <c r="C958" s="2">
        <v>2935.0</v>
      </c>
      <c r="D958" s="2">
        <v>854.0</v>
      </c>
      <c r="E958" s="3">
        <f t="shared" si="1"/>
        <v>0.3178265724</v>
      </c>
      <c r="F958" s="2">
        <v>406.0</v>
      </c>
      <c r="G958" s="3">
        <f t="shared" si="2"/>
        <v>0.1510978787</v>
      </c>
      <c r="H958" s="2">
        <v>555.0</v>
      </c>
      <c r="I958" s="3">
        <f t="shared" si="3"/>
        <v>0.2065500558</v>
      </c>
      <c r="J958" s="2">
        <v>367.0</v>
      </c>
      <c r="K958" s="3">
        <f t="shared" si="4"/>
        <v>0.1365835504</v>
      </c>
      <c r="L958" s="2">
        <v>320.0</v>
      </c>
      <c r="M958" s="3">
        <f t="shared" si="5"/>
        <v>0.5765765766</v>
      </c>
      <c r="N958" s="2">
        <v>3120400.0</v>
      </c>
      <c r="O958" s="4">
        <f t="shared" si="6"/>
        <v>5622.342342</v>
      </c>
      <c r="P958" s="2">
        <v>0.0</v>
      </c>
      <c r="Q958" s="3">
        <f t="shared" si="7"/>
        <v>0</v>
      </c>
      <c r="R958" s="2">
        <v>248.0</v>
      </c>
      <c r="S958" s="5">
        <f t="shared" si="8"/>
        <v>1</v>
      </c>
    </row>
    <row r="959">
      <c r="A959" s="2" t="s">
        <v>973</v>
      </c>
      <c r="B959" s="2">
        <v>233.0</v>
      </c>
      <c r="C959" s="2">
        <v>2735.0</v>
      </c>
      <c r="D959" s="2">
        <v>597.0</v>
      </c>
      <c r="E959" s="3">
        <f t="shared" si="1"/>
        <v>0.2386091127</v>
      </c>
      <c r="F959" s="2">
        <v>378.0</v>
      </c>
      <c r="G959" s="3">
        <f t="shared" si="2"/>
        <v>0.1510791367</v>
      </c>
      <c r="H959" s="2">
        <v>509.0</v>
      </c>
      <c r="I959" s="3">
        <f t="shared" si="3"/>
        <v>0.2034372502</v>
      </c>
      <c r="J959" s="2">
        <v>532.0</v>
      </c>
      <c r="K959" s="3">
        <f t="shared" si="4"/>
        <v>0.2126298961</v>
      </c>
      <c r="L959" s="2">
        <v>288.0</v>
      </c>
      <c r="M959" s="3">
        <f t="shared" si="5"/>
        <v>0.5658153242</v>
      </c>
      <c r="N959" s="2">
        <v>3154600.0</v>
      </c>
      <c r="O959" s="4">
        <f t="shared" si="6"/>
        <v>6197.642436</v>
      </c>
      <c r="P959" s="2">
        <v>0.0</v>
      </c>
      <c r="Q959" s="3">
        <f t="shared" si="7"/>
        <v>0</v>
      </c>
      <c r="R959" s="2">
        <v>145.0</v>
      </c>
      <c r="S959" s="5">
        <f t="shared" si="8"/>
        <v>0.6223175966</v>
      </c>
    </row>
    <row r="960">
      <c r="A960" s="2" t="s">
        <v>974</v>
      </c>
      <c r="B960" s="2">
        <v>80.0</v>
      </c>
      <c r="C960" s="2">
        <v>967.0</v>
      </c>
      <c r="D960" s="2">
        <v>303.0</v>
      </c>
      <c r="E960" s="3">
        <f t="shared" si="1"/>
        <v>0.3416009019</v>
      </c>
      <c r="F960" s="2">
        <v>134.0</v>
      </c>
      <c r="G960" s="3">
        <f t="shared" si="2"/>
        <v>0.1510710259</v>
      </c>
      <c r="H960" s="2">
        <v>179.0</v>
      </c>
      <c r="I960" s="3">
        <f t="shared" si="3"/>
        <v>0.2018038331</v>
      </c>
      <c r="J960" s="2">
        <v>158.0</v>
      </c>
      <c r="K960" s="3">
        <f t="shared" si="4"/>
        <v>0.1781285231</v>
      </c>
      <c r="L960" s="2">
        <v>112.0</v>
      </c>
      <c r="M960" s="3">
        <f t="shared" si="5"/>
        <v>0.625698324</v>
      </c>
      <c r="N960" s="2">
        <v>958900.0</v>
      </c>
      <c r="O960" s="4">
        <f t="shared" si="6"/>
        <v>5356.98324</v>
      </c>
      <c r="P960" s="2">
        <v>0.0</v>
      </c>
      <c r="Q960" s="3">
        <f t="shared" si="7"/>
        <v>0</v>
      </c>
      <c r="R960" s="2">
        <v>80.0</v>
      </c>
      <c r="S960" s="5">
        <f t="shared" si="8"/>
        <v>1</v>
      </c>
    </row>
    <row r="961">
      <c r="A961" s="2" t="s">
        <v>975</v>
      </c>
      <c r="B961" s="2">
        <v>55.0</v>
      </c>
      <c r="C961" s="2">
        <v>631.0</v>
      </c>
      <c r="D961" s="2">
        <v>202.0</v>
      </c>
      <c r="E961" s="3">
        <f t="shared" si="1"/>
        <v>0.3506944444</v>
      </c>
      <c r="F961" s="2">
        <v>87.0</v>
      </c>
      <c r="G961" s="3">
        <f t="shared" si="2"/>
        <v>0.1510416667</v>
      </c>
      <c r="H961" s="2">
        <v>136.0</v>
      </c>
      <c r="I961" s="3">
        <f t="shared" si="3"/>
        <v>0.2361111111</v>
      </c>
      <c r="J961" s="2">
        <v>131.0</v>
      </c>
      <c r="K961" s="3">
        <f t="shared" si="4"/>
        <v>0.2274305556</v>
      </c>
      <c r="L961" s="2">
        <v>83.0</v>
      </c>
      <c r="M961" s="3">
        <f t="shared" si="5"/>
        <v>0.6102941176</v>
      </c>
      <c r="N961" s="2">
        <v>703700.0</v>
      </c>
      <c r="O961" s="4">
        <f t="shared" si="6"/>
        <v>5174.264706</v>
      </c>
      <c r="P961" s="2">
        <v>0.0</v>
      </c>
      <c r="Q961" s="3">
        <f t="shared" si="7"/>
        <v>0</v>
      </c>
      <c r="R961" s="2">
        <v>55.0</v>
      </c>
      <c r="S961" s="5">
        <f t="shared" si="8"/>
        <v>1</v>
      </c>
    </row>
    <row r="962">
      <c r="A962" s="2" t="s">
        <v>976</v>
      </c>
      <c r="B962" s="2">
        <v>124.0</v>
      </c>
      <c r="C962" s="2">
        <v>1468.0</v>
      </c>
      <c r="D962" s="2">
        <v>547.0</v>
      </c>
      <c r="E962" s="3">
        <f t="shared" si="1"/>
        <v>0.4069940476</v>
      </c>
      <c r="F962" s="2">
        <v>203.0</v>
      </c>
      <c r="G962" s="3">
        <f t="shared" si="2"/>
        <v>0.1510416667</v>
      </c>
      <c r="H962" s="2">
        <v>294.0</v>
      </c>
      <c r="I962" s="3">
        <f t="shared" si="3"/>
        <v>0.21875</v>
      </c>
      <c r="J962" s="2">
        <v>235.0</v>
      </c>
      <c r="K962" s="3">
        <f t="shared" si="4"/>
        <v>0.1748511905</v>
      </c>
      <c r="L962" s="2">
        <v>176.0</v>
      </c>
      <c r="M962" s="3">
        <f t="shared" si="5"/>
        <v>0.5986394558</v>
      </c>
      <c r="N962" s="2">
        <v>1546600.0</v>
      </c>
      <c r="O962" s="4">
        <f t="shared" si="6"/>
        <v>5260.544218</v>
      </c>
      <c r="P962" s="2">
        <v>0.0</v>
      </c>
      <c r="Q962" s="3">
        <f t="shared" si="7"/>
        <v>0</v>
      </c>
      <c r="R962" s="2">
        <v>124.0</v>
      </c>
      <c r="S962" s="5">
        <f t="shared" si="8"/>
        <v>1</v>
      </c>
    </row>
    <row r="963">
      <c r="A963" s="2" t="s">
        <v>977</v>
      </c>
      <c r="B963" s="2">
        <v>173.0</v>
      </c>
      <c r="C963" s="2">
        <v>2047.0</v>
      </c>
      <c r="D963" s="2">
        <v>713.0</v>
      </c>
      <c r="E963" s="3">
        <f t="shared" si="1"/>
        <v>0.3804695838</v>
      </c>
      <c r="F963" s="2">
        <v>283.0</v>
      </c>
      <c r="G963" s="3">
        <f t="shared" si="2"/>
        <v>0.1510138741</v>
      </c>
      <c r="H963" s="2">
        <v>416.0</v>
      </c>
      <c r="I963" s="3">
        <f t="shared" si="3"/>
        <v>0.2219850587</v>
      </c>
      <c r="J963" s="2">
        <v>352.0</v>
      </c>
      <c r="K963" s="3">
        <f t="shared" si="4"/>
        <v>0.1878335112</v>
      </c>
      <c r="L963" s="2">
        <v>257.0</v>
      </c>
      <c r="M963" s="3">
        <f t="shared" si="5"/>
        <v>0.6177884615</v>
      </c>
      <c r="N963" s="2">
        <v>2312900.0</v>
      </c>
      <c r="O963" s="4">
        <f t="shared" si="6"/>
        <v>5559.855769</v>
      </c>
      <c r="P963" s="2">
        <v>2.0</v>
      </c>
      <c r="Q963" s="3">
        <f t="shared" si="7"/>
        <v>0.01156069364</v>
      </c>
      <c r="R963" s="2">
        <v>173.0</v>
      </c>
      <c r="S963" s="5">
        <f t="shared" si="8"/>
        <v>1</v>
      </c>
    </row>
    <row r="964">
      <c r="A964" s="2" t="s">
        <v>978</v>
      </c>
      <c r="B964" s="2">
        <v>151.0</v>
      </c>
      <c r="C964" s="2">
        <v>1747.0</v>
      </c>
      <c r="D964" s="2">
        <v>664.0</v>
      </c>
      <c r="E964" s="3">
        <f t="shared" si="1"/>
        <v>0.4160401003</v>
      </c>
      <c r="F964" s="2">
        <v>241.0</v>
      </c>
      <c r="G964" s="3">
        <f t="shared" si="2"/>
        <v>0.1510025063</v>
      </c>
      <c r="H964" s="2">
        <v>329.0</v>
      </c>
      <c r="I964" s="3">
        <f t="shared" si="3"/>
        <v>0.2061403509</v>
      </c>
      <c r="J964" s="2">
        <v>296.0</v>
      </c>
      <c r="K964" s="3">
        <f t="shared" si="4"/>
        <v>0.1854636591</v>
      </c>
      <c r="L964" s="2">
        <v>192.0</v>
      </c>
      <c r="M964" s="3">
        <f t="shared" si="5"/>
        <v>0.5835866261</v>
      </c>
      <c r="N964" s="2">
        <v>1872900.0</v>
      </c>
      <c r="O964" s="4">
        <f t="shared" si="6"/>
        <v>5692.705167</v>
      </c>
      <c r="P964" s="2">
        <v>1.0</v>
      </c>
      <c r="Q964" s="3">
        <f t="shared" si="7"/>
        <v>0.006622516556</v>
      </c>
      <c r="R964" s="2">
        <v>129.0</v>
      </c>
      <c r="S964" s="5">
        <f t="shared" si="8"/>
        <v>0.8543046358</v>
      </c>
    </row>
    <row r="965">
      <c r="A965" s="2" t="s">
        <v>979</v>
      </c>
      <c r="B965" s="2">
        <v>540.0</v>
      </c>
      <c r="C965" s="2">
        <v>6269.0</v>
      </c>
      <c r="D965" s="2">
        <v>1803.0</v>
      </c>
      <c r="E965" s="3">
        <f t="shared" si="1"/>
        <v>0.3147146099</v>
      </c>
      <c r="F965" s="2">
        <v>865.0</v>
      </c>
      <c r="G965" s="3">
        <f t="shared" si="2"/>
        <v>0.1509862105</v>
      </c>
      <c r="H965" s="2">
        <v>1236.0</v>
      </c>
      <c r="I965" s="3">
        <f t="shared" si="3"/>
        <v>0.215744458</v>
      </c>
      <c r="J965" s="2">
        <v>1075.0</v>
      </c>
      <c r="K965" s="3">
        <f t="shared" si="4"/>
        <v>0.1876418223</v>
      </c>
      <c r="L965" s="2">
        <v>747.0</v>
      </c>
      <c r="M965" s="3">
        <f t="shared" si="5"/>
        <v>0.604368932</v>
      </c>
      <c r="N965" s="2">
        <v>7339500.0</v>
      </c>
      <c r="O965" s="4">
        <f t="shared" si="6"/>
        <v>5938.106796</v>
      </c>
      <c r="P965" s="2">
        <v>1.0</v>
      </c>
      <c r="Q965" s="3">
        <f t="shared" si="7"/>
        <v>0.001851851852</v>
      </c>
      <c r="R965" s="2">
        <v>310.0</v>
      </c>
      <c r="S965" s="5">
        <f t="shared" si="8"/>
        <v>0.5740740741</v>
      </c>
    </row>
    <row r="966">
      <c r="A966" s="2" t="s">
        <v>980</v>
      </c>
      <c r="B966" s="2">
        <v>1254.0</v>
      </c>
      <c r="C966" s="2">
        <v>14756.0</v>
      </c>
      <c r="D966" s="2">
        <v>4959.0</v>
      </c>
      <c r="E966" s="3">
        <f t="shared" si="1"/>
        <v>0.3672789216</v>
      </c>
      <c r="F966" s="2">
        <v>2038.0</v>
      </c>
      <c r="G966" s="3">
        <f t="shared" si="2"/>
        <v>0.1509406014</v>
      </c>
      <c r="H966" s="2">
        <v>3009.0</v>
      </c>
      <c r="I966" s="3">
        <f t="shared" si="3"/>
        <v>0.2228558732</v>
      </c>
      <c r="J966" s="2">
        <v>2261.0</v>
      </c>
      <c r="K966" s="3">
        <f t="shared" si="4"/>
        <v>0.1674566731</v>
      </c>
      <c r="L966" s="2">
        <v>1783.0</v>
      </c>
      <c r="M966" s="3">
        <f t="shared" si="5"/>
        <v>0.5925556663</v>
      </c>
      <c r="N966" s="2">
        <v>1.68437E7</v>
      </c>
      <c r="O966" s="4">
        <f t="shared" si="6"/>
        <v>5597.773347</v>
      </c>
      <c r="P966" s="2">
        <v>0.0</v>
      </c>
      <c r="Q966" s="3">
        <f t="shared" si="7"/>
        <v>0</v>
      </c>
      <c r="R966" s="2">
        <v>1254.0</v>
      </c>
      <c r="S966" s="5">
        <f t="shared" si="8"/>
        <v>1</v>
      </c>
    </row>
    <row r="967">
      <c r="A967" s="2" t="s">
        <v>981</v>
      </c>
      <c r="B967" s="2">
        <v>308.0</v>
      </c>
      <c r="C967" s="2">
        <v>3548.0</v>
      </c>
      <c r="D967" s="2">
        <v>1050.0</v>
      </c>
      <c r="E967" s="3">
        <f t="shared" si="1"/>
        <v>0.3240740741</v>
      </c>
      <c r="F967" s="2">
        <v>489.0</v>
      </c>
      <c r="G967" s="3">
        <f t="shared" si="2"/>
        <v>0.1509259259</v>
      </c>
      <c r="H967" s="2">
        <v>654.0</v>
      </c>
      <c r="I967" s="3">
        <f t="shared" si="3"/>
        <v>0.2018518519</v>
      </c>
      <c r="J967" s="2">
        <v>525.0</v>
      </c>
      <c r="K967" s="3">
        <f t="shared" si="4"/>
        <v>0.162037037</v>
      </c>
      <c r="L967" s="2">
        <v>390.0</v>
      </c>
      <c r="M967" s="3">
        <f t="shared" si="5"/>
        <v>0.5963302752</v>
      </c>
      <c r="N967" s="2">
        <v>3750500.0</v>
      </c>
      <c r="O967" s="4">
        <f t="shared" si="6"/>
        <v>5734.70948</v>
      </c>
      <c r="P967" s="2">
        <v>1.0</v>
      </c>
      <c r="Q967" s="3">
        <f t="shared" si="7"/>
        <v>0.003246753247</v>
      </c>
      <c r="R967" s="2">
        <v>308.0</v>
      </c>
      <c r="S967" s="5">
        <f t="shared" si="8"/>
        <v>1</v>
      </c>
    </row>
    <row r="968">
      <c r="A968" s="2" t="s">
        <v>982</v>
      </c>
      <c r="B968" s="2">
        <v>78.0</v>
      </c>
      <c r="C968" s="2">
        <v>893.0</v>
      </c>
      <c r="D968" s="2">
        <v>231.0</v>
      </c>
      <c r="E968" s="3">
        <f t="shared" si="1"/>
        <v>0.2834355828</v>
      </c>
      <c r="F968" s="2">
        <v>123.0</v>
      </c>
      <c r="G968" s="3">
        <f t="shared" si="2"/>
        <v>0.1509202454</v>
      </c>
      <c r="H968" s="2">
        <v>166.0</v>
      </c>
      <c r="I968" s="3">
        <f t="shared" si="3"/>
        <v>0.2036809816</v>
      </c>
      <c r="J968" s="2">
        <v>162.0</v>
      </c>
      <c r="K968" s="3">
        <f t="shared" si="4"/>
        <v>0.1987730061</v>
      </c>
      <c r="L968" s="2">
        <v>102.0</v>
      </c>
      <c r="M968" s="3">
        <f t="shared" si="5"/>
        <v>0.6144578313</v>
      </c>
      <c r="N968" s="2">
        <v>933500.0</v>
      </c>
      <c r="O968" s="4">
        <f t="shared" si="6"/>
        <v>5623.493976</v>
      </c>
      <c r="P968" s="2">
        <v>0.0</v>
      </c>
      <c r="Q968" s="3">
        <f t="shared" si="7"/>
        <v>0</v>
      </c>
      <c r="R968" s="2">
        <v>78.0</v>
      </c>
      <c r="S968" s="5">
        <f t="shared" si="8"/>
        <v>1</v>
      </c>
    </row>
    <row r="969">
      <c r="A969" s="2" t="s">
        <v>983</v>
      </c>
      <c r="B969" s="2">
        <v>481.0</v>
      </c>
      <c r="C969" s="2">
        <v>5458.0</v>
      </c>
      <c r="D969" s="2">
        <v>1750.0</v>
      </c>
      <c r="E969" s="3">
        <f t="shared" si="1"/>
        <v>0.3516174402</v>
      </c>
      <c r="F969" s="2">
        <v>751.0</v>
      </c>
      <c r="G969" s="3">
        <f t="shared" si="2"/>
        <v>0.1508941129</v>
      </c>
      <c r="H969" s="2">
        <v>1123.0</v>
      </c>
      <c r="I969" s="3">
        <f t="shared" si="3"/>
        <v>0.2256379345</v>
      </c>
      <c r="J969" s="2">
        <v>947.0</v>
      </c>
      <c r="K969" s="3">
        <f t="shared" si="4"/>
        <v>0.1902752662</v>
      </c>
      <c r="L969" s="2">
        <v>707.0</v>
      </c>
      <c r="M969" s="3">
        <f t="shared" si="5"/>
        <v>0.6295636687</v>
      </c>
      <c r="N969" s="2">
        <v>6365100.0</v>
      </c>
      <c r="O969" s="4">
        <f t="shared" si="6"/>
        <v>5667.94301</v>
      </c>
      <c r="P969" s="2">
        <v>0.0</v>
      </c>
      <c r="Q969" s="3">
        <f t="shared" si="7"/>
        <v>0</v>
      </c>
      <c r="R969" s="2">
        <v>481.0</v>
      </c>
      <c r="S969" s="5">
        <f t="shared" si="8"/>
        <v>1</v>
      </c>
    </row>
    <row r="970">
      <c r="A970" s="2" t="s">
        <v>984</v>
      </c>
      <c r="B970" s="2">
        <v>124.0</v>
      </c>
      <c r="C970" s="2">
        <v>1443.0</v>
      </c>
      <c r="D970" s="2">
        <v>337.0</v>
      </c>
      <c r="E970" s="3">
        <f t="shared" si="1"/>
        <v>0.2554965883</v>
      </c>
      <c r="F970" s="2">
        <v>199.0</v>
      </c>
      <c r="G970" s="3">
        <f t="shared" si="2"/>
        <v>0.1508718726</v>
      </c>
      <c r="H970" s="2">
        <v>263.0</v>
      </c>
      <c r="I970" s="3">
        <f t="shared" si="3"/>
        <v>0.1993934799</v>
      </c>
      <c r="J970" s="2">
        <v>225.0</v>
      </c>
      <c r="K970" s="3">
        <f t="shared" si="4"/>
        <v>0.1705837756</v>
      </c>
      <c r="L970" s="2">
        <v>162.0</v>
      </c>
      <c r="M970" s="3">
        <f t="shared" si="5"/>
        <v>0.6159695817</v>
      </c>
      <c r="N970" s="2">
        <v>1566100.0</v>
      </c>
      <c r="O970" s="4">
        <f t="shared" si="6"/>
        <v>5954.752852</v>
      </c>
      <c r="P970" s="2">
        <v>0.0</v>
      </c>
      <c r="Q970" s="3">
        <f t="shared" si="7"/>
        <v>0</v>
      </c>
      <c r="R970" s="2">
        <v>124.0</v>
      </c>
      <c r="S970" s="5">
        <f t="shared" si="8"/>
        <v>1</v>
      </c>
    </row>
    <row r="971">
      <c r="A971" s="2" t="s">
        <v>985</v>
      </c>
      <c r="B971" s="2">
        <v>114.0</v>
      </c>
      <c r="C971" s="2">
        <v>1367.0</v>
      </c>
      <c r="D971" s="2">
        <v>381.0</v>
      </c>
      <c r="E971" s="3">
        <f t="shared" si="1"/>
        <v>0.3040702314</v>
      </c>
      <c r="F971" s="2">
        <v>189.0</v>
      </c>
      <c r="G971" s="3">
        <f t="shared" si="2"/>
        <v>0.1508379888</v>
      </c>
      <c r="H971" s="2">
        <v>300.0</v>
      </c>
      <c r="I971" s="3">
        <f t="shared" si="3"/>
        <v>0.2394253791</v>
      </c>
      <c r="J971" s="2">
        <v>305.0</v>
      </c>
      <c r="K971" s="3">
        <f t="shared" si="4"/>
        <v>0.2434158021</v>
      </c>
      <c r="L971" s="2">
        <v>171.0</v>
      </c>
      <c r="M971" s="3">
        <f t="shared" si="5"/>
        <v>0.57</v>
      </c>
      <c r="N971" s="2">
        <v>1698100.0</v>
      </c>
      <c r="O971" s="4">
        <f t="shared" si="6"/>
        <v>5660.333333</v>
      </c>
      <c r="P971" s="2">
        <v>0.0</v>
      </c>
      <c r="Q971" s="3">
        <f t="shared" si="7"/>
        <v>0</v>
      </c>
      <c r="R971" s="2">
        <v>114.0</v>
      </c>
      <c r="S971" s="5">
        <f t="shared" si="8"/>
        <v>1</v>
      </c>
    </row>
    <row r="972">
      <c r="A972" s="2" t="s">
        <v>986</v>
      </c>
      <c r="B972" s="2">
        <v>211.0</v>
      </c>
      <c r="C972" s="2">
        <v>2433.0</v>
      </c>
      <c r="D972" s="2">
        <v>847.0</v>
      </c>
      <c r="E972" s="3">
        <f t="shared" si="1"/>
        <v>0.3811881188</v>
      </c>
      <c r="F972" s="2">
        <v>335.0</v>
      </c>
      <c r="G972" s="3">
        <f t="shared" si="2"/>
        <v>0.1507650765</v>
      </c>
      <c r="H972" s="2">
        <v>430.0</v>
      </c>
      <c r="I972" s="3">
        <f t="shared" si="3"/>
        <v>0.1935193519</v>
      </c>
      <c r="J972" s="2">
        <v>341.0</v>
      </c>
      <c r="K972" s="3">
        <f t="shared" si="4"/>
        <v>0.1534653465</v>
      </c>
      <c r="L972" s="2">
        <v>255.0</v>
      </c>
      <c r="M972" s="3">
        <f t="shared" si="5"/>
        <v>0.5930232558</v>
      </c>
      <c r="N972" s="2">
        <v>2519300.0</v>
      </c>
      <c r="O972" s="4">
        <f t="shared" si="6"/>
        <v>5858.837209</v>
      </c>
      <c r="P972" s="2">
        <v>1.0</v>
      </c>
      <c r="Q972" s="3">
        <f t="shared" si="7"/>
        <v>0.004739336493</v>
      </c>
      <c r="R972" s="2">
        <v>204.0</v>
      </c>
      <c r="S972" s="5">
        <f t="shared" si="8"/>
        <v>0.9668246445</v>
      </c>
    </row>
    <row r="973">
      <c r="A973" s="2" t="s">
        <v>987</v>
      </c>
      <c r="B973" s="2">
        <v>63.0</v>
      </c>
      <c r="C973" s="2">
        <v>733.0</v>
      </c>
      <c r="D973" s="2">
        <v>270.0</v>
      </c>
      <c r="E973" s="3">
        <f t="shared" si="1"/>
        <v>0.4029850746</v>
      </c>
      <c r="F973" s="2">
        <v>101.0</v>
      </c>
      <c r="G973" s="3">
        <f t="shared" si="2"/>
        <v>0.1507462687</v>
      </c>
      <c r="H973" s="2">
        <v>135.0</v>
      </c>
      <c r="I973" s="3">
        <f t="shared" si="3"/>
        <v>0.2014925373</v>
      </c>
      <c r="J973" s="2">
        <v>105.0</v>
      </c>
      <c r="K973" s="3">
        <f t="shared" si="4"/>
        <v>0.1567164179</v>
      </c>
      <c r="L973" s="2">
        <v>82.0</v>
      </c>
      <c r="M973" s="3">
        <f t="shared" si="5"/>
        <v>0.6074074074</v>
      </c>
      <c r="N973" s="2">
        <v>786200.0</v>
      </c>
      <c r="O973" s="4">
        <f t="shared" si="6"/>
        <v>5823.703704</v>
      </c>
      <c r="P973" s="2">
        <v>0.0</v>
      </c>
      <c r="Q973" s="3">
        <f t="shared" si="7"/>
        <v>0</v>
      </c>
      <c r="R973" s="2">
        <v>63.0</v>
      </c>
      <c r="S973" s="5">
        <f t="shared" si="8"/>
        <v>1</v>
      </c>
    </row>
    <row r="974">
      <c r="A974" s="2" t="s">
        <v>988</v>
      </c>
      <c r="B974" s="2">
        <v>848.0</v>
      </c>
      <c r="C974" s="2">
        <v>9890.0</v>
      </c>
      <c r="D974" s="2">
        <v>2967.0</v>
      </c>
      <c r="E974" s="3">
        <f t="shared" si="1"/>
        <v>0.3281353683</v>
      </c>
      <c r="F974" s="2">
        <v>1363.0</v>
      </c>
      <c r="G974" s="3">
        <f t="shared" si="2"/>
        <v>0.1507409865</v>
      </c>
      <c r="H974" s="2">
        <v>1976.0</v>
      </c>
      <c r="I974" s="3">
        <f t="shared" si="3"/>
        <v>0.2185357222</v>
      </c>
      <c r="J974" s="2">
        <v>1675.0</v>
      </c>
      <c r="K974" s="3">
        <f t="shared" si="4"/>
        <v>0.1852466269</v>
      </c>
      <c r="L974" s="2">
        <v>1144.0</v>
      </c>
      <c r="M974" s="3">
        <f t="shared" si="5"/>
        <v>0.5789473684</v>
      </c>
      <c r="N974" s="2">
        <v>1.12329E7</v>
      </c>
      <c r="O974" s="4">
        <f t="shared" si="6"/>
        <v>5684.665992</v>
      </c>
      <c r="P974" s="2">
        <v>6.0</v>
      </c>
      <c r="Q974" s="3">
        <f t="shared" si="7"/>
        <v>0.007075471698</v>
      </c>
      <c r="R974" s="2">
        <v>848.0</v>
      </c>
      <c r="S974" s="5">
        <f t="shared" si="8"/>
        <v>1</v>
      </c>
    </row>
    <row r="975">
      <c r="A975" s="2" t="s">
        <v>989</v>
      </c>
      <c r="B975" s="2">
        <v>116.0</v>
      </c>
      <c r="C975" s="2">
        <v>1337.0</v>
      </c>
      <c r="D975" s="2">
        <v>240.0</v>
      </c>
      <c r="E975" s="3">
        <f t="shared" si="1"/>
        <v>0.1965601966</v>
      </c>
      <c r="F975" s="2">
        <v>184.0</v>
      </c>
      <c r="G975" s="3">
        <f t="shared" si="2"/>
        <v>0.1506961507</v>
      </c>
      <c r="H975" s="2">
        <v>237.0</v>
      </c>
      <c r="I975" s="3">
        <f t="shared" si="3"/>
        <v>0.1941031941</v>
      </c>
      <c r="J975" s="2">
        <v>181.0</v>
      </c>
      <c r="K975" s="3">
        <f t="shared" si="4"/>
        <v>0.1482391482</v>
      </c>
      <c r="L975" s="2">
        <v>133.0</v>
      </c>
      <c r="M975" s="3">
        <f t="shared" si="5"/>
        <v>0.5611814346</v>
      </c>
      <c r="N975" s="2">
        <v>1504300.0</v>
      </c>
      <c r="O975" s="4">
        <f t="shared" si="6"/>
        <v>6347.257384</v>
      </c>
      <c r="P975" s="2">
        <v>0.0</v>
      </c>
      <c r="Q975" s="3">
        <f t="shared" si="7"/>
        <v>0</v>
      </c>
      <c r="R975" s="2">
        <v>116.0</v>
      </c>
      <c r="S975" s="5">
        <f t="shared" si="8"/>
        <v>1</v>
      </c>
    </row>
    <row r="976">
      <c r="A976" s="2" t="s">
        <v>990</v>
      </c>
      <c r="B976" s="2">
        <v>7.0</v>
      </c>
      <c r="C976" s="2">
        <v>80.0</v>
      </c>
      <c r="D976" s="2">
        <v>18.0</v>
      </c>
      <c r="E976" s="3">
        <f t="shared" si="1"/>
        <v>0.2465753425</v>
      </c>
      <c r="F976" s="2">
        <v>11.0</v>
      </c>
      <c r="G976" s="3">
        <f t="shared" si="2"/>
        <v>0.1506849315</v>
      </c>
      <c r="H976" s="2">
        <v>15.0</v>
      </c>
      <c r="I976" s="3">
        <f t="shared" si="3"/>
        <v>0.2054794521</v>
      </c>
      <c r="J976" s="2">
        <v>15.0</v>
      </c>
      <c r="K976" s="3">
        <f t="shared" si="4"/>
        <v>0.2054794521</v>
      </c>
      <c r="L976" s="2">
        <v>7.0</v>
      </c>
      <c r="M976" s="3">
        <f t="shared" si="5"/>
        <v>0.4666666667</v>
      </c>
      <c r="N976" s="2">
        <v>75200.0</v>
      </c>
      <c r="O976" s="4">
        <f t="shared" si="6"/>
        <v>5013.333333</v>
      </c>
      <c r="P976" s="2">
        <v>0.0</v>
      </c>
      <c r="Q976" s="3">
        <f t="shared" si="7"/>
        <v>0</v>
      </c>
      <c r="R976" s="2">
        <v>7.0</v>
      </c>
      <c r="S976" s="5">
        <f t="shared" si="8"/>
        <v>1</v>
      </c>
    </row>
    <row r="977">
      <c r="A977" s="2" t="s">
        <v>991</v>
      </c>
      <c r="B977" s="2">
        <v>268.0</v>
      </c>
      <c r="C977" s="2">
        <v>3188.0</v>
      </c>
      <c r="D977" s="2">
        <v>803.0</v>
      </c>
      <c r="E977" s="3">
        <f t="shared" si="1"/>
        <v>0.275</v>
      </c>
      <c r="F977" s="2">
        <v>440.0</v>
      </c>
      <c r="G977" s="3">
        <f t="shared" si="2"/>
        <v>0.1506849315</v>
      </c>
      <c r="H977" s="2">
        <v>554.0</v>
      </c>
      <c r="I977" s="3">
        <f t="shared" si="3"/>
        <v>0.1897260274</v>
      </c>
      <c r="J977" s="2">
        <v>518.0</v>
      </c>
      <c r="K977" s="3">
        <f t="shared" si="4"/>
        <v>0.1773972603</v>
      </c>
      <c r="L977" s="2">
        <v>318.0</v>
      </c>
      <c r="M977" s="3">
        <f t="shared" si="5"/>
        <v>0.5740072202</v>
      </c>
      <c r="N977" s="2">
        <v>3680000.0</v>
      </c>
      <c r="O977" s="4">
        <f t="shared" si="6"/>
        <v>6642.599278</v>
      </c>
      <c r="P977" s="2">
        <v>1.0</v>
      </c>
      <c r="Q977" s="3">
        <f t="shared" si="7"/>
        <v>0.003731343284</v>
      </c>
      <c r="R977" s="2">
        <v>268.0</v>
      </c>
      <c r="S977" s="5">
        <f t="shared" si="8"/>
        <v>1</v>
      </c>
    </row>
    <row r="978">
      <c r="A978" s="2" t="s">
        <v>992</v>
      </c>
      <c r="B978" s="2">
        <v>376.0</v>
      </c>
      <c r="C978" s="2">
        <v>4378.0</v>
      </c>
      <c r="D978" s="2">
        <v>1608.0</v>
      </c>
      <c r="E978" s="3">
        <f t="shared" si="1"/>
        <v>0.4017991004</v>
      </c>
      <c r="F978" s="2">
        <v>603.0</v>
      </c>
      <c r="G978" s="3">
        <f t="shared" si="2"/>
        <v>0.1506746627</v>
      </c>
      <c r="H978" s="2">
        <v>839.0</v>
      </c>
      <c r="I978" s="3">
        <f t="shared" si="3"/>
        <v>0.2096451774</v>
      </c>
      <c r="J978" s="2">
        <v>620.0</v>
      </c>
      <c r="K978" s="3">
        <f t="shared" si="4"/>
        <v>0.1549225387</v>
      </c>
      <c r="L978" s="2">
        <v>510.0</v>
      </c>
      <c r="M978" s="3">
        <f t="shared" si="5"/>
        <v>0.6078665077</v>
      </c>
      <c r="N978" s="2">
        <v>4669900.0</v>
      </c>
      <c r="O978" s="4">
        <f t="shared" si="6"/>
        <v>5566.030989</v>
      </c>
      <c r="P978" s="2">
        <v>1.0</v>
      </c>
      <c r="Q978" s="3">
        <f t="shared" si="7"/>
        <v>0.002659574468</v>
      </c>
      <c r="R978" s="2">
        <v>159.0</v>
      </c>
      <c r="S978" s="5">
        <f t="shared" si="8"/>
        <v>0.4228723404</v>
      </c>
    </row>
    <row r="979">
      <c r="A979" s="2" t="s">
        <v>993</v>
      </c>
      <c r="B979" s="2">
        <v>322.0</v>
      </c>
      <c r="C979" s="2">
        <v>3761.0</v>
      </c>
      <c r="D979" s="2">
        <v>1251.0</v>
      </c>
      <c r="E979" s="3">
        <f t="shared" si="1"/>
        <v>0.3637685374</v>
      </c>
      <c r="F979" s="2">
        <v>518.0</v>
      </c>
      <c r="G979" s="3">
        <f t="shared" si="2"/>
        <v>0.1506251817</v>
      </c>
      <c r="H979" s="2">
        <v>718.0</v>
      </c>
      <c r="I979" s="3">
        <f t="shared" si="3"/>
        <v>0.2087816226</v>
      </c>
      <c r="J979" s="2">
        <v>586.0</v>
      </c>
      <c r="K979" s="3">
        <f t="shared" si="4"/>
        <v>0.1703983716</v>
      </c>
      <c r="L979" s="2">
        <v>412.0</v>
      </c>
      <c r="M979" s="3">
        <f t="shared" si="5"/>
        <v>0.573816156</v>
      </c>
      <c r="N979" s="2">
        <v>3967300.0</v>
      </c>
      <c r="O979" s="4">
        <f t="shared" si="6"/>
        <v>5525.487465</v>
      </c>
      <c r="P979" s="2">
        <v>0.0</v>
      </c>
      <c r="Q979" s="3">
        <f t="shared" si="7"/>
        <v>0</v>
      </c>
      <c r="R979" s="2">
        <v>0.0</v>
      </c>
      <c r="S979" s="5">
        <f t="shared" si="8"/>
        <v>0</v>
      </c>
    </row>
    <row r="980">
      <c r="A980" s="2" t="s">
        <v>994</v>
      </c>
      <c r="B980" s="2">
        <v>38.0</v>
      </c>
      <c r="C980" s="2">
        <v>443.0</v>
      </c>
      <c r="D980" s="2">
        <v>158.0</v>
      </c>
      <c r="E980" s="3">
        <f t="shared" si="1"/>
        <v>0.3901234568</v>
      </c>
      <c r="F980" s="2">
        <v>61.0</v>
      </c>
      <c r="G980" s="3">
        <f t="shared" si="2"/>
        <v>0.150617284</v>
      </c>
      <c r="H980" s="2">
        <v>85.0</v>
      </c>
      <c r="I980" s="3">
        <f t="shared" si="3"/>
        <v>0.2098765432</v>
      </c>
      <c r="J980" s="2">
        <v>81.0</v>
      </c>
      <c r="K980" s="3">
        <f t="shared" si="4"/>
        <v>0.2</v>
      </c>
      <c r="L980" s="2">
        <v>57.0</v>
      </c>
      <c r="M980" s="3">
        <f t="shared" si="5"/>
        <v>0.6705882353</v>
      </c>
      <c r="N980" s="2">
        <v>450300.0</v>
      </c>
      <c r="O980" s="4">
        <f t="shared" si="6"/>
        <v>5297.647059</v>
      </c>
      <c r="P980" s="2">
        <v>0.0</v>
      </c>
      <c r="Q980" s="3">
        <f t="shared" si="7"/>
        <v>0</v>
      </c>
      <c r="R980" s="2">
        <v>0.0</v>
      </c>
      <c r="S980" s="5">
        <f t="shared" si="8"/>
        <v>0</v>
      </c>
    </row>
    <row r="981">
      <c r="A981" s="2" t="s">
        <v>995</v>
      </c>
      <c r="B981" s="2">
        <v>141.0</v>
      </c>
      <c r="C981" s="2">
        <v>1635.0</v>
      </c>
      <c r="D981" s="2">
        <v>471.0</v>
      </c>
      <c r="E981" s="3">
        <f t="shared" si="1"/>
        <v>0.3152610442</v>
      </c>
      <c r="F981" s="2">
        <v>225.0</v>
      </c>
      <c r="G981" s="3">
        <f t="shared" si="2"/>
        <v>0.1506024096</v>
      </c>
      <c r="H981" s="2">
        <v>288.0</v>
      </c>
      <c r="I981" s="3">
        <f t="shared" si="3"/>
        <v>0.1927710843</v>
      </c>
      <c r="J981" s="2">
        <v>268.0</v>
      </c>
      <c r="K981" s="3">
        <f t="shared" si="4"/>
        <v>0.1793842035</v>
      </c>
      <c r="L981" s="2">
        <v>178.0</v>
      </c>
      <c r="M981" s="3">
        <f t="shared" si="5"/>
        <v>0.6180555556</v>
      </c>
      <c r="N981" s="2">
        <v>1654000.0</v>
      </c>
      <c r="O981" s="4">
        <f t="shared" si="6"/>
        <v>5743.055556</v>
      </c>
      <c r="P981" s="2">
        <v>0.0</v>
      </c>
      <c r="Q981" s="3">
        <f t="shared" si="7"/>
        <v>0</v>
      </c>
      <c r="R981" s="2">
        <v>141.0</v>
      </c>
      <c r="S981" s="5">
        <f t="shared" si="8"/>
        <v>1</v>
      </c>
    </row>
    <row r="982">
      <c r="A982" s="2" t="s">
        <v>996</v>
      </c>
      <c r="B982" s="2">
        <v>559.0</v>
      </c>
      <c r="C982" s="2">
        <v>6416.0</v>
      </c>
      <c r="D982" s="2">
        <v>2419.0</v>
      </c>
      <c r="E982" s="3">
        <f t="shared" si="1"/>
        <v>0.4130100734</v>
      </c>
      <c r="F982" s="2">
        <v>882.0</v>
      </c>
      <c r="G982" s="3">
        <f t="shared" si="2"/>
        <v>0.1505890388</v>
      </c>
      <c r="H982" s="2">
        <v>1290.0</v>
      </c>
      <c r="I982" s="3">
        <f t="shared" si="3"/>
        <v>0.2202492744</v>
      </c>
      <c r="J982" s="2">
        <v>956.0</v>
      </c>
      <c r="K982" s="3">
        <f t="shared" si="4"/>
        <v>0.1632234933</v>
      </c>
      <c r="L982" s="2">
        <v>779.0</v>
      </c>
      <c r="M982" s="3">
        <f t="shared" si="5"/>
        <v>0.603875969</v>
      </c>
      <c r="N982" s="2">
        <v>7250900.0</v>
      </c>
      <c r="O982" s="4">
        <f t="shared" si="6"/>
        <v>5620.852713</v>
      </c>
      <c r="P982" s="2">
        <v>2.0</v>
      </c>
      <c r="Q982" s="3">
        <f t="shared" si="7"/>
        <v>0.003577817531</v>
      </c>
      <c r="R982" s="2">
        <v>559.0</v>
      </c>
      <c r="S982" s="5">
        <f t="shared" si="8"/>
        <v>1</v>
      </c>
    </row>
    <row r="983">
      <c r="A983" s="2" t="s">
        <v>997</v>
      </c>
      <c r="B983" s="2">
        <v>2055.0</v>
      </c>
      <c r="C983" s="2">
        <v>23857.0</v>
      </c>
      <c r="D983" s="2">
        <v>9661.0</v>
      </c>
      <c r="E983" s="3">
        <f t="shared" si="1"/>
        <v>0.443124484</v>
      </c>
      <c r="F983" s="2">
        <v>3283.0</v>
      </c>
      <c r="G983" s="3">
        <f t="shared" si="2"/>
        <v>0.1505825154</v>
      </c>
      <c r="H983" s="2">
        <v>5232.0</v>
      </c>
      <c r="I983" s="3">
        <f t="shared" si="3"/>
        <v>0.2399779837</v>
      </c>
      <c r="J983" s="2">
        <v>3988.0</v>
      </c>
      <c r="K983" s="3">
        <f t="shared" si="4"/>
        <v>0.1829189983</v>
      </c>
      <c r="L983" s="2">
        <v>3162.0</v>
      </c>
      <c r="M983" s="3">
        <f t="shared" si="5"/>
        <v>0.6043577982</v>
      </c>
      <c r="N983" s="2">
        <v>2.83354E7</v>
      </c>
      <c r="O983" s="4">
        <f t="shared" si="6"/>
        <v>5415.787462</v>
      </c>
      <c r="P983" s="2">
        <v>7.0</v>
      </c>
      <c r="Q983" s="3">
        <f t="shared" si="7"/>
        <v>0.003406326034</v>
      </c>
      <c r="R983" s="2">
        <v>2055.0</v>
      </c>
      <c r="S983" s="5">
        <f t="shared" si="8"/>
        <v>1</v>
      </c>
    </row>
    <row r="984">
      <c r="A984" s="2" t="s">
        <v>998</v>
      </c>
      <c r="B984" s="2">
        <v>1132.0</v>
      </c>
      <c r="C984" s="2">
        <v>13345.0</v>
      </c>
      <c r="D984" s="2">
        <v>4562.0</v>
      </c>
      <c r="E984" s="3">
        <f t="shared" si="1"/>
        <v>0.3735363956</v>
      </c>
      <c r="F984" s="2">
        <v>1839.0</v>
      </c>
      <c r="G984" s="3">
        <f t="shared" si="2"/>
        <v>0.1505772537</v>
      </c>
      <c r="H984" s="2">
        <v>2647.0</v>
      </c>
      <c r="I984" s="3">
        <f t="shared" si="3"/>
        <v>0.2167362646</v>
      </c>
      <c r="J984" s="2">
        <v>2220.0</v>
      </c>
      <c r="K984" s="3">
        <f t="shared" si="4"/>
        <v>0.18177352</v>
      </c>
      <c r="L984" s="2">
        <v>1578.0</v>
      </c>
      <c r="M984" s="3">
        <f t="shared" si="5"/>
        <v>0.596146581</v>
      </c>
      <c r="N984" s="2">
        <v>1.49439E7</v>
      </c>
      <c r="O984" s="4">
        <f t="shared" si="6"/>
        <v>5645.598791</v>
      </c>
      <c r="P984" s="2">
        <v>0.0</v>
      </c>
      <c r="Q984" s="3">
        <f t="shared" si="7"/>
        <v>0</v>
      </c>
      <c r="R984" s="2">
        <v>1132.0</v>
      </c>
      <c r="S984" s="5">
        <f t="shared" si="8"/>
        <v>1</v>
      </c>
    </row>
    <row r="985">
      <c r="A985" s="2" t="s">
        <v>999</v>
      </c>
      <c r="B985" s="2">
        <v>203.0</v>
      </c>
      <c r="C985" s="2">
        <v>2375.0</v>
      </c>
      <c r="D985" s="2">
        <v>844.0</v>
      </c>
      <c r="E985" s="3">
        <f t="shared" si="1"/>
        <v>0.3885819521</v>
      </c>
      <c r="F985" s="2">
        <v>327.0</v>
      </c>
      <c r="G985" s="3">
        <f t="shared" si="2"/>
        <v>0.1505524862</v>
      </c>
      <c r="H985" s="2">
        <v>430.0</v>
      </c>
      <c r="I985" s="3">
        <f t="shared" si="3"/>
        <v>0.1979742173</v>
      </c>
      <c r="J985" s="2">
        <v>348.0</v>
      </c>
      <c r="K985" s="3">
        <f t="shared" si="4"/>
        <v>0.1602209945</v>
      </c>
      <c r="L985" s="2">
        <v>250.0</v>
      </c>
      <c r="M985" s="3">
        <f t="shared" si="5"/>
        <v>0.5813953488</v>
      </c>
      <c r="N985" s="2">
        <v>2370300.0</v>
      </c>
      <c r="O985" s="4">
        <f t="shared" si="6"/>
        <v>5512.325581</v>
      </c>
      <c r="P985" s="2">
        <v>0.0</v>
      </c>
      <c r="Q985" s="3">
        <f t="shared" si="7"/>
        <v>0</v>
      </c>
      <c r="R985" s="2">
        <v>203.0</v>
      </c>
      <c r="S985" s="5">
        <f t="shared" si="8"/>
        <v>1</v>
      </c>
    </row>
    <row r="986">
      <c r="A986" s="2" t="s">
        <v>1000</v>
      </c>
      <c r="B986" s="2">
        <v>8.0</v>
      </c>
      <c r="C986" s="2">
        <v>101.0</v>
      </c>
      <c r="D986" s="2">
        <v>32.0</v>
      </c>
      <c r="E986" s="3">
        <f t="shared" si="1"/>
        <v>0.3440860215</v>
      </c>
      <c r="F986" s="2">
        <v>14.0</v>
      </c>
      <c r="G986" s="3">
        <f t="shared" si="2"/>
        <v>0.1505376344</v>
      </c>
      <c r="H986" s="2">
        <v>16.0</v>
      </c>
      <c r="I986" s="3">
        <f t="shared" si="3"/>
        <v>0.1720430108</v>
      </c>
      <c r="J986" s="2">
        <v>24.0</v>
      </c>
      <c r="K986" s="3">
        <f t="shared" si="4"/>
        <v>0.2580645161</v>
      </c>
      <c r="L986" s="2">
        <v>7.0</v>
      </c>
      <c r="M986" s="3">
        <f t="shared" si="5"/>
        <v>0.4375</v>
      </c>
      <c r="N986" s="2">
        <v>101800.0</v>
      </c>
      <c r="O986" s="4">
        <f t="shared" si="6"/>
        <v>6362.5</v>
      </c>
      <c r="P986" s="2">
        <v>0.0</v>
      </c>
      <c r="Q986" s="3">
        <f t="shared" si="7"/>
        <v>0</v>
      </c>
      <c r="R986" s="2">
        <v>0.0</v>
      </c>
      <c r="S986" s="5">
        <f t="shared" si="8"/>
        <v>0</v>
      </c>
    </row>
    <row r="987">
      <c r="A987" s="2" t="s">
        <v>1001</v>
      </c>
      <c r="B987" s="2">
        <v>123.0</v>
      </c>
      <c r="C987" s="2">
        <v>1425.0</v>
      </c>
      <c r="D987" s="2">
        <v>317.0</v>
      </c>
      <c r="E987" s="3">
        <f t="shared" si="1"/>
        <v>0.2434715822</v>
      </c>
      <c r="F987" s="2">
        <v>196.0</v>
      </c>
      <c r="G987" s="3">
        <f t="shared" si="2"/>
        <v>0.1505376344</v>
      </c>
      <c r="H987" s="2">
        <v>284.0</v>
      </c>
      <c r="I987" s="3">
        <f t="shared" si="3"/>
        <v>0.2181259601</v>
      </c>
      <c r="J987" s="2">
        <v>212.0</v>
      </c>
      <c r="K987" s="3">
        <f t="shared" si="4"/>
        <v>0.1628264209</v>
      </c>
      <c r="L987" s="2">
        <v>182.0</v>
      </c>
      <c r="M987" s="3">
        <f t="shared" si="5"/>
        <v>0.6408450704</v>
      </c>
      <c r="N987" s="2">
        <v>1541100.0</v>
      </c>
      <c r="O987" s="4">
        <f t="shared" si="6"/>
        <v>5426.408451</v>
      </c>
      <c r="P987" s="2">
        <v>0.0</v>
      </c>
      <c r="Q987" s="3">
        <f t="shared" si="7"/>
        <v>0</v>
      </c>
      <c r="R987" s="2">
        <v>123.0</v>
      </c>
      <c r="S987" s="5">
        <f t="shared" si="8"/>
        <v>1</v>
      </c>
    </row>
    <row r="988">
      <c r="A988" s="2" t="s">
        <v>1002</v>
      </c>
      <c r="B988" s="2">
        <v>724.0</v>
      </c>
      <c r="C988" s="2">
        <v>8463.0</v>
      </c>
      <c r="D988" s="2">
        <v>2817.0</v>
      </c>
      <c r="E988" s="3">
        <f t="shared" si="1"/>
        <v>0.3640005169</v>
      </c>
      <c r="F988" s="2">
        <v>1165.0</v>
      </c>
      <c r="G988" s="3">
        <f t="shared" si="2"/>
        <v>0.150536245</v>
      </c>
      <c r="H988" s="2">
        <v>1741.0</v>
      </c>
      <c r="I988" s="3">
        <f t="shared" si="3"/>
        <v>0.2249644657</v>
      </c>
      <c r="J988" s="2">
        <v>1565.0</v>
      </c>
      <c r="K988" s="3">
        <f t="shared" si="4"/>
        <v>0.2022225094</v>
      </c>
      <c r="L988" s="2">
        <v>1008.0</v>
      </c>
      <c r="M988" s="3">
        <f t="shared" si="5"/>
        <v>0.5789775991</v>
      </c>
      <c r="N988" s="2">
        <v>1.04278E7</v>
      </c>
      <c r="O988" s="4">
        <f t="shared" si="6"/>
        <v>5989.546238</v>
      </c>
      <c r="P988" s="2">
        <v>1.0</v>
      </c>
      <c r="Q988" s="3">
        <f t="shared" si="7"/>
        <v>0.00138121547</v>
      </c>
      <c r="R988" s="2">
        <v>724.0</v>
      </c>
      <c r="S988" s="5">
        <f t="shared" si="8"/>
        <v>1</v>
      </c>
    </row>
    <row r="989">
      <c r="A989" s="2" t="s">
        <v>1003</v>
      </c>
      <c r="B989" s="2">
        <v>296.0</v>
      </c>
      <c r="C989" s="2">
        <v>3425.0</v>
      </c>
      <c r="D989" s="2">
        <v>1018.0</v>
      </c>
      <c r="E989" s="3">
        <f t="shared" si="1"/>
        <v>0.3253435602</v>
      </c>
      <c r="F989" s="2">
        <v>471.0</v>
      </c>
      <c r="G989" s="3">
        <f t="shared" si="2"/>
        <v>0.150527325</v>
      </c>
      <c r="H989" s="2">
        <v>634.0</v>
      </c>
      <c r="I989" s="3">
        <f t="shared" si="3"/>
        <v>0.2026206456</v>
      </c>
      <c r="J989" s="2">
        <v>457.0</v>
      </c>
      <c r="K989" s="3">
        <f t="shared" si="4"/>
        <v>0.1460530521</v>
      </c>
      <c r="L989" s="2">
        <v>393.0</v>
      </c>
      <c r="M989" s="3">
        <f t="shared" si="5"/>
        <v>0.619873817</v>
      </c>
      <c r="N989" s="2">
        <v>3530200.0</v>
      </c>
      <c r="O989" s="4">
        <f t="shared" si="6"/>
        <v>5568.138801</v>
      </c>
      <c r="P989" s="2">
        <v>0.0</v>
      </c>
      <c r="Q989" s="3">
        <f t="shared" si="7"/>
        <v>0</v>
      </c>
      <c r="R989" s="2">
        <v>0.0</v>
      </c>
      <c r="S989" s="5">
        <f t="shared" si="8"/>
        <v>0</v>
      </c>
    </row>
    <row r="990">
      <c r="A990" s="2" t="s">
        <v>1004</v>
      </c>
      <c r="B990" s="2">
        <v>260.0</v>
      </c>
      <c r="C990" s="2">
        <v>2971.0</v>
      </c>
      <c r="D990" s="2">
        <v>987.0</v>
      </c>
      <c r="E990" s="3">
        <f t="shared" si="1"/>
        <v>0.364072298</v>
      </c>
      <c r="F990" s="2">
        <v>408.0</v>
      </c>
      <c r="G990" s="3">
        <f t="shared" si="2"/>
        <v>0.1504979712</v>
      </c>
      <c r="H990" s="2">
        <v>599.0</v>
      </c>
      <c r="I990" s="3">
        <f t="shared" si="3"/>
        <v>0.2209516783</v>
      </c>
      <c r="J990" s="2">
        <v>513.0</v>
      </c>
      <c r="K990" s="3">
        <f t="shared" si="4"/>
        <v>0.1892290668</v>
      </c>
      <c r="L990" s="2">
        <v>348.0</v>
      </c>
      <c r="M990" s="3">
        <f t="shared" si="5"/>
        <v>0.5809682805</v>
      </c>
      <c r="N990" s="2">
        <v>3128500.0</v>
      </c>
      <c r="O990" s="4">
        <f t="shared" si="6"/>
        <v>5222.871452</v>
      </c>
      <c r="P990" s="2">
        <v>0.0</v>
      </c>
      <c r="Q990" s="3">
        <f t="shared" si="7"/>
        <v>0</v>
      </c>
      <c r="R990" s="2">
        <v>260.0</v>
      </c>
      <c r="S990" s="5">
        <f t="shared" si="8"/>
        <v>1</v>
      </c>
    </row>
    <row r="991">
      <c r="A991" s="2" t="s">
        <v>1005</v>
      </c>
      <c r="B991" s="2">
        <v>18.0</v>
      </c>
      <c r="C991" s="2">
        <v>224.0</v>
      </c>
      <c r="D991" s="2">
        <v>80.0</v>
      </c>
      <c r="E991" s="3">
        <f t="shared" si="1"/>
        <v>0.3883495146</v>
      </c>
      <c r="F991" s="2">
        <v>31.0</v>
      </c>
      <c r="G991" s="3">
        <f t="shared" si="2"/>
        <v>0.1504854369</v>
      </c>
      <c r="H991" s="2">
        <v>32.0</v>
      </c>
      <c r="I991" s="3">
        <f t="shared" si="3"/>
        <v>0.1553398058</v>
      </c>
      <c r="J991" s="2">
        <v>18.0</v>
      </c>
      <c r="K991" s="3">
        <f t="shared" si="4"/>
        <v>0.08737864078</v>
      </c>
      <c r="L991" s="2">
        <v>23.0</v>
      </c>
      <c r="M991" s="3">
        <f t="shared" si="5"/>
        <v>0.71875</v>
      </c>
      <c r="N991" s="2">
        <v>156600.0</v>
      </c>
      <c r="O991" s="4">
        <f t="shared" si="6"/>
        <v>4893.75</v>
      </c>
      <c r="P991" s="2">
        <v>0.0</v>
      </c>
      <c r="Q991" s="3">
        <f t="shared" si="7"/>
        <v>0</v>
      </c>
      <c r="R991" s="2">
        <v>1.0</v>
      </c>
      <c r="S991" s="5">
        <f t="shared" si="8"/>
        <v>0.05555555556</v>
      </c>
    </row>
    <row r="992">
      <c r="A992" s="2" t="s">
        <v>1006</v>
      </c>
      <c r="B992" s="2">
        <v>229.0</v>
      </c>
      <c r="C992" s="2">
        <v>2721.0</v>
      </c>
      <c r="D992" s="2">
        <v>1047.0</v>
      </c>
      <c r="E992" s="3">
        <f t="shared" si="1"/>
        <v>0.4201444623</v>
      </c>
      <c r="F992" s="2">
        <v>375.0</v>
      </c>
      <c r="G992" s="3">
        <f t="shared" si="2"/>
        <v>0.1504815409</v>
      </c>
      <c r="H992" s="2">
        <v>552.0</v>
      </c>
      <c r="I992" s="3">
        <f t="shared" si="3"/>
        <v>0.2215088283</v>
      </c>
      <c r="J992" s="2">
        <v>388.0</v>
      </c>
      <c r="K992" s="3">
        <f t="shared" si="4"/>
        <v>0.1556982343</v>
      </c>
      <c r="L992" s="2">
        <v>339.0</v>
      </c>
      <c r="M992" s="3">
        <f t="shared" si="5"/>
        <v>0.6141304348</v>
      </c>
      <c r="N992" s="2">
        <v>3097700.0</v>
      </c>
      <c r="O992" s="4">
        <f t="shared" si="6"/>
        <v>5611.775362</v>
      </c>
      <c r="P992" s="2">
        <v>2.0</v>
      </c>
      <c r="Q992" s="3">
        <f t="shared" si="7"/>
        <v>0.008733624454</v>
      </c>
      <c r="R992" s="2">
        <v>0.0</v>
      </c>
      <c r="S992" s="5">
        <f t="shared" si="8"/>
        <v>0</v>
      </c>
    </row>
    <row r="993">
      <c r="A993" s="2" t="s">
        <v>1007</v>
      </c>
      <c r="B993" s="2">
        <v>233.0</v>
      </c>
      <c r="C993" s="2">
        <v>2765.0</v>
      </c>
      <c r="D993" s="2">
        <v>864.0</v>
      </c>
      <c r="E993" s="3">
        <f t="shared" si="1"/>
        <v>0.3412322275</v>
      </c>
      <c r="F993" s="2">
        <v>381.0</v>
      </c>
      <c r="G993" s="3">
        <f t="shared" si="2"/>
        <v>0.1504739336</v>
      </c>
      <c r="H993" s="2">
        <v>521.0</v>
      </c>
      <c r="I993" s="3">
        <f t="shared" si="3"/>
        <v>0.2057661927</v>
      </c>
      <c r="J993" s="2">
        <v>515.0</v>
      </c>
      <c r="K993" s="3">
        <f t="shared" si="4"/>
        <v>0.2033965245</v>
      </c>
      <c r="L993" s="2">
        <v>320.0</v>
      </c>
      <c r="M993" s="3">
        <f t="shared" si="5"/>
        <v>0.6142034549</v>
      </c>
      <c r="N993" s="2">
        <v>2911900.0</v>
      </c>
      <c r="O993" s="4">
        <f t="shared" si="6"/>
        <v>5589.059501</v>
      </c>
      <c r="P993" s="2">
        <v>0.0</v>
      </c>
      <c r="Q993" s="3">
        <f t="shared" si="7"/>
        <v>0</v>
      </c>
      <c r="R993" s="2">
        <v>233.0</v>
      </c>
      <c r="S993" s="5">
        <f t="shared" si="8"/>
        <v>1</v>
      </c>
    </row>
    <row r="994">
      <c r="A994" s="2" t="s">
        <v>1008</v>
      </c>
      <c r="B994" s="2">
        <v>189.0</v>
      </c>
      <c r="C994" s="2">
        <v>2183.0</v>
      </c>
      <c r="D994" s="2">
        <v>827.0</v>
      </c>
      <c r="E994" s="3">
        <f t="shared" si="1"/>
        <v>0.4147442327</v>
      </c>
      <c r="F994" s="2">
        <v>300.0</v>
      </c>
      <c r="G994" s="3">
        <f t="shared" si="2"/>
        <v>0.1504513541</v>
      </c>
      <c r="H994" s="2">
        <v>434.0</v>
      </c>
      <c r="I994" s="3">
        <f t="shared" si="3"/>
        <v>0.2176529589</v>
      </c>
      <c r="J994" s="2">
        <v>362.0</v>
      </c>
      <c r="K994" s="3">
        <f t="shared" si="4"/>
        <v>0.1815446339</v>
      </c>
      <c r="L994" s="2">
        <v>283.0</v>
      </c>
      <c r="M994" s="3">
        <f t="shared" si="5"/>
        <v>0.6520737327</v>
      </c>
      <c r="N994" s="2">
        <v>2268300.0</v>
      </c>
      <c r="O994" s="4">
        <f t="shared" si="6"/>
        <v>5226.497696</v>
      </c>
      <c r="P994" s="2">
        <v>1.0</v>
      </c>
      <c r="Q994" s="3">
        <f t="shared" si="7"/>
        <v>0.005291005291</v>
      </c>
      <c r="R994" s="2">
        <v>0.0</v>
      </c>
      <c r="S994" s="5">
        <f t="shared" si="8"/>
        <v>0</v>
      </c>
    </row>
    <row r="995">
      <c r="A995" s="2" t="s">
        <v>1009</v>
      </c>
      <c r="B995" s="2">
        <v>93.0</v>
      </c>
      <c r="C995" s="2">
        <v>1110.0</v>
      </c>
      <c r="D995" s="2">
        <v>400.0</v>
      </c>
      <c r="E995" s="3">
        <f t="shared" si="1"/>
        <v>0.3933136676</v>
      </c>
      <c r="F995" s="2">
        <v>153.0</v>
      </c>
      <c r="G995" s="3">
        <f t="shared" si="2"/>
        <v>0.1504424779</v>
      </c>
      <c r="H995" s="2">
        <v>206.0</v>
      </c>
      <c r="I995" s="3">
        <f t="shared" si="3"/>
        <v>0.2025565388</v>
      </c>
      <c r="J995" s="2">
        <v>141.0</v>
      </c>
      <c r="K995" s="3">
        <f t="shared" si="4"/>
        <v>0.1386430678</v>
      </c>
      <c r="L995" s="2">
        <v>116.0</v>
      </c>
      <c r="M995" s="3">
        <f t="shared" si="5"/>
        <v>0.5631067961</v>
      </c>
      <c r="N995" s="2">
        <v>1019700.0</v>
      </c>
      <c r="O995" s="4">
        <f t="shared" si="6"/>
        <v>4950</v>
      </c>
      <c r="P995" s="2">
        <v>0.0</v>
      </c>
      <c r="Q995" s="3">
        <f t="shared" si="7"/>
        <v>0</v>
      </c>
      <c r="R995" s="2">
        <v>93.0</v>
      </c>
      <c r="S995" s="5">
        <f t="shared" si="8"/>
        <v>1</v>
      </c>
    </row>
    <row r="996">
      <c r="A996" s="2" t="s">
        <v>1010</v>
      </c>
      <c r="B996" s="2">
        <v>414.0</v>
      </c>
      <c r="C996" s="2">
        <v>4775.0</v>
      </c>
      <c r="D996" s="2">
        <v>1650.0</v>
      </c>
      <c r="E996" s="3">
        <f t="shared" si="1"/>
        <v>0.3783535886</v>
      </c>
      <c r="F996" s="2">
        <v>656.0</v>
      </c>
      <c r="G996" s="3">
        <f t="shared" si="2"/>
        <v>0.1504242146</v>
      </c>
      <c r="H996" s="2">
        <v>927.0</v>
      </c>
      <c r="I996" s="3">
        <f t="shared" si="3"/>
        <v>0.2125659252</v>
      </c>
      <c r="J996" s="2">
        <v>870.0</v>
      </c>
      <c r="K996" s="3">
        <f t="shared" si="4"/>
        <v>0.1994955285</v>
      </c>
      <c r="L996" s="2">
        <v>530.0</v>
      </c>
      <c r="M996" s="3">
        <f t="shared" si="5"/>
        <v>0.5717367853</v>
      </c>
      <c r="N996" s="2">
        <v>5633100.0</v>
      </c>
      <c r="O996" s="4">
        <f t="shared" si="6"/>
        <v>6076.699029</v>
      </c>
      <c r="P996" s="2">
        <v>2.0</v>
      </c>
      <c r="Q996" s="3">
        <f t="shared" si="7"/>
        <v>0.004830917874</v>
      </c>
      <c r="R996" s="2">
        <v>414.0</v>
      </c>
      <c r="S996" s="5">
        <f t="shared" si="8"/>
        <v>1</v>
      </c>
    </row>
    <row r="997">
      <c r="A997" s="2" t="s">
        <v>1011</v>
      </c>
      <c r="B997" s="2">
        <v>245.0</v>
      </c>
      <c r="C997" s="2">
        <v>2891.0</v>
      </c>
      <c r="D997" s="2">
        <v>843.0</v>
      </c>
      <c r="E997" s="3">
        <f t="shared" si="1"/>
        <v>0.3185941043</v>
      </c>
      <c r="F997" s="2">
        <v>398.0</v>
      </c>
      <c r="G997" s="3">
        <f t="shared" si="2"/>
        <v>0.1504157218</v>
      </c>
      <c r="H997" s="2">
        <v>556.0</v>
      </c>
      <c r="I997" s="3">
        <f t="shared" si="3"/>
        <v>0.2101284958</v>
      </c>
      <c r="J997" s="2">
        <v>427.0</v>
      </c>
      <c r="K997" s="3">
        <f t="shared" si="4"/>
        <v>0.1613756614</v>
      </c>
      <c r="L997" s="2">
        <v>325.0</v>
      </c>
      <c r="M997" s="3">
        <f t="shared" si="5"/>
        <v>0.5845323741</v>
      </c>
      <c r="N997" s="2">
        <v>3013800.0</v>
      </c>
      <c r="O997" s="4">
        <f t="shared" si="6"/>
        <v>5420.503597</v>
      </c>
      <c r="P997" s="2">
        <v>0.0</v>
      </c>
      <c r="Q997" s="3">
        <f t="shared" si="7"/>
        <v>0</v>
      </c>
      <c r="R997" s="2">
        <v>245.0</v>
      </c>
      <c r="S997" s="5">
        <f t="shared" si="8"/>
        <v>1</v>
      </c>
    </row>
    <row r="998">
      <c r="A998" s="2" t="s">
        <v>1012</v>
      </c>
      <c r="B998" s="2">
        <v>189.0</v>
      </c>
      <c r="C998" s="2">
        <v>2250.0</v>
      </c>
      <c r="D998" s="2">
        <v>848.0</v>
      </c>
      <c r="E998" s="3">
        <f t="shared" si="1"/>
        <v>0.4114507521</v>
      </c>
      <c r="F998" s="2">
        <v>310.0</v>
      </c>
      <c r="G998" s="3">
        <f t="shared" si="2"/>
        <v>0.1504124212</v>
      </c>
      <c r="H998" s="2">
        <v>431.0</v>
      </c>
      <c r="I998" s="3">
        <f t="shared" si="3"/>
        <v>0.2091217855</v>
      </c>
      <c r="J998" s="2">
        <v>336.0</v>
      </c>
      <c r="K998" s="3">
        <f t="shared" si="4"/>
        <v>0.1630276565</v>
      </c>
      <c r="L998" s="2">
        <v>246.0</v>
      </c>
      <c r="M998" s="3">
        <f t="shared" si="5"/>
        <v>0.5707656613</v>
      </c>
      <c r="N998" s="2">
        <v>2368200.0</v>
      </c>
      <c r="O998" s="4">
        <f t="shared" si="6"/>
        <v>5494.663573</v>
      </c>
      <c r="P998" s="2">
        <v>0.0</v>
      </c>
      <c r="Q998" s="3">
        <f t="shared" si="7"/>
        <v>0</v>
      </c>
      <c r="R998" s="2">
        <v>189.0</v>
      </c>
      <c r="S998" s="5">
        <f t="shared" si="8"/>
        <v>1</v>
      </c>
    </row>
    <row r="999">
      <c r="A999" s="2" t="s">
        <v>1013</v>
      </c>
      <c r="B999" s="2">
        <v>45.0</v>
      </c>
      <c r="C999" s="2">
        <v>557.0</v>
      </c>
      <c r="D999" s="2">
        <v>231.0</v>
      </c>
      <c r="E999" s="3">
        <f t="shared" si="1"/>
        <v>0.451171875</v>
      </c>
      <c r="F999" s="2">
        <v>77.0</v>
      </c>
      <c r="G999" s="3">
        <f t="shared" si="2"/>
        <v>0.150390625</v>
      </c>
      <c r="H999" s="2">
        <v>109.0</v>
      </c>
      <c r="I999" s="3">
        <f t="shared" si="3"/>
        <v>0.212890625</v>
      </c>
      <c r="J999" s="2">
        <v>88.0</v>
      </c>
      <c r="K999" s="3">
        <f t="shared" si="4"/>
        <v>0.171875</v>
      </c>
      <c r="L999" s="2">
        <v>67.0</v>
      </c>
      <c r="M999" s="3">
        <f t="shared" si="5"/>
        <v>0.6146788991</v>
      </c>
      <c r="N999" s="2">
        <v>551600.0</v>
      </c>
      <c r="O999" s="4">
        <f t="shared" si="6"/>
        <v>5060.550459</v>
      </c>
      <c r="P999" s="2">
        <v>0.0</v>
      </c>
      <c r="Q999" s="3">
        <f t="shared" si="7"/>
        <v>0</v>
      </c>
      <c r="R999" s="2">
        <v>45.0</v>
      </c>
      <c r="S999" s="5">
        <f t="shared" si="8"/>
        <v>1</v>
      </c>
    </row>
    <row r="1000">
      <c r="A1000" s="2" t="s">
        <v>1014</v>
      </c>
      <c r="B1000" s="2">
        <v>272.0</v>
      </c>
      <c r="C1000" s="2">
        <v>3138.0</v>
      </c>
      <c r="D1000" s="2">
        <v>1152.0</v>
      </c>
      <c r="E1000" s="3">
        <f t="shared" si="1"/>
        <v>0.4019539428</v>
      </c>
      <c r="F1000" s="2">
        <v>431.0</v>
      </c>
      <c r="G1000" s="3">
        <f t="shared" si="2"/>
        <v>0.1503838102</v>
      </c>
      <c r="H1000" s="2">
        <v>610.0</v>
      </c>
      <c r="I1000" s="3">
        <f t="shared" si="3"/>
        <v>0.2128401954</v>
      </c>
      <c r="J1000" s="2">
        <v>430.0</v>
      </c>
      <c r="K1000" s="3">
        <f t="shared" si="4"/>
        <v>0.1500348918</v>
      </c>
      <c r="L1000" s="2">
        <v>381.0</v>
      </c>
      <c r="M1000" s="3">
        <f t="shared" si="5"/>
        <v>0.6245901639</v>
      </c>
      <c r="N1000" s="2">
        <v>3507700.0</v>
      </c>
      <c r="O1000" s="4">
        <f t="shared" si="6"/>
        <v>5750.327869</v>
      </c>
      <c r="P1000" s="2">
        <v>2.0</v>
      </c>
      <c r="Q1000" s="3">
        <f t="shared" si="7"/>
        <v>0.007352941176</v>
      </c>
      <c r="R1000" s="2">
        <v>272.0</v>
      </c>
      <c r="S1000" s="5">
        <f t="shared" si="8"/>
        <v>1</v>
      </c>
    </row>
    <row r="1001">
      <c r="A1001" s="2" t="s">
        <v>1015</v>
      </c>
      <c r="B1001" s="2">
        <v>40.0</v>
      </c>
      <c r="C1001" s="2">
        <v>459.0</v>
      </c>
      <c r="D1001" s="2">
        <v>140.0</v>
      </c>
      <c r="E1001" s="3">
        <f t="shared" si="1"/>
        <v>0.3341288783</v>
      </c>
      <c r="F1001" s="2">
        <v>63.0</v>
      </c>
      <c r="G1001" s="3">
        <f t="shared" si="2"/>
        <v>0.1503579952</v>
      </c>
      <c r="H1001" s="2">
        <v>87.0</v>
      </c>
      <c r="I1001" s="3">
        <f t="shared" si="3"/>
        <v>0.2076372315</v>
      </c>
      <c r="J1001" s="2">
        <v>73.0</v>
      </c>
      <c r="K1001" s="3">
        <f t="shared" si="4"/>
        <v>0.1742243437</v>
      </c>
      <c r="L1001" s="2">
        <v>53.0</v>
      </c>
      <c r="M1001" s="3">
        <f t="shared" si="5"/>
        <v>0.6091954023</v>
      </c>
      <c r="N1001" s="2">
        <v>471500.0</v>
      </c>
      <c r="O1001" s="4">
        <f t="shared" si="6"/>
        <v>5419.54023</v>
      </c>
      <c r="P1001" s="2">
        <v>0.0</v>
      </c>
      <c r="Q1001" s="3">
        <f t="shared" si="7"/>
        <v>0</v>
      </c>
      <c r="R1001" s="2">
        <v>40.0</v>
      </c>
      <c r="S1001" s="5">
        <f t="shared" si="8"/>
        <v>1</v>
      </c>
    </row>
    <row r="1002">
      <c r="A1002" s="2" t="s">
        <v>1016</v>
      </c>
      <c r="B1002" s="2">
        <v>597.0</v>
      </c>
      <c r="C1002" s="2">
        <v>6942.0</v>
      </c>
      <c r="D1002" s="2">
        <v>2035.0</v>
      </c>
      <c r="E1002" s="3">
        <f t="shared" si="1"/>
        <v>0.3207249803</v>
      </c>
      <c r="F1002" s="2">
        <v>954.0</v>
      </c>
      <c r="G1002" s="3">
        <f t="shared" si="2"/>
        <v>0.1503546099</v>
      </c>
      <c r="H1002" s="2">
        <v>1377.0</v>
      </c>
      <c r="I1002" s="3">
        <f t="shared" si="3"/>
        <v>0.2170212766</v>
      </c>
      <c r="J1002" s="2">
        <v>1341.0</v>
      </c>
      <c r="K1002" s="3">
        <f t="shared" si="4"/>
        <v>0.2113475177</v>
      </c>
      <c r="L1002" s="2">
        <v>811.0</v>
      </c>
      <c r="M1002" s="3">
        <f t="shared" si="5"/>
        <v>0.5889615105</v>
      </c>
      <c r="N1002" s="2">
        <v>7719400.0</v>
      </c>
      <c r="O1002" s="4">
        <f t="shared" si="6"/>
        <v>5605.954975</v>
      </c>
      <c r="P1002" s="2">
        <v>1.0</v>
      </c>
      <c r="Q1002" s="3">
        <f t="shared" si="7"/>
        <v>0.001675041876</v>
      </c>
      <c r="R1002" s="2">
        <v>597.0</v>
      </c>
      <c r="S1002" s="5">
        <f t="shared" si="8"/>
        <v>1</v>
      </c>
    </row>
    <row r="1003">
      <c r="A1003" s="2" t="s">
        <v>1017</v>
      </c>
      <c r="B1003" s="2">
        <v>159.0</v>
      </c>
      <c r="C1003" s="2">
        <v>1855.0</v>
      </c>
      <c r="D1003" s="2">
        <v>605.0</v>
      </c>
      <c r="E1003" s="3">
        <f t="shared" si="1"/>
        <v>0.3567216981</v>
      </c>
      <c r="F1003" s="2">
        <v>255.0</v>
      </c>
      <c r="G1003" s="3">
        <f t="shared" si="2"/>
        <v>0.1503537736</v>
      </c>
      <c r="H1003" s="2">
        <v>342.0</v>
      </c>
      <c r="I1003" s="3">
        <f t="shared" si="3"/>
        <v>0.2016509434</v>
      </c>
      <c r="J1003" s="2">
        <v>309.0</v>
      </c>
      <c r="K1003" s="3">
        <f t="shared" si="4"/>
        <v>0.1821933962</v>
      </c>
      <c r="L1003" s="2">
        <v>209.0</v>
      </c>
      <c r="M1003" s="3">
        <f t="shared" si="5"/>
        <v>0.6111111111</v>
      </c>
      <c r="N1003" s="2">
        <v>2012200.0</v>
      </c>
      <c r="O1003" s="4">
        <f t="shared" si="6"/>
        <v>5883.625731</v>
      </c>
      <c r="P1003" s="2">
        <v>0.0</v>
      </c>
      <c r="Q1003" s="3">
        <f t="shared" si="7"/>
        <v>0</v>
      </c>
      <c r="R1003" s="2">
        <v>0.0</v>
      </c>
      <c r="S1003" s="5">
        <f t="shared" si="8"/>
        <v>0</v>
      </c>
    </row>
    <row r="1004">
      <c r="A1004" s="2" t="s">
        <v>1018</v>
      </c>
      <c r="B1004" s="2">
        <v>1784.0</v>
      </c>
      <c r="C1004" s="2">
        <v>20693.0</v>
      </c>
      <c r="D1004" s="2">
        <v>7170.0</v>
      </c>
      <c r="E1004" s="3">
        <f t="shared" si="1"/>
        <v>0.3791845153</v>
      </c>
      <c r="F1004" s="2">
        <v>2843.0</v>
      </c>
      <c r="G1004" s="3">
        <f t="shared" si="2"/>
        <v>0.1503516844</v>
      </c>
      <c r="H1004" s="2">
        <v>3962.0</v>
      </c>
      <c r="I1004" s="3">
        <f t="shared" si="3"/>
        <v>0.2095298535</v>
      </c>
      <c r="J1004" s="2">
        <v>3648.0</v>
      </c>
      <c r="K1004" s="3">
        <f t="shared" si="4"/>
        <v>0.1929240044</v>
      </c>
      <c r="L1004" s="2">
        <v>2370.0</v>
      </c>
      <c r="M1004" s="3">
        <f t="shared" si="5"/>
        <v>0.598182736</v>
      </c>
      <c r="N1004" s="2">
        <v>2.36929E7</v>
      </c>
      <c r="O1004" s="4">
        <f t="shared" si="6"/>
        <v>5980.035336</v>
      </c>
      <c r="P1004" s="2">
        <v>3.0</v>
      </c>
      <c r="Q1004" s="3">
        <f t="shared" si="7"/>
        <v>0.00168161435</v>
      </c>
      <c r="R1004" s="2">
        <v>0.0</v>
      </c>
      <c r="S1004" s="5">
        <f t="shared" si="8"/>
        <v>0</v>
      </c>
    </row>
    <row r="1005">
      <c r="A1005" s="2" t="s">
        <v>1019</v>
      </c>
      <c r="B1005" s="2">
        <v>375.0</v>
      </c>
      <c r="C1005" s="2">
        <v>4333.0</v>
      </c>
      <c r="D1005" s="2">
        <v>1200.0</v>
      </c>
      <c r="E1005" s="3">
        <f t="shared" si="1"/>
        <v>0.303183426</v>
      </c>
      <c r="F1005" s="2">
        <v>595.0</v>
      </c>
      <c r="G1005" s="3">
        <f t="shared" si="2"/>
        <v>0.1503284487</v>
      </c>
      <c r="H1005" s="2">
        <v>793.0</v>
      </c>
      <c r="I1005" s="3">
        <f t="shared" si="3"/>
        <v>0.200353714</v>
      </c>
      <c r="J1005" s="2">
        <v>623.0</v>
      </c>
      <c r="K1005" s="3">
        <f t="shared" si="4"/>
        <v>0.1574027287</v>
      </c>
      <c r="L1005" s="2">
        <v>461.0</v>
      </c>
      <c r="M1005" s="3">
        <f t="shared" si="5"/>
        <v>0.5813366961</v>
      </c>
      <c r="N1005" s="2">
        <v>4832500.0</v>
      </c>
      <c r="O1005" s="4">
        <f t="shared" si="6"/>
        <v>6093.947037</v>
      </c>
      <c r="P1005" s="2">
        <v>0.0</v>
      </c>
      <c r="Q1005" s="3">
        <f t="shared" si="7"/>
        <v>0</v>
      </c>
      <c r="R1005" s="2">
        <v>375.0</v>
      </c>
      <c r="S1005" s="5">
        <f t="shared" si="8"/>
        <v>1</v>
      </c>
    </row>
    <row r="1006">
      <c r="A1006" s="2" t="s">
        <v>1020</v>
      </c>
      <c r="B1006" s="2">
        <v>73.0</v>
      </c>
      <c r="C1006" s="2">
        <v>858.0</v>
      </c>
      <c r="D1006" s="2">
        <v>227.0</v>
      </c>
      <c r="E1006" s="3">
        <f t="shared" si="1"/>
        <v>0.2891719745</v>
      </c>
      <c r="F1006" s="2">
        <v>118.0</v>
      </c>
      <c r="G1006" s="3">
        <f t="shared" si="2"/>
        <v>0.1503184713</v>
      </c>
      <c r="H1006" s="2">
        <v>167.0</v>
      </c>
      <c r="I1006" s="3">
        <f t="shared" si="3"/>
        <v>0.2127388535</v>
      </c>
      <c r="J1006" s="2">
        <v>154.0</v>
      </c>
      <c r="K1006" s="3">
        <f t="shared" si="4"/>
        <v>0.1961783439</v>
      </c>
      <c r="L1006" s="2">
        <v>103.0</v>
      </c>
      <c r="M1006" s="3">
        <f t="shared" si="5"/>
        <v>0.6167664671</v>
      </c>
      <c r="N1006" s="2">
        <v>886300.0</v>
      </c>
      <c r="O1006" s="4">
        <f t="shared" si="6"/>
        <v>5307.185629</v>
      </c>
      <c r="P1006" s="2">
        <v>0.0</v>
      </c>
      <c r="Q1006" s="3">
        <f t="shared" si="7"/>
        <v>0</v>
      </c>
      <c r="R1006" s="2">
        <v>0.0</v>
      </c>
      <c r="S1006" s="5">
        <f t="shared" si="8"/>
        <v>0</v>
      </c>
    </row>
    <row r="1007">
      <c r="A1007" s="2" t="s">
        <v>1021</v>
      </c>
      <c r="B1007" s="2">
        <v>106.0</v>
      </c>
      <c r="C1007" s="2">
        <v>1257.0</v>
      </c>
      <c r="D1007" s="2">
        <v>415.0</v>
      </c>
      <c r="E1007" s="3">
        <f t="shared" si="1"/>
        <v>0.3605560382</v>
      </c>
      <c r="F1007" s="2">
        <v>173.0</v>
      </c>
      <c r="G1007" s="3">
        <f t="shared" si="2"/>
        <v>0.1503040834</v>
      </c>
      <c r="H1007" s="2">
        <v>232.0</v>
      </c>
      <c r="I1007" s="3">
        <f t="shared" si="3"/>
        <v>0.2015638575</v>
      </c>
      <c r="J1007" s="2">
        <v>218.0</v>
      </c>
      <c r="K1007" s="3">
        <f t="shared" si="4"/>
        <v>0.1894005213</v>
      </c>
      <c r="L1007" s="2">
        <v>121.0</v>
      </c>
      <c r="M1007" s="3">
        <f t="shared" si="5"/>
        <v>0.5215517241</v>
      </c>
      <c r="N1007" s="2">
        <v>1358500.0</v>
      </c>
      <c r="O1007" s="4">
        <f t="shared" si="6"/>
        <v>5855.603448</v>
      </c>
      <c r="P1007" s="2">
        <v>0.0</v>
      </c>
      <c r="Q1007" s="3">
        <f t="shared" si="7"/>
        <v>0</v>
      </c>
      <c r="R1007" s="2">
        <v>106.0</v>
      </c>
      <c r="S1007" s="5">
        <f t="shared" si="8"/>
        <v>1</v>
      </c>
    </row>
    <row r="1008">
      <c r="A1008" s="2" t="s">
        <v>1022</v>
      </c>
      <c r="B1008" s="2">
        <v>199.0</v>
      </c>
      <c r="C1008" s="2">
        <v>2355.0</v>
      </c>
      <c r="D1008" s="2">
        <v>624.0</v>
      </c>
      <c r="E1008" s="3">
        <f t="shared" si="1"/>
        <v>0.2894248609</v>
      </c>
      <c r="F1008" s="2">
        <v>324.0</v>
      </c>
      <c r="G1008" s="3">
        <f t="shared" si="2"/>
        <v>0.1502782931</v>
      </c>
      <c r="H1008" s="2">
        <v>442.0</v>
      </c>
      <c r="I1008" s="3">
        <f t="shared" si="3"/>
        <v>0.2050092764</v>
      </c>
      <c r="J1008" s="2">
        <v>382.0</v>
      </c>
      <c r="K1008" s="3">
        <f t="shared" si="4"/>
        <v>0.1771799629</v>
      </c>
      <c r="L1008" s="2">
        <v>275.0</v>
      </c>
      <c r="M1008" s="3">
        <f t="shared" si="5"/>
        <v>0.6221719457</v>
      </c>
      <c r="N1008" s="2">
        <v>2694000.0</v>
      </c>
      <c r="O1008" s="4">
        <f t="shared" si="6"/>
        <v>6095.022624</v>
      </c>
      <c r="P1008" s="2">
        <v>3.0</v>
      </c>
      <c r="Q1008" s="3">
        <f t="shared" si="7"/>
        <v>0.01507537688</v>
      </c>
      <c r="R1008" s="2">
        <v>199.0</v>
      </c>
      <c r="S1008" s="5">
        <f t="shared" si="8"/>
        <v>1</v>
      </c>
    </row>
    <row r="1009">
      <c r="A1009" s="2" t="s">
        <v>1023</v>
      </c>
      <c r="B1009" s="2">
        <v>103.0</v>
      </c>
      <c r="C1009" s="2">
        <v>1201.0</v>
      </c>
      <c r="D1009" s="2">
        <v>445.0</v>
      </c>
      <c r="E1009" s="3">
        <f t="shared" si="1"/>
        <v>0.4052823315</v>
      </c>
      <c r="F1009" s="2">
        <v>165.0</v>
      </c>
      <c r="G1009" s="3">
        <f t="shared" si="2"/>
        <v>0.150273224</v>
      </c>
      <c r="H1009" s="2">
        <v>224.0</v>
      </c>
      <c r="I1009" s="3">
        <f t="shared" si="3"/>
        <v>0.204007286</v>
      </c>
      <c r="J1009" s="2">
        <v>217.0</v>
      </c>
      <c r="K1009" s="3">
        <f t="shared" si="4"/>
        <v>0.1976320583</v>
      </c>
      <c r="L1009" s="2">
        <v>142.0</v>
      </c>
      <c r="M1009" s="3">
        <f t="shared" si="5"/>
        <v>0.6339285714</v>
      </c>
      <c r="N1009" s="2">
        <v>1271600.0</v>
      </c>
      <c r="O1009" s="4">
        <f t="shared" si="6"/>
        <v>5676.785714</v>
      </c>
      <c r="P1009" s="2">
        <v>0.0</v>
      </c>
      <c r="Q1009" s="3">
        <f t="shared" si="7"/>
        <v>0</v>
      </c>
      <c r="R1009" s="2">
        <v>103.0</v>
      </c>
      <c r="S1009" s="5">
        <f t="shared" si="8"/>
        <v>1</v>
      </c>
    </row>
    <row r="1010">
      <c r="A1010" s="2" t="s">
        <v>1024</v>
      </c>
      <c r="B1010" s="2">
        <v>87.0</v>
      </c>
      <c r="C1010" s="2">
        <v>1032.0</v>
      </c>
      <c r="D1010" s="2">
        <v>348.0</v>
      </c>
      <c r="E1010" s="3">
        <f t="shared" si="1"/>
        <v>0.3682539683</v>
      </c>
      <c r="F1010" s="2">
        <v>142.0</v>
      </c>
      <c r="G1010" s="3">
        <f t="shared" si="2"/>
        <v>0.1502645503</v>
      </c>
      <c r="H1010" s="2">
        <v>176.0</v>
      </c>
      <c r="I1010" s="3">
        <f t="shared" si="3"/>
        <v>0.1862433862</v>
      </c>
      <c r="J1010" s="2">
        <v>141.0</v>
      </c>
      <c r="K1010" s="3">
        <f t="shared" si="4"/>
        <v>0.1492063492</v>
      </c>
      <c r="L1010" s="2">
        <v>102.0</v>
      </c>
      <c r="M1010" s="3">
        <f t="shared" si="5"/>
        <v>0.5795454545</v>
      </c>
      <c r="N1010" s="2">
        <v>1064900.0</v>
      </c>
      <c r="O1010" s="4">
        <f t="shared" si="6"/>
        <v>6050.568182</v>
      </c>
      <c r="P1010" s="2">
        <v>0.0</v>
      </c>
      <c r="Q1010" s="3">
        <f t="shared" si="7"/>
        <v>0</v>
      </c>
      <c r="R1010" s="2">
        <v>87.0</v>
      </c>
      <c r="S1010" s="5">
        <f t="shared" si="8"/>
        <v>1</v>
      </c>
    </row>
    <row r="1011">
      <c r="A1011" s="2" t="s">
        <v>1025</v>
      </c>
      <c r="B1011" s="2">
        <v>145.0</v>
      </c>
      <c r="C1011" s="2">
        <v>1676.0</v>
      </c>
      <c r="D1011" s="2">
        <v>525.0</v>
      </c>
      <c r="E1011" s="3">
        <f t="shared" si="1"/>
        <v>0.3429131287</v>
      </c>
      <c r="F1011" s="2">
        <v>230.0</v>
      </c>
      <c r="G1011" s="3">
        <f t="shared" si="2"/>
        <v>0.1502286088</v>
      </c>
      <c r="H1011" s="2">
        <v>305.0</v>
      </c>
      <c r="I1011" s="3">
        <f t="shared" si="3"/>
        <v>0.1992161986</v>
      </c>
      <c r="J1011" s="2">
        <v>284.0</v>
      </c>
      <c r="K1011" s="3">
        <f t="shared" si="4"/>
        <v>0.1854996734</v>
      </c>
      <c r="L1011" s="2">
        <v>188.0</v>
      </c>
      <c r="M1011" s="3">
        <f t="shared" si="5"/>
        <v>0.6163934426</v>
      </c>
      <c r="N1011" s="2">
        <v>1777800.0</v>
      </c>
      <c r="O1011" s="4">
        <f t="shared" si="6"/>
        <v>5828.852459</v>
      </c>
      <c r="P1011" s="2">
        <v>1.0</v>
      </c>
      <c r="Q1011" s="3">
        <f t="shared" si="7"/>
        <v>0.006896551724</v>
      </c>
      <c r="R1011" s="2">
        <v>145.0</v>
      </c>
      <c r="S1011" s="5">
        <f t="shared" si="8"/>
        <v>1</v>
      </c>
    </row>
    <row r="1012">
      <c r="A1012" s="2" t="s">
        <v>1026</v>
      </c>
      <c r="B1012" s="2">
        <v>44.0</v>
      </c>
      <c r="C1012" s="2">
        <v>490.0</v>
      </c>
      <c r="D1012" s="2">
        <v>154.0</v>
      </c>
      <c r="E1012" s="3">
        <f t="shared" si="1"/>
        <v>0.3452914798</v>
      </c>
      <c r="F1012" s="2">
        <v>67.0</v>
      </c>
      <c r="G1012" s="3">
        <f t="shared" si="2"/>
        <v>0.1502242152</v>
      </c>
      <c r="H1012" s="2">
        <v>99.0</v>
      </c>
      <c r="I1012" s="3">
        <f t="shared" si="3"/>
        <v>0.2219730942</v>
      </c>
      <c r="J1012" s="2">
        <v>79.0</v>
      </c>
      <c r="K1012" s="3">
        <f t="shared" si="4"/>
        <v>0.1771300448</v>
      </c>
      <c r="L1012" s="2">
        <v>59.0</v>
      </c>
      <c r="M1012" s="3">
        <f t="shared" si="5"/>
        <v>0.595959596</v>
      </c>
      <c r="N1012" s="2">
        <v>526800.0</v>
      </c>
      <c r="O1012" s="4">
        <f t="shared" si="6"/>
        <v>5321.212121</v>
      </c>
      <c r="P1012" s="2">
        <v>0.0</v>
      </c>
      <c r="Q1012" s="3">
        <f t="shared" si="7"/>
        <v>0</v>
      </c>
      <c r="R1012" s="2">
        <v>0.0</v>
      </c>
      <c r="S1012" s="5">
        <f t="shared" si="8"/>
        <v>0</v>
      </c>
    </row>
    <row r="1013">
      <c r="A1013" s="2" t="s">
        <v>1027</v>
      </c>
      <c r="B1013" s="2">
        <v>29.0</v>
      </c>
      <c r="C1013" s="2">
        <v>342.0</v>
      </c>
      <c r="D1013" s="2">
        <v>98.0</v>
      </c>
      <c r="E1013" s="3">
        <f t="shared" si="1"/>
        <v>0.3130990415</v>
      </c>
      <c r="F1013" s="2">
        <v>47.0</v>
      </c>
      <c r="G1013" s="3">
        <f t="shared" si="2"/>
        <v>0.1501597444</v>
      </c>
      <c r="H1013" s="2">
        <v>60.0</v>
      </c>
      <c r="I1013" s="3">
        <f t="shared" si="3"/>
        <v>0.1916932907</v>
      </c>
      <c r="J1013" s="2">
        <v>51.0</v>
      </c>
      <c r="K1013" s="3">
        <f t="shared" si="4"/>
        <v>0.1629392971</v>
      </c>
      <c r="L1013" s="2">
        <v>27.0</v>
      </c>
      <c r="M1013" s="3">
        <f t="shared" si="5"/>
        <v>0.45</v>
      </c>
      <c r="N1013" s="2">
        <v>355400.0</v>
      </c>
      <c r="O1013" s="4">
        <f t="shared" si="6"/>
        <v>5923.333333</v>
      </c>
      <c r="P1013" s="2">
        <v>1.0</v>
      </c>
      <c r="Q1013" s="3">
        <f t="shared" si="7"/>
        <v>0.03448275862</v>
      </c>
      <c r="R1013" s="2">
        <v>29.0</v>
      </c>
      <c r="S1013" s="5">
        <f t="shared" si="8"/>
        <v>1</v>
      </c>
    </row>
    <row r="1014">
      <c r="A1014" s="2" t="s">
        <v>1028</v>
      </c>
      <c r="B1014" s="2">
        <v>65.0</v>
      </c>
      <c r="C1014" s="2">
        <v>751.0</v>
      </c>
      <c r="D1014" s="2">
        <v>214.0</v>
      </c>
      <c r="E1014" s="3">
        <f t="shared" si="1"/>
        <v>0.3119533528</v>
      </c>
      <c r="F1014" s="2">
        <v>103.0</v>
      </c>
      <c r="G1014" s="3">
        <f t="shared" si="2"/>
        <v>0.1501457726</v>
      </c>
      <c r="H1014" s="2">
        <v>123.0</v>
      </c>
      <c r="I1014" s="3">
        <f t="shared" si="3"/>
        <v>0.1793002915</v>
      </c>
      <c r="J1014" s="2">
        <v>105.0</v>
      </c>
      <c r="K1014" s="3">
        <f t="shared" si="4"/>
        <v>0.1530612245</v>
      </c>
      <c r="L1014" s="2">
        <v>80.0</v>
      </c>
      <c r="M1014" s="3">
        <f t="shared" si="5"/>
        <v>0.6504065041</v>
      </c>
      <c r="N1014" s="2">
        <v>790400.0</v>
      </c>
      <c r="O1014" s="4">
        <f t="shared" si="6"/>
        <v>6426.01626</v>
      </c>
      <c r="P1014" s="2">
        <v>0.0</v>
      </c>
      <c r="Q1014" s="3">
        <f t="shared" si="7"/>
        <v>0</v>
      </c>
      <c r="R1014" s="2">
        <v>65.0</v>
      </c>
      <c r="S1014" s="5">
        <f t="shared" si="8"/>
        <v>1</v>
      </c>
    </row>
    <row r="1015">
      <c r="A1015" s="2" t="s">
        <v>1029</v>
      </c>
      <c r="B1015" s="2">
        <v>175.0</v>
      </c>
      <c r="C1015" s="2">
        <v>2087.0</v>
      </c>
      <c r="D1015" s="2">
        <v>556.0</v>
      </c>
      <c r="E1015" s="3">
        <f t="shared" si="1"/>
        <v>0.2907949791</v>
      </c>
      <c r="F1015" s="2">
        <v>287.0</v>
      </c>
      <c r="G1015" s="3">
        <f t="shared" si="2"/>
        <v>0.1501046025</v>
      </c>
      <c r="H1015" s="2">
        <v>400.0</v>
      </c>
      <c r="I1015" s="3">
        <f t="shared" si="3"/>
        <v>0.2092050209</v>
      </c>
      <c r="J1015" s="2">
        <v>317.0</v>
      </c>
      <c r="K1015" s="3">
        <f t="shared" si="4"/>
        <v>0.1657949791</v>
      </c>
      <c r="L1015" s="2">
        <v>244.0</v>
      </c>
      <c r="M1015" s="3">
        <f t="shared" si="5"/>
        <v>0.61</v>
      </c>
      <c r="N1015" s="2">
        <v>2340800.0</v>
      </c>
      <c r="O1015" s="4">
        <f t="shared" si="6"/>
        <v>5852</v>
      </c>
      <c r="P1015" s="2">
        <v>0.0</v>
      </c>
      <c r="Q1015" s="3">
        <f t="shared" si="7"/>
        <v>0</v>
      </c>
      <c r="R1015" s="2">
        <v>175.0</v>
      </c>
      <c r="S1015" s="5">
        <f t="shared" si="8"/>
        <v>1</v>
      </c>
    </row>
    <row r="1016">
      <c r="A1016" s="2" t="s">
        <v>1030</v>
      </c>
      <c r="B1016" s="2">
        <v>231.0</v>
      </c>
      <c r="C1016" s="2">
        <v>2676.0</v>
      </c>
      <c r="D1016" s="2">
        <v>751.0</v>
      </c>
      <c r="E1016" s="3">
        <f t="shared" si="1"/>
        <v>0.3071574642</v>
      </c>
      <c r="F1016" s="2">
        <v>367.0</v>
      </c>
      <c r="G1016" s="3">
        <f t="shared" si="2"/>
        <v>0.1501022495</v>
      </c>
      <c r="H1016" s="2">
        <v>469.0</v>
      </c>
      <c r="I1016" s="3">
        <f t="shared" si="3"/>
        <v>0.1918200409</v>
      </c>
      <c r="J1016" s="2">
        <v>410.0</v>
      </c>
      <c r="K1016" s="3">
        <f t="shared" si="4"/>
        <v>0.1676891616</v>
      </c>
      <c r="L1016" s="2">
        <v>279.0</v>
      </c>
      <c r="M1016" s="3">
        <f t="shared" si="5"/>
        <v>0.5948827292</v>
      </c>
      <c r="N1016" s="2">
        <v>2923200.0</v>
      </c>
      <c r="O1016" s="4">
        <f t="shared" si="6"/>
        <v>6232.835821</v>
      </c>
      <c r="P1016" s="2">
        <v>0.0</v>
      </c>
      <c r="Q1016" s="3">
        <f t="shared" si="7"/>
        <v>0</v>
      </c>
      <c r="R1016" s="2">
        <v>231.0</v>
      </c>
      <c r="S1016" s="5">
        <f t="shared" si="8"/>
        <v>1</v>
      </c>
    </row>
    <row r="1017">
      <c r="A1017" s="2" t="s">
        <v>1031</v>
      </c>
      <c r="B1017" s="2">
        <v>112.0</v>
      </c>
      <c r="C1017" s="2">
        <v>1358.0</v>
      </c>
      <c r="D1017" s="2">
        <v>313.0</v>
      </c>
      <c r="E1017" s="3">
        <f t="shared" si="1"/>
        <v>0.2512038523</v>
      </c>
      <c r="F1017" s="2">
        <v>187.0</v>
      </c>
      <c r="G1017" s="3">
        <f t="shared" si="2"/>
        <v>0.1500802568</v>
      </c>
      <c r="H1017" s="2">
        <v>279.0</v>
      </c>
      <c r="I1017" s="3">
        <f t="shared" si="3"/>
        <v>0.2239165329</v>
      </c>
      <c r="J1017" s="2">
        <v>323.0</v>
      </c>
      <c r="K1017" s="3">
        <f t="shared" si="4"/>
        <v>0.2592295345</v>
      </c>
      <c r="L1017" s="2">
        <v>164.0</v>
      </c>
      <c r="M1017" s="3">
        <f t="shared" si="5"/>
        <v>0.5878136201</v>
      </c>
      <c r="N1017" s="2">
        <v>1588200.0</v>
      </c>
      <c r="O1017" s="4">
        <f t="shared" si="6"/>
        <v>5692.473118</v>
      </c>
      <c r="P1017" s="2">
        <v>0.0</v>
      </c>
      <c r="Q1017" s="3">
        <f t="shared" si="7"/>
        <v>0</v>
      </c>
      <c r="R1017" s="2">
        <v>112.0</v>
      </c>
      <c r="S1017" s="5">
        <f t="shared" si="8"/>
        <v>1</v>
      </c>
    </row>
    <row r="1018">
      <c r="A1018" s="2" t="s">
        <v>1032</v>
      </c>
      <c r="B1018" s="2">
        <v>327.0</v>
      </c>
      <c r="C1018" s="2">
        <v>3839.0</v>
      </c>
      <c r="D1018" s="2">
        <v>1574.0</v>
      </c>
      <c r="E1018" s="3">
        <f t="shared" si="1"/>
        <v>0.4481776765</v>
      </c>
      <c r="F1018" s="2">
        <v>527.0</v>
      </c>
      <c r="G1018" s="3">
        <f t="shared" si="2"/>
        <v>0.1500569476</v>
      </c>
      <c r="H1018" s="2">
        <v>744.0</v>
      </c>
      <c r="I1018" s="3">
        <f t="shared" si="3"/>
        <v>0.2118451025</v>
      </c>
      <c r="J1018" s="2">
        <v>581.0</v>
      </c>
      <c r="K1018" s="3">
        <f t="shared" si="4"/>
        <v>0.1654328018</v>
      </c>
      <c r="L1018" s="2">
        <v>435.0</v>
      </c>
      <c r="M1018" s="3">
        <f t="shared" si="5"/>
        <v>0.5846774194</v>
      </c>
      <c r="N1018" s="2">
        <v>4167100.0</v>
      </c>
      <c r="O1018" s="4">
        <f t="shared" si="6"/>
        <v>5600.94086</v>
      </c>
      <c r="P1018" s="2">
        <v>0.0</v>
      </c>
      <c r="Q1018" s="3">
        <f t="shared" si="7"/>
        <v>0</v>
      </c>
      <c r="R1018" s="2">
        <v>205.0</v>
      </c>
      <c r="S1018" s="5">
        <f t="shared" si="8"/>
        <v>0.626911315</v>
      </c>
    </row>
    <row r="1019">
      <c r="A1019" s="2" t="s">
        <v>1033</v>
      </c>
      <c r="B1019" s="2">
        <v>580.0</v>
      </c>
      <c r="C1019" s="2">
        <v>6832.0</v>
      </c>
      <c r="D1019" s="2">
        <v>2047.0</v>
      </c>
      <c r="E1019" s="3">
        <f t="shared" si="1"/>
        <v>0.3274152271</v>
      </c>
      <c r="F1019" s="2">
        <v>938.0</v>
      </c>
      <c r="G1019" s="3">
        <f t="shared" si="2"/>
        <v>0.1500319898</v>
      </c>
      <c r="H1019" s="2">
        <v>1366.0</v>
      </c>
      <c r="I1019" s="3">
        <f t="shared" si="3"/>
        <v>0.2184900832</v>
      </c>
      <c r="J1019" s="2">
        <v>1276.0</v>
      </c>
      <c r="K1019" s="3">
        <f t="shared" si="4"/>
        <v>0.2040946897</v>
      </c>
      <c r="L1019" s="2">
        <v>827.0</v>
      </c>
      <c r="M1019" s="3">
        <f t="shared" si="5"/>
        <v>0.6054172767</v>
      </c>
      <c r="N1019" s="2">
        <v>8145800.0</v>
      </c>
      <c r="O1019" s="4">
        <f t="shared" si="6"/>
        <v>5963.250366</v>
      </c>
      <c r="P1019" s="2">
        <v>1.0</v>
      </c>
      <c r="Q1019" s="3">
        <f t="shared" si="7"/>
        <v>0.001724137931</v>
      </c>
      <c r="R1019" s="2">
        <v>580.0</v>
      </c>
      <c r="S1019" s="5">
        <f t="shared" si="8"/>
        <v>1</v>
      </c>
    </row>
    <row r="1020">
      <c r="A1020" s="2" t="s">
        <v>1034</v>
      </c>
      <c r="B1020" s="2">
        <v>150.0</v>
      </c>
      <c r="C1020" s="2">
        <v>1763.0</v>
      </c>
      <c r="D1020" s="2">
        <v>574.0</v>
      </c>
      <c r="E1020" s="3">
        <f t="shared" si="1"/>
        <v>0.3558586485</v>
      </c>
      <c r="F1020" s="2">
        <v>242.0</v>
      </c>
      <c r="G1020" s="3">
        <f t="shared" si="2"/>
        <v>0.1500309981</v>
      </c>
      <c r="H1020" s="2">
        <v>351.0</v>
      </c>
      <c r="I1020" s="3">
        <f t="shared" si="3"/>
        <v>0.2176069436</v>
      </c>
      <c r="J1020" s="2">
        <v>252.0</v>
      </c>
      <c r="K1020" s="3">
        <f t="shared" si="4"/>
        <v>0.1562306262</v>
      </c>
      <c r="L1020" s="2">
        <v>221.0</v>
      </c>
      <c r="M1020" s="3">
        <f t="shared" si="5"/>
        <v>0.6296296296</v>
      </c>
      <c r="N1020" s="2">
        <v>1955100.0</v>
      </c>
      <c r="O1020" s="4">
        <f t="shared" si="6"/>
        <v>5570.08547</v>
      </c>
      <c r="P1020" s="2">
        <v>0.0</v>
      </c>
      <c r="Q1020" s="3">
        <f t="shared" si="7"/>
        <v>0</v>
      </c>
      <c r="R1020" s="2">
        <v>147.0</v>
      </c>
      <c r="S1020" s="5">
        <f t="shared" si="8"/>
        <v>0.98</v>
      </c>
    </row>
    <row r="1021">
      <c r="A1021" s="2" t="s">
        <v>1035</v>
      </c>
      <c r="B1021" s="2">
        <v>3.0</v>
      </c>
      <c r="C1021" s="2">
        <v>43.0</v>
      </c>
      <c r="D1021" s="2">
        <v>18.0</v>
      </c>
      <c r="E1021" s="3">
        <f t="shared" si="1"/>
        <v>0.45</v>
      </c>
      <c r="F1021" s="2">
        <v>6.0</v>
      </c>
      <c r="G1021" s="3">
        <f t="shared" si="2"/>
        <v>0.15</v>
      </c>
      <c r="H1021" s="2">
        <v>10.0</v>
      </c>
      <c r="I1021" s="3">
        <f t="shared" si="3"/>
        <v>0.25</v>
      </c>
      <c r="J1021" s="2">
        <v>8.0</v>
      </c>
      <c r="K1021" s="3">
        <f t="shared" si="4"/>
        <v>0.2</v>
      </c>
      <c r="L1021" s="2">
        <v>6.0</v>
      </c>
      <c r="M1021" s="3">
        <f t="shared" si="5"/>
        <v>0.6</v>
      </c>
      <c r="N1021" s="2">
        <v>32000.0</v>
      </c>
      <c r="O1021" s="4">
        <f t="shared" si="6"/>
        <v>3200</v>
      </c>
      <c r="P1021" s="2">
        <v>0.0</v>
      </c>
      <c r="Q1021" s="3">
        <f t="shared" si="7"/>
        <v>0</v>
      </c>
      <c r="R1021" s="2">
        <v>0.0</v>
      </c>
      <c r="S1021" s="5">
        <f t="shared" si="8"/>
        <v>0</v>
      </c>
    </row>
    <row r="1022">
      <c r="A1022" s="2" t="s">
        <v>1036</v>
      </c>
      <c r="B1022" s="2">
        <v>69.0</v>
      </c>
      <c r="C1022" s="2">
        <v>769.0</v>
      </c>
      <c r="D1022" s="2">
        <v>236.0</v>
      </c>
      <c r="E1022" s="3">
        <f t="shared" si="1"/>
        <v>0.3371428571</v>
      </c>
      <c r="F1022" s="2">
        <v>105.0</v>
      </c>
      <c r="G1022" s="3">
        <f t="shared" si="2"/>
        <v>0.15</v>
      </c>
      <c r="H1022" s="2">
        <v>171.0</v>
      </c>
      <c r="I1022" s="3">
        <f t="shared" si="3"/>
        <v>0.2442857143</v>
      </c>
      <c r="J1022" s="2">
        <v>139.0</v>
      </c>
      <c r="K1022" s="3">
        <f t="shared" si="4"/>
        <v>0.1985714286</v>
      </c>
      <c r="L1022" s="2">
        <v>116.0</v>
      </c>
      <c r="M1022" s="3">
        <f t="shared" si="5"/>
        <v>0.6783625731</v>
      </c>
      <c r="N1022" s="2">
        <v>919700.0</v>
      </c>
      <c r="O1022" s="4">
        <f t="shared" si="6"/>
        <v>5378.362573</v>
      </c>
      <c r="P1022" s="2">
        <v>0.0</v>
      </c>
      <c r="Q1022" s="3">
        <f t="shared" si="7"/>
        <v>0</v>
      </c>
      <c r="R1022" s="2">
        <v>69.0</v>
      </c>
      <c r="S1022" s="5">
        <f t="shared" si="8"/>
        <v>1</v>
      </c>
    </row>
    <row r="1023">
      <c r="A1023" s="2" t="s">
        <v>1037</v>
      </c>
      <c r="B1023" s="2">
        <v>20.0</v>
      </c>
      <c r="C1023" s="2">
        <v>220.0</v>
      </c>
      <c r="D1023" s="2">
        <v>102.0</v>
      </c>
      <c r="E1023" s="3">
        <f t="shared" si="1"/>
        <v>0.51</v>
      </c>
      <c r="F1023" s="2">
        <v>30.0</v>
      </c>
      <c r="G1023" s="3">
        <f t="shared" si="2"/>
        <v>0.15</v>
      </c>
      <c r="H1023" s="2">
        <v>45.0</v>
      </c>
      <c r="I1023" s="3">
        <f t="shared" si="3"/>
        <v>0.225</v>
      </c>
      <c r="J1023" s="2">
        <v>34.0</v>
      </c>
      <c r="K1023" s="3">
        <f t="shared" si="4"/>
        <v>0.17</v>
      </c>
      <c r="L1023" s="2">
        <v>29.0</v>
      </c>
      <c r="M1023" s="3">
        <f t="shared" si="5"/>
        <v>0.6444444444</v>
      </c>
      <c r="N1023" s="2">
        <v>193400.0</v>
      </c>
      <c r="O1023" s="4">
        <f t="shared" si="6"/>
        <v>4297.777778</v>
      </c>
      <c r="P1023" s="2">
        <v>0.0</v>
      </c>
      <c r="Q1023" s="3">
        <f t="shared" si="7"/>
        <v>0</v>
      </c>
      <c r="R1023" s="2">
        <v>0.0</v>
      </c>
      <c r="S1023" s="5">
        <f t="shared" si="8"/>
        <v>0</v>
      </c>
    </row>
    <row r="1024">
      <c r="A1024" s="2" t="s">
        <v>1038</v>
      </c>
      <c r="B1024" s="2">
        <v>20.0</v>
      </c>
      <c r="C1024" s="2">
        <v>240.0</v>
      </c>
      <c r="D1024" s="2">
        <v>79.0</v>
      </c>
      <c r="E1024" s="3">
        <f t="shared" si="1"/>
        <v>0.3590909091</v>
      </c>
      <c r="F1024" s="2">
        <v>33.0</v>
      </c>
      <c r="G1024" s="3">
        <f t="shared" si="2"/>
        <v>0.15</v>
      </c>
      <c r="H1024" s="2">
        <v>49.0</v>
      </c>
      <c r="I1024" s="3">
        <f t="shared" si="3"/>
        <v>0.2227272727</v>
      </c>
      <c r="J1024" s="2">
        <v>36.0</v>
      </c>
      <c r="K1024" s="3">
        <f t="shared" si="4"/>
        <v>0.1636363636</v>
      </c>
      <c r="L1024" s="2">
        <v>34.0</v>
      </c>
      <c r="M1024" s="3">
        <f t="shared" si="5"/>
        <v>0.693877551</v>
      </c>
      <c r="N1024" s="2">
        <v>229800.0</v>
      </c>
      <c r="O1024" s="4">
        <f t="shared" si="6"/>
        <v>4689.795918</v>
      </c>
      <c r="P1024" s="2">
        <v>0.0</v>
      </c>
      <c r="Q1024" s="3">
        <f t="shared" si="7"/>
        <v>0</v>
      </c>
      <c r="R1024" s="2">
        <v>20.0</v>
      </c>
      <c r="S1024" s="5">
        <f t="shared" si="8"/>
        <v>1</v>
      </c>
    </row>
    <row r="1025">
      <c r="A1025" s="2" t="s">
        <v>1039</v>
      </c>
      <c r="B1025" s="2">
        <v>19.0</v>
      </c>
      <c r="C1025" s="2">
        <v>239.0</v>
      </c>
      <c r="D1025" s="2">
        <v>77.0</v>
      </c>
      <c r="E1025" s="3">
        <f t="shared" si="1"/>
        <v>0.35</v>
      </c>
      <c r="F1025" s="2">
        <v>33.0</v>
      </c>
      <c r="G1025" s="3">
        <f t="shared" si="2"/>
        <v>0.15</v>
      </c>
      <c r="H1025" s="2">
        <v>37.0</v>
      </c>
      <c r="I1025" s="3">
        <f t="shared" si="3"/>
        <v>0.1681818182</v>
      </c>
      <c r="J1025" s="2">
        <v>33.0</v>
      </c>
      <c r="K1025" s="3">
        <f t="shared" si="4"/>
        <v>0.15</v>
      </c>
      <c r="L1025" s="2">
        <v>21.0</v>
      </c>
      <c r="M1025" s="3">
        <f t="shared" si="5"/>
        <v>0.5675675676</v>
      </c>
      <c r="N1025" s="2">
        <v>211300.0</v>
      </c>
      <c r="O1025" s="4">
        <f t="shared" si="6"/>
        <v>5710.810811</v>
      </c>
      <c r="P1025" s="2">
        <v>0.0</v>
      </c>
      <c r="Q1025" s="3">
        <f t="shared" si="7"/>
        <v>0</v>
      </c>
      <c r="R1025" s="2">
        <v>19.0</v>
      </c>
      <c r="S1025" s="5">
        <f t="shared" si="8"/>
        <v>1</v>
      </c>
    </row>
    <row r="1026">
      <c r="A1026" s="2" t="s">
        <v>1040</v>
      </c>
      <c r="B1026" s="2">
        <v>53.0</v>
      </c>
      <c r="C1026" s="2">
        <v>613.0</v>
      </c>
      <c r="D1026" s="2">
        <v>234.0</v>
      </c>
      <c r="E1026" s="3">
        <f t="shared" si="1"/>
        <v>0.4178571429</v>
      </c>
      <c r="F1026" s="2">
        <v>84.0</v>
      </c>
      <c r="G1026" s="3">
        <f t="shared" si="2"/>
        <v>0.15</v>
      </c>
      <c r="H1026" s="2">
        <v>125.0</v>
      </c>
      <c r="I1026" s="3">
        <f t="shared" si="3"/>
        <v>0.2232142857</v>
      </c>
      <c r="J1026" s="2">
        <v>79.0</v>
      </c>
      <c r="K1026" s="3">
        <f t="shared" si="4"/>
        <v>0.1410714286</v>
      </c>
      <c r="L1026" s="2">
        <v>72.0</v>
      </c>
      <c r="M1026" s="3">
        <f t="shared" si="5"/>
        <v>0.576</v>
      </c>
      <c r="N1026" s="2">
        <v>678600.0</v>
      </c>
      <c r="O1026" s="4">
        <f t="shared" si="6"/>
        <v>5428.8</v>
      </c>
      <c r="P1026" s="2">
        <v>0.0</v>
      </c>
      <c r="Q1026" s="3">
        <f t="shared" si="7"/>
        <v>0</v>
      </c>
      <c r="R1026" s="2">
        <v>53.0</v>
      </c>
      <c r="S1026" s="5">
        <f t="shared" si="8"/>
        <v>1</v>
      </c>
    </row>
    <row r="1027">
      <c r="A1027" s="2" t="s">
        <v>1041</v>
      </c>
      <c r="B1027" s="2">
        <v>151.0</v>
      </c>
      <c r="C1027" s="2">
        <v>1758.0</v>
      </c>
      <c r="D1027" s="2">
        <v>501.0</v>
      </c>
      <c r="E1027" s="3">
        <f t="shared" si="1"/>
        <v>0.3117610454</v>
      </c>
      <c r="F1027" s="2">
        <v>241.0</v>
      </c>
      <c r="G1027" s="3">
        <f t="shared" si="2"/>
        <v>0.1499688861</v>
      </c>
      <c r="H1027" s="2">
        <v>339.0</v>
      </c>
      <c r="I1027" s="3">
        <f t="shared" si="3"/>
        <v>0.2109520846</v>
      </c>
      <c r="J1027" s="2">
        <v>295.0</v>
      </c>
      <c r="K1027" s="3">
        <f t="shared" si="4"/>
        <v>0.1835718731</v>
      </c>
      <c r="L1027" s="2">
        <v>206.0</v>
      </c>
      <c r="M1027" s="3">
        <f t="shared" si="5"/>
        <v>0.6076696165</v>
      </c>
      <c r="N1027" s="2">
        <v>1999600.0</v>
      </c>
      <c r="O1027" s="4">
        <f t="shared" si="6"/>
        <v>5898.525074</v>
      </c>
      <c r="P1027" s="2">
        <v>0.0</v>
      </c>
      <c r="Q1027" s="3">
        <f t="shared" si="7"/>
        <v>0</v>
      </c>
      <c r="R1027" s="2">
        <v>151.0</v>
      </c>
      <c r="S1027" s="5">
        <f t="shared" si="8"/>
        <v>1</v>
      </c>
    </row>
    <row r="1028">
      <c r="A1028" s="2" t="s">
        <v>1042</v>
      </c>
      <c r="B1028" s="2">
        <v>1077.0</v>
      </c>
      <c r="C1028" s="2">
        <v>12553.0</v>
      </c>
      <c r="D1028" s="2">
        <v>3636.0</v>
      </c>
      <c r="E1028" s="3">
        <f t="shared" si="1"/>
        <v>0.3168351342</v>
      </c>
      <c r="F1028" s="2">
        <v>1721.0</v>
      </c>
      <c r="G1028" s="3">
        <f t="shared" si="2"/>
        <v>0.1499651446</v>
      </c>
      <c r="H1028" s="2">
        <v>2371.0</v>
      </c>
      <c r="I1028" s="3">
        <f t="shared" si="3"/>
        <v>0.2066050889</v>
      </c>
      <c r="J1028" s="2">
        <v>1974.0</v>
      </c>
      <c r="K1028" s="3">
        <f t="shared" si="4"/>
        <v>0.1720111537</v>
      </c>
      <c r="L1028" s="2">
        <v>1368.0</v>
      </c>
      <c r="M1028" s="3">
        <f t="shared" si="5"/>
        <v>0.5769717419</v>
      </c>
      <c r="N1028" s="2">
        <v>1.48004E7</v>
      </c>
      <c r="O1028" s="4">
        <f t="shared" si="6"/>
        <v>6242.26065</v>
      </c>
      <c r="P1028" s="2">
        <v>6.0</v>
      </c>
      <c r="Q1028" s="3">
        <f t="shared" si="7"/>
        <v>0.005571030641</v>
      </c>
      <c r="R1028" s="2">
        <v>0.0</v>
      </c>
      <c r="S1028" s="5">
        <f t="shared" si="8"/>
        <v>0</v>
      </c>
    </row>
    <row r="1029">
      <c r="A1029" s="2" t="s">
        <v>1043</v>
      </c>
      <c r="B1029" s="2">
        <v>258.0</v>
      </c>
      <c r="C1029" s="2">
        <v>3039.0</v>
      </c>
      <c r="D1029" s="2">
        <v>1271.0</v>
      </c>
      <c r="E1029" s="3">
        <f t="shared" si="1"/>
        <v>0.4570298454</v>
      </c>
      <c r="F1029" s="2">
        <v>417.0</v>
      </c>
      <c r="G1029" s="3">
        <f t="shared" si="2"/>
        <v>0.1499460626</v>
      </c>
      <c r="H1029" s="2">
        <v>598.0</v>
      </c>
      <c r="I1029" s="3">
        <f t="shared" si="3"/>
        <v>0.2150305645</v>
      </c>
      <c r="J1029" s="2">
        <v>434.0</v>
      </c>
      <c r="K1029" s="3">
        <f t="shared" si="4"/>
        <v>0.1560589716</v>
      </c>
      <c r="L1029" s="2">
        <v>360.0</v>
      </c>
      <c r="M1029" s="3">
        <f t="shared" si="5"/>
        <v>0.602006689</v>
      </c>
      <c r="N1029" s="2">
        <v>3316200.0</v>
      </c>
      <c r="O1029" s="4">
        <f t="shared" si="6"/>
        <v>5545.48495</v>
      </c>
      <c r="P1029" s="2">
        <v>0.0</v>
      </c>
      <c r="Q1029" s="3">
        <f t="shared" si="7"/>
        <v>0</v>
      </c>
      <c r="R1029" s="2">
        <v>258.0</v>
      </c>
      <c r="S1029" s="5">
        <f t="shared" si="8"/>
        <v>1</v>
      </c>
    </row>
    <row r="1030">
      <c r="A1030" s="2" t="s">
        <v>1044</v>
      </c>
      <c r="B1030" s="2">
        <v>362.0</v>
      </c>
      <c r="C1030" s="2">
        <v>4244.0</v>
      </c>
      <c r="D1030" s="2">
        <v>911.0</v>
      </c>
      <c r="E1030" s="3">
        <f t="shared" si="1"/>
        <v>0.234672849</v>
      </c>
      <c r="F1030" s="2">
        <v>582.0</v>
      </c>
      <c r="G1030" s="3">
        <f t="shared" si="2"/>
        <v>0.1499227202</v>
      </c>
      <c r="H1030" s="2">
        <v>746.0</v>
      </c>
      <c r="I1030" s="3">
        <f t="shared" si="3"/>
        <v>0.1921689851</v>
      </c>
      <c r="J1030" s="2">
        <v>683.0</v>
      </c>
      <c r="K1030" s="3">
        <f t="shared" si="4"/>
        <v>0.175940237</v>
      </c>
      <c r="L1030" s="2">
        <v>425.0</v>
      </c>
      <c r="M1030" s="3">
        <f t="shared" si="5"/>
        <v>0.5697050938</v>
      </c>
      <c r="N1030" s="2">
        <v>4746600.0</v>
      </c>
      <c r="O1030" s="4">
        <f t="shared" si="6"/>
        <v>6362.734584</v>
      </c>
      <c r="P1030" s="2">
        <v>2.0</v>
      </c>
      <c r="Q1030" s="3">
        <f t="shared" si="7"/>
        <v>0.005524861878</v>
      </c>
      <c r="R1030" s="2">
        <v>362.0</v>
      </c>
      <c r="S1030" s="5">
        <f t="shared" si="8"/>
        <v>1</v>
      </c>
    </row>
    <row r="1031">
      <c r="A1031" s="2" t="s">
        <v>1045</v>
      </c>
      <c r="B1031" s="2">
        <v>61.0</v>
      </c>
      <c r="C1031" s="2">
        <v>708.0</v>
      </c>
      <c r="D1031" s="2">
        <v>161.0</v>
      </c>
      <c r="E1031" s="3">
        <f t="shared" si="1"/>
        <v>0.2488408037</v>
      </c>
      <c r="F1031" s="2">
        <v>97.0</v>
      </c>
      <c r="G1031" s="3">
        <f t="shared" si="2"/>
        <v>0.1499227202</v>
      </c>
      <c r="H1031" s="2">
        <v>109.0</v>
      </c>
      <c r="I1031" s="3">
        <f t="shared" si="3"/>
        <v>0.1684698609</v>
      </c>
      <c r="J1031" s="2">
        <v>96.0</v>
      </c>
      <c r="K1031" s="3">
        <f t="shared" si="4"/>
        <v>0.1483771252</v>
      </c>
      <c r="L1031" s="2">
        <v>69.0</v>
      </c>
      <c r="M1031" s="3">
        <f t="shared" si="5"/>
        <v>0.6330275229</v>
      </c>
      <c r="N1031" s="2">
        <v>649900.0</v>
      </c>
      <c r="O1031" s="4">
        <f t="shared" si="6"/>
        <v>5962.385321</v>
      </c>
      <c r="P1031" s="2">
        <v>0.0</v>
      </c>
      <c r="Q1031" s="3">
        <f t="shared" si="7"/>
        <v>0</v>
      </c>
      <c r="R1031" s="2">
        <v>61.0</v>
      </c>
      <c r="S1031" s="5">
        <f t="shared" si="8"/>
        <v>1</v>
      </c>
    </row>
    <row r="1032">
      <c r="A1032" s="2" t="s">
        <v>1046</v>
      </c>
      <c r="B1032" s="2">
        <v>42.0</v>
      </c>
      <c r="C1032" s="2">
        <v>489.0</v>
      </c>
      <c r="D1032" s="2">
        <v>181.0</v>
      </c>
      <c r="E1032" s="3">
        <f t="shared" si="1"/>
        <v>0.4049217002</v>
      </c>
      <c r="F1032" s="2">
        <v>67.0</v>
      </c>
      <c r="G1032" s="3">
        <f t="shared" si="2"/>
        <v>0.1498881432</v>
      </c>
      <c r="H1032" s="2">
        <v>87.0</v>
      </c>
      <c r="I1032" s="3">
        <f t="shared" si="3"/>
        <v>0.1946308725</v>
      </c>
      <c r="J1032" s="2">
        <v>71.0</v>
      </c>
      <c r="K1032" s="3">
        <f t="shared" si="4"/>
        <v>0.158836689</v>
      </c>
      <c r="L1032" s="2">
        <v>54.0</v>
      </c>
      <c r="M1032" s="3">
        <f t="shared" si="5"/>
        <v>0.6206896552</v>
      </c>
      <c r="N1032" s="2">
        <v>437200.0</v>
      </c>
      <c r="O1032" s="4">
        <f t="shared" si="6"/>
        <v>5025.287356</v>
      </c>
      <c r="P1032" s="2">
        <v>0.0</v>
      </c>
      <c r="Q1032" s="3">
        <f t="shared" si="7"/>
        <v>0</v>
      </c>
      <c r="R1032" s="2">
        <v>42.0</v>
      </c>
      <c r="S1032" s="5">
        <f t="shared" si="8"/>
        <v>1</v>
      </c>
    </row>
    <row r="1033">
      <c r="A1033" s="2" t="s">
        <v>1047</v>
      </c>
      <c r="B1033" s="2">
        <v>189.0</v>
      </c>
      <c r="C1033" s="2">
        <v>2284.0</v>
      </c>
      <c r="D1033" s="2">
        <v>816.0</v>
      </c>
      <c r="E1033" s="3">
        <f t="shared" si="1"/>
        <v>0.3894988067</v>
      </c>
      <c r="F1033" s="2">
        <v>314.0</v>
      </c>
      <c r="G1033" s="3">
        <f t="shared" si="2"/>
        <v>0.1498806683</v>
      </c>
      <c r="H1033" s="2">
        <v>431.0</v>
      </c>
      <c r="I1033" s="3">
        <f t="shared" si="3"/>
        <v>0.2057279236</v>
      </c>
      <c r="J1033" s="2">
        <v>394.0</v>
      </c>
      <c r="K1033" s="3">
        <f t="shared" si="4"/>
        <v>0.1880668258</v>
      </c>
      <c r="L1033" s="2">
        <v>258.0</v>
      </c>
      <c r="M1033" s="3">
        <f t="shared" si="5"/>
        <v>0.5986078886</v>
      </c>
      <c r="N1033" s="2">
        <v>2478900.0</v>
      </c>
      <c r="O1033" s="4">
        <f t="shared" si="6"/>
        <v>5751.508121</v>
      </c>
      <c r="P1033" s="2">
        <v>1.0</v>
      </c>
      <c r="Q1033" s="3">
        <f t="shared" si="7"/>
        <v>0.005291005291</v>
      </c>
      <c r="R1033" s="2">
        <v>170.0</v>
      </c>
      <c r="S1033" s="5">
        <f t="shared" si="8"/>
        <v>0.8994708995</v>
      </c>
    </row>
    <row r="1034">
      <c r="A1034" s="2" t="s">
        <v>1048</v>
      </c>
      <c r="B1034" s="2">
        <v>190.0</v>
      </c>
      <c r="C1034" s="2">
        <v>2205.0</v>
      </c>
      <c r="D1034" s="2">
        <v>788.0</v>
      </c>
      <c r="E1034" s="3">
        <f t="shared" si="1"/>
        <v>0.3910669975</v>
      </c>
      <c r="F1034" s="2">
        <v>302.0</v>
      </c>
      <c r="G1034" s="3">
        <f t="shared" si="2"/>
        <v>0.1498759305</v>
      </c>
      <c r="H1034" s="2">
        <v>453.0</v>
      </c>
      <c r="I1034" s="3">
        <f t="shared" si="3"/>
        <v>0.2248138958</v>
      </c>
      <c r="J1034" s="2">
        <v>308.0</v>
      </c>
      <c r="K1034" s="3">
        <f t="shared" si="4"/>
        <v>0.152853598</v>
      </c>
      <c r="L1034" s="2">
        <v>299.0</v>
      </c>
      <c r="M1034" s="3">
        <f t="shared" si="5"/>
        <v>0.6600441501</v>
      </c>
      <c r="N1034" s="2">
        <v>2358400.0</v>
      </c>
      <c r="O1034" s="4">
        <f t="shared" si="6"/>
        <v>5206.181015</v>
      </c>
      <c r="P1034" s="2">
        <v>0.0</v>
      </c>
      <c r="Q1034" s="3">
        <f t="shared" si="7"/>
        <v>0</v>
      </c>
      <c r="R1034" s="2">
        <v>0.0</v>
      </c>
      <c r="S1034" s="5">
        <f t="shared" si="8"/>
        <v>0</v>
      </c>
    </row>
    <row r="1035">
      <c r="A1035" s="2" t="s">
        <v>1049</v>
      </c>
      <c r="B1035" s="2">
        <v>143.0</v>
      </c>
      <c r="C1035" s="2">
        <v>1671.0</v>
      </c>
      <c r="D1035" s="2">
        <v>648.0</v>
      </c>
      <c r="E1035" s="3">
        <f t="shared" si="1"/>
        <v>0.4240837696</v>
      </c>
      <c r="F1035" s="2">
        <v>229.0</v>
      </c>
      <c r="G1035" s="3">
        <f t="shared" si="2"/>
        <v>0.1498691099</v>
      </c>
      <c r="H1035" s="2">
        <v>342.0</v>
      </c>
      <c r="I1035" s="3">
        <f t="shared" si="3"/>
        <v>0.2238219895</v>
      </c>
      <c r="J1035" s="2">
        <v>311.0</v>
      </c>
      <c r="K1035" s="3">
        <f t="shared" si="4"/>
        <v>0.2035340314</v>
      </c>
      <c r="L1035" s="2">
        <v>211.0</v>
      </c>
      <c r="M1035" s="3">
        <f t="shared" si="5"/>
        <v>0.6169590643</v>
      </c>
      <c r="N1035" s="2">
        <v>1938200.0</v>
      </c>
      <c r="O1035" s="4">
        <f t="shared" si="6"/>
        <v>5667.251462</v>
      </c>
      <c r="P1035" s="2">
        <v>0.0</v>
      </c>
      <c r="Q1035" s="3">
        <f t="shared" si="7"/>
        <v>0</v>
      </c>
      <c r="R1035" s="2">
        <v>143.0</v>
      </c>
      <c r="S1035" s="5">
        <f t="shared" si="8"/>
        <v>1</v>
      </c>
    </row>
    <row r="1036">
      <c r="A1036" s="2" t="s">
        <v>1050</v>
      </c>
      <c r="B1036" s="2">
        <v>72.0</v>
      </c>
      <c r="C1036" s="2">
        <v>853.0</v>
      </c>
      <c r="D1036" s="2">
        <v>263.0</v>
      </c>
      <c r="E1036" s="3">
        <f t="shared" si="1"/>
        <v>0.3367477593</v>
      </c>
      <c r="F1036" s="2">
        <v>117.0</v>
      </c>
      <c r="G1036" s="3">
        <f t="shared" si="2"/>
        <v>0.1498079385</v>
      </c>
      <c r="H1036" s="2">
        <v>155.0</v>
      </c>
      <c r="I1036" s="3">
        <f t="shared" si="3"/>
        <v>0.1984635083</v>
      </c>
      <c r="J1036" s="2">
        <v>148.0</v>
      </c>
      <c r="K1036" s="3">
        <f t="shared" si="4"/>
        <v>0.1895006402</v>
      </c>
      <c r="L1036" s="2">
        <v>90.0</v>
      </c>
      <c r="M1036" s="3">
        <f t="shared" si="5"/>
        <v>0.5806451613</v>
      </c>
      <c r="N1036" s="2">
        <v>932500.0</v>
      </c>
      <c r="O1036" s="4">
        <f t="shared" si="6"/>
        <v>6016.129032</v>
      </c>
      <c r="P1036" s="2">
        <v>0.0</v>
      </c>
      <c r="Q1036" s="3">
        <f t="shared" si="7"/>
        <v>0</v>
      </c>
      <c r="R1036" s="2">
        <v>72.0</v>
      </c>
      <c r="S1036" s="5">
        <f t="shared" si="8"/>
        <v>1</v>
      </c>
    </row>
    <row r="1037">
      <c r="A1037" s="2" t="s">
        <v>1051</v>
      </c>
      <c r="B1037" s="2">
        <v>520.0</v>
      </c>
      <c r="C1037" s="2">
        <v>5987.0</v>
      </c>
      <c r="D1037" s="2">
        <v>1922.0</v>
      </c>
      <c r="E1037" s="3">
        <f t="shared" si="1"/>
        <v>0.351563929</v>
      </c>
      <c r="F1037" s="2">
        <v>819.0</v>
      </c>
      <c r="G1037" s="3">
        <f t="shared" si="2"/>
        <v>0.1498079385</v>
      </c>
      <c r="H1037" s="2">
        <v>1242.0</v>
      </c>
      <c r="I1037" s="3">
        <f t="shared" si="3"/>
        <v>0.2271812694</v>
      </c>
      <c r="J1037" s="2">
        <v>792.0</v>
      </c>
      <c r="K1037" s="3">
        <f t="shared" si="4"/>
        <v>0.1448692153</v>
      </c>
      <c r="L1037" s="2">
        <v>742.0</v>
      </c>
      <c r="M1037" s="3">
        <f t="shared" si="5"/>
        <v>0.5974235105</v>
      </c>
      <c r="N1037" s="2">
        <v>6917100.0</v>
      </c>
      <c r="O1037" s="4">
        <f t="shared" si="6"/>
        <v>5569.323671</v>
      </c>
      <c r="P1037" s="2">
        <v>3.0</v>
      </c>
      <c r="Q1037" s="3">
        <f t="shared" si="7"/>
        <v>0.005769230769</v>
      </c>
      <c r="R1037" s="2">
        <v>0.0</v>
      </c>
      <c r="S1037" s="5">
        <f t="shared" si="8"/>
        <v>0</v>
      </c>
    </row>
    <row r="1038">
      <c r="A1038" s="2" t="s">
        <v>1052</v>
      </c>
      <c r="B1038" s="2">
        <v>426.0</v>
      </c>
      <c r="C1038" s="2">
        <v>4939.0</v>
      </c>
      <c r="D1038" s="2">
        <v>1498.0</v>
      </c>
      <c r="E1038" s="3">
        <f t="shared" si="1"/>
        <v>0.3319299801</v>
      </c>
      <c r="F1038" s="2">
        <v>676.0</v>
      </c>
      <c r="G1038" s="3">
        <f t="shared" si="2"/>
        <v>0.149789497</v>
      </c>
      <c r="H1038" s="2">
        <v>885.0</v>
      </c>
      <c r="I1038" s="3">
        <f t="shared" si="3"/>
        <v>0.1961001551</v>
      </c>
      <c r="J1038" s="2">
        <v>649.0</v>
      </c>
      <c r="K1038" s="3">
        <f t="shared" si="4"/>
        <v>0.1438067804</v>
      </c>
      <c r="L1038" s="2">
        <v>497.0</v>
      </c>
      <c r="M1038" s="3">
        <f t="shared" si="5"/>
        <v>0.5615819209</v>
      </c>
      <c r="N1038" s="2">
        <v>5528500.0</v>
      </c>
      <c r="O1038" s="4">
        <f t="shared" si="6"/>
        <v>6246.892655</v>
      </c>
      <c r="P1038" s="2">
        <v>1.0</v>
      </c>
      <c r="Q1038" s="3">
        <f t="shared" si="7"/>
        <v>0.00234741784</v>
      </c>
      <c r="R1038" s="2">
        <v>426.0</v>
      </c>
      <c r="S1038" s="5">
        <f t="shared" si="8"/>
        <v>1</v>
      </c>
    </row>
    <row r="1039">
      <c r="A1039" s="2" t="s">
        <v>1053</v>
      </c>
      <c r="B1039" s="2">
        <v>66.0</v>
      </c>
      <c r="C1039" s="2">
        <v>767.0</v>
      </c>
      <c r="D1039" s="2">
        <v>258.0</v>
      </c>
      <c r="E1039" s="3">
        <f t="shared" si="1"/>
        <v>0.3680456491</v>
      </c>
      <c r="F1039" s="2">
        <v>105.0</v>
      </c>
      <c r="G1039" s="3">
        <f t="shared" si="2"/>
        <v>0.14978602</v>
      </c>
      <c r="H1039" s="2">
        <v>128.0</v>
      </c>
      <c r="I1039" s="3">
        <f t="shared" si="3"/>
        <v>0.182596291</v>
      </c>
      <c r="J1039" s="2">
        <v>124.0</v>
      </c>
      <c r="K1039" s="3">
        <f t="shared" si="4"/>
        <v>0.1768901569</v>
      </c>
      <c r="L1039" s="2">
        <v>69.0</v>
      </c>
      <c r="M1039" s="3">
        <f t="shared" si="5"/>
        <v>0.5390625</v>
      </c>
      <c r="N1039" s="2">
        <v>657600.0</v>
      </c>
      <c r="O1039" s="4">
        <f t="shared" si="6"/>
        <v>5137.5</v>
      </c>
      <c r="P1039" s="2">
        <v>1.0</v>
      </c>
      <c r="Q1039" s="3">
        <f t="shared" si="7"/>
        <v>0.01515151515</v>
      </c>
      <c r="R1039" s="2">
        <v>66.0</v>
      </c>
      <c r="S1039" s="5">
        <f t="shared" si="8"/>
        <v>1</v>
      </c>
    </row>
    <row r="1040">
      <c r="A1040" s="2" t="s">
        <v>1054</v>
      </c>
      <c r="B1040" s="2">
        <v>21.0</v>
      </c>
      <c r="C1040" s="2">
        <v>248.0</v>
      </c>
      <c r="D1040" s="2">
        <v>69.0</v>
      </c>
      <c r="E1040" s="3">
        <f t="shared" si="1"/>
        <v>0.3039647577</v>
      </c>
      <c r="F1040" s="2">
        <v>34.0</v>
      </c>
      <c r="G1040" s="3">
        <f t="shared" si="2"/>
        <v>0.1497797357</v>
      </c>
      <c r="H1040" s="2">
        <v>51.0</v>
      </c>
      <c r="I1040" s="3">
        <f t="shared" si="3"/>
        <v>0.2246696035</v>
      </c>
      <c r="J1040" s="2">
        <v>42.0</v>
      </c>
      <c r="K1040" s="3">
        <f t="shared" si="4"/>
        <v>0.1850220264</v>
      </c>
      <c r="L1040" s="2">
        <v>31.0</v>
      </c>
      <c r="M1040" s="3">
        <f t="shared" si="5"/>
        <v>0.6078431373</v>
      </c>
      <c r="N1040" s="2">
        <v>315900.0</v>
      </c>
      <c r="O1040" s="4">
        <f t="shared" si="6"/>
        <v>6194.117647</v>
      </c>
      <c r="P1040" s="2">
        <v>0.0</v>
      </c>
      <c r="Q1040" s="3">
        <f t="shared" si="7"/>
        <v>0</v>
      </c>
      <c r="R1040" s="2">
        <v>21.0</v>
      </c>
      <c r="S1040" s="5">
        <f t="shared" si="8"/>
        <v>1</v>
      </c>
    </row>
    <row r="1041">
      <c r="A1041" s="2" t="s">
        <v>1055</v>
      </c>
      <c r="B1041" s="2">
        <v>132.0</v>
      </c>
      <c r="C1041" s="2">
        <v>1474.0</v>
      </c>
      <c r="D1041" s="2">
        <v>422.0</v>
      </c>
      <c r="E1041" s="3">
        <f t="shared" si="1"/>
        <v>0.3144560358</v>
      </c>
      <c r="F1041" s="2">
        <v>201.0</v>
      </c>
      <c r="G1041" s="3">
        <f t="shared" si="2"/>
        <v>0.1497764531</v>
      </c>
      <c r="H1041" s="2">
        <v>290.0</v>
      </c>
      <c r="I1041" s="3">
        <f t="shared" si="3"/>
        <v>0.21609538</v>
      </c>
      <c r="J1041" s="2">
        <v>231.0</v>
      </c>
      <c r="K1041" s="3">
        <f t="shared" si="4"/>
        <v>0.1721311475</v>
      </c>
      <c r="L1041" s="2">
        <v>179.0</v>
      </c>
      <c r="M1041" s="3">
        <f t="shared" si="5"/>
        <v>0.6172413793</v>
      </c>
      <c r="N1041" s="2">
        <v>1576600.0</v>
      </c>
      <c r="O1041" s="4">
        <f t="shared" si="6"/>
        <v>5436.551724</v>
      </c>
      <c r="P1041" s="2">
        <v>1.0</v>
      </c>
      <c r="Q1041" s="3">
        <f t="shared" si="7"/>
        <v>0.007575757576</v>
      </c>
      <c r="R1041" s="2">
        <v>0.0</v>
      </c>
      <c r="S1041" s="5">
        <f t="shared" si="8"/>
        <v>0</v>
      </c>
    </row>
    <row r="1042">
      <c r="A1042" s="2" t="s">
        <v>1056</v>
      </c>
      <c r="B1042" s="2">
        <v>19.0</v>
      </c>
      <c r="C1042" s="2">
        <v>226.0</v>
      </c>
      <c r="D1042" s="2">
        <v>75.0</v>
      </c>
      <c r="E1042" s="3">
        <f t="shared" si="1"/>
        <v>0.3623188406</v>
      </c>
      <c r="F1042" s="2">
        <v>31.0</v>
      </c>
      <c r="G1042" s="3">
        <f t="shared" si="2"/>
        <v>0.1497584541</v>
      </c>
      <c r="H1042" s="2">
        <v>31.0</v>
      </c>
      <c r="I1042" s="3">
        <f t="shared" si="3"/>
        <v>0.1497584541</v>
      </c>
      <c r="J1042" s="2">
        <v>29.0</v>
      </c>
      <c r="K1042" s="3">
        <f t="shared" si="4"/>
        <v>0.1400966184</v>
      </c>
      <c r="L1042" s="2">
        <v>22.0</v>
      </c>
      <c r="M1042" s="3">
        <f t="shared" si="5"/>
        <v>0.7096774194</v>
      </c>
      <c r="N1042" s="2">
        <v>170500.0</v>
      </c>
      <c r="O1042" s="4">
        <f t="shared" si="6"/>
        <v>5500</v>
      </c>
      <c r="P1042" s="2">
        <v>0.0</v>
      </c>
      <c r="Q1042" s="3">
        <f t="shared" si="7"/>
        <v>0</v>
      </c>
      <c r="R1042" s="2">
        <v>19.0</v>
      </c>
      <c r="S1042" s="5">
        <f t="shared" si="8"/>
        <v>1</v>
      </c>
    </row>
    <row r="1043">
      <c r="A1043" s="2" t="s">
        <v>1057</v>
      </c>
      <c r="B1043" s="2">
        <v>204.0</v>
      </c>
      <c r="C1043" s="2">
        <v>2341.0</v>
      </c>
      <c r="D1043" s="2">
        <v>788.0</v>
      </c>
      <c r="E1043" s="3">
        <f t="shared" si="1"/>
        <v>0.368741226</v>
      </c>
      <c r="F1043" s="2">
        <v>320.0</v>
      </c>
      <c r="G1043" s="3">
        <f t="shared" si="2"/>
        <v>0.1497426299</v>
      </c>
      <c r="H1043" s="2">
        <v>481.0</v>
      </c>
      <c r="I1043" s="3">
        <f t="shared" si="3"/>
        <v>0.2250818905</v>
      </c>
      <c r="J1043" s="2">
        <v>356.0</v>
      </c>
      <c r="K1043" s="3">
        <f t="shared" si="4"/>
        <v>0.1665886757</v>
      </c>
      <c r="L1043" s="2">
        <v>297.0</v>
      </c>
      <c r="M1043" s="3">
        <f t="shared" si="5"/>
        <v>0.6174636175</v>
      </c>
      <c r="N1043" s="2">
        <v>2744300.0</v>
      </c>
      <c r="O1043" s="4">
        <f t="shared" si="6"/>
        <v>5705.405405</v>
      </c>
      <c r="P1043" s="2">
        <v>2.0</v>
      </c>
      <c r="Q1043" s="3">
        <f t="shared" si="7"/>
        <v>0.009803921569</v>
      </c>
      <c r="R1043" s="2">
        <v>204.0</v>
      </c>
      <c r="S1043" s="5">
        <f t="shared" si="8"/>
        <v>1</v>
      </c>
    </row>
    <row r="1044">
      <c r="A1044" s="2" t="s">
        <v>1058</v>
      </c>
      <c r="B1044" s="2">
        <v>63.0</v>
      </c>
      <c r="C1044" s="2">
        <v>731.0</v>
      </c>
      <c r="D1044" s="2">
        <v>196.0</v>
      </c>
      <c r="E1044" s="3">
        <f t="shared" si="1"/>
        <v>0.2934131737</v>
      </c>
      <c r="F1044" s="2">
        <v>100.0</v>
      </c>
      <c r="G1044" s="3">
        <f t="shared" si="2"/>
        <v>0.1497005988</v>
      </c>
      <c r="H1044" s="2">
        <v>125.0</v>
      </c>
      <c r="I1044" s="3">
        <f t="shared" si="3"/>
        <v>0.1871257485</v>
      </c>
      <c r="J1044" s="2">
        <v>121.0</v>
      </c>
      <c r="K1044" s="3">
        <f t="shared" si="4"/>
        <v>0.1811377246</v>
      </c>
      <c r="L1044" s="2">
        <v>68.0</v>
      </c>
      <c r="M1044" s="3">
        <f t="shared" si="5"/>
        <v>0.544</v>
      </c>
      <c r="N1044" s="2">
        <v>789000.0</v>
      </c>
      <c r="O1044" s="4">
        <f t="shared" si="6"/>
        <v>6312</v>
      </c>
      <c r="P1044" s="2">
        <v>0.0</v>
      </c>
      <c r="Q1044" s="3">
        <f t="shared" si="7"/>
        <v>0</v>
      </c>
      <c r="R1044" s="2">
        <v>3.0</v>
      </c>
      <c r="S1044" s="5">
        <f t="shared" si="8"/>
        <v>0.04761904762</v>
      </c>
    </row>
    <row r="1045">
      <c r="A1045" s="2" t="s">
        <v>1059</v>
      </c>
      <c r="B1045" s="2">
        <v>60.0</v>
      </c>
      <c r="C1045" s="2">
        <v>708.0</v>
      </c>
      <c r="D1045" s="2">
        <v>205.0</v>
      </c>
      <c r="E1045" s="3">
        <f t="shared" si="1"/>
        <v>0.3163580247</v>
      </c>
      <c r="F1045" s="2">
        <v>97.0</v>
      </c>
      <c r="G1045" s="3">
        <f t="shared" si="2"/>
        <v>0.149691358</v>
      </c>
      <c r="H1045" s="2">
        <v>124.0</v>
      </c>
      <c r="I1045" s="3">
        <f t="shared" si="3"/>
        <v>0.1913580247</v>
      </c>
      <c r="J1045" s="2">
        <v>106.0</v>
      </c>
      <c r="K1045" s="3">
        <f t="shared" si="4"/>
        <v>0.1635802469</v>
      </c>
      <c r="L1045" s="2">
        <v>72.0</v>
      </c>
      <c r="M1045" s="3">
        <f t="shared" si="5"/>
        <v>0.5806451613</v>
      </c>
      <c r="N1045" s="2">
        <v>687500.0</v>
      </c>
      <c r="O1045" s="4">
        <f t="shared" si="6"/>
        <v>5544.354839</v>
      </c>
      <c r="P1045" s="2">
        <v>1.0</v>
      </c>
      <c r="Q1045" s="3">
        <f t="shared" si="7"/>
        <v>0.01666666667</v>
      </c>
      <c r="R1045" s="2">
        <v>27.0</v>
      </c>
      <c r="S1045" s="5">
        <f t="shared" si="8"/>
        <v>0.45</v>
      </c>
    </row>
    <row r="1046">
      <c r="A1046" s="2" t="s">
        <v>1060</v>
      </c>
      <c r="B1046" s="2">
        <v>766.0</v>
      </c>
      <c r="C1046" s="2">
        <v>8971.0</v>
      </c>
      <c r="D1046" s="2">
        <v>2466.0</v>
      </c>
      <c r="E1046" s="3">
        <f t="shared" si="1"/>
        <v>0.3005484461</v>
      </c>
      <c r="F1046" s="2">
        <v>1228.0</v>
      </c>
      <c r="G1046" s="3">
        <f t="shared" si="2"/>
        <v>0.1496648385</v>
      </c>
      <c r="H1046" s="2">
        <v>1793.0</v>
      </c>
      <c r="I1046" s="3">
        <f t="shared" si="3"/>
        <v>0.2185252895</v>
      </c>
      <c r="J1046" s="2">
        <v>1671.0</v>
      </c>
      <c r="K1046" s="3">
        <f t="shared" si="4"/>
        <v>0.2036563071</v>
      </c>
      <c r="L1046" s="2">
        <v>1059.0</v>
      </c>
      <c r="M1046" s="3">
        <f t="shared" si="5"/>
        <v>0.5906302287</v>
      </c>
      <c r="N1046" s="2">
        <v>1.05108E7</v>
      </c>
      <c r="O1046" s="4">
        <f t="shared" si="6"/>
        <v>5862.130508</v>
      </c>
      <c r="P1046" s="2">
        <v>3.0</v>
      </c>
      <c r="Q1046" s="3">
        <f t="shared" si="7"/>
        <v>0.003916449086</v>
      </c>
      <c r="R1046" s="2">
        <v>766.0</v>
      </c>
      <c r="S1046" s="5">
        <f t="shared" si="8"/>
        <v>1</v>
      </c>
    </row>
    <row r="1047">
      <c r="A1047" s="2" t="s">
        <v>1061</v>
      </c>
      <c r="B1047" s="2">
        <v>149.0</v>
      </c>
      <c r="C1047" s="2">
        <v>1786.0</v>
      </c>
      <c r="D1047" s="2">
        <v>518.0</v>
      </c>
      <c r="E1047" s="3">
        <f t="shared" si="1"/>
        <v>0.3164324985</v>
      </c>
      <c r="F1047" s="2">
        <v>245.0</v>
      </c>
      <c r="G1047" s="3">
        <f t="shared" si="2"/>
        <v>0.1496640195</v>
      </c>
      <c r="H1047" s="2">
        <v>330.0</v>
      </c>
      <c r="I1047" s="3">
        <f t="shared" si="3"/>
        <v>0.2015882712</v>
      </c>
      <c r="J1047" s="2">
        <v>251.0</v>
      </c>
      <c r="K1047" s="3">
        <f t="shared" si="4"/>
        <v>0.1533292608</v>
      </c>
      <c r="L1047" s="2">
        <v>185.0</v>
      </c>
      <c r="M1047" s="3">
        <f t="shared" si="5"/>
        <v>0.5606060606</v>
      </c>
      <c r="N1047" s="2">
        <v>1979400.0</v>
      </c>
      <c r="O1047" s="4">
        <f t="shared" si="6"/>
        <v>5998.181818</v>
      </c>
      <c r="P1047" s="2">
        <v>1.0</v>
      </c>
      <c r="Q1047" s="3">
        <f t="shared" si="7"/>
        <v>0.006711409396</v>
      </c>
      <c r="R1047" s="2">
        <v>149.0</v>
      </c>
      <c r="S1047" s="5">
        <f t="shared" si="8"/>
        <v>1</v>
      </c>
    </row>
    <row r="1048">
      <c r="A1048" s="2" t="s">
        <v>1062</v>
      </c>
      <c r="B1048" s="2">
        <v>294.0</v>
      </c>
      <c r="C1048" s="2">
        <v>3515.0</v>
      </c>
      <c r="D1048" s="2">
        <v>1270.0</v>
      </c>
      <c r="E1048" s="3">
        <f t="shared" si="1"/>
        <v>0.3942874884</v>
      </c>
      <c r="F1048" s="2">
        <v>482.0</v>
      </c>
      <c r="G1048" s="3">
        <f t="shared" si="2"/>
        <v>0.149642968</v>
      </c>
      <c r="H1048" s="2">
        <v>673.0</v>
      </c>
      <c r="I1048" s="3">
        <f t="shared" si="3"/>
        <v>0.2089413226</v>
      </c>
      <c r="J1048" s="2">
        <v>494.0</v>
      </c>
      <c r="K1048" s="3">
        <f t="shared" si="4"/>
        <v>0.1533685191</v>
      </c>
      <c r="L1048" s="2">
        <v>397.0</v>
      </c>
      <c r="M1048" s="3">
        <f t="shared" si="5"/>
        <v>0.5898959881</v>
      </c>
      <c r="N1048" s="2">
        <v>3678400.0</v>
      </c>
      <c r="O1048" s="4">
        <f t="shared" si="6"/>
        <v>5465.676077</v>
      </c>
      <c r="P1048" s="2">
        <v>0.0</v>
      </c>
      <c r="Q1048" s="3">
        <f t="shared" si="7"/>
        <v>0</v>
      </c>
      <c r="R1048" s="2">
        <v>294.0</v>
      </c>
      <c r="S1048" s="5">
        <f t="shared" si="8"/>
        <v>1</v>
      </c>
    </row>
    <row r="1049">
      <c r="A1049" s="2" t="s">
        <v>1063</v>
      </c>
      <c r="B1049" s="2">
        <v>101.0</v>
      </c>
      <c r="C1049" s="2">
        <v>1197.0</v>
      </c>
      <c r="D1049" s="2">
        <v>397.0</v>
      </c>
      <c r="E1049" s="3">
        <f t="shared" si="1"/>
        <v>0.3622262774</v>
      </c>
      <c r="F1049" s="2">
        <v>164.0</v>
      </c>
      <c r="G1049" s="3">
        <f t="shared" si="2"/>
        <v>0.1496350365</v>
      </c>
      <c r="H1049" s="2">
        <v>234.0</v>
      </c>
      <c r="I1049" s="3">
        <f t="shared" si="3"/>
        <v>0.2135036496</v>
      </c>
      <c r="J1049" s="2">
        <v>219.0</v>
      </c>
      <c r="K1049" s="3">
        <f t="shared" si="4"/>
        <v>0.1998175182</v>
      </c>
      <c r="L1049" s="2">
        <v>144.0</v>
      </c>
      <c r="M1049" s="3">
        <f t="shared" si="5"/>
        <v>0.6153846154</v>
      </c>
      <c r="N1049" s="2">
        <v>1354500.0</v>
      </c>
      <c r="O1049" s="4">
        <f t="shared" si="6"/>
        <v>5788.461538</v>
      </c>
      <c r="P1049" s="2">
        <v>0.0</v>
      </c>
      <c r="Q1049" s="3">
        <f t="shared" si="7"/>
        <v>0</v>
      </c>
      <c r="R1049" s="2">
        <v>0.0</v>
      </c>
      <c r="S1049" s="5">
        <f t="shared" si="8"/>
        <v>0</v>
      </c>
    </row>
    <row r="1050">
      <c r="A1050" s="2" t="s">
        <v>1064</v>
      </c>
      <c r="B1050" s="2">
        <v>225.0</v>
      </c>
      <c r="C1050" s="2">
        <v>2591.0</v>
      </c>
      <c r="D1050" s="2">
        <v>698.0</v>
      </c>
      <c r="E1050" s="3">
        <f t="shared" si="1"/>
        <v>0.2950126796</v>
      </c>
      <c r="F1050" s="2">
        <v>354.0</v>
      </c>
      <c r="G1050" s="3">
        <f t="shared" si="2"/>
        <v>0.1496196112</v>
      </c>
      <c r="H1050" s="2">
        <v>516.0</v>
      </c>
      <c r="I1050" s="3">
        <f t="shared" si="3"/>
        <v>0.2180896027</v>
      </c>
      <c r="J1050" s="2">
        <v>481.0</v>
      </c>
      <c r="K1050" s="3">
        <f t="shared" si="4"/>
        <v>0.2032967033</v>
      </c>
      <c r="L1050" s="2">
        <v>304.0</v>
      </c>
      <c r="M1050" s="3">
        <f t="shared" si="5"/>
        <v>0.5891472868</v>
      </c>
      <c r="N1050" s="2">
        <v>2991200.0</v>
      </c>
      <c r="O1050" s="4">
        <f t="shared" si="6"/>
        <v>5796.899225</v>
      </c>
      <c r="P1050" s="2">
        <v>0.0</v>
      </c>
      <c r="Q1050" s="3">
        <f t="shared" si="7"/>
        <v>0</v>
      </c>
      <c r="R1050" s="2">
        <v>126.0</v>
      </c>
      <c r="S1050" s="5">
        <f t="shared" si="8"/>
        <v>0.56</v>
      </c>
    </row>
    <row r="1051">
      <c r="A1051" s="2" t="s">
        <v>1065</v>
      </c>
      <c r="B1051" s="2">
        <v>300.0</v>
      </c>
      <c r="C1051" s="2">
        <v>3495.0</v>
      </c>
      <c r="D1051" s="2">
        <v>1181.0</v>
      </c>
      <c r="E1051" s="3">
        <f t="shared" si="1"/>
        <v>0.3696400626</v>
      </c>
      <c r="F1051" s="2">
        <v>478.0</v>
      </c>
      <c r="G1051" s="3">
        <f t="shared" si="2"/>
        <v>0.1496087637</v>
      </c>
      <c r="H1051" s="2">
        <v>748.0</v>
      </c>
      <c r="I1051" s="3">
        <f t="shared" si="3"/>
        <v>0.2341158059</v>
      </c>
      <c r="J1051" s="2">
        <v>622.0</v>
      </c>
      <c r="K1051" s="3">
        <f t="shared" si="4"/>
        <v>0.1946791862</v>
      </c>
      <c r="L1051" s="2">
        <v>455.0</v>
      </c>
      <c r="M1051" s="3">
        <f t="shared" si="5"/>
        <v>0.6082887701</v>
      </c>
      <c r="N1051" s="2">
        <v>4067100.0</v>
      </c>
      <c r="O1051" s="4">
        <f t="shared" si="6"/>
        <v>5437.299465</v>
      </c>
      <c r="P1051" s="2">
        <v>0.0</v>
      </c>
      <c r="Q1051" s="3">
        <f t="shared" si="7"/>
        <v>0</v>
      </c>
      <c r="R1051" s="2">
        <v>300.0</v>
      </c>
      <c r="S1051" s="5">
        <f t="shared" si="8"/>
        <v>1</v>
      </c>
    </row>
    <row r="1052">
      <c r="A1052" s="2" t="s">
        <v>1066</v>
      </c>
      <c r="B1052" s="2">
        <v>11.0</v>
      </c>
      <c r="C1052" s="2">
        <v>138.0</v>
      </c>
      <c r="D1052" s="2">
        <v>39.0</v>
      </c>
      <c r="E1052" s="3">
        <f t="shared" si="1"/>
        <v>0.3070866142</v>
      </c>
      <c r="F1052" s="2">
        <v>19.0</v>
      </c>
      <c r="G1052" s="3">
        <f t="shared" si="2"/>
        <v>0.1496062992</v>
      </c>
      <c r="H1052" s="2">
        <v>20.0</v>
      </c>
      <c r="I1052" s="3">
        <f t="shared" si="3"/>
        <v>0.157480315</v>
      </c>
      <c r="J1052" s="2">
        <v>23.0</v>
      </c>
      <c r="K1052" s="3">
        <f t="shared" si="4"/>
        <v>0.1811023622</v>
      </c>
      <c r="L1052" s="2">
        <v>12.0</v>
      </c>
      <c r="M1052" s="3">
        <f t="shared" si="5"/>
        <v>0.6</v>
      </c>
      <c r="N1052" s="2">
        <v>126000.0</v>
      </c>
      <c r="O1052" s="4">
        <f t="shared" si="6"/>
        <v>6300</v>
      </c>
      <c r="P1052" s="2">
        <v>0.0</v>
      </c>
      <c r="Q1052" s="3">
        <f t="shared" si="7"/>
        <v>0</v>
      </c>
      <c r="R1052" s="2">
        <v>9.0</v>
      </c>
      <c r="S1052" s="5">
        <f t="shared" si="8"/>
        <v>0.8181818182</v>
      </c>
    </row>
    <row r="1053">
      <c r="A1053" s="2" t="s">
        <v>1067</v>
      </c>
      <c r="B1053" s="2">
        <v>174.0</v>
      </c>
      <c r="C1053" s="2">
        <v>2059.0</v>
      </c>
      <c r="D1053" s="2">
        <v>542.0</v>
      </c>
      <c r="E1053" s="3">
        <f t="shared" si="1"/>
        <v>0.2875331565</v>
      </c>
      <c r="F1053" s="2">
        <v>282.0</v>
      </c>
      <c r="G1053" s="3">
        <f t="shared" si="2"/>
        <v>0.149602122</v>
      </c>
      <c r="H1053" s="2">
        <v>397.0</v>
      </c>
      <c r="I1053" s="3">
        <f t="shared" si="3"/>
        <v>0.2106100796</v>
      </c>
      <c r="J1053" s="2">
        <v>458.0</v>
      </c>
      <c r="K1053" s="3">
        <f t="shared" si="4"/>
        <v>0.2429708223</v>
      </c>
      <c r="L1053" s="2">
        <v>219.0</v>
      </c>
      <c r="M1053" s="3">
        <f t="shared" si="5"/>
        <v>0.5516372796</v>
      </c>
      <c r="N1053" s="2">
        <v>2204900.0</v>
      </c>
      <c r="O1053" s="4">
        <f t="shared" si="6"/>
        <v>5553.904282</v>
      </c>
      <c r="P1053" s="2">
        <v>0.0</v>
      </c>
      <c r="Q1053" s="3">
        <f t="shared" si="7"/>
        <v>0</v>
      </c>
      <c r="R1053" s="2">
        <v>81.0</v>
      </c>
      <c r="S1053" s="5">
        <f t="shared" si="8"/>
        <v>0.4655172414</v>
      </c>
    </row>
    <row r="1054">
      <c r="A1054" s="2" t="s">
        <v>1068</v>
      </c>
      <c r="B1054" s="2">
        <v>456.0</v>
      </c>
      <c r="C1054" s="2">
        <v>5289.0</v>
      </c>
      <c r="D1054" s="2">
        <v>1759.0</v>
      </c>
      <c r="E1054" s="3">
        <f t="shared" si="1"/>
        <v>0.3639561349</v>
      </c>
      <c r="F1054" s="2">
        <v>723.0</v>
      </c>
      <c r="G1054" s="3">
        <f t="shared" si="2"/>
        <v>0.1495965239</v>
      </c>
      <c r="H1054" s="2">
        <v>1019.0</v>
      </c>
      <c r="I1054" s="3">
        <f t="shared" si="3"/>
        <v>0.210842127</v>
      </c>
      <c r="J1054" s="2">
        <v>785.0</v>
      </c>
      <c r="K1054" s="3">
        <f t="shared" si="4"/>
        <v>0.1624249948</v>
      </c>
      <c r="L1054" s="2">
        <v>597.0</v>
      </c>
      <c r="M1054" s="3">
        <f t="shared" si="5"/>
        <v>0.5858684985</v>
      </c>
      <c r="N1054" s="2">
        <v>5860800.0</v>
      </c>
      <c r="O1054" s="4">
        <f t="shared" si="6"/>
        <v>5751.521099</v>
      </c>
      <c r="P1054" s="2">
        <v>3.0</v>
      </c>
      <c r="Q1054" s="3">
        <f t="shared" si="7"/>
        <v>0.006578947368</v>
      </c>
      <c r="R1054" s="2">
        <v>0.0</v>
      </c>
      <c r="S1054" s="5">
        <f t="shared" si="8"/>
        <v>0</v>
      </c>
    </row>
    <row r="1055">
      <c r="A1055" s="2" t="s">
        <v>1069</v>
      </c>
      <c r="B1055" s="2">
        <v>129.0</v>
      </c>
      <c r="C1055" s="2">
        <v>1533.0</v>
      </c>
      <c r="D1055" s="2">
        <v>495.0</v>
      </c>
      <c r="E1055" s="3">
        <f t="shared" si="1"/>
        <v>0.3525641026</v>
      </c>
      <c r="F1055" s="2">
        <v>210.0</v>
      </c>
      <c r="G1055" s="3">
        <f t="shared" si="2"/>
        <v>0.1495726496</v>
      </c>
      <c r="H1055" s="2">
        <v>294.0</v>
      </c>
      <c r="I1055" s="3">
        <f t="shared" si="3"/>
        <v>0.2094017094</v>
      </c>
      <c r="J1055" s="2">
        <v>178.0</v>
      </c>
      <c r="K1055" s="3">
        <f t="shared" si="4"/>
        <v>0.1267806268</v>
      </c>
      <c r="L1055" s="2">
        <v>164.0</v>
      </c>
      <c r="M1055" s="3">
        <f t="shared" si="5"/>
        <v>0.5578231293</v>
      </c>
      <c r="N1055" s="2">
        <v>1611000.0</v>
      </c>
      <c r="O1055" s="4">
        <f t="shared" si="6"/>
        <v>5479.591837</v>
      </c>
      <c r="P1055" s="2">
        <v>0.0</v>
      </c>
      <c r="Q1055" s="3">
        <f t="shared" si="7"/>
        <v>0</v>
      </c>
      <c r="R1055" s="2">
        <v>129.0</v>
      </c>
      <c r="S1055" s="5">
        <f t="shared" si="8"/>
        <v>1</v>
      </c>
    </row>
    <row r="1056">
      <c r="A1056" s="2" t="s">
        <v>1070</v>
      </c>
      <c r="B1056" s="2">
        <v>97.0</v>
      </c>
      <c r="C1056" s="2">
        <v>1140.0</v>
      </c>
      <c r="D1056" s="2">
        <v>359.0</v>
      </c>
      <c r="E1056" s="3">
        <f t="shared" si="1"/>
        <v>0.3441994247</v>
      </c>
      <c r="F1056" s="2">
        <v>156.0</v>
      </c>
      <c r="G1056" s="3">
        <f t="shared" si="2"/>
        <v>0.1495685523</v>
      </c>
      <c r="H1056" s="2">
        <v>206.0</v>
      </c>
      <c r="I1056" s="3">
        <f t="shared" si="3"/>
        <v>0.1975071908</v>
      </c>
      <c r="J1056" s="2">
        <v>179.0</v>
      </c>
      <c r="K1056" s="3">
        <f t="shared" si="4"/>
        <v>0.171620326</v>
      </c>
      <c r="L1056" s="2">
        <v>116.0</v>
      </c>
      <c r="M1056" s="3">
        <f t="shared" si="5"/>
        <v>0.5631067961</v>
      </c>
      <c r="N1056" s="2">
        <v>1208900.0</v>
      </c>
      <c r="O1056" s="4">
        <f t="shared" si="6"/>
        <v>5868.446602</v>
      </c>
      <c r="P1056" s="2">
        <v>0.0</v>
      </c>
      <c r="Q1056" s="3">
        <f t="shared" si="7"/>
        <v>0</v>
      </c>
      <c r="R1056" s="2">
        <v>97.0</v>
      </c>
      <c r="S1056" s="5">
        <f t="shared" si="8"/>
        <v>1</v>
      </c>
    </row>
    <row r="1057">
      <c r="A1057" s="2" t="s">
        <v>1071</v>
      </c>
      <c r="B1057" s="2">
        <v>1076.0</v>
      </c>
      <c r="C1057" s="2">
        <v>12636.0</v>
      </c>
      <c r="D1057" s="2">
        <v>4362.0</v>
      </c>
      <c r="E1057" s="3">
        <f t="shared" si="1"/>
        <v>0.3773356401</v>
      </c>
      <c r="F1057" s="2">
        <v>1729.0</v>
      </c>
      <c r="G1057" s="3">
        <f t="shared" si="2"/>
        <v>0.149567474</v>
      </c>
      <c r="H1057" s="2">
        <v>2488.0</v>
      </c>
      <c r="I1057" s="3">
        <f t="shared" si="3"/>
        <v>0.2152249135</v>
      </c>
      <c r="J1057" s="2">
        <v>2150.0</v>
      </c>
      <c r="K1057" s="3">
        <f t="shared" si="4"/>
        <v>0.1859861592</v>
      </c>
      <c r="L1057" s="2">
        <v>1451.0</v>
      </c>
      <c r="M1057" s="3">
        <f t="shared" si="5"/>
        <v>0.5831993569</v>
      </c>
      <c r="N1057" s="2">
        <v>1.50034E7</v>
      </c>
      <c r="O1057" s="4">
        <f t="shared" si="6"/>
        <v>6030.305466</v>
      </c>
      <c r="P1057" s="2">
        <v>3.0</v>
      </c>
      <c r="Q1057" s="3">
        <f t="shared" si="7"/>
        <v>0.002788104089</v>
      </c>
      <c r="R1057" s="2">
        <v>1076.0</v>
      </c>
      <c r="S1057" s="5">
        <f t="shared" si="8"/>
        <v>1</v>
      </c>
    </row>
    <row r="1058">
      <c r="A1058" s="2" t="s">
        <v>1072</v>
      </c>
      <c r="B1058" s="2">
        <v>180.0</v>
      </c>
      <c r="C1058" s="2">
        <v>2079.0</v>
      </c>
      <c r="D1058" s="2">
        <v>703.0</v>
      </c>
      <c r="E1058" s="3">
        <f t="shared" si="1"/>
        <v>0.3701948394</v>
      </c>
      <c r="F1058" s="2">
        <v>284.0</v>
      </c>
      <c r="G1058" s="3">
        <f t="shared" si="2"/>
        <v>0.149552396</v>
      </c>
      <c r="H1058" s="2">
        <v>382.0</v>
      </c>
      <c r="I1058" s="3">
        <f t="shared" si="3"/>
        <v>0.2011585045</v>
      </c>
      <c r="J1058" s="2">
        <v>319.0</v>
      </c>
      <c r="K1058" s="3">
        <f t="shared" si="4"/>
        <v>0.167983149</v>
      </c>
      <c r="L1058" s="2">
        <v>225.0</v>
      </c>
      <c r="M1058" s="3">
        <f t="shared" si="5"/>
        <v>0.5890052356</v>
      </c>
      <c r="N1058" s="2">
        <v>2172800.0</v>
      </c>
      <c r="O1058" s="4">
        <f t="shared" si="6"/>
        <v>5687.958115</v>
      </c>
      <c r="P1058" s="2">
        <v>0.0</v>
      </c>
      <c r="Q1058" s="3">
        <f t="shared" si="7"/>
        <v>0</v>
      </c>
      <c r="R1058" s="2">
        <v>180.0</v>
      </c>
      <c r="S1058" s="5">
        <f t="shared" si="8"/>
        <v>1</v>
      </c>
    </row>
    <row r="1059">
      <c r="A1059" s="2" t="s">
        <v>1073</v>
      </c>
      <c r="B1059" s="2">
        <v>45.0</v>
      </c>
      <c r="C1059" s="2">
        <v>560.0</v>
      </c>
      <c r="D1059" s="2">
        <v>189.0</v>
      </c>
      <c r="E1059" s="3">
        <f t="shared" si="1"/>
        <v>0.3669902913</v>
      </c>
      <c r="F1059" s="2">
        <v>77.0</v>
      </c>
      <c r="G1059" s="3">
        <f t="shared" si="2"/>
        <v>0.1495145631</v>
      </c>
      <c r="H1059" s="2">
        <v>91.0</v>
      </c>
      <c r="I1059" s="3">
        <f t="shared" si="3"/>
        <v>0.1766990291</v>
      </c>
      <c r="J1059" s="2">
        <v>71.0</v>
      </c>
      <c r="K1059" s="3">
        <f t="shared" si="4"/>
        <v>0.1378640777</v>
      </c>
      <c r="L1059" s="2">
        <v>59.0</v>
      </c>
      <c r="M1059" s="3">
        <f t="shared" si="5"/>
        <v>0.6483516484</v>
      </c>
      <c r="N1059" s="2">
        <v>502600.0</v>
      </c>
      <c r="O1059" s="4">
        <f t="shared" si="6"/>
        <v>5523.076923</v>
      </c>
      <c r="P1059" s="2">
        <v>0.0</v>
      </c>
      <c r="Q1059" s="3">
        <f t="shared" si="7"/>
        <v>0</v>
      </c>
      <c r="R1059" s="2">
        <v>2.0</v>
      </c>
      <c r="S1059" s="5">
        <f t="shared" si="8"/>
        <v>0.04444444444</v>
      </c>
    </row>
    <row r="1060">
      <c r="A1060" s="2" t="s">
        <v>1074</v>
      </c>
      <c r="B1060" s="2">
        <v>273.0</v>
      </c>
      <c r="C1060" s="2">
        <v>3203.0</v>
      </c>
      <c r="D1060" s="2">
        <v>1072.0</v>
      </c>
      <c r="E1060" s="3">
        <f t="shared" si="1"/>
        <v>0.3658703072</v>
      </c>
      <c r="F1060" s="2">
        <v>438.0</v>
      </c>
      <c r="G1060" s="3">
        <f t="shared" si="2"/>
        <v>0.1494880546</v>
      </c>
      <c r="H1060" s="2">
        <v>622.0</v>
      </c>
      <c r="I1060" s="3">
        <f t="shared" si="3"/>
        <v>0.2122866894</v>
      </c>
      <c r="J1060" s="2">
        <v>486.0</v>
      </c>
      <c r="K1060" s="3">
        <f t="shared" si="4"/>
        <v>0.1658703072</v>
      </c>
      <c r="L1060" s="2">
        <v>377.0</v>
      </c>
      <c r="M1060" s="3">
        <f t="shared" si="5"/>
        <v>0.6061093248</v>
      </c>
      <c r="N1060" s="2">
        <v>3623900.0</v>
      </c>
      <c r="O1060" s="4">
        <f t="shared" si="6"/>
        <v>5826.205788</v>
      </c>
      <c r="P1060" s="2">
        <v>0.0</v>
      </c>
      <c r="Q1060" s="3">
        <f t="shared" si="7"/>
        <v>0</v>
      </c>
      <c r="R1060" s="2">
        <v>273.0</v>
      </c>
      <c r="S1060" s="5">
        <f t="shared" si="8"/>
        <v>1</v>
      </c>
    </row>
    <row r="1061">
      <c r="A1061" s="2" t="s">
        <v>1075</v>
      </c>
      <c r="B1061" s="2">
        <v>54.0</v>
      </c>
      <c r="C1061" s="2">
        <v>636.0</v>
      </c>
      <c r="D1061" s="2">
        <v>197.0</v>
      </c>
      <c r="E1061" s="3">
        <f t="shared" si="1"/>
        <v>0.3384879725</v>
      </c>
      <c r="F1061" s="2">
        <v>87.0</v>
      </c>
      <c r="G1061" s="3">
        <f t="shared" si="2"/>
        <v>0.1494845361</v>
      </c>
      <c r="H1061" s="2">
        <v>107.0</v>
      </c>
      <c r="I1061" s="3">
        <f t="shared" si="3"/>
        <v>0.1838487973</v>
      </c>
      <c r="J1061" s="2">
        <v>89.0</v>
      </c>
      <c r="K1061" s="3">
        <f t="shared" si="4"/>
        <v>0.1529209622</v>
      </c>
      <c r="L1061" s="2">
        <v>60.0</v>
      </c>
      <c r="M1061" s="3">
        <f t="shared" si="5"/>
        <v>0.5607476636</v>
      </c>
      <c r="N1061" s="2">
        <v>570400.0</v>
      </c>
      <c r="O1061" s="4">
        <f t="shared" si="6"/>
        <v>5330.841121</v>
      </c>
      <c r="P1061" s="2">
        <v>0.0</v>
      </c>
      <c r="Q1061" s="3">
        <f t="shared" si="7"/>
        <v>0</v>
      </c>
      <c r="R1061" s="2">
        <v>54.0</v>
      </c>
      <c r="S1061" s="5">
        <f t="shared" si="8"/>
        <v>1</v>
      </c>
    </row>
    <row r="1062">
      <c r="A1062" s="2" t="s">
        <v>1076</v>
      </c>
      <c r="B1062" s="2">
        <v>301.0</v>
      </c>
      <c r="C1062" s="2">
        <v>3559.0</v>
      </c>
      <c r="D1062" s="2">
        <v>1042.0</v>
      </c>
      <c r="E1062" s="3">
        <f t="shared" si="1"/>
        <v>0.3198281154</v>
      </c>
      <c r="F1062" s="2">
        <v>487.0</v>
      </c>
      <c r="G1062" s="3">
        <f t="shared" si="2"/>
        <v>0.1494782075</v>
      </c>
      <c r="H1062" s="2">
        <v>756.0</v>
      </c>
      <c r="I1062" s="3">
        <f t="shared" si="3"/>
        <v>0.2320441989</v>
      </c>
      <c r="J1062" s="2">
        <v>708.0</v>
      </c>
      <c r="K1062" s="3">
        <f t="shared" si="4"/>
        <v>0.2173112339</v>
      </c>
      <c r="L1062" s="2">
        <v>410.0</v>
      </c>
      <c r="M1062" s="3">
        <f t="shared" si="5"/>
        <v>0.5423280423</v>
      </c>
      <c r="N1062" s="2">
        <v>3935200.0</v>
      </c>
      <c r="O1062" s="4">
        <f t="shared" si="6"/>
        <v>5205.291005</v>
      </c>
      <c r="P1062" s="2">
        <v>0.0</v>
      </c>
      <c r="Q1062" s="3">
        <f t="shared" si="7"/>
        <v>0</v>
      </c>
      <c r="R1062" s="2">
        <v>301.0</v>
      </c>
      <c r="S1062" s="5">
        <f t="shared" si="8"/>
        <v>1</v>
      </c>
    </row>
    <row r="1063">
      <c r="A1063" s="2" t="s">
        <v>1077</v>
      </c>
      <c r="B1063" s="2">
        <v>59.0</v>
      </c>
      <c r="C1063" s="2">
        <v>708.0</v>
      </c>
      <c r="D1063" s="2">
        <v>220.0</v>
      </c>
      <c r="E1063" s="3">
        <f t="shared" si="1"/>
        <v>0.3389830508</v>
      </c>
      <c r="F1063" s="2">
        <v>97.0</v>
      </c>
      <c r="G1063" s="3">
        <f t="shared" si="2"/>
        <v>0.1494607088</v>
      </c>
      <c r="H1063" s="2">
        <v>129.0</v>
      </c>
      <c r="I1063" s="3">
        <f t="shared" si="3"/>
        <v>0.1987673344</v>
      </c>
      <c r="J1063" s="2">
        <v>100.0</v>
      </c>
      <c r="K1063" s="3">
        <f t="shared" si="4"/>
        <v>0.1540832049</v>
      </c>
      <c r="L1063" s="2">
        <v>83.0</v>
      </c>
      <c r="M1063" s="3">
        <f t="shared" si="5"/>
        <v>0.6434108527</v>
      </c>
      <c r="N1063" s="2">
        <v>701300.0</v>
      </c>
      <c r="O1063" s="4">
        <f t="shared" si="6"/>
        <v>5436.434109</v>
      </c>
      <c r="P1063" s="2">
        <v>0.0</v>
      </c>
      <c r="Q1063" s="3">
        <f t="shared" si="7"/>
        <v>0</v>
      </c>
      <c r="R1063" s="2">
        <v>59.0</v>
      </c>
      <c r="S1063" s="5">
        <f t="shared" si="8"/>
        <v>1</v>
      </c>
    </row>
    <row r="1064">
      <c r="A1064" s="2" t="s">
        <v>1078</v>
      </c>
      <c r="B1064" s="2">
        <v>42.0</v>
      </c>
      <c r="C1064" s="2">
        <v>497.0</v>
      </c>
      <c r="D1064" s="2">
        <v>189.0</v>
      </c>
      <c r="E1064" s="3">
        <f t="shared" si="1"/>
        <v>0.4153846154</v>
      </c>
      <c r="F1064" s="2">
        <v>68.0</v>
      </c>
      <c r="G1064" s="3">
        <f t="shared" si="2"/>
        <v>0.1494505495</v>
      </c>
      <c r="H1064" s="2">
        <v>82.0</v>
      </c>
      <c r="I1064" s="3">
        <f t="shared" si="3"/>
        <v>0.1802197802</v>
      </c>
      <c r="J1064" s="2">
        <v>73.0</v>
      </c>
      <c r="K1064" s="3">
        <f t="shared" si="4"/>
        <v>0.1604395604</v>
      </c>
      <c r="L1064" s="2">
        <v>50.0</v>
      </c>
      <c r="M1064" s="3">
        <f t="shared" si="5"/>
        <v>0.6097560976</v>
      </c>
      <c r="N1064" s="2">
        <v>470500.0</v>
      </c>
      <c r="O1064" s="4">
        <f t="shared" si="6"/>
        <v>5737.804878</v>
      </c>
      <c r="P1064" s="2">
        <v>0.0</v>
      </c>
      <c r="Q1064" s="3">
        <f t="shared" si="7"/>
        <v>0</v>
      </c>
      <c r="R1064" s="2">
        <v>42.0</v>
      </c>
      <c r="S1064" s="5">
        <f t="shared" si="8"/>
        <v>1</v>
      </c>
    </row>
    <row r="1065">
      <c r="A1065" s="2" t="s">
        <v>1079</v>
      </c>
      <c r="B1065" s="2">
        <v>8.0</v>
      </c>
      <c r="C1065" s="2">
        <v>95.0</v>
      </c>
      <c r="D1065" s="2">
        <v>31.0</v>
      </c>
      <c r="E1065" s="3">
        <f t="shared" si="1"/>
        <v>0.3563218391</v>
      </c>
      <c r="F1065" s="2">
        <v>13.0</v>
      </c>
      <c r="G1065" s="3">
        <f t="shared" si="2"/>
        <v>0.1494252874</v>
      </c>
      <c r="H1065" s="2">
        <v>13.0</v>
      </c>
      <c r="I1065" s="3">
        <f t="shared" si="3"/>
        <v>0.1494252874</v>
      </c>
      <c r="J1065" s="2">
        <v>14.0</v>
      </c>
      <c r="K1065" s="3">
        <f t="shared" si="4"/>
        <v>0.1609195402</v>
      </c>
      <c r="L1065" s="2">
        <v>6.0</v>
      </c>
      <c r="M1065" s="3">
        <f t="shared" si="5"/>
        <v>0.4615384615</v>
      </c>
      <c r="N1065" s="2">
        <v>76100.0</v>
      </c>
      <c r="O1065" s="4">
        <f t="shared" si="6"/>
        <v>5853.846154</v>
      </c>
      <c r="P1065" s="2">
        <v>0.0</v>
      </c>
      <c r="Q1065" s="3">
        <f t="shared" si="7"/>
        <v>0</v>
      </c>
      <c r="R1065" s="2">
        <v>3.0</v>
      </c>
      <c r="S1065" s="5">
        <f t="shared" si="8"/>
        <v>0.375</v>
      </c>
    </row>
    <row r="1066">
      <c r="A1066" s="2" t="s">
        <v>1080</v>
      </c>
      <c r="B1066" s="2">
        <v>101.0</v>
      </c>
      <c r="C1066" s="2">
        <v>1192.0</v>
      </c>
      <c r="D1066" s="2">
        <v>367.0</v>
      </c>
      <c r="E1066" s="3">
        <f t="shared" si="1"/>
        <v>0.3363886343</v>
      </c>
      <c r="F1066" s="2">
        <v>163.0</v>
      </c>
      <c r="G1066" s="3">
        <f t="shared" si="2"/>
        <v>0.1494042163</v>
      </c>
      <c r="H1066" s="2">
        <v>246.0</v>
      </c>
      <c r="I1066" s="3">
        <f t="shared" si="3"/>
        <v>0.2254812099</v>
      </c>
      <c r="J1066" s="2">
        <v>187.0</v>
      </c>
      <c r="K1066" s="3">
        <f t="shared" si="4"/>
        <v>0.1714023831</v>
      </c>
      <c r="L1066" s="2">
        <v>164.0</v>
      </c>
      <c r="M1066" s="3">
        <f t="shared" si="5"/>
        <v>0.6666666667</v>
      </c>
      <c r="N1066" s="2">
        <v>1306200.0</v>
      </c>
      <c r="O1066" s="4">
        <f t="shared" si="6"/>
        <v>5309.756098</v>
      </c>
      <c r="P1066" s="2">
        <v>0.0</v>
      </c>
      <c r="Q1066" s="3">
        <f t="shared" si="7"/>
        <v>0</v>
      </c>
      <c r="R1066" s="2">
        <v>101.0</v>
      </c>
      <c r="S1066" s="5">
        <f t="shared" si="8"/>
        <v>1</v>
      </c>
    </row>
    <row r="1067">
      <c r="A1067" s="2" t="s">
        <v>1081</v>
      </c>
      <c r="B1067" s="2">
        <v>141.0</v>
      </c>
      <c r="C1067" s="2">
        <v>1627.0</v>
      </c>
      <c r="D1067" s="2">
        <v>558.0</v>
      </c>
      <c r="E1067" s="3">
        <f t="shared" si="1"/>
        <v>0.3755047106</v>
      </c>
      <c r="F1067" s="2">
        <v>222.0</v>
      </c>
      <c r="G1067" s="3">
        <f t="shared" si="2"/>
        <v>0.1493943472</v>
      </c>
      <c r="H1067" s="2">
        <v>308.0</v>
      </c>
      <c r="I1067" s="3">
        <f t="shared" si="3"/>
        <v>0.2072678331</v>
      </c>
      <c r="J1067" s="2">
        <v>307.0</v>
      </c>
      <c r="K1067" s="3">
        <f t="shared" si="4"/>
        <v>0.2065948856</v>
      </c>
      <c r="L1067" s="2">
        <v>185.0</v>
      </c>
      <c r="M1067" s="3">
        <f t="shared" si="5"/>
        <v>0.6006493506</v>
      </c>
      <c r="N1067" s="2">
        <v>1922900.0</v>
      </c>
      <c r="O1067" s="4">
        <f t="shared" si="6"/>
        <v>6243.181818</v>
      </c>
      <c r="P1067" s="2">
        <v>1.0</v>
      </c>
      <c r="Q1067" s="3">
        <f t="shared" si="7"/>
        <v>0.007092198582</v>
      </c>
      <c r="R1067" s="2">
        <v>137.0</v>
      </c>
      <c r="S1067" s="5">
        <f t="shared" si="8"/>
        <v>0.9716312057</v>
      </c>
    </row>
    <row r="1068">
      <c r="A1068" s="2" t="s">
        <v>1082</v>
      </c>
      <c r="B1068" s="2">
        <v>50.0</v>
      </c>
      <c r="C1068" s="2">
        <v>599.0</v>
      </c>
      <c r="D1068" s="2">
        <v>150.0</v>
      </c>
      <c r="E1068" s="3">
        <f t="shared" si="1"/>
        <v>0.2732240437</v>
      </c>
      <c r="F1068" s="2">
        <v>82.0</v>
      </c>
      <c r="G1068" s="3">
        <f t="shared" si="2"/>
        <v>0.1493624772</v>
      </c>
      <c r="H1068" s="2">
        <v>107.0</v>
      </c>
      <c r="I1068" s="3">
        <f t="shared" si="3"/>
        <v>0.1948998179</v>
      </c>
      <c r="J1068" s="2">
        <v>103.0</v>
      </c>
      <c r="K1068" s="3">
        <f t="shared" si="4"/>
        <v>0.1876138434</v>
      </c>
      <c r="L1068" s="2">
        <v>52.0</v>
      </c>
      <c r="M1068" s="3">
        <f t="shared" si="5"/>
        <v>0.4859813084</v>
      </c>
      <c r="N1068" s="2">
        <v>634700.0</v>
      </c>
      <c r="O1068" s="4">
        <f t="shared" si="6"/>
        <v>5931.775701</v>
      </c>
      <c r="P1068" s="2">
        <v>0.0</v>
      </c>
      <c r="Q1068" s="3">
        <f t="shared" si="7"/>
        <v>0</v>
      </c>
      <c r="R1068" s="2">
        <v>50.0</v>
      </c>
      <c r="S1068" s="5">
        <f t="shared" si="8"/>
        <v>1</v>
      </c>
    </row>
    <row r="1069">
      <c r="A1069" s="2" t="s">
        <v>1083</v>
      </c>
      <c r="B1069" s="2">
        <v>302.0</v>
      </c>
      <c r="C1069" s="2">
        <v>3469.0</v>
      </c>
      <c r="D1069" s="2">
        <v>1128.0</v>
      </c>
      <c r="E1069" s="3">
        <f t="shared" si="1"/>
        <v>0.3561730344</v>
      </c>
      <c r="F1069" s="2">
        <v>473.0</v>
      </c>
      <c r="G1069" s="3">
        <f t="shared" si="2"/>
        <v>0.1493526997</v>
      </c>
      <c r="H1069" s="2">
        <v>713.0</v>
      </c>
      <c r="I1069" s="3">
        <f t="shared" si="3"/>
        <v>0.2251341964</v>
      </c>
      <c r="J1069" s="2">
        <v>572.0</v>
      </c>
      <c r="K1069" s="3">
        <f t="shared" si="4"/>
        <v>0.1806125671</v>
      </c>
      <c r="L1069" s="2">
        <v>419.0</v>
      </c>
      <c r="M1069" s="3">
        <f t="shared" si="5"/>
        <v>0.587657784</v>
      </c>
      <c r="N1069" s="2">
        <v>3826800.0</v>
      </c>
      <c r="O1069" s="4">
        <f t="shared" si="6"/>
        <v>5367.180926</v>
      </c>
      <c r="P1069" s="2">
        <v>0.0</v>
      </c>
      <c r="Q1069" s="3">
        <f t="shared" si="7"/>
        <v>0</v>
      </c>
      <c r="R1069" s="2">
        <v>302.0</v>
      </c>
      <c r="S1069" s="5">
        <f t="shared" si="8"/>
        <v>1</v>
      </c>
    </row>
    <row r="1070">
      <c r="A1070" s="2" t="s">
        <v>1084</v>
      </c>
      <c r="B1070" s="2">
        <v>59.0</v>
      </c>
      <c r="C1070" s="2">
        <v>675.0</v>
      </c>
      <c r="D1070" s="2">
        <v>155.0</v>
      </c>
      <c r="E1070" s="3">
        <f t="shared" si="1"/>
        <v>0.2516233766</v>
      </c>
      <c r="F1070" s="2">
        <v>92.0</v>
      </c>
      <c r="G1070" s="3">
        <f t="shared" si="2"/>
        <v>0.1493506494</v>
      </c>
      <c r="H1070" s="2">
        <v>121.0</v>
      </c>
      <c r="I1070" s="3">
        <f t="shared" si="3"/>
        <v>0.1964285714</v>
      </c>
      <c r="J1070" s="2">
        <v>127.0</v>
      </c>
      <c r="K1070" s="3">
        <f t="shared" si="4"/>
        <v>0.2061688312</v>
      </c>
      <c r="L1070" s="2">
        <v>72.0</v>
      </c>
      <c r="M1070" s="3">
        <f t="shared" si="5"/>
        <v>0.5950413223</v>
      </c>
      <c r="N1070" s="2">
        <v>764500.0</v>
      </c>
      <c r="O1070" s="4">
        <f t="shared" si="6"/>
        <v>6318.181818</v>
      </c>
      <c r="P1070" s="2">
        <v>0.0</v>
      </c>
      <c r="Q1070" s="3">
        <f t="shared" si="7"/>
        <v>0</v>
      </c>
      <c r="R1070" s="2">
        <v>59.0</v>
      </c>
      <c r="S1070" s="5">
        <f t="shared" si="8"/>
        <v>1</v>
      </c>
    </row>
    <row r="1071">
      <c r="A1071" s="2" t="s">
        <v>1085</v>
      </c>
      <c r="B1071" s="2">
        <v>184.0</v>
      </c>
      <c r="C1071" s="2">
        <v>2166.0</v>
      </c>
      <c r="D1071" s="2">
        <v>754.0</v>
      </c>
      <c r="E1071" s="3">
        <f t="shared" si="1"/>
        <v>0.3804238143</v>
      </c>
      <c r="F1071" s="2">
        <v>296.0</v>
      </c>
      <c r="G1071" s="3">
        <f t="shared" si="2"/>
        <v>0.1493440969</v>
      </c>
      <c r="H1071" s="2">
        <v>429.0</v>
      </c>
      <c r="I1071" s="3">
        <f t="shared" si="3"/>
        <v>0.2164480323</v>
      </c>
      <c r="J1071" s="2">
        <v>356.0</v>
      </c>
      <c r="K1071" s="3">
        <f t="shared" si="4"/>
        <v>0.1796165489</v>
      </c>
      <c r="L1071" s="2">
        <v>266.0</v>
      </c>
      <c r="M1071" s="3">
        <f t="shared" si="5"/>
        <v>0.62004662</v>
      </c>
      <c r="N1071" s="2">
        <v>2380600.0</v>
      </c>
      <c r="O1071" s="4">
        <f t="shared" si="6"/>
        <v>5549.184149</v>
      </c>
      <c r="P1071" s="2">
        <v>0.0</v>
      </c>
      <c r="Q1071" s="3">
        <f t="shared" si="7"/>
        <v>0</v>
      </c>
      <c r="R1071" s="2">
        <v>184.0</v>
      </c>
      <c r="S1071" s="5">
        <f t="shared" si="8"/>
        <v>1</v>
      </c>
    </row>
    <row r="1072">
      <c r="A1072" s="2" t="s">
        <v>1086</v>
      </c>
      <c r="B1072" s="2">
        <v>269.0</v>
      </c>
      <c r="C1072" s="2">
        <v>3155.0</v>
      </c>
      <c r="D1072" s="2">
        <v>964.0</v>
      </c>
      <c r="E1072" s="3">
        <f t="shared" si="1"/>
        <v>0.334026334</v>
      </c>
      <c r="F1072" s="2">
        <v>431.0</v>
      </c>
      <c r="G1072" s="3">
        <f t="shared" si="2"/>
        <v>0.1493416493</v>
      </c>
      <c r="H1072" s="2">
        <v>657.0</v>
      </c>
      <c r="I1072" s="3">
        <f t="shared" si="3"/>
        <v>0.2276507277</v>
      </c>
      <c r="J1072" s="2">
        <v>661.0</v>
      </c>
      <c r="K1072" s="3">
        <f t="shared" si="4"/>
        <v>0.229036729</v>
      </c>
      <c r="L1072" s="2">
        <v>395.0</v>
      </c>
      <c r="M1072" s="3">
        <f t="shared" si="5"/>
        <v>0.601217656</v>
      </c>
      <c r="N1072" s="2">
        <v>3752000.0</v>
      </c>
      <c r="O1072" s="4">
        <f t="shared" si="6"/>
        <v>5710.806697</v>
      </c>
      <c r="P1072" s="2">
        <v>1.0</v>
      </c>
      <c r="Q1072" s="3">
        <f t="shared" si="7"/>
        <v>0.003717472119</v>
      </c>
      <c r="R1072" s="2">
        <v>269.0</v>
      </c>
      <c r="S1072" s="5">
        <f t="shared" si="8"/>
        <v>1</v>
      </c>
    </row>
    <row r="1073">
      <c r="A1073" s="2" t="s">
        <v>1087</v>
      </c>
      <c r="B1073" s="2">
        <v>201.0</v>
      </c>
      <c r="C1073" s="2">
        <v>2317.0</v>
      </c>
      <c r="D1073" s="2">
        <v>711.0</v>
      </c>
      <c r="E1073" s="3">
        <f t="shared" si="1"/>
        <v>0.3360113422</v>
      </c>
      <c r="F1073" s="2">
        <v>316.0</v>
      </c>
      <c r="G1073" s="3">
        <f t="shared" si="2"/>
        <v>0.1493383743</v>
      </c>
      <c r="H1073" s="2">
        <v>436.0</v>
      </c>
      <c r="I1073" s="3">
        <f t="shared" si="3"/>
        <v>0.2060491493</v>
      </c>
      <c r="J1073" s="2">
        <v>435.0</v>
      </c>
      <c r="K1073" s="3">
        <f t="shared" si="4"/>
        <v>0.2055765595</v>
      </c>
      <c r="L1073" s="2">
        <v>242.0</v>
      </c>
      <c r="M1073" s="3">
        <f t="shared" si="5"/>
        <v>0.5550458716</v>
      </c>
      <c r="N1073" s="2">
        <v>2739900.0</v>
      </c>
      <c r="O1073" s="4">
        <f t="shared" si="6"/>
        <v>6284.174312</v>
      </c>
      <c r="P1073" s="2">
        <v>0.0</v>
      </c>
      <c r="Q1073" s="3">
        <f t="shared" si="7"/>
        <v>0</v>
      </c>
      <c r="R1073" s="2">
        <v>201.0</v>
      </c>
      <c r="S1073" s="5">
        <f t="shared" si="8"/>
        <v>1</v>
      </c>
    </row>
    <row r="1074">
      <c r="A1074" s="2" t="s">
        <v>1088</v>
      </c>
      <c r="B1074" s="2">
        <v>36.0</v>
      </c>
      <c r="C1074" s="2">
        <v>411.0</v>
      </c>
      <c r="D1074" s="2">
        <v>90.0</v>
      </c>
      <c r="E1074" s="3">
        <f t="shared" si="1"/>
        <v>0.24</v>
      </c>
      <c r="F1074" s="2">
        <v>56.0</v>
      </c>
      <c r="G1074" s="3">
        <f t="shared" si="2"/>
        <v>0.1493333333</v>
      </c>
      <c r="H1074" s="2">
        <v>67.0</v>
      </c>
      <c r="I1074" s="3">
        <f t="shared" si="3"/>
        <v>0.1786666667</v>
      </c>
      <c r="J1074" s="2">
        <v>72.0</v>
      </c>
      <c r="K1074" s="3">
        <f t="shared" si="4"/>
        <v>0.192</v>
      </c>
      <c r="L1074" s="2">
        <v>39.0</v>
      </c>
      <c r="M1074" s="3">
        <f t="shared" si="5"/>
        <v>0.5820895522</v>
      </c>
      <c r="N1074" s="2">
        <v>359400.0</v>
      </c>
      <c r="O1074" s="4">
        <f t="shared" si="6"/>
        <v>5364.179104</v>
      </c>
      <c r="P1074" s="2">
        <v>0.0</v>
      </c>
      <c r="Q1074" s="3">
        <f t="shared" si="7"/>
        <v>0</v>
      </c>
      <c r="R1074" s="2">
        <v>36.0</v>
      </c>
      <c r="S1074" s="5">
        <f t="shared" si="8"/>
        <v>1</v>
      </c>
    </row>
    <row r="1075">
      <c r="A1075" s="2" t="s">
        <v>1089</v>
      </c>
      <c r="B1075" s="2">
        <v>452.0</v>
      </c>
      <c r="C1075" s="2">
        <v>5287.0</v>
      </c>
      <c r="D1075" s="2">
        <v>1749.0</v>
      </c>
      <c r="E1075" s="3">
        <f t="shared" si="1"/>
        <v>0.361737332</v>
      </c>
      <c r="F1075" s="2">
        <v>722.0</v>
      </c>
      <c r="G1075" s="3">
        <f t="shared" si="2"/>
        <v>0.149327818</v>
      </c>
      <c r="H1075" s="2">
        <v>1041.0</v>
      </c>
      <c r="I1075" s="3">
        <f t="shared" si="3"/>
        <v>0.2153050672</v>
      </c>
      <c r="J1075" s="2">
        <v>859.0</v>
      </c>
      <c r="K1075" s="3">
        <f t="shared" si="4"/>
        <v>0.1776628749</v>
      </c>
      <c r="L1075" s="2">
        <v>628.0</v>
      </c>
      <c r="M1075" s="3">
        <f t="shared" si="5"/>
        <v>0.6032660903</v>
      </c>
      <c r="N1075" s="2">
        <v>5576400.0</v>
      </c>
      <c r="O1075" s="4">
        <f t="shared" si="6"/>
        <v>5356.772334</v>
      </c>
      <c r="P1075" s="2">
        <v>0.0</v>
      </c>
      <c r="Q1075" s="3">
        <f t="shared" si="7"/>
        <v>0</v>
      </c>
      <c r="R1075" s="2">
        <v>452.0</v>
      </c>
      <c r="S1075" s="5">
        <f t="shared" si="8"/>
        <v>1</v>
      </c>
    </row>
    <row r="1076">
      <c r="A1076" s="2" t="s">
        <v>1090</v>
      </c>
      <c r="B1076" s="2">
        <v>113.0</v>
      </c>
      <c r="C1076" s="2">
        <v>1352.0</v>
      </c>
      <c r="D1076" s="2">
        <v>423.0</v>
      </c>
      <c r="E1076" s="3">
        <f t="shared" si="1"/>
        <v>0.3414043584</v>
      </c>
      <c r="F1076" s="2">
        <v>185.0</v>
      </c>
      <c r="G1076" s="3">
        <f t="shared" si="2"/>
        <v>0.1493139629</v>
      </c>
      <c r="H1076" s="2">
        <v>236.0</v>
      </c>
      <c r="I1076" s="3">
        <f t="shared" si="3"/>
        <v>0.1904761905</v>
      </c>
      <c r="J1076" s="2">
        <v>225.0</v>
      </c>
      <c r="K1076" s="3">
        <f t="shared" si="4"/>
        <v>0.181598063</v>
      </c>
      <c r="L1076" s="2">
        <v>150.0</v>
      </c>
      <c r="M1076" s="3">
        <f t="shared" si="5"/>
        <v>0.6355932203</v>
      </c>
      <c r="N1076" s="2">
        <v>1213400.0</v>
      </c>
      <c r="O1076" s="4">
        <f t="shared" si="6"/>
        <v>5141.525424</v>
      </c>
      <c r="P1076" s="2">
        <v>0.0</v>
      </c>
      <c r="Q1076" s="3">
        <f t="shared" si="7"/>
        <v>0</v>
      </c>
      <c r="R1076" s="2">
        <v>71.0</v>
      </c>
      <c r="S1076" s="5">
        <f t="shared" si="8"/>
        <v>0.6283185841</v>
      </c>
    </row>
    <row r="1077">
      <c r="A1077" s="2" t="s">
        <v>1091</v>
      </c>
      <c r="B1077" s="2">
        <v>461.0</v>
      </c>
      <c r="C1077" s="2">
        <v>5344.0</v>
      </c>
      <c r="D1077" s="2">
        <v>1681.0</v>
      </c>
      <c r="E1077" s="3">
        <f t="shared" si="1"/>
        <v>0.3442555806</v>
      </c>
      <c r="F1077" s="2">
        <v>729.0</v>
      </c>
      <c r="G1077" s="3">
        <f t="shared" si="2"/>
        <v>0.1492934671</v>
      </c>
      <c r="H1077" s="2">
        <v>999.0</v>
      </c>
      <c r="I1077" s="3">
        <f t="shared" si="3"/>
        <v>0.2045873438</v>
      </c>
      <c r="J1077" s="2">
        <v>710.0</v>
      </c>
      <c r="K1077" s="3">
        <f t="shared" si="4"/>
        <v>0.1454024165</v>
      </c>
      <c r="L1077" s="2">
        <v>579.0</v>
      </c>
      <c r="M1077" s="3">
        <f t="shared" si="5"/>
        <v>0.5795795796</v>
      </c>
      <c r="N1077" s="2">
        <v>5684200.0</v>
      </c>
      <c r="O1077" s="4">
        <f t="shared" si="6"/>
        <v>5689.88989</v>
      </c>
      <c r="P1077" s="2">
        <v>1.0</v>
      </c>
      <c r="Q1077" s="3">
        <f t="shared" si="7"/>
        <v>0.002169197397</v>
      </c>
      <c r="R1077" s="2">
        <v>461.0</v>
      </c>
      <c r="S1077" s="5">
        <f t="shared" si="8"/>
        <v>1</v>
      </c>
    </row>
    <row r="1078">
      <c r="A1078" s="2" t="s">
        <v>1092</v>
      </c>
      <c r="B1078" s="2">
        <v>38.0</v>
      </c>
      <c r="C1078" s="2">
        <v>460.0</v>
      </c>
      <c r="D1078" s="2">
        <v>122.0</v>
      </c>
      <c r="E1078" s="3">
        <f t="shared" si="1"/>
        <v>0.2890995261</v>
      </c>
      <c r="F1078" s="2">
        <v>63.0</v>
      </c>
      <c r="G1078" s="3">
        <f t="shared" si="2"/>
        <v>0.1492890995</v>
      </c>
      <c r="H1078" s="2">
        <v>84.0</v>
      </c>
      <c r="I1078" s="3">
        <f t="shared" si="3"/>
        <v>0.1990521327</v>
      </c>
      <c r="J1078" s="2">
        <v>80.0</v>
      </c>
      <c r="K1078" s="3">
        <f t="shared" si="4"/>
        <v>0.1895734597</v>
      </c>
      <c r="L1078" s="2">
        <v>53.0</v>
      </c>
      <c r="M1078" s="3">
        <f t="shared" si="5"/>
        <v>0.630952381</v>
      </c>
      <c r="N1078" s="2">
        <v>433000.0</v>
      </c>
      <c r="O1078" s="4">
        <f t="shared" si="6"/>
        <v>5154.761905</v>
      </c>
      <c r="P1078" s="2">
        <v>0.0</v>
      </c>
      <c r="Q1078" s="3">
        <f t="shared" si="7"/>
        <v>0</v>
      </c>
      <c r="R1078" s="2">
        <v>38.0</v>
      </c>
      <c r="S1078" s="5">
        <f t="shared" si="8"/>
        <v>1</v>
      </c>
    </row>
    <row r="1079">
      <c r="A1079" s="2" t="s">
        <v>1093</v>
      </c>
      <c r="B1079" s="2">
        <v>235.0</v>
      </c>
      <c r="C1079" s="2">
        <v>2774.0</v>
      </c>
      <c r="D1079" s="2">
        <v>999.0</v>
      </c>
      <c r="E1079" s="3">
        <f t="shared" si="1"/>
        <v>0.3934619929</v>
      </c>
      <c r="F1079" s="2">
        <v>379.0</v>
      </c>
      <c r="G1079" s="3">
        <f t="shared" si="2"/>
        <v>0.1492713667</v>
      </c>
      <c r="H1079" s="2">
        <v>542.0</v>
      </c>
      <c r="I1079" s="3">
        <f t="shared" si="3"/>
        <v>0.21346987</v>
      </c>
      <c r="J1079" s="2">
        <v>414.0</v>
      </c>
      <c r="K1079" s="3">
        <f t="shared" si="4"/>
        <v>0.1630563214</v>
      </c>
      <c r="L1079" s="2">
        <v>336.0</v>
      </c>
      <c r="M1079" s="3">
        <f t="shared" si="5"/>
        <v>0.6199261993</v>
      </c>
      <c r="N1079" s="2">
        <v>2942500.0</v>
      </c>
      <c r="O1079" s="4">
        <f t="shared" si="6"/>
        <v>5428.96679</v>
      </c>
      <c r="P1079" s="2">
        <v>1.0</v>
      </c>
      <c r="Q1079" s="3">
        <f t="shared" si="7"/>
        <v>0.004255319149</v>
      </c>
      <c r="R1079" s="2">
        <v>235.0</v>
      </c>
      <c r="S1079" s="5">
        <f t="shared" si="8"/>
        <v>1</v>
      </c>
    </row>
    <row r="1080">
      <c r="A1080" s="2" t="s">
        <v>1094</v>
      </c>
      <c r="B1080" s="2">
        <v>164.0</v>
      </c>
      <c r="C1080" s="2">
        <v>1946.0</v>
      </c>
      <c r="D1080" s="2">
        <v>485.0</v>
      </c>
      <c r="E1080" s="3">
        <f t="shared" si="1"/>
        <v>0.2721661055</v>
      </c>
      <c r="F1080" s="2">
        <v>266.0</v>
      </c>
      <c r="G1080" s="3">
        <f t="shared" si="2"/>
        <v>0.1492704826</v>
      </c>
      <c r="H1080" s="2">
        <v>357.0</v>
      </c>
      <c r="I1080" s="3">
        <f t="shared" si="3"/>
        <v>0.2003367003</v>
      </c>
      <c r="J1080" s="2">
        <v>336.0</v>
      </c>
      <c r="K1080" s="3">
        <f t="shared" si="4"/>
        <v>0.1885521886</v>
      </c>
      <c r="L1080" s="2">
        <v>215.0</v>
      </c>
      <c r="M1080" s="3">
        <f t="shared" si="5"/>
        <v>0.6022408964</v>
      </c>
      <c r="N1080" s="2">
        <v>2034200.0</v>
      </c>
      <c r="O1080" s="4">
        <f t="shared" si="6"/>
        <v>5698.039216</v>
      </c>
      <c r="P1080" s="2">
        <v>1.0</v>
      </c>
      <c r="Q1080" s="3">
        <f t="shared" si="7"/>
        <v>0.006097560976</v>
      </c>
      <c r="R1080" s="2">
        <v>164.0</v>
      </c>
      <c r="S1080" s="5">
        <f t="shared" si="8"/>
        <v>1</v>
      </c>
    </row>
    <row r="1081">
      <c r="A1081" s="2" t="s">
        <v>1095</v>
      </c>
      <c r="B1081" s="2">
        <v>767.0</v>
      </c>
      <c r="C1081" s="2">
        <v>8853.0</v>
      </c>
      <c r="D1081" s="2">
        <v>2584.0</v>
      </c>
      <c r="E1081" s="3">
        <f t="shared" si="1"/>
        <v>0.3195646797</v>
      </c>
      <c r="F1081" s="2">
        <v>1207.0</v>
      </c>
      <c r="G1081" s="3">
        <f t="shared" si="2"/>
        <v>0.1492703438</v>
      </c>
      <c r="H1081" s="2">
        <v>1813.0</v>
      </c>
      <c r="I1081" s="3">
        <f t="shared" si="3"/>
        <v>0.2242146921</v>
      </c>
      <c r="J1081" s="2">
        <v>1434.0</v>
      </c>
      <c r="K1081" s="3">
        <f t="shared" si="4"/>
        <v>0.1773435568</v>
      </c>
      <c r="L1081" s="2">
        <v>1084.0</v>
      </c>
      <c r="M1081" s="3">
        <f t="shared" si="5"/>
        <v>0.5979040265</v>
      </c>
      <c r="N1081" s="2">
        <v>1.04466E7</v>
      </c>
      <c r="O1081" s="4">
        <f t="shared" si="6"/>
        <v>5762.051848</v>
      </c>
      <c r="P1081" s="2">
        <v>4.0</v>
      </c>
      <c r="Q1081" s="3">
        <f t="shared" si="7"/>
        <v>0.005215123859</v>
      </c>
      <c r="R1081" s="2">
        <v>0.0</v>
      </c>
      <c r="S1081" s="5">
        <f t="shared" si="8"/>
        <v>0</v>
      </c>
    </row>
    <row r="1082">
      <c r="A1082" s="2" t="s">
        <v>1096</v>
      </c>
      <c r="B1082" s="2">
        <v>107.0</v>
      </c>
      <c r="C1082" s="2">
        <v>1266.0</v>
      </c>
      <c r="D1082" s="2">
        <v>465.0</v>
      </c>
      <c r="E1082" s="3">
        <f t="shared" si="1"/>
        <v>0.4012079379</v>
      </c>
      <c r="F1082" s="2">
        <v>173.0</v>
      </c>
      <c r="G1082" s="3">
        <f t="shared" si="2"/>
        <v>0.1492666091</v>
      </c>
      <c r="H1082" s="2">
        <v>224.0</v>
      </c>
      <c r="I1082" s="3">
        <f t="shared" si="3"/>
        <v>0.1932700604</v>
      </c>
      <c r="J1082" s="2">
        <v>213.0</v>
      </c>
      <c r="K1082" s="3">
        <f t="shared" si="4"/>
        <v>0.1837791199</v>
      </c>
      <c r="L1082" s="2">
        <v>120.0</v>
      </c>
      <c r="M1082" s="3">
        <f t="shared" si="5"/>
        <v>0.5357142857</v>
      </c>
      <c r="N1082" s="2">
        <v>1211600.0</v>
      </c>
      <c r="O1082" s="4">
        <f t="shared" si="6"/>
        <v>5408.928571</v>
      </c>
      <c r="P1082" s="2">
        <v>0.0</v>
      </c>
      <c r="Q1082" s="3">
        <f t="shared" si="7"/>
        <v>0</v>
      </c>
      <c r="R1082" s="2">
        <v>107.0</v>
      </c>
      <c r="S1082" s="5">
        <f t="shared" si="8"/>
        <v>1</v>
      </c>
    </row>
    <row r="1083">
      <c r="A1083" s="2" t="s">
        <v>1097</v>
      </c>
      <c r="B1083" s="2">
        <v>30.0</v>
      </c>
      <c r="C1083" s="2">
        <v>365.0</v>
      </c>
      <c r="D1083" s="2">
        <v>114.0</v>
      </c>
      <c r="E1083" s="3">
        <f t="shared" si="1"/>
        <v>0.3402985075</v>
      </c>
      <c r="F1083" s="2">
        <v>50.0</v>
      </c>
      <c r="G1083" s="3">
        <f t="shared" si="2"/>
        <v>0.1492537313</v>
      </c>
      <c r="H1083" s="2">
        <v>70.0</v>
      </c>
      <c r="I1083" s="3">
        <f t="shared" si="3"/>
        <v>0.2089552239</v>
      </c>
      <c r="J1083" s="2">
        <v>80.0</v>
      </c>
      <c r="K1083" s="3">
        <f t="shared" si="4"/>
        <v>0.2388059701</v>
      </c>
      <c r="L1083" s="2">
        <v>40.0</v>
      </c>
      <c r="M1083" s="3">
        <f t="shared" si="5"/>
        <v>0.5714285714</v>
      </c>
      <c r="N1083" s="2">
        <v>374900.0</v>
      </c>
      <c r="O1083" s="4">
        <f t="shared" si="6"/>
        <v>5355.714286</v>
      </c>
      <c r="P1083" s="2">
        <v>0.0</v>
      </c>
      <c r="Q1083" s="3">
        <f t="shared" si="7"/>
        <v>0</v>
      </c>
      <c r="R1083" s="2">
        <v>30.0</v>
      </c>
      <c r="S1083" s="5">
        <f t="shared" si="8"/>
        <v>1</v>
      </c>
    </row>
    <row r="1084">
      <c r="A1084" s="2" t="s">
        <v>1098</v>
      </c>
      <c r="B1084" s="2">
        <v>38.0</v>
      </c>
      <c r="C1084" s="2">
        <v>440.0</v>
      </c>
      <c r="D1084" s="2">
        <v>121.0</v>
      </c>
      <c r="E1084" s="3">
        <f t="shared" si="1"/>
        <v>0.3009950249</v>
      </c>
      <c r="F1084" s="2">
        <v>60.0</v>
      </c>
      <c r="G1084" s="3">
        <f t="shared" si="2"/>
        <v>0.1492537313</v>
      </c>
      <c r="H1084" s="2">
        <v>82.0</v>
      </c>
      <c r="I1084" s="3">
        <f t="shared" si="3"/>
        <v>0.2039800995</v>
      </c>
      <c r="J1084" s="2">
        <v>79.0</v>
      </c>
      <c r="K1084" s="3">
        <f t="shared" si="4"/>
        <v>0.1965174129</v>
      </c>
      <c r="L1084" s="2">
        <v>49.0</v>
      </c>
      <c r="M1084" s="3">
        <f t="shared" si="5"/>
        <v>0.5975609756</v>
      </c>
      <c r="N1084" s="2">
        <v>479600.0</v>
      </c>
      <c r="O1084" s="4">
        <f t="shared" si="6"/>
        <v>5848.780488</v>
      </c>
      <c r="P1084" s="2">
        <v>0.0</v>
      </c>
      <c r="Q1084" s="3">
        <f t="shared" si="7"/>
        <v>0</v>
      </c>
      <c r="R1084" s="2">
        <v>8.0</v>
      </c>
      <c r="S1084" s="5">
        <f t="shared" si="8"/>
        <v>0.2105263158</v>
      </c>
    </row>
    <row r="1085">
      <c r="A1085" s="2" t="s">
        <v>1099</v>
      </c>
      <c r="B1085" s="2">
        <v>3262.0</v>
      </c>
      <c r="C1085" s="2">
        <v>38096.0</v>
      </c>
      <c r="D1085" s="2">
        <v>13767.0</v>
      </c>
      <c r="E1085" s="3">
        <f t="shared" si="1"/>
        <v>0.3952173164</v>
      </c>
      <c r="F1085" s="2">
        <v>5199.0</v>
      </c>
      <c r="G1085" s="3">
        <f t="shared" si="2"/>
        <v>0.149250732</v>
      </c>
      <c r="H1085" s="2">
        <v>7736.0</v>
      </c>
      <c r="I1085" s="3">
        <f t="shared" si="3"/>
        <v>0.222081874</v>
      </c>
      <c r="J1085" s="2">
        <v>6380.0</v>
      </c>
      <c r="K1085" s="3">
        <f t="shared" si="4"/>
        <v>0.1831543894</v>
      </c>
      <c r="L1085" s="2">
        <v>4708.0</v>
      </c>
      <c r="M1085" s="3">
        <f t="shared" si="5"/>
        <v>0.6085832472</v>
      </c>
      <c r="N1085" s="2">
        <v>4.33589E7</v>
      </c>
      <c r="O1085" s="4">
        <f t="shared" si="6"/>
        <v>5604.821613</v>
      </c>
      <c r="P1085" s="2">
        <v>11.0</v>
      </c>
      <c r="Q1085" s="3">
        <f t="shared" si="7"/>
        <v>0.003372164316</v>
      </c>
      <c r="R1085" s="2">
        <v>3262.0</v>
      </c>
      <c r="S1085" s="5">
        <f t="shared" si="8"/>
        <v>1</v>
      </c>
    </row>
    <row r="1086">
      <c r="A1086" s="2" t="s">
        <v>1100</v>
      </c>
      <c r="B1086" s="2">
        <v>922.0</v>
      </c>
      <c r="C1086" s="2">
        <v>10631.0</v>
      </c>
      <c r="D1086" s="2">
        <v>2983.0</v>
      </c>
      <c r="E1086" s="3">
        <f t="shared" si="1"/>
        <v>0.3072407045</v>
      </c>
      <c r="F1086" s="2">
        <v>1449.0</v>
      </c>
      <c r="G1086" s="3">
        <f t="shared" si="2"/>
        <v>0.1492429704</v>
      </c>
      <c r="H1086" s="2">
        <v>2105.0</v>
      </c>
      <c r="I1086" s="3">
        <f t="shared" si="3"/>
        <v>0.2168091462</v>
      </c>
      <c r="J1086" s="2">
        <v>2031.0</v>
      </c>
      <c r="K1086" s="3">
        <f t="shared" si="4"/>
        <v>0.2091873519</v>
      </c>
      <c r="L1086" s="2">
        <v>1201.0</v>
      </c>
      <c r="M1086" s="3">
        <f t="shared" si="5"/>
        <v>0.5705463183</v>
      </c>
      <c r="N1086" s="2">
        <v>1.24781E7</v>
      </c>
      <c r="O1086" s="4">
        <f t="shared" si="6"/>
        <v>5927.83848</v>
      </c>
      <c r="P1086" s="2">
        <v>3.0</v>
      </c>
      <c r="Q1086" s="3">
        <f t="shared" si="7"/>
        <v>0.003253796095</v>
      </c>
      <c r="R1086" s="2">
        <v>922.0</v>
      </c>
      <c r="S1086" s="5">
        <f t="shared" si="8"/>
        <v>1</v>
      </c>
    </row>
    <row r="1087">
      <c r="A1087" s="2" t="s">
        <v>1101</v>
      </c>
      <c r="B1087" s="2">
        <v>284.0</v>
      </c>
      <c r="C1087" s="2">
        <v>3280.0</v>
      </c>
      <c r="D1087" s="2">
        <v>887.0</v>
      </c>
      <c r="E1087" s="3">
        <f t="shared" si="1"/>
        <v>0.2960614152</v>
      </c>
      <c r="F1087" s="2">
        <v>447.0</v>
      </c>
      <c r="G1087" s="3">
        <f t="shared" si="2"/>
        <v>0.1491989319</v>
      </c>
      <c r="H1087" s="2">
        <v>602.0</v>
      </c>
      <c r="I1087" s="3">
        <f t="shared" si="3"/>
        <v>0.2009345794</v>
      </c>
      <c r="J1087" s="2">
        <v>477.0</v>
      </c>
      <c r="K1087" s="3">
        <f t="shared" si="4"/>
        <v>0.159212283</v>
      </c>
      <c r="L1087" s="2">
        <v>382.0</v>
      </c>
      <c r="M1087" s="3">
        <f t="shared" si="5"/>
        <v>0.634551495</v>
      </c>
      <c r="N1087" s="2">
        <v>3440300.0</v>
      </c>
      <c r="O1087" s="4">
        <f t="shared" si="6"/>
        <v>5714.784053</v>
      </c>
      <c r="P1087" s="2">
        <v>0.0</v>
      </c>
      <c r="Q1087" s="3">
        <f t="shared" si="7"/>
        <v>0</v>
      </c>
      <c r="R1087" s="2">
        <v>284.0</v>
      </c>
      <c r="S1087" s="5">
        <f t="shared" si="8"/>
        <v>1</v>
      </c>
    </row>
    <row r="1088">
      <c r="A1088" s="2" t="s">
        <v>1102</v>
      </c>
      <c r="B1088" s="2">
        <v>47.0</v>
      </c>
      <c r="C1088" s="2">
        <v>543.0</v>
      </c>
      <c r="D1088" s="2">
        <v>195.0</v>
      </c>
      <c r="E1088" s="3">
        <f t="shared" si="1"/>
        <v>0.3931451613</v>
      </c>
      <c r="F1088" s="2">
        <v>74.0</v>
      </c>
      <c r="G1088" s="3">
        <f t="shared" si="2"/>
        <v>0.1491935484</v>
      </c>
      <c r="H1088" s="2">
        <v>94.0</v>
      </c>
      <c r="I1088" s="3">
        <f t="shared" si="3"/>
        <v>0.189516129</v>
      </c>
      <c r="J1088" s="2">
        <v>85.0</v>
      </c>
      <c r="K1088" s="3">
        <f t="shared" si="4"/>
        <v>0.1713709677</v>
      </c>
      <c r="L1088" s="2">
        <v>60.0</v>
      </c>
      <c r="M1088" s="3">
        <f t="shared" si="5"/>
        <v>0.6382978723</v>
      </c>
      <c r="N1088" s="2">
        <v>548900.0</v>
      </c>
      <c r="O1088" s="4">
        <f t="shared" si="6"/>
        <v>5839.361702</v>
      </c>
      <c r="P1088" s="2">
        <v>0.0</v>
      </c>
      <c r="Q1088" s="3">
        <f t="shared" si="7"/>
        <v>0</v>
      </c>
      <c r="R1088" s="2">
        <v>47.0</v>
      </c>
      <c r="S1088" s="5">
        <f t="shared" si="8"/>
        <v>1</v>
      </c>
    </row>
    <row r="1089">
      <c r="A1089" s="2" t="s">
        <v>1103</v>
      </c>
      <c r="B1089" s="2">
        <v>295.0</v>
      </c>
      <c r="C1089" s="2">
        <v>3412.0</v>
      </c>
      <c r="D1089" s="2">
        <v>1319.0</v>
      </c>
      <c r="E1089" s="3">
        <f t="shared" si="1"/>
        <v>0.423163298</v>
      </c>
      <c r="F1089" s="2">
        <v>465.0</v>
      </c>
      <c r="G1089" s="3">
        <f t="shared" si="2"/>
        <v>0.1491819057</v>
      </c>
      <c r="H1089" s="2">
        <v>710.0</v>
      </c>
      <c r="I1089" s="3">
        <f t="shared" si="3"/>
        <v>0.2277831248</v>
      </c>
      <c r="J1089" s="2">
        <v>543.0</v>
      </c>
      <c r="K1089" s="3">
        <f t="shared" si="4"/>
        <v>0.1742059673</v>
      </c>
      <c r="L1089" s="2">
        <v>418.0</v>
      </c>
      <c r="M1089" s="3">
        <f t="shared" si="5"/>
        <v>0.5887323944</v>
      </c>
      <c r="N1089" s="2">
        <v>3937400.0</v>
      </c>
      <c r="O1089" s="4">
        <f t="shared" si="6"/>
        <v>5545.633803</v>
      </c>
      <c r="P1089" s="2">
        <v>0.0</v>
      </c>
      <c r="Q1089" s="3">
        <f t="shared" si="7"/>
        <v>0</v>
      </c>
      <c r="R1089" s="2">
        <v>251.0</v>
      </c>
      <c r="S1089" s="5">
        <f t="shared" si="8"/>
        <v>0.8508474576</v>
      </c>
    </row>
    <row r="1090">
      <c r="A1090" s="2" t="s">
        <v>1104</v>
      </c>
      <c r="B1090" s="2">
        <v>81.0</v>
      </c>
      <c r="C1090" s="2">
        <v>919.0</v>
      </c>
      <c r="D1090" s="2">
        <v>305.0</v>
      </c>
      <c r="E1090" s="3">
        <f t="shared" si="1"/>
        <v>0.3639618138</v>
      </c>
      <c r="F1090" s="2">
        <v>125.0</v>
      </c>
      <c r="G1090" s="3">
        <f t="shared" si="2"/>
        <v>0.1491646778</v>
      </c>
      <c r="H1090" s="2">
        <v>162.0</v>
      </c>
      <c r="I1090" s="3">
        <f t="shared" si="3"/>
        <v>0.1933174224</v>
      </c>
      <c r="J1090" s="2">
        <v>133.0</v>
      </c>
      <c r="K1090" s="3">
        <f t="shared" si="4"/>
        <v>0.1587112172</v>
      </c>
      <c r="L1090" s="2">
        <v>96.0</v>
      </c>
      <c r="M1090" s="3">
        <f t="shared" si="5"/>
        <v>0.5925925926</v>
      </c>
      <c r="N1090" s="2">
        <v>961200.0</v>
      </c>
      <c r="O1090" s="4">
        <f t="shared" si="6"/>
        <v>5933.333333</v>
      </c>
      <c r="P1090" s="2">
        <v>0.0</v>
      </c>
      <c r="Q1090" s="3">
        <f t="shared" si="7"/>
        <v>0</v>
      </c>
      <c r="R1090" s="2">
        <v>81.0</v>
      </c>
      <c r="S1090" s="5">
        <f t="shared" si="8"/>
        <v>1</v>
      </c>
    </row>
    <row r="1091">
      <c r="A1091" s="2" t="s">
        <v>1105</v>
      </c>
      <c r="B1091" s="2">
        <v>109.0</v>
      </c>
      <c r="C1091" s="2">
        <v>1242.0</v>
      </c>
      <c r="D1091" s="2">
        <v>379.0</v>
      </c>
      <c r="E1091" s="3">
        <f t="shared" si="1"/>
        <v>0.33451015</v>
      </c>
      <c r="F1091" s="2">
        <v>169.0</v>
      </c>
      <c r="G1091" s="3">
        <f t="shared" si="2"/>
        <v>0.1491615181</v>
      </c>
      <c r="H1091" s="2">
        <v>212.0</v>
      </c>
      <c r="I1091" s="3">
        <f t="shared" si="3"/>
        <v>0.187113857</v>
      </c>
      <c r="J1091" s="2">
        <v>226.0</v>
      </c>
      <c r="K1091" s="3">
        <f t="shared" si="4"/>
        <v>0.1994704325</v>
      </c>
      <c r="L1091" s="2">
        <v>136.0</v>
      </c>
      <c r="M1091" s="3">
        <f t="shared" si="5"/>
        <v>0.641509434</v>
      </c>
      <c r="N1091" s="2">
        <v>1290200.0</v>
      </c>
      <c r="O1091" s="4">
        <f t="shared" si="6"/>
        <v>6085.849057</v>
      </c>
      <c r="P1091" s="2">
        <v>0.0</v>
      </c>
      <c r="Q1091" s="3">
        <f t="shared" si="7"/>
        <v>0</v>
      </c>
      <c r="R1091" s="2">
        <v>0.0</v>
      </c>
      <c r="S1091" s="5">
        <f t="shared" si="8"/>
        <v>0</v>
      </c>
    </row>
    <row r="1092">
      <c r="A1092" s="2" t="s">
        <v>1106</v>
      </c>
      <c r="B1092" s="2">
        <v>174.0</v>
      </c>
      <c r="C1092" s="2">
        <v>2018.0</v>
      </c>
      <c r="D1092" s="2">
        <v>741.0</v>
      </c>
      <c r="E1092" s="3">
        <f t="shared" si="1"/>
        <v>0.4018438178</v>
      </c>
      <c r="F1092" s="2">
        <v>275.0</v>
      </c>
      <c r="G1092" s="3">
        <f t="shared" si="2"/>
        <v>0.149132321</v>
      </c>
      <c r="H1092" s="2">
        <v>406.0</v>
      </c>
      <c r="I1092" s="3">
        <f t="shared" si="3"/>
        <v>0.2201735358</v>
      </c>
      <c r="J1092" s="2">
        <v>276.0</v>
      </c>
      <c r="K1092" s="3">
        <f t="shared" si="4"/>
        <v>0.1496746204</v>
      </c>
      <c r="L1092" s="2">
        <v>244.0</v>
      </c>
      <c r="M1092" s="3">
        <f t="shared" si="5"/>
        <v>0.6009852217</v>
      </c>
      <c r="N1092" s="2">
        <v>2185600.0</v>
      </c>
      <c r="O1092" s="4">
        <f t="shared" si="6"/>
        <v>5383.251232</v>
      </c>
      <c r="P1092" s="2">
        <v>1.0</v>
      </c>
      <c r="Q1092" s="3">
        <f t="shared" si="7"/>
        <v>0.005747126437</v>
      </c>
      <c r="R1092" s="2">
        <v>174.0</v>
      </c>
      <c r="S1092" s="5">
        <f t="shared" si="8"/>
        <v>1</v>
      </c>
    </row>
    <row r="1093">
      <c r="A1093" s="2" t="s">
        <v>1107</v>
      </c>
      <c r="B1093" s="2">
        <v>125.0</v>
      </c>
      <c r="C1093" s="2">
        <v>1540.0</v>
      </c>
      <c r="D1093" s="2">
        <v>526.0</v>
      </c>
      <c r="E1093" s="3">
        <f t="shared" si="1"/>
        <v>0.3717314488</v>
      </c>
      <c r="F1093" s="2">
        <v>211.0</v>
      </c>
      <c r="G1093" s="3">
        <f t="shared" si="2"/>
        <v>0.1491166078</v>
      </c>
      <c r="H1093" s="2">
        <v>300.0</v>
      </c>
      <c r="I1093" s="3">
        <f t="shared" si="3"/>
        <v>0.2120141343</v>
      </c>
      <c r="J1093" s="2">
        <v>224.0</v>
      </c>
      <c r="K1093" s="3">
        <f t="shared" si="4"/>
        <v>0.1583038869</v>
      </c>
      <c r="L1093" s="2">
        <v>185.0</v>
      </c>
      <c r="M1093" s="3">
        <f t="shared" si="5"/>
        <v>0.6166666667</v>
      </c>
      <c r="N1093" s="2">
        <v>1623500.0</v>
      </c>
      <c r="O1093" s="4">
        <f t="shared" si="6"/>
        <v>5411.666667</v>
      </c>
      <c r="P1093" s="2">
        <v>0.0</v>
      </c>
      <c r="Q1093" s="3">
        <f t="shared" si="7"/>
        <v>0</v>
      </c>
      <c r="R1093" s="2">
        <v>0.0</v>
      </c>
      <c r="S1093" s="5">
        <f t="shared" si="8"/>
        <v>0</v>
      </c>
    </row>
    <row r="1094">
      <c r="A1094" s="2" t="s">
        <v>1108</v>
      </c>
      <c r="B1094" s="2">
        <v>47.0</v>
      </c>
      <c r="C1094" s="2">
        <v>550.0</v>
      </c>
      <c r="D1094" s="2">
        <v>213.0</v>
      </c>
      <c r="E1094" s="3">
        <f t="shared" si="1"/>
        <v>0.4234592445</v>
      </c>
      <c r="F1094" s="2">
        <v>75.0</v>
      </c>
      <c r="G1094" s="3">
        <f t="shared" si="2"/>
        <v>0.1491053678</v>
      </c>
      <c r="H1094" s="2">
        <v>94.0</v>
      </c>
      <c r="I1094" s="3">
        <f t="shared" si="3"/>
        <v>0.1868787276</v>
      </c>
      <c r="J1094" s="2">
        <v>80.0</v>
      </c>
      <c r="K1094" s="3">
        <f t="shared" si="4"/>
        <v>0.1590457256</v>
      </c>
      <c r="L1094" s="2">
        <v>55.0</v>
      </c>
      <c r="M1094" s="3">
        <f t="shared" si="5"/>
        <v>0.585106383</v>
      </c>
      <c r="N1094" s="2">
        <v>502000.0</v>
      </c>
      <c r="O1094" s="4">
        <f t="shared" si="6"/>
        <v>5340.425532</v>
      </c>
      <c r="P1094" s="2">
        <v>0.0</v>
      </c>
      <c r="Q1094" s="3">
        <f t="shared" si="7"/>
        <v>0</v>
      </c>
      <c r="R1094" s="2">
        <v>47.0</v>
      </c>
      <c r="S1094" s="5">
        <f t="shared" si="8"/>
        <v>1</v>
      </c>
    </row>
    <row r="1095">
      <c r="A1095" s="2" t="s">
        <v>1109</v>
      </c>
      <c r="B1095" s="2">
        <v>425.0</v>
      </c>
      <c r="C1095" s="2">
        <v>5046.0</v>
      </c>
      <c r="D1095" s="2">
        <v>1440.0</v>
      </c>
      <c r="E1095" s="3">
        <f t="shared" si="1"/>
        <v>0.3116208613</v>
      </c>
      <c r="F1095" s="2">
        <v>689.0</v>
      </c>
      <c r="G1095" s="3">
        <f t="shared" si="2"/>
        <v>0.149101926</v>
      </c>
      <c r="H1095" s="2">
        <v>971.0</v>
      </c>
      <c r="I1095" s="3">
        <f t="shared" si="3"/>
        <v>0.210127678</v>
      </c>
      <c r="J1095" s="2">
        <v>857.0</v>
      </c>
      <c r="K1095" s="3">
        <f t="shared" si="4"/>
        <v>0.1854576931</v>
      </c>
      <c r="L1095" s="2">
        <v>553.0</v>
      </c>
      <c r="M1095" s="3">
        <f t="shared" si="5"/>
        <v>0.5695159629</v>
      </c>
      <c r="N1095" s="2">
        <v>5829400.0</v>
      </c>
      <c r="O1095" s="4">
        <f t="shared" si="6"/>
        <v>6003.501545</v>
      </c>
      <c r="P1095" s="2">
        <v>2.0</v>
      </c>
      <c r="Q1095" s="3">
        <f t="shared" si="7"/>
        <v>0.004705882353</v>
      </c>
      <c r="R1095" s="2">
        <v>0.0</v>
      </c>
      <c r="S1095" s="5">
        <f t="shared" si="8"/>
        <v>0</v>
      </c>
    </row>
    <row r="1096">
      <c r="A1096" s="2" t="s">
        <v>1110</v>
      </c>
      <c r="B1096" s="2">
        <v>99.0</v>
      </c>
      <c r="C1096" s="2">
        <v>1152.0</v>
      </c>
      <c r="D1096" s="2">
        <v>378.0</v>
      </c>
      <c r="E1096" s="3">
        <f t="shared" si="1"/>
        <v>0.358974359</v>
      </c>
      <c r="F1096" s="2">
        <v>157.0</v>
      </c>
      <c r="G1096" s="3">
        <f t="shared" si="2"/>
        <v>0.1490978158</v>
      </c>
      <c r="H1096" s="2">
        <v>245.0</v>
      </c>
      <c r="I1096" s="3">
        <f t="shared" si="3"/>
        <v>0.232668566</v>
      </c>
      <c r="J1096" s="2">
        <v>223.0</v>
      </c>
      <c r="K1096" s="3">
        <f t="shared" si="4"/>
        <v>0.2117758784</v>
      </c>
      <c r="L1096" s="2">
        <v>155.0</v>
      </c>
      <c r="M1096" s="3">
        <f t="shared" si="5"/>
        <v>0.6326530612</v>
      </c>
      <c r="N1096" s="2">
        <v>1332500.0</v>
      </c>
      <c r="O1096" s="4">
        <f t="shared" si="6"/>
        <v>5438.77551</v>
      </c>
      <c r="P1096" s="2">
        <v>0.0</v>
      </c>
      <c r="Q1096" s="3">
        <f t="shared" si="7"/>
        <v>0</v>
      </c>
      <c r="R1096" s="2">
        <v>99.0</v>
      </c>
      <c r="S1096" s="5">
        <f t="shared" si="8"/>
        <v>1</v>
      </c>
    </row>
    <row r="1097">
      <c r="A1097" s="2" t="s">
        <v>1111</v>
      </c>
      <c r="B1097" s="2">
        <v>343.0</v>
      </c>
      <c r="C1097" s="2">
        <v>3972.0</v>
      </c>
      <c r="D1097" s="2">
        <v>1149.0</v>
      </c>
      <c r="E1097" s="3">
        <f t="shared" si="1"/>
        <v>0.3166161477</v>
      </c>
      <c r="F1097" s="2">
        <v>541.0</v>
      </c>
      <c r="G1097" s="3">
        <f t="shared" si="2"/>
        <v>0.1490768807</v>
      </c>
      <c r="H1097" s="2">
        <v>742.0</v>
      </c>
      <c r="I1097" s="3">
        <f t="shared" si="3"/>
        <v>0.2044640397</v>
      </c>
      <c r="J1097" s="2">
        <v>696.0</v>
      </c>
      <c r="K1097" s="3">
        <f t="shared" si="4"/>
        <v>0.1917883715</v>
      </c>
      <c r="L1097" s="2">
        <v>455.0</v>
      </c>
      <c r="M1097" s="3">
        <f t="shared" si="5"/>
        <v>0.6132075472</v>
      </c>
      <c r="N1097" s="2">
        <v>4690500.0</v>
      </c>
      <c r="O1097" s="4">
        <f t="shared" si="6"/>
        <v>6321.428571</v>
      </c>
      <c r="P1097" s="2">
        <v>1.0</v>
      </c>
      <c r="Q1097" s="3">
        <f t="shared" si="7"/>
        <v>0.002915451895</v>
      </c>
      <c r="R1097" s="2">
        <v>0.0</v>
      </c>
      <c r="S1097" s="5">
        <f t="shared" si="8"/>
        <v>0</v>
      </c>
    </row>
    <row r="1098">
      <c r="A1098" s="2" t="s">
        <v>1112</v>
      </c>
      <c r="B1098" s="2">
        <v>206.0</v>
      </c>
      <c r="C1098" s="2">
        <v>2366.0</v>
      </c>
      <c r="D1098" s="2">
        <v>669.0</v>
      </c>
      <c r="E1098" s="3">
        <f t="shared" si="1"/>
        <v>0.3097222222</v>
      </c>
      <c r="F1098" s="2">
        <v>322.0</v>
      </c>
      <c r="G1098" s="3">
        <f t="shared" si="2"/>
        <v>0.1490740741</v>
      </c>
      <c r="H1098" s="2">
        <v>412.0</v>
      </c>
      <c r="I1098" s="3">
        <f t="shared" si="3"/>
        <v>0.1907407407</v>
      </c>
      <c r="J1098" s="2">
        <v>426.0</v>
      </c>
      <c r="K1098" s="3">
        <f t="shared" si="4"/>
        <v>0.1972222222</v>
      </c>
      <c r="L1098" s="2">
        <v>237.0</v>
      </c>
      <c r="M1098" s="3">
        <f t="shared" si="5"/>
        <v>0.5752427184</v>
      </c>
      <c r="N1098" s="2">
        <v>2392000.0</v>
      </c>
      <c r="O1098" s="4">
        <f t="shared" si="6"/>
        <v>5805.825243</v>
      </c>
      <c r="P1098" s="2">
        <v>0.0</v>
      </c>
      <c r="Q1098" s="3">
        <f t="shared" si="7"/>
        <v>0</v>
      </c>
      <c r="R1098" s="2">
        <v>0.0</v>
      </c>
      <c r="S1098" s="5">
        <f t="shared" si="8"/>
        <v>0</v>
      </c>
    </row>
    <row r="1099">
      <c r="A1099" s="2" t="s">
        <v>1113</v>
      </c>
      <c r="B1099" s="2">
        <v>14.0</v>
      </c>
      <c r="C1099" s="2">
        <v>175.0</v>
      </c>
      <c r="D1099" s="2">
        <v>54.0</v>
      </c>
      <c r="E1099" s="3">
        <f t="shared" si="1"/>
        <v>0.3354037267</v>
      </c>
      <c r="F1099" s="2">
        <v>24.0</v>
      </c>
      <c r="G1099" s="3">
        <f t="shared" si="2"/>
        <v>0.149068323</v>
      </c>
      <c r="H1099" s="2">
        <v>24.0</v>
      </c>
      <c r="I1099" s="3">
        <f t="shared" si="3"/>
        <v>0.149068323</v>
      </c>
      <c r="J1099" s="2">
        <v>35.0</v>
      </c>
      <c r="K1099" s="3">
        <f t="shared" si="4"/>
        <v>0.2173913043</v>
      </c>
      <c r="L1099" s="2">
        <v>11.0</v>
      </c>
      <c r="M1099" s="3">
        <f t="shared" si="5"/>
        <v>0.4583333333</v>
      </c>
      <c r="N1099" s="2">
        <v>123000.0</v>
      </c>
      <c r="O1099" s="4">
        <f t="shared" si="6"/>
        <v>5125</v>
      </c>
      <c r="P1099" s="2">
        <v>0.0</v>
      </c>
      <c r="Q1099" s="3">
        <f t="shared" si="7"/>
        <v>0</v>
      </c>
      <c r="R1099" s="2">
        <v>14.0</v>
      </c>
      <c r="S1099" s="5">
        <f t="shared" si="8"/>
        <v>1</v>
      </c>
    </row>
    <row r="1100">
      <c r="A1100" s="2" t="s">
        <v>1114</v>
      </c>
      <c r="B1100" s="2">
        <v>129.0</v>
      </c>
      <c r="C1100" s="2">
        <v>1558.0</v>
      </c>
      <c r="D1100" s="2">
        <v>522.0</v>
      </c>
      <c r="E1100" s="3">
        <f t="shared" si="1"/>
        <v>0.3652904129</v>
      </c>
      <c r="F1100" s="2">
        <v>213.0</v>
      </c>
      <c r="G1100" s="3">
        <f t="shared" si="2"/>
        <v>0.1490552834</v>
      </c>
      <c r="H1100" s="2">
        <v>327.0</v>
      </c>
      <c r="I1100" s="3">
        <f t="shared" si="3"/>
        <v>0.2288313506</v>
      </c>
      <c r="J1100" s="2">
        <v>232.0</v>
      </c>
      <c r="K1100" s="3">
        <f t="shared" si="4"/>
        <v>0.1623512946</v>
      </c>
      <c r="L1100" s="2">
        <v>219.0</v>
      </c>
      <c r="M1100" s="3">
        <f t="shared" si="5"/>
        <v>0.6697247706</v>
      </c>
      <c r="N1100" s="2">
        <v>1656300.0</v>
      </c>
      <c r="O1100" s="4">
        <f t="shared" si="6"/>
        <v>5065.137615</v>
      </c>
      <c r="P1100" s="2">
        <v>0.0</v>
      </c>
      <c r="Q1100" s="3">
        <f t="shared" si="7"/>
        <v>0</v>
      </c>
      <c r="R1100" s="2">
        <v>126.0</v>
      </c>
      <c r="S1100" s="5">
        <f t="shared" si="8"/>
        <v>0.976744186</v>
      </c>
    </row>
    <row r="1101">
      <c r="A1101" s="2" t="s">
        <v>1115</v>
      </c>
      <c r="B1101" s="2">
        <v>36.0</v>
      </c>
      <c r="C1101" s="2">
        <v>405.0</v>
      </c>
      <c r="D1101" s="2">
        <v>127.0</v>
      </c>
      <c r="E1101" s="3">
        <f t="shared" si="1"/>
        <v>0.3441734417</v>
      </c>
      <c r="F1101" s="2">
        <v>55.0</v>
      </c>
      <c r="G1101" s="3">
        <f t="shared" si="2"/>
        <v>0.1490514905</v>
      </c>
      <c r="H1101" s="2">
        <v>60.0</v>
      </c>
      <c r="I1101" s="3">
        <f t="shared" si="3"/>
        <v>0.162601626</v>
      </c>
      <c r="J1101" s="2">
        <v>55.0</v>
      </c>
      <c r="K1101" s="3">
        <f t="shared" si="4"/>
        <v>0.1490514905</v>
      </c>
      <c r="L1101" s="2">
        <v>35.0</v>
      </c>
      <c r="M1101" s="3">
        <f t="shared" si="5"/>
        <v>0.5833333333</v>
      </c>
      <c r="N1101" s="2">
        <v>425000.0</v>
      </c>
      <c r="O1101" s="4">
        <f t="shared" si="6"/>
        <v>7083.333333</v>
      </c>
      <c r="P1101" s="2">
        <v>0.0</v>
      </c>
      <c r="Q1101" s="3">
        <f t="shared" si="7"/>
        <v>0</v>
      </c>
      <c r="R1101" s="2">
        <v>36.0</v>
      </c>
      <c r="S1101" s="5">
        <f t="shared" si="8"/>
        <v>1</v>
      </c>
    </row>
    <row r="1102">
      <c r="A1102" s="2" t="s">
        <v>1116</v>
      </c>
      <c r="B1102" s="2">
        <v>2818.0</v>
      </c>
      <c r="C1102" s="2">
        <v>32687.0</v>
      </c>
      <c r="D1102" s="2">
        <v>13712.0</v>
      </c>
      <c r="E1102" s="3">
        <f t="shared" si="1"/>
        <v>0.4590712779</v>
      </c>
      <c r="F1102" s="2">
        <v>4452.0</v>
      </c>
      <c r="G1102" s="3">
        <f t="shared" si="2"/>
        <v>0.1490508554</v>
      </c>
      <c r="H1102" s="2">
        <v>7097.0</v>
      </c>
      <c r="I1102" s="3">
        <f t="shared" si="3"/>
        <v>0.237604205</v>
      </c>
      <c r="J1102" s="2">
        <v>5656.0</v>
      </c>
      <c r="K1102" s="3">
        <f t="shared" si="4"/>
        <v>0.1893602062</v>
      </c>
      <c r="L1102" s="2">
        <v>4237.0</v>
      </c>
      <c r="M1102" s="3">
        <f t="shared" si="5"/>
        <v>0.5970128223</v>
      </c>
      <c r="N1102" s="2">
        <v>3.8246E7</v>
      </c>
      <c r="O1102" s="4">
        <f t="shared" si="6"/>
        <v>5389.037622</v>
      </c>
      <c r="P1102" s="2">
        <v>5.0</v>
      </c>
      <c r="Q1102" s="3">
        <f t="shared" si="7"/>
        <v>0.00177430802</v>
      </c>
      <c r="R1102" s="2">
        <v>0.0</v>
      </c>
      <c r="S1102" s="5">
        <f t="shared" si="8"/>
        <v>0</v>
      </c>
    </row>
    <row r="1103">
      <c r="A1103" s="2" t="s">
        <v>1117</v>
      </c>
      <c r="B1103" s="2">
        <v>340.0</v>
      </c>
      <c r="C1103" s="2">
        <v>3963.0</v>
      </c>
      <c r="D1103" s="2">
        <v>1273.0</v>
      </c>
      <c r="E1103" s="3">
        <f t="shared" si="1"/>
        <v>0.351366271</v>
      </c>
      <c r="F1103" s="2">
        <v>540.0</v>
      </c>
      <c r="G1103" s="3">
        <f t="shared" si="2"/>
        <v>0.1490477505</v>
      </c>
      <c r="H1103" s="2">
        <v>778.0</v>
      </c>
      <c r="I1103" s="3">
        <f t="shared" si="3"/>
        <v>0.2147391664</v>
      </c>
      <c r="J1103" s="2">
        <v>568.0</v>
      </c>
      <c r="K1103" s="3">
        <f t="shared" si="4"/>
        <v>0.1567761524</v>
      </c>
      <c r="L1103" s="2">
        <v>501.0</v>
      </c>
      <c r="M1103" s="3">
        <f t="shared" si="5"/>
        <v>0.6439588689</v>
      </c>
      <c r="N1103" s="2">
        <v>4249400.0</v>
      </c>
      <c r="O1103" s="4">
        <f t="shared" si="6"/>
        <v>5461.953728</v>
      </c>
      <c r="P1103" s="2">
        <v>1.0</v>
      </c>
      <c r="Q1103" s="3">
        <f t="shared" si="7"/>
        <v>0.002941176471</v>
      </c>
      <c r="R1103" s="2">
        <v>340.0</v>
      </c>
      <c r="S1103" s="5">
        <f t="shared" si="8"/>
        <v>1</v>
      </c>
    </row>
    <row r="1104">
      <c r="A1104" s="2" t="s">
        <v>1118</v>
      </c>
      <c r="B1104" s="2">
        <v>434.0</v>
      </c>
      <c r="C1104" s="2">
        <v>5010.0</v>
      </c>
      <c r="D1104" s="2">
        <v>1813.0</v>
      </c>
      <c r="E1104" s="3">
        <f t="shared" si="1"/>
        <v>0.3961975524</v>
      </c>
      <c r="F1104" s="2">
        <v>682.0</v>
      </c>
      <c r="G1104" s="3">
        <f t="shared" si="2"/>
        <v>0.1490384615</v>
      </c>
      <c r="H1104" s="2">
        <v>974.0</v>
      </c>
      <c r="I1104" s="3">
        <f t="shared" si="3"/>
        <v>0.2128496503</v>
      </c>
      <c r="J1104" s="2">
        <v>864.0</v>
      </c>
      <c r="K1104" s="3">
        <f t="shared" si="4"/>
        <v>0.1888111888</v>
      </c>
      <c r="L1104" s="2">
        <v>576.0</v>
      </c>
      <c r="M1104" s="3">
        <f t="shared" si="5"/>
        <v>0.59137577</v>
      </c>
      <c r="N1104" s="2">
        <v>5612000.0</v>
      </c>
      <c r="O1104" s="4">
        <f t="shared" si="6"/>
        <v>5761.806982</v>
      </c>
      <c r="P1104" s="2">
        <v>3.0</v>
      </c>
      <c r="Q1104" s="3">
        <f t="shared" si="7"/>
        <v>0.006912442396</v>
      </c>
      <c r="R1104" s="2">
        <v>434.0</v>
      </c>
      <c r="S1104" s="5">
        <f t="shared" si="8"/>
        <v>1</v>
      </c>
    </row>
    <row r="1105">
      <c r="A1105" s="2" t="s">
        <v>1119</v>
      </c>
      <c r="B1105" s="2">
        <v>136.0</v>
      </c>
      <c r="C1105" s="2">
        <v>1592.0</v>
      </c>
      <c r="D1105" s="2">
        <v>605.0</v>
      </c>
      <c r="E1105" s="3">
        <f t="shared" si="1"/>
        <v>0.415521978</v>
      </c>
      <c r="F1105" s="2">
        <v>217.0</v>
      </c>
      <c r="G1105" s="3">
        <f t="shared" si="2"/>
        <v>0.1490384615</v>
      </c>
      <c r="H1105" s="2">
        <v>334.0</v>
      </c>
      <c r="I1105" s="3">
        <f t="shared" si="3"/>
        <v>0.2293956044</v>
      </c>
      <c r="J1105" s="2">
        <v>218.0</v>
      </c>
      <c r="K1105" s="3">
        <f t="shared" si="4"/>
        <v>0.1497252747</v>
      </c>
      <c r="L1105" s="2">
        <v>198.0</v>
      </c>
      <c r="M1105" s="3">
        <f t="shared" si="5"/>
        <v>0.5928143713</v>
      </c>
      <c r="N1105" s="2">
        <v>1859900.0</v>
      </c>
      <c r="O1105" s="4">
        <f t="shared" si="6"/>
        <v>5568.562874</v>
      </c>
      <c r="P1105" s="2">
        <v>1.0</v>
      </c>
      <c r="Q1105" s="3">
        <f t="shared" si="7"/>
        <v>0.007352941176</v>
      </c>
      <c r="R1105" s="2">
        <v>136.0</v>
      </c>
      <c r="S1105" s="5">
        <f t="shared" si="8"/>
        <v>1</v>
      </c>
    </row>
    <row r="1106">
      <c r="A1106" s="2" t="s">
        <v>1120</v>
      </c>
      <c r="B1106" s="2">
        <v>22.0</v>
      </c>
      <c r="C1106" s="2">
        <v>230.0</v>
      </c>
      <c r="D1106" s="2">
        <v>92.0</v>
      </c>
      <c r="E1106" s="3">
        <f t="shared" si="1"/>
        <v>0.4423076923</v>
      </c>
      <c r="F1106" s="2">
        <v>31.0</v>
      </c>
      <c r="G1106" s="3">
        <f t="shared" si="2"/>
        <v>0.1490384615</v>
      </c>
      <c r="H1106" s="2">
        <v>40.0</v>
      </c>
      <c r="I1106" s="3">
        <f t="shared" si="3"/>
        <v>0.1923076923</v>
      </c>
      <c r="J1106" s="2">
        <v>28.0</v>
      </c>
      <c r="K1106" s="3">
        <f t="shared" si="4"/>
        <v>0.1346153846</v>
      </c>
      <c r="L1106" s="2">
        <v>24.0</v>
      </c>
      <c r="M1106" s="3">
        <f t="shared" si="5"/>
        <v>0.6</v>
      </c>
      <c r="N1106" s="2">
        <v>256800.0</v>
      </c>
      <c r="O1106" s="4">
        <f t="shared" si="6"/>
        <v>6420</v>
      </c>
      <c r="P1106" s="2">
        <v>0.0</v>
      </c>
      <c r="Q1106" s="3">
        <f t="shared" si="7"/>
        <v>0</v>
      </c>
      <c r="R1106" s="2">
        <v>22.0</v>
      </c>
      <c r="S1106" s="5">
        <f t="shared" si="8"/>
        <v>1</v>
      </c>
    </row>
    <row r="1107">
      <c r="A1107" s="2" t="s">
        <v>1121</v>
      </c>
      <c r="B1107" s="2">
        <v>209.0</v>
      </c>
      <c r="C1107" s="2">
        <v>2430.0</v>
      </c>
      <c r="D1107" s="2">
        <v>835.0</v>
      </c>
      <c r="E1107" s="3">
        <f t="shared" si="1"/>
        <v>0.3759567762</v>
      </c>
      <c r="F1107" s="2">
        <v>331.0</v>
      </c>
      <c r="G1107" s="3">
        <f t="shared" si="2"/>
        <v>0.1490319676</v>
      </c>
      <c r="H1107" s="2">
        <v>479.0</v>
      </c>
      <c r="I1107" s="3">
        <f t="shared" si="3"/>
        <v>0.2156686177</v>
      </c>
      <c r="J1107" s="2">
        <v>391.0</v>
      </c>
      <c r="K1107" s="3">
        <f t="shared" si="4"/>
        <v>0.1760468258</v>
      </c>
      <c r="L1107" s="2">
        <v>310.0</v>
      </c>
      <c r="M1107" s="3">
        <f t="shared" si="5"/>
        <v>0.6471816284</v>
      </c>
      <c r="N1107" s="2">
        <v>2596200.0</v>
      </c>
      <c r="O1107" s="4">
        <f t="shared" si="6"/>
        <v>5420.041754</v>
      </c>
      <c r="P1107" s="2">
        <v>0.0</v>
      </c>
      <c r="Q1107" s="3">
        <f t="shared" si="7"/>
        <v>0</v>
      </c>
      <c r="R1107" s="2">
        <v>209.0</v>
      </c>
      <c r="S1107" s="5">
        <f t="shared" si="8"/>
        <v>1</v>
      </c>
    </row>
    <row r="1108">
      <c r="A1108" s="2" t="s">
        <v>1122</v>
      </c>
      <c r="B1108" s="2">
        <v>65.0</v>
      </c>
      <c r="C1108" s="2">
        <v>783.0</v>
      </c>
      <c r="D1108" s="2">
        <v>281.0</v>
      </c>
      <c r="E1108" s="3">
        <f t="shared" si="1"/>
        <v>0.3913649025</v>
      </c>
      <c r="F1108" s="2">
        <v>107.0</v>
      </c>
      <c r="G1108" s="3">
        <f t="shared" si="2"/>
        <v>0.1490250696</v>
      </c>
      <c r="H1108" s="2">
        <v>188.0</v>
      </c>
      <c r="I1108" s="3">
        <f t="shared" si="3"/>
        <v>0.2618384401</v>
      </c>
      <c r="J1108" s="2">
        <v>154.0</v>
      </c>
      <c r="K1108" s="3">
        <f t="shared" si="4"/>
        <v>0.2144846797</v>
      </c>
      <c r="L1108" s="2">
        <v>112.0</v>
      </c>
      <c r="M1108" s="3">
        <f t="shared" si="5"/>
        <v>0.5957446809</v>
      </c>
      <c r="N1108" s="2">
        <v>1089800.0</v>
      </c>
      <c r="O1108" s="4">
        <f t="shared" si="6"/>
        <v>5796.808511</v>
      </c>
      <c r="P1108" s="2">
        <v>0.0</v>
      </c>
      <c r="Q1108" s="3">
        <f t="shared" si="7"/>
        <v>0</v>
      </c>
      <c r="R1108" s="2">
        <v>65.0</v>
      </c>
      <c r="S1108" s="5">
        <f t="shared" si="8"/>
        <v>1</v>
      </c>
    </row>
    <row r="1109">
      <c r="A1109" s="2" t="s">
        <v>1123</v>
      </c>
      <c r="B1109" s="2">
        <v>177.0</v>
      </c>
      <c r="C1109" s="2">
        <v>2117.0</v>
      </c>
      <c r="D1109" s="2">
        <v>657.0</v>
      </c>
      <c r="E1109" s="3">
        <f t="shared" si="1"/>
        <v>0.3386597938</v>
      </c>
      <c r="F1109" s="2">
        <v>289.0</v>
      </c>
      <c r="G1109" s="3">
        <f t="shared" si="2"/>
        <v>0.1489690722</v>
      </c>
      <c r="H1109" s="2">
        <v>429.0</v>
      </c>
      <c r="I1109" s="3">
        <f t="shared" si="3"/>
        <v>0.2211340206</v>
      </c>
      <c r="J1109" s="2">
        <v>363.0</v>
      </c>
      <c r="K1109" s="3">
        <f t="shared" si="4"/>
        <v>0.1871134021</v>
      </c>
      <c r="L1109" s="2">
        <v>269.0</v>
      </c>
      <c r="M1109" s="3">
        <f t="shared" si="5"/>
        <v>0.627039627</v>
      </c>
      <c r="N1109" s="2">
        <v>2391200.0</v>
      </c>
      <c r="O1109" s="4">
        <f t="shared" si="6"/>
        <v>5573.892774</v>
      </c>
      <c r="P1109" s="2">
        <v>0.0</v>
      </c>
      <c r="Q1109" s="3">
        <f t="shared" si="7"/>
        <v>0</v>
      </c>
      <c r="R1109" s="2">
        <v>0.0</v>
      </c>
      <c r="S1109" s="5">
        <f t="shared" si="8"/>
        <v>0</v>
      </c>
    </row>
    <row r="1110">
      <c r="A1110" s="2" t="s">
        <v>1124</v>
      </c>
      <c r="B1110" s="2">
        <v>143.0</v>
      </c>
      <c r="C1110" s="2">
        <v>1640.0</v>
      </c>
      <c r="D1110" s="2">
        <v>488.0</v>
      </c>
      <c r="E1110" s="3">
        <f t="shared" si="1"/>
        <v>0.3259853039</v>
      </c>
      <c r="F1110" s="2">
        <v>223.0</v>
      </c>
      <c r="G1110" s="3">
        <f t="shared" si="2"/>
        <v>0.1489645959</v>
      </c>
      <c r="H1110" s="2">
        <v>310.0</v>
      </c>
      <c r="I1110" s="3">
        <f t="shared" si="3"/>
        <v>0.2070808283</v>
      </c>
      <c r="J1110" s="2">
        <v>237.0</v>
      </c>
      <c r="K1110" s="3">
        <f t="shared" si="4"/>
        <v>0.1583166333</v>
      </c>
      <c r="L1110" s="2">
        <v>188.0</v>
      </c>
      <c r="M1110" s="3">
        <f t="shared" si="5"/>
        <v>0.6064516129</v>
      </c>
      <c r="N1110" s="2">
        <v>1922400.0</v>
      </c>
      <c r="O1110" s="4">
        <f t="shared" si="6"/>
        <v>6201.290323</v>
      </c>
      <c r="P1110" s="2">
        <v>0.0</v>
      </c>
      <c r="Q1110" s="3">
        <f t="shared" si="7"/>
        <v>0</v>
      </c>
      <c r="R1110" s="2">
        <v>143.0</v>
      </c>
      <c r="S1110" s="5">
        <f t="shared" si="8"/>
        <v>1</v>
      </c>
    </row>
    <row r="1111">
      <c r="A1111" s="2" t="s">
        <v>1125</v>
      </c>
      <c r="B1111" s="2">
        <v>282.0</v>
      </c>
      <c r="C1111" s="2">
        <v>3276.0</v>
      </c>
      <c r="D1111" s="2">
        <v>1258.0</v>
      </c>
      <c r="E1111" s="3">
        <f t="shared" si="1"/>
        <v>0.4201736807</v>
      </c>
      <c r="F1111" s="2">
        <v>446.0</v>
      </c>
      <c r="G1111" s="3">
        <f t="shared" si="2"/>
        <v>0.1489645959</v>
      </c>
      <c r="H1111" s="2">
        <v>678.0</v>
      </c>
      <c r="I1111" s="3">
        <f t="shared" si="3"/>
        <v>0.2264529058</v>
      </c>
      <c r="J1111" s="2">
        <v>472.0</v>
      </c>
      <c r="K1111" s="3">
        <f t="shared" si="4"/>
        <v>0.1576486306</v>
      </c>
      <c r="L1111" s="2">
        <v>418.0</v>
      </c>
      <c r="M1111" s="3">
        <f t="shared" si="5"/>
        <v>0.616519174</v>
      </c>
      <c r="N1111" s="2">
        <v>3760600.0</v>
      </c>
      <c r="O1111" s="4">
        <f t="shared" si="6"/>
        <v>5546.60767</v>
      </c>
      <c r="P1111" s="2">
        <v>0.0</v>
      </c>
      <c r="Q1111" s="3">
        <f t="shared" si="7"/>
        <v>0</v>
      </c>
      <c r="R1111" s="2">
        <v>282.0</v>
      </c>
      <c r="S1111" s="5">
        <f t="shared" si="8"/>
        <v>1</v>
      </c>
    </row>
    <row r="1112">
      <c r="A1112" s="2" t="s">
        <v>1126</v>
      </c>
      <c r="B1112" s="2">
        <v>106.0</v>
      </c>
      <c r="C1112" s="2">
        <v>1234.0</v>
      </c>
      <c r="D1112" s="2">
        <v>431.0</v>
      </c>
      <c r="E1112" s="3">
        <f t="shared" si="1"/>
        <v>0.3820921986</v>
      </c>
      <c r="F1112" s="2">
        <v>168.0</v>
      </c>
      <c r="G1112" s="3">
        <f t="shared" si="2"/>
        <v>0.1489361702</v>
      </c>
      <c r="H1112" s="2">
        <v>228.0</v>
      </c>
      <c r="I1112" s="3">
        <f t="shared" si="3"/>
        <v>0.2021276596</v>
      </c>
      <c r="J1112" s="2">
        <v>162.0</v>
      </c>
      <c r="K1112" s="3">
        <f t="shared" si="4"/>
        <v>0.1436170213</v>
      </c>
      <c r="L1112" s="2">
        <v>152.0</v>
      </c>
      <c r="M1112" s="3">
        <f t="shared" si="5"/>
        <v>0.6666666667</v>
      </c>
      <c r="N1112" s="2">
        <v>1233300.0</v>
      </c>
      <c r="O1112" s="4">
        <f t="shared" si="6"/>
        <v>5409.210526</v>
      </c>
      <c r="P1112" s="2">
        <v>0.0</v>
      </c>
      <c r="Q1112" s="3">
        <f t="shared" si="7"/>
        <v>0</v>
      </c>
      <c r="R1112" s="2">
        <v>106.0</v>
      </c>
      <c r="S1112" s="5">
        <f t="shared" si="8"/>
        <v>1</v>
      </c>
    </row>
    <row r="1113">
      <c r="A1113" s="2" t="s">
        <v>1127</v>
      </c>
      <c r="B1113" s="2">
        <v>5.0</v>
      </c>
      <c r="C1113" s="2">
        <v>52.0</v>
      </c>
      <c r="D1113" s="2">
        <v>16.0</v>
      </c>
      <c r="E1113" s="3">
        <f t="shared" si="1"/>
        <v>0.3404255319</v>
      </c>
      <c r="F1113" s="2">
        <v>7.0</v>
      </c>
      <c r="G1113" s="3">
        <f t="shared" si="2"/>
        <v>0.1489361702</v>
      </c>
      <c r="H1113" s="2">
        <v>3.0</v>
      </c>
      <c r="I1113" s="3">
        <f t="shared" si="3"/>
        <v>0.06382978723</v>
      </c>
      <c r="J1113" s="2">
        <v>6.0</v>
      </c>
      <c r="K1113" s="3">
        <f t="shared" si="4"/>
        <v>0.1276595745</v>
      </c>
      <c r="L1113" s="2">
        <v>2.0</v>
      </c>
      <c r="M1113" s="3">
        <f t="shared" si="5"/>
        <v>0.6666666667</v>
      </c>
      <c r="N1113" s="2">
        <v>18700.0</v>
      </c>
      <c r="O1113" s="4">
        <f t="shared" si="6"/>
        <v>6233.333333</v>
      </c>
      <c r="P1113" s="2">
        <v>0.0</v>
      </c>
      <c r="Q1113" s="3">
        <f t="shared" si="7"/>
        <v>0</v>
      </c>
      <c r="R1113" s="2">
        <v>5.0</v>
      </c>
      <c r="S1113" s="5">
        <f t="shared" si="8"/>
        <v>1</v>
      </c>
    </row>
    <row r="1114">
      <c r="A1114" s="2" t="s">
        <v>1128</v>
      </c>
      <c r="B1114" s="2">
        <v>4.0</v>
      </c>
      <c r="C1114" s="2">
        <v>51.0</v>
      </c>
      <c r="D1114" s="2">
        <v>21.0</v>
      </c>
      <c r="E1114" s="3">
        <f t="shared" si="1"/>
        <v>0.4468085106</v>
      </c>
      <c r="F1114" s="2">
        <v>7.0</v>
      </c>
      <c r="G1114" s="3">
        <f t="shared" si="2"/>
        <v>0.1489361702</v>
      </c>
      <c r="H1114" s="2">
        <v>8.0</v>
      </c>
      <c r="I1114" s="3">
        <f t="shared" si="3"/>
        <v>0.170212766</v>
      </c>
      <c r="J1114" s="2">
        <v>5.0</v>
      </c>
      <c r="K1114" s="3">
        <f t="shared" si="4"/>
        <v>0.1063829787</v>
      </c>
      <c r="L1114" s="2">
        <v>6.0</v>
      </c>
      <c r="M1114" s="3">
        <f t="shared" si="5"/>
        <v>0.75</v>
      </c>
      <c r="N1114" s="2">
        <v>53400.0</v>
      </c>
      <c r="O1114" s="4">
        <f t="shared" si="6"/>
        <v>6675</v>
      </c>
      <c r="P1114" s="2">
        <v>0.0</v>
      </c>
      <c r="Q1114" s="3">
        <f t="shared" si="7"/>
        <v>0</v>
      </c>
      <c r="R1114" s="2">
        <v>4.0</v>
      </c>
      <c r="S1114" s="5">
        <f t="shared" si="8"/>
        <v>1</v>
      </c>
    </row>
    <row r="1115">
      <c r="A1115" s="2" t="s">
        <v>1129</v>
      </c>
      <c r="B1115" s="2">
        <v>173.0</v>
      </c>
      <c r="C1115" s="2">
        <v>2067.0</v>
      </c>
      <c r="D1115" s="2">
        <v>576.0</v>
      </c>
      <c r="E1115" s="3">
        <f t="shared" si="1"/>
        <v>0.3041182682</v>
      </c>
      <c r="F1115" s="2">
        <v>282.0</v>
      </c>
      <c r="G1115" s="3">
        <f t="shared" si="2"/>
        <v>0.1488912355</v>
      </c>
      <c r="H1115" s="2">
        <v>386.0</v>
      </c>
      <c r="I1115" s="3">
        <f t="shared" si="3"/>
        <v>0.2038014784</v>
      </c>
      <c r="J1115" s="2">
        <v>360.0</v>
      </c>
      <c r="K1115" s="3">
        <f t="shared" si="4"/>
        <v>0.1900739176</v>
      </c>
      <c r="L1115" s="2">
        <v>217.0</v>
      </c>
      <c r="M1115" s="3">
        <f t="shared" si="5"/>
        <v>0.5621761658</v>
      </c>
      <c r="N1115" s="2">
        <v>2203900.0</v>
      </c>
      <c r="O1115" s="4">
        <f t="shared" si="6"/>
        <v>5709.585492</v>
      </c>
      <c r="P1115" s="2">
        <v>1.0</v>
      </c>
      <c r="Q1115" s="3">
        <f t="shared" si="7"/>
        <v>0.005780346821</v>
      </c>
      <c r="R1115" s="2">
        <v>173.0</v>
      </c>
      <c r="S1115" s="5">
        <f t="shared" si="8"/>
        <v>1</v>
      </c>
    </row>
    <row r="1116">
      <c r="A1116" s="2" t="s">
        <v>1130</v>
      </c>
      <c r="B1116" s="2">
        <v>241.0</v>
      </c>
      <c r="C1116" s="2">
        <v>2753.0</v>
      </c>
      <c r="D1116" s="2">
        <v>947.0</v>
      </c>
      <c r="E1116" s="3">
        <f t="shared" si="1"/>
        <v>0.3769904459</v>
      </c>
      <c r="F1116" s="2">
        <v>374.0</v>
      </c>
      <c r="G1116" s="3">
        <f t="shared" si="2"/>
        <v>0.1488853503</v>
      </c>
      <c r="H1116" s="2">
        <v>545.0</v>
      </c>
      <c r="I1116" s="3">
        <f t="shared" si="3"/>
        <v>0.2169585987</v>
      </c>
      <c r="J1116" s="2">
        <v>482.0</v>
      </c>
      <c r="K1116" s="3">
        <f t="shared" si="4"/>
        <v>0.1918789809</v>
      </c>
      <c r="L1116" s="2">
        <v>320.0</v>
      </c>
      <c r="M1116" s="3">
        <f t="shared" si="5"/>
        <v>0.5871559633</v>
      </c>
      <c r="N1116" s="2">
        <v>3194000.0</v>
      </c>
      <c r="O1116" s="4">
        <f t="shared" si="6"/>
        <v>5860.550459</v>
      </c>
      <c r="P1116" s="2">
        <v>0.0</v>
      </c>
      <c r="Q1116" s="3">
        <f t="shared" si="7"/>
        <v>0</v>
      </c>
      <c r="R1116" s="2">
        <v>111.0</v>
      </c>
      <c r="S1116" s="5">
        <f t="shared" si="8"/>
        <v>0.4605809129</v>
      </c>
    </row>
    <row r="1117">
      <c r="A1117" s="2" t="s">
        <v>1131</v>
      </c>
      <c r="B1117" s="2">
        <v>112.0</v>
      </c>
      <c r="C1117" s="2">
        <v>1328.0</v>
      </c>
      <c r="D1117" s="2">
        <v>361.0</v>
      </c>
      <c r="E1117" s="3">
        <f t="shared" si="1"/>
        <v>0.296875</v>
      </c>
      <c r="F1117" s="2">
        <v>181.0</v>
      </c>
      <c r="G1117" s="3">
        <f t="shared" si="2"/>
        <v>0.1488486842</v>
      </c>
      <c r="H1117" s="2">
        <v>243.0</v>
      </c>
      <c r="I1117" s="3">
        <f t="shared" si="3"/>
        <v>0.1998355263</v>
      </c>
      <c r="J1117" s="2">
        <v>214.0</v>
      </c>
      <c r="K1117" s="3">
        <f t="shared" si="4"/>
        <v>0.1759868421</v>
      </c>
      <c r="L1117" s="2">
        <v>157.0</v>
      </c>
      <c r="M1117" s="3">
        <f t="shared" si="5"/>
        <v>0.646090535</v>
      </c>
      <c r="N1117" s="2">
        <v>1322500.0</v>
      </c>
      <c r="O1117" s="4">
        <f t="shared" si="6"/>
        <v>5442.386831</v>
      </c>
      <c r="P1117" s="2">
        <v>0.0</v>
      </c>
      <c r="Q1117" s="3">
        <f t="shared" si="7"/>
        <v>0</v>
      </c>
      <c r="R1117" s="2">
        <v>112.0</v>
      </c>
      <c r="S1117" s="5">
        <f t="shared" si="8"/>
        <v>1</v>
      </c>
    </row>
    <row r="1118">
      <c r="A1118" s="2" t="s">
        <v>1132</v>
      </c>
      <c r="B1118" s="2">
        <v>256.0</v>
      </c>
      <c r="C1118" s="2">
        <v>2977.0</v>
      </c>
      <c r="D1118" s="2">
        <v>978.0</v>
      </c>
      <c r="E1118" s="3">
        <f t="shared" si="1"/>
        <v>0.3594266814</v>
      </c>
      <c r="F1118" s="2">
        <v>405.0</v>
      </c>
      <c r="G1118" s="3">
        <f t="shared" si="2"/>
        <v>0.1488423374</v>
      </c>
      <c r="H1118" s="2">
        <v>568.0</v>
      </c>
      <c r="I1118" s="3">
        <f t="shared" si="3"/>
        <v>0.2087467843</v>
      </c>
      <c r="J1118" s="2">
        <v>449.0</v>
      </c>
      <c r="K1118" s="3">
        <f t="shared" si="4"/>
        <v>0.1650128629</v>
      </c>
      <c r="L1118" s="2">
        <v>336.0</v>
      </c>
      <c r="M1118" s="3">
        <f t="shared" si="5"/>
        <v>0.5915492958</v>
      </c>
      <c r="N1118" s="2">
        <v>3386400.0</v>
      </c>
      <c r="O1118" s="4">
        <f t="shared" si="6"/>
        <v>5961.971831</v>
      </c>
      <c r="P1118" s="2">
        <v>2.0</v>
      </c>
      <c r="Q1118" s="3">
        <f t="shared" si="7"/>
        <v>0.0078125</v>
      </c>
      <c r="R1118" s="2">
        <v>0.0</v>
      </c>
      <c r="S1118" s="5">
        <f t="shared" si="8"/>
        <v>0</v>
      </c>
    </row>
    <row r="1119">
      <c r="A1119" s="2" t="s">
        <v>1133</v>
      </c>
      <c r="B1119" s="2">
        <v>473.0</v>
      </c>
      <c r="C1119" s="2">
        <v>5539.0</v>
      </c>
      <c r="D1119" s="2">
        <v>1850.0</v>
      </c>
      <c r="E1119" s="3">
        <f t="shared" si="1"/>
        <v>0.3651796289</v>
      </c>
      <c r="F1119" s="2">
        <v>754.0</v>
      </c>
      <c r="G1119" s="3">
        <f t="shared" si="2"/>
        <v>0.1488353731</v>
      </c>
      <c r="H1119" s="2">
        <v>1142.0</v>
      </c>
      <c r="I1119" s="3">
        <f t="shared" si="3"/>
        <v>0.2254243979</v>
      </c>
      <c r="J1119" s="2">
        <v>1022.0</v>
      </c>
      <c r="K1119" s="3">
        <f t="shared" si="4"/>
        <v>0.2017370707</v>
      </c>
      <c r="L1119" s="2">
        <v>668.0</v>
      </c>
      <c r="M1119" s="3">
        <f t="shared" si="5"/>
        <v>0.584938704</v>
      </c>
      <c r="N1119" s="2">
        <v>6277700.0</v>
      </c>
      <c r="O1119" s="4">
        <f t="shared" si="6"/>
        <v>5497.110333</v>
      </c>
      <c r="P1119" s="2">
        <v>2.0</v>
      </c>
      <c r="Q1119" s="3">
        <f t="shared" si="7"/>
        <v>0.00422832981</v>
      </c>
      <c r="R1119" s="2">
        <v>473.0</v>
      </c>
      <c r="S1119" s="5">
        <f t="shared" si="8"/>
        <v>1</v>
      </c>
    </row>
    <row r="1120">
      <c r="A1120" s="2" t="s">
        <v>1134</v>
      </c>
      <c r="B1120" s="2">
        <v>74.0</v>
      </c>
      <c r="C1120" s="2">
        <v>840.0</v>
      </c>
      <c r="D1120" s="2">
        <v>284.0</v>
      </c>
      <c r="E1120" s="3">
        <f t="shared" si="1"/>
        <v>0.3707571802</v>
      </c>
      <c r="F1120" s="2">
        <v>114.0</v>
      </c>
      <c r="G1120" s="3">
        <f t="shared" si="2"/>
        <v>0.1488250653</v>
      </c>
      <c r="H1120" s="2">
        <v>163.0</v>
      </c>
      <c r="I1120" s="3">
        <f t="shared" si="3"/>
        <v>0.2127937337</v>
      </c>
      <c r="J1120" s="2">
        <v>138.0</v>
      </c>
      <c r="K1120" s="3">
        <f t="shared" si="4"/>
        <v>0.180156658</v>
      </c>
      <c r="L1120" s="2">
        <v>96.0</v>
      </c>
      <c r="M1120" s="3">
        <f t="shared" si="5"/>
        <v>0.5889570552</v>
      </c>
      <c r="N1120" s="2">
        <v>912000.0</v>
      </c>
      <c r="O1120" s="4">
        <f t="shared" si="6"/>
        <v>5595.092025</v>
      </c>
      <c r="P1120" s="2">
        <v>0.0</v>
      </c>
      <c r="Q1120" s="3">
        <f t="shared" si="7"/>
        <v>0</v>
      </c>
      <c r="R1120" s="2">
        <v>0.0</v>
      </c>
      <c r="S1120" s="5">
        <f t="shared" si="8"/>
        <v>0</v>
      </c>
    </row>
    <row r="1121">
      <c r="A1121" s="2" t="s">
        <v>1135</v>
      </c>
      <c r="B1121" s="2">
        <v>629.0</v>
      </c>
      <c r="C1121" s="2">
        <v>7263.0</v>
      </c>
      <c r="D1121" s="2">
        <v>2774.0</v>
      </c>
      <c r="E1121" s="3">
        <f t="shared" si="1"/>
        <v>0.4181489298</v>
      </c>
      <c r="F1121" s="2">
        <v>987.0</v>
      </c>
      <c r="G1121" s="3">
        <f t="shared" si="2"/>
        <v>0.1487790172</v>
      </c>
      <c r="H1121" s="2">
        <v>1526.0</v>
      </c>
      <c r="I1121" s="3">
        <f t="shared" si="3"/>
        <v>0.230027133</v>
      </c>
      <c r="J1121" s="2">
        <v>1205.0</v>
      </c>
      <c r="K1121" s="3">
        <f t="shared" si="4"/>
        <v>0.1816400362</v>
      </c>
      <c r="L1121" s="2">
        <v>896.0</v>
      </c>
      <c r="M1121" s="3">
        <f t="shared" si="5"/>
        <v>0.5871559633</v>
      </c>
      <c r="N1121" s="2">
        <v>8226700.0</v>
      </c>
      <c r="O1121" s="4">
        <f t="shared" si="6"/>
        <v>5391.02228</v>
      </c>
      <c r="P1121" s="2">
        <v>0.0</v>
      </c>
      <c r="Q1121" s="3">
        <f t="shared" si="7"/>
        <v>0</v>
      </c>
      <c r="R1121" s="2">
        <v>629.0</v>
      </c>
      <c r="S1121" s="5">
        <f t="shared" si="8"/>
        <v>1</v>
      </c>
    </row>
    <row r="1122">
      <c r="A1122" s="2" t="s">
        <v>1136</v>
      </c>
      <c r="B1122" s="2">
        <v>183.0</v>
      </c>
      <c r="C1122" s="2">
        <v>2153.0</v>
      </c>
      <c r="D1122" s="2">
        <v>811.0</v>
      </c>
      <c r="E1122" s="3">
        <f t="shared" si="1"/>
        <v>0.4116751269</v>
      </c>
      <c r="F1122" s="2">
        <v>293.0</v>
      </c>
      <c r="G1122" s="3">
        <f t="shared" si="2"/>
        <v>0.1487309645</v>
      </c>
      <c r="H1122" s="2">
        <v>417.0</v>
      </c>
      <c r="I1122" s="3">
        <f t="shared" si="3"/>
        <v>0.2116751269</v>
      </c>
      <c r="J1122" s="2">
        <v>404.0</v>
      </c>
      <c r="K1122" s="3">
        <f t="shared" si="4"/>
        <v>0.2050761421</v>
      </c>
      <c r="L1122" s="2">
        <v>245.0</v>
      </c>
      <c r="M1122" s="3">
        <f t="shared" si="5"/>
        <v>0.587529976</v>
      </c>
      <c r="N1122" s="2">
        <v>2176100.0</v>
      </c>
      <c r="O1122" s="4">
        <f t="shared" si="6"/>
        <v>5218.465228</v>
      </c>
      <c r="P1122" s="2">
        <v>1.0</v>
      </c>
      <c r="Q1122" s="3">
        <f t="shared" si="7"/>
        <v>0.005464480874</v>
      </c>
      <c r="R1122" s="2">
        <v>98.0</v>
      </c>
      <c r="S1122" s="5">
        <f t="shared" si="8"/>
        <v>0.5355191257</v>
      </c>
    </row>
    <row r="1123">
      <c r="A1123" s="2" t="s">
        <v>1137</v>
      </c>
      <c r="B1123" s="2">
        <v>48.0</v>
      </c>
      <c r="C1123" s="2">
        <v>559.0</v>
      </c>
      <c r="D1123" s="2">
        <v>183.0</v>
      </c>
      <c r="E1123" s="3">
        <f t="shared" si="1"/>
        <v>0.3581213307</v>
      </c>
      <c r="F1123" s="2">
        <v>76.0</v>
      </c>
      <c r="G1123" s="3">
        <f t="shared" si="2"/>
        <v>0.1487279843</v>
      </c>
      <c r="H1123" s="2">
        <v>108.0</v>
      </c>
      <c r="I1123" s="3">
        <f t="shared" si="3"/>
        <v>0.2113502935</v>
      </c>
      <c r="J1123" s="2">
        <v>94.0</v>
      </c>
      <c r="K1123" s="3">
        <f t="shared" si="4"/>
        <v>0.1839530333</v>
      </c>
      <c r="L1123" s="2">
        <v>64.0</v>
      </c>
      <c r="M1123" s="3">
        <f t="shared" si="5"/>
        <v>0.5925925926</v>
      </c>
      <c r="N1123" s="2">
        <v>599400.0</v>
      </c>
      <c r="O1123" s="4">
        <f t="shared" si="6"/>
        <v>5550</v>
      </c>
      <c r="P1123" s="2">
        <v>0.0</v>
      </c>
      <c r="Q1123" s="3">
        <f t="shared" si="7"/>
        <v>0</v>
      </c>
      <c r="R1123" s="2">
        <v>0.0</v>
      </c>
      <c r="S1123" s="5">
        <f t="shared" si="8"/>
        <v>0</v>
      </c>
    </row>
    <row r="1124">
      <c r="A1124" s="2" t="s">
        <v>1138</v>
      </c>
      <c r="B1124" s="2">
        <v>17.0</v>
      </c>
      <c r="C1124" s="2">
        <v>212.0</v>
      </c>
      <c r="D1124" s="2">
        <v>64.0</v>
      </c>
      <c r="E1124" s="3">
        <f t="shared" si="1"/>
        <v>0.3282051282</v>
      </c>
      <c r="F1124" s="2">
        <v>29.0</v>
      </c>
      <c r="G1124" s="3">
        <f t="shared" si="2"/>
        <v>0.1487179487</v>
      </c>
      <c r="H1124" s="2">
        <v>33.0</v>
      </c>
      <c r="I1124" s="3">
        <f t="shared" si="3"/>
        <v>0.1692307692</v>
      </c>
      <c r="J1124" s="2">
        <v>22.0</v>
      </c>
      <c r="K1124" s="3">
        <f t="shared" si="4"/>
        <v>0.1128205128</v>
      </c>
      <c r="L1124" s="2">
        <v>20.0</v>
      </c>
      <c r="M1124" s="3">
        <f t="shared" si="5"/>
        <v>0.6060606061</v>
      </c>
      <c r="N1124" s="2">
        <v>173300.0</v>
      </c>
      <c r="O1124" s="4">
        <f t="shared" si="6"/>
        <v>5251.515152</v>
      </c>
      <c r="P1124" s="2">
        <v>0.0</v>
      </c>
      <c r="Q1124" s="3">
        <f t="shared" si="7"/>
        <v>0</v>
      </c>
      <c r="R1124" s="2">
        <v>0.0</v>
      </c>
      <c r="S1124" s="5">
        <f t="shared" si="8"/>
        <v>0</v>
      </c>
    </row>
    <row r="1125">
      <c r="A1125" s="2" t="s">
        <v>1139</v>
      </c>
      <c r="B1125" s="2">
        <v>119.0</v>
      </c>
      <c r="C1125" s="2">
        <v>1343.0</v>
      </c>
      <c r="D1125" s="2">
        <v>427.0</v>
      </c>
      <c r="E1125" s="3">
        <f t="shared" si="1"/>
        <v>0.3488562092</v>
      </c>
      <c r="F1125" s="2">
        <v>182.0</v>
      </c>
      <c r="G1125" s="3">
        <f t="shared" si="2"/>
        <v>0.1486928105</v>
      </c>
      <c r="H1125" s="2">
        <v>229.0</v>
      </c>
      <c r="I1125" s="3">
        <f t="shared" si="3"/>
        <v>0.1870915033</v>
      </c>
      <c r="J1125" s="2">
        <v>225.0</v>
      </c>
      <c r="K1125" s="3">
        <f t="shared" si="4"/>
        <v>0.1838235294</v>
      </c>
      <c r="L1125" s="2">
        <v>142.0</v>
      </c>
      <c r="M1125" s="3">
        <f t="shared" si="5"/>
        <v>0.6200873362</v>
      </c>
      <c r="N1125" s="2">
        <v>1365000.0</v>
      </c>
      <c r="O1125" s="4">
        <f t="shared" si="6"/>
        <v>5960.69869</v>
      </c>
      <c r="P1125" s="2">
        <v>0.0</v>
      </c>
      <c r="Q1125" s="3">
        <f t="shared" si="7"/>
        <v>0</v>
      </c>
      <c r="R1125" s="2">
        <v>119.0</v>
      </c>
      <c r="S1125" s="5">
        <f t="shared" si="8"/>
        <v>1</v>
      </c>
    </row>
    <row r="1126">
      <c r="A1126" s="2" t="s">
        <v>1140</v>
      </c>
      <c r="B1126" s="2">
        <v>167.0</v>
      </c>
      <c r="C1126" s="2">
        <v>1956.0</v>
      </c>
      <c r="D1126" s="2">
        <v>768.0</v>
      </c>
      <c r="E1126" s="3">
        <f t="shared" si="1"/>
        <v>0.4292901062</v>
      </c>
      <c r="F1126" s="2">
        <v>266.0</v>
      </c>
      <c r="G1126" s="3">
        <f t="shared" si="2"/>
        <v>0.148686417</v>
      </c>
      <c r="H1126" s="2">
        <v>406.0</v>
      </c>
      <c r="I1126" s="3">
        <f t="shared" si="3"/>
        <v>0.2269424259</v>
      </c>
      <c r="J1126" s="2">
        <v>248.0</v>
      </c>
      <c r="K1126" s="3">
        <f t="shared" si="4"/>
        <v>0.1386249301</v>
      </c>
      <c r="L1126" s="2">
        <v>240.0</v>
      </c>
      <c r="M1126" s="3">
        <f t="shared" si="5"/>
        <v>0.5911330049</v>
      </c>
      <c r="N1126" s="2">
        <v>2127500.0</v>
      </c>
      <c r="O1126" s="4">
        <f t="shared" si="6"/>
        <v>5240.147783</v>
      </c>
      <c r="P1126" s="2">
        <v>0.0</v>
      </c>
      <c r="Q1126" s="3">
        <f t="shared" si="7"/>
        <v>0</v>
      </c>
      <c r="R1126" s="2">
        <v>167.0</v>
      </c>
      <c r="S1126" s="5">
        <f t="shared" si="8"/>
        <v>1</v>
      </c>
    </row>
    <row r="1127">
      <c r="A1127" s="2" t="s">
        <v>1141</v>
      </c>
      <c r="B1127" s="2">
        <v>73.0</v>
      </c>
      <c r="C1127" s="2">
        <v>860.0</v>
      </c>
      <c r="D1127" s="2">
        <v>257.0</v>
      </c>
      <c r="E1127" s="3">
        <f t="shared" si="1"/>
        <v>0.3265565438</v>
      </c>
      <c r="F1127" s="2">
        <v>117.0</v>
      </c>
      <c r="G1127" s="3">
        <f t="shared" si="2"/>
        <v>0.1486658196</v>
      </c>
      <c r="H1127" s="2">
        <v>168.0</v>
      </c>
      <c r="I1127" s="3">
        <f t="shared" si="3"/>
        <v>0.2134688691</v>
      </c>
      <c r="J1127" s="2">
        <v>105.0</v>
      </c>
      <c r="K1127" s="3">
        <f t="shared" si="4"/>
        <v>0.1334180432</v>
      </c>
      <c r="L1127" s="2">
        <v>116.0</v>
      </c>
      <c r="M1127" s="3">
        <f t="shared" si="5"/>
        <v>0.6904761905</v>
      </c>
      <c r="N1127" s="2">
        <v>813500.0</v>
      </c>
      <c r="O1127" s="4">
        <f t="shared" si="6"/>
        <v>4842.261905</v>
      </c>
      <c r="P1127" s="2">
        <v>0.0</v>
      </c>
      <c r="Q1127" s="3">
        <f t="shared" si="7"/>
        <v>0</v>
      </c>
      <c r="R1127" s="2">
        <v>73.0</v>
      </c>
      <c r="S1127" s="5">
        <f t="shared" si="8"/>
        <v>1</v>
      </c>
    </row>
    <row r="1128">
      <c r="A1128" s="2" t="s">
        <v>1142</v>
      </c>
      <c r="B1128" s="2">
        <v>12.0</v>
      </c>
      <c r="C1128" s="2">
        <v>160.0</v>
      </c>
      <c r="D1128" s="2">
        <v>51.0</v>
      </c>
      <c r="E1128" s="3">
        <f t="shared" si="1"/>
        <v>0.3445945946</v>
      </c>
      <c r="F1128" s="2">
        <v>22.0</v>
      </c>
      <c r="G1128" s="3">
        <f t="shared" si="2"/>
        <v>0.1486486486</v>
      </c>
      <c r="H1128" s="2">
        <v>26.0</v>
      </c>
      <c r="I1128" s="3">
        <f t="shared" si="3"/>
        <v>0.1756756757</v>
      </c>
      <c r="J1128" s="2">
        <v>28.0</v>
      </c>
      <c r="K1128" s="3">
        <f t="shared" si="4"/>
        <v>0.1891891892</v>
      </c>
      <c r="L1128" s="2">
        <v>17.0</v>
      </c>
      <c r="M1128" s="3">
        <f t="shared" si="5"/>
        <v>0.6538461538</v>
      </c>
      <c r="N1128" s="2">
        <v>132600.0</v>
      </c>
      <c r="O1128" s="4">
        <f t="shared" si="6"/>
        <v>5100</v>
      </c>
      <c r="P1128" s="2">
        <v>0.0</v>
      </c>
      <c r="Q1128" s="3">
        <f t="shared" si="7"/>
        <v>0</v>
      </c>
      <c r="R1128" s="2">
        <v>12.0</v>
      </c>
      <c r="S1128" s="5">
        <f t="shared" si="8"/>
        <v>1</v>
      </c>
    </row>
    <row r="1129">
      <c r="A1129" s="2" t="s">
        <v>1143</v>
      </c>
      <c r="B1129" s="2">
        <v>165.0</v>
      </c>
      <c r="C1129" s="2">
        <v>1941.0</v>
      </c>
      <c r="D1129" s="2">
        <v>595.0</v>
      </c>
      <c r="E1129" s="3">
        <f t="shared" si="1"/>
        <v>0.3350225225</v>
      </c>
      <c r="F1129" s="2">
        <v>264.0</v>
      </c>
      <c r="G1129" s="3">
        <f t="shared" si="2"/>
        <v>0.1486486486</v>
      </c>
      <c r="H1129" s="2">
        <v>334.0</v>
      </c>
      <c r="I1129" s="3">
        <f t="shared" si="3"/>
        <v>0.1880630631</v>
      </c>
      <c r="J1129" s="2">
        <v>321.0</v>
      </c>
      <c r="K1129" s="3">
        <f t="shared" si="4"/>
        <v>0.1807432432</v>
      </c>
      <c r="L1129" s="2">
        <v>193.0</v>
      </c>
      <c r="M1129" s="3">
        <f t="shared" si="5"/>
        <v>0.5778443114</v>
      </c>
      <c r="N1129" s="2">
        <v>1873000.0</v>
      </c>
      <c r="O1129" s="4">
        <f t="shared" si="6"/>
        <v>5607.784431</v>
      </c>
      <c r="P1129" s="2">
        <v>0.0</v>
      </c>
      <c r="Q1129" s="3">
        <f t="shared" si="7"/>
        <v>0</v>
      </c>
      <c r="R1129" s="2">
        <v>165.0</v>
      </c>
      <c r="S1129" s="5">
        <f t="shared" si="8"/>
        <v>1</v>
      </c>
    </row>
    <row r="1130">
      <c r="A1130" s="2" t="s">
        <v>1144</v>
      </c>
      <c r="B1130" s="2">
        <v>138.0</v>
      </c>
      <c r="C1130" s="2">
        <v>1625.0</v>
      </c>
      <c r="D1130" s="2">
        <v>521.0</v>
      </c>
      <c r="E1130" s="3">
        <f t="shared" si="1"/>
        <v>0.3503698722</v>
      </c>
      <c r="F1130" s="2">
        <v>221.0</v>
      </c>
      <c r="G1130" s="3">
        <f t="shared" si="2"/>
        <v>0.1486213853</v>
      </c>
      <c r="H1130" s="2">
        <v>296.0</v>
      </c>
      <c r="I1130" s="3">
        <f t="shared" si="3"/>
        <v>0.1990585071</v>
      </c>
      <c r="J1130" s="2">
        <v>267.0</v>
      </c>
      <c r="K1130" s="3">
        <f t="shared" si="4"/>
        <v>0.1795561533</v>
      </c>
      <c r="L1130" s="2">
        <v>164.0</v>
      </c>
      <c r="M1130" s="3">
        <f t="shared" si="5"/>
        <v>0.5540540541</v>
      </c>
      <c r="N1130" s="2">
        <v>1780100.0</v>
      </c>
      <c r="O1130" s="4">
        <f t="shared" si="6"/>
        <v>6013.851351</v>
      </c>
      <c r="P1130" s="2">
        <v>1.0</v>
      </c>
      <c r="Q1130" s="3">
        <f t="shared" si="7"/>
        <v>0.007246376812</v>
      </c>
      <c r="R1130" s="2">
        <v>0.0</v>
      </c>
      <c r="S1130" s="5">
        <f t="shared" si="8"/>
        <v>0</v>
      </c>
    </row>
    <row r="1131">
      <c r="A1131" s="2" t="s">
        <v>1145</v>
      </c>
      <c r="B1131" s="2">
        <v>751.0</v>
      </c>
      <c r="C1131" s="2">
        <v>8698.0</v>
      </c>
      <c r="D1131" s="2">
        <v>2098.0</v>
      </c>
      <c r="E1131" s="3">
        <f t="shared" si="1"/>
        <v>0.2639989933</v>
      </c>
      <c r="F1131" s="2">
        <v>1181.0</v>
      </c>
      <c r="G1131" s="3">
        <f t="shared" si="2"/>
        <v>0.1486095382</v>
      </c>
      <c r="H1131" s="2">
        <v>1646.0</v>
      </c>
      <c r="I1131" s="3">
        <f t="shared" si="3"/>
        <v>0.2071221845</v>
      </c>
      <c r="J1131" s="2">
        <v>1505.0</v>
      </c>
      <c r="K1131" s="3">
        <f t="shared" si="4"/>
        <v>0.1893796401</v>
      </c>
      <c r="L1131" s="2">
        <v>994.0</v>
      </c>
      <c r="M1131" s="3">
        <f t="shared" si="5"/>
        <v>0.6038882139</v>
      </c>
      <c r="N1131" s="2">
        <v>9860300.0</v>
      </c>
      <c r="O1131" s="4">
        <f t="shared" si="6"/>
        <v>5990.461725</v>
      </c>
      <c r="P1131" s="2">
        <v>1.0</v>
      </c>
      <c r="Q1131" s="3">
        <f t="shared" si="7"/>
        <v>0.001331557923</v>
      </c>
      <c r="R1131" s="2">
        <v>751.0</v>
      </c>
      <c r="S1131" s="5">
        <f t="shared" si="8"/>
        <v>1</v>
      </c>
    </row>
    <row r="1132">
      <c r="A1132" s="2" t="s">
        <v>1146</v>
      </c>
      <c r="B1132" s="2">
        <v>310.0</v>
      </c>
      <c r="C1132" s="2">
        <v>3615.0</v>
      </c>
      <c r="D1132" s="2">
        <v>1255.0</v>
      </c>
      <c r="E1132" s="3">
        <f t="shared" si="1"/>
        <v>0.3797276853</v>
      </c>
      <c r="F1132" s="2">
        <v>491.0</v>
      </c>
      <c r="G1132" s="3">
        <f t="shared" si="2"/>
        <v>0.1485627837</v>
      </c>
      <c r="H1132" s="2">
        <v>704.0</v>
      </c>
      <c r="I1132" s="3">
        <f t="shared" si="3"/>
        <v>0.21301059</v>
      </c>
      <c r="J1132" s="2">
        <v>568.0</v>
      </c>
      <c r="K1132" s="3">
        <f t="shared" si="4"/>
        <v>0.1718608169</v>
      </c>
      <c r="L1132" s="2">
        <v>418.0</v>
      </c>
      <c r="M1132" s="3">
        <f t="shared" si="5"/>
        <v>0.59375</v>
      </c>
      <c r="N1132" s="2">
        <v>3872600.0</v>
      </c>
      <c r="O1132" s="4">
        <f t="shared" si="6"/>
        <v>5500.852273</v>
      </c>
      <c r="P1132" s="2">
        <v>1.0</v>
      </c>
      <c r="Q1132" s="3">
        <f t="shared" si="7"/>
        <v>0.003225806452</v>
      </c>
      <c r="R1132" s="2">
        <v>310.0</v>
      </c>
      <c r="S1132" s="5">
        <f t="shared" si="8"/>
        <v>1</v>
      </c>
    </row>
    <row r="1133">
      <c r="A1133" s="2" t="s">
        <v>1147</v>
      </c>
      <c r="B1133" s="2">
        <v>150.0</v>
      </c>
      <c r="C1133" s="2">
        <v>1786.0</v>
      </c>
      <c r="D1133" s="2">
        <v>550.0</v>
      </c>
      <c r="E1133" s="3">
        <f t="shared" si="1"/>
        <v>0.3361858191</v>
      </c>
      <c r="F1133" s="2">
        <v>243.0</v>
      </c>
      <c r="G1133" s="3">
        <f t="shared" si="2"/>
        <v>0.1485330073</v>
      </c>
      <c r="H1133" s="2">
        <v>326.0</v>
      </c>
      <c r="I1133" s="3">
        <f t="shared" si="3"/>
        <v>0.1992665037</v>
      </c>
      <c r="J1133" s="2">
        <v>275.0</v>
      </c>
      <c r="K1133" s="3">
        <f t="shared" si="4"/>
        <v>0.1680929095</v>
      </c>
      <c r="L1133" s="2">
        <v>189.0</v>
      </c>
      <c r="M1133" s="3">
        <f t="shared" si="5"/>
        <v>0.5797546012</v>
      </c>
      <c r="N1133" s="2">
        <v>1993800.0</v>
      </c>
      <c r="O1133" s="4">
        <f t="shared" si="6"/>
        <v>6115.95092</v>
      </c>
      <c r="P1133" s="2">
        <v>2.0</v>
      </c>
      <c r="Q1133" s="3">
        <f t="shared" si="7"/>
        <v>0.01333333333</v>
      </c>
      <c r="R1133" s="2">
        <v>150.0</v>
      </c>
      <c r="S1133" s="5">
        <f t="shared" si="8"/>
        <v>1</v>
      </c>
    </row>
    <row r="1134">
      <c r="A1134" s="2" t="s">
        <v>1148</v>
      </c>
      <c r="B1134" s="2">
        <v>161.0</v>
      </c>
      <c r="C1134" s="2">
        <v>1898.0</v>
      </c>
      <c r="D1134" s="2">
        <v>565.0</v>
      </c>
      <c r="E1134" s="3">
        <f t="shared" si="1"/>
        <v>0.32527346</v>
      </c>
      <c r="F1134" s="2">
        <v>258.0</v>
      </c>
      <c r="G1134" s="3">
        <f t="shared" si="2"/>
        <v>0.1485319516</v>
      </c>
      <c r="H1134" s="2">
        <v>360.0</v>
      </c>
      <c r="I1134" s="3">
        <f t="shared" si="3"/>
        <v>0.207253886</v>
      </c>
      <c r="J1134" s="2">
        <v>277.0</v>
      </c>
      <c r="K1134" s="3">
        <f t="shared" si="4"/>
        <v>0.1594703512</v>
      </c>
      <c r="L1134" s="2">
        <v>235.0</v>
      </c>
      <c r="M1134" s="3">
        <f t="shared" si="5"/>
        <v>0.6527777778</v>
      </c>
      <c r="N1134" s="2">
        <v>2182900.0</v>
      </c>
      <c r="O1134" s="4">
        <f t="shared" si="6"/>
        <v>6063.611111</v>
      </c>
      <c r="P1134" s="2">
        <v>1.0</v>
      </c>
      <c r="Q1134" s="3">
        <f t="shared" si="7"/>
        <v>0.006211180124</v>
      </c>
      <c r="R1134" s="2">
        <v>161.0</v>
      </c>
      <c r="S1134" s="5">
        <f t="shared" si="8"/>
        <v>1</v>
      </c>
    </row>
    <row r="1135">
      <c r="A1135" s="2" t="s">
        <v>1149</v>
      </c>
      <c r="B1135" s="2">
        <v>398.0</v>
      </c>
      <c r="C1135" s="2">
        <v>4532.0</v>
      </c>
      <c r="D1135" s="2">
        <v>1520.0</v>
      </c>
      <c r="E1135" s="3">
        <f t="shared" si="1"/>
        <v>0.3676826318</v>
      </c>
      <c r="F1135" s="2">
        <v>614.0</v>
      </c>
      <c r="G1135" s="3">
        <f t="shared" si="2"/>
        <v>0.1485244315</v>
      </c>
      <c r="H1135" s="2">
        <v>879.0</v>
      </c>
      <c r="I1135" s="3">
        <f t="shared" si="3"/>
        <v>0.2126269956</v>
      </c>
      <c r="J1135" s="2">
        <v>750.0</v>
      </c>
      <c r="K1135" s="3">
        <f t="shared" si="4"/>
        <v>0.1814223512</v>
      </c>
      <c r="L1135" s="2">
        <v>540.0</v>
      </c>
      <c r="M1135" s="3">
        <f t="shared" si="5"/>
        <v>0.614334471</v>
      </c>
      <c r="N1135" s="2">
        <v>5333100.0</v>
      </c>
      <c r="O1135" s="4">
        <f t="shared" si="6"/>
        <v>6067.235495</v>
      </c>
      <c r="P1135" s="2">
        <v>1.0</v>
      </c>
      <c r="Q1135" s="3">
        <f t="shared" si="7"/>
        <v>0.002512562814</v>
      </c>
      <c r="R1135" s="2">
        <v>398.0</v>
      </c>
      <c r="S1135" s="5">
        <f t="shared" si="8"/>
        <v>1</v>
      </c>
    </row>
    <row r="1136">
      <c r="A1136" s="2" t="s">
        <v>1150</v>
      </c>
      <c r="B1136" s="2">
        <v>157.0</v>
      </c>
      <c r="C1136" s="2">
        <v>1827.0</v>
      </c>
      <c r="D1136" s="2">
        <v>686.0</v>
      </c>
      <c r="E1136" s="3">
        <f t="shared" si="1"/>
        <v>0.4107784431</v>
      </c>
      <c r="F1136" s="2">
        <v>248.0</v>
      </c>
      <c r="G1136" s="3">
        <f t="shared" si="2"/>
        <v>0.148502994</v>
      </c>
      <c r="H1136" s="2">
        <v>365.0</v>
      </c>
      <c r="I1136" s="3">
        <f t="shared" si="3"/>
        <v>0.2185628743</v>
      </c>
      <c r="J1136" s="2">
        <v>313.0</v>
      </c>
      <c r="K1136" s="3">
        <f t="shared" si="4"/>
        <v>0.1874251497</v>
      </c>
      <c r="L1136" s="2">
        <v>229.0</v>
      </c>
      <c r="M1136" s="3">
        <f t="shared" si="5"/>
        <v>0.6273972603</v>
      </c>
      <c r="N1136" s="2">
        <v>1922500.0</v>
      </c>
      <c r="O1136" s="4">
        <f t="shared" si="6"/>
        <v>5267.123288</v>
      </c>
      <c r="P1136" s="2">
        <v>0.0</v>
      </c>
      <c r="Q1136" s="3">
        <f t="shared" si="7"/>
        <v>0</v>
      </c>
      <c r="R1136" s="2">
        <v>157.0</v>
      </c>
      <c r="S1136" s="5">
        <f t="shared" si="8"/>
        <v>1</v>
      </c>
    </row>
    <row r="1137">
      <c r="A1137" s="2" t="s">
        <v>1151</v>
      </c>
      <c r="B1137" s="2">
        <v>101.0</v>
      </c>
      <c r="C1137" s="2">
        <v>1165.0</v>
      </c>
      <c r="D1137" s="2">
        <v>409.0</v>
      </c>
      <c r="E1137" s="3">
        <f t="shared" si="1"/>
        <v>0.3843984962</v>
      </c>
      <c r="F1137" s="2">
        <v>158.0</v>
      </c>
      <c r="G1137" s="3">
        <f t="shared" si="2"/>
        <v>0.1484962406</v>
      </c>
      <c r="H1137" s="2">
        <v>234.0</v>
      </c>
      <c r="I1137" s="3">
        <f t="shared" si="3"/>
        <v>0.219924812</v>
      </c>
      <c r="J1137" s="2">
        <v>182.0</v>
      </c>
      <c r="K1137" s="3">
        <f t="shared" si="4"/>
        <v>0.1710526316</v>
      </c>
      <c r="L1137" s="2">
        <v>135.0</v>
      </c>
      <c r="M1137" s="3">
        <f t="shared" si="5"/>
        <v>0.5769230769</v>
      </c>
      <c r="N1137" s="2">
        <v>1271400.0</v>
      </c>
      <c r="O1137" s="4">
        <f t="shared" si="6"/>
        <v>5433.333333</v>
      </c>
      <c r="P1137" s="2">
        <v>0.0</v>
      </c>
      <c r="Q1137" s="3">
        <f t="shared" si="7"/>
        <v>0</v>
      </c>
      <c r="R1137" s="2">
        <v>101.0</v>
      </c>
      <c r="S1137" s="5">
        <f t="shared" si="8"/>
        <v>1</v>
      </c>
    </row>
    <row r="1138">
      <c r="A1138" s="2" t="s">
        <v>1152</v>
      </c>
      <c r="B1138" s="2">
        <v>13.0</v>
      </c>
      <c r="C1138" s="2">
        <v>141.0</v>
      </c>
      <c r="D1138" s="2">
        <v>33.0</v>
      </c>
      <c r="E1138" s="3">
        <f t="shared" si="1"/>
        <v>0.2578125</v>
      </c>
      <c r="F1138" s="2">
        <v>19.0</v>
      </c>
      <c r="G1138" s="3">
        <f t="shared" si="2"/>
        <v>0.1484375</v>
      </c>
      <c r="H1138" s="2">
        <v>26.0</v>
      </c>
      <c r="I1138" s="3">
        <f t="shared" si="3"/>
        <v>0.203125</v>
      </c>
      <c r="J1138" s="2">
        <v>26.0</v>
      </c>
      <c r="K1138" s="3">
        <f t="shared" si="4"/>
        <v>0.203125</v>
      </c>
      <c r="L1138" s="2">
        <v>19.0</v>
      </c>
      <c r="M1138" s="3">
        <f t="shared" si="5"/>
        <v>0.7307692308</v>
      </c>
      <c r="N1138" s="2">
        <v>142200.0</v>
      </c>
      <c r="O1138" s="4">
        <f t="shared" si="6"/>
        <v>5469.230769</v>
      </c>
      <c r="P1138" s="2">
        <v>0.0</v>
      </c>
      <c r="Q1138" s="3">
        <f t="shared" si="7"/>
        <v>0</v>
      </c>
      <c r="R1138" s="2">
        <v>0.0</v>
      </c>
      <c r="S1138" s="5">
        <f t="shared" si="8"/>
        <v>0</v>
      </c>
    </row>
    <row r="1139">
      <c r="A1139" s="2" t="s">
        <v>1153</v>
      </c>
      <c r="B1139" s="2">
        <v>2392.0</v>
      </c>
      <c r="C1139" s="2">
        <v>27893.0</v>
      </c>
      <c r="D1139" s="2">
        <v>10535.0</v>
      </c>
      <c r="E1139" s="3">
        <f t="shared" si="1"/>
        <v>0.4131210541</v>
      </c>
      <c r="F1139" s="2">
        <v>3785.0</v>
      </c>
      <c r="G1139" s="3">
        <f t="shared" si="2"/>
        <v>0.1484255519</v>
      </c>
      <c r="H1139" s="2">
        <v>6064.0</v>
      </c>
      <c r="I1139" s="3">
        <f t="shared" si="3"/>
        <v>0.2377945963</v>
      </c>
      <c r="J1139" s="2">
        <v>4517.0</v>
      </c>
      <c r="K1139" s="3">
        <f t="shared" si="4"/>
        <v>0.1771303086</v>
      </c>
      <c r="L1139" s="2">
        <v>3610.0</v>
      </c>
      <c r="M1139" s="3">
        <f t="shared" si="5"/>
        <v>0.5953166227</v>
      </c>
      <c r="N1139" s="2">
        <v>3.21078E7</v>
      </c>
      <c r="O1139" s="4">
        <f t="shared" si="6"/>
        <v>5294.8219</v>
      </c>
      <c r="P1139" s="2">
        <v>5.0</v>
      </c>
      <c r="Q1139" s="3">
        <f t="shared" si="7"/>
        <v>0.002090301003</v>
      </c>
      <c r="R1139" s="2">
        <v>2377.0</v>
      </c>
      <c r="S1139" s="5">
        <f t="shared" si="8"/>
        <v>0.993729097</v>
      </c>
    </row>
    <row r="1140">
      <c r="A1140" s="2" t="s">
        <v>1154</v>
      </c>
      <c r="B1140" s="2">
        <v>198.0</v>
      </c>
      <c r="C1140" s="2">
        <v>2334.0</v>
      </c>
      <c r="D1140" s="2">
        <v>612.0</v>
      </c>
      <c r="E1140" s="3">
        <f t="shared" si="1"/>
        <v>0.2865168539</v>
      </c>
      <c r="F1140" s="2">
        <v>317.0</v>
      </c>
      <c r="G1140" s="3">
        <f t="shared" si="2"/>
        <v>0.1484082397</v>
      </c>
      <c r="H1140" s="2">
        <v>429.0</v>
      </c>
      <c r="I1140" s="3">
        <f t="shared" si="3"/>
        <v>0.2008426966</v>
      </c>
      <c r="J1140" s="2">
        <v>366.0</v>
      </c>
      <c r="K1140" s="3">
        <f t="shared" si="4"/>
        <v>0.1713483146</v>
      </c>
      <c r="L1140" s="2">
        <v>261.0</v>
      </c>
      <c r="M1140" s="3">
        <f t="shared" si="5"/>
        <v>0.6083916084</v>
      </c>
      <c r="N1140" s="2">
        <v>2811400.0</v>
      </c>
      <c r="O1140" s="4">
        <f t="shared" si="6"/>
        <v>6553.379953</v>
      </c>
      <c r="P1140" s="2">
        <v>1.0</v>
      </c>
      <c r="Q1140" s="3">
        <f t="shared" si="7"/>
        <v>0.005050505051</v>
      </c>
      <c r="R1140" s="2">
        <v>198.0</v>
      </c>
      <c r="S1140" s="5">
        <f t="shared" si="8"/>
        <v>1</v>
      </c>
    </row>
    <row r="1141">
      <c r="A1141" s="2" t="s">
        <v>1155</v>
      </c>
      <c r="B1141" s="2">
        <v>41.0</v>
      </c>
      <c r="C1141" s="2">
        <v>479.0</v>
      </c>
      <c r="D1141" s="2">
        <v>146.0</v>
      </c>
      <c r="E1141" s="3">
        <f t="shared" si="1"/>
        <v>0.3333333333</v>
      </c>
      <c r="F1141" s="2">
        <v>65.0</v>
      </c>
      <c r="G1141" s="3">
        <f t="shared" si="2"/>
        <v>0.1484018265</v>
      </c>
      <c r="H1141" s="2">
        <v>82.0</v>
      </c>
      <c r="I1141" s="3">
        <f t="shared" si="3"/>
        <v>0.1872146119</v>
      </c>
      <c r="J1141" s="2">
        <v>68.0</v>
      </c>
      <c r="K1141" s="3">
        <f t="shared" si="4"/>
        <v>0.1552511416</v>
      </c>
      <c r="L1141" s="2">
        <v>49.0</v>
      </c>
      <c r="M1141" s="3">
        <f t="shared" si="5"/>
        <v>0.5975609756</v>
      </c>
      <c r="N1141" s="2">
        <v>421200.0</v>
      </c>
      <c r="O1141" s="4">
        <f t="shared" si="6"/>
        <v>5136.585366</v>
      </c>
      <c r="P1141" s="2">
        <v>1.0</v>
      </c>
      <c r="Q1141" s="3">
        <f t="shared" si="7"/>
        <v>0.0243902439</v>
      </c>
      <c r="R1141" s="2">
        <v>41.0</v>
      </c>
      <c r="S1141" s="5">
        <f t="shared" si="8"/>
        <v>1</v>
      </c>
    </row>
    <row r="1142">
      <c r="A1142" s="2" t="s">
        <v>1156</v>
      </c>
      <c r="B1142" s="2">
        <v>350.0</v>
      </c>
      <c r="C1142" s="2">
        <v>3935.0</v>
      </c>
      <c r="D1142" s="2">
        <v>1271.0</v>
      </c>
      <c r="E1142" s="3">
        <f t="shared" si="1"/>
        <v>0.3545327755</v>
      </c>
      <c r="F1142" s="2">
        <v>532.0</v>
      </c>
      <c r="G1142" s="3">
        <f t="shared" si="2"/>
        <v>0.1483960948</v>
      </c>
      <c r="H1142" s="2">
        <v>746.0</v>
      </c>
      <c r="I1142" s="3">
        <f t="shared" si="3"/>
        <v>0.2080892608</v>
      </c>
      <c r="J1142" s="2">
        <v>695.0</v>
      </c>
      <c r="K1142" s="3">
        <f t="shared" si="4"/>
        <v>0.1938633194</v>
      </c>
      <c r="L1142" s="2">
        <v>436.0</v>
      </c>
      <c r="M1142" s="3">
        <f t="shared" si="5"/>
        <v>0.5844504021</v>
      </c>
      <c r="N1142" s="2">
        <v>4329700.0</v>
      </c>
      <c r="O1142" s="4">
        <f t="shared" si="6"/>
        <v>5803.887399</v>
      </c>
      <c r="P1142" s="2">
        <v>0.0</v>
      </c>
      <c r="Q1142" s="3">
        <f t="shared" si="7"/>
        <v>0</v>
      </c>
      <c r="R1142" s="2">
        <v>350.0</v>
      </c>
      <c r="S1142" s="5">
        <f t="shared" si="8"/>
        <v>1</v>
      </c>
    </row>
    <row r="1143">
      <c r="A1143" s="2" t="s">
        <v>1157</v>
      </c>
      <c r="B1143" s="2">
        <v>87.0</v>
      </c>
      <c r="C1143" s="2">
        <v>1024.0</v>
      </c>
      <c r="D1143" s="2">
        <v>276.0</v>
      </c>
      <c r="E1143" s="3">
        <f t="shared" si="1"/>
        <v>0.2945570971</v>
      </c>
      <c r="F1143" s="2">
        <v>139.0</v>
      </c>
      <c r="G1143" s="3">
        <f t="shared" si="2"/>
        <v>0.1483457844</v>
      </c>
      <c r="H1143" s="2">
        <v>179.0</v>
      </c>
      <c r="I1143" s="3">
        <f t="shared" si="3"/>
        <v>0.1910352188</v>
      </c>
      <c r="J1143" s="2">
        <v>178.0</v>
      </c>
      <c r="K1143" s="3">
        <f t="shared" si="4"/>
        <v>0.1899679829</v>
      </c>
      <c r="L1143" s="2">
        <v>100.0</v>
      </c>
      <c r="M1143" s="3">
        <f t="shared" si="5"/>
        <v>0.5586592179</v>
      </c>
      <c r="N1143" s="2">
        <v>1205500.0</v>
      </c>
      <c r="O1143" s="4">
        <f t="shared" si="6"/>
        <v>6734.636872</v>
      </c>
      <c r="P1143" s="2">
        <v>1.0</v>
      </c>
      <c r="Q1143" s="3">
        <f t="shared" si="7"/>
        <v>0.01149425287</v>
      </c>
      <c r="R1143" s="2">
        <v>87.0</v>
      </c>
      <c r="S1143" s="5">
        <f t="shared" si="8"/>
        <v>1</v>
      </c>
    </row>
    <row r="1144">
      <c r="A1144" s="2" t="s">
        <v>1158</v>
      </c>
      <c r="B1144" s="2">
        <v>58.0</v>
      </c>
      <c r="C1144" s="2">
        <v>685.0</v>
      </c>
      <c r="D1144" s="2">
        <v>187.0</v>
      </c>
      <c r="E1144" s="3">
        <f t="shared" si="1"/>
        <v>0.298245614</v>
      </c>
      <c r="F1144" s="2">
        <v>93.0</v>
      </c>
      <c r="G1144" s="3">
        <f t="shared" si="2"/>
        <v>0.1483253589</v>
      </c>
      <c r="H1144" s="2">
        <v>120.0</v>
      </c>
      <c r="I1144" s="3">
        <f t="shared" si="3"/>
        <v>0.1913875598</v>
      </c>
      <c r="J1144" s="2">
        <v>135.0</v>
      </c>
      <c r="K1144" s="3">
        <f t="shared" si="4"/>
        <v>0.2153110048</v>
      </c>
      <c r="L1144" s="2">
        <v>67.0</v>
      </c>
      <c r="M1144" s="3">
        <f t="shared" si="5"/>
        <v>0.5583333333</v>
      </c>
      <c r="N1144" s="2">
        <v>734600.0</v>
      </c>
      <c r="O1144" s="4">
        <f t="shared" si="6"/>
        <v>6121.666667</v>
      </c>
      <c r="P1144" s="2">
        <v>0.0</v>
      </c>
      <c r="Q1144" s="3">
        <f t="shared" si="7"/>
        <v>0</v>
      </c>
      <c r="R1144" s="2">
        <v>58.0</v>
      </c>
      <c r="S1144" s="5">
        <f t="shared" si="8"/>
        <v>1</v>
      </c>
    </row>
    <row r="1145">
      <c r="A1145" s="2" t="s">
        <v>1159</v>
      </c>
      <c r="B1145" s="2">
        <v>714.0</v>
      </c>
      <c r="C1145" s="2">
        <v>8373.0</v>
      </c>
      <c r="D1145" s="2">
        <v>2941.0</v>
      </c>
      <c r="E1145" s="3">
        <f t="shared" si="1"/>
        <v>0.3839926883</v>
      </c>
      <c r="F1145" s="2">
        <v>1136.0</v>
      </c>
      <c r="G1145" s="3">
        <f t="shared" si="2"/>
        <v>0.1483222353</v>
      </c>
      <c r="H1145" s="2">
        <v>1727.0</v>
      </c>
      <c r="I1145" s="3">
        <f t="shared" si="3"/>
        <v>0.2254863559</v>
      </c>
      <c r="J1145" s="2">
        <v>1241.0</v>
      </c>
      <c r="K1145" s="3">
        <f t="shared" si="4"/>
        <v>0.1620315968</v>
      </c>
      <c r="L1145" s="2">
        <v>1063.0</v>
      </c>
      <c r="M1145" s="3">
        <f t="shared" si="5"/>
        <v>0.6155182397</v>
      </c>
      <c r="N1145" s="2">
        <v>9213400.0</v>
      </c>
      <c r="O1145" s="4">
        <f t="shared" si="6"/>
        <v>5334.916039</v>
      </c>
      <c r="P1145" s="2">
        <v>1.0</v>
      </c>
      <c r="Q1145" s="3">
        <f t="shared" si="7"/>
        <v>0.001400560224</v>
      </c>
      <c r="R1145" s="2">
        <v>714.0</v>
      </c>
      <c r="S1145" s="5">
        <f t="shared" si="8"/>
        <v>1</v>
      </c>
    </row>
    <row r="1146">
      <c r="A1146" s="2">
        <v>1.0</v>
      </c>
      <c r="B1146" s="2">
        <v>565.0</v>
      </c>
      <c r="C1146" s="2">
        <v>6532.0</v>
      </c>
      <c r="D1146" s="2">
        <v>2297.0</v>
      </c>
      <c r="E1146" s="3">
        <f t="shared" si="1"/>
        <v>0.3849505614</v>
      </c>
      <c r="F1146" s="2">
        <v>885.0</v>
      </c>
      <c r="G1146" s="3">
        <f t="shared" si="2"/>
        <v>0.1483157366</v>
      </c>
      <c r="H1146" s="2">
        <v>1349.0</v>
      </c>
      <c r="I1146" s="3">
        <f t="shared" si="3"/>
        <v>0.2260767555</v>
      </c>
      <c r="J1146" s="2">
        <v>942.0</v>
      </c>
      <c r="K1146" s="3">
        <f t="shared" si="4"/>
        <v>0.1578682755</v>
      </c>
      <c r="L1146" s="2">
        <v>850.0</v>
      </c>
      <c r="M1146" s="3">
        <f t="shared" si="5"/>
        <v>0.6300963677</v>
      </c>
      <c r="N1146" s="2">
        <v>7960200.0</v>
      </c>
      <c r="O1146" s="4">
        <f t="shared" si="6"/>
        <v>5900.815419</v>
      </c>
      <c r="P1146" s="2">
        <v>2.0</v>
      </c>
      <c r="Q1146" s="3">
        <f t="shared" si="7"/>
        <v>0.003539823009</v>
      </c>
      <c r="R1146" s="2">
        <v>565.0</v>
      </c>
      <c r="S1146" s="5">
        <f t="shared" si="8"/>
        <v>1</v>
      </c>
    </row>
    <row r="1147">
      <c r="A1147" s="2" t="s">
        <v>1160</v>
      </c>
      <c r="B1147" s="2">
        <v>84.0</v>
      </c>
      <c r="C1147" s="2">
        <v>974.0</v>
      </c>
      <c r="D1147" s="2">
        <v>322.0</v>
      </c>
      <c r="E1147" s="3">
        <f t="shared" si="1"/>
        <v>0.3617977528</v>
      </c>
      <c r="F1147" s="2">
        <v>132.0</v>
      </c>
      <c r="G1147" s="3">
        <f t="shared" si="2"/>
        <v>0.1483146067</v>
      </c>
      <c r="H1147" s="2">
        <v>181.0</v>
      </c>
      <c r="I1147" s="3">
        <f t="shared" si="3"/>
        <v>0.2033707865</v>
      </c>
      <c r="J1147" s="2">
        <v>188.0</v>
      </c>
      <c r="K1147" s="3">
        <f t="shared" si="4"/>
        <v>0.2112359551</v>
      </c>
      <c r="L1147" s="2">
        <v>108.0</v>
      </c>
      <c r="M1147" s="3">
        <f t="shared" si="5"/>
        <v>0.5966850829</v>
      </c>
      <c r="N1147" s="2">
        <v>1087900.0</v>
      </c>
      <c r="O1147" s="4">
        <f t="shared" si="6"/>
        <v>6010.497238</v>
      </c>
      <c r="P1147" s="2">
        <v>0.0</v>
      </c>
      <c r="Q1147" s="3">
        <f t="shared" si="7"/>
        <v>0</v>
      </c>
      <c r="R1147" s="2">
        <v>84.0</v>
      </c>
      <c r="S1147" s="5">
        <f t="shared" si="8"/>
        <v>1</v>
      </c>
    </row>
    <row r="1148">
      <c r="A1148" s="2" t="s">
        <v>1161</v>
      </c>
      <c r="B1148" s="2">
        <v>72.0</v>
      </c>
      <c r="C1148" s="2">
        <v>834.0</v>
      </c>
      <c r="D1148" s="2">
        <v>319.0</v>
      </c>
      <c r="E1148" s="3">
        <f t="shared" si="1"/>
        <v>0.4186351706</v>
      </c>
      <c r="F1148" s="2">
        <v>113.0</v>
      </c>
      <c r="G1148" s="3">
        <f t="shared" si="2"/>
        <v>0.1482939633</v>
      </c>
      <c r="H1148" s="2">
        <v>166.0</v>
      </c>
      <c r="I1148" s="3">
        <f t="shared" si="3"/>
        <v>0.217847769</v>
      </c>
      <c r="J1148" s="2">
        <v>126.0</v>
      </c>
      <c r="K1148" s="3">
        <f t="shared" si="4"/>
        <v>0.1653543307</v>
      </c>
      <c r="L1148" s="2">
        <v>97.0</v>
      </c>
      <c r="M1148" s="3">
        <f t="shared" si="5"/>
        <v>0.5843373494</v>
      </c>
      <c r="N1148" s="2">
        <v>940900.0</v>
      </c>
      <c r="O1148" s="4">
        <f t="shared" si="6"/>
        <v>5668.072289</v>
      </c>
      <c r="P1148" s="2">
        <v>0.0</v>
      </c>
      <c r="Q1148" s="3">
        <f t="shared" si="7"/>
        <v>0</v>
      </c>
      <c r="R1148" s="2">
        <v>72.0</v>
      </c>
      <c r="S1148" s="5">
        <f t="shared" si="8"/>
        <v>1</v>
      </c>
    </row>
    <row r="1149">
      <c r="A1149" s="2" t="s">
        <v>1162</v>
      </c>
      <c r="B1149" s="2">
        <v>24.0</v>
      </c>
      <c r="C1149" s="2">
        <v>287.0</v>
      </c>
      <c r="D1149" s="2">
        <v>59.0</v>
      </c>
      <c r="E1149" s="3">
        <f t="shared" si="1"/>
        <v>0.2243346008</v>
      </c>
      <c r="F1149" s="2">
        <v>39.0</v>
      </c>
      <c r="G1149" s="3">
        <f t="shared" si="2"/>
        <v>0.1482889734</v>
      </c>
      <c r="H1149" s="2">
        <v>49.0</v>
      </c>
      <c r="I1149" s="3">
        <f t="shared" si="3"/>
        <v>0.1863117871</v>
      </c>
      <c r="J1149" s="2">
        <v>47.0</v>
      </c>
      <c r="K1149" s="3">
        <f t="shared" si="4"/>
        <v>0.1787072243</v>
      </c>
      <c r="L1149" s="2">
        <v>25.0</v>
      </c>
      <c r="M1149" s="3">
        <f t="shared" si="5"/>
        <v>0.5102040816</v>
      </c>
      <c r="N1149" s="2">
        <v>237800.0</v>
      </c>
      <c r="O1149" s="4">
        <f t="shared" si="6"/>
        <v>4853.061224</v>
      </c>
      <c r="P1149" s="2">
        <v>0.0</v>
      </c>
      <c r="Q1149" s="3">
        <f t="shared" si="7"/>
        <v>0</v>
      </c>
      <c r="R1149" s="2">
        <v>0.0</v>
      </c>
      <c r="S1149" s="5">
        <f t="shared" si="8"/>
        <v>0</v>
      </c>
    </row>
    <row r="1150">
      <c r="A1150" s="2" t="s">
        <v>1163</v>
      </c>
      <c r="B1150" s="2">
        <v>146.0</v>
      </c>
      <c r="C1150" s="2">
        <v>1724.0</v>
      </c>
      <c r="D1150" s="2">
        <v>590.0</v>
      </c>
      <c r="E1150" s="3">
        <f t="shared" si="1"/>
        <v>0.3738910013</v>
      </c>
      <c r="F1150" s="2">
        <v>234.0</v>
      </c>
      <c r="G1150" s="3">
        <f t="shared" si="2"/>
        <v>0.1482889734</v>
      </c>
      <c r="H1150" s="2">
        <v>311.0</v>
      </c>
      <c r="I1150" s="3">
        <f t="shared" si="3"/>
        <v>0.1970849176</v>
      </c>
      <c r="J1150" s="2">
        <v>281.0</v>
      </c>
      <c r="K1150" s="3">
        <f t="shared" si="4"/>
        <v>0.1780735108</v>
      </c>
      <c r="L1150" s="2">
        <v>189.0</v>
      </c>
      <c r="M1150" s="3">
        <f t="shared" si="5"/>
        <v>0.6077170418</v>
      </c>
      <c r="N1150" s="2">
        <v>1789900.0</v>
      </c>
      <c r="O1150" s="4">
        <f t="shared" si="6"/>
        <v>5755.305466</v>
      </c>
      <c r="P1150" s="2">
        <v>0.0</v>
      </c>
      <c r="Q1150" s="3">
        <f t="shared" si="7"/>
        <v>0</v>
      </c>
      <c r="R1150" s="2">
        <v>146.0</v>
      </c>
      <c r="S1150" s="5">
        <f t="shared" si="8"/>
        <v>1</v>
      </c>
    </row>
    <row r="1151">
      <c r="A1151" s="2" t="s">
        <v>1164</v>
      </c>
      <c r="B1151" s="2">
        <v>981.0</v>
      </c>
      <c r="C1151" s="2">
        <v>11609.0</v>
      </c>
      <c r="D1151" s="2">
        <v>3439.0</v>
      </c>
      <c r="E1151" s="3">
        <f t="shared" si="1"/>
        <v>0.3235792247</v>
      </c>
      <c r="F1151" s="2">
        <v>1576.0</v>
      </c>
      <c r="G1151" s="3">
        <f t="shared" si="2"/>
        <v>0.1482875423</v>
      </c>
      <c r="H1151" s="2">
        <v>2307.0</v>
      </c>
      <c r="I1151" s="3">
        <f t="shared" si="3"/>
        <v>0.2170681219</v>
      </c>
      <c r="J1151" s="2">
        <v>1943.0</v>
      </c>
      <c r="K1151" s="3">
        <f t="shared" si="4"/>
        <v>0.1828189688</v>
      </c>
      <c r="L1151" s="2">
        <v>1367.0</v>
      </c>
      <c r="M1151" s="3">
        <f t="shared" si="5"/>
        <v>0.59254443</v>
      </c>
      <c r="N1151" s="2">
        <v>1.30029E7</v>
      </c>
      <c r="O1151" s="4">
        <f t="shared" si="6"/>
        <v>5636.280884</v>
      </c>
      <c r="P1151" s="2">
        <v>1.0</v>
      </c>
      <c r="Q1151" s="3">
        <f t="shared" si="7"/>
        <v>0.001019367992</v>
      </c>
      <c r="R1151" s="2">
        <v>8.0</v>
      </c>
      <c r="S1151" s="5">
        <f t="shared" si="8"/>
        <v>0.008154943935</v>
      </c>
    </row>
    <row r="1152">
      <c r="A1152" s="2" t="s">
        <v>1165</v>
      </c>
      <c r="B1152" s="2">
        <v>112.0</v>
      </c>
      <c r="C1152" s="2">
        <v>1272.0</v>
      </c>
      <c r="D1152" s="2">
        <v>371.0</v>
      </c>
      <c r="E1152" s="3">
        <f t="shared" si="1"/>
        <v>0.3198275862</v>
      </c>
      <c r="F1152" s="2">
        <v>172.0</v>
      </c>
      <c r="G1152" s="3">
        <f t="shared" si="2"/>
        <v>0.1482758621</v>
      </c>
      <c r="H1152" s="2">
        <v>242.0</v>
      </c>
      <c r="I1152" s="3">
        <f t="shared" si="3"/>
        <v>0.2086206897</v>
      </c>
      <c r="J1152" s="2">
        <v>221.0</v>
      </c>
      <c r="K1152" s="3">
        <f t="shared" si="4"/>
        <v>0.1905172414</v>
      </c>
      <c r="L1152" s="2">
        <v>141.0</v>
      </c>
      <c r="M1152" s="3">
        <f t="shared" si="5"/>
        <v>0.5826446281</v>
      </c>
      <c r="N1152" s="2">
        <v>1257200.0</v>
      </c>
      <c r="O1152" s="4">
        <f t="shared" si="6"/>
        <v>5195.041322</v>
      </c>
      <c r="P1152" s="2">
        <v>0.0</v>
      </c>
      <c r="Q1152" s="3">
        <f t="shared" si="7"/>
        <v>0</v>
      </c>
      <c r="R1152" s="2">
        <v>112.0</v>
      </c>
      <c r="S1152" s="5">
        <f t="shared" si="8"/>
        <v>1</v>
      </c>
    </row>
    <row r="1153">
      <c r="A1153" s="2" t="s">
        <v>1166</v>
      </c>
      <c r="B1153" s="2">
        <v>233.0</v>
      </c>
      <c r="C1153" s="2">
        <v>2769.0</v>
      </c>
      <c r="D1153" s="2">
        <v>913.0</v>
      </c>
      <c r="E1153" s="3">
        <f t="shared" si="1"/>
        <v>0.3600157729</v>
      </c>
      <c r="F1153" s="2">
        <v>376.0</v>
      </c>
      <c r="G1153" s="3">
        <f t="shared" si="2"/>
        <v>0.1482649842</v>
      </c>
      <c r="H1153" s="2">
        <v>534.0</v>
      </c>
      <c r="I1153" s="3">
        <f t="shared" si="3"/>
        <v>0.2105678233</v>
      </c>
      <c r="J1153" s="2">
        <v>503.0</v>
      </c>
      <c r="K1153" s="3">
        <f t="shared" si="4"/>
        <v>0.1983438486</v>
      </c>
      <c r="L1153" s="2">
        <v>324.0</v>
      </c>
      <c r="M1153" s="3">
        <f t="shared" si="5"/>
        <v>0.606741573</v>
      </c>
      <c r="N1153" s="2">
        <v>3167300.0</v>
      </c>
      <c r="O1153" s="4">
        <f t="shared" si="6"/>
        <v>5931.273408</v>
      </c>
      <c r="P1153" s="2">
        <v>0.0</v>
      </c>
      <c r="Q1153" s="3">
        <f t="shared" si="7"/>
        <v>0</v>
      </c>
      <c r="R1153" s="2">
        <v>233.0</v>
      </c>
      <c r="S1153" s="5">
        <f t="shared" si="8"/>
        <v>1</v>
      </c>
    </row>
    <row r="1154">
      <c r="A1154" s="2" t="s">
        <v>1167</v>
      </c>
      <c r="B1154" s="2">
        <v>30.0</v>
      </c>
      <c r="C1154" s="2">
        <v>347.0</v>
      </c>
      <c r="D1154" s="2">
        <v>92.0</v>
      </c>
      <c r="E1154" s="3">
        <f t="shared" si="1"/>
        <v>0.2902208202</v>
      </c>
      <c r="F1154" s="2">
        <v>47.0</v>
      </c>
      <c r="G1154" s="3">
        <f t="shared" si="2"/>
        <v>0.1482649842</v>
      </c>
      <c r="H1154" s="2">
        <v>65.0</v>
      </c>
      <c r="I1154" s="3">
        <f t="shared" si="3"/>
        <v>0.2050473186</v>
      </c>
      <c r="J1154" s="2">
        <v>48.0</v>
      </c>
      <c r="K1154" s="3">
        <f t="shared" si="4"/>
        <v>0.1514195584</v>
      </c>
      <c r="L1154" s="2">
        <v>39.0</v>
      </c>
      <c r="M1154" s="3">
        <f t="shared" si="5"/>
        <v>0.6</v>
      </c>
      <c r="N1154" s="2">
        <v>405400.0</v>
      </c>
      <c r="O1154" s="4">
        <f t="shared" si="6"/>
        <v>6236.923077</v>
      </c>
      <c r="P1154" s="2">
        <v>0.0</v>
      </c>
      <c r="Q1154" s="3">
        <f t="shared" si="7"/>
        <v>0</v>
      </c>
      <c r="R1154" s="2">
        <v>30.0</v>
      </c>
      <c r="S1154" s="5">
        <f t="shared" si="8"/>
        <v>1</v>
      </c>
    </row>
    <row r="1155">
      <c r="A1155" s="2" t="s">
        <v>1168</v>
      </c>
      <c r="B1155" s="2">
        <v>167.0</v>
      </c>
      <c r="C1155" s="2">
        <v>1887.0</v>
      </c>
      <c r="D1155" s="2">
        <v>550.0</v>
      </c>
      <c r="E1155" s="3">
        <f t="shared" si="1"/>
        <v>0.3197674419</v>
      </c>
      <c r="F1155" s="2">
        <v>255.0</v>
      </c>
      <c r="G1155" s="3">
        <f t="shared" si="2"/>
        <v>0.148255814</v>
      </c>
      <c r="H1155" s="2">
        <v>440.0</v>
      </c>
      <c r="I1155" s="3">
        <f t="shared" si="3"/>
        <v>0.2558139535</v>
      </c>
      <c r="J1155" s="2">
        <v>360.0</v>
      </c>
      <c r="K1155" s="3">
        <f t="shared" si="4"/>
        <v>0.2093023256</v>
      </c>
      <c r="L1155" s="2">
        <v>274.0</v>
      </c>
      <c r="M1155" s="3">
        <f t="shared" si="5"/>
        <v>0.6227272727</v>
      </c>
      <c r="N1155" s="2">
        <v>2053900.0</v>
      </c>
      <c r="O1155" s="4">
        <f t="shared" si="6"/>
        <v>4667.954545</v>
      </c>
      <c r="P1155" s="2">
        <v>0.0</v>
      </c>
      <c r="Q1155" s="3">
        <f t="shared" si="7"/>
        <v>0</v>
      </c>
      <c r="R1155" s="2">
        <v>167.0</v>
      </c>
      <c r="S1155" s="5">
        <f t="shared" si="8"/>
        <v>1</v>
      </c>
    </row>
    <row r="1156">
      <c r="A1156" s="2" t="s">
        <v>1169</v>
      </c>
      <c r="B1156" s="2">
        <v>471.0</v>
      </c>
      <c r="C1156" s="2">
        <v>5456.0</v>
      </c>
      <c r="D1156" s="2">
        <v>1749.0</v>
      </c>
      <c r="E1156" s="3">
        <f t="shared" si="1"/>
        <v>0.3508525577</v>
      </c>
      <c r="F1156" s="2">
        <v>739.0</v>
      </c>
      <c r="G1156" s="3">
        <f t="shared" si="2"/>
        <v>0.1482447342</v>
      </c>
      <c r="H1156" s="2">
        <v>1061.0</v>
      </c>
      <c r="I1156" s="3">
        <f t="shared" si="3"/>
        <v>0.2128385155</v>
      </c>
      <c r="J1156" s="2">
        <v>891.0</v>
      </c>
      <c r="K1156" s="3">
        <f t="shared" si="4"/>
        <v>0.1787362086</v>
      </c>
      <c r="L1156" s="2">
        <v>644.0</v>
      </c>
      <c r="M1156" s="3">
        <f t="shared" si="5"/>
        <v>0.6069745523</v>
      </c>
      <c r="N1156" s="2">
        <v>6116900.0</v>
      </c>
      <c r="O1156" s="4">
        <f t="shared" si="6"/>
        <v>5765.221489</v>
      </c>
      <c r="P1156" s="2">
        <v>1.0</v>
      </c>
      <c r="Q1156" s="3">
        <f t="shared" si="7"/>
        <v>0.002123142251</v>
      </c>
      <c r="R1156" s="2">
        <v>466.0</v>
      </c>
      <c r="S1156" s="5">
        <f t="shared" si="8"/>
        <v>0.9893842887</v>
      </c>
    </row>
    <row r="1157">
      <c r="A1157" s="2" t="s">
        <v>1170</v>
      </c>
      <c r="B1157" s="2">
        <v>472.0</v>
      </c>
      <c r="C1157" s="2">
        <v>5545.0</v>
      </c>
      <c r="D1157" s="2">
        <v>2025.0</v>
      </c>
      <c r="E1157" s="3">
        <f t="shared" si="1"/>
        <v>0.3991720875</v>
      </c>
      <c r="F1157" s="2">
        <v>752.0</v>
      </c>
      <c r="G1157" s="3">
        <f t="shared" si="2"/>
        <v>0.1482357579</v>
      </c>
      <c r="H1157" s="2">
        <v>1136.0</v>
      </c>
      <c r="I1157" s="3">
        <f t="shared" si="3"/>
        <v>0.223930613</v>
      </c>
      <c r="J1157" s="2">
        <v>683.0</v>
      </c>
      <c r="K1157" s="3">
        <f t="shared" si="4"/>
        <v>0.1346343387</v>
      </c>
      <c r="L1157" s="2">
        <v>710.0</v>
      </c>
      <c r="M1157" s="3">
        <f t="shared" si="5"/>
        <v>0.625</v>
      </c>
      <c r="N1157" s="2">
        <v>6413400.0</v>
      </c>
      <c r="O1157" s="4">
        <f t="shared" si="6"/>
        <v>5645.598592</v>
      </c>
      <c r="P1157" s="2">
        <v>3.0</v>
      </c>
      <c r="Q1157" s="3">
        <f t="shared" si="7"/>
        <v>0.006355932203</v>
      </c>
      <c r="R1157" s="2">
        <v>472.0</v>
      </c>
      <c r="S1157" s="5">
        <f t="shared" si="8"/>
        <v>1</v>
      </c>
    </row>
    <row r="1158">
      <c r="A1158" s="2" t="s">
        <v>1171</v>
      </c>
      <c r="B1158" s="2">
        <v>832.0</v>
      </c>
      <c r="C1158" s="2">
        <v>9637.0</v>
      </c>
      <c r="D1158" s="2">
        <v>2670.0</v>
      </c>
      <c r="E1158" s="3">
        <f t="shared" si="1"/>
        <v>0.3032367973</v>
      </c>
      <c r="F1158" s="2">
        <v>1305.0</v>
      </c>
      <c r="G1158" s="3">
        <f t="shared" si="2"/>
        <v>0.1482112436</v>
      </c>
      <c r="H1158" s="2">
        <v>1773.0</v>
      </c>
      <c r="I1158" s="3">
        <f t="shared" si="3"/>
        <v>0.201362862</v>
      </c>
      <c r="J1158" s="2">
        <v>1477.0</v>
      </c>
      <c r="K1158" s="3">
        <f t="shared" si="4"/>
        <v>0.1677455991</v>
      </c>
      <c r="L1158" s="2">
        <v>1046.0</v>
      </c>
      <c r="M1158" s="3">
        <f t="shared" si="5"/>
        <v>0.5899605189</v>
      </c>
      <c r="N1158" s="2">
        <v>1.13072E7</v>
      </c>
      <c r="O1158" s="4">
        <f t="shared" si="6"/>
        <v>6377.439368</v>
      </c>
      <c r="P1158" s="2">
        <v>4.0</v>
      </c>
      <c r="Q1158" s="3">
        <f t="shared" si="7"/>
        <v>0.004807692308</v>
      </c>
      <c r="R1158" s="2">
        <v>832.0</v>
      </c>
      <c r="S1158" s="5">
        <f t="shared" si="8"/>
        <v>1</v>
      </c>
    </row>
    <row r="1159">
      <c r="A1159" s="2" t="s">
        <v>1172</v>
      </c>
      <c r="B1159" s="2">
        <v>133.0</v>
      </c>
      <c r="C1159" s="2">
        <v>1550.0</v>
      </c>
      <c r="D1159" s="2">
        <v>491.0</v>
      </c>
      <c r="E1159" s="3">
        <f t="shared" si="1"/>
        <v>0.3465067043</v>
      </c>
      <c r="F1159" s="2">
        <v>210.0</v>
      </c>
      <c r="G1159" s="3">
        <f t="shared" si="2"/>
        <v>0.1482004234</v>
      </c>
      <c r="H1159" s="2">
        <v>297.0</v>
      </c>
      <c r="I1159" s="3">
        <f t="shared" si="3"/>
        <v>0.2095977417</v>
      </c>
      <c r="J1159" s="2">
        <v>234.0</v>
      </c>
      <c r="K1159" s="3">
        <f t="shared" si="4"/>
        <v>0.1651376147</v>
      </c>
      <c r="L1159" s="2">
        <v>180.0</v>
      </c>
      <c r="M1159" s="3">
        <f t="shared" si="5"/>
        <v>0.6060606061</v>
      </c>
      <c r="N1159" s="2">
        <v>1564500.0</v>
      </c>
      <c r="O1159" s="4">
        <f t="shared" si="6"/>
        <v>5267.676768</v>
      </c>
      <c r="P1159" s="2">
        <v>0.0</v>
      </c>
      <c r="Q1159" s="3">
        <f t="shared" si="7"/>
        <v>0</v>
      </c>
      <c r="R1159" s="2">
        <v>62.0</v>
      </c>
      <c r="S1159" s="5">
        <f t="shared" si="8"/>
        <v>0.4661654135</v>
      </c>
    </row>
    <row r="1160">
      <c r="A1160" s="2" t="s">
        <v>1173</v>
      </c>
      <c r="B1160" s="2">
        <v>208.0</v>
      </c>
      <c r="C1160" s="2">
        <v>2327.0</v>
      </c>
      <c r="D1160" s="2">
        <v>800.0</v>
      </c>
      <c r="E1160" s="3">
        <f t="shared" si="1"/>
        <v>0.3775365739</v>
      </c>
      <c r="F1160" s="2">
        <v>314.0</v>
      </c>
      <c r="G1160" s="3">
        <f t="shared" si="2"/>
        <v>0.1481831052</v>
      </c>
      <c r="H1160" s="2">
        <v>470.0</v>
      </c>
      <c r="I1160" s="3">
        <f t="shared" si="3"/>
        <v>0.2218027371</v>
      </c>
      <c r="J1160" s="2">
        <v>318.0</v>
      </c>
      <c r="K1160" s="3">
        <f t="shared" si="4"/>
        <v>0.1500707881</v>
      </c>
      <c r="L1160" s="2">
        <v>280.0</v>
      </c>
      <c r="M1160" s="3">
        <f t="shared" si="5"/>
        <v>0.5957446809</v>
      </c>
      <c r="N1160" s="2">
        <v>2813800.0</v>
      </c>
      <c r="O1160" s="4">
        <f t="shared" si="6"/>
        <v>5986.808511</v>
      </c>
      <c r="P1160" s="2">
        <v>1.0</v>
      </c>
      <c r="Q1160" s="3">
        <f t="shared" si="7"/>
        <v>0.004807692308</v>
      </c>
      <c r="R1160" s="2">
        <v>208.0</v>
      </c>
      <c r="S1160" s="5">
        <f t="shared" si="8"/>
        <v>1</v>
      </c>
    </row>
    <row r="1161">
      <c r="A1161" s="2" t="s">
        <v>1174</v>
      </c>
      <c r="B1161" s="2">
        <v>34.0</v>
      </c>
      <c r="C1161" s="2">
        <v>412.0</v>
      </c>
      <c r="D1161" s="2">
        <v>159.0</v>
      </c>
      <c r="E1161" s="3">
        <f t="shared" si="1"/>
        <v>0.4206349206</v>
      </c>
      <c r="F1161" s="2">
        <v>56.0</v>
      </c>
      <c r="G1161" s="3">
        <f t="shared" si="2"/>
        <v>0.1481481481</v>
      </c>
      <c r="H1161" s="2">
        <v>79.0</v>
      </c>
      <c r="I1161" s="3">
        <f t="shared" si="3"/>
        <v>0.208994709</v>
      </c>
      <c r="J1161" s="2">
        <v>67.0</v>
      </c>
      <c r="K1161" s="3">
        <f t="shared" si="4"/>
        <v>0.1772486772</v>
      </c>
      <c r="L1161" s="2">
        <v>40.0</v>
      </c>
      <c r="M1161" s="3">
        <f t="shared" si="5"/>
        <v>0.5063291139</v>
      </c>
      <c r="N1161" s="2">
        <v>370500.0</v>
      </c>
      <c r="O1161" s="4">
        <f t="shared" si="6"/>
        <v>4689.873418</v>
      </c>
      <c r="P1161" s="2">
        <v>0.0</v>
      </c>
      <c r="Q1161" s="3">
        <f t="shared" si="7"/>
        <v>0</v>
      </c>
      <c r="R1161" s="2">
        <v>34.0</v>
      </c>
      <c r="S1161" s="5">
        <f t="shared" si="8"/>
        <v>1</v>
      </c>
    </row>
    <row r="1162">
      <c r="A1162" s="2" t="s">
        <v>1175</v>
      </c>
      <c r="B1162" s="2">
        <v>60.0</v>
      </c>
      <c r="C1162" s="2">
        <v>708.0</v>
      </c>
      <c r="D1162" s="2">
        <v>254.0</v>
      </c>
      <c r="E1162" s="3">
        <f t="shared" si="1"/>
        <v>0.3919753086</v>
      </c>
      <c r="F1162" s="2">
        <v>96.0</v>
      </c>
      <c r="G1162" s="3">
        <f t="shared" si="2"/>
        <v>0.1481481481</v>
      </c>
      <c r="H1162" s="2">
        <v>125.0</v>
      </c>
      <c r="I1162" s="3">
        <f t="shared" si="3"/>
        <v>0.1929012346</v>
      </c>
      <c r="J1162" s="2">
        <v>108.0</v>
      </c>
      <c r="K1162" s="3">
        <f t="shared" si="4"/>
        <v>0.1666666667</v>
      </c>
      <c r="L1162" s="2">
        <v>81.0</v>
      </c>
      <c r="M1162" s="3">
        <f t="shared" si="5"/>
        <v>0.648</v>
      </c>
      <c r="N1162" s="2">
        <v>695900.0</v>
      </c>
      <c r="O1162" s="4">
        <f t="shared" si="6"/>
        <v>5567.2</v>
      </c>
      <c r="P1162" s="2">
        <v>0.0</v>
      </c>
      <c r="Q1162" s="3">
        <f t="shared" si="7"/>
        <v>0</v>
      </c>
      <c r="R1162" s="2">
        <v>0.0</v>
      </c>
      <c r="S1162" s="5">
        <f t="shared" si="8"/>
        <v>0</v>
      </c>
    </row>
    <row r="1163">
      <c r="A1163" s="2" t="s">
        <v>1176</v>
      </c>
      <c r="B1163" s="2">
        <v>3907.0</v>
      </c>
      <c r="C1163" s="2">
        <v>45737.0</v>
      </c>
      <c r="D1163" s="2">
        <v>14684.0</v>
      </c>
      <c r="E1163" s="3">
        <f t="shared" si="1"/>
        <v>0.3510399235</v>
      </c>
      <c r="F1163" s="2">
        <v>6197.0</v>
      </c>
      <c r="G1163" s="3">
        <f t="shared" si="2"/>
        <v>0.1481472627</v>
      </c>
      <c r="H1163" s="2">
        <v>9199.0</v>
      </c>
      <c r="I1163" s="3">
        <f t="shared" si="3"/>
        <v>0.2199139374</v>
      </c>
      <c r="J1163" s="2">
        <v>5913.0</v>
      </c>
      <c r="K1163" s="3">
        <f t="shared" si="4"/>
        <v>0.1413578771</v>
      </c>
      <c r="L1163" s="2">
        <v>5730.0</v>
      </c>
      <c r="M1163" s="3">
        <f t="shared" si="5"/>
        <v>0.6228937928</v>
      </c>
      <c r="N1163" s="2">
        <v>5.16439E7</v>
      </c>
      <c r="O1163" s="4">
        <f t="shared" si="6"/>
        <v>5614.077617</v>
      </c>
      <c r="P1163" s="2">
        <v>10.0</v>
      </c>
      <c r="Q1163" s="3">
        <f t="shared" si="7"/>
        <v>0.002559508574</v>
      </c>
      <c r="R1163" s="2">
        <v>3907.0</v>
      </c>
      <c r="S1163" s="5">
        <f t="shared" si="8"/>
        <v>1</v>
      </c>
    </row>
    <row r="1164">
      <c r="A1164" s="2" t="s">
        <v>1177</v>
      </c>
      <c r="B1164" s="2">
        <v>121.0</v>
      </c>
      <c r="C1164" s="2">
        <v>1397.0</v>
      </c>
      <c r="D1164" s="2">
        <v>449.0</v>
      </c>
      <c r="E1164" s="3">
        <f t="shared" si="1"/>
        <v>0.3518808777</v>
      </c>
      <c r="F1164" s="2">
        <v>189.0</v>
      </c>
      <c r="G1164" s="3">
        <f t="shared" si="2"/>
        <v>0.1481191223</v>
      </c>
      <c r="H1164" s="2">
        <v>304.0</v>
      </c>
      <c r="I1164" s="3">
        <f t="shared" si="3"/>
        <v>0.2382445141</v>
      </c>
      <c r="J1164" s="2">
        <v>196.0</v>
      </c>
      <c r="K1164" s="3">
        <f t="shared" si="4"/>
        <v>0.1536050157</v>
      </c>
      <c r="L1164" s="2">
        <v>182.0</v>
      </c>
      <c r="M1164" s="3">
        <f t="shared" si="5"/>
        <v>0.5986842105</v>
      </c>
      <c r="N1164" s="2">
        <v>1605200.0</v>
      </c>
      <c r="O1164" s="4">
        <f t="shared" si="6"/>
        <v>5280.263158</v>
      </c>
      <c r="P1164" s="2">
        <v>0.0</v>
      </c>
      <c r="Q1164" s="3">
        <f t="shared" si="7"/>
        <v>0</v>
      </c>
      <c r="R1164" s="2">
        <v>121.0</v>
      </c>
      <c r="S1164" s="5">
        <f t="shared" si="8"/>
        <v>1</v>
      </c>
    </row>
    <row r="1165">
      <c r="A1165" s="2" t="s">
        <v>1178</v>
      </c>
      <c r="B1165" s="2">
        <v>333.0</v>
      </c>
      <c r="C1165" s="2">
        <v>3864.0</v>
      </c>
      <c r="D1165" s="2">
        <v>1313.0</v>
      </c>
      <c r="E1165" s="3">
        <f t="shared" si="1"/>
        <v>0.3718493345</v>
      </c>
      <c r="F1165" s="2">
        <v>523.0</v>
      </c>
      <c r="G1165" s="3">
        <f t="shared" si="2"/>
        <v>0.1481166808</v>
      </c>
      <c r="H1165" s="2">
        <v>739.0</v>
      </c>
      <c r="I1165" s="3">
        <f t="shared" si="3"/>
        <v>0.2092891532</v>
      </c>
      <c r="J1165" s="2">
        <v>536.0</v>
      </c>
      <c r="K1165" s="3">
        <f t="shared" si="4"/>
        <v>0.1517983574</v>
      </c>
      <c r="L1165" s="2">
        <v>422.0</v>
      </c>
      <c r="M1165" s="3">
        <f t="shared" si="5"/>
        <v>0.5710419486</v>
      </c>
      <c r="N1165" s="2">
        <v>4123400.0</v>
      </c>
      <c r="O1165" s="4">
        <f t="shared" si="6"/>
        <v>5579.7023</v>
      </c>
      <c r="P1165" s="2">
        <v>0.0</v>
      </c>
      <c r="Q1165" s="3">
        <f t="shared" si="7"/>
        <v>0</v>
      </c>
      <c r="R1165" s="2">
        <v>333.0</v>
      </c>
      <c r="S1165" s="5">
        <f t="shared" si="8"/>
        <v>1</v>
      </c>
    </row>
    <row r="1166">
      <c r="A1166" s="2" t="s">
        <v>1179</v>
      </c>
      <c r="B1166" s="2">
        <v>69.0</v>
      </c>
      <c r="C1166" s="2">
        <v>805.0</v>
      </c>
      <c r="D1166" s="2">
        <v>208.0</v>
      </c>
      <c r="E1166" s="3">
        <f t="shared" si="1"/>
        <v>0.2826086957</v>
      </c>
      <c r="F1166" s="2">
        <v>109.0</v>
      </c>
      <c r="G1166" s="3">
        <f t="shared" si="2"/>
        <v>0.1480978261</v>
      </c>
      <c r="H1166" s="2">
        <v>168.0</v>
      </c>
      <c r="I1166" s="3">
        <f t="shared" si="3"/>
        <v>0.2282608696</v>
      </c>
      <c r="J1166" s="2">
        <v>149.0</v>
      </c>
      <c r="K1166" s="3">
        <f t="shared" si="4"/>
        <v>0.2024456522</v>
      </c>
      <c r="L1166" s="2">
        <v>90.0</v>
      </c>
      <c r="M1166" s="3">
        <f t="shared" si="5"/>
        <v>0.5357142857</v>
      </c>
      <c r="N1166" s="2">
        <v>929700.0</v>
      </c>
      <c r="O1166" s="4">
        <f t="shared" si="6"/>
        <v>5533.928571</v>
      </c>
      <c r="P1166" s="2">
        <v>0.0</v>
      </c>
      <c r="Q1166" s="3">
        <f t="shared" si="7"/>
        <v>0</v>
      </c>
      <c r="R1166" s="2">
        <v>0.0</v>
      </c>
      <c r="S1166" s="5">
        <f t="shared" si="8"/>
        <v>0</v>
      </c>
    </row>
    <row r="1167">
      <c r="A1167" s="2" t="s">
        <v>1180</v>
      </c>
      <c r="B1167" s="2">
        <v>134.0</v>
      </c>
      <c r="C1167" s="2">
        <v>1606.0</v>
      </c>
      <c r="D1167" s="2">
        <v>470.0</v>
      </c>
      <c r="E1167" s="3">
        <f t="shared" si="1"/>
        <v>0.3192934783</v>
      </c>
      <c r="F1167" s="2">
        <v>218.0</v>
      </c>
      <c r="G1167" s="3">
        <f t="shared" si="2"/>
        <v>0.1480978261</v>
      </c>
      <c r="H1167" s="2">
        <v>292.0</v>
      </c>
      <c r="I1167" s="3">
        <f t="shared" si="3"/>
        <v>0.1983695652</v>
      </c>
      <c r="J1167" s="2">
        <v>216.0</v>
      </c>
      <c r="K1167" s="3">
        <f t="shared" si="4"/>
        <v>0.1467391304</v>
      </c>
      <c r="L1167" s="2">
        <v>190.0</v>
      </c>
      <c r="M1167" s="3">
        <f t="shared" si="5"/>
        <v>0.6506849315</v>
      </c>
      <c r="N1167" s="2">
        <v>1626000.0</v>
      </c>
      <c r="O1167" s="4">
        <f t="shared" si="6"/>
        <v>5568.493151</v>
      </c>
      <c r="P1167" s="2">
        <v>3.0</v>
      </c>
      <c r="Q1167" s="3">
        <f t="shared" si="7"/>
        <v>0.0223880597</v>
      </c>
      <c r="R1167" s="2">
        <v>0.0</v>
      </c>
      <c r="S1167" s="5">
        <f t="shared" si="8"/>
        <v>0</v>
      </c>
    </row>
    <row r="1168">
      <c r="A1168" s="2" t="s">
        <v>1181</v>
      </c>
      <c r="B1168" s="2">
        <v>56.0</v>
      </c>
      <c r="C1168" s="2">
        <v>657.0</v>
      </c>
      <c r="D1168" s="2">
        <v>213.0</v>
      </c>
      <c r="E1168" s="3">
        <f t="shared" si="1"/>
        <v>0.3544093178</v>
      </c>
      <c r="F1168" s="2">
        <v>89.0</v>
      </c>
      <c r="G1168" s="3">
        <f t="shared" si="2"/>
        <v>0.1480865225</v>
      </c>
      <c r="H1168" s="2">
        <v>113.0</v>
      </c>
      <c r="I1168" s="3">
        <f t="shared" si="3"/>
        <v>0.1880199667</v>
      </c>
      <c r="J1168" s="2">
        <v>101.0</v>
      </c>
      <c r="K1168" s="3">
        <f t="shared" si="4"/>
        <v>0.1680532446</v>
      </c>
      <c r="L1168" s="2">
        <v>56.0</v>
      </c>
      <c r="M1168" s="3">
        <f t="shared" si="5"/>
        <v>0.4955752212</v>
      </c>
      <c r="N1168" s="2">
        <v>679800.0</v>
      </c>
      <c r="O1168" s="4">
        <f t="shared" si="6"/>
        <v>6015.929204</v>
      </c>
      <c r="P1168" s="2">
        <v>1.0</v>
      </c>
      <c r="Q1168" s="3">
        <f t="shared" si="7"/>
        <v>0.01785714286</v>
      </c>
      <c r="R1168" s="2">
        <v>56.0</v>
      </c>
      <c r="S1168" s="5">
        <f t="shared" si="8"/>
        <v>1</v>
      </c>
    </row>
    <row r="1169">
      <c r="A1169" s="2" t="s">
        <v>1182</v>
      </c>
      <c r="B1169" s="2">
        <v>46.0</v>
      </c>
      <c r="C1169" s="2">
        <v>512.0</v>
      </c>
      <c r="D1169" s="2">
        <v>179.0</v>
      </c>
      <c r="E1169" s="3">
        <f t="shared" si="1"/>
        <v>0.3841201717</v>
      </c>
      <c r="F1169" s="2">
        <v>69.0</v>
      </c>
      <c r="G1169" s="3">
        <f t="shared" si="2"/>
        <v>0.1480686695</v>
      </c>
      <c r="H1169" s="2">
        <v>93.0</v>
      </c>
      <c r="I1169" s="3">
        <f t="shared" si="3"/>
        <v>0.1995708155</v>
      </c>
      <c r="J1169" s="2">
        <v>88.0</v>
      </c>
      <c r="K1169" s="3">
        <f t="shared" si="4"/>
        <v>0.1888412017</v>
      </c>
      <c r="L1169" s="2">
        <v>60.0</v>
      </c>
      <c r="M1169" s="3">
        <f t="shared" si="5"/>
        <v>0.6451612903</v>
      </c>
      <c r="N1169" s="2">
        <v>513500.0</v>
      </c>
      <c r="O1169" s="4">
        <f t="shared" si="6"/>
        <v>5521.505376</v>
      </c>
      <c r="P1169" s="2">
        <v>1.0</v>
      </c>
      <c r="Q1169" s="3">
        <f t="shared" si="7"/>
        <v>0.02173913043</v>
      </c>
      <c r="R1169" s="2">
        <v>46.0</v>
      </c>
      <c r="S1169" s="5">
        <f t="shared" si="8"/>
        <v>1</v>
      </c>
    </row>
    <row r="1170">
      <c r="A1170" s="2" t="s">
        <v>1183</v>
      </c>
      <c r="B1170" s="2">
        <v>85.0</v>
      </c>
      <c r="C1170" s="2">
        <v>990.0</v>
      </c>
      <c r="D1170" s="2">
        <v>343.0</v>
      </c>
      <c r="E1170" s="3">
        <f t="shared" si="1"/>
        <v>0.3790055249</v>
      </c>
      <c r="F1170" s="2">
        <v>134.0</v>
      </c>
      <c r="G1170" s="3">
        <f t="shared" si="2"/>
        <v>0.1480662983</v>
      </c>
      <c r="H1170" s="2">
        <v>179.0</v>
      </c>
      <c r="I1170" s="3">
        <f t="shared" si="3"/>
        <v>0.1977900552</v>
      </c>
      <c r="J1170" s="2">
        <v>155.0</v>
      </c>
      <c r="K1170" s="3">
        <f t="shared" si="4"/>
        <v>0.1712707182</v>
      </c>
      <c r="L1170" s="2">
        <v>117.0</v>
      </c>
      <c r="M1170" s="3">
        <f t="shared" si="5"/>
        <v>0.6536312849</v>
      </c>
      <c r="N1170" s="2">
        <v>950400.0</v>
      </c>
      <c r="O1170" s="4">
        <f t="shared" si="6"/>
        <v>5309.497207</v>
      </c>
      <c r="P1170" s="2">
        <v>0.0</v>
      </c>
      <c r="Q1170" s="3">
        <f t="shared" si="7"/>
        <v>0</v>
      </c>
      <c r="R1170" s="2">
        <v>85.0</v>
      </c>
      <c r="S1170" s="5">
        <f t="shared" si="8"/>
        <v>1</v>
      </c>
    </row>
    <row r="1171">
      <c r="A1171" s="2" t="s">
        <v>1184</v>
      </c>
      <c r="B1171" s="2">
        <v>151.0</v>
      </c>
      <c r="C1171" s="2">
        <v>1779.0</v>
      </c>
      <c r="D1171" s="2">
        <v>472.0</v>
      </c>
      <c r="E1171" s="3">
        <f t="shared" si="1"/>
        <v>0.2899262899</v>
      </c>
      <c r="F1171" s="2">
        <v>241.0</v>
      </c>
      <c r="G1171" s="3">
        <f t="shared" si="2"/>
        <v>0.148034398</v>
      </c>
      <c r="H1171" s="2">
        <v>352.0</v>
      </c>
      <c r="I1171" s="3">
        <f t="shared" si="3"/>
        <v>0.2162162162</v>
      </c>
      <c r="J1171" s="2">
        <v>297.0</v>
      </c>
      <c r="K1171" s="3">
        <f t="shared" si="4"/>
        <v>0.1824324324</v>
      </c>
      <c r="L1171" s="2">
        <v>207.0</v>
      </c>
      <c r="M1171" s="3">
        <f t="shared" si="5"/>
        <v>0.5880681818</v>
      </c>
      <c r="N1171" s="2">
        <v>1951300.0</v>
      </c>
      <c r="O1171" s="4">
        <f t="shared" si="6"/>
        <v>5543.465909</v>
      </c>
      <c r="P1171" s="2">
        <v>0.0</v>
      </c>
      <c r="Q1171" s="3">
        <f t="shared" si="7"/>
        <v>0</v>
      </c>
      <c r="R1171" s="2">
        <v>107.0</v>
      </c>
      <c r="S1171" s="5">
        <f t="shared" si="8"/>
        <v>0.7086092715</v>
      </c>
    </row>
    <row r="1172">
      <c r="A1172" s="2">
        <v>4848.0</v>
      </c>
      <c r="B1172" s="2">
        <v>28.0</v>
      </c>
      <c r="C1172" s="2">
        <v>332.0</v>
      </c>
      <c r="D1172" s="2">
        <v>144.0</v>
      </c>
      <c r="E1172" s="3">
        <f t="shared" si="1"/>
        <v>0.4736842105</v>
      </c>
      <c r="F1172" s="2">
        <v>45.0</v>
      </c>
      <c r="G1172" s="3">
        <f t="shared" si="2"/>
        <v>0.1480263158</v>
      </c>
      <c r="H1172" s="2">
        <v>66.0</v>
      </c>
      <c r="I1172" s="3">
        <f t="shared" si="3"/>
        <v>0.2171052632</v>
      </c>
      <c r="J1172" s="2">
        <v>61.0</v>
      </c>
      <c r="K1172" s="3">
        <f t="shared" si="4"/>
        <v>0.2006578947</v>
      </c>
      <c r="L1172" s="2">
        <v>37.0</v>
      </c>
      <c r="M1172" s="3">
        <f t="shared" si="5"/>
        <v>0.5606060606</v>
      </c>
      <c r="N1172" s="2">
        <v>321800.0</v>
      </c>
      <c r="O1172" s="4">
        <f t="shared" si="6"/>
        <v>4875.757576</v>
      </c>
      <c r="P1172" s="2">
        <v>0.0</v>
      </c>
      <c r="Q1172" s="3">
        <f t="shared" si="7"/>
        <v>0</v>
      </c>
      <c r="R1172" s="2">
        <v>28.0</v>
      </c>
      <c r="S1172" s="5">
        <f t="shared" si="8"/>
        <v>1</v>
      </c>
    </row>
    <row r="1173">
      <c r="A1173" s="2" t="s">
        <v>1185</v>
      </c>
      <c r="B1173" s="2">
        <v>503.0</v>
      </c>
      <c r="C1173" s="2">
        <v>5813.0</v>
      </c>
      <c r="D1173" s="2">
        <v>1519.0</v>
      </c>
      <c r="E1173" s="3">
        <f t="shared" si="1"/>
        <v>0.2860640301</v>
      </c>
      <c r="F1173" s="2">
        <v>786.0</v>
      </c>
      <c r="G1173" s="3">
        <f t="shared" si="2"/>
        <v>0.1480225989</v>
      </c>
      <c r="H1173" s="2">
        <v>1147.0</v>
      </c>
      <c r="I1173" s="3">
        <f t="shared" si="3"/>
        <v>0.216007533</v>
      </c>
      <c r="J1173" s="2">
        <v>933.0</v>
      </c>
      <c r="K1173" s="3">
        <f t="shared" si="4"/>
        <v>0.1757062147</v>
      </c>
      <c r="L1173" s="2">
        <v>694.0</v>
      </c>
      <c r="M1173" s="3">
        <f t="shared" si="5"/>
        <v>0.6050566696</v>
      </c>
      <c r="N1173" s="2">
        <v>6735400.0</v>
      </c>
      <c r="O1173" s="4">
        <f t="shared" si="6"/>
        <v>5872.188317</v>
      </c>
      <c r="P1173" s="2">
        <v>2.0</v>
      </c>
      <c r="Q1173" s="3">
        <f t="shared" si="7"/>
        <v>0.003976143141</v>
      </c>
      <c r="R1173" s="2">
        <v>503.0</v>
      </c>
      <c r="S1173" s="5">
        <f t="shared" si="8"/>
        <v>1</v>
      </c>
    </row>
    <row r="1174">
      <c r="A1174" s="2" t="s">
        <v>1186</v>
      </c>
      <c r="B1174" s="2">
        <v>526.0</v>
      </c>
      <c r="C1174" s="2">
        <v>6086.0</v>
      </c>
      <c r="D1174" s="2">
        <v>2005.0</v>
      </c>
      <c r="E1174" s="3">
        <f t="shared" si="1"/>
        <v>0.3606115108</v>
      </c>
      <c r="F1174" s="2">
        <v>823.0</v>
      </c>
      <c r="G1174" s="3">
        <f t="shared" si="2"/>
        <v>0.1480215827</v>
      </c>
      <c r="H1174" s="2">
        <v>1230.0</v>
      </c>
      <c r="I1174" s="3">
        <f t="shared" si="3"/>
        <v>0.2212230216</v>
      </c>
      <c r="J1174" s="2">
        <v>1227.0</v>
      </c>
      <c r="K1174" s="3">
        <f t="shared" si="4"/>
        <v>0.2206834532</v>
      </c>
      <c r="L1174" s="2">
        <v>706.0</v>
      </c>
      <c r="M1174" s="3">
        <f t="shared" si="5"/>
        <v>0.5739837398</v>
      </c>
      <c r="N1174" s="2">
        <v>6922900.0</v>
      </c>
      <c r="O1174" s="4">
        <f t="shared" si="6"/>
        <v>5628.373984</v>
      </c>
      <c r="P1174" s="2">
        <v>0.0</v>
      </c>
      <c r="Q1174" s="3">
        <f t="shared" si="7"/>
        <v>0</v>
      </c>
      <c r="R1174" s="2">
        <v>526.0</v>
      </c>
      <c r="S1174" s="5">
        <f t="shared" si="8"/>
        <v>1</v>
      </c>
    </row>
    <row r="1175">
      <c r="A1175" s="2" t="s">
        <v>1187</v>
      </c>
      <c r="B1175" s="2">
        <v>76.0</v>
      </c>
      <c r="C1175" s="2">
        <v>853.0</v>
      </c>
      <c r="D1175" s="2">
        <v>219.0</v>
      </c>
      <c r="E1175" s="3">
        <f t="shared" si="1"/>
        <v>0.2818532819</v>
      </c>
      <c r="F1175" s="2">
        <v>115.0</v>
      </c>
      <c r="G1175" s="3">
        <f t="shared" si="2"/>
        <v>0.148005148</v>
      </c>
      <c r="H1175" s="2">
        <v>154.0</v>
      </c>
      <c r="I1175" s="3">
        <f t="shared" si="3"/>
        <v>0.1981981982</v>
      </c>
      <c r="J1175" s="2">
        <v>141.0</v>
      </c>
      <c r="K1175" s="3">
        <f t="shared" si="4"/>
        <v>0.1814671815</v>
      </c>
      <c r="L1175" s="2">
        <v>90.0</v>
      </c>
      <c r="M1175" s="3">
        <f t="shared" si="5"/>
        <v>0.5844155844</v>
      </c>
      <c r="N1175" s="2">
        <v>933700.0</v>
      </c>
      <c r="O1175" s="4">
        <f t="shared" si="6"/>
        <v>6062.987013</v>
      </c>
      <c r="P1175" s="2">
        <v>0.0</v>
      </c>
      <c r="Q1175" s="3">
        <f t="shared" si="7"/>
        <v>0</v>
      </c>
      <c r="R1175" s="2">
        <v>76.0</v>
      </c>
      <c r="S1175" s="5">
        <f t="shared" si="8"/>
        <v>1</v>
      </c>
    </row>
    <row r="1176">
      <c r="A1176" s="2" t="s">
        <v>1188</v>
      </c>
      <c r="B1176" s="2">
        <v>42.0</v>
      </c>
      <c r="C1176" s="2">
        <v>515.0</v>
      </c>
      <c r="D1176" s="2">
        <v>167.0</v>
      </c>
      <c r="E1176" s="3">
        <f t="shared" si="1"/>
        <v>0.3530655391</v>
      </c>
      <c r="F1176" s="2">
        <v>70.0</v>
      </c>
      <c r="G1176" s="3">
        <f t="shared" si="2"/>
        <v>0.1479915433</v>
      </c>
      <c r="H1176" s="2">
        <v>97.0</v>
      </c>
      <c r="I1176" s="3">
        <f t="shared" si="3"/>
        <v>0.2050739958</v>
      </c>
      <c r="J1176" s="2">
        <v>79.0</v>
      </c>
      <c r="K1176" s="3">
        <f t="shared" si="4"/>
        <v>0.1670190275</v>
      </c>
      <c r="L1176" s="2">
        <v>55.0</v>
      </c>
      <c r="M1176" s="3">
        <f t="shared" si="5"/>
        <v>0.5670103093</v>
      </c>
      <c r="N1176" s="2">
        <v>507300.0</v>
      </c>
      <c r="O1176" s="4">
        <f t="shared" si="6"/>
        <v>5229.896907</v>
      </c>
      <c r="P1176" s="2">
        <v>0.0</v>
      </c>
      <c r="Q1176" s="3">
        <f t="shared" si="7"/>
        <v>0</v>
      </c>
      <c r="R1176" s="2">
        <v>42.0</v>
      </c>
      <c r="S1176" s="5">
        <f t="shared" si="8"/>
        <v>1</v>
      </c>
    </row>
    <row r="1177">
      <c r="A1177" s="2" t="s">
        <v>1189</v>
      </c>
      <c r="B1177" s="2">
        <v>23.0</v>
      </c>
      <c r="C1177" s="2">
        <v>246.0</v>
      </c>
      <c r="D1177" s="2">
        <v>104.0</v>
      </c>
      <c r="E1177" s="3">
        <f t="shared" si="1"/>
        <v>0.466367713</v>
      </c>
      <c r="F1177" s="2">
        <v>33.0</v>
      </c>
      <c r="G1177" s="3">
        <f t="shared" si="2"/>
        <v>0.1479820628</v>
      </c>
      <c r="H1177" s="2">
        <v>38.0</v>
      </c>
      <c r="I1177" s="3">
        <f t="shared" si="3"/>
        <v>0.1704035874</v>
      </c>
      <c r="J1177" s="2">
        <v>33.0</v>
      </c>
      <c r="K1177" s="3">
        <f t="shared" si="4"/>
        <v>0.1479820628</v>
      </c>
      <c r="L1177" s="2">
        <v>21.0</v>
      </c>
      <c r="M1177" s="3">
        <f t="shared" si="5"/>
        <v>0.5526315789</v>
      </c>
      <c r="N1177" s="2">
        <v>208900.0</v>
      </c>
      <c r="O1177" s="4">
        <f t="shared" si="6"/>
        <v>5497.368421</v>
      </c>
      <c r="P1177" s="2">
        <v>0.0</v>
      </c>
      <c r="Q1177" s="3">
        <f t="shared" si="7"/>
        <v>0</v>
      </c>
      <c r="R1177" s="2">
        <v>23.0</v>
      </c>
      <c r="S1177" s="5">
        <f t="shared" si="8"/>
        <v>1</v>
      </c>
    </row>
    <row r="1178">
      <c r="A1178" s="2" t="s">
        <v>1190</v>
      </c>
      <c r="B1178" s="2">
        <v>3333.0</v>
      </c>
      <c r="C1178" s="2">
        <v>39081.0</v>
      </c>
      <c r="D1178" s="2">
        <v>13083.0</v>
      </c>
      <c r="E1178" s="3">
        <f t="shared" si="1"/>
        <v>0.3659785163</v>
      </c>
      <c r="F1178" s="2">
        <v>5290.0</v>
      </c>
      <c r="G1178" s="3">
        <f t="shared" si="2"/>
        <v>0.1479803066</v>
      </c>
      <c r="H1178" s="2">
        <v>8118.0</v>
      </c>
      <c r="I1178" s="3">
        <f t="shared" si="3"/>
        <v>0.2270896274</v>
      </c>
      <c r="J1178" s="2">
        <v>6408.0</v>
      </c>
      <c r="K1178" s="3">
        <f t="shared" si="4"/>
        <v>0.1792547835</v>
      </c>
      <c r="L1178" s="2">
        <v>4935.0</v>
      </c>
      <c r="M1178" s="3">
        <f t="shared" si="5"/>
        <v>0.6079083518</v>
      </c>
      <c r="N1178" s="2">
        <v>4.41978E7</v>
      </c>
      <c r="O1178" s="4">
        <f t="shared" si="6"/>
        <v>5444.419808</v>
      </c>
      <c r="P1178" s="2">
        <v>2.0</v>
      </c>
      <c r="Q1178" s="3">
        <f t="shared" si="7"/>
        <v>0.000600060006</v>
      </c>
      <c r="R1178" s="2">
        <v>3333.0</v>
      </c>
      <c r="S1178" s="5">
        <f t="shared" si="8"/>
        <v>1</v>
      </c>
    </row>
    <row r="1179">
      <c r="A1179" s="2" t="s">
        <v>1191</v>
      </c>
      <c r="B1179" s="2">
        <v>37.0</v>
      </c>
      <c r="C1179" s="2">
        <v>429.0</v>
      </c>
      <c r="D1179" s="2">
        <v>172.0</v>
      </c>
      <c r="E1179" s="3">
        <f t="shared" si="1"/>
        <v>0.4387755102</v>
      </c>
      <c r="F1179" s="2">
        <v>58.0</v>
      </c>
      <c r="G1179" s="3">
        <f t="shared" si="2"/>
        <v>0.1479591837</v>
      </c>
      <c r="H1179" s="2">
        <v>84.0</v>
      </c>
      <c r="I1179" s="3">
        <f t="shared" si="3"/>
        <v>0.2142857143</v>
      </c>
      <c r="J1179" s="2">
        <v>74.0</v>
      </c>
      <c r="K1179" s="3">
        <f t="shared" si="4"/>
        <v>0.1887755102</v>
      </c>
      <c r="L1179" s="2">
        <v>52.0</v>
      </c>
      <c r="M1179" s="3">
        <f t="shared" si="5"/>
        <v>0.619047619</v>
      </c>
      <c r="N1179" s="2">
        <v>484000.0</v>
      </c>
      <c r="O1179" s="4">
        <f t="shared" si="6"/>
        <v>5761.904762</v>
      </c>
      <c r="P1179" s="2">
        <v>1.0</v>
      </c>
      <c r="Q1179" s="3">
        <f t="shared" si="7"/>
        <v>0.02702702703</v>
      </c>
      <c r="R1179" s="2">
        <v>36.0</v>
      </c>
      <c r="S1179" s="5">
        <f t="shared" si="8"/>
        <v>0.972972973</v>
      </c>
    </row>
    <row r="1180">
      <c r="A1180" s="2" t="s">
        <v>1192</v>
      </c>
      <c r="B1180" s="2">
        <v>506.0</v>
      </c>
      <c r="C1180" s="2">
        <v>5907.0</v>
      </c>
      <c r="D1180" s="2">
        <v>2017.0</v>
      </c>
      <c r="E1180" s="3">
        <f t="shared" si="1"/>
        <v>0.3734493612</v>
      </c>
      <c r="F1180" s="2">
        <v>799.0</v>
      </c>
      <c r="G1180" s="3">
        <f t="shared" si="2"/>
        <v>0.1479355675</v>
      </c>
      <c r="H1180" s="2">
        <v>1246.0</v>
      </c>
      <c r="I1180" s="3">
        <f t="shared" si="3"/>
        <v>0.2306980189</v>
      </c>
      <c r="J1180" s="2">
        <v>832.0</v>
      </c>
      <c r="K1180" s="3">
        <f t="shared" si="4"/>
        <v>0.1540455471</v>
      </c>
      <c r="L1180" s="2">
        <v>742.0</v>
      </c>
      <c r="M1180" s="3">
        <f t="shared" si="5"/>
        <v>0.595505618</v>
      </c>
      <c r="N1180" s="2">
        <v>6635100.0</v>
      </c>
      <c r="O1180" s="4">
        <f t="shared" si="6"/>
        <v>5325.120385</v>
      </c>
      <c r="P1180" s="2">
        <v>3.0</v>
      </c>
      <c r="Q1180" s="3">
        <f t="shared" si="7"/>
        <v>0.005928853755</v>
      </c>
      <c r="R1180" s="2">
        <v>506.0</v>
      </c>
      <c r="S1180" s="5">
        <f t="shared" si="8"/>
        <v>1</v>
      </c>
    </row>
    <row r="1181">
      <c r="A1181" s="2" t="s">
        <v>1193</v>
      </c>
      <c r="B1181" s="2">
        <v>3729.0</v>
      </c>
      <c r="C1181" s="2">
        <v>43206.0</v>
      </c>
      <c r="D1181" s="2">
        <v>13672.0</v>
      </c>
      <c r="E1181" s="3">
        <f t="shared" si="1"/>
        <v>0.3463282418</v>
      </c>
      <c r="F1181" s="2">
        <v>5840.0</v>
      </c>
      <c r="G1181" s="3">
        <f t="shared" si="2"/>
        <v>0.1479342402</v>
      </c>
      <c r="H1181" s="2">
        <v>8678.0</v>
      </c>
      <c r="I1181" s="3">
        <f t="shared" si="3"/>
        <v>0.2198242014</v>
      </c>
      <c r="J1181" s="2">
        <v>7358.0</v>
      </c>
      <c r="K1181" s="3">
        <f t="shared" si="4"/>
        <v>0.1863870102</v>
      </c>
      <c r="L1181" s="2">
        <v>5207.0</v>
      </c>
      <c r="M1181" s="3">
        <f t="shared" si="5"/>
        <v>0.6000230468</v>
      </c>
      <c r="N1181" s="2">
        <v>5.08581E7</v>
      </c>
      <c r="O1181" s="4">
        <f t="shared" si="6"/>
        <v>5860.578474</v>
      </c>
      <c r="P1181" s="2">
        <v>14.0</v>
      </c>
      <c r="Q1181" s="3">
        <f t="shared" si="7"/>
        <v>0.003754357737</v>
      </c>
      <c r="R1181" s="2">
        <v>3729.0</v>
      </c>
      <c r="S1181" s="5">
        <f t="shared" si="8"/>
        <v>1</v>
      </c>
    </row>
    <row r="1182">
      <c r="A1182" s="2" t="s">
        <v>1194</v>
      </c>
      <c r="B1182" s="2">
        <v>17.0</v>
      </c>
      <c r="C1182" s="2">
        <v>186.0</v>
      </c>
      <c r="D1182" s="2">
        <v>60.0</v>
      </c>
      <c r="E1182" s="3">
        <f t="shared" si="1"/>
        <v>0.3550295858</v>
      </c>
      <c r="F1182" s="2">
        <v>25.0</v>
      </c>
      <c r="G1182" s="3">
        <f t="shared" si="2"/>
        <v>0.1479289941</v>
      </c>
      <c r="H1182" s="2">
        <v>42.0</v>
      </c>
      <c r="I1182" s="3">
        <f t="shared" si="3"/>
        <v>0.2485207101</v>
      </c>
      <c r="J1182" s="2">
        <v>27.0</v>
      </c>
      <c r="K1182" s="3">
        <f t="shared" si="4"/>
        <v>0.1597633136</v>
      </c>
      <c r="L1182" s="2">
        <v>29.0</v>
      </c>
      <c r="M1182" s="3">
        <f t="shared" si="5"/>
        <v>0.6904761905</v>
      </c>
      <c r="N1182" s="2">
        <v>264100.0</v>
      </c>
      <c r="O1182" s="4">
        <f t="shared" si="6"/>
        <v>6288.095238</v>
      </c>
      <c r="P1182" s="2">
        <v>0.0</v>
      </c>
      <c r="Q1182" s="3">
        <f t="shared" si="7"/>
        <v>0</v>
      </c>
      <c r="R1182" s="2">
        <v>17.0</v>
      </c>
      <c r="S1182" s="5">
        <f t="shared" si="8"/>
        <v>1</v>
      </c>
    </row>
    <row r="1183">
      <c r="A1183" s="2" t="s">
        <v>1195</v>
      </c>
      <c r="B1183" s="2">
        <v>465.0</v>
      </c>
      <c r="C1183" s="2">
        <v>5529.0</v>
      </c>
      <c r="D1183" s="2">
        <v>1429.0</v>
      </c>
      <c r="E1183" s="3">
        <f t="shared" si="1"/>
        <v>0.2821879937</v>
      </c>
      <c r="F1183" s="2">
        <v>749.0</v>
      </c>
      <c r="G1183" s="3">
        <f t="shared" si="2"/>
        <v>0.147906793</v>
      </c>
      <c r="H1183" s="2">
        <v>1018.0</v>
      </c>
      <c r="I1183" s="3">
        <f t="shared" si="3"/>
        <v>0.2010268562</v>
      </c>
      <c r="J1183" s="2">
        <v>909.0</v>
      </c>
      <c r="K1183" s="3">
        <f t="shared" si="4"/>
        <v>0.1795023697</v>
      </c>
      <c r="L1183" s="2">
        <v>590.0</v>
      </c>
      <c r="M1183" s="3">
        <f t="shared" si="5"/>
        <v>0.57956778</v>
      </c>
      <c r="N1183" s="2">
        <v>6309300.0</v>
      </c>
      <c r="O1183" s="4">
        <f t="shared" si="6"/>
        <v>6197.740668</v>
      </c>
      <c r="P1183" s="2">
        <v>2.0</v>
      </c>
      <c r="Q1183" s="3">
        <f t="shared" si="7"/>
        <v>0.004301075269</v>
      </c>
      <c r="R1183" s="2">
        <v>465.0</v>
      </c>
      <c r="S1183" s="5">
        <f t="shared" si="8"/>
        <v>1</v>
      </c>
    </row>
    <row r="1184">
      <c r="A1184" s="2" t="s">
        <v>1196</v>
      </c>
      <c r="B1184" s="2">
        <v>834.0</v>
      </c>
      <c r="C1184" s="2">
        <v>9712.0</v>
      </c>
      <c r="D1184" s="2">
        <v>2365.0</v>
      </c>
      <c r="E1184" s="3">
        <f t="shared" si="1"/>
        <v>0.2663888263</v>
      </c>
      <c r="F1184" s="2">
        <v>1313.0</v>
      </c>
      <c r="G1184" s="3">
        <f t="shared" si="2"/>
        <v>0.1478936697</v>
      </c>
      <c r="H1184" s="2">
        <v>1836.0</v>
      </c>
      <c r="I1184" s="3">
        <f t="shared" si="3"/>
        <v>0.2068033341</v>
      </c>
      <c r="J1184" s="2">
        <v>1717.0</v>
      </c>
      <c r="K1184" s="3">
        <f t="shared" si="4"/>
        <v>0.1933994143</v>
      </c>
      <c r="L1184" s="2">
        <v>1079.0</v>
      </c>
      <c r="M1184" s="3">
        <f t="shared" si="5"/>
        <v>0.5876906318</v>
      </c>
      <c r="N1184" s="2">
        <v>1.10168E7</v>
      </c>
      <c r="O1184" s="4">
        <f t="shared" si="6"/>
        <v>6000.43573</v>
      </c>
      <c r="P1184" s="2">
        <v>3.0</v>
      </c>
      <c r="Q1184" s="3">
        <f t="shared" si="7"/>
        <v>0.003597122302</v>
      </c>
      <c r="R1184" s="2">
        <v>834.0</v>
      </c>
      <c r="S1184" s="5">
        <f t="shared" si="8"/>
        <v>1</v>
      </c>
    </row>
    <row r="1185">
      <c r="A1185" s="2" t="s">
        <v>1197</v>
      </c>
      <c r="B1185" s="2">
        <v>93.0</v>
      </c>
      <c r="C1185" s="2">
        <v>1087.0</v>
      </c>
      <c r="D1185" s="2">
        <v>328.0</v>
      </c>
      <c r="E1185" s="3">
        <f t="shared" si="1"/>
        <v>0.3299798793</v>
      </c>
      <c r="F1185" s="2">
        <v>147.0</v>
      </c>
      <c r="G1185" s="3">
        <f t="shared" si="2"/>
        <v>0.1478873239</v>
      </c>
      <c r="H1185" s="2">
        <v>222.0</v>
      </c>
      <c r="I1185" s="3">
        <f t="shared" si="3"/>
        <v>0.2233400402</v>
      </c>
      <c r="J1185" s="2">
        <v>216.0</v>
      </c>
      <c r="K1185" s="3">
        <f t="shared" si="4"/>
        <v>0.2173038229</v>
      </c>
      <c r="L1185" s="2">
        <v>135.0</v>
      </c>
      <c r="M1185" s="3">
        <f t="shared" si="5"/>
        <v>0.6081081081</v>
      </c>
      <c r="N1185" s="2">
        <v>1303400.0</v>
      </c>
      <c r="O1185" s="4">
        <f t="shared" si="6"/>
        <v>5871.171171</v>
      </c>
      <c r="P1185" s="2">
        <v>0.0</v>
      </c>
      <c r="Q1185" s="3">
        <f t="shared" si="7"/>
        <v>0</v>
      </c>
      <c r="R1185" s="2">
        <v>93.0</v>
      </c>
      <c r="S1185" s="5">
        <f t="shared" si="8"/>
        <v>1</v>
      </c>
    </row>
    <row r="1186">
      <c r="A1186" s="2" t="s">
        <v>1198</v>
      </c>
      <c r="B1186" s="2">
        <v>13.0</v>
      </c>
      <c r="C1186" s="2">
        <v>155.0</v>
      </c>
      <c r="D1186" s="2">
        <v>60.0</v>
      </c>
      <c r="E1186" s="3">
        <f t="shared" si="1"/>
        <v>0.4225352113</v>
      </c>
      <c r="F1186" s="2">
        <v>21.0</v>
      </c>
      <c r="G1186" s="3">
        <f t="shared" si="2"/>
        <v>0.1478873239</v>
      </c>
      <c r="H1186" s="2">
        <v>28.0</v>
      </c>
      <c r="I1186" s="3">
        <f t="shared" si="3"/>
        <v>0.1971830986</v>
      </c>
      <c r="J1186" s="2">
        <v>18.0</v>
      </c>
      <c r="K1186" s="3">
        <f t="shared" si="4"/>
        <v>0.1267605634</v>
      </c>
      <c r="L1186" s="2">
        <v>18.0</v>
      </c>
      <c r="M1186" s="3">
        <f t="shared" si="5"/>
        <v>0.6428571429</v>
      </c>
      <c r="N1186" s="2">
        <v>168800.0</v>
      </c>
      <c r="O1186" s="4">
        <f t="shared" si="6"/>
        <v>6028.571429</v>
      </c>
      <c r="P1186" s="2">
        <v>0.0</v>
      </c>
      <c r="Q1186" s="3">
        <f t="shared" si="7"/>
        <v>0</v>
      </c>
      <c r="R1186" s="2">
        <v>13.0</v>
      </c>
      <c r="S1186" s="5">
        <f t="shared" si="8"/>
        <v>1</v>
      </c>
    </row>
    <row r="1187">
      <c r="A1187" s="2" t="s">
        <v>1199</v>
      </c>
      <c r="B1187" s="2">
        <v>149.0</v>
      </c>
      <c r="C1187" s="2">
        <v>1745.0</v>
      </c>
      <c r="D1187" s="2">
        <v>511.0</v>
      </c>
      <c r="E1187" s="3">
        <f t="shared" si="1"/>
        <v>0.3201754386</v>
      </c>
      <c r="F1187" s="2">
        <v>236.0</v>
      </c>
      <c r="G1187" s="3">
        <f t="shared" si="2"/>
        <v>0.1478696742</v>
      </c>
      <c r="H1187" s="2">
        <v>358.0</v>
      </c>
      <c r="I1187" s="3">
        <f t="shared" si="3"/>
        <v>0.2243107769</v>
      </c>
      <c r="J1187" s="2">
        <v>293.0</v>
      </c>
      <c r="K1187" s="3">
        <f t="shared" si="4"/>
        <v>0.1835839599</v>
      </c>
      <c r="L1187" s="2">
        <v>209.0</v>
      </c>
      <c r="M1187" s="3">
        <f t="shared" si="5"/>
        <v>0.5837988827</v>
      </c>
      <c r="N1187" s="2">
        <v>1985000.0</v>
      </c>
      <c r="O1187" s="4">
        <f t="shared" si="6"/>
        <v>5544.692737</v>
      </c>
      <c r="P1187" s="2">
        <v>0.0</v>
      </c>
      <c r="Q1187" s="3">
        <f t="shared" si="7"/>
        <v>0</v>
      </c>
      <c r="R1187" s="2">
        <v>0.0</v>
      </c>
      <c r="S1187" s="5">
        <f t="shared" si="8"/>
        <v>0</v>
      </c>
    </row>
    <row r="1188">
      <c r="A1188" s="2" t="s">
        <v>1200</v>
      </c>
      <c r="B1188" s="2">
        <v>922.0</v>
      </c>
      <c r="C1188" s="2">
        <v>10776.0</v>
      </c>
      <c r="D1188" s="2">
        <v>3935.0</v>
      </c>
      <c r="E1188" s="3">
        <f t="shared" si="1"/>
        <v>0.3993302212</v>
      </c>
      <c r="F1188" s="2">
        <v>1457.0</v>
      </c>
      <c r="G1188" s="3">
        <f t="shared" si="2"/>
        <v>0.1478587376</v>
      </c>
      <c r="H1188" s="2">
        <v>2181.0</v>
      </c>
      <c r="I1188" s="3">
        <f t="shared" si="3"/>
        <v>0.221331439</v>
      </c>
      <c r="J1188" s="2">
        <v>1614.0</v>
      </c>
      <c r="K1188" s="3">
        <f t="shared" si="4"/>
        <v>0.1637913538</v>
      </c>
      <c r="L1188" s="2">
        <v>1274.0</v>
      </c>
      <c r="M1188" s="3">
        <f t="shared" si="5"/>
        <v>0.5841357176</v>
      </c>
      <c r="N1188" s="2">
        <v>1.19754E7</v>
      </c>
      <c r="O1188" s="4">
        <f t="shared" si="6"/>
        <v>5490.784044</v>
      </c>
      <c r="P1188" s="2">
        <v>1.0</v>
      </c>
      <c r="Q1188" s="3">
        <f t="shared" si="7"/>
        <v>0.001084598698</v>
      </c>
      <c r="R1188" s="2">
        <v>0.0</v>
      </c>
      <c r="S1188" s="5">
        <f t="shared" si="8"/>
        <v>0</v>
      </c>
    </row>
    <row r="1189">
      <c r="A1189" s="2" t="s">
        <v>1201</v>
      </c>
      <c r="B1189" s="2">
        <v>103.0</v>
      </c>
      <c r="C1189" s="2">
        <v>1246.0</v>
      </c>
      <c r="D1189" s="2">
        <v>419.0</v>
      </c>
      <c r="E1189" s="3">
        <f t="shared" si="1"/>
        <v>0.3665791776</v>
      </c>
      <c r="F1189" s="2">
        <v>169.0</v>
      </c>
      <c r="G1189" s="3">
        <f t="shared" si="2"/>
        <v>0.1478565179</v>
      </c>
      <c r="H1189" s="2">
        <v>224.0</v>
      </c>
      <c r="I1189" s="3">
        <f t="shared" si="3"/>
        <v>0.1959755031</v>
      </c>
      <c r="J1189" s="2">
        <v>214.0</v>
      </c>
      <c r="K1189" s="3">
        <f t="shared" si="4"/>
        <v>0.1872265967</v>
      </c>
      <c r="L1189" s="2">
        <v>135.0</v>
      </c>
      <c r="M1189" s="3">
        <f t="shared" si="5"/>
        <v>0.6026785714</v>
      </c>
      <c r="N1189" s="2">
        <v>1364700.0</v>
      </c>
      <c r="O1189" s="4">
        <f t="shared" si="6"/>
        <v>6092.410714</v>
      </c>
      <c r="P1189" s="2">
        <v>0.0</v>
      </c>
      <c r="Q1189" s="3">
        <f t="shared" si="7"/>
        <v>0</v>
      </c>
      <c r="R1189" s="2">
        <v>103.0</v>
      </c>
      <c r="S1189" s="5">
        <f t="shared" si="8"/>
        <v>1</v>
      </c>
    </row>
    <row r="1190">
      <c r="A1190" s="2" t="s">
        <v>1202</v>
      </c>
      <c r="B1190" s="2">
        <v>120.0</v>
      </c>
      <c r="C1190" s="2">
        <v>1385.0</v>
      </c>
      <c r="D1190" s="2">
        <v>430.0</v>
      </c>
      <c r="E1190" s="3">
        <f t="shared" si="1"/>
        <v>0.3399209486</v>
      </c>
      <c r="F1190" s="2">
        <v>187.0</v>
      </c>
      <c r="G1190" s="3">
        <f t="shared" si="2"/>
        <v>0.147826087</v>
      </c>
      <c r="H1190" s="2">
        <v>261.0</v>
      </c>
      <c r="I1190" s="3">
        <f t="shared" si="3"/>
        <v>0.2063241107</v>
      </c>
      <c r="J1190" s="2">
        <v>284.0</v>
      </c>
      <c r="K1190" s="3">
        <f t="shared" si="4"/>
        <v>0.2245059289</v>
      </c>
      <c r="L1190" s="2">
        <v>158.0</v>
      </c>
      <c r="M1190" s="3">
        <f t="shared" si="5"/>
        <v>0.6053639847</v>
      </c>
      <c r="N1190" s="2">
        <v>1479900.0</v>
      </c>
      <c r="O1190" s="4">
        <f t="shared" si="6"/>
        <v>5670.114943</v>
      </c>
      <c r="P1190" s="2">
        <v>0.0</v>
      </c>
      <c r="Q1190" s="3">
        <f t="shared" si="7"/>
        <v>0</v>
      </c>
      <c r="R1190" s="2">
        <v>120.0</v>
      </c>
      <c r="S1190" s="5">
        <f t="shared" si="8"/>
        <v>1</v>
      </c>
    </row>
    <row r="1191">
      <c r="A1191" s="2" t="s">
        <v>1203</v>
      </c>
      <c r="B1191" s="2">
        <v>31.0</v>
      </c>
      <c r="C1191" s="2">
        <v>376.0</v>
      </c>
      <c r="D1191" s="2">
        <v>107.0</v>
      </c>
      <c r="E1191" s="3">
        <f t="shared" si="1"/>
        <v>0.3101449275</v>
      </c>
      <c r="F1191" s="2">
        <v>51.0</v>
      </c>
      <c r="G1191" s="3">
        <f t="shared" si="2"/>
        <v>0.147826087</v>
      </c>
      <c r="H1191" s="2">
        <v>57.0</v>
      </c>
      <c r="I1191" s="3">
        <f t="shared" si="3"/>
        <v>0.1652173913</v>
      </c>
      <c r="J1191" s="2">
        <v>59.0</v>
      </c>
      <c r="K1191" s="3">
        <f t="shared" si="4"/>
        <v>0.1710144928</v>
      </c>
      <c r="L1191" s="2">
        <v>38.0</v>
      </c>
      <c r="M1191" s="3">
        <f t="shared" si="5"/>
        <v>0.6666666667</v>
      </c>
      <c r="N1191" s="2">
        <v>281800.0</v>
      </c>
      <c r="O1191" s="4">
        <f t="shared" si="6"/>
        <v>4943.859649</v>
      </c>
      <c r="P1191" s="2">
        <v>0.0</v>
      </c>
      <c r="Q1191" s="3">
        <f t="shared" si="7"/>
        <v>0</v>
      </c>
      <c r="R1191" s="2">
        <v>31.0</v>
      </c>
      <c r="S1191" s="5">
        <f t="shared" si="8"/>
        <v>1</v>
      </c>
    </row>
    <row r="1192">
      <c r="A1192" s="2" t="s">
        <v>1204</v>
      </c>
      <c r="B1192" s="2">
        <v>32.0</v>
      </c>
      <c r="C1192" s="2">
        <v>377.0</v>
      </c>
      <c r="D1192" s="2">
        <v>102.0</v>
      </c>
      <c r="E1192" s="3">
        <f t="shared" si="1"/>
        <v>0.2956521739</v>
      </c>
      <c r="F1192" s="2">
        <v>51.0</v>
      </c>
      <c r="G1192" s="3">
        <f t="shared" si="2"/>
        <v>0.147826087</v>
      </c>
      <c r="H1192" s="2">
        <v>76.0</v>
      </c>
      <c r="I1192" s="3">
        <f t="shared" si="3"/>
        <v>0.2202898551</v>
      </c>
      <c r="J1192" s="2">
        <v>53.0</v>
      </c>
      <c r="K1192" s="3">
        <f t="shared" si="4"/>
        <v>0.1536231884</v>
      </c>
      <c r="L1192" s="2">
        <v>37.0</v>
      </c>
      <c r="M1192" s="3">
        <f t="shared" si="5"/>
        <v>0.4868421053</v>
      </c>
      <c r="N1192" s="2">
        <v>410600.0</v>
      </c>
      <c r="O1192" s="4">
        <f t="shared" si="6"/>
        <v>5402.631579</v>
      </c>
      <c r="P1192" s="2">
        <v>0.0</v>
      </c>
      <c r="Q1192" s="3">
        <f t="shared" si="7"/>
        <v>0</v>
      </c>
      <c r="R1192" s="2">
        <v>32.0</v>
      </c>
      <c r="S1192" s="5">
        <f t="shared" si="8"/>
        <v>1</v>
      </c>
    </row>
    <row r="1193">
      <c r="A1193" s="2" t="s">
        <v>1205</v>
      </c>
      <c r="B1193" s="2">
        <v>604.0</v>
      </c>
      <c r="C1193" s="2">
        <v>7066.0</v>
      </c>
      <c r="D1193" s="2">
        <v>2093.0</v>
      </c>
      <c r="E1193" s="3">
        <f t="shared" si="1"/>
        <v>0.3238935314</v>
      </c>
      <c r="F1193" s="2">
        <v>955.0</v>
      </c>
      <c r="G1193" s="3">
        <f t="shared" si="2"/>
        <v>0.1477870628</v>
      </c>
      <c r="H1193" s="2">
        <v>1335.0</v>
      </c>
      <c r="I1193" s="3">
        <f t="shared" si="3"/>
        <v>0.2065923863</v>
      </c>
      <c r="J1193" s="2">
        <v>964.0</v>
      </c>
      <c r="K1193" s="3">
        <f t="shared" si="4"/>
        <v>0.1491798205</v>
      </c>
      <c r="L1193" s="2">
        <v>809.0</v>
      </c>
      <c r="M1193" s="3">
        <f t="shared" si="5"/>
        <v>0.6059925094</v>
      </c>
      <c r="N1193" s="2">
        <v>7944500.0</v>
      </c>
      <c r="O1193" s="4">
        <f t="shared" si="6"/>
        <v>5950.93633</v>
      </c>
      <c r="P1193" s="2">
        <v>2.0</v>
      </c>
      <c r="Q1193" s="3">
        <f t="shared" si="7"/>
        <v>0.003311258278</v>
      </c>
      <c r="R1193" s="2">
        <v>604.0</v>
      </c>
      <c r="S1193" s="5">
        <f t="shared" si="8"/>
        <v>1</v>
      </c>
    </row>
    <row r="1194">
      <c r="A1194" s="2" t="s">
        <v>1206</v>
      </c>
      <c r="B1194" s="2">
        <v>102.0</v>
      </c>
      <c r="C1194" s="2">
        <v>1151.0</v>
      </c>
      <c r="D1194" s="2">
        <v>245.0</v>
      </c>
      <c r="E1194" s="3">
        <f t="shared" si="1"/>
        <v>0.2335557674</v>
      </c>
      <c r="F1194" s="2">
        <v>155.0</v>
      </c>
      <c r="G1194" s="3">
        <f t="shared" si="2"/>
        <v>0.1477597712</v>
      </c>
      <c r="H1194" s="2">
        <v>200.0</v>
      </c>
      <c r="I1194" s="3">
        <f t="shared" si="3"/>
        <v>0.1906577693</v>
      </c>
      <c r="J1194" s="2">
        <v>185.0</v>
      </c>
      <c r="K1194" s="3">
        <f t="shared" si="4"/>
        <v>0.1763584366</v>
      </c>
      <c r="L1194" s="2">
        <v>128.0</v>
      </c>
      <c r="M1194" s="3">
        <f t="shared" si="5"/>
        <v>0.64</v>
      </c>
      <c r="N1194" s="2">
        <v>1277300.0</v>
      </c>
      <c r="O1194" s="4">
        <f t="shared" si="6"/>
        <v>6386.5</v>
      </c>
      <c r="P1194" s="2">
        <v>0.0</v>
      </c>
      <c r="Q1194" s="3">
        <f t="shared" si="7"/>
        <v>0</v>
      </c>
      <c r="R1194" s="2">
        <v>102.0</v>
      </c>
      <c r="S1194" s="5">
        <f t="shared" si="8"/>
        <v>1</v>
      </c>
    </row>
    <row r="1195">
      <c r="A1195" s="2" t="s">
        <v>1207</v>
      </c>
      <c r="B1195" s="2">
        <v>89.0</v>
      </c>
      <c r="C1195" s="2">
        <v>1057.0</v>
      </c>
      <c r="D1195" s="2">
        <v>316.0</v>
      </c>
      <c r="E1195" s="3">
        <f t="shared" si="1"/>
        <v>0.326446281</v>
      </c>
      <c r="F1195" s="2">
        <v>143.0</v>
      </c>
      <c r="G1195" s="3">
        <f t="shared" si="2"/>
        <v>0.1477272727</v>
      </c>
      <c r="H1195" s="2">
        <v>205.0</v>
      </c>
      <c r="I1195" s="3">
        <f t="shared" si="3"/>
        <v>0.2117768595</v>
      </c>
      <c r="J1195" s="2">
        <v>214.0</v>
      </c>
      <c r="K1195" s="3">
        <f t="shared" si="4"/>
        <v>0.2210743802</v>
      </c>
      <c r="L1195" s="2">
        <v>122.0</v>
      </c>
      <c r="M1195" s="3">
        <f t="shared" si="5"/>
        <v>0.5951219512</v>
      </c>
      <c r="N1195" s="2">
        <v>1144900.0</v>
      </c>
      <c r="O1195" s="4">
        <f t="shared" si="6"/>
        <v>5584.878049</v>
      </c>
      <c r="P1195" s="2">
        <v>0.0</v>
      </c>
      <c r="Q1195" s="3">
        <f t="shared" si="7"/>
        <v>0</v>
      </c>
      <c r="R1195" s="2">
        <v>0.0</v>
      </c>
      <c r="S1195" s="5">
        <f t="shared" si="8"/>
        <v>0</v>
      </c>
    </row>
    <row r="1196">
      <c r="A1196" s="2" t="s">
        <v>1208</v>
      </c>
      <c r="B1196" s="2">
        <v>797.0</v>
      </c>
      <c r="C1196" s="2">
        <v>9171.0</v>
      </c>
      <c r="D1196" s="2">
        <v>2888.0</v>
      </c>
      <c r="E1196" s="3">
        <f t="shared" si="1"/>
        <v>0.3448770002</v>
      </c>
      <c r="F1196" s="2">
        <v>1237.0</v>
      </c>
      <c r="G1196" s="3">
        <f t="shared" si="2"/>
        <v>0.1477191306</v>
      </c>
      <c r="H1196" s="2">
        <v>1866.0</v>
      </c>
      <c r="I1196" s="3">
        <f t="shared" si="3"/>
        <v>0.222832577</v>
      </c>
      <c r="J1196" s="2">
        <v>1531.0</v>
      </c>
      <c r="K1196" s="3">
        <f t="shared" si="4"/>
        <v>0.1828278003</v>
      </c>
      <c r="L1196" s="2">
        <v>1136.0</v>
      </c>
      <c r="M1196" s="3">
        <f t="shared" si="5"/>
        <v>0.6087888532</v>
      </c>
      <c r="N1196" s="2">
        <v>1.05151E7</v>
      </c>
      <c r="O1196" s="4">
        <f t="shared" si="6"/>
        <v>5635.101822</v>
      </c>
      <c r="P1196" s="2">
        <v>0.0</v>
      </c>
      <c r="Q1196" s="3">
        <f t="shared" si="7"/>
        <v>0</v>
      </c>
      <c r="R1196" s="2">
        <v>453.0</v>
      </c>
      <c r="S1196" s="5">
        <f t="shared" si="8"/>
        <v>0.5683814304</v>
      </c>
    </row>
    <row r="1197">
      <c r="A1197" s="2" t="s">
        <v>1209</v>
      </c>
      <c r="B1197" s="2">
        <v>1034.0</v>
      </c>
      <c r="C1197" s="2">
        <v>11956.0</v>
      </c>
      <c r="D1197" s="2">
        <v>4438.0</v>
      </c>
      <c r="E1197" s="3">
        <f t="shared" si="1"/>
        <v>0.4063358359</v>
      </c>
      <c r="F1197" s="2">
        <v>1613.0</v>
      </c>
      <c r="G1197" s="3">
        <f t="shared" si="2"/>
        <v>0.1476835744</v>
      </c>
      <c r="H1197" s="2">
        <v>2460.0</v>
      </c>
      <c r="I1197" s="3">
        <f t="shared" si="3"/>
        <v>0.2252334737</v>
      </c>
      <c r="J1197" s="2">
        <v>1677.0</v>
      </c>
      <c r="K1197" s="3">
        <f t="shared" si="4"/>
        <v>0.1535433071</v>
      </c>
      <c r="L1197" s="2">
        <v>1461.0</v>
      </c>
      <c r="M1197" s="3">
        <f t="shared" si="5"/>
        <v>0.593902439</v>
      </c>
      <c r="N1197" s="2">
        <v>1.38067E7</v>
      </c>
      <c r="O1197" s="4">
        <f t="shared" si="6"/>
        <v>5612.479675</v>
      </c>
      <c r="P1197" s="2">
        <v>1.0</v>
      </c>
      <c r="Q1197" s="3">
        <f t="shared" si="7"/>
        <v>0.0009671179884</v>
      </c>
      <c r="R1197" s="2">
        <v>1034.0</v>
      </c>
      <c r="S1197" s="5">
        <f t="shared" si="8"/>
        <v>1</v>
      </c>
    </row>
    <row r="1198">
      <c r="A1198" s="2" t="s">
        <v>1210</v>
      </c>
      <c r="B1198" s="2">
        <v>99.0</v>
      </c>
      <c r="C1198" s="2">
        <v>1135.0</v>
      </c>
      <c r="D1198" s="2">
        <v>382.0</v>
      </c>
      <c r="E1198" s="3">
        <f t="shared" si="1"/>
        <v>0.3687258687</v>
      </c>
      <c r="F1198" s="2">
        <v>153.0</v>
      </c>
      <c r="G1198" s="3">
        <f t="shared" si="2"/>
        <v>0.1476833977</v>
      </c>
      <c r="H1198" s="2">
        <v>195.0</v>
      </c>
      <c r="I1198" s="3">
        <f t="shared" si="3"/>
        <v>0.1882239382</v>
      </c>
      <c r="J1198" s="2">
        <v>152.0</v>
      </c>
      <c r="K1198" s="3">
        <f t="shared" si="4"/>
        <v>0.1467181467</v>
      </c>
      <c r="L1198" s="2">
        <v>126.0</v>
      </c>
      <c r="M1198" s="3">
        <f t="shared" si="5"/>
        <v>0.6461538462</v>
      </c>
      <c r="N1198" s="2">
        <v>1032700.0</v>
      </c>
      <c r="O1198" s="4">
        <f t="shared" si="6"/>
        <v>5295.897436</v>
      </c>
      <c r="P1198" s="2">
        <v>0.0</v>
      </c>
      <c r="Q1198" s="3">
        <f t="shared" si="7"/>
        <v>0</v>
      </c>
      <c r="R1198" s="2">
        <v>99.0</v>
      </c>
      <c r="S1198" s="5">
        <f t="shared" si="8"/>
        <v>1</v>
      </c>
    </row>
    <row r="1199">
      <c r="A1199" s="2" t="s">
        <v>1211</v>
      </c>
      <c r="B1199" s="2">
        <v>346.0</v>
      </c>
      <c r="C1199" s="2">
        <v>4024.0</v>
      </c>
      <c r="D1199" s="2">
        <v>1467.0</v>
      </c>
      <c r="E1199" s="3">
        <f t="shared" si="1"/>
        <v>0.398858075</v>
      </c>
      <c r="F1199" s="2">
        <v>543.0</v>
      </c>
      <c r="G1199" s="3">
        <f t="shared" si="2"/>
        <v>0.147634584</v>
      </c>
      <c r="H1199" s="2">
        <v>862.0</v>
      </c>
      <c r="I1199" s="3">
        <f t="shared" si="3"/>
        <v>0.2343665035</v>
      </c>
      <c r="J1199" s="2">
        <v>600.0</v>
      </c>
      <c r="K1199" s="3">
        <f t="shared" si="4"/>
        <v>0.163132137</v>
      </c>
      <c r="L1199" s="2">
        <v>499.0</v>
      </c>
      <c r="M1199" s="3">
        <f t="shared" si="5"/>
        <v>0.5788863109</v>
      </c>
      <c r="N1199" s="2">
        <v>4604700.0</v>
      </c>
      <c r="O1199" s="4">
        <f t="shared" si="6"/>
        <v>5341.87935</v>
      </c>
      <c r="P1199" s="2">
        <v>0.0</v>
      </c>
      <c r="Q1199" s="3">
        <f t="shared" si="7"/>
        <v>0</v>
      </c>
      <c r="R1199" s="2">
        <v>346.0</v>
      </c>
      <c r="S1199" s="5">
        <f t="shared" si="8"/>
        <v>1</v>
      </c>
    </row>
    <row r="1200">
      <c r="A1200" s="2" t="s">
        <v>1212</v>
      </c>
      <c r="B1200" s="2">
        <v>931.0</v>
      </c>
      <c r="C1200" s="2">
        <v>10949.0</v>
      </c>
      <c r="D1200" s="2">
        <v>4118.0</v>
      </c>
      <c r="E1200" s="3">
        <f t="shared" si="1"/>
        <v>0.4110600918</v>
      </c>
      <c r="F1200" s="2">
        <v>1479.0</v>
      </c>
      <c r="G1200" s="3">
        <f t="shared" si="2"/>
        <v>0.1476342583</v>
      </c>
      <c r="H1200" s="2">
        <v>2314.0</v>
      </c>
      <c r="I1200" s="3">
        <f t="shared" si="3"/>
        <v>0.2309842284</v>
      </c>
      <c r="J1200" s="2">
        <v>1813.0</v>
      </c>
      <c r="K1200" s="3">
        <f t="shared" si="4"/>
        <v>0.1809742464</v>
      </c>
      <c r="L1200" s="2">
        <v>1390.0</v>
      </c>
      <c r="M1200" s="3">
        <f t="shared" si="5"/>
        <v>0.6006914434</v>
      </c>
      <c r="N1200" s="2">
        <v>1.24078E7</v>
      </c>
      <c r="O1200" s="4">
        <f t="shared" si="6"/>
        <v>5362.057044</v>
      </c>
      <c r="P1200" s="2">
        <v>3.0</v>
      </c>
      <c r="Q1200" s="3">
        <f t="shared" si="7"/>
        <v>0.003222341568</v>
      </c>
      <c r="R1200" s="2">
        <v>62.0</v>
      </c>
      <c r="S1200" s="5">
        <f t="shared" si="8"/>
        <v>0.06659505908</v>
      </c>
    </row>
    <row r="1201">
      <c r="A1201" s="2" t="s">
        <v>1213</v>
      </c>
      <c r="B1201" s="2">
        <v>19.0</v>
      </c>
      <c r="C1201" s="2">
        <v>229.0</v>
      </c>
      <c r="D1201" s="2">
        <v>64.0</v>
      </c>
      <c r="E1201" s="3">
        <f t="shared" si="1"/>
        <v>0.3047619048</v>
      </c>
      <c r="F1201" s="2">
        <v>31.0</v>
      </c>
      <c r="G1201" s="3">
        <f t="shared" si="2"/>
        <v>0.1476190476</v>
      </c>
      <c r="H1201" s="2">
        <v>42.0</v>
      </c>
      <c r="I1201" s="3">
        <f t="shared" si="3"/>
        <v>0.2</v>
      </c>
      <c r="J1201" s="2">
        <v>33.0</v>
      </c>
      <c r="K1201" s="3">
        <f t="shared" si="4"/>
        <v>0.1571428571</v>
      </c>
      <c r="L1201" s="2">
        <v>22.0</v>
      </c>
      <c r="M1201" s="3">
        <f t="shared" si="5"/>
        <v>0.5238095238</v>
      </c>
      <c r="N1201" s="2">
        <v>203100.0</v>
      </c>
      <c r="O1201" s="4">
        <f t="shared" si="6"/>
        <v>4835.714286</v>
      </c>
      <c r="P1201" s="2">
        <v>0.0</v>
      </c>
      <c r="Q1201" s="3">
        <f t="shared" si="7"/>
        <v>0</v>
      </c>
      <c r="R1201" s="2">
        <v>19.0</v>
      </c>
      <c r="S1201" s="5">
        <f t="shared" si="8"/>
        <v>1</v>
      </c>
    </row>
    <row r="1202">
      <c r="A1202" s="2" t="s">
        <v>1214</v>
      </c>
      <c r="B1202" s="2">
        <v>206.0</v>
      </c>
      <c r="C1202" s="2">
        <v>2462.0</v>
      </c>
      <c r="D1202" s="2">
        <v>735.0</v>
      </c>
      <c r="E1202" s="3">
        <f t="shared" si="1"/>
        <v>0.3257978723</v>
      </c>
      <c r="F1202" s="2">
        <v>333.0</v>
      </c>
      <c r="G1202" s="3">
        <f t="shared" si="2"/>
        <v>0.147606383</v>
      </c>
      <c r="H1202" s="2">
        <v>472.0</v>
      </c>
      <c r="I1202" s="3">
        <f t="shared" si="3"/>
        <v>0.2092198582</v>
      </c>
      <c r="J1202" s="2">
        <v>408.0</v>
      </c>
      <c r="K1202" s="3">
        <f t="shared" si="4"/>
        <v>0.1808510638</v>
      </c>
      <c r="L1202" s="2">
        <v>273.0</v>
      </c>
      <c r="M1202" s="3">
        <f t="shared" si="5"/>
        <v>0.5783898305</v>
      </c>
      <c r="N1202" s="2">
        <v>2957600.0</v>
      </c>
      <c r="O1202" s="4">
        <f t="shared" si="6"/>
        <v>6266.101695</v>
      </c>
      <c r="P1202" s="2">
        <v>0.0</v>
      </c>
      <c r="Q1202" s="3">
        <f t="shared" si="7"/>
        <v>0</v>
      </c>
      <c r="R1202" s="2">
        <v>206.0</v>
      </c>
      <c r="S1202" s="5">
        <f t="shared" si="8"/>
        <v>1</v>
      </c>
    </row>
    <row r="1203">
      <c r="A1203" s="2" t="s">
        <v>1215</v>
      </c>
      <c r="B1203" s="2">
        <v>231.0</v>
      </c>
      <c r="C1203" s="2">
        <v>2677.0</v>
      </c>
      <c r="D1203" s="2">
        <v>880.0</v>
      </c>
      <c r="E1203" s="3">
        <f t="shared" si="1"/>
        <v>0.3597710548</v>
      </c>
      <c r="F1203" s="2">
        <v>361.0</v>
      </c>
      <c r="G1203" s="3">
        <f t="shared" si="2"/>
        <v>0.1475878986</v>
      </c>
      <c r="H1203" s="2">
        <v>536.0</v>
      </c>
      <c r="I1203" s="3">
        <f t="shared" si="3"/>
        <v>0.2191332788</v>
      </c>
      <c r="J1203" s="2">
        <v>513.0</v>
      </c>
      <c r="K1203" s="3">
        <f t="shared" si="4"/>
        <v>0.2097301717</v>
      </c>
      <c r="L1203" s="2">
        <v>326.0</v>
      </c>
      <c r="M1203" s="3">
        <f t="shared" si="5"/>
        <v>0.6082089552</v>
      </c>
      <c r="N1203" s="2">
        <v>2900300.0</v>
      </c>
      <c r="O1203" s="4">
        <f t="shared" si="6"/>
        <v>5411.007463</v>
      </c>
      <c r="P1203" s="2">
        <v>1.0</v>
      </c>
      <c r="Q1203" s="3">
        <f t="shared" si="7"/>
        <v>0.004329004329</v>
      </c>
      <c r="R1203" s="2">
        <v>231.0</v>
      </c>
      <c r="S1203" s="5">
        <f t="shared" si="8"/>
        <v>1</v>
      </c>
    </row>
    <row r="1204">
      <c r="A1204" s="2" t="s">
        <v>1216</v>
      </c>
      <c r="B1204" s="2">
        <v>76.0</v>
      </c>
      <c r="C1204" s="2">
        <v>896.0</v>
      </c>
      <c r="D1204" s="2">
        <v>296.0</v>
      </c>
      <c r="E1204" s="3">
        <f t="shared" si="1"/>
        <v>0.3609756098</v>
      </c>
      <c r="F1204" s="2">
        <v>121.0</v>
      </c>
      <c r="G1204" s="3">
        <f t="shared" si="2"/>
        <v>0.1475609756</v>
      </c>
      <c r="H1204" s="2">
        <v>161.0</v>
      </c>
      <c r="I1204" s="3">
        <f t="shared" si="3"/>
        <v>0.1963414634</v>
      </c>
      <c r="J1204" s="2">
        <v>139.0</v>
      </c>
      <c r="K1204" s="3">
        <f t="shared" si="4"/>
        <v>0.1695121951</v>
      </c>
      <c r="L1204" s="2">
        <v>85.0</v>
      </c>
      <c r="M1204" s="3">
        <f t="shared" si="5"/>
        <v>0.5279503106</v>
      </c>
      <c r="N1204" s="2">
        <v>974200.0</v>
      </c>
      <c r="O1204" s="4">
        <f t="shared" si="6"/>
        <v>6050.931677</v>
      </c>
      <c r="P1204" s="2">
        <v>0.0</v>
      </c>
      <c r="Q1204" s="3">
        <f t="shared" si="7"/>
        <v>0</v>
      </c>
      <c r="R1204" s="2">
        <v>76.0</v>
      </c>
      <c r="S1204" s="5">
        <f t="shared" si="8"/>
        <v>1</v>
      </c>
    </row>
    <row r="1205">
      <c r="A1205" s="2" t="s">
        <v>1217</v>
      </c>
      <c r="B1205" s="2">
        <v>145.0</v>
      </c>
      <c r="C1205" s="2">
        <v>1785.0</v>
      </c>
      <c r="D1205" s="2">
        <v>576.0</v>
      </c>
      <c r="E1205" s="3">
        <f t="shared" si="1"/>
        <v>0.3512195122</v>
      </c>
      <c r="F1205" s="2">
        <v>242.0</v>
      </c>
      <c r="G1205" s="3">
        <f t="shared" si="2"/>
        <v>0.1475609756</v>
      </c>
      <c r="H1205" s="2">
        <v>344.0</v>
      </c>
      <c r="I1205" s="3">
        <f t="shared" si="3"/>
        <v>0.2097560976</v>
      </c>
      <c r="J1205" s="2">
        <v>274.0</v>
      </c>
      <c r="K1205" s="3">
        <f t="shared" si="4"/>
        <v>0.1670731707</v>
      </c>
      <c r="L1205" s="2">
        <v>208.0</v>
      </c>
      <c r="M1205" s="3">
        <f t="shared" si="5"/>
        <v>0.6046511628</v>
      </c>
      <c r="N1205" s="2">
        <v>1993800.0</v>
      </c>
      <c r="O1205" s="4">
        <f t="shared" si="6"/>
        <v>5795.930233</v>
      </c>
      <c r="P1205" s="2">
        <v>0.0</v>
      </c>
      <c r="Q1205" s="3">
        <f t="shared" si="7"/>
        <v>0</v>
      </c>
      <c r="R1205" s="2">
        <v>0.0</v>
      </c>
      <c r="S1205" s="5">
        <f t="shared" si="8"/>
        <v>0</v>
      </c>
    </row>
    <row r="1206">
      <c r="A1206" s="2" t="s">
        <v>1218</v>
      </c>
      <c r="B1206" s="2">
        <v>325.0</v>
      </c>
      <c r="C1206" s="2">
        <v>3822.0</v>
      </c>
      <c r="D1206" s="2">
        <v>1155.0</v>
      </c>
      <c r="E1206" s="3">
        <f t="shared" si="1"/>
        <v>0.3302830998</v>
      </c>
      <c r="F1206" s="2">
        <v>516.0</v>
      </c>
      <c r="G1206" s="3">
        <f t="shared" si="2"/>
        <v>0.1475550472</v>
      </c>
      <c r="H1206" s="2">
        <v>740.0</v>
      </c>
      <c r="I1206" s="3">
        <f t="shared" si="3"/>
        <v>0.2116099514</v>
      </c>
      <c r="J1206" s="2">
        <v>542.0</v>
      </c>
      <c r="K1206" s="3">
        <f t="shared" si="4"/>
        <v>0.1549899914</v>
      </c>
      <c r="L1206" s="2">
        <v>448.0</v>
      </c>
      <c r="M1206" s="3">
        <f t="shared" si="5"/>
        <v>0.6054054054</v>
      </c>
      <c r="N1206" s="2">
        <v>4160800.0</v>
      </c>
      <c r="O1206" s="4">
        <f t="shared" si="6"/>
        <v>5622.702703</v>
      </c>
      <c r="P1206" s="2">
        <v>3.0</v>
      </c>
      <c r="Q1206" s="3">
        <f t="shared" si="7"/>
        <v>0.009230769231</v>
      </c>
      <c r="R1206" s="2">
        <v>325.0</v>
      </c>
      <c r="S1206" s="5">
        <f t="shared" si="8"/>
        <v>1</v>
      </c>
    </row>
    <row r="1207">
      <c r="A1207" s="2" t="s">
        <v>1219</v>
      </c>
      <c r="B1207" s="2">
        <v>8074.0</v>
      </c>
      <c r="C1207" s="2">
        <v>94390.0</v>
      </c>
      <c r="D1207" s="2">
        <v>33598.0</v>
      </c>
      <c r="E1207" s="3">
        <f t="shared" si="1"/>
        <v>0.3892441726</v>
      </c>
      <c r="F1207" s="2">
        <v>12736.0</v>
      </c>
      <c r="G1207" s="3">
        <f t="shared" si="2"/>
        <v>0.1475508596</v>
      </c>
      <c r="H1207" s="2">
        <v>19517.0</v>
      </c>
      <c r="I1207" s="3">
        <f t="shared" si="3"/>
        <v>0.2261110339</v>
      </c>
      <c r="J1207" s="2">
        <v>16790.0</v>
      </c>
      <c r="K1207" s="3">
        <f t="shared" si="4"/>
        <v>0.1945178182</v>
      </c>
      <c r="L1207" s="2">
        <v>11794.0</v>
      </c>
      <c r="M1207" s="3">
        <f t="shared" si="5"/>
        <v>0.6042936927</v>
      </c>
      <c r="N1207" s="2">
        <v>1.126013E8</v>
      </c>
      <c r="O1207" s="4">
        <f t="shared" si="6"/>
        <v>5769.395911</v>
      </c>
      <c r="P1207" s="2">
        <v>24.0</v>
      </c>
      <c r="Q1207" s="3">
        <f t="shared" si="7"/>
        <v>0.002972504335</v>
      </c>
      <c r="R1207" s="2">
        <v>8074.0</v>
      </c>
      <c r="S1207" s="5">
        <f t="shared" si="8"/>
        <v>1</v>
      </c>
    </row>
    <row r="1208">
      <c r="A1208" s="2" t="s">
        <v>1220</v>
      </c>
      <c r="B1208" s="2">
        <v>38.0</v>
      </c>
      <c r="C1208" s="2">
        <v>465.0</v>
      </c>
      <c r="D1208" s="2">
        <v>168.0</v>
      </c>
      <c r="E1208" s="3">
        <f t="shared" si="1"/>
        <v>0.393442623</v>
      </c>
      <c r="F1208" s="2">
        <v>63.0</v>
      </c>
      <c r="G1208" s="3">
        <f t="shared" si="2"/>
        <v>0.1475409836</v>
      </c>
      <c r="H1208" s="2">
        <v>78.0</v>
      </c>
      <c r="I1208" s="3">
        <f t="shared" si="3"/>
        <v>0.1826697892</v>
      </c>
      <c r="J1208" s="2">
        <v>70.0</v>
      </c>
      <c r="K1208" s="3">
        <f t="shared" si="4"/>
        <v>0.1639344262</v>
      </c>
      <c r="L1208" s="2">
        <v>47.0</v>
      </c>
      <c r="M1208" s="3">
        <f t="shared" si="5"/>
        <v>0.6025641026</v>
      </c>
      <c r="N1208" s="2">
        <v>429000.0</v>
      </c>
      <c r="O1208" s="4">
        <f t="shared" si="6"/>
        <v>5500</v>
      </c>
      <c r="P1208" s="2">
        <v>1.0</v>
      </c>
      <c r="Q1208" s="3">
        <f t="shared" si="7"/>
        <v>0.02631578947</v>
      </c>
      <c r="R1208" s="2">
        <v>38.0</v>
      </c>
      <c r="S1208" s="5">
        <f t="shared" si="8"/>
        <v>1</v>
      </c>
    </row>
    <row r="1209">
      <c r="A1209" s="2" t="s">
        <v>1221</v>
      </c>
      <c r="B1209" s="2">
        <v>44.0</v>
      </c>
      <c r="C1209" s="2">
        <v>505.0</v>
      </c>
      <c r="D1209" s="2">
        <v>146.0</v>
      </c>
      <c r="E1209" s="3">
        <f t="shared" si="1"/>
        <v>0.31670282</v>
      </c>
      <c r="F1209" s="2">
        <v>68.0</v>
      </c>
      <c r="G1209" s="3">
        <f t="shared" si="2"/>
        <v>0.147505423</v>
      </c>
      <c r="H1209" s="2">
        <v>88.0</v>
      </c>
      <c r="I1209" s="3">
        <f t="shared" si="3"/>
        <v>0.1908893709</v>
      </c>
      <c r="J1209" s="2">
        <v>102.0</v>
      </c>
      <c r="K1209" s="3">
        <f t="shared" si="4"/>
        <v>0.2212581345</v>
      </c>
      <c r="L1209" s="2">
        <v>57.0</v>
      </c>
      <c r="M1209" s="3">
        <f t="shared" si="5"/>
        <v>0.6477272727</v>
      </c>
      <c r="N1209" s="2">
        <v>438600.0</v>
      </c>
      <c r="O1209" s="4">
        <f t="shared" si="6"/>
        <v>4984.090909</v>
      </c>
      <c r="P1209" s="2">
        <v>0.0</v>
      </c>
      <c r="Q1209" s="3">
        <f t="shared" si="7"/>
        <v>0</v>
      </c>
      <c r="R1209" s="2">
        <v>44.0</v>
      </c>
      <c r="S1209" s="5">
        <f t="shared" si="8"/>
        <v>1</v>
      </c>
    </row>
    <row r="1210">
      <c r="A1210" s="2" t="s">
        <v>1222</v>
      </c>
      <c r="B1210" s="2">
        <v>106.0</v>
      </c>
      <c r="C1210" s="2">
        <v>1218.0</v>
      </c>
      <c r="D1210" s="2">
        <v>404.0</v>
      </c>
      <c r="E1210" s="3">
        <f t="shared" si="1"/>
        <v>0.3633093525</v>
      </c>
      <c r="F1210" s="2">
        <v>164.0</v>
      </c>
      <c r="G1210" s="3">
        <f t="shared" si="2"/>
        <v>0.1474820144</v>
      </c>
      <c r="H1210" s="2">
        <v>226.0</v>
      </c>
      <c r="I1210" s="3">
        <f t="shared" si="3"/>
        <v>0.2032374101</v>
      </c>
      <c r="J1210" s="2">
        <v>214.0</v>
      </c>
      <c r="K1210" s="3">
        <f t="shared" si="4"/>
        <v>0.1924460432</v>
      </c>
      <c r="L1210" s="2">
        <v>127.0</v>
      </c>
      <c r="M1210" s="3">
        <f t="shared" si="5"/>
        <v>0.5619469027</v>
      </c>
      <c r="N1210" s="2">
        <v>1268000.0</v>
      </c>
      <c r="O1210" s="4">
        <f t="shared" si="6"/>
        <v>5610.619469</v>
      </c>
      <c r="P1210" s="2">
        <v>0.0</v>
      </c>
      <c r="Q1210" s="3">
        <f t="shared" si="7"/>
        <v>0</v>
      </c>
      <c r="R1210" s="2">
        <v>105.0</v>
      </c>
      <c r="S1210" s="5">
        <f t="shared" si="8"/>
        <v>0.9905660377</v>
      </c>
    </row>
    <row r="1211">
      <c r="A1211" s="2" t="s">
        <v>1223</v>
      </c>
      <c r="B1211" s="2">
        <v>201.0</v>
      </c>
      <c r="C1211" s="2">
        <v>2283.0</v>
      </c>
      <c r="D1211" s="2">
        <v>809.0</v>
      </c>
      <c r="E1211" s="3">
        <f t="shared" si="1"/>
        <v>0.388568684</v>
      </c>
      <c r="F1211" s="2">
        <v>307.0</v>
      </c>
      <c r="G1211" s="3">
        <f t="shared" si="2"/>
        <v>0.1474543708</v>
      </c>
      <c r="H1211" s="2">
        <v>445.0</v>
      </c>
      <c r="I1211" s="3">
        <f t="shared" si="3"/>
        <v>0.2137367915</v>
      </c>
      <c r="J1211" s="2">
        <v>348.0</v>
      </c>
      <c r="K1211" s="3">
        <f t="shared" si="4"/>
        <v>0.1671469741</v>
      </c>
      <c r="L1211" s="2">
        <v>268.0</v>
      </c>
      <c r="M1211" s="3">
        <f t="shared" si="5"/>
        <v>0.602247191</v>
      </c>
      <c r="N1211" s="2">
        <v>2566300.0</v>
      </c>
      <c r="O1211" s="4">
        <f t="shared" si="6"/>
        <v>5766.966292</v>
      </c>
      <c r="P1211" s="2">
        <v>0.0</v>
      </c>
      <c r="Q1211" s="3">
        <f t="shared" si="7"/>
        <v>0</v>
      </c>
      <c r="R1211" s="2">
        <v>201.0</v>
      </c>
      <c r="S1211" s="5">
        <f t="shared" si="8"/>
        <v>1</v>
      </c>
    </row>
    <row r="1212">
      <c r="A1212" s="2" t="s">
        <v>1224</v>
      </c>
      <c r="B1212" s="2">
        <v>168.0</v>
      </c>
      <c r="C1212" s="2">
        <v>1972.0</v>
      </c>
      <c r="D1212" s="2">
        <v>632.0</v>
      </c>
      <c r="E1212" s="3">
        <f t="shared" si="1"/>
        <v>0.3503325942</v>
      </c>
      <c r="F1212" s="2">
        <v>266.0</v>
      </c>
      <c r="G1212" s="3">
        <f t="shared" si="2"/>
        <v>0.1474501109</v>
      </c>
      <c r="H1212" s="2">
        <v>379.0</v>
      </c>
      <c r="I1212" s="3">
        <f t="shared" si="3"/>
        <v>0.2100886918</v>
      </c>
      <c r="J1212" s="2">
        <v>324.0</v>
      </c>
      <c r="K1212" s="3">
        <f t="shared" si="4"/>
        <v>0.1796008869</v>
      </c>
      <c r="L1212" s="2">
        <v>236.0</v>
      </c>
      <c r="M1212" s="3">
        <f t="shared" si="5"/>
        <v>0.6226912929</v>
      </c>
      <c r="N1212" s="2">
        <v>2119600.0</v>
      </c>
      <c r="O1212" s="4">
        <f t="shared" si="6"/>
        <v>5592.612137</v>
      </c>
      <c r="P1212" s="2">
        <v>0.0</v>
      </c>
      <c r="Q1212" s="3">
        <f t="shared" si="7"/>
        <v>0</v>
      </c>
      <c r="R1212" s="2">
        <v>0.0</v>
      </c>
      <c r="S1212" s="5">
        <f t="shared" si="8"/>
        <v>0</v>
      </c>
    </row>
    <row r="1213">
      <c r="A1213" s="2" t="s">
        <v>1225</v>
      </c>
      <c r="B1213" s="2">
        <v>51.0</v>
      </c>
      <c r="C1213" s="2">
        <v>580.0</v>
      </c>
      <c r="D1213" s="2">
        <v>254.0</v>
      </c>
      <c r="E1213" s="3">
        <f t="shared" si="1"/>
        <v>0.4801512287</v>
      </c>
      <c r="F1213" s="2">
        <v>78.0</v>
      </c>
      <c r="G1213" s="3">
        <f t="shared" si="2"/>
        <v>0.1474480151</v>
      </c>
      <c r="H1213" s="2">
        <v>112.0</v>
      </c>
      <c r="I1213" s="3">
        <f t="shared" si="3"/>
        <v>0.2117202268</v>
      </c>
      <c r="J1213" s="2">
        <v>76.0</v>
      </c>
      <c r="K1213" s="3">
        <f t="shared" si="4"/>
        <v>0.1436672968</v>
      </c>
      <c r="L1213" s="2">
        <v>71.0</v>
      </c>
      <c r="M1213" s="3">
        <f t="shared" si="5"/>
        <v>0.6339285714</v>
      </c>
      <c r="N1213" s="2">
        <v>568800.0</v>
      </c>
      <c r="O1213" s="4">
        <f t="shared" si="6"/>
        <v>5078.571429</v>
      </c>
      <c r="P1213" s="2">
        <v>0.0</v>
      </c>
      <c r="Q1213" s="3">
        <f t="shared" si="7"/>
        <v>0</v>
      </c>
      <c r="R1213" s="2">
        <v>51.0</v>
      </c>
      <c r="S1213" s="5">
        <f t="shared" si="8"/>
        <v>1</v>
      </c>
    </row>
    <row r="1214">
      <c r="A1214" s="2" t="s">
        <v>1226</v>
      </c>
      <c r="B1214" s="2">
        <v>82.0</v>
      </c>
      <c r="C1214" s="2">
        <v>957.0</v>
      </c>
      <c r="D1214" s="2">
        <v>333.0</v>
      </c>
      <c r="E1214" s="3">
        <f t="shared" si="1"/>
        <v>0.3805714286</v>
      </c>
      <c r="F1214" s="2">
        <v>129.0</v>
      </c>
      <c r="G1214" s="3">
        <f t="shared" si="2"/>
        <v>0.1474285714</v>
      </c>
      <c r="H1214" s="2">
        <v>183.0</v>
      </c>
      <c r="I1214" s="3">
        <f t="shared" si="3"/>
        <v>0.2091428571</v>
      </c>
      <c r="J1214" s="2">
        <v>116.0</v>
      </c>
      <c r="K1214" s="3">
        <f t="shared" si="4"/>
        <v>0.1325714286</v>
      </c>
      <c r="L1214" s="2">
        <v>113.0</v>
      </c>
      <c r="M1214" s="3">
        <f t="shared" si="5"/>
        <v>0.6174863388</v>
      </c>
      <c r="N1214" s="2">
        <v>976100.0</v>
      </c>
      <c r="O1214" s="4">
        <f t="shared" si="6"/>
        <v>5333.879781</v>
      </c>
      <c r="P1214" s="2">
        <v>0.0</v>
      </c>
      <c r="Q1214" s="3">
        <f t="shared" si="7"/>
        <v>0</v>
      </c>
      <c r="R1214" s="2">
        <v>4.0</v>
      </c>
      <c r="S1214" s="5">
        <f t="shared" si="8"/>
        <v>0.0487804878</v>
      </c>
    </row>
    <row r="1215">
      <c r="A1215" s="2" t="s">
        <v>1227</v>
      </c>
      <c r="B1215" s="2">
        <v>86.0</v>
      </c>
      <c r="C1215" s="2">
        <v>995.0</v>
      </c>
      <c r="D1215" s="2">
        <v>315.0</v>
      </c>
      <c r="E1215" s="3">
        <f t="shared" si="1"/>
        <v>0.3465346535</v>
      </c>
      <c r="F1215" s="2">
        <v>134.0</v>
      </c>
      <c r="G1215" s="3">
        <f t="shared" si="2"/>
        <v>0.1474147415</v>
      </c>
      <c r="H1215" s="2">
        <v>194.0</v>
      </c>
      <c r="I1215" s="3">
        <f t="shared" si="3"/>
        <v>0.2134213421</v>
      </c>
      <c r="J1215" s="2">
        <v>190.0</v>
      </c>
      <c r="K1215" s="3">
        <f t="shared" si="4"/>
        <v>0.2090209021</v>
      </c>
      <c r="L1215" s="2">
        <v>112.0</v>
      </c>
      <c r="M1215" s="3">
        <f t="shared" si="5"/>
        <v>0.5773195876</v>
      </c>
      <c r="N1215" s="2">
        <v>998300.0</v>
      </c>
      <c r="O1215" s="4">
        <f t="shared" si="6"/>
        <v>5145.876289</v>
      </c>
      <c r="P1215" s="2">
        <v>0.0</v>
      </c>
      <c r="Q1215" s="3">
        <f t="shared" si="7"/>
        <v>0</v>
      </c>
      <c r="R1215" s="2">
        <v>0.0</v>
      </c>
      <c r="S1215" s="5">
        <f t="shared" si="8"/>
        <v>0</v>
      </c>
    </row>
    <row r="1216">
      <c r="A1216" s="2" t="s">
        <v>1228</v>
      </c>
      <c r="B1216" s="2">
        <v>22.0</v>
      </c>
      <c r="C1216" s="2">
        <v>273.0</v>
      </c>
      <c r="D1216" s="2">
        <v>84.0</v>
      </c>
      <c r="E1216" s="3">
        <f t="shared" si="1"/>
        <v>0.3346613546</v>
      </c>
      <c r="F1216" s="2">
        <v>37.0</v>
      </c>
      <c r="G1216" s="3">
        <f t="shared" si="2"/>
        <v>0.1474103586</v>
      </c>
      <c r="H1216" s="2">
        <v>38.0</v>
      </c>
      <c r="I1216" s="3">
        <f t="shared" si="3"/>
        <v>0.1513944223</v>
      </c>
      <c r="J1216" s="2">
        <v>45.0</v>
      </c>
      <c r="K1216" s="3">
        <f t="shared" si="4"/>
        <v>0.1792828685</v>
      </c>
      <c r="L1216" s="2">
        <v>20.0</v>
      </c>
      <c r="M1216" s="3">
        <f t="shared" si="5"/>
        <v>0.5263157895</v>
      </c>
      <c r="N1216" s="2">
        <v>176600.0</v>
      </c>
      <c r="O1216" s="4">
        <f t="shared" si="6"/>
        <v>4647.368421</v>
      </c>
      <c r="P1216" s="2">
        <v>0.0</v>
      </c>
      <c r="Q1216" s="3">
        <f t="shared" si="7"/>
        <v>0</v>
      </c>
      <c r="R1216" s="2">
        <v>22.0</v>
      </c>
      <c r="S1216" s="5">
        <f t="shared" si="8"/>
        <v>1</v>
      </c>
    </row>
    <row r="1217">
      <c r="A1217" s="2" t="s">
        <v>1229</v>
      </c>
      <c r="B1217" s="2">
        <v>802.0</v>
      </c>
      <c r="C1217" s="2">
        <v>9377.0</v>
      </c>
      <c r="D1217" s="2">
        <v>3088.0</v>
      </c>
      <c r="E1217" s="3">
        <f t="shared" si="1"/>
        <v>0.3601166181</v>
      </c>
      <c r="F1217" s="2">
        <v>1264.0</v>
      </c>
      <c r="G1217" s="3">
        <f t="shared" si="2"/>
        <v>0.1474052478</v>
      </c>
      <c r="H1217" s="2">
        <v>1814.0</v>
      </c>
      <c r="I1217" s="3">
        <f t="shared" si="3"/>
        <v>0.2115451895</v>
      </c>
      <c r="J1217" s="2">
        <v>1366.0</v>
      </c>
      <c r="K1217" s="3">
        <f t="shared" si="4"/>
        <v>0.1593002915</v>
      </c>
      <c r="L1217" s="2">
        <v>1105.0</v>
      </c>
      <c r="M1217" s="3">
        <f t="shared" si="5"/>
        <v>0.6091510474</v>
      </c>
      <c r="N1217" s="2">
        <v>1.00464E7</v>
      </c>
      <c r="O1217" s="4">
        <f t="shared" si="6"/>
        <v>5538.257993</v>
      </c>
      <c r="P1217" s="2">
        <v>2.0</v>
      </c>
      <c r="Q1217" s="3">
        <f t="shared" si="7"/>
        <v>0.002493765586</v>
      </c>
      <c r="R1217" s="2">
        <v>744.0</v>
      </c>
      <c r="S1217" s="5">
        <f t="shared" si="8"/>
        <v>0.927680798</v>
      </c>
    </row>
    <row r="1218">
      <c r="A1218" s="2" t="s">
        <v>1230</v>
      </c>
      <c r="B1218" s="2">
        <v>138.0</v>
      </c>
      <c r="C1218" s="2">
        <v>1617.0</v>
      </c>
      <c r="D1218" s="2">
        <v>626.0</v>
      </c>
      <c r="E1218" s="3">
        <f t="shared" si="1"/>
        <v>0.4232589588</v>
      </c>
      <c r="F1218" s="2">
        <v>218.0</v>
      </c>
      <c r="G1218" s="3">
        <f t="shared" si="2"/>
        <v>0.1473968898</v>
      </c>
      <c r="H1218" s="2">
        <v>321.0</v>
      </c>
      <c r="I1218" s="3">
        <f t="shared" si="3"/>
        <v>0.2170385396</v>
      </c>
      <c r="J1218" s="2">
        <v>213.0</v>
      </c>
      <c r="K1218" s="3">
        <f t="shared" si="4"/>
        <v>0.1440162272</v>
      </c>
      <c r="L1218" s="2">
        <v>196.0</v>
      </c>
      <c r="M1218" s="3">
        <f t="shared" si="5"/>
        <v>0.6105919003</v>
      </c>
      <c r="N1218" s="2">
        <v>1771600.0</v>
      </c>
      <c r="O1218" s="4">
        <f t="shared" si="6"/>
        <v>5519.003115</v>
      </c>
      <c r="P1218" s="2">
        <v>0.0</v>
      </c>
      <c r="Q1218" s="3">
        <f t="shared" si="7"/>
        <v>0</v>
      </c>
      <c r="R1218" s="2">
        <v>138.0</v>
      </c>
      <c r="S1218" s="5">
        <f t="shared" si="8"/>
        <v>1</v>
      </c>
    </row>
    <row r="1219">
      <c r="A1219" s="2" t="s">
        <v>1231</v>
      </c>
      <c r="B1219" s="2">
        <v>141.0</v>
      </c>
      <c r="C1219" s="2">
        <v>1593.0</v>
      </c>
      <c r="D1219" s="2">
        <v>621.0</v>
      </c>
      <c r="E1219" s="3">
        <f t="shared" si="1"/>
        <v>0.4276859504</v>
      </c>
      <c r="F1219" s="2">
        <v>214.0</v>
      </c>
      <c r="G1219" s="3">
        <f t="shared" si="2"/>
        <v>0.1473829201</v>
      </c>
      <c r="H1219" s="2">
        <v>320.0</v>
      </c>
      <c r="I1219" s="3">
        <f t="shared" si="3"/>
        <v>0.2203856749</v>
      </c>
      <c r="J1219" s="2">
        <v>256.0</v>
      </c>
      <c r="K1219" s="3">
        <f t="shared" si="4"/>
        <v>0.1763085399</v>
      </c>
      <c r="L1219" s="2">
        <v>193.0</v>
      </c>
      <c r="M1219" s="3">
        <f t="shared" si="5"/>
        <v>0.603125</v>
      </c>
      <c r="N1219" s="2">
        <v>1801200.0</v>
      </c>
      <c r="O1219" s="4">
        <f t="shared" si="6"/>
        <v>5628.75</v>
      </c>
      <c r="P1219" s="2">
        <v>0.0</v>
      </c>
      <c r="Q1219" s="3">
        <f t="shared" si="7"/>
        <v>0</v>
      </c>
      <c r="R1219" s="2">
        <v>141.0</v>
      </c>
      <c r="S1219" s="5">
        <f t="shared" si="8"/>
        <v>1</v>
      </c>
    </row>
    <row r="1220">
      <c r="A1220" s="2" t="s">
        <v>1232</v>
      </c>
      <c r="B1220" s="2">
        <v>40.0</v>
      </c>
      <c r="C1220" s="2">
        <v>454.0</v>
      </c>
      <c r="D1220" s="2">
        <v>147.0</v>
      </c>
      <c r="E1220" s="3">
        <f t="shared" si="1"/>
        <v>0.3550724638</v>
      </c>
      <c r="F1220" s="2">
        <v>61.0</v>
      </c>
      <c r="G1220" s="3">
        <f t="shared" si="2"/>
        <v>0.1473429952</v>
      </c>
      <c r="H1220" s="2">
        <v>72.0</v>
      </c>
      <c r="I1220" s="3">
        <f t="shared" si="3"/>
        <v>0.1739130435</v>
      </c>
      <c r="J1220" s="2">
        <v>85.0</v>
      </c>
      <c r="K1220" s="3">
        <f t="shared" si="4"/>
        <v>0.2053140097</v>
      </c>
      <c r="L1220" s="2">
        <v>41.0</v>
      </c>
      <c r="M1220" s="3">
        <f t="shared" si="5"/>
        <v>0.5694444444</v>
      </c>
      <c r="N1220" s="2">
        <v>405300.0</v>
      </c>
      <c r="O1220" s="4">
        <f t="shared" si="6"/>
        <v>5629.166667</v>
      </c>
      <c r="P1220" s="2">
        <v>0.0</v>
      </c>
      <c r="Q1220" s="3">
        <f t="shared" si="7"/>
        <v>0</v>
      </c>
      <c r="R1220" s="2">
        <v>40.0</v>
      </c>
      <c r="S1220" s="5">
        <f t="shared" si="8"/>
        <v>1</v>
      </c>
    </row>
    <row r="1221">
      <c r="A1221" s="2" t="s">
        <v>1233</v>
      </c>
      <c r="B1221" s="2">
        <v>410.0</v>
      </c>
      <c r="C1221" s="2">
        <v>4679.0</v>
      </c>
      <c r="D1221" s="2">
        <v>916.0</v>
      </c>
      <c r="E1221" s="3">
        <f t="shared" si="1"/>
        <v>0.2145701569</v>
      </c>
      <c r="F1221" s="2">
        <v>629.0</v>
      </c>
      <c r="G1221" s="3">
        <f t="shared" si="2"/>
        <v>0.1473412977</v>
      </c>
      <c r="H1221" s="2">
        <v>786.0</v>
      </c>
      <c r="I1221" s="3">
        <f t="shared" si="3"/>
        <v>0.1841180604</v>
      </c>
      <c r="J1221" s="2">
        <v>751.0</v>
      </c>
      <c r="K1221" s="3">
        <f t="shared" si="4"/>
        <v>0.1759194191</v>
      </c>
      <c r="L1221" s="2">
        <v>439.0</v>
      </c>
      <c r="M1221" s="3">
        <f t="shared" si="5"/>
        <v>0.558524173</v>
      </c>
      <c r="N1221" s="2">
        <v>5252000.0</v>
      </c>
      <c r="O1221" s="4">
        <f t="shared" si="6"/>
        <v>6681.933842</v>
      </c>
      <c r="P1221" s="2">
        <v>3.0</v>
      </c>
      <c r="Q1221" s="3">
        <f t="shared" si="7"/>
        <v>0.007317073171</v>
      </c>
      <c r="R1221" s="2">
        <v>0.0</v>
      </c>
      <c r="S1221" s="5">
        <f t="shared" si="8"/>
        <v>0</v>
      </c>
    </row>
    <row r="1222">
      <c r="A1222" s="2" t="s">
        <v>1234</v>
      </c>
      <c r="B1222" s="2">
        <v>96.0</v>
      </c>
      <c r="C1222" s="2">
        <v>1148.0</v>
      </c>
      <c r="D1222" s="2">
        <v>333.0</v>
      </c>
      <c r="E1222" s="3">
        <f t="shared" si="1"/>
        <v>0.316539924</v>
      </c>
      <c r="F1222" s="2">
        <v>155.0</v>
      </c>
      <c r="G1222" s="3">
        <f t="shared" si="2"/>
        <v>0.147338403</v>
      </c>
      <c r="H1222" s="2">
        <v>209.0</v>
      </c>
      <c r="I1222" s="3">
        <f t="shared" si="3"/>
        <v>0.1986692015</v>
      </c>
      <c r="J1222" s="2">
        <v>179.0</v>
      </c>
      <c r="K1222" s="3">
        <f t="shared" si="4"/>
        <v>0.1701520913</v>
      </c>
      <c r="L1222" s="2">
        <v>111.0</v>
      </c>
      <c r="M1222" s="3">
        <f t="shared" si="5"/>
        <v>0.5311004785</v>
      </c>
      <c r="N1222" s="2">
        <v>1433400.0</v>
      </c>
      <c r="O1222" s="4">
        <f t="shared" si="6"/>
        <v>6858.373206</v>
      </c>
      <c r="P1222" s="2">
        <v>0.0</v>
      </c>
      <c r="Q1222" s="3">
        <f t="shared" si="7"/>
        <v>0</v>
      </c>
      <c r="R1222" s="2">
        <v>0.0</v>
      </c>
      <c r="S1222" s="5">
        <f t="shared" si="8"/>
        <v>0</v>
      </c>
    </row>
    <row r="1223">
      <c r="A1223" s="2" t="s">
        <v>1235</v>
      </c>
      <c r="B1223" s="2">
        <v>29.0</v>
      </c>
      <c r="C1223" s="2">
        <v>348.0</v>
      </c>
      <c r="D1223" s="2">
        <v>109.0</v>
      </c>
      <c r="E1223" s="3">
        <f t="shared" si="1"/>
        <v>0.34169279</v>
      </c>
      <c r="F1223" s="2">
        <v>47.0</v>
      </c>
      <c r="G1223" s="3">
        <f t="shared" si="2"/>
        <v>0.1473354232</v>
      </c>
      <c r="H1223" s="2">
        <v>50.0</v>
      </c>
      <c r="I1223" s="3">
        <f t="shared" si="3"/>
        <v>0.1567398119</v>
      </c>
      <c r="J1223" s="2">
        <v>32.0</v>
      </c>
      <c r="K1223" s="3">
        <f t="shared" si="4"/>
        <v>0.1003134796</v>
      </c>
      <c r="L1223" s="2">
        <v>29.0</v>
      </c>
      <c r="M1223" s="3">
        <f t="shared" si="5"/>
        <v>0.58</v>
      </c>
      <c r="N1223" s="2">
        <v>265300.0</v>
      </c>
      <c r="O1223" s="4">
        <f t="shared" si="6"/>
        <v>5306</v>
      </c>
      <c r="P1223" s="2">
        <v>0.0</v>
      </c>
      <c r="Q1223" s="3">
        <f t="shared" si="7"/>
        <v>0</v>
      </c>
      <c r="R1223" s="2">
        <v>0.0</v>
      </c>
      <c r="S1223" s="5">
        <f t="shared" si="8"/>
        <v>0</v>
      </c>
    </row>
    <row r="1224">
      <c r="A1224" s="2" t="s">
        <v>1236</v>
      </c>
      <c r="B1224" s="2">
        <v>159.0</v>
      </c>
      <c r="C1224" s="2">
        <v>1856.0</v>
      </c>
      <c r="D1224" s="2">
        <v>702.0</v>
      </c>
      <c r="E1224" s="3">
        <f t="shared" si="1"/>
        <v>0.4136711844</v>
      </c>
      <c r="F1224" s="2">
        <v>250.0</v>
      </c>
      <c r="G1224" s="3">
        <f t="shared" si="2"/>
        <v>0.1473187979</v>
      </c>
      <c r="H1224" s="2">
        <v>365.0</v>
      </c>
      <c r="I1224" s="3">
        <f t="shared" si="3"/>
        <v>0.2150854449</v>
      </c>
      <c r="J1224" s="2">
        <v>318.0</v>
      </c>
      <c r="K1224" s="3">
        <f t="shared" si="4"/>
        <v>0.1873895109</v>
      </c>
      <c r="L1224" s="2">
        <v>200.0</v>
      </c>
      <c r="M1224" s="3">
        <f t="shared" si="5"/>
        <v>0.5479452055</v>
      </c>
      <c r="N1224" s="2">
        <v>1977700.0</v>
      </c>
      <c r="O1224" s="4">
        <f t="shared" si="6"/>
        <v>5418.356164</v>
      </c>
      <c r="P1224" s="2">
        <v>0.0</v>
      </c>
      <c r="Q1224" s="3">
        <f t="shared" si="7"/>
        <v>0</v>
      </c>
      <c r="R1224" s="2">
        <v>159.0</v>
      </c>
      <c r="S1224" s="5">
        <f t="shared" si="8"/>
        <v>1</v>
      </c>
    </row>
    <row r="1225">
      <c r="A1225" s="2" t="s">
        <v>1237</v>
      </c>
      <c r="B1225" s="2">
        <v>1358.0</v>
      </c>
      <c r="C1225" s="2">
        <v>15817.0</v>
      </c>
      <c r="D1225" s="2">
        <v>5647.0</v>
      </c>
      <c r="E1225" s="3">
        <f t="shared" si="1"/>
        <v>0.390552597</v>
      </c>
      <c r="F1225" s="2">
        <v>2130.0</v>
      </c>
      <c r="G1225" s="3">
        <f t="shared" si="2"/>
        <v>0.1473130922</v>
      </c>
      <c r="H1225" s="2">
        <v>3387.0</v>
      </c>
      <c r="I1225" s="3">
        <f t="shared" si="3"/>
        <v>0.2342485649</v>
      </c>
      <c r="J1225" s="2">
        <v>2638.0</v>
      </c>
      <c r="K1225" s="3">
        <f t="shared" si="4"/>
        <v>0.1824469189</v>
      </c>
      <c r="L1225" s="2">
        <v>2080.0</v>
      </c>
      <c r="M1225" s="3">
        <f t="shared" si="5"/>
        <v>0.6141127842</v>
      </c>
      <c r="N1225" s="2">
        <v>1.77511E7</v>
      </c>
      <c r="O1225" s="4">
        <f t="shared" si="6"/>
        <v>5240.950694</v>
      </c>
      <c r="P1225" s="2">
        <v>3.0</v>
      </c>
      <c r="Q1225" s="3">
        <f t="shared" si="7"/>
        <v>0.002209131075</v>
      </c>
      <c r="R1225" s="2">
        <v>1358.0</v>
      </c>
      <c r="S1225" s="5">
        <f t="shared" si="8"/>
        <v>1</v>
      </c>
    </row>
    <row r="1226">
      <c r="A1226" s="2" t="s">
        <v>1238</v>
      </c>
      <c r="B1226" s="2">
        <v>32.0</v>
      </c>
      <c r="C1226" s="2">
        <v>385.0</v>
      </c>
      <c r="D1226" s="2">
        <v>123.0</v>
      </c>
      <c r="E1226" s="3">
        <f t="shared" si="1"/>
        <v>0.3484419263</v>
      </c>
      <c r="F1226" s="2">
        <v>52.0</v>
      </c>
      <c r="G1226" s="3">
        <f t="shared" si="2"/>
        <v>0.1473087819</v>
      </c>
      <c r="H1226" s="2">
        <v>64.0</v>
      </c>
      <c r="I1226" s="3">
        <f t="shared" si="3"/>
        <v>0.1813031161</v>
      </c>
      <c r="J1226" s="2">
        <v>39.0</v>
      </c>
      <c r="K1226" s="3">
        <f t="shared" si="4"/>
        <v>0.1104815864</v>
      </c>
      <c r="L1226" s="2">
        <v>35.0</v>
      </c>
      <c r="M1226" s="3">
        <f t="shared" si="5"/>
        <v>0.546875</v>
      </c>
      <c r="N1226" s="2">
        <v>395200.0</v>
      </c>
      <c r="O1226" s="4">
        <f t="shared" si="6"/>
        <v>6175</v>
      </c>
      <c r="P1226" s="2">
        <v>0.0</v>
      </c>
      <c r="Q1226" s="3">
        <f t="shared" si="7"/>
        <v>0</v>
      </c>
      <c r="R1226" s="2">
        <v>0.0</v>
      </c>
      <c r="S1226" s="5">
        <f t="shared" si="8"/>
        <v>0</v>
      </c>
    </row>
    <row r="1227">
      <c r="A1227" s="2" t="s">
        <v>1239</v>
      </c>
      <c r="B1227" s="2">
        <v>137.0</v>
      </c>
      <c r="C1227" s="2">
        <v>1583.0</v>
      </c>
      <c r="D1227" s="2">
        <v>510.0</v>
      </c>
      <c r="E1227" s="3">
        <f t="shared" si="1"/>
        <v>0.3526970954</v>
      </c>
      <c r="F1227" s="2">
        <v>213.0</v>
      </c>
      <c r="G1227" s="3">
        <f t="shared" si="2"/>
        <v>0.1473029046</v>
      </c>
      <c r="H1227" s="2">
        <v>315.0</v>
      </c>
      <c r="I1227" s="3">
        <f t="shared" si="3"/>
        <v>0.2178423237</v>
      </c>
      <c r="J1227" s="2">
        <v>273.0</v>
      </c>
      <c r="K1227" s="3">
        <f t="shared" si="4"/>
        <v>0.1887966805</v>
      </c>
      <c r="L1227" s="2">
        <v>181.0</v>
      </c>
      <c r="M1227" s="3">
        <f t="shared" si="5"/>
        <v>0.5746031746</v>
      </c>
      <c r="N1227" s="2">
        <v>1777600.0</v>
      </c>
      <c r="O1227" s="4">
        <f t="shared" si="6"/>
        <v>5643.174603</v>
      </c>
      <c r="P1227" s="2">
        <v>0.0</v>
      </c>
      <c r="Q1227" s="3">
        <f t="shared" si="7"/>
        <v>0</v>
      </c>
      <c r="R1227" s="2">
        <v>137.0</v>
      </c>
      <c r="S1227" s="5">
        <f t="shared" si="8"/>
        <v>1</v>
      </c>
    </row>
    <row r="1228">
      <c r="A1228" s="2" t="s">
        <v>1240</v>
      </c>
      <c r="B1228" s="2">
        <v>520.0</v>
      </c>
      <c r="C1228" s="2">
        <v>6053.0</v>
      </c>
      <c r="D1228" s="2">
        <v>1817.0</v>
      </c>
      <c r="E1228" s="3">
        <f t="shared" si="1"/>
        <v>0.3283932767</v>
      </c>
      <c r="F1228" s="2">
        <v>815.0</v>
      </c>
      <c r="G1228" s="3">
        <f t="shared" si="2"/>
        <v>0.14729803</v>
      </c>
      <c r="H1228" s="2">
        <v>1193.0</v>
      </c>
      <c r="I1228" s="3">
        <f t="shared" si="3"/>
        <v>0.2156153985</v>
      </c>
      <c r="J1228" s="2">
        <v>1002.0</v>
      </c>
      <c r="K1228" s="3">
        <f t="shared" si="4"/>
        <v>0.1810952467</v>
      </c>
      <c r="L1228" s="2">
        <v>708.0</v>
      </c>
      <c r="M1228" s="3">
        <f t="shared" si="5"/>
        <v>0.5934618609</v>
      </c>
      <c r="N1228" s="2">
        <v>7009100.0</v>
      </c>
      <c r="O1228" s="4">
        <f t="shared" si="6"/>
        <v>5875.1886</v>
      </c>
      <c r="P1228" s="2">
        <v>2.0</v>
      </c>
      <c r="Q1228" s="3">
        <f t="shared" si="7"/>
        <v>0.003846153846</v>
      </c>
      <c r="R1228" s="2">
        <v>25.0</v>
      </c>
      <c r="S1228" s="5">
        <f t="shared" si="8"/>
        <v>0.04807692308</v>
      </c>
    </row>
    <row r="1229">
      <c r="A1229" s="2" t="s">
        <v>1241</v>
      </c>
      <c r="B1229" s="2">
        <v>317.0</v>
      </c>
      <c r="C1229" s="2">
        <v>3664.0</v>
      </c>
      <c r="D1229" s="2">
        <v>1039.0</v>
      </c>
      <c r="E1229" s="3">
        <f t="shared" si="1"/>
        <v>0.3104272483</v>
      </c>
      <c r="F1229" s="2">
        <v>493.0</v>
      </c>
      <c r="G1229" s="3">
        <f t="shared" si="2"/>
        <v>0.147296086</v>
      </c>
      <c r="H1229" s="2">
        <v>692.0</v>
      </c>
      <c r="I1229" s="3">
        <f t="shared" si="3"/>
        <v>0.2067523155</v>
      </c>
      <c r="J1229" s="2">
        <v>542.0</v>
      </c>
      <c r="K1229" s="3">
        <f t="shared" si="4"/>
        <v>0.1619360621</v>
      </c>
      <c r="L1229" s="2">
        <v>389.0</v>
      </c>
      <c r="M1229" s="3">
        <f t="shared" si="5"/>
        <v>0.5621387283</v>
      </c>
      <c r="N1229" s="2">
        <v>3975800.0</v>
      </c>
      <c r="O1229" s="4">
        <f t="shared" si="6"/>
        <v>5745.375723</v>
      </c>
      <c r="P1229" s="2">
        <v>0.0</v>
      </c>
      <c r="Q1229" s="3">
        <f t="shared" si="7"/>
        <v>0</v>
      </c>
      <c r="R1229" s="2">
        <v>317.0</v>
      </c>
      <c r="S1229" s="5">
        <f t="shared" si="8"/>
        <v>1</v>
      </c>
    </row>
    <row r="1230">
      <c r="A1230" s="2" t="s">
        <v>1242</v>
      </c>
      <c r="B1230" s="2">
        <v>409.0</v>
      </c>
      <c r="C1230" s="2">
        <v>4768.0</v>
      </c>
      <c r="D1230" s="2">
        <v>1183.0</v>
      </c>
      <c r="E1230" s="3">
        <f t="shared" si="1"/>
        <v>0.2713925212</v>
      </c>
      <c r="F1230" s="2">
        <v>642.0</v>
      </c>
      <c r="G1230" s="3">
        <f t="shared" si="2"/>
        <v>0.1472814866</v>
      </c>
      <c r="H1230" s="2">
        <v>854.0</v>
      </c>
      <c r="I1230" s="3">
        <f t="shared" si="3"/>
        <v>0.1959164946</v>
      </c>
      <c r="J1230" s="2">
        <v>766.0</v>
      </c>
      <c r="K1230" s="3">
        <f t="shared" si="4"/>
        <v>0.1757283781</v>
      </c>
      <c r="L1230" s="2">
        <v>492.0</v>
      </c>
      <c r="M1230" s="3">
        <f t="shared" si="5"/>
        <v>0.5761124122</v>
      </c>
      <c r="N1230" s="2">
        <v>5156800.0</v>
      </c>
      <c r="O1230" s="4">
        <f t="shared" si="6"/>
        <v>6038.407494</v>
      </c>
      <c r="P1230" s="2">
        <v>1.0</v>
      </c>
      <c r="Q1230" s="3">
        <f t="shared" si="7"/>
        <v>0.002444987775</v>
      </c>
      <c r="R1230" s="2">
        <v>409.0</v>
      </c>
      <c r="S1230" s="5">
        <f t="shared" si="8"/>
        <v>1</v>
      </c>
    </row>
    <row r="1231">
      <c r="A1231" s="2" t="s">
        <v>1243</v>
      </c>
      <c r="B1231" s="2">
        <v>125.0</v>
      </c>
      <c r="C1231" s="2">
        <v>1483.0</v>
      </c>
      <c r="D1231" s="2">
        <v>527.0</v>
      </c>
      <c r="E1231" s="3">
        <f t="shared" si="1"/>
        <v>0.3880706922</v>
      </c>
      <c r="F1231" s="2">
        <v>200.0</v>
      </c>
      <c r="G1231" s="3">
        <f t="shared" si="2"/>
        <v>0.147275405</v>
      </c>
      <c r="H1231" s="2">
        <v>298.0</v>
      </c>
      <c r="I1231" s="3">
        <f t="shared" si="3"/>
        <v>0.2194403535</v>
      </c>
      <c r="J1231" s="2">
        <v>219.0</v>
      </c>
      <c r="K1231" s="3">
        <f t="shared" si="4"/>
        <v>0.1612665685</v>
      </c>
      <c r="L1231" s="2">
        <v>184.0</v>
      </c>
      <c r="M1231" s="3">
        <f t="shared" si="5"/>
        <v>0.6174496644</v>
      </c>
      <c r="N1231" s="2">
        <v>1714600.0</v>
      </c>
      <c r="O1231" s="4">
        <f t="shared" si="6"/>
        <v>5753.691275</v>
      </c>
      <c r="P1231" s="2">
        <v>0.0</v>
      </c>
      <c r="Q1231" s="3">
        <f t="shared" si="7"/>
        <v>0</v>
      </c>
      <c r="R1231" s="2">
        <v>122.0</v>
      </c>
      <c r="S1231" s="5">
        <f t="shared" si="8"/>
        <v>0.976</v>
      </c>
    </row>
    <row r="1232">
      <c r="A1232" s="2" t="s">
        <v>1244</v>
      </c>
      <c r="B1232" s="2">
        <v>64.0</v>
      </c>
      <c r="C1232" s="2">
        <v>743.0</v>
      </c>
      <c r="D1232" s="2">
        <v>199.0</v>
      </c>
      <c r="E1232" s="3">
        <f t="shared" si="1"/>
        <v>0.293078056</v>
      </c>
      <c r="F1232" s="2">
        <v>100.0</v>
      </c>
      <c r="G1232" s="3">
        <f t="shared" si="2"/>
        <v>0.147275405</v>
      </c>
      <c r="H1232" s="2">
        <v>123.0</v>
      </c>
      <c r="I1232" s="3">
        <f t="shared" si="3"/>
        <v>0.1811487482</v>
      </c>
      <c r="J1232" s="2">
        <v>84.0</v>
      </c>
      <c r="K1232" s="3">
        <f t="shared" si="4"/>
        <v>0.1237113402</v>
      </c>
      <c r="L1232" s="2">
        <v>74.0</v>
      </c>
      <c r="M1232" s="3">
        <f t="shared" si="5"/>
        <v>0.6016260163</v>
      </c>
      <c r="N1232" s="2">
        <v>703700.0</v>
      </c>
      <c r="O1232" s="4">
        <f t="shared" si="6"/>
        <v>5721.138211</v>
      </c>
      <c r="P1232" s="2">
        <v>0.0</v>
      </c>
      <c r="Q1232" s="3">
        <f t="shared" si="7"/>
        <v>0</v>
      </c>
      <c r="R1232" s="2">
        <v>64.0</v>
      </c>
      <c r="S1232" s="5">
        <f t="shared" si="8"/>
        <v>1</v>
      </c>
    </row>
    <row r="1233">
      <c r="A1233" s="2" t="s">
        <v>1245</v>
      </c>
      <c r="B1233" s="2">
        <v>319.0</v>
      </c>
      <c r="C1233" s="2">
        <v>3721.0</v>
      </c>
      <c r="D1233" s="2">
        <v>1227.0</v>
      </c>
      <c r="E1233" s="3">
        <f t="shared" si="1"/>
        <v>0.360670194</v>
      </c>
      <c r="F1233" s="2">
        <v>501.0</v>
      </c>
      <c r="G1233" s="3">
        <f t="shared" si="2"/>
        <v>0.1472663139</v>
      </c>
      <c r="H1233" s="2">
        <v>753.0</v>
      </c>
      <c r="I1233" s="3">
        <f t="shared" si="3"/>
        <v>0.221340388</v>
      </c>
      <c r="J1233" s="2">
        <v>728.0</v>
      </c>
      <c r="K1233" s="3">
        <f t="shared" si="4"/>
        <v>0.2139917695</v>
      </c>
      <c r="L1233" s="2">
        <v>432.0</v>
      </c>
      <c r="M1233" s="3">
        <f t="shared" si="5"/>
        <v>0.5737051793</v>
      </c>
      <c r="N1233" s="2">
        <v>4507300.0</v>
      </c>
      <c r="O1233" s="4">
        <f t="shared" si="6"/>
        <v>5985.790173</v>
      </c>
      <c r="P1233" s="2">
        <v>3.0</v>
      </c>
      <c r="Q1233" s="3">
        <f t="shared" si="7"/>
        <v>0.009404388715</v>
      </c>
      <c r="R1233" s="2">
        <v>319.0</v>
      </c>
      <c r="S1233" s="5">
        <f t="shared" si="8"/>
        <v>1</v>
      </c>
    </row>
    <row r="1234">
      <c r="A1234" s="2" t="s">
        <v>1246</v>
      </c>
      <c r="B1234" s="2">
        <v>221.0</v>
      </c>
      <c r="C1234" s="2">
        <v>2625.0</v>
      </c>
      <c r="D1234" s="2">
        <v>755.0</v>
      </c>
      <c r="E1234" s="3">
        <f t="shared" si="1"/>
        <v>0.3140599002</v>
      </c>
      <c r="F1234" s="2">
        <v>354.0</v>
      </c>
      <c r="G1234" s="3">
        <f t="shared" si="2"/>
        <v>0.1472545757</v>
      </c>
      <c r="H1234" s="2">
        <v>517.0</v>
      </c>
      <c r="I1234" s="3">
        <f t="shared" si="3"/>
        <v>0.2150582363</v>
      </c>
      <c r="J1234" s="2">
        <v>449.0</v>
      </c>
      <c r="K1234" s="3">
        <f t="shared" si="4"/>
        <v>0.1867720466</v>
      </c>
      <c r="L1234" s="2">
        <v>341.0</v>
      </c>
      <c r="M1234" s="3">
        <f t="shared" si="5"/>
        <v>0.6595744681</v>
      </c>
      <c r="N1234" s="2">
        <v>3075500.0</v>
      </c>
      <c r="O1234" s="4">
        <f t="shared" si="6"/>
        <v>5948.742747</v>
      </c>
      <c r="P1234" s="2">
        <v>2.0</v>
      </c>
      <c r="Q1234" s="3">
        <f t="shared" si="7"/>
        <v>0.009049773756</v>
      </c>
      <c r="R1234" s="2">
        <v>221.0</v>
      </c>
      <c r="S1234" s="5">
        <f t="shared" si="8"/>
        <v>1</v>
      </c>
    </row>
    <row r="1235">
      <c r="A1235" s="2" t="s">
        <v>1247</v>
      </c>
      <c r="B1235" s="2">
        <v>15.0</v>
      </c>
      <c r="C1235" s="2">
        <v>178.0</v>
      </c>
      <c r="D1235" s="2">
        <v>64.0</v>
      </c>
      <c r="E1235" s="3">
        <f t="shared" si="1"/>
        <v>0.3926380368</v>
      </c>
      <c r="F1235" s="2">
        <v>24.0</v>
      </c>
      <c r="G1235" s="3">
        <f t="shared" si="2"/>
        <v>0.1472392638</v>
      </c>
      <c r="H1235" s="2">
        <v>39.0</v>
      </c>
      <c r="I1235" s="3">
        <f t="shared" si="3"/>
        <v>0.2392638037</v>
      </c>
      <c r="J1235" s="2">
        <v>28.0</v>
      </c>
      <c r="K1235" s="3">
        <f t="shared" si="4"/>
        <v>0.1717791411</v>
      </c>
      <c r="L1235" s="2">
        <v>19.0</v>
      </c>
      <c r="M1235" s="3">
        <f t="shared" si="5"/>
        <v>0.4871794872</v>
      </c>
      <c r="N1235" s="2">
        <v>216100.0</v>
      </c>
      <c r="O1235" s="4">
        <f t="shared" si="6"/>
        <v>5541.025641</v>
      </c>
      <c r="P1235" s="2">
        <v>0.0</v>
      </c>
      <c r="Q1235" s="3">
        <f t="shared" si="7"/>
        <v>0</v>
      </c>
      <c r="R1235" s="2">
        <v>15.0</v>
      </c>
      <c r="S1235" s="5">
        <f t="shared" si="8"/>
        <v>1</v>
      </c>
    </row>
    <row r="1236">
      <c r="A1236" s="2" t="s">
        <v>1248</v>
      </c>
      <c r="B1236" s="2">
        <v>776.0</v>
      </c>
      <c r="C1236" s="2">
        <v>9158.0</v>
      </c>
      <c r="D1236" s="2">
        <v>3472.0</v>
      </c>
      <c r="E1236" s="3">
        <f t="shared" si="1"/>
        <v>0.4142209497</v>
      </c>
      <c r="F1236" s="2">
        <v>1234.0</v>
      </c>
      <c r="G1236" s="3">
        <f t="shared" si="2"/>
        <v>0.1472202338</v>
      </c>
      <c r="H1236" s="2">
        <v>1793.0</v>
      </c>
      <c r="I1236" s="3">
        <f t="shared" si="3"/>
        <v>0.2139107612</v>
      </c>
      <c r="J1236" s="2">
        <v>1259.0</v>
      </c>
      <c r="K1236" s="3">
        <f t="shared" si="4"/>
        <v>0.1502028156</v>
      </c>
      <c r="L1236" s="2">
        <v>1052.0</v>
      </c>
      <c r="M1236" s="3">
        <f t="shared" si="5"/>
        <v>0.5867261573</v>
      </c>
      <c r="N1236" s="2">
        <v>1.00621E7</v>
      </c>
      <c r="O1236" s="4">
        <f t="shared" si="6"/>
        <v>5611.879532</v>
      </c>
      <c r="P1236" s="2">
        <v>1.0</v>
      </c>
      <c r="Q1236" s="3">
        <f t="shared" si="7"/>
        <v>0.001288659794</v>
      </c>
      <c r="R1236" s="2">
        <v>776.0</v>
      </c>
      <c r="S1236" s="5">
        <f t="shared" si="8"/>
        <v>1</v>
      </c>
    </row>
    <row r="1237">
      <c r="A1237" s="2" t="s">
        <v>1249</v>
      </c>
      <c r="B1237" s="2">
        <v>706.0</v>
      </c>
      <c r="C1237" s="2">
        <v>8206.0</v>
      </c>
      <c r="D1237" s="2">
        <v>3016.0</v>
      </c>
      <c r="E1237" s="3">
        <f t="shared" si="1"/>
        <v>0.4021333333</v>
      </c>
      <c r="F1237" s="2">
        <v>1104.0</v>
      </c>
      <c r="G1237" s="3">
        <f t="shared" si="2"/>
        <v>0.1472</v>
      </c>
      <c r="H1237" s="2">
        <v>1650.0</v>
      </c>
      <c r="I1237" s="3">
        <f t="shared" si="3"/>
        <v>0.22</v>
      </c>
      <c r="J1237" s="2">
        <v>1341.0</v>
      </c>
      <c r="K1237" s="3">
        <f t="shared" si="4"/>
        <v>0.1788</v>
      </c>
      <c r="L1237" s="2">
        <v>976.0</v>
      </c>
      <c r="M1237" s="3">
        <f t="shared" si="5"/>
        <v>0.5915151515</v>
      </c>
      <c r="N1237" s="2">
        <v>9543300.0</v>
      </c>
      <c r="O1237" s="4">
        <f t="shared" si="6"/>
        <v>5783.818182</v>
      </c>
      <c r="P1237" s="2">
        <v>1.0</v>
      </c>
      <c r="Q1237" s="3">
        <f t="shared" si="7"/>
        <v>0.001416430595</v>
      </c>
      <c r="R1237" s="2">
        <v>706.0</v>
      </c>
      <c r="S1237" s="5">
        <f t="shared" si="8"/>
        <v>1</v>
      </c>
    </row>
    <row r="1238">
      <c r="A1238" s="2" t="s">
        <v>1250</v>
      </c>
      <c r="B1238" s="2">
        <v>881.0</v>
      </c>
      <c r="C1238" s="2">
        <v>10361.0</v>
      </c>
      <c r="D1238" s="2">
        <v>3253.0</v>
      </c>
      <c r="E1238" s="3">
        <f t="shared" si="1"/>
        <v>0.3431434599</v>
      </c>
      <c r="F1238" s="2">
        <v>1395.0</v>
      </c>
      <c r="G1238" s="3">
        <f t="shared" si="2"/>
        <v>0.1471518987</v>
      </c>
      <c r="H1238" s="2">
        <v>1979.0</v>
      </c>
      <c r="I1238" s="3">
        <f t="shared" si="3"/>
        <v>0.2087552743</v>
      </c>
      <c r="J1238" s="2">
        <v>1515.0</v>
      </c>
      <c r="K1238" s="3">
        <f t="shared" si="4"/>
        <v>0.1598101266</v>
      </c>
      <c r="L1238" s="2">
        <v>1178.0</v>
      </c>
      <c r="M1238" s="3">
        <f t="shared" si="5"/>
        <v>0.5952501263</v>
      </c>
      <c r="N1238" s="2">
        <v>1.0763E7</v>
      </c>
      <c r="O1238" s="4">
        <f t="shared" si="6"/>
        <v>5438.605356</v>
      </c>
      <c r="P1238" s="2">
        <v>1.0</v>
      </c>
      <c r="Q1238" s="3">
        <f t="shared" si="7"/>
        <v>0.00113507378</v>
      </c>
      <c r="R1238" s="2">
        <v>881.0</v>
      </c>
      <c r="S1238" s="5">
        <f t="shared" si="8"/>
        <v>1</v>
      </c>
    </row>
    <row r="1239">
      <c r="A1239" s="2" t="s">
        <v>1251</v>
      </c>
      <c r="B1239" s="2">
        <v>122.0</v>
      </c>
      <c r="C1239" s="2">
        <v>1393.0</v>
      </c>
      <c r="D1239" s="2">
        <v>513.0</v>
      </c>
      <c r="E1239" s="3">
        <f t="shared" si="1"/>
        <v>0.4036191975</v>
      </c>
      <c r="F1239" s="2">
        <v>187.0</v>
      </c>
      <c r="G1239" s="3">
        <f t="shared" si="2"/>
        <v>0.1471282455</v>
      </c>
      <c r="H1239" s="2">
        <v>247.0</v>
      </c>
      <c r="I1239" s="3">
        <f t="shared" si="3"/>
        <v>0.1943351692</v>
      </c>
      <c r="J1239" s="2">
        <v>189.0</v>
      </c>
      <c r="K1239" s="3">
        <f t="shared" si="4"/>
        <v>0.1487018096</v>
      </c>
      <c r="L1239" s="2">
        <v>157.0</v>
      </c>
      <c r="M1239" s="3">
        <f t="shared" si="5"/>
        <v>0.6356275304</v>
      </c>
      <c r="N1239" s="2">
        <v>1426600.0</v>
      </c>
      <c r="O1239" s="4">
        <f t="shared" si="6"/>
        <v>5775.708502</v>
      </c>
      <c r="P1239" s="2">
        <v>0.0</v>
      </c>
      <c r="Q1239" s="3">
        <f t="shared" si="7"/>
        <v>0</v>
      </c>
      <c r="R1239" s="2">
        <v>122.0</v>
      </c>
      <c r="S1239" s="5">
        <f t="shared" si="8"/>
        <v>1</v>
      </c>
    </row>
    <row r="1240">
      <c r="A1240" s="2" t="s">
        <v>1252</v>
      </c>
      <c r="B1240" s="2">
        <v>539.0</v>
      </c>
      <c r="C1240" s="2">
        <v>6330.0</v>
      </c>
      <c r="D1240" s="2">
        <v>2142.0</v>
      </c>
      <c r="E1240" s="3">
        <f t="shared" si="1"/>
        <v>0.3698843032</v>
      </c>
      <c r="F1240" s="2">
        <v>852.0</v>
      </c>
      <c r="G1240" s="3">
        <f t="shared" si="2"/>
        <v>0.1471248489</v>
      </c>
      <c r="H1240" s="2">
        <v>1261.0</v>
      </c>
      <c r="I1240" s="3">
        <f t="shared" si="3"/>
        <v>0.2177516836</v>
      </c>
      <c r="J1240" s="2">
        <v>951.0</v>
      </c>
      <c r="K1240" s="3">
        <f t="shared" si="4"/>
        <v>0.1642203419</v>
      </c>
      <c r="L1240" s="2">
        <v>769.0</v>
      </c>
      <c r="M1240" s="3">
        <f t="shared" si="5"/>
        <v>0.6098334655</v>
      </c>
      <c r="N1240" s="2">
        <v>6819000.0</v>
      </c>
      <c r="O1240" s="4">
        <f t="shared" si="6"/>
        <v>5407.613006</v>
      </c>
      <c r="P1240" s="2">
        <v>1.0</v>
      </c>
      <c r="Q1240" s="3">
        <f t="shared" si="7"/>
        <v>0.00185528757</v>
      </c>
      <c r="R1240" s="2">
        <v>186.0</v>
      </c>
      <c r="S1240" s="5">
        <f t="shared" si="8"/>
        <v>0.3450834879</v>
      </c>
    </row>
    <row r="1241">
      <c r="A1241" s="2" t="s">
        <v>1253</v>
      </c>
      <c r="B1241" s="2">
        <v>620.0</v>
      </c>
      <c r="C1241" s="2">
        <v>7152.0</v>
      </c>
      <c r="D1241" s="2">
        <v>2214.0</v>
      </c>
      <c r="E1241" s="3">
        <f t="shared" si="1"/>
        <v>0.3389467238</v>
      </c>
      <c r="F1241" s="2">
        <v>961.0</v>
      </c>
      <c r="G1241" s="3">
        <f t="shared" si="2"/>
        <v>0.1471218616</v>
      </c>
      <c r="H1241" s="2">
        <v>1385.0</v>
      </c>
      <c r="I1241" s="3">
        <f t="shared" si="3"/>
        <v>0.212033068</v>
      </c>
      <c r="J1241" s="2">
        <v>1127.0</v>
      </c>
      <c r="K1241" s="3">
        <f t="shared" si="4"/>
        <v>0.1725352113</v>
      </c>
      <c r="L1241" s="2">
        <v>848.0</v>
      </c>
      <c r="M1241" s="3">
        <f t="shared" si="5"/>
        <v>0.6122743682</v>
      </c>
      <c r="N1241" s="2">
        <v>7958600.0</v>
      </c>
      <c r="O1241" s="4">
        <f t="shared" si="6"/>
        <v>5746.281588</v>
      </c>
      <c r="P1241" s="2">
        <v>1.0</v>
      </c>
      <c r="Q1241" s="3">
        <f t="shared" si="7"/>
        <v>0.001612903226</v>
      </c>
      <c r="R1241" s="2">
        <v>620.0</v>
      </c>
      <c r="S1241" s="5">
        <f t="shared" si="8"/>
        <v>1</v>
      </c>
    </row>
    <row r="1242">
      <c r="A1242" s="2" t="s">
        <v>1254</v>
      </c>
      <c r="B1242" s="2">
        <v>180.0</v>
      </c>
      <c r="C1242" s="2">
        <v>2158.0</v>
      </c>
      <c r="D1242" s="2">
        <v>689.0</v>
      </c>
      <c r="E1242" s="3">
        <f t="shared" si="1"/>
        <v>0.3483316481</v>
      </c>
      <c r="F1242" s="2">
        <v>291.0</v>
      </c>
      <c r="G1242" s="3">
        <f t="shared" si="2"/>
        <v>0.1471183013</v>
      </c>
      <c r="H1242" s="2">
        <v>397.0</v>
      </c>
      <c r="I1242" s="3">
        <f t="shared" si="3"/>
        <v>0.2007077856</v>
      </c>
      <c r="J1242" s="2">
        <v>381.0</v>
      </c>
      <c r="K1242" s="3">
        <f t="shared" si="4"/>
        <v>0.1926188069</v>
      </c>
      <c r="L1242" s="2">
        <v>227.0</v>
      </c>
      <c r="M1242" s="3">
        <f t="shared" si="5"/>
        <v>0.5717884131</v>
      </c>
      <c r="N1242" s="2">
        <v>2309000.0</v>
      </c>
      <c r="O1242" s="4">
        <f t="shared" si="6"/>
        <v>5816.120907</v>
      </c>
      <c r="P1242" s="2">
        <v>0.0</v>
      </c>
      <c r="Q1242" s="3">
        <f t="shared" si="7"/>
        <v>0</v>
      </c>
      <c r="R1242" s="2">
        <v>180.0</v>
      </c>
      <c r="S1242" s="5">
        <f t="shared" si="8"/>
        <v>1</v>
      </c>
    </row>
    <row r="1243">
      <c r="A1243" s="2" t="s">
        <v>1255</v>
      </c>
      <c r="B1243" s="2">
        <v>146.0</v>
      </c>
      <c r="C1243" s="2">
        <v>1655.0</v>
      </c>
      <c r="D1243" s="2">
        <v>570.0</v>
      </c>
      <c r="E1243" s="3">
        <f t="shared" si="1"/>
        <v>0.3777335984</v>
      </c>
      <c r="F1243" s="2">
        <v>222.0</v>
      </c>
      <c r="G1243" s="3">
        <f t="shared" si="2"/>
        <v>0.1471172962</v>
      </c>
      <c r="H1243" s="2">
        <v>315.0</v>
      </c>
      <c r="I1243" s="3">
        <f t="shared" si="3"/>
        <v>0.2087475149</v>
      </c>
      <c r="J1243" s="2">
        <v>280.0</v>
      </c>
      <c r="K1243" s="3">
        <f t="shared" si="4"/>
        <v>0.1855533466</v>
      </c>
      <c r="L1243" s="2">
        <v>192.0</v>
      </c>
      <c r="M1243" s="3">
        <f t="shared" si="5"/>
        <v>0.6095238095</v>
      </c>
      <c r="N1243" s="2">
        <v>1812100.0</v>
      </c>
      <c r="O1243" s="4">
        <f t="shared" si="6"/>
        <v>5752.698413</v>
      </c>
      <c r="P1243" s="2">
        <v>0.0</v>
      </c>
      <c r="Q1243" s="3">
        <f t="shared" si="7"/>
        <v>0</v>
      </c>
      <c r="R1243" s="2">
        <v>0.0</v>
      </c>
      <c r="S1243" s="5">
        <f t="shared" si="8"/>
        <v>0</v>
      </c>
    </row>
    <row r="1244">
      <c r="A1244" s="2" t="s">
        <v>1256</v>
      </c>
      <c r="B1244" s="2">
        <v>207.0</v>
      </c>
      <c r="C1244" s="2">
        <v>2464.0</v>
      </c>
      <c r="D1244" s="2">
        <v>841.0</v>
      </c>
      <c r="E1244" s="3">
        <f t="shared" si="1"/>
        <v>0.3726185202</v>
      </c>
      <c r="F1244" s="2">
        <v>332.0</v>
      </c>
      <c r="G1244" s="3">
        <f t="shared" si="2"/>
        <v>0.1470979176</v>
      </c>
      <c r="H1244" s="2">
        <v>497.0</v>
      </c>
      <c r="I1244" s="3">
        <f t="shared" si="3"/>
        <v>0.2202038104</v>
      </c>
      <c r="J1244" s="2">
        <v>384.0</v>
      </c>
      <c r="K1244" s="3">
        <f t="shared" si="4"/>
        <v>0.1701373505</v>
      </c>
      <c r="L1244" s="2">
        <v>300.0</v>
      </c>
      <c r="M1244" s="3">
        <f t="shared" si="5"/>
        <v>0.6036217304</v>
      </c>
      <c r="N1244" s="2">
        <v>3057200.0</v>
      </c>
      <c r="O1244" s="4">
        <f t="shared" si="6"/>
        <v>6151.307847</v>
      </c>
      <c r="P1244" s="2">
        <v>2.0</v>
      </c>
      <c r="Q1244" s="3">
        <f t="shared" si="7"/>
        <v>0.009661835749</v>
      </c>
      <c r="R1244" s="2">
        <v>207.0</v>
      </c>
      <c r="S1244" s="5">
        <f t="shared" si="8"/>
        <v>1</v>
      </c>
    </row>
    <row r="1245">
      <c r="A1245" s="2" t="s">
        <v>1257</v>
      </c>
      <c r="B1245" s="2">
        <v>686.0</v>
      </c>
      <c r="C1245" s="2">
        <v>8103.0</v>
      </c>
      <c r="D1245" s="2">
        <v>2917.0</v>
      </c>
      <c r="E1245" s="3">
        <f t="shared" si="1"/>
        <v>0.393285695</v>
      </c>
      <c r="F1245" s="2">
        <v>1091.0</v>
      </c>
      <c r="G1245" s="3">
        <f t="shared" si="2"/>
        <v>0.1470945126</v>
      </c>
      <c r="H1245" s="2">
        <v>1583.0</v>
      </c>
      <c r="I1245" s="3">
        <f t="shared" si="3"/>
        <v>0.21342861</v>
      </c>
      <c r="J1245" s="2">
        <v>1169.0</v>
      </c>
      <c r="K1245" s="3">
        <f t="shared" si="4"/>
        <v>0.1576108939</v>
      </c>
      <c r="L1245" s="2">
        <v>935.0</v>
      </c>
      <c r="M1245" s="3">
        <f t="shared" si="5"/>
        <v>0.5906506633</v>
      </c>
      <c r="N1245" s="2">
        <v>8774600.0</v>
      </c>
      <c r="O1245" s="4">
        <f t="shared" si="6"/>
        <v>5543.019583</v>
      </c>
      <c r="P1245" s="2">
        <v>1.0</v>
      </c>
      <c r="Q1245" s="3">
        <f t="shared" si="7"/>
        <v>0.001457725948</v>
      </c>
      <c r="R1245" s="2">
        <v>686.0</v>
      </c>
      <c r="S1245" s="5">
        <f t="shared" si="8"/>
        <v>1</v>
      </c>
    </row>
    <row r="1246">
      <c r="A1246" s="2" t="s">
        <v>1258</v>
      </c>
      <c r="B1246" s="2">
        <v>86.0</v>
      </c>
      <c r="C1246" s="2">
        <v>997.0</v>
      </c>
      <c r="D1246" s="2">
        <v>258.0</v>
      </c>
      <c r="E1246" s="3">
        <f t="shared" si="1"/>
        <v>0.2832052689</v>
      </c>
      <c r="F1246" s="2">
        <v>134.0</v>
      </c>
      <c r="G1246" s="3">
        <f t="shared" si="2"/>
        <v>0.1470911087</v>
      </c>
      <c r="H1246" s="2">
        <v>182.0</v>
      </c>
      <c r="I1246" s="3">
        <f t="shared" si="3"/>
        <v>0.199780461</v>
      </c>
      <c r="J1246" s="2">
        <v>142.0</v>
      </c>
      <c r="K1246" s="3">
        <f t="shared" si="4"/>
        <v>0.1558726674</v>
      </c>
      <c r="L1246" s="2">
        <v>96.0</v>
      </c>
      <c r="M1246" s="3">
        <f t="shared" si="5"/>
        <v>0.5274725275</v>
      </c>
      <c r="N1246" s="2">
        <v>1132800.0</v>
      </c>
      <c r="O1246" s="4">
        <f t="shared" si="6"/>
        <v>6224.175824</v>
      </c>
      <c r="P1246" s="2">
        <v>1.0</v>
      </c>
      <c r="Q1246" s="3">
        <f t="shared" si="7"/>
        <v>0.01162790698</v>
      </c>
      <c r="R1246" s="2">
        <v>86.0</v>
      </c>
      <c r="S1246" s="5">
        <f t="shared" si="8"/>
        <v>1</v>
      </c>
    </row>
    <row r="1247">
      <c r="A1247" s="2" t="s">
        <v>1259</v>
      </c>
      <c r="B1247" s="2">
        <v>257.0</v>
      </c>
      <c r="C1247" s="2">
        <v>2997.0</v>
      </c>
      <c r="D1247" s="2">
        <v>993.0</v>
      </c>
      <c r="E1247" s="3">
        <f t="shared" si="1"/>
        <v>0.3624087591</v>
      </c>
      <c r="F1247" s="2">
        <v>403.0</v>
      </c>
      <c r="G1247" s="3">
        <f t="shared" si="2"/>
        <v>0.147080292</v>
      </c>
      <c r="H1247" s="2">
        <v>616.0</v>
      </c>
      <c r="I1247" s="3">
        <f t="shared" si="3"/>
        <v>0.2248175182</v>
      </c>
      <c r="J1247" s="2">
        <v>531.0</v>
      </c>
      <c r="K1247" s="3">
        <f t="shared" si="4"/>
        <v>0.1937956204</v>
      </c>
      <c r="L1247" s="2">
        <v>364.0</v>
      </c>
      <c r="M1247" s="3">
        <f t="shared" si="5"/>
        <v>0.5909090909</v>
      </c>
      <c r="N1247" s="2">
        <v>3462600.0</v>
      </c>
      <c r="O1247" s="4">
        <f t="shared" si="6"/>
        <v>5621.103896</v>
      </c>
      <c r="P1247" s="2">
        <v>0.0</v>
      </c>
      <c r="Q1247" s="3">
        <f t="shared" si="7"/>
        <v>0</v>
      </c>
      <c r="R1247" s="2">
        <v>257.0</v>
      </c>
      <c r="S1247" s="5">
        <f t="shared" si="8"/>
        <v>1</v>
      </c>
    </row>
    <row r="1248">
      <c r="A1248" s="2" t="s">
        <v>1260</v>
      </c>
      <c r="B1248" s="2">
        <v>155.0</v>
      </c>
      <c r="C1248" s="2">
        <v>1821.0</v>
      </c>
      <c r="D1248" s="2">
        <v>625.0</v>
      </c>
      <c r="E1248" s="3">
        <f t="shared" si="1"/>
        <v>0.37515006</v>
      </c>
      <c r="F1248" s="2">
        <v>245.0</v>
      </c>
      <c r="G1248" s="3">
        <f t="shared" si="2"/>
        <v>0.1470588235</v>
      </c>
      <c r="H1248" s="2">
        <v>363.0</v>
      </c>
      <c r="I1248" s="3">
        <f t="shared" si="3"/>
        <v>0.2178871549</v>
      </c>
      <c r="J1248" s="2">
        <v>277.0</v>
      </c>
      <c r="K1248" s="3">
        <f t="shared" si="4"/>
        <v>0.1662665066</v>
      </c>
      <c r="L1248" s="2">
        <v>216.0</v>
      </c>
      <c r="M1248" s="3">
        <f t="shared" si="5"/>
        <v>0.5950413223</v>
      </c>
      <c r="N1248" s="2">
        <v>1843800.0</v>
      </c>
      <c r="O1248" s="4">
        <f t="shared" si="6"/>
        <v>5079.338843</v>
      </c>
      <c r="P1248" s="2">
        <v>0.0</v>
      </c>
      <c r="Q1248" s="3">
        <f t="shared" si="7"/>
        <v>0</v>
      </c>
      <c r="R1248" s="2">
        <v>155.0</v>
      </c>
      <c r="S1248" s="5">
        <f t="shared" si="8"/>
        <v>1</v>
      </c>
    </row>
    <row r="1249">
      <c r="A1249" s="2" t="s">
        <v>1261</v>
      </c>
      <c r="B1249" s="2">
        <v>92.0</v>
      </c>
      <c r="C1249" s="2">
        <v>1078.0</v>
      </c>
      <c r="D1249" s="2">
        <v>319.0</v>
      </c>
      <c r="E1249" s="3">
        <f t="shared" si="1"/>
        <v>0.3235294118</v>
      </c>
      <c r="F1249" s="2">
        <v>145.0</v>
      </c>
      <c r="G1249" s="3">
        <f t="shared" si="2"/>
        <v>0.1470588235</v>
      </c>
      <c r="H1249" s="2">
        <v>197.0</v>
      </c>
      <c r="I1249" s="3">
        <f t="shared" si="3"/>
        <v>0.1997971602</v>
      </c>
      <c r="J1249" s="2">
        <v>155.0</v>
      </c>
      <c r="K1249" s="3">
        <f t="shared" si="4"/>
        <v>0.1572008114</v>
      </c>
      <c r="L1249" s="2">
        <v>110.0</v>
      </c>
      <c r="M1249" s="3">
        <f t="shared" si="5"/>
        <v>0.5583756345</v>
      </c>
      <c r="N1249" s="2">
        <v>1117300.0</v>
      </c>
      <c r="O1249" s="4">
        <f t="shared" si="6"/>
        <v>5671.573604</v>
      </c>
      <c r="P1249" s="2">
        <v>1.0</v>
      </c>
      <c r="Q1249" s="3">
        <f t="shared" si="7"/>
        <v>0.01086956522</v>
      </c>
      <c r="R1249" s="2">
        <v>92.0</v>
      </c>
      <c r="S1249" s="5">
        <f t="shared" si="8"/>
        <v>1</v>
      </c>
    </row>
    <row r="1250">
      <c r="A1250" s="2" t="s">
        <v>1262</v>
      </c>
      <c r="B1250" s="2">
        <v>4.0</v>
      </c>
      <c r="C1250" s="2">
        <v>38.0</v>
      </c>
      <c r="D1250" s="2">
        <v>15.0</v>
      </c>
      <c r="E1250" s="3">
        <f t="shared" si="1"/>
        <v>0.4411764706</v>
      </c>
      <c r="F1250" s="2">
        <v>5.0</v>
      </c>
      <c r="G1250" s="3">
        <f t="shared" si="2"/>
        <v>0.1470588235</v>
      </c>
      <c r="H1250" s="2">
        <v>7.0</v>
      </c>
      <c r="I1250" s="3">
        <f t="shared" si="3"/>
        <v>0.2058823529</v>
      </c>
      <c r="J1250" s="2">
        <v>5.0</v>
      </c>
      <c r="K1250" s="3">
        <f t="shared" si="4"/>
        <v>0.1470588235</v>
      </c>
      <c r="L1250" s="2">
        <v>5.0</v>
      </c>
      <c r="M1250" s="3">
        <f t="shared" si="5"/>
        <v>0.7142857143</v>
      </c>
      <c r="N1250" s="2">
        <v>26100.0</v>
      </c>
      <c r="O1250" s="4">
        <f t="shared" si="6"/>
        <v>3728.571429</v>
      </c>
      <c r="P1250" s="2">
        <v>0.0</v>
      </c>
      <c r="Q1250" s="3">
        <f t="shared" si="7"/>
        <v>0</v>
      </c>
      <c r="R1250" s="2">
        <v>4.0</v>
      </c>
      <c r="S1250" s="5">
        <f t="shared" si="8"/>
        <v>1</v>
      </c>
    </row>
    <row r="1251">
      <c r="A1251" s="2" t="s">
        <v>1263</v>
      </c>
      <c r="B1251" s="2">
        <v>43.0</v>
      </c>
      <c r="C1251" s="2">
        <v>526.0</v>
      </c>
      <c r="D1251" s="2">
        <v>170.0</v>
      </c>
      <c r="E1251" s="3">
        <f t="shared" si="1"/>
        <v>0.3519668737</v>
      </c>
      <c r="F1251" s="2">
        <v>71.0</v>
      </c>
      <c r="G1251" s="3">
        <f t="shared" si="2"/>
        <v>0.1469979296</v>
      </c>
      <c r="H1251" s="2">
        <v>100.0</v>
      </c>
      <c r="I1251" s="3">
        <f t="shared" si="3"/>
        <v>0.2070393375</v>
      </c>
      <c r="J1251" s="2">
        <v>90.0</v>
      </c>
      <c r="K1251" s="3">
        <f t="shared" si="4"/>
        <v>0.1863354037</v>
      </c>
      <c r="L1251" s="2">
        <v>59.0</v>
      </c>
      <c r="M1251" s="3">
        <f t="shared" si="5"/>
        <v>0.59</v>
      </c>
      <c r="N1251" s="2">
        <v>526200.0</v>
      </c>
      <c r="O1251" s="4">
        <f t="shared" si="6"/>
        <v>5262</v>
      </c>
      <c r="P1251" s="2">
        <v>0.0</v>
      </c>
      <c r="Q1251" s="3">
        <f t="shared" si="7"/>
        <v>0</v>
      </c>
      <c r="R1251" s="2">
        <v>37.0</v>
      </c>
      <c r="S1251" s="5">
        <f t="shared" si="8"/>
        <v>0.8604651163</v>
      </c>
    </row>
    <row r="1252">
      <c r="A1252" s="2" t="s">
        <v>1264</v>
      </c>
      <c r="B1252" s="2">
        <v>413.0</v>
      </c>
      <c r="C1252" s="2">
        <v>4835.0</v>
      </c>
      <c r="D1252" s="2">
        <v>1517.0</v>
      </c>
      <c r="E1252" s="3">
        <f t="shared" si="1"/>
        <v>0.3430574401</v>
      </c>
      <c r="F1252" s="2">
        <v>650.0</v>
      </c>
      <c r="G1252" s="3">
        <f t="shared" si="2"/>
        <v>0.1469923112</v>
      </c>
      <c r="H1252" s="2">
        <v>912.0</v>
      </c>
      <c r="I1252" s="3">
        <f t="shared" si="3"/>
        <v>0.2062415197</v>
      </c>
      <c r="J1252" s="2">
        <v>843.0</v>
      </c>
      <c r="K1252" s="3">
        <f t="shared" si="4"/>
        <v>0.1906377205</v>
      </c>
      <c r="L1252" s="2">
        <v>501.0</v>
      </c>
      <c r="M1252" s="3">
        <f t="shared" si="5"/>
        <v>0.5493421053</v>
      </c>
      <c r="N1252" s="2">
        <v>5570800.0</v>
      </c>
      <c r="O1252" s="4">
        <f t="shared" si="6"/>
        <v>6108.333333</v>
      </c>
      <c r="P1252" s="2">
        <v>2.0</v>
      </c>
      <c r="Q1252" s="3">
        <f t="shared" si="7"/>
        <v>0.004842615012</v>
      </c>
      <c r="R1252" s="2">
        <v>413.0</v>
      </c>
      <c r="S1252" s="5">
        <f t="shared" si="8"/>
        <v>1</v>
      </c>
    </row>
    <row r="1253">
      <c r="A1253" s="2" t="s">
        <v>1265</v>
      </c>
      <c r="B1253" s="2">
        <v>33.0</v>
      </c>
      <c r="C1253" s="2">
        <v>380.0</v>
      </c>
      <c r="D1253" s="2">
        <v>125.0</v>
      </c>
      <c r="E1253" s="3">
        <f t="shared" si="1"/>
        <v>0.3602305476</v>
      </c>
      <c r="F1253" s="2">
        <v>51.0</v>
      </c>
      <c r="G1253" s="3">
        <f t="shared" si="2"/>
        <v>0.1469740634</v>
      </c>
      <c r="H1253" s="2">
        <v>80.0</v>
      </c>
      <c r="I1253" s="3">
        <f t="shared" si="3"/>
        <v>0.2305475504</v>
      </c>
      <c r="J1253" s="2">
        <v>69.0</v>
      </c>
      <c r="K1253" s="3">
        <f t="shared" si="4"/>
        <v>0.1988472622</v>
      </c>
      <c r="L1253" s="2">
        <v>41.0</v>
      </c>
      <c r="M1253" s="3">
        <f t="shared" si="5"/>
        <v>0.5125</v>
      </c>
      <c r="N1253" s="2">
        <v>450700.0</v>
      </c>
      <c r="O1253" s="4">
        <f t="shared" si="6"/>
        <v>5633.75</v>
      </c>
      <c r="P1253" s="2">
        <v>0.0</v>
      </c>
      <c r="Q1253" s="3">
        <f t="shared" si="7"/>
        <v>0</v>
      </c>
      <c r="R1253" s="2">
        <v>33.0</v>
      </c>
      <c r="S1253" s="5">
        <f t="shared" si="8"/>
        <v>1</v>
      </c>
    </row>
    <row r="1254">
      <c r="A1254" s="2" t="s">
        <v>1266</v>
      </c>
      <c r="B1254" s="2">
        <v>58.0</v>
      </c>
      <c r="C1254" s="2">
        <v>684.0</v>
      </c>
      <c r="D1254" s="2">
        <v>198.0</v>
      </c>
      <c r="E1254" s="3">
        <f t="shared" si="1"/>
        <v>0.3162939297</v>
      </c>
      <c r="F1254" s="2">
        <v>92.0</v>
      </c>
      <c r="G1254" s="3">
        <f t="shared" si="2"/>
        <v>0.1469648562</v>
      </c>
      <c r="H1254" s="2">
        <v>132.0</v>
      </c>
      <c r="I1254" s="3">
        <f t="shared" si="3"/>
        <v>0.2108626198</v>
      </c>
      <c r="J1254" s="2">
        <v>120.0</v>
      </c>
      <c r="K1254" s="3">
        <f t="shared" si="4"/>
        <v>0.1916932907</v>
      </c>
      <c r="L1254" s="2">
        <v>66.0</v>
      </c>
      <c r="M1254" s="3">
        <f t="shared" si="5"/>
        <v>0.5</v>
      </c>
      <c r="N1254" s="2">
        <v>858500.0</v>
      </c>
      <c r="O1254" s="4">
        <f t="shared" si="6"/>
        <v>6503.787879</v>
      </c>
      <c r="P1254" s="2">
        <v>0.0</v>
      </c>
      <c r="Q1254" s="3">
        <f t="shared" si="7"/>
        <v>0</v>
      </c>
      <c r="R1254" s="2">
        <v>58.0</v>
      </c>
      <c r="S1254" s="5">
        <f t="shared" si="8"/>
        <v>1</v>
      </c>
    </row>
    <row r="1255">
      <c r="A1255" s="2" t="s">
        <v>1267</v>
      </c>
      <c r="B1255" s="2">
        <v>50.0</v>
      </c>
      <c r="C1255" s="2">
        <v>574.0</v>
      </c>
      <c r="D1255" s="2">
        <v>139.0</v>
      </c>
      <c r="E1255" s="3">
        <f t="shared" si="1"/>
        <v>0.2652671756</v>
      </c>
      <c r="F1255" s="2">
        <v>77.0</v>
      </c>
      <c r="G1255" s="3">
        <f t="shared" si="2"/>
        <v>0.1469465649</v>
      </c>
      <c r="H1255" s="2">
        <v>95.0</v>
      </c>
      <c r="I1255" s="3">
        <f t="shared" si="3"/>
        <v>0.1812977099</v>
      </c>
      <c r="J1255" s="2">
        <v>99.0</v>
      </c>
      <c r="K1255" s="3">
        <f t="shared" si="4"/>
        <v>0.1889312977</v>
      </c>
      <c r="L1255" s="2">
        <v>62.0</v>
      </c>
      <c r="M1255" s="3">
        <f t="shared" si="5"/>
        <v>0.6526315789</v>
      </c>
      <c r="N1255" s="2">
        <v>564800.0</v>
      </c>
      <c r="O1255" s="4">
        <f t="shared" si="6"/>
        <v>5945.263158</v>
      </c>
      <c r="P1255" s="2">
        <v>1.0</v>
      </c>
      <c r="Q1255" s="3">
        <f t="shared" si="7"/>
        <v>0.02</v>
      </c>
      <c r="R1255" s="2">
        <v>50.0</v>
      </c>
      <c r="S1255" s="5">
        <f t="shared" si="8"/>
        <v>1</v>
      </c>
    </row>
    <row r="1256">
      <c r="A1256" s="2" t="s">
        <v>1268</v>
      </c>
      <c r="B1256" s="2">
        <v>288.0</v>
      </c>
      <c r="C1256" s="2">
        <v>3296.0</v>
      </c>
      <c r="D1256" s="2">
        <v>776.0</v>
      </c>
      <c r="E1256" s="3">
        <f t="shared" si="1"/>
        <v>0.2579787234</v>
      </c>
      <c r="F1256" s="2">
        <v>442.0</v>
      </c>
      <c r="G1256" s="3">
        <f t="shared" si="2"/>
        <v>0.1469414894</v>
      </c>
      <c r="H1256" s="2">
        <v>575.0</v>
      </c>
      <c r="I1256" s="3">
        <f t="shared" si="3"/>
        <v>0.1911569149</v>
      </c>
      <c r="J1256" s="2">
        <v>469.0</v>
      </c>
      <c r="K1256" s="3">
        <f t="shared" si="4"/>
        <v>0.1559175532</v>
      </c>
      <c r="L1256" s="2">
        <v>364.0</v>
      </c>
      <c r="M1256" s="3">
        <f t="shared" si="5"/>
        <v>0.6330434783</v>
      </c>
      <c r="N1256" s="2">
        <v>3464200.0</v>
      </c>
      <c r="O1256" s="4">
        <f t="shared" si="6"/>
        <v>6024.695652</v>
      </c>
      <c r="P1256" s="2">
        <v>0.0</v>
      </c>
      <c r="Q1256" s="3">
        <f t="shared" si="7"/>
        <v>0</v>
      </c>
      <c r="R1256" s="2">
        <v>288.0</v>
      </c>
      <c r="S1256" s="5">
        <f t="shared" si="8"/>
        <v>1</v>
      </c>
    </row>
    <row r="1257">
      <c r="A1257" s="2" t="s">
        <v>1269</v>
      </c>
      <c r="B1257" s="2">
        <v>1639.0</v>
      </c>
      <c r="C1257" s="2">
        <v>18898.0</v>
      </c>
      <c r="D1257" s="2">
        <v>5324.0</v>
      </c>
      <c r="E1257" s="3">
        <f t="shared" si="1"/>
        <v>0.3084767368</v>
      </c>
      <c r="F1257" s="2">
        <v>2536.0</v>
      </c>
      <c r="G1257" s="3">
        <f t="shared" si="2"/>
        <v>0.1469378295</v>
      </c>
      <c r="H1257" s="2">
        <v>3851.0</v>
      </c>
      <c r="I1257" s="3">
        <f t="shared" si="3"/>
        <v>0.2231299612</v>
      </c>
      <c r="J1257" s="2">
        <v>3139.0</v>
      </c>
      <c r="K1257" s="3">
        <f t="shared" si="4"/>
        <v>0.1818761226</v>
      </c>
      <c r="L1257" s="2">
        <v>2346.0</v>
      </c>
      <c r="M1257" s="3">
        <f t="shared" si="5"/>
        <v>0.6091924176</v>
      </c>
      <c r="N1257" s="2">
        <v>2.12744E7</v>
      </c>
      <c r="O1257" s="4">
        <f t="shared" si="6"/>
        <v>5524.383277</v>
      </c>
      <c r="P1257" s="2">
        <v>4.0</v>
      </c>
      <c r="Q1257" s="3">
        <f t="shared" si="7"/>
        <v>0.002440512508</v>
      </c>
      <c r="R1257" s="2">
        <v>1639.0</v>
      </c>
      <c r="S1257" s="5">
        <f t="shared" si="8"/>
        <v>1</v>
      </c>
    </row>
    <row r="1258">
      <c r="A1258" s="2" t="s">
        <v>1270</v>
      </c>
      <c r="B1258" s="2">
        <v>895.0</v>
      </c>
      <c r="C1258" s="2">
        <v>10560.0</v>
      </c>
      <c r="D1258" s="2">
        <v>3885.0</v>
      </c>
      <c r="E1258" s="3">
        <f t="shared" si="1"/>
        <v>0.4019658562</v>
      </c>
      <c r="F1258" s="2">
        <v>1420.0</v>
      </c>
      <c r="G1258" s="3">
        <f t="shared" si="2"/>
        <v>0.1469218831</v>
      </c>
      <c r="H1258" s="2">
        <v>1899.0</v>
      </c>
      <c r="I1258" s="3">
        <f t="shared" si="3"/>
        <v>0.1964821521</v>
      </c>
      <c r="J1258" s="2">
        <v>1534.0</v>
      </c>
      <c r="K1258" s="3">
        <f t="shared" si="4"/>
        <v>0.1587170202</v>
      </c>
      <c r="L1258" s="2">
        <v>1144.0</v>
      </c>
      <c r="M1258" s="3">
        <f t="shared" si="5"/>
        <v>0.6024223275</v>
      </c>
      <c r="N1258" s="2">
        <v>1.07154E7</v>
      </c>
      <c r="O1258" s="4">
        <f t="shared" si="6"/>
        <v>5642.654028</v>
      </c>
      <c r="P1258" s="2">
        <v>2.0</v>
      </c>
      <c r="Q1258" s="3">
        <f t="shared" si="7"/>
        <v>0.002234636872</v>
      </c>
      <c r="R1258" s="2">
        <v>1.0</v>
      </c>
      <c r="S1258" s="5">
        <f t="shared" si="8"/>
        <v>0.001117318436</v>
      </c>
    </row>
    <row r="1259">
      <c r="A1259" s="2" t="s">
        <v>1271</v>
      </c>
      <c r="B1259" s="2">
        <v>98.0</v>
      </c>
      <c r="C1259" s="2">
        <v>1119.0</v>
      </c>
      <c r="D1259" s="2">
        <v>357.0</v>
      </c>
      <c r="E1259" s="3">
        <f t="shared" si="1"/>
        <v>0.3496571988</v>
      </c>
      <c r="F1259" s="2">
        <v>150.0</v>
      </c>
      <c r="G1259" s="3">
        <f t="shared" si="2"/>
        <v>0.1469147894</v>
      </c>
      <c r="H1259" s="2">
        <v>212.0</v>
      </c>
      <c r="I1259" s="3">
        <f t="shared" si="3"/>
        <v>0.207639569</v>
      </c>
      <c r="J1259" s="2">
        <v>185.0</v>
      </c>
      <c r="K1259" s="3">
        <f t="shared" si="4"/>
        <v>0.181194907</v>
      </c>
      <c r="L1259" s="2">
        <v>123.0</v>
      </c>
      <c r="M1259" s="3">
        <f t="shared" si="5"/>
        <v>0.5801886792</v>
      </c>
      <c r="N1259" s="2">
        <v>1308000.0</v>
      </c>
      <c r="O1259" s="4">
        <f t="shared" si="6"/>
        <v>6169.811321</v>
      </c>
      <c r="P1259" s="2">
        <v>0.0</v>
      </c>
      <c r="Q1259" s="3">
        <f t="shared" si="7"/>
        <v>0</v>
      </c>
      <c r="R1259" s="2">
        <v>98.0</v>
      </c>
      <c r="S1259" s="5">
        <f t="shared" si="8"/>
        <v>1</v>
      </c>
    </row>
    <row r="1260">
      <c r="A1260" s="2" t="s">
        <v>1272</v>
      </c>
      <c r="B1260" s="2">
        <v>72.0</v>
      </c>
      <c r="C1260" s="2">
        <v>848.0</v>
      </c>
      <c r="D1260" s="2">
        <v>379.0</v>
      </c>
      <c r="E1260" s="3">
        <f t="shared" si="1"/>
        <v>0.4884020619</v>
      </c>
      <c r="F1260" s="2">
        <v>114.0</v>
      </c>
      <c r="G1260" s="3">
        <f t="shared" si="2"/>
        <v>0.1469072165</v>
      </c>
      <c r="H1260" s="2">
        <v>155.0</v>
      </c>
      <c r="I1260" s="3">
        <f t="shared" si="3"/>
        <v>0.199742268</v>
      </c>
      <c r="J1260" s="2">
        <v>105.0</v>
      </c>
      <c r="K1260" s="3">
        <f t="shared" si="4"/>
        <v>0.1353092784</v>
      </c>
      <c r="L1260" s="2">
        <v>87.0</v>
      </c>
      <c r="M1260" s="3">
        <f t="shared" si="5"/>
        <v>0.5612903226</v>
      </c>
      <c r="N1260" s="2">
        <v>708700.0</v>
      </c>
      <c r="O1260" s="4">
        <f t="shared" si="6"/>
        <v>4572.258065</v>
      </c>
      <c r="P1260" s="2">
        <v>0.0</v>
      </c>
      <c r="Q1260" s="3">
        <f t="shared" si="7"/>
        <v>0</v>
      </c>
      <c r="R1260" s="2">
        <v>72.0</v>
      </c>
      <c r="S1260" s="5">
        <f t="shared" si="8"/>
        <v>1</v>
      </c>
    </row>
    <row r="1261">
      <c r="A1261" s="2" t="s">
        <v>1273</v>
      </c>
      <c r="B1261" s="2">
        <v>68.0</v>
      </c>
      <c r="C1261" s="2">
        <v>810.0</v>
      </c>
      <c r="D1261" s="2">
        <v>244.0</v>
      </c>
      <c r="E1261" s="3">
        <f t="shared" si="1"/>
        <v>0.3288409704</v>
      </c>
      <c r="F1261" s="2">
        <v>109.0</v>
      </c>
      <c r="G1261" s="3">
        <f t="shared" si="2"/>
        <v>0.1469002695</v>
      </c>
      <c r="H1261" s="2">
        <v>122.0</v>
      </c>
      <c r="I1261" s="3">
        <f t="shared" si="3"/>
        <v>0.1644204852</v>
      </c>
      <c r="J1261" s="2">
        <v>105.0</v>
      </c>
      <c r="K1261" s="3">
        <f t="shared" si="4"/>
        <v>0.141509434</v>
      </c>
      <c r="L1261" s="2">
        <v>63.0</v>
      </c>
      <c r="M1261" s="3">
        <f t="shared" si="5"/>
        <v>0.5163934426</v>
      </c>
      <c r="N1261" s="2">
        <v>640000.0</v>
      </c>
      <c r="O1261" s="4">
        <f t="shared" si="6"/>
        <v>5245.901639</v>
      </c>
      <c r="P1261" s="2">
        <v>0.0</v>
      </c>
      <c r="Q1261" s="3">
        <f t="shared" si="7"/>
        <v>0</v>
      </c>
      <c r="R1261" s="2">
        <v>68.0</v>
      </c>
      <c r="S1261" s="5">
        <f t="shared" si="8"/>
        <v>1</v>
      </c>
    </row>
    <row r="1262">
      <c r="A1262" s="2" t="s">
        <v>1274</v>
      </c>
      <c r="B1262" s="2">
        <v>173.0</v>
      </c>
      <c r="C1262" s="2">
        <v>2011.0</v>
      </c>
      <c r="D1262" s="2">
        <v>676.0</v>
      </c>
      <c r="E1262" s="3">
        <f t="shared" si="1"/>
        <v>0.3677910773</v>
      </c>
      <c r="F1262" s="2">
        <v>270.0</v>
      </c>
      <c r="G1262" s="3">
        <f t="shared" si="2"/>
        <v>0.146898803</v>
      </c>
      <c r="H1262" s="2">
        <v>394.0</v>
      </c>
      <c r="I1262" s="3">
        <f t="shared" si="3"/>
        <v>0.2143634385</v>
      </c>
      <c r="J1262" s="2">
        <v>319.0</v>
      </c>
      <c r="K1262" s="3">
        <f t="shared" si="4"/>
        <v>0.1735582155</v>
      </c>
      <c r="L1262" s="2">
        <v>230.0</v>
      </c>
      <c r="M1262" s="3">
        <f t="shared" si="5"/>
        <v>0.5837563452</v>
      </c>
      <c r="N1262" s="2">
        <v>2543700.0</v>
      </c>
      <c r="O1262" s="4">
        <f t="shared" si="6"/>
        <v>6456.091371</v>
      </c>
      <c r="P1262" s="2">
        <v>0.0</v>
      </c>
      <c r="Q1262" s="3">
        <f t="shared" si="7"/>
        <v>0</v>
      </c>
      <c r="R1262" s="2">
        <v>173.0</v>
      </c>
      <c r="S1262" s="5">
        <f t="shared" si="8"/>
        <v>1</v>
      </c>
    </row>
    <row r="1263">
      <c r="A1263" s="2" t="s">
        <v>1275</v>
      </c>
      <c r="B1263" s="2">
        <v>179.0</v>
      </c>
      <c r="C1263" s="2">
        <v>2126.0</v>
      </c>
      <c r="D1263" s="2">
        <v>778.0</v>
      </c>
      <c r="E1263" s="3">
        <f t="shared" si="1"/>
        <v>0.3995891115</v>
      </c>
      <c r="F1263" s="2">
        <v>286.0</v>
      </c>
      <c r="G1263" s="3">
        <f t="shared" si="2"/>
        <v>0.1468926554</v>
      </c>
      <c r="H1263" s="2">
        <v>429.0</v>
      </c>
      <c r="I1263" s="3">
        <f t="shared" si="3"/>
        <v>0.2203389831</v>
      </c>
      <c r="J1263" s="2">
        <v>284.0</v>
      </c>
      <c r="K1263" s="3">
        <f t="shared" si="4"/>
        <v>0.145865434</v>
      </c>
      <c r="L1263" s="2">
        <v>252.0</v>
      </c>
      <c r="M1263" s="3">
        <f t="shared" si="5"/>
        <v>0.5874125874</v>
      </c>
      <c r="N1263" s="2">
        <v>2293200.0</v>
      </c>
      <c r="O1263" s="4">
        <f t="shared" si="6"/>
        <v>5345.454545</v>
      </c>
      <c r="P1263" s="2">
        <v>1.0</v>
      </c>
      <c r="Q1263" s="3">
        <f t="shared" si="7"/>
        <v>0.005586592179</v>
      </c>
      <c r="R1263" s="2">
        <v>0.0</v>
      </c>
      <c r="S1263" s="5">
        <f t="shared" si="8"/>
        <v>0</v>
      </c>
    </row>
    <row r="1264">
      <c r="A1264" s="2" t="s">
        <v>1276</v>
      </c>
      <c r="B1264" s="2">
        <v>63.0</v>
      </c>
      <c r="C1264" s="2">
        <v>737.0</v>
      </c>
      <c r="D1264" s="2">
        <v>204.0</v>
      </c>
      <c r="E1264" s="3">
        <f t="shared" si="1"/>
        <v>0.3026706231</v>
      </c>
      <c r="F1264" s="2">
        <v>99.0</v>
      </c>
      <c r="G1264" s="3">
        <f t="shared" si="2"/>
        <v>0.146884273</v>
      </c>
      <c r="H1264" s="2">
        <v>133.0</v>
      </c>
      <c r="I1264" s="3">
        <f t="shared" si="3"/>
        <v>0.1973293769</v>
      </c>
      <c r="J1264" s="2">
        <v>102.0</v>
      </c>
      <c r="K1264" s="3">
        <f t="shared" si="4"/>
        <v>0.1513353116</v>
      </c>
      <c r="L1264" s="2">
        <v>82.0</v>
      </c>
      <c r="M1264" s="3">
        <f t="shared" si="5"/>
        <v>0.6165413534</v>
      </c>
      <c r="N1264" s="2">
        <v>812700.0</v>
      </c>
      <c r="O1264" s="4">
        <f t="shared" si="6"/>
        <v>6110.526316</v>
      </c>
      <c r="P1264" s="2">
        <v>0.0</v>
      </c>
      <c r="Q1264" s="3">
        <f t="shared" si="7"/>
        <v>0</v>
      </c>
      <c r="R1264" s="2">
        <v>63.0</v>
      </c>
      <c r="S1264" s="5">
        <f t="shared" si="8"/>
        <v>1</v>
      </c>
    </row>
    <row r="1265">
      <c r="A1265" s="2" t="s">
        <v>1277</v>
      </c>
      <c r="B1265" s="2">
        <v>90.0</v>
      </c>
      <c r="C1265" s="2">
        <v>1084.0</v>
      </c>
      <c r="D1265" s="2">
        <v>362.0</v>
      </c>
      <c r="E1265" s="3">
        <f t="shared" si="1"/>
        <v>0.3641851107</v>
      </c>
      <c r="F1265" s="2">
        <v>146.0</v>
      </c>
      <c r="G1265" s="3">
        <f t="shared" si="2"/>
        <v>0.1468812877</v>
      </c>
      <c r="H1265" s="2">
        <v>208.0</v>
      </c>
      <c r="I1265" s="3">
        <f t="shared" si="3"/>
        <v>0.2092555332</v>
      </c>
      <c r="J1265" s="2">
        <v>157.0</v>
      </c>
      <c r="K1265" s="3">
        <f t="shared" si="4"/>
        <v>0.1579476861</v>
      </c>
      <c r="L1265" s="2">
        <v>127.0</v>
      </c>
      <c r="M1265" s="3">
        <f t="shared" si="5"/>
        <v>0.6105769231</v>
      </c>
      <c r="N1265" s="2">
        <v>952800.0</v>
      </c>
      <c r="O1265" s="4">
        <f t="shared" si="6"/>
        <v>4580.769231</v>
      </c>
      <c r="P1265" s="2">
        <v>0.0</v>
      </c>
      <c r="Q1265" s="3">
        <f t="shared" si="7"/>
        <v>0</v>
      </c>
      <c r="R1265" s="2">
        <v>85.0</v>
      </c>
      <c r="S1265" s="5">
        <f t="shared" si="8"/>
        <v>0.9444444444</v>
      </c>
    </row>
    <row r="1266">
      <c r="A1266" s="2" t="s">
        <v>1278</v>
      </c>
      <c r="B1266" s="2">
        <v>186.0</v>
      </c>
      <c r="C1266" s="2">
        <v>2072.0</v>
      </c>
      <c r="D1266" s="2">
        <v>635.0</v>
      </c>
      <c r="E1266" s="3">
        <f t="shared" si="1"/>
        <v>0.3366914104</v>
      </c>
      <c r="F1266" s="2">
        <v>277.0</v>
      </c>
      <c r="G1266" s="3">
        <f t="shared" si="2"/>
        <v>0.1468716861</v>
      </c>
      <c r="H1266" s="2">
        <v>364.0</v>
      </c>
      <c r="I1266" s="3">
        <f t="shared" si="3"/>
        <v>0.1930010604</v>
      </c>
      <c r="J1266" s="2">
        <v>333.0</v>
      </c>
      <c r="K1266" s="3">
        <f t="shared" si="4"/>
        <v>0.1765641569</v>
      </c>
      <c r="L1266" s="2">
        <v>227.0</v>
      </c>
      <c r="M1266" s="3">
        <f t="shared" si="5"/>
        <v>0.6236263736</v>
      </c>
      <c r="N1266" s="2">
        <v>2050400.0</v>
      </c>
      <c r="O1266" s="4">
        <f t="shared" si="6"/>
        <v>5632.967033</v>
      </c>
      <c r="P1266" s="2">
        <v>1.0</v>
      </c>
      <c r="Q1266" s="3">
        <f t="shared" si="7"/>
        <v>0.005376344086</v>
      </c>
      <c r="R1266" s="2">
        <v>87.0</v>
      </c>
      <c r="S1266" s="5">
        <f t="shared" si="8"/>
        <v>0.4677419355</v>
      </c>
    </row>
    <row r="1267">
      <c r="A1267" s="2" t="s">
        <v>1279</v>
      </c>
      <c r="B1267" s="2">
        <v>15.0</v>
      </c>
      <c r="C1267" s="2">
        <v>158.0</v>
      </c>
      <c r="D1267" s="2">
        <v>51.0</v>
      </c>
      <c r="E1267" s="3">
        <f t="shared" si="1"/>
        <v>0.3566433566</v>
      </c>
      <c r="F1267" s="2">
        <v>21.0</v>
      </c>
      <c r="G1267" s="3">
        <f t="shared" si="2"/>
        <v>0.1468531469</v>
      </c>
      <c r="H1267" s="2">
        <v>25.0</v>
      </c>
      <c r="I1267" s="3">
        <f t="shared" si="3"/>
        <v>0.1748251748</v>
      </c>
      <c r="J1267" s="2">
        <v>28.0</v>
      </c>
      <c r="K1267" s="3">
        <f t="shared" si="4"/>
        <v>0.1958041958</v>
      </c>
      <c r="L1267" s="2">
        <v>16.0</v>
      </c>
      <c r="M1267" s="3">
        <f t="shared" si="5"/>
        <v>0.64</v>
      </c>
      <c r="N1267" s="2">
        <v>177500.0</v>
      </c>
      <c r="O1267" s="4">
        <f t="shared" si="6"/>
        <v>7100</v>
      </c>
      <c r="P1267" s="2">
        <v>1.0</v>
      </c>
      <c r="Q1267" s="3">
        <f t="shared" si="7"/>
        <v>0.06666666667</v>
      </c>
      <c r="R1267" s="2">
        <v>0.0</v>
      </c>
      <c r="S1267" s="5">
        <f t="shared" si="8"/>
        <v>0</v>
      </c>
    </row>
    <row r="1268">
      <c r="A1268" s="2" t="s">
        <v>1280</v>
      </c>
      <c r="B1268" s="2">
        <v>105.0</v>
      </c>
      <c r="C1268" s="2">
        <v>1249.0</v>
      </c>
      <c r="D1268" s="2">
        <v>396.0</v>
      </c>
      <c r="E1268" s="3">
        <f t="shared" si="1"/>
        <v>0.3461538462</v>
      </c>
      <c r="F1268" s="2">
        <v>168.0</v>
      </c>
      <c r="G1268" s="3">
        <f t="shared" si="2"/>
        <v>0.1468531469</v>
      </c>
      <c r="H1268" s="2">
        <v>215.0</v>
      </c>
      <c r="I1268" s="3">
        <f t="shared" si="3"/>
        <v>0.1879370629</v>
      </c>
      <c r="J1268" s="2">
        <v>188.0</v>
      </c>
      <c r="K1268" s="3">
        <f t="shared" si="4"/>
        <v>0.1643356643</v>
      </c>
      <c r="L1268" s="2">
        <v>121.0</v>
      </c>
      <c r="M1268" s="3">
        <f t="shared" si="5"/>
        <v>0.5627906977</v>
      </c>
      <c r="N1268" s="2">
        <v>1224900.0</v>
      </c>
      <c r="O1268" s="4">
        <f t="shared" si="6"/>
        <v>5697.209302</v>
      </c>
      <c r="P1268" s="2">
        <v>1.0</v>
      </c>
      <c r="Q1268" s="3">
        <f t="shared" si="7"/>
        <v>0.009523809524</v>
      </c>
      <c r="R1268" s="2">
        <v>0.0</v>
      </c>
      <c r="S1268" s="5">
        <f t="shared" si="8"/>
        <v>0</v>
      </c>
    </row>
    <row r="1269">
      <c r="A1269" s="2" t="s">
        <v>1281</v>
      </c>
      <c r="B1269" s="2">
        <v>105.0</v>
      </c>
      <c r="C1269" s="2">
        <v>1215.0</v>
      </c>
      <c r="D1269" s="2">
        <v>379.0</v>
      </c>
      <c r="E1269" s="3">
        <f t="shared" si="1"/>
        <v>0.3414414414</v>
      </c>
      <c r="F1269" s="2">
        <v>163.0</v>
      </c>
      <c r="G1269" s="3">
        <f t="shared" si="2"/>
        <v>0.1468468468</v>
      </c>
      <c r="H1269" s="2">
        <v>226.0</v>
      </c>
      <c r="I1269" s="3">
        <f t="shared" si="3"/>
        <v>0.2036036036</v>
      </c>
      <c r="J1269" s="2">
        <v>177.0</v>
      </c>
      <c r="K1269" s="3">
        <f t="shared" si="4"/>
        <v>0.1594594595</v>
      </c>
      <c r="L1269" s="2">
        <v>128.0</v>
      </c>
      <c r="M1269" s="3">
        <f t="shared" si="5"/>
        <v>0.5663716814</v>
      </c>
      <c r="N1269" s="2">
        <v>1281700.0</v>
      </c>
      <c r="O1269" s="4">
        <f t="shared" si="6"/>
        <v>5671.238938</v>
      </c>
      <c r="P1269" s="2">
        <v>0.0</v>
      </c>
      <c r="Q1269" s="3">
        <f t="shared" si="7"/>
        <v>0</v>
      </c>
      <c r="R1269" s="2">
        <v>105.0</v>
      </c>
      <c r="S1269" s="5">
        <f t="shared" si="8"/>
        <v>1</v>
      </c>
    </row>
    <row r="1270">
      <c r="A1270" s="2" t="s">
        <v>1282</v>
      </c>
      <c r="B1270" s="2">
        <v>278.0</v>
      </c>
      <c r="C1270" s="2">
        <v>3186.0</v>
      </c>
      <c r="D1270" s="2">
        <v>959.0</v>
      </c>
      <c r="E1270" s="3">
        <f t="shared" si="1"/>
        <v>0.3297799175</v>
      </c>
      <c r="F1270" s="2">
        <v>427.0</v>
      </c>
      <c r="G1270" s="3">
        <f t="shared" si="2"/>
        <v>0.1468363136</v>
      </c>
      <c r="H1270" s="2">
        <v>603.0</v>
      </c>
      <c r="I1270" s="3">
        <f t="shared" si="3"/>
        <v>0.2073590096</v>
      </c>
      <c r="J1270" s="2">
        <v>420.0</v>
      </c>
      <c r="K1270" s="3">
        <f t="shared" si="4"/>
        <v>0.1444291609</v>
      </c>
      <c r="L1270" s="2">
        <v>344.0</v>
      </c>
      <c r="M1270" s="3">
        <f t="shared" si="5"/>
        <v>0.5704809287</v>
      </c>
      <c r="N1270" s="2">
        <v>3477000.0</v>
      </c>
      <c r="O1270" s="4">
        <f t="shared" si="6"/>
        <v>5766.169154</v>
      </c>
      <c r="P1270" s="2">
        <v>0.0</v>
      </c>
      <c r="Q1270" s="3">
        <f t="shared" si="7"/>
        <v>0</v>
      </c>
      <c r="R1270" s="2">
        <v>278.0</v>
      </c>
      <c r="S1270" s="5">
        <f t="shared" si="8"/>
        <v>1</v>
      </c>
    </row>
    <row r="1271">
      <c r="A1271" s="2" t="s">
        <v>1283</v>
      </c>
      <c r="B1271" s="2">
        <v>70.0</v>
      </c>
      <c r="C1271" s="2">
        <v>860.0</v>
      </c>
      <c r="D1271" s="2">
        <v>240.0</v>
      </c>
      <c r="E1271" s="3">
        <f t="shared" si="1"/>
        <v>0.3037974684</v>
      </c>
      <c r="F1271" s="2">
        <v>116.0</v>
      </c>
      <c r="G1271" s="3">
        <f t="shared" si="2"/>
        <v>0.146835443</v>
      </c>
      <c r="H1271" s="2">
        <v>158.0</v>
      </c>
      <c r="I1271" s="3">
        <f t="shared" si="3"/>
        <v>0.2</v>
      </c>
      <c r="J1271" s="2">
        <v>146.0</v>
      </c>
      <c r="K1271" s="3">
        <f t="shared" si="4"/>
        <v>0.1848101266</v>
      </c>
      <c r="L1271" s="2">
        <v>95.0</v>
      </c>
      <c r="M1271" s="3">
        <f t="shared" si="5"/>
        <v>0.6012658228</v>
      </c>
      <c r="N1271" s="2">
        <v>897500.0</v>
      </c>
      <c r="O1271" s="4">
        <f t="shared" si="6"/>
        <v>5680.379747</v>
      </c>
      <c r="P1271" s="2">
        <v>0.0</v>
      </c>
      <c r="Q1271" s="3">
        <f t="shared" si="7"/>
        <v>0</v>
      </c>
      <c r="R1271" s="2">
        <v>70.0</v>
      </c>
      <c r="S1271" s="5">
        <f t="shared" si="8"/>
        <v>1</v>
      </c>
    </row>
    <row r="1272">
      <c r="A1272" s="2" t="s">
        <v>1284</v>
      </c>
      <c r="B1272" s="2">
        <v>137.0</v>
      </c>
      <c r="C1272" s="2">
        <v>1574.0</v>
      </c>
      <c r="D1272" s="2">
        <v>707.0</v>
      </c>
      <c r="E1272" s="3">
        <f t="shared" si="1"/>
        <v>0.4919972164</v>
      </c>
      <c r="F1272" s="2">
        <v>211.0</v>
      </c>
      <c r="G1272" s="3">
        <f t="shared" si="2"/>
        <v>0.1468336813</v>
      </c>
      <c r="H1272" s="2">
        <v>315.0</v>
      </c>
      <c r="I1272" s="3">
        <f t="shared" si="3"/>
        <v>0.2192066806</v>
      </c>
      <c r="J1272" s="2">
        <v>227.0</v>
      </c>
      <c r="K1272" s="3">
        <f t="shared" si="4"/>
        <v>0.1579679889</v>
      </c>
      <c r="L1272" s="2">
        <v>184.0</v>
      </c>
      <c r="M1272" s="3">
        <f t="shared" si="5"/>
        <v>0.5841269841</v>
      </c>
      <c r="N1272" s="2">
        <v>1692300.0</v>
      </c>
      <c r="O1272" s="4">
        <f t="shared" si="6"/>
        <v>5372.380952</v>
      </c>
      <c r="P1272" s="2">
        <v>0.0</v>
      </c>
      <c r="Q1272" s="3">
        <f t="shared" si="7"/>
        <v>0</v>
      </c>
      <c r="R1272" s="2">
        <v>0.0</v>
      </c>
      <c r="S1272" s="5">
        <f t="shared" si="8"/>
        <v>0</v>
      </c>
    </row>
    <row r="1273">
      <c r="A1273" s="2" t="s">
        <v>1285</v>
      </c>
      <c r="B1273" s="2">
        <v>548.0</v>
      </c>
      <c r="C1273" s="2">
        <v>6446.0</v>
      </c>
      <c r="D1273" s="2">
        <v>2297.0</v>
      </c>
      <c r="E1273" s="3">
        <f t="shared" si="1"/>
        <v>0.3894540522</v>
      </c>
      <c r="F1273" s="2">
        <v>866.0</v>
      </c>
      <c r="G1273" s="3">
        <f t="shared" si="2"/>
        <v>0.1468294337</v>
      </c>
      <c r="H1273" s="2">
        <v>1280.0</v>
      </c>
      <c r="I1273" s="3">
        <f t="shared" si="3"/>
        <v>0.2170227196</v>
      </c>
      <c r="J1273" s="2">
        <v>1111.0</v>
      </c>
      <c r="K1273" s="3">
        <f t="shared" si="4"/>
        <v>0.1883689386</v>
      </c>
      <c r="L1273" s="2">
        <v>742.0</v>
      </c>
      <c r="M1273" s="3">
        <f t="shared" si="5"/>
        <v>0.5796875</v>
      </c>
      <c r="N1273" s="2">
        <v>6984000.0</v>
      </c>
      <c r="O1273" s="4">
        <f t="shared" si="6"/>
        <v>5456.25</v>
      </c>
      <c r="P1273" s="2">
        <v>0.0</v>
      </c>
      <c r="Q1273" s="3">
        <f t="shared" si="7"/>
        <v>0</v>
      </c>
      <c r="R1273" s="2">
        <v>548.0</v>
      </c>
      <c r="S1273" s="5">
        <f t="shared" si="8"/>
        <v>1</v>
      </c>
    </row>
    <row r="1274">
      <c r="A1274" s="2" t="s">
        <v>1286</v>
      </c>
      <c r="B1274" s="2">
        <v>500.0</v>
      </c>
      <c r="C1274" s="2">
        <v>5826.0</v>
      </c>
      <c r="D1274" s="2">
        <v>2155.0</v>
      </c>
      <c r="E1274" s="3">
        <f t="shared" si="1"/>
        <v>0.4046188509</v>
      </c>
      <c r="F1274" s="2">
        <v>782.0</v>
      </c>
      <c r="G1274" s="3">
        <f t="shared" si="2"/>
        <v>0.146826887</v>
      </c>
      <c r="H1274" s="2">
        <v>1097.0</v>
      </c>
      <c r="I1274" s="3">
        <f t="shared" si="3"/>
        <v>0.2059707097</v>
      </c>
      <c r="J1274" s="2">
        <v>820.0</v>
      </c>
      <c r="K1274" s="3">
        <f t="shared" si="4"/>
        <v>0.1539616973</v>
      </c>
      <c r="L1274" s="2">
        <v>656.0</v>
      </c>
      <c r="M1274" s="3">
        <f t="shared" si="5"/>
        <v>0.5979945305</v>
      </c>
      <c r="N1274" s="2">
        <v>6144000.0</v>
      </c>
      <c r="O1274" s="4">
        <f t="shared" si="6"/>
        <v>5600.729262</v>
      </c>
      <c r="P1274" s="2">
        <v>0.0</v>
      </c>
      <c r="Q1274" s="3">
        <f t="shared" si="7"/>
        <v>0</v>
      </c>
      <c r="R1274" s="2">
        <v>499.0</v>
      </c>
      <c r="S1274" s="5">
        <f t="shared" si="8"/>
        <v>0.998</v>
      </c>
    </row>
    <row r="1275">
      <c r="A1275" s="2" t="s">
        <v>1287</v>
      </c>
      <c r="B1275" s="2">
        <v>727.0</v>
      </c>
      <c r="C1275" s="2">
        <v>8288.0</v>
      </c>
      <c r="D1275" s="2">
        <v>3070.0</v>
      </c>
      <c r="E1275" s="3">
        <f t="shared" si="1"/>
        <v>0.4060309483</v>
      </c>
      <c r="F1275" s="2">
        <v>1110.0</v>
      </c>
      <c r="G1275" s="3">
        <f t="shared" si="2"/>
        <v>0.146805978</v>
      </c>
      <c r="H1275" s="2">
        <v>1775.0</v>
      </c>
      <c r="I1275" s="3">
        <f t="shared" si="3"/>
        <v>0.2347573072</v>
      </c>
      <c r="J1275" s="2">
        <v>1508.0</v>
      </c>
      <c r="K1275" s="3">
        <f t="shared" si="4"/>
        <v>0.1994445179</v>
      </c>
      <c r="L1275" s="2">
        <v>1069.0</v>
      </c>
      <c r="M1275" s="3">
        <f t="shared" si="5"/>
        <v>0.6022535211</v>
      </c>
      <c r="N1275" s="2">
        <v>9841700.0</v>
      </c>
      <c r="O1275" s="4">
        <f t="shared" si="6"/>
        <v>5544.619718</v>
      </c>
      <c r="P1275" s="2">
        <v>5.0</v>
      </c>
      <c r="Q1275" s="3">
        <f t="shared" si="7"/>
        <v>0.006877579092</v>
      </c>
      <c r="R1275" s="2">
        <v>343.0</v>
      </c>
      <c r="S1275" s="5">
        <f t="shared" si="8"/>
        <v>0.4718019257</v>
      </c>
    </row>
    <row r="1276">
      <c r="A1276" s="2" t="s">
        <v>1288</v>
      </c>
      <c r="B1276" s="2">
        <v>27.0</v>
      </c>
      <c r="C1276" s="2">
        <v>320.0</v>
      </c>
      <c r="D1276" s="2">
        <v>106.0</v>
      </c>
      <c r="E1276" s="3">
        <f t="shared" si="1"/>
        <v>0.361774744</v>
      </c>
      <c r="F1276" s="2">
        <v>43.0</v>
      </c>
      <c r="G1276" s="3">
        <f t="shared" si="2"/>
        <v>0.1467576792</v>
      </c>
      <c r="H1276" s="2">
        <v>57.0</v>
      </c>
      <c r="I1276" s="3">
        <f t="shared" si="3"/>
        <v>0.1945392491</v>
      </c>
      <c r="J1276" s="2">
        <v>42.0</v>
      </c>
      <c r="K1276" s="3">
        <f t="shared" si="4"/>
        <v>0.1433447099</v>
      </c>
      <c r="L1276" s="2">
        <v>31.0</v>
      </c>
      <c r="M1276" s="3">
        <f t="shared" si="5"/>
        <v>0.5438596491</v>
      </c>
      <c r="N1276" s="2">
        <v>262200.0</v>
      </c>
      <c r="O1276" s="4">
        <f t="shared" si="6"/>
        <v>4600</v>
      </c>
      <c r="P1276" s="2">
        <v>0.0</v>
      </c>
      <c r="Q1276" s="3">
        <f t="shared" si="7"/>
        <v>0</v>
      </c>
      <c r="R1276" s="2">
        <v>0.0</v>
      </c>
      <c r="S1276" s="5">
        <f t="shared" si="8"/>
        <v>0</v>
      </c>
    </row>
    <row r="1277">
      <c r="A1277" s="2" t="s">
        <v>1289</v>
      </c>
      <c r="B1277" s="2">
        <v>127.0</v>
      </c>
      <c r="C1277" s="2">
        <v>1483.0</v>
      </c>
      <c r="D1277" s="2">
        <v>531.0</v>
      </c>
      <c r="E1277" s="3">
        <f t="shared" si="1"/>
        <v>0.3915929204</v>
      </c>
      <c r="F1277" s="2">
        <v>199.0</v>
      </c>
      <c r="G1277" s="3">
        <f t="shared" si="2"/>
        <v>0.1467551622</v>
      </c>
      <c r="H1277" s="2">
        <v>285.0</v>
      </c>
      <c r="I1277" s="3">
        <f t="shared" si="3"/>
        <v>0.2101769912</v>
      </c>
      <c r="J1277" s="2">
        <v>256.0</v>
      </c>
      <c r="K1277" s="3">
        <f t="shared" si="4"/>
        <v>0.1887905605</v>
      </c>
      <c r="L1277" s="2">
        <v>175.0</v>
      </c>
      <c r="M1277" s="3">
        <f t="shared" si="5"/>
        <v>0.6140350877</v>
      </c>
      <c r="N1277" s="2">
        <v>1514300.0</v>
      </c>
      <c r="O1277" s="4">
        <f t="shared" si="6"/>
        <v>5313.333333</v>
      </c>
      <c r="P1277" s="2">
        <v>0.0</v>
      </c>
      <c r="Q1277" s="3">
        <f t="shared" si="7"/>
        <v>0</v>
      </c>
      <c r="R1277" s="2">
        <v>127.0</v>
      </c>
      <c r="S1277" s="5">
        <f t="shared" si="8"/>
        <v>1</v>
      </c>
    </row>
    <row r="1278">
      <c r="A1278" s="2" t="s">
        <v>1290</v>
      </c>
      <c r="B1278" s="2">
        <v>241.0</v>
      </c>
      <c r="C1278" s="2">
        <v>2742.0</v>
      </c>
      <c r="D1278" s="2">
        <v>721.0</v>
      </c>
      <c r="E1278" s="3">
        <f t="shared" si="1"/>
        <v>0.2882846861</v>
      </c>
      <c r="F1278" s="2">
        <v>367.0</v>
      </c>
      <c r="G1278" s="3">
        <f t="shared" si="2"/>
        <v>0.1467413035</v>
      </c>
      <c r="H1278" s="2">
        <v>521.0</v>
      </c>
      <c r="I1278" s="3">
        <f t="shared" si="3"/>
        <v>0.2083166733</v>
      </c>
      <c r="J1278" s="2">
        <v>453.0</v>
      </c>
      <c r="K1278" s="3">
        <f t="shared" si="4"/>
        <v>0.181127549</v>
      </c>
      <c r="L1278" s="2">
        <v>308.0</v>
      </c>
      <c r="M1278" s="3">
        <f t="shared" si="5"/>
        <v>0.5911708253</v>
      </c>
      <c r="N1278" s="2">
        <v>3016100.0</v>
      </c>
      <c r="O1278" s="4">
        <f t="shared" si="6"/>
        <v>5789.059501</v>
      </c>
      <c r="P1278" s="2">
        <v>0.0</v>
      </c>
      <c r="Q1278" s="3">
        <f t="shared" si="7"/>
        <v>0</v>
      </c>
      <c r="R1278" s="2">
        <v>241.0</v>
      </c>
      <c r="S1278" s="5">
        <f t="shared" si="8"/>
        <v>1</v>
      </c>
    </row>
    <row r="1279">
      <c r="A1279" s="2" t="s">
        <v>1291</v>
      </c>
      <c r="B1279" s="2">
        <v>154.0</v>
      </c>
      <c r="C1279" s="2">
        <v>1810.0</v>
      </c>
      <c r="D1279" s="2">
        <v>916.0</v>
      </c>
      <c r="E1279" s="3">
        <f t="shared" si="1"/>
        <v>0.5531400966</v>
      </c>
      <c r="F1279" s="2">
        <v>243.0</v>
      </c>
      <c r="G1279" s="3">
        <f t="shared" si="2"/>
        <v>0.1467391304</v>
      </c>
      <c r="H1279" s="2">
        <v>389.0</v>
      </c>
      <c r="I1279" s="3">
        <f t="shared" si="3"/>
        <v>0.2349033816</v>
      </c>
      <c r="J1279" s="2">
        <v>221.0</v>
      </c>
      <c r="K1279" s="3">
        <f t="shared" si="4"/>
        <v>0.1334541063</v>
      </c>
      <c r="L1279" s="2">
        <v>256.0</v>
      </c>
      <c r="M1279" s="3">
        <f t="shared" si="5"/>
        <v>0.6580976864</v>
      </c>
      <c r="N1279" s="2">
        <v>1970500.0</v>
      </c>
      <c r="O1279" s="4">
        <f t="shared" si="6"/>
        <v>5065.552699</v>
      </c>
      <c r="P1279" s="2">
        <v>0.0</v>
      </c>
      <c r="Q1279" s="3">
        <f t="shared" si="7"/>
        <v>0</v>
      </c>
      <c r="R1279" s="2">
        <v>154.0</v>
      </c>
      <c r="S1279" s="5">
        <f t="shared" si="8"/>
        <v>1</v>
      </c>
    </row>
    <row r="1280">
      <c r="A1280" s="2" t="s">
        <v>1292</v>
      </c>
      <c r="B1280" s="2">
        <v>261.0</v>
      </c>
      <c r="C1280" s="2">
        <v>2926.0</v>
      </c>
      <c r="D1280" s="2">
        <v>887.0</v>
      </c>
      <c r="E1280" s="3">
        <f t="shared" si="1"/>
        <v>0.3328330206</v>
      </c>
      <c r="F1280" s="2">
        <v>391.0</v>
      </c>
      <c r="G1280" s="3">
        <f t="shared" si="2"/>
        <v>0.1467166979</v>
      </c>
      <c r="H1280" s="2">
        <v>576.0</v>
      </c>
      <c r="I1280" s="3">
        <f t="shared" si="3"/>
        <v>0.2161350844</v>
      </c>
      <c r="J1280" s="2">
        <v>396.0</v>
      </c>
      <c r="K1280" s="3">
        <f t="shared" si="4"/>
        <v>0.1485928705</v>
      </c>
      <c r="L1280" s="2">
        <v>351.0</v>
      </c>
      <c r="M1280" s="3">
        <f t="shared" si="5"/>
        <v>0.609375</v>
      </c>
      <c r="N1280" s="2">
        <v>3598500.0</v>
      </c>
      <c r="O1280" s="4">
        <f t="shared" si="6"/>
        <v>6247.395833</v>
      </c>
      <c r="P1280" s="2">
        <v>1.0</v>
      </c>
      <c r="Q1280" s="3">
        <f t="shared" si="7"/>
        <v>0.003831417625</v>
      </c>
      <c r="R1280" s="2">
        <v>261.0</v>
      </c>
      <c r="S1280" s="5">
        <f t="shared" si="8"/>
        <v>1</v>
      </c>
    </row>
    <row r="1281">
      <c r="A1281" s="2" t="s">
        <v>1293</v>
      </c>
      <c r="B1281" s="2">
        <v>54.0</v>
      </c>
      <c r="C1281" s="2">
        <v>647.0</v>
      </c>
      <c r="D1281" s="2">
        <v>192.0</v>
      </c>
      <c r="E1281" s="3">
        <f t="shared" si="1"/>
        <v>0.323777403</v>
      </c>
      <c r="F1281" s="2">
        <v>87.0</v>
      </c>
      <c r="G1281" s="3">
        <f t="shared" si="2"/>
        <v>0.1467116358</v>
      </c>
      <c r="H1281" s="2">
        <v>121.0</v>
      </c>
      <c r="I1281" s="3">
        <f t="shared" si="3"/>
        <v>0.2040472175</v>
      </c>
      <c r="J1281" s="2">
        <v>114.0</v>
      </c>
      <c r="K1281" s="3">
        <f t="shared" si="4"/>
        <v>0.1922428331</v>
      </c>
      <c r="L1281" s="2">
        <v>76.0</v>
      </c>
      <c r="M1281" s="3">
        <f t="shared" si="5"/>
        <v>0.6280991736</v>
      </c>
      <c r="N1281" s="2">
        <v>642600.0</v>
      </c>
      <c r="O1281" s="4">
        <f t="shared" si="6"/>
        <v>5310.743802</v>
      </c>
      <c r="P1281" s="2">
        <v>0.0</v>
      </c>
      <c r="Q1281" s="3">
        <f t="shared" si="7"/>
        <v>0</v>
      </c>
      <c r="R1281" s="2">
        <v>54.0</v>
      </c>
      <c r="S1281" s="5">
        <f t="shared" si="8"/>
        <v>1</v>
      </c>
    </row>
    <row r="1282">
      <c r="A1282" s="2" t="s">
        <v>1294</v>
      </c>
      <c r="B1282" s="2">
        <v>852.0</v>
      </c>
      <c r="C1282" s="2">
        <v>9802.0</v>
      </c>
      <c r="D1282" s="2">
        <v>2764.0</v>
      </c>
      <c r="E1282" s="3">
        <f t="shared" si="1"/>
        <v>0.3088268156</v>
      </c>
      <c r="F1282" s="2">
        <v>1313.0</v>
      </c>
      <c r="G1282" s="3">
        <f t="shared" si="2"/>
        <v>0.1467039106</v>
      </c>
      <c r="H1282" s="2">
        <v>1973.0</v>
      </c>
      <c r="I1282" s="3">
        <f t="shared" si="3"/>
        <v>0.2204469274</v>
      </c>
      <c r="J1282" s="2">
        <v>1727.0</v>
      </c>
      <c r="K1282" s="3">
        <f t="shared" si="4"/>
        <v>0.1929608939</v>
      </c>
      <c r="L1282" s="2">
        <v>1203.0</v>
      </c>
      <c r="M1282" s="3">
        <f t="shared" si="5"/>
        <v>0.6097313735</v>
      </c>
      <c r="N1282" s="2">
        <v>1.17175E7</v>
      </c>
      <c r="O1282" s="4">
        <f t="shared" si="6"/>
        <v>5938.925494</v>
      </c>
      <c r="P1282" s="2">
        <v>3.0</v>
      </c>
      <c r="Q1282" s="3">
        <f t="shared" si="7"/>
        <v>0.003521126761</v>
      </c>
      <c r="R1282" s="2">
        <v>55.0</v>
      </c>
      <c r="S1282" s="5">
        <f t="shared" si="8"/>
        <v>0.06455399061</v>
      </c>
    </row>
    <row r="1283">
      <c r="A1283" s="2" t="s">
        <v>1295</v>
      </c>
      <c r="B1283" s="2">
        <v>1149.0</v>
      </c>
      <c r="C1283" s="2">
        <v>13257.0</v>
      </c>
      <c r="D1283" s="2">
        <v>4014.0</v>
      </c>
      <c r="E1283" s="3">
        <f t="shared" si="1"/>
        <v>0.3315163528</v>
      </c>
      <c r="F1283" s="2">
        <v>1776.0</v>
      </c>
      <c r="G1283" s="3">
        <f t="shared" si="2"/>
        <v>0.1466798811</v>
      </c>
      <c r="H1283" s="2">
        <v>2560.0</v>
      </c>
      <c r="I1283" s="3">
        <f t="shared" si="3"/>
        <v>0.2114304592</v>
      </c>
      <c r="J1283" s="2">
        <v>1934.0</v>
      </c>
      <c r="K1283" s="3">
        <f t="shared" si="4"/>
        <v>0.1597291047</v>
      </c>
      <c r="L1283" s="2">
        <v>1542.0</v>
      </c>
      <c r="M1283" s="3">
        <f t="shared" si="5"/>
        <v>0.60234375</v>
      </c>
      <c r="N1283" s="2">
        <v>1.4242E7</v>
      </c>
      <c r="O1283" s="4">
        <f t="shared" si="6"/>
        <v>5563.28125</v>
      </c>
      <c r="P1283" s="2">
        <v>5.0</v>
      </c>
      <c r="Q1283" s="3">
        <f t="shared" si="7"/>
        <v>0.004351610096</v>
      </c>
      <c r="R1283" s="2">
        <v>1149.0</v>
      </c>
      <c r="S1283" s="5">
        <f t="shared" si="8"/>
        <v>1</v>
      </c>
    </row>
    <row r="1284">
      <c r="A1284" s="2" t="s">
        <v>1296</v>
      </c>
      <c r="B1284" s="2">
        <v>95.0</v>
      </c>
      <c r="C1284" s="2">
        <v>1104.0</v>
      </c>
      <c r="D1284" s="2">
        <v>396.0</v>
      </c>
      <c r="E1284" s="3">
        <f t="shared" si="1"/>
        <v>0.3924677899</v>
      </c>
      <c r="F1284" s="2">
        <v>148.0</v>
      </c>
      <c r="G1284" s="3">
        <f t="shared" si="2"/>
        <v>0.1466798811</v>
      </c>
      <c r="H1284" s="2">
        <v>206.0</v>
      </c>
      <c r="I1284" s="3">
        <f t="shared" si="3"/>
        <v>0.2041625372</v>
      </c>
      <c r="J1284" s="2">
        <v>146.0</v>
      </c>
      <c r="K1284" s="3">
        <f t="shared" si="4"/>
        <v>0.1446977205</v>
      </c>
      <c r="L1284" s="2">
        <v>129.0</v>
      </c>
      <c r="M1284" s="3">
        <f t="shared" si="5"/>
        <v>0.6262135922</v>
      </c>
      <c r="N1284" s="2">
        <v>1164000.0</v>
      </c>
      <c r="O1284" s="4">
        <f t="shared" si="6"/>
        <v>5650.485437</v>
      </c>
      <c r="P1284" s="2">
        <v>0.0</v>
      </c>
      <c r="Q1284" s="3">
        <f t="shared" si="7"/>
        <v>0</v>
      </c>
      <c r="R1284" s="2">
        <v>95.0</v>
      </c>
      <c r="S1284" s="5">
        <f t="shared" si="8"/>
        <v>1</v>
      </c>
    </row>
    <row r="1285">
      <c r="A1285" s="2" t="s">
        <v>1297</v>
      </c>
      <c r="B1285" s="2">
        <v>114.0</v>
      </c>
      <c r="C1285" s="2">
        <v>1348.0</v>
      </c>
      <c r="D1285" s="2">
        <v>453.0</v>
      </c>
      <c r="E1285" s="3">
        <f t="shared" si="1"/>
        <v>0.3670988655</v>
      </c>
      <c r="F1285" s="2">
        <v>181.0</v>
      </c>
      <c r="G1285" s="3">
        <f t="shared" si="2"/>
        <v>0.1466774716</v>
      </c>
      <c r="H1285" s="2">
        <v>266.0</v>
      </c>
      <c r="I1285" s="3">
        <f t="shared" si="3"/>
        <v>0.2155591572</v>
      </c>
      <c r="J1285" s="2">
        <v>229.0</v>
      </c>
      <c r="K1285" s="3">
        <f t="shared" si="4"/>
        <v>0.1855753647</v>
      </c>
      <c r="L1285" s="2">
        <v>151.0</v>
      </c>
      <c r="M1285" s="3">
        <f t="shared" si="5"/>
        <v>0.5676691729</v>
      </c>
      <c r="N1285" s="2">
        <v>1613400.0</v>
      </c>
      <c r="O1285" s="4">
        <f t="shared" si="6"/>
        <v>6065.413534</v>
      </c>
      <c r="P1285" s="2">
        <v>0.0</v>
      </c>
      <c r="Q1285" s="3">
        <f t="shared" si="7"/>
        <v>0</v>
      </c>
      <c r="R1285" s="2">
        <v>114.0</v>
      </c>
      <c r="S1285" s="5">
        <f t="shared" si="8"/>
        <v>1</v>
      </c>
    </row>
    <row r="1286">
      <c r="A1286" s="2" t="s">
        <v>1298</v>
      </c>
      <c r="B1286" s="2">
        <v>260.0</v>
      </c>
      <c r="C1286" s="2">
        <v>3035.0</v>
      </c>
      <c r="D1286" s="2">
        <v>809.0</v>
      </c>
      <c r="E1286" s="3">
        <f t="shared" si="1"/>
        <v>0.2915315315</v>
      </c>
      <c r="F1286" s="2">
        <v>407.0</v>
      </c>
      <c r="G1286" s="3">
        <f t="shared" si="2"/>
        <v>0.1466666667</v>
      </c>
      <c r="H1286" s="2">
        <v>513.0</v>
      </c>
      <c r="I1286" s="3">
        <f t="shared" si="3"/>
        <v>0.1848648649</v>
      </c>
      <c r="J1286" s="2">
        <v>541.0</v>
      </c>
      <c r="K1286" s="3">
        <f t="shared" si="4"/>
        <v>0.194954955</v>
      </c>
      <c r="L1286" s="2">
        <v>301.0</v>
      </c>
      <c r="M1286" s="3">
        <f t="shared" si="5"/>
        <v>0.5867446394</v>
      </c>
      <c r="N1286" s="2">
        <v>3031900.0</v>
      </c>
      <c r="O1286" s="4">
        <f t="shared" si="6"/>
        <v>5910.136452</v>
      </c>
      <c r="P1286" s="2">
        <v>2.0</v>
      </c>
      <c r="Q1286" s="3">
        <f t="shared" si="7"/>
        <v>0.007692307692</v>
      </c>
      <c r="R1286" s="2">
        <v>3.0</v>
      </c>
      <c r="S1286" s="5">
        <f t="shared" si="8"/>
        <v>0.01153846154</v>
      </c>
    </row>
    <row r="1287">
      <c r="A1287" s="2" t="s">
        <v>1299</v>
      </c>
      <c r="B1287" s="2">
        <v>111.0</v>
      </c>
      <c r="C1287" s="2">
        <v>1318.0</v>
      </c>
      <c r="D1287" s="2">
        <v>345.0</v>
      </c>
      <c r="E1287" s="3">
        <f t="shared" si="1"/>
        <v>0.2858326429</v>
      </c>
      <c r="F1287" s="2">
        <v>177.0</v>
      </c>
      <c r="G1287" s="3">
        <f t="shared" si="2"/>
        <v>0.1466445733</v>
      </c>
      <c r="H1287" s="2">
        <v>227.0</v>
      </c>
      <c r="I1287" s="3">
        <f t="shared" si="3"/>
        <v>0.188069594</v>
      </c>
      <c r="J1287" s="2">
        <v>175.0</v>
      </c>
      <c r="K1287" s="3">
        <f t="shared" si="4"/>
        <v>0.1449875725</v>
      </c>
      <c r="L1287" s="2">
        <v>135.0</v>
      </c>
      <c r="M1287" s="3">
        <f t="shared" si="5"/>
        <v>0.5947136564</v>
      </c>
      <c r="N1287" s="2">
        <v>1319000.0</v>
      </c>
      <c r="O1287" s="4">
        <f t="shared" si="6"/>
        <v>5810.572687</v>
      </c>
      <c r="P1287" s="2">
        <v>0.0</v>
      </c>
      <c r="Q1287" s="3">
        <f t="shared" si="7"/>
        <v>0</v>
      </c>
      <c r="R1287" s="2">
        <v>111.0</v>
      </c>
      <c r="S1287" s="5">
        <f t="shared" si="8"/>
        <v>1</v>
      </c>
    </row>
    <row r="1288">
      <c r="A1288" s="2" t="s">
        <v>1300</v>
      </c>
      <c r="B1288" s="2">
        <v>245.0</v>
      </c>
      <c r="C1288" s="2">
        <v>2925.0</v>
      </c>
      <c r="D1288" s="2">
        <v>1016.0</v>
      </c>
      <c r="E1288" s="3">
        <f t="shared" si="1"/>
        <v>0.3791044776</v>
      </c>
      <c r="F1288" s="2">
        <v>393.0</v>
      </c>
      <c r="G1288" s="3">
        <f t="shared" si="2"/>
        <v>0.146641791</v>
      </c>
      <c r="H1288" s="2">
        <v>559.0</v>
      </c>
      <c r="I1288" s="3">
        <f t="shared" si="3"/>
        <v>0.2085820896</v>
      </c>
      <c r="J1288" s="2">
        <v>450.0</v>
      </c>
      <c r="K1288" s="3">
        <f t="shared" si="4"/>
        <v>0.1679104478</v>
      </c>
      <c r="L1288" s="2">
        <v>331.0</v>
      </c>
      <c r="M1288" s="3">
        <f t="shared" si="5"/>
        <v>0.5921288014</v>
      </c>
      <c r="N1288" s="2">
        <v>3185800.0</v>
      </c>
      <c r="O1288" s="4">
        <f t="shared" si="6"/>
        <v>5699.105546</v>
      </c>
      <c r="P1288" s="2">
        <v>0.0</v>
      </c>
      <c r="Q1288" s="3">
        <f t="shared" si="7"/>
        <v>0</v>
      </c>
      <c r="R1288" s="2">
        <v>206.0</v>
      </c>
      <c r="S1288" s="5">
        <f t="shared" si="8"/>
        <v>0.8408163265</v>
      </c>
    </row>
    <row r="1289">
      <c r="A1289" s="2" t="s">
        <v>1301</v>
      </c>
      <c r="B1289" s="2">
        <v>3264.0</v>
      </c>
      <c r="C1289" s="2">
        <v>37932.0</v>
      </c>
      <c r="D1289" s="2">
        <v>10682.0</v>
      </c>
      <c r="E1289" s="3">
        <f t="shared" si="1"/>
        <v>0.3081227645</v>
      </c>
      <c r="F1289" s="2">
        <v>5083.0</v>
      </c>
      <c r="G1289" s="3">
        <f t="shared" si="2"/>
        <v>0.1466193608</v>
      </c>
      <c r="H1289" s="2">
        <v>7707.0</v>
      </c>
      <c r="I1289" s="3">
        <f t="shared" si="3"/>
        <v>0.2223087574</v>
      </c>
      <c r="J1289" s="2">
        <v>6316.0</v>
      </c>
      <c r="K1289" s="3">
        <f t="shared" si="4"/>
        <v>0.1821853006</v>
      </c>
      <c r="L1289" s="2">
        <v>4626.0</v>
      </c>
      <c r="M1289" s="3">
        <f t="shared" si="5"/>
        <v>0.6002335539</v>
      </c>
      <c r="N1289" s="2">
        <v>4.50278E7</v>
      </c>
      <c r="O1289" s="4">
        <f t="shared" si="6"/>
        <v>5842.454911</v>
      </c>
      <c r="P1289" s="2">
        <v>9.0</v>
      </c>
      <c r="Q1289" s="3">
        <f t="shared" si="7"/>
        <v>0.002757352941</v>
      </c>
      <c r="R1289" s="2">
        <v>3172.0</v>
      </c>
      <c r="S1289" s="5">
        <f t="shared" si="8"/>
        <v>0.9718137255</v>
      </c>
    </row>
    <row r="1290">
      <c r="A1290" s="2" t="s">
        <v>1302</v>
      </c>
      <c r="B1290" s="2">
        <v>563.0</v>
      </c>
      <c r="C1290" s="2">
        <v>6424.0</v>
      </c>
      <c r="D1290" s="2">
        <v>1824.0</v>
      </c>
      <c r="E1290" s="3">
        <f t="shared" si="1"/>
        <v>0.3112096912</v>
      </c>
      <c r="F1290" s="2">
        <v>859.0</v>
      </c>
      <c r="G1290" s="3">
        <f t="shared" si="2"/>
        <v>0.1465620201</v>
      </c>
      <c r="H1290" s="2">
        <v>1189.0</v>
      </c>
      <c r="I1290" s="3">
        <f t="shared" si="3"/>
        <v>0.2028664051</v>
      </c>
      <c r="J1290" s="2">
        <v>985.0</v>
      </c>
      <c r="K1290" s="3">
        <f t="shared" si="4"/>
        <v>0.168060058</v>
      </c>
      <c r="L1290" s="2">
        <v>721.0</v>
      </c>
      <c r="M1290" s="3">
        <f t="shared" si="5"/>
        <v>0.606391926</v>
      </c>
      <c r="N1290" s="2">
        <v>7448200.0</v>
      </c>
      <c r="O1290" s="4">
        <f t="shared" si="6"/>
        <v>6264.255677</v>
      </c>
      <c r="P1290" s="2">
        <v>0.0</v>
      </c>
      <c r="Q1290" s="3">
        <f t="shared" si="7"/>
        <v>0</v>
      </c>
      <c r="R1290" s="2">
        <v>563.0</v>
      </c>
      <c r="S1290" s="5">
        <f t="shared" si="8"/>
        <v>1</v>
      </c>
    </row>
    <row r="1291">
      <c r="A1291" s="2" t="s">
        <v>1303</v>
      </c>
      <c r="B1291" s="2">
        <v>360.0</v>
      </c>
      <c r="C1291" s="2">
        <v>4297.0</v>
      </c>
      <c r="D1291" s="2">
        <v>975.0</v>
      </c>
      <c r="E1291" s="3">
        <f t="shared" si="1"/>
        <v>0.2476504953</v>
      </c>
      <c r="F1291" s="2">
        <v>577.0</v>
      </c>
      <c r="G1291" s="3">
        <f t="shared" si="2"/>
        <v>0.1465582931</v>
      </c>
      <c r="H1291" s="2">
        <v>735.0</v>
      </c>
      <c r="I1291" s="3">
        <f t="shared" si="3"/>
        <v>0.1866903734</v>
      </c>
      <c r="J1291" s="2">
        <v>698.0</v>
      </c>
      <c r="K1291" s="3">
        <f t="shared" si="4"/>
        <v>0.1772923546</v>
      </c>
      <c r="L1291" s="2">
        <v>445.0</v>
      </c>
      <c r="M1291" s="3">
        <f t="shared" si="5"/>
        <v>0.6054421769</v>
      </c>
      <c r="N1291" s="2">
        <v>4695900.0</v>
      </c>
      <c r="O1291" s="4">
        <f t="shared" si="6"/>
        <v>6388.979592</v>
      </c>
      <c r="P1291" s="2">
        <v>0.0</v>
      </c>
      <c r="Q1291" s="3">
        <f t="shared" si="7"/>
        <v>0</v>
      </c>
      <c r="R1291" s="2">
        <v>360.0</v>
      </c>
      <c r="S1291" s="5">
        <f t="shared" si="8"/>
        <v>1</v>
      </c>
    </row>
    <row r="1292">
      <c r="A1292" s="2" t="s">
        <v>1304</v>
      </c>
      <c r="B1292" s="2">
        <v>186.0</v>
      </c>
      <c r="C1292" s="2">
        <v>2158.0</v>
      </c>
      <c r="D1292" s="2">
        <v>635.0</v>
      </c>
      <c r="E1292" s="3">
        <f t="shared" si="1"/>
        <v>0.3220081136</v>
      </c>
      <c r="F1292" s="2">
        <v>289.0</v>
      </c>
      <c r="G1292" s="3">
        <f t="shared" si="2"/>
        <v>0.1465517241</v>
      </c>
      <c r="H1292" s="2">
        <v>454.0</v>
      </c>
      <c r="I1292" s="3">
        <f t="shared" si="3"/>
        <v>0.2302231237</v>
      </c>
      <c r="J1292" s="2">
        <v>342.0</v>
      </c>
      <c r="K1292" s="3">
        <f t="shared" si="4"/>
        <v>0.1734279919</v>
      </c>
      <c r="L1292" s="2">
        <v>287.0</v>
      </c>
      <c r="M1292" s="3">
        <f t="shared" si="5"/>
        <v>0.6321585903</v>
      </c>
      <c r="N1292" s="2">
        <v>2489400.0</v>
      </c>
      <c r="O1292" s="4">
        <f t="shared" si="6"/>
        <v>5483.259912</v>
      </c>
      <c r="P1292" s="2">
        <v>1.0</v>
      </c>
      <c r="Q1292" s="3">
        <f t="shared" si="7"/>
        <v>0.005376344086</v>
      </c>
      <c r="R1292" s="2">
        <v>0.0</v>
      </c>
      <c r="S1292" s="5">
        <f t="shared" si="8"/>
        <v>0</v>
      </c>
    </row>
    <row r="1293">
      <c r="A1293" s="2" t="s">
        <v>1305</v>
      </c>
      <c r="B1293" s="2">
        <v>110.0</v>
      </c>
      <c r="C1293" s="2">
        <v>1277.0</v>
      </c>
      <c r="D1293" s="2">
        <v>447.0</v>
      </c>
      <c r="E1293" s="3">
        <f t="shared" si="1"/>
        <v>0.383033419</v>
      </c>
      <c r="F1293" s="2">
        <v>171.0</v>
      </c>
      <c r="G1293" s="3">
        <f t="shared" si="2"/>
        <v>0.146529563</v>
      </c>
      <c r="H1293" s="2">
        <v>248.0</v>
      </c>
      <c r="I1293" s="3">
        <f t="shared" si="3"/>
        <v>0.2125107112</v>
      </c>
      <c r="J1293" s="2">
        <v>175.0</v>
      </c>
      <c r="K1293" s="3">
        <f t="shared" si="4"/>
        <v>0.1499571551</v>
      </c>
      <c r="L1293" s="2">
        <v>161.0</v>
      </c>
      <c r="M1293" s="3">
        <f t="shared" si="5"/>
        <v>0.6491935484</v>
      </c>
      <c r="N1293" s="2">
        <v>1187300.0</v>
      </c>
      <c r="O1293" s="4">
        <f t="shared" si="6"/>
        <v>4787.5</v>
      </c>
      <c r="P1293" s="2">
        <v>0.0</v>
      </c>
      <c r="Q1293" s="3">
        <f t="shared" si="7"/>
        <v>0</v>
      </c>
      <c r="R1293" s="2">
        <v>110.0</v>
      </c>
      <c r="S1293" s="5">
        <f t="shared" si="8"/>
        <v>1</v>
      </c>
    </row>
    <row r="1294">
      <c r="A1294" s="2" t="s">
        <v>1306</v>
      </c>
      <c r="B1294" s="2">
        <v>63.0</v>
      </c>
      <c r="C1294" s="2">
        <v>725.0</v>
      </c>
      <c r="D1294" s="2">
        <v>201.0</v>
      </c>
      <c r="E1294" s="3">
        <f t="shared" si="1"/>
        <v>0.3036253776</v>
      </c>
      <c r="F1294" s="2">
        <v>97.0</v>
      </c>
      <c r="G1294" s="3">
        <f t="shared" si="2"/>
        <v>0.1465256798</v>
      </c>
      <c r="H1294" s="2">
        <v>130.0</v>
      </c>
      <c r="I1294" s="3">
        <f t="shared" si="3"/>
        <v>0.1963746224</v>
      </c>
      <c r="J1294" s="2">
        <v>133.0</v>
      </c>
      <c r="K1294" s="3">
        <f t="shared" si="4"/>
        <v>0.2009063444</v>
      </c>
      <c r="L1294" s="2">
        <v>81.0</v>
      </c>
      <c r="M1294" s="3">
        <f t="shared" si="5"/>
        <v>0.6230769231</v>
      </c>
      <c r="N1294" s="2">
        <v>764500.0</v>
      </c>
      <c r="O1294" s="4">
        <f t="shared" si="6"/>
        <v>5880.769231</v>
      </c>
      <c r="P1294" s="2">
        <v>0.0</v>
      </c>
      <c r="Q1294" s="3">
        <f t="shared" si="7"/>
        <v>0</v>
      </c>
      <c r="R1294" s="2">
        <v>63.0</v>
      </c>
      <c r="S1294" s="5">
        <f t="shared" si="8"/>
        <v>1</v>
      </c>
    </row>
    <row r="1295">
      <c r="A1295" s="2" t="s">
        <v>1307</v>
      </c>
      <c r="B1295" s="2">
        <v>586.0</v>
      </c>
      <c r="C1295" s="2">
        <v>6858.0</v>
      </c>
      <c r="D1295" s="2">
        <v>2212.0</v>
      </c>
      <c r="E1295" s="3">
        <f t="shared" si="1"/>
        <v>0.3526785714</v>
      </c>
      <c r="F1295" s="2">
        <v>919.0</v>
      </c>
      <c r="G1295" s="3">
        <f t="shared" si="2"/>
        <v>0.1465242347</v>
      </c>
      <c r="H1295" s="2">
        <v>1328.0</v>
      </c>
      <c r="I1295" s="3">
        <f t="shared" si="3"/>
        <v>0.2117346939</v>
      </c>
      <c r="J1295" s="2">
        <v>1021.0</v>
      </c>
      <c r="K1295" s="3">
        <f t="shared" si="4"/>
        <v>0.1627869898</v>
      </c>
      <c r="L1295" s="2">
        <v>780.0</v>
      </c>
      <c r="M1295" s="3">
        <f t="shared" si="5"/>
        <v>0.5873493976</v>
      </c>
      <c r="N1295" s="2">
        <v>7365200.0</v>
      </c>
      <c r="O1295" s="4">
        <f t="shared" si="6"/>
        <v>5546.084337</v>
      </c>
      <c r="P1295" s="2">
        <v>2.0</v>
      </c>
      <c r="Q1295" s="3">
        <f t="shared" si="7"/>
        <v>0.003412969283</v>
      </c>
      <c r="R1295" s="2">
        <v>586.0</v>
      </c>
      <c r="S1295" s="5">
        <f t="shared" si="8"/>
        <v>1</v>
      </c>
    </row>
    <row r="1296">
      <c r="A1296" s="2" t="s">
        <v>1308</v>
      </c>
      <c r="B1296" s="2">
        <v>100.0</v>
      </c>
      <c r="C1296" s="2">
        <v>1117.0</v>
      </c>
      <c r="D1296" s="2">
        <v>443.0</v>
      </c>
      <c r="E1296" s="3">
        <f t="shared" si="1"/>
        <v>0.4355948869</v>
      </c>
      <c r="F1296" s="2">
        <v>149.0</v>
      </c>
      <c r="G1296" s="3">
        <f t="shared" si="2"/>
        <v>0.1465093412</v>
      </c>
      <c r="H1296" s="2">
        <v>221.0</v>
      </c>
      <c r="I1296" s="3">
        <f t="shared" si="3"/>
        <v>0.2173058014</v>
      </c>
      <c r="J1296" s="2">
        <v>189.0</v>
      </c>
      <c r="K1296" s="3">
        <f t="shared" si="4"/>
        <v>0.185840708</v>
      </c>
      <c r="L1296" s="2">
        <v>154.0</v>
      </c>
      <c r="M1296" s="3">
        <f t="shared" si="5"/>
        <v>0.6968325792</v>
      </c>
      <c r="N1296" s="2">
        <v>1128300.0</v>
      </c>
      <c r="O1296" s="4">
        <f t="shared" si="6"/>
        <v>5105.429864</v>
      </c>
      <c r="P1296" s="2">
        <v>0.0</v>
      </c>
      <c r="Q1296" s="3">
        <f t="shared" si="7"/>
        <v>0</v>
      </c>
      <c r="R1296" s="2">
        <v>100.0</v>
      </c>
      <c r="S1296" s="5">
        <f t="shared" si="8"/>
        <v>1</v>
      </c>
    </row>
    <row r="1297">
      <c r="A1297" s="2" t="s">
        <v>1309</v>
      </c>
      <c r="B1297" s="2">
        <v>208.0</v>
      </c>
      <c r="C1297" s="2">
        <v>2447.0</v>
      </c>
      <c r="D1297" s="2">
        <v>810.0</v>
      </c>
      <c r="E1297" s="3">
        <f t="shared" si="1"/>
        <v>0.3617686467</v>
      </c>
      <c r="F1297" s="2">
        <v>328.0</v>
      </c>
      <c r="G1297" s="3">
        <f t="shared" si="2"/>
        <v>0.1464939705</v>
      </c>
      <c r="H1297" s="2">
        <v>470.0</v>
      </c>
      <c r="I1297" s="3">
        <f t="shared" si="3"/>
        <v>0.2099151407</v>
      </c>
      <c r="J1297" s="2">
        <v>388.0</v>
      </c>
      <c r="K1297" s="3">
        <f t="shared" si="4"/>
        <v>0.1732916481</v>
      </c>
      <c r="L1297" s="2">
        <v>306.0</v>
      </c>
      <c r="M1297" s="3">
        <f t="shared" si="5"/>
        <v>0.6510638298</v>
      </c>
      <c r="N1297" s="2">
        <v>2523300.0</v>
      </c>
      <c r="O1297" s="4">
        <f t="shared" si="6"/>
        <v>5368.723404</v>
      </c>
      <c r="P1297" s="2">
        <v>0.0</v>
      </c>
      <c r="Q1297" s="3">
        <f t="shared" si="7"/>
        <v>0</v>
      </c>
      <c r="R1297" s="2">
        <v>208.0</v>
      </c>
      <c r="S1297" s="5">
        <f t="shared" si="8"/>
        <v>1</v>
      </c>
    </row>
    <row r="1298">
      <c r="A1298" s="2" t="s">
        <v>1310</v>
      </c>
      <c r="B1298" s="2">
        <v>63.0</v>
      </c>
      <c r="C1298" s="2">
        <v>732.0</v>
      </c>
      <c r="D1298" s="2">
        <v>234.0</v>
      </c>
      <c r="E1298" s="3">
        <f t="shared" si="1"/>
        <v>0.3497757848</v>
      </c>
      <c r="F1298" s="2">
        <v>98.0</v>
      </c>
      <c r="G1298" s="3">
        <f t="shared" si="2"/>
        <v>0.1464872945</v>
      </c>
      <c r="H1298" s="2">
        <v>142.0</v>
      </c>
      <c r="I1298" s="3">
        <f t="shared" si="3"/>
        <v>0.2122571001</v>
      </c>
      <c r="J1298" s="2">
        <v>108.0</v>
      </c>
      <c r="K1298" s="3">
        <f t="shared" si="4"/>
        <v>0.1614349776</v>
      </c>
      <c r="L1298" s="2">
        <v>87.0</v>
      </c>
      <c r="M1298" s="3">
        <f t="shared" si="5"/>
        <v>0.6126760563</v>
      </c>
      <c r="N1298" s="2">
        <v>731200.0</v>
      </c>
      <c r="O1298" s="4">
        <f t="shared" si="6"/>
        <v>5149.295775</v>
      </c>
      <c r="P1298" s="2">
        <v>0.0</v>
      </c>
      <c r="Q1298" s="3">
        <f t="shared" si="7"/>
        <v>0</v>
      </c>
      <c r="R1298" s="2">
        <v>63.0</v>
      </c>
      <c r="S1298" s="5">
        <f t="shared" si="8"/>
        <v>1</v>
      </c>
    </row>
    <row r="1299">
      <c r="A1299" s="2" t="s">
        <v>1311</v>
      </c>
      <c r="B1299" s="2">
        <v>33.0</v>
      </c>
      <c r="C1299" s="2">
        <v>388.0</v>
      </c>
      <c r="D1299" s="2">
        <v>164.0</v>
      </c>
      <c r="E1299" s="3">
        <f t="shared" si="1"/>
        <v>0.461971831</v>
      </c>
      <c r="F1299" s="2">
        <v>52.0</v>
      </c>
      <c r="G1299" s="3">
        <f t="shared" si="2"/>
        <v>0.1464788732</v>
      </c>
      <c r="H1299" s="2">
        <v>80.0</v>
      </c>
      <c r="I1299" s="3">
        <f t="shared" si="3"/>
        <v>0.2253521127</v>
      </c>
      <c r="J1299" s="2">
        <v>53.0</v>
      </c>
      <c r="K1299" s="3">
        <f t="shared" si="4"/>
        <v>0.1492957746</v>
      </c>
      <c r="L1299" s="2">
        <v>52.0</v>
      </c>
      <c r="M1299" s="3">
        <f t="shared" si="5"/>
        <v>0.65</v>
      </c>
      <c r="N1299" s="2">
        <v>349300.0</v>
      </c>
      <c r="O1299" s="4">
        <f t="shared" si="6"/>
        <v>4366.25</v>
      </c>
      <c r="P1299" s="2">
        <v>0.0</v>
      </c>
      <c r="Q1299" s="3">
        <f t="shared" si="7"/>
        <v>0</v>
      </c>
      <c r="R1299" s="2">
        <v>0.0</v>
      </c>
      <c r="S1299" s="5">
        <f t="shared" si="8"/>
        <v>0</v>
      </c>
    </row>
    <row r="1300">
      <c r="A1300" s="2" t="s">
        <v>1312</v>
      </c>
      <c r="B1300" s="2">
        <v>1238.0</v>
      </c>
      <c r="C1300" s="2">
        <v>14415.0</v>
      </c>
      <c r="D1300" s="2">
        <v>5016.0</v>
      </c>
      <c r="E1300" s="3">
        <f t="shared" si="1"/>
        <v>0.3806632769</v>
      </c>
      <c r="F1300" s="2">
        <v>1930.0</v>
      </c>
      <c r="G1300" s="3">
        <f t="shared" si="2"/>
        <v>0.1464673294</v>
      </c>
      <c r="H1300" s="2">
        <v>2921.0</v>
      </c>
      <c r="I1300" s="3">
        <f t="shared" si="3"/>
        <v>0.2216741292</v>
      </c>
      <c r="J1300" s="2">
        <v>2190.0</v>
      </c>
      <c r="K1300" s="3">
        <f t="shared" si="4"/>
        <v>0.1661986795</v>
      </c>
      <c r="L1300" s="2">
        <v>1746.0</v>
      </c>
      <c r="M1300" s="3">
        <f t="shared" si="5"/>
        <v>0.5977404998</v>
      </c>
      <c r="N1300" s="2">
        <v>1.60649E7</v>
      </c>
      <c r="O1300" s="4">
        <f t="shared" si="6"/>
        <v>5499.794591</v>
      </c>
      <c r="P1300" s="2">
        <v>5.0</v>
      </c>
      <c r="Q1300" s="3">
        <f t="shared" si="7"/>
        <v>0.004038772213</v>
      </c>
      <c r="R1300" s="2">
        <v>717.0</v>
      </c>
      <c r="S1300" s="5">
        <f t="shared" si="8"/>
        <v>0.5791599354</v>
      </c>
    </row>
    <row r="1301">
      <c r="A1301" s="2" t="s">
        <v>1313</v>
      </c>
      <c r="B1301" s="2">
        <v>2088.0</v>
      </c>
      <c r="C1301" s="2">
        <v>24389.0</v>
      </c>
      <c r="D1301" s="2">
        <v>8145.0</v>
      </c>
      <c r="E1301" s="3">
        <f t="shared" si="1"/>
        <v>0.3652302587</v>
      </c>
      <c r="F1301" s="2">
        <v>3266.0</v>
      </c>
      <c r="G1301" s="3">
        <f t="shared" si="2"/>
        <v>0.1464508318</v>
      </c>
      <c r="H1301" s="2">
        <v>5030.0</v>
      </c>
      <c r="I1301" s="3">
        <f t="shared" si="3"/>
        <v>0.2255504237</v>
      </c>
      <c r="J1301" s="2">
        <v>4393.0</v>
      </c>
      <c r="K1301" s="3">
        <f t="shared" si="4"/>
        <v>0.1969866822</v>
      </c>
      <c r="L1301" s="2">
        <v>2944.0</v>
      </c>
      <c r="M1301" s="3">
        <f t="shared" si="5"/>
        <v>0.5852882704</v>
      </c>
      <c r="N1301" s="2">
        <v>2.89771E7</v>
      </c>
      <c r="O1301" s="4">
        <f t="shared" si="6"/>
        <v>5760.854871</v>
      </c>
      <c r="P1301" s="2">
        <v>7.0</v>
      </c>
      <c r="Q1301" s="3">
        <f t="shared" si="7"/>
        <v>0.003352490421</v>
      </c>
      <c r="R1301" s="2">
        <v>2088.0</v>
      </c>
      <c r="S1301" s="5">
        <f t="shared" si="8"/>
        <v>1</v>
      </c>
    </row>
    <row r="1302">
      <c r="A1302" s="2" t="s">
        <v>1314</v>
      </c>
      <c r="B1302" s="2">
        <v>101.0</v>
      </c>
      <c r="C1302" s="2">
        <v>1139.0</v>
      </c>
      <c r="D1302" s="2">
        <v>365.0</v>
      </c>
      <c r="E1302" s="3">
        <f t="shared" si="1"/>
        <v>0.3516377649</v>
      </c>
      <c r="F1302" s="2">
        <v>152.0</v>
      </c>
      <c r="G1302" s="3">
        <f t="shared" si="2"/>
        <v>0.1464354528</v>
      </c>
      <c r="H1302" s="2">
        <v>198.0</v>
      </c>
      <c r="I1302" s="3">
        <f t="shared" si="3"/>
        <v>0.1907514451</v>
      </c>
      <c r="J1302" s="2">
        <v>182.0</v>
      </c>
      <c r="K1302" s="3">
        <f t="shared" si="4"/>
        <v>0.1753371869</v>
      </c>
      <c r="L1302" s="2">
        <v>123.0</v>
      </c>
      <c r="M1302" s="3">
        <f t="shared" si="5"/>
        <v>0.6212121212</v>
      </c>
      <c r="N1302" s="2">
        <v>1225700.0</v>
      </c>
      <c r="O1302" s="4">
        <f t="shared" si="6"/>
        <v>6190.40404</v>
      </c>
      <c r="P1302" s="2">
        <v>0.0</v>
      </c>
      <c r="Q1302" s="3">
        <f t="shared" si="7"/>
        <v>0</v>
      </c>
      <c r="R1302" s="2">
        <v>101.0</v>
      </c>
      <c r="S1302" s="5">
        <f t="shared" si="8"/>
        <v>1</v>
      </c>
    </row>
    <row r="1303">
      <c r="A1303" s="2" t="s">
        <v>1315</v>
      </c>
      <c r="B1303" s="2">
        <v>275.0</v>
      </c>
      <c r="C1303" s="2">
        <v>3191.0</v>
      </c>
      <c r="D1303" s="2">
        <v>982.0</v>
      </c>
      <c r="E1303" s="3">
        <f t="shared" si="1"/>
        <v>0.3367626886</v>
      </c>
      <c r="F1303" s="2">
        <v>427.0</v>
      </c>
      <c r="G1303" s="3">
        <f t="shared" si="2"/>
        <v>0.1464334705</v>
      </c>
      <c r="H1303" s="2">
        <v>648.0</v>
      </c>
      <c r="I1303" s="3">
        <f t="shared" si="3"/>
        <v>0.2222222222</v>
      </c>
      <c r="J1303" s="2">
        <v>498.0</v>
      </c>
      <c r="K1303" s="3">
        <f t="shared" si="4"/>
        <v>0.170781893</v>
      </c>
      <c r="L1303" s="2">
        <v>409.0</v>
      </c>
      <c r="M1303" s="3">
        <f t="shared" si="5"/>
        <v>0.6311728395</v>
      </c>
      <c r="N1303" s="2">
        <v>3621100.0</v>
      </c>
      <c r="O1303" s="4">
        <f t="shared" si="6"/>
        <v>5588.117284</v>
      </c>
      <c r="P1303" s="2">
        <v>0.0</v>
      </c>
      <c r="Q1303" s="3">
        <f t="shared" si="7"/>
        <v>0</v>
      </c>
      <c r="R1303" s="2">
        <v>275.0</v>
      </c>
      <c r="S1303" s="5">
        <f t="shared" si="8"/>
        <v>1</v>
      </c>
    </row>
    <row r="1304">
      <c r="A1304" s="2" t="s">
        <v>1316</v>
      </c>
      <c r="B1304" s="2">
        <v>28.0</v>
      </c>
      <c r="C1304" s="2">
        <v>349.0</v>
      </c>
      <c r="D1304" s="2">
        <v>89.0</v>
      </c>
      <c r="E1304" s="3">
        <f t="shared" si="1"/>
        <v>0.277258567</v>
      </c>
      <c r="F1304" s="2">
        <v>47.0</v>
      </c>
      <c r="G1304" s="3">
        <f t="shared" si="2"/>
        <v>0.1464174455</v>
      </c>
      <c r="H1304" s="2">
        <v>49.0</v>
      </c>
      <c r="I1304" s="3">
        <f t="shared" si="3"/>
        <v>0.1526479751</v>
      </c>
      <c r="J1304" s="2">
        <v>54.0</v>
      </c>
      <c r="K1304" s="3">
        <f t="shared" si="4"/>
        <v>0.1682242991</v>
      </c>
      <c r="L1304" s="2">
        <v>25.0</v>
      </c>
      <c r="M1304" s="3">
        <f t="shared" si="5"/>
        <v>0.5102040816</v>
      </c>
      <c r="N1304" s="2">
        <v>295100.0</v>
      </c>
      <c r="O1304" s="4">
        <f t="shared" si="6"/>
        <v>6022.44898</v>
      </c>
      <c r="P1304" s="2">
        <v>0.0</v>
      </c>
      <c r="Q1304" s="3">
        <f t="shared" si="7"/>
        <v>0</v>
      </c>
      <c r="R1304" s="2">
        <v>28.0</v>
      </c>
      <c r="S1304" s="5">
        <f t="shared" si="8"/>
        <v>1</v>
      </c>
    </row>
    <row r="1305">
      <c r="A1305" s="2" t="s">
        <v>1317</v>
      </c>
      <c r="B1305" s="2">
        <v>637.0</v>
      </c>
      <c r="C1305" s="2">
        <v>7542.0</v>
      </c>
      <c r="D1305" s="2">
        <v>2418.0</v>
      </c>
      <c r="E1305" s="3">
        <f t="shared" si="1"/>
        <v>0.3501810282</v>
      </c>
      <c r="F1305" s="2">
        <v>1011.0</v>
      </c>
      <c r="G1305" s="3">
        <f t="shared" si="2"/>
        <v>0.1464156408</v>
      </c>
      <c r="H1305" s="2">
        <v>1524.0</v>
      </c>
      <c r="I1305" s="3">
        <f t="shared" si="3"/>
        <v>0.2207096307</v>
      </c>
      <c r="J1305" s="2">
        <v>1172.0</v>
      </c>
      <c r="K1305" s="3">
        <f t="shared" si="4"/>
        <v>0.1697320782</v>
      </c>
      <c r="L1305" s="2">
        <v>884.0</v>
      </c>
      <c r="M1305" s="3">
        <f t="shared" si="5"/>
        <v>0.5800524934</v>
      </c>
      <c r="N1305" s="2">
        <v>8908500.0</v>
      </c>
      <c r="O1305" s="4">
        <f t="shared" si="6"/>
        <v>5845.472441</v>
      </c>
      <c r="P1305" s="2">
        <v>2.0</v>
      </c>
      <c r="Q1305" s="3">
        <f t="shared" si="7"/>
        <v>0.003139717425</v>
      </c>
      <c r="R1305" s="2">
        <v>637.0</v>
      </c>
      <c r="S1305" s="5">
        <f t="shared" si="8"/>
        <v>1</v>
      </c>
    </row>
    <row r="1306">
      <c r="A1306" s="2" t="s">
        <v>1318</v>
      </c>
      <c r="B1306" s="2">
        <v>1565.0</v>
      </c>
      <c r="C1306" s="2">
        <v>18025.0</v>
      </c>
      <c r="D1306" s="2">
        <v>5840.0</v>
      </c>
      <c r="E1306" s="3">
        <f t="shared" si="1"/>
        <v>0.354799514</v>
      </c>
      <c r="F1306" s="2">
        <v>2410.0</v>
      </c>
      <c r="G1306" s="3">
        <f t="shared" si="2"/>
        <v>0.1464155529</v>
      </c>
      <c r="H1306" s="2">
        <v>3613.0</v>
      </c>
      <c r="I1306" s="3">
        <f t="shared" si="3"/>
        <v>0.2195018226</v>
      </c>
      <c r="J1306" s="2">
        <v>3458.0</v>
      </c>
      <c r="K1306" s="3">
        <f t="shared" si="4"/>
        <v>0.2100850547</v>
      </c>
      <c r="L1306" s="2">
        <v>2146.0</v>
      </c>
      <c r="M1306" s="3">
        <f t="shared" si="5"/>
        <v>0.593966233</v>
      </c>
      <c r="N1306" s="2">
        <v>2.18972E7</v>
      </c>
      <c r="O1306" s="4">
        <f t="shared" si="6"/>
        <v>6060.669803</v>
      </c>
      <c r="P1306" s="2">
        <v>1.0</v>
      </c>
      <c r="Q1306" s="3">
        <f t="shared" si="7"/>
        <v>0.0006389776358</v>
      </c>
      <c r="R1306" s="2">
        <v>1565.0</v>
      </c>
      <c r="S1306" s="5">
        <f t="shared" si="8"/>
        <v>1</v>
      </c>
    </row>
    <row r="1307">
      <c r="A1307" s="2" t="s">
        <v>1319</v>
      </c>
      <c r="B1307" s="2">
        <v>1570.0</v>
      </c>
      <c r="C1307" s="2">
        <v>18394.0</v>
      </c>
      <c r="D1307" s="2">
        <v>6272.0</v>
      </c>
      <c r="E1307" s="3">
        <f t="shared" si="1"/>
        <v>0.3728007608</v>
      </c>
      <c r="F1307" s="2">
        <v>2463.0</v>
      </c>
      <c r="G1307" s="3">
        <f t="shared" si="2"/>
        <v>0.1463980029</v>
      </c>
      <c r="H1307" s="2">
        <v>3900.0</v>
      </c>
      <c r="I1307" s="3">
        <f t="shared" si="3"/>
        <v>0.2318116976</v>
      </c>
      <c r="J1307" s="2">
        <v>3338.0</v>
      </c>
      <c r="K1307" s="3">
        <f t="shared" si="4"/>
        <v>0.1984070376</v>
      </c>
      <c r="L1307" s="2">
        <v>2308.0</v>
      </c>
      <c r="M1307" s="3">
        <f t="shared" si="5"/>
        <v>0.5917948718</v>
      </c>
      <c r="N1307" s="2">
        <v>2.16257E7</v>
      </c>
      <c r="O1307" s="4">
        <f t="shared" si="6"/>
        <v>5545.051282</v>
      </c>
      <c r="P1307" s="2">
        <v>1.0</v>
      </c>
      <c r="Q1307" s="3">
        <f t="shared" si="7"/>
        <v>0.0006369426752</v>
      </c>
      <c r="R1307" s="2">
        <v>1570.0</v>
      </c>
      <c r="S1307" s="5">
        <f t="shared" si="8"/>
        <v>1</v>
      </c>
    </row>
    <row r="1308">
      <c r="A1308" s="2" t="s">
        <v>1320</v>
      </c>
      <c r="B1308" s="2">
        <v>257.0</v>
      </c>
      <c r="C1308" s="2">
        <v>2922.0</v>
      </c>
      <c r="D1308" s="2">
        <v>915.0</v>
      </c>
      <c r="E1308" s="3">
        <f t="shared" si="1"/>
        <v>0.3433395872</v>
      </c>
      <c r="F1308" s="2">
        <v>390.0</v>
      </c>
      <c r="G1308" s="3">
        <f t="shared" si="2"/>
        <v>0.1463414634</v>
      </c>
      <c r="H1308" s="2">
        <v>579.0</v>
      </c>
      <c r="I1308" s="3">
        <f t="shared" si="3"/>
        <v>0.217260788</v>
      </c>
      <c r="J1308" s="2">
        <v>497.0</v>
      </c>
      <c r="K1308" s="3">
        <f t="shared" si="4"/>
        <v>0.1864915572</v>
      </c>
      <c r="L1308" s="2">
        <v>348.0</v>
      </c>
      <c r="M1308" s="3">
        <f t="shared" si="5"/>
        <v>0.6010362694</v>
      </c>
      <c r="N1308" s="2">
        <v>3277500.0</v>
      </c>
      <c r="O1308" s="4">
        <f t="shared" si="6"/>
        <v>5660.621762</v>
      </c>
      <c r="P1308" s="2">
        <v>1.0</v>
      </c>
      <c r="Q1308" s="3">
        <f t="shared" si="7"/>
        <v>0.003891050584</v>
      </c>
      <c r="R1308" s="2">
        <v>257.0</v>
      </c>
      <c r="S1308" s="5">
        <f t="shared" si="8"/>
        <v>1</v>
      </c>
    </row>
    <row r="1309">
      <c r="A1309" s="2" t="s">
        <v>1321</v>
      </c>
      <c r="B1309" s="2">
        <v>49.0</v>
      </c>
      <c r="C1309" s="2">
        <v>623.0</v>
      </c>
      <c r="D1309" s="2">
        <v>132.0</v>
      </c>
      <c r="E1309" s="3">
        <f t="shared" si="1"/>
        <v>0.2299651568</v>
      </c>
      <c r="F1309" s="2">
        <v>84.0</v>
      </c>
      <c r="G1309" s="3">
        <f t="shared" si="2"/>
        <v>0.1463414634</v>
      </c>
      <c r="H1309" s="2">
        <v>83.0</v>
      </c>
      <c r="I1309" s="3">
        <f t="shared" si="3"/>
        <v>0.1445993031</v>
      </c>
      <c r="J1309" s="2">
        <v>102.0</v>
      </c>
      <c r="K1309" s="3">
        <f t="shared" si="4"/>
        <v>0.1777003484</v>
      </c>
      <c r="L1309" s="2">
        <v>50.0</v>
      </c>
      <c r="M1309" s="3">
        <f t="shared" si="5"/>
        <v>0.6024096386</v>
      </c>
      <c r="N1309" s="2">
        <v>478100.0</v>
      </c>
      <c r="O1309" s="4">
        <f t="shared" si="6"/>
        <v>5760.240964</v>
      </c>
      <c r="P1309" s="2">
        <v>0.0</v>
      </c>
      <c r="Q1309" s="3">
        <f t="shared" si="7"/>
        <v>0</v>
      </c>
      <c r="R1309" s="2">
        <v>49.0</v>
      </c>
      <c r="S1309" s="5">
        <f t="shared" si="8"/>
        <v>1</v>
      </c>
    </row>
    <row r="1310">
      <c r="A1310" s="2" t="s">
        <v>1322</v>
      </c>
      <c r="B1310" s="2">
        <v>31.0</v>
      </c>
      <c r="C1310" s="2">
        <v>359.0</v>
      </c>
      <c r="D1310" s="2">
        <v>143.0</v>
      </c>
      <c r="E1310" s="3">
        <f t="shared" si="1"/>
        <v>0.4359756098</v>
      </c>
      <c r="F1310" s="2">
        <v>48.0</v>
      </c>
      <c r="G1310" s="3">
        <f t="shared" si="2"/>
        <v>0.1463414634</v>
      </c>
      <c r="H1310" s="2">
        <v>67.0</v>
      </c>
      <c r="I1310" s="3">
        <f t="shared" si="3"/>
        <v>0.2042682927</v>
      </c>
      <c r="J1310" s="2">
        <v>56.0</v>
      </c>
      <c r="K1310" s="3">
        <f t="shared" si="4"/>
        <v>0.1707317073</v>
      </c>
      <c r="L1310" s="2">
        <v>49.0</v>
      </c>
      <c r="M1310" s="3">
        <f t="shared" si="5"/>
        <v>0.7313432836</v>
      </c>
      <c r="N1310" s="2">
        <v>364800.0</v>
      </c>
      <c r="O1310" s="4">
        <f t="shared" si="6"/>
        <v>5444.776119</v>
      </c>
      <c r="P1310" s="2">
        <v>0.0</v>
      </c>
      <c r="Q1310" s="3">
        <f t="shared" si="7"/>
        <v>0</v>
      </c>
      <c r="R1310" s="2">
        <v>0.0</v>
      </c>
      <c r="S1310" s="5">
        <f t="shared" si="8"/>
        <v>0</v>
      </c>
    </row>
    <row r="1311">
      <c r="A1311" s="2" t="s">
        <v>1323</v>
      </c>
      <c r="B1311" s="2">
        <v>27.0</v>
      </c>
      <c r="C1311" s="2">
        <v>314.0</v>
      </c>
      <c r="D1311" s="2">
        <v>82.0</v>
      </c>
      <c r="E1311" s="3">
        <f t="shared" si="1"/>
        <v>0.2857142857</v>
      </c>
      <c r="F1311" s="2">
        <v>42.0</v>
      </c>
      <c r="G1311" s="3">
        <f t="shared" si="2"/>
        <v>0.1463414634</v>
      </c>
      <c r="H1311" s="2">
        <v>50.0</v>
      </c>
      <c r="I1311" s="3">
        <f t="shared" si="3"/>
        <v>0.1742160279</v>
      </c>
      <c r="J1311" s="2">
        <v>46.0</v>
      </c>
      <c r="K1311" s="3">
        <f t="shared" si="4"/>
        <v>0.1602787456</v>
      </c>
      <c r="L1311" s="2">
        <v>30.0</v>
      </c>
      <c r="M1311" s="3">
        <f t="shared" si="5"/>
        <v>0.6</v>
      </c>
      <c r="N1311" s="2">
        <v>330300.0</v>
      </c>
      <c r="O1311" s="4">
        <f t="shared" si="6"/>
        <v>6606</v>
      </c>
      <c r="P1311" s="2">
        <v>1.0</v>
      </c>
      <c r="Q1311" s="3">
        <f t="shared" si="7"/>
        <v>0.03703703704</v>
      </c>
      <c r="R1311" s="2">
        <v>27.0</v>
      </c>
      <c r="S1311" s="5">
        <f t="shared" si="8"/>
        <v>1</v>
      </c>
    </row>
    <row r="1312">
      <c r="A1312" s="2" t="s">
        <v>1324</v>
      </c>
      <c r="B1312" s="2">
        <v>152.0</v>
      </c>
      <c r="C1312" s="2">
        <v>1799.0</v>
      </c>
      <c r="D1312" s="2">
        <v>465.0</v>
      </c>
      <c r="E1312" s="3">
        <f t="shared" si="1"/>
        <v>0.2823315118</v>
      </c>
      <c r="F1312" s="2">
        <v>241.0</v>
      </c>
      <c r="G1312" s="3">
        <f t="shared" si="2"/>
        <v>0.1463266545</v>
      </c>
      <c r="H1312" s="2">
        <v>324.0</v>
      </c>
      <c r="I1312" s="3">
        <f t="shared" si="3"/>
        <v>0.1967213115</v>
      </c>
      <c r="J1312" s="2">
        <v>319.0</v>
      </c>
      <c r="K1312" s="3">
        <f t="shared" si="4"/>
        <v>0.1936854888</v>
      </c>
      <c r="L1312" s="2">
        <v>170.0</v>
      </c>
      <c r="M1312" s="3">
        <f t="shared" si="5"/>
        <v>0.524691358</v>
      </c>
      <c r="N1312" s="2">
        <v>1877400.0</v>
      </c>
      <c r="O1312" s="4">
        <f t="shared" si="6"/>
        <v>5794.444444</v>
      </c>
      <c r="P1312" s="2">
        <v>0.0</v>
      </c>
      <c r="Q1312" s="3">
        <f t="shared" si="7"/>
        <v>0</v>
      </c>
      <c r="R1312" s="2">
        <v>152.0</v>
      </c>
      <c r="S1312" s="5">
        <f t="shared" si="8"/>
        <v>1</v>
      </c>
    </row>
    <row r="1313">
      <c r="A1313" s="2" t="s">
        <v>1325</v>
      </c>
      <c r="B1313" s="2">
        <v>124.0</v>
      </c>
      <c r="C1313" s="2">
        <v>1443.0</v>
      </c>
      <c r="D1313" s="2">
        <v>453.0</v>
      </c>
      <c r="E1313" s="3">
        <f t="shared" si="1"/>
        <v>0.3434420015</v>
      </c>
      <c r="F1313" s="2">
        <v>193.0</v>
      </c>
      <c r="G1313" s="3">
        <f t="shared" si="2"/>
        <v>0.1463229719</v>
      </c>
      <c r="H1313" s="2">
        <v>248.0</v>
      </c>
      <c r="I1313" s="3">
        <f t="shared" si="3"/>
        <v>0.1880212282</v>
      </c>
      <c r="J1313" s="2">
        <v>208.0</v>
      </c>
      <c r="K1313" s="3">
        <f t="shared" si="4"/>
        <v>0.1576952237</v>
      </c>
      <c r="L1313" s="2">
        <v>147.0</v>
      </c>
      <c r="M1313" s="3">
        <f t="shared" si="5"/>
        <v>0.5927419355</v>
      </c>
      <c r="N1313" s="2">
        <v>1352200.0</v>
      </c>
      <c r="O1313" s="4">
        <f t="shared" si="6"/>
        <v>5452.419355</v>
      </c>
      <c r="P1313" s="2">
        <v>0.0</v>
      </c>
      <c r="Q1313" s="3">
        <f t="shared" si="7"/>
        <v>0</v>
      </c>
      <c r="R1313" s="2">
        <v>124.0</v>
      </c>
      <c r="S1313" s="5">
        <f t="shared" si="8"/>
        <v>1</v>
      </c>
    </row>
    <row r="1314">
      <c r="A1314" s="2" t="s">
        <v>1326</v>
      </c>
      <c r="B1314" s="2">
        <v>217.0</v>
      </c>
      <c r="C1314" s="2">
        <v>2486.0</v>
      </c>
      <c r="D1314" s="2">
        <v>811.0</v>
      </c>
      <c r="E1314" s="3">
        <f t="shared" si="1"/>
        <v>0.3574261789</v>
      </c>
      <c r="F1314" s="2">
        <v>332.0</v>
      </c>
      <c r="G1314" s="3">
        <f t="shared" si="2"/>
        <v>0.1463199647</v>
      </c>
      <c r="H1314" s="2">
        <v>512.0</v>
      </c>
      <c r="I1314" s="3">
        <f t="shared" si="3"/>
        <v>0.2256500661</v>
      </c>
      <c r="J1314" s="2">
        <v>390.0</v>
      </c>
      <c r="K1314" s="3">
        <f t="shared" si="4"/>
        <v>0.1718818863</v>
      </c>
      <c r="L1314" s="2">
        <v>291.0</v>
      </c>
      <c r="M1314" s="3">
        <f t="shared" si="5"/>
        <v>0.568359375</v>
      </c>
      <c r="N1314" s="2">
        <v>2699200.0</v>
      </c>
      <c r="O1314" s="4">
        <f t="shared" si="6"/>
        <v>5271.875</v>
      </c>
      <c r="P1314" s="2">
        <v>1.0</v>
      </c>
      <c r="Q1314" s="3">
        <f t="shared" si="7"/>
        <v>0.004608294931</v>
      </c>
      <c r="R1314" s="2">
        <v>217.0</v>
      </c>
      <c r="S1314" s="5">
        <f t="shared" si="8"/>
        <v>1</v>
      </c>
    </row>
    <row r="1315">
      <c r="A1315" s="2" t="s">
        <v>1327</v>
      </c>
      <c r="B1315" s="2">
        <v>208.0</v>
      </c>
      <c r="C1315" s="2">
        <v>2402.0</v>
      </c>
      <c r="D1315" s="2">
        <v>834.0</v>
      </c>
      <c r="E1315" s="3">
        <f t="shared" si="1"/>
        <v>0.3801276208</v>
      </c>
      <c r="F1315" s="2">
        <v>321.0</v>
      </c>
      <c r="G1315" s="3">
        <f t="shared" si="2"/>
        <v>0.146308113</v>
      </c>
      <c r="H1315" s="2">
        <v>465.0</v>
      </c>
      <c r="I1315" s="3">
        <f t="shared" si="3"/>
        <v>0.2119416591</v>
      </c>
      <c r="J1315" s="2">
        <v>362.0</v>
      </c>
      <c r="K1315" s="3">
        <f t="shared" si="4"/>
        <v>0.1649954421</v>
      </c>
      <c r="L1315" s="2">
        <v>288.0</v>
      </c>
      <c r="M1315" s="3">
        <f t="shared" si="5"/>
        <v>0.6193548387</v>
      </c>
      <c r="N1315" s="2">
        <v>2781600.0</v>
      </c>
      <c r="O1315" s="4">
        <f t="shared" si="6"/>
        <v>5981.935484</v>
      </c>
      <c r="P1315" s="2">
        <v>0.0</v>
      </c>
      <c r="Q1315" s="3">
        <f t="shared" si="7"/>
        <v>0</v>
      </c>
      <c r="R1315" s="2">
        <v>208.0</v>
      </c>
      <c r="S1315" s="5">
        <f t="shared" si="8"/>
        <v>1</v>
      </c>
    </row>
    <row r="1316">
      <c r="A1316" s="2" t="s">
        <v>1328</v>
      </c>
      <c r="B1316" s="2">
        <v>250.0</v>
      </c>
      <c r="C1316" s="2">
        <v>2984.0</v>
      </c>
      <c r="D1316" s="2">
        <v>948.0</v>
      </c>
      <c r="E1316" s="3">
        <f t="shared" si="1"/>
        <v>0.3467446964</v>
      </c>
      <c r="F1316" s="2">
        <v>400.0</v>
      </c>
      <c r="G1316" s="3">
        <f t="shared" si="2"/>
        <v>0.1463057791</v>
      </c>
      <c r="H1316" s="2">
        <v>535.0</v>
      </c>
      <c r="I1316" s="3">
        <f t="shared" si="3"/>
        <v>0.1956839795</v>
      </c>
      <c r="J1316" s="2">
        <v>474.0</v>
      </c>
      <c r="K1316" s="3">
        <f t="shared" si="4"/>
        <v>0.1733723482</v>
      </c>
      <c r="L1316" s="2">
        <v>316.0</v>
      </c>
      <c r="M1316" s="3">
        <f t="shared" si="5"/>
        <v>0.5906542056</v>
      </c>
      <c r="N1316" s="2">
        <v>3133400.0</v>
      </c>
      <c r="O1316" s="4">
        <f t="shared" si="6"/>
        <v>5856.82243</v>
      </c>
      <c r="P1316" s="2">
        <v>3.0</v>
      </c>
      <c r="Q1316" s="3">
        <f t="shared" si="7"/>
        <v>0.012</v>
      </c>
      <c r="R1316" s="2">
        <v>250.0</v>
      </c>
      <c r="S1316" s="5">
        <f t="shared" si="8"/>
        <v>1</v>
      </c>
    </row>
    <row r="1317">
      <c r="A1317" s="2" t="s">
        <v>1329</v>
      </c>
      <c r="B1317" s="2">
        <v>221.0</v>
      </c>
      <c r="C1317" s="2">
        <v>2545.0</v>
      </c>
      <c r="D1317" s="2">
        <v>806.0</v>
      </c>
      <c r="E1317" s="3">
        <f t="shared" si="1"/>
        <v>0.3468158348</v>
      </c>
      <c r="F1317" s="2">
        <v>340.0</v>
      </c>
      <c r="G1317" s="3">
        <f t="shared" si="2"/>
        <v>0.1462994836</v>
      </c>
      <c r="H1317" s="2">
        <v>468.0</v>
      </c>
      <c r="I1317" s="3">
        <f t="shared" si="3"/>
        <v>0.2013769363</v>
      </c>
      <c r="J1317" s="2">
        <v>367.0</v>
      </c>
      <c r="K1317" s="3">
        <f t="shared" si="4"/>
        <v>0.1579173838</v>
      </c>
      <c r="L1317" s="2">
        <v>311.0</v>
      </c>
      <c r="M1317" s="3">
        <f t="shared" si="5"/>
        <v>0.6645299145</v>
      </c>
      <c r="N1317" s="2">
        <v>2519900.0</v>
      </c>
      <c r="O1317" s="4">
        <f t="shared" si="6"/>
        <v>5384.401709</v>
      </c>
      <c r="P1317" s="2">
        <v>1.0</v>
      </c>
      <c r="Q1317" s="3">
        <f t="shared" si="7"/>
        <v>0.004524886878</v>
      </c>
      <c r="R1317" s="2">
        <v>190.0</v>
      </c>
      <c r="S1317" s="5">
        <f t="shared" si="8"/>
        <v>0.8597285068</v>
      </c>
    </row>
    <row r="1318">
      <c r="A1318" s="2" t="s">
        <v>1330</v>
      </c>
      <c r="B1318" s="2">
        <v>1118.0</v>
      </c>
      <c r="C1318" s="2">
        <v>13095.0</v>
      </c>
      <c r="D1318" s="2">
        <v>4823.0</v>
      </c>
      <c r="E1318" s="3">
        <f t="shared" si="1"/>
        <v>0.4026884863</v>
      </c>
      <c r="F1318" s="2">
        <v>1752.0</v>
      </c>
      <c r="G1318" s="3">
        <f t="shared" si="2"/>
        <v>0.1462803707</v>
      </c>
      <c r="H1318" s="2">
        <v>2634.0</v>
      </c>
      <c r="I1318" s="3">
        <f t="shared" si="3"/>
        <v>0.2199215162</v>
      </c>
      <c r="J1318" s="2">
        <v>1882.0</v>
      </c>
      <c r="K1318" s="3">
        <f t="shared" si="4"/>
        <v>0.1571345078</v>
      </c>
      <c r="L1318" s="2">
        <v>1571.0</v>
      </c>
      <c r="M1318" s="3">
        <f t="shared" si="5"/>
        <v>0.5964312832</v>
      </c>
      <c r="N1318" s="2">
        <v>1.47356E7</v>
      </c>
      <c r="O1318" s="4">
        <f t="shared" si="6"/>
        <v>5594.381169</v>
      </c>
      <c r="P1318" s="2">
        <v>6.0</v>
      </c>
      <c r="Q1318" s="3">
        <f t="shared" si="7"/>
        <v>0.005366726297</v>
      </c>
      <c r="R1318" s="2">
        <v>1071.0</v>
      </c>
      <c r="S1318" s="5">
        <f t="shared" si="8"/>
        <v>0.957960644</v>
      </c>
    </row>
    <row r="1319">
      <c r="A1319" s="2" t="s">
        <v>1331</v>
      </c>
      <c r="B1319" s="2">
        <v>417.0</v>
      </c>
      <c r="C1319" s="2">
        <v>4888.0</v>
      </c>
      <c r="D1319" s="2">
        <v>1549.0</v>
      </c>
      <c r="E1319" s="3">
        <f t="shared" si="1"/>
        <v>0.3464549318</v>
      </c>
      <c r="F1319" s="2">
        <v>654.0</v>
      </c>
      <c r="G1319" s="3">
        <f t="shared" si="2"/>
        <v>0.1462760009</v>
      </c>
      <c r="H1319" s="2">
        <v>888.0</v>
      </c>
      <c r="I1319" s="3">
        <f t="shared" si="3"/>
        <v>0.1986132856</v>
      </c>
      <c r="J1319" s="2">
        <v>708.0</v>
      </c>
      <c r="K1319" s="3">
        <f t="shared" si="4"/>
        <v>0.1583538358</v>
      </c>
      <c r="L1319" s="2">
        <v>546.0</v>
      </c>
      <c r="M1319" s="3">
        <f t="shared" si="5"/>
        <v>0.6148648649</v>
      </c>
      <c r="N1319" s="2">
        <v>5126300.0</v>
      </c>
      <c r="O1319" s="4">
        <f t="shared" si="6"/>
        <v>5772.86036</v>
      </c>
      <c r="P1319" s="2">
        <v>1.0</v>
      </c>
      <c r="Q1319" s="3">
        <f t="shared" si="7"/>
        <v>0.002398081535</v>
      </c>
      <c r="R1319" s="2">
        <v>417.0</v>
      </c>
      <c r="S1319" s="5">
        <f t="shared" si="8"/>
        <v>1</v>
      </c>
    </row>
    <row r="1320">
      <c r="A1320" s="2" t="s">
        <v>1332</v>
      </c>
      <c r="B1320" s="2">
        <v>942.0</v>
      </c>
      <c r="C1320" s="2">
        <v>11081.0</v>
      </c>
      <c r="D1320" s="2">
        <v>3849.0</v>
      </c>
      <c r="E1320" s="3">
        <f t="shared" si="1"/>
        <v>0.379623237</v>
      </c>
      <c r="F1320" s="2">
        <v>1483.0</v>
      </c>
      <c r="G1320" s="3">
        <f t="shared" si="2"/>
        <v>0.1462668902</v>
      </c>
      <c r="H1320" s="2">
        <v>2174.0</v>
      </c>
      <c r="I1320" s="3">
        <f t="shared" si="3"/>
        <v>0.214419568</v>
      </c>
      <c r="J1320" s="2">
        <v>1639.0</v>
      </c>
      <c r="K1320" s="3">
        <f t="shared" si="4"/>
        <v>0.161653023</v>
      </c>
      <c r="L1320" s="2">
        <v>1310.0</v>
      </c>
      <c r="M1320" s="3">
        <f t="shared" si="5"/>
        <v>0.602575897</v>
      </c>
      <c r="N1320" s="2">
        <v>1.19828E7</v>
      </c>
      <c r="O1320" s="4">
        <f t="shared" si="6"/>
        <v>5511.867525</v>
      </c>
      <c r="P1320" s="2">
        <v>2.0</v>
      </c>
      <c r="Q1320" s="3">
        <f t="shared" si="7"/>
        <v>0.002123142251</v>
      </c>
      <c r="R1320" s="2">
        <v>0.0</v>
      </c>
      <c r="S1320" s="5">
        <f t="shared" si="8"/>
        <v>0</v>
      </c>
    </row>
    <row r="1321">
      <c r="A1321" s="2" t="s">
        <v>1333</v>
      </c>
      <c r="B1321" s="2">
        <v>1006.0</v>
      </c>
      <c r="C1321" s="2">
        <v>11774.0</v>
      </c>
      <c r="D1321" s="2">
        <v>4139.0</v>
      </c>
      <c r="E1321" s="3">
        <f t="shared" si="1"/>
        <v>0.3843796434</v>
      </c>
      <c r="F1321" s="2">
        <v>1575.0</v>
      </c>
      <c r="G1321" s="3">
        <f t="shared" si="2"/>
        <v>0.1462667162</v>
      </c>
      <c r="H1321" s="2">
        <v>2352.0</v>
      </c>
      <c r="I1321" s="3">
        <f t="shared" si="3"/>
        <v>0.2184249629</v>
      </c>
      <c r="J1321" s="2">
        <v>2334.0</v>
      </c>
      <c r="K1321" s="3">
        <f t="shared" si="4"/>
        <v>0.2167533432</v>
      </c>
      <c r="L1321" s="2">
        <v>1432.0</v>
      </c>
      <c r="M1321" s="3">
        <f t="shared" si="5"/>
        <v>0.6088435374</v>
      </c>
      <c r="N1321" s="2">
        <v>1.35639E7</v>
      </c>
      <c r="O1321" s="4">
        <f t="shared" si="6"/>
        <v>5766.964286</v>
      </c>
      <c r="P1321" s="2">
        <v>4.0</v>
      </c>
      <c r="Q1321" s="3">
        <f t="shared" si="7"/>
        <v>0.003976143141</v>
      </c>
      <c r="R1321" s="2">
        <v>1006.0</v>
      </c>
      <c r="S1321" s="5">
        <f t="shared" si="8"/>
        <v>1</v>
      </c>
    </row>
    <row r="1322">
      <c r="A1322" s="2" t="s">
        <v>1334</v>
      </c>
      <c r="B1322" s="2">
        <v>57.0</v>
      </c>
      <c r="C1322" s="2">
        <v>693.0</v>
      </c>
      <c r="D1322" s="2">
        <v>225.0</v>
      </c>
      <c r="E1322" s="3">
        <f t="shared" si="1"/>
        <v>0.3537735849</v>
      </c>
      <c r="F1322" s="2">
        <v>93.0</v>
      </c>
      <c r="G1322" s="3">
        <f t="shared" si="2"/>
        <v>0.1462264151</v>
      </c>
      <c r="H1322" s="2">
        <v>137.0</v>
      </c>
      <c r="I1322" s="3">
        <f t="shared" si="3"/>
        <v>0.215408805</v>
      </c>
      <c r="J1322" s="2">
        <v>127.0</v>
      </c>
      <c r="K1322" s="3">
        <f t="shared" si="4"/>
        <v>0.1996855346</v>
      </c>
      <c r="L1322" s="2">
        <v>85.0</v>
      </c>
      <c r="M1322" s="3">
        <f t="shared" si="5"/>
        <v>0.6204379562</v>
      </c>
      <c r="N1322" s="2">
        <v>791500.0</v>
      </c>
      <c r="O1322" s="4">
        <f t="shared" si="6"/>
        <v>5777.372263</v>
      </c>
      <c r="P1322" s="2">
        <v>0.0</v>
      </c>
      <c r="Q1322" s="3">
        <f t="shared" si="7"/>
        <v>0</v>
      </c>
      <c r="R1322" s="2">
        <v>0.0</v>
      </c>
      <c r="S1322" s="5">
        <f t="shared" si="8"/>
        <v>0</v>
      </c>
    </row>
    <row r="1323">
      <c r="A1323" s="2" t="s">
        <v>1335</v>
      </c>
      <c r="B1323" s="2">
        <v>162.0</v>
      </c>
      <c r="C1323" s="2">
        <v>1906.0</v>
      </c>
      <c r="D1323" s="2">
        <v>578.0</v>
      </c>
      <c r="E1323" s="3">
        <f t="shared" si="1"/>
        <v>0.3314220183</v>
      </c>
      <c r="F1323" s="2">
        <v>255.0</v>
      </c>
      <c r="G1323" s="3">
        <f t="shared" si="2"/>
        <v>0.1462155963</v>
      </c>
      <c r="H1323" s="2">
        <v>372.0</v>
      </c>
      <c r="I1323" s="3">
        <f t="shared" si="3"/>
        <v>0.2133027523</v>
      </c>
      <c r="J1323" s="2">
        <v>297.0</v>
      </c>
      <c r="K1323" s="3">
        <f t="shared" si="4"/>
        <v>0.1702981651</v>
      </c>
      <c r="L1323" s="2">
        <v>228.0</v>
      </c>
      <c r="M1323" s="3">
        <f t="shared" si="5"/>
        <v>0.6129032258</v>
      </c>
      <c r="N1323" s="2">
        <v>2136600.0</v>
      </c>
      <c r="O1323" s="4">
        <f t="shared" si="6"/>
        <v>5743.548387</v>
      </c>
      <c r="P1323" s="2">
        <v>0.0</v>
      </c>
      <c r="Q1323" s="3">
        <f t="shared" si="7"/>
        <v>0</v>
      </c>
      <c r="R1323" s="2">
        <v>162.0</v>
      </c>
      <c r="S1323" s="5">
        <f t="shared" si="8"/>
        <v>1</v>
      </c>
    </row>
    <row r="1324">
      <c r="A1324" s="2" t="s">
        <v>1336</v>
      </c>
      <c r="B1324" s="2">
        <v>120.0</v>
      </c>
      <c r="C1324" s="2">
        <v>1399.0</v>
      </c>
      <c r="D1324" s="2">
        <v>396.0</v>
      </c>
      <c r="E1324" s="3">
        <f t="shared" si="1"/>
        <v>0.3096168882</v>
      </c>
      <c r="F1324" s="2">
        <v>187.0</v>
      </c>
      <c r="G1324" s="3">
        <f t="shared" si="2"/>
        <v>0.146207975</v>
      </c>
      <c r="H1324" s="2">
        <v>254.0</v>
      </c>
      <c r="I1324" s="3">
        <f t="shared" si="3"/>
        <v>0.1985926505</v>
      </c>
      <c r="J1324" s="2">
        <v>275.0</v>
      </c>
      <c r="K1324" s="3">
        <f t="shared" si="4"/>
        <v>0.2150117279</v>
      </c>
      <c r="L1324" s="2">
        <v>144.0</v>
      </c>
      <c r="M1324" s="3">
        <f t="shared" si="5"/>
        <v>0.5669291339</v>
      </c>
      <c r="N1324" s="2">
        <v>1514500.0</v>
      </c>
      <c r="O1324" s="4">
        <f t="shared" si="6"/>
        <v>5962.598425</v>
      </c>
      <c r="P1324" s="2">
        <v>0.0</v>
      </c>
      <c r="Q1324" s="3">
        <f t="shared" si="7"/>
        <v>0</v>
      </c>
      <c r="R1324" s="2">
        <v>120.0</v>
      </c>
      <c r="S1324" s="5">
        <f t="shared" si="8"/>
        <v>1</v>
      </c>
    </row>
    <row r="1325">
      <c r="A1325" s="2" t="s">
        <v>1337</v>
      </c>
      <c r="B1325" s="2">
        <v>102.0</v>
      </c>
      <c r="C1325" s="2">
        <v>1169.0</v>
      </c>
      <c r="D1325" s="2">
        <v>371.0</v>
      </c>
      <c r="E1325" s="3">
        <f t="shared" si="1"/>
        <v>0.3477038425</v>
      </c>
      <c r="F1325" s="2">
        <v>156.0</v>
      </c>
      <c r="G1325" s="3">
        <f t="shared" si="2"/>
        <v>0.1462043112</v>
      </c>
      <c r="H1325" s="2">
        <v>229.0</v>
      </c>
      <c r="I1325" s="3">
        <f t="shared" si="3"/>
        <v>0.2146204311</v>
      </c>
      <c r="J1325" s="2">
        <v>174.0</v>
      </c>
      <c r="K1325" s="3">
        <f t="shared" si="4"/>
        <v>0.1630740394</v>
      </c>
      <c r="L1325" s="2">
        <v>128.0</v>
      </c>
      <c r="M1325" s="3">
        <f t="shared" si="5"/>
        <v>0.5589519651</v>
      </c>
      <c r="N1325" s="2">
        <v>1325600.0</v>
      </c>
      <c r="O1325" s="4">
        <f t="shared" si="6"/>
        <v>5788.646288</v>
      </c>
      <c r="P1325" s="2">
        <v>1.0</v>
      </c>
      <c r="Q1325" s="3">
        <f t="shared" si="7"/>
        <v>0.009803921569</v>
      </c>
      <c r="R1325" s="2">
        <v>18.0</v>
      </c>
      <c r="S1325" s="5">
        <f t="shared" si="8"/>
        <v>0.1764705882</v>
      </c>
    </row>
    <row r="1326">
      <c r="A1326" s="2" t="s">
        <v>1338</v>
      </c>
      <c r="B1326" s="2">
        <v>164.0</v>
      </c>
      <c r="C1326" s="2">
        <v>1915.0</v>
      </c>
      <c r="D1326" s="2">
        <v>479.0</v>
      </c>
      <c r="E1326" s="3">
        <f t="shared" si="1"/>
        <v>0.2735579669</v>
      </c>
      <c r="F1326" s="2">
        <v>256.0</v>
      </c>
      <c r="G1326" s="3">
        <f t="shared" si="2"/>
        <v>0.1462021702</v>
      </c>
      <c r="H1326" s="2">
        <v>352.0</v>
      </c>
      <c r="I1326" s="3">
        <f t="shared" si="3"/>
        <v>0.201027984</v>
      </c>
      <c r="J1326" s="2">
        <v>339.0</v>
      </c>
      <c r="K1326" s="3">
        <f t="shared" si="4"/>
        <v>0.1936036551</v>
      </c>
      <c r="L1326" s="2">
        <v>196.0</v>
      </c>
      <c r="M1326" s="3">
        <f t="shared" si="5"/>
        <v>0.5568181818</v>
      </c>
      <c r="N1326" s="2">
        <v>2177400.0</v>
      </c>
      <c r="O1326" s="4">
        <f t="shared" si="6"/>
        <v>6185.795455</v>
      </c>
      <c r="P1326" s="2">
        <v>1.0</v>
      </c>
      <c r="Q1326" s="3">
        <f t="shared" si="7"/>
        <v>0.006097560976</v>
      </c>
      <c r="R1326" s="2">
        <v>164.0</v>
      </c>
      <c r="S1326" s="5">
        <f t="shared" si="8"/>
        <v>1</v>
      </c>
    </row>
    <row r="1327">
      <c r="A1327" s="2" t="s">
        <v>1339</v>
      </c>
      <c r="B1327" s="2">
        <v>2086.0</v>
      </c>
      <c r="C1327" s="2">
        <v>24309.0</v>
      </c>
      <c r="D1327" s="2">
        <v>5757.0</v>
      </c>
      <c r="E1327" s="3">
        <f t="shared" si="1"/>
        <v>0.259055933</v>
      </c>
      <c r="F1327" s="2">
        <v>3249.0</v>
      </c>
      <c r="G1327" s="3">
        <f t="shared" si="2"/>
        <v>0.146199883</v>
      </c>
      <c r="H1327" s="2">
        <v>4757.0</v>
      </c>
      <c r="I1327" s="3">
        <f t="shared" si="3"/>
        <v>0.214057508</v>
      </c>
      <c r="J1327" s="2">
        <v>4232.0</v>
      </c>
      <c r="K1327" s="3">
        <f t="shared" si="4"/>
        <v>0.1904333348</v>
      </c>
      <c r="L1327" s="2">
        <v>2813.0</v>
      </c>
      <c r="M1327" s="3">
        <f t="shared" si="5"/>
        <v>0.5913390793</v>
      </c>
      <c r="N1327" s="2">
        <v>2.81226E7</v>
      </c>
      <c r="O1327" s="4">
        <f t="shared" si="6"/>
        <v>5911.83519</v>
      </c>
      <c r="P1327" s="2">
        <v>8.0</v>
      </c>
      <c r="Q1327" s="3">
        <f t="shared" si="7"/>
        <v>0.003835091083</v>
      </c>
      <c r="R1327" s="2">
        <v>2086.0</v>
      </c>
      <c r="S1327" s="5">
        <f t="shared" si="8"/>
        <v>1</v>
      </c>
    </row>
    <row r="1328">
      <c r="A1328" s="2" t="s">
        <v>1340</v>
      </c>
      <c r="B1328" s="2">
        <v>32.0</v>
      </c>
      <c r="C1328" s="2">
        <v>374.0</v>
      </c>
      <c r="D1328" s="2">
        <v>109.0</v>
      </c>
      <c r="E1328" s="3">
        <f t="shared" si="1"/>
        <v>0.3187134503</v>
      </c>
      <c r="F1328" s="2">
        <v>50.0</v>
      </c>
      <c r="G1328" s="3">
        <f t="shared" si="2"/>
        <v>0.1461988304</v>
      </c>
      <c r="H1328" s="2">
        <v>59.0</v>
      </c>
      <c r="I1328" s="3">
        <f t="shared" si="3"/>
        <v>0.1725146199</v>
      </c>
      <c r="J1328" s="2">
        <v>58.0</v>
      </c>
      <c r="K1328" s="3">
        <f t="shared" si="4"/>
        <v>0.1695906433</v>
      </c>
      <c r="L1328" s="2">
        <v>34.0</v>
      </c>
      <c r="M1328" s="3">
        <f t="shared" si="5"/>
        <v>0.5762711864</v>
      </c>
      <c r="N1328" s="2">
        <v>361000.0</v>
      </c>
      <c r="O1328" s="4">
        <f t="shared" si="6"/>
        <v>6118.644068</v>
      </c>
      <c r="P1328" s="2">
        <v>0.0</v>
      </c>
      <c r="Q1328" s="3">
        <f t="shared" si="7"/>
        <v>0</v>
      </c>
      <c r="R1328" s="2">
        <v>32.0</v>
      </c>
      <c r="S1328" s="5">
        <f t="shared" si="8"/>
        <v>1</v>
      </c>
    </row>
    <row r="1329">
      <c r="A1329" s="2" t="s">
        <v>1341</v>
      </c>
      <c r="B1329" s="2">
        <v>16.0</v>
      </c>
      <c r="C1329" s="2">
        <v>187.0</v>
      </c>
      <c r="D1329" s="2">
        <v>61.0</v>
      </c>
      <c r="E1329" s="3">
        <f t="shared" si="1"/>
        <v>0.3567251462</v>
      </c>
      <c r="F1329" s="2">
        <v>25.0</v>
      </c>
      <c r="G1329" s="3">
        <f t="shared" si="2"/>
        <v>0.1461988304</v>
      </c>
      <c r="H1329" s="2">
        <v>24.0</v>
      </c>
      <c r="I1329" s="3">
        <f t="shared" si="3"/>
        <v>0.1403508772</v>
      </c>
      <c r="J1329" s="2">
        <v>23.0</v>
      </c>
      <c r="K1329" s="3">
        <f t="shared" si="4"/>
        <v>0.134502924</v>
      </c>
      <c r="L1329" s="2">
        <v>12.0</v>
      </c>
      <c r="M1329" s="3">
        <f t="shared" si="5"/>
        <v>0.5</v>
      </c>
      <c r="N1329" s="2">
        <v>103900.0</v>
      </c>
      <c r="O1329" s="4">
        <f t="shared" si="6"/>
        <v>4329.166667</v>
      </c>
      <c r="P1329" s="2">
        <v>0.0</v>
      </c>
      <c r="Q1329" s="3">
        <f t="shared" si="7"/>
        <v>0</v>
      </c>
      <c r="R1329" s="2">
        <v>0.0</v>
      </c>
      <c r="S1329" s="5">
        <f t="shared" si="8"/>
        <v>0</v>
      </c>
    </row>
    <row r="1330">
      <c r="A1330" s="2" t="s">
        <v>1342</v>
      </c>
      <c r="B1330" s="2">
        <v>27.0</v>
      </c>
      <c r="C1330" s="2">
        <v>328.0</v>
      </c>
      <c r="D1330" s="2">
        <v>100.0</v>
      </c>
      <c r="E1330" s="3">
        <f t="shared" si="1"/>
        <v>0.3322259136</v>
      </c>
      <c r="F1330" s="2">
        <v>44.0</v>
      </c>
      <c r="G1330" s="3">
        <f t="shared" si="2"/>
        <v>0.146179402</v>
      </c>
      <c r="H1330" s="2">
        <v>67.0</v>
      </c>
      <c r="I1330" s="3">
        <f t="shared" si="3"/>
        <v>0.2225913621</v>
      </c>
      <c r="J1330" s="2">
        <v>45.0</v>
      </c>
      <c r="K1330" s="3">
        <f t="shared" si="4"/>
        <v>0.1495016611</v>
      </c>
      <c r="L1330" s="2">
        <v>43.0</v>
      </c>
      <c r="M1330" s="3">
        <f t="shared" si="5"/>
        <v>0.6417910448</v>
      </c>
      <c r="N1330" s="2">
        <v>316800.0</v>
      </c>
      <c r="O1330" s="4">
        <f t="shared" si="6"/>
        <v>4728.358209</v>
      </c>
      <c r="P1330" s="2">
        <v>0.0</v>
      </c>
      <c r="Q1330" s="3">
        <f t="shared" si="7"/>
        <v>0</v>
      </c>
      <c r="R1330" s="2">
        <v>27.0</v>
      </c>
      <c r="S1330" s="5">
        <f t="shared" si="8"/>
        <v>1</v>
      </c>
    </row>
    <row r="1331">
      <c r="A1331" s="2" t="s">
        <v>1343</v>
      </c>
      <c r="B1331" s="2">
        <v>2066.0</v>
      </c>
      <c r="C1331" s="2">
        <v>24368.0</v>
      </c>
      <c r="D1331" s="2">
        <v>8423.0</v>
      </c>
      <c r="E1331" s="3">
        <f t="shared" si="1"/>
        <v>0.3776791319</v>
      </c>
      <c r="F1331" s="2">
        <v>3260.0</v>
      </c>
      <c r="G1331" s="3">
        <f t="shared" si="2"/>
        <v>0.1461752309</v>
      </c>
      <c r="H1331" s="2">
        <v>4834.0</v>
      </c>
      <c r="I1331" s="3">
        <f t="shared" si="3"/>
        <v>0.2167518608</v>
      </c>
      <c r="J1331" s="2">
        <v>3410.0</v>
      </c>
      <c r="K1331" s="3">
        <f t="shared" si="4"/>
        <v>0.1529010851</v>
      </c>
      <c r="L1331" s="2">
        <v>2974.0</v>
      </c>
      <c r="M1331" s="3">
        <f t="shared" si="5"/>
        <v>0.6152254861</v>
      </c>
      <c r="N1331" s="2">
        <v>2.59985E7</v>
      </c>
      <c r="O1331" s="4">
        <f t="shared" si="6"/>
        <v>5378.258171</v>
      </c>
      <c r="P1331" s="2">
        <v>2.0</v>
      </c>
      <c r="Q1331" s="3">
        <f t="shared" si="7"/>
        <v>0.000968054211</v>
      </c>
      <c r="R1331" s="2">
        <v>2066.0</v>
      </c>
      <c r="S1331" s="5">
        <f t="shared" si="8"/>
        <v>1</v>
      </c>
    </row>
    <row r="1332">
      <c r="A1332" s="2" t="s">
        <v>1344</v>
      </c>
      <c r="B1332" s="2">
        <v>320.0</v>
      </c>
      <c r="C1332" s="2">
        <v>3809.0</v>
      </c>
      <c r="D1332" s="2">
        <v>1216.0</v>
      </c>
      <c r="E1332" s="3">
        <f t="shared" si="1"/>
        <v>0.3485239324</v>
      </c>
      <c r="F1332" s="2">
        <v>510.0</v>
      </c>
      <c r="G1332" s="3">
        <f t="shared" si="2"/>
        <v>0.1461736887</v>
      </c>
      <c r="H1332" s="2">
        <v>780.0</v>
      </c>
      <c r="I1332" s="3">
        <f t="shared" si="3"/>
        <v>0.2235597592</v>
      </c>
      <c r="J1332" s="2">
        <v>621.0</v>
      </c>
      <c r="K1332" s="3">
        <f t="shared" si="4"/>
        <v>0.1779879622</v>
      </c>
      <c r="L1332" s="2">
        <v>482.0</v>
      </c>
      <c r="M1332" s="3">
        <f t="shared" si="5"/>
        <v>0.6179487179</v>
      </c>
      <c r="N1332" s="2">
        <v>4294300.0</v>
      </c>
      <c r="O1332" s="4">
        <f t="shared" si="6"/>
        <v>5505.512821</v>
      </c>
      <c r="P1332" s="2">
        <v>0.0</v>
      </c>
      <c r="Q1332" s="3">
        <f t="shared" si="7"/>
        <v>0</v>
      </c>
      <c r="R1332" s="2">
        <v>320.0</v>
      </c>
      <c r="S1332" s="5">
        <f t="shared" si="8"/>
        <v>1</v>
      </c>
    </row>
    <row r="1333">
      <c r="A1333" s="2" t="s">
        <v>1345</v>
      </c>
      <c r="B1333" s="2">
        <v>101.0</v>
      </c>
      <c r="C1333" s="2">
        <v>1182.0</v>
      </c>
      <c r="D1333" s="2">
        <v>406.0</v>
      </c>
      <c r="E1333" s="3">
        <f t="shared" si="1"/>
        <v>0.3755781684</v>
      </c>
      <c r="F1333" s="2">
        <v>158.0</v>
      </c>
      <c r="G1333" s="3">
        <f t="shared" si="2"/>
        <v>0.1461609621</v>
      </c>
      <c r="H1333" s="2">
        <v>213.0</v>
      </c>
      <c r="I1333" s="3">
        <f t="shared" si="3"/>
        <v>0.197039778</v>
      </c>
      <c r="J1333" s="2">
        <v>144.0</v>
      </c>
      <c r="K1333" s="3">
        <f t="shared" si="4"/>
        <v>0.1332099907</v>
      </c>
      <c r="L1333" s="2">
        <v>129.0</v>
      </c>
      <c r="M1333" s="3">
        <f t="shared" si="5"/>
        <v>0.6056338028</v>
      </c>
      <c r="N1333" s="2">
        <v>1113400.0</v>
      </c>
      <c r="O1333" s="4">
        <f t="shared" si="6"/>
        <v>5227.230047</v>
      </c>
      <c r="P1333" s="2">
        <v>0.0</v>
      </c>
      <c r="Q1333" s="3">
        <f t="shared" si="7"/>
        <v>0</v>
      </c>
      <c r="R1333" s="2">
        <v>101.0</v>
      </c>
      <c r="S1333" s="5">
        <f t="shared" si="8"/>
        <v>1</v>
      </c>
    </row>
    <row r="1334">
      <c r="A1334" s="2" t="s">
        <v>1346</v>
      </c>
      <c r="B1334" s="2">
        <v>243.0</v>
      </c>
      <c r="C1334" s="2">
        <v>2843.0</v>
      </c>
      <c r="D1334" s="2">
        <v>882.0</v>
      </c>
      <c r="E1334" s="3">
        <f t="shared" si="1"/>
        <v>0.3392307692</v>
      </c>
      <c r="F1334" s="2">
        <v>380.0</v>
      </c>
      <c r="G1334" s="3">
        <f t="shared" si="2"/>
        <v>0.1461538462</v>
      </c>
      <c r="H1334" s="2">
        <v>551.0</v>
      </c>
      <c r="I1334" s="3">
        <f t="shared" si="3"/>
        <v>0.2119230769</v>
      </c>
      <c r="J1334" s="2">
        <v>419.0</v>
      </c>
      <c r="K1334" s="3">
        <f t="shared" si="4"/>
        <v>0.1611538462</v>
      </c>
      <c r="L1334" s="2">
        <v>323.0</v>
      </c>
      <c r="M1334" s="3">
        <f t="shared" si="5"/>
        <v>0.5862068966</v>
      </c>
      <c r="N1334" s="2">
        <v>3125900.0</v>
      </c>
      <c r="O1334" s="4">
        <f t="shared" si="6"/>
        <v>5673.139746</v>
      </c>
      <c r="P1334" s="2">
        <v>1.0</v>
      </c>
      <c r="Q1334" s="3">
        <f t="shared" si="7"/>
        <v>0.004115226337</v>
      </c>
      <c r="R1334" s="2">
        <v>61.0</v>
      </c>
      <c r="S1334" s="5">
        <f t="shared" si="8"/>
        <v>0.2510288066</v>
      </c>
    </row>
    <row r="1335">
      <c r="A1335" s="2" t="s">
        <v>1347</v>
      </c>
      <c r="B1335" s="2">
        <v>1600.0</v>
      </c>
      <c r="C1335" s="2">
        <v>18631.0</v>
      </c>
      <c r="D1335" s="2">
        <v>4952.0</v>
      </c>
      <c r="E1335" s="3">
        <f t="shared" si="1"/>
        <v>0.2907639011</v>
      </c>
      <c r="F1335" s="2">
        <v>2489.0</v>
      </c>
      <c r="G1335" s="3">
        <f t="shared" si="2"/>
        <v>0.1461452645</v>
      </c>
      <c r="H1335" s="2">
        <v>3574.0</v>
      </c>
      <c r="I1335" s="3">
        <f t="shared" si="3"/>
        <v>0.2098526217</v>
      </c>
      <c r="J1335" s="2">
        <v>3652.0</v>
      </c>
      <c r="K1335" s="3">
        <f t="shared" si="4"/>
        <v>0.2144325054</v>
      </c>
      <c r="L1335" s="2">
        <v>2152.0</v>
      </c>
      <c r="M1335" s="3">
        <f t="shared" si="5"/>
        <v>0.6021264689</v>
      </c>
      <c r="N1335" s="2">
        <v>2.20573E7</v>
      </c>
      <c r="O1335" s="4">
        <f t="shared" si="6"/>
        <v>6171.600448</v>
      </c>
      <c r="P1335" s="2">
        <v>3.0</v>
      </c>
      <c r="Q1335" s="3">
        <f t="shared" si="7"/>
        <v>0.001875</v>
      </c>
      <c r="R1335" s="2">
        <v>1600.0</v>
      </c>
      <c r="S1335" s="5">
        <f t="shared" si="8"/>
        <v>1</v>
      </c>
    </row>
    <row r="1336">
      <c r="A1336" s="2" t="s">
        <v>1348</v>
      </c>
      <c r="B1336" s="2">
        <v>1112.0</v>
      </c>
      <c r="C1336" s="2">
        <v>13066.0</v>
      </c>
      <c r="D1336" s="2">
        <v>4850.0</v>
      </c>
      <c r="E1336" s="3">
        <f t="shared" si="1"/>
        <v>0.4057219341</v>
      </c>
      <c r="F1336" s="2">
        <v>1747.0</v>
      </c>
      <c r="G1336" s="3">
        <f t="shared" si="2"/>
        <v>0.1461435503</v>
      </c>
      <c r="H1336" s="2">
        <v>2709.0</v>
      </c>
      <c r="I1336" s="3">
        <f t="shared" si="3"/>
        <v>0.226618705</v>
      </c>
      <c r="J1336" s="2">
        <v>2097.0</v>
      </c>
      <c r="K1336" s="3">
        <f t="shared" si="4"/>
        <v>0.1754224527</v>
      </c>
      <c r="L1336" s="2">
        <v>1615.0</v>
      </c>
      <c r="M1336" s="3">
        <f t="shared" si="5"/>
        <v>0.596160945</v>
      </c>
      <c r="N1336" s="2">
        <v>1.46911E7</v>
      </c>
      <c r="O1336" s="4">
        <f t="shared" si="6"/>
        <v>5423.071244</v>
      </c>
      <c r="P1336" s="2">
        <v>4.0</v>
      </c>
      <c r="Q1336" s="3">
        <f t="shared" si="7"/>
        <v>0.003597122302</v>
      </c>
      <c r="R1336" s="2">
        <v>152.0</v>
      </c>
      <c r="S1336" s="5">
        <f t="shared" si="8"/>
        <v>0.1366906475</v>
      </c>
    </row>
    <row r="1337">
      <c r="A1337" s="2" t="s">
        <v>1349</v>
      </c>
      <c r="B1337" s="2">
        <v>104.0</v>
      </c>
      <c r="C1337" s="2">
        <v>1151.0</v>
      </c>
      <c r="D1337" s="2">
        <v>335.0</v>
      </c>
      <c r="E1337" s="3">
        <f t="shared" si="1"/>
        <v>0.3199617956</v>
      </c>
      <c r="F1337" s="2">
        <v>153.0</v>
      </c>
      <c r="G1337" s="3">
        <f t="shared" si="2"/>
        <v>0.1461318052</v>
      </c>
      <c r="H1337" s="2">
        <v>205.0</v>
      </c>
      <c r="I1337" s="3">
        <f t="shared" si="3"/>
        <v>0.1957975167</v>
      </c>
      <c r="J1337" s="2">
        <v>230.0</v>
      </c>
      <c r="K1337" s="3">
        <f t="shared" si="4"/>
        <v>0.2196752627</v>
      </c>
      <c r="L1337" s="2">
        <v>127.0</v>
      </c>
      <c r="M1337" s="3">
        <f t="shared" si="5"/>
        <v>0.6195121951</v>
      </c>
      <c r="N1337" s="2">
        <v>1237500.0</v>
      </c>
      <c r="O1337" s="4">
        <f t="shared" si="6"/>
        <v>6036.585366</v>
      </c>
      <c r="P1337" s="2">
        <v>0.0</v>
      </c>
      <c r="Q1337" s="3">
        <f t="shared" si="7"/>
        <v>0</v>
      </c>
      <c r="R1337" s="2">
        <v>0.0</v>
      </c>
      <c r="S1337" s="5">
        <f t="shared" si="8"/>
        <v>0</v>
      </c>
    </row>
    <row r="1338">
      <c r="A1338" s="2" t="s">
        <v>1350</v>
      </c>
      <c r="B1338" s="2">
        <v>136.0</v>
      </c>
      <c r="C1338" s="2">
        <v>1628.0</v>
      </c>
      <c r="D1338" s="2">
        <v>428.0</v>
      </c>
      <c r="E1338" s="3">
        <f t="shared" si="1"/>
        <v>0.2868632708</v>
      </c>
      <c r="F1338" s="2">
        <v>218.0</v>
      </c>
      <c r="G1338" s="3">
        <f t="shared" si="2"/>
        <v>0.1461126005</v>
      </c>
      <c r="H1338" s="2">
        <v>272.0</v>
      </c>
      <c r="I1338" s="3">
        <f t="shared" si="3"/>
        <v>0.18230563</v>
      </c>
      <c r="J1338" s="2">
        <v>242.0</v>
      </c>
      <c r="K1338" s="3">
        <f t="shared" si="4"/>
        <v>0.1621983914</v>
      </c>
      <c r="L1338" s="2">
        <v>154.0</v>
      </c>
      <c r="M1338" s="3">
        <f t="shared" si="5"/>
        <v>0.5661764706</v>
      </c>
      <c r="N1338" s="2">
        <v>1677900.0</v>
      </c>
      <c r="O1338" s="4">
        <f t="shared" si="6"/>
        <v>6168.75</v>
      </c>
      <c r="P1338" s="2">
        <v>0.0</v>
      </c>
      <c r="Q1338" s="3">
        <f t="shared" si="7"/>
        <v>0</v>
      </c>
      <c r="R1338" s="2">
        <v>136.0</v>
      </c>
      <c r="S1338" s="5">
        <f t="shared" si="8"/>
        <v>1</v>
      </c>
    </row>
    <row r="1339">
      <c r="A1339" s="2" t="s">
        <v>1351</v>
      </c>
      <c r="B1339" s="2">
        <v>630.0</v>
      </c>
      <c r="C1339" s="2">
        <v>7406.0</v>
      </c>
      <c r="D1339" s="2">
        <v>1763.0</v>
      </c>
      <c r="E1339" s="3">
        <f t="shared" si="1"/>
        <v>0.2601829988</v>
      </c>
      <c r="F1339" s="2">
        <v>990.0</v>
      </c>
      <c r="G1339" s="3">
        <f t="shared" si="2"/>
        <v>0.1461038961</v>
      </c>
      <c r="H1339" s="2">
        <v>1400.0</v>
      </c>
      <c r="I1339" s="3">
        <f t="shared" si="3"/>
        <v>0.2066115702</v>
      </c>
      <c r="J1339" s="2">
        <v>1331.0</v>
      </c>
      <c r="K1339" s="3">
        <f t="shared" si="4"/>
        <v>0.1964285714</v>
      </c>
      <c r="L1339" s="2">
        <v>802.0</v>
      </c>
      <c r="M1339" s="3">
        <f t="shared" si="5"/>
        <v>0.5728571429</v>
      </c>
      <c r="N1339" s="2">
        <v>9376900.0</v>
      </c>
      <c r="O1339" s="4">
        <f t="shared" si="6"/>
        <v>6697.785714</v>
      </c>
      <c r="P1339" s="2">
        <v>4.0</v>
      </c>
      <c r="Q1339" s="3">
        <f t="shared" si="7"/>
        <v>0.006349206349</v>
      </c>
      <c r="R1339" s="2">
        <v>630.0</v>
      </c>
      <c r="S1339" s="5">
        <f t="shared" si="8"/>
        <v>1</v>
      </c>
    </row>
    <row r="1340">
      <c r="A1340" s="2" t="s">
        <v>1352</v>
      </c>
      <c r="B1340" s="2">
        <v>136.0</v>
      </c>
      <c r="C1340" s="2">
        <v>1546.0</v>
      </c>
      <c r="D1340" s="2">
        <v>418.0</v>
      </c>
      <c r="E1340" s="3">
        <f t="shared" si="1"/>
        <v>0.2964539007</v>
      </c>
      <c r="F1340" s="2">
        <v>206.0</v>
      </c>
      <c r="G1340" s="3">
        <f t="shared" si="2"/>
        <v>0.1460992908</v>
      </c>
      <c r="H1340" s="2">
        <v>256.0</v>
      </c>
      <c r="I1340" s="3">
        <f t="shared" si="3"/>
        <v>0.1815602837</v>
      </c>
      <c r="J1340" s="2">
        <v>260.0</v>
      </c>
      <c r="K1340" s="3">
        <f t="shared" si="4"/>
        <v>0.1843971631</v>
      </c>
      <c r="L1340" s="2">
        <v>154.0</v>
      </c>
      <c r="M1340" s="3">
        <f t="shared" si="5"/>
        <v>0.6015625</v>
      </c>
      <c r="N1340" s="2">
        <v>1507800.0</v>
      </c>
      <c r="O1340" s="4">
        <f t="shared" si="6"/>
        <v>5889.84375</v>
      </c>
      <c r="P1340" s="2">
        <v>0.0</v>
      </c>
      <c r="Q1340" s="3">
        <f t="shared" si="7"/>
        <v>0</v>
      </c>
      <c r="R1340" s="2">
        <v>35.0</v>
      </c>
      <c r="S1340" s="5">
        <f t="shared" si="8"/>
        <v>0.2573529412</v>
      </c>
    </row>
    <row r="1341">
      <c r="A1341" s="2" t="s">
        <v>1353</v>
      </c>
      <c r="B1341" s="2">
        <v>117.0</v>
      </c>
      <c r="C1341" s="2">
        <v>1404.0</v>
      </c>
      <c r="D1341" s="2">
        <v>378.0</v>
      </c>
      <c r="E1341" s="3">
        <f t="shared" si="1"/>
        <v>0.2937062937</v>
      </c>
      <c r="F1341" s="2">
        <v>188.0</v>
      </c>
      <c r="G1341" s="3">
        <f t="shared" si="2"/>
        <v>0.1460761461</v>
      </c>
      <c r="H1341" s="2">
        <v>275.0</v>
      </c>
      <c r="I1341" s="3">
        <f t="shared" si="3"/>
        <v>0.2136752137</v>
      </c>
      <c r="J1341" s="2">
        <v>180.0</v>
      </c>
      <c r="K1341" s="3">
        <f t="shared" si="4"/>
        <v>0.1398601399</v>
      </c>
      <c r="L1341" s="2">
        <v>147.0</v>
      </c>
      <c r="M1341" s="3">
        <f t="shared" si="5"/>
        <v>0.5345454545</v>
      </c>
      <c r="N1341" s="2">
        <v>1514200.0</v>
      </c>
      <c r="O1341" s="4">
        <f t="shared" si="6"/>
        <v>5506.181818</v>
      </c>
      <c r="P1341" s="2">
        <v>0.0</v>
      </c>
      <c r="Q1341" s="3">
        <f t="shared" si="7"/>
        <v>0</v>
      </c>
      <c r="R1341" s="2">
        <v>117.0</v>
      </c>
      <c r="S1341" s="5">
        <f t="shared" si="8"/>
        <v>1</v>
      </c>
    </row>
    <row r="1342">
      <c r="A1342" s="2" t="s">
        <v>1354</v>
      </c>
      <c r="B1342" s="2">
        <v>2004.0</v>
      </c>
      <c r="C1342" s="2">
        <v>23452.0</v>
      </c>
      <c r="D1342" s="2">
        <v>8579.0</v>
      </c>
      <c r="E1342" s="3">
        <f t="shared" si="1"/>
        <v>0.3999906751</v>
      </c>
      <c r="F1342" s="2">
        <v>3133.0</v>
      </c>
      <c r="G1342" s="3">
        <f t="shared" si="2"/>
        <v>0.146074226</v>
      </c>
      <c r="H1342" s="2">
        <v>4727.0</v>
      </c>
      <c r="I1342" s="3">
        <f t="shared" si="3"/>
        <v>0.2203935099</v>
      </c>
      <c r="J1342" s="2">
        <v>3743.0</v>
      </c>
      <c r="K1342" s="3">
        <f t="shared" si="4"/>
        <v>0.1745151063</v>
      </c>
      <c r="L1342" s="2">
        <v>2830.0</v>
      </c>
      <c r="M1342" s="3">
        <f t="shared" si="5"/>
        <v>0.5986883859</v>
      </c>
      <c r="N1342" s="2">
        <v>2.66514E7</v>
      </c>
      <c r="O1342" s="4">
        <f t="shared" si="6"/>
        <v>5638.12143</v>
      </c>
      <c r="P1342" s="2">
        <v>5.0</v>
      </c>
      <c r="Q1342" s="3">
        <f t="shared" si="7"/>
        <v>0.00249500998</v>
      </c>
      <c r="R1342" s="2">
        <v>2004.0</v>
      </c>
      <c r="S1342" s="5">
        <f t="shared" si="8"/>
        <v>1</v>
      </c>
    </row>
    <row r="1343">
      <c r="A1343" s="2" t="s">
        <v>1355</v>
      </c>
      <c r="B1343" s="2">
        <v>245.0</v>
      </c>
      <c r="C1343" s="2">
        <v>2867.0</v>
      </c>
      <c r="D1343" s="2">
        <v>881.0</v>
      </c>
      <c r="E1343" s="3">
        <f t="shared" si="1"/>
        <v>0.3360030511</v>
      </c>
      <c r="F1343" s="2">
        <v>383.0</v>
      </c>
      <c r="G1343" s="3">
        <f t="shared" si="2"/>
        <v>0.146071701</v>
      </c>
      <c r="H1343" s="2">
        <v>514.0</v>
      </c>
      <c r="I1343" s="3">
        <f t="shared" si="3"/>
        <v>0.1960335622</v>
      </c>
      <c r="J1343" s="2">
        <v>468.0</v>
      </c>
      <c r="K1343" s="3">
        <f t="shared" si="4"/>
        <v>0.1784897025</v>
      </c>
      <c r="L1343" s="2">
        <v>303.0</v>
      </c>
      <c r="M1343" s="3">
        <f t="shared" si="5"/>
        <v>0.5894941634</v>
      </c>
      <c r="N1343" s="2">
        <v>3024100.0</v>
      </c>
      <c r="O1343" s="4">
        <f t="shared" si="6"/>
        <v>5883.463035</v>
      </c>
      <c r="P1343" s="2">
        <v>1.0</v>
      </c>
      <c r="Q1343" s="3">
        <f t="shared" si="7"/>
        <v>0.004081632653</v>
      </c>
      <c r="R1343" s="2">
        <v>245.0</v>
      </c>
      <c r="S1343" s="5">
        <f t="shared" si="8"/>
        <v>1</v>
      </c>
    </row>
    <row r="1344">
      <c r="A1344" s="2" t="s">
        <v>1356</v>
      </c>
      <c r="B1344" s="2">
        <v>17.0</v>
      </c>
      <c r="C1344" s="2">
        <v>195.0</v>
      </c>
      <c r="D1344" s="2">
        <v>55.0</v>
      </c>
      <c r="E1344" s="3">
        <f t="shared" si="1"/>
        <v>0.308988764</v>
      </c>
      <c r="F1344" s="2">
        <v>26.0</v>
      </c>
      <c r="G1344" s="3">
        <f t="shared" si="2"/>
        <v>0.1460674157</v>
      </c>
      <c r="H1344" s="2">
        <v>49.0</v>
      </c>
      <c r="I1344" s="3">
        <f t="shared" si="3"/>
        <v>0.2752808989</v>
      </c>
      <c r="J1344" s="2">
        <v>34.0</v>
      </c>
      <c r="K1344" s="3">
        <f t="shared" si="4"/>
        <v>0.191011236</v>
      </c>
      <c r="L1344" s="2">
        <v>25.0</v>
      </c>
      <c r="M1344" s="3">
        <f t="shared" si="5"/>
        <v>0.5102040816</v>
      </c>
      <c r="N1344" s="2">
        <v>282300.0</v>
      </c>
      <c r="O1344" s="4">
        <f t="shared" si="6"/>
        <v>5761.22449</v>
      </c>
      <c r="P1344" s="2">
        <v>0.0</v>
      </c>
      <c r="Q1344" s="3">
        <f t="shared" si="7"/>
        <v>0</v>
      </c>
      <c r="R1344" s="2">
        <v>17.0</v>
      </c>
      <c r="S1344" s="5">
        <f t="shared" si="8"/>
        <v>1</v>
      </c>
    </row>
    <row r="1345">
      <c r="A1345" s="2" t="s">
        <v>1357</v>
      </c>
      <c r="B1345" s="2">
        <v>222.0</v>
      </c>
      <c r="C1345" s="2">
        <v>2632.0</v>
      </c>
      <c r="D1345" s="2">
        <v>1027.0</v>
      </c>
      <c r="E1345" s="3">
        <f t="shared" si="1"/>
        <v>0.4261410788</v>
      </c>
      <c r="F1345" s="2">
        <v>352.0</v>
      </c>
      <c r="G1345" s="3">
        <f t="shared" si="2"/>
        <v>0.1460580913</v>
      </c>
      <c r="H1345" s="2">
        <v>510.0</v>
      </c>
      <c r="I1345" s="3">
        <f t="shared" si="3"/>
        <v>0.2116182573</v>
      </c>
      <c r="J1345" s="2">
        <v>423.0</v>
      </c>
      <c r="K1345" s="3">
        <f t="shared" si="4"/>
        <v>0.1755186722</v>
      </c>
      <c r="L1345" s="2">
        <v>321.0</v>
      </c>
      <c r="M1345" s="3">
        <f t="shared" si="5"/>
        <v>0.6294117647</v>
      </c>
      <c r="N1345" s="2">
        <v>2629300.0</v>
      </c>
      <c r="O1345" s="4">
        <f t="shared" si="6"/>
        <v>5155.490196</v>
      </c>
      <c r="P1345" s="2">
        <v>0.0</v>
      </c>
      <c r="Q1345" s="3">
        <f t="shared" si="7"/>
        <v>0</v>
      </c>
      <c r="R1345" s="2">
        <v>222.0</v>
      </c>
      <c r="S1345" s="5">
        <f t="shared" si="8"/>
        <v>1</v>
      </c>
    </row>
    <row r="1346">
      <c r="A1346" s="2" t="s">
        <v>1358</v>
      </c>
      <c r="B1346" s="2">
        <v>1067.0</v>
      </c>
      <c r="C1346" s="2">
        <v>12405.0</v>
      </c>
      <c r="D1346" s="2">
        <v>3386.0</v>
      </c>
      <c r="E1346" s="3">
        <f t="shared" si="1"/>
        <v>0.2986417358</v>
      </c>
      <c r="F1346" s="2">
        <v>1656.0</v>
      </c>
      <c r="G1346" s="3">
        <f t="shared" si="2"/>
        <v>0.1460575057</v>
      </c>
      <c r="H1346" s="2">
        <v>2329.0</v>
      </c>
      <c r="I1346" s="3">
        <f t="shared" si="3"/>
        <v>0.2054154172</v>
      </c>
      <c r="J1346" s="2">
        <v>1921.0</v>
      </c>
      <c r="K1346" s="3">
        <f t="shared" si="4"/>
        <v>0.1694302346</v>
      </c>
      <c r="L1346" s="2">
        <v>1349.0</v>
      </c>
      <c r="M1346" s="3">
        <f t="shared" si="5"/>
        <v>0.5792185487</v>
      </c>
      <c r="N1346" s="2">
        <v>1.39075E7</v>
      </c>
      <c r="O1346" s="4">
        <f t="shared" si="6"/>
        <v>5971.446973</v>
      </c>
      <c r="P1346" s="2">
        <v>6.0</v>
      </c>
      <c r="Q1346" s="3">
        <f t="shared" si="7"/>
        <v>0.005623242737</v>
      </c>
      <c r="R1346" s="2">
        <v>1067.0</v>
      </c>
      <c r="S1346" s="5">
        <f t="shared" si="8"/>
        <v>1</v>
      </c>
    </row>
    <row r="1347">
      <c r="A1347" s="2" t="s">
        <v>1359</v>
      </c>
      <c r="B1347" s="2">
        <v>133.0</v>
      </c>
      <c r="C1347" s="2">
        <v>1564.0</v>
      </c>
      <c r="D1347" s="2">
        <v>474.0</v>
      </c>
      <c r="E1347" s="3">
        <f t="shared" si="1"/>
        <v>0.3312368973</v>
      </c>
      <c r="F1347" s="2">
        <v>209.0</v>
      </c>
      <c r="G1347" s="3">
        <f t="shared" si="2"/>
        <v>0.1460517121</v>
      </c>
      <c r="H1347" s="2">
        <v>275.0</v>
      </c>
      <c r="I1347" s="3">
        <f t="shared" si="3"/>
        <v>0.1921733054</v>
      </c>
      <c r="J1347" s="2">
        <v>281.0</v>
      </c>
      <c r="K1347" s="3">
        <f t="shared" si="4"/>
        <v>0.1963661775</v>
      </c>
      <c r="L1347" s="2">
        <v>163.0</v>
      </c>
      <c r="M1347" s="3">
        <f t="shared" si="5"/>
        <v>0.5927272727</v>
      </c>
      <c r="N1347" s="2">
        <v>1612600.0</v>
      </c>
      <c r="O1347" s="4">
        <f t="shared" si="6"/>
        <v>5864</v>
      </c>
      <c r="P1347" s="2">
        <v>0.0</v>
      </c>
      <c r="Q1347" s="3">
        <f t="shared" si="7"/>
        <v>0</v>
      </c>
      <c r="R1347" s="2">
        <v>101.0</v>
      </c>
      <c r="S1347" s="5">
        <f t="shared" si="8"/>
        <v>0.7593984962</v>
      </c>
    </row>
    <row r="1348">
      <c r="A1348" s="2" t="s">
        <v>1360</v>
      </c>
      <c r="B1348" s="2">
        <v>267.0</v>
      </c>
      <c r="C1348" s="2">
        <v>3136.0</v>
      </c>
      <c r="D1348" s="2">
        <v>1155.0</v>
      </c>
      <c r="E1348" s="3">
        <f t="shared" si="1"/>
        <v>0.4025792959</v>
      </c>
      <c r="F1348" s="2">
        <v>419.0</v>
      </c>
      <c r="G1348" s="3">
        <f t="shared" si="2"/>
        <v>0.1460439177</v>
      </c>
      <c r="H1348" s="2">
        <v>592.0</v>
      </c>
      <c r="I1348" s="3">
        <f t="shared" si="3"/>
        <v>0.2063436738</v>
      </c>
      <c r="J1348" s="2">
        <v>486.0</v>
      </c>
      <c r="K1348" s="3">
        <f t="shared" si="4"/>
        <v>0.1693970024</v>
      </c>
      <c r="L1348" s="2">
        <v>355.0</v>
      </c>
      <c r="M1348" s="3">
        <f t="shared" si="5"/>
        <v>0.5996621622</v>
      </c>
      <c r="N1348" s="2">
        <v>3562900.0</v>
      </c>
      <c r="O1348" s="4">
        <f t="shared" si="6"/>
        <v>6018.412162</v>
      </c>
      <c r="P1348" s="2">
        <v>2.0</v>
      </c>
      <c r="Q1348" s="3">
        <f t="shared" si="7"/>
        <v>0.007490636704</v>
      </c>
      <c r="R1348" s="2">
        <v>139.0</v>
      </c>
      <c r="S1348" s="5">
        <f t="shared" si="8"/>
        <v>0.5205992509</v>
      </c>
    </row>
    <row r="1349">
      <c r="A1349" s="2" t="s">
        <v>1361</v>
      </c>
      <c r="B1349" s="2">
        <v>77.0</v>
      </c>
      <c r="C1349" s="2">
        <v>885.0</v>
      </c>
      <c r="D1349" s="2">
        <v>356.0</v>
      </c>
      <c r="E1349" s="3">
        <f t="shared" si="1"/>
        <v>0.4405940594</v>
      </c>
      <c r="F1349" s="2">
        <v>118.0</v>
      </c>
      <c r="G1349" s="3">
        <f t="shared" si="2"/>
        <v>0.146039604</v>
      </c>
      <c r="H1349" s="2">
        <v>153.0</v>
      </c>
      <c r="I1349" s="3">
        <f t="shared" si="3"/>
        <v>0.1893564356</v>
      </c>
      <c r="J1349" s="2">
        <v>126.0</v>
      </c>
      <c r="K1349" s="3">
        <f t="shared" si="4"/>
        <v>0.1559405941</v>
      </c>
      <c r="L1349" s="2">
        <v>93.0</v>
      </c>
      <c r="M1349" s="3">
        <f t="shared" si="5"/>
        <v>0.6078431373</v>
      </c>
      <c r="N1349" s="2">
        <v>806600.0</v>
      </c>
      <c r="O1349" s="4">
        <f t="shared" si="6"/>
        <v>5271.895425</v>
      </c>
      <c r="P1349" s="2">
        <v>0.0</v>
      </c>
      <c r="Q1349" s="3">
        <f t="shared" si="7"/>
        <v>0</v>
      </c>
      <c r="R1349" s="2">
        <v>77.0</v>
      </c>
      <c r="S1349" s="5">
        <f t="shared" si="8"/>
        <v>1</v>
      </c>
    </row>
    <row r="1350">
      <c r="A1350" s="2" t="s">
        <v>1362</v>
      </c>
      <c r="B1350" s="2">
        <v>181.0</v>
      </c>
      <c r="C1350" s="2">
        <v>2112.0</v>
      </c>
      <c r="D1350" s="2">
        <v>461.0</v>
      </c>
      <c r="E1350" s="3">
        <f t="shared" si="1"/>
        <v>0.238736406</v>
      </c>
      <c r="F1350" s="2">
        <v>282.0</v>
      </c>
      <c r="G1350" s="3">
        <f t="shared" si="2"/>
        <v>0.1460383221</v>
      </c>
      <c r="H1350" s="2">
        <v>378.0</v>
      </c>
      <c r="I1350" s="3">
        <f t="shared" si="3"/>
        <v>0.1957534956</v>
      </c>
      <c r="J1350" s="2">
        <v>340.0</v>
      </c>
      <c r="K1350" s="3">
        <f t="shared" si="4"/>
        <v>0.1760745728</v>
      </c>
      <c r="L1350" s="2">
        <v>230.0</v>
      </c>
      <c r="M1350" s="3">
        <f t="shared" si="5"/>
        <v>0.6084656085</v>
      </c>
      <c r="N1350" s="2">
        <v>2349000.0</v>
      </c>
      <c r="O1350" s="4">
        <f t="shared" si="6"/>
        <v>6214.285714</v>
      </c>
      <c r="P1350" s="2">
        <v>0.0</v>
      </c>
      <c r="Q1350" s="3">
        <f t="shared" si="7"/>
        <v>0</v>
      </c>
      <c r="R1350" s="2">
        <v>181.0</v>
      </c>
      <c r="S1350" s="5">
        <f t="shared" si="8"/>
        <v>1</v>
      </c>
    </row>
    <row r="1351">
      <c r="A1351" s="2" t="s">
        <v>1363</v>
      </c>
      <c r="B1351" s="2">
        <v>577.0</v>
      </c>
      <c r="C1351" s="2">
        <v>6733.0</v>
      </c>
      <c r="D1351" s="2">
        <v>1967.0</v>
      </c>
      <c r="E1351" s="3">
        <f t="shared" si="1"/>
        <v>0.319525666</v>
      </c>
      <c r="F1351" s="2">
        <v>899.0</v>
      </c>
      <c r="G1351" s="3">
        <f t="shared" si="2"/>
        <v>0.1460363873</v>
      </c>
      <c r="H1351" s="2">
        <v>1306.0</v>
      </c>
      <c r="I1351" s="3">
        <f t="shared" si="3"/>
        <v>0.2121507472</v>
      </c>
      <c r="J1351" s="2">
        <v>1112.0</v>
      </c>
      <c r="K1351" s="3">
        <f t="shared" si="4"/>
        <v>0.1806367771</v>
      </c>
      <c r="L1351" s="2">
        <v>797.0</v>
      </c>
      <c r="M1351" s="3">
        <f t="shared" si="5"/>
        <v>0.6102603369</v>
      </c>
      <c r="N1351" s="2">
        <v>7629900.0</v>
      </c>
      <c r="O1351" s="4">
        <f t="shared" si="6"/>
        <v>5842.189893</v>
      </c>
      <c r="P1351" s="2">
        <v>1.0</v>
      </c>
      <c r="Q1351" s="3">
        <f t="shared" si="7"/>
        <v>0.001733102253</v>
      </c>
      <c r="R1351" s="2">
        <v>569.0</v>
      </c>
      <c r="S1351" s="5">
        <f t="shared" si="8"/>
        <v>0.986135182</v>
      </c>
    </row>
    <row r="1352">
      <c r="A1352" s="2" t="s">
        <v>1364</v>
      </c>
      <c r="B1352" s="2">
        <v>146.0</v>
      </c>
      <c r="C1352" s="2">
        <v>1721.0</v>
      </c>
      <c r="D1352" s="2">
        <v>575.0</v>
      </c>
      <c r="E1352" s="3">
        <f t="shared" si="1"/>
        <v>0.3650793651</v>
      </c>
      <c r="F1352" s="2">
        <v>230.0</v>
      </c>
      <c r="G1352" s="3">
        <f t="shared" si="2"/>
        <v>0.146031746</v>
      </c>
      <c r="H1352" s="2">
        <v>338.0</v>
      </c>
      <c r="I1352" s="3">
        <f t="shared" si="3"/>
        <v>0.2146031746</v>
      </c>
      <c r="J1352" s="2">
        <v>241.0</v>
      </c>
      <c r="K1352" s="3">
        <f t="shared" si="4"/>
        <v>0.153015873</v>
      </c>
      <c r="L1352" s="2">
        <v>213.0</v>
      </c>
      <c r="M1352" s="3">
        <f t="shared" si="5"/>
        <v>0.6301775148</v>
      </c>
      <c r="N1352" s="2">
        <v>1685200.0</v>
      </c>
      <c r="O1352" s="4">
        <f t="shared" si="6"/>
        <v>4985.798817</v>
      </c>
      <c r="P1352" s="2">
        <v>0.0</v>
      </c>
      <c r="Q1352" s="3">
        <f t="shared" si="7"/>
        <v>0</v>
      </c>
      <c r="R1352" s="2">
        <v>146.0</v>
      </c>
      <c r="S1352" s="5">
        <f t="shared" si="8"/>
        <v>1</v>
      </c>
    </row>
    <row r="1353">
      <c r="A1353" s="2" t="s">
        <v>1365</v>
      </c>
      <c r="B1353" s="2">
        <v>29.0</v>
      </c>
      <c r="C1353" s="2">
        <v>344.0</v>
      </c>
      <c r="D1353" s="2">
        <v>82.0</v>
      </c>
      <c r="E1353" s="3">
        <f t="shared" si="1"/>
        <v>0.2603174603</v>
      </c>
      <c r="F1353" s="2">
        <v>46.0</v>
      </c>
      <c r="G1353" s="3">
        <f t="shared" si="2"/>
        <v>0.146031746</v>
      </c>
      <c r="H1353" s="2">
        <v>49.0</v>
      </c>
      <c r="I1353" s="3">
        <f t="shared" si="3"/>
        <v>0.1555555556</v>
      </c>
      <c r="J1353" s="2">
        <v>37.0</v>
      </c>
      <c r="K1353" s="3">
        <f t="shared" si="4"/>
        <v>0.1174603175</v>
      </c>
      <c r="L1353" s="2">
        <v>29.0</v>
      </c>
      <c r="M1353" s="3">
        <f t="shared" si="5"/>
        <v>0.5918367347</v>
      </c>
      <c r="N1353" s="2">
        <v>258600.0</v>
      </c>
      <c r="O1353" s="4">
        <f t="shared" si="6"/>
        <v>5277.55102</v>
      </c>
      <c r="P1353" s="2">
        <v>0.0</v>
      </c>
      <c r="Q1353" s="3">
        <f t="shared" si="7"/>
        <v>0</v>
      </c>
      <c r="R1353" s="2">
        <v>0.0</v>
      </c>
      <c r="S1353" s="5">
        <f t="shared" si="8"/>
        <v>0</v>
      </c>
    </row>
    <row r="1354">
      <c r="A1354" s="2" t="s">
        <v>1366</v>
      </c>
      <c r="B1354" s="2">
        <v>312.0</v>
      </c>
      <c r="C1354" s="2">
        <v>3688.0</v>
      </c>
      <c r="D1354" s="2">
        <v>1285.0</v>
      </c>
      <c r="E1354" s="3">
        <f t="shared" si="1"/>
        <v>0.3806279621</v>
      </c>
      <c r="F1354" s="2">
        <v>493.0</v>
      </c>
      <c r="G1354" s="3">
        <f t="shared" si="2"/>
        <v>0.1460308057</v>
      </c>
      <c r="H1354" s="2">
        <v>735.0</v>
      </c>
      <c r="I1354" s="3">
        <f t="shared" si="3"/>
        <v>0.2177132701</v>
      </c>
      <c r="J1354" s="2">
        <v>626.0</v>
      </c>
      <c r="K1354" s="3">
        <f t="shared" si="4"/>
        <v>0.1854265403</v>
      </c>
      <c r="L1354" s="2">
        <v>417.0</v>
      </c>
      <c r="M1354" s="3">
        <f t="shared" si="5"/>
        <v>0.5673469388</v>
      </c>
      <c r="N1354" s="2">
        <v>4214300.0</v>
      </c>
      <c r="O1354" s="4">
        <f t="shared" si="6"/>
        <v>5733.741497</v>
      </c>
      <c r="P1354" s="2">
        <v>1.0</v>
      </c>
      <c r="Q1354" s="3">
        <f t="shared" si="7"/>
        <v>0.003205128205</v>
      </c>
      <c r="R1354" s="2">
        <v>0.0</v>
      </c>
      <c r="S1354" s="5">
        <f t="shared" si="8"/>
        <v>0</v>
      </c>
    </row>
    <row r="1355">
      <c r="A1355" s="2" t="s">
        <v>1367</v>
      </c>
      <c r="B1355" s="2">
        <v>212.0</v>
      </c>
      <c r="C1355" s="2">
        <v>2534.0</v>
      </c>
      <c r="D1355" s="2">
        <v>991.0</v>
      </c>
      <c r="E1355" s="3">
        <f t="shared" si="1"/>
        <v>0.4267872524</v>
      </c>
      <c r="F1355" s="2">
        <v>339.0</v>
      </c>
      <c r="G1355" s="3">
        <f t="shared" si="2"/>
        <v>0.145994832</v>
      </c>
      <c r="H1355" s="2">
        <v>506.0</v>
      </c>
      <c r="I1355" s="3">
        <f t="shared" si="3"/>
        <v>0.21791559</v>
      </c>
      <c r="J1355" s="2">
        <v>298.0</v>
      </c>
      <c r="K1355" s="3">
        <f t="shared" si="4"/>
        <v>0.12833764</v>
      </c>
      <c r="L1355" s="2">
        <v>306.0</v>
      </c>
      <c r="M1355" s="3">
        <f t="shared" si="5"/>
        <v>0.604743083</v>
      </c>
      <c r="N1355" s="2">
        <v>2729800.0</v>
      </c>
      <c r="O1355" s="4">
        <f t="shared" si="6"/>
        <v>5394.86166</v>
      </c>
      <c r="P1355" s="2">
        <v>1.0</v>
      </c>
      <c r="Q1355" s="3">
        <f t="shared" si="7"/>
        <v>0.004716981132</v>
      </c>
      <c r="R1355" s="2">
        <v>212.0</v>
      </c>
      <c r="S1355" s="5">
        <f t="shared" si="8"/>
        <v>1</v>
      </c>
    </row>
    <row r="1356">
      <c r="A1356" s="2" t="s">
        <v>1368</v>
      </c>
      <c r="B1356" s="2">
        <v>123.0</v>
      </c>
      <c r="C1356" s="2">
        <v>1445.0</v>
      </c>
      <c r="D1356" s="2">
        <v>515.0</v>
      </c>
      <c r="E1356" s="3">
        <f t="shared" si="1"/>
        <v>0.3895612708</v>
      </c>
      <c r="F1356" s="2">
        <v>193.0</v>
      </c>
      <c r="G1356" s="3">
        <f t="shared" si="2"/>
        <v>0.1459909228</v>
      </c>
      <c r="H1356" s="2">
        <v>310.0</v>
      </c>
      <c r="I1356" s="3">
        <f t="shared" si="3"/>
        <v>0.2344931921</v>
      </c>
      <c r="J1356" s="2">
        <v>250.0</v>
      </c>
      <c r="K1356" s="3">
        <f t="shared" si="4"/>
        <v>0.189107413</v>
      </c>
      <c r="L1356" s="2">
        <v>196.0</v>
      </c>
      <c r="M1356" s="3">
        <f t="shared" si="5"/>
        <v>0.6322580645</v>
      </c>
      <c r="N1356" s="2">
        <v>1756900.0</v>
      </c>
      <c r="O1356" s="4">
        <f t="shared" si="6"/>
        <v>5667.419355</v>
      </c>
      <c r="P1356" s="2">
        <v>0.0</v>
      </c>
      <c r="Q1356" s="3">
        <f t="shared" si="7"/>
        <v>0</v>
      </c>
      <c r="R1356" s="2">
        <v>123.0</v>
      </c>
      <c r="S1356" s="5">
        <f t="shared" si="8"/>
        <v>1</v>
      </c>
    </row>
    <row r="1357">
      <c r="A1357" s="2" t="s">
        <v>1369</v>
      </c>
      <c r="B1357" s="2">
        <v>118.0</v>
      </c>
      <c r="C1357" s="2">
        <v>1399.0</v>
      </c>
      <c r="D1357" s="2">
        <v>559.0</v>
      </c>
      <c r="E1357" s="3">
        <f t="shared" si="1"/>
        <v>0.4363778298</v>
      </c>
      <c r="F1357" s="2">
        <v>187.0</v>
      </c>
      <c r="G1357" s="3">
        <f t="shared" si="2"/>
        <v>0.1459797034</v>
      </c>
      <c r="H1357" s="2">
        <v>278.0</v>
      </c>
      <c r="I1357" s="3">
        <f t="shared" si="3"/>
        <v>0.2170179547</v>
      </c>
      <c r="J1357" s="2">
        <v>177.0</v>
      </c>
      <c r="K1357" s="3">
        <f t="shared" si="4"/>
        <v>0.1381733021</v>
      </c>
      <c r="L1357" s="2">
        <v>173.0</v>
      </c>
      <c r="M1357" s="3">
        <f t="shared" si="5"/>
        <v>0.6223021583</v>
      </c>
      <c r="N1357" s="2">
        <v>1539400.0</v>
      </c>
      <c r="O1357" s="4">
        <f t="shared" si="6"/>
        <v>5537.410072</v>
      </c>
      <c r="P1357" s="2">
        <v>0.0</v>
      </c>
      <c r="Q1357" s="3">
        <f t="shared" si="7"/>
        <v>0</v>
      </c>
      <c r="R1357" s="2">
        <v>118.0</v>
      </c>
      <c r="S1357" s="5">
        <f t="shared" si="8"/>
        <v>1</v>
      </c>
    </row>
    <row r="1358">
      <c r="A1358" s="2" t="s">
        <v>1370</v>
      </c>
      <c r="B1358" s="2">
        <v>503.0</v>
      </c>
      <c r="C1358" s="2">
        <v>5915.0</v>
      </c>
      <c r="D1358" s="2">
        <v>1631.0</v>
      </c>
      <c r="E1358" s="3">
        <f t="shared" si="1"/>
        <v>0.3013673319</v>
      </c>
      <c r="F1358" s="2">
        <v>790.0</v>
      </c>
      <c r="G1358" s="3">
        <f t="shared" si="2"/>
        <v>0.1459719143</v>
      </c>
      <c r="H1358" s="2">
        <v>1069.0</v>
      </c>
      <c r="I1358" s="3">
        <f t="shared" si="3"/>
        <v>0.1975240207</v>
      </c>
      <c r="J1358" s="2">
        <v>958.0</v>
      </c>
      <c r="K1358" s="3">
        <f t="shared" si="4"/>
        <v>0.1770140429</v>
      </c>
      <c r="L1358" s="2">
        <v>651.0</v>
      </c>
      <c r="M1358" s="3">
        <f t="shared" si="5"/>
        <v>0.6089803555</v>
      </c>
      <c r="N1358" s="2">
        <v>6313700.0</v>
      </c>
      <c r="O1358" s="4">
        <f t="shared" si="6"/>
        <v>5906.173994</v>
      </c>
      <c r="P1358" s="2">
        <v>0.0</v>
      </c>
      <c r="Q1358" s="3">
        <f t="shared" si="7"/>
        <v>0</v>
      </c>
      <c r="R1358" s="2">
        <v>488.0</v>
      </c>
      <c r="S1358" s="5">
        <f t="shared" si="8"/>
        <v>0.9701789264</v>
      </c>
    </row>
    <row r="1359">
      <c r="A1359" s="2" t="s">
        <v>1371</v>
      </c>
      <c r="B1359" s="2">
        <v>152.0</v>
      </c>
      <c r="C1359" s="2">
        <v>1776.0</v>
      </c>
      <c r="D1359" s="2">
        <v>514.0</v>
      </c>
      <c r="E1359" s="3">
        <f t="shared" si="1"/>
        <v>0.3165024631</v>
      </c>
      <c r="F1359" s="2">
        <v>237.0</v>
      </c>
      <c r="G1359" s="3">
        <f t="shared" si="2"/>
        <v>0.1459359606</v>
      </c>
      <c r="H1359" s="2">
        <v>340.0</v>
      </c>
      <c r="I1359" s="3">
        <f t="shared" si="3"/>
        <v>0.2093596059</v>
      </c>
      <c r="J1359" s="2">
        <v>329.0</v>
      </c>
      <c r="K1359" s="3">
        <f t="shared" si="4"/>
        <v>0.2025862069</v>
      </c>
      <c r="L1359" s="2">
        <v>206.0</v>
      </c>
      <c r="M1359" s="3">
        <f t="shared" si="5"/>
        <v>0.6058823529</v>
      </c>
      <c r="N1359" s="2">
        <v>2032400.0</v>
      </c>
      <c r="O1359" s="4">
        <f t="shared" si="6"/>
        <v>5977.647059</v>
      </c>
      <c r="P1359" s="2">
        <v>0.0</v>
      </c>
      <c r="Q1359" s="3">
        <f t="shared" si="7"/>
        <v>0</v>
      </c>
      <c r="R1359" s="2">
        <v>152.0</v>
      </c>
      <c r="S1359" s="5">
        <f t="shared" si="8"/>
        <v>1</v>
      </c>
    </row>
    <row r="1360">
      <c r="A1360" s="2" t="s">
        <v>1372</v>
      </c>
      <c r="B1360" s="2">
        <v>206.0</v>
      </c>
      <c r="C1360" s="2">
        <v>2481.0</v>
      </c>
      <c r="D1360" s="2">
        <v>857.0</v>
      </c>
      <c r="E1360" s="3">
        <f t="shared" si="1"/>
        <v>0.3767032967</v>
      </c>
      <c r="F1360" s="2">
        <v>332.0</v>
      </c>
      <c r="G1360" s="3">
        <f t="shared" si="2"/>
        <v>0.1459340659</v>
      </c>
      <c r="H1360" s="2">
        <v>502.0</v>
      </c>
      <c r="I1360" s="3">
        <f t="shared" si="3"/>
        <v>0.2206593407</v>
      </c>
      <c r="J1360" s="2">
        <v>350.0</v>
      </c>
      <c r="K1360" s="3">
        <f t="shared" si="4"/>
        <v>0.1538461538</v>
      </c>
      <c r="L1360" s="2">
        <v>304.0</v>
      </c>
      <c r="M1360" s="3">
        <f t="shared" si="5"/>
        <v>0.6055776892</v>
      </c>
      <c r="N1360" s="2">
        <v>2673100.0</v>
      </c>
      <c r="O1360" s="4">
        <f t="shared" si="6"/>
        <v>5324.900398</v>
      </c>
      <c r="P1360" s="2">
        <v>2.0</v>
      </c>
      <c r="Q1360" s="3">
        <f t="shared" si="7"/>
        <v>0.009708737864</v>
      </c>
      <c r="R1360" s="2">
        <v>96.0</v>
      </c>
      <c r="S1360" s="5">
        <f t="shared" si="8"/>
        <v>0.4660194175</v>
      </c>
    </row>
    <row r="1361">
      <c r="A1361" s="2" t="s">
        <v>1373</v>
      </c>
      <c r="B1361" s="2">
        <v>27.0</v>
      </c>
      <c r="C1361" s="2">
        <v>308.0</v>
      </c>
      <c r="D1361" s="2">
        <v>110.0</v>
      </c>
      <c r="E1361" s="3">
        <f t="shared" si="1"/>
        <v>0.3914590747</v>
      </c>
      <c r="F1361" s="2">
        <v>41.0</v>
      </c>
      <c r="G1361" s="3">
        <f t="shared" si="2"/>
        <v>0.1459074733</v>
      </c>
      <c r="H1361" s="2">
        <v>56.0</v>
      </c>
      <c r="I1361" s="3">
        <f t="shared" si="3"/>
        <v>0.1992882562</v>
      </c>
      <c r="J1361" s="2">
        <v>30.0</v>
      </c>
      <c r="K1361" s="3">
        <f t="shared" si="4"/>
        <v>0.1067615658</v>
      </c>
      <c r="L1361" s="2">
        <v>36.0</v>
      </c>
      <c r="M1361" s="3">
        <f t="shared" si="5"/>
        <v>0.6428571429</v>
      </c>
      <c r="N1361" s="2">
        <v>325300.0</v>
      </c>
      <c r="O1361" s="4">
        <f t="shared" si="6"/>
        <v>5808.928571</v>
      </c>
      <c r="P1361" s="2">
        <v>0.0</v>
      </c>
      <c r="Q1361" s="3">
        <f t="shared" si="7"/>
        <v>0</v>
      </c>
      <c r="R1361" s="2">
        <v>0.0</v>
      </c>
      <c r="S1361" s="5">
        <f t="shared" si="8"/>
        <v>0</v>
      </c>
    </row>
    <row r="1362">
      <c r="A1362" s="2" t="s">
        <v>1374</v>
      </c>
      <c r="B1362" s="2">
        <v>48.0</v>
      </c>
      <c r="C1362" s="2">
        <v>569.0</v>
      </c>
      <c r="D1362" s="2">
        <v>190.0</v>
      </c>
      <c r="E1362" s="3">
        <f t="shared" si="1"/>
        <v>0.3646833013</v>
      </c>
      <c r="F1362" s="2">
        <v>76.0</v>
      </c>
      <c r="G1362" s="3">
        <f t="shared" si="2"/>
        <v>0.1458733205</v>
      </c>
      <c r="H1362" s="2">
        <v>82.0</v>
      </c>
      <c r="I1362" s="3">
        <f t="shared" si="3"/>
        <v>0.1573896353</v>
      </c>
      <c r="J1362" s="2">
        <v>97.0</v>
      </c>
      <c r="K1362" s="3">
        <f t="shared" si="4"/>
        <v>0.1861804223</v>
      </c>
      <c r="L1362" s="2">
        <v>44.0</v>
      </c>
      <c r="M1362" s="3">
        <f t="shared" si="5"/>
        <v>0.5365853659</v>
      </c>
      <c r="N1362" s="2">
        <v>435700.0</v>
      </c>
      <c r="O1362" s="4">
        <f t="shared" si="6"/>
        <v>5313.414634</v>
      </c>
      <c r="P1362" s="2">
        <v>0.0</v>
      </c>
      <c r="Q1362" s="3">
        <f t="shared" si="7"/>
        <v>0</v>
      </c>
      <c r="R1362" s="2">
        <v>48.0</v>
      </c>
      <c r="S1362" s="5">
        <f t="shared" si="8"/>
        <v>1</v>
      </c>
    </row>
    <row r="1363">
      <c r="A1363" s="2" t="s">
        <v>1375</v>
      </c>
      <c r="B1363" s="2">
        <v>77.0</v>
      </c>
      <c r="C1363" s="2">
        <v>934.0</v>
      </c>
      <c r="D1363" s="2">
        <v>241.0</v>
      </c>
      <c r="E1363" s="3">
        <f t="shared" si="1"/>
        <v>0.2812135356</v>
      </c>
      <c r="F1363" s="2">
        <v>125.0</v>
      </c>
      <c r="G1363" s="3">
        <f t="shared" si="2"/>
        <v>0.1458576429</v>
      </c>
      <c r="H1363" s="2">
        <v>151.0</v>
      </c>
      <c r="I1363" s="3">
        <f t="shared" si="3"/>
        <v>0.1761960327</v>
      </c>
      <c r="J1363" s="2">
        <v>149.0</v>
      </c>
      <c r="K1363" s="3">
        <f t="shared" si="4"/>
        <v>0.1738623104</v>
      </c>
      <c r="L1363" s="2">
        <v>80.0</v>
      </c>
      <c r="M1363" s="3">
        <f t="shared" si="5"/>
        <v>0.5298013245</v>
      </c>
      <c r="N1363" s="2">
        <v>976700.0</v>
      </c>
      <c r="O1363" s="4">
        <f t="shared" si="6"/>
        <v>6468.211921</v>
      </c>
      <c r="P1363" s="2">
        <v>1.0</v>
      </c>
      <c r="Q1363" s="3">
        <f t="shared" si="7"/>
        <v>0.01298701299</v>
      </c>
      <c r="R1363" s="2">
        <v>77.0</v>
      </c>
      <c r="S1363" s="5">
        <f t="shared" si="8"/>
        <v>1</v>
      </c>
    </row>
    <row r="1364">
      <c r="A1364" s="2" t="s">
        <v>1376</v>
      </c>
      <c r="B1364" s="2">
        <v>89.0</v>
      </c>
      <c r="C1364" s="2">
        <v>1042.0</v>
      </c>
      <c r="D1364" s="2">
        <v>277.0</v>
      </c>
      <c r="E1364" s="3">
        <f t="shared" si="1"/>
        <v>0.2906610703</v>
      </c>
      <c r="F1364" s="2">
        <v>139.0</v>
      </c>
      <c r="G1364" s="3">
        <f t="shared" si="2"/>
        <v>0.1458551941</v>
      </c>
      <c r="H1364" s="2">
        <v>184.0</v>
      </c>
      <c r="I1364" s="3">
        <f t="shared" si="3"/>
        <v>0.1930745016</v>
      </c>
      <c r="J1364" s="2">
        <v>156.0</v>
      </c>
      <c r="K1364" s="3">
        <f t="shared" si="4"/>
        <v>0.1636935992</v>
      </c>
      <c r="L1364" s="2">
        <v>118.0</v>
      </c>
      <c r="M1364" s="3">
        <f t="shared" si="5"/>
        <v>0.6413043478</v>
      </c>
      <c r="N1364" s="2">
        <v>1119900.0</v>
      </c>
      <c r="O1364" s="4">
        <f t="shared" si="6"/>
        <v>6086.413043</v>
      </c>
      <c r="P1364" s="2">
        <v>0.0</v>
      </c>
      <c r="Q1364" s="3">
        <f t="shared" si="7"/>
        <v>0</v>
      </c>
      <c r="R1364" s="2">
        <v>89.0</v>
      </c>
      <c r="S1364" s="5">
        <f t="shared" si="8"/>
        <v>1</v>
      </c>
    </row>
    <row r="1365">
      <c r="A1365" s="2" t="s">
        <v>1377</v>
      </c>
      <c r="B1365" s="2">
        <v>5.0</v>
      </c>
      <c r="C1365" s="2">
        <v>53.0</v>
      </c>
      <c r="D1365" s="2">
        <v>21.0</v>
      </c>
      <c r="E1365" s="3">
        <f t="shared" si="1"/>
        <v>0.4375</v>
      </c>
      <c r="F1365" s="2">
        <v>7.0</v>
      </c>
      <c r="G1365" s="3">
        <f t="shared" si="2"/>
        <v>0.1458333333</v>
      </c>
      <c r="H1365" s="2">
        <v>8.0</v>
      </c>
      <c r="I1365" s="3">
        <f t="shared" si="3"/>
        <v>0.1666666667</v>
      </c>
      <c r="J1365" s="2">
        <v>8.0</v>
      </c>
      <c r="K1365" s="3">
        <f t="shared" si="4"/>
        <v>0.1666666667</v>
      </c>
      <c r="L1365" s="2">
        <v>4.0</v>
      </c>
      <c r="M1365" s="3">
        <f t="shared" si="5"/>
        <v>0.5</v>
      </c>
      <c r="N1365" s="2">
        <v>54800.0</v>
      </c>
      <c r="O1365" s="4">
        <f t="shared" si="6"/>
        <v>6850</v>
      </c>
      <c r="P1365" s="2">
        <v>0.0</v>
      </c>
      <c r="Q1365" s="3">
        <f t="shared" si="7"/>
        <v>0</v>
      </c>
      <c r="R1365" s="2">
        <v>5.0</v>
      </c>
      <c r="S1365" s="5">
        <f t="shared" si="8"/>
        <v>1</v>
      </c>
    </row>
    <row r="1366">
      <c r="A1366" s="2" t="s">
        <v>1378</v>
      </c>
      <c r="B1366" s="2">
        <v>5.0</v>
      </c>
      <c r="C1366" s="2">
        <v>53.0</v>
      </c>
      <c r="D1366" s="2">
        <v>17.0</v>
      </c>
      <c r="E1366" s="3">
        <f t="shared" si="1"/>
        <v>0.3541666667</v>
      </c>
      <c r="F1366" s="2">
        <v>7.0</v>
      </c>
      <c r="G1366" s="3">
        <f t="shared" si="2"/>
        <v>0.1458333333</v>
      </c>
      <c r="H1366" s="2">
        <v>12.0</v>
      </c>
      <c r="I1366" s="3">
        <f t="shared" si="3"/>
        <v>0.25</v>
      </c>
      <c r="J1366" s="2">
        <v>6.0</v>
      </c>
      <c r="K1366" s="3">
        <f t="shared" si="4"/>
        <v>0.125</v>
      </c>
      <c r="L1366" s="2">
        <v>9.0</v>
      </c>
      <c r="M1366" s="3">
        <f t="shared" si="5"/>
        <v>0.75</v>
      </c>
      <c r="N1366" s="2">
        <v>48300.0</v>
      </c>
      <c r="O1366" s="4">
        <f t="shared" si="6"/>
        <v>4025</v>
      </c>
      <c r="P1366" s="2">
        <v>0.0</v>
      </c>
      <c r="Q1366" s="3">
        <f t="shared" si="7"/>
        <v>0</v>
      </c>
      <c r="R1366" s="2">
        <v>5.0</v>
      </c>
      <c r="S1366" s="5">
        <f t="shared" si="8"/>
        <v>1</v>
      </c>
    </row>
    <row r="1367">
      <c r="A1367" s="2" t="s">
        <v>1379</v>
      </c>
      <c r="B1367" s="2">
        <v>4.0</v>
      </c>
      <c r="C1367" s="2">
        <v>52.0</v>
      </c>
      <c r="D1367" s="2">
        <v>18.0</v>
      </c>
      <c r="E1367" s="3">
        <f t="shared" si="1"/>
        <v>0.375</v>
      </c>
      <c r="F1367" s="2">
        <v>7.0</v>
      </c>
      <c r="G1367" s="3">
        <f t="shared" si="2"/>
        <v>0.1458333333</v>
      </c>
      <c r="H1367" s="2">
        <v>7.0</v>
      </c>
      <c r="I1367" s="3">
        <f t="shared" si="3"/>
        <v>0.1458333333</v>
      </c>
      <c r="J1367" s="2">
        <v>6.0</v>
      </c>
      <c r="K1367" s="3">
        <f t="shared" si="4"/>
        <v>0.125</v>
      </c>
      <c r="L1367" s="2">
        <v>4.0</v>
      </c>
      <c r="M1367" s="3">
        <f t="shared" si="5"/>
        <v>0.5714285714</v>
      </c>
      <c r="N1367" s="2">
        <v>35800.0</v>
      </c>
      <c r="O1367" s="4">
        <f t="shared" si="6"/>
        <v>5114.285714</v>
      </c>
      <c r="P1367" s="2">
        <v>0.0</v>
      </c>
      <c r="Q1367" s="3">
        <f t="shared" si="7"/>
        <v>0</v>
      </c>
      <c r="R1367" s="2">
        <v>0.0</v>
      </c>
      <c r="S1367" s="5">
        <f t="shared" si="8"/>
        <v>0</v>
      </c>
    </row>
    <row r="1368">
      <c r="A1368" s="2" t="s">
        <v>1380</v>
      </c>
      <c r="B1368" s="2">
        <v>418.0</v>
      </c>
      <c r="C1368" s="2">
        <v>4944.0</v>
      </c>
      <c r="D1368" s="2">
        <v>1921.0</v>
      </c>
      <c r="E1368" s="3">
        <f t="shared" si="1"/>
        <v>0.4244365886</v>
      </c>
      <c r="F1368" s="2">
        <v>660.0</v>
      </c>
      <c r="G1368" s="3">
        <f t="shared" si="2"/>
        <v>0.1458241273</v>
      </c>
      <c r="H1368" s="2">
        <v>897.0</v>
      </c>
      <c r="I1368" s="3">
        <f t="shared" si="3"/>
        <v>0.1981882457</v>
      </c>
      <c r="J1368" s="2">
        <v>714.0</v>
      </c>
      <c r="K1368" s="3">
        <f t="shared" si="4"/>
        <v>0.1577551922</v>
      </c>
      <c r="L1368" s="2">
        <v>500.0</v>
      </c>
      <c r="M1368" s="3">
        <f t="shared" si="5"/>
        <v>0.5574136009</v>
      </c>
      <c r="N1368" s="2">
        <v>5403800.0</v>
      </c>
      <c r="O1368" s="4">
        <f t="shared" si="6"/>
        <v>6024.303233</v>
      </c>
      <c r="P1368" s="2">
        <v>1.0</v>
      </c>
      <c r="Q1368" s="3">
        <f t="shared" si="7"/>
        <v>0.002392344498</v>
      </c>
      <c r="R1368" s="2">
        <v>377.0</v>
      </c>
      <c r="S1368" s="5">
        <f t="shared" si="8"/>
        <v>0.9019138756</v>
      </c>
    </row>
    <row r="1369">
      <c r="A1369" s="2" t="s">
        <v>1381</v>
      </c>
      <c r="B1369" s="2">
        <v>339.0</v>
      </c>
      <c r="C1369" s="2">
        <v>4049.0</v>
      </c>
      <c r="D1369" s="2">
        <v>977.0</v>
      </c>
      <c r="E1369" s="3">
        <f t="shared" si="1"/>
        <v>0.2633423181</v>
      </c>
      <c r="F1369" s="2">
        <v>541.0</v>
      </c>
      <c r="G1369" s="3">
        <f t="shared" si="2"/>
        <v>0.1458221024</v>
      </c>
      <c r="H1369" s="2">
        <v>753.0</v>
      </c>
      <c r="I1369" s="3">
        <f t="shared" si="3"/>
        <v>0.2029649596</v>
      </c>
      <c r="J1369" s="2">
        <v>620.0</v>
      </c>
      <c r="K1369" s="3">
        <f t="shared" si="4"/>
        <v>0.167115903</v>
      </c>
      <c r="L1369" s="2">
        <v>436.0</v>
      </c>
      <c r="M1369" s="3">
        <f t="shared" si="5"/>
        <v>0.5790172643</v>
      </c>
      <c r="N1369" s="2">
        <v>4382500.0</v>
      </c>
      <c r="O1369" s="4">
        <f t="shared" si="6"/>
        <v>5820.053121</v>
      </c>
      <c r="P1369" s="2">
        <v>0.0</v>
      </c>
      <c r="Q1369" s="3">
        <f t="shared" si="7"/>
        <v>0</v>
      </c>
      <c r="R1369" s="2">
        <v>0.0</v>
      </c>
      <c r="S1369" s="5">
        <f t="shared" si="8"/>
        <v>0</v>
      </c>
    </row>
    <row r="1370">
      <c r="A1370" s="2" t="s">
        <v>1382</v>
      </c>
      <c r="B1370" s="2">
        <v>343.0</v>
      </c>
      <c r="C1370" s="2">
        <v>4005.0</v>
      </c>
      <c r="D1370" s="2">
        <v>1359.0</v>
      </c>
      <c r="E1370" s="3">
        <f t="shared" si="1"/>
        <v>0.3711086838</v>
      </c>
      <c r="F1370" s="2">
        <v>534.0</v>
      </c>
      <c r="G1370" s="3">
        <f t="shared" si="2"/>
        <v>0.1458219552</v>
      </c>
      <c r="H1370" s="2">
        <v>696.0</v>
      </c>
      <c r="I1370" s="3">
        <f t="shared" si="3"/>
        <v>0.1900600765</v>
      </c>
      <c r="J1370" s="2">
        <v>663.0</v>
      </c>
      <c r="K1370" s="3">
        <f t="shared" si="4"/>
        <v>0.1810486073</v>
      </c>
      <c r="L1370" s="2">
        <v>410.0</v>
      </c>
      <c r="M1370" s="3">
        <f t="shared" si="5"/>
        <v>0.5890804598</v>
      </c>
      <c r="N1370" s="2">
        <v>4060700.0</v>
      </c>
      <c r="O1370" s="4">
        <f t="shared" si="6"/>
        <v>5834.33908</v>
      </c>
      <c r="P1370" s="2">
        <v>1.0</v>
      </c>
      <c r="Q1370" s="3">
        <f t="shared" si="7"/>
        <v>0.002915451895</v>
      </c>
      <c r="R1370" s="2">
        <v>343.0</v>
      </c>
      <c r="S1370" s="5">
        <f t="shared" si="8"/>
        <v>1</v>
      </c>
    </row>
    <row r="1371">
      <c r="A1371" s="2" t="s">
        <v>1383</v>
      </c>
      <c r="B1371" s="2">
        <v>101.0</v>
      </c>
      <c r="C1371" s="2">
        <v>1164.0</v>
      </c>
      <c r="D1371" s="2">
        <v>375.0</v>
      </c>
      <c r="E1371" s="3">
        <f t="shared" si="1"/>
        <v>0.3527751646</v>
      </c>
      <c r="F1371" s="2">
        <v>155.0</v>
      </c>
      <c r="G1371" s="3">
        <f t="shared" si="2"/>
        <v>0.1458137347</v>
      </c>
      <c r="H1371" s="2">
        <v>222.0</v>
      </c>
      <c r="I1371" s="3">
        <f t="shared" si="3"/>
        <v>0.2088428975</v>
      </c>
      <c r="J1371" s="2">
        <v>128.0</v>
      </c>
      <c r="K1371" s="3">
        <f t="shared" si="4"/>
        <v>0.1204139229</v>
      </c>
      <c r="L1371" s="2">
        <v>142.0</v>
      </c>
      <c r="M1371" s="3">
        <f t="shared" si="5"/>
        <v>0.6396396396</v>
      </c>
      <c r="N1371" s="2">
        <v>1214700.0</v>
      </c>
      <c r="O1371" s="4">
        <f t="shared" si="6"/>
        <v>5471.621622</v>
      </c>
      <c r="P1371" s="2">
        <v>2.0</v>
      </c>
      <c r="Q1371" s="3">
        <f t="shared" si="7"/>
        <v>0.0198019802</v>
      </c>
      <c r="R1371" s="2">
        <v>101.0</v>
      </c>
      <c r="S1371" s="5">
        <f t="shared" si="8"/>
        <v>1</v>
      </c>
    </row>
    <row r="1372">
      <c r="A1372" s="2" t="s">
        <v>1384</v>
      </c>
      <c r="B1372" s="2">
        <v>165.0</v>
      </c>
      <c r="C1372" s="2">
        <v>1907.0</v>
      </c>
      <c r="D1372" s="2">
        <v>564.0</v>
      </c>
      <c r="E1372" s="3">
        <f t="shared" si="1"/>
        <v>0.3237657865</v>
      </c>
      <c r="F1372" s="2">
        <v>254.0</v>
      </c>
      <c r="G1372" s="3">
        <f t="shared" si="2"/>
        <v>0.1458094145</v>
      </c>
      <c r="H1372" s="2">
        <v>370.0</v>
      </c>
      <c r="I1372" s="3">
        <f t="shared" si="3"/>
        <v>0.2123995408</v>
      </c>
      <c r="J1372" s="2">
        <v>337.0</v>
      </c>
      <c r="K1372" s="3">
        <f t="shared" si="4"/>
        <v>0.1934557979</v>
      </c>
      <c r="L1372" s="2">
        <v>237.0</v>
      </c>
      <c r="M1372" s="3">
        <f t="shared" si="5"/>
        <v>0.6405405405</v>
      </c>
      <c r="N1372" s="2">
        <v>2275800.0</v>
      </c>
      <c r="O1372" s="4">
        <f t="shared" si="6"/>
        <v>6150.810811</v>
      </c>
      <c r="P1372" s="2">
        <v>1.0</v>
      </c>
      <c r="Q1372" s="3">
        <f t="shared" si="7"/>
        <v>0.006060606061</v>
      </c>
      <c r="R1372" s="2">
        <v>165.0</v>
      </c>
      <c r="S1372" s="5">
        <f t="shared" si="8"/>
        <v>1</v>
      </c>
    </row>
    <row r="1373">
      <c r="A1373" s="2" t="s">
        <v>1385</v>
      </c>
      <c r="B1373" s="2">
        <v>139.0</v>
      </c>
      <c r="C1373" s="2">
        <v>1593.0</v>
      </c>
      <c r="D1373" s="2">
        <v>516.0</v>
      </c>
      <c r="E1373" s="3">
        <f t="shared" si="1"/>
        <v>0.3548830812</v>
      </c>
      <c r="F1373" s="2">
        <v>212.0</v>
      </c>
      <c r="G1373" s="3">
        <f t="shared" si="2"/>
        <v>0.1458046768</v>
      </c>
      <c r="H1373" s="2">
        <v>267.0</v>
      </c>
      <c r="I1373" s="3">
        <f t="shared" si="3"/>
        <v>0.1836313618</v>
      </c>
      <c r="J1373" s="2">
        <v>227.0</v>
      </c>
      <c r="K1373" s="3">
        <f t="shared" si="4"/>
        <v>0.1561210454</v>
      </c>
      <c r="L1373" s="2">
        <v>160.0</v>
      </c>
      <c r="M1373" s="3">
        <f t="shared" si="5"/>
        <v>0.5992509363</v>
      </c>
      <c r="N1373" s="2">
        <v>1535900.0</v>
      </c>
      <c r="O1373" s="4">
        <f t="shared" si="6"/>
        <v>5752.434457</v>
      </c>
      <c r="P1373" s="2">
        <v>0.0</v>
      </c>
      <c r="Q1373" s="3">
        <f t="shared" si="7"/>
        <v>0</v>
      </c>
      <c r="R1373" s="2">
        <v>139.0</v>
      </c>
      <c r="S1373" s="5">
        <f t="shared" si="8"/>
        <v>1</v>
      </c>
    </row>
    <row r="1374">
      <c r="A1374" s="2" t="s">
        <v>1386</v>
      </c>
      <c r="B1374" s="2">
        <v>123.0</v>
      </c>
      <c r="C1374" s="2">
        <v>1433.0</v>
      </c>
      <c r="D1374" s="2">
        <v>546.0</v>
      </c>
      <c r="E1374" s="3">
        <f t="shared" si="1"/>
        <v>0.4167938931</v>
      </c>
      <c r="F1374" s="2">
        <v>191.0</v>
      </c>
      <c r="G1374" s="3">
        <f t="shared" si="2"/>
        <v>0.1458015267</v>
      </c>
      <c r="H1374" s="2">
        <v>286.0</v>
      </c>
      <c r="I1374" s="3">
        <f t="shared" si="3"/>
        <v>0.2183206107</v>
      </c>
      <c r="J1374" s="2">
        <v>195.0</v>
      </c>
      <c r="K1374" s="3">
        <f t="shared" si="4"/>
        <v>0.1488549618</v>
      </c>
      <c r="L1374" s="2">
        <v>176.0</v>
      </c>
      <c r="M1374" s="3">
        <f t="shared" si="5"/>
        <v>0.6153846154</v>
      </c>
      <c r="N1374" s="2">
        <v>1576400.0</v>
      </c>
      <c r="O1374" s="4">
        <f t="shared" si="6"/>
        <v>5511.888112</v>
      </c>
      <c r="P1374" s="2">
        <v>0.0</v>
      </c>
      <c r="Q1374" s="3">
        <f t="shared" si="7"/>
        <v>0</v>
      </c>
      <c r="R1374" s="2">
        <v>123.0</v>
      </c>
      <c r="S1374" s="5">
        <f t="shared" si="8"/>
        <v>1</v>
      </c>
    </row>
    <row r="1375">
      <c r="A1375" s="2" t="s">
        <v>1387</v>
      </c>
      <c r="B1375" s="2">
        <v>46.0</v>
      </c>
      <c r="C1375" s="2">
        <v>533.0</v>
      </c>
      <c r="D1375" s="2">
        <v>167.0</v>
      </c>
      <c r="E1375" s="3">
        <f t="shared" si="1"/>
        <v>0.3429158111</v>
      </c>
      <c r="F1375" s="2">
        <v>71.0</v>
      </c>
      <c r="G1375" s="3">
        <f t="shared" si="2"/>
        <v>0.1457905544</v>
      </c>
      <c r="H1375" s="2">
        <v>93.0</v>
      </c>
      <c r="I1375" s="3">
        <f t="shared" si="3"/>
        <v>0.1909650924</v>
      </c>
      <c r="J1375" s="2">
        <v>80.0</v>
      </c>
      <c r="K1375" s="3">
        <f t="shared" si="4"/>
        <v>0.1642710472</v>
      </c>
      <c r="L1375" s="2">
        <v>55.0</v>
      </c>
      <c r="M1375" s="3">
        <f t="shared" si="5"/>
        <v>0.5913978495</v>
      </c>
      <c r="N1375" s="2">
        <v>497400.0</v>
      </c>
      <c r="O1375" s="4">
        <f t="shared" si="6"/>
        <v>5348.387097</v>
      </c>
      <c r="P1375" s="2">
        <v>0.0</v>
      </c>
      <c r="Q1375" s="3">
        <f t="shared" si="7"/>
        <v>0</v>
      </c>
      <c r="R1375" s="2">
        <v>46.0</v>
      </c>
      <c r="S1375" s="5">
        <f t="shared" si="8"/>
        <v>1</v>
      </c>
    </row>
    <row r="1376">
      <c r="A1376" s="2" t="s">
        <v>1388</v>
      </c>
      <c r="B1376" s="2">
        <v>2504.0</v>
      </c>
      <c r="C1376" s="2">
        <v>29166.0</v>
      </c>
      <c r="D1376" s="2">
        <v>6591.0</v>
      </c>
      <c r="E1376" s="3">
        <f t="shared" si="1"/>
        <v>0.247205761</v>
      </c>
      <c r="F1376" s="2">
        <v>3887.0</v>
      </c>
      <c r="G1376" s="3">
        <f t="shared" si="2"/>
        <v>0.1457880129</v>
      </c>
      <c r="H1376" s="2">
        <v>5692.0</v>
      </c>
      <c r="I1376" s="3">
        <f t="shared" si="3"/>
        <v>0.2134873603</v>
      </c>
      <c r="J1376" s="2">
        <v>5277.0</v>
      </c>
      <c r="K1376" s="3">
        <f t="shared" si="4"/>
        <v>0.1979221364</v>
      </c>
      <c r="L1376" s="2">
        <v>3362.0</v>
      </c>
      <c r="M1376" s="3">
        <f t="shared" si="5"/>
        <v>0.5906535488</v>
      </c>
      <c r="N1376" s="2">
        <v>3.45033E7</v>
      </c>
      <c r="O1376" s="4">
        <f t="shared" si="6"/>
        <v>6061.718201</v>
      </c>
      <c r="P1376" s="2">
        <v>7.0</v>
      </c>
      <c r="Q1376" s="3">
        <f t="shared" si="7"/>
        <v>0.002795527157</v>
      </c>
      <c r="R1376" s="2">
        <v>2504.0</v>
      </c>
      <c r="S1376" s="5">
        <f t="shared" si="8"/>
        <v>1</v>
      </c>
    </row>
    <row r="1377">
      <c r="A1377" s="2" t="s">
        <v>1389</v>
      </c>
      <c r="B1377" s="2">
        <v>60.0</v>
      </c>
      <c r="C1377" s="2">
        <v>698.0</v>
      </c>
      <c r="D1377" s="2">
        <v>225.0</v>
      </c>
      <c r="E1377" s="3">
        <f t="shared" si="1"/>
        <v>0.3526645768</v>
      </c>
      <c r="F1377" s="2">
        <v>93.0</v>
      </c>
      <c r="G1377" s="3">
        <f t="shared" si="2"/>
        <v>0.1457680251</v>
      </c>
      <c r="H1377" s="2">
        <v>127.0</v>
      </c>
      <c r="I1377" s="3">
        <f t="shared" si="3"/>
        <v>0.1990595611</v>
      </c>
      <c r="J1377" s="2">
        <v>95.0</v>
      </c>
      <c r="K1377" s="3">
        <f t="shared" si="4"/>
        <v>0.1489028213</v>
      </c>
      <c r="L1377" s="2">
        <v>86.0</v>
      </c>
      <c r="M1377" s="3">
        <f t="shared" si="5"/>
        <v>0.6771653543</v>
      </c>
      <c r="N1377" s="2">
        <v>758000.0</v>
      </c>
      <c r="O1377" s="4">
        <f t="shared" si="6"/>
        <v>5968.503937</v>
      </c>
      <c r="P1377" s="2">
        <v>0.0</v>
      </c>
      <c r="Q1377" s="3">
        <f t="shared" si="7"/>
        <v>0</v>
      </c>
      <c r="R1377" s="2">
        <v>60.0</v>
      </c>
      <c r="S1377" s="5">
        <f t="shared" si="8"/>
        <v>1</v>
      </c>
    </row>
    <row r="1378">
      <c r="A1378" s="2" t="s">
        <v>1390</v>
      </c>
      <c r="B1378" s="2">
        <v>27.0</v>
      </c>
      <c r="C1378" s="2">
        <v>322.0</v>
      </c>
      <c r="D1378" s="2">
        <v>82.0</v>
      </c>
      <c r="E1378" s="3">
        <f t="shared" si="1"/>
        <v>0.2779661017</v>
      </c>
      <c r="F1378" s="2">
        <v>43.0</v>
      </c>
      <c r="G1378" s="3">
        <f t="shared" si="2"/>
        <v>0.1457627119</v>
      </c>
      <c r="H1378" s="2">
        <v>53.0</v>
      </c>
      <c r="I1378" s="3">
        <f t="shared" si="3"/>
        <v>0.1796610169</v>
      </c>
      <c r="J1378" s="2">
        <v>68.0</v>
      </c>
      <c r="K1378" s="3">
        <f t="shared" si="4"/>
        <v>0.2305084746</v>
      </c>
      <c r="L1378" s="2">
        <v>26.0</v>
      </c>
      <c r="M1378" s="3">
        <f t="shared" si="5"/>
        <v>0.4905660377</v>
      </c>
      <c r="N1378" s="2">
        <v>338300.0</v>
      </c>
      <c r="O1378" s="4">
        <f t="shared" si="6"/>
        <v>6383.018868</v>
      </c>
      <c r="P1378" s="2">
        <v>0.0</v>
      </c>
      <c r="Q1378" s="3">
        <f t="shared" si="7"/>
        <v>0</v>
      </c>
      <c r="R1378" s="2">
        <v>0.0</v>
      </c>
      <c r="S1378" s="5">
        <f t="shared" si="8"/>
        <v>0</v>
      </c>
    </row>
    <row r="1379">
      <c r="A1379" s="2" t="s">
        <v>1391</v>
      </c>
      <c r="B1379" s="2">
        <v>1294.0</v>
      </c>
      <c r="C1379" s="2">
        <v>15154.0</v>
      </c>
      <c r="D1379" s="2">
        <v>5569.0</v>
      </c>
      <c r="E1379" s="3">
        <f t="shared" si="1"/>
        <v>0.4018037518</v>
      </c>
      <c r="F1379" s="2">
        <v>2020.0</v>
      </c>
      <c r="G1379" s="3">
        <f t="shared" si="2"/>
        <v>0.1457431457</v>
      </c>
      <c r="H1379" s="2">
        <v>3127.0</v>
      </c>
      <c r="I1379" s="3">
        <f t="shared" si="3"/>
        <v>0.2256132756</v>
      </c>
      <c r="J1379" s="2">
        <v>2520.0</v>
      </c>
      <c r="K1379" s="3">
        <f t="shared" si="4"/>
        <v>0.1818181818</v>
      </c>
      <c r="L1379" s="2">
        <v>1867.0</v>
      </c>
      <c r="M1379" s="3">
        <f t="shared" si="5"/>
        <v>0.597057883</v>
      </c>
      <c r="N1379" s="2">
        <v>1.71948E7</v>
      </c>
      <c r="O1379" s="4">
        <f t="shared" si="6"/>
        <v>5498.816757</v>
      </c>
      <c r="P1379" s="2">
        <v>1.0</v>
      </c>
      <c r="Q1379" s="3">
        <f t="shared" si="7"/>
        <v>0.000772797527</v>
      </c>
      <c r="R1379" s="2">
        <v>1294.0</v>
      </c>
      <c r="S1379" s="5">
        <f t="shared" si="8"/>
        <v>1</v>
      </c>
    </row>
    <row r="1380">
      <c r="A1380" s="2" t="s">
        <v>1392</v>
      </c>
      <c r="B1380" s="2">
        <v>407.0</v>
      </c>
      <c r="C1380" s="2">
        <v>4716.0</v>
      </c>
      <c r="D1380" s="2">
        <v>1601.0</v>
      </c>
      <c r="E1380" s="3">
        <f t="shared" si="1"/>
        <v>0.371547923</v>
      </c>
      <c r="F1380" s="2">
        <v>628.0</v>
      </c>
      <c r="G1380" s="3">
        <f t="shared" si="2"/>
        <v>0.1457414713</v>
      </c>
      <c r="H1380" s="2">
        <v>937.0</v>
      </c>
      <c r="I1380" s="3">
        <f t="shared" si="3"/>
        <v>0.217451845</v>
      </c>
      <c r="J1380" s="2">
        <v>654.0</v>
      </c>
      <c r="K1380" s="3">
        <f t="shared" si="4"/>
        <v>0.1517753539</v>
      </c>
      <c r="L1380" s="2">
        <v>552.0</v>
      </c>
      <c r="M1380" s="3">
        <f t="shared" si="5"/>
        <v>0.5891141942</v>
      </c>
      <c r="N1380" s="2">
        <v>5095900.0</v>
      </c>
      <c r="O1380" s="4">
        <f t="shared" si="6"/>
        <v>5438.527215</v>
      </c>
      <c r="P1380" s="2">
        <v>0.0</v>
      </c>
      <c r="Q1380" s="3">
        <f t="shared" si="7"/>
        <v>0</v>
      </c>
      <c r="R1380" s="2">
        <v>407.0</v>
      </c>
      <c r="S1380" s="5">
        <f t="shared" si="8"/>
        <v>1</v>
      </c>
    </row>
    <row r="1381">
      <c r="A1381" s="2" t="s">
        <v>1393</v>
      </c>
      <c r="B1381" s="2">
        <v>455.0</v>
      </c>
      <c r="C1381" s="2">
        <v>5368.0</v>
      </c>
      <c r="D1381" s="2">
        <v>1717.0</v>
      </c>
      <c r="E1381" s="3">
        <f t="shared" si="1"/>
        <v>0.3494809689</v>
      </c>
      <c r="F1381" s="2">
        <v>716.0</v>
      </c>
      <c r="G1381" s="3">
        <f t="shared" si="2"/>
        <v>0.145735803</v>
      </c>
      <c r="H1381" s="2">
        <v>1067.0</v>
      </c>
      <c r="I1381" s="3">
        <f t="shared" si="3"/>
        <v>0.2171789131</v>
      </c>
      <c r="J1381" s="2">
        <v>949.0</v>
      </c>
      <c r="K1381" s="3">
        <f t="shared" si="4"/>
        <v>0.1931610014</v>
      </c>
      <c r="L1381" s="2">
        <v>648.0</v>
      </c>
      <c r="M1381" s="3">
        <f t="shared" si="5"/>
        <v>0.6073102156</v>
      </c>
      <c r="N1381" s="2">
        <v>6089600.0</v>
      </c>
      <c r="O1381" s="4">
        <f t="shared" si="6"/>
        <v>5707.216495</v>
      </c>
      <c r="P1381" s="2">
        <v>0.0</v>
      </c>
      <c r="Q1381" s="3">
        <f t="shared" si="7"/>
        <v>0</v>
      </c>
      <c r="R1381" s="2">
        <v>102.0</v>
      </c>
      <c r="S1381" s="5">
        <f t="shared" si="8"/>
        <v>0.2241758242</v>
      </c>
    </row>
    <row r="1382">
      <c r="A1382" s="2" t="s">
        <v>1394</v>
      </c>
      <c r="B1382" s="2">
        <v>19.0</v>
      </c>
      <c r="C1382" s="2">
        <v>218.0</v>
      </c>
      <c r="D1382" s="2">
        <v>80.0</v>
      </c>
      <c r="E1382" s="3">
        <f t="shared" si="1"/>
        <v>0.4020100503</v>
      </c>
      <c r="F1382" s="2">
        <v>29.0</v>
      </c>
      <c r="G1382" s="3">
        <f t="shared" si="2"/>
        <v>0.1457286432</v>
      </c>
      <c r="H1382" s="2">
        <v>27.0</v>
      </c>
      <c r="I1382" s="3">
        <f t="shared" si="3"/>
        <v>0.135678392</v>
      </c>
      <c r="J1382" s="2">
        <v>30.0</v>
      </c>
      <c r="K1382" s="3">
        <f t="shared" si="4"/>
        <v>0.1507537688</v>
      </c>
      <c r="L1382" s="2">
        <v>20.0</v>
      </c>
      <c r="M1382" s="3">
        <f t="shared" si="5"/>
        <v>0.7407407407</v>
      </c>
      <c r="N1382" s="2">
        <v>103500.0</v>
      </c>
      <c r="O1382" s="4">
        <f t="shared" si="6"/>
        <v>3833.333333</v>
      </c>
      <c r="P1382" s="2">
        <v>0.0</v>
      </c>
      <c r="Q1382" s="3">
        <f t="shared" si="7"/>
        <v>0</v>
      </c>
      <c r="R1382" s="2">
        <v>0.0</v>
      </c>
      <c r="S1382" s="5">
        <f t="shared" si="8"/>
        <v>0</v>
      </c>
    </row>
    <row r="1383">
      <c r="A1383" s="2">
        <v>1500.0</v>
      </c>
      <c r="B1383" s="2">
        <v>339.0</v>
      </c>
      <c r="C1383" s="2">
        <v>4024.0</v>
      </c>
      <c r="D1383" s="2">
        <v>1449.0</v>
      </c>
      <c r="E1383" s="3">
        <f t="shared" si="1"/>
        <v>0.3932157395</v>
      </c>
      <c r="F1383" s="2">
        <v>537.0</v>
      </c>
      <c r="G1383" s="3">
        <f t="shared" si="2"/>
        <v>0.1457259159</v>
      </c>
      <c r="H1383" s="2">
        <v>764.0</v>
      </c>
      <c r="I1383" s="3">
        <f t="shared" si="3"/>
        <v>0.2073270014</v>
      </c>
      <c r="J1383" s="2">
        <v>594.0</v>
      </c>
      <c r="K1383" s="3">
        <f t="shared" si="4"/>
        <v>0.1611940299</v>
      </c>
      <c r="L1383" s="2">
        <v>449.0</v>
      </c>
      <c r="M1383" s="3">
        <f t="shared" si="5"/>
        <v>0.5876963351</v>
      </c>
      <c r="N1383" s="2">
        <v>4125200.0</v>
      </c>
      <c r="O1383" s="4">
        <f t="shared" si="6"/>
        <v>5399.47644</v>
      </c>
      <c r="P1383" s="2">
        <v>0.0</v>
      </c>
      <c r="Q1383" s="3">
        <f t="shared" si="7"/>
        <v>0</v>
      </c>
      <c r="R1383" s="2">
        <v>339.0</v>
      </c>
      <c r="S1383" s="5">
        <f t="shared" si="8"/>
        <v>1</v>
      </c>
    </row>
    <row r="1384">
      <c r="A1384" s="2" t="s">
        <v>1395</v>
      </c>
      <c r="B1384" s="2">
        <v>331.0</v>
      </c>
      <c r="C1384" s="2">
        <v>3927.0</v>
      </c>
      <c r="D1384" s="2">
        <v>1487.0</v>
      </c>
      <c r="E1384" s="3">
        <f t="shared" si="1"/>
        <v>0.4135150167</v>
      </c>
      <c r="F1384" s="2">
        <v>524.0</v>
      </c>
      <c r="G1384" s="3">
        <f t="shared" si="2"/>
        <v>0.1457174638</v>
      </c>
      <c r="H1384" s="2">
        <v>806.0</v>
      </c>
      <c r="I1384" s="3">
        <f t="shared" si="3"/>
        <v>0.224137931</v>
      </c>
      <c r="J1384" s="2">
        <v>669.0</v>
      </c>
      <c r="K1384" s="3">
        <f t="shared" si="4"/>
        <v>0.1860400445</v>
      </c>
      <c r="L1384" s="2">
        <v>503.0</v>
      </c>
      <c r="M1384" s="3">
        <f t="shared" si="5"/>
        <v>0.6240694789</v>
      </c>
      <c r="N1384" s="2">
        <v>4109500.0</v>
      </c>
      <c r="O1384" s="4">
        <f t="shared" si="6"/>
        <v>5098.635236</v>
      </c>
      <c r="P1384" s="2">
        <v>0.0</v>
      </c>
      <c r="Q1384" s="3">
        <f t="shared" si="7"/>
        <v>0</v>
      </c>
      <c r="R1384" s="2">
        <v>331.0</v>
      </c>
      <c r="S1384" s="5">
        <f t="shared" si="8"/>
        <v>1</v>
      </c>
    </row>
    <row r="1385">
      <c r="A1385" s="2" t="s">
        <v>1396</v>
      </c>
      <c r="B1385" s="2">
        <v>13.0</v>
      </c>
      <c r="C1385" s="2">
        <v>164.0</v>
      </c>
      <c r="D1385" s="2">
        <v>28.0</v>
      </c>
      <c r="E1385" s="3">
        <f t="shared" si="1"/>
        <v>0.1854304636</v>
      </c>
      <c r="F1385" s="2">
        <v>22.0</v>
      </c>
      <c r="G1385" s="3">
        <f t="shared" si="2"/>
        <v>0.1456953642</v>
      </c>
      <c r="H1385" s="2">
        <v>27.0</v>
      </c>
      <c r="I1385" s="3">
        <f t="shared" si="3"/>
        <v>0.178807947</v>
      </c>
      <c r="J1385" s="2">
        <v>42.0</v>
      </c>
      <c r="K1385" s="3">
        <f t="shared" si="4"/>
        <v>0.2781456954</v>
      </c>
      <c r="L1385" s="2">
        <v>12.0</v>
      </c>
      <c r="M1385" s="3">
        <f t="shared" si="5"/>
        <v>0.4444444444</v>
      </c>
      <c r="N1385" s="2">
        <v>213700.0</v>
      </c>
      <c r="O1385" s="4">
        <f t="shared" si="6"/>
        <v>7914.814815</v>
      </c>
      <c r="P1385" s="2">
        <v>0.0</v>
      </c>
      <c r="Q1385" s="3">
        <f t="shared" si="7"/>
        <v>0</v>
      </c>
      <c r="R1385" s="2">
        <v>13.0</v>
      </c>
      <c r="S1385" s="5">
        <f t="shared" si="8"/>
        <v>1</v>
      </c>
    </row>
    <row r="1386">
      <c r="A1386" s="2" t="s">
        <v>1397</v>
      </c>
      <c r="B1386" s="2">
        <v>14.0</v>
      </c>
      <c r="C1386" s="2">
        <v>165.0</v>
      </c>
      <c r="D1386" s="2">
        <v>51.0</v>
      </c>
      <c r="E1386" s="3">
        <f t="shared" si="1"/>
        <v>0.3377483444</v>
      </c>
      <c r="F1386" s="2">
        <v>22.0</v>
      </c>
      <c r="G1386" s="3">
        <f t="shared" si="2"/>
        <v>0.1456953642</v>
      </c>
      <c r="H1386" s="2">
        <v>31.0</v>
      </c>
      <c r="I1386" s="3">
        <f t="shared" si="3"/>
        <v>0.2052980132</v>
      </c>
      <c r="J1386" s="2">
        <v>27.0</v>
      </c>
      <c r="K1386" s="3">
        <f t="shared" si="4"/>
        <v>0.178807947</v>
      </c>
      <c r="L1386" s="2">
        <v>18.0</v>
      </c>
      <c r="M1386" s="3">
        <f t="shared" si="5"/>
        <v>0.5806451613</v>
      </c>
      <c r="N1386" s="2">
        <v>206400.0</v>
      </c>
      <c r="O1386" s="4">
        <f t="shared" si="6"/>
        <v>6658.064516</v>
      </c>
      <c r="P1386" s="2">
        <v>0.0</v>
      </c>
      <c r="Q1386" s="3">
        <f t="shared" si="7"/>
        <v>0</v>
      </c>
      <c r="R1386" s="2">
        <v>14.0</v>
      </c>
      <c r="S1386" s="5">
        <f t="shared" si="8"/>
        <v>1</v>
      </c>
    </row>
    <row r="1387">
      <c r="A1387" s="2" t="s">
        <v>1398</v>
      </c>
      <c r="B1387" s="2">
        <v>53.0</v>
      </c>
      <c r="C1387" s="2">
        <v>616.0</v>
      </c>
      <c r="D1387" s="2">
        <v>220.0</v>
      </c>
      <c r="E1387" s="3">
        <f t="shared" si="1"/>
        <v>0.3907637655</v>
      </c>
      <c r="F1387" s="2">
        <v>82.0</v>
      </c>
      <c r="G1387" s="3">
        <f t="shared" si="2"/>
        <v>0.1456483126</v>
      </c>
      <c r="H1387" s="2">
        <v>112.0</v>
      </c>
      <c r="I1387" s="3">
        <f t="shared" si="3"/>
        <v>0.1989342806</v>
      </c>
      <c r="J1387" s="2">
        <v>80.0</v>
      </c>
      <c r="K1387" s="3">
        <f t="shared" si="4"/>
        <v>0.1420959147</v>
      </c>
      <c r="L1387" s="2">
        <v>68.0</v>
      </c>
      <c r="M1387" s="3">
        <f t="shared" si="5"/>
        <v>0.6071428571</v>
      </c>
      <c r="N1387" s="2">
        <v>628500.0</v>
      </c>
      <c r="O1387" s="4">
        <f t="shared" si="6"/>
        <v>5611.607143</v>
      </c>
      <c r="P1387" s="2">
        <v>0.0</v>
      </c>
      <c r="Q1387" s="3">
        <f t="shared" si="7"/>
        <v>0</v>
      </c>
      <c r="R1387" s="2">
        <v>53.0</v>
      </c>
      <c r="S1387" s="5">
        <f t="shared" si="8"/>
        <v>1</v>
      </c>
    </row>
    <row r="1388">
      <c r="A1388" s="2" t="s">
        <v>1399</v>
      </c>
      <c r="B1388" s="2">
        <v>56.0</v>
      </c>
      <c r="C1388" s="2">
        <v>674.0</v>
      </c>
      <c r="D1388" s="2">
        <v>168.0</v>
      </c>
      <c r="E1388" s="3">
        <f t="shared" si="1"/>
        <v>0.2718446602</v>
      </c>
      <c r="F1388" s="2">
        <v>90.0</v>
      </c>
      <c r="G1388" s="3">
        <f t="shared" si="2"/>
        <v>0.145631068</v>
      </c>
      <c r="H1388" s="2">
        <v>137.0</v>
      </c>
      <c r="I1388" s="3">
        <f t="shared" si="3"/>
        <v>0.2216828479</v>
      </c>
      <c r="J1388" s="2">
        <v>133.0</v>
      </c>
      <c r="K1388" s="3">
        <f t="shared" si="4"/>
        <v>0.215210356</v>
      </c>
      <c r="L1388" s="2">
        <v>87.0</v>
      </c>
      <c r="M1388" s="3">
        <f t="shared" si="5"/>
        <v>0.6350364964</v>
      </c>
      <c r="N1388" s="2">
        <v>809600.0</v>
      </c>
      <c r="O1388" s="4">
        <f t="shared" si="6"/>
        <v>5909.489051</v>
      </c>
      <c r="P1388" s="2">
        <v>0.0</v>
      </c>
      <c r="Q1388" s="3">
        <f t="shared" si="7"/>
        <v>0</v>
      </c>
      <c r="R1388" s="2">
        <v>56.0</v>
      </c>
      <c r="S1388" s="5">
        <f t="shared" si="8"/>
        <v>1</v>
      </c>
    </row>
    <row r="1389">
      <c r="A1389" s="2" t="s">
        <v>1400</v>
      </c>
      <c r="B1389" s="2">
        <v>11.0</v>
      </c>
      <c r="C1389" s="2">
        <v>114.0</v>
      </c>
      <c r="D1389" s="2">
        <v>36.0</v>
      </c>
      <c r="E1389" s="3">
        <f t="shared" si="1"/>
        <v>0.3495145631</v>
      </c>
      <c r="F1389" s="2">
        <v>15.0</v>
      </c>
      <c r="G1389" s="3">
        <f t="shared" si="2"/>
        <v>0.145631068</v>
      </c>
      <c r="H1389" s="2">
        <v>22.0</v>
      </c>
      <c r="I1389" s="3">
        <f t="shared" si="3"/>
        <v>0.213592233</v>
      </c>
      <c r="J1389" s="2">
        <v>21.0</v>
      </c>
      <c r="K1389" s="3">
        <f t="shared" si="4"/>
        <v>0.2038834951</v>
      </c>
      <c r="L1389" s="2">
        <v>14.0</v>
      </c>
      <c r="M1389" s="3">
        <f t="shared" si="5"/>
        <v>0.6363636364</v>
      </c>
      <c r="N1389" s="2">
        <v>107100.0</v>
      </c>
      <c r="O1389" s="4">
        <f t="shared" si="6"/>
        <v>4868.181818</v>
      </c>
      <c r="P1389" s="2">
        <v>0.0</v>
      </c>
      <c r="Q1389" s="3">
        <f t="shared" si="7"/>
        <v>0</v>
      </c>
      <c r="R1389" s="2">
        <v>0.0</v>
      </c>
      <c r="S1389" s="5">
        <f t="shared" si="8"/>
        <v>0</v>
      </c>
    </row>
    <row r="1390">
      <c r="A1390" s="2" t="s">
        <v>1401</v>
      </c>
      <c r="B1390" s="2">
        <v>11.0</v>
      </c>
      <c r="C1390" s="2">
        <v>114.0</v>
      </c>
      <c r="D1390" s="2">
        <v>34.0</v>
      </c>
      <c r="E1390" s="3">
        <f t="shared" si="1"/>
        <v>0.3300970874</v>
      </c>
      <c r="F1390" s="2">
        <v>15.0</v>
      </c>
      <c r="G1390" s="3">
        <f t="shared" si="2"/>
        <v>0.145631068</v>
      </c>
      <c r="H1390" s="2">
        <v>14.0</v>
      </c>
      <c r="I1390" s="3">
        <f t="shared" si="3"/>
        <v>0.1359223301</v>
      </c>
      <c r="J1390" s="2">
        <v>7.0</v>
      </c>
      <c r="K1390" s="3">
        <f t="shared" si="4"/>
        <v>0.06796116505</v>
      </c>
      <c r="L1390" s="2">
        <v>12.0</v>
      </c>
      <c r="M1390" s="3">
        <f t="shared" si="5"/>
        <v>0.8571428571</v>
      </c>
      <c r="N1390" s="2">
        <v>61500.0</v>
      </c>
      <c r="O1390" s="4">
        <f t="shared" si="6"/>
        <v>4392.857143</v>
      </c>
      <c r="P1390" s="2">
        <v>0.0</v>
      </c>
      <c r="Q1390" s="3">
        <f t="shared" si="7"/>
        <v>0</v>
      </c>
      <c r="R1390" s="2">
        <v>11.0</v>
      </c>
      <c r="S1390" s="5">
        <f t="shared" si="8"/>
        <v>1</v>
      </c>
    </row>
    <row r="1391">
      <c r="A1391" s="2" t="s">
        <v>1402</v>
      </c>
      <c r="B1391" s="2">
        <v>184.0</v>
      </c>
      <c r="C1391" s="2">
        <v>2155.0</v>
      </c>
      <c r="D1391" s="2">
        <v>634.0</v>
      </c>
      <c r="E1391" s="3">
        <f t="shared" si="1"/>
        <v>0.3216641299</v>
      </c>
      <c r="F1391" s="2">
        <v>287.0</v>
      </c>
      <c r="G1391" s="3">
        <f t="shared" si="2"/>
        <v>0.1456113648</v>
      </c>
      <c r="H1391" s="2">
        <v>435.0</v>
      </c>
      <c r="I1391" s="3">
        <f t="shared" si="3"/>
        <v>0.2207001522</v>
      </c>
      <c r="J1391" s="2">
        <v>393.0</v>
      </c>
      <c r="K1391" s="3">
        <f t="shared" si="4"/>
        <v>0.199391172</v>
      </c>
      <c r="L1391" s="2">
        <v>243.0</v>
      </c>
      <c r="M1391" s="3">
        <f t="shared" si="5"/>
        <v>0.5586206897</v>
      </c>
      <c r="N1391" s="2">
        <v>2427700.0</v>
      </c>
      <c r="O1391" s="4">
        <f t="shared" si="6"/>
        <v>5580.91954</v>
      </c>
      <c r="P1391" s="2">
        <v>0.0</v>
      </c>
      <c r="Q1391" s="3">
        <f t="shared" si="7"/>
        <v>0</v>
      </c>
      <c r="R1391" s="2">
        <v>184.0</v>
      </c>
      <c r="S1391" s="5">
        <f t="shared" si="8"/>
        <v>1</v>
      </c>
    </row>
    <row r="1392">
      <c r="A1392" s="2" t="s">
        <v>1403</v>
      </c>
      <c r="B1392" s="2">
        <v>132.0</v>
      </c>
      <c r="C1392" s="2">
        <v>1485.0</v>
      </c>
      <c r="D1392" s="2">
        <v>576.0</v>
      </c>
      <c r="E1392" s="3">
        <f t="shared" si="1"/>
        <v>0.4257206208</v>
      </c>
      <c r="F1392" s="2">
        <v>197.0</v>
      </c>
      <c r="G1392" s="3">
        <f t="shared" si="2"/>
        <v>0.1456023651</v>
      </c>
      <c r="H1392" s="2">
        <v>287.0</v>
      </c>
      <c r="I1392" s="3">
        <f t="shared" si="3"/>
        <v>0.2121212121</v>
      </c>
      <c r="J1392" s="2">
        <v>241.0</v>
      </c>
      <c r="K1392" s="3">
        <f t="shared" si="4"/>
        <v>0.1781226903</v>
      </c>
      <c r="L1392" s="2">
        <v>174.0</v>
      </c>
      <c r="M1392" s="3">
        <f t="shared" si="5"/>
        <v>0.606271777</v>
      </c>
      <c r="N1392" s="2">
        <v>1689100.0</v>
      </c>
      <c r="O1392" s="4">
        <f t="shared" si="6"/>
        <v>5885.365854</v>
      </c>
      <c r="P1392" s="2">
        <v>0.0</v>
      </c>
      <c r="Q1392" s="3">
        <f t="shared" si="7"/>
        <v>0</v>
      </c>
      <c r="R1392" s="2">
        <v>132.0</v>
      </c>
      <c r="S1392" s="5">
        <f t="shared" si="8"/>
        <v>1</v>
      </c>
    </row>
    <row r="1393">
      <c r="A1393" s="2" t="s">
        <v>1404</v>
      </c>
      <c r="B1393" s="2">
        <v>136.0</v>
      </c>
      <c r="C1393" s="2">
        <v>1606.0</v>
      </c>
      <c r="D1393" s="2">
        <v>517.0</v>
      </c>
      <c r="E1393" s="3">
        <f t="shared" si="1"/>
        <v>0.3517006803</v>
      </c>
      <c r="F1393" s="2">
        <v>214.0</v>
      </c>
      <c r="G1393" s="3">
        <f t="shared" si="2"/>
        <v>0.1455782313</v>
      </c>
      <c r="H1393" s="2">
        <v>286.0</v>
      </c>
      <c r="I1393" s="3">
        <f t="shared" si="3"/>
        <v>0.1945578231</v>
      </c>
      <c r="J1393" s="2">
        <v>216.0</v>
      </c>
      <c r="K1393" s="3">
        <f t="shared" si="4"/>
        <v>0.1469387755</v>
      </c>
      <c r="L1393" s="2">
        <v>174.0</v>
      </c>
      <c r="M1393" s="3">
        <f t="shared" si="5"/>
        <v>0.6083916084</v>
      </c>
      <c r="N1393" s="2">
        <v>1689700.0</v>
      </c>
      <c r="O1393" s="4">
        <f t="shared" si="6"/>
        <v>5908.041958</v>
      </c>
      <c r="P1393" s="2">
        <v>0.0</v>
      </c>
      <c r="Q1393" s="3">
        <f t="shared" si="7"/>
        <v>0</v>
      </c>
      <c r="R1393" s="2">
        <v>136.0</v>
      </c>
      <c r="S1393" s="5">
        <f t="shared" si="8"/>
        <v>1</v>
      </c>
    </row>
    <row r="1394">
      <c r="A1394" s="2" t="s">
        <v>1405</v>
      </c>
      <c r="B1394" s="2">
        <v>248.0</v>
      </c>
      <c r="C1394" s="2">
        <v>2927.0</v>
      </c>
      <c r="D1394" s="2">
        <v>1041.0</v>
      </c>
      <c r="E1394" s="3">
        <f t="shared" si="1"/>
        <v>0.3885778275</v>
      </c>
      <c r="F1394" s="2">
        <v>390.0</v>
      </c>
      <c r="G1394" s="3">
        <f t="shared" si="2"/>
        <v>0.1455767077</v>
      </c>
      <c r="H1394" s="2">
        <v>509.0</v>
      </c>
      <c r="I1394" s="3">
        <f t="shared" si="3"/>
        <v>0.1899962673</v>
      </c>
      <c r="J1394" s="2">
        <v>464.0</v>
      </c>
      <c r="K1394" s="3">
        <f t="shared" si="4"/>
        <v>0.1731989548</v>
      </c>
      <c r="L1394" s="2">
        <v>318.0</v>
      </c>
      <c r="M1394" s="3">
        <f t="shared" si="5"/>
        <v>0.6247544204</v>
      </c>
      <c r="N1394" s="2">
        <v>2909700.0</v>
      </c>
      <c r="O1394" s="4">
        <f t="shared" si="6"/>
        <v>5716.502947</v>
      </c>
      <c r="P1394" s="2">
        <v>1.0</v>
      </c>
      <c r="Q1394" s="3">
        <f t="shared" si="7"/>
        <v>0.004032258065</v>
      </c>
      <c r="R1394" s="2">
        <v>248.0</v>
      </c>
      <c r="S1394" s="5">
        <f t="shared" si="8"/>
        <v>1</v>
      </c>
    </row>
    <row r="1395">
      <c r="A1395" s="2" t="s">
        <v>1406</v>
      </c>
      <c r="B1395" s="2">
        <v>425.0</v>
      </c>
      <c r="C1395" s="2">
        <v>4911.0</v>
      </c>
      <c r="D1395" s="2">
        <v>1565.0</v>
      </c>
      <c r="E1395" s="3">
        <f t="shared" si="1"/>
        <v>0.3488631297</v>
      </c>
      <c r="F1395" s="2">
        <v>653.0</v>
      </c>
      <c r="G1395" s="3">
        <f t="shared" si="2"/>
        <v>0.1455639768</v>
      </c>
      <c r="H1395" s="2">
        <v>892.0</v>
      </c>
      <c r="I1395" s="3">
        <f t="shared" si="3"/>
        <v>0.1988408382</v>
      </c>
      <c r="J1395" s="2">
        <v>860.0</v>
      </c>
      <c r="K1395" s="3">
        <f t="shared" si="4"/>
        <v>0.1917075346</v>
      </c>
      <c r="L1395" s="2">
        <v>535.0</v>
      </c>
      <c r="M1395" s="3">
        <f t="shared" si="5"/>
        <v>0.5997757848</v>
      </c>
      <c r="N1395" s="2">
        <v>5555800.0</v>
      </c>
      <c r="O1395" s="4">
        <f t="shared" si="6"/>
        <v>6228.475336</v>
      </c>
      <c r="P1395" s="2">
        <v>2.0</v>
      </c>
      <c r="Q1395" s="3">
        <f t="shared" si="7"/>
        <v>0.004705882353</v>
      </c>
      <c r="R1395" s="2">
        <v>14.0</v>
      </c>
      <c r="S1395" s="5">
        <f t="shared" si="8"/>
        <v>0.03294117647</v>
      </c>
    </row>
    <row r="1396">
      <c r="A1396" s="2" t="s">
        <v>1407</v>
      </c>
      <c r="B1396" s="2">
        <v>100.0</v>
      </c>
      <c r="C1396" s="2">
        <v>1172.0</v>
      </c>
      <c r="D1396" s="2">
        <v>286.0</v>
      </c>
      <c r="E1396" s="3">
        <f t="shared" si="1"/>
        <v>0.2667910448</v>
      </c>
      <c r="F1396" s="2">
        <v>156.0</v>
      </c>
      <c r="G1396" s="3">
        <f t="shared" si="2"/>
        <v>0.1455223881</v>
      </c>
      <c r="H1396" s="2">
        <v>193.0</v>
      </c>
      <c r="I1396" s="3">
        <f t="shared" si="3"/>
        <v>0.1800373134</v>
      </c>
      <c r="J1396" s="2">
        <v>179.0</v>
      </c>
      <c r="K1396" s="3">
        <f t="shared" si="4"/>
        <v>0.1669776119</v>
      </c>
      <c r="L1396" s="2">
        <v>117.0</v>
      </c>
      <c r="M1396" s="3">
        <f t="shared" si="5"/>
        <v>0.6062176166</v>
      </c>
      <c r="N1396" s="2">
        <v>1188300.0</v>
      </c>
      <c r="O1396" s="4">
        <f t="shared" si="6"/>
        <v>6156.994819</v>
      </c>
      <c r="P1396" s="2">
        <v>0.0</v>
      </c>
      <c r="Q1396" s="3">
        <f t="shared" si="7"/>
        <v>0</v>
      </c>
      <c r="R1396" s="2">
        <v>100.0</v>
      </c>
      <c r="S1396" s="5">
        <f t="shared" si="8"/>
        <v>1</v>
      </c>
    </row>
    <row r="1397">
      <c r="A1397" s="2" t="s">
        <v>1408</v>
      </c>
      <c r="B1397" s="2">
        <v>107.0</v>
      </c>
      <c r="C1397" s="2">
        <v>1289.0</v>
      </c>
      <c r="D1397" s="2">
        <v>474.0</v>
      </c>
      <c r="E1397" s="3">
        <f t="shared" si="1"/>
        <v>0.4010152284</v>
      </c>
      <c r="F1397" s="2">
        <v>172.0</v>
      </c>
      <c r="G1397" s="3">
        <f t="shared" si="2"/>
        <v>0.1455160745</v>
      </c>
      <c r="H1397" s="2">
        <v>248.0</v>
      </c>
      <c r="I1397" s="3">
        <f t="shared" si="3"/>
        <v>0.2098138748</v>
      </c>
      <c r="J1397" s="2">
        <v>162.0</v>
      </c>
      <c r="K1397" s="3">
        <f t="shared" si="4"/>
        <v>0.1370558376</v>
      </c>
      <c r="L1397" s="2">
        <v>142.0</v>
      </c>
      <c r="M1397" s="3">
        <f t="shared" si="5"/>
        <v>0.5725806452</v>
      </c>
      <c r="N1397" s="2">
        <v>1272500.0</v>
      </c>
      <c r="O1397" s="4">
        <f t="shared" si="6"/>
        <v>5131.048387</v>
      </c>
      <c r="P1397" s="2">
        <v>0.0</v>
      </c>
      <c r="Q1397" s="3">
        <f t="shared" si="7"/>
        <v>0</v>
      </c>
      <c r="R1397" s="2">
        <v>107.0</v>
      </c>
      <c r="S1397" s="5">
        <f t="shared" si="8"/>
        <v>1</v>
      </c>
    </row>
    <row r="1398">
      <c r="A1398" s="2" t="s">
        <v>1409</v>
      </c>
      <c r="B1398" s="2">
        <v>31.0</v>
      </c>
      <c r="C1398" s="2">
        <v>354.0</v>
      </c>
      <c r="D1398" s="2">
        <v>98.0</v>
      </c>
      <c r="E1398" s="3">
        <f t="shared" si="1"/>
        <v>0.3034055728</v>
      </c>
      <c r="F1398" s="2">
        <v>47.0</v>
      </c>
      <c r="G1398" s="3">
        <f t="shared" si="2"/>
        <v>0.1455108359</v>
      </c>
      <c r="H1398" s="2">
        <v>76.0</v>
      </c>
      <c r="I1398" s="3">
        <f t="shared" si="3"/>
        <v>0.2352941176</v>
      </c>
      <c r="J1398" s="2">
        <v>81.0</v>
      </c>
      <c r="K1398" s="3">
        <f t="shared" si="4"/>
        <v>0.2507739938</v>
      </c>
      <c r="L1398" s="2">
        <v>53.0</v>
      </c>
      <c r="M1398" s="3">
        <f t="shared" si="5"/>
        <v>0.6973684211</v>
      </c>
      <c r="N1398" s="2">
        <v>431200.0</v>
      </c>
      <c r="O1398" s="4">
        <f t="shared" si="6"/>
        <v>5673.684211</v>
      </c>
      <c r="P1398" s="2">
        <v>0.0</v>
      </c>
      <c r="Q1398" s="3">
        <f t="shared" si="7"/>
        <v>0</v>
      </c>
      <c r="R1398" s="2">
        <v>31.0</v>
      </c>
      <c r="S1398" s="5">
        <f t="shared" si="8"/>
        <v>1</v>
      </c>
    </row>
    <row r="1399">
      <c r="A1399" s="2" t="s">
        <v>1410</v>
      </c>
      <c r="B1399" s="2">
        <v>810.0</v>
      </c>
      <c r="C1399" s="2">
        <v>9470.0</v>
      </c>
      <c r="D1399" s="2">
        <v>2643.0</v>
      </c>
      <c r="E1399" s="3">
        <f t="shared" si="1"/>
        <v>0.3051963048</v>
      </c>
      <c r="F1399" s="2">
        <v>1260.0</v>
      </c>
      <c r="G1399" s="3">
        <f t="shared" si="2"/>
        <v>0.1454965358</v>
      </c>
      <c r="H1399" s="2">
        <v>1831.0</v>
      </c>
      <c r="I1399" s="3">
        <f t="shared" si="3"/>
        <v>0.2114318707</v>
      </c>
      <c r="J1399" s="2">
        <v>1464.0</v>
      </c>
      <c r="K1399" s="3">
        <f t="shared" si="4"/>
        <v>0.1690531178</v>
      </c>
      <c r="L1399" s="2">
        <v>1099.0</v>
      </c>
      <c r="M1399" s="3">
        <f t="shared" si="5"/>
        <v>0.6002184599</v>
      </c>
      <c r="N1399" s="2">
        <v>1.04225E7</v>
      </c>
      <c r="O1399" s="4">
        <f t="shared" si="6"/>
        <v>5692.244675</v>
      </c>
      <c r="P1399" s="2">
        <v>2.0</v>
      </c>
      <c r="Q1399" s="3">
        <f t="shared" si="7"/>
        <v>0.002469135802</v>
      </c>
      <c r="R1399" s="2">
        <v>810.0</v>
      </c>
      <c r="S1399" s="5">
        <f t="shared" si="8"/>
        <v>1</v>
      </c>
    </row>
    <row r="1400">
      <c r="A1400" s="2" t="s">
        <v>1411</v>
      </c>
      <c r="B1400" s="2">
        <v>54.0</v>
      </c>
      <c r="C1400" s="2">
        <v>652.0</v>
      </c>
      <c r="D1400" s="2">
        <v>237.0</v>
      </c>
      <c r="E1400" s="3">
        <f t="shared" si="1"/>
        <v>0.3963210702</v>
      </c>
      <c r="F1400" s="2">
        <v>87.0</v>
      </c>
      <c r="G1400" s="3">
        <f t="shared" si="2"/>
        <v>0.1454849498</v>
      </c>
      <c r="H1400" s="2">
        <v>129.0</v>
      </c>
      <c r="I1400" s="3">
        <f t="shared" si="3"/>
        <v>0.2157190635</v>
      </c>
      <c r="J1400" s="2">
        <v>97.0</v>
      </c>
      <c r="K1400" s="3">
        <f t="shared" si="4"/>
        <v>0.1622073579</v>
      </c>
      <c r="L1400" s="2">
        <v>83.0</v>
      </c>
      <c r="M1400" s="3">
        <f t="shared" si="5"/>
        <v>0.6434108527</v>
      </c>
      <c r="N1400" s="2">
        <v>594100.0</v>
      </c>
      <c r="O1400" s="4">
        <f t="shared" si="6"/>
        <v>4605.426357</v>
      </c>
      <c r="P1400" s="2">
        <v>0.0</v>
      </c>
      <c r="Q1400" s="3">
        <f t="shared" si="7"/>
        <v>0</v>
      </c>
      <c r="R1400" s="2">
        <v>0.0</v>
      </c>
      <c r="S1400" s="5">
        <f t="shared" si="8"/>
        <v>0</v>
      </c>
    </row>
    <row r="1401">
      <c r="A1401" s="2" t="s">
        <v>1412</v>
      </c>
      <c r="B1401" s="2">
        <v>116.0</v>
      </c>
      <c r="C1401" s="2">
        <v>1374.0</v>
      </c>
      <c r="D1401" s="2">
        <v>386.0</v>
      </c>
      <c r="E1401" s="3">
        <f t="shared" si="1"/>
        <v>0.306836248</v>
      </c>
      <c r="F1401" s="2">
        <v>183.0</v>
      </c>
      <c r="G1401" s="3">
        <f t="shared" si="2"/>
        <v>0.1454689984</v>
      </c>
      <c r="H1401" s="2">
        <v>228.0</v>
      </c>
      <c r="I1401" s="3">
        <f t="shared" si="3"/>
        <v>0.1812400636</v>
      </c>
      <c r="J1401" s="2">
        <v>205.0</v>
      </c>
      <c r="K1401" s="3">
        <f t="shared" si="4"/>
        <v>0.1629570747</v>
      </c>
      <c r="L1401" s="2">
        <v>150.0</v>
      </c>
      <c r="M1401" s="3">
        <f t="shared" si="5"/>
        <v>0.6578947368</v>
      </c>
      <c r="N1401" s="2">
        <v>1472500.0</v>
      </c>
      <c r="O1401" s="4">
        <f t="shared" si="6"/>
        <v>6458.333333</v>
      </c>
      <c r="P1401" s="2">
        <v>0.0</v>
      </c>
      <c r="Q1401" s="3">
        <f t="shared" si="7"/>
        <v>0</v>
      </c>
      <c r="R1401" s="2">
        <v>116.0</v>
      </c>
      <c r="S1401" s="5">
        <f t="shared" si="8"/>
        <v>1</v>
      </c>
    </row>
    <row r="1402">
      <c r="A1402" s="2" t="s">
        <v>1413</v>
      </c>
      <c r="B1402" s="2">
        <v>4.0</v>
      </c>
      <c r="C1402" s="2">
        <v>59.0</v>
      </c>
      <c r="D1402" s="2">
        <v>24.0</v>
      </c>
      <c r="E1402" s="3">
        <f t="shared" si="1"/>
        <v>0.4363636364</v>
      </c>
      <c r="F1402" s="2">
        <v>8.0</v>
      </c>
      <c r="G1402" s="3">
        <f t="shared" si="2"/>
        <v>0.1454545455</v>
      </c>
      <c r="H1402" s="2">
        <v>12.0</v>
      </c>
      <c r="I1402" s="3">
        <f t="shared" si="3"/>
        <v>0.2181818182</v>
      </c>
      <c r="J1402" s="2">
        <v>8.0</v>
      </c>
      <c r="K1402" s="3">
        <f t="shared" si="4"/>
        <v>0.1454545455</v>
      </c>
      <c r="L1402" s="2">
        <v>5.0</v>
      </c>
      <c r="M1402" s="3">
        <f t="shared" si="5"/>
        <v>0.4166666667</v>
      </c>
      <c r="N1402" s="2">
        <v>46400.0</v>
      </c>
      <c r="O1402" s="4">
        <f t="shared" si="6"/>
        <v>3866.666667</v>
      </c>
      <c r="P1402" s="2">
        <v>0.0</v>
      </c>
      <c r="Q1402" s="3">
        <f t="shared" si="7"/>
        <v>0</v>
      </c>
      <c r="R1402" s="2">
        <v>4.0</v>
      </c>
      <c r="S1402" s="5">
        <f t="shared" si="8"/>
        <v>1</v>
      </c>
    </row>
    <row r="1403">
      <c r="A1403" s="2" t="s">
        <v>1414</v>
      </c>
      <c r="B1403" s="2">
        <v>324.0</v>
      </c>
      <c r="C1403" s="2">
        <v>3748.0</v>
      </c>
      <c r="D1403" s="2">
        <v>1224.0</v>
      </c>
      <c r="E1403" s="3">
        <f t="shared" si="1"/>
        <v>0.3574766355</v>
      </c>
      <c r="F1403" s="2">
        <v>498.0</v>
      </c>
      <c r="G1403" s="3">
        <f t="shared" si="2"/>
        <v>0.1454439252</v>
      </c>
      <c r="H1403" s="2">
        <v>706.0</v>
      </c>
      <c r="I1403" s="3">
        <f t="shared" si="3"/>
        <v>0.2061915888</v>
      </c>
      <c r="J1403" s="2">
        <v>455.0</v>
      </c>
      <c r="K1403" s="3">
        <f t="shared" si="4"/>
        <v>0.132885514</v>
      </c>
      <c r="L1403" s="2">
        <v>438.0</v>
      </c>
      <c r="M1403" s="3">
        <f t="shared" si="5"/>
        <v>0.6203966006</v>
      </c>
      <c r="N1403" s="2">
        <v>3836900.0</v>
      </c>
      <c r="O1403" s="4">
        <f t="shared" si="6"/>
        <v>5434.70255</v>
      </c>
      <c r="P1403" s="2">
        <v>1.0</v>
      </c>
      <c r="Q1403" s="3">
        <f t="shared" si="7"/>
        <v>0.003086419753</v>
      </c>
      <c r="R1403" s="2">
        <v>324.0</v>
      </c>
      <c r="S1403" s="5">
        <f t="shared" si="8"/>
        <v>1</v>
      </c>
    </row>
    <row r="1404">
      <c r="A1404" s="2" t="s">
        <v>1415</v>
      </c>
      <c r="B1404" s="2">
        <v>132.0</v>
      </c>
      <c r="C1404" s="2">
        <v>1521.0</v>
      </c>
      <c r="D1404" s="2">
        <v>394.0</v>
      </c>
      <c r="E1404" s="3">
        <f t="shared" si="1"/>
        <v>0.2836573074</v>
      </c>
      <c r="F1404" s="2">
        <v>202.0</v>
      </c>
      <c r="G1404" s="3">
        <f t="shared" si="2"/>
        <v>0.1454283657</v>
      </c>
      <c r="H1404" s="2">
        <v>267.0</v>
      </c>
      <c r="I1404" s="3">
        <f t="shared" si="3"/>
        <v>0.192224622</v>
      </c>
      <c r="J1404" s="2">
        <v>251.0</v>
      </c>
      <c r="K1404" s="3">
        <f t="shared" si="4"/>
        <v>0.1807055436</v>
      </c>
      <c r="L1404" s="2">
        <v>150.0</v>
      </c>
      <c r="M1404" s="3">
        <f t="shared" si="5"/>
        <v>0.5617977528</v>
      </c>
      <c r="N1404" s="2">
        <v>1556600.0</v>
      </c>
      <c r="O1404" s="4">
        <f t="shared" si="6"/>
        <v>5829.962547</v>
      </c>
      <c r="P1404" s="2">
        <v>0.0</v>
      </c>
      <c r="Q1404" s="3">
        <f t="shared" si="7"/>
        <v>0</v>
      </c>
      <c r="R1404" s="2">
        <v>132.0</v>
      </c>
      <c r="S1404" s="5">
        <f t="shared" si="8"/>
        <v>1</v>
      </c>
    </row>
    <row r="1405">
      <c r="A1405" s="2" t="s">
        <v>1416</v>
      </c>
      <c r="B1405" s="2">
        <v>77.0</v>
      </c>
      <c r="C1405" s="2">
        <v>916.0</v>
      </c>
      <c r="D1405" s="2">
        <v>311.0</v>
      </c>
      <c r="E1405" s="3">
        <f t="shared" si="1"/>
        <v>0.3706793802</v>
      </c>
      <c r="F1405" s="2">
        <v>122.0</v>
      </c>
      <c r="G1405" s="3">
        <f t="shared" si="2"/>
        <v>0.1454112038</v>
      </c>
      <c r="H1405" s="2">
        <v>174.0</v>
      </c>
      <c r="I1405" s="3">
        <f t="shared" si="3"/>
        <v>0.2073897497</v>
      </c>
      <c r="J1405" s="2">
        <v>136.0</v>
      </c>
      <c r="K1405" s="3">
        <f t="shared" si="4"/>
        <v>0.1620977354</v>
      </c>
      <c r="L1405" s="2">
        <v>105.0</v>
      </c>
      <c r="M1405" s="3">
        <f t="shared" si="5"/>
        <v>0.6034482759</v>
      </c>
      <c r="N1405" s="2">
        <v>1101200.0</v>
      </c>
      <c r="O1405" s="4">
        <f t="shared" si="6"/>
        <v>6328.735632</v>
      </c>
      <c r="P1405" s="2">
        <v>0.0</v>
      </c>
      <c r="Q1405" s="3">
        <f t="shared" si="7"/>
        <v>0</v>
      </c>
      <c r="R1405" s="2">
        <v>77.0</v>
      </c>
      <c r="S1405" s="5">
        <f t="shared" si="8"/>
        <v>1</v>
      </c>
    </row>
    <row r="1406">
      <c r="A1406" s="2" t="s">
        <v>1417</v>
      </c>
      <c r="B1406" s="2">
        <v>88.0</v>
      </c>
      <c r="C1406" s="2">
        <v>1051.0</v>
      </c>
      <c r="D1406" s="2">
        <v>292.0</v>
      </c>
      <c r="E1406" s="3">
        <f t="shared" si="1"/>
        <v>0.303219107</v>
      </c>
      <c r="F1406" s="2">
        <v>140.0</v>
      </c>
      <c r="G1406" s="3">
        <f t="shared" si="2"/>
        <v>0.1453790239</v>
      </c>
      <c r="H1406" s="2">
        <v>202.0</v>
      </c>
      <c r="I1406" s="3">
        <f t="shared" si="3"/>
        <v>0.209761163</v>
      </c>
      <c r="J1406" s="2">
        <v>171.0</v>
      </c>
      <c r="K1406" s="3">
        <f t="shared" si="4"/>
        <v>0.1775700935</v>
      </c>
      <c r="L1406" s="2">
        <v>122.0</v>
      </c>
      <c r="M1406" s="3">
        <f t="shared" si="5"/>
        <v>0.603960396</v>
      </c>
      <c r="N1406" s="2">
        <v>1107900.0</v>
      </c>
      <c r="O1406" s="4">
        <f t="shared" si="6"/>
        <v>5484.653465</v>
      </c>
      <c r="P1406" s="2">
        <v>1.0</v>
      </c>
      <c r="Q1406" s="3">
        <f t="shared" si="7"/>
        <v>0.01136363636</v>
      </c>
      <c r="R1406" s="2">
        <v>88.0</v>
      </c>
      <c r="S1406" s="5">
        <f t="shared" si="8"/>
        <v>1</v>
      </c>
    </row>
    <row r="1407">
      <c r="A1407" s="2" t="s">
        <v>1418</v>
      </c>
      <c r="B1407" s="2">
        <v>250.0</v>
      </c>
      <c r="C1407" s="2">
        <v>2919.0</v>
      </c>
      <c r="D1407" s="2">
        <v>638.0</v>
      </c>
      <c r="E1407" s="3">
        <f t="shared" si="1"/>
        <v>0.2390408393</v>
      </c>
      <c r="F1407" s="2">
        <v>388.0</v>
      </c>
      <c r="G1407" s="3">
        <f t="shared" si="2"/>
        <v>0.1453727988</v>
      </c>
      <c r="H1407" s="2">
        <v>547.0</v>
      </c>
      <c r="I1407" s="3">
        <f t="shared" si="3"/>
        <v>0.2049456725</v>
      </c>
      <c r="J1407" s="2">
        <v>586.0</v>
      </c>
      <c r="K1407" s="3">
        <f t="shared" si="4"/>
        <v>0.2195578868</v>
      </c>
      <c r="L1407" s="2">
        <v>328.0</v>
      </c>
      <c r="M1407" s="3">
        <f t="shared" si="5"/>
        <v>0.5996343693</v>
      </c>
      <c r="N1407" s="2">
        <v>3508100.0</v>
      </c>
      <c r="O1407" s="4">
        <f t="shared" si="6"/>
        <v>6413.345521</v>
      </c>
      <c r="P1407" s="2">
        <v>1.0</v>
      </c>
      <c r="Q1407" s="3">
        <f t="shared" si="7"/>
        <v>0.004</v>
      </c>
      <c r="R1407" s="2">
        <v>0.0</v>
      </c>
      <c r="S1407" s="5">
        <f t="shared" si="8"/>
        <v>0</v>
      </c>
    </row>
    <row r="1408">
      <c r="A1408" s="2" t="s">
        <v>1419</v>
      </c>
      <c r="B1408" s="2">
        <v>488.0</v>
      </c>
      <c r="C1408" s="2">
        <v>5627.0</v>
      </c>
      <c r="D1408" s="2">
        <v>1605.0</v>
      </c>
      <c r="E1408" s="3">
        <f t="shared" si="1"/>
        <v>0.3123175715</v>
      </c>
      <c r="F1408" s="2">
        <v>747.0</v>
      </c>
      <c r="G1408" s="3">
        <f t="shared" si="2"/>
        <v>0.1453590193</v>
      </c>
      <c r="H1408" s="2">
        <v>1097.0</v>
      </c>
      <c r="I1408" s="3">
        <f t="shared" si="3"/>
        <v>0.2134656548</v>
      </c>
      <c r="J1408" s="2">
        <v>802.0</v>
      </c>
      <c r="K1408" s="3">
        <f t="shared" si="4"/>
        <v>0.1560614906</v>
      </c>
      <c r="L1408" s="2">
        <v>667.0</v>
      </c>
      <c r="M1408" s="3">
        <f t="shared" si="5"/>
        <v>0.6080218778</v>
      </c>
      <c r="N1408" s="2">
        <v>6435800.0</v>
      </c>
      <c r="O1408" s="4">
        <f t="shared" si="6"/>
        <v>5866.727438</v>
      </c>
      <c r="P1408" s="2">
        <v>0.0</v>
      </c>
      <c r="Q1408" s="3">
        <f t="shared" si="7"/>
        <v>0</v>
      </c>
      <c r="R1408" s="2">
        <v>488.0</v>
      </c>
      <c r="S1408" s="5">
        <f t="shared" si="8"/>
        <v>1</v>
      </c>
    </row>
    <row r="1409">
      <c r="A1409" s="2" t="s">
        <v>1420</v>
      </c>
      <c r="B1409" s="2">
        <v>425.0</v>
      </c>
      <c r="C1409" s="2">
        <v>4938.0</v>
      </c>
      <c r="D1409" s="2">
        <v>1964.0</v>
      </c>
      <c r="E1409" s="3">
        <f t="shared" si="1"/>
        <v>0.4351872369</v>
      </c>
      <c r="F1409" s="2">
        <v>656.0</v>
      </c>
      <c r="G1409" s="3">
        <f t="shared" si="2"/>
        <v>0.1453578551</v>
      </c>
      <c r="H1409" s="2">
        <v>1055.0</v>
      </c>
      <c r="I1409" s="3">
        <f t="shared" si="3"/>
        <v>0.2337691115</v>
      </c>
      <c r="J1409" s="2">
        <v>849.0</v>
      </c>
      <c r="K1409" s="3">
        <f t="shared" si="4"/>
        <v>0.1881231996</v>
      </c>
      <c r="L1409" s="2">
        <v>630.0</v>
      </c>
      <c r="M1409" s="3">
        <f t="shared" si="5"/>
        <v>0.5971563981</v>
      </c>
      <c r="N1409" s="2">
        <v>5667600.0</v>
      </c>
      <c r="O1409" s="4">
        <f t="shared" si="6"/>
        <v>5372.132701</v>
      </c>
      <c r="P1409" s="2">
        <v>0.0</v>
      </c>
      <c r="Q1409" s="3">
        <f t="shared" si="7"/>
        <v>0</v>
      </c>
      <c r="R1409" s="2">
        <v>0.0</v>
      </c>
      <c r="S1409" s="5">
        <f t="shared" si="8"/>
        <v>0</v>
      </c>
    </row>
    <row r="1410">
      <c r="A1410" s="2" t="s">
        <v>1421</v>
      </c>
      <c r="B1410" s="2">
        <v>15.0</v>
      </c>
      <c r="C1410" s="2">
        <v>187.0</v>
      </c>
      <c r="D1410" s="2">
        <v>51.0</v>
      </c>
      <c r="E1410" s="3">
        <f t="shared" si="1"/>
        <v>0.2965116279</v>
      </c>
      <c r="F1410" s="2">
        <v>25.0</v>
      </c>
      <c r="G1410" s="3">
        <f t="shared" si="2"/>
        <v>0.1453488372</v>
      </c>
      <c r="H1410" s="2">
        <v>41.0</v>
      </c>
      <c r="I1410" s="3">
        <f t="shared" si="3"/>
        <v>0.238372093</v>
      </c>
      <c r="J1410" s="2">
        <v>29.0</v>
      </c>
      <c r="K1410" s="3">
        <f t="shared" si="4"/>
        <v>0.1686046512</v>
      </c>
      <c r="L1410" s="2">
        <v>27.0</v>
      </c>
      <c r="M1410" s="3">
        <f t="shared" si="5"/>
        <v>0.6585365854</v>
      </c>
      <c r="N1410" s="2">
        <v>284400.0</v>
      </c>
      <c r="O1410" s="4">
        <f t="shared" si="6"/>
        <v>6936.585366</v>
      </c>
      <c r="P1410" s="2">
        <v>0.0</v>
      </c>
      <c r="Q1410" s="3">
        <f t="shared" si="7"/>
        <v>0</v>
      </c>
      <c r="R1410" s="2">
        <v>0.0</v>
      </c>
      <c r="S1410" s="5">
        <f t="shared" si="8"/>
        <v>0</v>
      </c>
    </row>
    <row r="1411">
      <c r="A1411" s="2" t="s">
        <v>1422</v>
      </c>
      <c r="B1411" s="2">
        <v>102.0</v>
      </c>
      <c r="C1411" s="2">
        <v>1196.0</v>
      </c>
      <c r="D1411" s="2">
        <v>322.0</v>
      </c>
      <c r="E1411" s="3">
        <f t="shared" si="1"/>
        <v>0.2943327239</v>
      </c>
      <c r="F1411" s="2">
        <v>159.0</v>
      </c>
      <c r="G1411" s="3">
        <f t="shared" si="2"/>
        <v>0.1453382084</v>
      </c>
      <c r="H1411" s="2">
        <v>227.0</v>
      </c>
      <c r="I1411" s="3">
        <f t="shared" si="3"/>
        <v>0.2074954296</v>
      </c>
      <c r="J1411" s="2">
        <v>226.0</v>
      </c>
      <c r="K1411" s="3">
        <f t="shared" si="4"/>
        <v>0.2065813528</v>
      </c>
      <c r="L1411" s="2">
        <v>132.0</v>
      </c>
      <c r="M1411" s="3">
        <f t="shared" si="5"/>
        <v>0.5814977974</v>
      </c>
      <c r="N1411" s="2">
        <v>1320900.0</v>
      </c>
      <c r="O1411" s="4">
        <f t="shared" si="6"/>
        <v>5818.942731</v>
      </c>
      <c r="P1411" s="2">
        <v>0.0</v>
      </c>
      <c r="Q1411" s="3">
        <f t="shared" si="7"/>
        <v>0</v>
      </c>
      <c r="R1411" s="2">
        <v>102.0</v>
      </c>
      <c r="S1411" s="5">
        <f t="shared" si="8"/>
        <v>1</v>
      </c>
    </row>
    <row r="1412">
      <c r="A1412" s="2" t="s">
        <v>1423</v>
      </c>
      <c r="B1412" s="2">
        <v>132.0</v>
      </c>
      <c r="C1412" s="2">
        <v>1515.0</v>
      </c>
      <c r="D1412" s="2">
        <v>458.0</v>
      </c>
      <c r="E1412" s="3">
        <f t="shared" si="1"/>
        <v>0.3311641359</v>
      </c>
      <c r="F1412" s="2">
        <v>201.0</v>
      </c>
      <c r="G1412" s="3">
        <f t="shared" si="2"/>
        <v>0.1453362256</v>
      </c>
      <c r="H1412" s="2">
        <v>279.0</v>
      </c>
      <c r="I1412" s="3">
        <f t="shared" si="3"/>
        <v>0.2017353579</v>
      </c>
      <c r="J1412" s="2">
        <v>234.0</v>
      </c>
      <c r="K1412" s="3">
        <f t="shared" si="4"/>
        <v>0.169197397</v>
      </c>
      <c r="L1412" s="2">
        <v>165.0</v>
      </c>
      <c r="M1412" s="3">
        <f t="shared" si="5"/>
        <v>0.5913978495</v>
      </c>
      <c r="N1412" s="2">
        <v>1588900.0</v>
      </c>
      <c r="O1412" s="4">
        <f t="shared" si="6"/>
        <v>5694.982079</v>
      </c>
      <c r="P1412" s="2">
        <v>0.0</v>
      </c>
      <c r="Q1412" s="3">
        <f t="shared" si="7"/>
        <v>0</v>
      </c>
      <c r="R1412" s="2">
        <v>132.0</v>
      </c>
      <c r="S1412" s="5">
        <f t="shared" si="8"/>
        <v>1</v>
      </c>
    </row>
    <row r="1413">
      <c r="A1413" s="2" t="s">
        <v>1424</v>
      </c>
      <c r="B1413" s="2">
        <v>82.0</v>
      </c>
      <c r="C1413" s="2">
        <v>949.0</v>
      </c>
      <c r="D1413" s="2">
        <v>415.0</v>
      </c>
      <c r="E1413" s="3">
        <f t="shared" si="1"/>
        <v>0.4786620531</v>
      </c>
      <c r="F1413" s="2">
        <v>126.0</v>
      </c>
      <c r="G1413" s="3">
        <f t="shared" si="2"/>
        <v>0.1453287197</v>
      </c>
      <c r="H1413" s="2">
        <v>189.0</v>
      </c>
      <c r="I1413" s="3">
        <f t="shared" si="3"/>
        <v>0.2179930796</v>
      </c>
      <c r="J1413" s="2">
        <v>132.0</v>
      </c>
      <c r="K1413" s="3">
        <f t="shared" si="4"/>
        <v>0.1522491349</v>
      </c>
      <c r="L1413" s="2">
        <v>116.0</v>
      </c>
      <c r="M1413" s="3">
        <f t="shared" si="5"/>
        <v>0.6137566138</v>
      </c>
      <c r="N1413" s="2">
        <v>914000.0</v>
      </c>
      <c r="O1413" s="4">
        <f t="shared" si="6"/>
        <v>4835.978836</v>
      </c>
      <c r="P1413" s="2">
        <v>0.0</v>
      </c>
      <c r="Q1413" s="3">
        <f t="shared" si="7"/>
        <v>0</v>
      </c>
      <c r="R1413" s="2">
        <v>82.0</v>
      </c>
      <c r="S1413" s="5">
        <f t="shared" si="8"/>
        <v>1</v>
      </c>
    </row>
    <row r="1414">
      <c r="A1414" s="2" t="s">
        <v>1425</v>
      </c>
      <c r="B1414" s="2">
        <v>1555.0</v>
      </c>
      <c r="C1414" s="2">
        <v>18145.0</v>
      </c>
      <c r="D1414" s="2">
        <v>5155.0</v>
      </c>
      <c r="E1414" s="3">
        <f t="shared" si="1"/>
        <v>0.310729355</v>
      </c>
      <c r="F1414" s="2">
        <v>2411.0</v>
      </c>
      <c r="G1414" s="3">
        <f t="shared" si="2"/>
        <v>0.1453285112</v>
      </c>
      <c r="H1414" s="2">
        <v>3679.0</v>
      </c>
      <c r="I1414" s="3">
        <f t="shared" si="3"/>
        <v>0.2217600964</v>
      </c>
      <c r="J1414" s="2">
        <v>2494.0</v>
      </c>
      <c r="K1414" s="3">
        <f t="shared" si="4"/>
        <v>0.150331525</v>
      </c>
      <c r="L1414" s="2">
        <v>2220.0</v>
      </c>
      <c r="M1414" s="3">
        <f t="shared" si="5"/>
        <v>0.6034248437</v>
      </c>
      <c r="N1414" s="2">
        <v>2.08086E7</v>
      </c>
      <c r="O1414" s="4">
        <f t="shared" si="6"/>
        <v>5656.047839</v>
      </c>
      <c r="P1414" s="2">
        <v>2.0</v>
      </c>
      <c r="Q1414" s="3">
        <f t="shared" si="7"/>
        <v>0.001286173633</v>
      </c>
      <c r="R1414" s="2">
        <v>1555.0</v>
      </c>
      <c r="S1414" s="5">
        <f t="shared" si="8"/>
        <v>1</v>
      </c>
    </row>
    <row r="1415">
      <c r="A1415" s="2" t="s">
        <v>1426</v>
      </c>
      <c r="B1415" s="2">
        <v>374.0</v>
      </c>
      <c r="C1415" s="2">
        <v>4386.0</v>
      </c>
      <c r="D1415" s="2">
        <v>1223.0</v>
      </c>
      <c r="E1415" s="3">
        <f t="shared" si="1"/>
        <v>0.3048354935</v>
      </c>
      <c r="F1415" s="2">
        <v>583.0</v>
      </c>
      <c r="G1415" s="3">
        <f t="shared" si="2"/>
        <v>0.1453140578</v>
      </c>
      <c r="H1415" s="2">
        <v>789.0</v>
      </c>
      <c r="I1415" s="3">
        <f t="shared" si="3"/>
        <v>0.1966600199</v>
      </c>
      <c r="J1415" s="2">
        <v>780.0</v>
      </c>
      <c r="K1415" s="3">
        <f t="shared" si="4"/>
        <v>0.1944167498</v>
      </c>
      <c r="L1415" s="2">
        <v>481.0</v>
      </c>
      <c r="M1415" s="3">
        <f t="shared" si="5"/>
        <v>0.6096324461</v>
      </c>
      <c r="N1415" s="2">
        <v>4886000.0</v>
      </c>
      <c r="O1415" s="4">
        <f t="shared" si="6"/>
        <v>6192.648923</v>
      </c>
      <c r="P1415" s="2">
        <v>4.0</v>
      </c>
      <c r="Q1415" s="3">
        <f t="shared" si="7"/>
        <v>0.01069518717</v>
      </c>
      <c r="R1415" s="2">
        <v>0.0</v>
      </c>
      <c r="S1415" s="5">
        <f t="shared" si="8"/>
        <v>0</v>
      </c>
    </row>
    <row r="1416">
      <c r="A1416" s="2" t="s">
        <v>1427</v>
      </c>
      <c r="B1416" s="2">
        <v>379.0</v>
      </c>
      <c r="C1416" s="2">
        <v>4398.0</v>
      </c>
      <c r="D1416" s="2">
        <v>1606.0</v>
      </c>
      <c r="E1416" s="3">
        <f t="shared" si="1"/>
        <v>0.399601891</v>
      </c>
      <c r="F1416" s="2">
        <v>584.0</v>
      </c>
      <c r="G1416" s="3">
        <f t="shared" si="2"/>
        <v>0.1453097786</v>
      </c>
      <c r="H1416" s="2">
        <v>831.0</v>
      </c>
      <c r="I1416" s="3">
        <f t="shared" si="3"/>
        <v>0.2067678527</v>
      </c>
      <c r="J1416" s="2">
        <v>739.0</v>
      </c>
      <c r="K1416" s="3">
        <f t="shared" si="4"/>
        <v>0.1838765862</v>
      </c>
      <c r="L1416" s="2">
        <v>516.0</v>
      </c>
      <c r="M1416" s="3">
        <f t="shared" si="5"/>
        <v>0.6209386282</v>
      </c>
      <c r="N1416" s="2">
        <v>4727500.0</v>
      </c>
      <c r="O1416" s="4">
        <f t="shared" si="6"/>
        <v>5688.929001</v>
      </c>
      <c r="P1416" s="2">
        <v>0.0</v>
      </c>
      <c r="Q1416" s="3">
        <f t="shared" si="7"/>
        <v>0</v>
      </c>
      <c r="R1416" s="2">
        <v>379.0</v>
      </c>
      <c r="S1416" s="5">
        <f t="shared" si="8"/>
        <v>1</v>
      </c>
    </row>
    <row r="1417">
      <c r="A1417" s="2" t="s">
        <v>1428</v>
      </c>
      <c r="B1417" s="2">
        <v>23.0</v>
      </c>
      <c r="C1417" s="2">
        <v>257.0</v>
      </c>
      <c r="D1417" s="2">
        <v>63.0</v>
      </c>
      <c r="E1417" s="3">
        <f t="shared" si="1"/>
        <v>0.2692307692</v>
      </c>
      <c r="F1417" s="2">
        <v>34.0</v>
      </c>
      <c r="G1417" s="3">
        <f t="shared" si="2"/>
        <v>0.1452991453</v>
      </c>
      <c r="H1417" s="2">
        <v>39.0</v>
      </c>
      <c r="I1417" s="3">
        <f t="shared" si="3"/>
        <v>0.1666666667</v>
      </c>
      <c r="J1417" s="2">
        <v>39.0</v>
      </c>
      <c r="K1417" s="3">
        <f t="shared" si="4"/>
        <v>0.1666666667</v>
      </c>
      <c r="L1417" s="2">
        <v>18.0</v>
      </c>
      <c r="M1417" s="3">
        <f t="shared" si="5"/>
        <v>0.4615384615</v>
      </c>
      <c r="N1417" s="2">
        <v>295800.0</v>
      </c>
      <c r="O1417" s="4">
        <f t="shared" si="6"/>
        <v>7584.615385</v>
      </c>
      <c r="P1417" s="2">
        <v>0.0</v>
      </c>
      <c r="Q1417" s="3">
        <f t="shared" si="7"/>
        <v>0</v>
      </c>
      <c r="R1417" s="2">
        <v>23.0</v>
      </c>
      <c r="S1417" s="5">
        <f t="shared" si="8"/>
        <v>1</v>
      </c>
    </row>
    <row r="1418">
      <c r="A1418" s="2" t="s">
        <v>1429</v>
      </c>
      <c r="B1418" s="2">
        <v>2062.0</v>
      </c>
      <c r="C1418" s="2">
        <v>24013.0</v>
      </c>
      <c r="D1418" s="2">
        <v>8111.0</v>
      </c>
      <c r="E1418" s="3">
        <f t="shared" si="1"/>
        <v>0.3695048062</v>
      </c>
      <c r="F1418" s="2">
        <v>3189.0</v>
      </c>
      <c r="G1418" s="3">
        <f t="shared" si="2"/>
        <v>0.1452781194</v>
      </c>
      <c r="H1418" s="2">
        <v>4850.0</v>
      </c>
      <c r="I1418" s="3">
        <f t="shared" si="3"/>
        <v>0.2209466539</v>
      </c>
      <c r="J1418" s="2">
        <v>4290.0</v>
      </c>
      <c r="K1418" s="3">
        <f t="shared" si="4"/>
        <v>0.1954352877</v>
      </c>
      <c r="L1418" s="2">
        <v>2858.0</v>
      </c>
      <c r="M1418" s="3">
        <f t="shared" si="5"/>
        <v>0.5892783505</v>
      </c>
      <c r="N1418" s="2">
        <v>2.64987E7</v>
      </c>
      <c r="O1418" s="4">
        <f t="shared" si="6"/>
        <v>5463.649485</v>
      </c>
      <c r="P1418" s="2">
        <v>8.0</v>
      </c>
      <c r="Q1418" s="3">
        <f t="shared" si="7"/>
        <v>0.003879728419</v>
      </c>
      <c r="R1418" s="2">
        <v>1957.0</v>
      </c>
      <c r="S1418" s="5">
        <f t="shared" si="8"/>
        <v>0.9490785645</v>
      </c>
    </row>
    <row r="1419">
      <c r="A1419" s="2" t="s">
        <v>1430</v>
      </c>
      <c r="B1419" s="2">
        <v>117.0</v>
      </c>
      <c r="C1419" s="2">
        <v>1301.0</v>
      </c>
      <c r="D1419" s="2">
        <v>355.0</v>
      </c>
      <c r="E1419" s="3">
        <f t="shared" si="1"/>
        <v>0.2998310811</v>
      </c>
      <c r="F1419" s="2">
        <v>172.0</v>
      </c>
      <c r="G1419" s="3">
        <f t="shared" si="2"/>
        <v>0.1452702703</v>
      </c>
      <c r="H1419" s="2">
        <v>273.0</v>
      </c>
      <c r="I1419" s="3">
        <f t="shared" si="3"/>
        <v>0.2305743243</v>
      </c>
      <c r="J1419" s="2">
        <v>164.0</v>
      </c>
      <c r="K1419" s="3">
        <f t="shared" si="4"/>
        <v>0.1385135135</v>
      </c>
      <c r="L1419" s="2">
        <v>170.0</v>
      </c>
      <c r="M1419" s="3">
        <f t="shared" si="5"/>
        <v>0.6227106227</v>
      </c>
      <c r="N1419" s="2">
        <v>1408300.0</v>
      </c>
      <c r="O1419" s="4">
        <f t="shared" si="6"/>
        <v>5158.608059</v>
      </c>
      <c r="P1419" s="2">
        <v>0.0</v>
      </c>
      <c r="Q1419" s="3">
        <f t="shared" si="7"/>
        <v>0</v>
      </c>
      <c r="R1419" s="2">
        <v>117.0</v>
      </c>
      <c r="S1419" s="5">
        <f t="shared" si="8"/>
        <v>1</v>
      </c>
    </row>
    <row r="1420">
      <c r="A1420" s="2" t="s">
        <v>1431</v>
      </c>
      <c r="B1420" s="2">
        <v>300.0</v>
      </c>
      <c r="C1420" s="2">
        <v>3481.0</v>
      </c>
      <c r="D1420" s="2">
        <v>1158.0</v>
      </c>
      <c r="E1420" s="3">
        <f t="shared" si="1"/>
        <v>0.3640364665</v>
      </c>
      <c r="F1420" s="2">
        <v>462.0</v>
      </c>
      <c r="G1420" s="3">
        <f t="shared" si="2"/>
        <v>0.1452373467</v>
      </c>
      <c r="H1420" s="2">
        <v>674.0</v>
      </c>
      <c r="I1420" s="3">
        <f t="shared" si="3"/>
        <v>0.2118830556</v>
      </c>
      <c r="J1420" s="2">
        <v>513.0</v>
      </c>
      <c r="K1420" s="3">
        <f t="shared" si="4"/>
        <v>0.1612700409</v>
      </c>
      <c r="L1420" s="2">
        <v>421.0</v>
      </c>
      <c r="M1420" s="3">
        <f t="shared" si="5"/>
        <v>0.6246290801</v>
      </c>
      <c r="N1420" s="2">
        <v>3866800.0</v>
      </c>
      <c r="O1420" s="4">
        <f t="shared" si="6"/>
        <v>5737.091988</v>
      </c>
      <c r="P1420" s="2">
        <v>1.0</v>
      </c>
      <c r="Q1420" s="3">
        <f t="shared" si="7"/>
        <v>0.003333333333</v>
      </c>
      <c r="R1420" s="2">
        <v>300.0</v>
      </c>
      <c r="S1420" s="5">
        <f t="shared" si="8"/>
        <v>1</v>
      </c>
    </row>
    <row r="1421">
      <c r="A1421" s="2" t="s">
        <v>1432</v>
      </c>
      <c r="B1421" s="2">
        <v>299.0</v>
      </c>
      <c r="C1421" s="2">
        <v>3487.0</v>
      </c>
      <c r="D1421" s="2">
        <v>1072.0</v>
      </c>
      <c r="E1421" s="3">
        <f t="shared" si="1"/>
        <v>0.3362609787</v>
      </c>
      <c r="F1421" s="2">
        <v>463.0</v>
      </c>
      <c r="G1421" s="3">
        <f t="shared" si="2"/>
        <v>0.1452321205</v>
      </c>
      <c r="H1421" s="2">
        <v>662.0</v>
      </c>
      <c r="I1421" s="3">
        <f t="shared" si="3"/>
        <v>0.2076537014</v>
      </c>
      <c r="J1421" s="2">
        <v>543.0</v>
      </c>
      <c r="K1421" s="3">
        <f t="shared" si="4"/>
        <v>0.1703262233</v>
      </c>
      <c r="L1421" s="2">
        <v>404.0</v>
      </c>
      <c r="M1421" s="3">
        <f t="shared" si="5"/>
        <v>0.6102719033</v>
      </c>
      <c r="N1421" s="2">
        <v>3706200.0</v>
      </c>
      <c r="O1421" s="4">
        <f t="shared" si="6"/>
        <v>5598.489426</v>
      </c>
      <c r="P1421" s="2">
        <v>2.0</v>
      </c>
      <c r="Q1421" s="3">
        <f t="shared" si="7"/>
        <v>0.006688963211</v>
      </c>
      <c r="R1421" s="2">
        <v>299.0</v>
      </c>
      <c r="S1421" s="5">
        <f t="shared" si="8"/>
        <v>1</v>
      </c>
    </row>
    <row r="1422">
      <c r="A1422" s="2" t="s">
        <v>1433</v>
      </c>
      <c r="B1422" s="2">
        <v>25.0</v>
      </c>
      <c r="C1422" s="2">
        <v>266.0</v>
      </c>
      <c r="D1422" s="2">
        <v>72.0</v>
      </c>
      <c r="E1422" s="3">
        <f t="shared" si="1"/>
        <v>0.2987551867</v>
      </c>
      <c r="F1422" s="2">
        <v>35.0</v>
      </c>
      <c r="G1422" s="3">
        <f t="shared" si="2"/>
        <v>0.1452282158</v>
      </c>
      <c r="H1422" s="2">
        <v>40.0</v>
      </c>
      <c r="I1422" s="3">
        <f t="shared" si="3"/>
        <v>0.1659751037</v>
      </c>
      <c r="J1422" s="2">
        <v>38.0</v>
      </c>
      <c r="K1422" s="3">
        <f t="shared" si="4"/>
        <v>0.1576763485</v>
      </c>
      <c r="L1422" s="2">
        <v>24.0</v>
      </c>
      <c r="M1422" s="3">
        <f t="shared" si="5"/>
        <v>0.6</v>
      </c>
      <c r="N1422" s="2">
        <v>250900.0</v>
      </c>
      <c r="O1422" s="4">
        <f t="shared" si="6"/>
        <v>6272.5</v>
      </c>
      <c r="P1422" s="2">
        <v>0.0</v>
      </c>
      <c r="Q1422" s="3">
        <f t="shared" si="7"/>
        <v>0</v>
      </c>
      <c r="R1422" s="2">
        <v>25.0</v>
      </c>
      <c r="S1422" s="5">
        <f t="shared" si="8"/>
        <v>1</v>
      </c>
    </row>
    <row r="1423">
      <c r="A1423" s="2" t="s">
        <v>1434</v>
      </c>
      <c r="B1423" s="2">
        <v>54.0</v>
      </c>
      <c r="C1423" s="2">
        <v>598.0</v>
      </c>
      <c r="D1423" s="2">
        <v>194.0</v>
      </c>
      <c r="E1423" s="3">
        <f t="shared" si="1"/>
        <v>0.3566176471</v>
      </c>
      <c r="F1423" s="2">
        <v>79.0</v>
      </c>
      <c r="G1423" s="3">
        <f t="shared" si="2"/>
        <v>0.1452205882</v>
      </c>
      <c r="H1423" s="2">
        <v>134.0</v>
      </c>
      <c r="I1423" s="3">
        <f t="shared" si="3"/>
        <v>0.2463235294</v>
      </c>
      <c r="J1423" s="2">
        <v>88.0</v>
      </c>
      <c r="K1423" s="3">
        <f t="shared" si="4"/>
        <v>0.1617647059</v>
      </c>
      <c r="L1423" s="2">
        <v>81.0</v>
      </c>
      <c r="M1423" s="3">
        <f t="shared" si="5"/>
        <v>0.6044776119</v>
      </c>
      <c r="N1423" s="2">
        <v>716800.0</v>
      </c>
      <c r="O1423" s="4">
        <f t="shared" si="6"/>
        <v>5349.253731</v>
      </c>
      <c r="P1423" s="2">
        <v>0.0</v>
      </c>
      <c r="Q1423" s="3">
        <f t="shared" si="7"/>
        <v>0</v>
      </c>
      <c r="R1423" s="2">
        <v>54.0</v>
      </c>
      <c r="S1423" s="5">
        <f t="shared" si="8"/>
        <v>1</v>
      </c>
    </row>
    <row r="1424">
      <c r="A1424" s="2" t="s">
        <v>1435</v>
      </c>
      <c r="B1424" s="2">
        <v>440.0</v>
      </c>
      <c r="C1424" s="2">
        <v>5219.0</v>
      </c>
      <c r="D1424" s="2">
        <v>1811.0</v>
      </c>
      <c r="E1424" s="3">
        <f t="shared" si="1"/>
        <v>0.378949571</v>
      </c>
      <c r="F1424" s="2">
        <v>694.0</v>
      </c>
      <c r="G1424" s="3">
        <f t="shared" si="2"/>
        <v>0.145218665</v>
      </c>
      <c r="H1424" s="2">
        <v>1057.0</v>
      </c>
      <c r="I1424" s="3">
        <f t="shared" si="3"/>
        <v>0.2211759782</v>
      </c>
      <c r="J1424" s="2">
        <v>745.0</v>
      </c>
      <c r="K1424" s="3">
        <f t="shared" si="4"/>
        <v>0.1558903536</v>
      </c>
      <c r="L1424" s="2">
        <v>683.0</v>
      </c>
      <c r="M1424" s="3">
        <f t="shared" si="5"/>
        <v>0.6461684011</v>
      </c>
      <c r="N1424" s="2">
        <v>6201500.0</v>
      </c>
      <c r="O1424" s="4">
        <f t="shared" si="6"/>
        <v>5867.076632</v>
      </c>
      <c r="P1424" s="2">
        <v>1.0</v>
      </c>
      <c r="Q1424" s="3">
        <f t="shared" si="7"/>
        <v>0.002272727273</v>
      </c>
      <c r="R1424" s="2">
        <v>233.0</v>
      </c>
      <c r="S1424" s="5">
        <f t="shared" si="8"/>
        <v>0.5295454545</v>
      </c>
    </row>
    <row r="1425">
      <c r="A1425" s="2" t="s">
        <v>1436</v>
      </c>
      <c r="B1425" s="2">
        <v>77.0</v>
      </c>
      <c r="C1425" s="2">
        <v>924.0</v>
      </c>
      <c r="D1425" s="2">
        <v>305.0</v>
      </c>
      <c r="E1425" s="3">
        <f t="shared" si="1"/>
        <v>0.360094451</v>
      </c>
      <c r="F1425" s="2">
        <v>123.0</v>
      </c>
      <c r="G1425" s="3">
        <f t="shared" si="2"/>
        <v>0.1452184179</v>
      </c>
      <c r="H1425" s="2">
        <v>166.0</v>
      </c>
      <c r="I1425" s="3">
        <f t="shared" si="3"/>
        <v>0.1959858323</v>
      </c>
      <c r="J1425" s="2">
        <v>110.0</v>
      </c>
      <c r="K1425" s="3">
        <f t="shared" si="4"/>
        <v>0.1298701299</v>
      </c>
      <c r="L1425" s="2">
        <v>105.0</v>
      </c>
      <c r="M1425" s="3">
        <f t="shared" si="5"/>
        <v>0.6325301205</v>
      </c>
      <c r="N1425" s="2">
        <v>878500.0</v>
      </c>
      <c r="O1425" s="4">
        <f t="shared" si="6"/>
        <v>5292.168675</v>
      </c>
      <c r="P1425" s="2">
        <v>0.0</v>
      </c>
      <c r="Q1425" s="3">
        <f t="shared" si="7"/>
        <v>0</v>
      </c>
      <c r="R1425" s="2">
        <v>77.0</v>
      </c>
      <c r="S1425" s="5">
        <f t="shared" si="8"/>
        <v>1</v>
      </c>
    </row>
    <row r="1426">
      <c r="A1426" s="2" t="s">
        <v>1437</v>
      </c>
      <c r="B1426" s="2">
        <v>113.0</v>
      </c>
      <c r="C1426" s="2">
        <v>1325.0</v>
      </c>
      <c r="D1426" s="2">
        <v>465.0</v>
      </c>
      <c r="E1426" s="3">
        <f t="shared" si="1"/>
        <v>0.3836633663</v>
      </c>
      <c r="F1426" s="2">
        <v>176.0</v>
      </c>
      <c r="G1426" s="3">
        <f t="shared" si="2"/>
        <v>0.1452145215</v>
      </c>
      <c r="H1426" s="2">
        <v>242.0</v>
      </c>
      <c r="I1426" s="3">
        <f t="shared" si="3"/>
        <v>0.199669967</v>
      </c>
      <c r="J1426" s="2">
        <v>248.0</v>
      </c>
      <c r="K1426" s="3">
        <f t="shared" si="4"/>
        <v>0.204620462</v>
      </c>
      <c r="L1426" s="2">
        <v>144.0</v>
      </c>
      <c r="M1426" s="3">
        <f t="shared" si="5"/>
        <v>0.5950413223</v>
      </c>
      <c r="N1426" s="2">
        <v>1403200.0</v>
      </c>
      <c r="O1426" s="4">
        <f t="shared" si="6"/>
        <v>5798.347107</v>
      </c>
      <c r="P1426" s="2">
        <v>1.0</v>
      </c>
      <c r="Q1426" s="3">
        <f t="shared" si="7"/>
        <v>0.008849557522</v>
      </c>
      <c r="R1426" s="2">
        <v>0.0</v>
      </c>
      <c r="S1426" s="5">
        <f t="shared" si="8"/>
        <v>0</v>
      </c>
    </row>
    <row r="1427">
      <c r="A1427" s="2" t="s">
        <v>1438</v>
      </c>
      <c r="B1427" s="2">
        <v>291.0</v>
      </c>
      <c r="C1427" s="2">
        <v>3383.0</v>
      </c>
      <c r="D1427" s="2">
        <v>1135.0</v>
      </c>
      <c r="E1427" s="3">
        <f t="shared" si="1"/>
        <v>0.367076326</v>
      </c>
      <c r="F1427" s="2">
        <v>449.0</v>
      </c>
      <c r="G1427" s="3">
        <f t="shared" si="2"/>
        <v>0.1452134541</v>
      </c>
      <c r="H1427" s="2">
        <v>665.0</v>
      </c>
      <c r="I1427" s="3">
        <f t="shared" si="3"/>
        <v>0.2150711514</v>
      </c>
      <c r="J1427" s="2">
        <v>598.0</v>
      </c>
      <c r="K1427" s="3">
        <f t="shared" si="4"/>
        <v>0.1934023286</v>
      </c>
      <c r="L1427" s="2">
        <v>379.0</v>
      </c>
      <c r="M1427" s="3">
        <f t="shared" si="5"/>
        <v>0.569924812</v>
      </c>
      <c r="N1427" s="2">
        <v>3683300.0</v>
      </c>
      <c r="O1427" s="4">
        <f t="shared" si="6"/>
        <v>5538.796992</v>
      </c>
      <c r="P1427" s="2">
        <v>2.0</v>
      </c>
      <c r="Q1427" s="3">
        <f t="shared" si="7"/>
        <v>0.006872852234</v>
      </c>
      <c r="R1427" s="2">
        <v>0.0</v>
      </c>
      <c r="S1427" s="5">
        <f t="shared" si="8"/>
        <v>0</v>
      </c>
    </row>
    <row r="1428">
      <c r="A1428" s="2" t="s">
        <v>1439</v>
      </c>
      <c r="B1428" s="2">
        <v>1251.0</v>
      </c>
      <c r="C1428" s="2">
        <v>14336.0</v>
      </c>
      <c r="D1428" s="2">
        <v>5463.0</v>
      </c>
      <c r="E1428" s="3">
        <f t="shared" si="1"/>
        <v>0.4175009553</v>
      </c>
      <c r="F1428" s="2">
        <v>1900.0</v>
      </c>
      <c r="G1428" s="3">
        <f t="shared" si="2"/>
        <v>0.1452044326</v>
      </c>
      <c r="H1428" s="2">
        <v>2943.0</v>
      </c>
      <c r="I1428" s="3">
        <f t="shared" si="3"/>
        <v>0.2249140237</v>
      </c>
      <c r="J1428" s="2">
        <v>2641.0</v>
      </c>
      <c r="K1428" s="3">
        <f t="shared" si="4"/>
        <v>0.2018341613</v>
      </c>
      <c r="L1428" s="2">
        <v>1776.0</v>
      </c>
      <c r="M1428" s="3">
        <f t="shared" si="5"/>
        <v>0.6034658512</v>
      </c>
      <c r="N1428" s="2">
        <v>1.67846E7</v>
      </c>
      <c r="O1428" s="4">
        <f t="shared" si="6"/>
        <v>5703.227999</v>
      </c>
      <c r="P1428" s="2">
        <v>1.0</v>
      </c>
      <c r="Q1428" s="3">
        <f t="shared" si="7"/>
        <v>0.0007993605116</v>
      </c>
      <c r="R1428" s="2">
        <v>1251.0</v>
      </c>
      <c r="S1428" s="5">
        <f t="shared" si="8"/>
        <v>1</v>
      </c>
    </row>
    <row r="1429">
      <c r="A1429" s="2" t="s">
        <v>1440</v>
      </c>
      <c r="B1429" s="2">
        <v>105.0</v>
      </c>
      <c r="C1429" s="2">
        <v>1262.0</v>
      </c>
      <c r="D1429" s="2">
        <v>479.0</v>
      </c>
      <c r="E1429" s="3">
        <f t="shared" si="1"/>
        <v>0.4140017286</v>
      </c>
      <c r="F1429" s="2">
        <v>168.0</v>
      </c>
      <c r="G1429" s="3">
        <f t="shared" si="2"/>
        <v>0.1452031115</v>
      </c>
      <c r="H1429" s="2">
        <v>266.0</v>
      </c>
      <c r="I1429" s="3">
        <f t="shared" si="3"/>
        <v>0.2299049265</v>
      </c>
      <c r="J1429" s="2">
        <v>199.0</v>
      </c>
      <c r="K1429" s="3">
        <f t="shared" si="4"/>
        <v>0.1719965428</v>
      </c>
      <c r="L1429" s="2">
        <v>165.0</v>
      </c>
      <c r="M1429" s="3">
        <f t="shared" si="5"/>
        <v>0.6203007519</v>
      </c>
      <c r="N1429" s="2">
        <v>1431400.0</v>
      </c>
      <c r="O1429" s="4">
        <f t="shared" si="6"/>
        <v>5381.203008</v>
      </c>
      <c r="P1429" s="2">
        <v>1.0</v>
      </c>
      <c r="Q1429" s="3">
        <f t="shared" si="7"/>
        <v>0.009523809524</v>
      </c>
      <c r="R1429" s="2">
        <v>0.0</v>
      </c>
      <c r="S1429" s="5">
        <f t="shared" si="8"/>
        <v>0</v>
      </c>
    </row>
    <row r="1430">
      <c r="A1430" s="2" t="s">
        <v>1441</v>
      </c>
      <c r="B1430" s="2">
        <v>332.0</v>
      </c>
      <c r="C1430" s="2">
        <v>3872.0</v>
      </c>
      <c r="D1430" s="2">
        <v>1343.0</v>
      </c>
      <c r="E1430" s="3">
        <f t="shared" si="1"/>
        <v>0.3793785311</v>
      </c>
      <c r="F1430" s="2">
        <v>514.0</v>
      </c>
      <c r="G1430" s="3">
        <f t="shared" si="2"/>
        <v>0.1451977401</v>
      </c>
      <c r="H1430" s="2">
        <v>705.0</v>
      </c>
      <c r="I1430" s="3">
        <f t="shared" si="3"/>
        <v>0.1991525424</v>
      </c>
      <c r="J1430" s="2">
        <v>591.0</v>
      </c>
      <c r="K1430" s="3">
        <f t="shared" si="4"/>
        <v>0.1669491525</v>
      </c>
      <c r="L1430" s="2">
        <v>396.0</v>
      </c>
      <c r="M1430" s="3">
        <f t="shared" si="5"/>
        <v>0.5617021277</v>
      </c>
      <c r="N1430" s="2">
        <v>4160800.0</v>
      </c>
      <c r="O1430" s="4">
        <f t="shared" si="6"/>
        <v>5901.843972</v>
      </c>
      <c r="P1430" s="2">
        <v>1.0</v>
      </c>
      <c r="Q1430" s="3">
        <f t="shared" si="7"/>
        <v>0.003012048193</v>
      </c>
      <c r="R1430" s="2">
        <v>332.0</v>
      </c>
      <c r="S1430" s="5">
        <f t="shared" si="8"/>
        <v>1</v>
      </c>
    </row>
    <row r="1431">
      <c r="A1431" s="2" t="s">
        <v>1442</v>
      </c>
      <c r="B1431" s="2">
        <v>44.0</v>
      </c>
      <c r="C1431" s="2">
        <v>533.0</v>
      </c>
      <c r="D1431" s="2">
        <v>167.0</v>
      </c>
      <c r="E1431" s="3">
        <f t="shared" si="1"/>
        <v>0.3415132924</v>
      </c>
      <c r="F1431" s="2">
        <v>71.0</v>
      </c>
      <c r="G1431" s="3">
        <f t="shared" si="2"/>
        <v>0.145194274</v>
      </c>
      <c r="H1431" s="2">
        <v>94.0</v>
      </c>
      <c r="I1431" s="3">
        <f t="shared" si="3"/>
        <v>0.1922290389</v>
      </c>
      <c r="J1431" s="2">
        <v>85.0</v>
      </c>
      <c r="K1431" s="3">
        <f t="shared" si="4"/>
        <v>0.1738241309</v>
      </c>
      <c r="L1431" s="2">
        <v>49.0</v>
      </c>
      <c r="M1431" s="3">
        <f t="shared" si="5"/>
        <v>0.5212765957</v>
      </c>
      <c r="N1431" s="2">
        <v>565500.0</v>
      </c>
      <c r="O1431" s="4">
        <f t="shared" si="6"/>
        <v>6015.957447</v>
      </c>
      <c r="P1431" s="2">
        <v>0.0</v>
      </c>
      <c r="Q1431" s="3">
        <f t="shared" si="7"/>
        <v>0</v>
      </c>
      <c r="R1431" s="2">
        <v>44.0</v>
      </c>
      <c r="S1431" s="5">
        <f t="shared" si="8"/>
        <v>1</v>
      </c>
    </row>
    <row r="1432">
      <c r="A1432" s="2" t="s">
        <v>1443</v>
      </c>
      <c r="B1432" s="2">
        <v>1680.0</v>
      </c>
      <c r="C1432" s="2">
        <v>19677.0</v>
      </c>
      <c r="D1432" s="2">
        <v>5814.0</v>
      </c>
      <c r="E1432" s="3">
        <f t="shared" si="1"/>
        <v>0.3230538423</v>
      </c>
      <c r="F1432" s="2">
        <v>2613.0</v>
      </c>
      <c r="G1432" s="3">
        <f t="shared" si="2"/>
        <v>0.1451908651</v>
      </c>
      <c r="H1432" s="2">
        <v>4102.0</v>
      </c>
      <c r="I1432" s="3">
        <f t="shared" si="3"/>
        <v>0.2279268767</v>
      </c>
      <c r="J1432" s="2">
        <v>3435.0</v>
      </c>
      <c r="K1432" s="3">
        <f t="shared" si="4"/>
        <v>0.1908651442</v>
      </c>
      <c r="L1432" s="2">
        <v>2435.0</v>
      </c>
      <c r="M1432" s="3">
        <f t="shared" si="5"/>
        <v>0.5936128718</v>
      </c>
      <c r="N1432" s="2">
        <v>2.27404E7</v>
      </c>
      <c r="O1432" s="4">
        <f t="shared" si="6"/>
        <v>5543.734764</v>
      </c>
      <c r="P1432" s="2">
        <v>2.0</v>
      </c>
      <c r="Q1432" s="3">
        <f t="shared" si="7"/>
        <v>0.00119047619</v>
      </c>
      <c r="R1432" s="2">
        <v>1680.0</v>
      </c>
      <c r="S1432" s="5">
        <f t="shared" si="8"/>
        <v>1</v>
      </c>
    </row>
    <row r="1433">
      <c r="A1433" s="2" t="s">
        <v>1444</v>
      </c>
      <c r="B1433" s="2">
        <v>421.0</v>
      </c>
      <c r="C1433" s="2">
        <v>5015.0</v>
      </c>
      <c r="D1433" s="2">
        <v>1448.0</v>
      </c>
      <c r="E1433" s="3">
        <f t="shared" si="1"/>
        <v>0.315193731</v>
      </c>
      <c r="F1433" s="2">
        <v>667.0</v>
      </c>
      <c r="G1433" s="3">
        <f t="shared" si="2"/>
        <v>0.1451893774</v>
      </c>
      <c r="H1433" s="2">
        <v>997.0</v>
      </c>
      <c r="I1433" s="3">
        <f t="shared" si="3"/>
        <v>0.2170222029</v>
      </c>
      <c r="J1433" s="2">
        <v>701.0</v>
      </c>
      <c r="K1433" s="3">
        <f t="shared" si="4"/>
        <v>0.1525903352</v>
      </c>
      <c r="L1433" s="2">
        <v>585.0</v>
      </c>
      <c r="M1433" s="3">
        <f t="shared" si="5"/>
        <v>0.5867602808</v>
      </c>
      <c r="N1433" s="2">
        <v>5616400.0</v>
      </c>
      <c r="O1433" s="4">
        <f t="shared" si="6"/>
        <v>5633.2999</v>
      </c>
      <c r="P1433" s="2">
        <v>1.0</v>
      </c>
      <c r="Q1433" s="3">
        <f t="shared" si="7"/>
        <v>0.002375296912</v>
      </c>
      <c r="R1433" s="2">
        <v>421.0</v>
      </c>
      <c r="S1433" s="5">
        <f t="shared" si="8"/>
        <v>1</v>
      </c>
    </row>
    <row r="1434">
      <c r="A1434" s="2" t="s">
        <v>1445</v>
      </c>
      <c r="B1434" s="2">
        <v>420.0</v>
      </c>
      <c r="C1434" s="2">
        <v>4925.0</v>
      </c>
      <c r="D1434" s="2">
        <v>1510.0</v>
      </c>
      <c r="E1434" s="3">
        <f t="shared" si="1"/>
        <v>0.3351831299</v>
      </c>
      <c r="F1434" s="2">
        <v>654.0</v>
      </c>
      <c r="G1434" s="3">
        <f t="shared" si="2"/>
        <v>0.1451720311</v>
      </c>
      <c r="H1434" s="2">
        <v>936.0</v>
      </c>
      <c r="I1434" s="3">
        <f t="shared" si="3"/>
        <v>0.2077691454</v>
      </c>
      <c r="J1434" s="2">
        <v>825.0</v>
      </c>
      <c r="K1434" s="3">
        <f t="shared" si="4"/>
        <v>0.1831298557</v>
      </c>
      <c r="L1434" s="2">
        <v>574.0</v>
      </c>
      <c r="M1434" s="3">
        <f t="shared" si="5"/>
        <v>0.6132478632</v>
      </c>
      <c r="N1434" s="2">
        <v>5692700.0</v>
      </c>
      <c r="O1434" s="4">
        <f t="shared" si="6"/>
        <v>6081.944444</v>
      </c>
      <c r="P1434" s="2">
        <v>0.0</v>
      </c>
      <c r="Q1434" s="3">
        <f t="shared" si="7"/>
        <v>0</v>
      </c>
      <c r="R1434" s="2">
        <v>420.0</v>
      </c>
      <c r="S1434" s="5">
        <f t="shared" si="8"/>
        <v>1</v>
      </c>
    </row>
    <row r="1435">
      <c r="A1435" s="2" t="s">
        <v>1446</v>
      </c>
      <c r="B1435" s="2">
        <v>6.0</v>
      </c>
      <c r="C1435" s="2">
        <v>68.0</v>
      </c>
      <c r="D1435" s="2">
        <v>16.0</v>
      </c>
      <c r="E1435" s="3">
        <f t="shared" si="1"/>
        <v>0.2580645161</v>
      </c>
      <c r="F1435" s="2">
        <v>9.0</v>
      </c>
      <c r="G1435" s="3">
        <f t="shared" si="2"/>
        <v>0.1451612903</v>
      </c>
      <c r="H1435" s="2">
        <v>20.0</v>
      </c>
      <c r="I1435" s="3">
        <f t="shared" si="3"/>
        <v>0.3225806452</v>
      </c>
      <c r="J1435" s="2">
        <v>13.0</v>
      </c>
      <c r="K1435" s="3">
        <f t="shared" si="4"/>
        <v>0.2096774194</v>
      </c>
      <c r="L1435" s="2">
        <v>13.0</v>
      </c>
      <c r="M1435" s="3">
        <f t="shared" si="5"/>
        <v>0.65</v>
      </c>
      <c r="N1435" s="2">
        <v>108800.0</v>
      </c>
      <c r="O1435" s="4">
        <f t="shared" si="6"/>
        <v>5440</v>
      </c>
      <c r="P1435" s="2">
        <v>0.0</v>
      </c>
      <c r="Q1435" s="3">
        <f t="shared" si="7"/>
        <v>0</v>
      </c>
      <c r="R1435" s="2">
        <v>6.0</v>
      </c>
      <c r="S1435" s="5">
        <f t="shared" si="8"/>
        <v>1</v>
      </c>
    </row>
    <row r="1436">
      <c r="A1436" s="2" t="s">
        <v>1447</v>
      </c>
      <c r="B1436" s="2">
        <v>47.0</v>
      </c>
      <c r="C1436" s="2">
        <v>543.0</v>
      </c>
      <c r="D1436" s="2">
        <v>166.0</v>
      </c>
      <c r="E1436" s="3">
        <f t="shared" si="1"/>
        <v>0.3346774194</v>
      </c>
      <c r="F1436" s="2">
        <v>72.0</v>
      </c>
      <c r="G1436" s="3">
        <f t="shared" si="2"/>
        <v>0.1451612903</v>
      </c>
      <c r="H1436" s="2">
        <v>109.0</v>
      </c>
      <c r="I1436" s="3">
        <f t="shared" si="3"/>
        <v>0.2197580645</v>
      </c>
      <c r="J1436" s="2">
        <v>100.0</v>
      </c>
      <c r="K1436" s="3">
        <f t="shared" si="4"/>
        <v>0.2016129032</v>
      </c>
      <c r="L1436" s="2">
        <v>63.0</v>
      </c>
      <c r="M1436" s="3">
        <f t="shared" si="5"/>
        <v>0.5779816514</v>
      </c>
      <c r="N1436" s="2">
        <v>591800.0</v>
      </c>
      <c r="O1436" s="4">
        <f t="shared" si="6"/>
        <v>5429.357798</v>
      </c>
      <c r="P1436" s="2">
        <v>0.0</v>
      </c>
      <c r="Q1436" s="3">
        <f t="shared" si="7"/>
        <v>0</v>
      </c>
      <c r="R1436" s="2">
        <v>47.0</v>
      </c>
      <c r="S1436" s="5">
        <f t="shared" si="8"/>
        <v>1</v>
      </c>
    </row>
    <row r="1437">
      <c r="A1437" s="2" t="s">
        <v>1448</v>
      </c>
      <c r="B1437" s="2">
        <v>122.0</v>
      </c>
      <c r="C1437" s="2">
        <v>1445.0</v>
      </c>
      <c r="D1437" s="2">
        <v>450.0</v>
      </c>
      <c r="E1437" s="3">
        <f t="shared" si="1"/>
        <v>0.3401360544</v>
      </c>
      <c r="F1437" s="2">
        <v>192.0</v>
      </c>
      <c r="G1437" s="3">
        <f t="shared" si="2"/>
        <v>0.1451247166</v>
      </c>
      <c r="H1437" s="2">
        <v>277.0</v>
      </c>
      <c r="I1437" s="3">
        <f t="shared" si="3"/>
        <v>0.2093726379</v>
      </c>
      <c r="J1437" s="2">
        <v>222.0</v>
      </c>
      <c r="K1437" s="3">
        <f t="shared" si="4"/>
        <v>0.1678004535</v>
      </c>
      <c r="L1437" s="2">
        <v>164.0</v>
      </c>
      <c r="M1437" s="3">
        <f t="shared" si="5"/>
        <v>0.5920577617</v>
      </c>
      <c r="N1437" s="2">
        <v>1541600.0</v>
      </c>
      <c r="O1437" s="4">
        <f t="shared" si="6"/>
        <v>5565.34296</v>
      </c>
      <c r="P1437" s="2">
        <v>1.0</v>
      </c>
      <c r="Q1437" s="3">
        <f t="shared" si="7"/>
        <v>0.008196721311</v>
      </c>
      <c r="R1437" s="2">
        <v>0.0</v>
      </c>
      <c r="S1437" s="5">
        <f t="shared" si="8"/>
        <v>0</v>
      </c>
    </row>
    <row r="1438">
      <c r="A1438" s="2" t="s">
        <v>1449</v>
      </c>
      <c r="B1438" s="2">
        <v>718.0</v>
      </c>
      <c r="C1438" s="2">
        <v>8195.0</v>
      </c>
      <c r="D1438" s="2">
        <v>2315.0</v>
      </c>
      <c r="E1438" s="3">
        <f t="shared" si="1"/>
        <v>0.3096161562</v>
      </c>
      <c r="F1438" s="2">
        <v>1085.0</v>
      </c>
      <c r="G1438" s="3">
        <f t="shared" si="2"/>
        <v>0.1451116758</v>
      </c>
      <c r="H1438" s="2">
        <v>1584.0</v>
      </c>
      <c r="I1438" s="3">
        <f t="shared" si="3"/>
        <v>0.2118496723</v>
      </c>
      <c r="J1438" s="2">
        <v>1597.0</v>
      </c>
      <c r="K1438" s="3">
        <f t="shared" si="4"/>
        <v>0.2135883376</v>
      </c>
      <c r="L1438" s="2">
        <v>909.0</v>
      </c>
      <c r="M1438" s="3">
        <f t="shared" si="5"/>
        <v>0.5738636364</v>
      </c>
      <c r="N1438" s="2">
        <v>9580800.0</v>
      </c>
      <c r="O1438" s="4">
        <f t="shared" si="6"/>
        <v>6048.484848</v>
      </c>
      <c r="P1438" s="2">
        <v>3.0</v>
      </c>
      <c r="Q1438" s="3">
        <f t="shared" si="7"/>
        <v>0.004178272981</v>
      </c>
      <c r="R1438" s="2">
        <v>718.0</v>
      </c>
      <c r="S1438" s="5">
        <f t="shared" si="8"/>
        <v>1</v>
      </c>
    </row>
    <row r="1439">
      <c r="A1439" s="2" t="s">
        <v>1450</v>
      </c>
      <c r="B1439" s="2">
        <v>647.0</v>
      </c>
      <c r="C1439" s="2">
        <v>7573.0</v>
      </c>
      <c r="D1439" s="2">
        <v>2308.0</v>
      </c>
      <c r="E1439" s="3">
        <f t="shared" si="1"/>
        <v>0.3332370777</v>
      </c>
      <c r="F1439" s="2">
        <v>1005.0</v>
      </c>
      <c r="G1439" s="3">
        <f t="shared" si="2"/>
        <v>0.1451053999</v>
      </c>
      <c r="H1439" s="2">
        <v>1416.0</v>
      </c>
      <c r="I1439" s="3">
        <f t="shared" si="3"/>
        <v>0.2044470113</v>
      </c>
      <c r="J1439" s="2">
        <v>1148.0</v>
      </c>
      <c r="K1439" s="3">
        <f t="shared" si="4"/>
        <v>0.1657522379</v>
      </c>
      <c r="L1439" s="2">
        <v>836.0</v>
      </c>
      <c r="M1439" s="3">
        <f t="shared" si="5"/>
        <v>0.5903954802</v>
      </c>
      <c r="N1439" s="2">
        <v>8260400.0</v>
      </c>
      <c r="O1439" s="4">
        <f t="shared" si="6"/>
        <v>5833.615819</v>
      </c>
      <c r="P1439" s="2">
        <v>2.0</v>
      </c>
      <c r="Q1439" s="3">
        <f t="shared" si="7"/>
        <v>0.003091190108</v>
      </c>
      <c r="R1439" s="2">
        <v>647.0</v>
      </c>
      <c r="S1439" s="5">
        <f t="shared" si="8"/>
        <v>1</v>
      </c>
    </row>
    <row r="1440">
      <c r="A1440" s="2" t="s">
        <v>1451</v>
      </c>
      <c r="B1440" s="2">
        <v>362.0</v>
      </c>
      <c r="C1440" s="2">
        <v>4180.0</v>
      </c>
      <c r="D1440" s="2">
        <v>992.0</v>
      </c>
      <c r="E1440" s="3">
        <f t="shared" si="1"/>
        <v>0.2598218963</v>
      </c>
      <c r="F1440" s="2">
        <v>554.0</v>
      </c>
      <c r="G1440" s="3">
        <f t="shared" si="2"/>
        <v>0.1451021477</v>
      </c>
      <c r="H1440" s="2">
        <v>817.0</v>
      </c>
      <c r="I1440" s="3">
        <f t="shared" si="3"/>
        <v>0.2139863803</v>
      </c>
      <c r="J1440" s="2">
        <v>967.0</v>
      </c>
      <c r="K1440" s="3">
        <f t="shared" si="4"/>
        <v>0.2532739654</v>
      </c>
      <c r="L1440" s="2">
        <v>484.0</v>
      </c>
      <c r="M1440" s="3">
        <f t="shared" si="5"/>
        <v>0.5924112607</v>
      </c>
      <c r="N1440" s="2">
        <v>4740200.0</v>
      </c>
      <c r="O1440" s="4">
        <f t="shared" si="6"/>
        <v>5801.958384</v>
      </c>
      <c r="P1440" s="2">
        <v>2.0</v>
      </c>
      <c r="Q1440" s="3">
        <f t="shared" si="7"/>
        <v>0.005524861878</v>
      </c>
      <c r="R1440" s="2">
        <v>362.0</v>
      </c>
      <c r="S1440" s="5">
        <f t="shared" si="8"/>
        <v>1</v>
      </c>
    </row>
    <row r="1441">
      <c r="A1441" s="2" t="s">
        <v>1452</v>
      </c>
      <c r="B1441" s="2">
        <v>651.0</v>
      </c>
      <c r="C1441" s="2">
        <v>7571.0</v>
      </c>
      <c r="D1441" s="2">
        <v>2447.0</v>
      </c>
      <c r="E1441" s="3">
        <f t="shared" si="1"/>
        <v>0.3536127168</v>
      </c>
      <c r="F1441" s="2">
        <v>1004.0</v>
      </c>
      <c r="G1441" s="3">
        <f t="shared" si="2"/>
        <v>0.1450867052</v>
      </c>
      <c r="H1441" s="2">
        <v>1472.0</v>
      </c>
      <c r="I1441" s="3">
        <f t="shared" si="3"/>
        <v>0.212716763</v>
      </c>
      <c r="J1441" s="2">
        <v>1433.0</v>
      </c>
      <c r="K1441" s="3">
        <f t="shared" si="4"/>
        <v>0.2070809249</v>
      </c>
      <c r="L1441" s="2">
        <v>871.0</v>
      </c>
      <c r="M1441" s="3">
        <f t="shared" si="5"/>
        <v>0.5917119565</v>
      </c>
      <c r="N1441" s="2">
        <v>8909100.0</v>
      </c>
      <c r="O1441" s="4">
        <f t="shared" si="6"/>
        <v>6052.377717</v>
      </c>
      <c r="P1441" s="2">
        <v>0.0</v>
      </c>
      <c r="Q1441" s="3">
        <f t="shared" si="7"/>
        <v>0</v>
      </c>
      <c r="R1441" s="2">
        <v>651.0</v>
      </c>
      <c r="S1441" s="5">
        <f t="shared" si="8"/>
        <v>1</v>
      </c>
    </row>
    <row r="1442">
      <c r="A1442" s="2" t="s">
        <v>1453</v>
      </c>
      <c r="B1442" s="2">
        <v>748.0</v>
      </c>
      <c r="C1442" s="2">
        <v>8633.0</v>
      </c>
      <c r="D1442" s="2">
        <v>2476.0</v>
      </c>
      <c r="E1442" s="3">
        <f t="shared" si="1"/>
        <v>0.3140139505</v>
      </c>
      <c r="F1442" s="2">
        <v>1144.0</v>
      </c>
      <c r="G1442" s="3">
        <f t="shared" si="2"/>
        <v>0.1450856056</v>
      </c>
      <c r="H1442" s="2">
        <v>1565.0</v>
      </c>
      <c r="I1442" s="3">
        <f t="shared" si="3"/>
        <v>0.198478123</v>
      </c>
      <c r="J1442" s="2">
        <v>1421.0</v>
      </c>
      <c r="K1442" s="3">
        <f t="shared" si="4"/>
        <v>0.1802155992</v>
      </c>
      <c r="L1442" s="2">
        <v>909.0</v>
      </c>
      <c r="M1442" s="3">
        <f t="shared" si="5"/>
        <v>0.5808306709</v>
      </c>
      <c r="N1442" s="2">
        <v>9400500.0</v>
      </c>
      <c r="O1442" s="4">
        <f t="shared" si="6"/>
        <v>6006.709265</v>
      </c>
      <c r="P1442" s="2">
        <v>1.0</v>
      </c>
      <c r="Q1442" s="3">
        <f t="shared" si="7"/>
        <v>0.001336898396</v>
      </c>
      <c r="R1442" s="2">
        <v>748.0</v>
      </c>
      <c r="S1442" s="5">
        <f t="shared" si="8"/>
        <v>1</v>
      </c>
    </row>
    <row r="1443">
      <c r="A1443" s="2" t="s">
        <v>1454</v>
      </c>
      <c r="B1443" s="2">
        <v>54.0</v>
      </c>
      <c r="C1443" s="2">
        <v>633.0</v>
      </c>
      <c r="D1443" s="2">
        <v>181.0</v>
      </c>
      <c r="E1443" s="3">
        <f t="shared" si="1"/>
        <v>0.3126079447</v>
      </c>
      <c r="F1443" s="2">
        <v>84.0</v>
      </c>
      <c r="G1443" s="3">
        <f t="shared" si="2"/>
        <v>0.1450777202</v>
      </c>
      <c r="H1443" s="2">
        <v>123.0</v>
      </c>
      <c r="I1443" s="3">
        <f t="shared" si="3"/>
        <v>0.2124352332</v>
      </c>
      <c r="J1443" s="2">
        <v>114.0</v>
      </c>
      <c r="K1443" s="3">
        <f t="shared" si="4"/>
        <v>0.1968911917</v>
      </c>
      <c r="L1443" s="2">
        <v>77.0</v>
      </c>
      <c r="M1443" s="3">
        <f t="shared" si="5"/>
        <v>0.6260162602</v>
      </c>
      <c r="N1443" s="2">
        <v>706500.0</v>
      </c>
      <c r="O1443" s="4">
        <f t="shared" si="6"/>
        <v>5743.902439</v>
      </c>
      <c r="P1443" s="2">
        <v>0.0</v>
      </c>
      <c r="Q1443" s="3">
        <f t="shared" si="7"/>
        <v>0</v>
      </c>
      <c r="R1443" s="2">
        <v>54.0</v>
      </c>
      <c r="S1443" s="5">
        <f t="shared" si="8"/>
        <v>1</v>
      </c>
    </row>
    <row r="1444">
      <c r="A1444" s="2" t="s">
        <v>1455</v>
      </c>
      <c r="B1444" s="2">
        <v>33.0</v>
      </c>
      <c r="C1444" s="2">
        <v>419.0</v>
      </c>
      <c r="D1444" s="2">
        <v>133.0</v>
      </c>
      <c r="E1444" s="3">
        <f t="shared" si="1"/>
        <v>0.3445595855</v>
      </c>
      <c r="F1444" s="2">
        <v>56.0</v>
      </c>
      <c r="G1444" s="3">
        <f t="shared" si="2"/>
        <v>0.1450777202</v>
      </c>
      <c r="H1444" s="2">
        <v>77.0</v>
      </c>
      <c r="I1444" s="3">
        <f t="shared" si="3"/>
        <v>0.1994818653</v>
      </c>
      <c r="J1444" s="2">
        <v>65.0</v>
      </c>
      <c r="K1444" s="3">
        <f t="shared" si="4"/>
        <v>0.1683937824</v>
      </c>
      <c r="L1444" s="2">
        <v>41.0</v>
      </c>
      <c r="M1444" s="3">
        <f t="shared" si="5"/>
        <v>0.5324675325</v>
      </c>
      <c r="N1444" s="2">
        <v>441000.0</v>
      </c>
      <c r="O1444" s="4">
        <f t="shared" si="6"/>
        <v>5727.272727</v>
      </c>
      <c r="P1444" s="2">
        <v>0.0</v>
      </c>
      <c r="Q1444" s="3">
        <f t="shared" si="7"/>
        <v>0</v>
      </c>
      <c r="R1444" s="2">
        <v>33.0</v>
      </c>
      <c r="S1444" s="5">
        <f t="shared" si="8"/>
        <v>1</v>
      </c>
    </row>
    <row r="1445">
      <c r="A1445" s="2" t="s">
        <v>1456</v>
      </c>
      <c r="B1445" s="2">
        <v>170.0</v>
      </c>
      <c r="C1445" s="2">
        <v>1976.0</v>
      </c>
      <c r="D1445" s="2">
        <v>717.0</v>
      </c>
      <c r="E1445" s="3">
        <f t="shared" si="1"/>
        <v>0.3970099668</v>
      </c>
      <c r="F1445" s="2">
        <v>262.0</v>
      </c>
      <c r="G1445" s="3">
        <f t="shared" si="2"/>
        <v>0.1450719823</v>
      </c>
      <c r="H1445" s="2">
        <v>355.0</v>
      </c>
      <c r="I1445" s="3">
        <f t="shared" si="3"/>
        <v>0.1965669989</v>
      </c>
      <c r="J1445" s="2">
        <v>238.0</v>
      </c>
      <c r="K1445" s="3">
        <f t="shared" si="4"/>
        <v>0.1317829457</v>
      </c>
      <c r="L1445" s="2">
        <v>221.0</v>
      </c>
      <c r="M1445" s="3">
        <f t="shared" si="5"/>
        <v>0.6225352113</v>
      </c>
      <c r="N1445" s="2">
        <v>1897100.0</v>
      </c>
      <c r="O1445" s="4">
        <f t="shared" si="6"/>
        <v>5343.943662</v>
      </c>
      <c r="P1445" s="2">
        <v>0.0</v>
      </c>
      <c r="Q1445" s="3">
        <f t="shared" si="7"/>
        <v>0</v>
      </c>
      <c r="R1445" s="2">
        <v>170.0</v>
      </c>
      <c r="S1445" s="5">
        <f t="shared" si="8"/>
        <v>1</v>
      </c>
    </row>
    <row r="1446">
      <c r="A1446" s="2" t="s">
        <v>1457</v>
      </c>
      <c r="B1446" s="2">
        <v>29.0</v>
      </c>
      <c r="C1446" s="2">
        <v>353.0</v>
      </c>
      <c r="D1446" s="2">
        <v>89.0</v>
      </c>
      <c r="E1446" s="3">
        <f t="shared" si="1"/>
        <v>0.274691358</v>
      </c>
      <c r="F1446" s="2">
        <v>47.0</v>
      </c>
      <c r="G1446" s="3">
        <f t="shared" si="2"/>
        <v>0.1450617284</v>
      </c>
      <c r="H1446" s="2">
        <v>62.0</v>
      </c>
      <c r="I1446" s="3">
        <f t="shared" si="3"/>
        <v>0.1913580247</v>
      </c>
      <c r="J1446" s="2">
        <v>61.0</v>
      </c>
      <c r="K1446" s="3">
        <f t="shared" si="4"/>
        <v>0.1882716049</v>
      </c>
      <c r="L1446" s="2">
        <v>37.0</v>
      </c>
      <c r="M1446" s="3">
        <f t="shared" si="5"/>
        <v>0.5967741935</v>
      </c>
      <c r="N1446" s="2">
        <v>304300.0</v>
      </c>
      <c r="O1446" s="4">
        <f t="shared" si="6"/>
        <v>4908.064516</v>
      </c>
      <c r="P1446" s="2">
        <v>0.0</v>
      </c>
      <c r="Q1446" s="3">
        <f t="shared" si="7"/>
        <v>0</v>
      </c>
      <c r="R1446" s="2">
        <v>0.0</v>
      </c>
      <c r="S1446" s="5">
        <f t="shared" si="8"/>
        <v>0</v>
      </c>
    </row>
    <row r="1447">
      <c r="A1447" s="2" t="s">
        <v>1458</v>
      </c>
      <c r="B1447" s="2">
        <v>78.0</v>
      </c>
      <c r="C1447" s="2">
        <v>857.0</v>
      </c>
      <c r="D1447" s="2">
        <v>255.0</v>
      </c>
      <c r="E1447" s="3">
        <f t="shared" si="1"/>
        <v>0.3273427471</v>
      </c>
      <c r="F1447" s="2">
        <v>113.0</v>
      </c>
      <c r="G1447" s="3">
        <f t="shared" si="2"/>
        <v>0.1450577664</v>
      </c>
      <c r="H1447" s="2">
        <v>156.0</v>
      </c>
      <c r="I1447" s="3">
        <f t="shared" si="3"/>
        <v>0.2002567394</v>
      </c>
      <c r="J1447" s="2">
        <v>119.0</v>
      </c>
      <c r="K1447" s="3">
        <f t="shared" si="4"/>
        <v>0.1527599487</v>
      </c>
      <c r="L1447" s="2">
        <v>92.0</v>
      </c>
      <c r="M1447" s="3">
        <f t="shared" si="5"/>
        <v>0.5897435897</v>
      </c>
      <c r="N1447" s="2">
        <v>929900.0</v>
      </c>
      <c r="O1447" s="4">
        <f t="shared" si="6"/>
        <v>5960.897436</v>
      </c>
      <c r="P1447" s="2">
        <v>0.0</v>
      </c>
      <c r="Q1447" s="3">
        <f t="shared" si="7"/>
        <v>0</v>
      </c>
      <c r="R1447" s="2">
        <v>78.0</v>
      </c>
      <c r="S1447" s="5">
        <f t="shared" si="8"/>
        <v>1</v>
      </c>
    </row>
    <row r="1448">
      <c r="A1448" s="2" t="s">
        <v>1459</v>
      </c>
      <c r="B1448" s="2">
        <v>42.0</v>
      </c>
      <c r="C1448" s="2">
        <v>497.0</v>
      </c>
      <c r="D1448" s="2">
        <v>193.0</v>
      </c>
      <c r="E1448" s="3">
        <f t="shared" si="1"/>
        <v>0.4241758242</v>
      </c>
      <c r="F1448" s="2">
        <v>66.0</v>
      </c>
      <c r="G1448" s="3">
        <f t="shared" si="2"/>
        <v>0.1450549451</v>
      </c>
      <c r="H1448" s="2">
        <v>96.0</v>
      </c>
      <c r="I1448" s="3">
        <f t="shared" si="3"/>
        <v>0.210989011</v>
      </c>
      <c r="J1448" s="2">
        <v>81.0</v>
      </c>
      <c r="K1448" s="3">
        <f t="shared" si="4"/>
        <v>0.178021978</v>
      </c>
      <c r="L1448" s="2">
        <v>57.0</v>
      </c>
      <c r="M1448" s="3">
        <f t="shared" si="5"/>
        <v>0.59375</v>
      </c>
      <c r="N1448" s="2">
        <v>512400.0</v>
      </c>
      <c r="O1448" s="4">
        <f t="shared" si="6"/>
        <v>5337.5</v>
      </c>
      <c r="P1448" s="2">
        <v>0.0</v>
      </c>
      <c r="Q1448" s="3">
        <f t="shared" si="7"/>
        <v>0</v>
      </c>
      <c r="R1448" s="2">
        <v>42.0</v>
      </c>
      <c r="S1448" s="5">
        <f t="shared" si="8"/>
        <v>1</v>
      </c>
    </row>
    <row r="1449">
      <c r="A1449" s="2" t="s">
        <v>1460</v>
      </c>
      <c r="B1449" s="2">
        <v>950.0</v>
      </c>
      <c r="C1449" s="2">
        <v>11202.0</v>
      </c>
      <c r="D1449" s="2">
        <v>2956.0</v>
      </c>
      <c r="E1449" s="3">
        <f t="shared" si="1"/>
        <v>0.2883339836</v>
      </c>
      <c r="F1449" s="2">
        <v>1487.0</v>
      </c>
      <c r="G1449" s="3">
        <f t="shared" si="2"/>
        <v>0.1450448693</v>
      </c>
      <c r="H1449" s="2">
        <v>2127.0</v>
      </c>
      <c r="I1449" s="3">
        <f t="shared" si="3"/>
        <v>0.2074717128</v>
      </c>
      <c r="J1449" s="2">
        <v>1692.0</v>
      </c>
      <c r="K1449" s="3">
        <f t="shared" si="4"/>
        <v>0.1650409676</v>
      </c>
      <c r="L1449" s="2">
        <v>1279.0</v>
      </c>
      <c r="M1449" s="3">
        <f t="shared" si="5"/>
        <v>0.6013164081</v>
      </c>
      <c r="N1449" s="2">
        <v>1.27799E7</v>
      </c>
      <c r="O1449" s="4">
        <f t="shared" si="6"/>
        <v>6008.415609</v>
      </c>
      <c r="P1449" s="2">
        <v>4.0</v>
      </c>
      <c r="Q1449" s="3">
        <f t="shared" si="7"/>
        <v>0.004210526316</v>
      </c>
      <c r="R1449" s="2">
        <v>950.0</v>
      </c>
      <c r="S1449" s="5">
        <f t="shared" si="8"/>
        <v>1</v>
      </c>
    </row>
    <row r="1450">
      <c r="A1450" s="2" t="s">
        <v>1461</v>
      </c>
      <c r="B1450" s="2">
        <v>280.0</v>
      </c>
      <c r="C1450" s="2">
        <v>3286.0</v>
      </c>
      <c r="D1450" s="2">
        <v>755.0</v>
      </c>
      <c r="E1450" s="3">
        <f t="shared" si="1"/>
        <v>0.251164338</v>
      </c>
      <c r="F1450" s="2">
        <v>436.0</v>
      </c>
      <c r="G1450" s="3">
        <f t="shared" si="2"/>
        <v>0.1450432468</v>
      </c>
      <c r="H1450" s="2">
        <v>612.0</v>
      </c>
      <c r="I1450" s="3">
        <f t="shared" si="3"/>
        <v>0.2035928144</v>
      </c>
      <c r="J1450" s="2">
        <v>472.0</v>
      </c>
      <c r="K1450" s="3">
        <f t="shared" si="4"/>
        <v>0.1570192947</v>
      </c>
      <c r="L1450" s="2">
        <v>350.0</v>
      </c>
      <c r="M1450" s="3">
        <f t="shared" si="5"/>
        <v>0.5718954248</v>
      </c>
      <c r="N1450" s="2">
        <v>3621500.0</v>
      </c>
      <c r="O1450" s="4">
        <f t="shared" si="6"/>
        <v>5917.48366</v>
      </c>
      <c r="P1450" s="2">
        <v>2.0</v>
      </c>
      <c r="Q1450" s="3">
        <f t="shared" si="7"/>
        <v>0.007142857143</v>
      </c>
      <c r="R1450" s="2">
        <v>280.0</v>
      </c>
      <c r="S1450" s="5">
        <f t="shared" si="8"/>
        <v>1</v>
      </c>
    </row>
    <row r="1451">
      <c r="A1451" s="2" t="s">
        <v>1462</v>
      </c>
      <c r="B1451" s="2">
        <v>24.0</v>
      </c>
      <c r="C1451" s="2">
        <v>286.0</v>
      </c>
      <c r="D1451" s="2">
        <v>80.0</v>
      </c>
      <c r="E1451" s="3">
        <f t="shared" si="1"/>
        <v>0.3053435115</v>
      </c>
      <c r="F1451" s="2">
        <v>38.0</v>
      </c>
      <c r="G1451" s="3">
        <f t="shared" si="2"/>
        <v>0.1450381679</v>
      </c>
      <c r="H1451" s="2">
        <v>58.0</v>
      </c>
      <c r="I1451" s="3">
        <f t="shared" si="3"/>
        <v>0.2213740458</v>
      </c>
      <c r="J1451" s="2">
        <v>58.0</v>
      </c>
      <c r="K1451" s="3">
        <f t="shared" si="4"/>
        <v>0.2213740458</v>
      </c>
      <c r="L1451" s="2">
        <v>35.0</v>
      </c>
      <c r="M1451" s="3">
        <f t="shared" si="5"/>
        <v>0.6034482759</v>
      </c>
      <c r="N1451" s="2">
        <v>321200.0</v>
      </c>
      <c r="O1451" s="4">
        <f t="shared" si="6"/>
        <v>5537.931034</v>
      </c>
      <c r="P1451" s="2">
        <v>0.0</v>
      </c>
      <c r="Q1451" s="3">
        <f t="shared" si="7"/>
        <v>0</v>
      </c>
      <c r="R1451" s="2">
        <v>0.0</v>
      </c>
      <c r="S1451" s="5">
        <f t="shared" si="8"/>
        <v>0</v>
      </c>
    </row>
    <row r="1452">
      <c r="A1452" s="2" t="s">
        <v>1463</v>
      </c>
      <c r="B1452" s="2">
        <v>222.0</v>
      </c>
      <c r="C1452" s="2">
        <v>2587.0</v>
      </c>
      <c r="D1452" s="2">
        <v>923.0</v>
      </c>
      <c r="E1452" s="3">
        <f t="shared" si="1"/>
        <v>0.3902748414</v>
      </c>
      <c r="F1452" s="2">
        <v>343.0</v>
      </c>
      <c r="G1452" s="3">
        <f t="shared" si="2"/>
        <v>0.1450317125</v>
      </c>
      <c r="H1452" s="2">
        <v>480.0</v>
      </c>
      <c r="I1452" s="3">
        <f t="shared" si="3"/>
        <v>0.2029598309</v>
      </c>
      <c r="J1452" s="2">
        <v>443.0</v>
      </c>
      <c r="K1452" s="3">
        <f t="shared" si="4"/>
        <v>0.1873150106</v>
      </c>
      <c r="L1452" s="2">
        <v>285.0</v>
      </c>
      <c r="M1452" s="3">
        <f t="shared" si="5"/>
        <v>0.59375</v>
      </c>
      <c r="N1452" s="2">
        <v>2774000.0</v>
      </c>
      <c r="O1452" s="4">
        <f t="shared" si="6"/>
        <v>5779.166667</v>
      </c>
      <c r="P1452" s="2">
        <v>1.0</v>
      </c>
      <c r="Q1452" s="3">
        <f t="shared" si="7"/>
        <v>0.004504504505</v>
      </c>
      <c r="R1452" s="2">
        <v>173.0</v>
      </c>
      <c r="S1452" s="5">
        <f t="shared" si="8"/>
        <v>0.7792792793</v>
      </c>
    </row>
    <row r="1453">
      <c r="A1453" s="2" t="s">
        <v>1464</v>
      </c>
      <c r="B1453" s="2">
        <v>207.0</v>
      </c>
      <c r="C1453" s="2">
        <v>2448.0</v>
      </c>
      <c r="D1453" s="2">
        <v>985.0</v>
      </c>
      <c r="E1453" s="3">
        <f t="shared" si="1"/>
        <v>0.4395359215</v>
      </c>
      <c r="F1453" s="2">
        <v>325.0</v>
      </c>
      <c r="G1453" s="3">
        <f t="shared" si="2"/>
        <v>0.1450245426</v>
      </c>
      <c r="H1453" s="2">
        <v>503.0</v>
      </c>
      <c r="I1453" s="3">
        <f t="shared" si="3"/>
        <v>0.224453369</v>
      </c>
      <c r="J1453" s="2">
        <v>359.0</v>
      </c>
      <c r="K1453" s="3">
        <f t="shared" si="4"/>
        <v>0.1601963409</v>
      </c>
      <c r="L1453" s="2">
        <v>306.0</v>
      </c>
      <c r="M1453" s="3">
        <f t="shared" si="5"/>
        <v>0.6083499006</v>
      </c>
      <c r="N1453" s="2">
        <v>2446300.0</v>
      </c>
      <c r="O1453" s="4">
        <f t="shared" si="6"/>
        <v>4863.419483</v>
      </c>
      <c r="P1453" s="2">
        <v>0.0</v>
      </c>
      <c r="Q1453" s="3">
        <f t="shared" si="7"/>
        <v>0</v>
      </c>
      <c r="R1453" s="2">
        <v>207.0</v>
      </c>
      <c r="S1453" s="5">
        <f t="shared" si="8"/>
        <v>1</v>
      </c>
    </row>
    <row r="1454">
      <c r="A1454" s="2" t="s">
        <v>1465</v>
      </c>
      <c r="B1454" s="2">
        <v>191.0</v>
      </c>
      <c r="C1454" s="2">
        <v>2260.0</v>
      </c>
      <c r="D1454" s="2">
        <v>811.0</v>
      </c>
      <c r="E1454" s="3">
        <f t="shared" si="1"/>
        <v>0.3919768004</v>
      </c>
      <c r="F1454" s="2">
        <v>300.0</v>
      </c>
      <c r="G1454" s="3">
        <f t="shared" si="2"/>
        <v>0.1449975834</v>
      </c>
      <c r="H1454" s="2">
        <v>466.0</v>
      </c>
      <c r="I1454" s="3">
        <f t="shared" si="3"/>
        <v>0.2252295795</v>
      </c>
      <c r="J1454" s="2">
        <v>318.0</v>
      </c>
      <c r="K1454" s="3">
        <f t="shared" si="4"/>
        <v>0.1536974384</v>
      </c>
      <c r="L1454" s="2">
        <v>271.0</v>
      </c>
      <c r="M1454" s="3">
        <f t="shared" si="5"/>
        <v>0.5815450644</v>
      </c>
      <c r="N1454" s="2">
        <v>2462400.0</v>
      </c>
      <c r="O1454" s="4">
        <f t="shared" si="6"/>
        <v>5284.120172</v>
      </c>
      <c r="P1454" s="2">
        <v>0.0</v>
      </c>
      <c r="Q1454" s="3">
        <f t="shared" si="7"/>
        <v>0</v>
      </c>
      <c r="R1454" s="2">
        <v>0.0</v>
      </c>
      <c r="S1454" s="5">
        <f t="shared" si="8"/>
        <v>0</v>
      </c>
    </row>
    <row r="1455">
      <c r="A1455" s="2" t="s">
        <v>1466</v>
      </c>
      <c r="B1455" s="2">
        <v>1392.0</v>
      </c>
      <c r="C1455" s="2">
        <v>16036.0</v>
      </c>
      <c r="D1455" s="2">
        <v>5904.0</v>
      </c>
      <c r="E1455" s="3">
        <f t="shared" si="1"/>
        <v>0.4031685332</v>
      </c>
      <c r="F1455" s="2">
        <v>2123.0</v>
      </c>
      <c r="G1455" s="3">
        <f t="shared" si="2"/>
        <v>0.1449740508</v>
      </c>
      <c r="H1455" s="2">
        <v>3273.0</v>
      </c>
      <c r="I1455" s="3">
        <f t="shared" si="3"/>
        <v>0.223504507</v>
      </c>
      <c r="J1455" s="2">
        <v>2675.0</v>
      </c>
      <c r="K1455" s="3">
        <f t="shared" si="4"/>
        <v>0.1826686698</v>
      </c>
      <c r="L1455" s="2">
        <v>2018.0</v>
      </c>
      <c r="M1455" s="3">
        <f t="shared" si="5"/>
        <v>0.6165597311</v>
      </c>
      <c r="N1455" s="2">
        <v>1.90863E7</v>
      </c>
      <c r="O1455" s="4">
        <f t="shared" si="6"/>
        <v>5831.439047</v>
      </c>
      <c r="P1455" s="2">
        <v>1.0</v>
      </c>
      <c r="Q1455" s="3">
        <f t="shared" si="7"/>
        <v>0.0007183908046</v>
      </c>
      <c r="R1455" s="2">
        <v>1392.0</v>
      </c>
      <c r="S1455" s="5">
        <f t="shared" si="8"/>
        <v>1</v>
      </c>
    </row>
    <row r="1456">
      <c r="A1456" s="2" t="s">
        <v>1467</v>
      </c>
      <c r="B1456" s="2">
        <v>32.0</v>
      </c>
      <c r="C1456" s="2">
        <v>370.0</v>
      </c>
      <c r="D1456" s="2">
        <v>138.0</v>
      </c>
      <c r="E1456" s="3">
        <f t="shared" si="1"/>
        <v>0.4082840237</v>
      </c>
      <c r="F1456" s="2">
        <v>49.0</v>
      </c>
      <c r="G1456" s="3">
        <f t="shared" si="2"/>
        <v>0.1449704142</v>
      </c>
      <c r="H1456" s="2">
        <v>60.0</v>
      </c>
      <c r="I1456" s="3">
        <f t="shared" si="3"/>
        <v>0.1775147929</v>
      </c>
      <c r="J1456" s="2">
        <v>53.0</v>
      </c>
      <c r="K1456" s="3">
        <f t="shared" si="4"/>
        <v>0.1568047337</v>
      </c>
      <c r="L1456" s="2">
        <v>35.0</v>
      </c>
      <c r="M1456" s="3">
        <f t="shared" si="5"/>
        <v>0.5833333333</v>
      </c>
      <c r="N1456" s="2">
        <v>305100.0</v>
      </c>
      <c r="O1456" s="4">
        <f t="shared" si="6"/>
        <v>5085</v>
      </c>
      <c r="P1456" s="2">
        <v>0.0</v>
      </c>
      <c r="Q1456" s="3">
        <f t="shared" si="7"/>
        <v>0</v>
      </c>
      <c r="R1456" s="2">
        <v>32.0</v>
      </c>
      <c r="S1456" s="5">
        <f t="shared" si="8"/>
        <v>1</v>
      </c>
    </row>
    <row r="1457">
      <c r="A1457" s="2" t="s">
        <v>1468</v>
      </c>
      <c r="B1457" s="2">
        <v>635.0</v>
      </c>
      <c r="C1457" s="2">
        <v>7340.0</v>
      </c>
      <c r="D1457" s="2">
        <v>2775.0</v>
      </c>
      <c r="E1457" s="3">
        <f t="shared" si="1"/>
        <v>0.4138702461</v>
      </c>
      <c r="F1457" s="2">
        <v>972.0</v>
      </c>
      <c r="G1457" s="3">
        <f t="shared" si="2"/>
        <v>0.144966443</v>
      </c>
      <c r="H1457" s="2">
        <v>1523.0</v>
      </c>
      <c r="I1457" s="3">
        <f t="shared" si="3"/>
        <v>0.2271439224</v>
      </c>
      <c r="J1457" s="2">
        <v>1129.0</v>
      </c>
      <c r="K1457" s="3">
        <f t="shared" si="4"/>
        <v>0.1683818046</v>
      </c>
      <c r="L1457" s="2">
        <v>897.0</v>
      </c>
      <c r="M1457" s="3">
        <f t="shared" si="5"/>
        <v>0.5889691399</v>
      </c>
      <c r="N1457" s="2">
        <v>8448900.0</v>
      </c>
      <c r="O1457" s="4">
        <f t="shared" si="6"/>
        <v>5547.537754</v>
      </c>
      <c r="P1457" s="2">
        <v>0.0</v>
      </c>
      <c r="Q1457" s="3">
        <f t="shared" si="7"/>
        <v>0</v>
      </c>
      <c r="R1457" s="2">
        <v>0.0</v>
      </c>
      <c r="S1457" s="5">
        <f t="shared" si="8"/>
        <v>0</v>
      </c>
    </row>
    <row r="1458">
      <c r="A1458" s="2" t="s">
        <v>1469</v>
      </c>
      <c r="B1458" s="2">
        <v>604.0</v>
      </c>
      <c r="C1458" s="2">
        <v>7040.0</v>
      </c>
      <c r="D1458" s="2">
        <v>2334.0</v>
      </c>
      <c r="E1458" s="3">
        <f t="shared" si="1"/>
        <v>0.3626476072</v>
      </c>
      <c r="F1458" s="2">
        <v>933.0</v>
      </c>
      <c r="G1458" s="3">
        <f t="shared" si="2"/>
        <v>0.1449658173</v>
      </c>
      <c r="H1458" s="2">
        <v>1399.0</v>
      </c>
      <c r="I1458" s="3">
        <f t="shared" si="3"/>
        <v>0.2173710379</v>
      </c>
      <c r="J1458" s="2">
        <v>1154.0</v>
      </c>
      <c r="K1458" s="3">
        <f t="shared" si="4"/>
        <v>0.1793039155</v>
      </c>
      <c r="L1458" s="2">
        <v>846.0</v>
      </c>
      <c r="M1458" s="3">
        <f t="shared" si="5"/>
        <v>0.6047176555</v>
      </c>
      <c r="N1458" s="2">
        <v>7933700.0</v>
      </c>
      <c r="O1458" s="4">
        <f t="shared" si="6"/>
        <v>5670.979271</v>
      </c>
      <c r="P1458" s="2">
        <v>1.0</v>
      </c>
      <c r="Q1458" s="3">
        <f t="shared" si="7"/>
        <v>0.001655629139</v>
      </c>
      <c r="R1458" s="2">
        <v>604.0</v>
      </c>
      <c r="S1458" s="5">
        <f t="shared" si="8"/>
        <v>1</v>
      </c>
    </row>
    <row r="1459">
      <c r="A1459" s="2" t="s">
        <v>1470</v>
      </c>
      <c r="B1459" s="2">
        <v>217.0</v>
      </c>
      <c r="C1459" s="2">
        <v>2521.0</v>
      </c>
      <c r="D1459" s="2">
        <v>693.0</v>
      </c>
      <c r="E1459" s="3">
        <f t="shared" si="1"/>
        <v>0.30078125</v>
      </c>
      <c r="F1459" s="2">
        <v>334.0</v>
      </c>
      <c r="G1459" s="3">
        <f t="shared" si="2"/>
        <v>0.1449652778</v>
      </c>
      <c r="H1459" s="2">
        <v>453.0</v>
      </c>
      <c r="I1459" s="3">
        <f t="shared" si="3"/>
        <v>0.1966145833</v>
      </c>
      <c r="J1459" s="2">
        <v>433.0</v>
      </c>
      <c r="K1459" s="3">
        <f t="shared" si="4"/>
        <v>0.1879340278</v>
      </c>
      <c r="L1459" s="2">
        <v>251.0</v>
      </c>
      <c r="M1459" s="3">
        <f t="shared" si="5"/>
        <v>0.5540838852</v>
      </c>
      <c r="N1459" s="2">
        <v>2950800.0</v>
      </c>
      <c r="O1459" s="4">
        <f t="shared" si="6"/>
        <v>6513.907285</v>
      </c>
      <c r="P1459" s="2">
        <v>3.0</v>
      </c>
      <c r="Q1459" s="3">
        <f t="shared" si="7"/>
        <v>0.01382488479</v>
      </c>
      <c r="R1459" s="2">
        <v>217.0</v>
      </c>
      <c r="S1459" s="5">
        <f t="shared" si="8"/>
        <v>1</v>
      </c>
    </row>
    <row r="1460">
      <c r="A1460" s="2" t="s">
        <v>1471</v>
      </c>
      <c r="B1460" s="2">
        <v>59.0</v>
      </c>
      <c r="C1460" s="2">
        <v>673.0</v>
      </c>
      <c r="D1460" s="2">
        <v>204.0</v>
      </c>
      <c r="E1460" s="3">
        <f t="shared" si="1"/>
        <v>0.332247557</v>
      </c>
      <c r="F1460" s="2">
        <v>89.0</v>
      </c>
      <c r="G1460" s="3">
        <f t="shared" si="2"/>
        <v>0.1449511401</v>
      </c>
      <c r="H1460" s="2">
        <v>127.0</v>
      </c>
      <c r="I1460" s="3">
        <f t="shared" si="3"/>
        <v>0.2068403909</v>
      </c>
      <c r="J1460" s="2">
        <v>114.0</v>
      </c>
      <c r="K1460" s="3">
        <f t="shared" si="4"/>
        <v>0.1856677524</v>
      </c>
      <c r="L1460" s="2">
        <v>82.0</v>
      </c>
      <c r="M1460" s="3">
        <f t="shared" si="5"/>
        <v>0.6456692913</v>
      </c>
      <c r="N1460" s="2">
        <v>764100.0</v>
      </c>
      <c r="O1460" s="4">
        <f t="shared" si="6"/>
        <v>6016.535433</v>
      </c>
      <c r="P1460" s="2">
        <v>0.0</v>
      </c>
      <c r="Q1460" s="3">
        <f t="shared" si="7"/>
        <v>0</v>
      </c>
      <c r="R1460" s="2">
        <v>59.0</v>
      </c>
      <c r="S1460" s="5">
        <f t="shared" si="8"/>
        <v>1</v>
      </c>
    </row>
    <row r="1461">
      <c r="A1461" s="2" t="s">
        <v>1472</v>
      </c>
      <c r="B1461" s="2">
        <v>288.0</v>
      </c>
      <c r="C1461" s="2">
        <v>3379.0</v>
      </c>
      <c r="D1461" s="2">
        <v>946.0</v>
      </c>
      <c r="E1461" s="3">
        <f t="shared" si="1"/>
        <v>0.3060498221</v>
      </c>
      <c r="F1461" s="2">
        <v>448.0</v>
      </c>
      <c r="G1461" s="3">
        <f t="shared" si="2"/>
        <v>0.1449369136</v>
      </c>
      <c r="H1461" s="2">
        <v>647.0</v>
      </c>
      <c r="I1461" s="3">
        <f t="shared" si="3"/>
        <v>0.209317373</v>
      </c>
      <c r="J1461" s="2">
        <v>547.0</v>
      </c>
      <c r="K1461" s="3">
        <f t="shared" si="4"/>
        <v>0.1769653834</v>
      </c>
      <c r="L1461" s="2">
        <v>358.0</v>
      </c>
      <c r="M1461" s="3">
        <f t="shared" si="5"/>
        <v>0.5533230294</v>
      </c>
      <c r="N1461" s="2">
        <v>3635000.0</v>
      </c>
      <c r="O1461" s="4">
        <f t="shared" si="6"/>
        <v>5618.238022</v>
      </c>
      <c r="P1461" s="2">
        <v>0.0</v>
      </c>
      <c r="Q1461" s="3">
        <f t="shared" si="7"/>
        <v>0</v>
      </c>
      <c r="R1461" s="2">
        <v>288.0</v>
      </c>
      <c r="S1461" s="5">
        <f t="shared" si="8"/>
        <v>1</v>
      </c>
    </row>
    <row r="1462">
      <c r="A1462" s="2" t="s">
        <v>1473</v>
      </c>
      <c r="B1462" s="2">
        <v>318.0</v>
      </c>
      <c r="C1462" s="2">
        <v>3623.0</v>
      </c>
      <c r="D1462" s="2">
        <v>1103.0</v>
      </c>
      <c r="E1462" s="3">
        <f t="shared" si="1"/>
        <v>0.3337367625</v>
      </c>
      <c r="F1462" s="2">
        <v>479.0</v>
      </c>
      <c r="G1462" s="3">
        <f t="shared" si="2"/>
        <v>0.1449319213</v>
      </c>
      <c r="H1462" s="2">
        <v>725.0</v>
      </c>
      <c r="I1462" s="3">
        <f t="shared" si="3"/>
        <v>0.2193645991</v>
      </c>
      <c r="J1462" s="2">
        <v>762.0</v>
      </c>
      <c r="K1462" s="3">
        <f t="shared" si="4"/>
        <v>0.2305597579</v>
      </c>
      <c r="L1462" s="2">
        <v>426.0</v>
      </c>
      <c r="M1462" s="3">
        <f t="shared" si="5"/>
        <v>0.5875862069</v>
      </c>
      <c r="N1462" s="2">
        <v>4430700.0</v>
      </c>
      <c r="O1462" s="4">
        <f t="shared" si="6"/>
        <v>6111.310345</v>
      </c>
      <c r="P1462" s="2">
        <v>3.0</v>
      </c>
      <c r="Q1462" s="3">
        <f t="shared" si="7"/>
        <v>0.009433962264</v>
      </c>
      <c r="R1462" s="2">
        <v>318.0</v>
      </c>
      <c r="S1462" s="5">
        <f t="shared" si="8"/>
        <v>1</v>
      </c>
    </row>
    <row r="1463">
      <c r="A1463" s="2" t="s">
        <v>1474</v>
      </c>
      <c r="B1463" s="2">
        <v>40.0</v>
      </c>
      <c r="C1463" s="2">
        <v>454.0</v>
      </c>
      <c r="D1463" s="2">
        <v>122.0</v>
      </c>
      <c r="E1463" s="3">
        <f t="shared" si="1"/>
        <v>0.2946859903</v>
      </c>
      <c r="F1463" s="2">
        <v>60.0</v>
      </c>
      <c r="G1463" s="3">
        <f t="shared" si="2"/>
        <v>0.1449275362</v>
      </c>
      <c r="H1463" s="2">
        <v>84.0</v>
      </c>
      <c r="I1463" s="3">
        <f t="shared" si="3"/>
        <v>0.2028985507</v>
      </c>
      <c r="J1463" s="2">
        <v>85.0</v>
      </c>
      <c r="K1463" s="3">
        <f t="shared" si="4"/>
        <v>0.2053140097</v>
      </c>
      <c r="L1463" s="2">
        <v>49.0</v>
      </c>
      <c r="M1463" s="3">
        <f t="shared" si="5"/>
        <v>0.5833333333</v>
      </c>
      <c r="N1463" s="2">
        <v>424700.0</v>
      </c>
      <c r="O1463" s="4">
        <f t="shared" si="6"/>
        <v>5055.952381</v>
      </c>
      <c r="P1463" s="2">
        <v>0.0</v>
      </c>
      <c r="Q1463" s="3">
        <f t="shared" si="7"/>
        <v>0</v>
      </c>
      <c r="R1463" s="2">
        <v>40.0</v>
      </c>
      <c r="S1463" s="5">
        <f t="shared" si="8"/>
        <v>1</v>
      </c>
    </row>
    <row r="1464">
      <c r="A1464" s="2" t="s">
        <v>1475</v>
      </c>
      <c r="B1464" s="2">
        <v>7.0</v>
      </c>
      <c r="C1464" s="2">
        <v>76.0</v>
      </c>
      <c r="D1464" s="2">
        <v>24.0</v>
      </c>
      <c r="E1464" s="3">
        <f t="shared" si="1"/>
        <v>0.347826087</v>
      </c>
      <c r="F1464" s="2">
        <v>10.0</v>
      </c>
      <c r="G1464" s="3">
        <f t="shared" si="2"/>
        <v>0.1449275362</v>
      </c>
      <c r="H1464" s="2">
        <v>10.0</v>
      </c>
      <c r="I1464" s="3">
        <f t="shared" si="3"/>
        <v>0.1449275362</v>
      </c>
      <c r="J1464" s="2">
        <v>14.0</v>
      </c>
      <c r="K1464" s="3">
        <f t="shared" si="4"/>
        <v>0.2028985507</v>
      </c>
      <c r="L1464" s="2">
        <v>6.0</v>
      </c>
      <c r="M1464" s="3">
        <f t="shared" si="5"/>
        <v>0.6</v>
      </c>
      <c r="N1464" s="2">
        <v>59000.0</v>
      </c>
      <c r="O1464" s="4">
        <f t="shared" si="6"/>
        <v>5900</v>
      </c>
      <c r="P1464" s="2">
        <v>0.0</v>
      </c>
      <c r="Q1464" s="3">
        <f t="shared" si="7"/>
        <v>0</v>
      </c>
      <c r="R1464" s="2">
        <v>7.0</v>
      </c>
      <c r="S1464" s="5">
        <f t="shared" si="8"/>
        <v>1</v>
      </c>
    </row>
    <row r="1465">
      <c r="A1465" s="2" t="s">
        <v>1476</v>
      </c>
      <c r="B1465" s="2">
        <v>287.0</v>
      </c>
      <c r="C1465" s="2">
        <v>3413.0</v>
      </c>
      <c r="D1465" s="2">
        <v>1134.0</v>
      </c>
      <c r="E1465" s="3">
        <f t="shared" si="1"/>
        <v>0.3627639155</v>
      </c>
      <c r="F1465" s="2">
        <v>453.0</v>
      </c>
      <c r="G1465" s="3">
        <f t="shared" si="2"/>
        <v>0.1449136276</v>
      </c>
      <c r="H1465" s="2">
        <v>713.0</v>
      </c>
      <c r="I1465" s="3">
        <f t="shared" si="3"/>
        <v>0.2280870122</v>
      </c>
      <c r="J1465" s="2">
        <v>526.0</v>
      </c>
      <c r="K1465" s="3">
        <f t="shared" si="4"/>
        <v>0.1682661548</v>
      </c>
      <c r="L1465" s="2">
        <v>421.0</v>
      </c>
      <c r="M1465" s="3">
        <f t="shared" si="5"/>
        <v>0.5904628331</v>
      </c>
      <c r="N1465" s="2">
        <v>3950000.0</v>
      </c>
      <c r="O1465" s="4">
        <f t="shared" si="6"/>
        <v>5539.97195</v>
      </c>
      <c r="P1465" s="2">
        <v>3.0</v>
      </c>
      <c r="Q1465" s="3">
        <f t="shared" si="7"/>
        <v>0.01045296167</v>
      </c>
      <c r="R1465" s="2">
        <v>287.0</v>
      </c>
      <c r="S1465" s="5">
        <f t="shared" si="8"/>
        <v>1</v>
      </c>
    </row>
    <row r="1466">
      <c r="A1466" s="2" t="s">
        <v>1477</v>
      </c>
      <c r="B1466" s="2">
        <v>221.0</v>
      </c>
      <c r="C1466" s="2">
        <v>2547.0</v>
      </c>
      <c r="D1466" s="2">
        <v>827.0</v>
      </c>
      <c r="E1466" s="3">
        <f t="shared" si="1"/>
        <v>0.3555460017</v>
      </c>
      <c r="F1466" s="2">
        <v>337.0</v>
      </c>
      <c r="G1466" s="3">
        <f t="shared" si="2"/>
        <v>0.1448839209</v>
      </c>
      <c r="H1466" s="2">
        <v>511.0</v>
      </c>
      <c r="I1466" s="3">
        <f t="shared" si="3"/>
        <v>0.2196904557</v>
      </c>
      <c r="J1466" s="2">
        <v>412.0</v>
      </c>
      <c r="K1466" s="3">
        <f t="shared" si="4"/>
        <v>0.1771281169</v>
      </c>
      <c r="L1466" s="2">
        <v>303.0</v>
      </c>
      <c r="M1466" s="3">
        <f t="shared" si="5"/>
        <v>0.5929549902</v>
      </c>
      <c r="N1466" s="2">
        <v>2932500.0</v>
      </c>
      <c r="O1466" s="4">
        <f t="shared" si="6"/>
        <v>5738.747554</v>
      </c>
      <c r="P1466" s="2">
        <v>0.0</v>
      </c>
      <c r="Q1466" s="3">
        <f t="shared" si="7"/>
        <v>0</v>
      </c>
      <c r="R1466" s="2">
        <v>111.0</v>
      </c>
      <c r="S1466" s="5">
        <f t="shared" si="8"/>
        <v>0.5022624434</v>
      </c>
    </row>
    <row r="1467">
      <c r="A1467" s="2" t="s">
        <v>1478</v>
      </c>
      <c r="B1467" s="2">
        <v>58.0</v>
      </c>
      <c r="C1467" s="2">
        <v>693.0</v>
      </c>
      <c r="D1467" s="2">
        <v>226.0</v>
      </c>
      <c r="E1467" s="3">
        <f t="shared" si="1"/>
        <v>0.3559055118</v>
      </c>
      <c r="F1467" s="2">
        <v>92.0</v>
      </c>
      <c r="G1467" s="3">
        <f t="shared" si="2"/>
        <v>0.1448818898</v>
      </c>
      <c r="H1467" s="2">
        <v>123.0</v>
      </c>
      <c r="I1467" s="3">
        <f t="shared" si="3"/>
        <v>0.1937007874</v>
      </c>
      <c r="J1467" s="2">
        <v>110.0</v>
      </c>
      <c r="K1467" s="3">
        <f t="shared" si="4"/>
        <v>0.1732283465</v>
      </c>
      <c r="L1467" s="2">
        <v>79.0</v>
      </c>
      <c r="M1467" s="3">
        <f t="shared" si="5"/>
        <v>0.6422764228</v>
      </c>
      <c r="N1467" s="2">
        <v>633300.0</v>
      </c>
      <c r="O1467" s="4">
        <f t="shared" si="6"/>
        <v>5148.780488</v>
      </c>
      <c r="P1467" s="2">
        <v>0.0</v>
      </c>
      <c r="Q1467" s="3">
        <f t="shared" si="7"/>
        <v>0</v>
      </c>
      <c r="R1467" s="2">
        <v>0.0</v>
      </c>
      <c r="S1467" s="5">
        <f t="shared" si="8"/>
        <v>0</v>
      </c>
    </row>
    <row r="1468">
      <c r="A1468" s="2" t="s">
        <v>1479</v>
      </c>
      <c r="B1468" s="2">
        <v>145.0</v>
      </c>
      <c r="C1468" s="2">
        <v>1698.0</v>
      </c>
      <c r="D1468" s="2">
        <v>621.0</v>
      </c>
      <c r="E1468" s="3">
        <f t="shared" si="1"/>
        <v>0.399871217</v>
      </c>
      <c r="F1468" s="2">
        <v>225.0</v>
      </c>
      <c r="G1468" s="3">
        <f t="shared" si="2"/>
        <v>0.1448808757</v>
      </c>
      <c r="H1468" s="2">
        <v>357.0</v>
      </c>
      <c r="I1468" s="3">
        <f t="shared" si="3"/>
        <v>0.2298776561</v>
      </c>
      <c r="J1468" s="2">
        <v>224.0</v>
      </c>
      <c r="K1468" s="3">
        <f t="shared" si="4"/>
        <v>0.1442369607</v>
      </c>
      <c r="L1468" s="2">
        <v>242.0</v>
      </c>
      <c r="M1468" s="3">
        <f t="shared" si="5"/>
        <v>0.6778711485</v>
      </c>
      <c r="N1468" s="2">
        <v>1738600.0</v>
      </c>
      <c r="O1468" s="4">
        <f t="shared" si="6"/>
        <v>4870.028011</v>
      </c>
      <c r="P1468" s="2">
        <v>0.0</v>
      </c>
      <c r="Q1468" s="3">
        <f t="shared" si="7"/>
        <v>0</v>
      </c>
      <c r="R1468" s="2">
        <v>145.0</v>
      </c>
      <c r="S1468" s="5">
        <f t="shared" si="8"/>
        <v>1</v>
      </c>
    </row>
    <row r="1469">
      <c r="A1469" s="2" t="s">
        <v>1480</v>
      </c>
      <c r="B1469" s="2">
        <v>56.0</v>
      </c>
      <c r="C1469" s="2">
        <v>622.0</v>
      </c>
      <c r="D1469" s="2">
        <v>229.0</v>
      </c>
      <c r="E1469" s="3">
        <f t="shared" si="1"/>
        <v>0.4045936396</v>
      </c>
      <c r="F1469" s="2">
        <v>82.0</v>
      </c>
      <c r="G1469" s="3">
        <f t="shared" si="2"/>
        <v>0.1448763251</v>
      </c>
      <c r="H1469" s="2">
        <v>126.0</v>
      </c>
      <c r="I1469" s="3">
        <f t="shared" si="3"/>
        <v>0.222614841</v>
      </c>
      <c r="J1469" s="2">
        <v>103.0</v>
      </c>
      <c r="K1469" s="3">
        <f t="shared" si="4"/>
        <v>0.1819787986</v>
      </c>
      <c r="L1469" s="2">
        <v>80.0</v>
      </c>
      <c r="M1469" s="3">
        <f t="shared" si="5"/>
        <v>0.6349206349</v>
      </c>
      <c r="N1469" s="2">
        <v>653000.0</v>
      </c>
      <c r="O1469" s="4">
        <f t="shared" si="6"/>
        <v>5182.539683</v>
      </c>
      <c r="P1469" s="2">
        <v>0.0</v>
      </c>
      <c r="Q1469" s="3">
        <f t="shared" si="7"/>
        <v>0</v>
      </c>
      <c r="R1469" s="2">
        <v>56.0</v>
      </c>
      <c r="S1469" s="5">
        <f t="shared" si="8"/>
        <v>1</v>
      </c>
    </row>
    <row r="1470">
      <c r="A1470" s="2" t="s">
        <v>1481</v>
      </c>
      <c r="B1470" s="2">
        <v>4166.0</v>
      </c>
      <c r="C1470" s="2">
        <v>48364.0</v>
      </c>
      <c r="D1470" s="2">
        <v>13100.0</v>
      </c>
      <c r="E1470" s="3">
        <f t="shared" si="1"/>
        <v>0.296393502</v>
      </c>
      <c r="F1470" s="2">
        <v>6403.0</v>
      </c>
      <c r="G1470" s="3">
        <f t="shared" si="2"/>
        <v>0.1448708086</v>
      </c>
      <c r="H1470" s="2">
        <v>9634.0</v>
      </c>
      <c r="I1470" s="3">
        <f t="shared" si="3"/>
        <v>0.217973664</v>
      </c>
      <c r="J1470" s="2">
        <v>7140.0</v>
      </c>
      <c r="K1470" s="3">
        <f t="shared" si="4"/>
        <v>0.1615457713</v>
      </c>
      <c r="L1470" s="2">
        <v>5870.0</v>
      </c>
      <c r="M1470" s="3">
        <f t="shared" si="5"/>
        <v>0.6093003944</v>
      </c>
      <c r="N1470" s="2">
        <v>5.43777E7</v>
      </c>
      <c r="O1470" s="4">
        <f t="shared" si="6"/>
        <v>5644.353332</v>
      </c>
      <c r="P1470" s="2">
        <v>12.0</v>
      </c>
      <c r="Q1470" s="3">
        <f t="shared" si="7"/>
        <v>0.002880460874</v>
      </c>
      <c r="R1470" s="2">
        <v>4166.0</v>
      </c>
      <c r="S1470" s="5">
        <f t="shared" si="8"/>
        <v>1</v>
      </c>
    </row>
    <row r="1471">
      <c r="A1471" s="2" t="s">
        <v>1482</v>
      </c>
      <c r="B1471" s="2">
        <v>185.0</v>
      </c>
      <c r="C1471" s="2">
        <v>2180.0</v>
      </c>
      <c r="D1471" s="2">
        <v>629.0</v>
      </c>
      <c r="E1471" s="3">
        <f t="shared" si="1"/>
        <v>0.3152882206</v>
      </c>
      <c r="F1471" s="2">
        <v>289.0</v>
      </c>
      <c r="G1471" s="3">
        <f t="shared" si="2"/>
        <v>0.1448621554</v>
      </c>
      <c r="H1471" s="2">
        <v>424.0</v>
      </c>
      <c r="I1471" s="3">
        <f t="shared" si="3"/>
        <v>0.2125313283</v>
      </c>
      <c r="J1471" s="2">
        <v>354.0</v>
      </c>
      <c r="K1471" s="3">
        <f t="shared" si="4"/>
        <v>0.177443609</v>
      </c>
      <c r="L1471" s="2">
        <v>253.0</v>
      </c>
      <c r="M1471" s="3">
        <f t="shared" si="5"/>
        <v>0.5966981132</v>
      </c>
      <c r="N1471" s="2">
        <v>2311000.0</v>
      </c>
      <c r="O1471" s="4">
        <f t="shared" si="6"/>
        <v>5450.471698</v>
      </c>
      <c r="P1471" s="2">
        <v>1.0</v>
      </c>
      <c r="Q1471" s="3">
        <f t="shared" si="7"/>
        <v>0.005405405405</v>
      </c>
      <c r="R1471" s="2">
        <v>185.0</v>
      </c>
      <c r="S1471" s="5">
        <f t="shared" si="8"/>
        <v>1</v>
      </c>
    </row>
    <row r="1472">
      <c r="A1472" s="2" t="s">
        <v>1483</v>
      </c>
      <c r="B1472" s="2">
        <v>257.0</v>
      </c>
      <c r="C1472" s="2">
        <v>3046.0</v>
      </c>
      <c r="D1472" s="2">
        <v>992.0</v>
      </c>
      <c r="E1472" s="3">
        <f t="shared" si="1"/>
        <v>0.3556830405</v>
      </c>
      <c r="F1472" s="2">
        <v>404.0</v>
      </c>
      <c r="G1472" s="3">
        <f t="shared" si="2"/>
        <v>0.1448547867</v>
      </c>
      <c r="H1472" s="2">
        <v>584.0</v>
      </c>
      <c r="I1472" s="3">
        <f t="shared" si="3"/>
        <v>0.209394048</v>
      </c>
      <c r="J1472" s="2">
        <v>567.0</v>
      </c>
      <c r="K1472" s="3">
        <f t="shared" si="4"/>
        <v>0.2032986734</v>
      </c>
      <c r="L1472" s="2">
        <v>355.0</v>
      </c>
      <c r="M1472" s="3">
        <f t="shared" si="5"/>
        <v>0.6078767123</v>
      </c>
      <c r="N1472" s="2">
        <v>3608300.0</v>
      </c>
      <c r="O1472" s="4">
        <f t="shared" si="6"/>
        <v>6178.59589</v>
      </c>
      <c r="P1472" s="2">
        <v>1.0</v>
      </c>
      <c r="Q1472" s="3">
        <f t="shared" si="7"/>
        <v>0.003891050584</v>
      </c>
      <c r="R1472" s="2">
        <v>257.0</v>
      </c>
      <c r="S1472" s="5">
        <f t="shared" si="8"/>
        <v>1</v>
      </c>
    </row>
    <row r="1473">
      <c r="A1473" s="2" t="s">
        <v>1484</v>
      </c>
      <c r="B1473" s="2">
        <v>2210.0</v>
      </c>
      <c r="C1473" s="2">
        <v>25663.0</v>
      </c>
      <c r="D1473" s="2">
        <v>8070.0</v>
      </c>
      <c r="E1473" s="3">
        <f t="shared" si="1"/>
        <v>0.3440924402</v>
      </c>
      <c r="F1473" s="2">
        <v>3397.0</v>
      </c>
      <c r="G1473" s="3">
        <f t="shared" si="2"/>
        <v>0.1448428772</v>
      </c>
      <c r="H1473" s="2">
        <v>5081.0</v>
      </c>
      <c r="I1473" s="3">
        <f t="shared" si="3"/>
        <v>0.2166460581</v>
      </c>
      <c r="J1473" s="2">
        <v>4295.0</v>
      </c>
      <c r="K1473" s="3">
        <f t="shared" si="4"/>
        <v>0.1831322219</v>
      </c>
      <c r="L1473" s="2">
        <v>3133.0</v>
      </c>
      <c r="M1473" s="3">
        <f t="shared" si="5"/>
        <v>0.6166109034</v>
      </c>
      <c r="N1473" s="2">
        <v>2.87337E7</v>
      </c>
      <c r="O1473" s="4">
        <f t="shared" si="6"/>
        <v>5655.126944</v>
      </c>
      <c r="P1473" s="2">
        <v>8.0</v>
      </c>
      <c r="Q1473" s="3">
        <f t="shared" si="7"/>
        <v>0.003619909502</v>
      </c>
      <c r="R1473" s="2">
        <v>2210.0</v>
      </c>
      <c r="S1473" s="5">
        <f t="shared" si="8"/>
        <v>1</v>
      </c>
    </row>
    <row r="1474">
      <c r="A1474" s="2" t="s">
        <v>1485</v>
      </c>
      <c r="B1474" s="2">
        <v>127.0</v>
      </c>
      <c r="C1474" s="2">
        <v>1425.0</v>
      </c>
      <c r="D1474" s="2">
        <v>269.0</v>
      </c>
      <c r="E1474" s="3">
        <f t="shared" si="1"/>
        <v>0.2072419106</v>
      </c>
      <c r="F1474" s="2">
        <v>188.0</v>
      </c>
      <c r="G1474" s="3">
        <f t="shared" si="2"/>
        <v>0.1448382126</v>
      </c>
      <c r="H1474" s="2">
        <v>235.0</v>
      </c>
      <c r="I1474" s="3">
        <f t="shared" si="3"/>
        <v>0.1810477658</v>
      </c>
      <c r="J1474" s="2">
        <v>227.0</v>
      </c>
      <c r="K1474" s="3">
        <f t="shared" si="4"/>
        <v>0.1748844376</v>
      </c>
      <c r="L1474" s="2">
        <v>136.0</v>
      </c>
      <c r="M1474" s="3">
        <f t="shared" si="5"/>
        <v>0.5787234043</v>
      </c>
      <c r="N1474" s="2">
        <v>1524500.0</v>
      </c>
      <c r="O1474" s="4">
        <f t="shared" si="6"/>
        <v>6487.234043</v>
      </c>
      <c r="P1474" s="2">
        <v>0.0</v>
      </c>
      <c r="Q1474" s="3">
        <f t="shared" si="7"/>
        <v>0</v>
      </c>
      <c r="R1474" s="2">
        <v>127.0</v>
      </c>
      <c r="S1474" s="5">
        <f t="shared" si="8"/>
        <v>1</v>
      </c>
    </row>
    <row r="1475">
      <c r="A1475" s="2" t="s">
        <v>1486</v>
      </c>
      <c r="B1475" s="2">
        <v>48.0</v>
      </c>
      <c r="C1475" s="2">
        <v>559.0</v>
      </c>
      <c r="D1475" s="2">
        <v>209.0</v>
      </c>
      <c r="E1475" s="3">
        <f t="shared" si="1"/>
        <v>0.4090019569</v>
      </c>
      <c r="F1475" s="2">
        <v>74.0</v>
      </c>
      <c r="G1475" s="3">
        <f t="shared" si="2"/>
        <v>0.14481409</v>
      </c>
      <c r="H1475" s="2">
        <v>117.0</v>
      </c>
      <c r="I1475" s="3">
        <f t="shared" si="3"/>
        <v>0.228962818</v>
      </c>
      <c r="J1475" s="2">
        <v>100.0</v>
      </c>
      <c r="K1475" s="3">
        <f t="shared" si="4"/>
        <v>0.1956947162</v>
      </c>
      <c r="L1475" s="2">
        <v>74.0</v>
      </c>
      <c r="M1475" s="3">
        <f t="shared" si="5"/>
        <v>0.6324786325</v>
      </c>
      <c r="N1475" s="2">
        <v>632200.0</v>
      </c>
      <c r="O1475" s="4">
        <f t="shared" si="6"/>
        <v>5403.418803</v>
      </c>
      <c r="P1475" s="2">
        <v>0.0</v>
      </c>
      <c r="Q1475" s="3">
        <f t="shared" si="7"/>
        <v>0</v>
      </c>
      <c r="R1475" s="2">
        <v>48.0</v>
      </c>
      <c r="S1475" s="5">
        <f t="shared" si="8"/>
        <v>1</v>
      </c>
    </row>
    <row r="1476">
      <c r="A1476" s="2" t="s">
        <v>1487</v>
      </c>
      <c r="B1476" s="2">
        <v>71.0</v>
      </c>
      <c r="C1476" s="2">
        <v>810.0</v>
      </c>
      <c r="D1476" s="2">
        <v>257.0</v>
      </c>
      <c r="E1476" s="3">
        <f t="shared" si="1"/>
        <v>0.347767253</v>
      </c>
      <c r="F1476" s="2">
        <v>107.0</v>
      </c>
      <c r="G1476" s="3">
        <f t="shared" si="2"/>
        <v>0.1447902571</v>
      </c>
      <c r="H1476" s="2">
        <v>132.0</v>
      </c>
      <c r="I1476" s="3">
        <f t="shared" si="3"/>
        <v>0.1786197564</v>
      </c>
      <c r="J1476" s="2">
        <v>125.0</v>
      </c>
      <c r="K1476" s="3">
        <f t="shared" si="4"/>
        <v>0.1691474966</v>
      </c>
      <c r="L1476" s="2">
        <v>78.0</v>
      </c>
      <c r="M1476" s="3">
        <f t="shared" si="5"/>
        <v>0.5909090909</v>
      </c>
      <c r="N1476" s="2">
        <v>800900.0</v>
      </c>
      <c r="O1476" s="4">
        <f t="shared" si="6"/>
        <v>6067.424242</v>
      </c>
      <c r="P1476" s="2">
        <v>0.0</v>
      </c>
      <c r="Q1476" s="3">
        <f t="shared" si="7"/>
        <v>0</v>
      </c>
      <c r="R1476" s="2">
        <v>71.0</v>
      </c>
      <c r="S1476" s="5">
        <f t="shared" si="8"/>
        <v>1</v>
      </c>
    </row>
    <row r="1477">
      <c r="A1477" s="2" t="s">
        <v>1488</v>
      </c>
      <c r="B1477" s="2">
        <v>76.0</v>
      </c>
      <c r="C1477" s="2">
        <v>891.0</v>
      </c>
      <c r="D1477" s="2">
        <v>250.0</v>
      </c>
      <c r="E1477" s="3">
        <f t="shared" si="1"/>
        <v>0.3067484663</v>
      </c>
      <c r="F1477" s="2">
        <v>118.0</v>
      </c>
      <c r="G1477" s="3">
        <f t="shared" si="2"/>
        <v>0.1447852761</v>
      </c>
      <c r="H1477" s="2">
        <v>162.0</v>
      </c>
      <c r="I1477" s="3">
        <f t="shared" si="3"/>
        <v>0.1987730061</v>
      </c>
      <c r="J1477" s="2">
        <v>124.0</v>
      </c>
      <c r="K1477" s="3">
        <f t="shared" si="4"/>
        <v>0.1521472393</v>
      </c>
      <c r="L1477" s="2">
        <v>100.0</v>
      </c>
      <c r="M1477" s="3">
        <f t="shared" si="5"/>
        <v>0.6172839506</v>
      </c>
      <c r="N1477" s="2">
        <v>822000.0</v>
      </c>
      <c r="O1477" s="4">
        <f t="shared" si="6"/>
        <v>5074.074074</v>
      </c>
      <c r="P1477" s="2">
        <v>0.0</v>
      </c>
      <c r="Q1477" s="3">
        <f t="shared" si="7"/>
        <v>0</v>
      </c>
      <c r="R1477" s="2">
        <v>76.0</v>
      </c>
      <c r="S1477" s="5">
        <f t="shared" si="8"/>
        <v>1</v>
      </c>
    </row>
    <row r="1478">
      <c r="A1478" s="2" t="s">
        <v>1489</v>
      </c>
      <c r="B1478" s="2">
        <v>133.0</v>
      </c>
      <c r="C1478" s="2">
        <v>1556.0</v>
      </c>
      <c r="D1478" s="2">
        <v>485.0</v>
      </c>
      <c r="E1478" s="3">
        <f t="shared" si="1"/>
        <v>0.340829234</v>
      </c>
      <c r="F1478" s="2">
        <v>206.0</v>
      </c>
      <c r="G1478" s="3">
        <f t="shared" si="2"/>
        <v>0.1447645819</v>
      </c>
      <c r="H1478" s="2">
        <v>314.0</v>
      </c>
      <c r="I1478" s="3">
        <f t="shared" si="3"/>
        <v>0.2206605762</v>
      </c>
      <c r="J1478" s="2">
        <v>256.0</v>
      </c>
      <c r="K1478" s="3">
        <f t="shared" si="4"/>
        <v>0.1799016163</v>
      </c>
      <c r="L1478" s="2">
        <v>187.0</v>
      </c>
      <c r="M1478" s="3">
        <f t="shared" si="5"/>
        <v>0.5955414013</v>
      </c>
      <c r="N1478" s="2">
        <v>1760500.0</v>
      </c>
      <c r="O1478" s="4">
        <f t="shared" si="6"/>
        <v>5606.687898</v>
      </c>
      <c r="P1478" s="2">
        <v>0.0</v>
      </c>
      <c r="Q1478" s="3">
        <f t="shared" si="7"/>
        <v>0</v>
      </c>
      <c r="R1478" s="2">
        <v>133.0</v>
      </c>
      <c r="S1478" s="5">
        <f t="shared" si="8"/>
        <v>1</v>
      </c>
    </row>
    <row r="1479">
      <c r="A1479" s="2" t="s">
        <v>1490</v>
      </c>
      <c r="B1479" s="2">
        <v>156.0</v>
      </c>
      <c r="C1479" s="2">
        <v>1807.0</v>
      </c>
      <c r="D1479" s="2">
        <v>553.0</v>
      </c>
      <c r="E1479" s="3">
        <f t="shared" si="1"/>
        <v>0.3349485161</v>
      </c>
      <c r="F1479" s="2">
        <v>239.0</v>
      </c>
      <c r="G1479" s="3">
        <f t="shared" si="2"/>
        <v>0.1447607511</v>
      </c>
      <c r="H1479" s="2">
        <v>323.0</v>
      </c>
      <c r="I1479" s="3">
        <f t="shared" si="3"/>
        <v>0.1956390067</v>
      </c>
      <c r="J1479" s="2">
        <v>247.0</v>
      </c>
      <c r="K1479" s="3">
        <f t="shared" si="4"/>
        <v>0.1496062992</v>
      </c>
      <c r="L1479" s="2">
        <v>208.0</v>
      </c>
      <c r="M1479" s="3">
        <f t="shared" si="5"/>
        <v>0.6439628483</v>
      </c>
      <c r="N1479" s="2">
        <v>1879400.0</v>
      </c>
      <c r="O1479" s="4">
        <f t="shared" si="6"/>
        <v>5818.575851</v>
      </c>
      <c r="P1479" s="2">
        <v>1.0</v>
      </c>
      <c r="Q1479" s="3">
        <f t="shared" si="7"/>
        <v>0.00641025641</v>
      </c>
      <c r="R1479" s="2">
        <v>156.0</v>
      </c>
      <c r="S1479" s="5">
        <f t="shared" si="8"/>
        <v>1</v>
      </c>
    </row>
    <row r="1480">
      <c r="A1480" s="2" t="s">
        <v>1491</v>
      </c>
      <c r="B1480" s="2">
        <v>7.0</v>
      </c>
      <c r="C1480" s="2">
        <v>83.0</v>
      </c>
      <c r="D1480" s="2">
        <v>29.0</v>
      </c>
      <c r="E1480" s="3">
        <f t="shared" si="1"/>
        <v>0.3815789474</v>
      </c>
      <c r="F1480" s="2">
        <v>11.0</v>
      </c>
      <c r="G1480" s="3">
        <f t="shared" si="2"/>
        <v>0.1447368421</v>
      </c>
      <c r="H1480" s="2">
        <v>18.0</v>
      </c>
      <c r="I1480" s="3">
        <f t="shared" si="3"/>
        <v>0.2368421053</v>
      </c>
      <c r="J1480" s="2">
        <v>12.0</v>
      </c>
      <c r="K1480" s="3">
        <f t="shared" si="4"/>
        <v>0.1578947368</v>
      </c>
      <c r="L1480" s="2">
        <v>12.0</v>
      </c>
      <c r="M1480" s="3">
        <f t="shared" si="5"/>
        <v>0.6666666667</v>
      </c>
      <c r="N1480" s="2">
        <v>77600.0</v>
      </c>
      <c r="O1480" s="4">
        <f t="shared" si="6"/>
        <v>4311.111111</v>
      </c>
      <c r="P1480" s="2">
        <v>0.0</v>
      </c>
      <c r="Q1480" s="3">
        <f t="shared" si="7"/>
        <v>0</v>
      </c>
      <c r="R1480" s="2">
        <v>7.0</v>
      </c>
      <c r="S1480" s="5">
        <f t="shared" si="8"/>
        <v>1</v>
      </c>
    </row>
    <row r="1481">
      <c r="A1481" s="2" t="s">
        <v>1492</v>
      </c>
      <c r="B1481" s="2">
        <v>1225.0</v>
      </c>
      <c r="C1481" s="2">
        <v>14458.0</v>
      </c>
      <c r="D1481" s="2">
        <v>5277.0</v>
      </c>
      <c r="E1481" s="3">
        <f t="shared" si="1"/>
        <v>0.3987757878</v>
      </c>
      <c r="F1481" s="2">
        <v>1915.0</v>
      </c>
      <c r="G1481" s="3">
        <f t="shared" si="2"/>
        <v>0.1447139726</v>
      </c>
      <c r="H1481" s="2">
        <v>2837.0</v>
      </c>
      <c r="I1481" s="3">
        <f t="shared" si="3"/>
        <v>0.2143882717</v>
      </c>
      <c r="J1481" s="2">
        <v>1853.0</v>
      </c>
      <c r="K1481" s="3">
        <f t="shared" si="4"/>
        <v>0.1400287161</v>
      </c>
      <c r="L1481" s="2">
        <v>1748.0</v>
      </c>
      <c r="M1481" s="3">
        <f t="shared" si="5"/>
        <v>0.6161438139</v>
      </c>
      <c r="N1481" s="2">
        <v>1.55401E7</v>
      </c>
      <c r="O1481" s="4">
        <f t="shared" si="6"/>
        <v>5477.65245</v>
      </c>
      <c r="P1481" s="2">
        <v>5.0</v>
      </c>
      <c r="Q1481" s="3">
        <f t="shared" si="7"/>
        <v>0.004081632653</v>
      </c>
      <c r="R1481" s="2">
        <v>1225.0</v>
      </c>
      <c r="S1481" s="5">
        <f t="shared" si="8"/>
        <v>1</v>
      </c>
    </row>
    <row r="1482">
      <c r="A1482" s="2" t="s">
        <v>1493</v>
      </c>
      <c r="B1482" s="2">
        <v>73.0</v>
      </c>
      <c r="C1482" s="2">
        <v>847.0</v>
      </c>
      <c r="D1482" s="2">
        <v>323.0</v>
      </c>
      <c r="E1482" s="3">
        <f t="shared" si="1"/>
        <v>0.4173126615</v>
      </c>
      <c r="F1482" s="2">
        <v>112.0</v>
      </c>
      <c r="G1482" s="3">
        <f t="shared" si="2"/>
        <v>0.1447028424</v>
      </c>
      <c r="H1482" s="2">
        <v>150.0</v>
      </c>
      <c r="I1482" s="3">
        <f t="shared" si="3"/>
        <v>0.1937984496</v>
      </c>
      <c r="J1482" s="2">
        <v>104.0</v>
      </c>
      <c r="K1482" s="3">
        <f t="shared" si="4"/>
        <v>0.1343669251</v>
      </c>
      <c r="L1482" s="2">
        <v>85.0</v>
      </c>
      <c r="M1482" s="3">
        <f t="shared" si="5"/>
        <v>0.5666666667</v>
      </c>
      <c r="N1482" s="2">
        <v>842000.0</v>
      </c>
      <c r="O1482" s="4">
        <f t="shared" si="6"/>
        <v>5613.333333</v>
      </c>
      <c r="P1482" s="2">
        <v>0.0</v>
      </c>
      <c r="Q1482" s="3">
        <f t="shared" si="7"/>
        <v>0</v>
      </c>
      <c r="R1482" s="2">
        <v>73.0</v>
      </c>
      <c r="S1482" s="5">
        <f t="shared" si="8"/>
        <v>1</v>
      </c>
    </row>
    <row r="1483">
      <c r="A1483" s="2" t="s">
        <v>1494</v>
      </c>
      <c r="B1483" s="2">
        <v>436.0</v>
      </c>
      <c r="C1483" s="2">
        <v>5094.0</v>
      </c>
      <c r="D1483" s="2">
        <v>1826.0</v>
      </c>
      <c r="E1483" s="3">
        <f t="shared" si="1"/>
        <v>0.3920137398</v>
      </c>
      <c r="F1483" s="2">
        <v>674.0</v>
      </c>
      <c r="G1483" s="3">
        <f t="shared" si="2"/>
        <v>0.144697295</v>
      </c>
      <c r="H1483" s="2">
        <v>1076.0</v>
      </c>
      <c r="I1483" s="3">
        <f t="shared" si="3"/>
        <v>0.2310004294</v>
      </c>
      <c r="J1483" s="2">
        <v>838.0</v>
      </c>
      <c r="K1483" s="3">
        <f t="shared" si="4"/>
        <v>0.1799055389</v>
      </c>
      <c r="L1483" s="2">
        <v>645.0</v>
      </c>
      <c r="M1483" s="3">
        <f t="shared" si="5"/>
        <v>0.5994423792</v>
      </c>
      <c r="N1483" s="2">
        <v>5690200.0</v>
      </c>
      <c r="O1483" s="4">
        <f t="shared" si="6"/>
        <v>5288.289963</v>
      </c>
      <c r="P1483" s="2">
        <v>1.0</v>
      </c>
      <c r="Q1483" s="3">
        <f t="shared" si="7"/>
        <v>0.002293577982</v>
      </c>
      <c r="R1483" s="2">
        <v>343.0</v>
      </c>
      <c r="S1483" s="5">
        <f t="shared" si="8"/>
        <v>0.7866972477</v>
      </c>
    </row>
    <row r="1484">
      <c r="A1484" s="2" t="s">
        <v>1495</v>
      </c>
      <c r="B1484" s="2">
        <v>3296.0</v>
      </c>
      <c r="C1484" s="2">
        <v>38729.0</v>
      </c>
      <c r="D1484" s="2">
        <v>11508.0</v>
      </c>
      <c r="E1484" s="3">
        <f t="shared" si="1"/>
        <v>0.3247819829</v>
      </c>
      <c r="F1484" s="2">
        <v>5127.0</v>
      </c>
      <c r="G1484" s="3">
        <f t="shared" si="2"/>
        <v>0.1446956227</v>
      </c>
      <c r="H1484" s="2">
        <v>7655.0</v>
      </c>
      <c r="I1484" s="3">
        <f t="shared" si="3"/>
        <v>0.2160415432</v>
      </c>
      <c r="J1484" s="2">
        <v>6138.0</v>
      </c>
      <c r="K1484" s="3">
        <f t="shared" si="4"/>
        <v>0.1732283465</v>
      </c>
      <c r="L1484" s="2">
        <v>4623.0</v>
      </c>
      <c r="M1484" s="3">
        <f t="shared" si="5"/>
        <v>0.6039190072</v>
      </c>
      <c r="N1484" s="2">
        <v>4.63094E7</v>
      </c>
      <c r="O1484" s="4">
        <f t="shared" si="6"/>
        <v>6049.562378</v>
      </c>
      <c r="P1484" s="2">
        <v>14.0</v>
      </c>
      <c r="Q1484" s="3">
        <f t="shared" si="7"/>
        <v>0.004247572816</v>
      </c>
      <c r="R1484" s="2">
        <v>3296.0</v>
      </c>
      <c r="S1484" s="5">
        <f t="shared" si="8"/>
        <v>1</v>
      </c>
    </row>
    <row r="1485">
      <c r="A1485" s="2" t="s">
        <v>1496</v>
      </c>
      <c r="B1485" s="2">
        <v>30.0</v>
      </c>
      <c r="C1485" s="2">
        <v>341.0</v>
      </c>
      <c r="D1485" s="2">
        <v>133.0</v>
      </c>
      <c r="E1485" s="3">
        <f t="shared" si="1"/>
        <v>0.4276527331</v>
      </c>
      <c r="F1485" s="2">
        <v>45.0</v>
      </c>
      <c r="G1485" s="3">
        <f t="shared" si="2"/>
        <v>0.1446945338</v>
      </c>
      <c r="H1485" s="2">
        <v>69.0</v>
      </c>
      <c r="I1485" s="3">
        <f t="shared" si="3"/>
        <v>0.2218649518</v>
      </c>
      <c r="J1485" s="2">
        <v>71.0</v>
      </c>
      <c r="K1485" s="3">
        <f t="shared" si="4"/>
        <v>0.2282958199</v>
      </c>
      <c r="L1485" s="2">
        <v>39.0</v>
      </c>
      <c r="M1485" s="3">
        <f t="shared" si="5"/>
        <v>0.5652173913</v>
      </c>
      <c r="N1485" s="2">
        <v>425900.0</v>
      </c>
      <c r="O1485" s="4">
        <f t="shared" si="6"/>
        <v>6172.463768</v>
      </c>
      <c r="P1485" s="2">
        <v>0.0</v>
      </c>
      <c r="Q1485" s="3">
        <f t="shared" si="7"/>
        <v>0</v>
      </c>
      <c r="R1485" s="2">
        <v>0.0</v>
      </c>
      <c r="S1485" s="5">
        <f t="shared" si="8"/>
        <v>0</v>
      </c>
    </row>
    <row r="1486">
      <c r="A1486" s="2" t="s">
        <v>1497</v>
      </c>
      <c r="B1486" s="2">
        <v>68.0</v>
      </c>
      <c r="C1486" s="2">
        <v>773.0</v>
      </c>
      <c r="D1486" s="2">
        <v>287.0</v>
      </c>
      <c r="E1486" s="3">
        <f t="shared" si="1"/>
        <v>0.4070921986</v>
      </c>
      <c r="F1486" s="2">
        <v>102.0</v>
      </c>
      <c r="G1486" s="3">
        <f t="shared" si="2"/>
        <v>0.1446808511</v>
      </c>
      <c r="H1486" s="2">
        <v>138.0</v>
      </c>
      <c r="I1486" s="3">
        <f t="shared" si="3"/>
        <v>0.1957446809</v>
      </c>
      <c r="J1486" s="2">
        <v>124.0</v>
      </c>
      <c r="K1486" s="3">
        <f t="shared" si="4"/>
        <v>0.1758865248</v>
      </c>
      <c r="L1486" s="2">
        <v>81.0</v>
      </c>
      <c r="M1486" s="3">
        <f t="shared" si="5"/>
        <v>0.5869565217</v>
      </c>
      <c r="N1486" s="2">
        <v>721700.0</v>
      </c>
      <c r="O1486" s="4">
        <f t="shared" si="6"/>
        <v>5229.710145</v>
      </c>
      <c r="P1486" s="2">
        <v>0.0</v>
      </c>
      <c r="Q1486" s="3">
        <f t="shared" si="7"/>
        <v>0</v>
      </c>
      <c r="R1486" s="2">
        <v>68.0</v>
      </c>
      <c r="S1486" s="5">
        <f t="shared" si="8"/>
        <v>1</v>
      </c>
    </row>
    <row r="1487">
      <c r="A1487" s="2" t="s">
        <v>1498</v>
      </c>
      <c r="B1487" s="2">
        <v>58.0</v>
      </c>
      <c r="C1487" s="2">
        <v>687.0</v>
      </c>
      <c r="D1487" s="2">
        <v>185.0</v>
      </c>
      <c r="E1487" s="3">
        <f t="shared" si="1"/>
        <v>0.2941176471</v>
      </c>
      <c r="F1487" s="2">
        <v>91.0</v>
      </c>
      <c r="G1487" s="3">
        <f t="shared" si="2"/>
        <v>0.1446740859</v>
      </c>
      <c r="H1487" s="2">
        <v>123.0</v>
      </c>
      <c r="I1487" s="3">
        <f t="shared" si="3"/>
        <v>0.1955484897</v>
      </c>
      <c r="J1487" s="2">
        <v>102.0</v>
      </c>
      <c r="K1487" s="3">
        <f t="shared" si="4"/>
        <v>0.1621621622</v>
      </c>
      <c r="L1487" s="2">
        <v>73.0</v>
      </c>
      <c r="M1487" s="3">
        <f t="shared" si="5"/>
        <v>0.593495935</v>
      </c>
      <c r="N1487" s="2">
        <v>764100.0</v>
      </c>
      <c r="O1487" s="4">
        <f t="shared" si="6"/>
        <v>6212.195122</v>
      </c>
      <c r="P1487" s="2">
        <v>1.0</v>
      </c>
      <c r="Q1487" s="3">
        <f t="shared" si="7"/>
        <v>0.01724137931</v>
      </c>
      <c r="R1487" s="2">
        <v>58.0</v>
      </c>
      <c r="S1487" s="5">
        <f t="shared" si="8"/>
        <v>1</v>
      </c>
    </row>
    <row r="1488">
      <c r="A1488" s="2" t="s">
        <v>1499</v>
      </c>
      <c r="B1488" s="2">
        <v>355.0</v>
      </c>
      <c r="C1488" s="2">
        <v>4143.0</v>
      </c>
      <c r="D1488" s="2">
        <v>1176.0</v>
      </c>
      <c r="E1488" s="3">
        <f t="shared" si="1"/>
        <v>0.3104540655</v>
      </c>
      <c r="F1488" s="2">
        <v>548.0</v>
      </c>
      <c r="G1488" s="3">
        <f t="shared" si="2"/>
        <v>0.1446673706</v>
      </c>
      <c r="H1488" s="2">
        <v>774.0</v>
      </c>
      <c r="I1488" s="3">
        <f t="shared" si="3"/>
        <v>0.2043294615</v>
      </c>
      <c r="J1488" s="2">
        <v>642.0</v>
      </c>
      <c r="K1488" s="3">
        <f t="shared" si="4"/>
        <v>0.1694825766</v>
      </c>
      <c r="L1488" s="2">
        <v>460.0</v>
      </c>
      <c r="M1488" s="3">
        <f t="shared" si="5"/>
        <v>0.5943152455</v>
      </c>
      <c r="N1488" s="2">
        <v>4523900.0</v>
      </c>
      <c r="O1488" s="4">
        <f t="shared" si="6"/>
        <v>5844.832041</v>
      </c>
      <c r="P1488" s="2">
        <v>4.0</v>
      </c>
      <c r="Q1488" s="3">
        <f t="shared" si="7"/>
        <v>0.01126760563</v>
      </c>
      <c r="R1488" s="2">
        <v>355.0</v>
      </c>
      <c r="S1488" s="5">
        <f t="shared" si="8"/>
        <v>1</v>
      </c>
    </row>
    <row r="1489">
      <c r="A1489" s="2" t="s">
        <v>1500</v>
      </c>
      <c r="B1489" s="2">
        <v>212.0</v>
      </c>
      <c r="C1489" s="2">
        <v>2507.0</v>
      </c>
      <c r="D1489" s="2">
        <v>754.0</v>
      </c>
      <c r="E1489" s="3">
        <f t="shared" si="1"/>
        <v>0.328540305</v>
      </c>
      <c r="F1489" s="2">
        <v>332.0</v>
      </c>
      <c r="G1489" s="3">
        <f t="shared" si="2"/>
        <v>0.1446623094</v>
      </c>
      <c r="H1489" s="2">
        <v>454.0</v>
      </c>
      <c r="I1489" s="3">
        <f t="shared" si="3"/>
        <v>0.1978213508</v>
      </c>
      <c r="J1489" s="2">
        <v>430.0</v>
      </c>
      <c r="K1489" s="3">
        <f t="shared" si="4"/>
        <v>0.1873638344</v>
      </c>
      <c r="L1489" s="2">
        <v>255.0</v>
      </c>
      <c r="M1489" s="3">
        <f t="shared" si="5"/>
        <v>0.5616740088</v>
      </c>
      <c r="N1489" s="2">
        <v>2641300.0</v>
      </c>
      <c r="O1489" s="4">
        <f t="shared" si="6"/>
        <v>5817.84141</v>
      </c>
      <c r="P1489" s="2">
        <v>1.0</v>
      </c>
      <c r="Q1489" s="3">
        <f t="shared" si="7"/>
        <v>0.004716981132</v>
      </c>
      <c r="R1489" s="2">
        <v>212.0</v>
      </c>
      <c r="S1489" s="5">
        <f t="shared" si="8"/>
        <v>1</v>
      </c>
    </row>
    <row r="1490">
      <c r="A1490" s="2" t="s">
        <v>1501</v>
      </c>
      <c r="B1490" s="2">
        <v>721.0</v>
      </c>
      <c r="C1490" s="2">
        <v>8464.0</v>
      </c>
      <c r="D1490" s="2">
        <v>3067.0</v>
      </c>
      <c r="E1490" s="3">
        <f t="shared" si="1"/>
        <v>0.396099703</v>
      </c>
      <c r="F1490" s="2">
        <v>1120.0</v>
      </c>
      <c r="G1490" s="3">
        <f t="shared" si="2"/>
        <v>0.1446467777</v>
      </c>
      <c r="H1490" s="2">
        <v>1629.0</v>
      </c>
      <c r="I1490" s="3">
        <f t="shared" si="3"/>
        <v>0.2103835723</v>
      </c>
      <c r="J1490" s="2">
        <v>1254.0</v>
      </c>
      <c r="K1490" s="3">
        <f t="shared" si="4"/>
        <v>0.1619527315</v>
      </c>
      <c r="L1490" s="2">
        <v>977.0</v>
      </c>
      <c r="M1490" s="3">
        <f t="shared" si="5"/>
        <v>0.5997544506</v>
      </c>
      <c r="N1490" s="2">
        <v>8978900.0</v>
      </c>
      <c r="O1490" s="4">
        <f t="shared" si="6"/>
        <v>5511.909147</v>
      </c>
      <c r="P1490" s="2">
        <v>1.0</v>
      </c>
      <c r="Q1490" s="3">
        <f t="shared" si="7"/>
        <v>0.001386962552</v>
      </c>
      <c r="R1490" s="2">
        <v>721.0</v>
      </c>
      <c r="S1490" s="5">
        <f t="shared" si="8"/>
        <v>1</v>
      </c>
    </row>
    <row r="1491">
      <c r="A1491" s="2" t="s">
        <v>1502</v>
      </c>
      <c r="B1491" s="2">
        <v>225.0</v>
      </c>
      <c r="C1491" s="2">
        <v>2707.0</v>
      </c>
      <c r="D1491" s="2">
        <v>862.0</v>
      </c>
      <c r="E1491" s="3">
        <f t="shared" si="1"/>
        <v>0.3473005641</v>
      </c>
      <c r="F1491" s="2">
        <v>359.0</v>
      </c>
      <c r="G1491" s="3">
        <f t="shared" si="2"/>
        <v>0.1446414182</v>
      </c>
      <c r="H1491" s="2">
        <v>488.0</v>
      </c>
      <c r="I1491" s="3">
        <f t="shared" si="3"/>
        <v>0.1966156326</v>
      </c>
      <c r="J1491" s="2">
        <v>374.0</v>
      </c>
      <c r="K1491" s="3">
        <f t="shared" si="4"/>
        <v>0.1506849315</v>
      </c>
      <c r="L1491" s="2">
        <v>290.0</v>
      </c>
      <c r="M1491" s="3">
        <f t="shared" si="5"/>
        <v>0.5942622951</v>
      </c>
      <c r="N1491" s="2">
        <v>2582000.0</v>
      </c>
      <c r="O1491" s="4">
        <f t="shared" si="6"/>
        <v>5290.983607</v>
      </c>
      <c r="P1491" s="2">
        <v>1.0</v>
      </c>
      <c r="Q1491" s="3">
        <f t="shared" si="7"/>
        <v>0.004444444444</v>
      </c>
      <c r="R1491" s="2">
        <v>225.0</v>
      </c>
      <c r="S1491" s="5">
        <f t="shared" si="8"/>
        <v>1</v>
      </c>
    </row>
    <row r="1492">
      <c r="A1492" s="2" t="s">
        <v>1503</v>
      </c>
      <c r="B1492" s="2">
        <v>274.0</v>
      </c>
      <c r="C1492" s="2">
        <v>3164.0</v>
      </c>
      <c r="D1492" s="2">
        <v>1089.0</v>
      </c>
      <c r="E1492" s="3">
        <f t="shared" si="1"/>
        <v>0.376816609</v>
      </c>
      <c r="F1492" s="2">
        <v>418.0</v>
      </c>
      <c r="G1492" s="3">
        <f t="shared" si="2"/>
        <v>0.1446366782</v>
      </c>
      <c r="H1492" s="2">
        <v>671.0</v>
      </c>
      <c r="I1492" s="3">
        <f t="shared" si="3"/>
        <v>0.2321799308</v>
      </c>
      <c r="J1492" s="2">
        <v>580.0</v>
      </c>
      <c r="K1492" s="3">
        <f t="shared" si="4"/>
        <v>0.2006920415</v>
      </c>
      <c r="L1492" s="2">
        <v>422.0</v>
      </c>
      <c r="M1492" s="3">
        <f t="shared" si="5"/>
        <v>0.6289120715</v>
      </c>
      <c r="N1492" s="2">
        <v>3712300.0</v>
      </c>
      <c r="O1492" s="4">
        <f t="shared" si="6"/>
        <v>5532.488823</v>
      </c>
      <c r="P1492" s="2">
        <v>1.0</v>
      </c>
      <c r="Q1492" s="3">
        <f t="shared" si="7"/>
        <v>0.003649635036</v>
      </c>
      <c r="R1492" s="2">
        <v>274.0</v>
      </c>
      <c r="S1492" s="5">
        <f t="shared" si="8"/>
        <v>1</v>
      </c>
    </row>
    <row r="1493">
      <c r="A1493" s="2" t="s">
        <v>1504</v>
      </c>
      <c r="B1493" s="2">
        <v>127.0</v>
      </c>
      <c r="C1493" s="2">
        <v>1503.0</v>
      </c>
      <c r="D1493" s="2">
        <v>457.0</v>
      </c>
      <c r="E1493" s="3">
        <f t="shared" si="1"/>
        <v>0.332122093</v>
      </c>
      <c r="F1493" s="2">
        <v>199.0</v>
      </c>
      <c r="G1493" s="3">
        <f t="shared" si="2"/>
        <v>0.144622093</v>
      </c>
      <c r="H1493" s="2">
        <v>286.0</v>
      </c>
      <c r="I1493" s="3">
        <f t="shared" si="3"/>
        <v>0.2078488372</v>
      </c>
      <c r="J1493" s="2">
        <v>266.0</v>
      </c>
      <c r="K1493" s="3">
        <f t="shared" si="4"/>
        <v>0.1933139535</v>
      </c>
      <c r="L1493" s="2">
        <v>153.0</v>
      </c>
      <c r="M1493" s="3">
        <f t="shared" si="5"/>
        <v>0.534965035</v>
      </c>
      <c r="N1493" s="2">
        <v>1631500.0</v>
      </c>
      <c r="O1493" s="4">
        <f t="shared" si="6"/>
        <v>5704.545455</v>
      </c>
      <c r="P1493" s="2">
        <v>1.0</v>
      </c>
      <c r="Q1493" s="3">
        <f t="shared" si="7"/>
        <v>0.007874015748</v>
      </c>
      <c r="R1493" s="2">
        <v>127.0</v>
      </c>
      <c r="S1493" s="5">
        <f t="shared" si="8"/>
        <v>1</v>
      </c>
    </row>
    <row r="1494">
      <c r="A1494" s="2" t="s">
        <v>1505</v>
      </c>
      <c r="B1494" s="2">
        <v>664.0</v>
      </c>
      <c r="C1494" s="2">
        <v>7863.0</v>
      </c>
      <c r="D1494" s="2">
        <v>2433.0</v>
      </c>
      <c r="E1494" s="3">
        <f t="shared" si="1"/>
        <v>0.3379636061</v>
      </c>
      <c r="F1494" s="2">
        <v>1041.0</v>
      </c>
      <c r="G1494" s="3">
        <f t="shared" si="2"/>
        <v>0.1446034171</v>
      </c>
      <c r="H1494" s="2">
        <v>1646.0</v>
      </c>
      <c r="I1494" s="3">
        <f t="shared" si="3"/>
        <v>0.2286428671</v>
      </c>
      <c r="J1494" s="2">
        <v>1400.0</v>
      </c>
      <c r="K1494" s="3">
        <f t="shared" si="4"/>
        <v>0.1944714544</v>
      </c>
      <c r="L1494" s="2">
        <v>1017.0</v>
      </c>
      <c r="M1494" s="3">
        <f t="shared" si="5"/>
        <v>0.6178614824</v>
      </c>
      <c r="N1494" s="2">
        <v>8760100.0</v>
      </c>
      <c r="O1494" s="4">
        <f t="shared" si="6"/>
        <v>5322.053463</v>
      </c>
      <c r="P1494" s="2">
        <v>0.0</v>
      </c>
      <c r="Q1494" s="3">
        <f t="shared" si="7"/>
        <v>0</v>
      </c>
      <c r="R1494" s="2">
        <v>664.0</v>
      </c>
      <c r="S1494" s="5">
        <f t="shared" si="8"/>
        <v>1</v>
      </c>
    </row>
    <row r="1495">
      <c r="A1495" s="2" t="s">
        <v>1506</v>
      </c>
      <c r="B1495" s="2">
        <v>269.0</v>
      </c>
      <c r="C1495" s="2">
        <v>3139.0</v>
      </c>
      <c r="D1495" s="2">
        <v>960.0</v>
      </c>
      <c r="E1495" s="3">
        <f t="shared" si="1"/>
        <v>0.3344947735</v>
      </c>
      <c r="F1495" s="2">
        <v>415.0</v>
      </c>
      <c r="G1495" s="3">
        <f t="shared" si="2"/>
        <v>0.1445993031</v>
      </c>
      <c r="H1495" s="2">
        <v>597.0</v>
      </c>
      <c r="I1495" s="3">
        <f t="shared" si="3"/>
        <v>0.2080139373</v>
      </c>
      <c r="J1495" s="2">
        <v>502.0</v>
      </c>
      <c r="K1495" s="3">
        <f t="shared" si="4"/>
        <v>0.174912892</v>
      </c>
      <c r="L1495" s="2">
        <v>355.0</v>
      </c>
      <c r="M1495" s="3">
        <f t="shared" si="5"/>
        <v>0.594639866</v>
      </c>
      <c r="N1495" s="2">
        <v>3422800.0</v>
      </c>
      <c r="O1495" s="4">
        <f t="shared" si="6"/>
        <v>5733.333333</v>
      </c>
      <c r="P1495" s="2">
        <v>0.0</v>
      </c>
      <c r="Q1495" s="3">
        <f t="shared" si="7"/>
        <v>0</v>
      </c>
      <c r="R1495" s="2">
        <v>269.0</v>
      </c>
      <c r="S1495" s="5">
        <f t="shared" si="8"/>
        <v>1</v>
      </c>
    </row>
    <row r="1496">
      <c r="A1496" s="2" t="s">
        <v>1507</v>
      </c>
      <c r="B1496" s="2">
        <v>215.0</v>
      </c>
      <c r="C1496" s="2">
        <v>2546.0</v>
      </c>
      <c r="D1496" s="2">
        <v>831.0</v>
      </c>
      <c r="E1496" s="3">
        <f t="shared" si="1"/>
        <v>0.3564993565</v>
      </c>
      <c r="F1496" s="2">
        <v>337.0</v>
      </c>
      <c r="G1496" s="3">
        <f t="shared" si="2"/>
        <v>0.1445731446</v>
      </c>
      <c r="H1496" s="2">
        <v>480.0</v>
      </c>
      <c r="I1496" s="3">
        <f t="shared" si="3"/>
        <v>0.2059202059</v>
      </c>
      <c r="J1496" s="2">
        <v>408.0</v>
      </c>
      <c r="K1496" s="3">
        <f t="shared" si="4"/>
        <v>0.175032175</v>
      </c>
      <c r="L1496" s="2">
        <v>283.0</v>
      </c>
      <c r="M1496" s="3">
        <f t="shared" si="5"/>
        <v>0.5895833333</v>
      </c>
      <c r="N1496" s="2">
        <v>2662500.0</v>
      </c>
      <c r="O1496" s="4">
        <f t="shared" si="6"/>
        <v>5546.875</v>
      </c>
      <c r="P1496" s="2">
        <v>0.0</v>
      </c>
      <c r="Q1496" s="3">
        <f t="shared" si="7"/>
        <v>0</v>
      </c>
      <c r="R1496" s="2">
        <v>215.0</v>
      </c>
      <c r="S1496" s="5">
        <f t="shared" si="8"/>
        <v>1</v>
      </c>
    </row>
    <row r="1497">
      <c r="A1497" s="2" t="s">
        <v>1508</v>
      </c>
      <c r="B1497" s="2">
        <v>348.0</v>
      </c>
      <c r="C1497" s="2">
        <v>3966.0</v>
      </c>
      <c r="D1497" s="2">
        <v>1369.0</v>
      </c>
      <c r="E1497" s="3">
        <f t="shared" si="1"/>
        <v>0.3783858485</v>
      </c>
      <c r="F1497" s="2">
        <v>523.0</v>
      </c>
      <c r="G1497" s="3">
        <f t="shared" si="2"/>
        <v>0.1445550028</v>
      </c>
      <c r="H1497" s="2">
        <v>786.0</v>
      </c>
      <c r="I1497" s="3">
        <f t="shared" si="3"/>
        <v>0.2172470978</v>
      </c>
      <c r="J1497" s="2">
        <v>683.0</v>
      </c>
      <c r="K1497" s="3">
        <f t="shared" si="4"/>
        <v>0.1887783306</v>
      </c>
      <c r="L1497" s="2">
        <v>475.0</v>
      </c>
      <c r="M1497" s="3">
        <f t="shared" si="5"/>
        <v>0.6043256997</v>
      </c>
      <c r="N1497" s="2">
        <v>4503900.0</v>
      </c>
      <c r="O1497" s="4">
        <f t="shared" si="6"/>
        <v>5730.152672</v>
      </c>
      <c r="P1497" s="2">
        <v>0.0</v>
      </c>
      <c r="Q1497" s="3">
        <f t="shared" si="7"/>
        <v>0</v>
      </c>
      <c r="R1497" s="2">
        <v>229.0</v>
      </c>
      <c r="S1497" s="5">
        <f t="shared" si="8"/>
        <v>0.658045977</v>
      </c>
    </row>
    <row r="1498">
      <c r="A1498" s="2" t="s">
        <v>1509</v>
      </c>
      <c r="B1498" s="2">
        <v>124.0</v>
      </c>
      <c r="C1498" s="2">
        <v>1473.0</v>
      </c>
      <c r="D1498" s="2">
        <v>539.0</v>
      </c>
      <c r="E1498" s="3">
        <f t="shared" si="1"/>
        <v>0.3995552261</v>
      </c>
      <c r="F1498" s="2">
        <v>195.0</v>
      </c>
      <c r="G1498" s="3">
        <f t="shared" si="2"/>
        <v>0.1445515196</v>
      </c>
      <c r="H1498" s="2">
        <v>281.0</v>
      </c>
      <c r="I1498" s="3">
        <f t="shared" si="3"/>
        <v>0.2083024463</v>
      </c>
      <c r="J1498" s="2">
        <v>214.0</v>
      </c>
      <c r="K1498" s="3">
        <f t="shared" si="4"/>
        <v>0.1586360267</v>
      </c>
      <c r="L1498" s="2">
        <v>161.0</v>
      </c>
      <c r="M1498" s="3">
        <f t="shared" si="5"/>
        <v>0.5729537367</v>
      </c>
      <c r="N1498" s="2">
        <v>1674500.0</v>
      </c>
      <c r="O1498" s="4">
        <f t="shared" si="6"/>
        <v>5959.074733</v>
      </c>
      <c r="P1498" s="2">
        <v>1.0</v>
      </c>
      <c r="Q1498" s="3">
        <f t="shared" si="7"/>
        <v>0.008064516129</v>
      </c>
      <c r="R1498" s="2">
        <v>124.0</v>
      </c>
      <c r="S1498" s="5">
        <f t="shared" si="8"/>
        <v>1</v>
      </c>
    </row>
    <row r="1499">
      <c r="A1499" s="2" t="s">
        <v>1510</v>
      </c>
      <c r="B1499" s="2">
        <v>153.0</v>
      </c>
      <c r="C1499" s="2">
        <v>1765.0</v>
      </c>
      <c r="D1499" s="2">
        <v>484.0</v>
      </c>
      <c r="E1499" s="3">
        <f t="shared" si="1"/>
        <v>0.300248139</v>
      </c>
      <c r="F1499" s="2">
        <v>233.0</v>
      </c>
      <c r="G1499" s="3">
        <f t="shared" si="2"/>
        <v>0.1445409429</v>
      </c>
      <c r="H1499" s="2">
        <v>366.0</v>
      </c>
      <c r="I1499" s="3">
        <f t="shared" si="3"/>
        <v>0.2270471464</v>
      </c>
      <c r="J1499" s="2">
        <v>284.0</v>
      </c>
      <c r="K1499" s="3">
        <f t="shared" si="4"/>
        <v>0.17617866</v>
      </c>
      <c r="L1499" s="2">
        <v>215.0</v>
      </c>
      <c r="M1499" s="3">
        <f t="shared" si="5"/>
        <v>0.587431694</v>
      </c>
      <c r="N1499" s="2">
        <v>2034900.0</v>
      </c>
      <c r="O1499" s="4">
        <f t="shared" si="6"/>
        <v>5559.836066</v>
      </c>
      <c r="P1499" s="2">
        <v>0.0</v>
      </c>
      <c r="Q1499" s="3">
        <f t="shared" si="7"/>
        <v>0</v>
      </c>
      <c r="R1499" s="2">
        <v>152.0</v>
      </c>
      <c r="S1499" s="5">
        <f t="shared" si="8"/>
        <v>0.9934640523</v>
      </c>
    </row>
    <row r="1500">
      <c r="A1500" s="2" t="s">
        <v>1511</v>
      </c>
      <c r="B1500" s="2">
        <v>55.0</v>
      </c>
      <c r="C1500" s="2">
        <v>657.0</v>
      </c>
      <c r="D1500" s="2">
        <v>234.0</v>
      </c>
      <c r="E1500" s="3">
        <f t="shared" si="1"/>
        <v>0.3887043189</v>
      </c>
      <c r="F1500" s="2">
        <v>87.0</v>
      </c>
      <c r="G1500" s="3">
        <f t="shared" si="2"/>
        <v>0.1445182724</v>
      </c>
      <c r="H1500" s="2">
        <v>115.0</v>
      </c>
      <c r="I1500" s="3">
        <f t="shared" si="3"/>
        <v>0.1910299003</v>
      </c>
      <c r="J1500" s="2">
        <v>81.0</v>
      </c>
      <c r="K1500" s="3">
        <f t="shared" si="4"/>
        <v>0.134551495</v>
      </c>
      <c r="L1500" s="2">
        <v>64.0</v>
      </c>
      <c r="M1500" s="3">
        <f t="shared" si="5"/>
        <v>0.5565217391</v>
      </c>
      <c r="N1500" s="2">
        <v>673100.0</v>
      </c>
      <c r="O1500" s="4">
        <f t="shared" si="6"/>
        <v>5853.043478</v>
      </c>
      <c r="P1500" s="2">
        <v>0.0</v>
      </c>
      <c r="Q1500" s="3">
        <f t="shared" si="7"/>
        <v>0</v>
      </c>
      <c r="R1500" s="2">
        <v>55.0</v>
      </c>
      <c r="S1500" s="5">
        <f t="shared" si="8"/>
        <v>1</v>
      </c>
    </row>
    <row r="1501">
      <c r="A1501" s="2" t="s">
        <v>1512</v>
      </c>
      <c r="B1501" s="2">
        <v>16.0</v>
      </c>
      <c r="C1501" s="2">
        <v>189.0</v>
      </c>
      <c r="D1501" s="2">
        <v>62.0</v>
      </c>
      <c r="E1501" s="3">
        <f t="shared" si="1"/>
        <v>0.3583815029</v>
      </c>
      <c r="F1501" s="2">
        <v>25.0</v>
      </c>
      <c r="G1501" s="3">
        <f t="shared" si="2"/>
        <v>0.1445086705</v>
      </c>
      <c r="H1501" s="2">
        <v>31.0</v>
      </c>
      <c r="I1501" s="3">
        <f t="shared" si="3"/>
        <v>0.1791907514</v>
      </c>
      <c r="J1501" s="2">
        <v>36.0</v>
      </c>
      <c r="K1501" s="3">
        <f t="shared" si="4"/>
        <v>0.2080924855</v>
      </c>
      <c r="L1501" s="2">
        <v>15.0</v>
      </c>
      <c r="M1501" s="3">
        <f t="shared" si="5"/>
        <v>0.4838709677</v>
      </c>
      <c r="N1501" s="2">
        <v>198700.0</v>
      </c>
      <c r="O1501" s="4">
        <f t="shared" si="6"/>
        <v>6409.677419</v>
      </c>
      <c r="P1501" s="2">
        <v>0.0</v>
      </c>
      <c r="Q1501" s="3">
        <f t="shared" si="7"/>
        <v>0</v>
      </c>
      <c r="R1501" s="2">
        <v>16.0</v>
      </c>
      <c r="S1501" s="5">
        <f t="shared" si="8"/>
        <v>1</v>
      </c>
    </row>
    <row r="1502">
      <c r="A1502" s="2" t="s">
        <v>1513</v>
      </c>
      <c r="B1502" s="2">
        <v>167.0</v>
      </c>
      <c r="C1502" s="2">
        <v>2015.0</v>
      </c>
      <c r="D1502" s="2">
        <v>682.0</v>
      </c>
      <c r="E1502" s="3">
        <f t="shared" si="1"/>
        <v>0.369047619</v>
      </c>
      <c r="F1502" s="2">
        <v>267.0</v>
      </c>
      <c r="G1502" s="3">
        <f t="shared" si="2"/>
        <v>0.1444805195</v>
      </c>
      <c r="H1502" s="2">
        <v>381.0</v>
      </c>
      <c r="I1502" s="3">
        <f t="shared" si="3"/>
        <v>0.2061688312</v>
      </c>
      <c r="J1502" s="2">
        <v>330.0</v>
      </c>
      <c r="K1502" s="3">
        <f t="shared" si="4"/>
        <v>0.1785714286</v>
      </c>
      <c r="L1502" s="2">
        <v>232.0</v>
      </c>
      <c r="M1502" s="3">
        <f t="shared" si="5"/>
        <v>0.6089238845</v>
      </c>
      <c r="N1502" s="2">
        <v>2119600.0</v>
      </c>
      <c r="O1502" s="4">
        <f t="shared" si="6"/>
        <v>5563.254593</v>
      </c>
      <c r="P1502" s="2">
        <v>1.0</v>
      </c>
      <c r="Q1502" s="3">
        <f t="shared" si="7"/>
        <v>0.005988023952</v>
      </c>
      <c r="R1502" s="2">
        <v>167.0</v>
      </c>
      <c r="S1502" s="5">
        <f t="shared" si="8"/>
        <v>1</v>
      </c>
    </row>
    <row r="1503">
      <c r="A1503" s="2" t="s">
        <v>1514</v>
      </c>
      <c r="B1503" s="2">
        <v>33.0</v>
      </c>
      <c r="C1503" s="2">
        <v>386.0</v>
      </c>
      <c r="D1503" s="2">
        <v>119.0</v>
      </c>
      <c r="E1503" s="3">
        <f t="shared" si="1"/>
        <v>0.3371104816</v>
      </c>
      <c r="F1503" s="2">
        <v>51.0</v>
      </c>
      <c r="G1503" s="3">
        <f t="shared" si="2"/>
        <v>0.1444759207</v>
      </c>
      <c r="H1503" s="2">
        <v>63.0</v>
      </c>
      <c r="I1503" s="3">
        <f t="shared" si="3"/>
        <v>0.178470255</v>
      </c>
      <c r="J1503" s="2">
        <v>63.0</v>
      </c>
      <c r="K1503" s="3">
        <f t="shared" si="4"/>
        <v>0.178470255</v>
      </c>
      <c r="L1503" s="2">
        <v>42.0</v>
      </c>
      <c r="M1503" s="3">
        <f t="shared" si="5"/>
        <v>0.6666666667</v>
      </c>
      <c r="N1503" s="2">
        <v>354600.0</v>
      </c>
      <c r="O1503" s="4">
        <f t="shared" si="6"/>
        <v>5628.571429</v>
      </c>
      <c r="P1503" s="2">
        <v>0.0</v>
      </c>
      <c r="Q1503" s="3">
        <f t="shared" si="7"/>
        <v>0</v>
      </c>
      <c r="R1503" s="2">
        <v>33.0</v>
      </c>
      <c r="S1503" s="5">
        <f t="shared" si="8"/>
        <v>1</v>
      </c>
    </row>
    <row r="1504">
      <c r="A1504" s="2" t="s">
        <v>1515</v>
      </c>
      <c r="B1504" s="2">
        <v>40.0</v>
      </c>
      <c r="C1504" s="2">
        <v>483.0</v>
      </c>
      <c r="D1504" s="2">
        <v>169.0</v>
      </c>
      <c r="E1504" s="3">
        <f t="shared" si="1"/>
        <v>0.381489842</v>
      </c>
      <c r="F1504" s="2">
        <v>64.0</v>
      </c>
      <c r="G1504" s="3">
        <f t="shared" si="2"/>
        <v>0.144469526</v>
      </c>
      <c r="H1504" s="2">
        <v>89.0</v>
      </c>
      <c r="I1504" s="3">
        <f t="shared" si="3"/>
        <v>0.2009029345</v>
      </c>
      <c r="J1504" s="2">
        <v>78.0</v>
      </c>
      <c r="K1504" s="3">
        <f t="shared" si="4"/>
        <v>0.1760722348</v>
      </c>
      <c r="L1504" s="2">
        <v>55.0</v>
      </c>
      <c r="M1504" s="3">
        <f t="shared" si="5"/>
        <v>0.6179775281</v>
      </c>
      <c r="N1504" s="2">
        <v>430800.0</v>
      </c>
      <c r="O1504" s="4">
        <f t="shared" si="6"/>
        <v>4840.449438</v>
      </c>
      <c r="P1504" s="2">
        <v>0.0</v>
      </c>
      <c r="Q1504" s="3">
        <f t="shared" si="7"/>
        <v>0</v>
      </c>
      <c r="R1504" s="2">
        <v>0.0</v>
      </c>
      <c r="S1504" s="5">
        <f t="shared" si="8"/>
        <v>0</v>
      </c>
    </row>
    <row r="1505">
      <c r="A1505" s="2" t="s">
        <v>1516</v>
      </c>
      <c r="B1505" s="2">
        <v>306.0</v>
      </c>
      <c r="C1505" s="2">
        <v>3615.0</v>
      </c>
      <c r="D1505" s="2">
        <v>1065.0</v>
      </c>
      <c r="E1505" s="3">
        <f t="shared" si="1"/>
        <v>0.3218495014</v>
      </c>
      <c r="F1505" s="2">
        <v>478.0</v>
      </c>
      <c r="G1505" s="3">
        <f t="shared" si="2"/>
        <v>0.144454518</v>
      </c>
      <c r="H1505" s="2">
        <v>720.0</v>
      </c>
      <c r="I1505" s="3">
        <f t="shared" si="3"/>
        <v>0.2175883953</v>
      </c>
      <c r="J1505" s="2">
        <v>677.0</v>
      </c>
      <c r="K1505" s="3">
        <f t="shared" si="4"/>
        <v>0.2045935328</v>
      </c>
      <c r="L1505" s="2">
        <v>436.0</v>
      </c>
      <c r="M1505" s="3">
        <f t="shared" si="5"/>
        <v>0.6055555556</v>
      </c>
      <c r="N1505" s="2">
        <v>4250500.0</v>
      </c>
      <c r="O1505" s="4">
        <f t="shared" si="6"/>
        <v>5903.472222</v>
      </c>
      <c r="P1505" s="2">
        <v>0.0</v>
      </c>
      <c r="Q1505" s="3">
        <f t="shared" si="7"/>
        <v>0</v>
      </c>
      <c r="R1505" s="2">
        <v>306.0</v>
      </c>
      <c r="S1505" s="5">
        <f t="shared" si="8"/>
        <v>1</v>
      </c>
    </row>
    <row r="1506">
      <c r="A1506" s="2" t="s">
        <v>1517</v>
      </c>
      <c r="B1506" s="2">
        <v>95.0</v>
      </c>
      <c r="C1506" s="2">
        <v>1085.0</v>
      </c>
      <c r="D1506" s="2">
        <v>320.0</v>
      </c>
      <c r="E1506" s="3">
        <f t="shared" si="1"/>
        <v>0.3232323232</v>
      </c>
      <c r="F1506" s="2">
        <v>143.0</v>
      </c>
      <c r="G1506" s="3">
        <f t="shared" si="2"/>
        <v>0.1444444444</v>
      </c>
      <c r="H1506" s="2">
        <v>209.0</v>
      </c>
      <c r="I1506" s="3">
        <f t="shared" si="3"/>
        <v>0.2111111111</v>
      </c>
      <c r="J1506" s="2">
        <v>176.0</v>
      </c>
      <c r="K1506" s="3">
        <f t="shared" si="4"/>
        <v>0.1777777778</v>
      </c>
      <c r="L1506" s="2">
        <v>127.0</v>
      </c>
      <c r="M1506" s="3">
        <f t="shared" si="5"/>
        <v>0.6076555024</v>
      </c>
      <c r="N1506" s="2">
        <v>1064800.0</v>
      </c>
      <c r="O1506" s="4">
        <f t="shared" si="6"/>
        <v>5094.736842</v>
      </c>
      <c r="P1506" s="2">
        <v>0.0</v>
      </c>
      <c r="Q1506" s="3">
        <f t="shared" si="7"/>
        <v>0</v>
      </c>
      <c r="R1506" s="2">
        <v>0.0</v>
      </c>
      <c r="S1506" s="5">
        <f t="shared" si="8"/>
        <v>0</v>
      </c>
    </row>
    <row r="1507">
      <c r="A1507" s="2" t="s">
        <v>1518</v>
      </c>
      <c r="B1507" s="2">
        <v>96.0</v>
      </c>
      <c r="C1507" s="2">
        <v>1183.0</v>
      </c>
      <c r="D1507" s="2">
        <v>464.0</v>
      </c>
      <c r="E1507" s="3">
        <f t="shared" si="1"/>
        <v>0.4268629255</v>
      </c>
      <c r="F1507" s="2">
        <v>157.0</v>
      </c>
      <c r="G1507" s="3">
        <f t="shared" si="2"/>
        <v>0.1444342226</v>
      </c>
      <c r="H1507" s="2">
        <v>218.0</v>
      </c>
      <c r="I1507" s="3">
        <f t="shared" si="3"/>
        <v>0.2005519779</v>
      </c>
      <c r="J1507" s="2">
        <v>150.0</v>
      </c>
      <c r="K1507" s="3">
        <f t="shared" si="4"/>
        <v>0.1379944802</v>
      </c>
      <c r="L1507" s="2">
        <v>136.0</v>
      </c>
      <c r="M1507" s="3">
        <f t="shared" si="5"/>
        <v>0.623853211</v>
      </c>
      <c r="N1507" s="2">
        <v>1060000.0</v>
      </c>
      <c r="O1507" s="4">
        <f t="shared" si="6"/>
        <v>4862.385321</v>
      </c>
      <c r="P1507" s="2">
        <v>0.0</v>
      </c>
      <c r="Q1507" s="3">
        <f t="shared" si="7"/>
        <v>0</v>
      </c>
      <c r="R1507" s="2">
        <v>96.0</v>
      </c>
      <c r="S1507" s="5">
        <f t="shared" si="8"/>
        <v>1</v>
      </c>
    </row>
    <row r="1508">
      <c r="A1508" s="2" t="s">
        <v>1519</v>
      </c>
      <c r="B1508" s="2">
        <v>120.0</v>
      </c>
      <c r="C1508" s="2">
        <v>1401.0</v>
      </c>
      <c r="D1508" s="2">
        <v>439.0</v>
      </c>
      <c r="E1508" s="3">
        <f t="shared" si="1"/>
        <v>0.3427010148</v>
      </c>
      <c r="F1508" s="2">
        <v>185.0</v>
      </c>
      <c r="G1508" s="3">
        <f t="shared" si="2"/>
        <v>0.1444184231</v>
      </c>
      <c r="H1508" s="2">
        <v>310.0</v>
      </c>
      <c r="I1508" s="3">
        <f t="shared" si="3"/>
        <v>0.2419984387</v>
      </c>
      <c r="J1508" s="2">
        <v>274.0</v>
      </c>
      <c r="K1508" s="3">
        <f t="shared" si="4"/>
        <v>0.2138953942</v>
      </c>
      <c r="L1508" s="2">
        <v>194.0</v>
      </c>
      <c r="M1508" s="3">
        <f t="shared" si="5"/>
        <v>0.6258064516</v>
      </c>
      <c r="N1508" s="2">
        <v>1788800.0</v>
      </c>
      <c r="O1508" s="4">
        <f t="shared" si="6"/>
        <v>5770.322581</v>
      </c>
      <c r="P1508" s="2">
        <v>1.0</v>
      </c>
      <c r="Q1508" s="3">
        <f t="shared" si="7"/>
        <v>0.008333333333</v>
      </c>
      <c r="R1508" s="2">
        <v>120.0</v>
      </c>
      <c r="S1508" s="5">
        <f t="shared" si="8"/>
        <v>1</v>
      </c>
    </row>
    <row r="1509">
      <c r="A1509" s="2" t="s">
        <v>1520</v>
      </c>
      <c r="B1509" s="2">
        <v>175.0</v>
      </c>
      <c r="C1509" s="2">
        <v>2017.0</v>
      </c>
      <c r="D1509" s="2">
        <v>593.0</v>
      </c>
      <c r="E1509" s="3">
        <f t="shared" si="1"/>
        <v>0.3219326819</v>
      </c>
      <c r="F1509" s="2">
        <v>266.0</v>
      </c>
      <c r="G1509" s="3">
        <f t="shared" si="2"/>
        <v>0.1444082519</v>
      </c>
      <c r="H1509" s="2">
        <v>380.0</v>
      </c>
      <c r="I1509" s="3">
        <f t="shared" si="3"/>
        <v>0.2062975027</v>
      </c>
      <c r="J1509" s="2">
        <v>298.0</v>
      </c>
      <c r="K1509" s="3">
        <f t="shared" si="4"/>
        <v>0.1617806732</v>
      </c>
      <c r="L1509" s="2">
        <v>227.0</v>
      </c>
      <c r="M1509" s="3">
        <f t="shared" si="5"/>
        <v>0.5973684211</v>
      </c>
      <c r="N1509" s="2">
        <v>2220300.0</v>
      </c>
      <c r="O1509" s="4">
        <f t="shared" si="6"/>
        <v>5842.894737</v>
      </c>
      <c r="P1509" s="2">
        <v>0.0</v>
      </c>
      <c r="Q1509" s="3">
        <f t="shared" si="7"/>
        <v>0</v>
      </c>
      <c r="R1509" s="2">
        <v>175.0</v>
      </c>
      <c r="S1509" s="5">
        <f t="shared" si="8"/>
        <v>1</v>
      </c>
    </row>
    <row r="1510">
      <c r="A1510" s="2" t="s">
        <v>1521</v>
      </c>
      <c r="B1510" s="2">
        <v>110.0</v>
      </c>
      <c r="C1510" s="2">
        <v>1308.0</v>
      </c>
      <c r="D1510" s="2">
        <v>450.0</v>
      </c>
      <c r="E1510" s="3">
        <f t="shared" si="1"/>
        <v>0.3756260434</v>
      </c>
      <c r="F1510" s="2">
        <v>173.0</v>
      </c>
      <c r="G1510" s="3">
        <f t="shared" si="2"/>
        <v>0.1444073456</v>
      </c>
      <c r="H1510" s="2">
        <v>254.0</v>
      </c>
      <c r="I1510" s="3">
        <f t="shared" si="3"/>
        <v>0.2120200334</v>
      </c>
      <c r="J1510" s="2">
        <v>207.0</v>
      </c>
      <c r="K1510" s="3">
        <f t="shared" si="4"/>
        <v>0.17278798</v>
      </c>
      <c r="L1510" s="2">
        <v>143.0</v>
      </c>
      <c r="M1510" s="3">
        <f t="shared" si="5"/>
        <v>0.562992126</v>
      </c>
      <c r="N1510" s="2">
        <v>1431400.0</v>
      </c>
      <c r="O1510" s="4">
        <f t="shared" si="6"/>
        <v>5635.433071</v>
      </c>
      <c r="P1510" s="2">
        <v>0.0</v>
      </c>
      <c r="Q1510" s="3">
        <f t="shared" si="7"/>
        <v>0</v>
      </c>
      <c r="R1510" s="2">
        <v>44.0</v>
      </c>
      <c r="S1510" s="5">
        <f t="shared" si="8"/>
        <v>0.4</v>
      </c>
    </row>
    <row r="1511">
      <c r="A1511" s="2" t="s">
        <v>1522</v>
      </c>
      <c r="B1511" s="2">
        <v>92.0</v>
      </c>
      <c r="C1511" s="2">
        <v>1041.0</v>
      </c>
      <c r="D1511" s="2">
        <v>389.0</v>
      </c>
      <c r="E1511" s="3">
        <f t="shared" si="1"/>
        <v>0.4099051633</v>
      </c>
      <c r="F1511" s="2">
        <v>137.0</v>
      </c>
      <c r="G1511" s="3">
        <f t="shared" si="2"/>
        <v>0.1443624868</v>
      </c>
      <c r="H1511" s="2">
        <v>191.0</v>
      </c>
      <c r="I1511" s="3">
        <f t="shared" si="3"/>
        <v>0.2012644889</v>
      </c>
      <c r="J1511" s="2">
        <v>163.0</v>
      </c>
      <c r="K1511" s="3">
        <f t="shared" si="4"/>
        <v>0.1717597471</v>
      </c>
      <c r="L1511" s="2">
        <v>119.0</v>
      </c>
      <c r="M1511" s="3">
        <f t="shared" si="5"/>
        <v>0.6230366492</v>
      </c>
      <c r="N1511" s="2">
        <v>1202500.0</v>
      </c>
      <c r="O1511" s="4">
        <f t="shared" si="6"/>
        <v>6295.811518</v>
      </c>
      <c r="P1511" s="2">
        <v>1.0</v>
      </c>
      <c r="Q1511" s="3">
        <f t="shared" si="7"/>
        <v>0.01086956522</v>
      </c>
      <c r="R1511" s="2">
        <v>92.0</v>
      </c>
      <c r="S1511" s="5">
        <f t="shared" si="8"/>
        <v>1</v>
      </c>
    </row>
    <row r="1512">
      <c r="A1512" s="2" t="s">
        <v>1523</v>
      </c>
      <c r="B1512" s="2">
        <v>88.0</v>
      </c>
      <c r="C1512" s="2">
        <v>1058.0</v>
      </c>
      <c r="D1512" s="2">
        <v>374.0</v>
      </c>
      <c r="E1512" s="3">
        <f t="shared" si="1"/>
        <v>0.3855670103</v>
      </c>
      <c r="F1512" s="2">
        <v>140.0</v>
      </c>
      <c r="G1512" s="3">
        <f t="shared" si="2"/>
        <v>0.1443298969</v>
      </c>
      <c r="H1512" s="2">
        <v>193.0</v>
      </c>
      <c r="I1512" s="3">
        <f t="shared" si="3"/>
        <v>0.1989690722</v>
      </c>
      <c r="J1512" s="2">
        <v>153.0</v>
      </c>
      <c r="K1512" s="3">
        <f t="shared" si="4"/>
        <v>0.1577319588</v>
      </c>
      <c r="L1512" s="2">
        <v>108.0</v>
      </c>
      <c r="M1512" s="3">
        <f t="shared" si="5"/>
        <v>0.5595854922</v>
      </c>
      <c r="N1512" s="2">
        <v>1059700.0</v>
      </c>
      <c r="O1512" s="4">
        <f t="shared" si="6"/>
        <v>5490.673575</v>
      </c>
      <c r="P1512" s="2">
        <v>0.0</v>
      </c>
      <c r="Q1512" s="3">
        <f t="shared" si="7"/>
        <v>0</v>
      </c>
      <c r="R1512" s="2">
        <v>0.0</v>
      </c>
      <c r="S1512" s="5">
        <f t="shared" si="8"/>
        <v>0</v>
      </c>
    </row>
    <row r="1513">
      <c r="A1513" s="2" t="s">
        <v>1524</v>
      </c>
      <c r="B1513" s="2">
        <v>182.0</v>
      </c>
      <c r="C1513" s="2">
        <v>2129.0</v>
      </c>
      <c r="D1513" s="2">
        <v>662.0</v>
      </c>
      <c r="E1513" s="3">
        <f t="shared" si="1"/>
        <v>0.3400102722</v>
      </c>
      <c r="F1513" s="2">
        <v>281.0</v>
      </c>
      <c r="G1513" s="3">
        <f t="shared" si="2"/>
        <v>0.144324602</v>
      </c>
      <c r="H1513" s="2">
        <v>404.0</v>
      </c>
      <c r="I1513" s="3">
        <f t="shared" si="3"/>
        <v>0.207498716</v>
      </c>
      <c r="J1513" s="2">
        <v>315.0</v>
      </c>
      <c r="K1513" s="3">
        <f t="shared" si="4"/>
        <v>0.1617873652</v>
      </c>
      <c r="L1513" s="2">
        <v>240.0</v>
      </c>
      <c r="M1513" s="3">
        <f t="shared" si="5"/>
        <v>0.5940594059</v>
      </c>
      <c r="N1513" s="2">
        <v>2139200.0</v>
      </c>
      <c r="O1513" s="4">
        <f t="shared" si="6"/>
        <v>5295.049505</v>
      </c>
      <c r="P1513" s="2">
        <v>0.0</v>
      </c>
      <c r="Q1513" s="3">
        <f t="shared" si="7"/>
        <v>0</v>
      </c>
      <c r="R1513" s="2">
        <v>182.0</v>
      </c>
      <c r="S1513" s="5">
        <f t="shared" si="8"/>
        <v>1</v>
      </c>
    </row>
    <row r="1514">
      <c r="A1514" s="2" t="s">
        <v>1525</v>
      </c>
      <c r="B1514" s="2">
        <v>1114.0</v>
      </c>
      <c r="C1514" s="2">
        <v>12997.0</v>
      </c>
      <c r="D1514" s="2">
        <v>4270.0</v>
      </c>
      <c r="E1514" s="3">
        <f t="shared" si="1"/>
        <v>0.3593368678</v>
      </c>
      <c r="F1514" s="2">
        <v>1715.0</v>
      </c>
      <c r="G1514" s="3">
        <f t="shared" si="2"/>
        <v>0.144323824</v>
      </c>
      <c r="H1514" s="2">
        <v>2654.0</v>
      </c>
      <c r="I1514" s="3">
        <f t="shared" si="3"/>
        <v>0.2233442733</v>
      </c>
      <c r="J1514" s="2">
        <v>1949.0</v>
      </c>
      <c r="K1514" s="3">
        <f t="shared" si="4"/>
        <v>0.1640158209</v>
      </c>
      <c r="L1514" s="2">
        <v>1568.0</v>
      </c>
      <c r="M1514" s="3">
        <f t="shared" si="5"/>
        <v>0.5908063301</v>
      </c>
      <c r="N1514" s="2">
        <v>1.46777E7</v>
      </c>
      <c r="O1514" s="4">
        <f t="shared" si="6"/>
        <v>5530.406933</v>
      </c>
      <c r="P1514" s="2">
        <v>3.0</v>
      </c>
      <c r="Q1514" s="3">
        <f t="shared" si="7"/>
        <v>0.002692998205</v>
      </c>
      <c r="R1514" s="2">
        <v>1114.0</v>
      </c>
      <c r="S1514" s="5">
        <f t="shared" si="8"/>
        <v>1</v>
      </c>
    </row>
    <row r="1515">
      <c r="A1515" s="2" t="s">
        <v>1526</v>
      </c>
      <c r="B1515" s="2">
        <v>1307.0</v>
      </c>
      <c r="C1515" s="2">
        <v>15264.0</v>
      </c>
      <c r="D1515" s="2">
        <v>4663.0</v>
      </c>
      <c r="E1515" s="3">
        <f t="shared" si="1"/>
        <v>0.3340975854</v>
      </c>
      <c r="F1515" s="2">
        <v>2014.0</v>
      </c>
      <c r="G1515" s="3">
        <f t="shared" si="2"/>
        <v>0.1443003511</v>
      </c>
      <c r="H1515" s="2">
        <v>3147.0</v>
      </c>
      <c r="I1515" s="3">
        <f t="shared" si="3"/>
        <v>0.2254782546</v>
      </c>
      <c r="J1515" s="2">
        <v>2612.0</v>
      </c>
      <c r="K1515" s="3">
        <f t="shared" si="4"/>
        <v>0.1871462349</v>
      </c>
      <c r="L1515" s="2">
        <v>1853.0</v>
      </c>
      <c r="M1515" s="3">
        <f t="shared" si="5"/>
        <v>0.5888147442</v>
      </c>
      <c r="N1515" s="2">
        <v>1.67263E7</v>
      </c>
      <c r="O1515" s="4">
        <f t="shared" si="6"/>
        <v>5314.998411</v>
      </c>
      <c r="P1515" s="2">
        <v>4.0</v>
      </c>
      <c r="Q1515" s="3">
        <f t="shared" si="7"/>
        <v>0.003060443764</v>
      </c>
      <c r="R1515" s="2">
        <v>1307.0</v>
      </c>
      <c r="S1515" s="5">
        <f t="shared" si="8"/>
        <v>1</v>
      </c>
    </row>
    <row r="1516">
      <c r="A1516" s="2" t="s">
        <v>1527</v>
      </c>
      <c r="B1516" s="2">
        <v>92.0</v>
      </c>
      <c r="C1516" s="2">
        <v>1083.0</v>
      </c>
      <c r="D1516" s="2">
        <v>324.0</v>
      </c>
      <c r="E1516" s="3">
        <f t="shared" si="1"/>
        <v>0.3269424823</v>
      </c>
      <c r="F1516" s="2">
        <v>143.0</v>
      </c>
      <c r="G1516" s="3">
        <f t="shared" si="2"/>
        <v>0.1442986882</v>
      </c>
      <c r="H1516" s="2">
        <v>174.0</v>
      </c>
      <c r="I1516" s="3">
        <f t="shared" si="3"/>
        <v>0.175580222</v>
      </c>
      <c r="J1516" s="2">
        <v>159.0</v>
      </c>
      <c r="K1516" s="3">
        <f t="shared" si="4"/>
        <v>0.160443996</v>
      </c>
      <c r="L1516" s="2">
        <v>95.0</v>
      </c>
      <c r="M1516" s="3">
        <f t="shared" si="5"/>
        <v>0.5459770115</v>
      </c>
      <c r="N1516" s="2">
        <v>1092500.0</v>
      </c>
      <c r="O1516" s="4">
        <f t="shared" si="6"/>
        <v>6278.735632</v>
      </c>
      <c r="P1516" s="2">
        <v>0.0</v>
      </c>
      <c r="Q1516" s="3">
        <f t="shared" si="7"/>
        <v>0</v>
      </c>
      <c r="R1516" s="2">
        <v>92.0</v>
      </c>
      <c r="S1516" s="5">
        <f t="shared" si="8"/>
        <v>1</v>
      </c>
    </row>
    <row r="1517">
      <c r="A1517" s="2" t="s">
        <v>1528</v>
      </c>
      <c r="B1517" s="2">
        <v>83.0</v>
      </c>
      <c r="C1517" s="2">
        <v>984.0</v>
      </c>
      <c r="D1517" s="2">
        <v>326.0</v>
      </c>
      <c r="E1517" s="3">
        <f t="shared" si="1"/>
        <v>0.3618201998</v>
      </c>
      <c r="F1517" s="2">
        <v>130.0</v>
      </c>
      <c r="G1517" s="3">
        <f t="shared" si="2"/>
        <v>0.1442841287</v>
      </c>
      <c r="H1517" s="2">
        <v>181.0</v>
      </c>
      <c r="I1517" s="3">
        <f t="shared" si="3"/>
        <v>0.2008879023</v>
      </c>
      <c r="J1517" s="2">
        <v>149.0</v>
      </c>
      <c r="K1517" s="3">
        <f t="shared" si="4"/>
        <v>0.1653718091</v>
      </c>
      <c r="L1517" s="2">
        <v>108.0</v>
      </c>
      <c r="M1517" s="3">
        <f t="shared" si="5"/>
        <v>0.5966850829</v>
      </c>
      <c r="N1517" s="2">
        <v>1083100.0</v>
      </c>
      <c r="O1517" s="4">
        <f t="shared" si="6"/>
        <v>5983.977901</v>
      </c>
      <c r="P1517" s="2">
        <v>1.0</v>
      </c>
      <c r="Q1517" s="3">
        <f t="shared" si="7"/>
        <v>0.01204819277</v>
      </c>
      <c r="R1517" s="2">
        <v>0.0</v>
      </c>
      <c r="S1517" s="5">
        <f t="shared" si="8"/>
        <v>0</v>
      </c>
    </row>
    <row r="1518">
      <c r="A1518" s="2" t="s">
        <v>1529</v>
      </c>
      <c r="B1518" s="2">
        <v>456.0</v>
      </c>
      <c r="C1518" s="2">
        <v>5467.0</v>
      </c>
      <c r="D1518" s="2">
        <v>1675.0</v>
      </c>
      <c r="E1518" s="3">
        <f t="shared" si="1"/>
        <v>0.3342646178</v>
      </c>
      <c r="F1518" s="2">
        <v>723.0</v>
      </c>
      <c r="G1518" s="3">
        <f t="shared" si="2"/>
        <v>0.1442825783</v>
      </c>
      <c r="H1518" s="2">
        <v>1080.0</v>
      </c>
      <c r="I1518" s="3">
        <f t="shared" si="3"/>
        <v>0.2155258431</v>
      </c>
      <c r="J1518" s="2">
        <v>841.0</v>
      </c>
      <c r="K1518" s="3">
        <f t="shared" si="4"/>
        <v>0.1678307723</v>
      </c>
      <c r="L1518" s="2">
        <v>644.0</v>
      </c>
      <c r="M1518" s="3">
        <f t="shared" si="5"/>
        <v>0.5962962963</v>
      </c>
      <c r="N1518" s="2">
        <v>6189300.0</v>
      </c>
      <c r="O1518" s="4">
        <f t="shared" si="6"/>
        <v>5730.833333</v>
      </c>
      <c r="P1518" s="2">
        <v>0.0</v>
      </c>
      <c r="Q1518" s="3">
        <f t="shared" si="7"/>
        <v>0</v>
      </c>
      <c r="R1518" s="2">
        <v>456.0</v>
      </c>
      <c r="S1518" s="5">
        <f t="shared" si="8"/>
        <v>1</v>
      </c>
    </row>
    <row r="1519">
      <c r="A1519" s="2" t="s">
        <v>1530</v>
      </c>
      <c r="B1519" s="2">
        <v>263.0</v>
      </c>
      <c r="C1519" s="2">
        <v>3077.0</v>
      </c>
      <c r="D1519" s="2">
        <v>1044.0</v>
      </c>
      <c r="E1519" s="3">
        <f t="shared" si="1"/>
        <v>0.3710021322</v>
      </c>
      <c r="F1519" s="2">
        <v>406.0</v>
      </c>
      <c r="G1519" s="3">
        <f t="shared" si="2"/>
        <v>0.144278607</v>
      </c>
      <c r="H1519" s="2">
        <v>597.0</v>
      </c>
      <c r="I1519" s="3">
        <f t="shared" si="3"/>
        <v>0.2121535181</v>
      </c>
      <c r="J1519" s="2">
        <v>484.0</v>
      </c>
      <c r="K1519" s="3">
        <f t="shared" si="4"/>
        <v>0.1719971571</v>
      </c>
      <c r="L1519" s="2">
        <v>366.0</v>
      </c>
      <c r="M1519" s="3">
        <f t="shared" si="5"/>
        <v>0.6130653266</v>
      </c>
      <c r="N1519" s="2">
        <v>3274400.0</v>
      </c>
      <c r="O1519" s="4">
        <f t="shared" si="6"/>
        <v>5484.757119</v>
      </c>
      <c r="P1519" s="2">
        <v>1.0</v>
      </c>
      <c r="Q1519" s="3">
        <f t="shared" si="7"/>
        <v>0.003802281369</v>
      </c>
      <c r="R1519" s="2">
        <v>167.0</v>
      </c>
      <c r="S1519" s="5">
        <f t="shared" si="8"/>
        <v>0.6349809886</v>
      </c>
    </row>
    <row r="1520">
      <c r="A1520" s="2" t="s">
        <v>1531</v>
      </c>
      <c r="B1520" s="2">
        <v>623.0</v>
      </c>
      <c r="C1520" s="2">
        <v>7319.0</v>
      </c>
      <c r="D1520" s="2">
        <v>2515.0</v>
      </c>
      <c r="E1520" s="3">
        <f t="shared" si="1"/>
        <v>0.3755973716</v>
      </c>
      <c r="F1520" s="2">
        <v>966.0</v>
      </c>
      <c r="G1520" s="3">
        <f t="shared" si="2"/>
        <v>0.144265233</v>
      </c>
      <c r="H1520" s="2">
        <v>1491.0</v>
      </c>
      <c r="I1520" s="3">
        <f t="shared" si="3"/>
        <v>0.2226702509</v>
      </c>
      <c r="J1520" s="2">
        <v>1230.0</v>
      </c>
      <c r="K1520" s="3">
        <f t="shared" si="4"/>
        <v>0.1836917563</v>
      </c>
      <c r="L1520" s="2">
        <v>862.0</v>
      </c>
      <c r="M1520" s="3">
        <f t="shared" si="5"/>
        <v>0.5781354795</v>
      </c>
      <c r="N1520" s="2">
        <v>8358500.0</v>
      </c>
      <c r="O1520" s="4">
        <f t="shared" si="6"/>
        <v>5605.969148</v>
      </c>
      <c r="P1520" s="2">
        <v>0.0</v>
      </c>
      <c r="Q1520" s="3">
        <f t="shared" si="7"/>
        <v>0</v>
      </c>
      <c r="R1520" s="2">
        <v>623.0</v>
      </c>
      <c r="S1520" s="5">
        <f t="shared" si="8"/>
        <v>1</v>
      </c>
    </row>
    <row r="1521">
      <c r="A1521" s="2" t="s">
        <v>1532</v>
      </c>
      <c r="B1521" s="2">
        <v>1512.0</v>
      </c>
      <c r="C1521" s="2">
        <v>17719.0</v>
      </c>
      <c r="D1521" s="2">
        <v>6256.0</v>
      </c>
      <c r="E1521" s="3">
        <f t="shared" si="1"/>
        <v>0.3860060468</v>
      </c>
      <c r="F1521" s="2">
        <v>2338.0</v>
      </c>
      <c r="G1521" s="3">
        <f t="shared" si="2"/>
        <v>0.1442586537</v>
      </c>
      <c r="H1521" s="2">
        <v>3201.0</v>
      </c>
      <c r="I1521" s="3">
        <f t="shared" si="3"/>
        <v>0.19750725</v>
      </c>
      <c r="J1521" s="2">
        <v>2411.0</v>
      </c>
      <c r="K1521" s="3">
        <f t="shared" si="4"/>
        <v>0.1487628802</v>
      </c>
      <c r="L1521" s="2">
        <v>2000.0</v>
      </c>
      <c r="M1521" s="3">
        <f t="shared" si="5"/>
        <v>0.6248047485</v>
      </c>
      <c r="N1521" s="2">
        <v>1.92173E7</v>
      </c>
      <c r="O1521" s="4">
        <f t="shared" si="6"/>
        <v>6003.530147</v>
      </c>
      <c r="P1521" s="2">
        <v>2.0</v>
      </c>
      <c r="Q1521" s="3">
        <f t="shared" si="7"/>
        <v>0.001322751323</v>
      </c>
      <c r="R1521" s="2">
        <v>1512.0</v>
      </c>
      <c r="S1521" s="5">
        <f t="shared" si="8"/>
        <v>1</v>
      </c>
    </row>
    <row r="1522">
      <c r="A1522" s="2" t="s">
        <v>1533</v>
      </c>
      <c r="B1522" s="2">
        <v>592.0</v>
      </c>
      <c r="C1522" s="2">
        <v>6839.0</v>
      </c>
      <c r="D1522" s="2">
        <v>2383.0</v>
      </c>
      <c r="E1522" s="3">
        <f t="shared" si="1"/>
        <v>0.3814631023</v>
      </c>
      <c r="F1522" s="2">
        <v>901.0</v>
      </c>
      <c r="G1522" s="3">
        <f t="shared" si="2"/>
        <v>0.14422923</v>
      </c>
      <c r="H1522" s="2">
        <v>1425.0</v>
      </c>
      <c r="I1522" s="3">
        <f t="shared" si="3"/>
        <v>0.2281094926</v>
      </c>
      <c r="J1522" s="2">
        <v>1150.0</v>
      </c>
      <c r="K1522" s="3">
        <f t="shared" si="4"/>
        <v>0.1840883624</v>
      </c>
      <c r="L1522" s="2">
        <v>871.0</v>
      </c>
      <c r="M1522" s="3">
        <f t="shared" si="5"/>
        <v>0.6112280702</v>
      </c>
      <c r="N1522" s="2">
        <v>8145800.0</v>
      </c>
      <c r="O1522" s="4">
        <f t="shared" si="6"/>
        <v>5716.350877</v>
      </c>
      <c r="P1522" s="2">
        <v>0.0</v>
      </c>
      <c r="Q1522" s="3">
        <f t="shared" si="7"/>
        <v>0</v>
      </c>
      <c r="R1522" s="2">
        <v>572.0</v>
      </c>
      <c r="S1522" s="5">
        <f t="shared" si="8"/>
        <v>0.9662162162</v>
      </c>
    </row>
    <row r="1523">
      <c r="A1523" s="2" t="s">
        <v>1534</v>
      </c>
      <c r="B1523" s="2">
        <v>1785.0</v>
      </c>
      <c r="C1523" s="2">
        <v>20638.0</v>
      </c>
      <c r="D1523" s="2">
        <v>6067.0</v>
      </c>
      <c r="E1523" s="3">
        <f t="shared" si="1"/>
        <v>0.3218055482</v>
      </c>
      <c r="F1523" s="2">
        <v>2719.0</v>
      </c>
      <c r="G1523" s="3">
        <f t="shared" si="2"/>
        <v>0.1442210789</v>
      </c>
      <c r="H1523" s="2">
        <v>4124.0</v>
      </c>
      <c r="I1523" s="3">
        <f t="shared" si="3"/>
        <v>0.2187450273</v>
      </c>
      <c r="J1523" s="2">
        <v>3417.0</v>
      </c>
      <c r="K1523" s="3">
        <f t="shared" si="4"/>
        <v>0.1812443643</v>
      </c>
      <c r="L1523" s="2">
        <v>2471.0</v>
      </c>
      <c r="M1523" s="3">
        <f t="shared" si="5"/>
        <v>0.5991755577</v>
      </c>
      <c r="N1523" s="2">
        <v>2.37971E7</v>
      </c>
      <c r="O1523" s="4">
        <f t="shared" si="6"/>
        <v>5770.392823</v>
      </c>
      <c r="P1523" s="2">
        <v>7.0</v>
      </c>
      <c r="Q1523" s="3">
        <f t="shared" si="7"/>
        <v>0.003921568627</v>
      </c>
      <c r="R1523" s="2">
        <v>3.0</v>
      </c>
      <c r="S1523" s="5">
        <f t="shared" si="8"/>
        <v>0.001680672269</v>
      </c>
    </row>
    <row r="1524">
      <c r="A1524" s="2" t="s">
        <v>1535</v>
      </c>
      <c r="B1524" s="2">
        <v>142.0</v>
      </c>
      <c r="C1524" s="2">
        <v>1626.0</v>
      </c>
      <c r="D1524" s="2">
        <v>569.0</v>
      </c>
      <c r="E1524" s="3">
        <f t="shared" si="1"/>
        <v>0.3834231806</v>
      </c>
      <c r="F1524" s="2">
        <v>214.0</v>
      </c>
      <c r="G1524" s="3">
        <f t="shared" si="2"/>
        <v>0.1442048518</v>
      </c>
      <c r="H1524" s="2">
        <v>328.0</v>
      </c>
      <c r="I1524" s="3">
        <f t="shared" si="3"/>
        <v>0.2210242588</v>
      </c>
      <c r="J1524" s="2">
        <v>255.0</v>
      </c>
      <c r="K1524" s="3">
        <f t="shared" si="4"/>
        <v>0.1718328841</v>
      </c>
      <c r="L1524" s="2">
        <v>199.0</v>
      </c>
      <c r="M1524" s="3">
        <f t="shared" si="5"/>
        <v>0.6067073171</v>
      </c>
      <c r="N1524" s="2">
        <v>1739200.0</v>
      </c>
      <c r="O1524" s="4">
        <f t="shared" si="6"/>
        <v>5302.439024</v>
      </c>
      <c r="P1524" s="2">
        <v>0.0</v>
      </c>
      <c r="Q1524" s="3">
        <f t="shared" si="7"/>
        <v>0</v>
      </c>
      <c r="R1524" s="2">
        <v>0.0</v>
      </c>
      <c r="S1524" s="5">
        <f t="shared" si="8"/>
        <v>0</v>
      </c>
    </row>
    <row r="1525">
      <c r="A1525" s="2" t="s">
        <v>1536</v>
      </c>
      <c r="B1525" s="2">
        <v>29.0</v>
      </c>
      <c r="C1525" s="2">
        <v>348.0</v>
      </c>
      <c r="D1525" s="2">
        <v>112.0</v>
      </c>
      <c r="E1525" s="3">
        <f t="shared" si="1"/>
        <v>0.3510971787</v>
      </c>
      <c r="F1525" s="2">
        <v>46.0</v>
      </c>
      <c r="G1525" s="3">
        <f t="shared" si="2"/>
        <v>0.144200627</v>
      </c>
      <c r="H1525" s="2">
        <v>60.0</v>
      </c>
      <c r="I1525" s="3">
        <f t="shared" si="3"/>
        <v>0.1880877743</v>
      </c>
      <c r="J1525" s="2">
        <v>54.0</v>
      </c>
      <c r="K1525" s="3">
        <f t="shared" si="4"/>
        <v>0.1692789969</v>
      </c>
      <c r="L1525" s="2">
        <v>29.0</v>
      </c>
      <c r="M1525" s="3">
        <f t="shared" si="5"/>
        <v>0.4833333333</v>
      </c>
      <c r="N1525" s="2">
        <v>312800.0</v>
      </c>
      <c r="O1525" s="4">
        <f t="shared" si="6"/>
        <v>5213.333333</v>
      </c>
      <c r="P1525" s="2">
        <v>0.0</v>
      </c>
      <c r="Q1525" s="3">
        <f t="shared" si="7"/>
        <v>0</v>
      </c>
      <c r="R1525" s="2">
        <v>29.0</v>
      </c>
      <c r="S1525" s="5">
        <f t="shared" si="8"/>
        <v>1</v>
      </c>
    </row>
    <row r="1526">
      <c r="A1526" s="2" t="s">
        <v>1537</v>
      </c>
      <c r="B1526" s="2">
        <v>647.0</v>
      </c>
      <c r="C1526" s="2">
        <v>7555.0</v>
      </c>
      <c r="D1526" s="2">
        <v>2587.0</v>
      </c>
      <c r="E1526" s="3">
        <f t="shared" si="1"/>
        <v>0.3744933411</v>
      </c>
      <c r="F1526" s="2">
        <v>996.0</v>
      </c>
      <c r="G1526" s="3">
        <f t="shared" si="2"/>
        <v>0.1441806601</v>
      </c>
      <c r="H1526" s="2">
        <v>1496.0</v>
      </c>
      <c r="I1526" s="3">
        <f t="shared" si="3"/>
        <v>0.2165605096</v>
      </c>
      <c r="J1526" s="2">
        <v>1223.0</v>
      </c>
      <c r="K1526" s="3">
        <f t="shared" si="4"/>
        <v>0.1770411118</v>
      </c>
      <c r="L1526" s="2">
        <v>905.0</v>
      </c>
      <c r="M1526" s="3">
        <f t="shared" si="5"/>
        <v>0.6049465241</v>
      </c>
      <c r="N1526" s="2">
        <v>8314300.0</v>
      </c>
      <c r="O1526" s="4">
        <f t="shared" si="6"/>
        <v>5557.687166</v>
      </c>
      <c r="P1526" s="2">
        <v>0.0</v>
      </c>
      <c r="Q1526" s="3">
        <f t="shared" si="7"/>
        <v>0</v>
      </c>
      <c r="R1526" s="2">
        <v>647.0</v>
      </c>
      <c r="S1526" s="5">
        <f t="shared" si="8"/>
        <v>1</v>
      </c>
    </row>
    <row r="1527">
      <c r="A1527" s="2" t="s">
        <v>1538</v>
      </c>
      <c r="B1527" s="2">
        <v>79.0</v>
      </c>
      <c r="C1527" s="2">
        <v>953.0</v>
      </c>
      <c r="D1527" s="2">
        <v>325.0</v>
      </c>
      <c r="E1527" s="3">
        <f t="shared" si="1"/>
        <v>0.3718535469</v>
      </c>
      <c r="F1527" s="2">
        <v>126.0</v>
      </c>
      <c r="G1527" s="3">
        <f t="shared" si="2"/>
        <v>0.1441647597</v>
      </c>
      <c r="H1527" s="2">
        <v>175.0</v>
      </c>
      <c r="I1527" s="3">
        <f t="shared" si="3"/>
        <v>0.200228833</v>
      </c>
      <c r="J1527" s="2">
        <v>169.0</v>
      </c>
      <c r="K1527" s="3">
        <f t="shared" si="4"/>
        <v>0.1933638444</v>
      </c>
      <c r="L1527" s="2">
        <v>109.0</v>
      </c>
      <c r="M1527" s="3">
        <f t="shared" si="5"/>
        <v>0.6228571429</v>
      </c>
      <c r="N1527" s="2">
        <v>1038200.0</v>
      </c>
      <c r="O1527" s="4">
        <f t="shared" si="6"/>
        <v>5932.571429</v>
      </c>
      <c r="P1527" s="2">
        <v>0.0</v>
      </c>
      <c r="Q1527" s="3">
        <f t="shared" si="7"/>
        <v>0</v>
      </c>
      <c r="R1527" s="2">
        <v>79.0</v>
      </c>
      <c r="S1527" s="5">
        <f t="shared" si="8"/>
        <v>1</v>
      </c>
    </row>
    <row r="1528">
      <c r="A1528" s="2" t="s">
        <v>1539</v>
      </c>
      <c r="B1528" s="2">
        <v>492.0</v>
      </c>
      <c r="C1528" s="2">
        <v>5764.0</v>
      </c>
      <c r="D1528" s="2">
        <v>1657.0</v>
      </c>
      <c r="E1528" s="3">
        <f t="shared" si="1"/>
        <v>0.3143019727</v>
      </c>
      <c r="F1528" s="2">
        <v>760.0</v>
      </c>
      <c r="G1528" s="3">
        <f t="shared" si="2"/>
        <v>0.1441578149</v>
      </c>
      <c r="H1528" s="2">
        <v>1110.0</v>
      </c>
      <c r="I1528" s="3">
        <f t="shared" si="3"/>
        <v>0.2105462822</v>
      </c>
      <c r="J1528" s="2">
        <v>973.0</v>
      </c>
      <c r="K1528" s="3">
        <f t="shared" si="4"/>
        <v>0.1845599393</v>
      </c>
      <c r="L1528" s="2">
        <v>687.0</v>
      </c>
      <c r="M1528" s="3">
        <f t="shared" si="5"/>
        <v>0.6189189189</v>
      </c>
      <c r="N1528" s="2">
        <v>6463400.0</v>
      </c>
      <c r="O1528" s="4">
        <f t="shared" si="6"/>
        <v>5822.882883</v>
      </c>
      <c r="P1528" s="2">
        <v>1.0</v>
      </c>
      <c r="Q1528" s="3">
        <f t="shared" si="7"/>
        <v>0.002032520325</v>
      </c>
      <c r="R1528" s="2">
        <v>492.0</v>
      </c>
      <c r="S1528" s="5">
        <f t="shared" si="8"/>
        <v>1</v>
      </c>
    </row>
    <row r="1529">
      <c r="A1529" s="2" t="s">
        <v>1540</v>
      </c>
      <c r="B1529" s="2">
        <v>2480.0</v>
      </c>
      <c r="C1529" s="2">
        <v>28854.0</v>
      </c>
      <c r="D1529" s="2">
        <v>8726.0</v>
      </c>
      <c r="E1529" s="3">
        <f t="shared" si="1"/>
        <v>0.3308561462</v>
      </c>
      <c r="F1529" s="2">
        <v>3802.0</v>
      </c>
      <c r="G1529" s="3">
        <f t="shared" si="2"/>
        <v>0.1441571244</v>
      </c>
      <c r="H1529" s="2">
        <v>5190.0</v>
      </c>
      <c r="I1529" s="3">
        <f t="shared" si="3"/>
        <v>0.1967847122</v>
      </c>
      <c r="J1529" s="2">
        <v>4973.0</v>
      </c>
      <c r="K1529" s="3">
        <f t="shared" si="4"/>
        <v>0.1885569121</v>
      </c>
      <c r="L1529" s="2">
        <v>3037.0</v>
      </c>
      <c r="M1529" s="3">
        <f t="shared" si="5"/>
        <v>0.5851637765</v>
      </c>
      <c r="N1529" s="2">
        <v>3.32469E7</v>
      </c>
      <c r="O1529" s="4">
        <f t="shared" si="6"/>
        <v>6405.953757</v>
      </c>
      <c r="P1529" s="2">
        <v>7.0</v>
      </c>
      <c r="Q1529" s="3">
        <f t="shared" si="7"/>
        <v>0.002822580645</v>
      </c>
      <c r="R1529" s="2">
        <v>2480.0</v>
      </c>
      <c r="S1529" s="5">
        <f t="shared" si="8"/>
        <v>1</v>
      </c>
    </row>
    <row r="1530">
      <c r="A1530" s="2" t="s">
        <v>1541</v>
      </c>
      <c r="B1530" s="2">
        <v>64.0</v>
      </c>
      <c r="C1530" s="2">
        <v>730.0</v>
      </c>
      <c r="D1530" s="2">
        <v>234.0</v>
      </c>
      <c r="E1530" s="3">
        <f t="shared" si="1"/>
        <v>0.3513513514</v>
      </c>
      <c r="F1530" s="2">
        <v>96.0</v>
      </c>
      <c r="G1530" s="3">
        <f t="shared" si="2"/>
        <v>0.1441441441</v>
      </c>
      <c r="H1530" s="2">
        <v>134.0</v>
      </c>
      <c r="I1530" s="3">
        <f t="shared" si="3"/>
        <v>0.2012012012</v>
      </c>
      <c r="J1530" s="2">
        <v>121.0</v>
      </c>
      <c r="K1530" s="3">
        <f t="shared" si="4"/>
        <v>0.1816816817</v>
      </c>
      <c r="L1530" s="2">
        <v>71.0</v>
      </c>
      <c r="M1530" s="3">
        <f t="shared" si="5"/>
        <v>0.5298507463</v>
      </c>
      <c r="N1530" s="2">
        <v>804200.0</v>
      </c>
      <c r="O1530" s="4">
        <f t="shared" si="6"/>
        <v>6001.492537</v>
      </c>
      <c r="P1530" s="2">
        <v>0.0</v>
      </c>
      <c r="Q1530" s="3">
        <f t="shared" si="7"/>
        <v>0</v>
      </c>
      <c r="R1530" s="2">
        <v>64.0</v>
      </c>
      <c r="S1530" s="5">
        <f t="shared" si="8"/>
        <v>1</v>
      </c>
    </row>
    <row r="1531">
      <c r="A1531" s="2" t="s">
        <v>1542</v>
      </c>
      <c r="B1531" s="2">
        <v>812.0</v>
      </c>
      <c r="C1531" s="2">
        <v>9359.0</v>
      </c>
      <c r="D1531" s="2">
        <v>3458.0</v>
      </c>
      <c r="E1531" s="3">
        <f t="shared" si="1"/>
        <v>0.4045864046</v>
      </c>
      <c r="F1531" s="2">
        <v>1232.0</v>
      </c>
      <c r="G1531" s="3">
        <f t="shared" si="2"/>
        <v>0.1441441441</v>
      </c>
      <c r="H1531" s="2">
        <v>1876.0</v>
      </c>
      <c r="I1531" s="3">
        <f t="shared" si="3"/>
        <v>0.2194922195</v>
      </c>
      <c r="J1531" s="2">
        <v>1398.0</v>
      </c>
      <c r="K1531" s="3">
        <f t="shared" si="4"/>
        <v>0.1635661636</v>
      </c>
      <c r="L1531" s="2">
        <v>1178.0</v>
      </c>
      <c r="M1531" s="3">
        <f t="shared" si="5"/>
        <v>0.6279317697</v>
      </c>
      <c r="N1531" s="2">
        <v>1.01255E7</v>
      </c>
      <c r="O1531" s="4">
        <f t="shared" si="6"/>
        <v>5397.38806</v>
      </c>
      <c r="P1531" s="2">
        <v>2.0</v>
      </c>
      <c r="Q1531" s="3">
        <f t="shared" si="7"/>
        <v>0.002463054187</v>
      </c>
      <c r="R1531" s="2">
        <v>772.0</v>
      </c>
      <c r="S1531" s="5">
        <f t="shared" si="8"/>
        <v>0.9507389163</v>
      </c>
    </row>
    <row r="1532">
      <c r="A1532" s="2" t="s">
        <v>1543</v>
      </c>
      <c r="B1532" s="2">
        <v>583.0</v>
      </c>
      <c r="C1532" s="2">
        <v>6883.0</v>
      </c>
      <c r="D1532" s="2">
        <v>2258.0</v>
      </c>
      <c r="E1532" s="3">
        <f t="shared" si="1"/>
        <v>0.3584126984</v>
      </c>
      <c r="F1532" s="2">
        <v>908.0</v>
      </c>
      <c r="G1532" s="3">
        <f t="shared" si="2"/>
        <v>0.1441269841</v>
      </c>
      <c r="H1532" s="2">
        <v>1394.0</v>
      </c>
      <c r="I1532" s="3">
        <f t="shared" si="3"/>
        <v>0.2212698413</v>
      </c>
      <c r="J1532" s="2">
        <v>1193.0</v>
      </c>
      <c r="K1532" s="3">
        <f t="shared" si="4"/>
        <v>0.1893650794</v>
      </c>
      <c r="L1532" s="2">
        <v>840.0</v>
      </c>
      <c r="M1532" s="3">
        <f t="shared" si="5"/>
        <v>0.6025824964</v>
      </c>
      <c r="N1532" s="2">
        <v>7992600.0</v>
      </c>
      <c r="O1532" s="4">
        <f t="shared" si="6"/>
        <v>5733.572453</v>
      </c>
      <c r="P1532" s="2">
        <v>1.0</v>
      </c>
      <c r="Q1532" s="3">
        <f t="shared" si="7"/>
        <v>0.001715265866</v>
      </c>
      <c r="R1532" s="2">
        <v>583.0</v>
      </c>
      <c r="S1532" s="5">
        <f t="shared" si="8"/>
        <v>1</v>
      </c>
    </row>
    <row r="1533">
      <c r="A1533" s="2" t="s">
        <v>1544</v>
      </c>
      <c r="B1533" s="2">
        <v>114.0</v>
      </c>
      <c r="C1533" s="2">
        <v>1356.0</v>
      </c>
      <c r="D1533" s="2">
        <v>408.0</v>
      </c>
      <c r="E1533" s="3">
        <f t="shared" si="1"/>
        <v>0.3285024155</v>
      </c>
      <c r="F1533" s="2">
        <v>179.0</v>
      </c>
      <c r="G1533" s="3">
        <f t="shared" si="2"/>
        <v>0.1441223833</v>
      </c>
      <c r="H1533" s="2">
        <v>247.0</v>
      </c>
      <c r="I1533" s="3">
        <f t="shared" si="3"/>
        <v>0.1988727858</v>
      </c>
      <c r="J1533" s="2">
        <v>229.0</v>
      </c>
      <c r="K1533" s="3">
        <f t="shared" si="4"/>
        <v>0.1843800322</v>
      </c>
      <c r="L1533" s="2">
        <v>144.0</v>
      </c>
      <c r="M1533" s="3">
        <f t="shared" si="5"/>
        <v>0.5829959514</v>
      </c>
      <c r="N1533" s="2">
        <v>1364200.0</v>
      </c>
      <c r="O1533" s="4">
        <f t="shared" si="6"/>
        <v>5523.076923</v>
      </c>
      <c r="P1533" s="2">
        <v>0.0</v>
      </c>
      <c r="Q1533" s="3">
        <f t="shared" si="7"/>
        <v>0</v>
      </c>
      <c r="R1533" s="2">
        <v>8.0</v>
      </c>
      <c r="S1533" s="5">
        <f t="shared" si="8"/>
        <v>0.0701754386</v>
      </c>
    </row>
    <row r="1534">
      <c r="A1534" s="2" t="s">
        <v>1545</v>
      </c>
      <c r="B1534" s="2">
        <v>824.0</v>
      </c>
      <c r="C1534" s="2">
        <v>9673.0</v>
      </c>
      <c r="D1534" s="2">
        <v>2746.0</v>
      </c>
      <c r="E1534" s="3">
        <f t="shared" si="1"/>
        <v>0.31031755</v>
      </c>
      <c r="F1534" s="2">
        <v>1275.0</v>
      </c>
      <c r="G1534" s="3">
        <f t="shared" si="2"/>
        <v>0.1440840773</v>
      </c>
      <c r="H1534" s="2">
        <v>1887.0</v>
      </c>
      <c r="I1534" s="3">
        <f t="shared" si="3"/>
        <v>0.2132444344</v>
      </c>
      <c r="J1534" s="2">
        <v>1528.0</v>
      </c>
      <c r="K1534" s="3">
        <f t="shared" si="4"/>
        <v>0.1726748785</v>
      </c>
      <c r="L1534" s="2">
        <v>1172.0</v>
      </c>
      <c r="M1534" s="3">
        <f t="shared" si="5"/>
        <v>0.6210916799</v>
      </c>
      <c r="N1534" s="2">
        <v>1.14291E7</v>
      </c>
      <c r="O1534" s="4">
        <f t="shared" si="6"/>
        <v>6056.756757</v>
      </c>
      <c r="P1534" s="2">
        <v>1.0</v>
      </c>
      <c r="Q1534" s="3">
        <f t="shared" si="7"/>
        <v>0.001213592233</v>
      </c>
      <c r="R1534" s="2">
        <v>159.0</v>
      </c>
      <c r="S1534" s="5">
        <f t="shared" si="8"/>
        <v>0.192961165</v>
      </c>
    </row>
    <row r="1535">
      <c r="A1535" s="2" t="s">
        <v>1546</v>
      </c>
      <c r="B1535" s="2">
        <v>176.0</v>
      </c>
      <c r="C1535" s="2">
        <v>2085.0</v>
      </c>
      <c r="D1535" s="2">
        <v>683.0</v>
      </c>
      <c r="E1535" s="3">
        <f t="shared" si="1"/>
        <v>0.3577789419</v>
      </c>
      <c r="F1535" s="2">
        <v>275.0</v>
      </c>
      <c r="G1535" s="3">
        <f t="shared" si="2"/>
        <v>0.1440544788</v>
      </c>
      <c r="H1535" s="2">
        <v>424.0</v>
      </c>
      <c r="I1535" s="3">
        <f t="shared" si="3"/>
        <v>0.2221058146</v>
      </c>
      <c r="J1535" s="2">
        <v>312.0</v>
      </c>
      <c r="K1535" s="3">
        <f t="shared" si="4"/>
        <v>0.1634363541</v>
      </c>
      <c r="L1535" s="2">
        <v>267.0</v>
      </c>
      <c r="M1535" s="3">
        <f t="shared" si="5"/>
        <v>0.6297169811</v>
      </c>
      <c r="N1535" s="2">
        <v>2302700.0</v>
      </c>
      <c r="O1535" s="4">
        <f t="shared" si="6"/>
        <v>5430.896226</v>
      </c>
      <c r="P1535" s="2">
        <v>0.0</v>
      </c>
      <c r="Q1535" s="3">
        <f t="shared" si="7"/>
        <v>0</v>
      </c>
      <c r="R1535" s="2">
        <v>176.0</v>
      </c>
      <c r="S1535" s="5">
        <f t="shared" si="8"/>
        <v>1</v>
      </c>
    </row>
    <row r="1536">
      <c r="A1536" s="2" t="s">
        <v>1547</v>
      </c>
      <c r="B1536" s="2">
        <v>211.0</v>
      </c>
      <c r="C1536" s="2">
        <v>2495.0</v>
      </c>
      <c r="D1536" s="2">
        <v>843.0</v>
      </c>
      <c r="E1536" s="3">
        <f t="shared" si="1"/>
        <v>0.369089317</v>
      </c>
      <c r="F1536" s="2">
        <v>329.0</v>
      </c>
      <c r="G1536" s="3">
        <f t="shared" si="2"/>
        <v>0.1440455342</v>
      </c>
      <c r="H1536" s="2">
        <v>524.0</v>
      </c>
      <c r="I1536" s="3">
        <f t="shared" si="3"/>
        <v>0.2294220665</v>
      </c>
      <c r="J1536" s="2">
        <v>361.0</v>
      </c>
      <c r="K1536" s="3">
        <f t="shared" si="4"/>
        <v>0.158056042</v>
      </c>
      <c r="L1536" s="2">
        <v>333.0</v>
      </c>
      <c r="M1536" s="3">
        <f t="shared" si="5"/>
        <v>0.6354961832</v>
      </c>
      <c r="N1536" s="2">
        <v>2947300.0</v>
      </c>
      <c r="O1536" s="4">
        <f t="shared" si="6"/>
        <v>5624.618321</v>
      </c>
      <c r="P1536" s="2">
        <v>1.0</v>
      </c>
      <c r="Q1536" s="3">
        <f t="shared" si="7"/>
        <v>0.004739336493</v>
      </c>
      <c r="R1536" s="2">
        <v>211.0</v>
      </c>
      <c r="S1536" s="5">
        <f t="shared" si="8"/>
        <v>1</v>
      </c>
    </row>
    <row r="1537">
      <c r="A1537" s="2" t="s">
        <v>1548</v>
      </c>
      <c r="B1537" s="2">
        <v>135.0</v>
      </c>
      <c r="C1537" s="2">
        <v>1586.0</v>
      </c>
      <c r="D1537" s="2">
        <v>510.0</v>
      </c>
      <c r="E1537" s="3">
        <f t="shared" si="1"/>
        <v>0.3514817367</v>
      </c>
      <c r="F1537" s="2">
        <v>209.0</v>
      </c>
      <c r="G1537" s="3">
        <f t="shared" si="2"/>
        <v>0.1440385941</v>
      </c>
      <c r="H1537" s="2">
        <v>313.0</v>
      </c>
      <c r="I1537" s="3">
        <f t="shared" si="3"/>
        <v>0.2157133012</v>
      </c>
      <c r="J1537" s="2">
        <v>275.0</v>
      </c>
      <c r="K1537" s="3">
        <f t="shared" si="4"/>
        <v>0.1895244659</v>
      </c>
      <c r="L1537" s="2">
        <v>188.0</v>
      </c>
      <c r="M1537" s="3">
        <f t="shared" si="5"/>
        <v>0.6006389776</v>
      </c>
      <c r="N1537" s="2">
        <v>1810100.0</v>
      </c>
      <c r="O1537" s="4">
        <f t="shared" si="6"/>
        <v>5783.067093</v>
      </c>
      <c r="P1537" s="2">
        <v>0.0</v>
      </c>
      <c r="Q1537" s="3">
        <f t="shared" si="7"/>
        <v>0</v>
      </c>
      <c r="R1537" s="2">
        <v>135.0</v>
      </c>
      <c r="S1537" s="5">
        <f t="shared" si="8"/>
        <v>1</v>
      </c>
    </row>
    <row r="1538">
      <c r="A1538" s="2" t="s">
        <v>1549</v>
      </c>
      <c r="B1538" s="2">
        <v>22.0</v>
      </c>
      <c r="C1538" s="2">
        <v>265.0</v>
      </c>
      <c r="D1538" s="2">
        <v>80.0</v>
      </c>
      <c r="E1538" s="3">
        <f t="shared" si="1"/>
        <v>0.329218107</v>
      </c>
      <c r="F1538" s="2">
        <v>35.0</v>
      </c>
      <c r="G1538" s="3">
        <f t="shared" si="2"/>
        <v>0.1440329218</v>
      </c>
      <c r="H1538" s="2">
        <v>52.0</v>
      </c>
      <c r="I1538" s="3">
        <f t="shared" si="3"/>
        <v>0.2139917695</v>
      </c>
      <c r="J1538" s="2">
        <v>45.0</v>
      </c>
      <c r="K1538" s="3">
        <f t="shared" si="4"/>
        <v>0.1851851852</v>
      </c>
      <c r="L1538" s="2">
        <v>29.0</v>
      </c>
      <c r="M1538" s="3">
        <f t="shared" si="5"/>
        <v>0.5576923077</v>
      </c>
      <c r="N1538" s="2">
        <v>304100.0</v>
      </c>
      <c r="O1538" s="4">
        <f t="shared" si="6"/>
        <v>5848.076923</v>
      </c>
      <c r="P1538" s="2">
        <v>0.0</v>
      </c>
      <c r="Q1538" s="3">
        <f t="shared" si="7"/>
        <v>0</v>
      </c>
      <c r="R1538" s="2">
        <v>22.0</v>
      </c>
      <c r="S1538" s="5">
        <f t="shared" si="8"/>
        <v>1</v>
      </c>
    </row>
    <row r="1539">
      <c r="A1539" s="2" t="s">
        <v>1550</v>
      </c>
      <c r="B1539" s="2">
        <v>415.0</v>
      </c>
      <c r="C1539" s="2">
        <v>4685.0</v>
      </c>
      <c r="D1539" s="2">
        <v>1617.0</v>
      </c>
      <c r="E1539" s="3">
        <f t="shared" si="1"/>
        <v>0.3786885246</v>
      </c>
      <c r="F1539" s="2">
        <v>615.0</v>
      </c>
      <c r="G1539" s="3">
        <f t="shared" si="2"/>
        <v>0.144028103</v>
      </c>
      <c r="H1539" s="2">
        <v>863.0</v>
      </c>
      <c r="I1539" s="3">
        <f t="shared" si="3"/>
        <v>0.2021077283</v>
      </c>
      <c r="J1539" s="2">
        <v>804.0</v>
      </c>
      <c r="K1539" s="3">
        <f t="shared" si="4"/>
        <v>0.1882903981</v>
      </c>
      <c r="L1539" s="2">
        <v>511.0</v>
      </c>
      <c r="M1539" s="3">
        <f t="shared" si="5"/>
        <v>0.5921205098</v>
      </c>
      <c r="N1539" s="2">
        <v>5270000.0</v>
      </c>
      <c r="O1539" s="4">
        <f t="shared" si="6"/>
        <v>6106.604867</v>
      </c>
      <c r="P1539" s="2">
        <v>5.0</v>
      </c>
      <c r="Q1539" s="3">
        <f t="shared" si="7"/>
        <v>0.01204819277</v>
      </c>
      <c r="R1539" s="2">
        <v>332.0</v>
      </c>
      <c r="S1539" s="5">
        <f t="shared" si="8"/>
        <v>0.8</v>
      </c>
    </row>
    <row r="1540">
      <c r="A1540" s="2" t="s">
        <v>1551</v>
      </c>
      <c r="B1540" s="2">
        <v>3327.0</v>
      </c>
      <c r="C1540" s="2">
        <v>38627.0</v>
      </c>
      <c r="D1540" s="2">
        <v>14532.0</v>
      </c>
      <c r="E1540" s="3">
        <f t="shared" si="1"/>
        <v>0.4116713881</v>
      </c>
      <c r="F1540" s="2">
        <v>5084.0</v>
      </c>
      <c r="G1540" s="3">
        <f t="shared" si="2"/>
        <v>0.1440226629</v>
      </c>
      <c r="H1540" s="2">
        <v>7976.0</v>
      </c>
      <c r="I1540" s="3">
        <f t="shared" si="3"/>
        <v>0.2259490085</v>
      </c>
      <c r="J1540" s="2">
        <v>5949.0</v>
      </c>
      <c r="K1540" s="3">
        <f t="shared" si="4"/>
        <v>0.1685269122</v>
      </c>
      <c r="L1540" s="2">
        <v>4775.0</v>
      </c>
      <c r="M1540" s="3">
        <f t="shared" si="5"/>
        <v>0.598671013</v>
      </c>
      <c r="N1540" s="2">
        <v>4.41365E7</v>
      </c>
      <c r="O1540" s="4">
        <f t="shared" si="6"/>
        <v>5533.66349</v>
      </c>
      <c r="P1540" s="2">
        <v>11.0</v>
      </c>
      <c r="Q1540" s="3">
        <f t="shared" si="7"/>
        <v>0.003306281936</v>
      </c>
      <c r="R1540" s="2">
        <v>2160.0</v>
      </c>
      <c r="S1540" s="5">
        <f t="shared" si="8"/>
        <v>0.6492335437</v>
      </c>
    </row>
    <row r="1541">
      <c r="A1541" s="2" t="s">
        <v>1552</v>
      </c>
      <c r="B1541" s="2">
        <v>35.0</v>
      </c>
      <c r="C1541" s="2">
        <v>403.0</v>
      </c>
      <c r="D1541" s="2">
        <v>102.0</v>
      </c>
      <c r="E1541" s="3">
        <f t="shared" si="1"/>
        <v>0.277173913</v>
      </c>
      <c r="F1541" s="2">
        <v>53.0</v>
      </c>
      <c r="G1541" s="3">
        <f t="shared" si="2"/>
        <v>0.1440217391</v>
      </c>
      <c r="H1541" s="2">
        <v>88.0</v>
      </c>
      <c r="I1541" s="3">
        <f t="shared" si="3"/>
        <v>0.2391304348</v>
      </c>
      <c r="J1541" s="2">
        <v>74.0</v>
      </c>
      <c r="K1541" s="3">
        <f t="shared" si="4"/>
        <v>0.2010869565</v>
      </c>
      <c r="L1541" s="2">
        <v>48.0</v>
      </c>
      <c r="M1541" s="3">
        <f t="shared" si="5"/>
        <v>0.5454545455</v>
      </c>
      <c r="N1541" s="2">
        <v>515900.0</v>
      </c>
      <c r="O1541" s="4">
        <f t="shared" si="6"/>
        <v>5862.5</v>
      </c>
      <c r="P1541" s="2">
        <v>0.0</v>
      </c>
      <c r="Q1541" s="3">
        <f t="shared" si="7"/>
        <v>0</v>
      </c>
      <c r="R1541" s="2">
        <v>35.0</v>
      </c>
      <c r="S1541" s="5">
        <f t="shared" si="8"/>
        <v>1</v>
      </c>
    </row>
    <row r="1542">
      <c r="A1542" s="2" t="s">
        <v>1553</v>
      </c>
      <c r="B1542" s="2">
        <v>1379.0</v>
      </c>
      <c r="C1542" s="2">
        <v>16231.0</v>
      </c>
      <c r="D1542" s="2">
        <v>5771.0</v>
      </c>
      <c r="E1542" s="3">
        <f t="shared" si="1"/>
        <v>0.3885671963</v>
      </c>
      <c r="F1542" s="2">
        <v>2139.0</v>
      </c>
      <c r="G1542" s="3">
        <f t="shared" si="2"/>
        <v>0.1440210073</v>
      </c>
      <c r="H1542" s="2">
        <v>3202.0</v>
      </c>
      <c r="I1542" s="3">
        <f t="shared" si="3"/>
        <v>0.2155938594</v>
      </c>
      <c r="J1542" s="2">
        <v>2933.0</v>
      </c>
      <c r="K1542" s="3">
        <f t="shared" si="4"/>
        <v>0.1974818206</v>
      </c>
      <c r="L1542" s="2">
        <v>1895.0</v>
      </c>
      <c r="M1542" s="3">
        <f t="shared" si="5"/>
        <v>0.591817614</v>
      </c>
      <c r="N1542" s="2">
        <v>1.87589E7</v>
      </c>
      <c r="O1542" s="4">
        <f t="shared" si="6"/>
        <v>5858.494691</v>
      </c>
      <c r="P1542" s="2">
        <v>1.0</v>
      </c>
      <c r="Q1542" s="3">
        <f t="shared" si="7"/>
        <v>0.0007251631617</v>
      </c>
      <c r="R1542" s="2">
        <v>1379.0</v>
      </c>
      <c r="S1542" s="5">
        <f t="shared" si="8"/>
        <v>1</v>
      </c>
    </row>
    <row r="1543">
      <c r="A1543" s="2" t="s">
        <v>1554</v>
      </c>
      <c r="B1543" s="2">
        <v>182.0</v>
      </c>
      <c r="C1543" s="2">
        <v>2147.0</v>
      </c>
      <c r="D1543" s="2">
        <v>689.0</v>
      </c>
      <c r="E1543" s="3">
        <f t="shared" si="1"/>
        <v>0.3506361323</v>
      </c>
      <c r="F1543" s="2">
        <v>283.0</v>
      </c>
      <c r="G1543" s="3">
        <f t="shared" si="2"/>
        <v>0.1440203562</v>
      </c>
      <c r="H1543" s="2">
        <v>421.0</v>
      </c>
      <c r="I1543" s="3">
        <f t="shared" si="3"/>
        <v>0.2142493639</v>
      </c>
      <c r="J1543" s="2">
        <v>312.0</v>
      </c>
      <c r="K1543" s="3">
        <f t="shared" si="4"/>
        <v>0.158778626</v>
      </c>
      <c r="L1543" s="2">
        <v>254.0</v>
      </c>
      <c r="M1543" s="3">
        <f t="shared" si="5"/>
        <v>0.6033254157</v>
      </c>
      <c r="N1543" s="2">
        <v>2252700.0</v>
      </c>
      <c r="O1543" s="4">
        <f t="shared" si="6"/>
        <v>5350.831354</v>
      </c>
      <c r="P1543" s="2">
        <v>0.0</v>
      </c>
      <c r="Q1543" s="3">
        <f t="shared" si="7"/>
        <v>0</v>
      </c>
      <c r="R1543" s="2">
        <v>182.0</v>
      </c>
      <c r="S1543" s="5">
        <f t="shared" si="8"/>
        <v>1</v>
      </c>
    </row>
    <row r="1544">
      <c r="A1544" s="2" t="s">
        <v>1555</v>
      </c>
      <c r="B1544" s="2">
        <v>206.0</v>
      </c>
      <c r="C1544" s="2">
        <v>2394.0</v>
      </c>
      <c r="D1544" s="2">
        <v>781.0</v>
      </c>
      <c r="E1544" s="3">
        <f t="shared" si="1"/>
        <v>0.3569469835</v>
      </c>
      <c r="F1544" s="2">
        <v>315.0</v>
      </c>
      <c r="G1544" s="3">
        <f t="shared" si="2"/>
        <v>0.1439670932</v>
      </c>
      <c r="H1544" s="2">
        <v>414.0</v>
      </c>
      <c r="I1544" s="3">
        <f t="shared" si="3"/>
        <v>0.189213894</v>
      </c>
      <c r="J1544" s="2">
        <v>345.0</v>
      </c>
      <c r="K1544" s="3">
        <f t="shared" si="4"/>
        <v>0.157678245</v>
      </c>
      <c r="L1544" s="2">
        <v>245.0</v>
      </c>
      <c r="M1544" s="3">
        <f t="shared" si="5"/>
        <v>0.5917874396</v>
      </c>
      <c r="N1544" s="2">
        <v>2253800.0</v>
      </c>
      <c r="O1544" s="4">
        <f t="shared" si="6"/>
        <v>5443.961353</v>
      </c>
      <c r="P1544" s="2">
        <v>0.0</v>
      </c>
      <c r="Q1544" s="3">
        <f t="shared" si="7"/>
        <v>0</v>
      </c>
      <c r="R1544" s="2">
        <v>206.0</v>
      </c>
      <c r="S1544" s="5">
        <f t="shared" si="8"/>
        <v>1</v>
      </c>
    </row>
    <row r="1545">
      <c r="A1545" s="2" t="s">
        <v>1556</v>
      </c>
      <c r="B1545" s="2">
        <v>85.0</v>
      </c>
      <c r="C1545" s="2">
        <v>988.0</v>
      </c>
      <c r="D1545" s="2">
        <v>288.0</v>
      </c>
      <c r="E1545" s="3">
        <f t="shared" si="1"/>
        <v>0.3189368771</v>
      </c>
      <c r="F1545" s="2">
        <v>130.0</v>
      </c>
      <c r="G1545" s="3">
        <f t="shared" si="2"/>
        <v>0.1439645626</v>
      </c>
      <c r="H1545" s="2">
        <v>185.0</v>
      </c>
      <c r="I1545" s="3">
        <f t="shared" si="3"/>
        <v>0.2048726467</v>
      </c>
      <c r="J1545" s="2">
        <v>135.0</v>
      </c>
      <c r="K1545" s="3">
        <f t="shared" si="4"/>
        <v>0.1495016611</v>
      </c>
      <c r="L1545" s="2">
        <v>114.0</v>
      </c>
      <c r="M1545" s="3">
        <f t="shared" si="5"/>
        <v>0.6162162162</v>
      </c>
      <c r="N1545" s="2">
        <v>1006200.0</v>
      </c>
      <c r="O1545" s="4">
        <f t="shared" si="6"/>
        <v>5438.918919</v>
      </c>
      <c r="P1545" s="2">
        <v>0.0</v>
      </c>
      <c r="Q1545" s="3">
        <f t="shared" si="7"/>
        <v>0</v>
      </c>
      <c r="R1545" s="2">
        <v>0.0</v>
      </c>
      <c r="S1545" s="5">
        <f t="shared" si="8"/>
        <v>0</v>
      </c>
    </row>
    <row r="1546">
      <c r="A1546" s="2" t="s">
        <v>1557</v>
      </c>
      <c r="B1546" s="2">
        <v>231.0</v>
      </c>
      <c r="C1546" s="2">
        <v>2683.0</v>
      </c>
      <c r="D1546" s="2">
        <v>911.0</v>
      </c>
      <c r="E1546" s="3">
        <f t="shared" si="1"/>
        <v>0.3715334421</v>
      </c>
      <c r="F1546" s="2">
        <v>353.0</v>
      </c>
      <c r="G1546" s="3">
        <f t="shared" si="2"/>
        <v>0.1439641109</v>
      </c>
      <c r="H1546" s="2">
        <v>546.0</v>
      </c>
      <c r="I1546" s="3">
        <f t="shared" si="3"/>
        <v>0.222675367</v>
      </c>
      <c r="J1546" s="2">
        <v>492.0</v>
      </c>
      <c r="K1546" s="3">
        <f t="shared" si="4"/>
        <v>0.2006525285</v>
      </c>
      <c r="L1546" s="2">
        <v>326.0</v>
      </c>
      <c r="M1546" s="3">
        <f t="shared" si="5"/>
        <v>0.5970695971</v>
      </c>
      <c r="N1546" s="2">
        <v>3160900.0</v>
      </c>
      <c r="O1546" s="4">
        <f t="shared" si="6"/>
        <v>5789.194139</v>
      </c>
      <c r="P1546" s="2">
        <v>0.0</v>
      </c>
      <c r="Q1546" s="3">
        <f t="shared" si="7"/>
        <v>0</v>
      </c>
      <c r="R1546" s="2">
        <v>1.0</v>
      </c>
      <c r="S1546" s="5">
        <f t="shared" si="8"/>
        <v>0.004329004329</v>
      </c>
    </row>
    <row r="1547">
      <c r="A1547" s="2" t="s">
        <v>1558</v>
      </c>
      <c r="B1547" s="2">
        <v>50.0</v>
      </c>
      <c r="C1547" s="2">
        <v>578.0</v>
      </c>
      <c r="D1547" s="2">
        <v>174.0</v>
      </c>
      <c r="E1547" s="3">
        <f t="shared" si="1"/>
        <v>0.3295454545</v>
      </c>
      <c r="F1547" s="2">
        <v>76.0</v>
      </c>
      <c r="G1547" s="3">
        <f t="shared" si="2"/>
        <v>0.1439393939</v>
      </c>
      <c r="H1547" s="2">
        <v>102.0</v>
      </c>
      <c r="I1547" s="3">
        <f t="shared" si="3"/>
        <v>0.1931818182</v>
      </c>
      <c r="J1547" s="2">
        <v>75.0</v>
      </c>
      <c r="K1547" s="3">
        <f t="shared" si="4"/>
        <v>0.1420454545</v>
      </c>
      <c r="L1547" s="2">
        <v>60.0</v>
      </c>
      <c r="M1547" s="3">
        <f t="shared" si="5"/>
        <v>0.5882352941</v>
      </c>
      <c r="N1547" s="2">
        <v>487800.0</v>
      </c>
      <c r="O1547" s="4">
        <f t="shared" si="6"/>
        <v>4782.352941</v>
      </c>
      <c r="P1547" s="2">
        <v>0.0</v>
      </c>
      <c r="Q1547" s="3">
        <f t="shared" si="7"/>
        <v>0</v>
      </c>
      <c r="R1547" s="2">
        <v>0.0</v>
      </c>
      <c r="S1547" s="5">
        <f t="shared" si="8"/>
        <v>0</v>
      </c>
    </row>
    <row r="1548">
      <c r="A1548" s="2" t="s">
        <v>1559</v>
      </c>
      <c r="B1548" s="2">
        <v>234.0</v>
      </c>
      <c r="C1548" s="2">
        <v>2756.0</v>
      </c>
      <c r="D1548" s="2">
        <v>884.0</v>
      </c>
      <c r="E1548" s="3">
        <f t="shared" si="1"/>
        <v>0.3505154639</v>
      </c>
      <c r="F1548" s="2">
        <v>363.0</v>
      </c>
      <c r="G1548" s="3">
        <f t="shared" si="2"/>
        <v>0.1439333862</v>
      </c>
      <c r="H1548" s="2">
        <v>525.0</v>
      </c>
      <c r="I1548" s="3">
        <f t="shared" si="3"/>
        <v>0.2081681205</v>
      </c>
      <c r="J1548" s="2">
        <v>450.0</v>
      </c>
      <c r="K1548" s="3">
        <f t="shared" si="4"/>
        <v>0.1784298176</v>
      </c>
      <c r="L1548" s="2">
        <v>289.0</v>
      </c>
      <c r="M1548" s="3">
        <f t="shared" si="5"/>
        <v>0.5504761905</v>
      </c>
      <c r="N1548" s="2">
        <v>3038600.0</v>
      </c>
      <c r="O1548" s="4">
        <f t="shared" si="6"/>
        <v>5787.809524</v>
      </c>
      <c r="P1548" s="2">
        <v>1.0</v>
      </c>
      <c r="Q1548" s="3">
        <f t="shared" si="7"/>
        <v>0.004273504274</v>
      </c>
      <c r="R1548" s="2">
        <v>208.0</v>
      </c>
      <c r="S1548" s="5">
        <f t="shared" si="8"/>
        <v>0.8888888889</v>
      </c>
    </row>
    <row r="1549">
      <c r="A1549" s="2" t="s">
        <v>1560</v>
      </c>
      <c r="B1549" s="2">
        <v>302.0</v>
      </c>
      <c r="C1549" s="2">
        <v>3498.0</v>
      </c>
      <c r="D1549" s="2">
        <v>1028.0</v>
      </c>
      <c r="E1549" s="3">
        <f t="shared" si="1"/>
        <v>0.3216520651</v>
      </c>
      <c r="F1549" s="2">
        <v>460.0</v>
      </c>
      <c r="G1549" s="3">
        <f t="shared" si="2"/>
        <v>0.1439299124</v>
      </c>
      <c r="H1549" s="2">
        <v>643.0</v>
      </c>
      <c r="I1549" s="3">
        <f t="shared" si="3"/>
        <v>0.2011889862</v>
      </c>
      <c r="J1549" s="2">
        <v>549.0</v>
      </c>
      <c r="K1549" s="3">
        <f t="shared" si="4"/>
        <v>0.1717772215</v>
      </c>
      <c r="L1549" s="2">
        <v>396.0</v>
      </c>
      <c r="M1549" s="3">
        <f t="shared" si="5"/>
        <v>0.6158631415</v>
      </c>
      <c r="N1549" s="2">
        <v>3839700.0</v>
      </c>
      <c r="O1549" s="4">
        <f t="shared" si="6"/>
        <v>5971.539658</v>
      </c>
      <c r="P1549" s="2">
        <v>1.0</v>
      </c>
      <c r="Q1549" s="3">
        <f t="shared" si="7"/>
        <v>0.003311258278</v>
      </c>
      <c r="R1549" s="2">
        <v>302.0</v>
      </c>
      <c r="S1549" s="5">
        <f t="shared" si="8"/>
        <v>1</v>
      </c>
    </row>
    <row r="1550">
      <c r="A1550" s="2" t="s">
        <v>1561</v>
      </c>
      <c r="B1550" s="2">
        <v>48.0</v>
      </c>
      <c r="C1550" s="2">
        <v>583.0</v>
      </c>
      <c r="D1550" s="2">
        <v>220.0</v>
      </c>
      <c r="E1550" s="3">
        <f t="shared" si="1"/>
        <v>0.4112149533</v>
      </c>
      <c r="F1550" s="2">
        <v>77.0</v>
      </c>
      <c r="G1550" s="3">
        <f t="shared" si="2"/>
        <v>0.1439252336</v>
      </c>
      <c r="H1550" s="2">
        <v>111.0</v>
      </c>
      <c r="I1550" s="3">
        <f t="shared" si="3"/>
        <v>0.2074766355</v>
      </c>
      <c r="J1550" s="2">
        <v>76.0</v>
      </c>
      <c r="K1550" s="3">
        <f t="shared" si="4"/>
        <v>0.1420560748</v>
      </c>
      <c r="L1550" s="2">
        <v>69.0</v>
      </c>
      <c r="M1550" s="3">
        <f t="shared" si="5"/>
        <v>0.6216216216</v>
      </c>
      <c r="N1550" s="2">
        <v>549700.0</v>
      </c>
      <c r="O1550" s="4">
        <f t="shared" si="6"/>
        <v>4952.252252</v>
      </c>
      <c r="P1550" s="2">
        <v>0.0</v>
      </c>
      <c r="Q1550" s="3">
        <f t="shared" si="7"/>
        <v>0</v>
      </c>
      <c r="R1550" s="2">
        <v>0.0</v>
      </c>
      <c r="S1550" s="5">
        <f t="shared" si="8"/>
        <v>0</v>
      </c>
    </row>
    <row r="1551">
      <c r="A1551" s="2" t="s">
        <v>1562</v>
      </c>
      <c r="B1551" s="2">
        <v>127.0</v>
      </c>
      <c r="C1551" s="2">
        <v>1468.0</v>
      </c>
      <c r="D1551" s="2">
        <v>457.0</v>
      </c>
      <c r="E1551" s="3">
        <f t="shared" si="1"/>
        <v>0.3407904549</v>
      </c>
      <c r="F1551" s="2">
        <v>193.0</v>
      </c>
      <c r="G1551" s="3">
        <f t="shared" si="2"/>
        <v>0.1439224459</v>
      </c>
      <c r="H1551" s="2">
        <v>235.0</v>
      </c>
      <c r="I1551" s="3">
        <f t="shared" si="3"/>
        <v>0.1752423565</v>
      </c>
      <c r="J1551" s="2">
        <v>237.0</v>
      </c>
      <c r="K1551" s="3">
        <f t="shared" si="4"/>
        <v>0.1767337808</v>
      </c>
      <c r="L1551" s="2">
        <v>132.0</v>
      </c>
      <c r="M1551" s="3">
        <f t="shared" si="5"/>
        <v>0.5617021277</v>
      </c>
      <c r="N1551" s="2">
        <v>1392100.0</v>
      </c>
      <c r="O1551" s="4">
        <f t="shared" si="6"/>
        <v>5923.829787</v>
      </c>
      <c r="P1551" s="2">
        <v>0.0</v>
      </c>
      <c r="Q1551" s="3">
        <f t="shared" si="7"/>
        <v>0</v>
      </c>
      <c r="R1551" s="2">
        <v>127.0</v>
      </c>
      <c r="S1551" s="5">
        <f t="shared" si="8"/>
        <v>1</v>
      </c>
    </row>
    <row r="1552">
      <c r="A1552" s="2" t="s">
        <v>1563</v>
      </c>
      <c r="B1552" s="2">
        <v>1912.0</v>
      </c>
      <c r="C1552" s="2">
        <v>22008.0</v>
      </c>
      <c r="D1552" s="2">
        <v>6591.0</v>
      </c>
      <c r="E1552" s="3">
        <f t="shared" si="1"/>
        <v>0.3279757166</v>
      </c>
      <c r="F1552" s="2">
        <v>2892.0</v>
      </c>
      <c r="G1552" s="3">
        <f t="shared" si="2"/>
        <v>0.1439092357</v>
      </c>
      <c r="H1552" s="2">
        <v>4329.0</v>
      </c>
      <c r="I1552" s="3">
        <f t="shared" si="3"/>
        <v>0.2154160032</v>
      </c>
      <c r="J1552" s="2">
        <v>3956.0</v>
      </c>
      <c r="K1552" s="3">
        <f t="shared" si="4"/>
        <v>0.1968550955</v>
      </c>
      <c r="L1552" s="2">
        <v>2636.0</v>
      </c>
      <c r="M1552" s="3">
        <f t="shared" si="5"/>
        <v>0.6089166089</v>
      </c>
      <c r="N1552" s="2">
        <v>2.60984E7</v>
      </c>
      <c r="O1552" s="4">
        <f t="shared" si="6"/>
        <v>6028.736429</v>
      </c>
      <c r="P1552" s="2">
        <v>6.0</v>
      </c>
      <c r="Q1552" s="3">
        <f t="shared" si="7"/>
        <v>0.003138075314</v>
      </c>
      <c r="R1552" s="2">
        <v>1912.0</v>
      </c>
      <c r="S1552" s="5">
        <f t="shared" si="8"/>
        <v>1</v>
      </c>
    </row>
    <row r="1553">
      <c r="A1553" s="2" t="s">
        <v>1564</v>
      </c>
      <c r="B1553" s="2">
        <v>65.0</v>
      </c>
      <c r="C1553" s="2">
        <v>753.0</v>
      </c>
      <c r="D1553" s="2">
        <v>239.0</v>
      </c>
      <c r="E1553" s="3">
        <f t="shared" si="1"/>
        <v>0.3473837209</v>
      </c>
      <c r="F1553" s="2">
        <v>99.0</v>
      </c>
      <c r="G1553" s="3">
        <f t="shared" si="2"/>
        <v>0.1438953488</v>
      </c>
      <c r="H1553" s="2">
        <v>158.0</v>
      </c>
      <c r="I1553" s="3">
        <f t="shared" si="3"/>
        <v>0.2296511628</v>
      </c>
      <c r="J1553" s="2">
        <v>142.0</v>
      </c>
      <c r="K1553" s="3">
        <f t="shared" si="4"/>
        <v>0.2063953488</v>
      </c>
      <c r="L1553" s="2">
        <v>91.0</v>
      </c>
      <c r="M1553" s="3">
        <f t="shared" si="5"/>
        <v>0.5759493671</v>
      </c>
      <c r="N1553" s="2">
        <v>956100.0</v>
      </c>
      <c r="O1553" s="4">
        <f t="shared" si="6"/>
        <v>6051.265823</v>
      </c>
      <c r="P1553" s="2">
        <v>1.0</v>
      </c>
      <c r="Q1553" s="3">
        <f t="shared" si="7"/>
        <v>0.01538461538</v>
      </c>
      <c r="R1553" s="2">
        <v>65.0</v>
      </c>
      <c r="S1553" s="5">
        <f t="shared" si="8"/>
        <v>1</v>
      </c>
    </row>
    <row r="1554">
      <c r="A1554" s="2" t="s">
        <v>1565</v>
      </c>
      <c r="B1554" s="2">
        <v>13.0</v>
      </c>
      <c r="C1554" s="2">
        <v>152.0</v>
      </c>
      <c r="D1554" s="2">
        <v>42.0</v>
      </c>
      <c r="E1554" s="3">
        <f t="shared" si="1"/>
        <v>0.3021582734</v>
      </c>
      <c r="F1554" s="2">
        <v>20.0</v>
      </c>
      <c r="G1554" s="3">
        <f t="shared" si="2"/>
        <v>0.1438848921</v>
      </c>
      <c r="H1554" s="2">
        <v>26.0</v>
      </c>
      <c r="I1554" s="3">
        <f t="shared" si="3"/>
        <v>0.1870503597</v>
      </c>
      <c r="J1554" s="2">
        <v>32.0</v>
      </c>
      <c r="K1554" s="3">
        <f t="shared" si="4"/>
        <v>0.2302158273</v>
      </c>
      <c r="L1554" s="2">
        <v>12.0</v>
      </c>
      <c r="M1554" s="3">
        <f t="shared" si="5"/>
        <v>0.4615384615</v>
      </c>
      <c r="N1554" s="2">
        <v>114000.0</v>
      </c>
      <c r="O1554" s="4">
        <f t="shared" si="6"/>
        <v>4384.615385</v>
      </c>
      <c r="P1554" s="2">
        <v>0.0</v>
      </c>
      <c r="Q1554" s="3">
        <f t="shared" si="7"/>
        <v>0</v>
      </c>
      <c r="R1554" s="2">
        <v>13.0</v>
      </c>
      <c r="S1554" s="5">
        <f t="shared" si="8"/>
        <v>1</v>
      </c>
    </row>
    <row r="1555">
      <c r="A1555" s="2" t="s">
        <v>1566</v>
      </c>
      <c r="B1555" s="2">
        <v>190.0</v>
      </c>
      <c r="C1555" s="2">
        <v>2275.0</v>
      </c>
      <c r="D1555" s="2">
        <v>729.0</v>
      </c>
      <c r="E1555" s="3">
        <f t="shared" si="1"/>
        <v>0.3496402878</v>
      </c>
      <c r="F1555" s="2">
        <v>300.0</v>
      </c>
      <c r="G1555" s="3">
        <f t="shared" si="2"/>
        <v>0.1438848921</v>
      </c>
      <c r="H1555" s="2">
        <v>441.0</v>
      </c>
      <c r="I1555" s="3">
        <f t="shared" si="3"/>
        <v>0.2115107914</v>
      </c>
      <c r="J1555" s="2">
        <v>320.0</v>
      </c>
      <c r="K1555" s="3">
        <f t="shared" si="4"/>
        <v>0.1534772182</v>
      </c>
      <c r="L1555" s="2">
        <v>266.0</v>
      </c>
      <c r="M1555" s="3">
        <f t="shared" si="5"/>
        <v>0.6031746032</v>
      </c>
      <c r="N1555" s="2">
        <v>2503500.0</v>
      </c>
      <c r="O1555" s="4">
        <f t="shared" si="6"/>
        <v>5676.870748</v>
      </c>
      <c r="P1555" s="2">
        <v>0.0</v>
      </c>
      <c r="Q1555" s="3">
        <f t="shared" si="7"/>
        <v>0</v>
      </c>
      <c r="R1555" s="2">
        <v>190.0</v>
      </c>
      <c r="S1555" s="5">
        <f t="shared" si="8"/>
        <v>1</v>
      </c>
    </row>
    <row r="1556">
      <c r="A1556" s="2" t="s">
        <v>1567</v>
      </c>
      <c r="B1556" s="2">
        <v>378.0</v>
      </c>
      <c r="C1556" s="2">
        <v>4444.0</v>
      </c>
      <c r="D1556" s="2">
        <v>1494.0</v>
      </c>
      <c r="E1556" s="3">
        <f t="shared" si="1"/>
        <v>0.3674372848</v>
      </c>
      <c r="F1556" s="2">
        <v>585.0</v>
      </c>
      <c r="G1556" s="3">
        <f t="shared" si="2"/>
        <v>0.1438760453</v>
      </c>
      <c r="H1556" s="2">
        <v>878.0</v>
      </c>
      <c r="I1556" s="3">
        <f t="shared" si="3"/>
        <v>0.2159370389</v>
      </c>
      <c r="J1556" s="2">
        <v>650.0</v>
      </c>
      <c r="K1556" s="3">
        <f t="shared" si="4"/>
        <v>0.1598622725</v>
      </c>
      <c r="L1556" s="2">
        <v>532.0</v>
      </c>
      <c r="M1556" s="3">
        <f t="shared" si="5"/>
        <v>0.6059225513</v>
      </c>
      <c r="N1556" s="2">
        <v>4829900.0</v>
      </c>
      <c r="O1556" s="4">
        <f t="shared" si="6"/>
        <v>5501.025057</v>
      </c>
      <c r="P1556" s="2">
        <v>2.0</v>
      </c>
      <c r="Q1556" s="3">
        <f t="shared" si="7"/>
        <v>0.005291005291</v>
      </c>
      <c r="R1556" s="2">
        <v>0.0</v>
      </c>
      <c r="S1556" s="5">
        <f t="shared" si="8"/>
        <v>0</v>
      </c>
    </row>
    <row r="1557">
      <c r="A1557" s="2" t="s">
        <v>1568</v>
      </c>
      <c r="B1557" s="2">
        <v>368.0</v>
      </c>
      <c r="C1557" s="2">
        <v>4184.0</v>
      </c>
      <c r="D1557" s="2">
        <v>1423.0</v>
      </c>
      <c r="E1557" s="3">
        <f t="shared" si="1"/>
        <v>0.3729035639</v>
      </c>
      <c r="F1557" s="2">
        <v>549.0</v>
      </c>
      <c r="G1557" s="3">
        <f t="shared" si="2"/>
        <v>0.1438679245</v>
      </c>
      <c r="H1557" s="2">
        <v>847.0</v>
      </c>
      <c r="I1557" s="3">
        <f t="shared" si="3"/>
        <v>0.2219601677</v>
      </c>
      <c r="J1557" s="2">
        <v>665.0</v>
      </c>
      <c r="K1557" s="3">
        <f t="shared" si="4"/>
        <v>0.1742662474</v>
      </c>
      <c r="L1557" s="2">
        <v>518.0</v>
      </c>
      <c r="M1557" s="3">
        <f t="shared" si="5"/>
        <v>0.6115702479</v>
      </c>
      <c r="N1557" s="2">
        <v>4770700.0</v>
      </c>
      <c r="O1557" s="4">
        <f t="shared" si="6"/>
        <v>5632.467532</v>
      </c>
      <c r="P1557" s="2">
        <v>0.0</v>
      </c>
      <c r="Q1557" s="3">
        <f t="shared" si="7"/>
        <v>0</v>
      </c>
      <c r="R1557" s="2">
        <v>368.0</v>
      </c>
      <c r="S1557" s="5">
        <f t="shared" si="8"/>
        <v>1</v>
      </c>
    </row>
    <row r="1558">
      <c r="A1558" s="2" t="s">
        <v>1569</v>
      </c>
      <c r="B1558" s="2">
        <v>345.0</v>
      </c>
      <c r="C1558" s="2">
        <v>4022.0</v>
      </c>
      <c r="D1558" s="2">
        <v>1083.0</v>
      </c>
      <c r="E1558" s="3">
        <f t="shared" si="1"/>
        <v>0.2945335872</v>
      </c>
      <c r="F1558" s="2">
        <v>529.0</v>
      </c>
      <c r="G1558" s="3">
        <f t="shared" si="2"/>
        <v>0.1438672831</v>
      </c>
      <c r="H1558" s="2">
        <v>754.0</v>
      </c>
      <c r="I1558" s="3">
        <f t="shared" si="3"/>
        <v>0.2050584716</v>
      </c>
      <c r="J1558" s="2">
        <v>580.0</v>
      </c>
      <c r="K1558" s="3">
        <f t="shared" si="4"/>
        <v>0.1577372858</v>
      </c>
      <c r="L1558" s="2">
        <v>430.0</v>
      </c>
      <c r="M1558" s="3">
        <f t="shared" si="5"/>
        <v>0.5702917772</v>
      </c>
      <c r="N1558" s="2">
        <v>4604300.0</v>
      </c>
      <c r="O1558" s="4">
        <f t="shared" si="6"/>
        <v>6106.498674</v>
      </c>
      <c r="P1558" s="2">
        <v>1.0</v>
      </c>
      <c r="Q1558" s="3">
        <f t="shared" si="7"/>
        <v>0.002898550725</v>
      </c>
      <c r="R1558" s="2">
        <v>345.0</v>
      </c>
      <c r="S1558" s="5">
        <f t="shared" si="8"/>
        <v>1</v>
      </c>
    </row>
    <row r="1559">
      <c r="A1559" s="2" t="s">
        <v>1570</v>
      </c>
      <c r="B1559" s="2">
        <v>653.0</v>
      </c>
      <c r="C1559" s="2">
        <v>7514.0</v>
      </c>
      <c r="D1559" s="2">
        <v>2406.0</v>
      </c>
      <c r="E1559" s="3">
        <f t="shared" si="1"/>
        <v>0.3506777438</v>
      </c>
      <c r="F1559" s="2">
        <v>987.0</v>
      </c>
      <c r="G1559" s="3">
        <f t="shared" si="2"/>
        <v>0.1438565807</v>
      </c>
      <c r="H1559" s="2">
        <v>1556.0</v>
      </c>
      <c r="I1559" s="3">
        <f t="shared" si="3"/>
        <v>0.2267890978</v>
      </c>
      <c r="J1559" s="2">
        <v>1372.0</v>
      </c>
      <c r="K1559" s="3">
        <f t="shared" si="4"/>
        <v>0.1999708497</v>
      </c>
      <c r="L1559" s="2">
        <v>923.0</v>
      </c>
      <c r="M1559" s="3">
        <f t="shared" si="5"/>
        <v>0.5931876607</v>
      </c>
      <c r="N1559" s="2">
        <v>8467000.0</v>
      </c>
      <c r="O1559" s="4">
        <f t="shared" si="6"/>
        <v>5441.51671</v>
      </c>
      <c r="P1559" s="2">
        <v>0.0</v>
      </c>
      <c r="Q1559" s="3">
        <f t="shared" si="7"/>
        <v>0</v>
      </c>
      <c r="R1559" s="2">
        <v>653.0</v>
      </c>
      <c r="S1559" s="5">
        <f t="shared" si="8"/>
        <v>1</v>
      </c>
    </row>
    <row r="1560">
      <c r="A1560" s="2" t="s">
        <v>1571</v>
      </c>
      <c r="B1560" s="2">
        <v>178.0</v>
      </c>
      <c r="C1560" s="2">
        <v>2048.0</v>
      </c>
      <c r="D1560" s="2">
        <v>912.0</v>
      </c>
      <c r="E1560" s="3">
        <f t="shared" si="1"/>
        <v>0.4877005348</v>
      </c>
      <c r="F1560" s="2">
        <v>269.0</v>
      </c>
      <c r="G1560" s="3">
        <f t="shared" si="2"/>
        <v>0.1438502674</v>
      </c>
      <c r="H1560" s="2">
        <v>436.0</v>
      </c>
      <c r="I1560" s="3">
        <f t="shared" si="3"/>
        <v>0.2331550802</v>
      </c>
      <c r="J1560" s="2">
        <v>275.0</v>
      </c>
      <c r="K1560" s="3">
        <f t="shared" si="4"/>
        <v>0.1470588235</v>
      </c>
      <c r="L1560" s="2">
        <v>276.0</v>
      </c>
      <c r="M1560" s="3">
        <f t="shared" si="5"/>
        <v>0.6330275229</v>
      </c>
      <c r="N1560" s="2">
        <v>2332600.0</v>
      </c>
      <c r="O1560" s="4">
        <f t="shared" si="6"/>
        <v>5350</v>
      </c>
      <c r="P1560" s="2">
        <v>1.0</v>
      </c>
      <c r="Q1560" s="3">
        <f t="shared" si="7"/>
        <v>0.005617977528</v>
      </c>
      <c r="R1560" s="2">
        <v>0.0</v>
      </c>
      <c r="S1560" s="5">
        <f t="shared" si="8"/>
        <v>0</v>
      </c>
    </row>
    <row r="1561">
      <c r="A1561" s="2" t="s">
        <v>1572</v>
      </c>
      <c r="B1561" s="2">
        <v>1377.0</v>
      </c>
      <c r="C1561" s="2">
        <v>16012.0</v>
      </c>
      <c r="D1561" s="2">
        <v>5073.0</v>
      </c>
      <c r="E1561" s="3">
        <f t="shared" si="1"/>
        <v>0.3466347796</v>
      </c>
      <c r="F1561" s="2">
        <v>2105.0</v>
      </c>
      <c r="G1561" s="3">
        <f t="shared" si="2"/>
        <v>0.1438332764</v>
      </c>
      <c r="H1561" s="2">
        <v>3163.0</v>
      </c>
      <c r="I1561" s="3">
        <f t="shared" si="3"/>
        <v>0.216125726</v>
      </c>
      <c r="J1561" s="2">
        <v>2709.0</v>
      </c>
      <c r="K1561" s="3">
        <f t="shared" si="4"/>
        <v>0.1851042023</v>
      </c>
      <c r="L1561" s="2">
        <v>1922.0</v>
      </c>
      <c r="M1561" s="3">
        <f t="shared" si="5"/>
        <v>0.6076509643</v>
      </c>
      <c r="N1561" s="2">
        <v>1.82338E7</v>
      </c>
      <c r="O1561" s="4">
        <f t="shared" si="6"/>
        <v>5764.717041</v>
      </c>
      <c r="P1561" s="2">
        <v>6.0</v>
      </c>
      <c r="Q1561" s="3">
        <f t="shared" si="7"/>
        <v>0.004357298475</v>
      </c>
      <c r="R1561" s="2">
        <v>1345.0</v>
      </c>
      <c r="S1561" s="5">
        <f t="shared" si="8"/>
        <v>0.9767610748</v>
      </c>
    </row>
    <row r="1562">
      <c r="A1562" s="2" t="s">
        <v>1573</v>
      </c>
      <c r="B1562" s="2">
        <v>146.0</v>
      </c>
      <c r="C1562" s="2">
        <v>1759.0</v>
      </c>
      <c r="D1562" s="2">
        <v>626.0</v>
      </c>
      <c r="E1562" s="3">
        <f t="shared" si="1"/>
        <v>0.3880967142</v>
      </c>
      <c r="F1562" s="2">
        <v>232.0</v>
      </c>
      <c r="G1562" s="3">
        <f t="shared" si="2"/>
        <v>0.1438313701</v>
      </c>
      <c r="H1562" s="2">
        <v>336.0</v>
      </c>
      <c r="I1562" s="3">
        <f t="shared" si="3"/>
        <v>0.2083075015</v>
      </c>
      <c r="J1562" s="2">
        <v>290.0</v>
      </c>
      <c r="K1562" s="3">
        <f t="shared" si="4"/>
        <v>0.1797892126</v>
      </c>
      <c r="L1562" s="2">
        <v>194.0</v>
      </c>
      <c r="M1562" s="3">
        <f t="shared" si="5"/>
        <v>0.5773809524</v>
      </c>
      <c r="N1562" s="2">
        <v>1788100.0</v>
      </c>
      <c r="O1562" s="4">
        <f t="shared" si="6"/>
        <v>5321.72619</v>
      </c>
      <c r="P1562" s="2">
        <v>0.0</v>
      </c>
      <c r="Q1562" s="3">
        <f t="shared" si="7"/>
        <v>0</v>
      </c>
      <c r="R1562" s="2">
        <v>146.0</v>
      </c>
      <c r="S1562" s="5">
        <f t="shared" si="8"/>
        <v>1</v>
      </c>
    </row>
    <row r="1563">
      <c r="A1563" s="2" t="s">
        <v>1574</v>
      </c>
      <c r="B1563" s="2">
        <v>342.0</v>
      </c>
      <c r="C1563" s="2">
        <v>4027.0</v>
      </c>
      <c r="D1563" s="2">
        <v>1282.0</v>
      </c>
      <c r="E1563" s="3">
        <f t="shared" si="1"/>
        <v>0.3478968792</v>
      </c>
      <c r="F1563" s="2">
        <v>530.0</v>
      </c>
      <c r="G1563" s="3">
        <f t="shared" si="2"/>
        <v>0.1438263229</v>
      </c>
      <c r="H1563" s="2">
        <v>802.0</v>
      </c>
      <c r="I1563" s="3">
        <f t="shared" si="3"/>
        <v>0.2176390773</v>
      </c>
      <c r="J1563" s="2">
        <v>667.0</v>
      </c>
      <c r="K1563" s="3">
        <f t="shared" si="4"/>
        <v>0.1810040706</v>
      </c>
      <c r="L1563" s="2">
        <v>481.0</v>
      </c>
      <c r="M1563" s="3">
        <f t="shared" si="5"/>
        <v>0.5997506234</v>
      </c>
      <c r="N1563" s="2">
        <v>4338200.0</v>
      </c>
      <c r="O1563" s="4">
        <f t="shared" si="6"/>
        <v>5409.226933</v>
      </c>
      <c r="P1563" s="2">
        <v>0.0</v>
      </c>
      <c r="Q1563" s="3">
        <f t="shared" si="7"/>
        <v>0</v>
      </c>
      <c r="R1563" s="2">
        <v>339.0</v>
      </c>
      <c r="S1563" s="5">
        <f t="shared" si="8"/>
        <v>0.9912280702</v>
      </c>
    </row>
    <row r="1564">
      <c r="A1564" s="2" t="s">
        <v>1575</v>
      </c>
      <c r="B1564" s="2">
        <v>961.0</v>
      </c>
      <c r="C1564" s="2">
        <v>11043.0</v>
      </c>
      <c r="D1564" s="2">
        <v>3592.0</v>
      </c>
      <c r="E1564" s="3">
        <f t="shared" si="1"/>
        <v>0.3562785162</v>
      </c>
      <c r="F1564" s="2">
        <v>1450.0</v>
      </c>
      <c r="G1564" s="3">
        <f t="shared" si="2"/>
        <v>0.1438206705</v>
      </c>
      <c r="H1564" s="2">
        <v>2265.0</v>
      </c>
      <c r="I1564" s="3">
        <f t="shared" si="3"/>
        <v>0.224657806</v>
      </c>
      <c r="J1564" s="2">
        <v>2301.0</v>
      </c>
      <c r="K1564" s="3">
        <f t="shared" si="4"/>
        <v>0.2282285261</v>
      </c>
      <c r="L1564" s="2">
        <v>1311.0</v>
      </c>
      <c r="M1564" s="3">
        <f t="shared" si="5"/>
        <v>0.578807947</v>
      </c>
      <c r="N1564" s="2">
        <v>1.27464E7</v>
      </c>
      <c r="O1564" s="4">
        <f t="shared" si="6"/>
        <v>5627.549669</v>
      </c>
      <c r="P1564" s="2">
        <v>1.0</v>
      </c>
      <c r="Q1564" s="3">
        <f t="shared" si="7"/>
        <v>0.001040582726</v>
      </c>
      <c r="R1564" s="2">
        <v>961.0</v>
      </c>
      <c r="S1564" s="5">
        <f t="shared" si="8"/>
        <v>1</v>
      </c>
    </row>
    <row r="1565">
      <c r="A1565" s="2" t="s">
        <v>1576</v>
      </c>
      <c r="B1565" s="2">
        <v>83.0</v>
      </c>
      <c r="C1565" s="2">
        <v>973.0</v>
      </c>
      <c r="D1565" s="2">
        <v>244.0</v>
      </c>
      <c r="E1565" s="3">
        <f t="shared" si="1"/>
        <v>0.2741573034</v>
      </c>
      <c r="F1565" s="2">
        <v>128.0</v>
      </c>
      <c r="G1565" s="3">
        <f t="shared" si="2"/>
        <v>0.1438202247</v>
      </c>
      <c r="H1565" s="2">
        <v>171.0</v>
      </c>
      <c r="I1565" s="3">
        <f t="shared" si="3"/>
        <v>0.1921348315</v>
      </c>
      <c r="J1565" s="2">
        <v>130.0</v>
      </c>
      <c r="K1565" s="3">
        <f t="shared" si="4"/>
        <v>0.1460674157</v>
      </c>
      <c r="L1565" s="2">
        <v>116.0</v>
      </c>
      <c r="M1565" s="3">
        <f t="shared" si="5"/>
        <v>0.6783625731</v>
      </c>
      <c r="N1565" s="2">
        <v>946100.0</v>
      </c>
      <c r="O1565" s="4">
        <f t="shared" si="6"/>
        <v>5532.748538</v>
      </c>
      <c r="P1565" s="2">
        <v>0.0</v>
      </c>
      <c r="Q1565" s="3">
        <f t="shared" si="7"/>
        <v>0</v>
      </c>
      <c r="R1565" s="2">
        <v>83.0</v>
      </c>
      <c r="S1565" s="5">
        <f t="shared" si="8"/>
        <v>1</v>
      </c>
    </row>
    <row r="1566">
      <c r="A1566" s="2" t="s">
        <v>1577</v>
      </c>
      <c r="B1566" s="2">
        <v>144.0</v>
      </c>
      <c r="C1566" s="2">
        <v>1660.0</v>
      </c>
      <c r="D1566" s="2">
        <v>574.0</v>
      </c>
      <c r="E1566" s="3">
        <f t="shared" si="1"/>
        <v>0.3786279683</v>
      </c>
      <c r="F1566" s="2">
        <v>218.0</v>
      </c>
      <c r="G1566" s="3">
        <f t="shared" si="2"/>
        <v>0.1437994723</v>
      </c>
      <c r="H1566" s="2">
        <v>340.0</v>
      </c>
      <c r="I1566" s="3">
        <f t="shared" si="3"/>
        <v>0.2242744063</v>
      </c>
      <c r="J1566" s="2">
        <v>210.0</v>
      </c>
      <c r="K1566" s="3">
        <f t="shared" si="4"/>
        <v>0.1385224274</v>
      </c>
      <c r="L1566" s="2">
        <v>224.0</v>
      </c>
      <c r="M1566" s="3">
        <f t="shared" si="5"/>
        <v>0.6588235294</v>
      </c>
      <c r="N1566" s="2">
        <v>1686700.0</v>
      </c>
      <c r="O1566" s="4">
        <f t="shared" si="6"/>
        <v>4960.882353</v>
      </c>
      <c r="P1566" s="2">
        <v>0.0</v>
      </c>
      <c r="Q1566" s="3">
        <f t="shared" si="7"/>
        <v>0</v>
      </c>
      <c r="R1566" s="2">
        <v>144.0</v>
      </c>
      <c r="S1566" s="5">
        <f t="shared" si="8"/>
        <v>1</v>
      </c>
    </row>
    <row r="1567">
      <c r="A1567" s="2" t="s">
        <v>1578</v>
      </c>
      <c r="B1567" s="2">
        <v>14.0</v>
      </c>
      <c r="C1567" s="2">
        <v>167.0</v>
      </c>
      <c r="D1567" s="2">
        <v>72.0</v>
      </c>
      <c r="E1567" s="3">
        <f t="shared" si="1"/>
        <v>0.4705882353</v>
      </c>
      <c r="F1567" s="2">
        <v>22.0</v>
      </c>
      <c r="G1567" s="3">
        <f t="shared" si="2"/>
        <v>0.1437908497</v>
      </c>
      <c r="H1567" s="2">
        <v>29.0</v>
      </c>
      <c r="I1567" s="3">
        <f t="shared" si="3"/>
        <v>0.1895424837</v>
      </c>
      <c r="J1567" s="2">
        <v>21.0</v>
      </c>
      <c r="K1567" s="3">
        <f t="shared" si="4"/>
        <v>0.137254902</v>
      </c>
      <c r="L1567" s="2">
        <v>17.0</v>
      </c>
      <c r="M1567" s="3">
        <f t="shared" si="5"/>
        <v>0.5862068966</v>
      </c>
      <c r="N1567" s="2">
        <v>118000.0</v>
      </c>
      <c r="O1567" s="4">
        <f t="shared" si="6"/>
        <v>4068.965517</v>
      </c>
      <c r="P1567" s="2">
        <v>0.0</v>
      </c>
      <c r="Q1567" s="3">
        <f t="shared" si="7"/>
        <v>0</v>
      </c>
      <c r="R1567" s="2">
        <v>14.0</v>
      </c>
      <c r="S1567" s="5">
        <f t="shared" si="8"/>
        <v>1</v>
      </c>
    </row>
    <row r="1568">
      <c r="A1568" s="2" t="s">
        <v>1579</v>
      </c>
      <c r="B1568" s="2">
        <v>758.0</v>
      </c>
      <c r="C1568" s="2">
        <v>8909.0</v>
      </c>
      <c r="D1568" s="2">
        <v>2755.0</v>
      </c>
      <c r="E1568" s="3">
        <f t="shared" si="1"/>
        <v>0.337995338</v>
      </c>
      <c r="F1568" s="2">
        <v>1172.0</v>
      </c>
      <c r="G1568" s="3">
        <f t="shared" si="2"/>
        <v>0.1437860385</v>
      </c>
      <c r="H1568" s="2">
        <v>1693.0</v>
      </c>
      <c r="I1568" s="3">
        <f t="shared" si="3"/>
        <v>0.2077045761</v>
      </c>
      <c r="J1568" s="2">
        <v>1192.0</v>
      </c>
      <c r="K1568" s="3">
        <f t="shared" si="4"/>
        <v>0.1462397252</v>
      </c>
      <c r="L1568" s="2">
        <v>1037.0</v>
      </c>
      <c r="M1568" s="3">
        <f t="shared" si="5"/>
        <v>0.61252215</v>
      </c>
      <c r="N1568" s="2">
        <v>1.04205E7</v>
      </c>
      <c r="O1568" s="4">
        <f t="shared" si="6"/>
        <v>6155.050207</v>
      </c>
      <c r="P1568" s="2">
        <v>2.0</v>
      </c>
      <c r="Q1568" s="3">
        <f t="shared" si="7"/>
        <v>0.002638522427</v>
      </c>
      <c r="R1568" s="2">
        <v>758.0</v>
      </c>
      <c r="S1568" s="5">
        <f t="shared" si="8"/>
        <v>1</v>
      </c>
    </row>
    <row r="1569">
      <c r="A1569" s="2" t="s">
        <v>1580</v>
      </c>
      <c r="B1569" s="2">
        <v>2958.0</v>
      </c>
      <c r="C1569" s="2">
        <v>34612.0</v>
      </c>
      <c r="D1569" s="2">
        <v>10659.0</v>
      </c>
      <c r="E1569" s="3">
        <f t="shared" si="1"/>
        <v>0.3367346939</v>
      </c>
      <c r="F1569" s="2">
        <v>4551.0</v>
      </c>
      <c r="G1569" s="3">
        <f t="shared" si="2"/>
        <v>0.1437732988</v>
      </c>
      <c r="H1569" s="2">
        <v>7069.0</v>
      </c>
      <c r="I1569" s="3">
        <f t="shared" si="3"/>
        <v>0.2233209073</v>
      </c>
      <c r="J1569" s="2">
        <v>5715.0</v>
      </c>
      <c r="K1569" s="3">
        <f t="shared" si="4"/>
        <v>0.1805459026</v>
      </c>
      <c r="L1569" s="2">
        <v>4226.0</v>
      </c>
      <c r="M1569" s="3">
        <f t="shared" si="5"/>
        <v>0.597821474</v>
      </c>
      <c r="N1569" s="2">
        <v>3.96064E7</v>
      </c>
      <c r="O1569" s="4">
        <f t="shared" si="6"/>
        <v>5602.829254</v>
      </c>
      <c r="P1569" s="2">
        <v>3.0</v>
      </c>
      <c r="Q1569" s="3">
        <f t="shared" si="7"/>
        <v>0.001014198783</v>
      </c>
      <c r="R1569" s="2">
        <v>403.0</v>
      </c>
      <c r="S1569" s="5">
        <f t="shared" si="8"/>
        <v>0.1362407032</v>
      </c>
    </row>
    <row r="1570">
      <c r="A1570" s="2" t="s">
        <v>1581</v>
      </c>
      <c r="B1570" s="2">
        <v>98.0</v>
      </c>
      <c r="C1570" s="2">
        <v>1197.0</v>
      </c>
      <c r="D1570" s="2">
        <v>270.0</v>
      </c>
      <c r="E1570" s="3">
        <f t="shared" si="1"/>
        <v>0.245677889</v>
      </c>
      <c r="F1570" s="2">
        <v>158.0</v>
      </c>
      <c r="G1570" s="3">
        <f t="shared" si="2"/>
        <v>0.143767061</v>
      </c>
      <c r="H1570" s="2">
        <v>242.0</v>
      </c>
      <c r="I1570" s="3">
        <f t="shared" si="3"/>
        <v>0.220200182</v>
      </c>
      <c r="J1570" s="2">
        <v>208.0</v>
      </c>
      <c r="K1570" s="3">
        <f t="shared" si="4"/>
        <v>0.1892629663</v>
      </c>
      <c r="L1570" s="2">
        <v>140.0</v>
      </c>
      <c r="M1570" s="3">
        <f t="shared" si="5"/>
        <v>0.5785123967</v>
      </c>
      <c r="N1570" s="2">
        <v>1354300.0</v>
      </c>
      <c r="O1570" s="4">
        <f t="shared" si="6"/>
        <v>5596.280992</v>
      </c>
      <c r="P1570" s="2">
        <v>0.0</v>
      </c>
      <c r="Q1570" s="3">
        <f t="shared" si="7"/>
        <v>0</v>
      </c>
      <c r="R1570" s="2">
        <v>98.0</v>
      </c>
      <c r="S1570" s="5">
        <f t="shared" si="8"/>
        <v>1</v>
      </c>
    </row>
    <row r="1571">
      <c r="A1571" s="2" t="s">
        <v>1582</v>
      </c>
      <c r="B1571" s="2">
        <v>44.0</v>
      </c>
      <c r="C1571" s="2">
        <v>517.0</v>
      </c>
      <c r="D1571" s="2">
        <v>157.0</v>
      </c>
      <c r="E1571" s="3">
        <f t="shared" si="1"/>
        <v>0.3319238901</v>
      </c>
      <c r="F1571" s="2">
        <v>68.0</v>
      </c>
      <c r="G1571" s="3">
        <f t="shared" si="2"/>
        <v>0.1437632135</v>
      </c>
      <c r="H1571" s="2">
        <v>89.0</v>
      </c>
      <c r="I1571" s="3">
        <f t="shared" si="3"/>
        <v>0.1881606765</v>
      </c>
      <c r="J1571" s="2">
        <v>74.0</v>
      </c>
      <c r="K1571" s="3">
        <f t="shared" si="4"/>
        <v>0.156448203</v>
      </c>
      <c r="L1571" s="2">
        <v>59.0</v>
      </c>
      <c r="M1571" s="3">
        <f t="shared" si="5"/>
        <v>0.6629213483</v>
      </c>
      <c r="N1571" s="2">
        <v>437700.0</v>
      </c>
      <c r="O1571" s="4">
        <f t="shared" si="6"/>
        <v>4917.977528</v>
      </c>
      <c r="P1571" s="2">
        <v>0.0</v>
      </c>
      <c r="Q1571" s="3">
        <f t="shared" si="7"/>
        <v>0</v>
      </c>
      <c r="R1571" s="2">
        <v>44.0</v>
      </c>
      <c r="S1571" s="5">
        <f t="shared" si="8"/>
        <v>1</v>
      </c>
    </row>
    <row r="1572">
      <c r="A1572" s="2" t="s">
        <v>1583</v>
      </c>
      <c r="B1572" s="2">
        <v>94.0</v>
      </c>
      <c r="C1572" s="2">
        <v>1075.0</v>
      </c>
      <c r="D1572" s="2">
        <v>423.0</v>
      </c>
      <c r="E1572" s="3">
        <f t="shared" si="1"/>
        <v>0.4311926606</v>
      </c>
      <c r="F1572" s="2">
        <v>141.0</v>
      </c>
      <c r="G1572" s="3">
        <f t="shared" si="2"/>
        <v>0.1437308869</v>
      </c>
      <c r="H1572" s="2">
        <v>188.0</v>
      </c>
      <c r="I1572" s="3">
        <f t="shared" si="3"/>
        <v>0.1916411825</v>
      </c>
      <c r="J1572" s="2">
        <v>125.0</v>
      </c>
      <c r="K1572" s="3">
        <f t="shared" si="4"/>
        <v>0.127420999</v>
      </c>
      <c r="L1572" s="2">
        <v>120.0</v>
      </c>
      <c r="M1572" s="3">
        <f t="shared" si="5"/>
        <v>0.6382978723</v>
      </c>
      <c r="N1572" s="2">
        <v>996400.0</v>
      </c>
      <c r="O1572" s="4">
        <f t="shared" si="6"/>
        <v>5300</v>
      </c>
      <c r="P1572" s="2">
        <v>0.0</v>
      </c>
      <c r="Q1572" s="3">
        <f t="shared" si="7"/>
        <v>0</v>
      </c>
      <c r="R1572" s="2">
        <v>94.0</v>
      </c>
      <c r="S1572" s="5">
        <f t="shared" si="8"/>
        <v>1</v>
      </c>
    </row>
    <row r="1573">
      <c r="A1573" s="2" t="s">
        <v>1584</v>
      </c>
      <c r="B1573" s="2">
        <v>89.0</v>
      </c>
      <c r="C1573" s="2">
        <v>1084.0</v>
      </c>
      <c r="D1573" s="2">
        <v>323.0</v>
      </c>
      <c r="E1573" s="3">
        <f t="shared" si="1"/>
        <v>0.3246231156</v>
      </c>
      <c r="F1573" s="2">
        <v>143.0</v>
      </c>
      <c r="G1573" s="3">
        <f t="shared" si="2"/>
        <v>0.143718593</v>
      </c>
      <c r="H1573" s="2">
        <v>209.0</v>
      </c>
      <c r="I1573" s="3">
        <f t="shared" si="3"/>
        <v>0.2100502513</v>
      </c>
      <c r="J1573" s="2">
        <v>144.0</v>
      </c>
      <c r="K1573" s="3">
        <f t="shared" si="4"/>
        <v>0.1447236181</v>
      </c>
      <c r="L1573" s="2">
        <v>123.0</v>
      </c>
      <c r="M1573" s="3">
        <f t="shared" si="5"/>
        <v>0.5885167464</v>
      </c>
      <c r="N1573" s="2">
        <v>1087400.0</v>
      </c>
      <c r="O1573" s="4">
        <f t="shared" si="6"/>
        <v>5202.870813</v>
      </c>
      <c r="P1573" s="2">
        <v>0.0</v>
      </c>
      <c r="Q1573" s="3">
        <f t="shared" si="7"/>
        <v>0</v>
      </c>
      <c r="R1573" s="2">
        <v>89.0</v>
      </c>
      <c r="S1573" s="5">
        <f t="shared" si="8"/>
        <v>1</v>
      </c>
    </row>
    <row r="1574">
      <c r="A1574" s="2" t="s">
        <v>1585</v>
      </c>
      <c r="B1574" s="2">
        <v>249.0</v>
      </c>
      <c r="C1574" s="2">
        <v>2921.0</v>
      </c>
      <c r="D1574" s="2">
        <v>916.0</v>
      </c>
      <c r="E1574" s="3">
        <f t="shared" si="1"/>
        <v>0.3428143713</v>
      </c>
      <c r="F1574" s="2">
        <v>384.0</v>
      </c>
      <c r="G1574" s="3">
        <f t="shared" si="2"/>
        <v>0.1437125749</v>
      </c>
      <c r="H1574" s="2">
        <v>560.0</v>
      </c>
      <c r="I1574" s="3">
        <f t="shared" si="3"/>
        <v>0.2095808383</v>
      </c>
      <c r="J1574" s="2">
        <v>486.0</v>
      </c>
      <c r="K1574" s="3">
        <f t="shared" si="4"/>
        <v>0.1818862275</v>
      </c>
      <c r="L1574" s="2">
        <v>320.0</v>
      </c>
      <c r="M1574" s="3">
        <f t="shared" si="5"/>
        <v>0.5714285714</v>
      </c>
      <c r="N1574" s="2">
        <v>3066100.0</v>
      </c>
      <c r="O1574" s="4">
        <f t="shared" si="6"/>
        <v>5475.178571</v>
      </c>
      <c r="P1574" s="2">
        <v>0.0</v>
      </c>
      <c r="Q1574" s="3">
        <f t="shared" si="7"/>
        <v>0</v>
      </c>
      <c r="R1574" s="2">
        <v>249.0</v>
      </c>
      <c r="S1574" s="5">
        <f t="shared" si="8"/>
        <v>1</v>
      </c>
    </row>
    <row r="1575">
      <c r="A1575" s="2" t="s">
        <v>1586</v>
      </c>
      <c r="B1575" s="2">
        <v>212.0</v>
      </c>
      <c r="C1575" s="2">
        <v>2439.0</v>
      </c>
      <c r="D1575" s="2">
        <v>819.0</v>
      </c>
      <c r="E1575" s="3">
        <f t="shared" si="1"/>
        <v>0.3677593175</v>
      </c>
      <c r="F1575" s="2">
        <v>320.0</v>
      </c>
      <c r="G1575" s="3">
        <f t="shared" si="2"/>
        <v>0.1436910642</v>
      </c>
      <c r="H1575" s="2">
        <v>496.0</v>
      </c>
      <c r="I1575" s="3">
        <f t="shared" si="3"/>
        <v>0.2227211495</v>
      </c>
      <c r="J1575" s="2">
        <v>368.0</v>
      </c>
      <c r="K1575" s="3">
        <f t="shared" si="4"/>
        <v>0.1652447238</v>
      </c>
      <c r="L1575" s="2">
        <v>305.0</v>
      </c>
      <c r="M1575" s="3">
        <f t="shared" si="5"/>
        <v>0.6149193548</v>
      </c>
      <c r="N1575" s="2">
        <v>2522500.0</v>
      </c>
      <c r="O1575" s="4">
        <f t="shared" si="6"/>
        <v>5085.685484</v>
      </c>
      <c r="P1575" s="2">
        <v>0.0</v>
      </c>
      <c r="Q1575" s="3">
        <f t="shared" si="7"/>
        <v>0</v>
      </c>
      <c r="R1575" s="2">
        <v>9.0</v>
      </c>
      <c r="S1575" s="5">
        <f t="shared" si="8"/>
        <v>0.04245283019</v>
      </c>
    </row>
    <row r="1576">
      <c r="A1576" s="2" t="s">
        <v>1587</v>
      </c>
      <c r="B1576" s="2">
        <v>93.0</v>
      </c>
      <c r="C1576" s="2">
        <v>1123.0</v>
      </c>
      <c r="D1576" s="2">
        <v>297.0</v>
      </c>
      <c r="E1576" s="3">
        <f t="shared" si="1"/>
        <v>0.2883495146</v>
      </c>
      <c r="F1576" s="2">
        <v>148.0</v>
      </c>
      <c r="G1576" s="3">
        <f t="shared" si="2"/>
        <v>0.1436893204</v>
      </c>
      <c r="H1576" s="2">
        <v>215.0</v>
      </c>
      <c r="I1576" s="3">
        <f t="shared" si="3"/>
        <v>0.2087378641</v>
      </c>
      <c r="J1576" s="2">
        <v>183.0</v>
      </c>
      <c r="K1576" s="3">
        <f t="shared" si="4"/>
        <v>0.1776699029</v>
      </c>
      <c r="L1576" s="2">
        <v>127.0</v>
      </c>
      <c r="M1576" s="3">
        <f t="shared" si="5"/>
        <v>0.5906976744</v>
      </c>
      <c r="N1576" s="2">
        <v>1230000.0</v>
      </c>
      <c r="O1576" s="4">
        <f t="shared" si="6"/>
        <v>5720.930233</v>
      </c>
      <c r="P1576" s="2">
        <v>0.0</v>
      </c>
      <c r="Q1576" s="3">
        <f t="shared" si="7"/>
        <v>0</v>
      </c>
      <c r="R1576" s="2">
        <v>93.0</v>
      </c>
      <c r="S1576" s="5">
        <f t="shared" si="8"/>
        <v>1</v>
      </c>
    </row>
    <row r="1577">
      <c r="A1577" s="2" t="s">
        <v>1588</v>
      </c>
      <c r="B1577" s="2">
        <v>51.0</v>
      </c>
      <c r="C1577" s="2">
        <v>573.0</v>
      </c>
      <c r="D1577" s="2">
        <v>181.0</v>
      </c>
      <c r="E1577" s="3">
        <f t="shared" si="1"/>
        <v>0.346743295</v>
      </c>
      <c r="F1577" s="2">
        <v>75.0</v>
      </c>
      <c r="G1577" s="3">
        <f t="shared" si="2"/>
        <v>0.1436781609</v>
      </c>
      <c r="H1577" s="2">
        <v>105.0</v>
      </c>
      <c r="I1577" s="3">
        <f t="shared" si="3"/>
        <v>0.2011494253</v>
      </c>
      <c r="J1577" s="2">
        <v>110.0</v>
      </c>
      <c r="K1577" s="3">
        <f t="shared" si="4"/>
        <v>0.2107279693</v>
      </c>
      <c r="L1577" s="2">
        <v>66.0</v>
      </c>
      <c r="M1577" s="3">
        <f t="shared" si="5"/>
        <v>0.6285714286</v>
      </c>
      <c r="N1577" s="2">
        <v>623200.0</v>
      </c>
      <c r="O1577" s="4">
        <f t="shared" si="6"/>
        <v>5935.238095</v>
      </c>
      <c r="P1577" s="2">
        <v>0.0</v>
      </c>
      <c r="Q1577" s="3">
        <f t="shared" si="7"/>
        <v>0</v>
      </c>
      <c r="R1577" s="2">
        <v>51.0</v>
      </c>
      <c r="S1577" s="5">
        <f t="shared" si="8"/>
        <v>1</v>
      </c>
    </row>
    <row r="1578">
      <c r="A1578" s="2" t="s">
        <v>1589</v>
      </c>
      <c r="B1578" s="2">
        <v>131.0</v>
      </c>
      <c r="C1578" s="2">
        <v>1530.0</v>
      </c>
      <c r="D1578" s="2">
        <v>509.0</v>
      </c>
      <c r="E1578" s="3">
        <f t="shared" si="1"/>
        <v>0.3638313081</v>
      </c>
      <c r="F1578" s="2">
        <v>201.0</v>
      </c>
      <c r="G1578" s="3">
        <f t="shared" si="2"/>
        <v>0.1436740529</v>
      </c>
      <c r="H1578" s="2">
        <v>296.0</v>
      </c>
      <c r="I1578" s="3">
        <f t="shared" si="3"/>
        <v>0.2115796998</v>
      </c>
      <c r="J1578" s="2">
        <v>294.0</v>
      </c>
      <c r="K1578" s="3">
        <f t="shared" si="4"/>
        <v>0.2101501072</v>
      </c>
      <c r="L1578" s="2">
        <v>190.0</v>
      </c>
      <c r="M1578" s="3">
        <f t="shared" si="5"/>
        <v>0.6418918919</v>
      </c>
      <c r="N1578" s="2">
        <v>1620300.0</v>
      </c>
      <c r="O1578" s="4">
        <f t="shared" si="6"/>
        <v>5473.986486</v>
      </c>
      <c r="P1578" s="2">
        <v>1.0</v>
      </c>
      <c r="Q1578" s="3">
        <f t="shared" si="7"/>
        <v>0.007633587786</v>
      </c>
      <c r="R1578" s="2">
        <v>131.0</v>
      </c>
      <c r="S1578" s="5">
        <f t="shared" si="8"/>
        <v>1</v>
      </c>
    </row>
    <row r="1579">
      <c r="A1579" s="2" t="s">
        <v>1590</v>
      </c>
      <c r="B1579" s="2">
        <v>460.0</v>
      </c>
      <c r="C1579" s="2">
        <v>5284.0</v>
      </c>
      <c r="D1579" s="2">
        <v>1777.0</v>
      </c>
      <c r="E1579" s="3">
        <f t="shared" si="1"/>
        <v>0.3683665008</v>
      </c>
      <c r="F1579" s="2">
        <v>693.0</v>
      </c>
      <c r="G1579" s="3">
        <f t="shared" si="2"/>
        <v>0.1436567164</v>
      </c>
      <c r="H1579" s="2">
        <v>1048.0</v>
      </c>
      <c r="I1579" s="3">
        <f t="shared" si="3"/>
        <v>0.2172470978</v>
      </c>
      <c r="J1579" s="2">
        <v>951.0</v>
      </c>
      <c r="K1579" s="3">
        <f t="shared" si="4"/>
        <v>0.1971393035</v>
      </c>
      <c r="L1579" s="2">
        <v>621.0</v>
      </c>
      <c r="M1579" s="3">
        <f t="shared" si="5"/>
        <v>0.5925572519</v>
      </c>
      <c r="N1579" s="2">
        <v>6181300.0</v>
      </c>
      <c r="O1579" s="4">
        <f t="shared" si="6"/>
        <v>5898.187023</v>
      </c>
      <c r="P1579" s="2">
        <v>0.0</v>
      </c>
      <c r="Q1579" s="3">
        <f t="shared" si="7"/>
        <v>0</v>
      </c>
      <c r="R1579" s="2">
        <v>0.0</v>
      </c>
      <c r="S1579" s="5">
        <f t="shared" si="8"/>
        <v>0</v>
      </c>
    </row>
    <row r="1580">
      <c r="A1580" s="2" t="s">
        <v>1591</v>
      </c>
      <c r="B1580" s="2">
        <v>871.0</v>
      </c>
      <c r="C1580" s="2">
        <v>10067.0</v>
      </c>
      <c r="D1580" s="2">
        <v>2709.0</v>
      </c>
      <c r="E1580" s="3">
        <f t="shared" si="1"/>
        <v>0.294584602</v>
      </c>
      <c r="F1580" s="2">
        <v>1321.0</v>
      </c>
      <c r="G1580" s="3">
        <f t="shared" si="2"/>
        <v>0.1436494128</v>
      </c>
      <c r="H1580" s="2">
        <v>2067.0</v>
      </c>
      <c r="I1580" s="3">
        <f t="shared" si="3"/>
        <v>0.2247716398</v>
      </c>
      <c r="J1580" s="2">
        <v>2015.0</v>
      </c>
      <c r="K1580" s="3">
        <f t="shared" si="4"/>
        <v>0.2191170074</v>
      </c>
      <c r="L1580" s="2">
        <v>1226.0</v>
      </c>
      <c r="M1580" s="3">
        <f t="shared" si="5"/>
        <v>0.5931301403</v>
      </c>
      <c r="N1580" s="2">
        <v>1.25706E7</v>
      </c>
      <c r="O1580" s="4">
        <f t="shared" si="6"/>
        <v>6081.567489</v>
      </c>
      <c r="P1580" s="2">
        <v>1.0</v>
      </c>
      <c r="Q1580" s="3">
        <f t="shared" si="7"/>
        <v>0.001148105626</v>
      </c>
      <c r="R1580" s="2">
        <v>871.0</v>
      </c>
      <c r="S1580" s="5">
        <f t="shared" si="8"/>
        <v>1</v>
      </c>
    </row>
    <row r="1581">
      <c r="A1581" s="2" t="s">
        <v>1592</v>
      </c>
      <c r="B1581" s="2">
        <v>18.0</v>
      </c>
      <c r="C1581" s="2">
        <v>199.0</v>
      </c>
      <c r="D1581" s="2">
        <v>51.0</v>
      </c>
      <c r="E1581" s="3">
        <f t="shared" si="1"/>
        <v>0.2817679558</v>
      </c>
      <c r="F1581" s="2">
        <v>26.0</v>
      </c>
      <c r="G1581" s="3">
        <f t="shared" si="2"/>
        <v>0.1436464088</v>
      </c>
      <c r="H1581" s="2">
        <v>37.0</v>
      </c>
      <c r="I1581" s="3">
        <f t="shared" si="3"/>
        <v>0.2044198895</v>
      </c>
      <c r="J1581" s="2">
        <v>31.0</v>
      </c>
      <c r="K1581" s="3">
        <f t="shared" si="4"/>
        <v>0.1712707182</v>
      </c>
      <c r="L1581" s="2">
        <v>19.0</v>
      </c>
      <c r="M1581" s="3">
        <f t="shared" si="5"/>
        <v>0.5135135135</v>
      </c>
      <c r="N1581" s="2">
        <v>188800.0</v>
      </c>
      <c r="O1581" s="4">
        <f t="shared" si="6"/>
        <v>5102.702703</v>
      </c>
      <c r="P1581" s="2">
        <v>0.0</v>
      </c>
      <c r="Q1581" s="3">
        <f t="shared" si="7"/>
        <v>0</v>
      </c>
      <c r="R1581" s="2">
        <v>18.0</v>
      </c>
      <c r="S1581" s="5">
        <f t="shared" si="8"/>
        <v>1</v>
      </c>
    </row>
    <row r="1582">
      <c r="A1582" s="2" t="s">
        <v>1593</v>
      </c>
      <c r="B1582" s="2">
        <v>141.0</v>
      </c>
      <c r="C1582" s="2">
        <v>1603.0</v>
      </c>
      <c r="D1582" s="2">
        <v>614.0</v>
      </c>
      <c r="E1582" s="3">
        <f t="shared" si="1"/>
        <v>0.4199726402</v>
      </c>
      <c r="F1582" s="2">
        <v>210.0</v>
      </c>
      <c r="G1582" s="3">
        <f t="shared" si="2"/>
        <v>0.1436388509</v>
      </c>
      <c r="H1582" s="2">
        <v>322.0</v>
      </c>
      <c r="I1582" s="3">
        <f t="shared" si="3"/>
        <v>0.220246238</v>
      </c>
      <c r="J1582" s="2">
        <v>230.0</v>
      </c>
      <c r="K1582" s="3">
        <f t="shared" si="4"/>
        <v>0.1573187415</v>
      </c>
      <c r="L1582" s="2">
        <v>214.0</v>
      </c>
      <c r="M1582" s="3">
        <f t="shared" si="5"/>
        <v>0.6645962733</v>
      </c>
      <c r="N1582" s="2">
        <v>1740700.0</v>
      </c>
      <c r="O1582" s="4">
        <f t="shared" si="6"/>
        <v>5405.900621</v>
      </c>
      <c r="P1582" s="2">
        <v>0.0</v>
      </c>
      <c r="Q1582" s="3">
        <f t="shared" si="7"/>
        <v>0</v>
      </c>
      <c r="R1582" s="2">
        <v>0.0</v>
      </c>
      <c r="S1582" s="5">
        <f t="shared" si="8"/>
        <v>0</v>
      </c>
    </row>
    <row r="1583">
      <c r="A1583" s="2" t="s">
        <v>1594</v>
      </c>
      <c r="B1583" s="2">
        <v>485.0</v>
      </c>
      <c r="C1583" s="2">
        <v>5651.0</v>
      </c>
      <c r="D1583" s="2">
        <v>2035.0</v>
      </c>
      <c r="E1583" s="3">
        <f t="shared" si="1"/>
        <v>0.3939217964</v>
      </c>
      <c r="F1583" s="2">
        <v>742.0</v>
      </c>
      <c r="G1583" s="3">
        <f t="shared" si="2"/>
        <v>0.1436314363</v>
      </c>
      <c r="H1583" s="2">
        <v>1096.0</v>
      </c>
      <c r="I1583" s="3">
        <f t="shared" si="3"/>
        <v>0.2121564073</v>
      </c>
      <c r="J1583" s="2">
        <v>918.0</v>
      </c>
      <c r="K1583" s="3">
        <f t="shared" si="4"/>
        <v>0.1777003484</v>
      </c>
      <c r="L1583" s="2">
        <v>660.0</v>
      </c>
      <c r="M1583" s="3">
        <f t="shared" si="5"/>
        <v>0.602189781</v>
      </c>
      <c r="N1583" s="2">
        <v>6309900.0</v>
      </c>
      <c r="O1583" s="4">
        <f t="shared" si="6"/>
        <v>5757.208029</v>
      </c>
      <c r="P1583" s="2">
        <v>1.0</v>
      </c>
      <c r="Q1583" s="3">
        <f t="shared" si="7"/>
        <v>0.00206185567</v>
      </c>
      <c r="R1583" s="2">
        <v>485.0</v>
      </c>
      <c r="S1583" s="5">
        <f t="shared" si="8"/>
        <v>1</v>
      </c>
    </row>
    <row r="1584">
      <c r="A1584" s="2" t="s">
        <v>1595</v>
      </c>
      <c r="B1584" s="2">
        <v>226.0</v>
      </c>
      <c r="C1584" s="2">
        <v>2649.0</v>
      </c>
      <c r="D1584" s="2">
        <v>996.0</v>
      </c>
      <c r="E1584" s="3">
        <f t="shared" si="1"/>
        <v>0.4110606686</v>
      </c>
      <c r="F1584" s="2">
        <v>348.0</v>
      </c>
      <c r="G1584" s="3">
        <f t="shared" si="2"/>
        <v>0.1436236071</v>
      </c>
      <c r="H1584" s="2">
        <v>525.0</v>
      </c>
      <c r="I1584" s="3">
        <f t="shared" si="3"/>
        <v>0.2166735452</v>
      </c>
      <c r="J1584" s="2">
        <v>394.0</v>
      </c>
      <c r="K1584" s="3">
        <f t="shared" si="4"/>
        <v>0.1626083368</v>
      </c>
      <c r="L1584" s="2">
        <v>314.0</v>
      </c>
      <c r="M1584" s="3">
        <f t="shared" si="5"/>
        <v>0.5980952381</v>
      </c>
      <c r="N1584" s="2">
        <v>2918300.0</v>
      </c>
      <c r="O1584" s="4">
        <f t="shared" si="6"/>
        <v>5558.666667</v>
      </c>
      <c r="P1584" s="2">
        <v>1.0</v>
      </c>
      <c r="Q1584" s="3">
        <f t="shared" si="7"/>
        <v>0.004424778761</v>
      </c>
      <c r="R1584" s="2">
        <v>0.0</v>
      </c>
      <c r="S1584" s="5">
        <f t="shared" si="8"/>
        <v>0</v>
      </c>
    </row>
    <row r="1585">
      <c r="A1585" s="2" t="s">
        <v>1596</v>
      </c>
      <c r="B1585" s="2">
        <v>6991.0</v>
      </c>
      <c r="C1585" s="2">
        <v>81292.0</v>
      </c>
      <c r="D1585" s="2">
        <v>27147.0</v>
      </c>
      <c r="E1585" s="3">
        <f t="shared" si="1"/>
        <v>0.3653652037</v>
      </c>
      <c r="F1585" s="2">
        <v>10671.0</v>
      </c>
      <c r="G1585" s="3">
        <f t="shared" si="2"/>
        <v>0.1436185246</v>
      </c>
      <c r="H1585" s="2">
        <v>17034.0</v>
      </c>
      <c r="I1585" s="3">
        <f t="shared" si="3"/>
        <v>0.2292566722</v>
      </c>
      <c r="J1585" s="2">
        <v>13242.0</v>
      </c>
      <c r="K1585" s="3">
        <f t="shared" si="4"/>
        <v>0.1782210199</v>
      </c>
      <c r="L1585" s="2">
        <v>10421.0</v>
      </c>
      <c r="M1585" s="3">
        <f t="shared" si="5"/>
        <v>0.6117764471</v>
      </c>
      <c r="N1585" s="2">
        <v>9.38697E7</v>
      </c>
      <c r="O1585" s="4">
        <f t="shared" si="6"/>
        <v>5510.725608</v>
      </c>
      <c r="P1585" s="2">
        <v>15.0</v>
      </c>
      <c r="Q1585" s="3">
        <f t="shared" si="7"/>
        <v>0.002145615792</v>
      </c>
      <c r="R1585" s="2">
        <v>6991.0</v>
      </c>
      <c r="S1585" s="5">
        <f t="shared" si="8"/>
        <v>1</v>
      </c>
    </row>
    <row r="1586">
      <c r="A1586" s="2" t="s">
        <v>1597</v>
      </c>
      <c r="B1586" s="2">
        <v>123.0</v>
      </c>
      <c r="C1586" s="2">
        <v>1446.0</v>
      </c>
      <c r="D1586" s="2">
        <v>457.0</v>
      </c>
      <c r="E1586" s="3">
        <f t="shared" si="1"/>
        <v>0.3454270597</v>
      </c>
      <c r="F1586" s="2">
        <v>190.0</v>
      </c>
      <c r="G1586" s="3">
        <f t="shared" si="2"/>
        <v>0.1436130008</v>
      </c>
      <c r="H1586" s="2">
        <v>275.0</v>
      </c>
      <c r="I1586" s="3">
        <f t="shared" si="3"/>
        <v>0.2078609221</v>
      </c>
      <c r="J1586" s="2">
        <v>241.0</v>
      </c>
      <c r="K1586" s="3">
        <f t="shared" si="4"/>
        <v>0.1821617536</v>
      </c>
      <c r="L1586" s="2">
        <v>172.0</v>
      </c>
      <c r="M1586" s="3">
        <f t="shared" si="5"/>
        <v>0.6254545455</v>
      </c>
      <c r="N1586" s="2">
        <v>1492600.0</v>
      </c>
      <c r="O1586" s="4">
        <f t="shared" si="6"/>
        <v>5427.636364</v>
      </c>
      <c r="P1586" s="2">
        <v>0.0</v>
      </c>
      <c r="Q1586" s="3">
        <f t="shared" si="7"/>
        <v>0</v>
      </c>
      <c r="R1586" s="2">
        <v>0.0</v>
      </c>
      <c r="S1586" s="5">
        <f t="shared" si="8"/>
        <v>0</v>
      </c>
    </row>
    <row r="1587">
      <c r="A1587" s="2" t="s">
        <v>1598</v>
      </c>
      <c r="B1587" s="2">
        <v>353.0</v>
      </c>
      <c r="C1587" s="2">
        <v>4134.0</v>
      </c>
      <c r="D1587" s="2">
        <v>1180.0</v>
      </c>
      <c r="E1587" s="3">
        <f t="shared" si="1"/>
        <v>0.3120867495</v>
      </c>
      <c r="F1587" s="2">
        <v>543.0</v>
      </c>
      <c r="G1587" s="3">
        <f t="shared" si="2"/>
        <v>0.1436128008</v>
      </c>
      <c r="H1587" s="2">
        <v>748.0</v>
      </c>
      <c r="I1587" s="3">
        <f t="shared" si="3"/>
        <v>0.1978312616</v>
      </c>
      <c r="J1587" s="2">
        <v>492.0</v>
      </c>
      <c r="K1587" s="3">
        <f t="shared" si="4"/>
        <v>0.1301243057</v>
      </c>
      <c r="L1587" s="2">
        <v>439.0</v>
      </c>
      <c r="M1587" s="3">
        <f t="shared" si="5"/>
        <v>0.5868983957</v>
      </c>
      <c r="N1587" s="2">
        <v>4329400.0</v>
      </c>
      <c r="O1587" s="4">
        <f t="shared" si="6"/>
        <v>5787.967914</v>
      </c>
      <c r="P1587" s="2">
        <v>1.0</v>
      </c>
      <c r="Q1587" s="3">
        <f t="shared" si="7"/>
        <v>0.00283286119</v>
      </c>
      <c r="R1587" s="2">
        <v>6.0</v>
      </c>
      <c r="S1587" s="5">
        <f t="shared" si="8"/>
        <v>0.01699716714</v>
      </c>
    </row>
    <row r="1588">
      <c r="A1588" s="2" t="s">
        <v>1599</v>
      </c>
      <c r="B1588" s="2">
        <v>279.0</v>
      </c>
      <c r="C1588" s="2">
        <v>3253.0</v>
      </c>
      <c r="D1588" s="2">
        <v>1189.0</v>
      </c>
      <c r="E1588" s="3">
        <f t="shared" si="1"/>
        <v>0.3997982515</v>
      </c>
      <c r="F1588" s="2">
        <v>427.0</v>
      </c>
      <c r="G1588" s="3">
        <f t="shared" si="2"/>
        <v>0.1435776732</v>
      </c>
      <c r="H1588" s="2">
        <v>656.0</v>
      </c>
      <c r="I1588" s="3">
        <f t="shared" si="3"/>
        <v>0.2205783457</v>
      </c>
      <c r="J1588" s="2">
        <v>438.0</v>
      </c>
      <c r="K1588" s="3">
        <f t="shared" si="4"/>
        <v>0.1472763954</v>
      </c>
      <c r="L1588" s="2">
        <v>390.0</v>
      </c>
      <c r="M1588" s="3">
        <f t="shared" si="5"/>
        <v>0.5945121951</v>
      </c>
      <c r="N1588" s="2">
        <v>3405700.0</v>
      </c>
      <c r="O1588" s="4">
        <f t="shared" si="6"/>
        <v>5191.615854</v>
      </c>
      <c r="P1588" s="2">
        <v>0.0</v>
      </c>
      <c r="Q1588" s="3">
        <f t="shared" si="7"/>
        <v>0</v>
      </c>
      <c r="R1588" s="2">
        <v>4.0</v>
      </c>
      <c r="S1588" s="5">
        <f t="shared" si="8"/>
        <v>0.01433691756</v>
      </c>
    </row>
    <row r="1589">
      <c r="A1589" s="2" t="s">
        <v>1600</v>
      </c>
      <c r="B1589" s="2">
        <v>95.0</v>
      </c>
      <c r="C1589" s="2">
        <v>1098.0</v>
      </c>
      <c r="D1589" s="2">
        <v>269.0</v>
      </c>
      <c r="E1589" s="3">
        <f t="shared" si="1"/>
        <v>0.2681954138</v>
      </c>
      <c r="F1589" s="2">
        <v>144.0</v>
      </c>
      <c r="G1589" s="3">
        <f t="shared" si="2"/>
        <v>0.1435692921</v>
      </c>
      <c r="H1589" s="2">
        <v>185.0</v>
      </c>
      <c r="I1589" s="3">
        <f t="shared" si="3"/>
        <v>0.18444666</v>
      </c>
      <c r="J1589" s="2">
        <v>198.0</v>
      </c>
      <c r="K1589" s="3">
        <f t="shared" si="4"/>
        <v>0.1974077767</v>
      </c>
      <c r="L1589" s="2">
        <v>104.0</v>
      </c>
      <c r="M1589" s="3">
        <f t="shared" si="5"/>
        <v>0.5621621622</v>
      </c>
      <c r="N1589" s="2">
        <v>1054400.0</v>
      </c>
      <c r="O1589" s="4">
        <f t="shared" si="6"/>
        <v>5699.459459</v>
      </c>
      <c r="P1589" s="2">
        <v>0.0</v>
      </c>
      <c r="Q1589" s="3">
        <f t="shared" si="7"/>
        <v>0</v>
      </c>
      <c r="R1589" s="2">
        <v>95.0</v>
      </c>
      <c r="S1589" s="5">
        <f t="shared" si="8"/>
        <v>1</v>
      </c>
    </row>
    <row r="1590">
      <c r="A1590" s="2" t="s">
        <v>1601</v>
      </c>
      <c r="B1590" s="2">
        <v>1050.0</v>
      </c>
      <c r="C1590" s="2">
        <v>12223.0</v>
      </c>
      <c r="D1590" s="2">
        <v>3488.0</v>
      </c>
      <c r="E1590" s="3">
        <f t="shared" si="1"/>
        <v>0.312181151</v>
      </c>
      <c r="F1590" s="2">
        <v>1604.0</v>
      </c>
      <c r="G1590" s="3">
        <f t="shared" si="2"/>
        <v>0.1435603687</v>
      </c>
      <c r="H1590" s="2">
        <v>2441.0</v>
      </c>
      <c r="I1590" s="3">
        <f t="shared" si="3"/>
        <v>0.2184731048</v>
      </c>
      <c r="J1590" s="2">
        <v>2243.0</v>
      </c>
      <c r="K1590" s="3">
        <f t="shared" si="4"/>
        <v>0.2007518124</v>
      </c>
      <c r="L1590" s="2">
        <v>1435.0</v>
      </c>
      <c r="M1590" s="3">
        <f t="shared" si="5"/>
        <v>0.5878738222</v>
      </c>
      <c r="N1590" s="2">
        <v>1.37388E7</v>
      </c>
      <c r="O1590" s="4">
        <f t="shared" si="6"/>
        <v>5628.349037</v>
      </c>
      <c r="P1590" s="2">
        <v>4.0</v>
      </c>
      <c r="Q1590" s="3">
        <f t="shared" si="7"/>
        <v>0.00380952381</v>
      </c>
      <c r="R1590" s="2">
        <v>1050.0</v>
      </c>
      <c r="S1590" s="5">
        <f t="shared" si="8"/>
        <v>1</v>
      </c>
    </row>
    <row r="1591">
      <c r="A1591" s="2" t="s">
        <v>1602</v>
      </c>
      <c r="B1591" s="2">
        <v>752.0</v>
      </c>
      <c r="C1591" s="2">
        <v>8770.0</v>
      </c>
      <c r="D1591" s="2">
        <v>2654.0</v>
      </c>
      <c r="E1591" s="3">
        <f t="shared" si="1"/>
        <v>0.3310052382</v>
      </c>
      <c r="F1591" s="2">
        <v>1151.0</v>
      </c>
      <c r="G1591" s="3">
        <f t="shared" si="2"/>
        <v>0.143552008</v>
      </c>
      <c r="H1591" s="2">
        <v>1718.0</v>
      </c>
      <c r="I1591" s="3">
        <f t="shared" si="3"/>
        <v>0.2142678972</v>
      </c>
      <c r="J1591" s="2">
        <v>1229.0</v>
      </c>
      <c r="K1591" s="3">
        <f t="shared" si="4"/>
        <v>0.1532801197</v>
      </c>
      <c r="L1591" s="2">
        <v>1039.0</v>
      </c>
      <c r="M1591" s="3">
        <f t="shared" si="5"/>
        <v>0.6047729919</v>
      </c>
      <c r="N1591" s="2">
        <v>9506900.0</v>
      </c>
      <c r="O1591" s="4">
        <f t="shared" si="6"/>
        <v>5533.701979</v>
      </c>
      <c r="P1591" s="2">
        <v>0.0</v>
      </c>
      <c r="Q1591" s="3">
        <f t="shared" si="7"/>
        <v>0</v>
      </c>
      <c r="R1591" s="2">
        <v>752.0</v>
      </c>
      <c r="S1591" s="5">
        <f t="shared" si="8"/>
        <v>1</v>
      </c>
    </row>
    <row r="1592">
      <c r="A1592" s="2" t="s">
        <v>1603</v>
      </c>
      <c r="B1592" s="2">
        <v>56.0</v>
      </c>
      <c r="C1592" s="2">
        <v>683.0</v>
      </c>
      <c r="D1592" s="2">
        <v>241.0</v>
      </c>
      <c r="E1592" s="3">
        <f t="shared" si="1"/>
        <v>0.3843700159</v>
      </c>
      <c r="F1592" s="2">
        <v>90.0</v>
      </c>
      <c r="G1592" s="3">
        <f t="shared" si="2"/>
        <v>0.1435406699</v>
      </c>
      <c r="H1592" s="2">
        <v>136.0</v>
      </c>
      <c r="I1592" s="3">
        <f t="shared" si="3"/>
        <v>0.2169059011</v>
      </c>
      <c r="J1592" s="2">
        <v>142.0</v>
      </c>
      <c r="K1592" s="3">
        <f t="shared" si="4"/>
        <v>0.2264752791</v>
      </c>
      <c r="L1592" s="2">
        <v>78.0</v>
      </c>
      <c r="M1592" s="3">
        <f t="shared" si="5"/>
        <v>0.5735294118</v>
      </c>
      <c r="N1592" s="2">
        <v>769700.0</v>
      </c>
      <c r="O1592" s="4">
        <f t="shared" si="6"/>
        <v>5659.558824</v>
      </c>
      <c r="P1592" s="2">
        <v>0.0</v>
      </c>
      <c r="Q1592" s="3">
        <f t="shared" si="7"/>
        <v>0</v>
      </c>
      <c r="R1592" s="2">
        <v>0.0</v>
      </c>
      <c r="S1592" s="5">
        <f t="shared" si="8"/>
        <v>0</v>
      </c>
    </row>
    <row r="1593">
      <c r="A1593" s="2" t="s">
        <v>1604</v>
      </c>
      <c r="B1593" s="2">
        <v>61.0</v>
      </c>
      <c r="C1593" s="2">
        <v>688.0</v>
      </c>
      <c r="D1593" s="2">
        <v>226.0</v>
      </c>
      <c r="E1593" s="3">
        <f t="shared" si="1"/>
        <v>0.360446571</v>
      </c>
      <c r="F1593" s="2">
        <v>90.0</v>
      </c>
      <c r="G1593" s="3">
        <f t="shared" si="2"/>
        <v>0.1435406699</v>
      </c>
      <c r="H1593" s="2">
        <v>115.0</v>
      </c>
      <c r="I1593" s="3">
        <f t="shared" si="3"/>
        <v>0.1834130781</v>
      </c>
      <c r="J1593" s="2">
        <v>105.0</v>
      </c>
      <c r="K1593" s="3">
        <f t="shared" si="4"/>
        <v>0.1674641148</v>
      </c>
      <c r="L1593" s="2">
        <v>72.0</v>
      </c>
      <c r="M1593" s="3">
        <f t="shared" si="5"/>
        <v>0.6260869565</v>
      </c>
      <c r="N1593" s="2">
        <v>671000.0</v>
      </c>
      <c r="O1593" s="4">
        <f t="shared" si="6"/>
        <v>5834.782609</v>
      </c>
      <c r="P1593" s="2">
        <v>0.0</v>
      </c>
      <c r="Q1593" s="3">
        <f t="shared" si="7"/>
        <v>0</v>
      </c>
      <c r="R1593" s="2">
        <v>61.0</v>
      </c>
      <c r="S1593" s="5">
        <f t="shared" si="8"/>
        <v>1</v>
      </c>
    </row>
    <row r="1594">
      <c r="A1594" s="2" t="s">
        <v>1605</v>
      </c>
      <c r="B1594" s="2">
        <v>239.0</v>
      </c>
      <c r="C1594" s="2">
        <v>2782.0</v>
      </c>
      <c r="D1594" s="2">
        <v>796.0</v>
      </c>
      <c r="E1594" s="3">
        <f t="shared" si="1"/>
        <v>0.3130161227</v>
      </c>
      <c r="F1594" s="2">
        <v>365.0</v>
      </c>
      <c r="G1594" s="3">
        <f t="shared" si="2"/>
        <v>0.1435312623</v>
      </c>
      <c r="H1594" s="2">
        <v>508.0</v>
      </c>
      <c r="I1594" s="3">
        <f t="shared" si="3"/>
        <v>0.1997640582</v>
      </c>
      <c r="J1594" s="2">
        <v>459.0</v>
      </c>
      <c r="K1594" s="3">
        <f t="shared" si="4"/>
        <v>0.1804954778</v>
      </c>
      <c r="L1594" s="2">
        <v>308.0</v>
      </c>
      <c r="M1594" s="3">
        <f t="shared" si="5"/>
        <v>0.6062992126</v>
      </c>
      <c r="N1594" s="2">
        <v>2748500.0</v>
      </c>
      <c r="O1594" s="4">
        <f t="shared" si="6"/>
        <v>5410.433071</v>
      </c>
      <c r="P1594" s="2">
        <v>0.0</v>
      </c>
      <c r="Q1594" s="3">
        <f t="shared" si="7"/>
        <v>0</v>
      </c>
      <c r="R1594" s="2">
        <v>234.0</v>
      </c>
      <c r="S1594" s="5">
        <f t="shared" si="8"/>
        <v>0.9790794979</v>
      </c>
    </row>
    <row r="1595">
      <c r="A1595" s="2" t="s">
        <v>1606</v>
      </c>
      <c r="B1595" s="2">
        <v>979.0</v>
      </c>
      <c r="C1595" s="2">
        <v>11367.0</v>
      </c>
      <c r="D1595" s="2">
        <v>3498.0</v>
      </c>
      <c r="E1595" s="3">
        <f t="shared" si="1"/>
        <v>0.3367346939</v>
      </c>
      <c r="F1595" s="2">
        <v>1491.0</v>
      </c>
      <c r="G1595" s="3">
        <f t="shared" si="2"/>
        <v>0.1435309973</v>
      </c>
      <c r="H1595" s="2">
        <v>2290.0</v>
      </c>
      <c r="I1595" s="3">
        <f t="shared" si="3"/>
        <v>0.2204466692</v>
      </c>
      <c r="J1595" s="2">
        <v>1884.0</v>
      </c>
      <c r="K1595" s="3">
        <f t="shared" si="4"/>
        <v>0.1813631113</v>
      </c>
      <c r="L1595" s="2">
        <v>1377.0</v>
      </c>
      <c r="M1595" s="3">
        <f t="shared" si="5"/>
        <v>0.6013100437</v>
      </c>
      <c r="N1595" s="2">
        <v>1.30203E7</v>
      </c>
      <c r="O1595" s="4">
        <f t="shared" si="6"/>
        <v>5685.720524</v>
      </c>
      <c r="P1595" s="2">
        <v>2.0</v>
      </c>
      <c r="Q1595" s="3">
        <f t="shared" si="7"/>
        <v>0.002042900919</v>
      </c>
      <c r="R1595" s="2">
        <v>944.0</v>
      </c>
      <c r="S1595" s="5">
        <f t="shared" si="8"/>
        <v>0.9642492339</v>
      </c>
    </row>
    <row r="1596">
      <c r="A1596" s="2" t="s">
        <v>1607</v>
      </c>
      <c r="B1596" s="2">
        <v>296.0</v>
      </c>
      <c r="C1596" s="2">
        <v>3502.0</v>
      </c>
      <c r="D1596" s="2">
        <v>1056.0</v>
      </c>
      <c r="E1596" s="3">
        <f t="shared" si="1"/>
        <v>0.329382408</v>
      </c>
      <c r="F1596" s="2">
        <v>460.0</v>
      </c>
      <c r="G1596" s="3">
        <f t="shared" si="2"/>
        <v>0.1434809732</v>
      </c>
      <c r="H1596" s="2">
        <v>669.0</v>
      </c>
      <c r="I1596" s="3">
        <f t="shared" si="3"/>
        <v>0.2086712414</v>
      </c>
      <c r="J1596" s="2">
        <v>498.0</v>
      </c>
      <c r="K1596" s="3">
        <f t="shared" si="4"/>
        <v>0.1553337492</v>
      </c>
      <c r="L1596" s="2">
        <v>417.0</v>
      </c>
      <c r="M1596" s="3">
        <f t="shared" si="5"/>
        <v>0.6233183857</v>
      </c>
      <c r="N1596" s="2">
        <v>3642600.0</v>
      </c>
      <c r="O1596" s="4">
        <f t="shared" si="6"/>
        <v>5444.843049</v>
      </c>
      <c r="P1596" s="2">
        <v>2.0</v>
      </c>
      <c r="Q1596" s="3">
        <f t="shared" si="7"/>
        <v>0.006756756757</v>
      </c>
      <c r="R1596" s="2">
        <v>296.0</v>
      </c>
      <c r="S1596" s="5">
        <f t="shared" si="8"/>
        <v>1</v>
      </c>
    </row>
    <row r="1597">
      <c r="A1597" s="2" t="s">
        <v>1608</v>
      </c>
      <c r="B1597" s="2">
        <v>257.0</v>
      </c>
      <c r="C1597" s="2">
        <v>3010.0</v>
      </c>
      <c r="D1597" s="2">
        <v>1108.0</v>
      </c>
      <c r="E1597" s="3">
        <f t="shared" si="1"/>
        <v>0.4024700327</v>
      </c>
      <c r="F1597" s="2">
        <v>395.0</v>
      </c>
      <c r="G1597" s="3">
        <f t="shared" si="2"/>
        <v>0.1434798402</v>
      </c>
      <c r="H1597" s="2">
        <v>587.0</v>
      </c>
      <c r="I1597" s="3">
        <f t="shared" si="3"/>
        <v>0.2132219397</v>
      </c>
      <c r="J1597" s="2">
        <v>496.0</v>
      </c>
      <c r="K1597" s="3">
        <f t="shared" si="4"/>
        <v>0.1801670904</v>
      </c>
      <c r="L1597" s="2">
        <v>359.0</v>
      </c>
      <c r="M1597" s="3">
        <f t="shared" si="5"/>
        <v>0.6115843271</v>
      </c>
      <c r="N1597" s="2">
        <v>3109100.0</v>
      </c>
      <c r="O1597" s="4">
        <f t="shared" si="6"/>
        <v>5296.592845</v>
      </c>
      <c r="P1597" s="2">
        <v>1.0</v>
      </c>
      <c r="Q1597" s="3">
        <f t="shared" si="7"/>
        <v>0.003891050584</v>
      </c>
      <c r="R1597" s="2">
        <v>257.0</v>
      </c>
      <c r="S1597" s="5">
        <f t="shared" si="8"/>
        <v>1</v>
      </c>
    </row>
    <row r="1598">
      <c r="A1598" s="2" t="s">
        <v>1609</v>
      </c>
      <c r="B1598" s="2">
        <v>1017.0</v>
      </c>
      <c r="C1598" s="2">
        <v>11821.0</v>
      </c>
      <c r="D1598" s="2">
        <v>3738.0</v>
      </c>
      <c r="E1598" s="3">
        <f t="shared" si="1"/>
        <v>0.3459829693</v>
      </c>
      <c r="F1598" s="2">
        <v>1550.0</v>
      </c>
      <c r="G1598" s="3">
        <f t="shared" si="2"/>
        <v>0.1434653832</v>
      </c>
      <c r="H1598" s="2">
        <v>2412.0</v>
      </c>
      <c r="I1598" s="3">
        <f t="shared" si="3"/>
        <v>0.2232506479</v>
      </c>
      <c r="J1598" s="2">
        <v>2109.0</v>
      </c>
      <c r="K1598" s="3">
        <f t="shared" si="4"/>
        <v>0.1952054795</v>
      </c>
      <c r="L1598" s="2">
        <v>1386.0</v>
      </c>
      <c r="M1598" s="3">
        <f t="shared" si="5"/>
        <v>0.5746268657</v>
      </c>
      <c r="N1598" s="2">
        <v>1.38084E7</v>
      </c>
      <c r="O1598" s="4">
        <f t="shared" si="6"/>
        <v>5724.875622</v>
      </c>
      <c r="P1598" s="2">
        <v>1.0</v>
      </c>
      <c r="Q1598" s="3">
        <f t="shared" si="7"/>
        <v>0.0009832841691</v>
      </c>
      <c r="R1598" s="2">
        <v>1017.0</v>
      </c>
      <c r="S1598" s="5">
        <f t="shared" si="8"/>
        <v>1</v>
      </c>
    </row>
    <row r="1599">
      <c r="A1599" s="2" t="s">
        <v>1610</v>
      </c>
      <c r="B1599" s="2">
        <v>308.0</v>
      </c>
      <c r="C1599" s="2">
        <v>3612.0</v>
      </c>
      <c r="D1599" s="2">
        <v>1090.0</v>
      </c>
      <c r="E1599" s="3">
        <f t="shared" si="1"/>
        <v>0.3299031477</v>
      </c>
      <c r="F1599" s="2">
        <v>474.0</v>
      </c>
      <c r="G1599" s="3">
        <f t="shared" si="2"/>
        <v>0.1434624697</v>
      </c>
      <c r="H1599" s="2">
        <v>680.0</v>
      </c>
      <c r="I1599" s="3">
        <f t="shared" si="3"/>
        <v>0.205811138</v>
      </c>
      <c r="J1599" s="2">
        <v>476.0</v>
      </c>
      <c r="K1599" s="3">
        <f t="shared" si="4"/>
        <v>0.1440677966</v>
      </c>
      <c r="L1599" s="2">
        <v>379.0</v>
      </c>
      <c r="M1599" s="3">
        <f t="shared" si="5"/>
        <v>0.5573529412</v>
      </c>
      <c r="N1599" s="2">
        <v>3938400.0</v>
      </c>
      <c r="O1599" s="4">
        <f t="shared" si="6"/>
        <v>5791.764706</v>
      </c>
      <c r="P1599" s="2">
        <v>1.0</v>
      </c>
      <c r="Q1599" s="3">
        <f t="shared" si="7"/>
        <v>0.003246753247</v>
      </c>
      <c r="R1599" s="2">
        <v>308.0</v>
      </c>
      <c r="S1599" s="5">
        <f t="shared" si="8"/>
        <v>1</v>
      </c>
    </row>
    <row r="1600">
      <c r="A1600" s="2" t="s">
        <v>1611</v>
      </c>
      <c r="B1600" s="2">
        <v>290.0</v>
      </c>
      <c r="C1600" s="2">
        <v>3399.0</v>
      </c>
      <c r="D1600" s="2">
        <v>1240.0</v>
      </c>
      <c r="E1600" s="3">
        <f t="shared" si="1"/>
        <v>0.3988420714</v>
      </c>
      <c r="F1600" s="2">
        <v>446.0</v>
      </c>
      <c r="G1600" s="3">
        <f t="shared" si="2"/>
        <v>0.143454487</v>
      </c>
      <c r="H1600" s="2">
        <v>681.0</v>
      </c>
      <c r="I1600" s="3">
        <f t="shared" si="3"/>
        <v>0.2190414924</v>
      </c>
      <c r="J1600" s="2">
        <v>490.0</v>
      </c>
      <c r="K1600" s="3">
        <f t="shared" si="4"/>
        <v>0.1576069476</v>
      </c>
      <c r="L1600" s="2">
        <v>407.0</v>
      </c>
      <c r="M1600" s="3">
        <f t="shared" si="5"/>
        <v>0.597650514</v>
      </c>
      <c r="N1600" s="2">
        <v>3649600.0</v>
      </c>
      <c r="O1600" s="4">
        <f t="shared" si="6"/>
        <v>5359.17768</v>
      </c>
      <c r="P1600" s="2">
        <v>0.0</v>
      </c>
      <c r="Q1600" s="3">
        <f t="shared" si="7"/>
        <v>0</v>
      </c>
      <c r="R1600" s="2">
        <v>290.0</v>
      </c>
      <c r="S1600" s="5">
        <f t="shared" si="8"/>
        <v>1</v>
      </c>
    </row>
    <row r="1601">
      <c r="A1601" s="2" t="s">
        <v>1612</v>
      </c>
      <c r="B1601" s="2">
        <v>3582.0</v>
      </c>
      <c r="C1601" s="2">
        <v>41889.0</v>
      </c>
      <c r="D1601" s="2">
        <v>15313.0</v>
      </c>
      <c r="E1601" s="3">
        <f t="shared" si="1"/>
        <v>0.3997441721</v>
      </c>
      <c r="F1601" s="2">
        <v>5495.0</v>
      </c>
      <c r="G1601" s="3">
        <f t="shared" si="2"/>
        <v>0.1434463675</v>
      </c>
      <c r="H1601" s="2">
        <v>8634.0</v>
      </c>
      <c r="I1601" s="3">
        <f t="shared" si="3"/>
        <v>0.2253896155</v>
      </c>
      <c r="J1601" s="2">
        <v>6391.0</v>
      </c>
      <c r="K1601" s="3">
        <f t="shared" si="4"/>
        <v>0.1668363484</v>
      </c>
      <c r="L1601" s="2">
        <v>5176.0</v>
      </c>
      <c r="M1601" s="3">
        <f t="shared" si="5"/>
        <v>0.5994903868</v>
      </c>
      <c r="N1601" s="2">
        <v>4.8688E7</v>
      </c>
      <c r="O1601" s="4">
        <f t="shared" si="6"/>
        <v>5639.101228</v>
      </c>
      <c r="P1601" s="2">
        <v>6.0</v>
      </c>
      <c r="Q1601" s="3">
        <f t="shared" si="7"/>
        <v>0.001675041876</v>
      </c>
      <c r="R1601" s="2">
        <v>3582.0</v>
      </c>
      <c r="S1601" s="5">
        <f t="shared" si="8"/>
        <v>1</v>
      </c>
    </row>
    <row r="1602">
      <c r="A1602" s="2" t="s">
        <v>1613</v>
      </c>
      <c r="B1602" s="2">
        <v>1969.0</v>
      </c>
      <c r="C1602" s="2">
        <v>22982.0</v>
      </c>
      <c r="D1602" s="2">
        <v>8445.0</v>
      </c>
      <c r="E1602" s="3">
        <f t="shared" si="1"/>
        <v>0.4018940656</v>
      </c>
      <c r="F1602" s="2">
        <v>3014.0</v>
      </c>
      <c r="G1602" s="3">
        <f t="shared" si="2"/>
        <v>0.1434350164</v>
      </c>
      <c r="H1602" s="2">
        <v>4548.0</v>
      </c>
      <c r="I1602" s="3">
        <f t="shared" si="3"/>
        <v>0.2164374435</v>
      </c>
      <c r="J1602" s="2">
        <v>3263.0</v>
      </c>
      <c r="K1602" s="3">
        <f t="shared" si="4"/>
        <v>0.1552848237</v>
      </c>
      <c r="L1602" s="2">
        <v>2793.0</v>
      </c>
      <c r="M1602" s="3">
        <f t="shared" si="5"/>
        <v>0.614116095</v>
      </c>
      <c r="N1602" s="2">
        <v>2.60789E7</v>
      </c>
      <c r="O1602" s="4">
        <f t="shared" si="6"/>
        <v>5734.146878</v>
      </c>
      <c r="P1602" s="2">
        <v>3.0</v>
      </c>
      <c r="Q1602" s="3">
        <f t="shared" si="7"/>
        <v>0.001523616049</v>
      </c>
      <c r="R1602" s="2">
        <v>454.0</v>
      </c>
      <c r="S1602" s="5">
        <f t="shared" si="8"/>
        <v>0.2305738954</v>
      </c>
    </row>
    <row r="1603">
      <c r="A1603" s="2" t="s">
        <v>1614</v>
      </c>
      <c r="B1603" s="2">
        <v>242.0</v>
      </c>
      <c r="C1603" s="2">
        <v>2794.0</v>
      </c>
      <c r="D1603" s="2">
        <v>867.0</v>
      </c>
      <c r="E1603" s="3">
        <f t="shared" si="1"/>
        <v>0.3397335423</v>
      </c>
      <c r="F1603" s="2">
        <v>366.0</v>
      </c>
      <c r="G1603" s="3">
        <f t="shared" si="2"/>
        <v>0.1434169279</v>
      </c>
      <c r="H1603" s="2">
        <v>534.0</v>
      </c>
      <c r="I1603" s="3">
        <f t="shared" si="3"/>
        <v>0.2092476489</v>
      </c>
      <c r="J1603" s="2">
        <v>450.0</v>
      </c>
      <c r="K1603" s="3">
        <f t="shared" si="4"/>
        <v>0.1763322884</v>
      </c>
      <c r="L1603" s="2">
        <v>322.0</v>
      </c>
      <c r="M1603" s="3">
        <f t="shared" si="5"/>
        <v>0.6029962547</v>
      </c>
      <c r="N1603" s="2">
        <v>3114300.0</v>
      </c>
      <c r="O1603" s="4">
        <f t="shared" si="6"/>
        <v>5832.022472</v>
      </c>
      <c r="P1603" s="2">
        <v>0.0</v>
      </c>
      <c r="Q1603" s="3">
        <f t="shared" si="7"/>
        <v>0</v>
      </c>
      <c r="R1603" s="2">
        <v>242.0</v>
      </c>
      <c r="S1603" s="5">
        <f t="shared" si="8"/>
        <v>1</v>
      </c>
    </row>
    <row r="1604">
      <c r="A1604" s="2" t="s">
        <v>1615</v>
      </c>
      <c r="B1604" s="2">
        <v>51.0</v>
      </c>
      <c r="C1604" s="2">
        <v>574.0</v>
      </c>
      <c r="D1604" s="2">
        <v>197.0</v>
      </c>
      <c r="E1604" s="3">
        <f t="shared" si="1"/>
        <v>0.3766730402</v>
      </c>
      <c r="F1604" s="2">
        <v>75.0</v>
      </c>
      <c r="G1604" s="3">
        <f t="shared" si="2"/>
        <v>0.1434034417</v>
      </c>
      <c r="H1604" s="2">
        <v>115.0</v>
      </c>
      <c r="I1604" s="3">
        <f t="shared" si="3"/>
        <v>0.2198852772</v>
      </c>
      <c r="J1604" s="2">
        <v>110.0</v>
      </c>
      <c r="K1604" s="3">
        <f t="shared" si="4"/>
        <v>0.2103250478</v>
      </c>
      <c r="L1604" s="2">
        <v>66.0</v>
      </c>
      <c r="M1604" s="3">
        <f t="shared" si="5"/>
        <v>0.5739130435</v>
      </c>
      <c r="N1604" s="2">
        <v>792800.0</v>
      </c>
      <c r="O1604" s="4">
        <f t="shared" si="6"/>
        <v>6893.913043</v>
      </c>
      <c r="P1604" s="2">
        <v>2.0</v>
      </c>
      <c r="Q1604" s="3">
        <f t="shared" si="7"/>
        <v>0.03921568627</v>
      </c>
      <c r="R1604" s="2">
        <v>51.0</v>
      </c>
      <c r="S1604" s="5">
        <f t="shared" si="8"/>
        <v>1</v>
      </c>
    </row>
    <row r="1605">
      <c r="A1605" s="2" t="s">
        <v>1616</v>
      </c>
      <c r="B1605" s="2">
        <v>177.0</v>
      </c>
      <c r="C1605" s="2">
        <v>2025.0</v>
      </c>
      <c r="D1605" s="2">
        <v>742.0</v>
      </c>
      <c r="E1605" s="3">
        <f t="shared" si="1"/>
        <v>0.4015151515</v>
      </c>
      <c r="F1605" s="2">
        <v>265.0</v>
      </c>
      <c r="G1605" s="3">
        <f t="shared" si="2"/>
        <v>0.1433982684</v>
      </c>
      <c r="H1605" s="2">
        <v>408.0</v>
      </c>
      <c r="I1605" s="3">
        <f t="shared" si="3"/>
        <v>0.2207792208</v>
      </c>
      <c r="J1605" s="2">
        <v>327.0</v>
      </c>
      <c r="K1605" s="3">
        <f t="shared" si="4"/>
        <v>0.1769480519</v>
      </c>
      <c r="L1605" s="2">
        <v>242.0</v>
      </c>
      <c r="M1605" s="3">
        <f t="shared" si="5"/>
        <v>0.5931372549</v>
      </c>
      <c r="N1605" s="2">
        <v>2273100.0</v>
      </c>
      <c r="O1605" s="4">
        <f t="shared" si="6"/>
        <v>5571.323529</v>
      </c>
      <c r="P1605" s="2">
        <v>2.0</v>
      </c>
      <c r="Q1605" s="3">
        <f t="shared" si="7"/>
        <v>0.01129943503</v>
      </c>
      <c r="R1605" s="2">
        <v>177.0</v>
      </c>
      <c r="S1605" s="5">
        <f t="shared" si="8"/>
        <v>1</v>
      </c>
    </row>
    <row r="1606">
      <c r="A1606" s="2" t="s">
        <v>1617</v>
      </c>
      <c r="B1606" s="2">
        <v>774.0</v>
      </c>
      <c r="C1606" s="2">
        <v>8969.0</v>
      </c>
      <c r="D1606" s="2">
        <v>2624.0</v>
      </c>
      <c r="E1606" s="3">
        <f t="shared" si="1"/>
        <v>0.320195241</v>
      </c>
      <c r="F1606" s="2">
        <v>1175.0</v>
      </c>
      <c r="G1606" s="3">
        <f t="shared" si="2"/>
        <v>0.1433801098</v>
      </c>
      <c r="H1606" s="2">
        <v>1860.0</v>
      </c>
      <c r="I1606" s="3">
        <f t="shared" si="3"/>
        <v>0.2269676632</v>
      </c>
      <c r="J1606" s="2">
        <v>1644.0</v>
      </c>
      <c r="K1606" s="3">
        <f t="shared" si="4"/>
        <v>0.2006101281</v>
      </c>
      <c r="L1606" s="2">
        <v>1122.0</v>
      </c>
      <c r="M1606" s="3">
        <f t="shared" si="5"/>
        <v>0.6032258065</v>
      </c>
      <c r="N1606" s="2">
        <v>1.05066E7</v>
      </c>
      <c r="O1606" s="4">
        <f t="shared" si="6"/>
        <v>5648.709677</v>
      </c>
      <c r="P1606" s="2">
        <v>0.0</v>
      </c>
      <c r="Q1606" s="3">
        <f t="shared" si="7"/>
        <v>0</v>
      </c>
      <c r="R1606" s="2">
        <v>774.0</v>
      </c>
      <c r="S1606" s="5">
        <f t="shared" si="8"/>
        <v>1</v>
      </c>
    </row>
    <row r="1607">
      <c r="A1607" s="2" t="s">
        <v>1618</v>
      </c>
      <c r="B1607" s="2">
        <v>806.0</v>
      </c>
      <c r="C1607" s="2">
        <v>9413.0</v>
      </c>
      <c r="D1607" s="2">
        <v>3652.0</v>
      </c>
      <c r="E1607" s="3">
        <f t="shared" si="1"/>
        <v>0.4243057976</v>
      </c>
      <c r="F1607" s="2">
        <v>1234.0</v>
      </c>
      <c r="G1607" s="3">
        <f t="shared" si="2"/>
        <v>0.1433716742</v>
      </c>
      <c r="H1607" s="2">
        <v>1921.0</v>
      </c>
      <c r="I1607" s="3">
        <f t="shared" si="3"/>
        <v>0.2231904264</v>
      </c>
      <c r="J1607" s="2">
        <v>1584.0</v>
      </c>
      <c r="K1607" s="3">
        <f t="shared" si="4"/>
        <v>0.1840362496</v>
      </c>
      <c r="L1607" s="2">
        <v>1168.0</v>
      </c>
      <c r="M1607" s="3">
        <f t="shared" si="5"/>
        <v>0.608016658</v>
      </c>
      <c r="N1607" s="2">
        <v>1.02318E7</v>
      </c>
      <c r="O1607" s="4">
        <f t="shared" si="6"/>
        <v>5326.288391</v>
      </c>
      <c r="P1607" s="2">
        <v>5.0</v>
      </c>
      <c r="Q1607" s="3">
        <f t="shared" si="7"/>
        <v>0.006203473945</v>
      </c>
      <c r="R1607" s="2">
        <v>806.0</v>
      </c>
      <c r="S1607" s="5">
        <f t="shared" si="8"/>
        <v>1</v>
      </c>
    </row>
    <row r="1608">
      <c r="A1608" s="2" t="s">
        <v>1619</v>
      </c>
      <c r="B1608" s="2">
        <v>235.0</v>
      </c>
      <c r="C1608" s="2">
        <v>2746.0</v>
      </c>
      <c r="D1608" s="2">
        <v>698.0</v>
      </c>
      <c r="E1608" s="3">
        <f t="shared" si="1"/>
        <v>0.2779769016</v>
      </c>
      <c r="F1608" s="2">
        <v>360.0</v>
      </c>
      <c r="G1608" s="3">
        <f t="shared" si="2"/>
        <v>0.1433691756</v>
      </c>
      <c r="H1608" s="2">
        <v>527.0</v>
      </c>
      <c r="I1608" s="3">
        <f t="shared" si="3"/>
        <v>0.2098765432</v>
      </c>
      <c r="J1608" s="2">
        <v>424.0</v>
      </c>
      <c r="K1608" s="3">
        <f t="shared" si="4"/>
        <v>0.1688570291</v>
      </c>
      <c r="L1608" s="2">
        <v>316.0</v>
      </c>
      <c r="M1608" s="3">
        <f t="shared" si="5"/>
        <v>0.5996204934</v>
      </c>
      <c r="N1608" s="2">
        <v>3116100.0</v>
      </c>
      <c r="O1608" s="4">
        <f t="shared" si="6"/>
        <v>5912.903226</v>
      </c>
      <c r="P1608" s="2">
        <v>0.0</v>
      </c>
      <c r="Q1608" s="3">
        <f t="shared" si="7"/>
        <v>0</v>
      </c>
      <c r="R1608" s="2">
        <v>228.0</v>
      </c>
      <c r="S1608" s="5">
        <f t="shared" si="8"/>
        <v>0.970212766</v>
      </c>
    </row>
    <row r="1609">
      <c r="A1609" s="2" t="s">
        <v>1620</v>
      </c>
      <c r="B1609" s="2">
        <v>24.0</v>
      </c>
      <c r="C1609" s="2">
        <v>310.0</v>
      </c>
      <c r="D1609" s="2">
        <v>94.0</v>
      </c>
      <c r="E1609" s="3">
        <f t="shared" si="1"/>
        <v>0.3286713287</v>
      </c>
      <c r="F1609" s="2">
        <v>41.0</v>
      </c>
      <c r="G1609" s="3">
        <f t="shared" si="2"/>
        <v>0.1433566434</v>
      </c>
      <c r="H1609" s="2">
        <v>65.0</v>
      </c>
      <c r="I1609" s="3">
        <f t="shared" si="3"/>
        <v>0.2272727273</v>
      </c>
      <c r="J1609" s="2">
        <v>45.0</v>
      </c>
      <c r="K1609" s="3">
        <f t="shared" si="4"/>
        <v>0.1573426573</v>
      </c>
      <c r="L1609" s="2">
        <v>42.0</v>
      </c>
      <c r="M1609" s="3">
        <f t="shared" si="5"/>
        <v>0.6461538462</v>
      </c>
      <c r="N1609" s="2">
        <v>302000.0</v>
      </c>
      <c r="O1609" s="4">
        <f t="shared" si="6"/>
        <v>4646.153846</v>
      </c>
      <c r="P1609" s="2">
        <v>0.0</v>
      </c>
      <c r="Q1609" s="3">
        <f t="shared" si="7"/>
        <v>0</v>
      </c>
      <c r="R1609" s="2">
        <v>24.0</v>
      </c>
      <c r="S1609" s="5">
        <f t="shared" si="8"/>
        <v>1</v>
      </c>
    </row>
    <row r="1610">
      <c r="A1610" s="2" t="s">
        <v>1621</v>
      </c>
      <c r="B1610" s="2">
        <v>143.0</v>
      </c>
      <c r="C1610" s="2">
        <v>1657.0</v>
      </c>
      <c r="D1610" s="2">
        <v>283.0</v>
      </c>
      <c r="E1610" s="3">
        <f t="shared" si="1"/>
        <v>0.1869220608</v>
      </c>
      <c r="F1610" s="2">
        <v>217.0</v>
      </c>
      <c r="G1610" s="3">
        <f t="shared" si="2"/>
        <v>0.14332893</v>
      </c>
      <c r="H1610" s="2">
        <v>294.0</v>
      </c>
      <c r="I1610" s="3">
        <f t="shared" si="3"/>
        <v>0.1941875826</v>
      </c>
      <c r="J1610" s="2">
        <v>353.0</v>
      </c>
      <c r="K1610" s="3">
        <f t="shared" si="4"/>
        <v>0.2331571995</v>
      </c>
      <c r="L1610" s="2">
        <v>174.0</v>
      </c>
      <c r="M1610" s="3">
        <f t="shared" si="5"/>
        <v>0.5918367347</v>
      </c>
      <c r="N1610" s="2">
        <v>1850600.0</v>
      </c>
      <c r="O1610" s="4">
        <f t="shared" si="6"/>
        <v>6294.557823</v>
      </c>
      <c r="P1610" s="2">
        <v>0.0</v>
      </c>
      <c r="Q1610" s="3">
        <f t="shared" si="7"/>
        <v>0</v>
      </c>
      <c r="R1610" s="2">
        <v>143.0</v>
      </c>
      <c r="S1610" s="5">
        <f t="shared" si="8"/>
        <v>1</v>
      </c>
    </row>
    <row r="1611">
      <c r="A1611" s="2" t="s">
        <v>1622</v>
      </c>
      <c r="B1611" s="2">
        <v>631.0</v>
      </c>
      <c r="C1611" s="2">
        <v>7294.0</v>
      </c>
      <c r="D1611" s="2">
        <v>2396.0</v>
      </c>
      <c r="E1611" s="3">
        <f t="shared" si="1"/>
        <v>0.3595977788</v>
      </c>
      <c r="F1611" s="2">
        <v>955.0</v>
      </c>
      <c r="G1611" s="3">
        <f t="shared" si="2"/>
        <v>0.1433288309</v>
      </c>
      <c r="H1611" s="2">
        <v>1422.0</v>
      </c>
      <c r="I1611" s="3">
        <f t="shared" si="3"/>
        <v>0.2134173796</v>
      </c>
      <c r="J1611" s="2">
        <v>1387.0</v>
      </c>
      <c r="K1611" s="3">
        <f t="shared" si="4"/>
        <v>0.2081644905</v>
      </c>
      <c r="L1611" s="2">
        <v>811.0</v>
      </c>
      <c r="M1611" s="3">
        <f t="shared" si="5"/>
        <v>0.570323488</v>
      </c>
      <c r="N1611" s="2">
        <v>8685600.0</v>
      </c>
      <c r="O1611" s="4">
        <f t="shared" si="6"/>
        <v>6108.016878</v>
      </c>
      <c r="P1611" s="2">
        <v>1.0</v>
      </c>
      <c r="Q1611" s="3">
        <f t="shared" si="7"/>
        <v>0.001584786054</v>
      </c>
      <c r="R1611" s="2">
        <v>631.0</v>
      </c>
      <c r="S1611" s="5">
        <f t="shared" si="8"/>
        <v>1</v>
      </c>
    </row>
    <row r="1612">
      <c r="A1612" s="2" t="s">
        <v>1623</v>
      </c>
      <c r="B1612" s="2">
        <v>58.0</v>
      </c>
      <c r="C1612" s="2">
        <v>679.0</v>
      </c>
      <c r="D1612" s="2">
        <v>208.0</v>
      </c>
      <c r="E1612" s="3">
        <f t="shared" si="1"/>
        <v>0.3349436393</v>
      </c>
      <c r="F1612" s="2">
        <v>89.0</v>
      </c>
      <c r="G1612" s="3">
        <f t="shared" si="2"/>
        <v>0.1433172303</v>
      </c>
      <c r="H1612" s="2">
        <v>130.0</v>
      </c>
      <c r="I1612" s="3">
        <f t="shared" si="3"/>
        <v>0.2093397746</v>
      </c>
      <c r="J1612" s="2">
        <v>104.0</v>
      </c>
      <c r="K1612" s="3">
        <f t="shared" si="4"/>
        <v>0.1674718196</v>
      </c>
      <c r="L1612" s="2">
        <v>74.0</v>
      </c>
      <c r="M1612" s="3">
        <f t="shared" si="5"/>
        <v>0.5692307692</v>
      </c>
      <c r="N1612" s="2">
        <v>648000.0</v>
      </c>
      <c r="O1612" s="4">
        <f t="shared" si="6"/>
        <v>4984.615385</v>
      </c>
      <c r="P1612" s="2">
        <v>0.0</v>
      </c>
      <c r="Q1612" s="3">
        <f t="shared" si="7"/>
        <v>0</v>
      </c>
      <c r="R1612" s="2">
        <v>58.0</v>
      </c>
      <c r="S1612" s="5">
        <f t="shared" si="8"/>
        <v>1</v>
      </c>
    </row>
    <row r="1613">
      <c r="A1613" s="2" t="s">
        <v>1624</v>
      </c>
      <c r="B1613" s="2">
        <v>387.0</v>
      </c>
      <c r="C1613" s="2">
        <v>4518.0</v>
      </c>
      <c r="D1613" s="2">
        <v>1325.0</v>
      </c>
      <c r="E1613" s="3">
        <f t="shared" si="1"/>
        <v>0.3207455822</v>
      </c>
      <c r="F1613" s="2">
        <v>592.0</v>
      </c>
      <c r="G1613" s="3">
        <f t="shared" si="2"/>
        <v>0.1433067054</v>
      </c>
      <c r="H1613" s="2">
        <v>830.0</v>
      </c>
      <c r="I1613" s="3">
        <f t="shared" si="3"/>
        <v>0.2009198741</v>
      </c>
      <c r="J1613" s="2">
        <v>710.0</v>
      </c>
      <c r="K1613" s="3">
        <f t="shared" si="4"/>
        <v>0.1718712176</v>
      </c>
      <c r="L1613" s="2">
        <v>498.0</v>
      </c>
      <c r="M1613" s="3">
        <f t="shared" si="5"/>
        <v>0.6</v>
      </c>
      <c r="N1613" s="2">
        <v>4857700.0</v>
      </c>
      <c r="O1613" s="4">
        <f t="shared" si="6"/>
        <v>5852.650602</v>
      </c>
      <c r="P1613" s="2">
        <v>0.0</v>
      </c>
      <c r="Q1613" s="3">
        <f t="shared" si="7"/>
        <v>0</v>
      </c>
      <c r="R1613" s="2">
        <v>387.0</v>
      </c>
      <c r="S1613" s="5">
        <f t="shared" si="8"/>
        <v>1</v>
      </c>
    </row>
    <row r="1614">
      <c r="A1614" s="2" t="s">
        <v>1625</v>
      </c>
      <c r="B1614" s="2">
        <v>342.0</v>
      </c>
      <c r="C1614" s="2">
        <v>3894.0</v>
      </c>
      <c r="D1614" s="2">
        <v>1398.0</v>
      </c>
      <c r="E1614" s="3">
        <f t="shared" si="1"/>
        <v>0.3935810811</v>
      </c>
      <c r="F1614" s="2">
        <v>509.0</v>
      </c>
      <c r="G1614" s="3">
        <f t="shared" si="2"/>
        <v>0.1432995495</v>
      </c>
      <c r="H1614" s="2">
        <v>764.0</v>
      </c>
      <c r="I1614" s="3">
        <f t="shared" si="3"/>
        <v>0.2150900901</v>
      </c>
      <c r="J1614" s="2">
        <v>629.0</v>
      </c>
      <c r="K1614" s="3">
        <f t="shared" si="4"/>
        <v>0.1770833333</v>
      </c>
      <c r="L1614" s="2">
        <v>454.0</v>
      </c>
      <c r="M1614" s="3">
        <f t="shared" si="5"/>
        <v>0.5942408377</v>
      </c>
      <c r="N1614" s="2">
        <v>4423200.0</v>
      </c>
      <c r="O1614" s="4">
        <f t="shared" si="6"/>
        <v>5789.528796</v>
      </c>
      <c r="P1614" s="2">
        <v>0.0</v>
      </c>
      <c r="Q1614" s="3">
        <f t="shared" si="7"/>
        <v>0</v>
      </c>
      <c r="R1614" s="2">
        <v>342.0</v>
      </c>
      <c r="S1614" s="5">
        <f t="shared" si="8"/>
        <v>1</v>
      </c>
    </row>
    <row r="1615">
      <c r="A1615" s="2" t="s">
        <v>1626</v>
      </c>
      <c r="B1615" s="2">
        <v>213.0</v>
      </c>
      <c r="C1615" s="2">
        <v>2481.0</v>
      </c>
      <c r="D1615" s="2">
        <v>930.0</v>
      </c>
      <c r="E1615" s="3">
        <f t="shared" si="1"/>
        <v>0.4100529101</v>
      </c>
      <c r="F1615" s="2">
        <v>325.0</v>
      </c>
      <c r="G1615" s="3">
        <f t="shared" si="2"/>
        <v>0.14329806</v>
      </c>
      <c r="H1615" s="2">
        <v>468.0</v>
      </c>
      <c r="I1615" s="3">
        <f t="shared" si="3"/>
        <v>0.2063492063</v>
      </c>
      <c r="J1615" s="2">
        <v>431.0</v>
      </c>
      <c r="K1615" s="3">
        <f t="shared" si="4"/>
        <v>0.1900352734</v>
      </c>
      <c r="L1615" s="2">
        <v>282.0</v>
      </c>
      <c r="M1615" s="3">
        <f t="shared" si="5"/>
        <v>0.6025641026</v>
      </c>
      <c r="N1615" s="2">
        <v>2661900.0</v>
      </c>
      <c r="O1615" s="4">
        <f t="shared" si="6"/>
        <v>5687.820513</v>
      </c>
      <c r="P1615" s="2">
        <v>0.0</v>
      </c>
      <c r="Q1615" s="3">
        <f t="shared" si="7"/>
        <v>0</v>
      </c>
      <c r="R1615" s="2">
        <v>210.0</v>
      </c>
      <c r="S1615" s="5">
        <f t="shared" si="8"/>
        <v>0.985915493</v>
      </c>
    </row>
    <row r="1616">
      <c r="A1616" s="2" t="s">
        <v>1627</v>
      </c>
      <c r="B1616" s="2">
        <v>63.0</v>
      </c>
      <c r="C1616" s="2">
        <v>726.0</v>
      </c>
      <c r="D1616" s="2">
        <v>203.0</v>
      </c>
      <c r="E1616" s="3">
        <f t="shared" si="1"/>
        <v>0.3061840121</v>
      </c>
      <c r="F1616" s="2">
        <v>95.0</v>
      </c>
      <c r="G1616" s="3">
        <f t="shared" si="2"/>
        <v>0.1432880845</v>
      </c>
      <c r="H1616" s="2">
        <v>132.0</v>
      </c>
      <c r="I1616" s="3">
        <f t="shared" si="3"/>
        <v>0.1990950226</v>
      </c>
      <c r="J1616" s="2">
        <v>96.0</v>
      </c>
      <c r="K1616" s="3">
        <f t="shared" si="4"/>
        <v>0.1447963801</v>
      </c>
      <c r="L1616" s="2">
        <v>85.0</v>
      </c>
      <c r="M1616" s="3">
        <f t="shared" si="5"/>
        <v>0.6439393939</v>
      </c>
      <c r="N1616" s="2">
        <v>842600.0</v>
      </c>
      <c r="O1616" s="4">
        <f t="shared" si="6"/>
        <v>6383.333333</v>
      </c>
      <c r="P1616" s="2">
        <v>1.0</v>
      </c>
      <c r="Q1616" s="3">
        <f t="shared" si="7"/>
        <v>0.01587301587</v>
      </c>
      <c r="R1616" s="2">
        <v>0.0</v>
      </c>
      <c r="S1616" s="5">
        <f t="shared" si="8"/>
        <v>0</v>
      </c>
    </row>
    <row r="1617">
      <c r="A1617" s="2" t="s">
        <v>1628</v>
      </c>
      <c r="B1617" s="2">
        <v>222.0</v>
      </c>
      <c r="C1617" s="2">
        <v>2595.0</v>
      </c>
      <c r="D1617" s="2">
        <v>948.0</v>
      </c>
      <c r="E1617" s="3">
        <f t="shared" si="1"/>
        <v>0.399494311</v>
      </c>
      <c r="F1617" s="2">
        <v>340.0</v>
      </c>
      <c r="G1617" s="3">
        <f t="shared" si="2"/>
        <v>0.1432785504</v>
      </c>
      <c r="H1617" s="2">
        <v>532.0</v>
      </c>
      <c r="I1617" s="3">
        <f t="shared" si="3"/>
        <v>0.2241887906</v>
      </c>
      <c r="J1617" s="2">
        <v>376.0</v>
      </c>
      <c r="K1617" s="3">
        <f t="shared" si="4"/>
        <v>0.1584492204</v>
      </c>
      <c r="L1617" s="2">
        <v>324.0</v>
      </c>
      <c r="M1617" s="3">
        <f t="shared" si="5"/>
        <v>0.6090225564</v>
      </c>
      <c r="N1617" s="2">
        <v>2885000.0</v>
      </c>
      <c r="O1617" s="4">
        <f t="shared" si="6"/>
        <v>5422.932331</v>
      </c>
      <c r="P1617" s="2">
        <v>1.0</v>
      </c>
      <c r="Q1617" s="3">
        <f t="shared" si="7"/>
        <v>0.004504504505</v>
      </c>
      <c r="R1617" s="2">
        <v>222.0</v>
      </c>
      <c r="S1617" s="5">
        <f t="shared" si="8"/>
        <v>1</v>
      </c>
    </row>
    <row r="1618">
      <c r="A1618" s="2" t="s">
        <v>1629</v>
      </c>
      <c r="B1618" s="2">
        <v>335.0</v>
      </c>
      <c r="C1618" s="2">
        <v>3776.0</v>
      </c>
      <c r="D1618" s="2">
        <v>1134.0</v>
      </c>
      <c r="E1618" s="3">
        <f t="shared" si="1"/>
        <v>0.3295553618</v>
      </c>
      <c r="F1618" s="2">
        <v>493.0</v>
      </c>
      <c r="G1618" s="3">
        <f t="shared" si="2"/>
        <v>0.1432723046</v>
      </c>
      <c r="H1618" s="2">
        <v>784.0</v>
      </c>
      <c r="I1618" s="3">
        <f t="shared" si="3"/>
        <v>0.227840744</v>
      </c>
      <c r="J1618" s="2">
        <v>725.0</v>
      </c>
      <c r="K1618" s="3">
        <f t="shared" si="4"/>
        <v>0.2106945655</v>
      </c>
      <c r="L1618" s="2">
        <v>442.0</v>
      </c>
      <c r="M1618" s="3">
        <f t="shared" si="5"/>
        <v>0.5637755102</v>
      </c>
      <c r="N1618" s="2">
        <v>4629800.0</v>
      </c>
      <c r="O1618" s="4">
        <f t="shared" si="6"/>
        <v>5905.357143</v>
      </c>
      <c r="P1618" s="2">
        <v>1.0</v>
      </c>
      <c r="Q1618" s="3">
        <f t="shared" si="7"/>
        <v>0.002985074627</v>
      </c>
      <c r="R1618" s="2">
        <v>335.0</v>
      </c>
      <c r="S1618" s="5">
        <f t="shared" si="8"/>
        <v>1</v>
      </c>
    </row>
    <row r="1619">
      <c r="A1619" s="2" t="s">
        <v>1630</v>
      </c>
      <c r="B1619" s="2">
        <v>877.0</v>
      </c>
      <c r="C1619" s="2">
        <v>10244.0</v>
      </c>
      <c r="D1619" s="2">
        <v>4197.0</v>
      </c>
      <c r="E1619" s="3">
        <f t="shared" si="1"/>
        <v>0.4480623465</v>
      </c>
      <c r="F1619" s="2">
        <v>1342.0</v>
      </c>
      <c r="G1619" s="3">
        <f t="shared" si="2"/>
        <v>0.1432689228</v>
      </c>
      <c r="H1619" s="2">
        <v>2123.0</v>
      </c>
      <c r="I1619" s="3">
        <f t="shared" si="3"/>
        <v>0.2266467386</v>
      </c>
      <c r="J1619" s="2">
        <v>1317.0</v>
      </c>
      <c r="K1619" s="3">
        <f t="shared" si="4"/>
        <v>0.1405999786</v>
      </c>
      <c r="L1619" s="2">
        <v>1309.0</v>
      </c>
      <c r="M1619" s="3">
        <f t="shared" si="5"/>
        <v>0.6165803109</v>
      </c>
      <c r="N1619" s="2">
        <v>1.09921E7</v>
      </c>
      <c r="O1619" s="4">
        <f t="shared" si="6"/>
        <v>5177.626001</v>
      </c>
      <c r="P1619" s="2">
        <v>0.0</v>
      </c>
      <c r="Q1619" s="3">
        <f t="shared" si="7"/>
        <v>0</v>
      </c>
      <c r="R1619" s="2">
        <v>877.0</v>
      </c>
      <c r="S1619" s="5">
        <f t="shared" si="8"/>
        <v>1</v>
      </c>
    </row>
    <row r="1620">
      <c r="A1620" s="2" t="s">
        <v>1631</v>
      </c>
      <c r="B1620" s="2">
        <v>65.0</v>
      </c>
      <c r="C1620" s="2">
        <v>763.0</v>
      </c>
      <c r="D1620" s="2">
        <v>210.0</v>
      </c>
      <c r="E1620" s="3">
        <f t="shared" si="1"/>
        <v>0.3008595989</v>
      </c>
      <c r="F1620" s="2">
        <v>100.0</v>
      </c>
      <c r="G1620" s="3">
        <f t="shared" si="2"/>
        <v>0.1432664756</v>
      </c>
      <c r="H1620" s="2">
        <v>144.0</v>
      </c>
      <c r="I1620" s="3">
        <f t="shared" si="3"/>
        <v>0.2063037249</v>
      </c>
      <c r="J1620" s="2">
        <v>116.0</v>
      </c>
      <c r="K1620" s="3">
        <f t="shared" si="4"/>
        <v>0.1661891117</v>
      </c>
      <c r="L1620" s="2">
        <v>77.0</v>
      </c>
      <c r="M1620" s="3">
        <f t="shared" si="5"/>
        <v>0.5347222222</v>
      </c>
      <c r="N1620" s="2">
        <v>770000.0</v>
      </c>
      <c r="O1620" s="4">
        <f t="shared" si="6"/>
        <v>5347.222222</v>
      </c>
      <c r="P1620" s="2">
        <v>0.0</v>
      </c>
      <c r="Q1620" s="3">
        <f t="shared" si="7"/>
        <v>0</v>
      </c>
      <c r="R1620" s="2">
        <v>65.0</v>
      </c>
      <c r="S1620" s="5">
        <f t="shared" si="8"/>
        <v>1</v>
      </c>
    </row>
    <row r="1621">
      <c r="A1621" s="2" t="s">
        <v>1632</v>
      </c>
      <c r="B1621" s="2">
        <v>427.0</v>
      </c>
      <c r="C1621" s="2">
        <v>4992.0</v>
      </c>
      <c r="D1621" s="2">
        <v>1466.0</v>
      </c>
      <c r="E1621" s="3">
        <f t="shared" si="1"/>
        <v>0.3211391019</v>
      </c>
      <c r="F1621" s="2">
        <v>654.0</v>
      </c>
      <c r="G1621" s="3">
        <f t="shared" si="2"/>
        <v>0.143263965</v>
      </c>
      <c r="H1621" s="2">
        <v>940.0</v>
      </c>
      <c r="I1621" s="3">
        <f t="shared" si="3"/>
        <v>0.2059145674</v>
      </c>
      <c r="J1621" s="2">
        <v>843.0</v>
      </c>
      <c r="K1621" s="3">
        <f t="shared" si="4"/>
        <v>0.1846659365</v>
      </c>
      <c r="L1621" s="2">
        <v>531.0</v>
      </c>
      <c r="M1621" s="3">
        <f t="shared" si="5"/>
        <v>0.564893617</v>
      </c>
      <c r="N1621" s="2">
        <v>5876600.0</v>
      </c>
      <c r="O1621" s="4">
        <f t="shared" si="6"/>
        <v>6251.702128</v>
      </c>
      <c r="P1621" s="2">
        <v>1.0</v>
      </c>
      <c r="Q1621" s="3">
        <f t="shared" si="7"/>
        <v>0.002341920375</v>
      </c>
      <c r="R1621" s="2">
        <v>425.0</v>
      </c>
      <c r="S1621" s="5">
        <f t="shared" si="8"/>
        <v>0.9953161593</v>
      </c>
    </row>
    <row r="1622">
      <c r="A1622" s="2" t="s">
        <v>1633</v>
      </c>
      <c r="B1622" s="2">
        <v>506.0</v>
      </c>
      <c r="C1622" s="2">
        <v>5846.0</v>
      </c>
      <c r="D1622" s="2">
        <v>1714.0</v>
      </c>
      <c r="E1622" s="3">
        <f t="shared" si="1"/>
        <v>0.3209737828</v>
      </c>
      <c r="F1622" s="2">
        <v>765.0</v>
      </c>
      <c r="G1622" s="3">
        <f t="shared" si="2"/>
        <v>0.143258427</v>
      </c>
      <c r="H1622" s="2">
        <v>1083.0</v>
      </c>
      <c r="I1622" s="3">
        <f t="shared" si="3"/>
        <v>0.2028089888</v>
      </c>
      <c r="J1622" s="2">
        <v>900.0</v>
      </c>
      <c r="K1622" s="3">
        <f t="shared" si="4"/>
        <v>0.1685393258</v>
      </c>
      <c r="L1622" s="2">
        <v>651.0</v>
      </c>
      <c r="M1622" s="3">
        <f t="shared" si="5"/>
        <v>0.6011080332</v>
      </c>
      <c r="N1622" s="2">
        <v>6642500.0</v>
      </c>
      <c r="O1622" s="4">
        <f t="shared" si="6"/>
        <v>6133.425669</v>
      </c>
      <c r="P1622" s="2">
        <v>3.0</v>
      </c>
      <c r="Q1622" s="3">
        <f t="shared" si="7"/>
        <v>0.005928853755</v>
      </c>
      <c r="R1622" s="2">
        <v>506.0</v>
      </c>
      <c r="S1622" s="5">
        <f t="shared" si="8"/>
        <v>1</v>
      </c>
    </row>
    <row r="1623">
      <c r="A1623" s="2" t="s">
        <v>1634</v>
      </c>
      <c r="B1623" s="2">
        <v>167.0</v>
      </c>
      <c r="C1623" s="2">
        <v>1975.0</v>
      </c>
      <c r="D1623" s="2">
        <v>675.0</v>
      </c>
      <c r="E1623" s="3">
        <f t="shared" si="1"/>
        <v>0.373340708</v>
      </c>
      <c r="F1623" s="2">
        <v>259.0</v>
      </c>
      <c r="G1623" s="3">
        <f t="shared" si="2"/>
        <v>0.1432522124</v>
      </c>
      <c r="H1623" s="2">
        <v>353.0</v>
      </c>
      <c r="I1623" s="3">
        <f t="shared" si="3"/>
        <v>0.1952433628</v>
      </c>
      <c r="J1623" s="2">
        <v>317.0</v>
      </c>
      <c r="K1623" s="3">
        <f t="shared" si="4"/>
        <v>0.1753318584</v>
      </c>
      <c r="L1623" s="2">
        <v>221.0</v>
      </c>
      <c r="M1623" s="3">
        <f t="shared" si="5"/>
        <v>0.6260623229</v>
      </c>
      <c r="N1623" s="2">
        <v>2014400.0</v>
      </c>
      <c r="O1623" s="4">
        <f t="shared" si="6"/>
        <v>5706.515581</v>
      </c>
      <c r="P1623" s="2">
        <v>1.0</v>
      </c>
      <c r="Q1623" s="3">
        <f t="shared" si="7"/>
        <v>0.005988023952</v>
      </c>
      <c r="R1623" s="2">
        <v>83.0</v>
      </c>
      <c r="S1623" s="5">
        <f t="shared" si="8"/>
        <v>0.497005988</v>
      </c>
    </row>
    <row r="1624">
      <c r="A1624" s="2" t="s">
        <v>1635</v>
      </c>
      <c r="B1624" s="2">
        <v>33.0</v>
      </c>
      <c r="C1624" s="2">
        <v>396.0</v>
      </c>
      <c r="D1624" s="2">
        <v>144.0</v>
      </c>
      <c r="E1624" s="3">
        <f t="shared" si="1"/>
        <v>0.3966942149</v>
      </c>
      <c r="F1624" s="2">
        <v>52.0</v>
      </c>
      <c r="G1624" s="3">
        <f t="shared" si="2"/>
        <v>0.1432506887</v>
      </c>
      <c r="H1624" s="2">
        <v>63.0</v>
      </c>
      <c r="I1624" s="3">
        <f t="shared" si="3"/>
        <v>0.173553719</v>
      </c>
      <c r="J1624" s="2">
        <v>66.0</v>
      </c>
      <c r="K1624" s="3">
        <f t="shared" si="4"/>
        <v>0.1818181818</v>
      </c>
      <c r="L1624" s="2">
        <v>36.0</v>
      </c>
      <c r="M1624" s="3">
        <f t="shared" si="5"/>
        <v>0.5714285714</v>
      </c>
      <c r="N1624" s="2">
        <v>378900.0</v>
      </c>
      <c r="O1624" s="4">
        <f t="shared" si="6"/>
        <v>6014.285714</v>
      </c>
      <c r="P1624" s="2">
        <v>0.0</v>
      </c>
      <c r="Q1624" s="3">
        <f t="shared" si="7"/>
        <v>0</v>
      </c>
      <c r="R1624" s="2">
        <v>0.0</v>
      </c>
      <c r="S1624" s="5">
        <f t="shared" si="8"/>
        <v>0</v>
      </c>
    </row>
    <row r="1625">
      <c r="A1625" s="2" t="s">
        <v>1636</v>
      </c>
      <c r="B1625" s="2">
        <v>150.0</v>
      </c>
      <c r="C1625" s="2">
        <v>1735.0</v>
      </c>
      <c r="D1625" s="2">
        <v>341.0</v>
      </c>
      <c r="E1625" s="3">
        <f t="shared" si="1"/>
        <v>0.2151419558</v>
      </c>
      <c r="F1625" s="2">
        <v>227.0</v>
      </c>
      <c r="G1625" s="3">
        <f t="shared" si="2"/>
        <v>0.1432176656</v>
      </c>
      <c r="H1625" s="2">
        <v>286.0</v>
      </c>
      <c r="I1625" s="3">
        <f t="shared" si="3"/>
        <v>0.1804416404</v>
      </c>
      <c r="J1625" s="2">
        <v>256.0</v>
      </c>
      <c r="K1625" s="3">
        <f t="shared" si="4"/>
        <v>0.1615141956</v>
      </c>
      <c r="L1625" s="2">
        <v>184.0</v>
      </c>
      <c r="M1625" s="3">
        <f t="shared" si="5"/>
        <v>0.6433566434</v>
      </c>
      <c r="N1625" s="2">
        <v>1535600.0</v>
      </c>
      <c r="O1625" s="4">
        <f t="shared" si="6"/>
        <v>5369.230769</v>
      </c>
      <c r="P1625" s="2">
        <v>0.0</v>
      </c>
      <c r="Q1625" s="3">
        <f t="shared" si="7"/>
        <v>0</v>
      </c>
      <c r="R1625" s="2">
        <v>150.0</v>
      </c>
      <c r="S1625" s="5">
        <f t="shared" si="8"/>
        <v>1</v>
      </c>
    </row>
    <row r="1626">
      <c r="A1626" s="2" t="s">
        <v>1637</v>
      </c>
      <c r="B1626" s="2">
        <v>112.0</v>
      </c>
      <c r="C1626" s="2">
        <v>1313.0</v>
      </c>
      <c r="D1626" s="2">
        <v>465.0</v>
      </c>
      <c r="E1626" s="3">
        <f t="shared" si="1"/>
        <v>0.3871773522</v>
      </c>
      <c r="F1626" s="2">
        <v>172.0</v>
      </c>
      <c r="G1626" s="3">
        <f t="shared" si="2"/>
        <v>0.1432139883</v>
      </c>
      <c r="H1626" s="2">
        <v>268.0</v>
      </c>
      <c r="I1626" s="3">
        <f t="shared" si="3"/>
        <v>0.2231473772</v>
      </c>
      <c r="J1626" s="2">
        <v>245.0</v>
      </c>
      <c r="K1626" s="3">
        <f t="shared" si="4"/>
        <v>0.2039966694</v>
      </c>
      <c r="L1626" s="2">
        <v>150.0</v>
      </c>
      <c r="M1626" s="3">
        <f t="shared" si="5"/>
        <v>0.5597014925</v>
      </c>
      <c r="N1626" s="2">
        <v>1489100.0</v>
      </c>
      <c r="O1626" s="4">
        <f t="shared" si="6"/>
        <v>5556.343284</v>
      </c>
      <c r="P1626" s="2">
        <v>0.0</v>
      </c>
      <c r="Q1626" s="3">
        <f t="shared" si="7"/>
        <v>0</v>
      </c>
      <c r="R1626" s="2">
        <v>112.0</v>
      </c>
      <c r="S1626" s="5">
        <f t="shared" si="8"/>
        <v>1</v>
      </c>
    </row>
    <row r="1627">
      <c r="A1627" s="2" t="s">
        <v>1638</v>
      </c>
      <c r="B1627" s="2">
        <v>228.0</v>
      </c>
      <c r="C1627" s="2">
        <v>2693.0</v>
      </c>
      <c r="D1627" s="2">
        <v>816.0</v>
      </c>
      <c r="E1627" s="3">
        <f t="shared" si="1"/>
        <v>0.3310344828</v>
      </c>
      <c r="F1627" s="2">
        <v>353.0</v>
      </c>
      <c r="G1627" s="3">
        <f t="shared" si="2"/>
        <v>0.1432048682</v>
      </c>
      <c r="H1627" s="2">
        <v>500.0</v>
      </c>
      <c r="I1627" s="3">
        <f t="shared" si="3"/>
        <v>0.2028397566</v>
      </c>
      <c r="J1627" s="2">
        <v>402.0</v>
      </c>
      <c r="K1627" s="3">
        <f t="shared" si="4"/>
        <v>0.1630831643</v>
      </c>
      <c r="L1627" s="2">
        <v>319.0</v>
      </c>
      <c r="M1627" s="3">
        <f t="shared" si="5"/>
        <v>0.638</v>
      </c>
      <c r="N1627" s="2">
        <v>2727800.0</v>
      </c>
      <c r="O1627" s="4">
        <f t="shared" si="6"/>
        <v>5455.6</v>
      </c>
      <c r="P1627" s="2">
        <v>0.0</v>
      </c>
      <c r="Q1627" s="3">
        <f t="shared" si="7"/>
        <v>0</v>
      </c>
      <c r="R1627" s="2">
        <v>228.0</v>
      </c>
      <c r="S1627" s="5">
        <f t="shared" si="8"/>
        <v>1</v>
      </c>
    </row>
    <row r="1628">
      <c r="A1628" s="2" t="s">
        <v>1639</v>
      </c>
      <c r="B1628" s="2">
        <v>274.0</v>
      </c>
      <c r="C1628" s="2">
        <v>3270.0</v>
      </c>
      <c r="D1628" s="2">
        <v>1069.0</v>
      </c>
      <c r="E1628" s="3">
        <f t="shared" si="1"/>
        <v>0.3568090788</v>
      </c>
      <c r="F1628" s="2">
        <v>429.0</v>
      </c>
      <c r="G1628" s="3">
        <f t="shared" si="2"/>
        <v>0.1431909212</v>
      </c>
      <c r="H1628" s="2">
        <v>657.0</v>
      </c>
      <c r="I1628" s="3">
        <f t="shared" si="3"/>
        <v>0.2192923899</v>
      </c>
      <c r="J1628" s="2">
        <v>545.0</v>
      </c>
      <c r="K1628" s="3">
        <f t="shared" si="4"/>
        <v>0.1819092123</v>
      </c>
      <c r="L1628" s="2">
        <v>394.0</v>
      </c>
      <c r="M1628" s="3">
        <f t="shared" si="5"/>
        <v>0.599695586</v>
      </c>
      <c r="N1628" s="2">
        <v>3489500.0</v>
      </c>
      <c r="O1628" s="4">
        <f t="shared" si="6"/>
        <v>5311.263318</v>
      </c>
      <c r="P1628" s="2">
        <v>1.0</v>
      </c>
      <c r="Q1628" s="3">
        <f t="shared" si="7"/>
        <v>0.003649635036</v>
      </c>
      <c r="R1628" s="2">
        <v>274.0</v>
      </c>
      <c r="S1628" s="5">
        <f t="shared" si="8"/>
        <v>1</v>
      </c>
    </row>
    <row r="1629">
      <c r="A1629" s="2" t="s">
        <v>1640</v>
      </c>
      <c r="B1629" s="2">
        <v>202.0</v>
      </c>
      <c r="C1629" s="2">
        <v>2353.0</v>
      </c>
      <c r="D1629" s="2">
        <v>663.0</v>
      </c>
      <c r="E1629" s="3">
        <f t="shared" si="1"/>
        <v>0.3082287308</v>
      </c>
      <c r="F1629" s="2">
        <v>308.0</v>
      </c>
      <c r="G1629" s="3">
        <f t="shared" si="2"/>
        <v>0.1431892143</v>
      </c>
      <c r="H1629" s="2">
        <v>402.0</v>
      </c>
      <c r="I1629" s="3">
        <f t="shared" si="3"/>
        <v>0.1868898187</v>
      </c>
      <c r="J1629" s="2">
        <v>343.0</v>
      </c>
      <c r="K1629" s="3">
        <f t="shared" si="4"/>
        <v>0.1594607159</v>
      </c>
      <c r="L1629" s="2">
        <v>243.0</v>
      </c>
      <c r="M1629" s="3">
        <f t="shared" si="5"/>
        <v>0.6044776119</v>
      </c>
      <c r="N1629" s="2">
        <v>2390500.0</v>
      </c>
      <c r="O1629" s="4">
        <f t="shared" si="6"/>
        <v>5946.517413</v>
      </c>
      <c r="P1629" s="2">
        <v>0.0</v>
      </c>
      <c r="Q1629" s="3">
        <f t="shared" si="7"/>
        <v>0</v>
      </c>
      <c r="R1629" s="2">
        <v>202.0</v>
      </c>
      <c r="S1629" s="5">
        <f t="shared" si="8"/>
        <v>1</v>
      </c>
    </row>
    <row r="1630">
      <c r="A1630" s="2" t="s">
        <v>1641</v>
      </c>
      <c r="B1630" s="2">
        <v>124.0</v>
      </c>
      <c r="C1630" s="2">
        <v>1472.0</v>
      </c>
      <c r="D1630" s="2">
        <v>402.0</v>
      </c>
      <c r="E1630" s="3">
        <f t="shared" si="1"/>
        <v>0.2982195846</v>
      </c>
      <c r="F1630" s="2">
        <v>193.0</v>
      </c>
      <c r="G1630" s="3">
        <f t="shared" si="2"/>
        <v>0.1431750742</v>
      </c>
      <c r="H1630" s="2">
        <v>272.0</v>
      </c>
      <c r="I1630" s="3">
        <f t="shared" si="3"/>
        <v>0.2017804154</v>
      </c>
      <c r="J1630" s="2">
        <v>222.0</v>
      </c>
      <c r="K1630" s="3">
        <f t="shared" si="4"/>
        <v>0.1646884273</v>
      </c>
      <c r="L1630" s="2">
        <v>175.0</v>
      </c>
      <c r="M1630" s="3">
        <f t="shared" si="5"/>
        <v>0.6433823529</v>
      </c>
      <c r="N1630" s="2">
        <v>1520900.0</v>
      </c>
      <c r="O1630" s="4">
        <f t="shared" si="6"/>
        <v>5591.544118</v>
      </c>
      <c r="P1630" s="2">
        <v>2.0</v>
      </c>
      <c r="Q1630" s="3">
        <f t="shared" si="7"/>
        <v>0.01612903226</v>
      </c>
      <c r="R1630" s="2">
        <v>97.0</v>
      </c>
      <c r="S1630" s="5">
        <f t="shared" si="8"/>
        <v>0.7822580645</v>
      </c>
    </row>
    <row r="1631">
      <c r="A1631" s="2" t="s">
        <v>1642</v>
      </c>
      <c r="B1631" s="2">
        <v>321.0</v>
      </c>
      <c r="C1631" s="2">
        <v>3667.0</v>
      </c>
      <c r="D1631" s="2">
        <v>1309.0</v>
      </c>
      <c r="E1631" s="3">
        <f t="shared" si="1"/>
        <v>0.3912133891</v>
      </c>
      <c r="F1631" s="2">
        <v>479.0</v>
      </c>
      <c r="G1631" s="3">
        <f t="shared" si="2"/>
        <v>0.1431560072</v>
      </c>
      <c r="H1631" s="2">
        <v>735.0</v>
      </c>
      <c r="I1631" s="3">
        <f t="shared" si="3"/>
        <v>0.219665272</v>
      </c>
      <c r="J1631" s="2">
        <v>669.0</v>
      </c>
      <c r="K1631" s="3">
        <f t="shared" si="4"/>
        <v>0.1999402271</v>
      </c>
      <c r="L1631" s="2">
        <v>432.0</v>
      </c>
      <c r="M1631" s="3">
        <f t="shared" si="5"/>
        <v>0.587755102</v>
      </c>
      <c r="N1631" s="2">
        <v>4085700.0</v>
      </c>
      <c r="O1631" s="4">
        <f t="shared" si="6"/>
        <v>5558.77551</v>
      </c>
      <c r="P1631" s="2">
        <v>1.0</v>
      </c>
      <c r="Q1631" s="3">
        <f t="shared" si="7"/>
        <v>0.003115264798</v>
      </c>
      <c r="R1631" s="2">
        <v>228.0</v>
      </c>
      <c r="S1631" s="5">
        <f t="shared" si="8"/>
        <v>0.7102803738</v>
      </c>
    </row>
    <row r="1632">
      <c r="A1632" s="2" t="s">
        <v>1643</v>
      </c>
      <c r="B1632" s="2">
        <v>48.0</v>
      </c>
      <c r="C1632" s="2">
        <v>551.0</v>
      </c>
      <c r="D1632" s="2">
        <v>165.0</v>
      </c>
      <c r="E1632" s="3">
        <f t="shared" si="1"/>
        <v>0.3280318091</v>
      </c>
      <c r="F1632" s="2">
        <v>72.0</v>
      </c>
      <c r="G1632" s="3">
        <f t="shared" si="2"/>
        <v>0.1431411531</v>
      </c>
      <c r="H1632" s="2">
        <v>107.0</v>
      </c>
      <c r="I1632" s="3">
        <f t="shared" si="3"/>
        <v>0.2127236581</v>
      </c>
      <c r="J1632" s="2">
        <v>105.0</v>
      </c>
      <c r="K1632" s="3">
        <f t="shared" si="4"/>
        <v>0.2087475149</v>
      </c>
      <c r="L1632" s="2">
        <v>56.0</v>
      </c>
      <c r="M1632" s="3">
        <f t="shared" si="5"/>
        <v>0.523364486</v>
      </c>
      <c r="N1632" s="2">
        <v>635800.0</v>
      </c>
      <c r="O1632" s="4">
        <f t="shared" si="6"/>
        <v>5942.056075</v>
      </c>
      <c r="P1632" s="2">
        <v>1.0</v>
      </c>
      <c r="Q1632" s="3">
        <f t="shared" si="7"/>
        <v>0.02083333333</v>
      </c>
      <c r="R1632" s="2">
        <v>48.0</v>
      </c>
      <c r="S1632" s="5">
        <f t="shared" si="8"/>
        <v>1</v>
      </c>
    </row>
    <row r="1633">
      <c r="A1633" s="2" t="s">
        <v>1644</v>
      </c>
      <c r="B1633" s="2">
        <v>352.0</v>
      </c>
      <c r="C1633" s="2">
        <v>4111.0</v>
      </c>
      <c r="D1633" s="2">
        <v>1199.0</v>
      </c>
      <c r="E1633" s="3">
        <f t="shared" si="1"/>
        <v>0.3189678106</v>
      </c>
      <c r="F1633" s="2">
        <v>538.0</v>
      </c>
      <c r="G1633" s="3">
        <f t="shared" si="2"/>
        <v>0.1431231711</v>
      </c>
      <c r="H1633" s="2">
        <v>800.0</v>
      </c>
      <c r="I1633" s="3">
        <f t="shared" si="3"/>
        <v>0.2128225592</v>
      </c>
      <c r="J1633" s="2">
        <v>773.0</v>
      </c>
      <c r="K1633" s="3">
        <f t="shared" si="4"/>
        <v>0.2056397978</v>
      </c>
      <c r="L1633" s="2">
        <v>481.0</v>
      </c>
      <c r="M1633" s="3">
        <f t="shared" si="5"/>
        <v>0.60125</v>
      </c>
      <c r="N1633" s="2">
        <v>4447300.0</v>
      </c>
      <c r="O1633" s="4">
        <f t="shared" si="6"/>
        <v>5559.125</v>
      </c>
      <c r="P1633" s="2">
        <v>0.0</v>
      </c>
      <c r="Q1633" s="3">
        <f t="shared" si="7"/>
        <v>0</v>
      </c>
      <c r="R1633" s="2">
        <v>352.0</v>
      </c>
      <c r="S1633" s="5">
        <f t="shared" si="8"/>
        <v>1</v>
      </c>
    </row>
    <row r="1634">
      <c r="A1634" s="2" t="s">
        <v>1645</v>
      </c>
      <c r="B1634" s="2">
        <v>175.0</v>
      </c>
      <c r="C1634" s="2">
        <v>2041.0</v>
      </c>
      <c r="D1634" s="2">
        <v>569.0</v>
      </c>
      <c r="E1634" s="3">
        <f t="shared" si="1"/>
        <v>0.3049303323</v>
      </c>
      <c r="F1634" s="2">
        <v>267.0</v>
      </c>
      <c r="G1634" s="3">
        <f t="shared" si="2"/>
        <v>0.1430868167</v>
      </c>
      <c r="H1634" s="2">
        <v>393.0</v>
      </c>
      <c r="I1634" s="3">
        <f t="shared" si="3"/>
        <v>0.2106109325</v>
      </c>
      <c r="J1634" s="2">
        <v>312.0</v>
      </c>
      <c r="K1634" s="3">
        <f t="shared" si="4"/>
        <v>0.1672025723</v>
      </c>
      <c r="L1634" s="2">
        <v>223.0</v>
      </c>
      <c r="M1634" s="3">
        <f t="shared" si="5"/>
        <v>0.5674300254</v>
      </c>
      <c r="N1634" s="2">
        <v>2272500.0</v>
      </c>
      <c r="O1634" s="4">
        <f t="shared" si="6"/>
        <v>5782.442748</v>
      </c>
      <c r="P1634" s="2">
        <v>0.0</v>
      </c>
      <c r="Q1634" s="3">
        <f t="shared" si="7"/>
        <v>0</v>
      </c>
      <c r="R1634" s="2">
        <v>175.0</v>
      </c>
      <c r="S1634" s="5">
        <f t="shared" si="8"/>
        <v>1</v>
      </c>
    </row>
    <row r="1635">
      <c r="A1635" s="2" t="s">
        <v>1646</v>
      </c>
      <c r="B1635" s="2">
        <v>59.0</v>
      </c>
      <c r="C1635" s="2">
        <v>695.0</v>
      </c>
      <c r="D1635" s="2">
        <v>271.0</v>
      </c>
      <c r="E1635" s="3">
        <f t="shared" si="1"/>
        <v>0.4261006289</v>
      </c>
      <c r="F1635" s="2">
        <v>91.0</v>
      </c>
      <c r="G1635" s="3">
        <f t="shared" si="2"/>
        <v>0.143081761</v>
      </c>
      <c r="H1635" s="2">
        <v>128.0</v>
      </c>
      <c r="I1635" s="3">
        <f t="shared" si="3"/>
        <v>0.2012578616</v>
      </c>
      <c r="J1635" s="2">
        <v>107.0</v>
      </c>
      <c r="K1635" s="3">
        <f t="shared" si="4"/>
        <v>0.1682389937</v>
      </c>
      <c r="L1635" s="2">
        <v>82.0</v>
      </c>
      <c r="M1635" s="3">
        <f t="shared" si="5"/>
        <v>0.640625</v>
      </c>
      <c r="N1635" s="2">
        <v>707100.0</v>
      </c>
      <c r="O1635" s="4">
        <f t="shared" si="6"/>
        <v>5524.21875</v>
      </c>
      <c r="P1635" s="2">
        <v>0.0</v>
      </c>
      <c r="Q1635" s="3">
        <f t="shared" si="7"/>
        <v>0</v>
      </c>
      <c r="R1635" s="2">
        <v>59.0</v>
      </c>
      <c r="S1635" s="5">
        <f t="shared" si="8"/>
        <v>1</v>
      </c>
    </row>
    <row r="1636">
      <c r="A1636" s="2" t="s">
        <v>1647</v>
      </c>
      <c r="B1636" s="2">
        <v>187.0</v>
      </c>
      <c r="C1636" s="2">
        <v>2207.0</v>
      </c>
      <c r="D1636" s="2">
        <v>820.0</v>
      </c>
      <c r="E1636" s="3">
        <f t="shared" si="1"/>
        <v>0.4059405941</v>
      </c>
      <c r="F1636" s="2">
        <v>289.0</v>
      </c>
      <c r="G1636" s="3">
        <f t="shared" si="2"/>
        <v>0.1430693069</v>
      </c>
      <c r="H1636" s="2">
        <v>434.0</v>
      </c>
      <c r="I1636" s="3">
        <f t="shared" si="3"/>
        <v>0.2148514851</v>
      </c>
      <c r="J1636" s="2">
        <v>345.0</v>
      </c>
      <c r="K1636" s="3">
        <f t="shared" si="4"/>
        <v>0.1707920792</v>
      </c>
      <c r="L1636" s="2">
        <v>262.0</v>
      </c>
      <c r="M1636" s="3">
        <f t="shared" si="5"/>
        <v>0.6036866359</v>
      </c>
      <c r="N1636" s="2">
        <v>2211300.0</v>
      </c>
      <c r="O1636" s="4">
        <f t="shared" si="6"/>
        <v>5095.16129</v>
      </c>
      <c r="P1636" s="2">
        <v>0.0</v>
      </c>
      <c r="Q1636" s="3">
        <f t="shared" si="7"/>
        <v>0</v>
      </c>
      <c r="R1636" s="2">
        <v>187.0</v>
      </c>
      <c r="S1636" s="5">
        <f t="shared" si="8"/>
        <v>1</v>
      </c>
    </row>
    <row r="1637">
      <c r="A1637" s="2" t="s">
        <v>1648</v>
      </c>
      <c r="B1637" s="2">
        <v>1154.0</v>
      </c>
      <c r="C1637" s="2">
        <v>13485.0</v>
      </c>
      <c r="D1637" s="2">
        <v>4710.0</v>
      </c>
      <c r="E1637" s="3">
        <f t="shared" si="1"/>
        <v>0.3819641554</v>
      </c>
      <c r="F1637" s="2">
        <v>1764.0</v>
      </c>
      <c r="G1637" s="3">
        <f t="shared" si="2"/>
        <v>0.1430540913</v>
      </c>
      <c r="H1637" s="2">
        <v>2667.0</v>
      </c>
      <c r="I1637" s="3">
        <f t="shared" si="3"/>
        <v>0.2162841619</v>
      </c>
      <c r="J1637" s="2">
        <v>2295.0</v>
      </c>
      <c r="K1637" s="3">
        <f t="shared" si="4"/>
        <v>0.1861162923</v>
      </c>
      <c r="L1637" s="2">
        <v>1514.0</v>
      </c>
      <c r="M1637" s="3">
        <f t="shared" si="5"/>
        <v>0.5676790401</v>
      </c>
      <c r="N1637" s="2">
        <v>1.5625E7</v>
      </c>
      <c r="O1637" s="4">
        <f t="shared" si="6"/>
        <v>5858.64267</v>
      </c>
      <c r="P1637" s="2">
        <v>1.0</v>
      </c>
      <c r="Q1637" s="3">
        <f t="shared" si="7"/>
        <v>0.0008665511265</v>
      </c>
      <c r="R1637" s="2">
        <v>501.0</v>
      </c>
      <c r="S1637" s="5">
        <f t="shared" si="8"/>
        <v>0.4341421144</v>
      </c>
    </row>
    <row r="1638">
      <c r="A1638" s="2" t="s">
        <v>1649</v>
      </c>
      <c r="B1638" s="2">
        <v>571.0</v>
      </c>
      <c r="C1638" s="2">
        <v>6674.0</v>
      </c>
      <c r="D1638" s="2">
        <v>2443.0</v>
      </c>
      <c r="E1638" s="3">
        <f t="shared" si="1"/>
        <v>0.4002949369</v>
      </c>
      <c r="F1638" s="2">
        <v>873.0</v>
      </c>
      <c r="G1638" s="3">
        <f t="shared" si="2"/>
        <v>0.1430444044</v>
      </c>
      <c r="H1638" s="2">
        <v>1415.0</v>
      </c>
      <c r="I1638" s="3">
        <f t="shared" si="3"/>
        <v>0.231853187</v>
      </c>
      <c r="J1638" s="2">
        <v>920.0</v>
      </c>
      <c r="K1638" s="3">
        <f t="shared" si="4"/>
        <v>0.150745535</v>
      </c>
      <c r="L1638" s="2">
        <v>828.0</v>
      </c>
      <c r="M1638" s="3">
        <f t="shared" si="5"/>
        <v>0.5851590106</v>
      </c>
      <c r="N1638" s="2">
        <v>7532500.0</v>
      </c>
      <c r="O1638" s="4">
        <f t="shared" si="6"/>
        <v>5323.321555</v>
      </c>
      <c r="P1638" s="2">
        <v>1.0</v>
      </c>
      <c r="Q1638" s="3">
        <f t="shared" si="7"/>
        <v>0.001751313485</v>
      </c>
      <c r="R1638" s="2">
        <v>571.0</v>
      </c>
      <c r="S1638" s="5">
        <f t="shared" si="8"/>
        <v>1</v>
      </c>
    </row>
    <row r="1639">
      <c r="A1639" s="2" t="s">
        <v>1650</v>
      </c>
      <c r="B1639" s="2">
        <v>1462.0</v>
      </c>
      <c r="C1639" s="2">
        <v>17269.0</v>
      </c>
      <c r="D1639" s="2">
        <v>5497.0</v>
      </c>
      <c r="E1639" s="3">
        <f t="shared" si="1"/>
        <v>0.3477573227</v>
      </c>
      <c r="F1639" s="2">
        <v>2261.0</v>
      </c>
      <c r="G1639" s="3">
        <f t="shared" si="2"/>
        <v>0.1430378946</v>
      </c>
      <c r="H1639" s="2">
        <v>3356.0</v>
      </c>
      <c r="I1639" s="3">
        <f t="shared" si="3"/>
        <v>0.2123110015</v>
      </c>
      <c r="J1639" s="2">
        <v>2549.0</v>
      </c>
      <c r="K1639" s="3">
        <f t="shared" si="4"/>
        <v>0.1612576707</v>
      </c>
      <c r="L1639" s="2">
        <v>2014.0</v>
      </c>
      <c r="M1639" s="3">
        <f t="shared" si="5"/>
        <v>0.6001191895</v>
      </c>
      <c r="N1639" s="2">
        <v>1.9222E7</v>
      </c>
      <c r="O1639" s="4">
        <f t="shared" si="6"/>
        <v>5727.651967</v>
      </c>
      <c r="P1639" s="2">
        <v>6.0</v>
      </c>
      <c r="Q1639" s="3">
        <f t="shared" si="7"/>
        <v>0.004103967168</v>
      </c>
      <c r="R1639" s="2">
        <v>1302.0</v>
      </c>
      <c r="S1639" s="5">
        <f t="shared" si="8"/>
        <v>0.8905608755</v>
      </c>
    </row>
    <row r="1640">
      <c r="A1640" s="2" t="s">
        <v>1651</v>
      </c>
      <c r="B1640" s="2">
        <v>76.0</v>
      </c>
      <c r="C1640" s="2">
        <v>901.0</v>
      </c>
      <c r="D1640" s="2">
        <v>301.0</v>
      </c>
      <c r="E1640" s="3">
        <f t="shared" si="1"/>
        <v>0.3648484848</v>
      </c>
      <c r="F1640" s="2">
        <v>118.0</v>
      </c>
      <c r="G1640" s="3">
        <f t="shared" si="2"/>
        <v>0.143030303</v>
      </c>
      <c r="H1640" s="2">
        <v>141.0</v>
      </c>
      <c r="I1640" s="3">
        <f t="shared" si="3"/>
        <v>0.1709090909</v>
      </c>
      <c r="J1640" s="2">
        <v>113.0</v>
      </c>
      <c r="K1640" s="3">
        <f t="shared" si="4"/>
        <v>0.136969697</v>
      </c>
      <c r="L1640" s="2">
        <v>76.0</v>
      </c>
      <c r="M1640" s="3">
        <f t="shared" si="5"/>
        <v>0.5390070922</v>
      </c>
      <c r="N1640" s="2">
        <v>839800.0</v>
      </c>
      <c r="O1640" s="4">
        <f t="shared" si="6"/>
        <v>5956.028369</v>
      </c>
      <c r="P1640" s="2">
        <v>1.0</v>
      </c>
      <c r="Q1640" s="3">
        <f t="shared" si="7"/>
        <v>0.01315789474</v>
      </c>
      <c r="R1640" s="2">
        <v>76.0</v>
      </c>
      <c r="S1640" s="5">
        <f t="shared" si="8"/>
        <v>1</v>
      </c>
    </row>
    <row r="1641">
      <c r="A1641" s="2" t="s">
        <v>1652</v>
      </c>
      <c r="B1641" s="2">
        <v>79.0</v>
      </c>
      <c r="C1641" s="2">
        <v>946.0</v>
      </c>
      <c r="D1641" s="2">
        <v>329.0</v>
      </c>
      <c r="E1641" s="3">
        <f t="shared" si="1"/>
        <v>0.3794694348</v>
      </c>
      <c r="F1641" s="2">
        <v>124.0</v>
      </c>
      <c r="G1641" s="3">
        <f t="shared" si="2"/>
        <v>0.1430219146</v>
      </c>
      <c r="H1641" s="2">
        <v>205.0</v>
      </c>
      <c r="I1641" s="3">
        <f t="shared" si="3"/>
        <v>0.2364475202</v>
      </c>
      <c r="J1641" s="2">
        <v>166.0</v>
      </c>
      <c r="K1641" s="3">
        <f t="shared" si="4"/>
        <v>0.1914648212</v>
      </c>
      <c r="L1641" s="2">
        <v>122.0</v>
      </c>
      <c r="M1641" s="3">
        <f t="shared" si="5"/>
        <v>0.5951219512</v>
      </c>
      <c r="N1641" s="2">
        <v>984500.0</v>
      </c>
      <c r="O1641" s="4">
        <f t="shared" si="6"/>
        <v>4802.439024</v>
      </c>
      <c r="P1641" s="2">
        <v>0.0</v>
      </c>
      <c r="Q1641" s="3">
        <f t="shared" si="7"/>
        <v>0</v>
      </c>
      <c r="R1641" s="2">
        <v>79.0</v>
      </c>
      <c r="S1641" s="5">
        <f t="shared" si="8"/>
        <v>1</v>
      </c>
    </row>
    <row r="1642">
      <c r="A1642" s="2" t="s">
        <v>1653</v>
      </c>
      <c r="B1642" s="2">
        <v>222.0</v>
      </c>
      <c r="C1642" s="2">
        <v>2635.0</v>
      </c>
      <c r="D1642" s="2">
        <v>760.0</v>
      </c>
      <c r="E1642" s="3">
        <f t="shared" si="1"/>
        <v>0.3149606299</v>
      </c>
      <c r="F1642" s="2">
        <v>345.0</v>
      </c>
      <c r="G1642" s="3">
        <f t="shared" si="2"/>
        <v>0.1429755491</v>
      </c>
      <c r="H1642" s="2">
        <v>493.0</v>
      </c>
      <c r="I1642" s="3">
        <f t="shared" si="3"/>
        <v>0.2043099876</v>
      </c>
      <c r="J1642" s="2">
        <v>421.0</v>
      </c>
      <c r="K1642" s="3">
        <f t="shared" si="4"/>
        <v>0.1744716121</v>
      </c>
      <c r="L1642" s="2">
        <v>270.0</v>
      </c>
      <c r="M1642" s="3">
        <f t="shared" si="5"/>
        <v>0.5476673428</v>
      </c>
      <c r="N1642" s="2">
        <v>3045700.0</v>
      </c>
      <c r="O1642" s="4">
        <f t="shared" si="6"/>
        <v>6177.890467</v>
      </c>
      <c r="P1642" s="2">
        <v>0.0</v>
      </c>
      <c r="Q1642" s="3">
        <f t="shared" si="7"/>
        <v>0</v>
      </c>
      <c r="R1642" s="2">
        <v>222.0</v>
      </c>
      <c r="S1642" s="5">
        <f t="shared" si="8"/>
        <v>1</v>
      </c>
    </row>
    <row r="1643">
      <c r="A1643" s="2" t="s">
        <v>1654</v>
      </c>
      <c r="B1643" s="2">
        <v>1752.0</v>
      </c>
      <c r="C1643" s="2">
        <v>20315.0</v>
      </c>
      <c r="D1643" s="2">
        <v>6562.0</v>
      </c>
      <c r="E1643" s="3">
        <f t="shared" si="1"/>
        <v>0.3534988957</v>
      </c>
      <c r="F1643" s="2">
        <v>2654.0</v>
      </c>
      <c r="G1643" s="3">
        <f t="shared" si="2"/>
        <v>0.1429725799</v>
      </c>
      <c r="H1643" s="2">
        <v>4086.0</v>
      </c>
      <c r="I1643" s="3">
        <f t="shared" si="3"/>
        <v>0.2201152831</v>
      </c>
      <c r="J1643" s="2">
        <v>3493.0</v>
      </c>
      <c r="K1643" s="3">
        <f t="shared" si="4"/>
        <v>0.1881700156</v>
      </c>
      <c r="L1643" s="2">
        <v>2445.0</v>
      </c>
      <c r="M1643" s="3">
        <f t="shared" si="5"/>
        <v>0.5983847283</v>
      </c>
      <c r="N1643" s="2">
        <v>2.3754E7</v>
      </c>
      <c r="O1643" s="4">
        <f t="shared" si="6"/>
        <v>5813.509545</v>
      </c>
      <c r="P1643" s="2">
        <v>3.0</v>
      </c>
      <c r="Q1643" s="3">
        <f t="shared" si="7"/>
        <v>0.001712328767</v>
      </c>
      <c r="R1643" s="2">
        <v>1752.0</v>
      </c>
      <c r="S1643" s="5">
        <f t="shared" si="8"/>
        <v>1</v>
      </c>
    </row>
    <row r="1644">
      <c r="A1644" s="2" t="s">
        <v>1655</v>
      </c>
      <c r="B1644" s="2">
        <v>115.0</v>
      </c>
      <c r="C1644" s="2">
        <v>1353.0</v>
      </c>
      <c r="D1644" s="2">
        <v>375.0</v>
      </c>
      <c r="E1644" s="3">
        <f t="shared" si="1"/>
        <v>0.302907916</v>
      </c>
      <c r="F1644" s="2">
        <v>177.0</v>
      </c>
      <c r="G1644" s="3">
        <f t="shared" si="2"/>
        <v>0.1429725363</v>
      </c>
      <c r="H1644" s="2">
        <v>250.0</v>
      </c>
      <c r="I1644" s="3">
        <f t="shared" si="3"/>
        <v>0.2019386107</v>
      </c>
      <c r="J1644" s="2">
        <v>222.0</v>
      </c>
      <c r="K1644" s="3">
        <f t="shared" si="4"/>
        <v>0.1793214863</v>
      </c>
      <c r="L1644" s="2">
        <v>150.0</v>
      </c>
      <c r="M1644" s="3">
        <f t="shared" si="5"/>
        <v>0.6</v>
      </c>
      <c r="N1644" s="2">
        <v>1350400.0</v>
      </c>
      <c r="O1644" s="4">
        <f t="shared" si="6"/>
        <v>5401.6</v>
      </c>
      <c r="P1644" s="2">
        <v>0.0</v>
      </c>
      <c r="Q1644" s="3">
        <f t="shared" si="7"/>
        <v>0</v>
      </c>
      <c r="R1644" s="2">
        <v>115.0</v>
      </c>
      <c r="S1644" s="5">
        <f t="shared" si="8"/>
        <v>1</v>
      </c>
    </row>
    <row r="1645">
      <c r="A1645" s="2" t="s">
        <v>1656</v>
      </c>
      <c r="B1645" s="2">
        <v>2193.0</v>
      </c>
      <c r="C1645" s="2">
        <v>25451.0</v>
      </c>
      <c r="D1645" s="2">
        <v>8620.0</v>
      </c>
      <c r="E1645" s="3">
        <f t="shared" si="1"/>
        <v>0.3706251612</v>
      </c>
      <c r="F1645" s="2">
        <v>3325.0</v>
      </c>
      <c r="G1645" s="3">
        <f t="shared" si="2"/>
        <v>0.1429615616</v>
      </c>
      <c r="H1645" s="2">
        <v>5317.0</v>
      </c>
      <c r="I1645" s="3">
        <f t="shared" si="3"/>
        <v>0.2286095107</v>
      </c>
      <c r="J1645" s="2">
        <v>4417.0</v>
      </c>
      <c r="K1645" s="3">
        <f t="shared" si="4"/>
        <v>0.1899131482</v>
      </c>
      <c r="L1645" s="2">
        <v>3182.0</v>
      </c>
      <c r="M1645" s="3">
        <f t="shared" si="5"/>
        <v>0.5984577769</v>
      </c>
      <c r="N1645" s="2">
        <v>2.96037E7</v>
      </c>
      <c r="O1645" s="4">
        <f t="shared" si="6"/>
        <v>5567.744969</v>
      </c>
      <c r="P1645" s="2">
        <v>3.0</v>
      </c>
      <c r="Q1645" s="3">
        <f t="shared" si="7"/>
        <v>0.001367989056</v>
      </c>
      <c r="R1645" s="2">
        <v>2193.0</v>
      </c>
      <c r="S1645" s="5">
        <f t="shared" si="8"/>
        <v>1</v>
      </c>
    </row>
    <row r="1646">
      <c r="A1646" s="2" t="s">
        <v>1657</v>
      </c>
      <c r="B1646" s="2">
        <v>324.0</v>
      </c>
      <c r="C1646" s="2">
        <v>3731.0</v>
      </c>
      <c r="D1646" s="2">
        <v>1090.0</v>
      </c>
      <c r="E1646" s="3">
        <f t="shared" si="1"/>
        <v>0.3199295568</v>
      </c>
      <c r="F1646" s="2">
        <v>487.0</v>
      </c>
      <c r="G1646" s="3">
        <f t="shared" si="2"/>
        <v>0.1429410038</v>
      </c>
      <c r="H1646" s="2">
        <v>646.0</v>
      </c>
      <c r="I1646" s="3">
        <f t="shared" si="3"/>
        <v>0.1896096272</v>
      </c>
      <c r="J1646" s="2">
        <v>531.0</v>
      </c>
      <c r="K1646" s="3">
        <f t="shared" si="4"/>
        <v>0.1558555914</v>
      </c>
      <c r="L1646" s="2">
        <v>388.0</v>
      </c>
      <c r="M1646" s="3">
        <f t="shared" si="5"/>
        <v>0.600619195</v>
      </c>
      <c r="N1646" s="2">
        <v>3632700.0</v>
      </c>
      <c r="O1646" s="4">
        <f t="shared" si="6"/>
        <v>5623.374613</v>
      </c>
      <c r="P1646" s="2">
        <v>0.0</v>
      </c>
      <c r="Q1646" s="3">
        <f t="shared" si="7"/>
        <v>0</v>
      </c>
      <c r="R1646" s="2">
        <v>324.0</v>
      </c>
      <c r="S1646" s="5">
        <f t="shared" si="8"/>
        <v>1</v>
      </c>
    </row>
    <row r="1647">
      <c r="A1647" s="2" t="s">
        <v>1658</v>
      </c>
      <c r="B1647" s="2">
        <v>199.0</v>
      </c>
      <c r="C1647" s="2">
        <v>2333.0</v>
      </c>
      <c r="D1647" s="2">
        <v>786.0</v>
      </c>
      <c r="E1647" s="3">
        <f t="shared" si="1"/>
        <v>0.3683223993</v>
      </c>
      <c r="F1647" s="2">
        <v>305.0</v>
      </c>
      <c r="G1647" s="3">
        <f t="shared" si="2"/>
        <v>0.1429240862</v>
      </c>
      <c r="H1647" s="2">
        <v>481.0</v>
      </c>
      <c r="I1647" s="3">
        <f t="shared" si="3"/>
        <v>0.225398313</v>
      </c>
      <c r="J1647" s="2">
        <v>384.0</v>
      </c>
      <c r="K1647" s="3">
        <f t="shared" si="4"/>
        <v>0.1799437676</v>
      </c>
      <c r="L1647" s="2">
        <v>287.0</v>
      </c>
      <c r="M1647" s="3">
        <f t="shared" si="5"/>
        <v>0.5966735967</v>
      </c>
      <c r="N1647" s="2">
        <v>2845600.0</v>
      </c>
      <c r="O1647" s="4">
        <f t="shared" si="6"/>
        <v>5916.008316</v>
      </c>
      <c r="P1647" s="2">
        <v>1.0</v>
      </c>
      <c r="Q1647" s="3">
        <f t="shared" si="7"/>
        <v>0.005025125628</v>
      </c>
      <c r="R1647" s="2">
        <v>199.0</v>
      </c>
      <c r="S1647" s="5">
        <f t="shared" si="8"/>
        <v>1</v>
      </c>
    </row>
    <row r="1648">
      <c r="A1648" s="2" t="s">
        <v>1659</v>
      </c>
      <c r="B1648" s="2">
        <v>237.0</v>
      </c>
      <c r="C1648" s="2">
        <v>2700.0</v>
      </c>
      <c r="D1648" s="2">
        <v>680.0</v>
      </c>
      <c r="E1648" s="3">
        <f t="shared" si="1"/>
        <v>0.2760860739</v>
      </c>
      <c r="F1648" s="2">
        <v>352.0</v>
      </c>
      <c r="G1648" s="3">
        <f t="shared" si="2"/>
        <v>0.1429151441</v>
      </c>
      <c r="H1648" s="2">
        <v>473.0</v>
      </c>
      <c r="I1648" s="3">
        <f t="shared" si="3"/>
        <v>0.1920422249</v>
      </c>
      <c r="J1648" s="2">
        <v>499.0</v>
      </c>
      <c r="K1648" s="3">
        <f t="shared" si="4"/>
        <v>0.2025984572</v>
      </c>
      <c r="L1648" s="2">
        <v>265.0</v>
      </c>
      <c r="M1648" s="3">
        <f t="shared" si="5"/>
        <v>0.5602536998</v>
      </c>
      <c r="N1648" s="2">
        <v>2737800.0</v>
      </c>
      <c r="O1648" s="4">
        <f t="shared" si="6"/>
        <v>5788.160677</v>
      </c>
      <c r="P1648" s="2">
        <v>1.0</v>
      </c>
      <c r="Q1648" s="3">
        <f t="shared" si="7"/>
        <v>0.004219409283</v>
      </c>
      <c r="R1648" s="2">
        <v>237.0</v>
      </c>
      <c r="S1648" s="5">
        <f t="shared" si="8"/>
        <v>1</v>
      </c>
    </row>
    <row r="1649">
      <c r="A1649" s="2" t="s">
        <v>1660</v>
      </c>
      <c r="B1649" s="2">
        <v>23.0</v>
      </c>
      <c r="C1649" s="2">
        <v>261.0</v>
      </c>
      <c r="D1649" s="2">
        <v>92.0</v>
      </c>
      <c r="E1649" s="3">
        <f t="shared" si="1"/>
        <v>0.3865546218</v>
      </c>
      <c r="F1649" s="2">
        <v>34.0</v>
      </c>
      <c r="G1649" s="3">
        <f t="shared" si="2"/>
        <v>0.1428571429</v>
      </c>
      <c r="H1649" s="2">
        <v>49.0</v>
      </c>
      <c r="I1649" s="3">
        <f t="shared" si="3"/>
        <v>0.2058823529</v>
      </c>
      <c r="J1649" s="2">
        <v>63.0</v>
      </c>
      <c r="K1649" s="3">
        <f t="shared" si="4"/>
        <v>0.2647058824</v>
      </c>
      <c r="L1649" s="2">
        <v>28.0</v>
      </c>
      <c r="M1649" s="3">
        <f t="shared" si="5"/>
        <v>0.5714285714</v>
      </c>
      <c r="N1649" s="2">
        <v>323100.0</v>
      </c>
      <c r="O1649" s="4">
        <f t="shared" si="6"/>
        <v>6593.877551</v>
      </c>
      <c r="P1649" s="2">
        <v>0.0</v>
      </c>
      <c r="Q1649" s="3">
        <f t="shared" si="7"/>
        <v>0</v>
      </c>
      <c r="R1649" s="2">
        <v>0.0</v>
      </c>
      <c r="S1649" s="5">
        <f t="shared" si="8"/>
        <v>0</v>
      </c>
    </row>
    <row r="1650">
      <c r="A1650" s="2" t="s">
        <v>1661</v>
      </c>
      <c r="B1650" s="2">
        <v>47.0</v>
      </c>
      <c r="C1650" s="2">
        <v>565.0</v>
      </c>
      <c r="D1650" s="2">
        <v>191.0</v>
      </c>
      <c r="E1650" s="3">
        <f t="shared" si="1"/>
        <v>0.3687258687</v>
      </c>
      <c r="F1650" s="2">
        <v>74.0</v>
      </c>
      <c r="G1650" s="3">
        <f t="shared" si="2"/>
        <v>0.1428571429</v>
      </c>
      <c r="H1650" s="2">
        <v>101.0</v>
      </c>
      <c r="I1650" s="3">
        <f t="shared" si="3"/>
        <v>0.194980695</v>
      </c>
      <c r="J1650" s="2">
        <v>115.0</v>
      </c>
      <c r="K1650" s="3">
        <f t="shared" si="4"/>
        <v>0.222007722</v>
      </c>
      <c r="L1650" s="2">
        <v>60.0</v>
      </c>
      <c r="M1650" s="3">
        <f t="shared" si="5"/>
        <v>0.5940594059</v>
      </c>
      <c r="N1650" s="2">
        <v>588700.0</v>
      </c>
      <c r="O1650" s="4">
        <f t="shared" si="6"/>
        <v>5828.712871</v>
      </c>
      <c r="P1650" s="2">
        <v>0.0</v>
      </c>
      <c r="Q1650" s="3">
        <f t="shared" si="7"/>
        <v>0</v>
      </c>
      <c r="R1650" s="2">
        <v>3.0</v>
      </c>
      <c r="S1650" s="5">
        <f t="shared" si="8"/>
        <v>0.06382978723</v>
      </c>
    </row>
    <row r="1651">
      <c r="A1651" s="2" t="s">
        <v>1662</v>
      </c>
      <c r="B1651" s="2">
        <v>20.0</v>
      </c>
      <c r="C1651" s="2">
        <v>223.0</v>
      </c>
      <c r="D1651" s="2">
        <v>64.0</v>
      </c>
      <c r="E1651" s="3">
        <f t="shared" si="1"/>
        <v>0.315270936</v>
      </c>
      <c r="F1651" s="2">
        <v>29.0</v>
      </c>
      <c r="G1651" s="3">
        <f t="shared" si="2"/>
        <v>0.1428571429</v>
      </c>
      <c r="H1651" s="2">
        <v>39.0</v>
      </c>
      <c r="I1651" s="3">
        <f t="shared" si="3"/>
        <v>0.1921182266</v>
      </c>
      <c r="J1651" s="2">
        <v>45.0</v>
      </c>
      <c r="K1651" s="3">
        <f t="shared" si="4"/>
        <v>0.2216748768</v>
      </c>
      <c r="L1651" s="2">
        <v>26.0</v>
      </c>
      <c r="M1651" s="3">
        <f t="shared" si="5"/>
        <v>0.6666666667</v>
      </c>
      <c r="N1651" s="2">
        <v>238000.0</v>
      </c>
      <c r="O1651" s="4">
        <f t="shared" si="6"/>
        <v>6102.564103</v>
      </c>
      <c r="P1651" s="2">
        <v>0.0</v>
      </c>
      <c r="Q1651" s="3">
        <f t="shared" si="7"/>
        <v>0</v>
      </c>
      <c r="R1651" s="2">
        <v>20.0</v>
      </c>
      <c r="S1651" s="5">
        <f t="shared" si="8"/>
        <v>1</v>
      </c>
    </row>
    <row r="1652">
      <c r="A1652" s="2" t="s">
        <v>1663</v>
      </c>
      <c r="B1652" s="2">
        <v>206.0</v>
      </c>
      <c r="C1652" s="2">
        <v>2376.0</v>
      </c>
      <c r="D1652" s="2">
        <v>785.0</v>
      </c>
      <c r="E1652" s="3">
        <f t="shared" si="1"/>
        <v>0.3617511521</v>
      </c>
      <c r="F1652" s="2">
        <v>310.0</v>
      </c>
      <c r="G1652" s="3">
        <f t="shared" si="2"/>
        <v>0.1428571429</v>
      </c>
      <c r="H1652" s="2">
        <v>483.0</v>
      </c>
      <c r="I1652" s="3">
        <f t="shared" si="3"/>
        <v>0.2225806452</v>
      </c>
      <c r="J1652" s="2">
        <v>434.0</v>
      </c>
      <c r="K1652" s="3">
        <f t="shared" si="4"/>
        <v>0.2</v>
      </c>
      <c r="L1652" s="2">
        <v>258.0</v>
      </c>
      <c r="M1652" s="3">
        <f t="shared" si="5"/>
        <v>0.5341614907</v>
      </c>
      <c r="N1652" s="2">
        <v>2786700.0</v>
      </c>
      <c r="O1652" s="4">
        <f t="shared" si="6"/>
        <v>5769.565217</v>
      </c>
      <c r="P1652" s="2">
        <v>0.0</v>
      </c>
      <c r="Q1652" s="3">
        <f t="shared" si="7"/>
        <v>0</v>
      </c>
      <c r="R1652" s="2">
        <v>206.0</v>
      </c>
      <c r="S1652" s="5">
        <f t="shared" si="8"/>
        <v>1</v>
      </c>
    </row>
    <row r="1653">
      <c r="A1653" s="2" t="s">
        <v>1664</v>
      </c>
      <c r="B1653" s="2">
        <v>49.0</v>
      </c>
      <c r="C1653" s="2">
        <v>539.0</v>
      </c>
      <c r="D1653" s="2">
        <v>97.0</v>
      </c>
      <c r="E1653" s="3">
        <f t="shared" si="1"/>
        <v>0.1979591837</v>
      </c>
      <c r="F1653" s="2">
        <v>70.0</v>
      </c>
      <c r="G1653" s="3">
        <f t="shared" si="2"/>
        <v>0.1428571429</v>
      </c>
      <c r="H1653" s="2">
        <v>88.0</v>
      </c>
      <c r="I1653" s="3">
        <f t="shared" si="3"/>
        <v>0.1795918367</v>
      </c>
      <c r="J1653" s="2">
        <v>96.0</v>
      </c>
      <c r="K1653" s="3">
        <f t="shared" si="4"/>
        <v>0.1959183673</v>
      </c>
      <c r="L1653" s="2">
        <v>51.0</v>
      </c>
      <c r="M1653" s="3">
        <f t="shared" si="5"/>
        <v>0.5795454545</v>
      </c>
      <c r="N1653" s="2">
        <v>584600.0</v>
      </c>
      <c r="O1653" s="4">
        <f t="shared" si="6"/>
        <v>6643.181818</v>
      </c>
      <c r="P1653" s="2">
        <v>0.0</v>
      </c>
      <c r="Q1653" s="3">
        <f t="shared" si="7"/>
        <v>0</v>
      </c>
      <c r="R1653" s="2">
        <v>49.0</v>
      </c>
      <c r="S1653" s="5">
        <f t="shared" si="8"/>
        <v>1</v>
      </c>
    </row>
    <row r="1654">
      <c r="A1654" s="2" t="s">
        <v>1665</v>
      </c>
      <c r="B1654" s="2">
        <v>86.0</v>
      </c>
      <c r="C1654" s="2">
        <v>982.0</v>
      </c>
      <c r="D1654" s="2">
        <v>220.0</v>
      </c>
      <c r="E1654" s="3">
        <f t="shared" si="1"/>
        <v>0.2455357143</v>
      </c>
      <c r="F1654" s="2">
        <v>128.0</v>
      </c>
      <c r="G1654" s="3">
        <f t="shared" si="2"/>
        <v>0.1428571429</v>
      </c>
      <c r="H1654" s="2">
        <v>180.0</v>
      </c>
      <c r="I1654" s="3">
        <f t="shared" si="3"/>
        <v>0.2008928571</v>
      </c>
      <c r="J1654" s="2">
        <v>167.0</v>
      </c>
      <c r="K1654" s="3">
        <f t="shared" si="4"/>
        <v>0.1863839286</v>
      </c>
      <c r="L1654" s="2">
        <v>117.0</v>
      </c>
      <c r="M1654" s="3">
        <f t="shared" si="5"/>
        <v>0.65</v>
      </c>
      <c r="N1654" s="2">
        <v>1130200.0</v>
      </c>
      <c r="O1654" s="4">
        <f t="shared" si="6"/>
        <v>6278.888889</v>
      </c>
      <c r="P1654" s="2">
        <v>0.0</v>
      </c>
      <c r="Q1654" s="3">
        <f t="shared" si="7"/>
        <v>0</v>
      </c>
      <c r="R1654" s="2">
        <v>86.0</v>
      </c>
      <c r="S1654" s="5">
        <f t="shared" si="8"/>
        <v>1</v>
      </c>
    </row>
    <row r="1655">
      <c r="A1655" s="2" t="s">
        <v>1666</v>
      </c>
      <c r="B1655" s="2">
        <v>11.0</v>
      </c>
      <c r="C1655" s="2">
        <v>130.0</v>
      </c>
      <c r="D1655" s="2">
        <v>36.0</v>
      </c>
      <c r="E1655" s="3">
        <f t="shared" si="1"/>
        <v>0.3025210084</v>
      </c>
      <c r="F1655" s="2">
        <v>17.0</v>
      </c>
      <c r="G1655" s="3">
        <f t="shared" si="2"/>
        <v>0.1428571429</v>
      </c>
      <c r="H1655" s="2">
        <v>19.0</v>
      </c>
      <c r="I1655" s="3">
        <f t="shared" si="3"/>
        <v>0.1596638655</v>
      </c>
      <c r="J1655" s="2">
        <v>21.0</v>
      </c>
      <c r="K1655" s="3">
        <f t="shared" si="4"/>
        <v>0.1764705882</v>
      </c>
      <c r="L1655" s="2">
        <v>16.0</v>
      </c>
      <c r="M1655" s="3">
        <f t="shared" si="5"/>
        <v>0.8421052632</v>
      </c>
      <c r="N1655" s="2">
        <v>68000.0</v>
      </c>
      <c r="O1655" s="4">
        <f t="shared" si="6"/>
        <v>3578.947368</v>
      </c>
      <c r="P1655" s="2">
        <v>0.0</v>
      </c>
      <c r="Q1655" s="3">
        <f t="shared" si="7"/>
        <v>0</v>
      </c>
      <c r="R1655" s="2">
        <v>11.0</v>
      </c>
      <c r="S1655" s="5">
        <f t="shared" si="8"/>
        <v>1</v>
      </c>
    </row>
    <row r="1656">
      <c r="A1656" s="2" t="s">
        <v>1667</v>
      </c>
      <c r="B1656" s="2">
        <v>8.0</v>
      </c>
      <c r="C1656" s="2">
        <v>92.0</v>
      </c>
      <c r="D1656" s="2">
        <v>19.0</v>
      </c>
      <c r="E1656" s="3">
        <f t="shared" si="1"/>
        <v>0.2261904762</v>
      </c>
      <c r="F1656" s="2">
        <v>12.0</v>
      </c>
      <c r="G1656" s="3">
        <f t="shared" si="2"/>
        <v>0.1428571429</v>
      </c>
      <c r="H1656" s="2">
        <v>11.0</v>
      </c>
      <c r="I1656" s="3">
        <f t="shared" si="3"/>
        <v>0.130952381</v>
      </c>
      <c r="J1656" s="2">
        <v>14.0</v>
      </c>
      <c r="K1656" s="3">
        <f t="shared" si="4"/>
        <v>0.1666666667</v>
      </c>
      <c r="L1656" s="2">
        <v>5.0</v>
      </c>
      <c r="M1656" s="3">
        <f t="shared" si="5"/>
        <v>0.4545454545</v>
      </c>
      <c r="N1656" s="2">
        <v>84500.0</v>
      </c>
      <c r="O1656" s="4">
        <f t="shared" si="6"/>
        <v>7681.818182</v>
      </c>
      <c r="P1656" s="2">
        <v>0.0</v>
      </c>
      <c r="Q1656" s="3">
        <f t="shared" si="7"/>
        <v>0</v>
      </c>
      <c r="R1656" s="2">
        <v>8.0</v>
      </c>
      <c r="S1656" s="5">
        <f t="shared" si="8"/>
        <v>1</v>
      </c>
    </row>
    <row r="1657">
      <c r="A1657" s="2" t="s">
        <v>1668</v>
      </c>
      <c r="B1657" s="2">
        <v>49.0</v>
      </c>
      <c r="C1657" s="2">
        <v>595.0</v>
      </c>
      <c r="D1657" s="2">
        <v>179.0</v>
      </c>
      <c r="E1657" s="3">
        <f t="shared" si="1"/>
        <v>0.3278388278</v>
      </c>
      <c r="F1657" s="2">
        <v>78.0</v>
      </c>
      <c r="G1657" s="3">
        <f t="shared" si="2"/>
        <v>0.1428571429</v>
      </c>
      <c r="H1657" s="2">
        <v>98.0</v>
      </c>
      <c r="I1657" s="3">
        <f t="shared" si="3"/>
        <v>0.1794871795</v>
      </c>
      <c r="J1657" s="2">
        <v>90.0</v>
      </c>
      <c r="K1657" s="3">
        <f t="shared" si="4"/>
        <v>0.1648351648</v>
      </c>
      <c r="L1657" s="2">
        <v>60.0</v>
      </c>
      <c r="M1657" s="3">
        <f t="shared" si="5"/>
        <v>0.612244898</v>
      </c>
      <c r="N1657" s="2">
        <v>533100.0</v>
      </c>
      <c r="O1657" s="4">
        <f t="shared" si="6"/>
        <v>5439.795918</v>
      </c>
      <c r="P1657" s="2">
        <v>0.0</v>
      </c>
      <c r="Q1657" s="3">
        <f t="shared" si="7"/>
        <v>0</v>
      </c>
      <c r="R1657" s="2">
        <v>45.0</v>
      </c>
      <c r="S1657" s="5">
        <f t="shared" si="8"/>
        <v>0.9183673469</v>
      </c>
    </row>
    <row r="1658">
      <c r="A1658" s="2" t="s">
        <v>1669</v>
      </c>
      <c r="B1658" s="2">
        <v>84.0</v>
      </c>
      <c r="C1658" s="2">
        <v>973.0</v>
      </c>
      <c r="D1658" s="2">
        <v>294.0</v>
      </c>
      <c r="E1658" s="3">
        <f t="shared" si="1"/>
        <v>0.3307086614</v>
      </c>
      <c r="F1658" s="2">
        <v>127.0</v>
      </c>
      <c r="G1658" s="3">
        <f t="shared" si="2"/>
        <v>0.1428571429</v>
      </c>
      <c r="H1658" s="2">
        <v>190.0</v>
      </c>
      <c r="I1658" s="3">
        <f t="shared" si="3"/>
        <v>0.2137232846</v>
      </c>
      <c r="J1658" s="2">
        <v>142.0</v>
      </c>
      <c r="K1658" s="3">
        <f t="shared" si="4"/>
        <v>0.1597300337</v>
      </c>
      <c r="L1658" s="2">
        <v>121.0</v>
      </c>
      <c r="M1658" s="3">
        <f t="shared" si="5"/>
        <v>0.6368421053</v>
      </c>
      <c r="N1658" s="2">
        <v>1001400.0</v>
      </c>
      <c r="O1658" s="4">
        <f t="shared" si="6"/>
        <v>5270.526316</v>
      </c>
      <c r="P1658" s="2">
        <v>0.0</v>
      </c>
      <c r="Q1658" s="3">
        <f t="shared" si="7"/>
        <v>0</v>
      </c>
      <c r="R1658" s="2">
        <v>84.0</v>
      </c>
      <c r="S1658" s="5">
        <f t="shared" si="8"/>
        <v>1</v>
      </c>
    </row>
    <row r="1659">
      <c r="A1659" s="2" t="s">
        <v>1670</v>
      </c>
      <c r="B1659" s="2">
        <v>1.0</v>
      </c>
      <c r="C1659" s="2">
        <v>15.0</v>
      </c>
      <c r="D1659" s="2">
        <v>5.0</v>
      </c>
      <c r="E1659" s="3">
        <f t="shared" si="1"/>
        <v>0.3571428571</v>
      </c>
      <c r="F1659" s="2">
        <v>2.0</v>
      </c>
      <c r="G1659" s="3">
        <f t="shared" si="2"/>
        <v>0.1428571429</v>
      </c>
      <c r="H1659" s="2">
        <v>4.0</v>
      </c>
      <c r="I1659" s="3">
        <f t="shared" si="3"/>
        <v>0.2857142857</v>
      </c>
      <c r="J1659" s="2">
        <v>2.0</v>
      </c>
      <c r="K1659" s="3">
        <f t="shared" si="4"/>
        <v>0.1428571429</v>
      </c>
      <c r="L1659" s="2">
        <v>1.0</v>
      </c>
      <c r="M1659" s="3">
        <f t="shared" si="5"/>
        <v>0.25</v>
      </c>
      <c r="N1659" s="2">
        <v>10900.0</v>
      </c>
      <c r="O1659" s="4">
        <f t="shared" si="6"/>
        <v>2725</v>
      </c>
      <c r="P1659" s="2">
        <v>0.0</v>
      </c>
      <c r="Q1659" s="3">
        <f t="shared" si="7"/>
        <v>0</v>
      </c>
      <c r="R1659" s="2">
        <v>0.0</v>
      </c>
      <c r="S1659" s="5">
        <f t="shared" si="8"/>
        <v>0</v>
      </c>
    </row>
    <row r="1660">
      <c r="A1660" s="2" t="s">
        <v>1671</v>
      </c>
      <c r="B1660" s="2">
        <v>2.0</v>
      </c>
      <c r="C1660" s="2">
        <v>23.0</v>
      </c>
      <c r="D1660" s="2">
        <v>9.0</v>
      </c>
      <c r="E1660" s="3">
        <f t="shared" si="1"/>
        <v>0.4285714286</v>
      </c>
      <c r="F1660" s="2">
        <v>3.0</v>
      </c>
      <c r="G1660" s="3">
        <f t="shared" si="2"/>
        <v>0.1428571429</v>
      </c>
      <c r="H1660" s="2">
        <v>2.0</v>
      </c>
      <c r="I1660" s="3">
        <f t="shared" si="3"/>
        <v>0.09523809524</v>
      </c>
      <c r="J1660" s="2">
        <v>2.0</v>
      </c>
      <c r="K1660" s="3">
        <f t="shared" si="4"/>
        <v>0.09523809524</v>
      </c>
      <c r="L1660" s="2">
        <v>2.0</v>
      </c>
      <c r="M1660" s="3">
        <f t="shared" si="5"/>
        <v>1</v>
      </c>
      <c r="N1660" s="2">
        <v>7800.0</v>
      </c>
      <c r="O1660" s="4">
        <f t="shared" si="6"/>
        <v>3900</v>
      </c>
      <c r="P1660" s="2">
        <v>0.0</v>
      </c>
      <c r="Q1660" s="3">
        <f t="shared" si="7"/>
        <v>0</v>
      </c>
      <c r="R1660" s="2">
        <v>2.0</v>
      </c>
      <c r="S1660" s="5">
        <f t="shared" si="8"/>
        <v>1</v>
      </c>
    </row>
    <row r="1661">
      <c r="A1661" s="2" t="s">
        <v>1672</v>
      </c>
      <c r="B1661" s="2">
        <v>1.0</v>
      </c>
      <c r="C1661" s="2">
        <v>15.0</v>
      </c>
      <c r="D1661" s="2">
        <v>8.0</v>
      </c>
      <c r="E1661" s="3">
        <f t="shared" si="1"/>
        <v>0.5714285714</v>
      </c>
      <c r="F1661" s="2">
        <v>2.0</v>
      </c>
      <c r="G1661" s="3">
        <f t="shared" si="2"/>
        <v>0.1428571429</v>
      </c>
      <c r="H1661" s="2">
        <v>1.0</v>
      </c>
      <c r="I1661" s="3">
        <f t="shared" si="3"/>
        <v>0.07142857143</v>
      </c>
      <c r="J1661" s="2">
        <v>1.0</v>
      </c>
      <c r="K1661" s="3">
        <f t="shared" si="4"/>
        <v>0.07142857143</v>
      </c>
      <c r="L1661" s="2">
        <v>0.0</v>
      </c>
      <c r="M1661" s="3">
        <f t="shared" si="5"/>
        <v>0</v>
      </c>
      <c r="N1661" s="2">
        <v>2700.0</v>
      </c>
      <c r="O1661" s="4">
        <f t="shared" si="6"/>
        <v>2700</v>
      </c>
      <c r="P1661" s="2">
        <v>0.0</v>
      </c>
      <c r="Q1661" s="3">
        <f t="shared" si="7"/>
        <v>0</v>
      </c>
      <c r="R1661" s="2">
        <v>0.0</v>
      </c>
      <c r="S1661" s="5">
        <f t="shared" si="8"/>
        <v>0</v>
      </c>
    </row>
    <row r="1662">
      <c r="A1662" s="2" t="s">
        <v>1673</v>
      </c>
      <c r="B1662" s="2">
        <v>1.0</v>
      </c>
      <c r="C1662" s="2">
        <v>15.0</v>
      </c>
      <c r="D1662" s="2">
        <v>3.0</v>
      </c>
      <c r="E1662" s="3">
        <f t="shared" si="1"/>
        <v>0.2142857143</v>
      </c>
      <c r="F1662" s="2">
        <v>2.0</v>
      </c>
      <c r="G1662" s="3">
        <f t="shared" si="2"/>
        <v>0.1428571429</v>
      </c>
      <c r="H1662" s="2">
        <v>1.0</v>
      </c>
      <c r="I1662" s="3">
        <f t="shared" si="3"/>
        <v>0.07142857143</v>
      </c>
      <c r="J1662" s="2">
        <v>0.0</v>
      </c>
      <c r="K1662" s="3">
        <f t="shared" si="4"/>
        <v>0</v>
      </c>
      <c r="L1662" s="2">
        <v>0.0</v>
      </c>
      <c r="M1662" s="3">
        <f t="shared" si="5"/>
        <v>0</v>
      </c>
      <c r="N1662" s="2">
        <v>4000.0</v>
      </c>
      <c r="O1662" s="4">
        <f t="shared" si="6"/>
        <v>4000</v>
      </c>
      <c r="P1662" s="2">
        <v>0.0</v>
      </c>
      <c r="Q1662" s="3">
        <f t="shared" si="7"/>
        <v>0</v>
      </c>
      <c r="R1662" s="2">
        <v>1.0</v>
      </c>
      <c r="S1662" s="5">
        <f t="shared" si="8"/>
        <v>1</v>
      </c>
    </row>
    <row r="1663">
      <c r="A1663" s="2" t="s">
        <v>1674</v>
      </c>
      <c r="B1663" s="2">
        <v>352.0</v>
      </c>
      <c r="C1663" s="2">
        <v>4168.0</v>
      </c>
      <c r="D1663" s="2">
        <v>2101.0</v>
      </c>
      <c r="E1663" s="3">
        <f t="shared" si="1"/>
        <v>0.5505765199</v>
      </c>
      <c r="F1663" s="2">
        <v>545.0</v>
      </c>
      <c r="G1663" s="3">
        <f t="shared" si="2"/>
        <v>0.1428197065</v>
      </c>
      <c r="H1663" s="2">
        <v>899.0</v>
      </c>
      <c r="I1663" s="3">
        <f t="shared" si="3"/>
        <v>0.2355870021</v>
      </c>
      <c r="J1663" s="2">
        <v>661.0</v>
      </c>
      <c r="K1663" s="3">
        <f t="shared" si="4"/>
        <v>0.1732180294</v>
      </c>
      <c r="L1663" s="2">
        <v>521.0</v>
      </c>
      <c r="M1663" s="3">
        <f t="shared" si="5"/>
        <v>0.5795328142</v>
      </c>
      <c r="N1663" s="2">
        <v>4563100.0</v>
      </c>
      <c r="O1663" s="4">
        <f t="shared" si="6"/>
        <v>5075.750834</v>
      </c>
      <c r="P1663" s="2">
        <v>0.0</v>
      </c>
      <c r="Q1663" s="3">
        <f t="shared" si="7"/>
        <v>0</v>
      </c>
      <c r="R1663" s="2">
        <v>352.0</v>
      </c>
      <c r="S1663" s="5">
        <f t="shared" si="8"/>
        <v>1</v>
      </c>
    </row>
    <row r="1664">
      <c r="A1664" s="2" t="s">
        <v>1675</v>
      </c>
      <c r="B1664" s="2">
        <v>335.0</v>
      </c>
      <c r="C1664" s="2">
        <v>3983.0</v>
      </c>
      <c r="D1664" s="2">
        <v>1243.0</v>
      </c>
      <c r="E1664" s="3">
        <f t="shared" si="1"/>
        <v>0.3407346491</v>
      </c>
      <c r="F1664" s="2">
        <v>521.0</v>
      </c>
      <c r="G1664" s="3">
        <f t="shared" si="2"/>
        <v>0.1428179825</v>
      </c>
      <c r="H1664" s="2">
        <v>823.0</v>
      </c>
      <c r="I1664" s="3">
        <f t="shared" si="3"/>
        <v>0.2256030702</v>
      </c>
      <c r="J1664" s="2">
        <v>650.0</v>
      </c>
      <c r="K1664" s="3">
        <f t="shared" si="4"/>
        <v>0.1781798246</v>
      </c>
      <c r="L1664" s="2">
        <v>501.0</v>
      </c>
      <c r="M1664" s="3">
        <f t="shared" si="5"/>
        <v>0.6087484812</v>
      </c>
      <c r="N1664" s="2">
        <v>4785100.0</v>
      </c>
      <c r="O1664" s="4">
        <f t="shared" si="6"/>
        <v>5814.216282</v>
      </c>
      <c r="P1664" s="2">
        <v>0.0</v>
      </c>
      <c r="Q1664" s="3">
        <f t="shared" si="7"/>
        <v>0</v>
      </c>
      <c r="R1664" s="2">
        <v>335.0</v>
      </c>
      <c r="S1664" s="5">
        <f t="shared" si="8"/>
        <v>1</v>
      </c>
    </row>
    <row r="1665">
      <c r="A1665" s="2" t="s">
        <v>1676</v>
      </c>
      <c r="B1665" s="2">
        <v>236.0</v>
      </c>
      <c r="C1665" s="2">
        <v>2750.0</v>
      </c>
      <c r="D1665" s="2">
        <v>909.0</v>
      </c>
      <c r="E1665" s="3">
        <f t="shared" si="1"/>
        <v>0.361575179</v>
      </c>
      <c r="F1665" s="2">
        <v>359.0</v>
      </c>
      <c r="G1665" s="3">
        <f t="shared" si="2"/>
        <v>0.1428003182</v>
      </c>
      <c r="H1665" s="2">
        <v>487.0</v>
      </c>
      <c r="I1665" s="3">
        <f t="shared" si="3"/>
        <v>0.1937151949</v>
      </c>
      <c r="J1665" s="2">
        <v>428.0</v>
      </c>
      <c r="K1665" s="3">
        <f t="shared" si="4"/>
        <v>0.1702466189</v>
      </c>
      <c r="L1665" s="2">
        <v>281.0</v>
      </c>
      <c r="M1665" s="3">
        <f t="shared" si="5"/>
        <v>0.5770020534</v>
      </c>
      <c r="N1665" s="2">
        <v>2891700.0</v>
      </c>
      <c r="O1665" s="4">
        <f t="shared" si="6"/>
        <v>5937.782341</v>
      </c>
      <c r="P1665" s="2">
        <v>0.0</v>
      </c>
      <c r="Q1665" s="3">
        <f t="shared" si="7"/>
        <v>0</v>
      </c>
      <c r="R1665" s="2">
        <v>236.0</v>
      </c>
      <c r="S1665" s="5">
        <f t="shared" si="8"/>
        <v>1</v>
      </c>
    </row>
    <row r="1666">
      <c r="A1666" s="2" t="s">
        <v>1677</v>
      </c>
      <c r="B1666" s="2">
        <v>1418.0</v>
      </c>
      <c r="C1666" s="2">
        <v>16376.0</v>
      </c>
      <c r="D1666" s="2">
        <v>6180.0</v>
      </c>
      <c r="E1666" s="3">
        <f t="shared" si="1"/>
        <v>0.4131568391</v>
      </c>
      <c r="F1666" s="2">
        <v>2136.0</v>
      </c>
      <c r="G1666" s="3">
        <f t="shared" si="2"/>
        <v>0.1427998396</v>
      </c>
      <c r="H1666" s="2">
        <v>3404.0</v>
      </c>
      <c r="I1666" s="3">
        <f t="shared" si="3"/>
        <v>0.2275705308</v>
      </c>
      <c r="J1666" s="2">
        <v>2868.0</v>
      </c>
      <c r="K1666" s="3">
        <f t="shared" si="4"/>
        <v>0.1917368632</v>
      </c>
      <c r="L1666" s="2">
        <v>2015.0</v>
      </c>
      <c r="M1666" s="3">
        <f t="shared" si="5"/>
        <v>0.5919506463</v>
      </c>
      <c r="N1666" s="2">
        <v>1.98606E7</v>
      </c>
      <c r="O1666" s="4">
        <f t="shared" si="6"/>
        <v>5834.488837</v>
      </c>
      <c r="P1666" s="2">
        <v>4.0</v>
      </c>
      <c r="Q1666" s="3">
        <f t="shared" si="7"/>
        <v>0.002820874471</v>
      </c>
      <c r="R1666" s="2">
        <v>0.0</v>
      </c>
      <c r="S1666" s="5">
        <f t="shared" si="8"/>
        <v>0</v>
      </c>
    </row>
    <row r="1667">
      <c r="A1667" s="2" t="s">
        <v>1678</v>
      </c>
      <c r="B1667" s="2">
        <v>618.0</v>
      </c>
      <c r="C1667" s="2">
        <v>7125.0</v>
      </c>
      <c r="D1667" s="2">
        <v>1900.0</v>
      </c>
      <c r="E1667" s="3">
        <f t="shared" si="1"/>
        <v>0.2919932381</v>
      </c>
      <c r="F1667" s="2">
        <v>929.0</v>
      </c>
      <c r="G1667" s="3">
        <f t="shared" si="2"/>
        <v>0.1427693253</v>
      </c>
      <c r="H1667" s="2">
        <v>1314.0</v>
      </c>
      <c r="I1667" s="3">
        <f t="shared" si="3"/>
        <v>0.2019363762</v>
      </c>
      <c r="J1667" s="2">
        <v>1215.0</v>
      </c>
      <c r="K1667" s="3">
        <f t="shared" si="4"/>
        <v>0.1867219917</v>
      </c>
      <c r="L1667" s="2">
        <v>759.0</v>
      </c>
      <c r="M1667" s="3">
        <f t="shared" si="5"/>
        <v>0.5776255708</v>
      </c>
      <c r="N1667" s="2">
        <v>7936600.0</v>
      </c>
      <c r="O1667" s="4">
        <f t="shared" si="6"/>
        <v>6040.030441</v>
      </c>
      <c r="P1667" s="2">
        <v>2.0</v>
      </c>
      <c r="Q1667" s="3">
        <f t="shared" si="7"/>
        <v>0.003236245955</v>
      </c>
      <c r="R1667" s="2">
        <v>618.0</v>
      </c>
      <c r="S1667" s="5">
        <f t="shared" si="8"/>
        <v>1</v>
      </c>
    </row>
    <row r="1668">
      <c r="A1668" s="2" t="s">
        <v>1679</v>
      </c>
      <c r="B1668" s="2">
        <v>1598.0</v>
      </c>
      <c r="C1668" s="2">
        <v>18682.0</v>
      </c>
      <c r="D1668" s="2">
        <v>5226.0</v>
      </c>
      <c r="E1668" s="3">
        <f t="shared" si="1"/>
        <v>0.3059002576</v>
      </c>
      <c r="F1668" s="2">
        <v>2439.0</v>
      </c>
      <c r="G1668" s="3">
        <f t="shared" si="2"/>
        <v>0.1427651604</v>
      </c>
      <c r="H1668" s="2">
        <v>3787.0</v>
      </c>
      <c r="I1668" s="3">
        <f t="shared" si="3"/>
        <v>0.2216693983</v>
      </c>
      <c r="J1668" s="2">
        <v>2652.0</v>
      </c>
      <c r="K1668" s="3">
        <f t="shared" si="4"/>
        <v>0.1552329665</v>
      </c>
      <c r="L1668" s="2">
        <v>2277.0</v>
      </c>
      <c r="M1668" s="3">
        <f t="shared" si="5"/>
        <v>0.6012674941</v>
      </c>
      <c r="N1668" s="2">
        <v>2.10824E7</v>
      </c>
      <c r="O1668" s="4">
        <f t="shared" si="6"/>
        <v>5567.045154</v>
      </c>
      <c r="P1668" s="2">
        <v>5.0</v>
      </c>
      <c r="Q1668" s="3">
        <f t="shared" si="7"/>
        <v>0.003128911139</v>
      </c>
      <c r="R1668" s="2">
        <v>1598.0</v>
      </c>
      <c r="S1668" s="5">
        <f t="shared" si="8"/>
        <v>1</v>
      </c>
    </row>
    <row r="1669">
      <c r="A1669" s="2" t="s">
        <v>1680</v>
      </c>
      <c r="B1669" s="2">
        <v>964.0</v>
      </c>
      <c r="C1669" s="2">
        <v>11254.0</v>
      </c>
      <c r="D1669" s="2">
        <v>3544.0</v>
      </c>
      <c r="E1669" s="3">
        <f t="shared" si="1"/>
        <v>0.3444120505</v>
      </c>
      <c r="F1669" s="2">
        <v>1469.0</v>
      </c>
      <c r="G1669" s="3">
        <f t="shared" si="2"/>
        <v>0.1427599611</v>
      </c>
      <c r="H1669" s="2">
        <v>2218.0</v>
      </c>
      <c r="I1669" s="3">
        <f t="shared" si="3"/>
        <v>0.2155490768</v>
      </c>
      <c r="J1669" s="2">
        <v>1840.0</v>
      </c>
      <c r="K1669" s="3">
        <f t="shared" si="4"/>
        <v>0.1788143829</v>
      </c>
      <c r="L1669" s="2">
        <v>1280.0</v>
      </c>
      <c r="M1669" s="3">
        <f t="shared" si="5"/>
        <v>0.5770964833</v>
      </c>
      <c r="N1669" s="2">
        <v>1.26264E7</v>
      </c>
      <c r="O1669" s="4">
        <f t="shared" si="6"/>
        <v>5692.696123</v>
      </c>
      <c r="P1669" s="2">
        <v>0.0</v>
      </c>
      <c r="Q1669" s="3">
        <f t="shared" si="7"/>
        <v>0</v>
      </c>
      <c r="R1669" s="2">
        <v>964.0</v>
      </c>
      <c r="S1669" s="5">
        <f t="shared" si="8"/>
        <v>1</v>
      </c>
    </row>
    <row r="1670">
      <c r="A1670" s="2" t="s">
        <v>1681</v>
      </c>
      <c r="B1670" s="2">
        <v>256.0</v>
      </c>
      <c r="C1670" s="2">
        <v>3023.0</v>
      </c>
      <c r="D1670" s="2">
        <v>892.0</v>
      </c>
      <c r="E1670" s="3">
        <f t="shared" si="1"/>
        <v>0.3223707987</v>
      </c>
      <c r="F1670" s="2">
        <v>395.0</v>
      </c>
      <c r="G1670" s="3">
        <f t="shared" si="2"/>
        <v>0.1427538851</v>
      </c>
      <c r="H1670" s="2">
        <v>583.0</v>
      </c>
      <c r="I1670" s="3">
        <f t="shared" si="3"/>
        <v>0.2106975063</v>
      </c>
      <c r="J1670" s="2">
        <v>489.0</v>
      </c>
      <c r="K1670" s="3">
        <f t="shared" si="4"/>
        <v>0.1767256957</v>
      </c>
      <c r="L1670" s="2">
        <v>329.0</v>
      </c>
      <c r="M1670" s="3">
        <f t="shared" si="5"/>
        <v>0.56432247</v>
      </c>
      <c r="N1670" s="2">
        <v>3500200.0</v>
      </c>
      <c r="O1670" s="4">
        <f t="shared" si="6"/>
        <v>6003.773585</v>
      </c>
      <c r="P1670" s="2">
        <v>0.0</v>
      </c>
      <c r="Q1670" s="3">
        <f t="shared" si="7"/>
        <v>0</v>
      </c>
      <c r="R1670" s="2">
        <v>256.0</v>
      </c>
      <c r="S1670" s="5">
        <f t="shared" si="8"/>
        <v>1</v>
      </c>
    </row>
    <row r="1671">
      <c r="A1671" s="2" t="s">
        <v>1682</v>
      </c>
      <c r="B1671" s="2">
        <v>120.0</v>
      </c>
      <c r="C1671" s="2">
        <v>1374.0</v>
      </c>
      <c r="D1671" s="2">
        <v>437.0</v>
      </c>
      <c r="E1671" s="3">
        <f t="shared" si="1"/>
        <v>0.3484848485</v>
      </c>
      <c r="F1671" s="2">
        <v>179.0</v>
      </c>
      <c r="G1671" s="3">
        <f t="shared" si="2"/>
        <v>0.1427432217</v>
      </c>
      <c r="H1671" s="2">
        <v>261.0</v>
      </c>
      <c r="I1671" s="3">
        <f t="shared" si="3"/>
        <v>0.2081339713</v>
      </c>
      <c r="J1671" s="2">
        <v>227.0</v>
      </c>
      <c r="K1671" s="3">
        <f t="shared" si="4"/>
        <v>0.1810207337</v>
      </c>
      <c r="L1671" s="2">
        <v>153.0</v>
      </c>
      <c r="M1671" s="3">
        <f t="shared" si="5"/>
        <v>0.5862068966</v>
      </c>
      <c r="N1671" s="2">
        <v>1588200.0</v>
      </c>
      <c r="O1671" s="4">
        <f t="shared" si="6"/>
        <v>6085.057471</v>
      </c>
      <c r="P1671" s="2">
        <v>0.0</v>
      </c>
      <c r="Q1671" s="3">
        <f t="shared" si="7"/>
        <v>0</v>
      </c>
      <c r="R1671" s="2">
        <v>120.0</v>
      </c>
      <c r="S1671" s="5">
        <f t="shared" si="8"/>
        <v>1</v>
      </c>
    </row>
    <row r="1672">
      <c r="A1672" s="2" t="s">
        <v>1683</v>
      </c>
      <c r="B1672" s="2">
        <v>513.0</v>
      </c>
      <c r="C1672" s="2">
        <v>6013.0</v>
      </c>
      <c r="D1672" s="2">
        <v>1882.0</v>
      </c>
      <c r="E1672" s="3">
        <f t="shared" si="1"/>
        <v>0.3421818182</v>
      </c>
      <c r="F1672" s="2">
        <v>785.0</v>
      </c>
      <c r="G1672" s="3">
        <f t="shared" si="2"/>
        <v>0.1427272727</v>
      </c>
      <c r="H1672" s="2">
        <v>1176.0</v>
      </c>
      <c r="I1672" s="3">
        <f t="shared" si="3"/>
        <v>0.2138181818</v>
      </c>
      <c r="J1672" s="2">
        <v>993.0</v>
      </c>
      <c r="K1672" s="3">
        <f t="shared" si="4"/>
        <v>0.1805454545</v>
      </c>
      <c r="L1672" s="2">
        <v>693.0</v>
      </c>
      <c r="M1672" s="3">
        <f t="shared" si="5"/>
        <v>0.5892857143</v>
      </c>
      <c r="N1672" s="2">
        <v>7103600.0</v>
      </c>
      <c r="O1672" s="4">
        <f t="shared" si="6"/>
        <v>6040.47619</v>
      </c>
      <c r="P1672" s="2">
        <v>1.0</v>
      </c>
      <c r="Q1672" s="3">
        <f t="shared" si="7"/>
        <v>0.001949317739</v>
      </c>
      <c r="R1672" s="2">
        <v>513.0</v>
      </c>
      <c r="S1672" s="5">
        <f t="shared" si="8"/>
        <v>1</v>
      </c>
    </row>
    <row r="1673">
      <c r="A1673" s="2" t="s">
        <v>1684</v>
      </c>
      <c r="B1673" s="2">
        <v>2139.0</v>
      </c>
      <c r="C1673" s="2">
        <v>24799.0</v>
      </c>
      <c r="D1673" s="2">
        <v>7761.0</v>
      </c>
      <c r="E1673" s="3">
        <f t="shared" si="1"/>
        <v>0.3424977935</v>
      </c>
      <c r="F1673" s="2">
        <v>3234.0</v>
      </c>
      <c r="G1673" s="3">
        <f t="shared" si="2"/>
        <v>0.1427184466</v>
      </c>
      <c r="H1673" s="2">
        <v>5001.0</v>
      </c>
      <c r="I1673" s="3">
        <f t="shared" si="3"/>
        <v>0.2206972639</v>
      </c>
      <c r="J1673" s="2">
        <v>3952.0</v>
      </c>
      <c r="K1673" s="3">
        <f t="shared" si="4"/>
        <v>0.1744042365</v>
      </c>
      <c r="L1673" s="2">
        <v>2981.0</v>
      </c>
      <c r="M1673" s="3">
        <f t="shared" si="5"/>
        <v>0.5960807838</v>
      </c>
      <c r="N1673" s="2">
        <v>2.88781E7</v>
      </c>
      <c r="O1673" s="4">
        <f t="shared" si="6"/>
        <v>5774.465107</v>
      </c>
      <c r="P1673" s="2">
        <v>3.0</v>
      </c>
      <c r="Q1673" s="3">
        <f t="shared" si="7"/>
        <v>0.001402524544</v>
      </c>
      <c r="R1673" s="2">
        <v>2139.0</v>
      </c>
      <c r="S1673" s="5">
        <f t="shared" si="8"/>
        <v>1</v>
      </c>
    </row>
    <row r="1674">
      <c r="A1674" s="2" t="s">
        <v>1685</v>
      </c>
      <c r="B1674" s="2">
        <v>371.0</v>
      </c>
      <c r="C1674" s="2">
        <v>4309.0</v>
      </c>
      <c r="D1674" s="2">
        <v>1435.0</v>
      </c>
      <c r="E1674" s="3">
        <f t="shared" si="1"/>
        <v>0.3643981717</v>
      </c>
      <c r="F1674" s="2">
        <v>562.0</v>
      </c>
      <c r="G1674" s="3">
        <f t="shared" si="2"/>
        <v>0.1427120366</v>
      </c>
      <c r="H1674" s="2">
        <v>906.0</v>
      </c>
      <c r="I1674" s="3">
        <f t="shared" si="3"/>
        <v>0.2300660234</v>
      </c>
      <c r="J1674" s="2">
        <v>804.0</v>
      </c>
      <c r="K1674" s="3">
        <f t="shared" si="4"/>
        <v>0.2041645505</v>
      </c>
      <c r="L1674" s="2">
        <v>554.0</v>
      </c>
      <c r="M1674" s="3">
        <f t="shared" si="5"/>
        <v>0.6114790287</v>
      </c>
      <c r="N1674" s="2">
        <v>5195400.0</v>
      </c>
      <c r="O1674" s="4">
        <f t="shared" si="6"/>
        <v>5734.437086</v>
      </c>
      <c r="P1674" s="2">
        <v>2.0</v>
      </c>
      <c r="Q1674" s="3">
        <f t="shared" si="7"/>
        <v>0.00539083558</v>
      </c>
      <c r="R1674" s="2">
        <v>371.0</v>
      </c>
      <c r="S1674" s="5">
        <f t="shared" si="8"/>
        <v>1</v>
      </c>
    </row>
    <row r="1675">
      <c r="A1675" s="2" t="s">
        <v>1686</v>
      </c>
      <c r="B1675" s="2">
        <v>832.0</v>
      </c>
      <c r="C1675" s="2">
        <v>9647.0</v>
      </c>
      <c r="D1675" s="2">
        <v>3198.0</v>
      </c>
      <c r="E1675" s="3">
        <f t="shared" si="1"/>
        <v>0.3627906977</v>
      </c>
      <c r="F1675" s="2">
        <v>1258.0</v>
      </c>
      <c r="G1675" s="3">
        <f t="shared" si="2"/>
        <v>0.1427112876</v>
      </c>
      <c r="H1675" s="2">
        <v>1902.0</v>
      </c>
      <c r="I1675" s="3">
        <f t="shared" si="3"/>
        <v>0.2157685763</v>
      </c>
      <c r="J1675" s="2">
        <v>1643.0</v>
      </c>
      <c r="K1675" s="3">
        <f t="shared" si="4"/>
        <v>0.1863868406</v>
      </c>
      <c r="L1675" s="2">
        <v>1116.0</v>
      </c>
      <c r="M1675" s="3">
        <f t="shared" si="5"/>
        <v>0.5867507886</v>
      </c>
      <c r="N1675" s="2">
        <v>1.12569E7</v>
      </c>
      <c r="O1675" s="4">
        <f t="shared" si="6"/>
        <v>5918.454259</v>
      </c>
      <c r="P1675" s="2">
        <v>3.0</v>
      </c>
      <c r="Q1675" s="3">
        <f t="shared" si="7"/>
        <v>0.003605769231</v>
      </c>
      <c r="R1675" s="2">
        <v>18.0</v>
      </c>
      <c r="S1675" s="5">
        <f t="shared" si="8"/>
        <v>0.02163461538</v>
      </c>
    </row>
    <row r="1676">
      <c r="A1676" s="2" t="s">
        <v>1687</v>
      </c>
      <c r="B1676" s="2">
        <v>402.0</v>
      </c>
      <c r="C1676" s="2">
        <v>4761.0</v>
      </c>
      <c r="D1676" s="2">
        <v>1474.0</v>
      </c>
      <c r="E1676" s="3">
        <f t="shared" si="1"/>
        <v>0.3381509521</v>
      </c>
      <c r="F1676" s="2">
        <v>622.0</v>
      </c>
      <c r="G1676" s="3">
        <f t="shared" si="2"/>
        <v>0.1426932783</v>
      </c>
      <c r="H1676" s="2">
        <v>870.0</v>
      </c>
      <c r="I1676" s="3">
        <f t="shared" si="3"/>
        <v>0.1995870613</v>
      </c>
      <c r="J1676" s="2">
        <v>761.0</v>
      </c>
      <c r="K1676" s="3">
        <f t="shared" si="4"/>
        <v>0.174581326</v>
      </c>
      <c r="L1676" s="2">
        <v>511.0</v>
      </c>
      <c r="M1676" s="3">
        <f t="shared" si="5"/>
        <v>0.5873563218</v>
      </c>
      <c r="N1676" s="2">
        <v>5183600.0</v>
      </c>
      <c r="O1676" s="4">
        <f t="shared" si="6"/>
        <v>5958.16092</v>
      </c>
      <c r="P1676" s="2">
        <v>1.0</v>
      </c>
      <c r="Q1676" s="3">
        <f t="shared" si="7"/>
        <v>0.002487562189</v>
      </c>
      <c r="R1676" s="2">
        <v>0.0</v>
      </c>
      <c r="S1676" s="5">
        <f t="shared" si="8"/>
        <v>0</v>
      </c>
    </row>
    <row r="1677">
      <c r="A1677" s="2" t="s">
        <v>1688</v>
      </c>
      <c r="B1677" s="2">
        <v>2062.0</v>
      </c>
      <c r="C1677" s="2">
        <v>24285.0</v>
      </c>
      <c r="D1677" s="2">
        <v>7604.0</v>
      </c>
      <c r="E1677" s="3">
        <f t="shared" si="1"/>
        <v>0.3421680241</v>
      </c>
      <c r="F1677" s="2">
        <v>3171.0</v>
      </c>
      <c r="G1677" s="3">
        <f t="shared" si="2"/>
        <v>0.1426900058</v>
      </c>
      <c r="H1677" s="2">
        <v>4680.0</v>
      </c>
      <c r="I1677" s="3">
        <f t="shared" si="3"/>
        <v>0.2105926293</v>
      </c>
      <c r="J1677" s="2">
        <v>3568.0</v>
      </c>
      <c r="K1677" s="3">
        <f t="shared" si="4"/>
        <v>0.1605543806</v>
      </c>
      <c r="L1677" s="2">
        <v>2816.0</v>
      </c>
      <c r="M1677" s="3">
        <f t="shared" si="5"/>
        <v>0.6017094017</v>
      </c>
      <c r="N1677" s="2">
        <v>2.69245E7</v>
      </c>
      <c r="O1677" s="4">
        <f t="shared" si="6"/>
        <v>5753.098291</v>
      </c>
      <c r="P1677" s="2">
        <v>3.0</v>
      </c>
      <c r="Q1677" s="3">
        <f t="shared" si="7"/>
        <v>0.001454898157</v>
      </c>
      <c r="R1677" s="2">
        <v>2062.0</v>
      </c>
      <c r="S1677" s="5">
        <f t="shared" si="8"/>
        <v>1</v>
      </c>
    </row>
    <row r="1678">
      <c r="A1678" s="2" t="s">
        <v>1689</v>
      </c>
      <c r="B1678" s="2">
        <v>1445.0</v>
      </c>
      <c r="C1678" s="2">
        <v>16618.0</v>
      </c>
      <c r="D1678" s="2">
        <v>6498.0</v>
      </c>
      <c r="E1678" s="3">
        <f t="shared" si="1"/>
        <v>0.4282607263</v>
      </c>
      <c r="F1678" s="2">
        <v>2165.0</v>
      </c>
      <c r="G1678" s="3">
        <f t="shared" si="2"/>
        <v>0.1426876689</v>
      </c>
      <c r="H1678" s="2">
        <v>3274.0</v>
      </c>
      <c r="I1678" s="3">
        <f t="shared" si="3"/>
        <v>0.2157780268</v>
      </c>
      <c r="J1678" s="2">
        <v>2498.0</v>
      </c>
      <c r="K1678" s="3">
        <f t="shared" si="4"/>
        <v>0.1646345482</v>
      </c>
      <c r="L1678" s="2">
        <v>1946.0</v>
      </c>
      <c r="M1678" s="3">
        <f t="shared" si="5"/>
        <v>0.5943799633</v>
      </c>
      <c r="N1678" s="2">
        <v>1.85571E7</v>
      </c>
      <c r="O1678" s="4">
        <f t="shared" si="6"/>
        <v>5668.02077</v>
      </c>
      <c r="P1678" s="2">
        <v>8.0</v>
      </c>
      <c r="Q1678" s="3">
        <f t="shared" si="7"/>
        <v>0.00553633218</v>
      </c>
      <c r="R1678" s="2">
        <v>1445.0</v>
      </c>
      <c r="S1678" s="5">
        <f t="shared" si="8"/>
        <v>1</v>
      </c>
    </row>
    <row r="1679">
      <c r="A1679" s="2" t="s">
        <v>1690</v>
      </c>
      <c r="B1679" s="2">
        <v>622.0</v>
      </c>
      <c r="C1679" s="2">
        <v>7308.0</v>
      </c>
      <c r="D1679" s="2">
        <v>2490.0</v>
      </c>
      <c r="E1679" s="3">
        <f t="shared" si="1"/>
        <v>0.3724199821</v>
      </c>
      <c r="F1679" s="2">
        <v>954.0</v>
      </c>
      <c r="G1679" s="3">
        <f t="shared" si="2"/>
        <v>0.14268621</v>
      </c>
      <c r="H1679" s="2">
        <v>1460.0</v>
      </c>
      <c r="I1679" s="3">
        <f t="shared" si="3"/>
        <v>0.2183667365</v>
      </c>
      <c r="J1679" s="2">
        <v>1137.0</v>
      </c>
      <c r="K1679" s="3">
        <f t="shared" si="4"/>
        <v>0.1700568352</v>
      </c>
      <c r="L1679" s="2">
        <v>860.0</v>
      </c>
      <c r="M1679" s="3">
        <f t="shared" si="5"/>
        <v>0.5890410959</v>
      </c>
      <c r="N1679" s="2">
        <v>8739000.0</v>
      </c>
      <c r="O1679" s="4">
        <f t="shared" si="6"/>
        <v>5985.616438</v>
      </c>
      <c r="P1679" s="2">
        <v>1.0</v>
      </c>
      <c r="Q1679" s="3">
        <f t="shared" si="7"/>
        <v>0.001607717042</v>
      </c>
      <c r="R1679" s="2">
        <v>622.0</v>
      </c>
      <c r="S1679" s="5">
        <f t="shared" si="8"/>
        <v>1</v>
      </c>
    </row>
    <row r="1680">
      <c r="A1680" s="2" t="s">
        <v>1691</v>
      </c>
      <c r="B1680" s="2">
        <v>578.0</v>
      </c>
      <c r="C1680" s="2">
        <v>6690.0</v>
      </c>
      <c r="D1680" s="2">
        <v>2499.0</v>
      </c>
      <c r="E1680" s="3">
        <f t="shared" si="1"/>
        <v>0.408867801</v>
      </c>
      <c r="F1680" s="2">
        <v>872.0</v>
      </c>
      <c r="G1680" s="3">
        <f t="shared" si="2"/>
        <v>0.1426701571</v>
      </c>
      <c r="H1680" s="2">
        <v>1300.0</v>
      </c>
      <c r="I1680" s="3">
        <f t="shared" si="3"/>
        <v>0.2126963351</v>
      </c>
      <c r="J1680" s="2">
        <v>1039.0</v>
      </c>
      <c r="K1680" s="3">
        <f t="shared" si="4"/>
        <v>0.1699934555</v>
      </c>
      <c r="L1680" s="2">
        <v>744.0</v>
      </c>
      <c r="M1680" s="3">
        <f t="shared" si="5"/>
        <v>0.5723076923</v>
      </c>
      <c r="N1680" s="2">
        <v>7051600.0</v>
      </c>
      <c r="O1680" s="4">
        <f t="shared" si="6"/>
        <v>5424.307692</v>
      </c>
      <c r="P1680" s="2">
        <v>0.0</v>
      </c>
      <c r="Q1680" s="3">
        <f t="shared" si="7"/>
        <v>0</v>
      </c>
      <c r="R1680" s="2">
        <v>567.0</v>
      </c>
      <c r="S1680" s="5">
        <f t="shared" si="8"/>
        <v>0.9809688581</v>
      </c>
    </row>
    <row r="1681">
      <c r="A1681" s="2" t="s">
        <v>1692</v>
      </c>
      <c r="B1681" s="2">
        <v>275.0</v>
      </c>
      <c r="C1681" s="2">
        <v>3261.0</v>
      </c>
      <c r="D1681" s="2">
        <v>887.0</v>
      </c>
      <c r="E1681" s="3">
        <f t="shared" si="1"/>
        <v>0.2970529136</v>
      </c>
      <c r="F1681" s="2">
        <v>426.0</v>
      </c>
      <c r="G1681" s="3">
        <f t="shared" si="2"/>
        <v>0.1426657736</v>
      </c>
      <c r="H1681" s="2">
        <v>643.0</v>
      </c>
      <c r="I1681" s="3">
        <f t="shared" si="3"/>
        <v>0.2153382451</v>
      </c>
      <c r="J1681" s="2">
        <v>664.0</v>
      </c>
      <c r="K1681" s="3">
        <f t="shared" si="4"/>
        <v>0.222371065</v>
      </c>
      <c r="L1681" s="2">
        <v>352.0</v>
      </c>
      <c r="M1681" s="3">
        <f t="shared" si="5"/>
        <v>0.5474339036</v>
      </c>
      <c r="N1681" s="2">
        <v>3837900.0</v>
      </c>
      <c r="O1681" s="4">
        <f t="shared" si="6"/>
        <v>5968.74028</v>
      </c>
      <c r="P1681" s="2">
        <v>0.0</v>
      </c>
      <c r="Q1681" s="3">
        <f t="shared" si="7"/>
        <v>0</v>
      </c>
      <c r="R1681" s="2">
        <v>275.0</v>
      </c>
      <c r="S1681" s="5">
        <f t="shared" si="8"/>
        <v>1</v>
      </c>
    </row>
    <row r="1682">
      <c r="A1682" s="2" t="s">
        <v>1693</v>
      </c>
      <c r="B1682" s="2">
        <v>70.0</v>
      </c>
      <c r="C1682" s="2">
        <v>799.0</v>
      </c>
      <c r="D1682" s="2">
        <v>231.0</v>
      </c>
      <c r="E1682" s="3">
        <f t="shared" si="1"/>
        <v>0.316872428</v>
      </c>
      <c r="F1682" s="2">
        <v>104.0</v>
      </c>
      <c r="G1682" s="3">
        <f t="shared" si="2"/>
        <v>0.1426611797</v>
      </c>
      <c r="H1682" s="2">
        <v>148.0</v>
      </c>
      <c r="I1682" s="3">
        <f t="shared" si="3"/>
        <v>0.2030178326</v>
      </c>
      <c r="J1682" s="2">
        <v>143.0</v>
      </c>
      <c r="K1682" s="3">
        <f t="shared" si="4"/>
        <v>0.1961591221</v>
      </c>
      <c r="L1682" s="2">
        <v>90.0</v>
      </c>
      <c r="M1682" s="3">
        <f t="shared" si="5"/>
        <v>0.6081081081</v>
      </c>
      <c r="N1682" s="2">
        <v>948000.0</v>
      </c>
      <c r="O1682" s="4">
        <f t="shared" si="6"/>
        <v>6405.405405</v>
      </c>
      <c r="P1682" s="2">
        <v>0.0</v>
      </c>
      <c r="Q1682" s="3">
        <f t="shared" si="7"/>
        <v>0</v>
      </c>
      <c r="R1682" s="2">
        <v>0.0</v>
      </c>
      <c r="S1682" s="5">
        <f t="shared" si="8"/>
        <v>0</v>
      </c>
    </row>
    <row r="1683">
      <c r="A1683" s="2" t="s">
        <v>1694</v>
      </c>
      <c r="B1683" s="2">
        <v>230.0</v>
      </c>
      <c r="C1683" s="2">
        <v>2726.0</v>
      </c>
      <c r="D1683" s="2">
        <v>1004.0</v>
      </c>
      <c r="E1683" s="3">
        <f t="shared" si="1"/>
        <v>0.4022435897</v>
      </c>
      <c r="F1683" s="2">
        <v>356.0</v>
      </c>
      <c r="G1683" s="3">
        <f t="shared" si="2"/>
        <v>0.1426282051</v>
      </c>
      <c r="H1683" s="2">
        <v>491.0</v>
      </c>
      <c r="I1683" s="3">
        <f t="shared" si="3"/>
        <v>0.1967147436</v>
      </c>
      <c r="J1683" s="2">
        <v>387.0</v>
      </c>
      <c r="K1683" s="3">
        <f t="shared" si="4"/>
        <v>0.1550480769</v>
      </c>
      <c r="L1683" s="2">
        <v>299.0</v>
      </c>
      <c r="M1683" s="3">
        <f t="shared" si="5"/>
        <v>0.6089613035</v>
      </c>
      <c r="N1683" s="2">
        <v>3046000.0</v>
      </c>
      <c r="O1683" s="4">
        <f t="shared" si="6"/>
        <v>6203.665988</v>
      </c>
      <c r="P1683" s="2">
        <v>1.0</v>
      </c>
      <c r="Q1683" s="3">
        <f t="shared" si="7"/>
        <v>0.004347826087</v>
      </c>
      <c r="R1683" s="2">
        <v>230.0</v>
      </c>
      <c r="S1683" s="5">
        <f t="shared" si="8"/>
        <v>1</v>
      </c>
    </row>
    <row r="1684">
      <c r="A1684" s="2" t="s">
        <v>1695</v>
      </c>
      <c r="B1684" s="2">
        <v>571.0</v>
      </c>
      <c r="C1684" s="2">
        <v>6727.0</v>
      </c>
      <c r="D1684" s="2">
        <v>2354.0</v>
      </c>
      <c r="E1684" s="3">
        <f t="shared" si="1"/>
        <v>0.3823911631</v>
      </c>
      <c r="F1684" s="2">
        <v>878.0</v>
      </c>
      <c r="G1684" s="3">
        <f t="shared" si="2"/>
        <v>0.1426250812</v>
      </c>
      <c r="H1684" s="2">
        <v>1369.0</v>
      </c>
      <c r="I1684" s="3">
        <f t="shared" si="3"/>
        <v>0.2223846654</v>
      </c>
      <c r="J1684" s="2">
        <v>986.0</v>
      </c>
      <c r="K1684" s="3">
        <f t="shared" si="4"/>
        <v>0.1601689409</v>
      </c>
      <c r="L1684" s="2">
        <v>810.0</v>
      </c>
      <c r="M1684" s="3">
        <f t="shared" si="5"/>
        <v>0.5916727538</v>
      </c>
      <c r="N1684" s="2">
        <v>7595100.0</v>
      </c>
      <c r="O1684" s="4">
        <f t="shared" si="6"/>
        <v>5547.918188</v>
      </c>
      <c r="P1684" s="2">
        <v>1.0</v>
      </c>
      <c r="Q1684" s="3">
        <f t="shared" si="7"/>
        <v>0.001751313485</v>
      </c>
      <c r="R1684" s="2">
        <v>571.0</v>
      </c>
      <c r="S1684" s="5">
        <f t="shared" si="8"/>
        <v>1</v>
      </c>
    </row>
    <row r="1685">
      <c r="A1685" s="2" t="s">
        <v>1696</v>
      </c>
      <c r="B1685" s="2">
        <v>338.0</v>
      </c>
      <c r="C1685" s="2">
        <v>3977.0</v>
      </c>
      <c r="D1685" s="2">
        <v>1008.0</v>
      </c>
      <c r="E1685" s="3">
        <f t="shared" si="1"/>
        <v>0.2769991756</v>
      </c>
      <c r="F1685" s="2">
        <v>519.0</v>
      </c>
      <c r="G1685" s="3">
        <f t="shared" si="2"/>
        <v>0.1426215993</v>
      </c>
      <c r="H1685" s="2">
        <v>760.0</v>
      </c>
      <c r="I1685" s="3">
        <f t="shared" si="3"/>
        <v>0.2088485848</v>
      </c>
      <c r="J1685" s="2">
        <v>583.0</v>
      </c>
      <c r="K1685" s="3">
        <f t="shared" si="4"/>
        <v>0.1602088486</v>
      </c>
      <c r="L1685" s="2">
        <v>460.0</v>
      </c>
      <c r="M1685" s="3">
        <f t="shared" si="5"/>
        <v>0.6052631579</v>
      </c>
      <c r="N1685" s="2">
        <v>4269500.0</v>
      </c>
      <c r="O1685" s="4">
        <f t="shared" si="6"/>
        <v>5617.763158</v>
      </c>
      <c r="P1685" s="2">
        <v>2.0</v>
      </c>
      <c r="Q1685" s="3">
        <f t="shared" si="7"/>
        <v>0.005917159763</v>
      </c>
      <c r="R1685" s="2">
        <v>338.0</v>
      </c>
      <c r="S1685" s="5">
        <f t="shared" si="8"/>
        <v>1</v>
      </c>
    </row>
    <row r="1686">
      <c r="A1686" s="2" t="s">
        <v>1697</v>
      </c>
      <c r="B1686" s="2">
        <v>54.0</v>
      </c>
      <c r="C1686" s="2">
        <v>629.0</v>
      </c>
      <c r="D1686" s="2">
        <v>209.0</v>
      </c>
      <c r="E1686" s="3">
        <f t="shared" si="1"/>
        <v>0.3634782609</v>
      </c>
      <c r="F1686" s="2">
        <v>82.0</v>
      </c>
      <c r="G1686" s="3">
        <f t="shared" si="2"/>
        <v>0.1426086957</v>
      </c>
      <c r="H1686" s="2">
        <v>113.0</v>
      </c>
      <c r="I1686" s="3">
        <f t="shared" si="3"/>
        <v>0.1965217391</v>
      </c>
      <c r="J1686" s="2">
        <v>96.0</v>
      </c>
      <c r="K1686" s="3">
        <f t="shared" si="4"/>
        <v>0.1669565217</v>
      </c>
      <c r="L1686" s="2">
        <v>66.0</v>
      </c>
      <c r="M1686" s="3">
        <f t="shared" si="5"/>
        <v>0.5840707965</v>
      </c>
      <c r="N1686" s="2">
        <v>543200.0</v>
      </c>
      <c r="O1686" s="4">
        <f t="shared" si="6"/>
        <v>4807.079646</v>
      </c>
      <c r="P1686" s="2">
        <v>0.0</v>
      </c>
      <c r="Q1686" s="3">
        <f t="shared" si="7"/>
        <v>0</v>
      </c>
      <c r="R1686" s="2">
        <v>54.0</v>
      </c>
      <c r="S1686" s="5">
        <f t="shared" si="8"/>
        <v>1</v>
      </c>
    </row>
    <row r="1687">
      <c r="A1687" s="2" t="s">
        <v>1698</v>
      </c>
      <c r="B1687" s="2">
        <v>51.0</v>
      </c>
      <c r="C1687" s="2">
        <v>626.0</v>
      </c>
      <c r="D1687" s="2">
        <v>215.0</v>
      </c>
      <c r="E1687" s="3">
        <f t="shared" si="1"/>
        <v>0.3739130435</v>
      </c>
      <c r="F1687" s="2">
        <v>82.0</v>
      </c>
      <c r="G1687" s="3">
        <f t="shared" si="2"/>
        <v>0.1426086957</v>
      </c>
      <c r="H1687" s="2">
        <v>114.0</v>
      </c>
      <c r="I1687" s="3">
        <f t="shared" si="3"/>
        <v>0.1982608696</v>
      </c>
      <c r="J1687" s="2">
        <v>87.0</v>
      </c>
      <c r="K1687" s="3">
        <f t="shared" si="4"/>
        <v>0.1513043478</v>
      </c>
      <c r="L1687" s="2">
        <v>65.0</v>
      </c>
      <c r="M1687" s="3">
        <f t="shared" si="5"/>
        <v>0.5701754386</v>
      </c>
      <c r="N1687" s="2">
        <v>579600.0</v>
      </c>
      <c r="O1687" s="4">
        <f t="shared" si="6"/>
        <v>5084.210526</v>
      </c>
      <c r="P1687" s="2">
        <v>0.0</v>
      </c>
      <c r="Q1687" s="3">
        <f t="shared" si="7"/>
        <v>0</v>
      </c>
      <c r="R1687" s="2">
        <v>0.0</v>
      </c>
      <c r="S1687" s="5">
        <f t="shared" si="8"/>
        <v>0</v>
      </c>
    </row>
    <row r="1688">
      <c r="A1688" s="2" t="s">
        <v>1699</v>
      </c>
      <c r="B1688" s="2">
        <v>109.0</v>
      </c>
      <c r="C1688" s="2">
        <v>1238.0</v>
      </c>
      <c r="D1688" s="2">
        <v>430.0</v>
      </c>
      <c r="E1688" s="3">
        <f t="shared" si="1"/>
        <v>0.3808680248</v>
      </c>
      <c r="F1688" s="2">
        <v>161.0</v>
      </c>
      <c r="G1688" s="3">
        <f t="shared" si="2"/>
        <v>0.1426040744</v>
      </c>
      <c r="H1688" s="2">
        <v>239.0</v>
      </c>
      <c r="I1688" s="3">
        <f t="shared" si="3"/>
        <v>0.2116917626</v>
      </c>
      <c r="J1688" s="2">
        <v>197.0</v>
      </c>
      <c r="K1688" s="3">
        <f t="shared" si="4"/>
        <v>0.1744906997</v>
      </c>
      <c r="L1688" s="2">
        <v>144.0</v>
      </c>
      <c r="M1688" s="3">
        <f t="shared" si="5"/>
        <v>0.6025104603</v>
      </c>
      <c r="N1688" s="2">
        <v>1331600.0</v>
      </c>
      <c r="O1688" s="4">
        <f t="shared" si="6"/>
        <v>5571.548117</v>
      </c>
      <c r="P1688" s="2">
        <v>0.0</v>
      </c>
      <c r="Q1688" s="3">
        <f t="shared" si="7"/>
        <v>0</v>
      </c>
      <c r="R1688" s="2">
        <v>109.0</v>
      </c>
      <c r="S1688" s="5">
        <f t="shared" si="8"/>
        <v>1</v>
      </c>
    </row>
    <row r="1689">
      <c r="A1689" s="2" t="s">
        <v>1700</v>
      </c>
      <c r="B1689" s="2">
        <v>92.0</v>
      </c>
      <c r="C1689" s="2">
        <v>1095.0</v>
      </c>
      <c r="D1689" s="2">
        <v>344.0</v>
      </c>
      <c r="E1689" s="3">
        <f t="shared" si="1"/>
        <v>0.3429710867</v>
      </c>
      <c r="F1689" s="2">
        <v>143.0</v>
      </c>
      <c r="G1689" s="3">
        <f t="shared" si="2"/>
        <v>0.1425722832</v>
      </c>
      <c r="H1689" s="2">
        <v>210.0</v>
      </c>
      <c r="I1689" s="3">
        <f t="shared" si="3"/>
        <v>0.2093718843</v>
      </c>
      <c r="J1689" s="2">
        <v>165.0</v>
      </c>
      <c r="K1689" s="3">
        <f t="shared" si="4"/>
        <v>0.1645064806</v>
      </c>
      <c r="L1689" s="2">
        <v>129.0</v>
      </c>
      <c r="M1689" s="3">
        <f t="shared" si="5"/>
        <v>0.6142857143</v>
      </c>
      <c r="N1689" s="2">
        <v>1263900.0</v>
      </c>
      <c r="O1689" s="4">
        <f t="shared" si="6"/>
        <v>6018.571429</v>
      </c>
      <c r="P1689" s="2">
        <v>0.0</v>
      </c>
      <c r="Q1689" s="3">
        <f t="shared" si="7"/>
        <v>0</v>
      </c>
      <c r="R1689" s="2">
        <v>92.0</v>
      </c>
      <c r="S1689" s="5">
        <f t="shared" si="8"/>
        <v>1</v>
      </c>
    </row>
    <row r="1690">
      <c r="A1690" s="2" t="s">
        <v>1701</v>
      </c>
      <c r="B1690" s="2">
        <v>6194.0</v>
      </c>
      <c r="C1690" s="2">
        <v>72144.0</v>
      </c>
      <c r="D1690" s="2">
        <v>25309.0</v>
      </c>
      <c r="E1690" s="3">
        <f t="shared" si="1"/>
        <v>0.3837604246</v>
      </c>
      <c r="F1690" s="2">
        <v>9400.0</v>
      </c>
      <c r="G1690" s="3">
        <f t="shared" si="2"/>
        <v>0.1425322214</v>
      </c>
      <c r="H1690" s="2">
        <v>14448.0</v>
      </c>
      <c r="I1690" s="3">
        <f t="shared" si="3"/>
        <v>0.2190750569</v>
      </c>
      <c r="J1690" s="2">
        <v>10708.0</v>
      </c>
      <c r="K1690" s="3">
        <f t="shared" si="4"/>
        <v>0.1623654284</v>
      </c>
      <c r="L1690" s="2">
        <v>8685.0</v>
      </c>
      <c r="M1690" s="3">
        <f t="shared" si="5"/>
        <v>0.6011212625</v>
      </c>
      <c r="N1690" s="2">
        <v>8.21203E7</v>
      </c>
      <c r="O1690" s="4">
        <f t="shared" si="6"/>
        <v>5683.852436</v>
      </c>
      <c r="P1690" s="2">
        <v>12.0</v>
      </c>
      <c r="Q1690" s="3">
        <f t="shared" si="7"/>
        <v>0.001937358734</v>
      </c>
      <c r="R1690" s="2">
        <v>6194.0</v>
      </c>
      <c r="S1690" s="5">
        <f t="shared" si="8"/>
        <v>1</v>
      </c>
    </row>
    <row r="1691">
      <c r="A1691" s="2" t="s">
        <v>1702</v>
      </c>
      <c r="B1691" s="2">
        <v>559.0</v>
      </c>
      <c r="C1691" s="2">
        <v>6621.0</v>
      </c>
      <c r="D1691" s="2">
        <v>2307.0</v>
      </c>
      <c r="E1691" s="3">
        <f t="shared" si="1"/>
        <v>0.3805674695</v>
      </c>
      <c r="F1691" s="2">
        <v>864.0</v>
      </c>
      <c r="G1691" s="3">
        <f t="shared" si="2"/>
        <v>0.1425272187</v>
      </c>
      <c r="H1691" s="2">
        <v>1238.0</v>
      </c>
      <c r="I1691" s="3">
        <f t="shared" si="3"/>
        <v>0.2042230287</v>
      </c>
      <c r="J1691" s="2">
        <v>1127.0</v>
      </c>
      <c r="K1691" s="3">
        <f t="shared" si="4"/>
        <v>0.1859122402</v>
      </c>
      <c r="L1691" s="2">
        <v>737.0</v>
      </c>
      <c r="M1691" s="3">
        <f t="shared" si="5"/>
        <v>0.5953150242</v>
      </c>
      <c r="N1691" s="2">
        <v>7261600.0</v>
      </c>
      <c r="O1691" s="4">
        <f t="shared" si="6"/>
        <v>5865.589661</v>
      </c>
      <c r="P1691" s="2">
        <v>1.0</v>
      </c>
      <c r="Q1691" s="3">
        <f t="shared" si="7"/>
        <v>0.001788908766</v>
      </c>
      <c r="R1691" s="2">
        <v>559.0</v>
      </c>
      <c r="S1691" s="5">
        <f t="shared" si="8"/>
        <v>1</v>
      </c>
    </row>
    <row r="1692">
      <c r="A1692" s="2" t="s">
        <v>1703</v>
      </c>
      <c r="B1692" s="2">
        <v>230.0</v>
      </c>
      <c r="C1692" s="2">
        <v>2707.0</v>
      </c>
      <c r="D1692" s="2">
        <v>795.0</v>
      </c>
      <c r="E1692" s="3">
        <f t="shared" si="1"/>
        <v>0.3209527654</v>
      </c>
      <c r="F1692" s="2">
        <v>353.0</v>
      </c>
      <c r="G1692" s="3">
        <f t="shared" si="2"/>
        <v>0.1425111021</v>
      </c>
      <c r="H1692" s="2">
        <v>546.0</v>
      </c>
      <c r="I1692" s="3">
        <f t="shared" si="3"/>
        <v>0.220427937</v>
      </c>
      <c r="J1692" s="2">
        <v>432.0</v>
      </c>
      <c r="K1692" s="3">
        <f t="shared" si="4"/>
        <v>0.1744045216</v>
      </c>
      <c r="L1692" s="2">
        <v>328.0</v>
      </c>
      <c r="M1692" s="3">
        <f t="shared" si="5"/>
        <v>0.6007326007</v>
      </c>
      <c r="N1692" s="2">
        <v>2983800.0</v>
      </c>
      <c r="O1692" s="4">
        <f t="shared" si="6"/>
        <v>5464.835165</v>
      </c>
      <c r="P1692" s="2">
        <v>0.0</v>
      </c>
      <c r="Q1692" s="3">
        <f t="shared" si="7"/>
        <v>0</v>
      </c>
      <c r="R1692" s="2">
        <v>230.0</v>
      </c>
      <c r="S1692" s="5">
        <f t="shared" si="8"/>
        <v>1</v>
      </c>
    </row>
    <row r="1693">
      <c r="A1693" s="2" t="s">
        <v>1704</v>
      </c>
      <c r="B1693" s="2">
        <v>184.0</v>
      </c>
      <c r="C1693" s="2">
        <v>2198.0</v>
      </c>
      <c r="D1693" s="2">
        <v>719.0</v>
      </c>
      <c r="E1693" s="3">
        <f t="shared" si="1"/>
        <v>0.357000993</v>
      </c>
      <c r="F1693" s="2">
        <v>287.0</v>
      </c>
      <c r="G1693" s="3">
        <f t="shared" si="2"/>
        <v>0.1425024826</v>
      </c>
      <c r="H1693" s="2">
        <v>412.0</v>
      </c>
      <c r="I1693" s="3">
        <f t="shared" si="3"/>
        <v>0.2045680238</v>
      </c>
      <c r="J1693" s="2">
        <v>299.0</v>
      </c>
      <c r="K1693" s="3">
        <f t="shared" si="4"/>
        <v>0.1484607746</v>
      </c>
      <c r="L1693" s="2">
        <v>256.0</v>
      </c>
      <c r="M1693" s="3">
        <f t="shared" si="5"/>
        <v>0.6213592233</v>
      </c>
      <c r="N1693" s="2">
        <v>2275100.0</v>
      </c>
      <c r="O1693" s="4">
        <f t="shared" si="6"/>
        <v>5522.087379</v>
      </c>
      <c r="P1693" s="2">
        <v>0.0</v>
      </c>
      <c r="Q1693" s="3">
        <f t="shared" si="7"/>
        <v>0</v>
      </c>
      <c r="R1693" s="2">
        <v>184.0</v>
      </c>
      <c r="S1693" s="5">
        <f t="shared" si="8"/>
        <v>1</v>
      </c>
    </row>
    <row r="1694">
      <c r="A1694" s="2" t="s">
        <v>1705</v>
      </c>
      <c r="B1694" s="2">
        <v>551.0</v>
      </c>
      <c r="C1694" s="2">
        <v>6411.0</v>
      </c>
      <c r="D1694" s="2">
        <v>1915.0</v>
      </c>
      <c r="E1694" s="3">
        <f t="shared" si="1"/>
        <v>0.3267918089</v>
      </c>
      <c r="F1694" s="2">
        <v>835.0</v>
      </c>
      <c r="G1694" s="3">
        <f t="shared" si="2"/>
        <v>0.1424914676</v>
      </c>
      <c r="H1694" s="2">
        <v>1234.0</v>
      </c>
      <c r="I1694" s="3">
        <f t="shared" si="3"/>
        <v>0.2105802048</v>
      </c>
      <c r="J1694" s="2">
        <v>891.0</v>
      </c>
      <c r="K1694" s="3">
        <f t="shared" si="4"/>
        <v>0.1520477816</v>
      </c>
      <c r="L1694" s="2">
        <v>724.0</v>
      </c>
      <c r="M1694" s="3">
        <f t="shared" si="5"/>
        <v>0.5867098865</v>
      </c>
      <c r="N1694" s="2">
        <v>7183600.0</v>
      </c>
      <c r="O1694" s="4">
        <f t="shared" si="6"/>
        <v>5821.393841</v>
      </c>
      <c r="P1694" s="2">
        <v>2.0</v>
      </c>
      <c r="Q1694" s="3">
        <f t="shared" si="7"/>
        <v>0.003629764065</v>
      </c>
      <c r="R1694" s="2">
        <v>551.0</v>
      </c>
      <c r="S1694" s="5">
        <f t="shared" si="8"/>
        <v>1</v>
      </c>
    </row>
    <row r="1695">
      <c r="A1695" s="2" t="s">
        <v>1706</v>
      </c>
      <c r="B1695" s="2">
        <v>358.0</v>
      </c>
      <c r="C1695" s="2">
        <v>4190.0</v>
      </c>
      <c r="D1695" s="2">
        <v>1043.0</v>
      </c>
      <c r="E1695" s="3">
        <f t="shared" si="1"/>
        <v>0.2721816284</v>
      </c>
      <c r="F1695" s="2">
        <v>546.0</v>
      </c>
      <c r="G1695" s="3">
        <f t="shared" si="2"/>
        <v>0.1424843424</v>
      </c>
      <c r="H1695" s="2">
        <v>800.0</v>
      </c>
      <c r="I1695" s="3">
        <f t="shared" si="3"/>
        <v>0.2087682672</v>
      </c>
      <c r="J1695" s="2">
        <v>732.0</v>
      </c>
      <c r="K1695" s="3">
        <f t="shared" si="4"/>
        <v>0.1910229645</v>
      </c>
      <c r="L1695" s="2">
        <v>463.0</v>
      </c>
      <c r="M1695" s="3">
        <f t="shared" si="5"/>
        <v>0.57875</v>
      </c>
      <c r="N1695" s="2">
        <v>5008900.0</v>
      </c>
      <c r="O1695" s="4">
        <f t="shared" si="6"/>
        <v>6261.125</v>
      </c>
      <c r="P1695" s="2">
        <v>1.0</v>
      </c>
      <c r="Q1695" s="3">
        <f t="shared" si="7"/>
        <v>0.002793296089</v>
      </c>
      <c r="R1695" s="2">
        <v>0.0</v>
      </c>
      <c r="S1695" s="5">
        <f t="shared" si="8"/>
        <v>0</v>
      </c>
    </row>
    <row r="1696">
      <c r="A1696" s="2" t="s">
        <v>1707</v>
      </c>
      <c r="B1696" s="2">
        <v>4131.0</v>
      </c>
      <c r="C1696" s="2">
        <v>47885.0</v>
      </c>
      <c r="D1696" s="2">
        <v>13188.0</v>
      </c>
      <c r="E1696" s="3">
        <f t="shared" si="1"/>
        <v>0.3014124423</v>
      </c>
      <c r="F1696" s="2">
        <v>6234.0</v>
      </c>
      <c r="G1696" s="3">
        <f t="shared" si="2"/>
        <v>0.142478402</v>
      </c>
      <c r="H1696" s="2">
        <v>9476.0</v>
      </c>
      <c r="I1696" s="3">
        <f t="shared" si="3"/>
        <v>0.2165744846</v>
      </c>
      <c r="J1696" s="2">
        <v>9354.0</v>
      </c>
      <c r="K1696" s="3">
        <f t="shared" si="4"/>
        <v>0.2137861681</v>
      </c>
      <c r="L1696" s="2">
        <v>5573.0</v>
      </c>
      <c r="M1696" s="3">
        <f t="shared" si="5"/>
        <v>0.5881173491</v>
      </c>
      <c r="N1696" s="2">
        <v>5.52477E7</v>
      </c>
      <c r="O1696" s="4">
        <f t="shared" si="6"/>
        <v>5830.276488</v>
      </c>
      <c r="P1696" s="2">
        <v>8.0</v>
      </c>
      <c r="Q1696" s="3">
        <f t="shared" si="7"/>
        <v>0.0019365771</v>
      </c>
      <c r="R1696" s="2">
        <v>4131.0</v>
      </c>
      <c r="S1696" s="5">
        <f t="shared" si="8"/>
        <v>1</v>
      </c>
    </row>
    <row r="1697">
      <c r="A1697" s="2" t="s">
        <v>1708</v>
      </c>
      <c r="B1697" s="2">
        <v>948.0</v>
      </c>
      <c r="C1697" s="2">
        <v>10985.0</v>
      </c>
      <c r="D1697" s="2">
        <v>2324.0</v>
      </c>
      <c r="E1697" s="3">
        <f t="shared" si="1"/>
        <v>0.2315432898</v>
      </c>
      <c r="F1697" s="2">
        <v>1430.0</v>
      </c>
      <c r="G1697" s="3">
        <f t="shared" si="2"/>
        <v>0.1424728505</v>
      </c>
      <c r="H1697" s="2">
        <v>2045.0</v>
      </c>
      <c r="I1697" s="3">
        <f t="shared" si="3"/>
        <v>0.2037461393</v>
      </c>
      <c r="J1697" s="2">
        <v>2207.0</v>
      </c>
      <c r="K1697" s="3">
        <f t="shared" si="4"/>
        <v>0.2198864202</v>
      </c>
      <c r="L1697" s="2">
        <v>1174.0</v>
      </c>
      <c r="M1697" s="3">
        <f t="shared" si="5"/>
        <v>0.5740831296</v>
      </c>
      <c r="N1697" s="2">
        <v>1.3089E7</v>
      </c>
      <c r="O1697" s="4">
        <f t="shared" si="6"/>
        <v>6400.488998</v>
      </c>
      <c r="P1697" s="2">
        <v>5.0</v>
      </c>
      <c r="Q1697" s="3">
        <f t="shared" si="7"/>
        <v>0.005274261603</v>
      </c>
      <c r="R1697" s="2">
        <v>948.0</v>
      </c>
      <c r="S1697" s="5">
        <f t="shared" si="8"/>
        <v>1</v>
      </c>
    </row>
    <row r="1698">
      <c r="A1698" s="2" t="s">
        <v>1709</v>
      </c>
      <c r="B1698" s="2">
        <v>277.0</v>
      </c>
      <c r="C1698" s="2">
        <v>3155.0</v>
      </c>
      <c r="D1698" s="2">
        <v>806.0</v>
      </c>
      <c r="E1698" s="3">
        <f t="shared" si="1"/>
        <v>0.2800555942</v>
      </c>
      <c r="F1698" s="2">
        <v>410.0</v>
      </c>
      <c r="G1698" s="3">
        <f t="shared" si="2"/>
        <v>0.1424600417</v>
      </c>
      <c r="H1698" s="2">
        <v>592.0</v>
      </c>
      <c r="I1698" s="3">
        <f t="shared" si="3"/>
        <v>0.2056984017</v>
      </c>
      <c r="J1698" s="2">
        <v>563.0</v>
      </c>
      <c r="K1698" s="3">
        <f t="shared" si="4"/>
        <v>0.1956219597</v>
      </c>
      <c r="L1698" s="2">
        <v>351.0</v>
      </c>
      <c r="M1698" s="3">
        <f t="shared" si="5"/>
        <v>0.5929054054</v>
      </c>
      <c r="N1698" s="2">
        <v>3415200.0</v>
      </c>
      <c r="O1698" s="4">
        <f t="shared" si="6"/>
        <v>5768.918919</v>
      </c>
      <c r="P1698" s="2">
        <v>0.0</v>
      </c>
      <c r="Q1698" s="3">
        <f t="shared" si="7"/>
        <v>0</v>
      </c>
      <c r="R1698" s="2">
        <v>277.0</v>
      </c>
      <c r="S1698" s="5">
        <f t="shared" si="8"/>
        <v>1</v>
      </c>
    </row>
    <row r="1699">
      <c r="A1699" s="2" t="s">
        <v>1710</v>
      </c>
      <c r="B1699" s="2">
        <v>100.0</v>
      </c>
      <c r="C1699" s="2">
        <v>1174.0</v>
      </c>
      <c r="D1699" s="2">
        <v>324.0</v>
      </c>
      <c r="E1699" s="3">
        <f t="shared" si="1"/>
        <v>0.3016759777</v>
      </c>
      <c r="F1699" s="2">
        <v>153.0</v>
      </c>
      <c r="G1699" s="3">
        <f t="shared" si="2"/>
        <v>0.1424581006</v>
      </c>
      <c r="H1699" s="2">
        <v>205.0</v>
      </c>
      <c r="I1699" s="3">
        <f t="shared" si="3"/>
        <v>0.1908752328</v>
      </c>
      <c r="J1699" s="2">
        <v>200.0</v>
      </c>
      <c r="K1699" s="3">
        <f t="shared" si="4"/>
        <v>0.1862197393</v>
      </c>
      <c r="L1699" s="2">
        <v>128.0</v>
      </c>
      <c r="M1699" s="3">
        <f t="shared" si="5"/>
        <v>0.6243902439</v>
      </c>
      <c r="N1699" s="2">
        <v>1105000.0</v>
      </c>
      <c r="O1699" s="4">
        <f t="shared" si="6"/>
        <v>5390.243902</v>
      </c>
      <c r="P1699" s="2">
        <v>0.0</v>
      </c>
      <c r="Q1699" s="3">
        <f t="shared" si="7"/>
        <v>0</v>
      </c>
      <c r="R1699" s="2">
        <v>100.0</v>
      </c>
      <c r="S1699" s="5">
        <f t="shared" si="8"/>
        <v>1</v>
      </c>
    </row>
    <row r="1700">
      <c r="A1700" s="2" t="s">
        <v>1711</v>
      </c>
      <c r="B1700" s="2">
        <v>294.0</v>
      </c>
      <c r="C1700" s="2">
        <v>3383.0</v>
      </c>
      <c r="D1700" s="2">
        <v>1260.0</v>
      </c>
      <c r="E1700" s="3">
        <f t="shared" si="1"/>
        <v>0.4078989964</v>
      </c>
      <c r="F1700" s="2">
        <v>440.0</v>
      </c>
      <c r="G1700" s="3">
        <f t="shared" si="2"/>
        <v>0.1424409194</v>
      </c>
      <c r="H1700" s="2">
        <v>760.0</v>
      </c>
      <c r="I1700" s="3">
        <f t="shared" si="3"/>
        <v>0.2460343153</v>
      </c>
      <c r="J1700" s="2">
        <v>644.0</v>
      </c>
      <c r="K1700" s="3">
        <f t="shared" si="4"/>
        <v>0.2084817093</v>
      </c>
      <c r="L1700" s="2">
        <v>475.0</v>
      </c>
      <c r="M1700" s="3">
        <f t="shared" si="5"/>
        <v>0.625</v>
      </c>
      <c r="N1700" s="2">
        <v>4042900.0</v>
      </c>
      <c r="O1700" s="4">
        <f t="shared" si="6"/>
        <v>5319.605263</v>
      </c>
      <c r="P1700" s="2">
        <v>0.0</v>
      </c>
      <c r="Q1700" s="3">
        <f t="shared" si="7"/>
        <v>0</v>
      </c>
      <c r="R1700" s="2">
        <v>112.0</v>
      </c>
      <c r="S1700" s="5">
        <f t="shared" si="8"/>
        <v>0.380952381</v>
      </c>
    </row>
    <row r="1701">
      <c r="A1701" s="2" t="s">
        <v>1712</v>
      </c>
      <c r="B1701" s="2">
        <v>66.0</v>
      </c>
      <c r="C1701" s="2">
        <v>740.0</v>
      </c>
      <c r="D1701" s="2">
        <v>199.0</v>
      </c>
      <c r="E1701" s="3">
        <f t="shared" si="1"/>
        <v>0.2952522255</v>
      </c>
      <c r="F1701" s="2">
        <v>96.0</v>
      </c>
      <c r="G1701" s="3">
        <f t="shared" si="2"/>
        <v>0.1424332344</v>
      </c>
      <c r="H1701" s="2">
        <v>122.0</v>
      </c>
      <c r="I1701" s="3">
        <f t="shared" si="3"/>
        <v>0.1810089021</v>
      </c>
      <c r="J1701" s="2">
        <v>85.0</v>
      </c>
      <c r="K1701" s="3">
        <f t="shared" si="4"/>
        <v>0.1261127596</v>
      </c>
      <c r="L1701" s="2">
        <v>70.0</v>
      </c>
      <c r="M1701" s="3">
        <f t="shared" si="5"/>
        <v>0.5737704918</v>
      </c>
      <c r="N1701" s="2">
        <v>742600.0</v>
      </c>
      <c r="O1701" s="4">
        <f t="shared" si="6"/>
        <v>6086.885246</v>
      </c>
      <c r="P1701" s="2">
        <v>0.0</v>
      </c>
      <c r="Q1701" s="3">
        <f t="shared" si="7"/>
        <v>0</v>
      </c>
      <c r="R1701" s="2">
        <v>66.0</v>
      </c>
      <c r="S1701" s="5">
        <f t="shared" si="8"/>
        <v>1</v>
      </c>
    </row>
    <row r="1702">
      <c r="A1702" s="2" t="s">
        <v>1713</v>
      </c>
      <c r="B1702" s="2">
        <v>63.0</v>
      </c>
      <c r="C1702" s="2">
        <v>723.0</v>
      </c>
      <c r="D1702" s="2">
        <v>223.0</v>
      </c>
      <c r="E1702" s="3">
        <f t="shared" si="1"/>
        <v>0.3378787879</v>
      </c>
      <c r="F1702" s="2">
        <v>94.0</v>
      </c>
      <c r="G1702" s="3">
        <f t="shared" si="2"/>
        <v>0.1424242424</v>
      </c>
      <c r="H1702" s="2">
        <v>156.0</v>
      </c>
      <c r="I1702" s="3">
        <f t="shared" si="3"/>
        <v>0.2363636364</v>
      </c>
      <c r="J1702" s="2">
        <v>121.0</v>
      </c>
      <c r="K1702" s="3">
        <f t="shared" si="4"/>
        <v>0.1833333333</v>
      </c>
      <c r="L1702" s="2">
        <v>101.0</v>
      </c>
      <c r="M1702" s="3">
        <f t="shared" si="5"/>
        <v>0.6474358974</v>
      </c>
      <c r="N1702" s="2">
        <v>791300.0</v>
      </c>
      <c r="O1702" s="4">
        <f t="shared" si="6"/>
        <v>5072.435897</v>
      </c>
      <c r="P1702" s="2">
        <v>0.0</v>
      </c>
      <c r="Q1702" s="3">
        <f t="shared" si="7"/>
        <v>0</v>
      </c>
      <c r="R1702" s="2">
        <v>63.0</v>
      </c>
      <c r="S1702" s="5">
        <f t="shared" si="8"/>
        <v>1</v>
      </c>
    </row>
    <row r="1703">
      <c r="A1703" s="2" t="s">
        <v>1714</v>
      </c>
      <c r="B1703" s="2">
        <v>307.0</v>
      </c>
      <c r="C1703" s="2">
        <v>3579.0</v>
      </c>
      <c r="D1703" s="2">
        <v>985.0</v>
      </c>
      <c r="E1703" s="3">
        <f t="shared" si="1"/>
        <v>0.3010391198</v>
      </c>
      <c r="F1703" s="2">
        <v>466.0</v>
      </c>
      <c r="G1703" s="3">
        <f t="shared" si="2"/>
        <v>0.1424205379</v>
      </c>
      <c r="H1703" s="2">
        <v>653.0</v>
      </c>
      <c r="I1703" s="3">
        <f t="shared" si="3"/>
        <v>0.1995721271</v>
      </c>
      <c r="J1703" s="2">
        <v>660.0</v>
      </c>
      <c r="K1703" s="3">
        <f t="shared" si="4"/>
        <v>0.2017114914</v>
      </c>
      <c r="L1703" s="2">
        <v>366.0</v>
      </c>
      <c r="M1703" s="3">
        <f t="shared" si="5"/>
        <v>0.5604900459</v>
      </c>
      <c r="N1703" s="2">
        <v>4144000.0</v>
      </c>
      <c r="O1703" s="4">
        <f t="shared" si="6"/>
        <v>6346.094946</v>
      </c>
      <c r="P1703" s="2">
        <v>1.0</v>
      </c>
      <c r="Q1703" s="3">
        <f t="shared" si="7"/>
        <v>0.00325732899</v>
      </c>
      <c r="R1703" s="2">
        <v>307.0</v>
      </c>
      <c r="S1703" s="5">
        <f t="shared" si="8"/>
        <v>1</v>
      </c>
    </row>
    <row r="1704">
      <c r="A1704" s="2" t="s">
        <v>1715</v>
      </c>
      <c r="B1704" s="2">
        <v>367.0</v>
      </c>
      <c r="C1704" s="2">
        <v>4222.0</v>
      </c>
      <c r="D1704" s="2">
        <v>1419.0</v>
      </c>
      <c r="E1704" s="3">
        <f t="shared" si="1"/>
        <v>0.3680933852</v>
      </c>
      <c r="F1704" s="2">
        <v>549.0</v>
      </c>
      <c r="G1704" s="3">
        <f t="shared" si="2"/>
        <v>0.1424124514</v>
      </c>
      <c r="H1704" s="2">
        <v>829.0</v>
      </c>
      <c r="I1704" s="3">
        <f t="shared" si="3"/>
        <v>0.2150453956</v>
      </c>
      <c r="J1704" s="2">
        <v>775.0</v>
      </c>
      <c r="K1704" s="3">
        <f t="shared" si="4"/>
        <v>0.2010376135</v>
      </c>
      <c r="L1704" s="2">
        <v>469.0</v>
      </c>
      <c r="M1704" s="3">
        <f t="shared" si="5"/>
        <v>0.5657418577</v>
      </c>
      <c r="N1704" s="2">
        <v>4974300.0</v>
      </c>
      <c r="O1704" s="4">
        <f t="shared" si="6"/>
        <v>6000.361882</v>
      </c>
      <c r="P1704" s="2">
        <v>1.0</v>
      </c>
      <c r="Q1704" s="3">
        <f t="shared" si="7"/>
        <v>0.00272479564</v>
      </c>
      <c r="R1704" s="2">
        <v>367.0</v>
      </c>
      <c r="S1704" s="5">
        <f t="shared" si="8"/>
        <v>1</v>
      </c>
    </row>
    <row r="1705">
      <c r="A1705" s="2" t="s">
        <v>1716</v>
      </c>
      <c r="B1705" s="2">
        <v>689.0</v>
      </c>
      <c r="C1705" s="2">
        <v>7852.0</v>
      </c>
      <c r="D1705" s="2">
        <v>2068.0</v>
      </c>
      <c r="E1705" s="3">
        <f t="shared" si="1"/>
        <v>0.2887058495</v>
      </c>
      <c r="F1705" s="2">
        <v>1020.0</v>
      </c>
      <c r="G1705" s="3">
        <f t="shared" si="2"/>
        <v>0.1423984364</v>
      </c>
      <c r="H1705" s="2">
        <v>1504.0</v>
      </c>
      <c r="I1705" s="3">
        <f t="shared" si="3"/>
        <v>0.2099678905</v>
      </c>
      <c r="J1705" s="2">
        <v>1391.0</v>
      </c>
      <c r="K1705" s="3">
        <f t="shared" si="4"/>
        <v>0.1941923775</v>
      </c>
      <c r="L1705" s="2">
        <v>889.0</v>
      </c>
      <c r="M1705" s="3">
        <f t="shared" si="5"/>
        <v>0.5910904255</v>
      </c>
      <c r="N1705" s="2">
        <v>9583300.0</v>
      </c>
      <c r="O1705" s="4">
        <f t="shared" si="6"/>
        <v>6371.875</v>
      </c>
      <c r="P1705" s="2">
        <v>3.0</v>
      </c>
      <c r="Q1705" s="3">
        <f t="shared" si="7"/>
        <v>0.00435413643</v>
      </c>
      <c r="R1705" s="2">
        <v>689.0</v>
      </c>
      <c r="S1705" s="5">
        <f t="shared" si="8"/>
        <v>1</v>
      </c>
    </row>
    <row r="1706">
      <c r="A1706" s="2" t="s">
        <v>1717</v>
      </c>
      <c r="B1706" s="2">
        <v>192.0</v>
      </c>
      <c r="C1706" s="2">
        <v>2285.0</v>
      </c>
      <c r="D1706" s="2">
        <v>736.0</v>
      </c>
      <c r="E1706" s="3">
        <f t="shared" si="1"/>
        <v>0.3516483516</v>
      </c>
      <c r="F1706" s="2">
        <v>298.0</v>
      </c>
      <c r="G1706" s="3">
        <f t="shared" si="2"/>
        <v>0.1423793598</v>
      </c>
      <c r="H1706" s="2">
        <v>443.0</v>
      </c>
      <c r="I1706" s="3">
        <f t="shared" si="3"/>
        <v>0.2116579073</v>
      </c>
      <c r="J1706" s="2">
        <v>406.0</v>
      </c>
      <c r="K1706" s="3">
        <f t="shared" si="4"/>
        <v>0.1939799331</v>
      </c>
      <c r="L1706" s="2">
        <v>264.0</v>
      </c>
      <c r="M1706" s="3">
        <f t="shared" si="5"/>
        <v>0.5959367946</v>
      </c>
      <c r="N1706" s="2">
        <v>2535600.0</v>
      </c>
      <c r="O1706" s="4">
        <f t="shared" si="6"/>
        <v>5723.702032</v>
      </c>
      <c r="P1706" s="2">
        <v>0.0</v>
      </c>
      <c r="Q1706" s="3">
        <f t="shared" si="7"/>
        <v>0</v>
      </c>
      <c r="R1706" s="2">
        <v>192.0</v>
      </c>
      <c r="S1706" s="5">
        <f t="shared" si="8"/>
        <v>1</v>
      </c>
    </row>
    <row r="1707">
      <c r="A1707" s="2" t="s">
        <v>1718</v>
      </c>
      <c r="B1707" s="2">
        <v>212.0</v>
      </c>
      <c r="C1707" s="2">
        <v>2523.0</v>
      </c>
      <c r="D1707" s="2">
        <v>773.0</v>
      </c>
      <c r="E1707" s="3">
        <f t="shared" si="1"/>
        <v>0.334487235</v>
      </c>
      <c r="F1707" s="2">
        <v>329.0</v>
      </c>
      <c r="G1707" s="3">
        <f t="shared" si="2"/>
        <v>0.1423626136</v>
      </c>
      <c r="H1707" s="2">
        <v>474.0</v>
      </c>
      <c r="I1707" s="3">
        <f t="shared" si="3"/>
        <v>0.2051060147</v>
      </c>
      <c r="J1707" s="2">
        <v>499.0</v>
      </c>
      <c r="K1707" s="3">
        <f t="shared" si="4"/>
        <v>0.2159238425</v>
      </c>
      <c r="L1707" s="2">
        <v>288.0</v>
      </c>
      <c r="M1707" s="3">
        <f t="shared" si="5"/>
        <v>0.6075949367</v>
      </c>
      <c r="N1707" s="2">
        <v>2768800.0</v>
      </c>
      <c r="O1707" s="4">
        <f t="shared" si="6"/>
        <v>5841.350211</v>
      </c>
      <c r="P1707" s="2">
        <v>1.0</v>
      </c>
      <c r="Q1707" s="3">
        <f t="shared" si="7"/>
        <v>0.004716981132</v>
      </c>
      <c r="R1707" s="2">
        <v>212.0</v>
      </c>
      <c r="S1707" s="5">
        <f t="shared" si="8"/>
        <v>1</v>
      </c>
    </row>
    <row r="1708">
      <c r="A1708" s="2" t="s">
        <v>1719</v>
      </c>
      <c r="B1708" s="2">
        <v>131.0</v>
      </c>
      <c r="C1708" s="2">
        <v>1564.0</v>
      </c>
      <c r="D1708" s="2">
        <v>478.0</v>
      </c>
      <c r="E1708" s="3">
        <f t="shared" si="1"/>
        <v>0.3335659456</v>
      </c>
      <c r="F1708" s="2">
        <v>204.0</v>
      </c>
      <c r="G1708" s="3">
        <f t="shared" si="2"/>
        <v>0.1423586881</v>
      </c>
      <c r="H1708" s="2">
        <v>268.0</v>
      </c>
      <c r="I1708" s="3">
        <f t="shared" si="3"/>
        <v>0.1870202373</v>
      </c>
      <c r="J1708" s="2">
        <v>272.0</v>
      </c>
      <c r="K1708" s="3">
        <f t="shared" si="4"/>
        <v>0.1898115841</v>
      </c>
      <c r="L1708" s="2">
        <v>149.0</v>
      </c>
      <c r="M1708" s="3">
        <f t="shared" si="5"/>
        <v>0.5559701493</v>
      </c>
      <c r="N1708" s="2">
        <v>1638500.0</v>
      </c>
      <c r="O1708" s="4">
        <f t="shared" si="6"/>
        <v>6113.80597</v>
      </c>
      <c r="P1708" s="2">
        <v>0.0</v>
      </c>
      <c r="Q1708" s="3">
        <f t="shared" si="7"/>
        <v>0</v>
      </c>
      <c r="R1708" s="2">
        <v>131.0</v>
      </c>
      <c r="S1708" s="5">
        <f t="shared" si="8"/>
        <v>1</v>
      </c>
    </row>
    <row r="1709">
      <c r="A1709" s="2" t="s">
        <v>1720</v>
      </c>
      <c r="B1709" s="2">
        <v>231.0</v>
      </c>
      <c r="C1709" s="2">
        <v>2697.0</v>
      </c>
      <c r="D1709" s="2">
        <v>897.0</v>
      </c>
      <c r="E1709" s="3">
        <f t="shared" si="1"/>
        <v>0.3637469586</v>
      </c>
      <c r="F1709" s="2">
        <v>351.0</v>
      </c>
      <c r="G1709" s="3">
        <f t="shared" si="2"/>
        <v>0.1423357664</v>
      </c>
      <c r="H1709" s="2">
        <v>553.0</v>
      </c>
      <c r="I1709" s="3">
        <f t="shared" si="3"/>
        <v>0.2242497972</v>
      </c>
      <c r="J1709" s="2">
        <v>454.0</v>
      </c>
      <c r="K1709" s="3">
        <f t="shared" si="4"/>
        <v>0.1841038118</v>
      </c>
      <c r="L1709" s="2">
        <v>343.0</v>
      </c>
      <c r="M1709" s="3">
        <f t="shared" si="5"/>
        <v>0.6202531646</v>
      </c>
      <c r="N1709" s="2">
        <v>3107300.0</v>
      </c>
      <c r="O1709" s="4">
        <f t="shared" si="6"/>
        <v>5618.987342</v>
      </c>
      <c r="P1709" s="2">
        <v>1.0</v>
      </c>
      <c r="Q1709" s="3">
        <f t="shared" si="7"/>
        <v>0.004329004329</v>
      </c>
      <c r="R1709" s="2">
        <v>231.0</v>
      </c>
      <c r="S1709" s="5">
        <f t="shared" si="8"/>
        <v>1</v>
      </c>
    </row>
    <row r="1710">
      <c r="A1710" s="2" t="s">
        <v>1721</v>
      </c>
      <c r="B1710" s="2">
        <v>258.0</v>
      </c>
      <c r="C1710" s="2">
        <v>2970.0</v>
      </c>
      <c r="D1710" s="2">
        <v>978.0</v>
      </c>
      <c r="E1710" s="3">
        <f t="shared" si="1"/>
        <v>0.360619469</v>
      </c>
      <c r="F1710" s="2">
        <v>386.0</v>
      </c>
      <c r="G1710" s="3">
        <f t="shared" si="2"/>
        <v>0.1423303835</v>
      </c>
      <c r="H1710" s="2">
        <v>593.0</v>
      </c>
      <c r="I1710" s="3">
        <f t="shared" si="3"/>
        <v>0.2186578171</v>
      </c>
      <c r="J1710" s="2">
        <v>547.0</v>
      </c>
      <c r="K1710" s="3">
        <f t="shared" si="4"/>
        <v>0.2016961652</v>
      </c>
      <c r="L1710" s="2">
        <v>340.0</v>
      </c>
      <c r="M1710" s="3">
        <f t="shared" si="5"/>
        <v>0.5733558179</v>
      </c>
      <c r="N1710" s="2">
        <v>3317000.0</v>
      </c>
      <c r="O1710" s="4">
        <f t="shared" si="6"/>
        <v>5593.591906</v>
      </c>
      <c r="P1710" s="2">
        <v>0.0</v>
      </c>
      <c r="Q1710" s="3">
        <f t="shared" si="7"/>
        <v>0</v>
      </c>
      <c r="R1710" s="2">
        <v>258.0</v>
      </c>
      <c r="S1710" s="5">
        <f t="shared" si="8"/>
        <v>1</v>
      </c>
    </row>
    <row r="1711">
      <c r="A1711" s="2" t="s">
        <v>1722</v>
      </c>
      <c r="B1711" s="2">
        <v>50.0</v>
      </c>
      <c r="C1711" s="2">
        <v>591.0</v>
      </c>
      <c r="D1711" s="2">
        <v>197.0</v>
      </c>
      <c r="E1711" s="3">
        <f t="shared" si="1"/>
        <v>0.3641404806</v>
      </c>
      <c r="F1711" s="2">
        <v>77.0</v>
      </c>
      <c r="G1711" s="3">
        <f t="shared" si="2"/>
        <v>0.1423290203</v>
      </c>
      <c r="H1711" s="2">
        <v>121.0</v>
      </c>
      <c r="I1711" s="3">
        <f t="shared" si="3"/>
        <v>0.2236598891</v>
      </c>
      <c r="J1711" s="2">
        <v>83.0</v>
      </c>
      <c r="K1711" s="3">
        <f t="shared" si="4"/>
        <v>0.1534195933</v>
      </c>
      <c r="L1711" s="2">
        <v>76.0</v>
      </c>
      <c r="M1711" s="3">
        <f t="shared" si="5"/>
        <v>0.6280991736</v>
      </c>
      <c r="N1711" s="2">
        <v>658400.0</v>
      </c>
      <c r="O1711" s="4">
        <f t="shared" si="6"/>
        <v>5441.322314</v>
      </c>
      <c r="P1711" s="2">
        <v>0.0</v>
      </c>
      <c r="Q1711" s="3">
        <f t="shared" si="7"/>
        <v>0</v>
      </c>
      <c r="R1711" s="2">
        <v>12.0</v>
      </c>
      <c r="S1711" s="5">
        <f t="shared" si="8"/>
        <v>0.24</v>
      </c>
    </row>
    <row r="1712">
      <c r="A1712" s="2" t="s">
        <v>1723</v>
      </c>
      <c r="B1712" s="2">
        <v>408.0</v>
      </c>
      <c r="C1712" s="2">
        <v>4729.0</v>
      </c>
      <c r="D1712" s="2">
        <v>1749.0</v>
      </c>
      <c r="E1712" s="3">
        <f t="shared" si="1"/>
        <v>0.404767415</v>
      </c>
      <c r="F1712" s="2">
        <v>615.0</v>
      </c>
      <c r="G1712" s="3">
        <f t="shared" si="2"/>
        <v>0.1423281648</v>
      </c>
      <c r="H1712" s="2">
        <v>995.0</v>
      </c>
      <c r="I1712" s="3">
        <f t="shared" si="3"/>
        <v>0.2302707707</v>
      </c>
      <c r="J1712" s="2">
        <v>784.0</v>
      </c>
      <c r="K1712" s="3">
        <f t="shared" si="4"/>
        <v>0.1814394816</v>
      </c>
      <c r="L1712" s="2">
        <v>595.0</v>
      </c>
      <c r="M1712" s="3">
        <f t="shared" si="5"/>
        <v>0.5979899497</v>
      </c>
      <c r="N1712" s="2">
        <v>5316400.0</v>
      </c>
      <c r="O1712" s="4">
        <f t="shared" si="6"/>
        <v>5343.115578</v>
      </c>
      <c r="P1712" s="2">
        <v>0.0</v>
      </c>
      <c r="Q1712" s="3">
        <f t="shared" si="7"/>
        <v>0</v>
      </c>
      <c r="R1712" s="2">
        <v>408.0</v>
      </c>
      <c r="S1712" s="5">
        <f t="shared" si="8"/>
        <v>1</v>
      </c>
    </row>
    <row r="1713">
      <c r="A1713" s="2" t="s">
        <v>1724</v>
      </c>
      <c r="B1713" s="2">
        <v>352.0</v>
      </c>
      <c r="C1713" s="2">
        <v>4097.0</v>
      </c>
      <c r="D1713" s="2">
        <v>1591.0</v>
      </c>
      <c r="E1713" s="3">
        <f t="shared" si="1"/>
        <v>0.4248331108</v>
      </c>
      <c r="F1713" s="2">
        <v>533.0</v>
      </c>
      <c r="G1713" s="3">
        <f t="shared" si="2"/>
        <v>0.1423230975</v>
      </c>
      <c r="H1713" s="2">
        <v>860.0</v>
      </c>
      <c r="I1713" s="3">
        <f t="shared" si="3"/>
        <v>0.2296395194</v>
      </c>
      <c r="J1713" s="2">
        <v>744.0</v>
      </c>
      <c r="K1713" s="3">
        <f t="shared" si="4"/>
        <v>0.1986648865</v>
      </c>
      <c r="L1713" s="2">
        <v>532.0</v>
      </c>
      <c r="M1713" s="3">
        <f t="shared" si="5"/>
        <v>0.6186046512</v>
      </c>
      <c r="N1713" s="2">
        <v>4507500.0</v>
      </c>
      <c r="O1713" s="4">
        <f t="shared" si="6"/>
        <v>5241.27907</v>
      </c>
      <c r="P1713" s="2">
        <v>0.0</v>
      </c>
      <c r="Q1713" s="3">
        <f t="shared" si="7"/>
        <v>0</v>
      </c>
      <c r="R1713" s="2">
        <v>352.0</v>
      </c>
      <c r="S1713" s="5">
        <f t="shared" si="8"/>
        <v>1</v>
      </c>
    </row>
    <row r="1714">
      <c r="A1714" s="2" t="s">
        <v>1725</v>
      </c>
      <c r="B1714" s="2">
        <v>220.0</v>
      </c>
      <c r="C1714" s="2">
        <v>2623.0</v>
      </c>
      <c r="D1714" s="2">
        <v>749.0</v>
      </c>
      <c r="E1714" s="3">
        <f t="shared" si="1"/>
        <v>0.3116937162</v>
      </c>
      <c r="F1714" s="2">
        <v>342.0</v>
      </c>
      <c r="G1714" s="3">
        <f t="shared" si="2"/>
        <v>0.1423220974</v>
      </c>
      <c r="H1714" s="2">
        <v>489.0</v>
      </c>
      <c r="I1714" s="3">
        <f t="shared" si="3"/>
        <v>0.2034956305</v>
      </c>
      <c r="J1714" s="2">
        <v>456.0</v>
      </c>
      <c r="K1714" s="3">
        <f t="shared" si="4"/>
        <v>0.1897627965</v>
      </c>
      <c r="L1714" s="2">
        <v>303.0</v>
      </c>
      <c r="M1714" s="3">
        <f t="shared" si="5"/>
        <v>0.6196319018</v>
      </c>
      <c r="N1714" s="2">
        <v>2902300.0</v>
      </c>
      <c r="O1714" s="4">
        <f t="shared" si="6"/>
        <v>5935.173824</v>
      </c>
      <c r="P1714" s="2">
        <v>1.0</v>
      </c>
      <c r="Q1714" s="3">
        <f t="shared" si="7"/>
        <v>0.004545454545</v>
      </c>
      <c r="R1714" s="2">
        <v>220.0</v>
      </c>
      <c r="S1714" s="5">
        <f t="shared" si="8"/>
        <v>1</v>
      </c>
    </row>
    <row r="1715">
      <c r="A1715" s="2" t="s">
        <v>1726</v>
      </c>
      <c r="B1715" s="2">
        <v>1345.0</v>
      </c>
      <c r="C1715" s="2">
        <v>15490.0</v>
      </c>
      <c r="D1715" s="2">
        <v>5425.0</v>
      </c>
      <c r="E1715" s="3">
        <f t="shared" si="1"/>
        <v>0.3835277483</v>
      </c>
      <c r="F1715" s="2">
        <v>2013.0</v>
      </c>
      <c r="G1715" s="3">
        <f t="shared" si="2"/>
        <v>0.1423117709</v>
      </c>
      <c r="H1715" s="2">
        <v>3172.0</v>
      </c>
      <c r="I1715" s="3">
        <f t="shared" si="3"/>
        <v>0.2242488512</v>
      </c>
      <c r="J1715" s="2">
        <v>2631.0</v>
      </c>
      <c r="K1715" s="3">
        <f t="shared" si="4"/>
        <v>0.1860021209</v>
      </c>
      <c r="L1715" s="2">
        <v>1927.0</v>
      </c>
      <c r="M1715" s="3">
        <f t="shared" si="5"/>
        <v>0.6075031526</v>
      </c>
      <c r="N1715" s="2">
        <v>1.90215E7</v>
      </c>
      <c r="O1715" s="4">
        <f t="shared" si="6"/>
        <v>5996.689786</v>
      </c>
      <c r="P1715" s="2">
        <v>4.0</v>
      </c>
      <c r="Q1715" s="3">
        <f t="shared" si="7"/>
        <v>0.002973977695</v>
      </c>
      <c r="R1715" s="2">
        <v>1345.0</v>
      </c>
      <c r="S1715" s="5">
        <f t="shared" si="8"/>
        <v>1</v>
      </c>
    </row>
    <row r="1716">
      <c r="A1716" s="2" t="s">
        <v>1727</v>
      </c>
      <c r="B1716" s="2">
        <v>357.0</v>
      </c>
      <c r="C1716" s="2">
        <v>4173.0</v>
      </c>
      <c r="D1716" s="2">
        <v>1364.0</v>
      </c>
      <c r="E1716" s="3">
        <f t="shared" si="1"/>
        <v>0.357442348</v>
      </c>
      <c r="F1716" s="2">
        <v>543.0</v>
      </c>
      <c r="G1716" s="3">
        <f t="shared" si="2"/>
        <v>0.1422955975</v>
      </c>
      <c r="H1716" s="2">
        <v>783.0</v>
      </c>
      <c r="I1716" s="3">
        <f t="shared" si="3"/>
        <v>0.2051886792</v>
      </c>
      <c r="J1716" s="2">
        <v>616.0</v>
      </c>
      <c r="K1716" s="3">
        <f t="shared" si="4"/>
        <v>0.1614255765</v>
      </c>
      <c r="L1716" s="2">
        <v>453.0</v>
      </c>
      <c r="M1716" s="3">
        <f t="shared" si="5"/>
        <v>0.5785440613</v>
      </c>
      <c r="N1716" s="2">
        <v>4315500.0</v>
      </c>
      <c r="O1716" s="4">
        <f t="shared" si="6"/>
        <v>5511.494253</v>
      </c>
      <c r="P1716" s="2">
        <v>0.0</v>
      </c>
      <c r="Q1716" s="3">
        <f t="shared" si="7"/>
        <v>0</v>
      </c>
      <c r="R1716" s="2">
        <v>357.0</v>
      </c>
      <c r="S1716" s="5">
        <f t="shared" si="8"/>
        <v>1</v>
      </c>
    </row>
    <row r="1717">
      <c r="A1717" s="2" t="s">
        <v>1728</v>
      </c>
      <c r="B1717" s="2">
        <v>210.0</v>
      </c>
      <c r="C1717" s="2">
        <v>2487.0</v>
      </c>
      <c r="D1717" s="2">
        <v>776.0</v>
      </c>
      <c r="E1717" s="3">
        <f t="shared" si="1"/>
        <v>0.3407992973</v>
      </c>
      <c r="F1717" s="2">
        <v>324.0</v>
      </c>
      <c r="G1717" s="3">
        <f t="shared" si="2"/>
        <v>0.1422924901</v>
      </c>
      <c r="H1717" s="2">
        <v>459.0</v>
      </c>
      <c r="I1717" s="3">
        <f t="shared" si="3"/>
        <v>0.2015810277</v>
      </c>
      <c r="J1717" s="2">
        <v>297.0</v>
      </c>
      <c r="K1717" s="3">
        <f t="shared" si="4"/>
        <v>0.1304347826</v>
      </c>
      <c r="L1717" s="2">
        <v>270.0</v>
      </c>
      <c r="M1717" s="3">
        <f t="shared" si="5"/>
        <v>0.5882352941</v>
      </c>
      <c r="N1717" s="2">
        <v>2557900.0</v>
      </c>
      <c r="O1717" s="4">
        <f t="shared" si="6"/>
        <v>5572.766885</v>
      </c>
      <c r="P1717" s="2">
        <v>0.0</v>
      </c>
      <c r="Q1717" s="3">
        <f t="shared" si="7"/>
        <v>0</v>
      </c>
      <c r="R1717" s="2">
        <v>0.0</v>
      </c>
      <c r="S1717" s="5">
        <f t="shared" si="8"/>
        <v>0</v>
      </c>
    </row>
    <row r="1718">
      <c r="A1718" s="2" t="s">
        <v>1729</v>
      </c>
      <c r="B1718" s="2">
        <v>572.0</v>
      </c>
      <c r="C1718" s="2">
        <v>6602.0</v>
      </c>
      <c r="D1718" s="2">
        <v>2683.0</v>
      </c>
      <c r="E1718" s="3">
        <f t="shared" si="1"/>
        <v>0.4449419569</v>
      </c>
      <c r="F1718" s="2">
        <v>858.0</v>
      </c>
      <c r="G1718" s="3">
        <f t="shared" si="2"/>
        <v>0.1422885572</v>
      </c>
      <c r="H1718" s="2">
        <v>1401.0</v>
      </c>
      <c r="I1718" s="3">
        <f t="shared" si="3"/>
        <v>0.2323383085</v>
      </c>
      <c r="J1718" s="2">
        <v>1039.0</v>
      </c>
      <c r="K1718" s="3">
        <f t="shared" si="4"/>
        <v>0.172305141</v>
      </c>
      <c r="L1718" s="2">
        <v>866.0</v>
      </c>
      <c r="M1718" s="3">
        <f t="shared" si="5"/>
        <v>0.6181299072</v>
      </c>
      <c r="N1718" s="2">
        <v>7488900.0</v>
      </c>
      <c r="O1718" s="4">
        <f t="shared" si="6"/>
        <v>5345.396146</v>
      </c>
      <c r="P1718" s="2">
        <v>0.0</v>
      </c>
      <c r="Q1718" s="3">
        <f t="shared" si="7"/>
        <v>0</v>
      </c>
      <c r="R1718" s="2">
        <v>572.0</v>
      </c>
      <c r="S1718" s="5">
        <f t="shared" si="8"/>
        <v>1</v>
      </c>
    </row>
    <row r="1719">
      <c r="A1719" s="2" t="s">
        <v>1730</v>
      </c>
      <c r="B1719" s="2">
        <v>166.0</v>
      </c>
      <c r="C1719" s="2">
        <v>1923.0</v>
      </c>
      <c r="D1719" s="2">
        <v>568.0</v>
      </c>
      <c r="E1719" s="3">
        <f t="shared" si="1"/>
        <v>0.3232783153</v>
      </c>
      <c r="F1719" s="2">
        <v>250.0</v>
      </c>
      <c r="G1719" s="3">
        <f t="shared" si="2"/>
        <v>0.1422879909</v>
      </c>
      <c r="H1719" s="2">
        <v>357.0</v>
      </c>
      <c r="I1719" s="3">
        <f t="shared" si="3"/>
        <v>0.203187251</v>
      </c>
      <c r="J1719" s="2">
        <v>337.0</v>
      </c>
      <c r="K1719" s="3">
        <f t="shared" si="4"/>
        <v>0.1918042117</v>
      </c>
      <c r="L1719" s="2">
        <v>234.0</v>
      </c>
      <c r="M1719" s="3">
        <f t="shared" si="5"/>
        <v>0.6554621849</v>
      </c>
      <c r="N1719" s="2">
        <v>2018700.0</v>
      </c>
      <c r="O1719" s="4">
        <f t="shared" si="6"/>
        <v>5654.621849</v>
      </c>
      <c r="P1719" s="2">
        <v>1.0</v>
      </c>
      <c r="Q1719" s="3">
        <f t="shared" si="7"/>
        <v>0.006024096386</v>
      </c>
      <c r="R1719" s="2">
        <v>145.0</v>
      </c>
      <c r="S1719" s="5">
        <f t="shared" si="8"/>
        <v>0.8734939759</v>
      </c>
    </row>
    <row r="1720">
      <c r="A1720" s="2" t="s">
        <v>1731</v>
      </c>
      <c r="B1720" s="2">
        <v>423.0</v>
      </c>
      <c r="C1720" s="2">
        <v>4865.0</v>
      </c>
      <c r="D1720" s="2">
        <v>1393.0</v>
      </c>
      <c r="E1720" s="3">
        <f t="shared" si="1"/>
        <v>0.3135974786</v>
      </c>
      <c r="F1720" s="2">
        <v>632.0</v>
      </c>
      <c r="G1720" s="3">
        <f t="shared" si="2"/>
        <v>0.142278253</v>
      </c>
      <c r="H1720" s="2">
        <v>916.0</v>
      </c>
      <c r="I1720" s="3">
        <f t="shared" si="3"/>
        <v>0.2062134174</v>
      </c>
      <c r="J1720" s="2">
        <v>840.0</v>
      </c>
      <c r="K1720" s="3">
        <f t="shared" si="4"/>
        <v>0.1891040072</v>
      </c>
      <c r="L1720" s="2">
        <v>554.0</v>
      </c>
      <c r="M1720" s="3">
        <f t="shared" si="5"/>
        <v>0.6048034934</v>
      </c>
      <c r="N1720" s="2">
        <v>5266500.0</v>
      </c>
      <c r="O1720" s="4">
        <f t="shared" si="6"/>
        <v>5749.454148</v>
      </c>
      <c r="P1720" s="2">
        <v>0.0</v>
      </c>
      <c r="Q1720" s="3">
        <f t="shared" si="7"/>
        <v>0</v>
      </c>
      <c r="R1720" s="2">
        <v>423.0</v>
      </c>
      <c r="S1720" s="5">
        <f t="shared" si="8"/>
        <v>1</v>
      </c>
    </row>
    <row r="1721">
      <c r="A1721" s="2" t="s">
        <v>1732</v>
      </c>
      <c r="B1721" s="2">
        <v>23.0</v>
      </c>
      <c r="C1721" s="2">
        <v>269.0</v>
      </c>
      <c r="D1721" s="2">
        <v>84.0</v>
      </c>
      <c r="E1721" s="3">
        <f t="shared" si="1"/>
        <v>0.3414634146</v>
      </c>
      <c r="F1721" s="2">
        <v>35.0</v>
      </c>
      <c r="G1721" s="3">
        <f t="shared" si="2"/>
        <v>0.1422764228</v>
      </c>
      <c r="H1721" s="2">
        <v>45.0</v>
      </c>
      <c r="I1721" s="3">
        <f t="shared" si="3"/>
        <v>0.1829268293</v>
      </c>
      <c r="J1721" s="2">
        <v>48.0</v>
      </c>
      <c r="K1721" s="3">
        <f t="shared" si="4"/>
        <v>0.1951219512</v>
      </c>
      <c r="L1721" s="2">
        <v>26.0</v>
      </c>
      <c r="M1721" s="3">
        <f t="shared" si="5"/>
        <v>0.5777777778</v>
      </c>
      <c r="N1721" s="2">
        <v>269500.0</v>
      </c>
      <c r="O1721" s="4">
        <f t="shared" si="6"/>
        <v>5988.888889</v>
      </c>
      <c r="P1721" s="2">
        <v>0.0</v>
      </c>
      <c r="Q1721" s="3">
        <f t="shared" si="7"/>
        <v>0</v>
      </c>
      <c r="R1721" s="2">
        <v>23.0</v>
      </c>
      <c r="S1721" s="5">
        <f t="shared" si="8"/>
        <v>1</v>
      </c>
    </row>
    <row r="1722">
      <c r="A1722" s="2" t="s">
        <v>1733</v>
      </c>
      <c r="B1722" s="2">
        <v>24.0</v>
      </c>
      <c r="C1722" s="2">
        <v>270.0</v>
      </c>
      <c r="D1722" s="2">
        <v>72.0</v>
      </c>
      <c r="E1722" s="3">
        <f t="shared" si="1"/>
        <v>0.2926829268</v>
      </c>
      <c r="F1722" s="2">
        <v>35.0</v>
      </c>
      <c r="G1722" s="3">
        <f t="shared" si="2"/>
        <v>0.1422764228</v>
      </c>
      <c r="H1722" s="2">
        <v>45.0</v>
      </c>
      <c r="I1722" s="3">
        <f t="shared" si="3"/>
        <v>0.1829268293</v>
      </c>
      <c r="J1722" s="2">
        <v>45.0</v>
      </c>
      <c r="K1722" s="3">
        <f t="shared" si="4"/>
        <v>0.1829268293</v>
      </c>
      <c r="L1722" s="2">
        <v>23.0</v>
      </c>
      <c r="M1722" s="3">
        <f t="shared" si="5"/>
        <v>0.5111111111</v>
      </c>
      <c r="N1722" s="2">
        <v>267500.0</v>
      </c>
      <c r="O1722" s="4">
        <f t="shared" si="6"/>
        <v>5944.444444</v>
      </c>
      <c r="P1722" s="2">
        <v>0.0</v>
      </c>
      <c r="Q1722" s="3">
        <f t="shared" si="7"/>
        <v>0</v>
      </c>
      <c r="R1722" s="2">
        <v>24.0</v>
      </c>
      <c r="S1722" s="5">
        <f t="shared" si="8"/>
        <v>1</v>
      </c>
    </row>
    <row r="1723">
      <c r="A1723" s="2" t="s">
        <v>1734</v>
      </c>
      <c r="B1723" s="2">
        <v>154.0</v>
      </c>
      <c r="C1723" s="2">
        <v>1876.0</v>
      </c>
      <c r="D1723" s="2">
        <v>545.0</v>
      </c>
      <c r="E1723" s="3">
        <f t="shared" si="1"/>
        <v>0.3164924506</v>
      </c>
      <c r="F1723" s="2">
        <v>245.0</v>
      </c>
      <c r="G1723" s="3">
        <f t="shared" si="2"/>
        <v>0.1422764228</v>
      </c>
      <c r="H1723" s="2">
        <v>338.0</v>
      </c>
      <c r="I1723" s="3">
        <f t="shared" si="3"/>
        <v>0.1962833914</v>
      </c>
      <c r="J1723" s="2">
        <v>311.0</v>
      </c>
      <c r="K1723" s="3">
        <f t="shared" si="4"/>
        <v>0.1806039489</v>
      </c>
      <c r="L1723" s="2">
        <v>195.0</v>
      </c>
      <c r="M1723" s="3">
        <f t="shared" si="5"/>
        <v>0.5769230769</v>
      </c>
      <c r="N1723" s="2">
        <v>2082800.0</v>
      </c>
      <c r="O1723" s="4">
        <f t="shared" si="6"/>
        <v>6162.130178</v>
      </c>
      <c r="P1723" s="2">
        <v>0.0</v>
      </c>
      <c r="Q1723" s="3">
        <f t="shared" si="7"/>
        <v>0</v>
      </c>
      <c r="R1723" s="2">
        <v>0.0</v>
      </c>
      <c r="S1723" s="5">
        <f t="shared" si="8"/>
        <v>0</v>
      </c>
    </row>
    <row r="1724">
      <c r="A1724" s="2" t="s">
        <v>1735</v>
      </c>
      <c r="B1724" s="2">
        <v>182.0</v>
      </c>
      <c r="C1724" s="2">
        <v>2143.0</v>
      </c>
      <c r="D1724" s="2">
        <v>635.0</v>
      </c>
      <c r="E1724" s="3">
        <f t="shared" si="1"/>
        <v>0.3238143804</v>
      </c>
      <c r="F1724" s="2">
        <v>279.0</v>
      </c>
      <c r="G1724" s="3">
        <f t="shared" si="2"/>
        <v>0.1422743498</v>
      </c>
      <c r="H1724" s="2">
        <v>378.0</v>
      </c>
      <c r="I1724" s="3">
        <f t="shared" si="3"/>
        <v>0.1927587965</v>
      </c>
      <c r="J1724" s="2">
        <v>381.0</v>
      </c>
      <c r="K1724" s="3">
        <f t="shared" si="4"/>
        <v>0.1942886283</v>
      </c>
      <c r="L1724" s="2">
        <v>218.0</v>
      </c>
      <c r="M1724" s="3">
        <f t="shared" si="5"/>
        <v>0.5767195767</v>
      </c>
      <c r="N1724" s="2">
        <v>2188000.0</v>
      </c>
      <c r="O1724" s="4">
        <f t="shared" si="6"/>
        <v>5788.359788</v>
      </c>
      <c r="P1724" s="2">
        <v>0.0</v>
      </c>
      <c r="Q1724" s="3">
        <f t="shared" si="7"/>
        <v>0</v>
      </c>
      <c r="R1724" s="2">
        <v>182.0</v>
      </c>
      <c r="S1724" s="5">
        <f t="shared" si="8"/>
        <v>1</v>
      </c>
    </row>
    <row r="1725">
      <c r="A1725" s="2" t="s">
        <v>1736</v>
      </c>
      <c r="B1725" s="2">
        <v>277.0</v>
      </c>
      <c r="C1725" s="2">
        <v>3187.0</v>
      </c>
      <c r="D1725" s="2">
        <v>832.0</v>
      </c>
      <c r="E1725" s="3">
        <f t="shared" si="1"/>
        <v>0.2859106529</v>
      </c>
      <c r="F1725" s="2">
        <v>414.0</v>
      </c>
      <c r="G1725" s="3">
        <f t="shared" si="2"/>
        <v>0.1422680412</v>
      </c>
      <c r="H1725" s="2">
        <v>582.0</v>
      </c>
      <c r="I1725" s="3">
        <f t="shared" si="3"/>
        <v>0.2</v>
      </c>
      <c r="J1725" s="2">
        <v>494.0</v>
      </c>
      <c r="K1725" s="3">
        <f t="shared" si="4"/>
        <v>0.1697594502</v>
      </c>
      <c r="L1725" s="2">
        <v>375.0</v>
      </c>
      <c r="M1725" s="3">
        <f t="shared" si="5"/>
        <v>0.6443298969</v>
      </c>
      <c r="N1725" s="2">
        <v>3245000.0</v>
      </c>
      <c r="O1725" s="4">
        <f t="shared" si="6"/>
        <v>5575.601375</v>
      </c>
      <c r="P1725" s="2">
        <v>1.0</v>
      </c>
      <c r="Q1725" s="3">
        <f t="shared" si="7"/>
        <v>0.003610108303</v>
      </c>
      <c r="R1725" s="2">
        <v>277.0</v>
      </c>
      <c r="S1725" s="5">
        <f t="shared" si="8"/>
        <v>1</v>
      </c>
    </row>
    <row r="1726">
      <c r="A1726" s="2" t="s">
        <v>1737</v>
      </c>
      <c r="B1726" s="2">
        <v>43.0</v>
      </c>
      <c r="C1726" s="2">
        <v>528.0</v>
      </c>
      <c r="D1726" s="2">
        <v>201.0</v>
      </c>
      <c r="E1726" s="3">
        <f t="shared" si="1"/>
        <v>0.4144329897</v>
      </c>
      <c r="F1726" s="2">
        <v>69.0</v>
      </c>
      <c r="G1726" s="3">
        <f t="shared" si="2"/>
        <v>0.1422680412</v>
      </c>
      <c r="H1726" s="2">
        <v>98.0</v>
      </c>
      <c r="I1726" s="3">
        <f t="shared" si="3"/>
        <v>0.2020618557</v>
      </c>
      <c r="J1726" s="2">
        <v>76.0</v>
      </c>
      <c r="K1726" s="3">
        <f t="shared" si="4"/>
        <v>0.1567010309</v>
      </c>
      <c r="L1726" s="2">
        <v>62.0</v>
      </c>
      <c r="M1726" s="3">
        <f t="shared" si="5"/>
        <v>0.6326530612</v>
      </c>
      <c r="N1726" s="2">
        <v>432400.0</v>
      </c>
      <c r="O1726" s="4">
        <f t="shared" si="6"/>
        <v>4412.244898</v>
      </c>
      <c r="P1726" s="2">
        <v>0.0</v>
      </c>
      <c r="Q1726" s="3">
        <f t="shared" si="7"/>
        <v>0</v>
      </c>
      <c r="R1726" s="2">
        <v>0.0</v>
      </c>
      <c r="S1726" s="5">
        <f t="shared" si="8"/>
        <v>0</v>
      </c>
    </row>
    <row r="1727">
      <c r="A1727" s="2" t="s">
        <v>1738</v>
      </c>
      <c r="B1727" s="2">
        <v>430.0</v>
      </c>
      <c r="C1727" s="2">
        <v>5034.0</v>
      </c>
      <c r="D1727" s="2">
        <v>1444.0</v>
      </c>
      <c r="E1727" s="3">
        <f t="shared" si="1"/>
        <v>0.3136403128</v>
      </c>
      <c r="F1727" s="2">
        <v>655.0</v>
      </c>
      <c r="G1727" s="3">
        <f t="shared" si="2"/>
        <v>0.1422675934</v>
      </c>
      <c r="H1727" s="2">
        <v>927.0</v>
      </c>
      <c r="I1727" s="3">
        <f t="shared" si="3"/>
        <v>0.2013466551</v>
      </c>
      <c r="J1727" s="2">
        <v>831.0</v>
      </c>
      <c r="K1727" s="3">
        <f t="shared" si="4"/>
        <v>0.1804952215</v>
      </c>
      <c r="L1727" s="2">
        <v>549.0</v>
      </c>
      <c r="M1727" s="3">
        <f t="shared" si="5"/>
        <v>0.5922330097</v>
      </c>
      <c r="N1727" s="2">
        <v>5572600.0</v>
      </c>
      <c r="O1727" s="4">
        <f t="shared" si="6"/>
        <v>6011.434736</v>
      </c>
      <c r="P1727" s="2">
        <v>3.0</v>
      </c>
      <c r="Q1727" s="3">
        <f t="shared" si="7"/>
        <v>0.006976744186</v>
      </c>
      <c r="R1727" s="2">
        <v>430.0</v>
      </c>
      <c r="S1727" s="5">
        <f t="shared" si="8"/>
        <v>1</v>
      </c>
    </row>
    <row r="1728">
      <c r="A1728" s="2" t="s">
        <v>1739</v>
      </c>
      <c r="B1728" s="2">
        <v>112.0</v>
      </c>
      <c r="C1728" s="2">
        <v>1314.0</v>
      </c>
      <c r="D1728" s="2">
        <v>436.0</v>
      </c>
      <c r="E1728" s="3">
        <f t="shared" si="1"/>
        <v>0.3627287854</v>
      </c>
      <c r="F1728" s="2">
        <v>171.0</v>
      </c>
      <c r="G1728" s="3">
        <f t="shared" si="2"/>
        <v>0.1422628952</v>
      </c>
      <c r="H1728" s="2">
        <v>234.0</v>
      </c>
      <c r="I1728" s="3">
        <f t="shared" si="3"/>
        <v>0.1946755408</v>
      </c>
      <c r="J1728" s="2">
        <v>196.0</v>
      </c>
      <c r="K1728" s="3">
        <f t="shared" si="4"/>
        <v>0.1630615641</v>
      </c>
      <c r="L1728" s="2">
        <v>134.0</v>
      </c>
      <c r="M1728" s="3">
        <f t="shared" si="5"/>
        <v>0.5726495726</v>
      </c>
      <c r="N1728" s="2">
        <v>1391600.0</v>
      </c>
      <c r="O1728" s="4">
        <f t="shared" si="6"/>
        <v>5947.008547</v>
      </c>
      <c r="P1728" s="2">
        <v>2.0</v>
      </c>
      <c r="Q1728" s="3">
        <f t="shared" si="7"/>
        <v>0.01785714286</v>
      </c>
      <c r="R1728" s="2">
        <v>112.0</v>
      </c>
      <c r="S1728" s="5">
        <f t="shared" si="8"/>
        <v>1</v>
      </c>
    </row>
    <row r="1729">
      <c r="A1729" s="2" t="s">
        <v>1740</v>
      </c>
      <c r="B1729" s="2">
        <v>132.0</v>
      </c>
      <c r="C1729" s="2">
        <v>1559.0</v>
      </c>
      <c r="D1729" s="2">
        <v>522.0</v>
      </c>
      <c r="E1729" s="3">
        <f t="shared" si="1"/>
        <v>0.3658023826</v>
      </c>
      <c r="F1729" s="2">
        <v>203.0</v>
      </c>
      <c r="G1729" s="3">
        <f t="shared" si="2"/>
        <v>0.1422564821</v>
      </c>
      <c r="H1729" s="2">
        <v>297.0</v>
      </c>
      <c r="I1729" s="3">
        <f t="shared" si="3"/>
        <v>0.2081289418</v>
      </c>
      <c r="J1729" s="2">
        <v>191.0</v>
      </c>
      <c r="K1729" s="3">
        <f t="shared" si="4"/>
        <v>0.133847232</v>
      </c>
      <c r="L1729" s="2">
        <v>182.0</v>
      </c>
      <c r="M1729" s="3">
        <f t="shared" si="5"/>
        <v>0.6127946128</v>
      </c>
      <c r="N1729" s="2">
        <v>1647100.0</v>
      </c>
      <c r="O1729" s="4">
        <f t="shared" si="6"/>
        <v>5545.791246</v>
      </c>
      <c r="P1729" s="2">
        <v>1.0</v>
      </c>
      <c r="Q1729" s="3">
        <f t="shared" si="7"/>
        <v>0.007575757576</v>
      </c>
      <c r="R1729" s="2">
        <v>0.0</v>
      </c>
      <c r="S1729" s="5">
        <f t="shared" si="8"/>
        <v>0</v>
      </c>
    </row>
    <row r="1730">
      <c r="A1730" s="2" t="s">
        <v>1741</v>
      </c>
      <c r="B1730" s="2">
        <v>413.0</v>
      </c>
      <c r="C1730" s="2">
        <v>4884.0</v>
      </c>
      <c r="D1730" s="2">
        <v>1414.0</v>
      </c>
      <c r="E1730" s="3">
        <f t="shared" si="1"/>
        <v>0.3162603444</v>
      </c>
      <c r="F1730" s="2">
        <v>636.0</v>
      </c>
      <c r="G1730" s="3">
        <f t="shared" si="2"/>
        <v>0.1422500559</v>
      </c>
      <c r="H1730" s="2">
        <v>951.0</v>
      </c>
      <c r="I1730" s="3">
        <f t="shared" si="3"/>
        <v>0.212704093</v>
      </c>
      <c r="J1730" s="2">
        <v>752.0</v>
      </c>
      <c r="K1730" s="3">
        <f t="shared" si="4"/>
        <v>0.1681950347</v>
      </c>
      <c r="L1730" s="2">
        <v>581.0</v>
      </c>
      <c r="M1730" s="3">
        <f t="shared" si="5"/>
        <v>0.610935857</v>
      </c>
      <c r="N1730" s="2">
        <v>5467600.0</v>
      </c>
      <c r="O1730" s="4">
        <f t="shared" si="6"/>
        <v>5749.316509</v>
      </c>
      <c r="P1730" s="2">
        <v>0.0</v>
      </c>
      <c r="Q1730" s="3">
        <f t="shared" si="7"/>
        <v>0</v>
      </c>
      <c r="R1730" s="2">
        <v>413.0</v>
      </c>
      <c r="S1730" s="5">
        <f t="shared" si="8"/>
        <v>1</v>
      </c>
    </row>
    <row r="1731">
      <c r="A1731" s="2" t="s">
        <v>1742</v>
      </c>
      <c r="B1731" s="2">
        <v>131.0</v>
      </c>
      <c r="C1731" s="2">
        <v>1530.0</v>
      </c>
      <c r="D1731" s="2">
        <v>398.0</v>
      </c>
      <c r="E1731" s="3">
        <f t="shared" si="1"/>
        <v>0.2844889207</v>
      </c>
      <c r="F1731" s="2">
        <v>199.0</v>
      </c>
      <c r="G1731" s="3">
        <f t="shared" si="2"/>
        <v>0.1422444603</v>
      </c>
      <c r="H1731" s="2">
        <v>287.0</v>
      </c>
      <c r="I1731" s="3">
        <f t="shared" si="3"/>
        <v>0.2051465332</v>
      </c>
      <c r="J1731" s="2">
        <v>235.0</v>
      </c>
      <c r="K1731" s="3">
        <f t="shared" si="4"/>
        <v>0.1679771265</v>
      </c>
      <c r="L1731" s="2">
        <v>161.0</v>
      </c>
      <c r="M1731" s="3">
        <f t="shared" si="5"/>
        <v>0.5609756098</v>
      </c>
      <c r="N1731" s="2">
        <v>1737900.0</v>
      </c>
      <c r="O1731" s="4">
        <f t="shared" si="6"/>
        <v>6055.400697</v>
      </c>
      <c r="P1731" s="2">
        <v>1.0</v>
      </c>
      <c r="Q1731" s="3">
        <f t="shared" si="7"/>
        <v>0.007633587786</v>
      </c>
      <c r="R1731" s="2">
        <v>131.0</v>
      </c>
      <c r="S1731" s="5">
        <f t="shared" si="8"/>
        <v>1</v>
      </c>
    </row>
    <row r="1732">
      <c r="A1732" s="2" t="s">
        <v>1743</v>
      </c>
      <c r="B1732" s="2">
        <v>129.0</v>
      </c>
      <c r="C1732" s="2">
        <v>1528.0</v>
      </c>
      <c r="D1732" s="2">
        <v>593.0</v>
      </c>
      <c r="E1732" s="3">
        <f t="shared" si="1"/>
        <v>0.4238741959</v>
      </c>
      <c r="F1732" s="2">
        <v>199.0</v>
      </c>
      <c r="G1732" s="3">
        <f t="shared" si="2"/>
        <v>0.1422444603</v>
      </c>
      <c r="H1732" s="2">
        <v>310.0</v>
      </c>
      <c r="I1732" s="3">
        <f t="shared" si="3"/>
        <v>0.2215868477</v>
      </c>
      <c r="J1732" s="2">
        <v>202.0</v>
      </c>
      <c r="K1732" s="3">
        <f t="shared" si="4"/>
        <v>0.1443888492</v>
      </c>
      <c r="L1732" s="2">
        <v>193.0</v>
      </c>
      <c r="M1732" s="3">
        <f t="shared" si="5"/>
        <v>0.6225806452</v>
      </c>
      <c r="N1732" s="2">
        <v>1488100.0</v>
      </c>
      <c r="O1732" s="4">
        <f t="shared" si="6"/>
        <v>4800.322581</v>
      </c>
      <c r="P1732" s="2">
        <v>0.0</v>
      </c>
      <c r="Q1732" s="3">
        <f t="shared" si="7"/>
        <v>0</v>
      </c>
      <c r="R1732" s="2">
        <v>126.0</v>
      </c>
      <c r="S1732" s="5">
        <f t="shared" si="8"/>
        <v>0.976744186</v>
      </c>
    </row>
    <row r="1733">
      <c r="A1733" s="2" t="s">
        <v>1744</v>
      </c>
      <c r="B1733" s="2">
        <v>86.0</v>
      </c>
      <c r="C1733" s="2">
        <v>1014.0</v>
      </c>
      <c r="D1733" s="2">
        <v>357.0</v>
      </c>
      <c r="E1733" s="3">
        <f t="shared" si="1"/>
        <v>0.3846982759</v>
      </c>
      <c r="F1733" s="2">
        <v>132.0</v>
      </c>
      <c r="G1733" s="3">
        <f t="shared" si="2"/>
        <v>0.1422413793</v>
      </c>
      <c r="H1733" s="2">
        <v>185.0</v>
      </c>
      <c r="I1733" s="3">
        <f t="shared" si="3"/>
        <v>0.1993534483</v>
      </c>
      <c r="J1733" s="2">
        <v>147.0</v>
      </c>
      <c r="K1733" s="3">
        <f t="shared" si="4"/>
        <v>0.1584051724</v>
      </c>
      <c r="L1733" s="2">
        <v>110.0</v>
      </c>
      <c r="M1733" s="3">
        <f t="shared" si="5"/>
        <v>0.5945945946</v>
      </c>
      <c r="N1733" s="2">
        <v>1070600.0</v>
      </c>
      <c r="O1733" s="4">
        <f t="shared" si="6"/>
        <v>5787.027027</v>
      </c>
      <c r="P1733" s="2">
        <v>0.0</v>
      </c>
      <c r="Q1733" s="3">
        <f t="shared" si="7"/>
        <v>0</v>
      </c>
      <c r="R1733" s="2">
        <v>86.0</v>
      </c>
      <c r="S1733" s="5">
        <f t="shared" si="8"/>
        <v>1</v>
      </c>
    </row>
    <row r="1734">
      <c r="A1734" s="2" t="s">
        <v>1745</v>
      </c>
      <c r="B1734" s="2">
        <v>531.0</v>
      </c>
      <c r="C1734" s="2">
        <v>6324.0</v>
      </c>
      <c r="D1734" s="2">
        <v>1706.0</v>
      </c>
      <c r="E1734" s="3">
        <f t="shared" si="1"/>
        <v>0.294493354</v>
      </c>
      <c r="F1734" s="2">
        <v>824.0</v>
      </c>
      <c r="G1734" s="3">
        <f t="shared" si="2"/>
        <v>0.1422406352</v>
      </c>
      <c r="H1734" s="2">
        <v>1225.0</v>
      </c>
      <c r="I1734" s="3">
        <f t="shared" si="3"/>
        <v>0.2114621094</v>
      </c>
      <c r="J1734" s="2">
        <v>965.0</v>
      </c>
      <c r="K1734" s="3">
        <f t="shared" si="4"/>
        <v>0.1665803556</v>
      </c>
      <c r="L1734" s="2">
        <v>759.0</v>
      </c>
      <c r="M1734" s="3">
        <f t="shared" si="5"/>
        <v>0.6195918367</v>
      </c>
      <c r="N1734" s="2">
        <v>7504000.0</v>
      </c>
      <c r="O1734" s="4">
        <f t="shared" si="6"/>
        <v>6125.714286</v>
      </c>
      <c r="P1734" s="2">
        <v>6.0</v>
      </c>
      <c r="Q1734" s="3">
        <f t="shared" si="7"/>
        <v>0.01129943503</v>
      </c>
      <c r="R1734" s="2">
        <v>531.0</v>
      </c>
      <c r="S1734" s="5">
        <f t="shared" si="8"/>
        <v>1</v>
      </c>
    </row>
    <row r="1735">
      <c r="A1735" s="2" t="s">
        <v>1746</v>
      </c>
      <c r="B1735" s="2">
        <v>64.0</v>
      </c>
      <c r="C1735" s="2">
        <v>753.0</v>
      </c>
      <c r="D1735" s="2">
        <v>151.0</v>
      </c>
      <c r="E1735" s="3">
        <f t="shared" si="1"/>
        <v>0.2191582003</v>
      </c>
      <c r="F1735" s="2">
        <v>98.0</v>
      </c>
      <c r="G1735" s="3">
        <f t="shared" si="2"/>
        <v>0.1422351234</v>
      </c>
      <c r="H1735" s="2">
        <v>113.0</v>
      </c>
      <c r="I1735" s="3">
        <f t="shared" si="3"/>
        <v>0.1640058055</v>
      </c>
      <c r="J1735" s="2">
        <v>123.0</v>
      </c>
      <c r="K1735" s="3">
        <f t="shared" si="4"/>
        <v>0.1785195936</v>
      </c>
      <c r="L1735" s="2">
        <v>60.0</v>
      </c>
      <c r="M1735" s="3">
        <f t="shared" si="5"/>
        <v>0.5309734513</v>
      </c>
      <c r="N1735" s="2">
        <v>700300.0</v>
      </c>
      <c r="O1735" s="4">
        <f t="shared" si="6"/>
        <v>6197.345133</v>
      </c>
      <c r="P1735" s="2">
        <v>0.0</v>
      </c>
      <c r="Q1735" s="3">
        <f t="shared" si="7"/>
        <v>0</v>
      </c>
      <c r="R1735" s="2">
        <v>64.0</v>
      </c>
      <c r="S1735" s="5">
        <f t="shared" si="8"/>
        <v>1</v>
      </c>
    </row>
    <row r="1736">
      <c r="A1736" s="2" t="s">
        <v>1747</v>
      </c>
      <c r="B1736" s="2">
        <v>254.0</v>
      </c>
      <c r="C1736" s="2">
        <v>2975.0</v>
      </c>
      <c r="D1736" s="2">
        <v>988.0</v>
      </c>
      <c r="E1736" s="3">
        <f t="shared" si="1"/>
        <v>0.3631018008</v>
      </c>
      <c r="F1736" s="2">
        <v>387.0</v>
      </c>
      <c r="G1736" s="3">
        <f t="shared" si="2"/>
        <v>0.1422271224</v>
      </c>
      <c r="H1736" s="2">
        <v>566.0</v>
      </c>
      <c r="I1736" s="3">
        <f t="shared" si="3"/>
        <v>0.2080117604</v>
      </c>
      <c r="J1736" s="2">
        <v>387.0</v>
      </c>
      <c r="K1736" s="3">
        <f t="shared" si="4"/>
        <v>0.1422271224</v>
      </c>
      <c r="L1736" s="2">
        <v>355.0</v>
      </c>
      <c r="M1736" s="3">
        <f t="shared" si="5"/>
        <v>0.6272084806</v>
      </c>
      <c r="N1736" s="2">
        <v>3092200.0</v>
      </c>
      <c r="O1736" s="4">
        <f t="shared" si="6"/>
        <v>5463.250883</v>
      </c>
      <c r="P1736" s="2">
        <v>1.0</v>
      </c>
      <c r="Q1736" s="3">
        <f t="shared" si="7"/>
        <v>0.003937007874</v>
      </c>
      <c r="R1736" s="2">
        <v>254.0</v>
      </c>
      <c r="S1736" s="5">
        <f t="shared" si="8"/>
        <v>1</v>
      </c>
    </row>
    <row r="1737">
      <c r="A1737" s="2" t="s">
        <v>1748</v>
      </c>
      <c r="B1737" s="2">
        <v>88.0</v>
      </c>
      <c r="C1737" s="2">
        <v>974.0</v>
      </c>
      <c r="D1737" s="2">
        <v>215.0</v>
      </c>
      <c r="E1737" s="3">
        <f t="shared" si="1"/>
        <v>0.2426636569</v>
      </c>
      <c r="F1737" s="2">
        <v>126.0</v>
      </c>
      <c r="G1737" s="3">
        <f t="shared" si="2"/>
        <v>0.1422121896</v>
      </c>
      <c r="H1737" s="2">
        <v>164.0</v>
      </c>
      <c r="I1737" s="3">
        <f t="shared" si="3"/>
        <v>0.1851015801</v>
      </c>
      <c r="J1737" s="2">
        <v>176.0</v>
      </c>
      <c r="K1737" s="3">
        <f t="shared" si="4"/>
        <v>0.1986455982</v>
      </c>
      <c r="L1737" s="2">
        <v>96.0</v>
      </c>
      <c r="M1737" s="3">
        <f t="shared" si="5"/>
        <v>0.5853658537</v>
      </c>
      <c r="N1737" s="2">
        <v>1072200.0</v>
      </c>
      <c r="O1737" s="4">
        <f t="shared" si="6"/>
        <v>6537.804878</v>
      </c>
      <c r="P1737" s="2">
        <v>0.0</v>
      </c>
      <c r="Q1737" s="3">
        <f t="shared" si="7"/>
        <v>0</v>
      </c>
      <c r="R1737" s="2">
        <v>88.0</v>
      </c>
      <c r="S1737" s="5">
        <f t="shared" si="8"/>
        <v>1</v>
      </c>
    </row>
    <row r="1738">
      <c r="A1738" s="2" t="s">
        <v>1749</v>
      </c>
      <c r="B1738" s="2">
        <v>1118.0</v>
      </c>
      <c r="C1738" s="2">
        <v>13080.0</v>
      </c>
      <c r="D1738" s="2">
        <v>4527.0</v>
      </c>
      <c r="E1738" s="3">
        <f t="shared" si="1"/>
        <v>0.37844842</v>
      </c>
      <c r="F1738" s="2">
        <v>1701.0</v>
      </c>
      <c r="G1738" s="3">
        <f t="shared" si="2"/>
        <v>0.142200301</v>
      </c>
      <c r="H1738" s="2">
        <v>2709.0</v>
      </c>
      <c r="I1738" s="3">
        <f t="shared" si="3"/>
        <v>0.226467146</v>
      </c>
      <c r="J1738" s="2">
        <v>2405.0</v>
      </c>
      <c r="K1738" s="3">
        <f t="shared" si="4"/>
        <v>0.2010533356</v>
      </c>
      <c r="L1738" s="2">
        <v>1608.0</v>
      </c>
      <c r="M1738" s="3">
        <f t="shared" si="5"/>
        <v>0.5935769657</v>
      </c>
      <c r="N1738" s="2">
        <v>1.5473E7</v>
      </c>
      <c r="O1738" s="4">
        <f t="shared" si="6"/>
        <v>5711.701735</v>
      </c>
      <c r="P1738" s="2">
        <v>3.0</v>
      </c>
      <c r="Q1738" s="3">
        <f t="shared" si="7"/>
        <v>0.002683363148</v>
      </c>
      <c r="R1738" s="2">
        <v>1118.0</v>
      </c>
      <c r="S1738" s="5">
        <f t="shared" si="8"/>
        <v>1</v>
      </c>
    </row>
    <row r="1739">
      <c r="A1739" s="2" t="s">
        <v>1750</v>
      </c>
      <c r="B1739" s="2">
        <v>159.0</v>
      </c>
      <c r="C1739" s="2">
        <v>1896.0</v>
      </c>
      <c r="D1739" s="2">
        <v>495.0</v>
      </c>
      <c r="E1739" s="3">
        <f t="shared" si="1"/>
        <v>0.2849740933</v>
      </c>
      <c r="F1739" s="2">
        <v>247.0</v>
      </c>
      <c r="G1739" s="3">
        <f t="shared" si="2"/>
        <v>0.142199194</v>
      </c>
      <c r="H1739" s="2">
        <v>322.0</v>
      </c>
      <c r="I1739" s="3">
        <f t="shared" si="3"/>
        <v>0.1853770869</v>
      </c>
      <c r="J1739" s="2">
        <v>275.0</v>
      </c>
      <c r="K1739" s="3">
        <f t="shared" si="4"/>
        <v>0.1583189407</v>
      </c>
      <c r="L1739" s="2">
        <v>203.0</v>
      </c>
      <c r="M1739" s="3">
        <f t="shared" si="5"/>
        <v>0.6304347826</v>
      </c>
      <c r="N1739" s="2">
        <v>1944300.0</v>
      </c>
      <c r="O1739" s="4">
        <f t="shared" si="6"/>
        <v>6038.198758</v>
      </c>
      <c r="P1739" s="2">
        <v>1.0</v>
      </c>
      <c r="Q1739" s="3">
        <f t="shared" si="7"/>
        <v>0.006289308176</v>
      </c>
      <c r="R1739" s="2">
        <v>159.0</v>
      </c>
      <c r="S1739" s="5">
        <f t="shared" si="8"/>
        <v>1</v>
      </c>
    </row>
    <row r="1740">
      <c r="A1740" s="2" t="s">
        <v>1751</v>
      </c>
      <c r="B1740" s="2">
        <v>1727.0</v>
      </c>
      <c r="C1740" s="2">
        <v>20070.0</v>
      </c>
      <c r="D1740" s="2">
        <v>5926.0</v>
      </c>
      <c r="E1740" s="3">
        <f t="shared" si="1"/>
        <v>0.3230660197</v>
      </c>
      <c r="F1740" s="2">
        <v>2608.0</v>
      </c>
      <c r="G1740" s="3">
        <f t="shared" si="2"/>
        <v>0.142179578</v>
      </c>
      <c r="H1740" s="2">
        <v>4045.0</v>
      </c>
      <c r="I1740" s="3">
        <f t="shared" si="3"/>
        <v>0.2205200894</v>
      </c>
      <c r="J1740" s="2">
        <v>3765.0</v>
      </c>
      <c r="K1740" s="3">
        <f t="shared" si="4"/>
        <v>0.2052554108</v>
      </c>
      <c r="L1740" s="2">
        <v>2421.0</v>
      </c>
      <c r="M1740" s="3">
        <f t="shared" si="5"/>
        <v>0.5985166873</v>
      </c>
      <c r="N1740" s="2">
        <v>2.53828E7</v>
      </c>
      <c r="O1740" s="4">
        <f t="shared" si="6"/>
        <v>6275.105068</v>
      </c>
      <c r="P1740" s="2">
        <v>9.0</v>
      </c>
      <c r="Q1740" s="3">
        <f t="shared" si="7"/>
        <v>0.00521134916</v>
      </c>
      <c r="R1740" s="2">
        <v>69.0</v>
      </c>
      <c r="S1740" s="5">
        <f t="shared" si="8"/>
        <v>0.0399536769</v>
      </c>
    </row>
    <row r="1741">
      <c r="A1741" s="2" t="s">
        <v>1752</v>
      </c>
      <c r="B1741" s="2">
        <v>287.0</v>
      </c>
      <c r="C1741" s="2">
        <v>3403.0</v>
      </c>
      <c r="D1741" s="2">
        <v>1134.0</v>
      </c>
      <c r="E1741" s="3">
        <f t="shared" si="1"/>
        <v>0.363928113</v>
      </c>
      <c r="F1741" s="2">
        <v>443.0</v>
      </c>
      <c r="G1741" s="3">
        <f t="shared" si="2"/>
        <v>0.142169448</v>
      </c>
      <c r="H1741" s="2">
        <v>691.0</v>
      </c>
      <c r="I1741" s="3">
        <f t="shared" si="3"/>
        <v>0.221758665</v>
      </c>
      <c r="J1741" s="2">
        <v>533.0</v>
      </c>
      <c r="K1741" s="3">
        <f t="shared" si="4"/>
        <v>0.1710526316</v>
      </c>
      <c r="L1741" s="2">
        <v>399.0</v>
      </c>
      <c r="M1741" s="3">
        <f t="shared" si="5"/>
        <v>0.5774240232</v>
      </c>
      <c r="N1741" s="2">
        <v>3703800.0</v>
      </c>
      <c r="O1741" s="4">
        <f t="shared" si="6"/>
        <v>5360.057887</v>
      </c>
      <c r="P1741" s="2">
        <v>1.0</v>
      </c>
      <c r="Q1741" s="3">
        <f t="shared" si="7"/>
        <v>0.003484320557</v>
      </c>
      <c r="R1741" s="2">
        <v>0.0</v>
      </c>
      <c r="S1741" s="5">
        <f t="shared" si="8"/>
        <v>0</v>
      </c>
    </row>
    <row r="1742">
      <c r="A1742" s="2" t="s">
        <v>1753</v>
      </c>
      <c r="B1742" s="2">
        <v>38.0</v>
      </c>
      <c r="C1742" s="2">
        <v>453.0</v>
      </c>
      <c r="D1742" s="2">
        <v>128.0</v>
      </c>
      <c r="E1742" s="3">
        <f t="shared" si="1"/>
        <v>0.3084337349</v>
      </c>
      <c r="F1742" s="2">
        <v>59.0</v>
      </c>
      <c r="G1742" s="3">
        <f t="shared" si="2"/>
        <v>0.1421686747</v>
      </c>
      <c r="H1742" s="2">
        <v>70.0</v>
      </c>
      <c r="I1742" s="3">
        <f t="shared" si="3"/>
        <v>0.1686746988</v>
      </c>
      <c r="J1742" s="2">
        <v>53.0</v>
      </c>
      <c r="K1742" s="3">
        <f t="shared" si="4"/>
        <v>0.1277108434</v>
      </c>
      <c r="L1742" s="2">
        <v>45.0</v>
      </c>
      <c r="M1742" s="3">
        <f t="shared" si="5"/>
        <v>0.6428571429</v>
      </c>
      <c r="N1742" s="2">
        <v>401200.0</v>
      </c>
      <c r="O1742" s="4">
        <f t="shared" si="6"/>
        <v>5731.428571</v>
      </c>
      <c r="P1742" s="2">
        <v>0.0</v>
      </c>
      <c r="Q1742" s="3">
        <f t="shared" si="7"/>
        <v>0</v>
      </c>
      <c r="R1742" s="2">
        <v>30.0</v>
      </c>
      <c r="S1742" s="5">
        <f t="shared" si="8"/>
        <v>0.7894736842</v>
      </c>
    </row>
    <row r="1743">
      <c r="A1743" s="2" t="s">
        <v>1754</v>
      </c>
      <c r="B1743" s="2">
        <v>95.0</v>
      </c>
      <c r="C1743" s="2">
        <v>1101.0</v>
      </c>
      <c r="D1743" s="2">
        <v>328.0</v>
      </c>
      <c r="E1743" s="3">
        <f t="shared" si="1"/>
        <v>0.3260437376</v>
      </c>
      <c r="F1743" s="2">
        <v>143.0</v>
      </c>
      <c r="G1743" s="3">
        <f t="shared" si="2"/>
        <v>0.1421471173</v>
      </c>
      <c r="H1743" s="2">
        <v>197.0</v>
      </c>
      <c r="I1743" s="3">
        <f t="shared" si="3"/>
        <v>0.1958250497</v>
      </c>
      <c r="J1743" s="2">
        <v>177.0</v>
      </c>
      <c r="K1743" s="3">
        <f t="shared" si="4"/>
        <v>0.175944334</v>
      </c>
      <c r="L1743" s="2">
        <v>123.0</v>
      </c>
      <c r="M1743" s="3">
        <f t="shared" si="5"/>
        <v>0.6243654822</v>
      </c>
      <c r="N1743" s="2">
        <v>1133700.0</v>
      </c>
      <c r="O1743" s="4">
        <f t="shared" si="6"/>
        <v>5754.822335</v>
      </c>
      <c r="P1743" s="2">
        <v>1.0</v>
      </c>
      <c r="Q1743" s="3">
        <f t="shared" si="7"/>
        <v>0.01052631579</v>
      </c>
      <c r="R1743" s="2">
        <v>0.0</v>
      </c>
      <c r="S1743" s="5">
        <f t="shared" si="8"/>
        <v>0</v>
      </c>
    </row>
    <row r="1744">
      <c r="A1744" s="2" t="s">
        <v>1755</v>
      </c>
      <c r="B1744" s="2">
        <v>56.0</v>
      </c>
      <c r="C1744" s="2">
        <v>654.0</v>
      </c>
      <c r="D1744" s="2">
        <v>168.0</v>
      </c>
      <c r="E1744" s="3">
        <f t="shared" si="1"/>
        <v>0.2809364548</v>
      </c>
      <c r="F1744" s="2">
        <v>85.0</v>
      </c>
      <c r="G1744" s="3">
        <f t="shared" si="2"/>
        <v>0.1421404682</v>
      </c>
      <c r="H1744" s="2">
        <v>102.0</v>
      </c>
      <c r="I1744" s="3">
        <f t="shared" si="3"/>
        <v>0.1705685619</v>
      </c>
      <c r="J1744" s="2">
        <v>116.0</v>
      </c>
      <c r="K1744" s="3">
        <f t="shared" si="4"/>
        <v>0.1939799331</v>
      </c>
      <c r="L1744" s="2">
        <v>65.0</v>
      </c>
      <c r="M1744" s="3">
        <f t="shared" si="5"/>
        <v>0.637254902</v>
      </c>
      <c r="N1744" s="2">
        <v>665800.0</v>
      </c>
      <c r="O1744" s="4">
        <f t="shared" si="6"/>
        <v>6527.45098</v>
      </c>
      <c r="P1744" s="2">
        <v>0.0</v>
      </c>
      <c r="Q1744" s="3">
        <f t="shared" si="7"/>
        <v>0</v>
      </c>
      <c r="R1744" s="2">
        <v>56.0</v>
      </c>
      <c r="S1744" s="5">
        <f t="shared" si="8"/>
        <v>1</v>
      </c>
    </row>
    <row r="1745">
      <c r="A1745" s="2" t="s">
        <v>1756</v>
      </c>
      <c r="B1745" s="2">
        <v>295.0</v>
      </c>
      <c r="C1745" s="2">
        <v>3482.0</v>
      </c>
      <c r="D1745" s="2">
        <v>1091.0</v>
      </c>
      <c r="E1745" s="3">
        <f t="shared" si="1"/>
        <v>0.3423282083</v>
      </c>
      <c r="F1745" s="2">
        <v>453.0</v>
      </c>
      <c r="G1745" s="3">
        <f t="shared" si="2"/>
        <v>0.1421399435</v>
      </c>
      <c r="H1745" s="2">
        <v>652.0</v>
      </c>
      <c r="I1745" s="3">
        <f t="shared" si="3"/>
        <v>0.2045811108</v>
      </c>
      <c r="J1745" s="2">
        <v>583.0</v>
      </c>
      <c r="K1745" s="3">
        <f t="shared" si="4"/>
        <v>0.1829306558</v>
      </c>
      <c r="L1745" s="2">
        <v>390.0</v>
      </c>
      <c r="M1745" s="3">
        <f t="shared" si="5"/>
        <v>0.5981595092</v>
      </c>
      <c r="N1745" s="2">
        <v>3882800.0</v>
      </c>
      <c r="O1745" s="4">
        <f t="shared" si="6"/>
        <v>5955.214724</v>
      </c>
      <c r="P1745" s="2">
        <v>1.0</v>
      </c>
      <c r="Q1745" s="3">
        <f t="shared" si="7"/>
        <v>0.003389830508</v>
      </c>
      <c r="R1745" s="2">
        <v>212.0</v>
      </c>
      <c r="S1745" s="5">
        <f t="shared" si="8"/>
        <v>0.7186440678</v>
      </c>
    </row>
    <row r="1746">
      <c r="A1746" s="2" t="s">
        <v>1757</v>
      </c>
      <c r="B1746" s="2">
        <v>318.0</v>
      </c>
      <c r="C1746" s="2">
        <v>3695.0</v>
      </c>
      <c r="D1746" s="2">
        <v>1212.0</v>
      </c>
      <c r="E1746" s="3">
        <f t="shared" si="1"/>
        <v>0.3588984306</v>
      </c>
      <c r="F1746" s="2">
        <v>480.0</v>
      </c>
      <c r="G1746" s="3">
        <f t="shared" si="2"/>
        <v>0.1421379923</v>
      </c>
      <c r="H1746" s="2">
        <v>669.0</v>
      </c>
      <c r="I1746" s="3">
        <f t="shared" si="3"/>
        <v>0.1981048268</v>
      </c>
      <c r="J1746" s="2">
        <v>516.0</v>
      </c>
      <c r="K1746" s="3">
        <f t="shared" si="4"/>
        <v>0.1527983417</v>
      </c>
      <c r="L1746" s="2">
        <v>402.0</v>
      </c>
      <c r="M1746" s="3">
        <f t="shared" si="5"/>
        <v>0.600896861</v>
      </c>
      <c r="N1746" s="2">
        <v>3910600.0</v>
      </c>
      <c r="O1746" s="4">
        <f t="shared" si="6"/>
        <v>5845.440957</v>
      </c>
      <c r="P1746" s="2">
        <v>0.0</v>
      </c>
      <c r="Q1746" s="3">
        <f t="shared" si="7"/>
        <v>0</v>
      </c>
      <c r="R1746" s="2">
        <v>318.0</v>
      </c>
      <c r="S1746" s="5">
        <f t="shared" si="8"/>
        <v>1</v>
      </c>
    </row>
    <row r="1747">
      <c r="A1747" s="2" t="s">
        <v>1758</v>
      </c>
      <c r="B1747" s="2">
        <v>273.0</v>
      </c>
      <c r="C1747" s="2">
        <v>3257.0</v>
      </c>
      <c r="D1747" s="2">
        <v>1305.0</v>
      </c>
      <c r="E1747" s="3">
        <f t="shared" si="1"/>
        <v>0.4373324397</v>
      </c>
      <c r="F1747" s="2">
        <v>424.0</v>
      </c>
      <c r="G1747" s="3">
        <f t="shared" si="2"/>
        <v>0.1420911528</v>
      </c>
      <c r="H1747" s="2">
        <v>667.0</v>
      </c>
      <c r="I1747" s="3">
        <f t="shared" si="3"/>
        <v>0.2235254692</v>
      </c>
      <c r="J1747" s="2">
        <v>512.0</v>
      </c>
      <c r="K1747" s="3">
        <f t="shared" si="4"/>
        <v>0.1715817694</v>
      </c>
      <c r="L1747" s="2">
        <v>396.0</v>
      </c>
      <c r="M1747" s="3">
        <f t="shared" si="5"/>
        <v>0.5937031484</v>
      </c>
      <c r="N1747" s="2">
        <v>3407300.0</v>
      </c>
      <c r="O1747" s="4">
        <f t="shared" si="6"/>
        <v>5108.395802</v>
      </c>
      <c r="P1747" s="2">
        <v>1.0</v>
      </c>
      <c r="Q1747" s="3">
        <f t="shared" si="7"/>
        <v>0.003663003663</v>
      </c>
      <c r="R1747" s="2">
        <v>273.0</v>
      </c>
      <c r="S1747" s="5">
        <f t="shared" si="8"/>
        <v>1</v>
      </c>
    </row>
    <row r="1748">
      <c r="A1748" s="2" t="s">
        <v>1759</v>
      </c>
      <c r="B1748" s="2">
        <v>85.0</v>
      </c>
      <c r="C1748" s="2">
        <v>1007.0</v>
      </c>
      <c r="D1748" s="2">
        <v>318.0</v>
      </c>
      <c r="E1748" s="3">
        <f t="shared" si="1"/>
        <v>0.3449023861</v>
      </c>
      <c r="F1748" s="2">
        <v>131.0</v>
      </c>
      <c r="G1748" s="3">
        <f t="shared" si="2"/>
        <v>0.1420824295</v>
      </c>
      <c r="H1748" s="2">
        <v>189.0</v>
      </c>
      <c r="I1748" s="3">
        <f t="shared" si="3"/>
        <v>0.204989154</v>
      </c>
      <c r="J1748" s="2">
        <v>187.0</v>
      </c>
      <c r="K1748" s="3">
        <f t="shared" si="4"/>
        <v>0.2028199566</v>
      </c>
      <c r="L1748" s="2">
        <v>96.0</v>
      </c>
      <c r="M1748" s="3">
        <f t="shared" si="5"/>
        <v>0.5079365079</v>
      </c>
      <c r="N1748" s="2">
        <v>1037500.0</v>
      </c>
      <c r="O1748" s="4">
        <f t="shared" si="6"/>
        <v>5489.417989</v>
      </c>
      <c r="P1748" s="2">
        <v>0.0</v>
      </c>
      <c r="Q1748" s="3">
        <f t="shared" si="7"/>
        <v>0</v>
      </c>
      <c r="R1748" s="2">
        <v>85.0</v>
      </c>
      <c r="S1748" s="5">
        <f t="shared" si="8"/>
        <v>1</v>
      </c>
    </row>
    <row r="1749">
      <c r="A1749" s="2" t="s">
        <v>1760</v>
      </c>
      <c r="B1749" s="2">
        <v>839.0</v>
      </c>
      <c r="C1749" s="2">
        <v>9841.0</v>
      </c>
      <c r="D1749" s="2">
        <v>3575.0</v>
      </c>
      <c r="E1749" s="3">
        <f t="shared" si="1"/>
        <v>0.3971339702</v>
      </c>
      <c r="F1749" s="2">
        <v>1279.0</v>
      </c>
      <c r="G1749" s="3">
        <f t="shared" si="2"/>
        <v>0.1420795379</v>
      </c>
      <c r="H1749" s="2">
        <v>1963.0</v>
      </c>
      <c r="I1749" s="3">
        <f t="shared" si="3"/>
        <v>0.2180626527</v>
      </c>
      <c r="J1749" s="2">
        <v>1436.0</v>
      </c>
      <c r="K1749" s="3">
        <f t="shared" si="4"/>
        <v>0.1595201066</v>
      </c>
      <c r="L1749" s="2">
        <v>1218.0</v>
      </c>
      <c r="M1749" s="3">
        <f t="shared" si="5"/>
        <v>0.6204788589</v>
      </c>
      <c r="N1749" s="2">
        <v>1.04708E7</v>
      </c>
      <c r="O1749" s="4">
        <f t="shared" si="6"/>
        <v>5334.080489</v>
      </c>
      <c r="P1749" s="2">
        <v>2.0</v>
      </c>
      <c r="Q1749" s="3">
        <f t="shared" si="7"/>
        <v>0.002383790226</v>
      </c>
      <c r="R1749" s="2">
        <v>839.0</v>
      </c>
      <c r="S1749" s="5">
        <f t="shared" si="8"/>
        <v>1</v>
      </c>
    </row>
    <row r="1750">
      <c r="A1750" s="2" t="s">
        <v>1761</v>
      </c>
      <c r="B1750" s="2">
        <v>274.0</v>
      </c>
      <c r="C1750" s="2">
        <v>3209.0</v>
      </c>
      <c r="D1750" s="2">
        <v>1044.0</v>
      </c>
      <c r="E1750" s="3">
        <f t="shared" si="1"/>
        <v>0.3557069847</v>
      </c>
      <c r="F1750" s="2">
        <v>417.0</v>
      </c>
      <c r="G1750" s="3">
        <f t="shared" si="2"/>
        <v>0.1420783646</v>
      </c>
      <c r="H1750" s="2">
        <v>626.0</v>
      </c>
      <c r="I1750" s="3">
        <f t="shared" si="3"/>
        <v>0.2132879046</v>
      </c>
      <c r="J1750" s="2">
        <v>559.0</v>
      </c>
      <c r="K1750" s="3">
        <f t="shared" si="4"/>
        <v>0.1904599659</v>
      </c>
      <c r="L1750" s="2">
        <v>387.0</v>
      </c>
      <c r="M1750" s="3">
        <f t="shared" si="5"/>
        <v>0.6182108626</v>
      </c>
      <c r="N1750" s="2">
        <v>3444100.0</v>
      </c>
      <c r="O1750" s="4">
        <f t="shared" si="6"/>
        <v>5501.757188</v>
      </c>
      <c r="P1750" s="2">
        <v>2.0</v>
      </c>
      <c r="Q1750" s="3">
        <f t="shared" si="7"/>
        <v>0.007299270073</v>
      </c>
      <c r="R1750" s="2">
        <v>274.0</v>
      </c>
      <c r="S1750" s="5">
        <f t="shared" si="8"/>
        <v>1</v>
      </c>
    </row>
    <row r="1751">
      <c r="A1751" s="2" t="s">
        <v>1762</v>
      </c>
      <c r="B1751" s="2">
        <v>637.0</v>
      </c>
      <c r="C1751" s="2">
        <v>7528.0</v>
      </c>
      <c r="D1751" s="2">
        <v>2121.0</v>
      </c>
      <c r="E1751" s="3">
        <f t="shared" si="1"/>
        <v>0.3077927732</v>
      </c>
      <c r="F1751" s="2">
        <v>979.0</v>
      </c>
      <c r="G1751" s="3">
        <f t="shared" si="2"/>
        <v>0.1420693658</v>
      </c>
      <c r="H1751" s="2">
        <v>1484.0</v>
      </c>
      <c r="I1751" s="3">
        <f t="shared" si="3"/>
        <v>0.2153533595</v>
      </c>
      <c r="J1751" s="2">
        <v>1250.0</v>
      </c>
      <c r="K1751" s="3">
        <f t="shared" si="4"/>
        <v>0.1813960238</v>
      </c>
      <c r="L1751" s="2">
        <v>827.0</v>
      </c>
      <c r="M1751" s="3">
        <f t="shared" si="5"/>
        <v>0.557277628</v>
      </c>
      <c r="N1751" s="2">
        <v>8892000.0</v>
      </c>
      <c r="O1751" s="4">
        <f t="shared" si="6"/>
        <v>5991.913747</v>
      </c>
      <c r="P1751" s="2">
        <v>0.0</v>
      </c>
      <c r="Q1751" s="3">
        <f t="shared" si="7"/>
        <v>0</v>
      </c>
      <c r="R1751" s="2">
        <v>637.0</v>
      </c>
      <c r="S1751" s="5">
        <f t="shared" si="8"/>
        <v>1</v>
      </c>
    </row>
    <row r="1752">
      <c r="A1752" s="2" t="s">
        <v>1763</v>
      </c>
      <c r="B1752" s="2">
        <v>14.0</v>
      </c>
      <c r="C1752" s="2">
        <v>190.0</v>
      </c>
      <c r="D1752" s="2">
        <v>62.0</v>
      </c>
      <c r="E1752" s="3">
        <f t="shared" si="1"/>
        <v>0.3522727273</v>
      </c>
      <c r="F1752" s="2">
        <v>25.0</v>
      </c>
      <c r="G1752" s="3">
        <f t="shared" si="2"/>
        <v>0.1420454545</v>
      </c>
      <c r="H1752" s="2">
        <v>36.0</v>
      </c>
      <c r="I1752" s="3">
        <f t="shared" si="3"/>
        <v>0.2045454545</v>
      </c>
      <c r="J1752" s="2">
        <v>19.0</v>
      </c>
      <c r="K1752" s="3">
        <f t="shared" si="4"/>
        <v>0.1079545455</v>
      </c>
      <c r="L1752" s="2">
        <v>22.0</v>
      </c>
      <c r="M1752" s="3">
        <f t="shared" si="5"/>
        <v>0.6111111111</v>
      </c>
      <c r="N1752" s="2">
        <v>173100.0</v>
      </c>
      <c r="O1752" s="4">
        <f t="shared" si="6"/>
        <v>4808.333333</v>
      </c>
      <c r="P1752" s="2">
        <v>0.0</v>
      </c>
      <c r="Q1752" s="3">
        <f t="shared" si="7"/>
        <v>0</v>
      </c>
      <c r="R1752" s="2">
        <v>14.0</v>
      </c>
      <c r="S1752" s="5">
        <f t="shared" si="8"/>
        <v>1</v>
      </c>
    </row>
    <row r="1753">
      <c r="A1753" s="2" t="s">
        <v>1764</v>
      </c>
      <c r="B1753" s="2">
        <v>1760.0</v>
      </c>
      <c r="C1753" s="2">
        <v>20713.0</v>
      </c>
      <c r="D1753" s="2">
        <v>6871.0</v>
      </c>
      <c r="E1753" s="3">
        <f t="shared" si="1"/>
        <v>0.3625283596</v>
      </c>
      <c r="F1753" s="2">
        <v>2692.0</v>
      </c>
      <c r="G1753" s="3">
        <f t="shared" si="2"/>
        <v>0.1420355617</v>
      </c>
      <c r="H1753" s="2">
        <v>3931.0</v>
      </c>
      <c r="I1753" s="3">
        <f t="shared" si="3"/>
        <v>0.2074077982</v>
      </c>
      <c r="J1753" s="2">
        <v>3198.0</v>
      </c>
      <c r="K1753" s="3">
        <f t="shared" si="4"/>
        <v>0.1687331821</v>
      </c>
      <c r="L1753" s="2">
        <v>2332.0</v>
      </c>
      <c r="M1753" s="3">
        <f t="shared" si="5"/>
        <v>0.593233274</v>
      </c>
      <c r="N1753" s="2">
        <v>2.27492E7</v>
      </c>
      <c r="O1753" s="4">
        <f t="shared" si="6"/>
        <v>5787.127957</v>
      </c>
      <c r="P1753" s="2">
        <v>0.0</v>
      </c>
      <c r="Q1753" s="3">
        <f t="shared" si="7"/>
        <v>0</v>
      </c>
      <c r="R1753" s="2">
        <v>1760.0</v>
      </c>
      <c r="S1753" s="5">
        <f t="shared" si="8"/>
        <v>1</v>
      </c>
    </row>
    <row r="1754">
      <c r="A1754" s="2" t="s">
        <v>1765</v>
      </c>
      <c r="B1754" s="2">
        <v>208.0</v>
      </c>
      <c r="C1754" s="2">
        <v>2440.0</v>
      </c>
      <c r="D1754" s="2">
        <v>836.0</v>
      </c>
      <c r="E1754" s="3">
        <f t="shared" si="1"/>
        <v>0.3745519713</v>
      </c>
      <c r="F1754" s="2">
        <v>317.0</v>
      </c>
      <c r="G1754" s="3">
        <f t="shared" si="2"/>
        <v>0.1420250896</v>
      </c>
      <c r="H1754" s="2">
        <v>486.0</v>
      </c>
      <c r="I1754" s="3">
        <f t="shared" si="3"/>
        <v>0.2177419355</v>
      </c>
      <c r="J1754" s="2">
        <v>368.0</v>
      </c>
      <c r="K1754" s="3">
        <f t="shared" si="4"/>
        <v>0.164874552</v>
      </c>
      <c r="L1754" s="2">
        <v>282.0</v>
      </c>
      <c r="M1754" s="3">
        <f t="shared" si="5"/>
        <v>0.5802469136</v>
      </c>
      <c r="N1754" s="2">
        <v>2723100.0</v>
      </c>
      <c r="O1754" s="4">
        <f t="shared" si="6"/>
        <v>5603.08642</v>
      </c>
      <c r="P1754" s="2">
        <v>0.0</v>
      </c>
      <c r="Q1754" s="3">
        <f t="shared" si="7"/>
        <v>0</v>
      </c>
      <c r="R1754" s="2">
        <v>208.0</v>
      </c>
      <c r="S1754" s="5">
        <f t="shared" si="8"/>
        <v>1</v>
      </c>
    </row>
    <row r="1755">
      <c r="A1755" s="2" t="s">
        <v>1766</v>
      </c>
      <c r="B1755" s="2">
        <v>128.0</v>
      </c>
      <c r="C1755" s="2">
        <v>1487.0</v>
      </c>
      <c r="D1755" s="2">
        <v>420.0</v>
      </c>
      <c r="E1755" s="3">
        <f t="shared" si="1"/>
        <v>0.3090507726</v>
      </c>
      <c r="F1755" s="2">
        <v>193.0</v>
      </c>
      <c r="G1755" s="3">
        <f t="shared" si="2"/>
        <v>0.1420161884</v>
      </c>
      <c r="H1755" s="2">
        <v>277.0</v>
      </c>
      <c r="I1755" s="3">
        <f t="shared" si="3"/>
        <v>0.2038263429</v>
      </c>
      <c r="J1755" s="2">
        <v>249.0</v>
      </c>
      <c r="K1755" s="3">
        <f t="shared" si="4"/>
        <v>0.1832229581</v>
      </c>
      <c r="L1755" s="2">
        <v>150.0</v>
      </c>
      <c r="M1755" s="3">
        <f t="shared" si="5"/>
        <v>0.5415162455</v>
      </c>
      <c r="N1755" s="2">
        <v>1666000.0</v>
      </c>
      <c r="O1755" s="4">
        <f t="shared" si="6"/>
        <v>6014.440433</v>
      </c>
      <c r="P1755" s="2">
        <v>0.0</v>
      </c>
      <c r="Q1755" s="3">
        <f t="shared" si="7"/>
        <v>0</v>
      </c>
      <c r="R1755" s="2">
        <v>128.0</v>
      </c>
      <c r="S1755" s="5">
        <f t="shared" si="8"/>
        <v>1</v>
      </c>
    </row>
    <row r="1756">
      <c r="A1756" s="2" t="s">
        <v>1767</v>
      </c>
      <c r="B1756" s="2">
        <v>64.0</v>
      </c>
      <c r="C1756" s="2">
        <v>740.0</v>
      </c>
      <c r="D1756" s="2">
        <v>242.0</v>
      </c>
      <c r="E1756" s="3">
        <f t="shared" si="1"/>
        <v>0.3579881657</v>
      </c>
      <c r="F1756" s="2">
        <v>96.0</v>
      </c>
      <c r="G1756" s="3">
        <f t="shared" si="2"/>
        <v>0.1420118343</v>
      </c>
      <c r="H1756" s="2">
        <v>133.0</v>
      </c>
      <c r="I1756" s="3">
        <f t="shared" si="3"/>
        <v>0.1967455621</v>
      </c>
      <c r="J1756" s="2">
        <v>118.0</v>
      </c>
      <c r="K1756" s="3">
        <f t="shared" si="4"/>
        <v>0.174556213</v>
      </c>
      <c r="L1756" s="2">
        <v>87.0</v>
      </c>
      <c r="M1756" s="3">
        <f t="shared" si="5"/>
        <v>0.6541353383</v>
      </c>
      <c r="N1756" s="2">
        <v>710000.0</v>
      </c>
      <c r="O1756" s="4">
        <f t="shared" si="6"/>
        <v>5338.345865</v>
      </c>
      <c r="P1756" s="2">
        <v>0.0</v>
      </c>
      <c r="Q1756" s="3">
        <f t="shared" si="7"/>
        <v>0</v>
      </c>
      <c r="R1756" s="2">
        <v>64.0</v>
      </c>
      <c r="S1756" s="5">
        <f t="shared" si="8"/>
        <v>1</v>
      </c>
    </row>
    <row r="1757">
      <c r="A1757" s="2" t="s">
        <v>1768</v>
      </c>
      <c r="B1757" s="2">
        <v>272.0</v>
      </c>
      <c r="C1757" s="2">
        <v>3131.0</v>
      </c>
      <c r="D1757" s="2">
        <v>690.0</v>
      </c>
      <c r="E1757" s="3">
        <f t="shared" si="1"/>
        <v>0.241343127</v>
      </c>
      <c r="F1757" s="2">
        <v>406.0</v>
      </c>
      <c r="G1757" s="3">
        <f t="shared" si="2"/>
        <v>0.142007695</v>
      </c>
      <c r="H1757" s="2">
        <v>586.0</v>
      </c>
      <c r="I1757" s="3">
        <f t="shared" si="3"/>
        <v>0.2049667716</v>
      </c>
      <c r="J1757" s="2">
        <v>486.0</v>
      </c>
      <c r="K1757" s="3">
        <f t="shared" si="4"/>
        <v>0.1699895068</v>
      </c>
      <c r="L1757" s="2">
        <v>346.0</v>
      </c>
      <c r="M1757" s="3">
        <f t="shared" si="5"/>
        <v>0.590443686</v>
      </c>
      <c r="N1757" s="2">
        <v>3532800.0</v>
      </c>
      <c r="O1757" s="4">
        <f t="shared" si="6"/>
        <v>6028.668942</v>
      </c>
      <c r="P1757" s="2">
        <v>0.0</v>
      </c>
      <c r="Q1757" s="3">
        <f t="shared" si="7"/>
        <v>0</v>
      </c>
      <c r="R1757" s="2">
        <v>272.0</v>
      </c>
      <c r="S1757" s="5">
        <f t="shared" si="8"/>
        <v>1</v>
      </c>
    </row>
    <row r="1758">
      <c r="A1758" s="2" t="s">
        <v>1769</v>
      </c>
      <c r="B1758" s="2">
        <v>218.0</v>
      </c>
      <c r="C1758" s="2">
        <v>2556.0</v>
      </c>
      <c r="D1758" s="2">
        <v>863.0</v>
      </c>
      <c r="E1758" s="3">
        <f t="shared" si="1"/>
        <v>0.369118905</v>
      </c>
      <c r="F1758" s="2">
        <v>332.0</v>
      </c>
      <c r="G1758" s="3">
        <f t="shared" si="2"/>
        <v>0.1420017109</v>
      </c>
      <c r="H1758" s="2">
        <v>495.0</v>
      </c>
      <c r="I1758" s="3">
        <f t="shared" si="3"/>
        <v>0.2117194183</v>
      </c>
      <c r="J1758" s="2">
        <v>438.0</v>
      </c>
      <c r="K1758" s="3">
        <f t="shared" si="4"/>
        <v>0.1873396065</v>
      </c>
      <c r="L1758" s="2">
        <v>298.0</v>
      </c>
      <c r="M1758" s="3">
        <f t="shared" si="5"/>
        <v>0.602020202</v>
      </c>
      <c r="N1758" s="2">
        <v>2792900.0</v>
      </c>
      <c r="O1758" s="4">
        <f t="shared" si="6"/>
        <v>5642.222222</v>
      </c>
      <c r="P1758" s="2">
        <v>0.0</v>
      </c>
      <c r="Q1758" s="3">
        <f t="shared" si="7"/>
        <v>0</v>
      </c>
      <c r="R1758" s="2">
        <v>0.0</v>
      </c>
      <c r="S1758" s="5">
        <f t="shared" si="8"/>
        <v>0</v>
      </c>
    </row>
    <row r="1759">
      <c r="A1759" s="2" t="s">
        <v>1770</v>
      </c>
      <c r="B1759" s="2">
        <v>562.0</v>
      </c>
      <c r="C1759" s="2">
        <v>6562.0</v>
      </c>
      <c r="D1759" s="2">
        <v>2059.0</v>
      </c>
      <c r="E1759" s="3">
        <f t="shared" si="1"/>
        <v>0.3431666667</v>
      </c>
      <c r="F1759" s="2">
        <v>852.0</v>
      </c>
      <c r="G1759" s="3">
        <f t="shared" si="2"/>
        <v>0.142</v>
      </c>
      <c r="H1759" s="2">
        <v>1278.0</v>
      </c>
      <c r="I1759" s="3">
        <f t="shared" si="3"/>
        <v>0.213</v>
      </c>
      <c r="J1759" s="2">
        <v>956.0</v>
      </c>
      <c r="K1759" s="3">
        <f t="shared" si="4"/>
        <v>0.1593333333</v>
      </c>
      <c r="L1759" s="2">
        <v>777.0</v>
      </c>
      <c r="M1759" s="3">
        <f t="shared" si="5"/>
        <v>0.6079812207</v>
      </c>
      <c r="N1759" s="2">
        <v>7190700.0</v>
      </c>
      <c r="O1759" s="4">
        <f t="shared" si="6"/>
        <v>5626.525822</v>
      </c>
      <c r="P1759" s="2">
        <v>3.0</v>
      </c>
      <c r="Q1759" s="3">
        <f t="shared" si="7"/>
        <v>0.005338078292</v>
      </c>
      <c r="R1759" s="2">
        <v>2.0</v>
      </c>
      <c r="S1759" s="5">
        <f t="shared" si="8"/>
        <v>0.003558718861</v>
      </c>
    </row>
    <row r="1760">
      <c r="A1760" s="2" t="s">
        <v>1771</v>
      </c>
      <c r="B1760" s="2">
        <v>171.0</v>
      </c>
      <c r="C1760" s="2">
        <v>2002.0</v>
      </c>
      <c r="D1760" s="2">
        <v>784.0</v>
      </c>
      <c r="E1760" s="3">
        <f t="shared" si="1"/>
        <v>0.4281813217</v>
      </c>
      <c r="F1760" s="2">
        <v>260.0</v>
      </c>
      <c r="G1760" s="3">
        <f t="shared" si="2"/>
        <v>0.1419989077</v>
      </c>
      <c r="H1760" s="2">
        <v>405.0</v>
      </c>
      <c r="I1760" s="3">
        <f t="shared" si="3"/>
        <v>0.2211906062</v>
      </c>
      <c r="J1760" s="2">
        <v>308.0</v>
      </c>
      <c r="K1760" s="3">
        <f t="shared" si="4"/>
        <v>0.1682140907</v>
      </c>
      <c r="L1760" s="2">
        <v>254.0</v>
      </c>
      <c r="M1760" s="3">
        <f t="shared" si="5"/>
        <v>0.6271604938</v>
      </c>
      <c r="N1760" s="2">
        <v>2089400.0</v>
      </c>
      <c r="O1760" s="4">
        <f t="shared" si="6"/>
        <v>5159.012346</v>
      </c>
      <c r="P1760" s="2">
        <v>0.0</v>
      </c>
      <c r="Q1760" s="3">
        <f t="shared" si="7"/>
        <v>0</v>
      </c>
      <c r="R1760" s="2">
        <v>0.0</v>
      </c>
      <c r="S1760" s="5">
        <f t="shared" si="8"/>
        <v>0</v>
      </c>
    </row>
    <row r="1761">
      <c r="A1761" s="2" t="s">
        <v>1772</v>
      </c>
      <c r="B1761" s="2">
        <v>79.0</v>
      </c>
      <c r="C1761" s="2">
        <v>903.0</v>
      </c>
      <c r="D1761" s="2">
        <v>311.0</v>
      </c>
      <c r="E1761" s="3">
        <f t="shared" si="1"/>
        <v>0.3774271845</v>
      </c>
      <c r="F1761" s="2">
        <v>117.0</v>
      </c>
      <c r="G1761" s="3">
        <f t="shared" si="2"/>
        <v>0.1419902913</v>
      </c>
      <c r="H1761" s="2">
        <v>176.0</v>
      </c>
      <c r="I1761" s="3">
        <f t="shared" si="3"/>
        <v>0.213592233</v>
      </c>
      <c r="J1761" s="2">
        <v>105.0</v>
      </c>
      <c r="K1761" s="3">
        <f t="shared" si="4"/>
        <v>0.1274271845</v>
      </c>
      <c r="L1761" s="2">
        <v>93.0</v>
      </c>
      <c r="M1761" s="3">
        <f t="shared" si="5"/>
        <v>0.5284090909</v>
      </c>
      <c r="N1761" s="2">
        <v>880400.0</v>
      </c>
      <c r="O1761" s="4">
        <f t="shared" si="6"/>
        <v>5002.272727</v>
      </c>
      <c r="P1761" s="2">
        <v>0.0</v>
      </c>
      <c r="Q1761" s="3">
        <f t="shared" si="7"/>
        <v>0</v>
      </c>
      <c r="R1761" s="2">
        <v>79.0</v>
      </c>
      <c r="S1761" s="5">
        <f t="shared" si="8"/>
        <v>1</v>
      </c>
    </row>
    <row r="1762">
      <c r="A1762" s="2" t="s">
        <v>1773</v>
      </c>
      <c r="B1762" s="2">
        <v>64.0</v>
      </c>
      <c r="C1762" s="2">
        <v>719.0</v>
      </c>
      <c r="D1762" s="2">
        <v>228.0</v>
      </c>
      <c r="E1762" s="3">
        <f t="shared" si="1"/>
        <v>0.3480916031</v>
      </c>
      <c r="F1762" s="2">
        <v>93.0</v>
      </c>
      <c r="G1762" s="3">
        <f t="shared" si="2"/>
        <v>0.1419847328</v>
      </c>
      <c r="H1762" s="2">
        <v>135.0</v>
      </c>
      <c r="I1762" s="3">
        <f t="shared" si="3"/>
        <v>0.2061068702</v>
      </c>
      <c r="J1762" s="2">
        <v>113.0</v>
      </c>
      <c r="K1762" s="3">
        <f t="shared" si="4"/>
        <v>0.172519084</v>
      </c>
      <c r="L1762" s="2">
        <v>86.0</v>
      </c>
      <c r="M1762" s="3">
        <f t="shared" si="5"/>
        <v>0.637037037</v>
      </c>
      <c r="N1762" s="2">
        <v>729300.0</v>
      </c>
      <c r="O1762" s="4">
        <f t="shared" si="6"/>
        <v>5402.222222</v>
      </c>
      <c r="P1762" s="2">
        <v>1.0</v>
      </c>
      <c r="Q1762" s="3">
        <f t="shared" si="7"/>
        <v>0.015625</v>
      </c>
      <c r="R1762" s="2">
        <v>0.0</v>
      </c>
      <c r="S1762" s="5">
        <f t="shared" si="8"/>
        <v>0</v>
      </c>
    </row>
    <row r="1763">
      <c r="A1763" s="2" t="s">
        <v>1774</v>
      </c>
      <c r="B1763" s="2">
        <v>195.0</v>
      </c>
      <c r="C1763" s="2">
        <v>2322.0</v>
      </c>
      <c r="D1763" s="2">
        <v>623.0</v>
      </c>
      <c r="E1763" s="3">
        <f t="shared" si="1"/>
        <v>0.2929007992</v>
      </c>
      <c r="F1763" s="2">
        <v>302.0</v>
      </c>
      <c r="G1763" s="3">
        <f t="shared" si="2"/>
        <v>0.141984015</v>
      </c>
      <c r="H1763" s="2">
        <v>382.0</v>
      </c>
      <c r="I1763" s="3">
        <f t="shared" si="3"/>
        <v>0.1795956747</v>
      </c>
      <c r="J1763" s="2">
        <v>323.0</v>
      </c>
      <c r="K1763" s="3">
        <f t="shared" si="4"/>
        <v>0.1518570757</v>
      </c>
      <c r="L1763" s="2">
        <v>239.0</v>
      </c>
      <c r="M1763" s="3">
        <f t="shared" si="5"/>
        <v>0.6256544503</v>
      </c>
      <c r="N1763" s="2">
        <v>2111000.0</v>
      </c>
      <c r="O1763" s="4">
        <f t="shared" si="6"/>
        <v>5526.17801</v>
      </c>
      <c r="P1763" s="2">
        <v>0.0</v>
      </c>
      <c r="Q1763" s="3">
        <f t="shared" si="7"/>
        <v>0</v>
      </c>
      <c r="R1763" s="2">
        <v>195.0</v>
      </c>
      <c r="S1763" s="5">
        <f t="shared" si="8"/>
        <v>1</v>
      </c>
    </row>
    <row r="1764">
      <c r="A1764" s="2" t="s">
        <v>1775</v>
      </c>
      <c r="B1764" s="2">
        <v>76.0</v>
      </c>
      <c r="C1764" s="2">
        <v>879.0</v>
      </c>
      <c r="D1764" s="2">
        <v>261.0</v>
      </c>
      <c r="E1764" s="3">
        <f t="shared" si="1"/>
        <v>0.3250311333</v>
      </c>
      <c r="F1764" s="2">
        <v>114.0</v>
      </c>
      <c r="G1764" s="3">
        <f t="shared" si="2"/>
        <v>0.1419676214</v>
      </c>
      <c r="H1764" s="2">
        <v>144.0</v>
      </c>
      <c r="I1764" s="3">
        <f t="shared" si="3"/>
        <v>0.1793275218</v>
      </c>
      <c r="J1764" s="2">
        <v>154.0</v>
      </c>
      <c r="K1764" s="3">
        <f t="shared" si="4"/>
        <v>0.1917808219</v>
      </c>
      <c r="L1764" s="2">
        <v>89.0</v>
      </c>
      <c r="M1764" s="3">
        <f t="shared" si="5"/>
        <v>0.6180555556</v>
      </c>
      <c r="N1764" s="2">
        <v>841700.0</v>
      </c>
      <c r="O1764" s="4">
        <f t="shared" si="6"/>
        <v>5845.138889</v>
      </c>
      <c r="P1764" s="2">
        <v>0.0</v>
      </c>
      <c r="Q1764" s="3">
        <f t="shared" si="7"/>
        <v>0</v>
      </c>
      <c r="R1764" s="2">
        <v>4.0</v>
      </c>
      <c r="S1764" s="5">
        <f t="shared" si="8"/>
        <v>0.05263157895</v>
      </c>
    </row>
    <row r="1765">
      <c r="A1765" s="2" t="s">
        <v>1776</v>
      </c>
      <c r="B1765" s="2">
        <v>129.0</v>
      </c>
      <c r="C1765" s="2">
        <v>1573.0</v>
      </c>
      <c r="D1765" s="2">
        <v>588.0</v>
      </c>
      <c r="E1765" s="3">
        <f t="shared" si="1"/>
        <v>0.4072022161</v>
      </c>
      <c r="F1765" s="2">
        <v>205.0</v>
      </c>
      <c r="G1765" s="3">
        <f t="shared" si="2"/>
        <v>0.141966759</v>
      </c>
      <c r="H1765" s="2">
        <v>280.0</v>
      </c>
      <c r="I1765" s="3">
        <f t="shared" si="3"/>
        <v>0.1939058172</v>
      </c>
      <c r="J1765" s="2">
        <v>270.0</v>
      </c>
      <c r="K1765" s="3">
        <f t="shared" si="4"/>
        <v>0.1869806094</v>
      </c>
      <c r="L1765" s="2">
        <v>175.0</v>
      </c>
      <c r="M1765" s="3">
        <f t="shared" si="5"/>
        <v>0.625</v>
      </c>
      <c r="N1765" s="2">
        <v>1462900.0</v>
      </c>
      <c r="O1765" s="4">
        <f t="shared" si="6"/>
        <v>5224.642857</v>
      </c>
      <c r="P1765" s="2">
        <v>0.0</v>
      </c>
      <c r="Q1765" s="3">
        <f t="shared" si="7"/>
        <v>0</v>
      </c>
      <c r="R1765" s="2">
        <v>129.0</v>
      </c>
      <c r="S1765" s="5">
        <f t="shared" si="8"/>
        <v>1</v>
      </c>
    </row>
    <row r="1766">
      <c r="A1766" s="2" t="s">
        <v>1777</v>
      </c>
      <c r="B1766" s="2">
        <v>598.0</v>
      </c>
      <c r="C1766" s="2">
        <v>7015.0</v>
      </c>
      <c r="D1766" s="2">
        <v>2454.0</v>
      </c>
      <c r="E1766" s="3">
        <f t="shared" si="1"/>
        <v>0.3824216924</v>
      </c>
      <c r="F1766" s="2">
        <v>911.0</v>
      </c>
      <c r="G1766" s="3">
        <f t="shared" si="2"/>
        <v>0.1419666511</v>
      </c>
      <c r="H1766" s="2">
        <v>1419.0</v>
      </c>
      <c r="I1766" s="3">
        <f t="shared" si="3"/>
        <v>0.2211313698</v>
      </c>
      <c r="J1766" s="2">
        <v>1204.0</v>
      </c>
      <c r="K1766" s="3">
        <f t="shared" si="4"/>
        <v>0.1876266168</v>
      </c>
      <c r="L1766" s="2">
        <v>812.0</v>
      </c>
      <c r="M1766" s="3">
        <f t="shared" si="5"/>
        <v>0.5722339676</v>
      </c>
      <c r="N1766" s="2">
        <v>8361200.0</v>
      </c>
      <c r="O1766" s="4">
        <f t="shared" si="6"/>
        <v>5892.318534</v>
      </c>
      <c r="P1766" s="2">
        <v>0.0</v>
      </c>
      <c r="Q1766" s="3">
        <f t="shared" si="7"/>
        <v>0</v>
      </c>
      <c r="R1766" s="2">
        <v>598.0</v>
      </c>
      <c r="S1766" s="5">
        <f t="shared" si="8"/>
        <v>1</v>
      </c>
    </row>
    <row r="1767">
      <c r="A1767" s="2" t="s">
        <v>1778</v>
      </c>
      <c r="B1767" s="2">
        <v>384.0</v>
      </c>
      <c r="C1767" s="2">
        <v>4505.0</v>
      </c>
      <c r="D1767" s="2">
        <v>1476.0</v>
      </c>
      <c r="E1767" s="3">
        <f t="shared" si="1"/>
        <v>0.3581654938</v>
      </c>
      <c r="F1767" s="2">
        <v>585.0</v>
      </c>
      <c r="G1767" s="3">
        <f t="shared" si="2"/>
        <v>0.141955836</v>
      </c>
      <c r="H1767" s="2">
        <v>883.0</v>
      </c>
      <c r="I1767" s="3">
        <f t="shared" si="3"/>
        <v>0.2142683815</v>
      </c>
      <c r="J1767" s="2">
        <v>723.0</v>
      </c>
      <c r="K1767" s="3">
        <f t="shared" si="4"/>
        <v>0.1754428537</v>
      </c>
      <c r="L1767" s="2">
        <v>504.0</v>
      </c>
      <c r="M1767" s="3">
        <f t="shared" si="5"/>
        <v>0.570781427</v>
      </c>
      <c r="N1767" s="2">
        <v>4833700.0</v>
      </c>
      <c r="O1767" s="4">
        <f t="shared" si="6"/>
        <v>5474.178935</v>
      </c>
      <c r="P1767" s="2">
        <v>2.0</v>
      </c>
      <c r="Q1767" s="3">
        <f t="shared" si="7"/>
        <v>0.005208333333</v>
      </c>
      <c r="R1767" s="2">
        <v>381.0</v>
      </c>
      <c r="S1767" s="5">
        <f t="shared" si="8"/>
        <v>0.9921875</v>
      </c>
    </row>
    <row r="1768">
      <c r="A1768" s="2" t="s">
        <v>1779</v>
      </c>
      <c r="B1768" s="2">
        <v>75.0</v>
      </c>
      <c r="C1768" s="2">
        <v>864.0</v>
      </c>
      <c r="D1768" s="2">
        <v>204.0</v>
      </c>
      <c r="E1768" s="3">
        <f t="shared" si="1"/>
        <v>0.2585551331</v>
      </c>
      <c r="F1768" s="2">
        <v>112.0</v>
      </c>
      <c r="G1768" s="3">
        <f t="shared" si="2"/>
        <v>0.1419518378</v>
      </c>
      <c r="H1768" s="2">
        <v>135.0</v>
      </c>
      <c r="I1768" s="3">
        <f t="shared" si="3"/>
        <v>0.1711026616</v>
      </c>
      <c r="J1768" s="2">
        <v>125.0</v>
      </c>
      <c r="K1768" s="3">
        <f t="shared" si="4"/>
        <v>0.1584283904</v>
      </c>
      <c r="L1768" s="2">
        <v>69.0</v>
      </c>
      <c r="M1768" s="3">
        <f t="shared" si="5"/>
        <v>0.5111111111</v>
      </c>
      <c r="N1768" s="2">
        <v>697200.0</v>
      </c>
      <c r="O1768" s="4">
        <f t="shared" si="6"/>
        <v>5164.444444</v>
      </c>
      <c r="P1768" s="2">
        <v>0.0</v>
      </c>
      <c r="Q1768" s="3">
        <f t="shared" si="7"/>
        <v>0</v>
      </c>
      <c r="R1768" s="2">
        <v>0.0</v>
      </c>
      <c r="S1768" s="5">
        <f t="shared" si="8"/>
        <v>0</v>
      </c>
    </row>
    <row r="1769">
      <c r="A1769" s="2" t="s">
        <v>1780</v>
      </c>
      <c r="B1769" s="2">
        <v>105.0</v>
      </c>
      <c r="C1769" s="2">
        <v>1204.0</v>
      </c>
      <c r="D1769" s="2">
        <v>312.0</v>
      </c>
      <c r="E1769" s="3">
        <f t="shared" si="1"/>
        <v>0.2838944495</v>
      </c>
      <c r="F1769" s="2">
        <v>156.0</v>
      </c>
      <c r="G1769" s="3">
        <f t="shared" si="2"/>
        <v>0.1419472247</v>
      </c>
      <c r="H1769" s="2">
        <v>195.0</v>
      </c>
      <c r="I1769" s="3">
        <f t="shared" si="3"/>
        <v>0.1774340309</v>
      </c>
      <c r="J1769" s="2">
        <v>207.0</v>
      </c>
      <c r="K1769" s="3">
        <f t="shared" si="4"/>
        <v>0.1883530482</v>
      </c>
      <c r="L1769" s="2">
        <v>106.0</v>
      </c>
      <c r="M1769" s="3">
        <f t="shared" si="5"/>
        <v>0.5435897436</v>
      </c>
      <c r="N1769" s="2">
        <v>1199500.0</v>
      </c>
      <c r="O1769" s="4">
        <f t="shared" si="6"/>
        <v>6151.282051</v>
      </c>
      <c r="P1769" s="2">
        <v>0.0</v>
      </c>
      <c r="Q1769" s="3">
        <f t="shared" si="7"/>
        <v>0</v>
      </c>
      <c r="R1769" s="2">
        <v>105.0</v>
      </c>
      <c r="S1769" s="5">
        <f t="shared" si="8"/>
        <v>1</v>
      </c>
    </row>
    <row r="1770">
      <c r="A1770" s="2" t="s">
        <v>1781</v>
      </c>
      <c r="B1770" s="2">
        <v>16.0</v>
      </c>
      <c r="C1770" s="2">
        <v>171.0</v>
      </c>
      <c r="D1770" s="2">
        <v>49.0</v>
      </c>
      <c r="E1770" s="3">
        <f t="shared" si="1"/>
        <v>0.3161290323</v>
      </c>
      <c r="F1770" s="2">
        <v>22.0</v>
      </c>
      <c r="G1770" s="3">
        <f t="shared" si="2"/>
        <v>0.1419354839</v>
      </c>
      <c r="H1770" s="2">
        <v>23.0</v>
      </c>
      <c r="I1770" s="3">
        <f t="shared" si="3"/>
        <v>0.1483870968</v>
      </c>
      <c r="J1770" s="2">
        <v>26.0</v>
      </c>
      <c r="K1770" s="3">
        <f t="shared" si="4"/>
        <v>0.1677419355</v>
      </c>
      <c r="L1770" s="2">
        <v>16.0</v>
      </c>
      <c r="M1770" s="3">
        <f t="shared" si="5"/>
        <v>0.6956521739</v>
      </c>
      <c r="N1770" s="2">
        <v>121100.0</v>
      </c>
      <c r="O1770" s="4">
        <f t="shared" si="6"/>
        <v>5265.217391</v>
      </c>
      <c r="P1770" s="2">
        <v>0.0</v>
      </c>
      <c r="Q1770" s="3">
        <f t="shared" si="7"/>
        <v>0</v>
      </c>
      <c r="R1770" s="2">
        <v>16.0</v>
      </c>
      <c r="S1770" s="5">
        <f t="shared" si="8"/>
        <v>1</v>
      </c>
    </row>
    <row r="1771">
      <c r="A1771" s="2" t="s">
        <v>1782</v>
      </c>
      <c r="B1771" s="2">
        <v>43.0</v>
      </c>
      <c r="C1771" s="2">
        <v>508.0</v>
      </c>
      <c r="D1771" s="2">
        <v>171.0</v>
      </c>
      <c r="E1771" s="3">
        <f t="shared" si="1"/>
        <v>0.3677419355</v>
      </c>
      <c r="F1771" s="2">
        <v>66.0</v>
      </c>
      <c r="G1771" s="3">
        <f t="shared" si="2"/>
        <v>0.1419354839</v>
      </c>
      <c r="H1771" s="2">
        <v>85.0</v>
      </c>
      <c r="I1771" s="3">
        <f t="shared" si="3"/>
        <v>0.1827956989</v>
      </c>
      <c r="J1771" s="2">
        <v>77.0</v>
      </c>
      <c r="K1771" s="3">
        <f t="shared" si="4"/>
        <v>0.1655913978</v>
      </c>
      <c r="L1771" s="2">
        <v>50.0</v>
      </c>
      <c r="M1771" s="3">
        <f t="shared" si="5"/>
        <v>0.5882352941</v>
      </c>
      <c r="N1771" s="2">
        <v>394900.0</v>
      </c>
      <c r="O1771" s="4">
        <f t="shared" si="6"/>
        <v>4645.882353</v>
      </c>
      <c r="P1771" s="2">
        <v>0.0</v>
      </c>
      <c r="Q1771" s="3">
        <f t="shared" si="7"/>
        <v>0</v>
      </c>
      <c r="R1771" s="2">
        <v>43.0</v>
      </c>
      <c r="S1771" s="5">
        <f t="shared" si="8"/>
        <v>1</v>
      </c>
    </row>
    <row r="1772">
      <c r="A1772" s="2" t="s">
        <v>1783</v>
      </c>
      <c r="B1772" s="2">
        <v>1120.0</v>
      </c>
      <c r="C1772" s="2">
        <v>13063.0</v>
      </c>
      <c r="D1772" s="2">
        <v>4618.0</v>
      </c>
      <c r="E1772" s="3">
        <f t="shared" si="1"/>
        <v>0.3866700159</v>
      </c>
      <c r="F1772" s="2">
        <v>1695.0</v>
      </c>
      <c r="G1772" s="3">
        <f t="shared" si="2"/>
        <v>0.1419241397</v>
      </c>
      <c r="H1772" s="2">
        <v>2580.0</v>
      </c>
      <c r="I1772" s="3">
        <f t="shared" si="3"/>
        <v>0.2160261241</v>
      </c>
      <c r="J1772" s="2">
        <v>2188.0</v>
      </c>
      <c r="K1772" s="3">
        <f t="shared" si="4"/>
        <v>0.1832035502</v>
      </c>
      <c r="L1772" s="2">
        <v>1530.0</v>
      </c>
      <c r="M1772" s="3">
        <f t="shared" si="5"/>
        <v>0.5930232558</v>
      </c>
      <c r="N1772" s="2">
        <v>1.44138E7</v>
      </c>
      <c r="O1772" s="4">
        <f t="shared" si="6"/>
        <v>5586.744186</v>
      </c>
      <c r="P1772" s="2">
        <v>1.0</v>
      </c>
      <c r="Q1772" s="3">
        <f t="shared" si="7"/>
        <v>0.0008928571429</v>
      </c>
      <c r="R1772" s="2">
        <v>798.0</v>
      </c>
      <c r="S1772" s="5">
        <f t="shared" si="8"/>
        <v>0.7125</v>
      </c>
    </row>
    <row r="1773">
      <c r="A1773" s="2" t="s">
        <v>1784</v>
      </c>
      <c r="B1773" s="2">
        <v>114.0</v>
      </c>
      <c r="C1773" s="2">
        <v>1326.0</v>
      </c>
      <c r="D1773" s="2">
        <v>279.0</v>
      </c>
      <c r="E1773" s="3">
        <f t="shared" si="1"/>
        <v>0.2301980198</v>
      </c>
      <c r="F1773" s="2">
        <v>172.0</v>
      </c>
      <c r="G1773" s="3">
        <f t="shared" si="2"/>
        <v>0.1419141914</v>
      </c>
      <c r="H1773" s="2">
        <v>233.0</v>
      </c>
      <c r="I1773" s="3">
        <f t="shared" si="3"/>
        <v>0.1922442244</v>
      </c>
      <c r="J1773" s="2">
        <v>217.0</v>
      </c>
      <c r="K1773" s="3">
        <f t="shared" si="4"/>
        <v>0.1790429043</v>
      </c>
      <c r="L1773" s="2">
        <v>135.0</v>
      </c>
      <c r="M1773" s="3">
        <f t="shared" si="5"/>
        <v>0.5793991416</v>
      </c>
      <c r="N1773" s="2">
        <v>1467500.0</v>
      </c>
      <c r="O1773" s="4">
        <f t="shared" si="6"/>
        <v>6298.283262</v>
      </c>
      <c r="P1773" s="2">
        <v>1.0</v>
      </c>
      <c r="Q1773" s="3">
        <f t="shared" si="7"/>
        <v>0.008771929825</v>
      </c>
      <c r="R1773" s="2">
        <v>114.0</v>
      </c>
      <c r="S1773" s="5">
        <f t="shared" si="8"/>
        <v>1</v>
      </c>
    </row>
    <row r="1774">
      <c r="A1774" s="2" t="s">
        <v>1785</v>
      </c>
      <c r="B1774" s="2">
        <v>40.0</v>
      </c>
      <c r="C1774" s="2">
        <v>491.0</v>
      </c>
      <c r="D1774" s="2">
        <v>161.0</v>
      </c>
      <c r="E1774" s="3">
        <f t="shared" si="1"/>
        <v>0.3569844789</v>
      </c>
      <c r="F1774" s="2">
        <v>64.0</v>
      </c>
      <c r="G1774" s="3">
        <f t="shared" si="2"/>
        <v>0.1419068736</v>
      </c>
      <c r="H1774" s="2">
        <v>76.0</v>
      </c>
      <c r="I1774" s="3">
        <f t="shared" si="3"/>
        <v>0.1685144124</v>
      </c>
      <c r="J1774" s="2">
        <v>62.0</v>
      </c>
      <c r="K1774" s="3">
        <f t="shared" si="4"/>
        <v>0.1374722838</v>
      </c>
      <c r="L1774" s="2">
        <v>46.0</v>
      </c>
      <c r="M1774" s="3">
        <f t="shared" si="5"/>
        <v>0.6052631579</v>
      </c>
      <c r="N1774" s="2">
        <v>351000.0</v>
      </c>
      <c r="O1774" s="4">
        <f t="shared" si="6"/>
        <v>4618.421053</v>
      </c>
      <c r="P1774" s="2">
        <v>0.0</v>
      </c>
      <c r="Q1774" s="3">
        <f t="shared" si="7"/>
        <v>0</v>
      </c>
      <c r="R1774" s="2">
        <v>38.0</v>
      </c>
      <c r="S1774" s="5">
        <f t="shared" si="8"/>
        <v>0.95</v>
      </c>
    </row>
    <row r="1775">
      <c r="A1775" s="2" t="s">
        <v>1786</v>
      </c>
      <c r="B1775" s="2">
        <v>223.0</v>
      </c>
      <c r="C1775" s="2">
        <v>2626.0</v>
      </c>
      <c r="D1775" s="2">
        <v>1131.0</v>
      </c>
      <c r="E1775" s="3">
        <f t="shared" si="1"/>
        <v>0.4706616729</v>
      </c>
      <c r="F1775" s="2">
        <v>341.0</v>
      </c>
      <c r="G1775" s="3">
        <f t="shared" si="2"/>
        <v>0.1419059509</v>
      </c>
      <c r="H1775" s="2">
        <v>455.0</v>
      </c>
      <c r="I1775" s="3">
        <f t="shared" si="3"/>
        <v>0.18934665</v>
      </c>
      <c r="J1775" s="2">
        <v>305.0</v>
      </c>
      <c r="K1775" s="3">
        <f t="shared" si="4"/>
        <v>0.1269246775</v>
      </c>
      <c r="L1775" s="2">
        <v>279.0</v>
      </c>
      <c r="M1775" s="3">
        <f t="shared" si="5"/>
        <v>0.6131868132</v>
      </c>
      <c r="N1775" s="2">
        <v>2539900.0</v>
      </c>
      <c r="O1775" s="4">
        <f t="shared" si="6"/>
        <v>5582.197802</v>
      </c>
      <c r="P1775" s="2">
        <v>0.0</v>
      </c>
      <c r="Q1775" s="3">
        <f t="shared" si="7"/>
        <v>0</v>
      </c>
      <c r="R1775" s="2">
        <v>201.0</v>
      </c>
      <c r="S1775" s="5">
        <f t="shared" si="8"/>
        <v>0.9013452915</v>
      </c>
    </row>
    <row r="1776">
      <c r="A1776" s="2" t="s">
        <v>1787</v>
      </c>
      <c r="B1776" s="2">
        <v>13.0</v>
      </c>
      <c r="C1776" s="2">
        <v>161.0</v>
      </c>
      <c r="D1776" s="2">
        <v>60.0</v>
      </c>
      <c r="E1776" s="3">
        <f t="shared" si="1"/>
        <v>0.4054054054</v>
      </c>
      <c r="F1776" s="2">
        <v>21.0</v>
      </c>
      <c r="G1776" s="3">
        <f t="shared" si="2"/>
        <v>0.1418918919</v>
      </c>
      <c r="H1776" s="2">
        <v>29.0</v>
      </c>
      <c r="I1776" s="3">
        <f t="shared" si="3"/>
        <v>0.1959459459</v>
      </c>
      <c r="J1776" s="2">
        <v>29.0</v>
      </c>
      <c r="K1776" s="3">
        <f t="shared" si="4"/>
        <v>0.1959459459</v>
      </c>
      <c r="L1776" s="2">
        <v>18.0</v>
      </c>
      <c r="M1776" s="3">
        <f t="shared" si="5"/>
        <v>0.6206896552</v>
      </c>
      <c r="N1776" s="2">
        <v>142300.0</v>
      </c>
      <c r="O1776" s="4">
        <f t="shared" si="6"/>
        <v>4906.896552</v>
      </c>
      <c r="P1776" s="2">
        <v>0.0</v>
      </c>
      <c r="Q1776" s="3">
        <f t="shared" si="7"/>
        <v>0</v>
      </c>
      <c r="R1776" s="2">
        <v>13.0</v>
      </c>
      <c r="S1776" s="5">
        <f t="shared" si="8"/>
        <v>1</v>
      </c>
    </row>
    <row r="1777">
      <c r="A1777" s="2" t="s">
        <v>1788</v>
      </c>
      <c r="B1777" s="2">
        <v>138.0</v>
      </c>
      <c r="C1777" s="2">
        <v>1618.0</v>
      </c>
      <c r="D1777" s="2">
        <v>541.0</v>
      </c>
      <c r="E1777" s="3">
        <f t="shared" si="1"/>
        <v>0.3655405405</v>
      </c>
      <c r="F1777" s="2">
        <v>210.0</v>
      </c>
      <c r="G1777" s="3">
        <f t="shared" si="2"/>
        <v>0.1418918919</v>
      </c>
      <c r="H1777" s="2">
        <v>347.0</v>
      </c>
      <c r="I1777" s="3">
        <f t="shared" si="3"/>
        <v>0.2344594595</v>
      </c>
      <c r="J1777" s="2">
        <v>244.0</v>
      </c>
      <c r="K1777" s="3">
        <f t="shared" si="4"/>
        <v>0.1648648649</v>
      </c>
      <c r="L1777" s="2">
        <v>211.0</v>
      </c>
      <c r="M1777" s="3">
        <f t="shared" si="5"/>
        <v>0.6080691643</v>
      </c>
      <c r="N1777" s="2">
        <v>1732900.0</v>
      </c>
      <c r="O1777" s="4">
        <f t="shared" si="6"/>
        <v>4993.948127</v>
      </c>
      <c r="P1777" s="2">
        <v>0.0</v>
      </c>
      <c r="Q1777" s="3">
        <f t="shared" si="7"/>
        <v>0</v>
      </c>
      <c r="R1777" s="2">
        <v>138.0</v>
      </c>
      <c r="S1777" s="5">
        <f t="shared" si="8"/>
        <v>1</v>
      </c>
    </row>
    <row r="1778">
      <c r="A1778" s="2" t="s">
        <v>1789</v>
      </c>
      <c r="B1778" s="2">
        <v>110.0</v>
      </c>
      <c r="C1778" s="2">
        <v>1273.0</v>
      </c>
      <c r="D1778" s="2">
        <v>293.0</v>
      </c>
      <c r="E1778" s="3">
        <f t="shared" si="1"/>
        <v>0.2519346518</v>
      </c>
      <c r="F1778" s="2">
        <v>165.0</v>
      </c>
      <c r="G1778" s="3">
        <f t="shared" si="2"/>
        <v>0.1418744626</v>
      </c>
      <c r="H1778" s="2">
        <v>221.0</v>
      </c>
      <c r="I1778" s="3">
        <f t="shared" si="3"/>
        <v>0.1900257954</v>
      </c>
      <c r="J1778" s="2">
        <v>247.0</v>
      </c>
      <c r="K1778" s="3">
        <f t="shared" si="4"/>
        <v>0.2123817713</v>
      </c>
      <c r="L1778" s="2">
        <v>129.0</v>
      </c>
      <c r="M1778" s="3">
        <f t="shared" si="5"/>
        <v>0.5837104072</v>
      </c>
      <c r="N1778" s="2">
        <v>1312400.0</v>
      </c>
      <c r="O1778" s="4">
        <f t="shared" si="6"/>
        <v>5938.461538</v>
      </c>
      <c r="P1778" s="2">
        <v>1.0</v>
      </c>
      <c r="Q1778" s="3">
        <f t="shared" si="7"/>
        <v>0.009090909091</v>
      </c>
      <c r="R1778" s="2">
        <v>110.0</v>
      </c>
      <c r="S1778" s="5">
        <f t="shared" si="8"/>
        <v>1</v>
      </c>
    </row>
    <row r="1779">
      <c r="A1779" s="2" t="s">
        <v>1790</v>
      </c>
      <c r="B1779" s="2">
        <v>40.0</v>
      </c>
      <c r="C1779" s="2">
        <v>470.0</v>
      </c>
      <c r="D1779" s="2">
        <v>189.0</v>
      </c>
      <c r="E1779" s="3">
        <f t="shared" si="1"/>
        <v>0.4395348837</v>
      </c>
      <c r="F1779" s="2">
        <v>61.0</v>
      </c>
      <c r="G1779" s="3">
        <f t="shared" si="2"/>
        <v>0.1418604651</v>
      </c>
      <c r="H1779" s="2">
        <v>89.0</v>
      </c>
      <c r="I1779" s="3">
        <f t="shared" si="3"/>
        <v>0.2069767442</v>
      </c>
      <c r="J1779" s="2">
        <v>67.0</v>
      </c>
      <c r="K1779" s="3">
        <f t="shared" si="4"/>
        <v>0.1558139535</v>
      </c>
      <c r="L1779" s="2">
        <v>54.0</v>
      </c>
      <c r="M1779" s="3">
        <f t="shared" si="5"/>
        <v>0.606741573</v>
      </c>
      <c r="N1779" s="2">
        <v>429500.0</v>
      </c>
      <c r="O1779" s="4">
        <f t="shared" si="6"/>
        <v>4825.842697</v>
      </c>
      <c r="P1779" s="2">
        <v>0.0</v>
      </c>
      <c r="Q1779" s="3">
        <f t="shared" si="7"/>
        <v>0</v>
      </c>
      <c r="R1779" s="2">
        <v>40.0</v>
      </c>
      <c r="S1779" s="5">
        <f t="shared" si="8"/>
        <v>1</v>
      </c>
    </row>
    <row r="1780">
      <c r="A1780" s="2" t="s">
        <v>1791</v>
      </c>
      <c r="B1780" s="2">
        <v>49.0</v>
      </c>
      <c r="C1780" s="2">
        <v>620.0</v>
      </c>
      <c r="D1780" s="2">
        <v>195.0</v>
      </c>
      <c r="E1780" s="3">
        <f t="shared" si="1"/>
        <v>0.3415061296</v>
      </c>
      <c r="F1780" s="2">
        <v>81.0</v>
      </c>
      <c r="G1780" s="3">
        <f t="shared" si="2"/>
        <v>0.1418563923</v>
      </c>
      <c r="H1780" s="2">
        <v>104.0</v>
      </c>
      <c r="I1780" s="3">
        <f t="shared" si="3"/>
        <v>0.1821366025</v>
      </c>
      <c r="J1780" s="2">
        <v>109.0</v>
      </c>
      <c r="K1780" s="3">
        <f t="shared" si="4"/>
        <v>0.1908931699</v>
      </c>
      <c r="L1780" s="2">
        <v>61.0</v>
      </c>
      <c r="M1780" s="3">
        <f t="shared" si="5"/>
        <v>0.5865384615</v>
      </c>
      <c r="N1780" s="2">
        <v>565200.0</v>
      </c>
      <c r="O1780" s="4">
        <f t="shared" si="6"/>
        <v>5434.615385</v>
      </c>
      <c r="P1780" s="2">
        <v>1.0</v>
      </c>
      <c r="Q1780" s="3">
        <f t="shared" si="7"/>
        <v>0.02040816327</v>
      </c>
      <c r="R1780" s="2">
        <v>49.0</v>
      </c>
      <c r="S1780" s="5">
        <f t="shared" si="8"/>
        <v>1</v>
      </c>
    </row>
    <row r="1781">
      <c r="A1781" s="2" t="s">
        <v>1792</v>
      </c>
      <c r="B1781" s="2">
        <v>311.0</v>
      </c>
      <c r="C1781" s="2">
        <v>3709.0</v>
      </c>
      <c r="D1781" s="2">
        <v>1109.0</v>
      </c>
      <c r="E1781" s="3">
        <f t="shared" si="1"/>
        <v>0.326368452</v>
      </c>
      <c r="F1781" s="2">
        <v>482.0</v>
      </c>
      <c r="G1781" s="3">
        <f t="shared" si="2"/>
        <v>0.141848146</v>
      </c>
      <c r="H1781" s="2">
        <v>718.0</v>
      </c>
      <c r="I1781" s="3">
        <f t="shared" si="3"/>
        <v>0.2113007652</v>
      </c>
      <c r="J1781" s="2">
        <v>580.0</v>
      </c>
      <c r="K1781" s="3">
        <f t="shared" si="4"/>
        <v>0.1706886404</v>
      </c>
      <c r="L1781" s="2">
        <v>425.0</v>
      </c>
      <c r="M1781" s="3">
        <f t="shared" si="5"/>
        <v>0.5919220056</v>
      </c>
      <c r="N1781" s="2">
        <v>4216100.0</v>
      </c>
      <c r="O1781" s="4">
        <f t="shared" si="6"/>
        <v>5872.005571</v>
      </c>
      <c r="P1781" s="2">
        <v>0.0</v>
      </c>
      <c r="Q1781" s="3">
        <f t="shared" si="7"/>
        <v>0</v>
      </c>
      <c r="R1781" s="2">
        <v>311.0</v>
      </c>
      <c r="S1781" s="5">
        <f t="shared" si="8"/>
        <v>1</v>
      </c>
    </row>
    <row r="1782">
      <c r="A1782" s="2" t="s">
        <v>1793</v>
      </c>
      <c r="B1782" s="2">
        <v>14.0</v>
      </c>
      <c r="C1782" s="2">
        <v>155.0</v>
      </c>
      <c r="D1782" s="2">
        <v>46.0</v>
      </c>
      <c r="E1782" s="3">
        <f t="shared" si="1"/>
        <v>0.3262411348</v>
      </c>
      <c r="F1782" s="2">
        <v>20.0</v>
      </c>
      <c r="G1782" s="3">
        <f t="shared" si="2"/>
        <v>0.1418439716</v>
      </c>
      <c r="H1782" s="2">
        <v>28.0</v>
      </c>
      <c r="I1782" s="3">
        <f t="shared" si="3"/>
        <v>0.1985815603</v>
      </c>
      <c r="J1782" s="2">
        <v>18.0</v>
      </c>
      <c r="K1782" s="3">
        <f t="shared" si="4"/>
        <v>0.1276595745</v>
      </c>
      <c r="L1782" s="2">
        <v>20.0</v>
      </c>
      <c r="M1782" s="3">
        <f t="shared" si="5"/>
        <v>0.7142857143</v>
      </c>
      <c r="N1782" s="2">
        <v>131500.0</v>
      </c>
      <c r="O1782" s="4">
        <f t="shared" si="6"/>
        <v>4696.428571</v>
      </c>
      <c r="P1782" s="2">
        <v>0.0</v>
      </c>
      <c r="Q1782" s="3">
        <f t="shared" si="7"/>
        <v>0</v>
      </c>
      <c r="R1782" s="2">
        <v>14.0</v>
      </c>
      <c r="S1782" s="5">
        <f t="shared" si="8"/>
        <v>1</v>
      </c>
    </row>
    <row r="1783">
      <c r="A1783" s="2" t="s">
        <v>1794</v>
      </c>
      <c r="B1783" s="2">
        <v>264.0</v>
      </c>
      <c r="C1783" s="2">
        <v>3077.0</v>
      </c>
      <c r="D1783" s="2">
        <v>913.0</v>
      </c>
      <c r="E1783" s="3">
        <f t="shared" si="1"/>
        <v>0.3245645219</v>
      </c>
      <c r="F1783" s="2">
        <v>399.0</v>
      </c>
      <c r="G1783" s="3">
        <f t="shared" si="2"/>
        <v>0.1418414504</v>
      </c>
      <c r="H1783" s="2">
        <v>581.0</v>
      </c>
      <c r="I1783" s="3">
        <f t="shared" si="3"/>
        <v>0.2065410594</v>
      </c>
      <c r="J1783" s="2">
        <v>604.0</v>
      </c>
      <c r="K1783" s="3">
        <f t="shared" si="4"/>
        <v>0.2147173836</v>
      </c>
      <c r="L1783" s="2">
        <v>335.0</v>
      </c>
      <c r="M1783" s="3">
        <f t="shared" si="5"/>
        <v>0.5765920826</v>
      </c>
      <c r="N1783" s="2">
        <v>3527000.0</v>
      </c>
      <c r="O1783" s="4">
        <f t="shared" si="6"/>
        <v>6070.567986</v>
      </c>
      <c r="P1783" s="2">
        <v>0.0</v>
      </c>
      <c r="Q1783" s="3">
        <f t="shared" si="7"/>
        <v>0</v>
      </c>
      <c r="R1783" s="2">
        <v>264.0</v>
      </c>
      <c r="S1783" s="5">
        <f t="shared" si="8"/>
        <v>1</v>
      </c>
    </row>
    <row r="1784">
      <c r="A1784" s="2" t="s">
        <v>1795</v>
      </c>
      <c r="B1784" s="2">
        <v>236.0</v>
      </c>
      <c r="C1784" s="2">
        <v>2746.0</v>
      </c>
      <c r="D1784" s="2">
        <v>1016.0</v>
      </c>
      <c r="E1784" s="3">
        <f t="shared" si="1"/>
        <v>0.4047808765</v>
      </c>
      <c r="F1784" s="2">
        <v>356.0</v>
      </c>
      <c r="G1784" s="3">
        <f t="shared" si="2"/>
        <v>0.1418326693</v>
      </c>
      <c r="H1784" s="2">
        <v>562.0</v>
      </c>
      <c r="I1784" s="3">
        <f t="shared" si="3"/>
        <v>0.2239043825</v>
      </c>
      <c r="J1784" s="2">
        <v>463.0</v>
      </c>
      <c r="K1784" s="3">
        <f t="shared" si="4"/>
        <v>0.1844621514</v>
      </c>
      <c r="L1784" s="2">
        <v>331.0</v>
      </c>
      <c r="M1784" s="3">
        <f t="shared" si="5"/>
        <v>0.5889679715</v>
      </c>
      <c r="N1784" s="2">
        <v>3098200.0</v>
      </c>
      <c r="O1784" s="4">
        <f t="shared" si="6"/>
        <v>5512.811388</v>
      </c>
      <c r="P1784" s="2">
        <v>0.0</v>
      </c>
      <c r="Q1784" s="3">
        <f t="shared" si="7"/>
        <v>0</v>
      </c>
      <c r="R1784" s="2">
        <v>0.0</v>
      </c>
      <c r="S1784" s="5">
        <f t="shared" si="8"/>
        <v>0</v>
      </c>
    </row>
    <row r="1785">
      <c r="A1785" s="2" t="s">
        <v>1796</v>
      </c>
      <c r="B1785" s="2">
        <v>686.0</v>
      </c>
      <c r="C1785" s="2">
        <v>8019.0</v>
      </c>
      <c r="D1785" s="2">
        <v>2908.0</v>
      </c>
      <c r="E1785" s="3">
        <f t="shared" si="1"/>
        <v>0.3965634802</v>
      </c>
      <c r="F1785" s="2">
        <v>1040.0</v>
      </c>
      <c r="G1785" s="3">
        <f t="shared" si="2"/>
        <v>0.1418246284</v>
      </c>
      <c r="H1785" s="2">
        <v>1579.0</v>
      </c>
      <c r="I1785" s="3">
        <f t="shared" si="3"/>
        <v>0.2153279695</v>
      </c>
      <c r="J1785" s="2">
        <v>1386.0</v>
      </c>
      <c r="K1785" s="3">
        <f t="shared" si="4"/>
        <v>0.1890085913</v>
      </c>
      <c r="L1785" s="2">
        <v>938.0</v>
      </c>
      <c r="M1785" s="3">
        <f t="shared" si="5"/>
        <v>0.5940468651</v>
      </c>
      <c r="N1785" s="2">
        <v>8361300.0</v>
      </c>
      <c r="O1785" s="4">
        <f t="shared" si="6"/>
        <v>5295.31349</v>
      </c>
      <c r="P1785" s="2">
        <v>2.0</v>
      </c>
      <c r="Q1785" s="3">
        <f t="shared" si="7"/>
        <v>0.002915451895</v>
      </c>
      <c r="R1785" s="2">
        <v>686.0</v>
      </c>
      <c r="S1785" s="5">
        <f t="shared" si="8"/>
        <v>1</v>
      </c>
    </row>
    <row r="1786">
      <c r="A1786" s="2" t="s">
        <v>1797</v>
      </c>
      <c r="B1786" s="2">
        <v>87.0</v>
      </c>
      <c r="C1786" s="2">
        <v>1046.0</v>
      </c>
      <c r="D1786" s="2">
        <v>346.0</v>
      </c>
      <c r="E1786" s="3">
        <f t="shared" si="1"/>
        <v>0.3607924922</v>
      </c>
      <c r="F1786" s="2">
        <v>136.0</v>
      </c>
      <c r="G1786" s="3">
        <f t="shared" si="2"/>
        <v>0.14181439</v>
      </c>
      <c r="H1786" s="2">
        <v>198.0</v>
      </c>
      <c r="I1786" s="3">
        <f t="shared" si="3"/>
        <v>0.2064650678</v>
      </c>
      <c r="J1786" s="2">
        <v>161.0</v>
      </c>
      <c r="K1786" s="3">
        <f t="shared" si="4"/>
        <v>0.1678832117</v>
      </c>
      <c r="L1786" s="2">
        <v>117.0</v>
      </c>
      <c r="M1786" s="3">
        <f t="shared" si="5"/>
        <v>0.5909090909</v>
      </c>
      <c r="N1786" s="2">
        <v>1072000.0</v>
      </c>
      <c r="O1786" s="4">
        <f t="shared" si="6"/>
        <v>5414.141414</v>
      </c>
      <c r="P1786" s="2">
        <v>0.0</v>
      </c>
      <c r="Q1786" s="3">
        <f t="shared" si="7"/>
        <v>0</v>
      </c>
      <c r="R1786" s="2">
        <v>87.0</v>
      </c>
      <c r="S1786" s="5">
        <f t="shared" si="8"/>
        <v>1</v>
      </c>
    </row>
    <row r="1787">
      <c r="A1787" s="2" t="s">
        <v>1798</v>
      </c>
      <c r="B1787" s="2">
        <v>76.0</v>
      </c>
      <c r="C1787" s="2">
        <v>887.0</v>
      </c>
      <c r="D1787" s="2">
        <v>286.0</v>
      </c>
      <c r="E1787" s="3">
        <f t="shared" si="1"/>
        <v>0.3526510481</v>
      </c>
      <c r="F1787" s="2">
        <v>115.0</v>
      </c>
      <c r="G1787" s="3">
        <f t="shared" si="2"/>
        <v>0.1418002466</v>
      </c>
      <c r="H1787" s="2">
        <v>163.0</v>
      </c>
      <c r="I1787" s="3">
        <f t="shared" si="3"/>
        <v>0.2009864365</v>
      </c>
      <c r="J1787" s="2">
        <v>146.0</v>
      </c>
      <c r="K1787" s="3">
        <f t="shared" si="4"/>
        <v>0.1800246609</v>
      </c>
      <c r="L1787" s="2">
        <v>99.0</v>
      </c>
      <c r="M1787" s="3">
        <f t="shared" si="5"/>
        <v>0.6073619632</v>
      </c>
      <c r="N1787" s="2">
        <v>829300.0</v>
      </c>
      <c r="O1787" s="4">
        <f t="shared" si="6"/>
        <v>5087.730061</v>
      </c>
      <c r="P1787" s="2">
        <v>0.0</v>
      </c>
      <c r="Q1787" s="3">
        <f t="shared" si="7"/>
        <v>0</v>
      </c>
      <c r="R1787" s="2">
        <v>76.0</v>
      </c>
      <c r="S1787" s="5">
        <f t="shared" si="8"/>
        <v>1</v>
      </c>
    </row>
    <row r="1788">
      <c r="A1788" s="2" t="s">
        <v>1799</v>
      </c>
      <c r="B1788" s="2">
        <v>754.0</v>
      </c>
      <c r="C1788" s="2">
        <v>8674.0</v>
      </c>
      <c r="D1788" s="2">
        <v>2464.0</v>
      </c>
      <c r="E1788" s="3">
        <f t="shared" si="1"/>
        <v>0.3111111111</v>
      </c>
      <c r="F1788" s="2">
        <v>1123.0</v>
      </c>
      <c r="G1788" s="3">
        <f t="shared" si="2"/>
        <v>0.1417929293</v>
      </c>
      <c r="H1788" s="2">
        <v>1644.0</v>
      </c>
      <c r="I1788" s="3">
        <f t="shared" si="3"/>
        <v>0.2075757576</v>
      </c>
      <c r="J1788" s="2">
        <v>1246.0</v>
      </c>
      <c r="K1788" s="3">
        <f t="shared" si="4"/>
        <v>0.1573232323</v>
      </c>
      <c r="L1788" s="2">
        <v>967.0</v>
      </c>
      <c r="M1788" s="3">
        <f t="shared" si="5"/>
        <v>0.5881995134</v>
      </c>
      <c r="N1788" s="2">
        <v>9923800.0</v>
      </c>
      <c r="O1788" s="4">
        <f t="shared" si="6"/>
        <v>6036.374696</v>
      </c>
      <c r="P1788" s="2">
        <v>6.0</v>
      </c>
      <c r="Q1788" s="3">
        <f t="shared" si="7"/>
        <v>0.007957559682</v>
      </c>
      <c r="R1788" s="2">
        <v>754.0</v>
      </c>
      <c r="S1788" s="5">
        <f t="shared" si="8"/>
        <v>1</v>
      </c>
    </row>
    <row r="1789">
      <c r="A1789" s="2" t="s">
        <v>1800</v>
      </c>
      <c r="B1789" s="2">
        <v>219.0</v>
      </c>
      <c r="C1789" s="2">
        <v>2490.0</v>
      </c>
      <c r="D1789" s="2">
        <v>753.0</v>
      </c>
      <c r="E1789" s="3">
        <f t="shared" si="1"/>
        <v>0.3315719947</v>
      </c>
      <c r="F1789" s="2">
        <v>322.0</v>
      </c>
      <c r="G1789" s="3">
        <f t="shared" si="2"/>
        <v>0.1417877587</v>
      </c>
      <c r="H1789" s="2">
        <v>471.0</v>
      </c>
      <c r="I1789" s="3">
        <f t="shared" si="3"/>
        <v>0.2073976222</v>
      </c>
      <c r="J1789" s="2">
        <v>318.0</v>
      </c>
      <c r="K1789" s="3">
        <f t="shared" si="4"/>
        <v>0.1400264201</v>
      </c>
      <c r="L1789" s="2">
        <v>286.0</v>
      </c>
      <c r="M1789" s="3">
        <f t="shared" si="5"/>
        <v>0.6072186837</v>
      </c>
      <c r="N1789" s="2">
        <v>2568600.0</v>
      </c>
      <c r="O1789" s="4">
        <f t="shared" si="6"/>
        <v>5453.503185</v>
      </c>
      <c r="P1789" s="2">
        <v>0.0</v>
      </c>
      <c r="Q1789" s="3">
        <f t="shared" si="7"/>
        <v>0</v>
      </c>
      <c r="R1789" s="2">
        <v>219.0</v>
      </c>
      <c r="S1789" s="5">
        <f t="shared" si="8"/>
        <v>1</v>
      </c>
    </row>
    <row r="1790">
      <c r="A1790" s="2" t="s">
        <v>1801</v>
      </c>
      <c r="B1790" s="2">
        <v>867.0</v>
      </c>
      <c r="C1790" s="2">
        <v>9895.0</v>
      </c>
      <c r="D1790" s="2">
        <v>2639.0</v>
      </c>
      <c r="E1790" s="3">
        <f t="shared" si="1"/>
        <v>0.2923128046</v>
      </c>
      <c r="F1790" s="2">
        <v>1280.0</v>
      </c>
      <c r="G1790" s="3">
        <f t="shared" si="2"/>
        <v>0.1417811254</v>
      </c>
      <c r="H1790" s="2">
        <v>1904.0</v>
      </c>
      <c r="I1790" s="3">
        <f t="shared" si="3"/>
        <v>0.210899424</v>
      </c>
      <c r="J1790" s="2">
        <v>1564.0</v>
      </c>
      <c r="K1790" s="3">
        <f t="shared" si="4"/>
        <v>0.1732388126</v>
      </c>
      <c r="L1790" s="2">
        <v>1136.0</v>
      </c>
      <c r="M1790" s="3">
        <f t="shared" si="5"/>
        <v>0.5966386555</v>
      </c>
      <c r="N1790" s="2">
        <v>1.12316E7</v>
      </c>
      <c r="O1790" s="4">
        <f t="shared" si="6"/>
        <v>5898.94958</v>
      </c>
      <c r="P1790" s="2">
        <v>1.0</v>
      </c>
      <c r="Q1790" s="3">
        <f t="shared" si="7"/>
        <v>0.001153402537</v>
      </c>
      <c r="R1790" s="2">
        <v>867.0</v>
      </c>
      <c r="S1790" s="5">
        <f t="shared" si="8"/>
        <v>1</v>
      </c>
    </row>
    <row r="1791">
      <c r="A1791" s="2" t="s">
        <v>1802</v>
      </c>
      <c r="B1791" s="2">
        <v>379.0</v>
      </c>
      <c r="C1791" s="2">
        <v>4477.0</v>
      </c>
      <c r="D1791" s="2">
        <v>1531.0</v>
      </c>
      <c r="E1791" s="3">
        <f t="shared" si="1"/>
        <v>0.3735968765</v>
      </c>
      <c r="F1791" s="2">
        <v>581.0</v>
      </c>
      <c r="G1791" s="3">
        <f t="shared" si="2"/>
        <v>0.1417764763</v>
      </c>
      <c r="H1791" s="2">
        <v>907.0</v>
      </c>
      <c r="I1791" s="3">
        <f t="shared" si="3"/>
        <v>0.2213274768</v>
      </c>
      <c r="J1791" s="2">
        <v>670.0</v>
      </c>
      <c r="K1791" s="3">
        <f t="shared" si="4"/>
        <v>0.1634943875</v>
      </c>
      <c r="L1791" s="2">
        <v>544.0</v>
      </c>
      <c r="M1791" s="3">
        <f t="shared" si="5"/>
        <v>0.5997794928</v>
      </c>
      <c r="N1791" s="2">
        <v>5221100.0</v>
      </c>
      <c r="O1791" s="4">
        <f t="shared" si="6"/>
        <v>5756.449835</v>
      </c>
      <c r="P1791" s="2">
        <v>1.0</v>
      </c>
      <c r="Q1791" s="3">
        <f t="shared" si="7"/>
        <v>0.002638522427</v>
      </c>
      <c r="R1791" s="2">
        <v>379.0</v>
      </c>
      <c r="S1791" s="5">
        <f t="shared" si="8"/>
        <v>1</v>
      </c>
    </row>
    <row r="1792">
      <c r="A1792" s="2" t="s">
        <v>1803</v>
      </c>
      <c r="B1792" s="2">
        <v>1066.0</v>
      </c>
      <c r="C1792" s="2">
        <v>12501.0</v>
      </c>
      <c r="D1792" s="2">
        <v>4336.0</v>
      </c>
      <c r="E1792" s="3">
        <f t="shared" si="1"/>
        <v>0.3791867075</v>
      </c>
      <c r="F1792" s="2">
        <v>1621.0</v>
      </c>
      <c r="G1792" s="3">
        <f t="shared" si="2"/>
        <v>0.1417577613</v>
      </c>
      <c r="H1792" s="2">
        <v>2349.0</v>
      </c>
      <c r="I1792" s="3">
        <f t="shared" si="3"/>
        <v>0.2054219502</v>
      </c>
      <c r="J1792" s="2">
        <v>1921.0</v>
      </c>
      <c r="K1792" s="3">
        <f t="shared" si="4"/>
        <v>0.1679930039</v>
      </c>
      <c r="L1792" s="2">
        <v>1380.0</v>
      </c>
      <c r="M1792" s="3">
        <f t="shared" si="5"/>
        <v>0.5874840358</v>
      </c>
      <c r="N1792" s="2">
        <v>1.39637E7</v>
      </c>
      <c r="O1792" s="4">
        <f t="shared" si="6"/>
        <v>5944.529587</v>
      </c>
      <c r="P1792" s="2">
        <v>1.0</v>
      </c>
      <c r="Q1792" s="3">
        <f t="shared" si="7"/>
        <v>0.0009380863039</v>
      </c>
      <c r="R1792" s="2">
        <v>10.0</v>
      </c>
      <c r="S1792" s="5">
        <f t="shared" si="8"/>
        <v>0.009380863039</v>
      </c>
    </row>
    <row r="1793">
      <c r="A1793" s="2" t="s">
        <v>1804</v>
      </c>
      <c r="B1793" s="2">
        <v>216.0</v>
      </c>
      <c r="C1793" s="2">
        <v>2544.0</v>
      </c>
      <c r="D1793" s="2">
        <v>767.0</v>
      </c>
      <c r="E1793" s="3">
        <f t="shared" si="1"/>
        <v>0.329467354</v>
      </c>
      <c r="F1793" s="2">
        <v>330.0</v>
      </c>
      <c r="G1793" s="3">
        <f t="shared" si="2"/>
        <v>0.1417525773</v>
      </c>
      <c r="H1793" s="2">
        <v>525.0</v>
      </c>
      <c r="I1793" s="3">
        <f t="shared" si="3"/>
        <v>0.2255154639</v>
      </c>
      <c r="J1793" s="2">
        <v>440.0</v>
      </c>
      <c r="K1793" s="3">
        <f t="shared" si="4"/>
        <v>0.1890034364</v>
      </c>
      <c r="L1793" s="2">
        <v>336.0</v>
      </c>
      <c r="M1793" s="3">
        <f t="shared" si="5"/>
        <v>0.64</v>
      </c>
      <c r="N1793" s="2">
        <v>2940100.0</v>
      </c>
      <c r="O1793" s="4">
        <f t="shared" si="6"/>
        <v>5600.190476</v>
      </c>
      <c r="P1793" s="2">
        <v>0.0</v>
      </c>
      <c r="Q1793" s="3">
        <f t="shared" si="7"/>
        <v>0</v>
      </c>
      <c r="R1793" s="2">
        <v>216.0</v>
      </c>
      <c r="S1793" s="5">
        <f t="shared" si="8"/>
        <v>1</v>
      </c>
    </row>
    <row r="1794">
      <c r="A1794" s="2" t="s">
        <v>1805</v>
      </c>
      <c r="B1794" s="2">
        <v>8355.0</v>
      </c>
      <c r="C1794" s="2">
        <v>97542.0</v>
      </c>
      <c r="D1794" s="2">
        <v>25119.0</v>
      </c>
      <c r="E1794" s="3">
        <f t="shared" si="1"/>
        <v>0.2816441858</v>
      </c>
      <c r="F1794" s="2">
        <v>12642.0</v>
      </c>
      <c r="G1794" s="3">
        <f t="shared" si="2"/>
        <v>0.1417471156</v>
      </c>
      <c r="H1794" s="2">
        <v>19462.0</v>
      </c>
      <c r="I1794" s="3">
        <f t="shared" si="3"/>
        <v>0.2182156592</v>
      </c>
      <c r="J1794" s="2">
        <v>16388.0</v>
      </c>
      <c r="K1794" s="3">
        <f t="shared" si="4"/>
        <v>0.1837487526</v>
      </c>
      <c r="L1794" s="2">
        <v>11681.0</v>
      </c>
      <c r="M1794" s="3">
        <f t="shared" si="5"/>
        <v>0.6001952523</v>
      </c>
      <c r="N1794" s="2">
        <v>1.130598E8</v>
      </c>
      <c r="O1794" s="4">
        <f t="shared" si="6"/>
        <v>5809.259069</v>
      </c>
      <c r="P1794" s="2">
        <v>25.0</v>
      </c>
      <c r="Q1794" s="3">
        <f t="shared" si="7"/>
        <v>0.002992220227</v>
      </c>
      <c r="R1794" s="2">
        <v>16.0</v>
      </c>
      <c r="S1794" s="5">
        <f t="shared" si="8"/>
        <v>0.001915020946</v>
      </c>
    </row>
    <row r="1795">
      <c r="A1795" s="2" t="s">
        <v>1806</v>
      </c>
      <c r="B1795" s="2">
        <v>160.0</v>
      </c>
      <c r="C1795" s="2">
        <v>1832.0</v>
      </c>
      <c r="D1795" s="2">
        <v>643.0</v>
      </c>
      <c r="E1795" s="3">
        <f t="shared" si="1"/>
        <v>0.384569378</v>
      </c>
      <c r="F1795" s="2">
        <v>237.0</v>
      </c>
      <c r="G1795" s="3">
        <f t="shared" si="2"/>
        <v>0.1417464115</v>
      </c>
      <c r="H1795" s="2">
        <v>342.0</v>
      </c>
      <c r="I1795" s="3">
        <f t="shared" si="3"/>
        <v>0.2045454545</v>
      </c>
      <c r="J1795" s="2">
        <v>286.0</v>
      </c>
      <c r="K1795" s="3">
        <f t="shared" si="4"/>
        <v>0.1710526316</v>
      </c>
      <c r="L1795" s="2">
        <v>210.0</v>
      </c>
      <c r="M1795" s="3">
        <f t="shared" si="5"/>
        <v>0.6140350877</v>
      </c>
      <c r="N1795" s="2">
        <v>1834200.0</v>
      </c>
      <c r="O1795" s="4">
        <f t="shared" si="6"/>
        <v>5363.157895</v>
      </c>
      <c r="P1795" s="2">
        <v>0.0</v>
      </c>
      <c r="Q1795" s="3">
        <f t="shared" si="7"/>
        <v>0</v>
      </c>
      <c r="R1795" s="2">
        <v>160.0</v>
      </c>
      <c r="S1795" s="5">
        <f t="shared" si="8"/>
        <v>1</v>
      </c>
    </row>
    <row r="1796">
      <c r="A1796" s="2" t="s">
        <v>1807</v>
      </c>
      <c r="B1796" s="2">
        <v>783.0</v>
      </c>
      <c r="C1796" s="2">
        <v>9202.0</v>
      </c>
      <c r="D1796" s="2">
        <v>3126.0</v>
      </c>
      <c r="E1796" s="3">
        <f t="shared" si="1"/>
        <v>0.3713030051</v>
      </c>
      <c r="F1796" s="2">
        <v>1193.0</v>
      </c>
      <c r="G1796" s="3">
        <f t="shared" si="2"/>
        <v>0.1417032902</v>
      </c>
      <c r="H1796" s="2">
        <v>1809.0</v>
      </c>
      <c r="I1796" s="3">
        <f t="shared" si="3"/>
        <v>0.2148711248</v>
      </c>
      <c r="J1796" s="2">
        <v>1633.0</v>
      </c>
      <c r="K1796" s="3">
        <f t="shared" si="4"/>
        <v>0.1939660292</v>
      </c>
      <c r="L1796" s="2">
        <v>1066.0</v>
      </c>
      <c r="M1796" s="3">
        <f t="shared" si="5"/>
        <v>0.589275843</v>
      </c>
      <c r="N1796" s="2">
        <v>9885300.0</v>
      </c>
      <c r="O1796" s="4">
        <f t="shared" si="6"/>
        <v>5464.510779</v>
      </c>
      <c r="P1796" s="2">
        <v>2.0</v>
      </c>
      <c r="Q1796" s="3">
        <f t="shared" si="7"/>
        <v>0.002554278416</v>
      </c>
      <c r="R1796" s="2">
        <v>782.0</v>
      </c>
      <c r="S1796" s="5">
        <f t="shared" si="8"/>
        <v>0.9987228608</v>
      </c>
    </row>
    <row r="1797">
      <c r="A1797" s="2" t="s">
        <v>1808</v>
      </c>
      <c r="B1797" s="2">
        <v>70.0</v>
      </c>
      <c r="C1797" s="2">
        <v>811.0</v>
      </c>
      <c r="D1797" s="2">
        <v>274.0</v>
      </c>
      <c r="E1797" s="3">
        <f t="shared" si="1"/>
        <v>0.3697705803</v>
      </c>
      <c r="F1797" s="2">
        <v>105.0</v>
      </c>
      <c r="G1797" s="3">
        <f t="shared" si="2"/>
        <v>0.1417004049</v>
      </c>
      <c r="H1797" s="2">
        <v>149.0</v>
      </c>
      <c r="I1797" s="3">
        <f t="shared" si="3"/>
        <v>0.2010796221</v>
      </c>
      <c r="J1797" s="2">
        <v>140.0</v>
      </c>
      <c r="K1797" s="3">
        <f t="shared" si="4"/>
        <v>0.1889338731</v>
      </c>
      <c r="L1797" s="2">
        <v>83.0</v>
      </c>
      <c r="M1797" s="3">
        <f t="shared" si="5"/>
        <v>0.5570469799</v>
      </c>
      <c r="N1797" s="2">
        <v>965000.0</v>
      </c>
      <c r="O1797" s="4">
        <f t="shared" si="6"/>
        <v>6476.510067</v>
      </c>
      <c r="P1797" s="2">
        <v>0.0</v>
      </c>
      <c r="Q1797" s="3">
        <f t="shared" si="7"/>
        <v>0</v>
      </c>
      <c r="R1797" s="2">
        <v>70.0</v>
      </c>
      <c r="S1797" s="5">
        <f t="shared" si="8"/>
        <v>1</v>
      </c>
    </row>
    <row r="1798">
      <c r="A1798" s="2" t="s">
        <v>1809</v>
      </c>
      <c r="B1798" s="2">
        <v>263.0</v>
      </c>
      <c r="C1798" s="2">
        <v>2980.0</v>
      </c>
      <c r="D1798" s="2">
        <v>953.0</v>
      </c>
      <c r="E1798" s="3">
        <f t="shared" si="1"/>
        <v>0.3507545086</v>
      </c>
      <c r="F1798" s="2">
        <v>385.0</v>
      </c>
      <c r="G1798" s="3">
        <f t="shared" si="2"/>
        <v>0.1417004049</v>
      </c>
      <c r="H1798" s="2">
        <v>596.0</v>
      </c>
      <c r="I1798" s="3">
        <f t="shared" si="3"/>
        <v>0.2193595878</v>
      </c>
      <c r="J1798" s="2">
        <v>485.0</v>
      </c>
      <c r="K1798" s="3">
        <f t="shared" si="4"/>
        <v>0.1785057048</v>
      </c>
      <c r="L1798" s="2">
        <v>336.0</v>
      </c>
      <c r="M1798" s="3">
        <f t="shared" si="5"/>
        <v>0.5637583893</v>
      </c>
      <c r="N1798" s="2">
        <v>3320700.0</v>
      </c>
      <c r="O1798" s="4">
        <f t="shared" si="6"/>
        <v>5571.644295</v>
      </c>
      <c r="P1798" s="2">
        <v>1.0</v>
      </c>
      <c r="Q1798" s="3">
        <f t="shared" si="7"/>
        <v>0.003802281369</v>
      </c>
      <c r="R1798" s="2">
        <v>53.0</v>
      </c>
      <c r="S1798" s="5">
        <f t="shared" si="8"/>
        <v>0.2015209125</v>
      </c>
    </row>
    <row r="1799">
      <c r="A1799" s="2" t="s">
        <v>1810</v>
      </c>
      <c r="B1799" s="2">
        <v>117.0</v>
      </c>
      <c r="C1799" s="2">
        <v>1338.0</v>
      </c>
      <c r="D1799" s="2">
        <v>373.0</v>
      </c>
      <c r="E1799" s="3">
        <f t="shared" si="1"/>
        <v>0.3054873055</v>
      </c>
      <c r="F1799" s="2">
        <v>173.0</v>
      </c>
      <c r="G1799" s="3">
        <f t="shared" si="2"/>
        <v>0.1416871417</v>
      </c>
      <c r="H1799" s="2">
        <v>249.0</v>
      </c>
      <c r="I1799" s="3">
        <f t="shared" si="3"/>
        <v>0.2039312039</v>
      </c>
      <c r="J1799" s="2">
        <v>243.0</v>
      </c>
      <c r="K1799" s="3">
        <f t="shared" si="4"/>
        <v>0.199017199</v>
      </c>
      <c r="L1799" s="2">
        <v>150.0</v>
      </c>
      <c r="M1799" s="3">
        <f t="shared" si="5"/>
        <v>0.6024096386</v>
      </c>
      <c r="N1799" s="2">
        <v>1517600.0</v>
      </c>
      <c r="O1799" s="4">
        <f t="shared" si="6"/>
        <v>6094.779116</v>
      </c>
      <c r="P1799" s="2">
        <v>0.0</v>
      </c>
      <c r="Q1799" s="3">
        <f t="shared" si="7"/>
        <v>0</v>
      </c>
      <c r="R1799" s="2">
        <v>117.0</v>
      </c>
      <c r="S1799" s="5">
        <f t="shared" si="8"/>
        <v>1</v>
      </c>
    </row>
    <row r="1800">
      <c r="A1800" s="2" t="s">
        <v>1811</v>
      </c>
      <c r="B1800" s="2">
        <v>250.0</v>
      </c>
      <c r="C1800" s="2">
        <v>2911.0</v>
      </c>
      <c r="D1800" s="2">
        <v>1209.0</v>
      </c>
      <c r="E1800" s="3">
        <f t="shared" si="1"/>
        <v>0.4543404735</v>
      </c>
      <c r="F1800" s="2">
        <v>377.0</v>
      </c>
      <c r="G1800" s="3">
        <f t="shared" si="2"/>
        <v>0.1416760616</v>
      </c>
      <c r="H1800" s="2">
        <v>571.0</v>
      </c>
      <c r="I1800" s="3">
        <f t="shared" si="3"/>
        <v>0.2145809846</v>
      </c>
      <c r="J1800" s="2">
        <v>461.0</v>
      </c>
      <c r="K1800" s="3">
        <f t="shared" si="4"/>
        <v>0.1732431417</v>
      </c>
      <c r="L1800" s="2">
        <v>326.0</v>
      </c>
      <c r="M1800" s="3">
        <f t="shared" si="5"/>
        <v>0.5709281961</v>
      </c>
      <c r="N1800" s="2">
        <v>3312100.0</v>
      </c>
      <c r="O1800" s="4">
        <f t="shared" si="6"/>
        <v>5800.525394</v>
      </c>
      <c r="P1800" s="2">
        <v>1.0</v>
      </c>
      <c r="Q1800" s="3">
        <f t="shared" si="7"/>
        <v>0.004</v>
      </c>
      <c r="R1800" s="2">
        <v>250.0</v>
      </c>
      <c r="S1800" s="5">
        <f t="shared" si="8"/>
        <v>1</v>
      </c>
    </row>
    <row r="1801">
      <c r="A1801" s="2" t="s">
        <v>1812</v>
      </c>
      <c r="B1801" s="2">
        <v>187.0</v>
      </c>
      <c r="C1801" s="2">
        <v>2213.0</v>
      </c>
      <c r="D1801" s="2">
        <v>737.0</v>
      </c>
      <c r="E1801" s="3">
        <f t="shared" si="1"/>
        <v>0.3637709773</v>
      </c>
      <c r="F1801" s="2">
        <v>287.0</v>
      </c>
      <c r="G1801" s="3">
        <f t="shared" si="2"/>
        <v>0.1416584403</v>
      </c>
      <c r="H1801" s="2">
        <v>415.0</v>
      </c>
      <c r="I1801" s="3">
        <f t="shared" si="3"/>
        <v>0.2048371175</v>
      </c>
      <c r="J1801" s="2">
        <v>342.0</v>
      </c>
      <c r="K1801" s="3">
        <f t="shared" si="4"/>
        <v>0.1688055281</v>
      </c>
      <c r="L1801" s="2">
        <v>268.0</v>
      </c>
      <c r="M1801" s="3">
        <f t="shared" si="5"/>
        <v>0.6457831325</v>
      </c>
      <c r="N1801" s="2">
        <v>2361400.0</v>
      </c>
      <c r="O1801" s="4">
        <f t="shared" si="6"/>
        <v>5690.120482</v>
      </c>
      <c r="P1801" s="2">
        <v>0.0</v>
      </c>
      <c r="Q1801" s="3">
        <f t="shared" si="7"/>
        <v>0</v>
      </c>
      <c r="R1801" s="2">
        <v>187.0</v>
      </c>
      <c r="S1801" s="5">
        <f t="shared" si="8"/>
        <v>1</v>
      </c>
    </row>
    <row r="1802">
      <c r="A1802" s="2" t="s">
        <v>1813</v>
      </c>
      <c r="B1802" s="2">
        <v>155.0</v>
      </c>
      <c r="C1802" s="2">
        <v>1800.0</v>
      </c>
      <c r="D1802" s="2">
        <v>747.0</v>
      </c>
      <c r="E1802" s="3">
        <f t="shared" si="1"/>
        <v>0.4541033435</v>
      </c>
      <c r="F1802" s="2">
        <v>233.0</v>
      </c>
      <c r="G1802" s="3">
        <f t="shared" si="2"/>
        <v>0.1416413374</v>
      </c>
      <c r="H1802" s="2">
        <v>339.0</v>
      </c>
      <c r="I1802" s="3">
        <f t="shared" si="3"/>
        <v>0.2060790274</v>
      </c>
      <c r="J1802" s="2">
        <v>280.0</v>
      </c>
      <c r="K1802" s="3">
        <f t="shared" si="4"/>
        <v>0.170212766</v>
      </c>
      <c r="L1802" s="2">
        <v>227.0</v>
      </c>
      <c r="M1802" s="3">
        <f t="shared" si="5"/>
        <v>0.6696165192</v>
      </c>
      <c r="N1802" s="2">
        <v>1782500.0</v>
      </c>
      <c r="O1802" s="4">
        <f t="shared" si="6"/>
        <v>5258.112094</v>
      </c>
      <c r="P1802" s="2">
        <v>1.0</v>
      </c>
      <c r="Q1802" s="3">
        <f t="shared" si="7"/>
        <v>0.006451612903</v>
      </c>
      <c r="R1802" s="2">
        <v>155.0</v>
      </c>
      <c r="S1802" s="5">
        <f t="shared" si="8"/>
        <v>1</v>
      </c>
    </row>
    <row r="1803">
      <c r="A1803" s="2" t="s">
        <v>1814</v>
      </c>
      <c r="B1803" s="2">
        <v>331.0</v>
      </c>
      <c r="C1803" s="2">
        <v>3897.0</v>
      </c>
      <c r="D1803" s="2">
        <v>1278.0</v>
      </c>
      <c r="E1803" s="3">
        <f t="shared" si="1"/>
        <v>0.3583847448</v>
      </c>
      <c r="F1803" s="2">
        <v>505.0</v>
      </c>
      <c r="G1803" s="3">
        <f t="shared" si="2"/>
        <v>0.1416152552</v>
      </c>
      <c r="H1803" s="2">
        <v>758.0</v>
      </c>
      <c r="I1803" s="3">
        <f t="shared" si="3"/>
        <v>0.2125630959</v>
      </c>
      <c r="J1803" s="2">
        <v>688.0</v>
      </c>
      <c r="K1803" s="3">
        <f t="shared" si="4"/>
        <v>0.1929332586</v>
      </c>
      <c r="L1803" s="2">
        <v>454.0</v>
      </c>
      <c r="M1803" s="3">
        <f t="shared" si="5"/>
        <v>0.598944591</v>
      </c>
      <c r="N1803" s="2">
        <v>4504400.0</v>
      </c>
      <c r="O1803" s="4">
        <f t="shared" si="6"/>
        <v>5942.480211</v>
      </c>
      <c r="P1803" s="2">
        <v>1.0</v>
      </c>
      <c r="Q1803" s="3">
        <f t="shared" si="7"/>
        <v>0.003021148036</v>
      </c>
      <c r="R1803" s="2">
        <v>331.0</v>
      </c>
      <c r="S1803" s="5">
        <f t="shared" si="8"/>
        <v>1</v>
      </c>
    </row>
    <row r="1804">
      <c r="A1804" s="2" t="s">
        <v>1815</v>
      </c>
      <c r="B1804" s="2">
        <v>313.0</v>
      </c>
      <c r="C1804" s="2">
        <v>3618.0</v>
      </c>
      <c r="D1804" s="2">
        <v>1182.0</v>
      </c>
      <c r="E1804" s="3">
        <f t="shared" si="1"/>
        <v>0.3576399395</v>
      </c>
      <c r="F1804" s="2">
        <v>468.0</v>
      </c>
      <c r="G1804" s="3">
        <f t="shared" si="2"/>
        <v>0.1416036309</v>
      </c>
      <c r="H1804" s="2">
        <v>621.0</v>
      </c>
      <c r="I1804" s="3">
        <f t="shared" si="3"/>
        <v>0.1878971256</v>
      </c>
      <c r="J1804" s="2">
        <v>555.0</v>
      </c>
      <c r="K1804" s="3">
        <f t="shared" si="4"/>
        <v>0.1679273828</v>
      </c>
      <c r="L1804" s="2">
        <v>380.0</v>
      </c>
      <c r="M1804" s="3">
        <f t="shared" si="5"/>
        <v>0.6119162641</v>
      </c>
      <c r="N1804" s="2">
        <v>3717200.0</v>
      </c>
      <c r="O1804" s="4">
        <f t="shared" si="6"/>
        <v>5985.829308</v>
      </c>
      <c r="P1804" s="2">
        <v>0.0</v>
      </c>
      <c r="Q1804" s="3">
        <f t="shared" si="7"/>
        <v>0</v>
      </c>
      <c r="R1804" s="2">
        <v>313.0</v>
      </c>
      <c r="S1804" s="5">
        <f t="shared" si="8"/>
        <v>1</v>
      </c>
    </row>
    <row r="1805">
      <c r="A1805" s="2" t="s">
        <v>1816</v>
      </c>
      <c r="B1805" s="2">
        <v>940.0</v>
      </c>
      <c r="C1805" s="2">
        <v>11032.0</v>
      </c>
      <c r="D1805" s="2">
        <v>3632.0</v>
      </c>
      <c r="E1805" s="3">
        <f t="shared" si="1"/>
        <v>0.359889021</v>
      </c>
      <c r="F1805" s="2">
        <v>1429.0</v>
      </c>
      <c r="G1805" s="3">
        <f t="shared" si="2"/>
        <v>0.1415973048</v>
      </c>
      <c r="H1805" s="2">
        <v>2338.0</v>
      </c>
      <c r="I1805" s="3">
        <f t="shared" si="3"/>
        <v>0.2316686484</v>
      </c>
      <c r="J1805" s="2">
        <v>1922.0</v>
      </c>
      <c r="K1805" s="3">
        <f t="shared" si="4"/>
        <v>0.1904478795</v>
      </c>
      <c r="L1805" s="2">
        <v>1379.0</v>
      </c>
      <c r="M1805" s="3">
        <f t="shared" si="5"/>
        <v>0.5898203593</v>
      </c>
      <c r="N1805" s="2">
        <v>1.28274E7</v>
      </c>
      <c r="O1805" s="4">
        <f t="shared" si="6"/>
        <v>5486.484175</v>
      </c>
      <c r="P1805" s="2">
        <v>2.0</v>
      </c>
      <c r="Q1805" s="3">
        <f t="shared" si="7"/>
        <v>0.002127659574</v>
      </c>
      <c r="R1805" s="2">
        <v>940.0</v>
      </c>
      <c r="S1805" s="5">
        <f t="shared" si="8"/>
        <v>1</v>
      </c>
    </row>
    <row r="1806">
      <c r="A1806" s="2" t="s">
        <v>1817</v>
      </c>
      <c r="B1806" s="2">
        <v>41.0</v>
      </c>
      <c r="C1806" s="2">
        <v>493.0</v>
      </c>
      <c r="D1806" s="2">
        <v>134.0</v>
      </c>
      <c r="E1806" s="3">
        <f t="shared" si="1"/>
        <v>0.296460177</v>
      </c>
      <c r="F1806" s="2">
        <v>64.0</v>
      </c>
      <c r="G1806" s="3">
        <f t="shared" si="2"/>
        <v>0.1415929204</v>
      </c>
      <c r="H1806" s="2">
        <v>82.0</v>
      </c>
      <c r="I1806" s="3">
        <f t="shared" si="3"/>
        <v>0.1814159292</v>
      </c>
      <c r="J1806" s="2">
        <v>78.0</v>
      </c>
      <c r="K1806" s="3">
        <f t="shared" si="4"/>
        <v>0.1725663717</v>
      </c>
      <c r="L1806" s="2">
        <v>47.0</v>
      </c>
      <c r="M1806" s="3">
        <f t="shared" si="5"/>
        <v>0.5731707317</v>
      </c>
      <c r="N1806" s="2">
        <v>409500.0</v>
      </c>
      <c r="O1806" s="4">
        <f t="shared" si="6"/>
        <v>4993.902439</v>
      </c>
      <c r="P1806" s="2">
        <v>0.0</v>
      </c>
      <c r="Q1806" s="3">
        <f t="shared" si="7"/>
        <v>0</v>
      </c>
      <c r="R1806" s="2">
        <v>41.0</v>
      </c>
      <c r="S1806" s="5">
        <f t="shared" si="8"/>
        <v>1</v>
      </c>
    </row>
    <row r="1807">
      <c r="A1807" s="2" t="s">
        <v>1818</v>
      </c>
      <c r="B1807" s="2">
        <v>10.0</v>
      </c>
      <c r="C1807" s="2">
        <v>123.0</v>
      </c>
      <c r="D1807" s="2">
        <v>33.0</v>
      </c>
      <c r="E1807" s="3">
        <f t="shared" si="1"/>
        <v>0.2920353982</v>
      </c>
      <c r="F1807" s="2">
        <v>16.0</v>
      </c>
      <c r="G1807" s="3">
        <f t="shared" si="2"/>
        <v>0.1415929204</v>
      </c>
      <c r="H1807" s="2">
        <v>23.0</v>
      </c>
      <c r="I1807" s="3">
        <f t="shared" si="3"/>
        <v>0.203539823</v>
      </c>
      <c r="J1807" s="2">
        <v>16.0</v>
      </c>
      <c r="K1807" s="3">
        <f t="shared" si="4"/>
        <v>0.1415929204</v>
      </c>
      <c r="L1807" s="2">
        <v>14.0</v>
      </c>
      <c r="M1807" s="3">
        <f t="shared" si="5"/>
        <v>0.6086956522</v>
      </c>
      <c r="N1807" s="2">
        <v>113600.0</v>
      </c>
      <c r="O1807" s="4">
        <f t="shared" si="6"/>
        <v>4939.130435</v>
      </c>
      <c r="P1807" s="2">
        <v>0.0</v>
      </c>
      <c r="Q1807" s="3">
        <f t="shared" si="7"/>
        <v>0</v>
      </c>
      <c r="R1807" s="2">
        <v>0.0</v>
      </c>
      <c r="S1807" s="5">
        <f t="shared" si="8"/>
        <v>0</v>
      </c>
    </row>
    <row r="1808">
      <c r="A1808" s="2" t="s">
        <v>1819</v>
      </c>
      <c r="B1808" s="2">
        <v>282.0</v>
      </c>
      <c r="C1808" s="2">
        <v>3298.0</v>
      </c>
      <c r="D1808" s="2">
        <v>1197.0</v>
      </c>
      <c r="E1808" s="3">
        <f t="shared" si="1"/>
        <v>0.3968832891</v>
      </c>
      <c r="F1808" s="2">
        <v>427.0</v>
      </c>
      <c r="G1808" s="3">
        <f t="shared" si="2"/>
        <v>0.1415782493</v>
      </c>
      <c r="H1808" s="2">
        <v>621.0</v>
      </c>
      <c r="I1808" s="3">
        <f t="shared" si="3"/>
        <v>0.2059018568</v>
      </c>
      <c r="J1808" s="2">
        <v>515.0</v>
      </c>
      <c r="K1808" s="3">
        <f t="shared" si="4"/>
        <v>0.1707559682</v>
      </c>
      <c r="L1808" s="2">
        <v>366.0</v>
      </c>
      <c r="M1808" s="3">
        <f t="shared" si="5"/>
        <v>0.5893719807</v>
      </c>
      <c r="N1808" s="2">
        <v>3499400.0</v>
      </c>
      <c r="O1808" s="4">
        <f t="shared" si="6"/>
        <v>5635.10467</v>
      </c>
      <c r="P1808" s="2">
        <v>0.0</v>
      </c>
      <c r="Q1808" s="3">
        <f t="shared" si="7"/>
        <v>0</v>
      </c>
      <c r="R1808" s="2">
        <v>0.0</v>
      </c>
      <c r="S1808" s="5">
        <f t="shared" si="8"/>
        <v>0</v>
      </c>
    </row>
    <row r="1809">
      <c r="A1809" s="2" t="s">
        <v>1820</v>
      </c>
      <c r="B1809" s="2">
        <v>171.0</v>
      </c>
      <c r="C1809" s="2">
        <v>1951.0</v>
      </c>
      <c r="D1809" s="2">
        <v>639.0</v>
      </c>
      <c r="E1809" s="3">
        <f t="shared" si="1"/>
        <v>0.358988764</v>
      </c>
      <c r="F1809" s="2">
        <v>252.0</v>
      </c>
      <c r="G1809" s="3">
        <f t="shared" si="2"/>
        <v>0.1415730337</v>
      </c>
      <c r="H1809" s="2">
        <v>378.0</v>
      </c>
      <c r="I1809" s="3">
        <f t="shared" si="3"/>
        <v>0.2123595506</v>
      </c>
      <c r="J1809" s="2">
        <v>309.0</v>
      </c>
      <c r="K1809" s="3">
        <f t="shared" si="4"/>
        <v>0.1735955056</v>
      </c>
      <c r="L1809" s="2">
        <v>218.0</v>
      </c>
      <c r="M1809" s="3">
        <f t="shared" si="5"/>
        <v>0.5767195767</v>
      </c>
      <c r="N1809" s="2">
        <v>1986600.0</v>
      </c>
      <c r="O1809" s="4">
        <f t="shared" si="6"/>
        <v>5255.555556</v>
      </c>
      <c r="P1809" s="2">
        <v>1.0</v>
      </c>
      <c r="Q1809" s="3">
        <f t="shared" si="7"/>
        <v>0.005847953216</v>
      </c>
      <c r="R1809" s="2">
        <v>74.0</v>
      </c>
      <c r="S1809" s="5">
        <f t="shared" si="8"/>
        <v>0.432748538</v>
      </c>
    </row>
    <row r="1810">
      <c r="A1810" s="2" t="s">
        <v>1821</v>
      </c>
      <c r="B1810" s="2">
        <v>318.0</v>
      </c>
      <c r="C1810" s="2">
        <v>3765.0</v>
      </c>
      <c r="D1810" s="2">
        <v>1284.0</v>
      </c>
      <c r="E1810" s="3">
        <f t="shared" si="1"/>
        <v>0.3724978242</v>
      </c>
      <c r="F1810" s="2">
        <v>488.0</v>
      </c>
      <c r="G1810" s="3">
        <f t="shared" si="2"/>
        <v>0.1415723818</v>
      </c>
      <c r="H1810" s="2">
        <v>748.0</v>
      </c>
      <c r="I1810" s="3">
        <f t="shared" si="3"/>
        <v>0.2170002901</v>
      </c>
      <c r="J1810" s="2">
        <v>571.0</v>
      </c>
      <c r="K1810" s="3">
        <f t="shared" si="4"/>
        <v>0.165651291</v>
      </c>
      <c r="L1810" s="2">
        <v>438.0</v>
      </c>
      <c r="M1810" s="3">
        <f t="shared" si="5"/>
        <v>0.5855614973</v>
      </c>
      <c r="N1810" s="2">
        <v>3897800.0</v>
      </c>
      <c r="O1810" s="4">
        <f t="shared" si="6"/>
        <v>5210.962567</v>
      </c>
      <c r="P1810" s="2">
        <v>0.0</v>
      </c>
      <c r="Q1810" s="3">
        <f t="shared" si="7"/>
        <v>0</v>
      </c>
      <c r="R1810" s="2">
        <v>318.0</v>
      </c>
      <c r="S1810" s="5">
        <f t="shared" si="8"/>
        <v>1</v>
      </c>
    </row>
    <row r="1811">
      <c r="A1811" s="2" t="s">
        <v>1822</v>
      </c>
      <c r="B1811" s="2">
        <v>278.0</v>
      </c>
      <c r="C1811" s="2">
        <v>3210.0</v>
      </c>
      <c r="D1811" s="2">
        <v>912.0</v>
      </c>
      <c r="E1811" s="3">
        <f t="shared" si="1"/>
        <v>0.3110504775</v>
      </c>
      <c r="F1811" s="2">
        <v>415.0</v>
      </c>
      <c r="G1811" s="3">
        <f t="shared" si="2"/>
        <v>0.1415416098</v>
      </c>
      <c r="H1811" s="2">
        <v>611.0</v>
      </c>
      <c r="I1811" s="3">
        <f t="shared" si="3"/>
        <v>0.2083901774</v>
      </c>
      <c r="J1811" s="2">
        <v>591.0</v>
      </c>
      <c r="K1811" s="3">
        <f t="shared" si="4"/>
        <v>0.201568895</v>
      </c>
      <c r="L1811" s="2">
        <v>372.0</v>
      </c>
      <c r="M1811" s="3">
        <f t="shared" si="5"/>
        <v>0.6088379705</v>
      </c>
      <c r="N1811" s="2">
        <v>3571900.0</v>
      </c>
      <c r="O1811" s="4">
        <f t="shared" si="6"/>
        <v>5845.99018</v>
      </c>
      <c r="P1811" s="2">
        <v>1.0</v>
      </c>
      <c r="Q1811" s="3">
        <f t="shared" si="7"/>
        <v>0.003597122302</v>
      </c>
      <c r="R1811" s="2">
        <v>278.0</v>
      </c>
      <c r="S1811" s="5">
        <f t="shared" si="8"/>
        <v>1</v>
      </c>
    </row>
    <row r="1812">
      <c r="A1812" s="2" t="s">
        <v>1823</v>
      </c>
      <c r="B1812" s="2">
        <v>54.0</v>
      </c>
      <c r="C1812" s="2">
        <v>690.0</v>
      </c>
      <c r="D1812" s="2">
        <v>242.0</v>
      </c>
      <c r="E1812" s="3">
        <f t="shared" si="1"/>
        <v>0.3805031447</v>
      </c>
      <c r="F1812" s="2">
        <v>90.0</v>
      </c>
      <c r="G1812" s="3">
        <f t="shared" si="2"/>
        <v>0.141509434</v>
      </c>
      <c r="H1812" s="2">
        <v>141.0</v>
      </c>
      <c r="I1812" s="3">
        <f t="shared" si="3"/>
        <v>0.2216981132</v>
      </c>
      <c r="J1812" s="2">
        <v>90.0</v>
      </c>
      <c r="K1812" s="3">
        <f t="shared" si="4"/>
        <v>0.141509434</v>
      </c>
      <c r="L1812" s="2">
        <v>92.0</v>
      </c>
      <c r="M1812" s="3">
        <f t="shared" si="5"/>
        <v>0.6524822695</v>
      </c>
      <c r="N1812" s="2">
        <v>767300.0</v>
      </c>
      <c r="O1812" s="4">
        <f t="shared" si="6"/>
        <v>5441.843972</v>
      </c>
      <c r="P1812" s="2">
        <v>0.0</v>
      </c>
      <c r="Q1812" s="3">
        <f t="shared" si="7"/>
        <v>0</v>
      </c>
      <c r="R1812" s="2">
        <v>0.0</v>
      </c>
      <c r="S1812" s="5">
        <f t="shared" si="8"/>
        <v>0</v>
      </c>
    </row>
    <row r="1813">
      <c r="A1813" s="2" t="s">
        <v>1824</v>
      </c>
      <c r="B1813" s="2">
        <v>163.0</v>
      </c>
      <c r="C1813" s="2">
        <v>1958.0</v>
      </c>
      <c r="D1813" s="2">
        <v>522.0</v>
      </c>
      <c r="E1813" s="3">
        <f t="shared" si="1"/>
        <v>0.2908077994</v>
      </c>
      <c r="F1813" s="2">
        <v>254.0</v>
      </c>
      <c r="G1813" s="3">
        <f t="shared" si="2"/>
        <v>0.1415041783</v>
      </c>
      <c r="H1813" s="2">
        <v>377.0</v>
      </c>
      <c r="I1813" s="3">
        <f t="shared" si="3"/>
        <v>0.2100278552</v>
      </c>
      <c r="J1813" s="2">
        <v>295.0</v>
      </c>
      <c r="K1813" s="3">
        <f t="shared" si="4"/>
        <v>0.1643454039</v>
      </c>
      <c r="L1813" s="2">
        <v>215.0</v>
      </c>
      <c r="M1813" s="3">
        <f t="shared" si="5"/>
        <v>0.5702917772</v>
      </c>
      <c r="N1813" s="2">
        <v>1944900.0</v>
      </c>
      <c r="O1813" s="4">
        <f t="shared" si="6"/>
        <v>5158.885942</v>
      </c>
      <c r="P1813" s="2">
        <v>0.0</v>
      </c>
      <c r="Q1813" s="3">
        <f t="shared" si="7"/>
        <v>0</v>
      </c>
      <c r="R1813" s="2">
        <v>0.0</v>
      </c>
      <c r="S1813" s="5">
        <f t="shared" si="8"/>
        <v>0</v>
      </c>
    </row>
    <row r="1814">
      <c r="A1814" s="2" t="s">
        <v>1825</v>
      </c>
      <c r="B1814" s="2">
        <v>321.0</v>
      </c>
      <c r="C1814" s="2">
        <v>3805.0</v>
      </c>
      <c r="D1814" s="2">
        <v>1335.0</v>
      </c>
      <c r="E1814" s="3">
        <f t="shared" si="1"/>
        <v>0.3831802526</v>
      </c>
      <c r="F1814" s="2">
        <v>493.0</v>
      </c>
      <c r="G1814" s="3">
        <f t="shared" si="2"/>
        <v>0.1415040184</v>
      </c>
      <c r="H1814" s="2">
        <v>819.0</v>
      </c>
      <c r="I1814" s="3">
        <f t="shared" si="3"/>
        <v>0.2350746269</v>
      </c>
      <c r="J1814" s="2">
        <v>618.0</v>
      </c>
      <c r="K1814" s="3">
        <f t="shared" si="4"/>
        <v>0.1773823192</v>
      </c>
      <c r="L1814" s="2">
        <v>496.0</v>
      </c>
      <c r="M1814" s="3">
        <f t="shared" si="5"/>
        <v>0.6056166056</v>
      </c>
      <c r="N1814" s="2">
        <v>4228600.0</v>
      </c>
      <c r="O1814" s="4">
        <f t="shared" si="6"/>
        <v>5163.125763</v>
      </c>
      <c r="P1814" s="2">
        <v>0.0</v>
      </c>
      <c r="Q1814" s="3">
        <f t="shared" si="7"/>
        <v>0</v>
      </c>
      <c r="R1814" s="2">
        <v>321.0</v>
      </c>
      <c r="S1814" s="5">
        <f t="shared" si="8"/>
        <v>1</v>
      </c>
    </row>
    <row r="1815">
      <c r="A1815" s="2" t="s">
        <v>1826</v>
      </c>
      <c r="B1815" s="2">
        <v>302.0</v>
      </c>
      <c r="C1815" s="2">
        <v>3574.0</v>
      </c>
      <c r="D1815" s="2">
        <v>957.0</v>
      </c>
      <c r="E1815" s="3">
        <f t="shared" si="1"/>
        <v>0.2924816626</v>
      </c>
      <c r="F1815" s="2">
        <v>463.0</v>
      </c>
      <c r="G1815" s="3">
        <f t="shared" si="2"/>
        <v>0.1415036675</v>
      </c>
      <c r="H1815" s="2">
        <v>644.0</v>
      </c>
      <c r="I1815" s="3">
        <f t="shared" si="3"/>
        <v>0.1968215159</v>
      </c>
      <c r="J1815" s="2">
        <v>574.0</v>
      </c>
      <c r="K1815" s="3">
        <f t="shared" si="4"/>
        <v>0.1754278729</v>
      </c>
      <c r="L1815" s="2">
        <v>386.0</v>
      </c>
      <c r="M1815" s="3">
        <f t="shared" si="5"/>
        <v>0.599378882</v>
      </c>
      <c r="N1815" s="2">
        <v>4099900.0</v>
      </c>
      <c r="O1815" s="4">
        <f t="shared" si="6"/>
        <v>6366.304348</v>
      </c>
      <c r="P1815" s="2">
        <v>1.0</v>
      </c>
      <c r="Q1815" s="3">
        <f t="shared" si="7"/>
        <v>0.003311258278</v>
      </c>
      <c r="R1815" s="2">
        <v>302.0</v>
      </c>
      <c r="S1815" s="5">
        <f t="shared" si="8"/>
        <v>1</v>
      </c>
    </row>
    <row r="1816">
      <c r="A1816" s="2" t="s">
        <v>1827</v>
      </c>
      <c r="B1816" s="2">
        <v>98.0</v>
      </c>
      <c r="C1816" s="2">
        <v>1151.0</v>
      </c>
      <c r="D1816" s="2">
        <v>299.0</v>
      </c>
      <c r="E1816" s="3">
        <f t="shared" si="1"/>
        <v>0.2839506173</v>
      </c>
      <c r="F1816" s="2">
        <v>149.0</v>
      </c>
      <c r="G1816" s="3">
        <f t="shared" si="2"/>
        <v>0.1415004748</v>
      </c>
      <c r="H1816" s="2">
        <v>211.0</v>
      </c>
      <c r="I1816" s="3">
        <f t="shared" si="3"/>
        <v>0.200379867</v>
      </c>
      <c r="J1816" s="2">
        <v>168.0</v>
      </c>
      <c r="K1816" s="3">
        <f t="shared" si="4"/>
        <v>0.1595441595</v>
      </c>
      <c r="L1816" s="2">
        <v>124.0</v>
      </c>
      <c r="M1816" s="3">
        <f t="shared" si="5"/>
        <v>0.5876777251</v>
      </c>
      <c r="N1816" s="2">
        <v>1111000.0</v>
      </c>
      <c r="O1816" s="4">
        <f t="shared" si="6"/>
        <v>5265.402844</v>
      </c>
      <c r="P1816" s="2">
        <v>0.0</v>
      </c>
      <c r="Q1816" s="3">
        <f t="shared" si="7"/>
        <v>0</v>
      </c>
      <c r="R1816" s="2">
        <v>98.0</v>
      </c>
      <c r="S1816" s="5">
        <f t="shared" si="8"/>
        <v>1</v>
      </c>
    </row>
    <row r="1817">
      <c r="A1817" s="2" t="s">
        <v>1828</v>
      </c>
      <c r="B1817" s="2">
        <v>49.0</v>
      </c>
      <c r="C1817" s="2">
        <v>572.0</v>
      </c>
      <c r="D1817" s="2">
        <v>175.0</v>
      </c>
      <c r="E1817" s="3">
        <f t="shared" si="1"/>
        <v>0.3346080306</v>
      </c>
      <c r="F1817" s="2">
        <v>74.0</v>
      </c>
      <c r="G1817" s="3">
        <f t="shared" si="2"/>
        <v>0.1414913958</v>
      </c>
      <c r="H1817" s="2">
        <v>90.0</v>
      </c>
      <c r="I1817" s="3">
        <f t="shared" si="3"/>
        <v>0.17208413</v>
      </c>
      <c r="J1817" s="2">
        <v>94.0</v>
      </c>
      <c r="K1817" s="3">
        <f t="shared" si="4"/>
        <v>0.1797323136</v>
      </c>
      <c r="L1817" s="2">
        <v>52.0</v>
      </c>
      <c r="M1817" s="3">
        <f t="shared" si="5"/>
        <v>0.5777777778</v>
      </c>
      <c r="N1817" s="2">
        <v>515500.0</v>
      </c>
      <c r="O1817" s="4">
        <f t="shared" si="6"/>
        <v>5727.777778</v>
      </c>
      <c r="P1817" s="2">
        <v>0.0</v>
      </c>
      <c r="Q1817" s="3">
        <f t="shared" si="7"/>
        <v>0</v>
      </c>
      <c r="R1817" s="2">
        <v>40.0</v>
      </c>
      <c r="S1817" s="5">
        <f t="shared" si="8"/>
        <v>0.8163265306</v>
      </c>
    </row>
    <row r="1818">
      <c r="A1818" s="2" t="s">
        <v>1829</v>
      </c>
      <c r="B1818" s="2">
        <v>1887.0</v>
      </c>
      <c r="C1818" s="2">
        <v>22004.0</v>
      </c>
      <c r="D1818" s="2">
        <v>7650.0</v>
      </c>
      <c r="E1818" s="3">
        <f t="shared" si="1"/>
        <v>0.380275389</v>
      </c>
      <c r="F1818" s="2">
        <v>2846.0</v>
      </c>
      <c r="G1818" s="3">
        <f t="shared" si="2"/>
        <v>0.1414723865</v>
      </c>
      <c r="H1818" s="2">
        <v>4325.0</v>
      </c>
      <c r="I1818" s="3">
        <f t="shared" si="3"/>
        <v>0.2149922951</v>
      </c>
      <c r="J1818" s="2">
        <v>3081.0</v>
      </c>
      <c r="K1818" s="3">
        <f t="shared" si="4"/>
        <v>0.1531540488</v>
      </c>
      <c r="L1818" s="2">
        <v>2627.0</v>
      </c>
      <c r="M1818" s="3">
        <f t="shared" si="5"/>
        <v>0.6073988439</v>
      </c>
      <c r="N1818" s="2">
        <v>2.34389E7</v>
      </c>
      <c r="O1818" s="4">
        <f t="shared" si="6"/>
        <v>5419.398844</v>
      </c>
      <c r="P1818" s="2">
        <v>3.0</v>
      </c>
      <c r="Q1818" s="3">
        <f t="shared" si="7"/>
        <v>0.001589825119</v>
      </c>
      <c r="R1818" s="2">
        <v>98.0</v>
      </c>
      <c r="S1818" s="5">
        <f t="shared" si="8"/>
        <v>0.05193428723</v>
      </c>
    </row>
    <row r="1819">
      <c r="A1819" s="2" t="s">
        <v>1830</v>
      </c>
      <c r="B1819" s="2">
        <v>4295.0</v>
      </c>
      <c r="C1819" s="2">
        <v>50398.0</v>
      </c>
      <c r="D1819" s="2">
        <v>17590.0</v>
      </c>
      <c r="E1819" s="3">
        <f t="shared" si="1"/>
        <v>0.3815369933</v>
      </c>
      <c r="F1819" s="2">
        <v>6522.0</v>
      </c>
      <c r="G1819" s="3">
        <f t="shared" si="2"/>
        <v>0.1414658482</v>
      </c>
      <c r="H1819" s="2">
        <v>10061.0</v>
      </c>
      <c r="I1819" s="3">
        <f t="shared" si="3"/>
        <v>0.2182287487</v>
      </c>
      <c r="J1819" s="2">
        <v>8411.0</v>
      </c>
      <c r="K1819" s="3">
        <f t="shared" si="4"/>
        <v>0.1824393207</v>
      </c>
      <c r="L1819" s="2">
        <v>5877.0</v>
      </c>
      <c r="M1819" s="3">
        <f t="shared" si="5"/>
        <v>0.5841367657</v>
      </c>
      <c r="N1819" s="2">
        <v>5.74581E7</v>
      </c>
      <c r="O1819" s="4">
        <f t="shared" si="6"/>
        <v>5710.973064</v>
      </c>
      <c r="P1819" s="2">
        <v>6.0</v>
      </c>
      <c r="Q1819" s="3">
        <f t="shared" si="7"/>
        <v>0.001396973225</v>
      </c>
      <c r="R1819" s="2">
        <v>4028.0</v>
      </c>
      <c r="S1819" s="5">
        <f t="shared" si="8"/>
        <v>0.9378346915</v>
      </c>
    </row>
    <row r="1820">
      <c r="A1820" s="2" t="s">
        <v>1831</v>
      </c>
      <c r="B1820" s="2">
        <v>74.0</v>
      </c>
      <c r="C1820" s="2">
        <v>894.0</v>
      </c>
      <c r="D1820" s="2">
        <v>329.0</v>
      </c>
      <c r="E1820" s="3">
        <f t="shared" si="1"/>
        <v>0.4012195122</v>
      </c>
      <c r="F1820" s="2">
        <v>116.0</v>
      </c>
      <c r="G1820" s="3">
        <f t="shared" si="2"/>
        <v>0.1414634146</v>
      </c>
      <c r="H1820" s="2">
        <v>169.0</v>
      </c>
      <c r="I1820" s="3">
        <f t="shared" si="3"/>
        <v>0.206097561</v>
      </c>
      <c r="J1820" s="2">
        <v>126.0</v>
      </c>
      <c r="K1820" s="3">
        <f t="shared" si="4"/>
        <v>0.1536585366</v>
      </c>
      <c r="L1820" s="2">
        <v>98.0</v>
      </c>
      <c r="M1820" s="3">
        <f t="shared" si="5"/>
        <v>0.5798816568</v>
      </c>
      <c r="N1820" s="2">
        <v>854500.0</v>
      </c>
      <c r="O1820" s="4">
        <f t="shared" si="6"/>
        <v>5056.213018</v>
      </c>
      <c r="P1820" s="2">
        <v>0.0</v>
      </c>
      <c r="Q1820" s="3">
        <f t="shared" si="7"/>
        <v>0</v>
      </c>
      <c r="R1820" s="2">
        <v>0.0</v>
      </c>
      <c r="S1820" s="5">
        <f t="shared" si="8"/>
        <v>0</v>
      </c>
    </row>
    <row r="1821">
      <c r="A1821" s="2" t="s">
        <v>1832</v>
      </c>
      <c r="B1821" s="2">
        <v>176.0</v>
      </c>
      <c r="C1821" s="2">
        <v>2014.0</v>
      </c>
      <c r="D1821" s="2">
        <v>664.0</v>
      </c>
      <c r="E1821" s="3">
        <f t="shared" si="1"/>
        <v>0.3612622416</v>
      </c>
      <c r="F1821" s="2">
        <v>260.0</v>
      </c>
      <c r="G1821" s="3">
        <f t="shared" si="2"/>
        <v>0.1414581066</v>
      </c>
      <c r="H1821" s="2">
        <v>361.0</v>
      </c>
      <c r="I1821" s="3">
        <f t="shared" si="3"/>
        <v>0.1964091404</v>
      </c>
      <c r="J1821" s="2">
        <v>283.0</v>
      </c>
      <c r="K1821" s="3">
        <f t="shared" si="4"/>
        <v>0.1539717084</v>
      </c>
      <c r="L1821" s="2">
        <v>220.0</v>
      </c>
      <c r="M1821" s="3">
        <f t="shared" si="5"/>
        <v>0.6094182825</v>
      </c>
      <c r="N1821" s="2">
        <v>2101000.0</v>
      </c>
      <c r="O1821" s="4">
        <f t="shared" si="6"/>
        <v>5819.944598</v>
      </c>
      <c r="P1821" s="2">
        <v>2.0</v>
      </c>
      <c r="Q1821" s="3">
        <f t="shared" si="7"/>
        <v>0.01136363636</v>
      </c>
      <c r="R1821" s="2">
        <v>176.0</v>
      </c>
      <c r="S1821" s="5">
        <f t="shared" si="8"/>
        <v>1</v>
      </c>
    </row>
    <row r="1822">
      <c r="A1822" s="2" t="s">
        <v>1833</v>
      </c>
      <c r="B1822" s="2">
        <v>46.0</v>
      </c>
      <c r="C1822" s="2">
        <v>548.0</v>
      </c>
      <c r="D1822" s="2">
        <v>189.0</v>
      </c>
      <c r="E1822" s="3">
        <f t="shared" si="1"/>
        <v>0.3764940239</v>
      </c>
      <c r="F1822" s="2">
        <v>71.0</v>
      </c>
      <c r="G1822" s="3">
        <f t="shared" si="2"/>
        <v>0.1414342629</v>
      </c>
      <c r="H1822" s="2">
        <v>99.0</v>
      </c>
      <c r="I1822" s="3">
        <f t="shared" si="3"/>
        <v>0.1972111554</v>
      </c>
      <c r="J1822" s="2">
        <v>98.0</v>
      </c>
      <c r="K1822" s="3">
        <f t="shared" si="4"/>
        <v>0.1952191235</v>
      </c>
      <c r="L1822" s="2">
        <v>54.0</v>
      </c>
      <c r="M1822" s="3">
        <f t="shared" si="5"/>
        <v>0.5454545455</v>
      </c>
      <c r="N1822" s="2">
        <v>542500.0</v>
      </c>
      <c r="O1822" s="4">
        <f t="shared" si="6"/>
        <v>5479.79798</v>
      </c>
      <c r="P1822" s="2">
        <v>0.0</v>
      </c>
      <c r="Q1822" s="3">
        <f t="shared" si="7"/>
        <v>0</v>
      </c>
      <c r="R1822" s="2">
        <v>46.0</v>
      </c>
      <c r="S1822" s="5">
        <f t="shared" si="8"/>
        <v>1</v>
      </c>
    </row>
    <row r="1823">
      <c r="A1823" s="2" t="s">
        <v>1834</v>
      </c>
      <c r="B1823" s="2">
        <v>192.0</v>
      </c>
      <c r="C1823" s="2">
        <v>2200.0</v>
      </c>
      <c r="D1823" s="2">
        <v>701.0</v>
      </c>
      <c r="E1823" s="3">
        <f t="shared" si="1"/>
        <v>0.3491035857</v>
      </c>
      <c r="F1823" s="2">
        <v>284.0</v>
      </c>
      <c r="G1823" s="3">
        <f t="shared" si="2"/>
        <v>0.1414342629</v>
      </c>
      <c r="H1823" s="2">
        <v>399.0</v>
      </c>
      <c r="I1823" s="3">
        <f t="shared" si="3"/>
        <v>0.1987051793</v>
      </c>
      <c r="J1823" s="2">
        <v>302.0</v>
      </c>
      <c r="K1823" s="3">
        <f t="shared" si="4"/>
        <v>0.1503984064</v>
      </c>
      <c r="L1823" s="2">
        <v>233.0</v>
      </c>
      <c r="M1823" s="3">
        <f t="shared" si="5"/>
        <v>0.5839598997</v>
      </c>
      <c r="N1823" s="2">
        <v>2257000.0</v>
      </c>
      <c r="O1823" s="4">
        <f t="shared" si="6"/>
        <v>5656.641604</v>
      </c>
      <c r="P1823" s="2">
        <v>1.0</v>
      </c>
      <c r="Q1823" s="3">
        <f t="shared" si="7"/>
        <v>0.005208333333</v>
      </c>
      <c r="R1823" s="2">
        <v>192.0</v>
      </c>
      <c r="S1823" s="5">
        <f t="shared" si="8"/>
        <v>1</v>
      </c>
    </row>
    <row r="1824">
      <c r="A1824" s="2" t="s">
        <v>1835</v>
      </c>
      <c r="B1824" s="2">
        <v>190.0</v>
      </c>
      <c r="C1824" s="2">
        <v>2177.0</v>
      </c>
      <c r="D1824" s="2">
        <v>723.0</v>
      </c>
      <c r="E1824" s="3">
        <f t="shared" si="1"/>
        <v>0.3638651233</v>
      </c>
      <c r="F1824" s="2">
        <v>281.0</v>
      </c>
      <c r="G1824" s="3">
        <f t="shared" si="2"/>
        <v>0.141419225</v>
      </c>
      <c r="H1824" s="2">
        <v>434.0</v>
      </c>
      <c r="I1824" s="3">
        <f t="shared" si="3"/>
        <v>0.2184197282</v>
      </c>
      <c r="J1824" s="2">
        <v>364.0</v>
      </c>
      <c r="K1824" s="3">
        <f t="shared" si="4"/>
        <v>0.1831907398</v>
      </c>
      <c r="L1824" s="2">
        <v>272.0</v>
      </c>
      <c r="M1824" s="3">
        <f t="shared" si="5"/>
        <v>0.6267281106</v>
      </c>
      <c r="N1824" s="2">
        <v>2503700.0</v>
      </c>
      <c r="O1824" s="4">
        <f t="shared" si="6"/>
        <v>5768.894009</v>
      </c>
      <c r="P1824" s="2">
        <v>0.0</v>
      </c>
      <c r="Q1824" s="3">
        <f t="shared" si="7"/>
        <v>0</v>
      </c>
      <c r="R1824" s="2">
        <v>190.0</v>
      </c>
      <c r="S1824" s="5">
        <f t="shared" si="8"/>
        <v>1</v>
      </c>
    </row>
    <row r="1825">
      <c r="A1825" s="2" t="s">
        <v>1836</v>
      </c>
      <c r="B1825" s="2">
        <v>356.0</v>
      </c>
      <c r="C1825" s="2">
        <v>4182.0</v>
      </c>
      <c r="D1825" s="2">
        <v>1374.0</v>
      </c>
      <c r="E1825" s="3">
        <f t="shared" si="1"/>
        <v>0.3591217982</v>
      </c>
      <c r="F1825" s="2">
        <v>541.0</v>
      </c>
      <c r="G1825" s="3">
        <f t="shared" si="2"/>
        <v>0.1414009409</v>
      </c>
      <c r="H1825" s="2">
        <v>779.0</v>
      </c>
      <c r="I1825" s="3">
        <f t="shared" si="3"/>
        <v>0.2036069002</v>
      </c>
      <c r="J1825" s="2">
        <v>653.0</v>
      </c>
      <c r="K1825" s="3">
        <f t="shared" si="4"/>
        <v>0.1706743335</v>
      </c>
      <c r="L1825" s="2">
        <v>469.0</v>
      </c>
      <c r="M1825" s="3">
        <f t="shared" si="5"/>
        <v>0.6020539153</v>
      </c>
      <c r="N1825" s="2">
        <v>4291900.0</v>
      </c>
      <c r="O1825" s="4">
        <f t="shared" si="6"/>
        <v>5509.499358</v>
      </c>
      <c r="P1825" s="2">
        <v>0.0</v>
      </c>
      <c r="Q1825" s="3">
        <f t="shared" si="7"/>
        <v>0</v>
      </c>
      <c r="R1825" s="2">
        <v>356.0</v>
      </c>
      <c r="S1825" s="5">
        <f t="shared" si="8"/>
        <v>1</v>
      </c>
    </row>
    <row r="1826">
      <c r="A1826" s="2" t="s">
        <v>1837</v>
      </c>
      <c r="B1826" s="2">
        <v>48.0</v>
      </c>
      <c r="C1826" s="2">
        <v>536.0</v>
      </c>
      <c r="D1826" s="2">
        <v>166.0</v>
      </c>
      <c r="E1826" s="3">
        <f t="shared" si="1"/>
        <v>0.3401639344</v>
      </c>
      <c r="F1826" s="2">
        <v>69.0</v>
      </c>
      <c r="G1826" s="3">
        <f t="shared" si="2"/>
        <v>0.1413934426</v>
      </c>
      <c r="H1826" s="2">
        <v>93.0</v>
      </c>
      <c r="I1826" s="3">
        <f t="shared" si="3"/>
        <v>0.1905737705</v>
      </c>
      <c r="J1826" s="2">
        <v>93.0</v>
      </c>
      <c r="K1826" s="3">
        <f t="shared" si="4"/>
        <v>0.1905737705</v>
      </c>
      <c r="L1826" s="2">
        <v>57.0</v>
      </c>
      <c r="M1826" s="3">
        <f t="shared" si="5"/>
        <v>0.6129032258</v>
      </c>
      <c r="N1826" s="2">
        <v>476000.0</v>
      </c>
      <c r="O1826" s="4">
        <f t="shared" si="6"/>
        <v>5118.27957</v>
      </c>
      <c r="P1826" s="2">
        <v>0.0</v>
      </c>
      <c r="Q1826" s="3">
        <f t="shared" si="7"/>
        <v>0</v>
      </c>
      <c r="R1826" s="2">
        <v>48.0</v>
      </c>
      <c r="S1826" s="5">
        <f t="shared" si="8"/>
        <v>1</v>
      </c>
    </row>
    <row r="1827">
      <c r="A1827" s="2" t="s">
        <v>1838</v>
      </c>
      <c r="B1827" s="2">
        <v>155.0</v>
      </c>
      <c r="C1827" s="2">
        <v>1810.0</v>
      </c>
      <c r="D1827" s="2">
        <v>658.0</v>
      </c>
      <c r="E1827" s="3">
        <f t="shared" si="1"/>
        <v>0.3975830816</v>
      </c>
      <c r="F1827" s="2">
        <v>234.0</v>
      </c>
      <c r="G1827" s="3">
        <f t="shared" si="2"/>
        <v>0.1413897281</v>
      </c>
      <c r="H1827" s="2">
        <v>360.0</v>
      </c>
      <c r="I1827" s="3">
        <f t="shared" si="3"/>
        <v>0.2175226586</v>
      </c>
      <c r="J1827" s="2">
        <v>317.0</v>
      </c>
      <c r="K1827" s="3">
        <f t="shared" si="4"/>
        <v>0.1915407855</v>
      </c>
      <c r="L1827" s="2">
        <v>217.0</v>
      </c>
      <c r="M1827" s="3">
        <f t="shared" si="5"/>
        <v>0.6027777778</v>
      </c>
      <c r="N1827" s="2">
        <v>2022500.0</v>
      </c>
      <c r="O1827" s="4">
        <f t="shared" si="6"/>
        <v>5618.055556</v>
      </c>
      <c r="P1827" s="2">
        <v>0.0</v>
      </c>
      <c r="Q1827" s="3">
        <f t="shared" si="7"/>
        <v>0</v>
      </c>
      <c r="R1827" s="2">
        <v>155.0</v>
      </c>
      <c r="S1827" s="5">
        <f t="shared" si="8"/>
        <v>1</v>
      </c>
    </row>
    <row r="1828">
      <c r="A1828" s="2" t="s">
        <v>1839</v>
      </c>
      <c r="B1828" s="2">
        <v>306.0</v>
      </c>
      <c r="C1828" s="2">
        <v>3553.0</v>
      </c>
      <c r="D1828" s="2">
        <v>1147.0</v>
      </c>
      <c r="E1828" s="3">
        <f t="shared" si="1"/>
        <v>0.3532491531</v>
      </c>
      <c r="F1828" s="2">
        <v>459.0</v>
      </c>
      <c r="G1828" s="3">
        <f t="shared" si="2"/>
        <v>0.1413612565</v>
      </c>
      <c r="H1828" s="2">
        <v>659.0</v>
      </c>
      <c r="I1828" s="3">
        <f t="shared" si="3"/>
        <v>0.2029565753</v>
      </c>
      <c r="J1828" s="2">
        <v>586.0</v>
      </c>
      <c r="K1828" s="3">
        <f t="shared" si="4"/>
        <v>0.180474284</v>
      </c>
      <c r="L1828" s="2">
        <v>383.0</v>
      </c>
      <c r="M1828" s="3">
        <f t="shared" si="5"/>
        <v>0.5811836115</v>
      </c>
      <c r="N1828" s="2">
        <v>4063600.0</v>
      </c>
      <c r="O1828" s="4">
        <f t="shared" si="6"/>
        <v>6166.312595</v>
      </c>
      <c r="P1828" s="2">
        <v>0.0</v>
      </c>
      <c r="Q1828" s="3">
        <f t="shared" si="7"/>
        <v>0</v>
      </c>
      <c r="R1828" s="2">
        <v>0.0</v>
      </c>
      <c r="S1828" s="5">
        <f t="shared" si="8"/>
        <v>0</v>
      </c>
    </row>
    <row r="1829">
      <c r="A1829" s="2" t="s">
        <v>1840</v>
      </c>
      <c r="B1829" s="2">
        <v>861.0</v>
      </c>
      <c r="C1829" s="2">
        <v>10165.0</v>
      </c>
      <c r="D1829" s="2">
        <v>3554.0</v>
      </c>
      <c r="E1829" s="3">
        <f t="shared" si="1"/>
        <v>0.3819862425</v>
      </c>
      <c r="F1829" s="2">
        <v>1315.0</v>
      </c>
      <c r="G1829" s="3">
        <f t="shared" si="2"/>
        <v>0.1413370593</v>
      </c>
      <c r="H1829" s="2">
        <v>2098.0</v>
      </c>
      <c r="I1829" s="3">
        <f t="shared" si="3"/>
        <v>0.225494411</v>
      </c>
      <c r="J1829" s="2">
        <v>1676.0</v>
      </c>
      <c r="K1829" s="3">
        <f t="shared" si="4"/>
        <v>0.1801375752</v>
      </c>
      <c r="L1829" s="2">
        <v>1251.0</v>
      </c>
      <c r="M1829" s="3">
        <f t="shared" si="5"/>
        <v>0.5962821735</v>
      </c>
      <c r="N1829" s="2">
        <v>1.19078E7</v>
      </c>
      <c r="O1829" s="4">
        <f t="shared" si="6"/>
        <v>5675.786463</v>
      </c>
      <c r="P1829" s="2">
        <v>2.0</v>
      </c>
      <c r="Q1829" s="3">
        <f t="shared" si="7"/>
        <v>0.002322880372</v>
      </c>
      <c r="R1829" s="2">
        <v>861.0</v>
      </c>
      <c r="S1829" s="5">
        <f t="shared" si="8"/>
        <v>1</v>
      </c>
    </row>
    <row r="1830">
      <c r="A1830" s="2" t="s">
        <v>1841</v>
      </c>
      <c r="B1830" s="2">
        <v>4337.0</v>
      </c>
      <c r="C1830" s="2">
        <v>50355.0</v>
      </c>
      <c r="D1830" s="2">
        <v>15781.0</v>
      </c>
      <c r="E1830" s="3">
        <f t="shared" si="1"/>
        <v>0.342931027</v>
      </c>
      <c r="F1830" s="2">
        <v>6504.0</v>
      </c>
      <c r="G1830" s="3">
        <f t="shared" si="2"/>
        <v>0.141335999</v>
      </c>
      <c r="H1830" s="2">
        <v>10035.0</v>
      </c>
      <c r="I1830" s="3">
        <f t="shared" si="3"/>
        <v>0.2180668434</v>
      </c>
      <c r="J1830" s="2">
        <v>8610.0</v>
      </c>
      <c r="K1830" s="3">
        <f t="shared" si="4"/>
        <v>0.1871006997</v>
      </c>
      <c r="L1830" s="2">
        <v>5918.0</v>
      </c>
      <c r="M1830" s="3">
        <f t="shared" si="5"/>
        <v>0.5897359243</v>
      </c>
      <c r="N1830" s="2">
        <v>5.7936E7</v>
      </c>
      <c r="O1830" s="4">
        <f t="shared" si="6"/>
        <v>5773.393124</v>
      </c>
      <c r="P1830" s="2">
        <v>12.0</v>
      </c>
      <c r="Q1830" s="3">
        <f t="shared" si="7"/>
        <v>0.002766889555</v>
      </c>
      <c r="R1830" s="2">
        <v>4336.0</v>
      </c>
      <c r="S1830" s="5">
        <f t="shared" si="8"/>
        <v>0.9997694259</v>
      </c>
    </row>
    <row r="1831">
      <c r="A1831" s="2" t="s">
        <v>1842</v>
      </c>
      <c r="B1831" s="2">
        <v>677.0</v>
      </c>
      <c r="C1831" s="2">
        <v>7901.0</v>
      </c>
      <c r="D1831" s="2">
        <v>3172.0</v>
      </c>
      <c r="E1831" s="3">
        <f t="shared" si="1"/>
        <v>0.4390919158</v>
      </c>
      <c r="F1831" s="2">
        <v>1021.0</v>
      </c>
      <c r="G1831" s="3">
        <f t="shared" si="2"/>
        <v>0.1413344408</v>
      </c>
      <c r="H1831" s="2">
        <v>1710.0</v>
      </c>
      <c r="I1831" s="3">
        <f t="shared" si="3"/>
        <v>0.2367109635</v>
      </c>
      <c r="J1831" s="2">
        <v>1124.0</v>
      </c>
      <c r="K1831" s="3">
        <f t="shared" si="4"/>
        <v>0.1555924695</v>
      </c>
      <c r="L1831" s="2">
        <v>1027.0</v>
      </c>
      <c r="M1831" s="3">
        <f t="shared" si="5"/>
        <v>0.6005847953</v>
      </c>
      <c r="N1831" s="2">
        <v>8632700.0</v>
      </c>
      <c r="O1831" s="4">
        <f t="shared" si="6"/>
        <v>5048.362573</v>
      </c>
      <c r="P1831" s="2">
        <v>5.0</v>
      </c>
      <c r="Q1831" s="3">
        <f t="shared" si="7"/>
        <v>0.007385524372</v>
      </c>
      <c r="R1831" s="2">
        <v>677.0</v>
      </c>
      <c r="S1831" s="5">
        <f t="shared" si="8"/>
        <v>1</v>
      </c>
    </row>
    <row r="1832">
      <c r="A1832" s="2" t="s">
        <v>1843</v>
      </c>
      <c r="B1832" s="2">
        <v>90.0</v>
      </c>
      <c r="C1832" s="2">
        <v>1024.0</v>
      </c>
      <c r="D1832" s="2">
        <v>312.0</v>
      </c>
      <c r="E1832" s="3">
        <f t="shared" si="1"/>
        <v>0.3340471092</v>
      </c>
      <c r="F1832" s="2">
        <v>132.0</v>
      </c>
      <c r="G1832" s="3">
        <f t="shared" si="2"/>
        <v>0.1413276231</v>
      </c>
      <c r="H1832" s="2">
        <v>185.0</v>
      </c>
      <c r="I1832" s="3">
        <f t="shared" si="3"/>
        <v>0.1980728051</v>
      </c>
      <c r="J1832" s="2">
        <v>168.0</v>
      </c>
      <c r="K1832" s="3">
        <f t="shared" si="4"/>
        <v>0.1798715203</v>
      </c>
      <c r="L1832" s="2">
        <v>101.0</v>
      </c>
      <c r="M1832" s="3">
        <f t="shared" si="5"/>
        <v>0.5459459459</v>
      </c>
      <c r="N1832" s="2">
        <v>1026200.0</v>
      </c>
      <c r="O1832" s="4">
        <f t="shared" si="6"/>
        <v>5547.027027</v>
      </c>
      <c r="P1832" s="2">
        <v>0.0</v>
      </c>
      <c r="Q1832" s="3">
        <f t="shared" si="7"/>
        <v>0</v>
      </c>
      <c r="R1832" s="2">
        <v>90.0</v>
      </c>
      <c r="S1832" s="5">
        <f t="shared" si="8"/>
        <v>1</v>
      </c>
    </row>
    <row r="1833">
      <c r="A1833" s="2" t="s">
        <v>1844</v>
      </c>
      <c r="B1833" s="2">
        <v>16.0</v>
      </c>
      <c r="C1833" s="2">
        <v>200.0</v>
      </c>
      <c r="D1833" s="2">
        <v>65.0</v>
      </c>
      <c r="E1833" s="3">
        <f t="shared" si="1"/>
        <v>0.3532608696</v>
      </c>
      <c r="F1833" s="2">
        <v>26.0</v>
      </c>
      <c r="G1833" s="3">
        <f t="shared" si="2"/>
        <v>0.1413043478</v>
      </c>
      <c r="H1833" s="2">
        <v>27.0</v>
      </c>
      <c r="I1833" s="3">
        <f t="shared" si="3"/>
        <v>0.1467391304</v>
      </c>
      <c r="J1833" s="2">
        <v>28.0</v>
      </c>
      <c r="K1833" s="3">
        <f t="shared" si="4"/>
        <v>0.152173913</v>
      </c>
      <c r="L1833" s="2">
        <v>18.0</v>
      </c>
      <c r="M1833" s="3">
        <f t="shared" si="5"/>
        <v>0.6666666667</v>
      </c>
      <c r="N1833" s="2">
        <v>157600.0</v>
      </c>
      <c r="O1833" s="4">
        <f t="shared" si="6"/>
        <v>5837.037037</v>
      </c>
      <c r="P1833" s="2">
        <v>0.0</v>
      </c>
      <c r="Q1833" s="3">
        <f t="shared" si="7"/>
        <v>0</v>
      </c>
      <c r="R1833" s="2">
        <v>16.0</v>
      </c>
      <c r="S1833" s="5">
        <f t="shared" si="8"/>
        <v>1</v>
      </c>
    </row>
    <row r="1834">
      <c r="A1834" s="2" t="s">
        <v>1845</v>
      </c>
      <c r="B1834" s="2">
        <v>359.0</v>
      </c>
      <c r="C1834" s="2">
        <v>4209.0</v>
      </c>
      <c r="D1834" s="2">
        <v>1457.0</v>
      </c>
      <c r="E1834" s="3">
        <f t="shared" si="1"/>
        <v>0.3784415584</v>
      </c>
      <c r="F1834" s="2">
        <v>544.0</v>
      </c>
      <c r="G1834" s="3">
        <f t="shared" si="2"/>
        <v>0.1412987013</v>
      </c>
      <c r="H1834" s="2">
        <v>886.0</v>
      </c>
      <c r="I1834" s="3">
        <f t="shared" si="3"/>
        <v>0.2301298701</v>
      </c>
      <c r="J1834" s="2">
        <v>739.0</v>
      </c>
      <c r="K1834" s="3">
        <f t="shared" si="4"/>
        <v>0.1919480519</v>
      </c>
      <c r="L1834" s="2">
        <v>553.0</v>
      </c>
      <c r="M1834" s="3">
        <f t="shared" si="5"/>
        <v>0.6241534989</v>
      </c>
      <c r="N1834" s="2">
        <v>4895600.0</v>
      </c>
      <c r="O1834" s="4">
        <f t="shared" si="6"/>
        <v>5525.507901</v>
      </c>
      <c r="P1834" s="2">
        <v>2.0</v>
      </c>
      <c r="Q1834" s="3">
        <f t="shared" si="7"/>
        <v>0.005571030641</v>
      </c>
      <c r="R1834" s="2">
        <v>0.0</v>
      </c>
      <c r="S1834" s="5">
        <f t="shared" si="8"/>
        <v>0</v>
      </c>
    </row>
    <row r="1835">
      <c r="A1835" s="2" t="s">
        <v>1846</v>
      </c>
      <c r="B1835" s="2">
        <v>623.0</v>
      </c>
      <c r="C1835" s="2">
        <v>7198.0</v>
      </c>
      <c r="D1835" s="2">
        <v>2221.0</v>
      </c>
      <c r="E1835" s="3">
        <f t="shared" si="1"/>
        <v>0.3377946768</v>
      </c>
      <c r="F1835" s="2">
        <v>929.0</v>
      </c>
      <c r="G1835" s="3">
        <f t="shared" si="2"/>
        <v>0.1412927757</v>
      </c>
      <c r="H1835" s="2">
        <v>1342.0</v>
      </c>
      <c r="I1835" s="3">
        <f t="shared" si="3"/>
        <v>0.2041064639</v>
      </c>
      <c r="J1835" s="2">
        <v>1320.0</v>
      </c>
      <c r="K1835" s="3">
        <f t="shared" si="4"/>
        <v>0.2007604563</v>
      </c>
      <c r="L1835" s="2">
        <v>766.0</v>
      </c>
      <c r="M1835" s="3">
        <f t="shared" si="5"/>
        <v>0.5707898659</v>
      </c>
      <c r="N1835" s="2">
        <v>8143400.0</v>
      </c>
      <c r="O1835" s="4">
        <f t="shared" si="6"/>
        <v>6068.107303</v>
      </c>
      <c r="P1835" s="2">
        <v>1.0</v>
      </c>
      <c r="Q1835" s="3">
        <f t="shared" si="7"/>
        <v>0.001605136437</v>
      </c>
      <c r="R1835" s="2">
        <v>623.0</v>
      </c>
      <c r="S1835" s="5">
        <f t="shared" si="8"/>
        <v>1</v>
      </c>
    </row>
    <row r="1836">
      <c r="A1836" s="2" t="s">
        <v>1847</v>
      </c>
      <c r="B1836" s="2">
        <v>247.0</v>
      </c>
      <c r="C1836" s="2">
        <v>2887.0</v>
      </c>
      <c r="D1836" s="2">
        <v>978.0</v>
      </c>
      <c r="E1836" s="3">
        <f t="shared" si="1"/>
        <v>0.3704545455</v>
      </c>
      <c r="F1836" s="2">
        <v>373.0</v>
      </c>
      <c r="G1836" s="3">
        <f t="shared" si="2"/>
        <v>0.1412878788</v>
      </c>
      <c r="H1836" s="2">
        <v>552.0</v>
      </c>
      <c r="I1836" s="3">
        <f t="shared" si="3"/>
        <v>0.2090909091</v>
      </c>
      <c r="J1836" s="2">
        <v>441.0</v>
      </c>
      <c r="K1836" s="3">
        <f t="shared" si="4"/>
        <v>0.1670454545</v>
      </c>
      <c r="L1836" s="2">
        <v>311.0</v>
      </c>
      <c r="M1836" s="3">
        <f t="shared" si="5"/>
        <v>0.5634057971</v>
      </c>
      <c r="N1836" s="2">
        <v>3148800.0</v>
      </c>
      <c r="O1836" s="4">
        <f t="shared" si="6"/>
        <v>5704.347826</v>
      </c>
      <c r="P1836" s="2">
        <v>3.0</v>
      </c>
      <c r="Q1836" s="3">
        <f t="shared" si="7"/>
        <v>0.01214574899</v>
      </c>
      <c r="R1836" s="2">
        <v>247.0</v>
      </c>
      <c r="S1836" s="5">
        <f t="shared" si="8"/>
        <v>1</v>
      </c>
    </row>
    <row r="1837">
      <c r="A1837" s="2" t="s">
        <v>1848</v>
      </c>
      <c r="B1837" s="2">
        <v>61.0</v>
      </c>
      <c r="C1837" s="2">
        <v>698.0</v>
      </c>
      <c r="D1837" s="2">
        <v>237.0</v>
      </c>
      <c r="E1837" s="3">
        <f t="shared" si="1"/>
        <v>0.3720565149</v>
      </c>
      <c r="F1837" s="2">
        <v>90.0</v>
      </c>
      <c r="G1837" s="3">
        <f t="shared" si="2"/>
        <v>0.1412872841</v>
      </c>
      <c r="H1837" s="2">
        <v>128.0</v>
      </c>
      <c r="I1837" s="3">
        <f t="shared" si="3"/>
        <v>0.2009419152</v>
      </c>
      <c r="J1837" s="2">
        <v>95.0</v>
      </c>
      <c r="K1837" s="3">
        <f t="shared" si="4"/>
        <v>0.1491365777</v>
      </c>
      <c r="L1837" s="2">
        <v>83.0</v>
      </c>
      <c r="M1837" s="3">
        <f t="shared" si="5"/>
        <v>0.6484375</v>
      </c>
      <c r="N1837" s="2">
        <v>651800.0</v>
      </c>
      <c r="O1837" s="4">
        <f t="shared" si="6"/>
        <v>5092.1875</v>
      </c>
      <c r="P1837" s="2">
        <v>0.0</v>
      </c>
      <c r="Q1837" s="3">
        <f t="shared" si="7"/>
        <v>0</v>
      </c>
      <c r="R1837" s="2">
        <v>61.0</v>
      </c>
      <c r="S1837" s="5">
        <f t="shared" si="8"/>
        <v>1</v>
      </c>
    </row>
    <row r="1838">
      <c r="A1838" s="2" t="s">
        <v>1849</v>
      </c>
      <c r="B1838" s="2">
        <v>231.0</v>
      </c>
      <c r="C1838" s="2">
        <v>2765.0</v>
      </c>
      <c r="D1838" s="2">
        <v>881.0</v>
      </c>
      <c r="E1838" s="3">
        <f t="shared" si="1"/>
        <v>0.3476716654</v>
      </c>
      <c r="F1838" s="2">
        <v>358.0</v>
      </c>
      <c r="G1838" s="3">
        <f t="shared" si="2"/>
        <v>0.1412786109</v>
      </c>
      <c r="H1838" s="2">
        <v>507.0</v>
      </c>
      <c r="I1838" s="3">
        <f t="shared" si="3"/>
        <v>0.2000789266</v>
      </c>
      <c r="J1838" s="2">
        <v>462.0</v>
      </c>
      <c r="K1838" s="3">
        <f t="shared" si="4"/>
        <v>0.182320442</v>
      </c>
      <c r="L1838" s="2">
        <v>312.0</v>
      </c>
      <c r="M1838" s="3">
        <f t="shared" si="5"/>
        <v>0.6153846154</v>
      </c>
      <c r="N1838" s="2">
        <v>2745500.0</v>
      </c>
      <c r="O1838" s="4">
        <f t="shared" si="6"/>
        <v>5415.187377</v>
      </c>
      <c r="P1838" s="2">
        <v>0.0</v>
      </c>
      <c r="Q1838" s="3">
        <f t="shared" si="7"/>
        <v>0</v>
      </c>
      <c r="R1838" s="2">
        <v>231.0</v>
      </c>
      <c r="S1838" s="5">
        <f t="shared" si="8"/>
        <v>1</v>
      </c>
    </row>
    <row r="1839">
      <c r="A1839" s="2" t="s">
        <v>1850</v>
      </c>
      <c r="B1839" s="2">
        <v>877.0</v>
      </c>
      <c r="C1839" s="2">
        <v>10285.0</v>
      </c>
      <c r="D1839" s="2">
        <v>2879.0</v>
      </c>
      <c r="E1839" s="3">
        <f t="shared" si="1"/>
        <v>0.3060161565</v>
      </c>
      <c r="F1839" s="2">
        <v>1329.0</v>
      </c>
      <c r="G1839" s="3">
        <f t="shared" si="2"/>
        <v>0.1412627551</v>
      </c>
      <c r="H1839" s="2">
        <v>1990.0</v>
      </c>
      <c r="I1839" s="3">
        <f t="shared" si="3"/>
        <v>0.2115221088</v>
      </c>
      <c r="J1839" s="2">
        <v>1583.0</v>
      </c>
      <c r="K1839" s="3">
        <f t="shared" si="4"/>
        <v>0.1682610544</v>
      </c>
      <c r="L1839" s="2">
        <v>1178.0</v>
      </c>
      <c r="M1839" s="3">
        <f t="shared" si="5"/>
        <v>0.591959799</v>
      </c>
      <c r="N1839" s="2">
        <v>1.18363E7</v>
      </c>
      <c r="O1839" s="4">
        <f t="shared" si="6"/>
        <v>5947.889447</v>
      </c>
      <c r="P1839" s="2">
        <v>5.0</v>
      </c>
      <c r="Q1839" s="3">
        <f t="shared" si="7"/>
        <v>0.005701254276</v>
      </c>
      <c r="R1839" s="2">
        <v>877.0</v>
      </c>
      <c r="S1839" s="5">
        <f t="shared" si="8"/>
        <v>1</v>
      </c>
    </row>
    <row r="1840">
      <c r="A1840" s="2" t="s">
        <v>1851</v>
      </c>
      <c r="B1840" s="2">
        <v>179.0</v>
      </c>
      <c r="C1840" s="2">
        <v>2048.0</v>
      </c>
      <c r="D1840" s="2">
        <v>653.0</v>
      </c>
      <c r="E1840" s="3">
        <f t="shared" si="1"/>
        <v>0.3493846977</v>
      </c>
      <c r="F1840" s="2">
        <v>264.0</v>
      </c>
      <c r="G1840" s="3">
        <f t="shared" si="2"/>
        <v>0.1412520064</v>
      </c>
      <c r="H1840" s="2">
        <v>425.0</v>
      </c>
      <c r="I1840" s="3">
        <f t="shared" si="3"/>
        <v>0.2273943285</v>
      </c>
      <c r="J1840" s="2">
        <v>300.0</v>
      </c>
      <c r="K1840" s="3">
        <f t="shared" si="4"/>
        <v>0.1605136437</v>
      </c>
      <c r="L1840" s="2">
        <v>258.0</v>
      </c>
      <c r="M1840" s="3">
        <f t="shared" si="5"/>
        <v>0.6070588235</v>
      </c>
      <c r="N1840" s="2">
        <v>2349400.0</v>
      </c>
      <c r="O1840" s="4">
        <f t="shared" si="6"/>
        <v>5528</v>
      </c>
      <c r="P1840" s="2">
        <v>0.0</v>
      </c>
      <c r="Q1840" s="3">
        <f t="shared" si="7"/>
        <v>0</v>
      </c>
      <c r="R1840" s="2">
        <v>0.0</v>
      </c>
      <c r="S1840" s="5">
        <f t="shared" si="8"/>
        <v>0</v>
      </c>
    </row>
    <row r="1841">
      <c r="A1841" s="2" t="s">
        <v>1852</v>
      </c>
      <c r="B1841" s="2">
        <v>287.0</v>
      </c>
      <c r="C1841" s="2">
        <v>3381.0</v>
      </c>
      <c r="D1841" s="2">
        <v>1132.0</v>
      </c>
      <c r="E1841" s="3">
        <f t="shared" si="1"/>
        <v>0.3658694247</v>
      </c>
      <c r="F1841" s="2">
        <v>437.0</v>
      </c>
      <c r="G1841" s="3">
        <f t="shared" si="2"/>
        <v>0.1412411118</v>
      </c>
      <c r="H1841" s="2">
        <v>681.0</v>
      </c>
      <c r="I1841" s="3">
        <f t="shared" si="3"/>
        <v>0.220103426</v>
      </c>
      <c r="J1841" s="2">
        <v>545.0</v>
      </c>
      <c r="K1841" s="3">
        <f t="shared" si="4"/>
        <v>0.176147382</v>
      </c>
      <c r="L1841" s="2">
        <v>412.0</v>
      </c>
      <c r="M1841" s="3">
        <f t="shared" si="5"/>
        <v>0.6049926579</v>
      </c>
      <c r="N1841" s="2">
        <v>3767300.0</v>
      </c>
      <c r="O1841" s="4">
        <f t="shared" si="6"/>
        <v>5532.011747</v>
      </c>
      <c r="P1841" s="2">
        <v>1.0</v>
      </c>
      <c r="Q1841" s="3">
        <f t="shared" si="7"/>
        <v>0.003484320557</v>
      </c>
      <c r="R1841" s="2">
        <v>287.0</v>
      </c>
      <c r="S1841" s="5">
        <f t="shared" si="8"/>
        <v>1</v>
      </c>
    </row>
    <row r="1842">
      <c r="A1842" s="2" t="s">
        <v>1853</v>
      </c>
      <c r="B1842" s="2">
        <v>253.0</v>
      </c>
      <c r="C1842" s="2">
        <v>2979.0</v>
      </c>
      <c r="D1842" s="2">
        <v>764.0</v>
      </c>
      <c r="E1842" s="3">
        <f t="shared" si="1"/>
        <v>0.2802641233</v>
      </c>
      <c r="F1842" s="2">
        <v>385.0</v>
      </c>
      <c r="G1842" s="3">
        <f t="shared" si="2"/>
        <v>0.1412325752</v>
      </c>
      <c r="H1842" s="2">
        <v>530.0</v>
      </c>
      <c r="I1842" s="3">
        <f t="shared" si="3"/>
        <v>0.1944240646</v>
      </c>
      <c r="J1842" s="2">
        <v>488.0</v>
      </c>
      <c r="K1842" s="3">
        <f t="shared" si="4"/>
        <v>0.1790168745</v>
      </c>
      <c r="L1842" s="2">
        <v>314.0</v>
      </c>
      <c r="M1842" s="3">
        <f t="shared" si="5"/>
        <v>0.5924528302</v>
      </c>
      <c r="N1842" s="2">
        <v>3109100.0</v>
      </c>
      <c r="O1842" s="4">
        <f t="shared" si="6"/>
        <v>5866.226415</v>
      </c>
      <c r="P1842" s="2">
        <v>0.0</v>
      </c>
      <c r="Q1842" s="3">
        <f t="shared" si="7"/>
        <v>0</v>
      </c>
      <c r="R1842" s="2">
        <v>253.0</v>
      </c>
      <c r="S1842" s="5">
        <f t="shared" si="8"/>
        <v>1</v>
      </c>
    </row>
    <row r="1843">
      <c r="A1843" s="2" t="s">
        <v>1854</v>
      </c>
      <c r="B1843" s="2">
        <v>149.0</v>
      </c>
      <c r="C1843" s="2">
        <v>1728.0</v>
      </c>
      <c r="D1843" s="2">
        <v>538.0</v>
      </c>
      <c r="E1843" s="3">
        <f t="shared" si="1"/>
        <v>0.3407219759</v>
      </c>
      <c r="F1843" s="2">
        <v>223.0</v>
      </c>
      <c r="G1843" s="3">
        <f t="shared" si="2"/>
        <v>0.1412286257</v>
      </c>
      <c r="H1843" s="2">
        <v>338.0</v>
      </c>
      <c r="I1843" s="3">
        <f t="shared" si="3"/>
        <v>0.2140595313</v>
      </c>
      <c r="J1843" s="2">
        <v>289.0</v>
      </c>
      <c r="K1843" s="3">
        <f t="shared" si="4"/>
        <v>0.1830272324</v>
      </c>
      <c r="L1843" s="2">
        <v>207.0</v>
      </c>
      <c r="M1843" s="3">
        <f t="shared" si="5"/>
        <v>0.6124260355</v>
      </c>
      <c r="N1843" s="2">
        <v>1907600.0</v>
      </c>
      <c r="O1843" s="4">
        <f t="shared" si="6"/>
        <v>5643.786982</v>
      </c>
      <c r="P1843" s="2">
        <v>0.0</v>
      </c>
      <c r="Q1843" s="3">
        <f t="shared" si="7"/>
        <v>0</v>
      </c>
      <c r="R1843" s="2">
        <v>149.0</v>
      </c>
      <c r="S1843" s="5">
        <f t="shared" si="8"/>
        <v>1</v>
      </c>
    </row>
    <row r="1844">
      <c r="A1844" s="2" t="s">
        <v>1855</v>
      </c>
      <c r="B1844" s="2">
        <v>138.0</v>
      </c>
      <c r="C1844" s="2">
        <v>1618.0</v>
      </c>
      <c r="D1844" s="2">
        <v>461.0</v>
      </c>
      <c r="E1844" s="3">
        <f t="shared" si="1"/>
        <v>0.3114864865</v>
      </c>
      <c r="F1844" s="2">
        <v>209.0</v>
      </c>
      <c r="G1844" s="3">
        <f t="shared" si="2"/>
        <v>0.1412162162</v>
      </c>
      <c r="H1844" s="2">
        <v>301.0</v>
      </c>
      <c r="I1844" s="3">
        <f t="shared" si="3"/>
        <v>0.2033783784</v>
      </c>
      <c r="J1844" s="2">
        <v>271.0</v>
      </c>
      <c r="K1844" s="3">
        <f t="shared" si="4"/>
        <v>0.1831081081</v>
      </c>
      <c r="L1844" s="2">
        <v>159.0</v>
      </c>
      <c r="M1844" s="3">
        <f t="shared" si="5"/>
        <v>0.5282392027</v>
      </c>
      <c r="N1844" s="2">
        <v>1584100.0</v>
      </c>
      <c r="O1844" s="4">
        <f t="shared" si="6"/>
        <v>5262.790698</v>
      </c>
      <c r="P1844" s="2">
        <v>1.0</v>
      </c>
      <c r="Q1844" s="3">
        <f t="shared" si="7"/>
        <v>0.007246376812</v>
      </c>
      <c r="R1844" s="2">
        <v>138.0</v>
      </c>
      <c r="S1844" s="5">
        <f t="shared" si="8"/>
        <v>1</v>
      </c>
    </row>
    <row r="1845">
      <c r="A1845" s="2" t="s">
        <v>1856</v>
      </c>
      <c r="B1845" s="2">
        <v>199.0</v>
      </c>
      <c r="C1845" s="2">
        <v>2288.0</v>
      </c>
      <c r="D1845" s="2">
        <v>660.0</v>
      </c>
      <c r="E1845" s="3">
        <f t="shared" si="1"/>
        <v>0.3159406415</v>
      </c>
      <c r="F1845" s="2">
        <v>295.0</v>
      </c>
      <c r="G1845" s="3">
        <f t="shared" si="2"/>
        <v>0.1412158928</v>
      </c>
      <c r="H1845" s="2">
        <v>437.0</v>
      </c>
      <c r="I1845" s="3">
        <f t="shared" si="3"/>
        <v>0.2091910005</v>
      </c>
      <c r="J1845" s="2">
        <v>369.0</v>
      </c>
      <c r="K1845" s="3">
        <f t="shared" si="4"/>
        <v>0.1766395404</v>
      </c>
      <c r="L1845" s="2">
        <v>280.0</v>
      </c>
      <c r="M1845" s="3">
        <f t="shared" si="5"/>
        <v>0.6407322654</v>
      </c>
      <c r="N1845" s="2">
        <v>2555100.0</v>
      </c>
      <c r="O1845" s="4">
        <f t="shared" si="6"/>
        <v>5846.910755</v>
      </c>
      <c r="P1845" s="2">
        <v>0.0</v>
      </c>
      <c r="Q1845" s="3">
        <f t="shared" si="7"/>
        <v>0</v>
      </c>
      <c r="R1845" s="2">
        <v>199.0</v>
      </c>
      <c r="S1845" s="5">
        <f t="shared" si="8"/>
        <v>1</v>
      </c>
    </row>
    <row r="1846">
      <c r="A1846" s="2" t="s">
        <v>1857</v>
      </c>
      <c r="B1846" s="2">
        <v>494.0</v>
      </c>
      <c r="C1846" s="2">
        <v>5784.0</v>
      </c>
      <c r="D1846" s="2">
        <v>1964.0</v>
      </c>
      <c r="E1846" s="3">
        <f t="shared" si="1"/>
        <v>0.3712665406</v>
      </c>
      <c r="F1846" s="2">
        <v>747.0</v>
      </c>
      <c r="G1846" s="3">
        <f t="shared" si="2"/>
        <v>0.1412098299</v>
      </c>
      <c r="H1846" s="2">
        <v>1150.0</v>
      </c>
      <c r="I1846" s="3">
        <f t="shared" si="3"/>
        <v>0.2173913043</v>
      </c>
      <c r="J1846" s="2">
        <v>878.0</v>
      </c>
      <c r="K1846" s="3">
        <f t="shared" si="4"/>
        <v>0.165973535</v>
      </c>
      <c r="L1846" s="2">
        <v>669.0</v>
      </c>
      <c r="M1846" s="3">
        <f t="shared" si="5"/>
        <v>0.5817391304</v>
      </c>
      <c r="N1846" s="2">
        <v>6349700.0</v>
      </c>
      <c r="O1846" s="4">
        <f t="shared" si="6"/>
        <v>5521.478261</v>
      </c>
      <c r="P1846" s="2">
        <v>1.0</v>
      </c>
      <c r="Q1846" s="3">
        <f t="shared" si="7"/>
        <v>0.002024291498</v>
      </c>
      <c r="R1846" s="2">
        <v>494.0</v>
      </c>
      <c r="S1846" s="5">
        <f t="shared" si="8"/>
        <v>1</v>
      </c>
    </row>
    <row r="1847">
      <c r="A1847" s="2" t="s">
        <v>1858</v>
      </c>
      <c r="B1847" s="2">
        <v>239.0</v>
      </c>
      <c r="C1847" s="2">
        <v>2753.0</v>
      </c>
      <c r="D1847" s="2">
        <v>784.0</v>
      </c>
      <c r="E1847" s="3">
        <f t="shared" si="1"/>
        <v>0.3118536197</v>
      </c>
      <c r="F1847" s="2">
        <v>355.0</v>
      </c>
      <c r="G1847" s="3">
        <f t="shared" si="2"/>
        <v>0.1412092283</v>
      </c>
      <c r="H1847" s="2">
        <v>516.0</v>
      </c>
      <c r="I1847" s="3">
        <f t="shared" si="3"/>
        <v>0.2052505967</v>
      </c>
      <c r="J1847" s="2">
        <v>432.0</v>
      </c>
      <c r="K1847" s="3">
        <f t="shared" si="4"/>
        <v>0.1718377088</v>
      </c>
      <c r="L1847" s="2">
        <v>307.0</v>
      </c>
      <c r="M1847" s="3">
        <f t="shared" si="5"/>
        <v>0.5949612403</v>
      </c>
      <c r="N1847" s="2">
        <v>3047000.0</v>
      </c>
      <c r="O1847" s="4">
        <f t="shared" si="6"/>
        <v>5905.03876</v>
      </c>
      <c r="P1847" s="2">
        <v>0.0</v>
      </c>
      <c r="Q1847" s="3">
        <f t="shared" si="7"/>
        <v>0</v>
      </c>
      <c r="R1847" s="2">
        <v>239.0</v>
      </c>
      <c r="S1847" s="5">
        <f t="shared" si="8"/>
        <v>1</v>
      </c>
    </row>
    <row r="1848">
      <c r="A1848" s="2" t="s">
        <v>1859</v>
      </c>
      <c r="B1848" s="2">
        <v>321.0</v>
      </c>
      <c r="C1848" s="2">
        <v>3827.0</v>
      </c>
      <c r="D1848" s="2">
        <v>1370.0</v>
      </c>
      <c r="E1848" s="3">
        <f t="shared" si="1"/>
        <v>0.3907586994</v>
      </c>
      <c r="F1848" s="2">
        <v>495.0</v>
      </c>
      <c r="G1848" s="3">
        <f t="shared" si="2"/>
        <v>0.1411865374</v>
      </c>
      <c r="H1848" s="2">
        <v>791.0</v>
      </c>
      <c r="I1848" s="3">
        <f t="shared" si="3"/>
        <v>0.2256132345</v>
      </c>
      <c r="J1848" s="2">
        <v>577.0</v>
      </c>
      <c r="K1848" s="3">
        <f t="shared" si="4"/>
        <v>0.1645750143</v>
      </c>
      <c r="L1848" s="2">
        <v>470.0</v>
      </c>
      <c r="M1848" s="3">
        <f t="shared" si="5"/>
        <v>0.5941845765</v>
      </c>
      <c r="N1848" s="2">
        <v>4055500.0</v>
      </c>
      <c r="O1848" s="4">
        <f t="shared" si="6"/>
        <v>5127.054362</v>
      </c>
      <c r="P1848" s="2">
        <v>0.0</v>
      </c>
      <c r="Q1848" s="3">
        <f t="shared" si="7"/>
        <v>0</v>
      </c>
      <c r="R1848" s="2">
        <v>320.0</v>
      </c>
      <c r="S1848" s="5">
        <f t="shared" si="8"/>
        <v>0.9968847352</v>
      </c>
    </row>
    <row r="1849">
      <c r="A1849" s="2" t="s">
        <v>1860</v>
      </c>
      <c r="B1849" s="2">
        <v>360.0</v>
      </c>
      <c r="C1849" s="2">
        <v>4121.0</v>
      </c>
      <c r="D1849" s="2">
        <v>1375.0</v>
      </c>
      <c r="E1849" s="3">
        <f t="shared" si="1"/>
        <v>0.3655942568</v>
      </c>
      <c r="F1849" s="2">
        <v>531.0</v>
      </c>
      <c r="G1849" s="3">
        <f t="shared" si="2"/>
        <v>0.1411858548</v>
      </c>
      <c r="H1849" s="2">
        <v>831.0</v>
      </c>
      <c r="I1849" s="3">
        <f t="shared" si="3"/>
        <v>0.2209518745</v>
      </c>
      <c r="J1849" s="2">
        <v>587.0</v>
      </c>
      <c r="K1849" s="3">
        <f t="shared" si="4"/>
        <v>0.1560755118</v>
      </c>
      <c r="L1849" s="2">
        <v>512.0</v>
      </c>
      <c r="M1849" s="3">
        <f t="shared" si="5"/>
        <v>0.6161251504</v>
      </c>
      <c r="N1849" s="2">
        <v>4677500.0</v>
      </c>
      <c r="O1849" s="4">
        <f t="shared" si="6"/>
        <v>5628.760529</v>
      </c>
      <c r="P1849" s="2">
        <v>0.0</v>
      </c>
      <c r="Q1849" s="3">
        <f t="shared" si="7"/>
        <v>0</v>
      </c>
      <c r="R1849" s="2">
        <v>360.0</v>
      </c>
      <c r="S1849" s="5">
        <f t="shared" si="8"/>
        <v>1</v>
      </c>
    </row>
    <row r="1850">
      <c r="A1850" s="2" t="s">
        <v>1861</v>
      </c>
      <c r="B1850" s="2">
        <v>453.0</v>
      </c>
      <c r="C1850" s="2">
        <v>5348.0</v>
      </c>
      <c r="D1850" s="2">
        <v>2084.0</v>
      </c>
      <c r="E1850" s="3">
        <f t="shared" si="1"/>
        <v>0.4257405516</v>
      </c>
      <c r="F1850" s="2">
        <v>691.0</v>
      </c>
      <c r="G1850" s="3">
        <f t="shared" si="2"/>
        <v>0.1411644535</v>
      </c>
      <c r="H1850" s="2">
        <v>1112.0</v>
      </c>
      <c r="I1850" s="3">
        <f t="shared" si="3"/>
        <v>0.2271705822</v>
      </c>
      <c r="J1850" s="2">
        <v>769.0</v>
      </c>
      <c r="K1850" s="3">
        <f t="shared" si="4"/>
        <v>0.1570990807</v>
      </c>
      <c r="L1850" s="2">
        <v>678.0</v>
      </c>
      <c r="M1850" s="3">
        <f t="shared" si="5"/>
        <v>0.6097122302</v>
      </c>
      <c r="N1850" s="2">
        <v>5667000.0</v>
      </c>
      <c r="O1850" s="4">
        <f t="shared" si="6"/>
        <v>5096.223022</v>
      </c>
      <c r="P1850" s="2">
        <v>0.0</v>
      </c>
      <c r="Q1850" s="3">
        <f t="shared" si="7"/>
        <v>0</v>
      </c>
      <c r="R1850" s="2">
        <v>453.0</v>
      </c>
      <c r="S1850" s="5">
        <f t="shared" si="8"/>
        <v>1</v>
      </c>
    </row>
    <row r="1851">
      <c r="A1851" s="2" t="s">
        <v>1862</v>
      </c>
      <c r="B1851" s="2">
        <v>856.0</v>
      </c>
      <c r="C1851" s="2">
        <v>9938.0</v>
      </c>
      <c r="D1851" s="2">
        <v>3311.0</v>
      </c>
      <c r="E1851" s="3">
        <f t="shared" si="1"/>
        <v>0.3645672759</v>
      </c>
      <c r="F1851" s="2">
        <v>1282.0</v>
      </c>
      <c r="G1851" s="3">
        <f t="shared" si="2"/>
        <v>0.1411583352</v>
      </c>
      <c r="H1851" s="2">
        <v>1848.0</v>
      </c>
      <c r="I1851" s="3">
        <f t="shared" si="3"/>
        <v>0.2034794098</v>
      </c>
      <c r="J1851" s="2">
        <v>1586.0</v>
      </c>
      <c r="K1851" s="3">
        <f t="shared" si="4"/>
        <v>0.1746311385</v>
      </c>
      <c r="L1851" s="2">
        <v>1068.0</v>
      </c>
      <c r="M1851" s="3">
        <f t="shared" si="5"/>
        <v>0.5779220779</v>
      </c>
      <c r="N1851" s="2">
        <v>1.10343E7</v>
      </c>
      <c r="O1851" s="4">
        <f t="shared" si="6"/>
        <v>5970.941558</v>
      </c>
      <c r="P1851" s="2">
        <v>2.0</v>
      </c>
      <c r="Q1851" s="3">
        <f t="shared" si="7"/>
        <v>0.002336448598</v>
      </c>
      <c r="R1851" s="2">
        <v>856.0</v>
      </c>
      <c r="S1851" s="5">
        <f t="shared" si="8"/>
        <v>1</v>
      </c>
    </row>
    <row r="1852">
      <c r="A1852" s="2" t="s">
        <v>1863</v>
      </c>
      <c r="B1852" s="2">
        <v>40.0</v>
      </c>
      <c r="C1852" s="2">
        <v>458.0</v>
      </c>
      <c r="D1852" s="2">
        <v>146.0</v>
      </c>
      <c r="E1852" s="3">
        <f t="shared" si="1"/>
        <v>0.3492822967</v>
      </c>
      <c r="F1852" s="2">
        <v>59.0</v>
      </c>
      <c r="G1852" s="3">
        <f t="shared" si="2"/>
        <v>0.1411483254</v>
      </c>
      <c r="H1852" s="2">
        <v>87.0</v>
      </c>
      <c r="I1852" s="3">
        <f t="shared" si="3"/>
        <v>0.2081339713</v>
      </c>
      <c r="J1852" s="2">
        <v>85.0</v>
      </c>
      <c r="K1852" s="3">
        <f t="shared" si="4"/>
        <v>0.2033492823</v>
      </c>
      <c r="L1852" s="2">
        <v>52.0</v>
      </c>
      <c r="M1852" s="3">
        <f t="shared" si="5"/>
        <v>0.5977011494</v>
      </c>
      <c r="N1852" s="2">
        <v>480900.0</v>
      </c>
      <c r="O1852" s="4">
        <f t="shared" si="6"/>
        <v>5527.586207</v>
      </c>
      <c r="P1852" s="2">
        <v>0.0</v>
      </c>
      <c r="Q1852" s="3">
        <f t="shared" si="7"/>
        <v>0</v>
      </c>
      <c r="R1852" s="2">
        <v>40.0</v>
      </c>
      <c r="S1852" s="5">
        <f t="shared" si="8"/>
        <v>1</v>
      </c>
    </row>
    <row r="1853">
      <c r="A1853" s="2" t="s">
        <v>1864</v>
      </c>
      <c r="B1853" s="2">
        <v>41.0</v>
      </c>
      <c r="C1853" s="2">
        <v>459.0</v>
      </c>
      <c r="D1853" s="2">
        <v>146.0</v>
      </c>
      <c r="E1853" s="3">
        <f t="shared" si="1"/>
        <v>0.3492822967</v>
      </c>
      <c r="F1853" s="2">
        <v>59.0</v>
      </c>
      <c r="G1853" s="3">
        <f t="shared" si="2"/>
        <v>0.1411483254</v>
      </c>
      <c r="H1853" s="2">
        <v>85.0</v>
      </c>
      <c r="I1853" s="3">
        <f t="shared" si="3"/>
        <v>0.2033492823</v>
      </c>
      <c r="J1853" s="2">
        <v>76.0</v>
      </c>
      <c r="K1853" s="3">
        <f t="shared" si="4"/>
        <v>0.1818181818</v>
      </c>
      <c r="L1853" s="2">
        <v>52.0</v>
      </c>
      <c r="M1853" s="3">
        <f t="shared" si="5"/>
        <v>0.6117647059</v>
      </c>
      <c r="N1853" s="2">
        <v>497500.0</v>
      </c>
      <c r="O1853" s="4">
        <f t="shared" si="6"/>
        <v>5852.941176</v>
      </c>
      <c r="P1853" s="2">
        <v>0.0</v>
      </c>
      <c r="Q1853" s="3">
        <f t="shared" si="7"/>
        <v>0</v>
      </c>
      <c r="R1853" s="2">
        <v>41.0</v>
      </c>
      <c r="S1853" s="5">
        <f t="shared" si="8"/>
        <v>1</v>
      </c>
    </row>
    <row r="1854">
      <c r="A1854" s="2" t="s">
        <v>1865</v>
      </c>
      <c r="B1854" s="2">
        <v>207.0</v>
      </c>
      <c r="C1854" s="2">
        <v>2375.0</v>
      </c>
      <c r="D1854" s="2">
        <v>750.0</v>
      </c>
      <c r="E1854" s="3">
        <f t="shared" si="1"/>
        <v>0.3459409594</v>
      </c>
      <c r="F1854" s="2">
        <v>306.0</v>
      </c>
      <c r="G1854" s="3">
        <f t="shared" si="2"/>
        <v>0.1411439114</v>
      </c>
      <c r="H1854" s="2">
        <v>470.0</v>
      </c>
      <c r="I1854" s="3">
        <f t="shared" si="3"/>
        <v>0.2167896679</v>
      </c>
      <c r="J1854" s="2">
        <v>349.0</v>
      </c>
      <c r="K1854" s="3">
        <f t="shared" si="4"/>
        <v>0.1609778598</v>
      </c>
      <c r="L1854" s="2">
        <v>299.0</v>
      </c>
      <c r="M1854" s="3">
        <f t="shared" si="5"/>
        <v>0.6361702128</v>
      </c>
      <c r="N1854" s="2">
        <v>2699300.0</v>
      </c>
      <c r="O1854" s="4">
        <f t="shared" si="6"/>
        <v>5743.191489</v>
      </c>
      <c r="P1854" s="2">
        <v>0.0</v>
      </c>
      <c r="Q1854" s="3">
        <f t="shared" si="7"/>
        <v>0</v>
      </c>
      <c r="R1854" s="2">
        <v>207.0</v>
      </c>
      <c r="S1854" s="5">
        <f t="shared" si="8"/>
        <v>1</v>
      </c>
    </row>
    <row r="1855">
      <c r="A1855" s="2" t="s">
        <v>1866</v>
      </c>
      <c r="B1855" s="2">
        <v>31.0</v>
      </c>
      <c r="C1855" s="2">
        <v>364.0</v>
      </c>
      <c r="D1855" s="2">
        <v>105.0</v>
      </c>
      <c r="E1855" s="3">
        <f t="shared" si="1"/>
        <v>0.3153153153</v>
      </c>
      <c r="F1855" s="2">
        <v>47.0</v>
      </c>
      <c r="G1855" s="3">
        <f t="shared" si="2"/>
        <v>0.1411411411</v>
      </c>
      <c r="H1855" s="2">
        <v>81.0</v>
      </c>
      <c r="I1855" s="3">
        <f t="shared" si="3"/>
        <v>0.2432432432</v>
      </c>
      <c r="J1855" s="2">
        <v>61.0</v>
      </c>
      <c r="K1855" s="3">
        <f t="shared" si="4"/>
        <v>0.1831831832</v>
      </c>
      <c r="L1855" s="2">
        <v>47.0</v>
      </c>
      <c r="M1855" s="3">
        <f t="shared" si="5"/>
        <v>0.5802469136</v>
      </c>
      <c r="N1855" s="2">
        <v>445600.0</v>
      </c>
      <c r="O1855" s="4">
        <f t="shared" si="6"/>
        <v>5501.234568</v>
      </c>
      <c r="P1855" s="2">
        <v>0.0</v>
      </c>
      <c r="Q1855" s="3">
        <f t="shared" si="7"/>
        <v>0</v>
      </c>
      <c r="R1855" s="2">
        <v>0.0</v>
      </c>
      <c r="S1855" s="5">
        <f t="shared" si="8"/>
        <v>0</v>
      </c>
    </row>
    <row r="1856">
      <c r="A1856" s="2" t="s">
        <v>1867</v>
      </c>
      <c r="B1856" s="2">
        <v>253.0</v>
      </c>
      <c r="C1856" s="2">
        <v>2917.0</v>
      </c>
      <c r="D1856" s="2">
        <v>789.0</v>
      </c>
      <c r="E1856" s="3">
        <f t="shared" si="1"/>
        <v>0.2961711712</v>
      </c>
      <c r="F1856" s="2">
        <v>376.0</v>
      </c>
      <c r="G1856" s="3">
        <f t="shared" si="2"/>
        <v>0.1411411411</v>
      </c>
      <c r="H1856" s="2">
        <v>573.0</v>
      </c>
      <c r="I1856" s="3">
        <f t="shared" si="3"/>
        <v>0.2150900901</v>
      </c>
      <c r="J1856" s="2">
        <v>455.0</v>
      </c>
      <c r="K1856" s="3">
        <f t="shared" si="4"/>
        <v>0.1707957958</v>
      </c>
      <c r="L1856" s="2">
        <v>352.0</v>
      </c>
      <c r="M1856" s="3">
        <f t="shared" si="5"/>
        <v>0.6143106457</v>
      </c>
      <c r="N1856" s="2">
        <v>3347600.0</v>
      </c>
      <c r="O1856" s="4">
        <f t="shared" si="6"/>
        <v>5842.233857</v>
      </c>
      <c r="P1856" s="2">
        <v>1.0</v>
      </c>
      <c r="Q1856" s="3">
        <f t="shared" si="7"/>
        <v>0.00395256917</v>
      </c>
      <c r="R1856" s="2">
        <v>28.0</v>
      </c>
      <c r="S1856" s="5">
        <f t="shared" si="8"/>
        <v>0.1106719368</v>
      </c>
    </row>
    <row r="1857">
      <c r="A1857" s="2" t="s">
        <v>1868</v>
      </c>
      <c r="B1857" s="2">
        <v>357.0</v>
      </c>
      <c r="C1857" s="2">
        <v>4183.0</v>
      </c>
      <c r="D1857" s="2">
        <v>1336.0</v>
      </c>
      <c r="E1857" s="3">
        <f t="shared" si="1"/>
        <v>0.3491897543</v>
      </c>
      <c r="F1857" s="2">
        <v>540.0</v>
      </c>
      <c r="G1857" s="3">
        <f t="shared" si="2"/>
        <v>0.1411395714</v>
      </c>
      <c r="H1857" s="2">
        <v>765.0</v>
      </c>
      <c r="I1857" s="3">
        <f t="shared" si="3"/>
        <v>0.1999477261</v>
      </c>
      <c r="J1857" s="2">
        <v>669.0</v>
      </c>
      <c r="K1857" s="3">
        <f t="shared" si="4"/>
        <v>0.1748562467</v>
      </c>
      <c r="L1857" s="2">
        <v>498.0</v>
      </c>
      <c r="M1857" s="3">
        <f t="shared" si="5"/>
        <v>0.6509803922</v>
      </c>
      <c r="N1857" s="2">
        <v>4555200.0</v>
      </c>
      <c r="O1857" s="4">
        <f t="shared" si="6"/>
        <v>5954.509804</v>
      </c>
      <c r="P1857" s="2">
        <v>0.0</v>
      </c>
      <c r="Q1857" s="3">
        <f t="shared" si="7"/>
        <v>0</v>
      </c>
      <c r="R1857" s="2">
        <v>15.0</v>
      </c>
      <c r="S1857" s="5">
        <f t="shared" si="8"/>
        <v>0.04201680672</v>
      </c>
    </row>
    <row r="1858">
      <c r="A1858" s="2" t="s">
        <v>1869</v>
      </c>
      <c r="B1858" s="2">
        <v>105.0</v>
      </c>
      <c r="C1858" s="2">
        <v>1267.0</v>
      </c>
      <c r="D1858" s="2">
        <v>397.0</v>
      </c>
      <c r="E1858" s="3">
        <f t="shared" si="1"/>
        <v>0.3416523236</v>
      </c>
      <c r="F1858" s="2">
        <v>164.0</v>
      </c>
      <c r="G1858" s="3">
        <f t="shared" si="2"/>
        <v>0.1411359725</v>
      </c>
      <c r="H1858" s="2">
        <v>253.0</v>
      </c>
      <c r="I1858" s="3">
        <f t="shared" si="3"/>
        <v>0.2177280551</v>
      </c>
      <c r="J1858" s="2">
        <v>225.0</v>
      </c>
      <c r="K1858" s="3">
        <f t="shared" si="4"/>
        <v>0.1936316695</v>
      </c>
      <c r="L1858" s="2">
        <v>142.0</v>
      </c>
      <c r="M1858" s="3">
        <f t="shared" si="5"/>
        <v>0.5612648221</v>
      </c>
      <c r="N1858" s="2">
        <v>1276200.0</v>
      </c>
      <c r="O1858" s="4">
        <f t="shared" si="6"/>
        <v>5044.268775</v>
      </c>
      <c r="P1858" s="2">
        <v>0.0</v>
      </c>
      <c r="Q1858" s="3">
        <f t="shared" si="7"/>
        <v>0</v>
      </c>
      <c r="R1858" s="2">
        <v>105.0</v>
      </c>
      <c r="S1858" s="5">
        <f t="shared" si="8"/>
        <v>1</v>
      </c>
    </row>
    <row r="1859">
      <c r="A1859" s="2" t="s">
        <v>1870</v>
      </c>
      <c r="B1859" s="2">
        <v>128.0</v>
      </c>
      <c r="C1859" s="2">
        <v>1531.0</v>
      </c>
      <c r="D1859" s="2">
        <v>552.0</v>
      </c>
      <c r="E1859" s="3">
        <f t="shared" si="1"/>
        <v>0.393442623</v>
      </c>
      <c r="F1859" s="2">
        <v>198.0</v>
      </c>
      <c r="G1859" s="3">
        <f t="shared" si="2"/>
        <v>0.1411261582</v>
      </c>
      <c r="H1859" s="2">
        <v>323.0</v>
      </c>
      <c r="I1859" s="3">
        <f t="shared" si="3"/>
        <v>0.2302209551</v>
      </c>
      <c r="J1859" s="2">
        <v>261.0</v>
      </c>
      <c r="K1859" s="3">
        <f t="shared" si="4"/>
        <v>0.1860299359</v>
      </c>
      <c r="L1859" s="2">
        <v>193.0</v>
      </c>
      <c r="M1859" s="3">
        <f t="shared" si="5"/>
        <v>0.5975232198</v>
      </c>
      <c r="N1859" s="2">
        <v>1713700.0</v>
      </c>
      <c r="O1859" s="4">
        <f t="shared" si="6"/>
        <v>5305.572755</v>
      </c>
      <c r="P1859" s="2">
        <v>0.0</v>
      </c>
      <c r="Q1859" s="3">
        <f t="shared" si="7"/>
        <v>0</v>
      </c>
      <c r="R1859" s="2">
        <v>128.0</v>
      </c>
      <c r="S1859" s="5">
        <f t="shared" si="8"/>
        <v>1</v>
      </c>
    </row>
    <row r="1860">
      <c r="A1860" s="2" t="s">
        <v>1871</v>
      </c>
      <c r="B1860" s="2">
        <v>577.0</v>
      </c>
      <c r="C1860" s="2">
        <v>6600.0</v>
      </c>
      <c r="D1860" s="2">
        <v>2126.0</v>
      </c>
      <c r="E1860" s="3">
        <f t="shared" si="1"/>
        <v>0.3529802424</v>
      </c>
      <c r="F1860" s="2">
        <v>850.0</v>
      </c>
      <c r="G1860" s="3">
        <f t="shared" si="2"/>
        <v>0.1411256849</v>
      </c>
      <c r="H1860" s="2">
        <v>1387.0</v>
      </c>
      <c r="I1860" s="3">
        <f t="shared" si="3"/>
        <v>0.2302839117</v>
      </c>
      <c r="J1860" s="2">
        <v>875.0</v>
      </c>
      <c r="K1860" s="3">
        <f t="shared" si="4"/>
        <v>0.1452764403</v>
      </c>
      <c r="L1860" s="2">
        <v>863.0</v>
      </c>
      <c r="M1860" s="3">
        <f t="shared" si="5"/>
        <v>0.6222062004</v>
      </c>
      <c r="N1860" s="2">
        <v>7754200.0</v>
      </c>
      <c r="O1860" s="4">
        <f t="shared" si="6"/>
        <v>5590.627253</v>
      </c>
      <c r="P1860" s="2">
        <v>1.0</v>
      </c>
      <c r="Q1860" s="3">
        <f t="shared" si="7"/>
        <v>0.001733102253</v>
      </c>
      <c r="R1860" s="2">
        <v>577.0</v>
      </c>
      <c r="S1860" s="5">
        <f t="shared" si="8"/>
        <v>1</v>
      </c>
    </row>
    <row r="1861">
      <c r="A1861" s="2" t="s">
        <v>1872</v>
      </c>
      <c r="B1861" s="2">
        <v>10411.0</v>
      </c>
      <c r="C1861" s="2">
        <v>121702.0</v>
      </c>
      <c r="D1861" s="2">
        <v>42636.0</v>
      </c>
      <c r="E1861" s="3">
        <f t="shared" si="1"/>
        <v>0.383103755</v>
      </c>
      <c r="F1861" s="2">
        <v>15706.0</v>
      </c>
      <c r="G1861" s="3">
        <f t="shared" si="2"/>
        <v>0.1411255178</v>
      </c>
      <c r="H1861" s="2">
        <v>25337.0</v>
      </c>
      <c r="I1861" s="3">
        <f t="shared" si="3"/>
        <v>0.2276644113</v>
      </c>
      <c r="J1861" s="2">
        <v>21495.0</v>
      </c>
      <c r="K1861" s="3">
        <f t="shared" si="4"/>
        <v>0.1931423026</v>
      </c>
      <c r="L1861" s="2">
        <v>15145.0</v>
      </c>
      <c r="M1861" s="3">
        <f t="shared" si="5"/>
        <v>0.597742432</v>
      </c>
      <c r="N1861" s="2">
        <v>1.37963E8</v>
      </c>
      <c r="O1861" s="4">
        <f t="shared" si="6"/>
        <v>5445.119785</v>
      </c>
      <c r="P1861" s="2">
        <v>12.0</v>
      </c>
      <c r="Q1861" s="3">
        <f t="shared" si="7"/>
        <v>0.001152627029</v>
      </c>
      <c r="R1861" s="2">
        <v>5071.0</v>
      </c>
      <c r="S1861" s="5">
        <f t="shared" si="8"/>
        <v>0.487080972</v>
      </c>
    </row>
    <row r="1862">
      <c r="A1862" s="2" t="s">
        <v>1873</v>
      </c>
      <c r="B1862" s="2">
        <v>305.0</v>
      </c>
      <c r="C1862" s="2">
        <v>3579.0</v>
      </c>
      <c r="D1862" s="2">
        <v>1023.0</v>
      </c>
      <c r="E1862" s="3">
        <f t="shared" si="1"/>
        <v>0.3124618204</v>
      </c>
      <c r="F1862" s="2">
        <v>462.0</v>
      </c>
      <c r="G1862" s="3">
        <f t="shared" si="2"/>
        <v>0.1411117899</v>
      </c>
      <c r="H1862" s="2">
        <v>658.0</v>
      </c>
      <c r="I1862" s="3">
        <f t="shared" si="3"/>
        <v>0.2009773977</v>
      </c>
      <c r="J1862" s="2">
        <v>638.0</v>
      </c>
      <c r="K1862" s="3">
        <f t="shared" si="4"/>
        <v>0.1948686622</v>
      </c>
      <c r="L1862" s="2">
        <v>395.0</v>
      </c>
      <c r="M1862" s="3">
        <f t="shared" si="5"/>
        <v>0.6003039514</v>
      </c>
      <c r="N1862" s="2">
        <v>3789100.0</v>
      </c>
      <c r="O1862" s="4">
        <f t="shared" si="6"/>
        <v>5758.510638</v>
      </c>
      <c r="P1862" s="2">
        <v>0.0</v>
      </c>
      <c r="Q1862" s="3">
        <f t="shared" si="7"/>
        <v>0</v>
      </c>
      <c r="R1862" s="2">
        <v>305.0</v>
      </c>
      <c r="S1862" s="5">
        <f t="shared" si="8"/>
        <v>1</v>
      </c>
    </row>
    <row r="1863">
      <c r="A1863" s="2" t="s">
        <v>1874</v>
      </c>
      <c r="B1863" s="2">
        <v>16.0</v>
      </c>
      <c r="C1863" s="2">
        <v>179.0</v>
      </c>
      <c r="D1863" s="2">
        <v>46.0</v>
      </c>
      <c r="E1863" s="3">
        <f t="shared" si="1"/>
        <v>0.282208589</v>
      </c>
      <c r="F1863" s="2">
        <v>23.0</v>
      </c>
      <c r="G1863" s="3">
        <f t="shared" si="2"/>
        <v>0.1411042945</v>
      </c>
      <c r="H1863" s="2">
        <v>37.0</v>
      </c>
      <c r="I1863" s="3">
        <f t="shared" si="3"/>
        <v>0.226993865</v>
      </c>
      <c r="J1863" s="2">
        <v>27.0</v>
      </c>
      <c r="K1863" s="3">
        <f t="shared" si="4"/>
        <v>0.1656441718</v>
      </c>
      <c r="L1863" s="2">
        <v>25.0</v>
      </c>
      <c r="M1863" s="3">
        <f t="shared" si="5"/>
        <v>0.6756756757</v>
      </c>
      <c r="N1863" s="2">
        <v>184400.0</v>
      </c>
      <c r="O1863" s="4">
        <f t="shared" si="6"/>
        <v>4983.783784</v>
      </c>
      <c r="P1863" s="2">
        <v>0.0</v>
      </c>
      <c r="Q1863" s="3">
        <f t="shared" si="7"/>
        <v>0</v>
      </c>
      <c r="R1863" s="2">
        <v>16.0</v>
      </c>
      <c r="S1863" s="5">
        <f t="shared" si="8"/>
        <v>1</v>
      </c>
    </row>
    <row r="1864">
      <c r="A1864" s="2" t="s">
        <v>1875</v>
      </c>
      <c r="B1864" s="2">
        <v>303.0</v>
      </c>
      <c r="C1864" s="2">
        <v>3563.0</v>
      </c>
      <c r="D1864" s="2">
        <v>1183.0</v>
      </c>
      <c r="E1864" s="3">
        <f t="shared" si="1"/>
        <v>0.3628834356</v>
      </c>
      <c r="F1864" s="2">
        <v>460.0</v>
      </c>
      <c r="G1864" s="3">
        <f t="shared" si="2"/>
        <v>0.1411042945</v>
      </c>
      <c r="H1864" s="2">
        <v>717.0</v>
      </c>
      <c r="I1864" s="3">
        <f t="shared" si="3"/>
        <v>0.2199386503</v>
      </c>
      <c r="J1864" s="2">
        <v>525.0</v>
      </c>
      <c r="K1864" s="3">
        <f t="shared" si="4"/>
        <v>0.1610429448</v>
      </c>
      <c r="L1864" s="2">
        <v>439.0</v>
      </c>
      <c r="M1864" s="3">
        <f t="shared" si="5"/>
        <v>0.6122733612</v>
      </c>
      <c r="N1864" s="2">
        <v>3700100.0</v>
      </c>
      <c r="O1864" s="4">
        <f t="shared" si="6"/>
        <v>5160.529986</v>
      </c>
      <c r="P1864" s="2">
        <v>1.0</v>
      </c>
      <c r="Q1864" s="3">
        <f t="shared" si="7"/>
        <v>0.003300330033</v>
      </c>
      <c r="R1864" s="2">
        <v>303.0</v>
      </c>
      <c r="S1864" s="5">
        <f t="shared" si="8"/>
        <v>1</v>
      </c>
    </row>
    <row r="1865">
      <c r="A1865" s="2" t="s">
        <v>1876</v>
      </c>
      <c r="B1865" s="2">
        <v>146.0</v>
      </c>
      <c r="C1865" s="2">
        <v>1755.0</v>
      </c>
      <c r="D1865" s="2">
        <v>417.0</v>
      </c>
      <c r="E1865" s="3">
        <f t="shared" si="1"/>
        <v>0.2591671846</v>
      </c>
      <c r="F1865" s="2">
        <v>227.0</v>
      </c>
      <c r="G1865" s="3">
        <f t="shared" si="2"/>
        <v>0.141081417</v>
      </c>
      <c r="H1865" s="2">
        <v>280.0</v>
      </c>
      <c r="I1865" s="3">
        <f t="shared" si="3"/>
        <v>0.1740211311</v>
      </c>
      <c r="J1865" s="2">
        <v>344.0</v>
      </c>
      <c r="K1865" s="3">
        <f t="shared" si="4"/>
        <v>0.2137973897</v>
      </c>
      <c r="L1865" s="2">
        <v>155.0</v>
      </c>
      <c r="M1865" s="3">
        <f t="shared" si="5"/>
        <v>0.5535714286</v>
      </c>
      <c r="N1865" s="2">
        <v>1839400.0</v>
      </c>
      <c r="O1865" s="4">
        <f t="shared" si="6"/>
        <v>6569.285714</v>
      </c>
      <c r="P1865" s="2">
        <v>1.0</v>
      </c>
      <c r="Q1865" s="3">
        <f t="shared" si="7"/>
        <v>0.006849315068</v>
      </c>
      <c r="R1865" s="2">
        <v>0.0</v>
      </c>
      <c r="S1865" s="5">
        <f t="shared" si="8"/>
        <v>0</v>
      </c>
    </row>
    <row r="1866">
      <c r="A1866" s="2" t="s">
        <v>1877</v>
      </c>
      <c r="B1866" s="2">
        <v>22.0</v>
      </c>
      <c r="C1866" s="2">
        <v>263.0</v>
      </c>
      <c r="D1866" s="2">
        <v>94.0</v>
      </c>
      <c r="E1866" s="3">
        <f t="shared" si="1"/>
        <v>0.3900414938</v>
      </c>
      <c r="F1866" s="2">
        <v>34.0</v>
      </c>
      <c r="G1866" s="3">
        <f t="shared" si="2"/>
        <v>0.1410788382</v>
      </c>
      <c r="H1866" s="2">
        <v>44.0</v>
      </c>
      <c r="I1866" s="3">
        <f t="shared" si="3"/>
        <v>0.1825726141</v>
      </c>
      <c r="J1866" s="2">
        <v>35.0</v>
      </c>
      <c r="K1866" s="3">
        <f t="shared" si="4"/>
        <v>0.1452282158</v>
      </c>
      <c r="L1866" s="2">
        <v>27.0</v>
      </c>
      <c r="M1866" s="3">
        <f t="shared" si="5"/>
        <v>0.6136363636</v>
      </c>
      <c r="N1866" s="2">
        <v>237100.0</v>
      </c>
      <c r="O1866" s="4">
        <f t="shared" si="6"/>
        <v>5388.636364</v>
      </c>
      <c r="P1866" s="2">
        <v>0.0</v>
      </c>
      <c r="Q1866" s="3">
        <f t="shared" si="7"/>
        <v>0</v>
      </c>
      <c r="R1866" s="2">
        <v>22.0</v>
      </c>
      <c r="S1866" s="5">
        <f t="shared" si="8"/>
        <v>1</v>
      </c>
    </row>
    <row r="1867">
      <c r="A1867" s="2" t="s">
        <v>1878</v>
      </c>
      <c r="B1867" s="2">
        <v>1261.0</v>
      </c>
      <c r="C1867" s="2">
        <v>14645.0</v>
      </c>
      <c r="D1867" s="2">
        <v>4187.0</v>
      </c>
      <c r="E1867" s="3">
        <f t="shared" si="1"/>
        <v>0.3128362224</v>
      </c>
      <c r="F1867" s="2">
        <v>1888.0</v>
      </c>
      <c r="G1867" s="3">
        <f t="shared" si="2"/>
        <v>0.141063957</v>
      </c>
      <c r="H1867" s="2">
        <v>2776.0</v>
      </c>
      <c r="I1867" s="3">
        <f t="shared" si="3"/>
        <v>0.207411835</v>
      </c>
      <c r="J1867" s="2">
        <v>2713.0</v>
      </c>
      <c r="K1867" s="3">
        <f t="shared" si="4"/>
        <v>0.2027047221</v>
      </c>
      <c r="L1867" s="2">
        <v>1623.0</v>
      </c>
      <c r="M1867" s="3">
        <f t="shared" si="5"/>
        <v>0.5846541787</v>
      </c>
      <c r="N1867" s="2">
        <v>1.77925E7</v>
      </c>
      <c r="O1867" s="4">
        <f t="shared" si="6"/>
        <v>6409.402017</v>
      </c>
      <c r="P1867" s="2">
        <v>5.0</v>
      </c>
      <c r="Q1867" s="3">
        <f t="shared" si="7"/>
        <v>0.003965107058</v>
      </c>
      <c r="R1867" s="2">
        <v>1261.0</v>
      </c>
      <c r="S1867" s="5">
        <f t="shared" si="8"/>
        <v>1</v>
      </c>
    </row>
    <row r="1868">
      <c r="A1868" s="2" t="s">
        <v>1879</v>
      </c>
      <c r="B1868" s="2">
        <v>3033.0</v>
      </c>
      <c r="C1868" s="2">
        <v>35304.0</v>
      </c>
      <c r="D1868" s="2">
        <v>12127.0</v>
      </c>
      <c r="E1868" s="3">
        <f t="shared" si="1"/>
        <v>0.3757863097</v>
      </c>
      <c r="F1868" s="2">
        <v>4552.0</v>
      </c>
      <c r="G1868" s="3">
        <f t="shared" si="2"/>
        <v>0.1410554368</v>
      </c>
      <c r="H1868" s="2">
        <v>6969.0</v>
      </c>
      <c r="I1868" s="3">
        <f t="shared" si="3"/>
        <v>0.2159524031</v>
      </c>
      <c r="J1868" s="2">
        <v>5867.0</v>
      </c>
      <c r="K1868" s="3">
        <f t="shared" si="4"/>
        <v>0.1818040966</v>
      </c>
      <c r="L1868" s="2">
        <v>4158.0</v>
      </c>
      <c r="M1868" s="3">
        <f t="shared" si="5"/>
        <v>0.5966422729</v>
      </c>
      <c r="N1868" s="2">
        <v>4.05656E7</v>
      </c>
      <c r="O1868" s="4">
        <f t="shared" si="6"/>
        <v>5820.863826</v>
      </c>
      <c r="P1868" s="2">
        <v>5.0</v>
      </c>
      <c r="Q1868" s="3">
        <f t="shared" si="7"/>
        <v>0.001648532806</v>
      </c>
      <c r="R1868" s="2">
        <v>138.0</v>
      </c>
      <c r="S1868" s="5">
        <f t="shared" si="8"/>
        <v>0.04549950544</v>
      </c>
    </row>
    <row r="1869">
      <c r="A1869" s="2" t="s">
        <v>1880</v>
      </c>
      <c r="B1869" s="2">
        <v>136.0</v>
      </c>
      <c r="C1869" s="2">
        <v>1632.0</v>
      </c>
      <c r="D1869" s="2">
        <v>486.0</v>
      </c>
      <c r="E1869" s="3">
        <f t="shared" si="1"/>
        <v>0.3248663102</v>
      </c>
      <c r="F1869" s="2">
        <v>211.0</v>
      </c>
      <c r="G1869" s="3">
        <f t="shared" si="2"/>
        <v>0.1410427807</v>
      </c>
      <c r="H1869" s="2">
        <v>304.0</v>
      </c>
      <c r="I1869" s="3">
        <f t="shared" si="3"/>
        <v>0.2032085561</v>
      </c>
      <c r="J1869" s="2">
        <v>243.0</v>
      </c>
      <c r="K1869" s="3">
        <f t="shared" si="4"/>
        <v>0.1624331551</v>
      </c>
      <c r="L1869" s="2">
        <v>193.0</v>
      </c>
      <c r="M1869" s="3">
        <f t="shared" si="5"/>
        <v>0.6348684211</v>
      </c>
      <c r="N1869" s="2">
        <v>1714300.0</v>
      </c>
      <c r="O1869" s="4">
        <f t="shared" si="6"/>
        <v>5639.144737</v>
      </c>
      <c r="P1869" s="2">
        <v>0.0</v>
      </c>
      <c r="Q1869" s="3">
        <f t="shared" si="7"/>
        <v>0</v>
      </c>
      <c r="R1869" s="2">
        <v>136.0</v>
      </c>
      <c r="S1869" s="5">
        <f t="shared" si="8"/>
        <v>1</v>
      </c>
    </row>
    <row r="1870">
      <c r="A1870" s="2" t="s">
        <v>1881</v>
      </c>
      <c r="B1870" s="2">
        <v>91.0</v>
      </c>
      <c r="C1870" s="2">
        <v>1112.0</v>
      </c>
      <c r="D1870" s="2">
        <v>396.0</v>
      </c>
      <c r="E1870" s="3">
        <f t="shared" si="1"/>
        <v>0.3878550441</v>
      </c>
      <c r="F1870" s="2">
        <v>144.0</v>
      </c>
      <c r="G1870" s="3">
        <f t="shared" si="2"/>
        <v>0.1410381978</v>
      </c>
      <c r="H1870" s="2">
        <v>196.0</v>
      </c>
      <c r="I1870" s="3">
        <f t="shared" si="3"/>
        <v>0.1919686582</v>
      </c>
      <c r="J1870" s="2">
        <v>149.0</v>
      </c>
      <c r="K1870" s="3">
        <f t="shared" si="4"/>
        <v>0.1459353575</v>
      </c>
      <c r="L1870" s="2">
        <v>125.0</v>
      </c>
      <c r="M1870" s="3">
        <f t="shared" si="5"/>
        <v>0.637755102</v>
      </c>
      <c r="N1870" s="2">
        <v>1038600.0</v>
      </c>
      <c r="O1870" s="4">
        <f t="shared" si="6"/>
        <v>5298.979592</v>
      </c>
      <c r="P1870" s="2">
        <v>0.0</v>
      </c>
      <c r="Q1870" s="3">
        <f t="shared" si="7"/>
        <v>0</v>
      </c>
      <c r="R1870" s="2">
        <v>0.0</v>
      </c>
      <c r="S1870" s="5">
        <f t="shared" si="8"/>
        <v>0</v>
      </c>
    </row>
    <row r="1871">
      <c r="A1871" s="2" t="s">
        <v>1882</v>
      </c>
      <c r="B1871" s="2">
        <v>342.0</v>
      </c>
      <c r="C1871" s="2">
        <v>4100.0</v>
      </c>
      <c r="D1871" s="2">
        <v>1534.0</v>
      </c>
      <c r="E1871" s="3">
        <f t="shared" si="1"/>
        <v>0.4081958489</v>
      </c>
      <c r="F1871" s="2">
        <v>530.0</v>
      </c>
      <c r="G1871" s="3">
        <f t="shared" si="2"/>
        <v>0.1410324641</v>
      </c>
      <c r="H1871" s="2">
        <v>866.0</v>
      </c>
      <c r="I1871" s="3">
        <f t="shared" si="3"/>
        <v>0.2304417243</v>
      </c>
      <c r="J1871" s="2">
        <v>570.0</v>
      </c>
      <c r="K1871" s="3">
        <f t="shared" si="4"/>
        <v>0.1516764236</v>
      </c>
      <c r="L1871" s="2">
        <v>535.0</v>
      </c>
      <c r="M1871" s="3">
        <f t="shared" si="5"/>
        <v>0.6177829099</v>
      </c>
      <c r="N1871" s="2">
        <v>4448300.0</v>
      </c>
      <c r="O1871" s="4">
        <f t="shared" si="6"/>
        <v>5136.605081</v>
      </c>
      <c r="P1871" s="2">
        <v>1.0</v>
      </c>
      <c r="Q1871" s="3">
        <f t="shared" si="7"/>
        <v>0.002923976608</v>
      </c>
      <c r="R1871" s="2">
        <v>342.0</v>
      </c>
      <c r="S1871" s="5">
        <f t="shared" si="8"/>
        <v>1</v>
      </c>
    </row>
    <row r="1872">
      <c r="A1872" s="2" t="s">
        <v>1883</v>
      </c>
      <c r="B1872" s="2">
        <v>497.0</v>
      </c>
      <c r="C1872" s="2">
        <v>5893.0</v>
      </c>
      <c r="D1872" s="2">
        <v>1921.0</v>
      </c>
      <c r="E1872" s="3">
        <f t="shared" si="1"/>
        <v>0.3560044477</v>
      </c>
      <c r="F1872" s="2">
        <v>761.0</v>
      </c>
      <c r="G1872" s="3">
        <f t="shared" si="2"/>
        <v>0.1410303929</v>
      </c>
      <c r="H1872" s="2">
        <v>1103.0</v>
      </c>
      <c r="I1872" s="3">
        <f t="shared" si="3"/>
        <v>0.2044106746</v>
      </c>
      <c r="J1872" s="2">
        <v>859.0</v>
      </c>
      <c r="K1872" s="3">
        <f t="shared" si="4"/>
        <v>0.1591919941</v>
      </c>
      <c r="L1872" s="2">
        <v>663.0</v>
      </c>
      <c r="M1872" s="3">
        <f t="shared" si="5"/>
        <v>0.601087942</v>
      </c>
      <c r="N1872" s="2">
        <v>6185600.0</v>
      </c>
      <c r="O1872" s="4">
        <f t="shared" si="6"/>
        <v>5607.978241</v>
      </c>
      <c r="P1872" s="2">
        <v>1.0</v>
      </c>
      <c r="Q1872" s="3">
        <f t="shared" si="7"/>
        <v>0.002012072435</v>
      </c>
      <c r="R1872" s="2">
        <v>497.0</v>
      </c>
      <c r="S1872" s="5">
        <f t="shared" si="8"/>
        <v>1</v>
      </c>
    </row>
    <row r="1873">
      <c r="A1873" s="2" t="s">
        <v>1884</v>
      </c>
      <c r="B1873" s="2">
        <v>295.0</v>
      </c>
      <c r="C1873" s="2">
        <v>3422.0</v>
      </c>
      <c r="D1873" s="2">
        <v>1227.0</v>
      </c>
      <c r="E1873" s="3">
        <f t="shared" si="1"/>
        <v>0.3923888711</v>
      </c>
      <c r="F1873" s="2">
        <v>441.0</v>
      </c>
      <c r="G1873" s="3">
        <f t="shared" si="2"/>
        <v>0.141029741</v>
      </c>
      <c r="H1873" s="2">
        <v>622.0</v>
      </c>
      <c r="I1873" s="3">
        <f t="shared" si="3"/>
        <v>0.1989126959</v>
      </c>
      <c r="J1873" s="2">
        <v>562.0</v>
      </c>
      <c r="K1873" s="3">
        <f t="shared" si="4"/>
        <v>0.179724976</v>
      </c>
      <c r="L1873" s="2">
        <v>367.0</v>
      </c>
      <c r="M1873" s="3">
        <f t="shared" si="5"/>
        <v>0.5900321543</v>
      </c>
      <c r="N1873" s="2">
        <v>3322400.0</v>
      </c>
      <c r="O1873" s="4">
        <f t="shared" si="6"/>
        <v>5341.4791</v>
      </c>
      <c r="P1873" s="2">
        <v>0.0</v>
      </c>
      <c r="Q1873" s="3">
        <f t="shared" si="7"/>
        <v>0</v>
      </c>
      <c r="R1873" s="2">
        <v>295.0</v>
      </c>
      <c r="S1873" s="5">
        <f t="shared" si="8"/>
        <v>1</v>
      </c>
    </row>
    <row r="1874">
      <c r="A1874" s="2" t="s">
        <v>1885</v>
      </c>
      <c r="B1874" s="2">
        <v>115.0</v>
      </c>
      <c r="C1874" s="2">
        <v>1363.0</v>
      </c>
      <c r="D1874" s="2">
        <v>386.0</v>
      </c>
      <c r="E1874" s="3">
        <f t="shared" si="1"/>
        <v>0.3092948718</v>
      </c>
      <c r="F1874" s="2">
        <v>176.0</v>
      </c>
      <c r="G1874" s="3">
        <f t="shared" si="2"/>
        <v>0.141025641</v>
      </c>
      <c r="H1874" s="2">
        <v>265.0</v>
      </c>
      <c r="I1874" s="3">
        <f t="shared" si="3"/>
        <v>0.2123397436</v>
      </c>
      <c r="J1874" s="2">
        <v>220.0</v>
      </c>
      <c r="K1874" s="3">
        <f t="shared" si="4"/>
        <v>0.1762820513</v>
      </c>
      <c r="L1874" s="2">
        <v>154.0</v>
      </c>
      <c r="M1874" s="3">
        <f t="shared" si="5"/>
        <v>0.5811320755</v>
      </c>
      <c r="N1874" s="2">
        <v>1481200.0</v>
      </c>
      <c r="O1874" s="4">
        <f t="shared" si="6"/>
        <v>5589.433962</v>
      </c>
      <c r="P1874" s="2">
        <v>0.0</v>
      </c>
      <c r="Q1874" s="3">
        <f t="shared" si="7"/>
        <v>0</v>
      </c>
      <c r="R1874" s="2">
        <v>115.0</v>
      </c>
      <c r="S1874" s="5">
        <f t="shared" si="8"/>
        <v>1</v>
      </c>
    </row>
    <row r="1875">
      <c r="A1875" s="2" t="s">
        <v>1886</v>
      </c>
      <c r="B1875" s="2">
        <v>8.0</v>
      </c>
      <c r="C1875" s="2">
        <v>86.0</v>
      </c>
      <c r="D1875" s="2">
        <v>19.0</v>
      </c>
      <c r="E1875" s="3">
        <f t="shared" si="1"/>
        <v>0.2435897436</v>
      </c>
      <c r="F1875" s="2">
        <v>11.0</v>
      </c>
      <c r="G1875" s="3">
        <f t="shared" si="2"/>
        <v>0.141025641</v>
      </c>
      <c r="H1875" s="2">
        <v>13.0</v>
      </c>
      <c r="I1875" s="3">
        <f t="shared" si="3"/>
        <v>0.1666666667</v>
      </c>
      <c r="J1875" s="2">
        <v>11.0</v>
      </c>
      <c r="K1875" s="3">
        <f t="shared" si="4"/>
        <v>0.141025641</v>
      </c>
      <c r="L1875" s="2">
        <v>10.0</v>
      </c>
      <c r="M1875" s="3">
        <f t="shared" si="5"/>
        <v>0.7692307692</v>
      </c>
      <c r="N1875" s="2">
        <v>68800.0</v>
      </c>
      <c r="O1875" s="4">
        <f t="shared" si="6"/>
        <v>5292.307692</v>
      </c>
      <c r="P1875" s="2">
        <v>0.0</v>
      </c>
      <c r="Q1875" s="3">
        <f t="shared" si="7"/>
        <v>0</v>
      </c>
      <c r="R1875" s="2">
        <v>8.0</v>
      </c>
      <c r="S1875" s="5">
        <f t="shared" si="8"/>
        <v>1</v>
      </c>
    </row>
    <row r="1876">
      <c r="A1876" s="2" t="s">
        <v>1887</v>
      </c>
      <c r="B1876" s="2">
        <v>158.0</v>
      </c>
      <c r="C1876" s="2">
        <v>1867.0</v>
      </c>
      <c r="D1876" s="2">
        <v>660.0</v>
      </c>
      <c r="E1876" s="3">
        <f t="shared" si="1"/>
        <v>0.3861907548</v>
      </c>
      <c r="F1876" s="2">
        <v>241.0</v>
      </c>
      <c r="G1876" s="3">
        <f t="shared" si="2"/>
        <v>0.1410181393</v>
      </c>
      <c r="H1876" s="2">
        <v>329.0</v>
      </c>
      <c r="I1876" s="3">
        <f t="shared" si="3"/>
        <v>0.1925102399</v>
      </c>
      <c r="J1876" s="2">
        <v>225.0</v>
      </c>
      <c r="K1876" s="3">
        <f t="shared" si="4"/>
        <v>0.1316559391</v>
      </c>
      <c r="L1876" s="2">
        <v>203.0</v>
      </c>
      <c r="M1876" s="3">
        <f t="shared" si="5"/>
        <v>0.6170212766</v>
      </c>
      <c r="N1876" s="2">
        <v>1673100.0</v>
      </c>
      <c r="O1876" s="4">
        <f t="shared" si="6"/>
        <v>5085.410334</v>
      </c>
      <c r="P1876" s="2">
        <v>0.0</v>
      </c>
      <c r="Q1876" s="3">
        <f t="shared" si="7"/>
        <v>0</v>
      </c>
      <c r="R1876" s="2">
        <v>144.0</v>
      </c>
      <c r="S1876" s="5">
        <f t="shared" si="8"/>
        <v>0.9113924051</v>
      </c>
    </row>
    <row r="1877">
      <c r="A1877" s="2" t="s">
        <v>1888</v>
      </c>
      <c r="B1877" s="2">
        <v>4681.0</v>
      </c>
      <c r="C1877" s="2">
        <v>54180.0</v>
      </c>
      <c r="D1877" s="2">
        <v>13284.0</v>
      </c>
      <c r="E1877" s="3">
        <f t="shared" si="1"/>
        <v>0.268369058</v>
      </c>
      <c r="F1877" s="2">
        <v>6978.0</v>
      </c>
      <c r="G1877" s="3">
        <f t="shared" si="2"/>
        <v>0.1409725449</v>
      </c>
      <c r="H1877" s="2">
        <v>10917.0</v>
      </c>
      <c r="I1877" s="3">
        <f t="shared" si="3"/>
        <v>0.2205499101</v>
      </c>
      <c r="J1877" s="2">
        <v>10135.0</v>
      </c>
      <c r="K1877" s="3">
        <f t="shared" si="4"/>
        <v>0.2047516111</v>
      </c>
      <c r="L1877" s="2">
        <v>6529.0</v>
      </c>
      <c r="M1877" s="3">
        <f t="shared" si="5"/>
        <v>0.5980580746</v>
      </c>
      <c r="N1877" s="2">
        <v>6.40444E7</v>
      </c>
      <c r="O1877" s="4">
        <f t="shared" si="6"/>
        <v>5866.483466</v>
      </c>
      <c r="P1877" s="2">
        <v>14.0</v>
      </c>
      <c r="Q1877" s="3">
        <f t="shared" si="7"/>
        <v>0.002990813929</v>
      </c>
      <c r="R1877" s="2">
        <v>4681.0</v>
      </c>
      <c r="S1877" s="5">
        <f t="shared" si="8"/>
        <v>1</v>
      </c>
    </row>
    <row r="1878">
      <c r="A1878" s="2" t="s">
        <v>1889</v>
      </c>
      <c r="B1878" s="2">
        <v>530.0</v>
      </c>
      <c r="C1878" s="2">
        <v>6248.0</v>
      </c>
      <c r="D1878" s="2">
        <v>2168.0</v>
      </c>
      <c r="E1878" s="3">
        <f t="shared" si="1"/>
        <v>0.3791535502</v>
      </c>
      <c r="F1878" s="2">
        <v>806.0</v>
      </c>
      <c r="G1878" s="3">
        <f t="shared" si="2"/>
        <v>0.1409583771</v>
      </c>
      <c r="H1878" s="2">
        <v>1196.0</v>
      </c>
      <c r="I1878" s="3">
        <f t="shared" si="3"/>
        <v>0.2091640434</v>
      </c>
      <c r="J1878" s="2">
        <v>830.0</v>
      </c>
      <c r="K1878" s="3">
        <f t="shared" si="4"/>
        <v>0.1451556488</v>
      </c>
      <c r="L1878" s="2">
        <v>729.0</v>
      </c>
      <c r="M1878" s="3">
        <f t="shared" si="5"/>
        <v>0.6095317726</v>
      </c>
      <c r="N1878" s="2">
        <v>6700200.0</v>
      </c>
      <c r="O1878" s="4">
        <f t="shared" si="6"/>
        <v>5602.173913</v>
      </c>
      <c r="P1878" s="2">
        <v>2.0</v>
      </c>
      <c r="Q1878" s="3">
        <f t="shared" si="7"/>
        <v>0.003773584906</v>
      </c>
      <c r="R1878" s="2">
        <v>530.0</v>
      </c>
      <c r="S1878" s="5">
        <f t="shared" si="8"/>
        <v>1</v>
      </c>
    </row>
    <row r="1879">
      <c r="A1879" s="2" t="s">
        <v>1890</v>
      </c>
      <c r="B1879" s="2">
        <v>472.0</v>
      </c>
      <c r="C1879" s="2">
        <v>5573.0</v>
      </c>
      <c r="D1879" s="2">
        <v>1918.0</v>
      </c>
      <c r="E1879" s="3">
        <f t="shared" si="1"/>
        <v>0.376004705</v>
      </c>
      <c r="F1879" s="2">
        <v>719.0</v>
      </c>
      <c r="G1879" s="3">
        <f t="shared" si="2"/>
        <v>0.1409527544</v>
      </c>
      <c r="H1879" s="2">
        <v>1075.0</v>
      </c>
      <c r="I1879" s="3">
        <f t="shared" si="3"/>
        <v>0.2107429916</v>
      </c>
      <c r="J1879" s="2">
        <v>979.0</v>
      </c>
      <c r="K1879" s="3">
        <f t="shared" si="4"/>
        <v>0.1919231523</v>
      </c>
      <c r="L1879" s="2">
        <v>619.0</v>
      </c>
      <c r="M1879" s="3">
        <f t="shared" si="5"/>
        <v>0.5758139535</v>
      </c>
      <c r="N1879" s="2">
        <v>6201000.0</v>
      </c>
      <c r="O1879" s="4">
        <f t="shared" si="6"/>
        <v>5768.372093</v>
      </c>
      <c r="P1879" s="2">
        <v>0.0</v>
      </c>
      <c r="Q1879" s="3">
        <f t="shared" si="7"/>
        <v>0</v>
      </c>
      <c r="R1879" s="2">
        <v>472.0</v>
      </c>
      <c r="S1879" s="5">
        <f t="shared" si="8"/>
        <v>1</v>
      </c>
    </row>
    <row r="1880">
      <c r="A1880" s="2" t="s">
        <v>1891</v>
      </c>
      <c r="B1880" s="2">
        <v>49.0</v>
      </c>
      <c r="C1880" s="2">
        <v>574.0</v>
      </c>
      <c r="D1880" s="2">
        <v>214.0</v>
      </c>
      <c r="E1880" s="3">
        <f t="shared" si="1"/>
        <v>0.4076190476</v>
      </c>
      <c r="F1880" s="2">
        <v>74.0</v>
      </c>
      <c r="G1880" s="3">
        <f t="shared" si="2"/>
        <v>0.140952381</v>
      </c>
      <c r="H1880" s="2">
        <v>103.0</v>
      </c>
      <c r="I1880" s="3">
        <f t="shared" si="3"/>
        <v>0.1961904762</v>
      </c>
      <c r="J1880" s="2">
        <v>77.0</v>
      </c>
      <c r="K1880" s="3">
        <f t="shared" si="4"/>
        <v>0.1466666667</v>
      </c>
      <c r="L1880" s="2">
        <v>65.0</v>
      </c>
      <c r="M1880" s="3">
        <f t="shared" si="5"/>
        <v>0.6310679612</v>
      </c>
      <c r="N1880" s="2">
        <v>543700.0</v>
      </c>
      <c r="O1880" s="4">
        <f t="shared" si="6"/>
        <v>5278.640777</v>
      </c>
      <c r="P1880" s="2">
        <v>0.0</v>
      </c>
      <c r="Q1880" s="3">
        <f t="shared" si="7"/>
        <v>0</v>
      </c>
      <c r="R1880" s="2">
        <v>0.0</v>
      </c>
      <c r="S1880" s="5">
        <f t="shared" si="8"/>
        <v>0</v>
      </c>
    </row>
    <row r="1881">
      <c r="A1881" s="2" t="s">
        <v>1892</v>
      </c>
      <c r="B1881" s="2">
        <v>596.0</v>
      </c>
      <c r="C1881" s="2">
        <v>7010.0</v>
      </c>
      <c r="D1881" s="2">
        <v>2406.0</v>
      </c>
      <c r="E1881" s="3">
        <f t="shared" si="1"/>
        <v>0.3751169317</v>
      </c>
      <c r="F1881" s="2">
        <v>904.0</v>
      </c>
      <c r="G1881" s="3">
        <f t="shared" si="2"/>
        <v>0.1409416901</v>
      </c>
      <c r="H1881" s="2">
        <v>1293.0</v>
      </c>
      <c r="I1881" s="3">
        <f t="shared" si="3"/>
        <v>0.2015902713</v>
      </c>
      <c r="J1881" s="2">
        <v>1132.0</v>
      </c>
      <c r="K1881" s="3">
        <f t="shared" si="4"/>
        <v>0.1764889305</v>
      </c>
      <c r="L1881" s="2">
        <v>742.0</v>
      </c>
      <c r="M1881" s="3">
        <f t="shared" si="5"/>
        <v>0.5738592421</v>
      </c>
      <c r="N1881" s="2">
        <v>7600600.0</v>
      </c>
      <c r="O1881" s="4">
        <f t="shared" si="6"/>
        <v>5878.267595</v>
      </c>
      <c r="P1881" s="2">
        <v>1.0</v>
      </c>
      <c r="Q1881" s="3">
        <f t="shared" si="7"/>
        <v>0.001677852349</v>
      </c>
      <c r="R1881" s="2">
        <v>542.0</v>
      </c>
      <c r="S1881" s="5">
        <f t="shared" si="8"/>
        <v>0.9093959732</v>
      </c>
    </row>
    <row r="1882">
      <c r="A1882" s="2" t="s">
        <v>1893</v>
      </c>
      <c r="B1882" s="2">
        <v>649.0</v>
      </c>
      <c r="C1882" s="2">
        <v>7567.0</v>
      </c>
      <c r="D1882" s="2">
        <v>2257.0</v>
      </c>
      <c r="E1882" s="3">
        <f t="shared" si="1"/>
        <v>0.3262503614</v>
      </c>
      <c r="F1882" s="2">
        <v>975.0</v>
      </c>
      <c r="G1882" s="3">
        <f t="shared" si="2"/>
        <v>0.1409366869</v>
      </c>
      <c r="H1882" s="2">
        <v>1543.0</v>
      </c>
      <c r="I1882" s="3">
        <f t="shared" si="3"/>
        <v>0.2230413414</v>
      </c>
      <c r="J1882" s="2">
        <v>1433.0</v>
      </c>
      <c r="K1882" s="3">
        <f t="shared" si="4"/>
        <v>0.2071407921</v>
      </c>
      <c r="L1882" s="2">
        <v>890.0</v>
      </c>
      <c r="M1882" s="3">
        <f t="shared" si="5"/>
        <v>0.5767984446</v>
      </c>
      <c r="N1882" s="2">
        <v>9605700.0</v>
      </c>
      <c r="O1882" s="4">
        <f t="shared" si="6"/>
        <v>6225.340246</v>
      </c>
      <c r="P1882" s="2">
        <v>2.0</v>
      </c>
      <c r="Q1882" s="3">
        <f t="shared" si="7"/>
        <v>0.003081664099</v>
      </c>
      <c r="R1882" s="2">
        <v>641.0</v>
      </c>
      <c r="S1882" s="5">
        <f t="shared" si="8"/>
        <v>0.9876733436</v>
      </c>
    </row>
    <row r="1883">
      <c r="A1883" s="2" t="s">
        <v>1894</v>
      </c>
      <c r="B1883" s="2">
        <v>94.0</v>
      </c>
      <c r="C1883" s="2">
        <v>1059.0</v>
      </c>
      <c r="D1883" s="2">
        <v>314.0</v>
      </c>
      <c r="E1883" s="3">
        <f t="shared" si="1"/>
        <v>0.325388601</v>
      </c>
      <c r="F1883" s="2">
        <v>136.0</v>
      </c>
      <c r="G1883" s="3">
        <f t="shared" si="2"/>
        <v>0.1409326425</v>
      </c>
      <c r="H1883" s="2">
        <v>205.0</v>
      </c>
      <c r="I1883" s="3">
        <f t="shared" si="3"/>
        <v>0.2124352332</v>
      </c>
      <c r="J1883" s="2">
        <v>115.0</v>
      </c>
      <c r="K1883" s="3">
        <f t="shared" si="4"/>
        <v>0.1191709845</v>
      </c>
      <c r="L1883" s="2">
        <v>125.0</v>
      </c>
      <c r="M1883" s="3">
        <f t="shared" si="5"/>
        <v>0.6097560976</v>
      </c>
      <c r="N1883" s="2">
        <v>1226400.0</v>
      </c>
      <c r="O1883" s="4">
        <f t="shared" si="6"/>
        <v>5982.439024</v>
      </c>
      <c r="P1883" s="2">
        <v>0.0</v>
      </c>
      <c r="Q1883" s="3">
        <f t="shared" si="7"/>
        <v>0</v>
      </c>
      <c r="R1883" s="2">
        <v>94.0</v>
      </c>
      <c r="S1883" s="5">
        <f t="shared" si="8"/>
        <v>1</v>
      </c>
    </row>
    <row r="1884">
      <c r="A1884" s="2" t="s">
        <v>1895</v>
      </c>
      <c r="B1884" s="2">
        <v>442.0</v>
      </c>
      <c r="C1884" s="2">
        <v>5111.0</v>
      </c>
      <c r="D1884" s="2">
        <v>1520.0</v>
      </c>
      <c r="E1884" s="3">
        <f t="shared" si="1"/>
        <v>0.32555151</v>
      </c>
      <c r="F1884" s="2">
        <v>658.0</v>
      </c>
      <c r="G1884" s="3">
        <f t="shared" si="2"/>
        <v>0.1409295352</v>
      </c>
      <c r="H1884" s="2">
        <v>970.0</v>
      </c>
      <c r="I1884" s="3">
        <f t="shared" si="3"/>
        <v>0.2077532662</v>
      </c>
      <c r="J1884" s="2">
        <v>977.0</v>
      </c>
      <c r="K1884" s="3">
        <f t="shared" si="4"/>
        <v>0.2092525166</v>
      </c>
      <c r="L1884" s="2">
        <v>567.0</v>
      </c>
      <c r="M1884" s="3">
        <f t="shared" si="5"/>
        <v>0.5845360825</v>
      </c>
      <c r="N1884" s="2">
        <v>5841700.0</v>
      </c>
      <c r="O1884" s="4">
        <f t="shared" si="6"/>
        <v>6022.371134</v>
      </c>
      <c r="P1884" s="2">
        <v>1.0</v>
      </c>
      <c r="Q1884" s="3">
        <f t="shared" si="7"/>
        <v>0.002262443439</v>
      </c>
      <c r="R1884" s="2">
        <v>442.0</v>
      </c>
      <c r="S1884" s="5">
        <f t="shared" si="8"/>
        <v>1</v>
      </c>
    </row>
    <row r="1885">
      <c r="A1885" s="2" t="s">
        <v>1896</v>
      </c>
      <c r="B1885" s="2">
        <v>51.0</v>
      </c>
      <c r="C1885" s="2">
        <v>569.0</v>
      </c>
      <c r="D1885" s="2">
        <v>154.0</v>
      </c>
      <c r="E1885" s="3">
        <f t="shared" si="1"/>
        <v>0.2972972973</v>
      </c>
      <c r="F1885" s="2">
        <v>73.0</v>
      </c>
      <c r="G1885" s="3">
        <f t="shared" si="2"/>
        <v>0.1409266409</v>
      </c>
      <c r="H1885" s="2">
        <v>77.0</v>
      </c>
      <c r="I1885" s="3">
        <f t="shared" si="3"/>
        <v>0.1486486486</v>
      </c>
      <c r="J1885" s="2">
        <v>81.0</v>
      </c>
      <c r="K1885" s="3">
        <f t="shared" si="4"/>
        <v>0.1563706564</v>
      </c>
      <c r="L1885" s="2">
        <v>45.0</v>
      </c>
      <c r="M1885" s="3">
        <f t="shared" si="5"/>
        <v>0.5844155844</v>
      </c>
      <c r="N1885" s="2">
        <v>486400.0</v>
      </c>
      <c r="O1885" s="4">
        <f t="shared" si="6"/>
        <v>6316.883117</v>
      </c>
      <c r="P1885" s="2">
        <v>0.0</v>
      </c>
      <c r="Q1885" s="3">
        <f t="shared" si="7"/>
        <v>0</v>
      </c>
      <c r="R1885" s="2">
        <v>51.0</v>
      </c>
      <c r="S1885" s="5">
        <f t="shared" si="8"/>
        <v>1</v>
      </c>
    </row>
    <row r="1886">
      <c r="A1886" s="2" t="s">
        <v>1897</v>
      </c>
      <c r="B1886" s="2">
        <v>32.0</v>
      </c>
      <c r="C1886" s="2">
        <v>401.0</v>
      </c>
      <c r="D1886" s="2">
        <v>155.0</v>
      </c>
      <c r="E1886" s="3">
        <f t="shared" si="1"/>
        <v>0.4200542005</v>
      </c>
      <c r="F1886" s="2">
        <v>52.0</v>
      </c>
      <c r="G1886" s="3">
        <f t="shared" si="2"/>
        <v>0.1409214092</v>
      </c>
      <c r="H1886" s="2">
        <v>75.0</v>
      </c>
      <c r="I1886" s="3">
        <f t="shared" si="3"/>
        <v>0.2032520325</v>
      </c>
      <c r="J1886" s="2">
        <v>58.0</v>
      </c>
      <c r="K1886" s="3">
        <f t="shared" si="4"/>
        <v>0.1571815718</v>
      </c>
      <c r="L1886" s="2">
        <v>44.0</v>
      </c>
      <c r="M1886" s="3">
        <f t="shared" si="5"/>
        <v>0.5866666667</v>
      </c>
      <c r="N1886" s="2">
        <v>361000.0</v>
      </c>
      <c r="O1886" s="4">
        <f t="shared" si="6"/>
        <v>4813.333333</v>
      </c>
      <c r="P1886" s="2">
        <v>0.0</v>
      </c>
      <c r="Q1886" s="3">
        <f t="shared" si="7"/>
        <v>0</v>
      </c>
      <c r="R1886" s="2">
        <v>32.0</v>
      </c>
      <c r="S1886" s="5">
        <f t="shared" si="8"/>
        <v>1</v>
      </c>
    </row>
    <row r="1887">
      <c r="A1887" s="2" t="s">
        <v>1898</v>
      </c>
      <c r="B1887" s="2">
        <v>214.0</v>
      </c>
      <c r="C1887" s="2">
        <v>2414.0</v>
      </c>
      <c r="D1887" s="2">
        <v>779.0</v>
      </c>
      <c r="E1887" s="3">
        <f t="shared" si="1"/>
        <v>0.3540909091</v>
      </c>
      <c r="F1887" s="2">
        <v>310.0</v>
      </c>
      <c r="G1887" s="3">
        <f t="shared" si="2"/>
        <v>0.1409090909</v>
      </c>
      <c r="H1887" s="2">
        <v>473.0</v>
      </c>
      <c r="I1887" s="3">
        <f t="shared" si="3"/>
        <v>0.215</v>
      </c>
      <c r="J1887" s="2">
        <v>400.0</v>
      </c>
      <c r="K1887" s="3">
        <f t="shared" si="4"/>
        <v>0.1818181818</v>
      </c>
      <c r="L1887" s="2">
        <v>303.0</v>
      </c>
      <c r="M1887" s="3">
        <f t="shared" si="5"/>
        <v>0.6405919662</v>
      </c>
      <c r="N1887" s="2">
        <v>2602800.0</v>
      </c>
      <c r="O1887" s="4">
        <f t="shared" si="6"/>
        <v>5502.748414</v>
      </c>
      <c r="P1887" s="2">
        <v>1.0</v>
      </c>
      <c r="Q1887" s="3">
        <f t="shared" si="7"/>
        <v>0.004672897196</v>
      </c>
      <c r="R1887" s="2">
        <v>0.0</v>
      </c>
      <c r="S1887" s="5">
        <f t="shared" si="8"/>
        <v>0</v>
      </c>
    </row>
    <row r="1888">
      <c r="A1888" s="2" t="s">
        <v>1899</v>
      </c>
      <c r="B1888" s="2">
        <v>285.0</v>
      </c>
      <c r="C1888" s="2">
        <v>3287.0</v>
      </c>
      <c r="D1888" s="2">
        <v>1042.0</v>
      </c>
      <c r="E1888" s="3">
        <f t="shared" si="1"/>
        <v>0.347101932</v>
      </c>
      <c r="F1888" s="2">
        <v>423.0</v>
      </c>
      <c r="G1888" s="3">
        <f t="shared" si="2"/>
        <v>0.1409060626</v>
      </c>
      <c r="H1888" s="2">
        <v>665.0</v>
      </c>
      <c r="I1888" s="3">
        <f t="shared" si="3"/>
        <v>0.2215189873</v>
      </c>
      <c r="J1888" s="2">
        <v>555.0</v>
      </c>
      <c r="K1888" s="3">
        <f t="shared" si="4"/>
        <v>0.1848767488</v>
      </c>
      <c r="L1888" s="2">
        <v>389.0</v>
      </c>
      <c r="M1888" s="3">
        <f t="shared" si="5"/>
        <v>0.584962406</v>
      </c>
      <c r="N1888" s="2">
        <v>3858100.0</v>
      </c>
      <c r="O1888" s="4">
        <f t="shared" si="6"/>
        <v>5801.654135</v>
      </c>
      <c r="P1888" s="2">
        <v>1.0</v>
      </c>
      <c r="Q1888" s="3">
        <f t="shared" si="7"/>
        <v>0.00350877193</v>
      </c>
      <c r="R1888" s="2">
        <v>285.0</v>
      </c>
      <c r="S1888" s="5">
        <f t="shared" si="8"/>
        <v>1</v>
      </c>
    </row>
    <row r="1889">
      <c r="A1889" s="2" t="s">
        <v>1900</v>
      </c>
      <c r="B1889" s="2">
        <v>214.0</v>
      </c>
      <c r="C1889" s="2">
        <v>2542.0</v>
      </c>
      <c r="D1889" s="2">
        <v>681.0</v>
      </c>
      <c r="E1889" s="3">
        <f t="shared" si="1"/>
        <v>0.2925257732</v>
      </c>
      <c r="F1889" s="2">
        <v>328.0</v>
      </c>
      <c r="G1889" s="3">
        <f t="shared" si="2"/>
        <v>0.1408934708</v>
      </c>
      <c r="H1889" s="2">
        <v>479.0</v>
      </c>
      <c r="I1889" s="3">
        <f t="shared" si="3"/>
        <v>0.2057560137</v>
      </c>
      <c r="J1889" s="2">
        <v>442.0</v>
      </c>
      <c r="K1889" s="3">
        <f t="shared" si="4"/>
        <v>0.189862543</v>
      </c>
      <c r="L1889" s="2">
        <v>264.0</v>
      </c>
      <c r="M1889" s="3">
        <f t="shared" si="5"/>
        <v>0.5511482255</v>
      </c>
      <c r="N1889" s="2">
        <v>2956400.0</v>
      </c>
      <c r="O1889" s="4">
        <f t="shared" si="6"/>
        <v>6172.025052</v>
      </c>
      <c r="P1889" s="2">
        <v>1.0</v>
      </c>
      <c r="Q1889" s="3">
        <f t="shared" si="7"/>
        <v>0.004672897196</v>
      </c>
      <c r="R1889" s="2">
        <v>3.0</v>
      </c>
      <c r="S1889" s="5">
        <f t="shared" si="8"/>
        <v>0.01401869159</v>
      </c>
    </row>
    <row r="1890">
      <c r="A1890" s="2" t="s">
        <v>1901</v>
      </c>
      <c r="B1890" s="2">
        <v>308.0</v>
      </c>
      <c r="C1890" s="2">
        <v>3580.0</v>
      </c>
      <c r="D1890" s="2">
        <v>1217.0</v>
      </c>
      <c r="E1890" s="3">
        <f t="shared" si="1"/>
        <v>0.3719437653</v>
      </c>
      <c r="F1890" s="2">
        <v>461.0</v>
      </c>
      <c r="G1890" s="3">
        <f t="shared" si="2"/>
        <v>0.1408924205</v>
      </c>
      <c r="H1890" s="2">
        <v>685.0</v>
      </c>
      <c r="I1890" s="3">
        <f t="shared" si="3"/>
        <v>0.2093520782</v>
      </c>
      <c r="J1890" s="2">
        <v>522.0</v>
      </c>
      <c r="K1890" s="3">
        <f t="shared" si="4"/>
        <v>0.1595354523</v>
      </c>
      <c r="L1890" s="2">
        <v>403.0</v>
      </c>
      <c r="M1890" s="3">
        <f t="shared" si="5"/>
        <v>0.5883211679</v>
      </c>
      <c r="N1890" s="2">
        <v>3900200.0</v>
      </c>
      <c r="O1890" s="4">
        <f t="shared" si="6"/>
        <v>5693.722628</v>
      </c>
      <c r="P1890" s="2">
        <v>1.0</v>
      </c>
      <c r="Q1890" s="3">
        <f t="shared" si="7"/>
        <v>0.003246753247</v>
      </c>
      <c r="R1890" s="2">
        <v>308.0</v>
      </c>
      <c r="S1890" s="5">
        <f t="shared" si="8"/>
        <v>1</v>
      </c>
    </row>
    <row r="1891">
      <c r="A1891" s="2" t="s">
        <v>1902</v>
      </c>
      <c r="B1891" s="2">
        <v>32.0</v>
      </c>
      <c r="C1891" s="2">
        <v>394.0</v>
      </c>
      <c r="D1891" s="2">
        <v>90.0</v>
      </c>
      <c r="E1891" s="3">
        <f t="shared" si="1"/>
        <v>0.2486187845</v>
      </c>
      <c r="F1891" s="2">
        <v>51.0</v>
      </c>
      <c r="G1891" s="3">
        <f t="shared" si="2"/>
        <v>0.1408839779</v>
      </c>
      <c r="H1891" s="2">
        <v>60.0</v>
      </c>
      <c r="I1891" s="3">
        <f t="shared" si="3"/>
        <v>0.1657458564</v>
      </c>
      <c r="J1891" s="2">
        <v>58.0</v>
      </c>
      <c r="K1891" s="3">
        <f t="shared" si="4"/>
        <v>0.1602209945</v>
      </c>
      <c r="L1891" s="2">
        <v>43.0</v>
      </c>
      <c r="M1891" s="3">
        <f t="shared" si="5"/>
        <v>0.7166666667</v>
      </c>
      <c r="N1891" s="2">
        <v>328800.0</v>
      </c>
      <c r="O1891" s="4">
        <f t="shared" si="6"/>
        <v>5480</v>
      </c>
      <c r="P1891" s="2">
        <v>0.0</v>
      </c>
      <c r="Q1891" s="3">
        <f t="shared" si="7"/>
        <v>0</v>
      </c>
      <c r="R1891" s="2">
        <v>32.0</v>
      </c>
      <c r="S1891" s="5">
        <f t="shared" si="8"/>
        <v>1</v>
      </c>
    </row>
    <row r="1892">
      <c r="A1892" s="2" t="s">
        <v>1903</v>
      </c>
      <c r="B1892" s="2">
        <v>308.0</v>
      </c>
      <c r="C1892" s="2">
        <v>3630.0</v>
      </c>
      <c r="D1892" s="2">
        <v>1323.0</v>
      </c>
      <c r="E1892" s="3">
        <f t="shared" si="1"/>
        <v>0.3982540638</v>
      </c>
      <c r="F1892" s="2">
        <v>468.0</v>
      </c>
      <c r="G1892" s="3">
        <f t="shared" si="2"/>
        <v>0.1408789886</v>
      </c>
      <c r="H1892" s="2">
        <v>683.0</v>
      </c>
      <c r="I1892" s="3">
        <f t="shared" si="3"/>
        <v>0.2055990367</v>
      </c>
      <c r="J1892" s="2">
        <v>467.0</v>
      </c>
      <c r="K1892" s="3">
        <f t="shared" si="4"/>
        <v>0.1405779651</v>
      </c>
      <c r="L1892" s="2">
        <v>432.0</v>
      </c>
      <c r="M1892" s="3">
        <f t="shared" si="5"/>
        <v>0.6325036603</v>
      </c>
      <c r="N1892" s="2">
        <v>3737900.0</v>
      </c>
      <c r="O1892" s="4">
        <f t="shared" si="6"/>
        <v>5472.767204</v>
      </c>
      <c r="P1892" s="2">
        <v>0.0</v>
      </c>
      <c r="Q1892" s="3">
        <f t="shared" si="7"/>
        <v>0</v>
      </c>
      <c r="R1892" s="2">
        <v>308.0</v>
      </c>
      <c r="S1892" s="5">
        <f t="shared" si="8"/>
        <v>1</v>
      </c>
    </row>
    <row r="1893">
      <c r="A1893" s="2" t="s">
        <v>1904</v>
      </c>
      <c r="B1893" s="2">
        <v>148.0</v>
      </c>
      <c r="C1893" s="2">
        <v>1788.0</v>
      </c>
      <c r="D1893" s="2">
        <v>612.0</v>
      </c>
      <c r="E1893" s="3">
        <f t="shared" si="1"/>
        <v>0.3731707317</v>
      </c>
      <c r="F1893" s="2">
        <v>231.0</v>
      </c>
      <c r="G1893" s="3">
        <f t="shared" si="2"/>
        <v>0.1408536585</v>
      </c>
      <c r="H1893" s="2">
        <v>296.0</v>
      </c>
      <c r="I1893" s="3">
        <f t="shared" si="3"/>
        <v>0.1804878049</v>
      </c>
      <c r="J1893" s="2">
        <v>257.0</v>
      </c>
      <c r="K1893" s="3">
        <f t="shared" si="4"/>
        <v>0.1567073171</v>
      </c>
      <c r="L1893" s="2">
        <v>172.0</v>
      </c>
      <c r="M1893" s="3">
        <f t="shared" si="5"/>
        <v>0.5810810811</v>
      </c>
      <c r="N1893" s="2">
        <v>1718000.0</v>
      </c>
      <c r="O1893" s="4">
        <f t="shared" si="6"/>
        <v>5804.054054</v>
      </c>
      <c r="P1893" s="2">
        <v>0.0</v>
      </c>
      <c r="Q1893" s="3">
        <f t="shared" si="7"/>
        <v>0</v>
      </c>
      <c r="R1893" s="2">
        <v>148.0</v>
      </c>
      <c r="S1893" s="5">
        <f t="shared" si="8"/>
        <v>1</v>
      </c>
    </row>
    <row r="1894">
      <c r="A1894" s="2" t="s">
        <v>1905</v>
      </c>
      <c r="B1894" s="2">
        <v>12.0</v>
      </c>
      <c r="C1894" s="2">
        <v>154.0</v>
      </c>
      <c r="D1894" s="2">
        <v>47.0</v>
      </c>
      <c r="E1894" s="3">
        <f t="shared" si="1"/>
        <v>0.3309859155</v>
      </c>
      <c r="F1894" s="2">
        <v>20.0</v>
      </c>
      <c r="G1894" s="3">
        <f t="shared" si="2"/>
        <v>0.1408450704</v>
      </c>
      <c r="H1894" s="2">
        <v>21.0</v>
      </c>
      <c r="I1894" s="3">
        <f t="shared" si="3"/>
        <v>0.1478873239</v>
      </c>
      <c r="J1894" s="2">
        <v>25.0</v>
      </c>
      <c r="K1894" s="3">
        <f t="shared" si="4"/>
        <v>0.176056338</v>
      </c>
      <c r="L1894" s="2">
        <v>8.0</v>
      </c>
      <c r="M1894" s="3">
        <f t="shared" si="5"/>
        <v>0.380952381</v>
      </c>
      <c r="N1894" s="2">
        <v>163000.0</v>
      </c>
      <c r="O1894" s="4">
        <f t="shared" si="6"/>
        <v>7761.904762</v>
      </c>
      <c r="P1894" s="2">
        <v>0.0</v>
      </c>
      <c r="Q1894" s="3">
        <f t="shared" si="7"/>
        <v>0</v>
      </c>
      <c r="R1894" s="2">
        <v>12.0</v>
      </c>
      <c r="S1894" s="5">
        <f t="shared" si="8"/>
        <v>1</v>
      </c>
    </row>
    <row r="1895">
      <c r="A1895" s="2" t="s">
        <v>1906</v>
      </c>
      <c r="B1895" s="2">
        <v>40.0</v>
      </c>
      <c r="C1895" s="2">
        <v>466.0</v>
      </c>
      <c r="D1895" s="2">
        <v>129.0</v>
      </c>
      <c r="E1895" s="3">
        <f t="shared" si="1"/>
        <v>0.3028169014</v>
      </c>
      <c r="F1895" s="2">
        <v>60.0</v>
      </c>
      <c r="G1895" s="3">
        <f t="shared" si="2"/>
        <v>0.1408450704</v>
      </c>
      <c r="H1895" s="2">
        <v>76.0</v>
      </c>
      <c r="I1895" s="3">
        <f t="shared" si="3"/>
        <v>0.1784037559</v>
      </c>
      <c r="J1895" s="2">
        <v>74.0</v>
      </c>
      <c r="K1895" s="3">
        <f t="shared" si="4"/>
        <v>0.1737089202</v>
      </c>
      <c r="L1895" s="2">
        <v>51.0</v>
      </c>
      <c r="M1895" s="3">
        <f t="shared" si="5"/>
        <v>0.6710526316</v>
      </c>
      <c r="N1895" s="2">
        <v>378200.0</v>
      </c>
      <c r="O1895" s="4">
        <f t="shared" si="6"/>
        <v>4976.315789</v>
      </c>
      <c r="P1895" s="2">
        <v>0.0</v>
      </c>
      <c r="Q1895" s="3">
        <f t="shared" si="7"/>
        <v>0</v>
      </c>
      <c r="R1895" s="2">
        <v>40.0</v>
      </c>
      <c r="S1895" s="5">
        <f t="shared" si="8"/>
        <v>1</v>
      </c>
    </row>
    <row r="1896">
      <c r="A1896" s="2" t="s">
        <v>1907</v>
      </c>
      <c r="B1896" s="2">
        <v>91.0</v>
      </c>
      <c r="C1896" s="2">
        <v>1085.0</v>
      </c>
      <c r="D1896" s="2">
        <v>341.0</v>
      </c>
      <c r="E1896" s="3">
        <f t="shared" si="1"/>
        <v>0.3430583501</v>
      </c>
      <c r="F1896" s="2">
        <v>140.0</v>
      </c>
      <c r="G1896" s="3">
        <f t="shared" si="2"/>
        <v>0.1408450704</v>
      </c>
      <c r="H1896" s="2">
        <v>200.0</v>
      </c>
      <c r="I1896" s="3">
        <f t="shared" si="3"/>
        <v>0.2012072435</v>
      </c>
      <c r="J1896" s="2">
        <v>148.0</v>
      </c>
      <c r="K1896" s="3">
        <f t="shared" si="4"/>
        <v>0.1488933602</v>
      </c>
      <c r="L1896" s="2">
        <v>116.0</v>
      </c>
      <c r="M1896" s="3">
        <f t="shared" si="5"/>
        <v>0.58</v>
      </c>
      <c r="N1896" s="2">
        <v>1086100.0</v>
      </c>
      <c r="O1896" s="4">
        <f t="shared" si="6"/>
        <v>5430.5</v>
      </c>
      <c r="P1896" s="2">
        <v>0.0</v>
      </c>
      <c r="Q1896" s="3">
        <f t="shared" si="7"/>
        <v>0</v>
      </c>
      <c r="R1896" s="2">
        <v>91.0</v>
      </c>
      <c r="S1896" s="5">
        <f t="shared" si="8"/>
        <v>1</v>
      </c>
    </row>
    <row r="1897">
      <c r="A1897" s="2" t="s">
        <v>1908</v>
      </c>
      <c r="B1897" s="2">
        <v>140.0</v>
      </c>
      <c r="C1897" s="2">
        <v>1631.0</v>
      </c>
      <c r="D1897" s="2">
        <v>501.0</v>
      </c>
      <c r="E1897" s="3">
        <f t="shared" si="1"/>
        <v>0.3360160966</v>
      </c>
      <c r="F1897" s="2">
        <v>210.0</v>
      </c>
      <c r="G1897" s="3">
        <f t="shared" si="2"/>
        <v>0.1408450704</v>
      </c>
      <c r="H1897" s="2">
        <v>290.0</v>
      </c>
      <c r="I1897" s="3">
        <f t="shared" si="3"/>
        <v>0.1945003353</v>
      </c>
      <c r="J1897" s="2">
        <v>190.0</v>
      </c>
      <c r="K1897" s="3">
        <f t="shared" si="4"/>
        <v>0.1274312542</v>
      </c>
      <c r="L1897" s="2">
        <v>180.0</v>
      </c>
      <c r="M1897" s="3">
        <f t="shared" si="5"/>
        <v>0.6206896552</v>
      </c>
      <c r="N1897" s="2">
        <v>1579300.0</v>
      </c>
      <c r="O1897" s="4">
        <f t="shared" si="6"/>
        <v>5445.862069</v>
      </c>
      <c r="P1897" s="2">
        <v>0.0</v>
      </c>
      <c r="Q1897" s="3">
        <f t="shared" si="7"/>
        <v>0</v>
      </c>
      <c r="R1897" s="2">
        <v>0.0</v>
      </c>
      <c r="S1897" s="5">
        <f t="shared" si="8"/>
        <v>0</v>
      </c>
    </row>
    <row r="1898">
      <c r="A1898" s="2" t="s">
        <v>1909</v>
      </c>
      <c r="B1898" s="2">
        <v>2009.0</v>
      </c>
      <c r="C1898" s="2">
        <v>23516.0</v>
      </c>
      <c r="D1898" s="2">
        <v>7945.0</v>
      </c>
      <c r="E1898" s="3">
        <f t="shared" si="1"/>
        <v>0.3694146092</v>
      </c>
      <c r="F1898" s="2">
        <v>3029.0</v>
      </c>
      <c r="G1898" s="3">
        <f t="shared" si="2"/>
        <v>0.1408378667</v>
      </c>
      <c r="H1898" s="2">
        <v>4677.0</v>
      </c>
      <c r="I1898" s="3">
        <f t="shared" si="3"/>
        <v>0.2174640815</v>
      </c>
      <c r="J1898" s="2">
        <v>3949.0</v>
      </c>
      <c r="K1898" s="3">
        <f t="shared" si="4"/>
        <v>0.1836146371</v>
      </c>
      <c r="L1898" s="2">
        <v>2748.0</v>
      </c>
      <c r="M1898" s="3">
        <f t="shared" si="5"/>
        <v>0.5875561257</v>
      </c>
      <c r="N1898" s="2">
        <v>2.64358E7</v>
      </c>
      <c r="O1898" s="4">
        <f t="shared" si="6"/>
        <v>5652.298482</v>
      </c>
      <c r="P1898" s="2">
        <v>3.0</v>
      </c>
      <c r="Q1898" s="3">
        <f t="shared" si="7"/>
        <v>0.001493280239</v>
      </c>
      <c r="R1898" s="2">
        <v>1154.0</v>
      </c>
      <c r="S1898" s="5">
        <f t="shared" si="8"/>
        <v>0.5744151319</v>
      </c>
    </row>
    <row r="1899">
      <c r="A1899" s="2" t="s">
        <v>1910</v>
      </c>
      <c r="B1899" s="2">
        <v>286.0</v>
      </c>
      <c r="C1899" s="2">
        <v>3233.0</v>
      </c>
      <c r="D1899" s="2">
        <v>943.0</v>
      </c>
      <c r="E1899" s="3">
        <f t="shared" si="1"/>
        <v>0.3199864269</v>
      </c>
      <c r="F1899" s="2">
        <v>415.0</v>
      </c>
      <c r="G1899" s="3">
        <f t="shared" si="2"/>
        <v>0.1408211741</v>
      </c>
      <c r="H1899" s="2">
        <v>606.0</v>
      </c>
      <c r="I1899" s="3">
        <f t="shared" si="3"/>
        <v>0.205632847</v>
      </c>
      <c r="J1899" s="2">
        <v>559.0</v>
      </c>
      <c r="K1899" s="3">
        <f t="shared" si="4"/>
        <v>0.1896844248</v>
      </c>
      <c r="L1899" s="2">
        <v>351.0</v>
      </c>
      <c r="M1899" s="3">
        <f t="shared" si="5"/>
        <v>0.5792079208</v>
      </c>
      <c r="N1899" s="2">
        <v>3614300.0</v>
      </c>
      <c r="O1899" s="4">
        <f t="shared" si="6"/>
        <v>5964.191419</v>
      </c>
      <c r="P1899" s="2">
        <v>2.0</v>
      </c>
      <c r="Q1899" s="3">
        <f t="shared" si="7"/>
        <v>0.006993006993</v>
      </c>
      <c r="R1899" s="2">
        <v>286.0</v>
      </c>
      <c r="S1899" s="5">
        <f t="shared" si="8"/>
        <v>1</v>
      </c>
    </row>
    <row r="1900">
      <c r="A1900" s="2" t="s">
        <v>1911</v>
      </c>
      <c r="B1900" s="2">
        <v>104.0</v>
      </c>
      <c r="C1900" s="2">
        <v>1226.0</v>
      </c>
      <c r="D1900" s="2">
        <v>419.0</v>
      </c>
      <c r="E1900" s="3">
        <f t="shared" si="1"/>
        <v>0.3734402852</v>
      </c>
      <c r="F1900" s="2">
        <v>158.0</v>
      </c>
      <c r="G1900" s="3">
        <f t="shared" si="2"/>
        <v>0.1408199643</v>
      </c>
      <c r="H1900" s="2">
        <v>230.0</v>
      </c>
      <c r="I1900" s="3">
        <f t="shared" si="3"/>
        <v>0.2049910873</v>
      </c>
      <c r="J1900" s="2">
        <v>161.0</v>
      </c>
      <c r="K1900" s="3">
        <f t="shared" si="4"/>
        <v>0.1434937611</v>
      </c>
      <c r="L1900" s="2">
        <v>138.0</v>
      </c>
      <c r="M1900" s="3">
        <f t="shared" si="5"/>
        <v>0.6</v>
      </c>
      <c r="N1900" s="2">
        <v>1190900.0</v>
      </c>
      <c r="O1900" s="4">
        <f t="shared" si="6"/>
        <v>5177.826087</v>
      </c>
      <c r="P1900" s="2">
        <v>0.0</v>
      </c>
      <c r="Q1900" s="3">
        <f t="shared" si="7"/>
        <v>0</v>
      </c>
      <c r="R1900" s="2">
        <v>104.0</v>
      </c>
      <c r="S1900" s="5">
        <f t="shared" si="8"/>
        <v>1</v>
      </c>
    </row>
    <row r="1901">
      <c r="A1901" s="2" t="s">
        <v>1912</v>
      </c>
      <c r="B1901" s="2">
        <v>983.0</v>
      </c>
      <c r="C1901" s="2">
        <v>11501.0</v>
      </c>
      <c r="D1901" s="2">
        <v>3847.0</v>
      </c>
      <c r="E1901" s="3">
        <f t="shared" si="1"/>
        <v>0.3657539456</v>
      </c>
      <c r="F1901" s="2">
        <v>1481.0</v>
      </c>
      <c r="G1901" s="3">
        <f t="shared" si="2"/>
        <v>0.1408062369</v>
      </c>
      <c r="H1901" s="2">
        <v>2320.0</v>
      </c>
      <c r="I1901" s="3">
        <f t="shared" si="3"/>
        <v>0.2205742537</v>
      </c>
      <c r="J1901" s="2">
        <v>2008.0</v>
      </c>
      <c r="K1901" s="3">
        <f t="shared" si="4"/>
        <v>0.1909108195</v>
      </c>
      <c r="L1901" s="2">
        <v>1404.0</v>
      </c>
      <c r="M1901" s="3">
        <f t="shared" si="5"/>
        <v>0.6051724138</v>
      </c>
      <c r="N1901" s="2">
        <v>1.2275E7</v>
      </c>
      <c r="O1901" s="4">
        <f t="shared" si="6"/>
        <v>5290.948276</v>
      </c>
      <c r="P1901" s="2">
        <v>5.0</v>
      </c>
      <c r="Q1901" s="3">
        <f t="shared" si="7"/>
        <v>0.00508646999</v>
      </c>
      <c r="R1901" s="2">
        <v>983.0</v>
      </c>
      <c r="S1901" s="5">
        <f t="shared" si="8"/>
        <v>1</v>
      </c>
    </row>
    <row r="1902">
      <c r="A1902" s="2" t="s">
        <v>1913</v>
      </c>
      <c r="B1902" s="2">
        <v>65.0</v>
      </c>
      <c r="C1902" s="2">
        <v>754.0</v>
      </c>
      <c r="D1902" s="2">
        <v>267.0</v>
      </c>
      <c r="E1902" s="3">
        <f t="shared" si="1"/>
        <v>0.3875181422</v>
      </c>
      <c r="F1902" s="2">
        <v>97.0</v>
      </c>
      <c r="G1902" s="3">
        <f t="shared" si="2"/>
        <v>0.1407837446</v>
      </c>
      <c r="H1902" s="2">
        <v>147.0</v>
      </c>
      <c r="I1902" s="3">
        <f t="shared" si="3"/>
        <v>0.2133526851</v>
      </c>
      <c r="J1902" s="2">
        <v>120.0</v>
      </c>
      <c r="K1902" s="3">
        <f t="shared" si="4"/>
        <v>0.1741654572</v>
      </c>
      <c r="L1902" s="2">
        <v>87.0</v>
      </c>
      <c r="M1902" s="3">
        <f t="shared" si="5"/>
        <v>0.5918367347</v>
      </c>
      <c r="N1902" s="2">
        <v>770800.0</v>
      </c>
      <c r="O1902" s="4">
        <f t="shared" si="6"/>
        <v>5243.537415</v>
      </c>
      <c r="P1902" s="2">
        <v>1.0</v>
      </c>
      <c r="Q1902" s="3">
        <f t="shared" si="7"/>
        <v>0.01538461538</v>
      </c>
      <c r="R1902" s="2">
        <v>63.0</v>
      </c>
      <c r="S1902" s="5">
        <f t="shared" si="8"/>
        <v>0.9692307692</v>
      </c>
    </row>
    <row r="1903">
      <c r="A1903" s="2" t="s">
        <v>1914</v>
      </c>
      <c r="B1903" s="2">
        <v>67.0</v>
      </c>
      <c r="C1903" s="2">
        <v>756.0</v>
      </c>
      <c r="D1903" s="2">
        <v>281.0</v>
      </c>
      <c r="E1903" s="3">
        <f t="shared" si="1"/>
        <v>0.4078374456</v>
      </c>
      <c r="F1903" s="2">
        <v>97.0</v>
      </c>
      <c r="G1903" s="3">
        <f t="shared" si="2"/>
        <v>0.1407837446</v>
      </c>
      <c r="H1903" s="2">
        <v>161.0</v>
      </c>
      <c r="I1903" s="3">
        <f t="shared" si="3"/>
        <v>0.2336719884</v>
      </c>
      <c r="J1903" s="2">
        <v>104.0</v>
      </c>
      <c r="K1903" s="3">
        <f t="shared" si="4"/>
        <v>0.1509433962</v>
      </c>
      <c r="L1903" s="2">
        <v>89.0</v>
      </c>
      <c r="M1903" s="3">
        <f t="shared" si="5"/>
        <v>0.5527950311</v>
      </c>
      <c r="N1903" s="2">
        <v>935000.0</v>
      </c>
      <c r="O1903" s="4">
        <f t="shared" si="6"/>
        <v>5807.453416</v>
      </c>
      <c r="P1903" s="2">
        <v>0.0</v>
      </c>
      <c r="Q1903" s="3">
        <f t="shared" si="7"/>
        <v>0</v>
      </c>
      <c r="R1903" s="2">
        <v>67.0</v>
      </c>
      <c r="S1903" s="5">
        <f t="shared" si="8"/>
        <v>1</v>
      </c>
    </row>
    <row r="1904">
      <c r="A1904" s="2" t="s">
        <v>1915</v>
      </c>
      <c r="B1904" s="2">
        <v>174.0</v>
      </c>
      <c r="C1904" s="2">
        <v>2085.0</v>
      </c>
      <c r="D1904" s="2">
        <v>639.0</v>
      </c>
      <c r="E1904" s="3">
        <f t="shared" si="1"/>
        <v>0.3343799058</v>
      </c>
      <c r="F1904" s="2">
        <v>269.0</v>
      </c>
      <c r="G1904" s="3">
        <f t="shared" si="2"/>
        <v>0.1407639979</v>
      </c>
      <c r="H1904" s="2">
        <v>420.0</v>
      </c>
      <c r="I1904" s="3">
        <f t="shared" si="3"/>
        <v>0.2197802198</v>
      </c>
      <c r="J1904" s="2">
        <v>336.0</v>
      </c>
      <c r="K1904" s="3">
        <f t="shared" si="4"/>
        <v>0.1758241758</v>
      </c>
      <c r="L1904" s="2">
        <v>260.0</v>
      </c>
      <c r="M1904" s="3">
        <f t="shared" si="5"/>
        <v>0.619047619</v>
      </c>
      <c r="N1904" s="2">
        <v>2335300.0</v>
      </c>
      <c r="O1904" s="4">
        <f t="shared" si="6"/>
        <v>5560.238095</v>
      </c>
      <c r="P1904" s="2">
        <v>0.0</v>
      </c>
      <c r="Q1904" s="3">
        <f t="shared" si="7"/>
        <v>0</v>
      </c>
      <c r="R1904" s="2">
        <v>174.0</v>
      </c>
      <c r="S1904" s="5">
        <f t="shared" si="8"/>
        <v>1</v>
      </c>
    </row>
    <row r="1905">
      <c r="A1905" s="2" t="s">
        <v>1916</v>
      </c>
      <c r="B1905" s="2">
        <v>1462.0</v>
      </c>
      <c r="C1905" s="2">
        <v>17182.0</v>
      </c>
      <c r="D1905" s="2">
        <v>5270.0</v>
      </c>
      <c r="E1905" s="3">
        <f t="shared" si="1"/>
        <v>0.3352417303</v>
      </c>
      <c r="F1905" s="2">
        <v>2212.0</v>
      </c>
      <c r="G1905" s="3">
        <f t="shared" si="2"/>
        <v>0.1407124682</v>
      </c>
      <c r="H1905" s="2">
        <v>3316.0</v>
      </c>
      <c r="I1905" s="3">
        <f t="shared" si="3"/>
        <v>0.2109414758</v>
      </c>
      <c r="J1905" s="2">
        <v>2479.0</v>
      </c>
      <c r="K1905" s="3">
        <f t="shared" si="4"/>
        <v>0.157697201</v>
      </c>
      <c r="L1905" s="2">
        <v>2021.0</v>
      </c>
      <c r="M1905" s="3">
        <f t="shared" si="5"/>
        <v>0.60946924</v>
      </c>
      <c r="N1905" s="2">
        <v>1.93761E7</v>
      </c>
      <c r="O1905" s="4">
        <f t="shared" si="6"/>
        <v>5843.214717</v>
      </c>
      <c r="P1905" s="2">
        <v>6.0</v>
      </c>
      <c r="Q1905" s="3">
        <f t="shared" si="7"/>
        <v>0.004103967168</v>
      </c>
      <c r="R1905" s="2">
        <v>1462.0</v>
      </c>
      <c r="S1905" s="5">
        <f t="shared" si="8"/>
        <v>1</v>
      </c>
    </row>
    <row r="1906">
      <c r="A1906" s="2" t="s">
        <v>1917</v>
      </c>
      <c r="B1906" s="2">
        <v>1831.0</v>
      </c>
      <c r="C1906" s="2">
        <v>21396.0</v>
      </c>
      <c r="D1906" s="2">
        <v>5779.0</v>
      </c>
      <c r="E1906" s="3">
        <f t="shared" si="1"/>
        <v>0.295374393</v>
      </c>
      <c r="F1906" s="2">
        <v>2753.0</v>
      </c>
      <c r="G1906" s="3">
        <f t="shared" si="2"/>
        <v>0.1407104523</v>
      </c>
      <c r="H1906" s="2">
        <v>4008.0</v>
      </c>
      <c r="I1906" s="3">
        <f t="shared" si="3"/>
        <v>0.2048556095</v>
      </c>
      <c r="J1906" s="2">
        <v>3622.0</v>
      </c>
      <c r="K1906" s="3">
        <f t="shared" si="4"/>
        <v>0.1851265014</v>
      </c>
      <c r="L1906" s="2">
        <v>2336.0</v>
      </c>
      <c r="M1906" s="3">
        <f t="shared" si="5"/>
        <v>0.5828343313</v>
      </c>
      <c r="N1906" s="2">
        <v>2.4464E7</v>
      </c>
      <c r="O1906" s="4">
        <f t="shared" si="6"/>
        <v>6103.792415</v>
      </c>
      <c r="P1906" s="2">
        <v>3.0</v>
      </c>
      <c r="Q1906" s="3">
        <f t="shared" si="7"/>
        <v>0.001638448935</v>
      </c>
      <c r="R1906" s="2">
        <v>1831.0</v>
      </c>
      <c r="S1906" s="5">
        <f t="shared" si="8"/>
        <v>1</v>
      </c>
    </row>
    <row r="1907">
      <c r="A1907" s="2" t="s">
        <v>1918</v>
      </c>
      <c r="B1907" s="2">
        <v>1713.0</v>
      </c>
      <c r="C1907" s="2">
        <v>19878.0</v>
      </c>
      <c r="D1907" s="2">
        <v>5969.0</v>
      </c>
      <c r="E1907" s="3">
        <f t="shared" si="1"/>
        <v>0.328598954</v>
      </c>
      <c r="F1907" s="2">
        <v>2556.0</v>
      </c>
      <c r="G1907" s="3">
        <f t="shared" si="2"/>
        <v>0.1407101569</v>
      </c>
      <c r="H1907" s="2">
        <v>4049.0</v>
      </c>
      <c r="I1907" s="3">
        <f t="shared" si="3"/>
        <v>0.2229011836</v>
      </c>
      <c r="J1907" s="2">
        <v>2948.0</v>
      </c>
      <c r="K1907" s="3">
        <f t="shared" si="4"/>
        <v>0.1622901184</v>
      </c>
      <c r="L1907" s="2">
        <v>2445.0</v>
      </c>
      <c r="M1907" s="3">
        <f t="shared" si="5"/>
        <v>0.6038528032</v>
      </c>
      <c r="N1907" s="2">
        <v>2.32045E7</v>
      </c>
      <c r="O1907" s="4">
        <f t="shared" si="6"/>
        <v>5730.921215</v>
      </c>
      <c r="P1907" s="2">
        <v>4.0</v>
      </c>
      <c r="Q1907" s="3">
        <f t="shared" si="7"/>
        <v>0.002335084647</v>
      </c>
      <c r="R1907" s="2">
        <v>1420.0</v>
      </c>
      <c r="S1907" s="5">
        <f t="shared" si="8"/>
        <v>0.8289550496</v>
      </c>
    </row>
    <row r="1908">
      <c r="A1908" s="2" t="s">
        <v>1919</v>
      </c>
      <c r="B1908" s="2">
        <v>321.0</v>
      </c>
      <c r="C1908" s="2">
        <v>3761.0</v>
      </c>
      <c r="D1908" s="2">
        <v>1187.0</v>
      </c>
      <c r="E1908" s="3">
        <f t="shared" si="1"/>
        <v>0.3450581395</v>
      </c>
      <c r="F1908" s="2">
        <v>484.0</v>
      </c>
      <c r="G1908" s="3">
        <f t="shared" si="2"/>
        <v>0.1406976744</v>
      </c>
      <c r="H1908" s="2">
        <v>717.0</v>
      </c>
      <c r="I1908" s="3">
        <f t="shared" si="3"/>
        <v>0.2084302326</v>
      </c>
      <c r="J1908" s="2">
        <v>543.0</v>
      </c>
      <c r="K1908" s="3">
        <f t="shared" si="4"/>
        <v>0.1578488372</v>
      </c>
      <c r="L1908" s="2">
        <v>452.0</v>
      </c>
      <c r="M1908" s="3">
        <f t="shared" si="5"/>
        <v>0.630404463</v>
      </c>
      <c r="N1908" s="2">
        <v>3883700.0</v>
      </c>
      <c r="O1908" s="4">
        <f t="shared" si="6"/>
        <v>5416.596932</v>
      </c>
      <c r="P1908" s="2">
        <v>0.0</v>
      </c>
      <c r="Q1908" s="3">
        <f t="shared" si="7"/>
        <v>0</v>
      </c>
      <c r="R1908" s="2">
        <v>314.0</v>
      </c>
      <c r="S1908" s="5">
        <f t="shared" si="8"/>
        <v>0.9781931464</v>
      </c>
    </row>
    <row r="1909">
      <c r="A1909" s="2" t="s">
        <v>1920</v>
      </c>
      <c r="B1909" s="2">
        <v>181.0</v>
      </c>
      <c r="C1909" s="2">
        <v>2143.0</v>
      </c>
      <c r="D1909" s="2">
        <v>680.0</v>
      </c>
      <c r="E1909" s="3">
        <f t="shared" si="1"/>
        <v>0.3465851172</v>
      </c>
      <c r="F1909" s="2">
        <v>276.0</v>
      </c>
      <c r="G1909" s="3">
        <f t="shared" si="2"/>
        <v>0.1406727829</v>
      </c>
      <c r="H1909" s="2">
        <v>407.0</v>
      </c>
      <c r="I1909" s="3">
        <f t="shared" si="3"/>
        <v>0.2074413863</v>
      </c>
      <c r="J1909" s="2">
        <v>370.0</v>
      </c>
      <c r="K1909" s="3">
        <f t="shared" si="4"/>
        <v>0.1885830785</v>
      </c>
      <c r="L1909" s="2">
        <v>236.0</v>
      </c>
      <c r="M1909" s="3">
        <f t="shared" si="5"/>
        <v>0.5798525799</v>
      </c>
      <c r="N1909" s="2">
        <v>2521700.0</v>
      </c>
      <c r="O1909" s="4">
        <f t="shared" si="6"/>
        <v>6195.823096</v>
      </c>
      <c r="P1909" s="2">
        <v>3.0</v>
      </c>
      <c r="Q1909" s="3">
        <f t="shared" si="7"/>
        <v>0.01657458564</v>
      </c>
      <c r="R1909" s="2">
        <v>181.0</v>
      </c>
      <c r="S1909" s="5">
        <f t="shared" si="8"/>
        <v>1</v>
      </c>
    </row>
    <row r="1910">
      <c r="A1910" s="2" t="s">
        <v>1921</v>
      </c>
      <c r="B1910" s="2">
        <v>67.0</v>
      </c>
      <c r="C1910" s="2">
        <v>778.0</v>
      </c>
      <c r="D1910" s="2">
        <v>285.0</v>
      </c>
      <c r="E1910" s="3">
        <f t="shared" si="1"/>
        <v>0.4008438819</v>
      </c>
      <c r="F1910" s="2">
        <v>100.0</v>
      </c>
      <c r="G1910" s="3">
        <f t="shared" si="2"/>
        <v>0.1406469761</v>
      </c>
      <c r="H1910" s="2">
        <v>149.0</v>
      </c>
      <c r="I1910" s="3">
        <f t="shared" si="3"/>
        <v>0.2095639944</v>
      </c>
      <c r="J1910" s="2">
        <v>119.0</v>
      </c>
      <c r="K1910" s="3">
        <f t="shared" si="4"/>
        <v>0.1673699015</v>
      </c>
      <c r="L1910" s="2">
        <v>98.0</v>
      </c>
      <c r="M1910" s="3">
        <f t="shared" si="5"/>
        <v>0.6577181208</v>
      </c>
      <c r="N1910" s="2">
        <v>818500.0</v>
      </c>
      <c r="O1910" s="4">
        <f t="shared" si="6"/>
        <v>5493.288591</v>
      </c>
      <c r="P1910" s="2">
        <v>0.0</v>
      </c>
      <c r="Q1910" s="3">
        <f t="shared" si="7"/>
        <v>0</v>
      </c>
      <c r="R1910" s="2">
        <v>67.0</v>
      </c>
      <c r="S1910" s="5">
        <f t="shared" si="8"/>
        <v>1</v>
      </c>
    </row>
    <row r="1911">
      <c r="A1911" s="2" t="s">
        <v>1922</v>
      </c>
      <c r="B1911" s="2">
        <v>650.0</v>
      </c>
      <c r="C1911" s="2">
        <v>7782.0</v>
      </c>
      <c r="D1911" s="2">
        <v>2603.0</v>
      </c>
      <c r="E1911" s="3">
        <f t="shared" si="1"/>
        <v>0.3649747616</v>
      </c>
      <c r="F1911" s="2">
        <v>1003.0</v>
      </c>
      <c r="G1911" s="3">
        <f t="shared" si="2"/>
        <v>0.1406337633</v>
      </c>
      <c r="H1911" s="2">
        <v>1571.0</v>
      </c>
      <c r="I1911" s="3">
        <f t="shared" si="3"/>
        <v>0.2202748177</v>
      </c>
      <c r="J1911" s="2">
        <v>1229.0</v>
      </c>
      <c r="K1911" s="3">
        <f t="shared" si="4"/>
        <v>0.1723219293</v>
      </c>
      <c r="L1911" s="2">
        <v>946.0</v>
      </c>
      <c r="M1911" s="3">
        <f t="shared" si="5"/>
        <v>0.6021642266</v>
      </c>
      <c r="N1911" s="2">
        <v>8670900.0</v>
      </c>
      <c r="O1911" s="4">
        <f t="shared" si="6"/>
        <v>5519.350732</v>
      </c>
      <c r="P1911" s="2">
        <v>0.0</v>
      </c>
      <c r="Q1911" s="3">
        <f t="shared" si="7"/>
        <v>0</v>
      </c>
      <c r="R1911" s="2">
        <v>650.0</v>
      </c>
      <c r="S1911" s="5">
        <f t="shared" si="8"/>
        <v>1</v>
      </c>
    </row>
    <row r="1912">
      <c r="A1912" s="2" t="s">
        <v>1923</v>
      </c>
      <c r="B1912" s="2">
        <v>104.0</v>
      </c>
      <c r="C1912" s="2">
        <v>1192.0</v>
      </c>
      <c r="D1912" s="2">
        <v>372.0</v>
      </c>
      <c r="E1912" s="3">
        <f t="shared" si="1"/>
        <v>0.3419117647</v>
      </c>
      <c r="F1912" s="2">
        <v>153.0</v>
      </c>
      <c r="G1912" s="3">
        <f t="shared" si="2"/>
        <v>0.140625</v>
      </c>
      <c r="H1912" s="2">
        <v>226.0</v>
      </c>
      <c r="I1912" s="3">
        <f t="shared" si="3"/>
        <v>0.2077205882</v>
      </c>
      <c r="J1912" s="2">
        <v>199.0</v>
      </c>
      <c r="K1912" s="3">
        <f t="shared" si="4"/>
        <v>0.1829044118</v>
      </c>
      <c r="L1912" s="2">
        <v>138.0</v>
      </c>
      <c r="M1912" s="3">
        <f t="shared" si="5"/>
        <v>0.610619469</v>
      </c>
      <c r="N1912" s="2">
        <v>1369300.0</v>
      </c>
      <c r="O1912" s="4">
        <f t="shared" si="6"/>
        <v>6058.849558</v>
      </c>
      <c r="P1912" s="2">
        <v>0.0</v>
      </c>
      <c r="Q1912" s="3">
        <f t="shared" si="7"/>
        <v>0</v>
      </c>
      <c r="R1912" s="2">
        <v>104.0</v>
      </c>
      <c r="S1912" s="5">
        <f t="shared" si="8"/>
        <v>1</v>
      </c>
    </row>
    <row r="1913">
      <c r="A1913" s="2" t="s">
        <v>1924</v>
      </c>
      <c r="B1913" s="2">
        <v>132.0</v>
      </c>
      <c r="C1913" s="2">
        <v>1540.0</v>
      </c>
      <c r="D1913" s="2">
        <v>490.0</v>
      </c>
      <c r="E1913" s="3">
        <f t="shared" si="1"/>
        <v>0.3480113636</v>
      </c>
      <c r="F1913" s="2">
        <v>198.0</v>
      </c>
      <c r="G1913" s="3">
        <f t="shared" si="2"/>
        <v>0.140625</v>
      </c>
      <c r="H1913" s="2">
        <v>267.0</v>
      </c>
      <c r="I1913" s="3">
        <f t="shared" si="3"/>
        <v>0.1896306818</v>
      </c>
      <c r="J1913" s="2">
        <v>254.0</v>
      </c>
      <c r="K1913" s="3">
        <f t="shared" si="4"/>
        <v>0.1803977273</v>
      </c>
      <c r="L1913" s="2">
        <v>162.0</v>
      </c>
      <c r="M1913" s="3">
        <f t="shared" si="5"/>
        <v>0.606741573</v>
      </c>
      <c r="N1913" s="2">
        <v>1498500.0</v>
      </c>
      <c r="O1913" s="4">
        <f t="shared" si="6"/>
        <v>5612.359551</v>
      </c>
      <c r="P1913" s="2">
        <v>0.0</v>
      </c>
      <c r="Q1913" s="3">
        <f t="shared" si="7"/>
        <v>0</v>
      </c>
      <c r="R1913" s="2">
        <v>132.0</v>
      </c>
      <c r="S1913" s="5">
        <f t="shared" si="8"/>
        <v>1</v>
      </c>
    </row>
    <row r="1914">
      <c r="A1914" s="2" t="s">
        <v>1925</v>
      </c>
      <c r="B1914" s="2">
        <v>173.0</v>
      </c>
      <c r="C1914" s="2">
        <v>2022.0</v>
      </c>
      <c r="D1914" s="2">
        <v>651.0</v>
      </c>
      <c r="E1914" s="3">
        <f t="shared" si="1"/>
        <v>0.3520822066</v>
      </c>
      <c r="F1914" s="2">
        <v>260.0</v>
      </c>
      <c r="G1914" s="3">
        <f t="shared" si="2"/>
        <v>0.1406165495</v>
      </c>
      <c r="H1914" s="2">
        <v>434.0</v>
      </c>
      <c r="I1914" s="3">
        <f t="shared" si="3"/>
        <v>0.2347214711</v>
      </c>
      <c r="J1914" s="2">
        <v>315.0</v>
      </c>
      <c r="K1914" s="3">
        <f t="shared" si="4"/>
        <v>0.170362358</v>
      </c>
      <c r="L1914" s="2">
        <v>264.0</v>
      </c>
      <c r="M1914" s="3">
        <f t="shared" si="5"/>
        <v>0.6082949309</v>
      </c>
      <c r="N1914" s="2">
        <v>2291300.0</v>
      </c>
      <c r="O1914" s="4">
        <f t="shared" si="6"/>
        <v>5279.493088</v>
      </c>
      <c r="P1914" s="2">
        <v>0.0</v>
      </c>
      <c r="Q1914" s="3">
        <f t="shared" si="7"/>
        <v>0</v>
      </c>
      <c r="R1914" s="2">
        <v>173.0</v>
      </c>
      <c r="S1914" s="5">
        <f t="shared" si="8"/>
        <v>1</v>
      </c>
    </row>
    <row r="1915">
      <c r="A1915" s="2" t="s">
        <v>1926</v>
      </c>
      <c r="B1915" s="2">
        <v>1943.0</v>
      </c>
      <c r="C1915" s="2">
        <v>22824.0</v>
      </c>
      <c r="D1915" s="2">
        <v>8838.0</v>
      </c>
      <c r="E1915" s="3">
        <f t="shared" si="1"/>
        <v>0.4232555912</v>
      </c>
      <c r="F1915" s="2">
        <v>2936.0</v>
      </c>
      <c r="G1915" s="3">
        <f t="shared" si="2"/>
        <v>0.1406062928</v>
      </c>
      <c r="H1915" s="2">
        <v>4645.0</v>
      </c>
      <c r="I1915" s="3">
        <f t="shared" si="3"/>
        <v>0.222451032</v>
      </c>
      <c r="J1915" s="2">
        <v>3090.0</v>
      </c>
      <c r="K1915" s="3">
        <f t="shared" si="4"/>
        <v>0.1479814185</v>
      </c>
      <c r="L1915" s="2">
        <v>2808.0</v>
      </c>
      <c r="M1915" s="3">
        <f t="shared" si="5"/>
        <v>0.6045209903</v>
      </c>
      <c r="N1915" s="2">
        <v>2.53778E7</v>
      </c>
      <c r="O1915" s="4">
        <f t="shared" si="6"/>
        <v>5463.466093</v>
      </c>
      <c r="P1915" s="2">
        <v>4.0</v>
      </c>
      <c r="Q1915" s="3">
        <f t="shared" si="7"/>
        <v>0.002058672156</v>
      </c>
      <c r="R1915" s="2">
        <v>1943.0</v>
      </c>
      <c r="S1915" s="5">
        <f t="shared" si="8"/>
        <v>1</v>
      </c>
    </row>
    <row r="1916">
      <c r="A1916" s="2" t="s">
        <v>1927</v>
      </c>
      <c r="B1916" s="2">
        <v>408.0</v>
      </c>
      <c r="C1916" s="2">
        <v>4839.0</v>
      </c>
      <c r="D1916" s="2">
        <v>1672.0</v>
      </c>
      <c r="E1916" s="3">
        <f t="shared" si="1"/>
        <v>0.3773414579</v>
      </c>
      <c r="F1916" s="2">
        <v>623.0</v>
      </c>
      <c r="G1916" s="3">
        <f t="shared" si="2"/>
        <v>0.140600316</v>
      </c>
      <c r="H1916" s="2">
        <v>947.0</v>
      </c>
      <c r="I1916" s="3">
        <f t="shared" si="3"/>
        <v>0.2137215076</v>
      </c>
      <c r="J1916" s="2">
        <v>793.0</v>
      </c>
      <c r="K1916" s="3">
        <f t="shared" si="4"/>
        <v>0.1789663733</v>
      </c>
      <c r="L1916" s="2">
        <v>548.0</v>
      </c>
      <c r="M1916" s="3">
        <f t="shared" si="5"/>
        <v>0.5786694826</v>
      </c>
      <c r="N1916" s="2">
        <v>4850600.0</v>
      </c>
      <c r="O1916" s="4">
        <f t="shared" si="6"/>
        <v>5122.069694</v>
      </c>
      <c r="P1916" s="2">
        <v>0.0</v>
      </c>
      <c r="Q1916" s="3">
        <f t="shared" si="7"/>
        <v>0</v>
      </c>
      <c r="R1916" s="2">
        <v>408.0</v>
      </c>
      <c r="S1916" s="5">
        <f t="shared" si="8"/>
        <v>1</v>
      </c>
    </row>
    <row r="1917">
      <c r="A1917" s="2" t="s">
        <v>1928</v>
      </c>
      <c r="B1917" s="2">
        <v>601.0</v>
      </c>
      <c r="C1917" s="2">
        <v>7038.0</v>
      </c>
      <c r="D1917" s="2">
        <v>1943.0</v>
      </c>
      <c r="E1917" s="3">
        <f t="shared" si="1"/>
        <v>0.3018486873</v>
      </c>
      <c r="F1917" s="2">
        <v>905.0</v>
      </c>
      <c r="G1917" s="3">
        <f t="shared" si="2"/>
        <v>0.1405934442</v>
      </c>
      <c r="H1917" s="2">
        <v>1234.0</v>
      </c>
      <c r="I1917" s="3">
        <f t="shared" si="3"/>
        <v>0.19170421</v>
      </c>
      <c r="J1917" s="2">
        <v>918.0</v>
      </c>
      <c r="K1917" s="3">
        <f t="shared" si="4"/>
        <v>0.1426130185</v>
      </c>
      <c r="L1917" s="2">
        <v>734.0</v>
      </c>
      <c r="M1917" s="3">
        <f t="shared" si="5"/>
        <v>0.5948136143</v>
      </c>
      <c r="N1917" s="2">
        <v>7089500.0</v>
      </c>
      <c r="O1917" s="4">
        <f t="shared" si="6"/>
        <v>5745.137763</v>
      </c>
      <c r="P1917" s="2">
        <v>3.0</v>
      </c>
      <c r="Q1917" s="3">
        <f t="shared" si="7"/>
        <v>0.004991680532</v>
      </c>
      <c r="R1917" s="2">
        <v>601.0</v>
      </c>
      <c r="S1917" s="5">
        <f t="shared" si="8"/>
        <v>1</v>
      </c>
    </row>
    <row r="1918">
      <c r="A1918" s="2" t="s">
        <v>1929</v>
      </c>
      <c r="B1918" s="2">
        <v>186.0</v>
      </c>
      <c r="C1918" s="2">
        <v>2142.0</v>
      </c>
      <c r="D1918" s="2">
        <v>811.0</v>
      </c>
      <c r="E1918" s="3">
        <f t="shared" si="1"/>
        <v>0.4146216769</v>
      </c>
      <c r="F1918" s="2">
        <v>275.0</v>
      </c>
      <c r="G1918" s="3">
        <f t="shared" si="2"/>
        <v>0.140593047</v>
      </c>
      <c r="H1918" s="2">
        <v>414.0</v>
      </c>
      <c r="I1918" s="3">
        <f t="shared" si="3"/>
        <v>0.2116564417</v>
      </c>
      <c r="J1918" s="2">
        <v>310.0</v>
      </c>
      <c r="K1918" s="3">
        <f t="shared" si="4"/>
        <v>0.1584867076</v>
      </c>
      <c r="L1918" s="2">
        <v>243.0</v>
      </c>
      <c r="M1918" s="3">
        <f t="shared" si="5"/>
        <v>0.5869565217</v>
      </c>
      <c r="N1918" s="2">
        <v>2099200.0</v>
      </c>
      <c r="O1918" s="4">
        <f t="shared" si="6"/>
        <v>5070.531401</v>
      </c>
      <c r="P1918" s="2">
        <v>0.0</v>
      </c>
      <c r="Q1918" s="3">
        <f t="shared" si="7"/>
        <v>0</v>
      </c>
      <c r="R1918" s="2">
        <v>186.0</v>
      </c>
      <c r="S1918" s="5">
        <f t="shared" si="8"/>
        <v>1</v>
      </c>
    </row>
    <row r="1919">
      <c r="A1919" s="2" t="s">
        <v>1930</v>
      </c>
      <c r="B1919" s="2">
        <v>455.0</v>
      </c>
      <c r="C1919" s="2">
        <v>5249.0</v>
      </c>
      <c r="D1919" s="2">
        <v>1907.0</v>
      </c>
      <c r="E1919" s="3">
        <f t="shared" si="1"/>
        <v>0.3977889028</v>
      </c>
      <c r="F1919" s="2">
        <v>674.0</v>
      </c>
      <c r="G1919" s="3">
        <f t="shared" si="2"/>
        <v>0.1405924072</v>
      </c>
      <c r="H1919" s="2">
        <v>1047.0</v>
      </c>
      <c r="I1919" s="3">
        <f t="shared" si="3"/>
        <v>0.2183979975</v>
      </c>
      <c r="J1919" s="2">
        <v>822.0</v>
      </c>
      <c r="K1919" s="3">
        <f t="shared" si="4"/>
        <v>0.1714643304</v>
      </c>
      <c r="L1919" s="2">
        <v>653.0</v>
      </c>
      <c r="M1919" s="3">
        <f t="shared" si="5"/>
        <v>0.623686724</v>
      </c>
      <c r="N1919" s="2">
        <v>5710400.0</v>
      </c>
      <c r="O1919" s="4">
        <f t="shared" si="6"/>
        <v>5454.059217</v>
      </c>
      <c r="P1919" s="2">
        <v>1.0</v>
      </c>
      <c r="Q1919" s="3">
        <f t="shared" si="7"/>
        <v>0.002197802198</v>
      </c>
      <c r="R1919" s="2">
        <v>455.0</v>
      </c>
      <c r="S1919" s="5">
        <f t="shared" si="8"/>
        <v>1</v>
      </c>
    </row>
    <row r="1920">
      <c r="A1920" s="2" t="s">
        <v>1931</v>
      </c>
      <c r="B1920" s="2">
        <v>336.0</v>
      </c>
      <c r="C1920" s="2">
        <v>3864.0</v>
      </c>
      <c r="D1920" s="2">
        <v>1546.0</v>
      </c>
      <c r="E1920" s="3">
        <f t="shared" si="1"/>
        <v>0.4382086168</v>
      </c>
      <c r="F1920" s="2">
        <v>496.0</v>
      </c>
      <c r="G1920" s="3">
        <f t="shared" si="2"/>
        <v>0.1405895692</v>
      </c>
      <c r="H1920" s="2">
        <v>813.0</v>
      </c>
      <c r="I1920" s="3">
        <f t="shared" si="3"/>
        <v>0.2304421769</v>
      </c>
      <c r="J1920" s="2">
        <v>666.0</v>
      </c>
      <c r="K1920" s="3">
        <f t="shared" si="4"/>
        <v>0.1887755102</v>
      </c>
      <c r="L1920" s="2">
        <v>467.0</v>
      </c>
      <c r="M1920" s="3">
        <f t="shared" si="5"/>
        <v>0.5744157442</v>
      </c>
      <c r="N1920" s="2">
        <v>4404000.0</v>
      </c>
      <c r="O1920" s="4">
        <f t="shared" si="6"/>
        <v>5416.97417</v>
      </c>
      <c r="P1920" s="2">
        <v>0.0</v>
      </c>
      <c r="Q1920" s="3">
        <f t="shared" si="7"/>
        <v>0</v>
      </c>
      <c r="R1920" s="2">
        <v>336.0</v>
      </c>
      <c r="S1920" s="5">
        <f t="shared" si="8"/>
        <v>1</v>
      </c>
    </row>
    <row r="1921">
      <c r="A1921" s="2" t="s">
        <v>1932</v>
      </c>
      <c r="B1921" s="2">
        <v>1936.0</v>
      </c>
      <c r="C1921" s="2">
        <v>22479.0</v>
      </c>
      <c r="D1921" s="2">
        <v>7048.0</v>
      </c>
      <c r="E1921" s="3">
        <f t="shared" si="1"/>
        <v>0.3430852358</v>
      </c>
      <c r="F1921" s="2">
        <v>2888.0</v>
      </c>
      <c r="G1921" s="3">
        <f t="shared" si="2"/>
        <v>0.140583167</v>
      </c>
      <c r="H1921" s="2">
        <v>4342.0</v>
      </c>
      <c r="I1921" s="3">
        <f t="shared" si="3"/>
        <v>0.2113615343</v>
      </c>
      <c r="J1921" s="2">
        <v>3965.0</v>
      </c>
      <c r="K1921" s="3">
        <f t="shared" si="4"/>
        <v>0.1930097844</v>
      </c>
      <c r="L1921" s="2">
        <v>2575.0</v>
      </c>
      <c r="M1921" s="3">
        <f t="shared" si="5"/>
        <v>0.5930446799</v>
      </c>
      <c r="N1921" s="2">
        <v>2.62345E7</v>
      </c>
      <c r="O1921" s="4">
        <f t="shared" si="6"/>
        <v>6042.031322</v>
      </c>
      <c r="P1921" s="2">
        <v>4.0</v>
      </c>
      <c r="Q1921" s="3">
        <f t="shared" si="7"/>
        <v>0.002066115702</v>
      </c>
      <c r="R1921" s="2">
        <v>1936.0</v>
      </c>
      <c r="S1921" s="5">
        <f t="shared" si="8"/>
        <v>1</v>
      </c>
    </row>
    <row r="1922">
      <c r="A1922" s="2" t="s">
        <v>1933</v>
      </c>
      <c r="B1922" s="2">
        <v>165.0</v>
      </c>
      <c r="C1922" s="2">
        <v>1972.0</v>
      </c>
      <c r="D1922" s="2">
        <v>643.0</v>
      </c>
      <c r="E1922" s="3">
        <f t="shared" si="1"/>
        <v>0.3558384062</v>
      </c>
      <c r="F1922" s="2">
        <v>254.0</v>
      </c>
      <c r="G1922" s="3">
        <f t="shared" si="2"/>
        <v>0.1405644715</v>
      </c>
      <c r="H1922" s="2">
        <v>377.0</v>
      </c>
      <c r="I1922" s="3">
        <f t="shared" si="3"/>
        <v>0.2086330935</v>
      </c>
      <c r="J1922" s="2">
        <v>292.0</v>
      </c>
      <c r="K1922" s="3">
        <f t="shared" si="4"/>
        <v>0.1615938019</v>
      </c>
      <c r="L1922" s="2">
        <v>231.0</v>
      </c>
      <c r="M1922" s="3">
        <f t="shared" si="5"/>
        <v>0.6127320955</v>
      </c>
      <c r="N1922" s="2">
        <v>1959000.0</v>
      </c>
      <c r="O1922" s="4">
        <f t="shared" si="6"/>
        <v>5196.286472</v>
      </c>
      <c r="P1922" s="2">
        <v>0.0</v>
      </c>
      <c r="Q1922" s="3">
        <f t="shared" si="7"/>
        <v>0</v>
      </c>
      <c r="R1922" s="2">
        <v>165.0</v>
      </c>
      <c r="S1922" s="5">
        <f t="shared" si="8"/>
        <v>1</v>
      </c>
    </row>
    <row r="1923">
      <c r="A1923" s="2" t="s">
        <v>1934</v>
      </c>
      <c r="B1923" s="2">
        <v>94.0</v>
      </c>
      <c r="C1923" s="2">
        <v>1090.0</v>
      </c>
      <c r="D1923" s="2">
        <v>341.0</v>
      </c>
      <c r="E1923" s="3">
        <f t="shared" si="1"/>
        <v>0.3423694779</v>
      </c>
      <c r="F1923" s="2">
        <v>140.0</v>
      </c>
      <c r="G1923" s="3">
        <f t="shared" si="2"/>
        <v>0.140562249</v>
      </c>
      <c r="H1923" s="2">
        <v>193.0</v>
      </c>
      <c r="I1923" s="3">
        <f t="shared" si="3"/>
        <v>0.1937751004</v>
      </c>
      <c r="J1923" s="2">
        <v>167.0</v>
      </c>
      <c r="K1923" s="3">
        <f t="shared" si="4"/>
        <v>0.1676706827</v>
      </c>
      <c r="L1923" s="2">
        <v>127.0</v>
      </c>
      <c r="M1923" s="3">
        <f t="shared" si="5"/>
        <v>0.6580310881</v>
      </c>
      <c r="N1923" s="2">
        <v>1103900.0</v>
      </c>
      <c r="O1923" s="4">
        <f t="shared" si="6"/>
        <v>5719.689119</v>
      </c>
      <c r="P1923" s="2">
        <v>0.0</v>
      </c>
      <c r="Q1923" s="3">
        <f t="shared" si="7"/>
        <v>0</v>
      </c>
      <c r="R1923" s="2">
        <v>94.0</v>
      </c>
      <c r="S1923" s="5">
        <f t="shared" si="8"/>
        <v>1</v>
      </c>
    </row>
    <row r="1924">
      <c r="A1924" s="2" t="s">
        <v>1935</v>
      </c>
      <c r="B1924" s="2">
        <v>80.0</v>
      </c>
      <c r="C1924" s="2">
        <v>948.0</v>
      </c>
      <c r="D1924" s="2">
        <v>338.0</v>
      </c>
      <c r="E1924" s="3">
        <f t="shared" si="1"/>
        <v>0.3894009217</v>
      </c>
      <c r="F1924" s="2">
        <v>122.0</v>
      </c>
      <c r="G1924" s="3">
        <f t="shared" si="2"/>
        <v>0.1405529954</v>
      </c>
      <c r="H1924" s="2">
        <v>203.0</v>
      </c>
      <c r="I1924" s="3">
        <f t="shared" si="3"/>
        <v>0.2338709677</v>
      </c>
      <c r="J1924" s="2">
        <v>148.0</v>
      </c>
      <c r="K1924" s="3">
        <f t="shared" si="4"/>
        <v>0.1705069124</v>
      </c>
      <c r="L1924" s="2">
        <v>142.0</v>
      </c>
      <c r="M1924" s="3">
        <f t="shared" si="5"/>
        <v>0.6995073892</v>
      </c>
      <c r="N1924" s="2">
        <v>1101600.0</v>
      </c>
      <c r="O1924" s="4">
        <f t="shared" si="6"/>
        <v>5426.600985</v>
      </c>
      <c r="P1924" s="2">
        <v>0.0</v>
      </c>
      <c r="Q1924" s="3">
        <f t="shared" si="7"/>
        <v>0</v>
      </c>
      <c r="R1924" s="2">
        <v>80.0</v>
      </c>
      <c r="S1924" s="5">
        <f t="shared" si="8"/>
        <v>1</v>
      </c>
    </row>
    <row r="1925">
      <c r="A1925" s="2" t="s">
        <v>1936</v>
      </c>
      <c r="B1925" s="2">
        <v>179.0</v>
      </c>
      <c r="C1925" s="2">
        <v>2100.0</v>
      </c>
      <c r="D1925" s="2">
        <v>846.0</v>
      </c>
      <c r="E1925" s="3">
        <f t="shared" si="1"/>
        <v>0.4403956273</v>
      </c>
      <c r="F1925" s="2">
        <v>270.0</v>
      </c>
      <c r="G1925" s="3">
        <f t="shared" si="2"/>
        <v>0.1405517959</v>
      </c>
      <c r="H1925" s="2">
        <v>427.0</v>
      </c>
      <c r="I1925" s="3">
        <f t="shared" si="3"/>
        <v>0.2222800625</v>
      </c>
      <c r="J1925" s="2">
        <v>251.0</v>
      </c>
      <c r="K1925" s="3">
        <f t="shared" si="4"/>
        <v>0.130661114</v>
      </c>
      <c r="L1925" s="2">
        <v>258.0</v>
      </c>
      <c r="M1925" s="3">
        <f t="shared" si="5"/>
        <v>0.6042154567</v>
      </c>
      <c r="N1925" s="2">
        <v>2089700.0</v>
      </c>
      <c r="O1925" s="4">
        <f t="shared" si="6"/>
        <v>4893.911007</v>
      </c>
      <c r="P1925" s="2">
        <v>1.0</v>
      </c>
      <c r="Q1925" s="3">
        <f t="shared" si="7"/>
        <v>0.005586592179</v>
      </c>
      <c r="R1925" s="2">
        <v>179.0</v>
      </c>
      <c r="S1925" s="5">
        <f t="shared" si="8"/>
        <v>1</v>
      </c>
    </row>
    <row r="1926">
      <c r="A1926" s="2" t="s">
        <v>1937</v>
      </c>
      <c r="B1926" s="2">
        <v>16.0</v>
      </c>
      <c r="C1926" s="2">
        <v>201.0</v>
      </c>
      <c r="D1926" s="2">
        <v>52.0</v>
      </c>
      <c r="E1926" s="3">
        <f t="shared" si="1"/>
        <v>0.2810810811</v>
      </c>
      <c r="F1926" s="2">
        <v>26.0</v>
      </c>
      <c r="G1926" s="3">
        <f t="shared" si="2"/>
        <v>0.1405405405</v>
      </c>
      <c r="H1926" s="2">
        <v>30.0</v>
      </c>
      <c r="I1926" s="3">
        <f t="shared" si="3"/>
        <v>0.1621621622</v>
      </c>
      <c r="J1926" s="2">
        <v>48.0</v>
      </c>
      <c r="K1926" s="3">
        <f t="shared" si="4"/>
        <v>0.2594594595</v>
      </c>
      <c r="L1926" s="2">
        <v>17.0</v>
      </c>
      <c r="M1926" s="3">
        <f t="shared" si="5"/>
        <v>0.5666666667</v>
      </c>
      <c r="N1926" s="2">
        <v>164500.0</v>
      </c>
      <c r="O1926" s="4">
        <f t="shared" si="6"/>
        <v>5483.333333</v>
      </c>
      <c r="P1926" s="2">
        <v>0.0</v>
      </c>
      <c r="Q1926" s="3">
        <f t="shared" si="7"/>
        <v>0</v>
      </c>
      <c r="R1926" s="2">
        <v>11.0</v>
      </c>
      <c r="S1926" s="5">
        <f t="shared" si="8"/>
        <v>0.6875</v>
      </c>
    </row>
    <row r="1927">
      <c r="A1927" s="2" t="s">
        <v>1938</v>
      </c>
      <c r="B1927" s="2">
        <v>506.0</v>
      </c>
      <c r="C1927" s="2">
        <v>5928.0</v>
      </c>
      <c r="D1927" s="2">
        <v>1688.0</v>
      </c>
      <c r="E1927" s="3">
        <f t="shared" si="1"/>
        <v>0.3113242346</v>
      </c>
      <c r="F1927" s="2">
        <v>762.0</v>
      </c>
      <c r="G1927" s="3">
        <f t="shared" si="2"/>
        <v>0.1405385467</v>
      </c>
      <c r="H1927" s="2">
        <v>1128.0</v>
      </c>
      <c r="I1927" s="3">
        <f t="shared" si="3"/>
        <v>0.2080413132</v>
      </c>
      <c r="J1927" s="2">
        <v>964.0</v>
      </c>
      <c r="K1927" s="3">
        <f t="shared" si="4"/>
        <v>0.1777941719</v>
      </c>
      <c r="L1927" s="2">
        <v>645.0</v>
      </c>
      <c r="M1927" s="3">
        <f t="shared" si="5"/>
        <v>0.5718085106</v>
      </c>
      <c r="N1927" s="2">
        <v>6294600.0</v>
      </c>
      <c r="O1927" s="4">
        <f t="shared" si="6"/>
        <v>5580.319149</v>
      </c>
      <c r="P1927" s="2">
        <v>1.0</v>
      </c>
      <c r="Q1927" s="3">
        <f t="shared" si="7"/>
        <v>0.001976284585</v>
      </c>
      <c r="R1927" s="2">
        <v>0.0</v>
      </c>
      <c r="S1927" s="5">
        <f t="shared" si="8"/>
        <v>0</v>
      </c>
    </row>
    <row r="1928">
      <c r="A1928" s="2" t="s">
        <v>1939</v>
      </c>
      <c r="B1928" s="2">
        <v>391.0</v>
      </c>
      <c r="C1928" s="2">
        <v>4561.0</v>
      </c>
      <c r="D1928" s="2">
        <v>1679.0</v>
      </c>
      <c r="E1928" s="3">
        <f t="shared" si="1"/>
        <v>0.4026378897</v>
      </c>
      <c r="F1928" s="2">
        <v>586.0</v>
      </c>
      <c r="G1928" s="3">
        <f t="shared" si="2"/>
        <v>0.1405275779</v>
      </c>
      <c r="H1928" s="2">
        <v>868.0</v>
      </c>
      <c r="I1928" s="3">
        <f t="shared" si="3"/>
        <v>0.2081534772</v>
      </c>
      <c r="J1928" s="2">
        <v>683.0</v>
      </c>
      <c r="K1928" s="3">
        <f t="shared" si="4"/>
        <v>0.1637889688</v>
      </c>
      <c r="L1928" s="2">
        <v>517.0</v>
      </c>
      <c r="M1928" s="3">
        <f t="shared" si="5"/>
        <v>0.5956221198</v>
      </c>
      <c r="N1928" s="2">
        <v>5097500.0</v>
      </c>
      <c r="O1928" s="4">
        <f t="shared" si="6"/>
        <v>5872.695853</v>
      </c>
      <c r="P1928" s="2">
        <v>0.0</v>
      </c>
      <c r="Q1928" s="3">
        <f t="shared" si="7"/>
        <v>0</v>
      </c>
      <c r="R1928" s="2">
        <v>391.0</v>
      </c>
      <c r="S1928" s="5">
        <f t="shared" si="8"/>
        <v>1</v>
      </c>
    </row>
    <row r="1929">
      <c r="A1929" s="2" t="s">
        <v>1940</v>
      </c>
      <c r="B1929" s="2">
        <v>82.0</v>
      </c>
      <c r="C1929" s="2">
        <v>936.0</v>
      </c>
      <c r="D1929" s="2">
        <v>256.0</v>
      </c>
      <c r="E1929" s="3">
        <f t="shared" si="1"/>
        <v>0.299765808</v>
      </c>
      <c r="F1929" s="2">
        <v>120.0</v>
      </c>
      <c r="G1929" s="3">
        <f t="shared" si="2"/>
        <v>0.1405152225</v>
      </c>
      <c r="H1929" s="2">
        <v>168.0</v>
      </c>
      <c r="I1929" s="3">
        <f t="shared" si="3"/>
        <v>0.1967213115</v>
      </c>
      <c r="J1929" s="2">
        <v>131.0</v>
      </c>
      <c r="K1929" s="3">
        <f t="shared" si="4"/>
        <v>0.1533957845</v>
      </c>
      <c r="L1929" s="2">
        <v>95.0</v>
      </c>
      <c r="M1929" s="3">
        <f t="shared" si="5"/>
        <v>0.5654761905</v>
      </c>
      <c r="N1929" s="2">
        <v>939100.0</v>
      </c>
      <c r="O1929" s="4">
        <f t="shared" si="6"/>
        <v>5589.880952</v>
      </c>
      <c r="P1929" s="2">
        <v>0.0</v>
      </c>
      <c r="Q1929" s="3">
        <f t="shared" si="7"/>
        <v>0</v>
      </c>
      <c r="R1929" s="2">
        <v>82.0</v>
      </c>
      <c r="S1929" s="5">
        <f t="shared" si="8"/>
        <v>1</v>
      </c>
    </row>
    <row r="1930">
      <c r="A1930" s="2" t="s">
        <v>1941</v>
      </c>
      <c r="B1930" s="2">
        <v>11.0</v>
      </c>
      <c r="C1930" s="2">
        <v>132.0</v>
      </c>
      <c r="D1930" s="2">
        <v>32.0</v>
      </c>
      <c r="E1930" s="3">
        <f t="shared" si="1"/>
        <v>0.2644628099</v>
      </c>
      <c r="F1930" s="2">
        <v>17.0</v>
      </c>
      <c r="G1930" s="3">
        <f t="shared" si="2"/>
        <v>0.1404958678</v>
      </c>
      <c r="H1930" s="2">
        <v>26.0</v>
      </c>
      <c r="I1930" s="3">
        <f t="shared" si="3"/>
        <v>0.2148760331</v>
      </c>
      <c r="J1930" s="2">
        <v>25.0</v>
      </c>
      <c r="K1930" s="3">
        <f t="shared" si="4"/>
        <v>0.2066115702</v>
      </c>
      <c r="L1930" s="2">
        <v>17.0</v>
      </c>
      <c r="M1930" s="3">
        <f t="shared" si="5"/>
        <v>0.6538461538</v>
      </c>
      <c r="N1930" s="2">
        <v>126600.0</v>
      </c>
      <c r="O1930" s="4">
        <f t="shared" si="6"/>
        <v>4869.230769</v>
      </c>
      <c r="P1930" s="2">
        <v>0.0</v>
      </c>
      <c r="Q1930" s="3">
        <f t="shared" si="7"/>
        <v>0</v>
      </c>
      <c r="R1930" s="2">
        <v>11.0</v>
      </c>
      <c r="S1930" s="5">
        <f t="shared" si="8"/>
        <v>1</v>
      </c>
    </row>
    <row r="1931">
      <c r="A1931" s="2" t="s">
        <v>1942</v>
      </c>
      <c r="B1931" s="2">
        <v>32.0</v>
      </c>
      <c r="C1931" s="2">
        <v>395.0</v>
      </c>
      <c r="D1931" s="2">
        <v>87.0</v>
      </c>
      <c r="E1931" s="3">
        <f t="shared" si="1"/>
        <v>0.2396694215</v>
      </c>
      <c r="F1931" s="2">
        <v>51.0</v>
      </c>
      <c r="G1931" s="3">
        <f t="shared" si="2"/>
        <v>0.1404958678</v>
      </c>
      <c r="H1931" s="2">
        <v>62.0</v>
      </c>
      <c r="I1931" s="3">
        <f t="shared" si="3"/>
        <v>0.1707988981</v>
      </c>
      <c r="J1931" s="2">
        <v>62.0</v>
      </c>
      <c r="K1931" s="3">
        <f t="shared" si="4"/>
        <v>0.1707988981</v>
      </c>
      <c r="L1931" s="2">
        <v>34.0</v>
      </c>
      <c r="M1931" s="3">
        <f t="shared" si="5"/>
        <v>0.5483870968</v>
      </c>
      <c r="N1931" s="2">
        <v>353700.0</v>
      </c>
      <c r="O1931" s="4">
        <f t="shared" si="6"/>
        <v>5704.83871</v>
      </c>
      <c r="P1931" s="2">
        <v>0.0</v>
      </c>
      <c r="Q1931" s="3">
        <f t="shared" si="7"/>
        <v>0</v>
      </c>
      <c r="R1931" s="2">
        <v>32.0</v>
      </c>
      <c r="S1931" s="5">
        <f t="shared" si="8"/>
        <v>1</v>
      </c>
    </row>
    <row r="1932">
      <c r="A1932" s="2" t="s">
        <v>1943</v>
      </c>
      <c r="B1932" s="2">
        <v>22.0</v>
      </c>
      <c r="C1932" s="2">
        <v>264.0</v>
      </c>
      <c r="D1932" s="2">
        <v>130.0</v>
      </c>
      <c r="E1932" s="3">
        <f t="shared" si="1"/>
        <v>0.5371900826</v>
      </c>
      <c r="F1932" s="2">
        <v>34.0</v>
      </c>
      <c r="G1932" s="3">
        <f t="shared" si="2"/>
        <v>0.1404958678</v>
      </c>
      <c r="H1932" s="2">
        <v>53.0</v>
      </c>
      <c r="I1932" s="3">
        <f t="shared" si="3"/>
        <v>0.2190082645</v>
      </c>
      <c r="J1932" s="2">
        <v>24.0</v>
      </c>
      <c r="K1932" s="3">
        <f t="shared" si="4"/>
        <v>0.09917355372</v>
      </c>
      <c r="L1932" s="2">
        <v>34.0</v>
      </c>
      <c r="M1932" s="3">
        <f t="shared" si="5"/>
        <v>0.641509434</v>
      </c>
      <c r="N1932" s="2">
        <v>296200.0</v>
      </c>
      <c r="O1932" s="4">
        <f t="shared" si="6"/>
        <v>5588.679245</v>
      </c>
      <c r="P1932" s="2">
        <v>0.0</v>
      </c>
      <c r="Q1932" s="3">
        <f t="shared" si="7"/>
        <v>0</v>
      </c>
      <c r="R1932" s="2">
        <v>0.0</v>
      </c>
      <c r="S1932" s="5">
        <f t="shared" si="8"/>
        <v>0</v>
      </c>
    </row>
    <row r="1933">
      <c r="A1933" s="2" t="s">
        <v>1944</v>
      </c>
      <c r="B1933" s="2">
        <v>271.0</v>
      </c>
      <c r="C1933" s="2">
        <v>3225.0</v>
      </c>
      <c r="D1933" s="2">
        <v>1332.0</v>
      </c>
      <c r="E1933" s="3">
        <f t="shared" si="1"/>
        <v>0.4509140149</v>
      </c>
      <c r="F1933" s="2">
        <v>415.0</v>
      </c>
      <c r="G1933" s="3">
        <f t="shared" si="2"/>
        <v>0.1404874746</v>
      </c>
      <c r="H1933" s="2">
        <v>621.0</v>
      </c>
      <c r="I1933" s="3">
        <f t="shared" si="3"/>
        <v>0.2102234259</v>
      </c>
      <c r="J1933" s="2">
        <v>378.0</v>
      </c>
      <c r="K1933" s="3">
        <f t="shared" si="4"/>
        <v>0.1279620853</v>
      </c>
      <c r="L1933" s="2">
        <v>380.0</v>
      </c>
      <c r="M1933" s="3">
        <f t="shared" si="5"/>
        <v>0.6119162641</v>
      </c>
      <c r="N1933" s="2">
        <v>3151200.0</v>
      </c>
      <c r="O1933" s="4">
        <f t="shared" si="6"/>
        <v>5074.396135</v>
      </c>
      <c r="P1933" s="2">
        <v>0.0</v>
      </c>
      <c r="Q1933" s="3">
        <f t="shared" si="7"/>
        <v>0</v>
      </c>
      <c r="R1933" s="2">
        <v>271.0</v>
      </c>
      <c r="S1933" s="5">
        <f t="shared" si="8"/>
        <v>1</v>
      </c>
    </row>
    <row r="1934">
      <c r="A1934" s="2" t="s">
        <v>1945</v>
      </c>
      <c r="B1934" s="2">
        <v>228.0</v>
      </c>
      <c r="C1934" s="2">
        <v>2570.0</v>
      </c>
      <c r="D1934" s="2">
        <v>787.0</v>
      </c>
      <c r="E1934" s="3">
        <f t="shared" si="1"/>
        <v>0.3360375747</v>
      </c>
      <c r="F1934" s="2">
        <v>329.0</v>
      </c>
      <c r="G1934" s="3">
        <f t="shared" si="2"/>
        <v>0.1404782237</v>
      </c>
      <c r="H1934" s="2">
        <v>508.0</v>
      </c>
      <c r="I1934" s="3">
        <f t="shared" si="3"/>
        <v>0.2169086251</v>
      </c>
      <c r="J1934" s="2">
        <v>490.0</v>
      </c>
      <c r="K1934" s="3">
        <f t="shared" si="4"/>
        <v>0.2092228864</v>
      </c>
      <c r="L1934" s="2">
        <v>296.0</v>
      </c>
      <c r="M1934" s="3">
        <f t="shared" si="5"/>
        <v>0.5826771654</v>
      </c>
      <c r="N1934" s="2">
        <v>2896200.0</v>
      </c>
      <c r="O1934" s="4">
        <f t="shared" si="6"/>
        <v>5701.181102</v>
      </c>
      <c r="P1934" s="2">
        <v>0.0</v>
      </c>
      <c r="Q1934" s="3">
        <f t="shared" si="7"/>
        <v>0</v>
      </c>
      <c r="R1934" s="2">
        <v>0.0</v>
      </c>
      <c r="S1934" s="5">
        <f t="shared" si="8"/>
        <v>0</v>
      </c>
    </row>
    <row r="1935">
      <c r="A1935" s="2" t="s">
        <v>1946</v>
      </c>
      <c r="B1935" s="2">
        <v>130.0</v>
      </c>
      <c r="C1935" s="2">
        <v>1511.0</v>
      </c>
      <c r="D1935" s="2">
        <v>456.0</v>
      </c>
      <c r="E1935" s="3">
        <f t="shared" si="1"/>
        <v>0.3301955105</v>
      </c>
      <c r="F1935" s="2">
        <v>194.0</v>
      </c>
      <c r="G1935" s="3">
        <f t="shared" si="2"/>
        <v>0.1404779146</v>
      </c>
      <c r="H1935" s="2">
        <v>293.0</v>
      </c>
      <c r="I1935" s="3">
        <f t="shared" si="3"/>
        <v>0.2121650978</v>
      </c>
      <c r="J1935" s="2">
        <v>260.0</v>
      </c>
      <c r="K1935" s="3">
        <f t="shared" si="4"/>
        <v>0.18826937</v>
      </c>
      <c r="L1935" s="2">
        <v>171.0</v>
      </c>
      <c r="M1935" s="3">
        <f t="shared" si="5"/>
        <v>0.5836177474</v>
      </c>
      <c r="N1935" s="2">
        <v>1677100.0</v>
      </c>
      <c r="O1935" s="4">
        <f t="shared" si="6"/>
        <v>5723.890785</v>
      </c>
      <c r="P1935" s="2">
        <v>0.0</v>
      </c>
      <c r="Q1935" s="3">
        <f t="shared" si="7"/>
        <v>0</v>
      </c>
      <c r="R1935" s="2">
        <v>130.0</v>
      </c>
      <c r="S1935" s="5">
        <f t="shared" si="8"/>
        <v>1</v>
      </c>
    </row>
    <row r="1936">
      <c r="A1936" s="2" t="s">
        <v>1947</v>
      </c>
      <c r="B1936" s="2">
        <v>52.0</v>
      </c>
      <c r="C1936" s="2">
        <v>586.0</v>
      </c>
      <c r="D1936" s="2">
        <v>141.0</v>
      </c>
      <c r="E1936" s="3">
        <f t="shared" si="1"/>
        <v>0.2640449438</v>
      </c>
      <c r="F1936" s="2">
        <v>75.0</v>
      </c>
      <c r="G1936" s="3">
        <f t="shared" si="2"/>
        <v>0.1404494382</v>
      </c>
      <c r="H1936" s="2">
        <v>100.0</v>
      </c>
      <c r="I1936" s="3">
        <f t="shared" si="3"/>
        <v>0.1872659176</v>
      </c>
      <c r="J1936" s="2">
        <v>88.0</v>
      </c>
      <c r="K1936" s="3">
        <f t="shared" si="4"/>
        <v>0.1647940075</v>
      </c>
      <c r="L1936" s="2">
        <v>50.0</v>
      </c>
      <c r="M1936" s="3">
        <f t="shared" si="5"/>
        <v>0.5</v>
      </c>
      <c r="N1936" s="2">
        <v>690100.0</v>
      </c>
      <c r="O1936" s="4">
        <f t="shared" si="6"/>
        <v>6901</v>
      </c>
      <c r="P1936" s="2">
        <v>0.0</v>
      </c>
      <c r="Q1936" s="3">
        <f t="shared" si="7"/>
        <v>0</v>
      </c>
      <c r="R1936" s="2">
        <v>52.0</v>
      </c>
      <c r="S1936" s="5">
        <f t="shared" si="8"/>
        <v>1</v>
      </c>
    </row>
    <row r="1937">
      <c r="A1937" s="2" t="s">
        <v>1948</v>
      </c>
      <c r="B1937" s="2">
        <v>153.0</v>
      </c>
      <c r="C1937" s="2">
        <v>1748.0</v>
      </c>
      <c r="D1937" s="2">
        <v>516.0</v>
      </c>
      <c r="E1937" s="3">
        <f t="shared" si="1"/>
        <v>0.3235109718</v>
      </c>
      <c r="F1937" s="2">
        <v>224.0</v>
      </c>
      <c r="G1937" s="3">
        <f t="shared" si="2"/>
        <v>0.1404388715</v>
      </c>
      <c r="H1937" s="2">
        <v>352.0</v>
      </c>
      <c r="I1937" s="3">
        <f t="shared" si="3"/>
        <v>0.2206896552</v>
      </c>
      <c r="J1937" s="2">
        <v>266.0</v>
      </c>
      <c r="K1937" s="3">
        <f t="shared" si="4"/>
        <v>0.1667711599</v>
      </c>
      <c r="L1937" s="2">
        <v>188.0</v>
      </c>
      <c r="M1937" s="3">
        <f t="shared" si="5"/>
        <v>0.5340909091</v>
      </c>
      <c r="N1937" s="2">
        <v>2065800.0</v>
      </c>
      <c r="O1937" s="4">
        <f t="shared" si="6"/>
        <v>5868.75</v>
      </c>
      <c r="P1937" s="2">
        <v>0.0</v>
      </c>
      <c r="Q1937" s="3">
        <f t="shared" si="7"/>
        <v>0</v>
      </c>
      <c r="R1937" s="2">
        <v>153.0</v>
      </c>
      <c r="S1937" s="5">
        <f t="shared" si="8"/>
        <v>1</v>
      </c>
    </row>
    <row r="1938">
      <c r="A1938" s="2" t="s">
        <v>1949</v>
      </c>
      <c r="B1938" s="2">
        <v>120.0</v>
      </c>
      <c r="C1938" s="2">
        <v>1416.0</v>
      </c>
      <c r="D1938" s="2">
        <v>508.0</v>
      </c>
      <c r="E1938" s="3">
        <f t="shared" si="1"/>
        <v>0.3919753086</v>
      </c>
      <c r="F1938" s="2">
        <v>182.0</v>
      </c>
      <c r="G1938" s="3">
        <f t="shared" si="2"/>
        <v>0.1404320988</v>
      </c>
      <c r="H1938" s="2">
        <v>273.0</v>
      </c>
      <c r="I1938" s="3">
        <f t="shared" si="3"/>
        <v>0.2106481481</v>
      </c>
      <c r="J1938" s="2">
        <v>234.0</v>
      </c>
      <c r="K1938" s="3">
        <f t="shared" si="4"/>
        <v>0.1805555556</v>
      </c>
      <c r="L1938" s="2">
        <v>173.0</v>
      </c>
      <c r="M1938" s="3">
        <f t="shared" si="5"/>
        <v>0.6336996337</v>
      </c>
      <c r="N1938" s="2">
        <v>1602300.0</v>
      </c>
      <c r="O1938" s="4">
        <f t="shared" si="6"/>
        <v>5869.230769</v>
      </c>
      <c r="P1938" s="2">
        <v>2.0</v>
      </c>
      <c r="Q1938" s="3">
        <f t="shared" si="7"/>
        <v>0.01666666667</v>
      </c>
      <c r="R1938" s="2">
        <v>120.0</v>
      </c>
      <c r="S1938" s="5">
        <f t="shared" si="8"/>
        <v>1</v>
      </c>
    </row>
    <row r="1939">
      <c r="A1939" s="2" t="s">
        <v>1950</v>
      </c>
      <c r="B1939" s="2">
        <v>135.0</v>
      </c>
      <c r="C1939" s="2">
        <v>1545.0</v>
      </c>
      <c r="D1939" s="2">
        <v>524.0</v>
      </c>
      <c r="E1939" s="3">
        <f t="shared" si="1"/>
        <v>0.3716312057</v>
      </c>
      <c r="F1939" s="2">
        <v>198.0</v>
      </c>
      <c r="G1939" s="3">
        <f t="shared" si="2"/>
        <v>0.1404255319</v>
      </c>
      <c r="H1939" s="2">
        <v>314.0</v>
      </c>
      <c r="I1939" s="3">
        <f t="shared" si="3"/>
        <v>0.2226950355</v>
      </c>
      <c r="J1939" s="2">
        <v>280.0</v>
      </c>
      <c r="K1939" s="3">
        <f t="shared" si="4"/>
        <v>0.1985815603</v>
      </c>
      <c r="L1939" s="2">
        <v>181.0</v>
      </c>
      <c r="M1939" s="3">
        <f t="shared" si="5"/>
        <v>0.576433121</v>
      </c>
      <c r="N1939" s="2">
        <v>1766900.0</v>
      </c>
      <c r="O1939" s="4">
        <f t="shared" si="6"/>
        <v>5627.070064</v>
      </c>
      <c r="P1939" s="2">
        <v>0.0</v>
      </c>
      <c r="Q1939" s="3">
        <f t="shared" si="7"/>
        <v>0</v>
      </c>
      <c r="R1939" s="2">
        <v>125.0</v>
      </c>
      <c r="S1939" s="5">
        <f t="shared" si="8"/>
        <v>0.9259259259</v>
      </c>
    </row>
    <row r="1940">
      <c r="A1940" s="2" t="s">
        <v>1951</v>
      </c>
      <c r="B1940" s="2">
        <v>43.0</v>
      </c>
      <c r="C1940" s="2">
        <v>513.0</v>
      </c>
      <c r="D1940" s="2">
        <v>174.0</v>
      </c>
      <c r="E1940" s="3">
        <f t="shared" si="1"/>
        <v>0.370212766</v>
      </c>
      <c r="F1940" s="2">
        <v>66.0</v>
      </c>
      <c r="G1940" s="3">
        <f t="shared" si="2"/>
        <v>0.1404255319</v>
      </c>
      <c r="H1940" s="2">
        <v>71.0</v>
      </c>
      <c r="I1940" s="3">
        <f t="shared" si="3"/>
        <v>0.1510638298</v>
      </c>
      <c r="J1940" s="2">
        <v>72.0</v>
      </c>
      <c r="K1940" s="3">
        <f t="shared" si="4"/>
        <v>0.1531914894</v>
      </c>
      <c r="L1940" s="2">
        <v>47.0</v>
      </c>
      <c r="M1940" s="3">
        <f t="shared" si="5"/>
        <v>0.661971831</v>
      </c>
      <c r="N1940" s="2">
        <v>412500.0</v>
      </c>
      <c r="O1940" s="4">
        <f t="shared" si="6"/>
        <v>5809.859155</v>
      </c>
      <c r="P1940" s="2">
        <v>0.0</v>
      </c>
      <c r="Q1940" s="3">
        <f t="shared" si="7"/>
        <v>0</v>
      </c>
      <c r="R1940" s="2">
        <v>17.0</v>
      </c>
      <c r="S1940" s="5">
        <f t="shared" si="8"/>
        <v>0.3953488372</v>
      </c>
    </row>
    <row r="1941">
      <c r="A1941" s="2" t="s">
        <v>1952</v>
      </c>
      <c r="B1941" s="2">
        <v>58.0</v>
      </c>
      <c r="C1941" s="2">
        <v>642.0</v>
      </c>
      <c r="D1941" s="2">
        <v>209.0</v>
      </c>
      <c r="E1941" s="3">
        <f t="shared" si="1"/>
        <v>0.3578767123</v>
      </c>
      <c r="F1941" s="2">
        <v>82.0</v>
      </c>
      <c r="G1941" s="3">
        <f t="shared" si="2"/>
        <v>0.1404109589</v>
      </c>
      <c r="H1941" s="2">
        <v>113.0</v>
      </c>
      <c r="I1941" s="3">
        <f t="shared" si="3"/>
        <v>0.1934931507</v>
      </c>
      <c r="J1941" s="2">
        <v>107.0</v>
      </c>
      <c r="K1941" s="3">
        <f t="shared" si="4"/>
        <v>0.1832191781</v>
      </c>
      <c r="L1941" s="2">
        <v>68.0</v>
      </c>
      <c r="M1941" s="3">
        <f t="shared" si="5"/>
        <v>0.6017699115</v>
      </c>
      <c r="N1941" s="2">
        <v>618100.0</v>
      </c>
      <c r="O1941" s="4">
        <f t="shared" si="6"/>
        <v>5469.911504</v>
      </c>
      <c r="P1941" s="2">
        <v>0.0</v>
      </c>
      <c r="Q1941" s="3">
        <f t="shared" si="7"/>
        <v>0</v>
      </c>
      <c r="R1941" s="2">
        <v>58.0</v>
      </c>
      <c r="S1941" s="5">
        <f t="shared" si="8"/>
        <v>1</v>
      </c>
    </row>
    <row r="1942">
      <c r="A1942" s="2" t="s">
        <v>1953</v>
      </c>
      <c r="B1942" s="2">
        <v>550.0</v>
      </c>
      <c r="C1942" s="2">
        <v>6526.0</v>
      </c>
      <c r="D1942" s="2">
        <v>2209.0</v>
      </c>
      <c r="E1942" s="3">
        <f t="shared" si="1"/>
        <v>0.3696452477</v>
      </c>
      <c r="F1942" s="2">
        <v>839.0</v>
      </c>
      <c r="G1942" s="3">
        <f t="shared" si="2"/>
        <v>0.140394913</v>
      </c>
      <c r="H1942" s="2">
        <v>1312.0</v>
      </c>
      <c r="I1942" s="3">
        <f t="shared" si="3"/>
        <v>0.2195448461</v>
      </c>
      <c r="J1942" s="2">
        <v>1010.0</v>
      </c>
      <c r="K1942" s="3">
        <f t="shared" si="4"/>
        <v>0.1690093708</v>
      </c>
      <c r="L1942" s="2">
        <v>796.0</v>
      </c>
      <c r="M1942" s="3">
        <f t="shared" si="5"/>
        <v>0.6067073171</v>
      </c>
      <c r="N1942" s="2">
        <v>7083000.0</v>
      </c>
      <c r="O1942" s="4">
        <f t="shared" si="6"/>
        <v>5398.628049</v>
      </c>
      <c r="P1942" s="2">
        <v>0.0</v>
      </c>
      <c r="Q1942" s="3">
        <f t="shared" si="7"/>
        <v>0</v>
      </c>
      <c r="R1942" s="2">
        <v>550.0</v>
      </c>
      <c r="S1942" s="5">
        <f t="shared" si="8"/>
        <v>1</v>
      </c>
    </row>
    <row r="1943">
      <c r="A1943" s="2" t="s">
        <v>1954</v>
      </c>
      <c r="B1943" s="2">
        <v>659.0</v>
      </c>
      <c r="C1943" s="2">
        <v>7711.0</v>
      </c>
      <c r="D1943" s="2">
        <v>2400.0</v>
      </c>
      <c r="E1943" s="3">
        <f t="shared" si="1"/>
        <v>0.3403289847</v>
      </c>
      <c r="F1943" s="2">
        <v>990.0</v>
      </c>
      <c r="G1943" s="3">
        <f t="shared" si="2"/>
        <v>0.1403857062</v>
      </c>
      <c r="H1943" s="2">
        <v>1503.0</v>
      </c>
      <c r="I1943" s="3">
        <f t="shared" si="3"/>
        <v>0.2131310267</v>
      </c>
      <c r="J1943" s="2">
        <v>1159.0</v>
      </c>
      <c r="K1943" s="3">
        <f t="shared" si="4"/>
        <v>0.1643505389</v>
      </c>
      <c r="L1943" s="2">
        <v>890.0</v>
      </c>
      <c r="M1943" s="3">
        <f t="shared" si="5"/>
        <v>0.5921490353</v>
      </c>
      <c r="N1943" s="2">
        <v>8319600.0</v>
      </c>
      <c r="O1943" s="4">
        <f t="shared" si="6"/>
        <v>5535.329341</v>
      </c>
      <c r="P1943" s="2">
        <v>2.0</v>
      </c>
      <c r="Q1943" s="3">
        <f t="shared" si="7"/>
        <v>0.003034901366</v>
      </c>
      <c r="R1943" s="2">
        <v>185.0</v>
      </c>
      <c r="S1943" s="5">
        <f t="shared" si="8"/>
        <v>0.2807283763</v>
      </c>
    </row>
    <row r="1944">
      <c r="A1944" s="2" t="s">
        <v>1955</v>
      </c>
      <c r="B1944" s="2">
        <v>734.0</v>
      </c>
      <c r="C1944" s="2">
        <v>8542.0</v>
      </c>
      <c r="D1944" s="2">
        <v>3034.0</v>
      </c>
      <c r="E1944" s="3">
        <f t="shared" si="1"/>
        <v>0.3885758197</v>
      </c>
      <c r="F1944" s="2">
        <v>1096.0</v>
      </c>
      <c r="G1944" s="3">
        <f t="shared" si="2"/>
        <v>0.1403688525</v>
      </c>
      <c r="H1944" s="2">
        <v>1706.0</v>
      </c>
      <c r="I1944" s="3">
        <f t="shared" si="3"/>
        <v>0.2184938525</v>
      </c>
      <c r="J1944" s="2">
        <v>1361.0</v>
      </c>
      <c r="K1944" s="3">
        <f t="shared" si="4"/>
        <v>0.1743084016</v>
      </c>
      <c r="L1944" s="2">
        <v>1018.0</v>
      </c>
      <c r="M1944" s="3">
        <f t="shared" si="5"/>
        <v>0.5967174678</v>
      </c>
      <c r="N1944" s="2">
        <v>9282100.0</v>
      </c>
      <c r="O1944" s="4">
        <f t="shared" si="6"/>
        <v>5440.855803</v>
      </c>
      <c r="P1944" s="2">
        <v>3.0</v>
      </c>
      <c r="Q1944" s="3">
        <f t="shared" si="7"/>
        <v>0.00408719346</v>
      </c>
      <c r="R1944" s="2">
        <v>734.0</v>
      </c>
      <c r="S1944" s="5">
        <f t="shared" si="8"/>
        <v>1</v>
      </c>
    </row>
    <row r="1945">
      <c r="A1945" s="2" t="s">
        <v>1956</v>
      </c>
      <c r="B1945" s="2">
        <v>658.0</v>
      </c>
      <c r="C1945" s="2">
        <v>7711.0</v>
      </c>
      <c r="D1945" s="2">
        <v>2211.0</v>
      </c>
      <c r="E1945" s="3">
        <f t="shared" si="1"/>
        <v>0.313483624</v>
      </c>
      <c r="F1945" s="2">
        <v>990.0</v>
      </c>
      <c r="G1945" s="3">
        <f t="shared" si="2"/>
        <v>0.1403658018</v>
      </c>
      <c r="H1945" s="2">
        <v>1581.0</v>
      </c>
      <c r="I1945" s="3">
        <f t="shared" si="3"/>
        <v>0.2241599319</v>
      </c>
      <c r="J1945" s="2">
        <v>1246.0</v>
      </c>
      <c r="K1945" s="3">
        <f t="shared" si="4"/>
        <v>0.1766624132</v>
      </c>
      <c r="L1945" s="2">
        <v>952.0</v>
      </c>
      <c r="M1945" s="3">
        <f t="shared" si="5"/>
        <v>0.6021505376</v>
      </c>
      <c r="N1945" s="2">
        <v>8848700.0</v>
      </c>
      <c r="O1945" s="4">
        <f t="shared" si="6"/>
        <v>5596.900696</v>
      </c>
      <c r="P1945" s="2">
        <v>1.0</v>
      </c>
      <c r="Q1945" s="3">
        <f t="shared" si="7"/>
        <v>0.001519756839</v>
      </c>
      <c r="R1945" s="2">
        <v>658.0</v>
      </c>
      <c r="S1945" s="5">
        <f t="shared" si="8"/>
        <v>1</v>
      </c>
    </row>
    <row r="1946">
      <c r="A1946" s="2" t="s">
        <v>1957</v>
      </c>
      <c r="B1946" s="2">
        <v>1969.0</v>
      </c>
      <c r="C1946" s="2">
        <v>22908.0</v>
      </c>
      <c r="D1946" s="2">
        <v>5532.0</v>
      </c>
      <c r="E1946" s="3">
        <f t="shared" si="1"/>
        <v>0.2641959979</v>
      </c>
      <c r="F1946" s="2">
        <v>2939.0</v>
      </c>
      <c r="G1946" s="3">
        <f t="shared" si="2"/>
        <v>0.1403600936</v>
      </c>
      <c r="H1946" s="2">
        <v>4335.0</v>
      </c>
      <c r="I1946" s="3">
        <f t="shared" si="3"/>
        <v>0.2070299441</v>
      </c>
      <c r="J1946" s="2">
        <v>3479.0</v>
      </c>
      <c r="K1946" s="3">
        <f t="shared" si="4"/>
        <v>0.1661492908</v>
      </c>
      <c r="L1946" s="2">
        <v>2717.0</v>
      </c>
      <c r="M1946" s="3">
        <f t="shared" si="5"/>
        <v>0.6267589389</v>
      </c>
      <c r="N1946" s="2">
        <v>2.53038E7</v>
      </c>
      <c r="O1946" s="4">
        <f t="shared" si="6"/>
        <v>5837.093426</v>
      </c>
      <c r="P1946" s="2">
        <v>3.0</v>
      </c>
      <c r="Q1946" s="3">
        <f t="shared" si="7"/>
        <v>0.001523616049</v>
      </c>
      <c r="R1946" s="2">
        <v>1969.0</v>
      </c>
      <c r="S1946" s="5">
        <f t="shared" si="8"/>
        <v>1</v>
      </c>
    </row>
    <row r="1947">
      <c r="A1947" s="2" t="s">
        <v>1958</v>
      </c>
      <c r="B1947" s="2">
        <v>1919.0</v>
      </c>
      <c r="C1947" s="2">
        <v>22424.0</v>
      </c>
      <c r="D1947" s="2">
        <v>8048.0</v>
      </c>
      <c r="E1947" s="3">
        <f t="shared" si="1"/>
        <v>0.3924896367</v>
      </c>
      <c r="F1947" s="2">
        <v>2878.0</v>
      </c>
      <c r="G1947" s="3">
        <f t="shared" si="2"/>
        <v>0.1403560107</v>
      </c>
      <c r="H1947" s="2">
        <v>4539.0</v>
      </c>
      <c r="I1947" s="3">
        <f t="shared" si="3"/>
        <v>0.2213606437</v>
      </c>
      <c r="J1947" s="2">
        <v>3422.0</v>
      </c>
      <c r="K1947" s="3">
        <f t="shared" si="4"/>
        <v>0.1668861253</v>
      </c>
      <c r="L1947" s="2">
        <v>2703.0</v>
      </c>
      <c r="M1947" s="3">
        <f t="shared" si="5"/>
        <v>0.595505618</v>
      </c>
      <c r="N1947" s="2">
        <v>2.5536E7</v>
      </c>
      <c r="O1947" s="4">
        <f t="shared" si="6"/>
        <v>5625.90879</v>
      </c>
      <c r="P1947" s="2">
        <v>9.0</v>
      </c>
      <c r="Q1947" s="3">
        <f t="shared" si="7"/>
        <v>0.004689942678</v>
      </c>
      <c r="R1947" s="2">
        <v>1919.0</v>
      </c>
      <c r="S1947" s="5">
        <f t="shared" si="8"/>
        <v>1</v>
      </c>
    </row>
    <row r="1948">
      <c r="A1948" s="2" t="s">
        <v>1959</v>
      </c>
      <c r="B1948" s="2">
        <v>231.0</v>
      </c>
      <c r="C1948" s="2">
        <v>2682.0</v>
      </c>
      <c r="D1948" s="2">
        <v>837.0</v>
      </c>
      <c r="E1948" s="3">
        <f t="shared" si="1"/>
        <v>0.3414932681</v>
      </c>
      <c r="F1948" s="2">
        <v>344.0</v>
      </c>
      <c r="G1948" s="3">
        <f t="shared" si="2"/>
        <v>0.1403508772</v>
      </c>
      <c r="H1948" s="2">
        <v>519.0</v>
      </c>
      <c r="I1948" s="3">
        <f t="shared" si="3"/>
        <v>0.211750306</v>
      </c>
      <c r="J1948" s="2">
        <v>467.0</v>
      </c>
      <c r="K1948" s="3">
        <f t="shared" si="4"/>
        <v>0.1905344757</v>
      </c>
      <c r="L1948" s="2">
        <v>319.0</v>
      </c>
      <c r="M1948" s="3">
        <f t="shared" si="5"/>
        <v>0.6146435453</v>
      </c>
      <c r="N1948" s="2">
        <v>2790500.0</v>
      </c>
      <c r="O1948" s="4">
        <f t="shared" si="6"/>
        <v>5376.685934</v>
      </c>
      <c r="P1948" s="2">
        <v>1.0</v>
      </c>
      <c r="Q1948" s="3">
        <f t="shared" si="7"/>
        <v>0.004329004329</v>
      </c>
      <c r="R1948" s="2">
        <v>231.0</v>
      </c>
      <c r="S1948" s="5">
        <f t="shared" si="8"/>
        <v>1</v>
      </c>
    </row>
    <row r="1949">
      <c r="A1949" s="2" t="s">
        <v>1960</v>
      </c>
      <c r="B1949" s="2">
        <v>55.0</v>
      </c>
      <c r="C1949" s="2">
        <v>625.0</v>
      </c>
      <c r="D1949" s="2">
        <v>218.0</v>
      </c>
      <c r="E1949" s="3">
        <f t="shared" si="1"/>
        <v>0.3824561404</v>
      </c>
      <c r="F1949" s="2">
        <v>80.0</v>
      </c>
      <c r="G1949" s="3">
        <f t="shared" si="2"/>
        <v>0.1403508772</v>
      </c>
      <c r="H1949" s="2">
        <v>116.0</v>
      </c>
      <c r="I1949" s="3">
        <f t="shared" si="3"/>
        <v>0.2035087719</v>
      </c>
      <c r="J1949" s="2">
        <v>98.0</v>
      </c>
      <c r="K1949" s="3">
        <f t="shared" si="4"/>
        <v>0.1719298246</v>
      </c>
      <c r="L1949" s="2">
        <v>65.0</v>
      </c>
      <c r="M1949" s="3">
        <f t="shared" si="5"/>
        <v>0.5603448276</v>
      </c>
      <c r="N1949" s="2">
        <v>662800.0</v>
      </c>
      <c r="O1949" s="4">
        <f t="shared" si="6"/>
        <v>5713.793103</v>
      </c>
      <c r="P1949" s="2">
        <v>0.0</v>
      </c>
      <c r="Q1949" s="3">
        <f t="shared" si="7"/>
        <v>0</v>
      </c>
      <c r="R1949" s="2">
        <v>55.0</v>
      </c>
      <c r="S1949" s="5">
        <f t="shared" si="8"/>
        <v>1</v>
      </c>
    </row>
    <row r="1950">
      <c r="A1950" s="2" t="s">
        <v>1961</v>
      </c>
      <c r="B1950" s="2">
        <v>6.0</v>
      </c>
      <c r="C1950" s="2">
        <v>63.0</v>
      </c>
      <c r="D1950" s="2">
        <v>20.0</v>
      </c>
      <c r="E1950" s="3">
        <f t="shared" si="1"/>
        <v>0.350877193</v>
      </c>
      <c r="F1950" s="2">
        <v>8.0</v>
      </c>
      <c r="G1950" s="3">
        <f t="shared" si="2"/>
        <v>0.1403508772</v>
      </c>
      <c r="H1950" s="2">
        <v>11.0</v>
      </c>
      <c r="I1950" s="3">
        <f t="shared" si="3"/>
        <v>0.1929824561</v>
      </c>
      <c r="J1950" s="2">
        <v>6.0</v>
      </c>
      <c r="K1950" s="3">
        <f t="shared" si="4"/>
        <v>0.1052631579</v>
      </c>
      <c r="L1950" s="2">
        <v>7.0</v>
      </c>
      <c r="M1950" s="3">
        <f t="shared" si="5"/>
        <v>0.6363636364</v>
      </c>
      <c r="N1950" s="2">
        <v>76400.0</v>
      </c>
      <c r="O1950" s="4">
        <f t="shared" si="6"/>
        <v>6945.454545</v>
      </c>
      <c r="P1950" s="2">
        <v>1.0</v>
      </c>
      <c r="Q1950" s="3">
        <f t="shared" si="7"/>
        <v>0.1666666667</v>
      </c>
      <c r="R1950" s="2">
        <v>6.0</v>
      </c>
      <c r="S1950" s="5">
        <f t="shared" si="8"/>
        <v>1</v>
      </c>
    </row>
    <row r="1951">
      <c r="A1951" s="2" t="s">
        <v>1962</v>
      </c>
      <c r="B1951" s="2">
        <v>231.0</v>
      </c>
      <c r="C1951" s="2">
        <v>2732.0</v>
      </c>
      <c r="D1951" s="2">
        <v>754.0</v>
      </c>
      <c r="E1951" s="3">
        <f t="shared" si="1"/>
        <v>0.3014794082</v>
      </c>
      <c r="F1951" s="2">
        <v>351.0</v>
      </c>
      <c r="G1951" s="3">
        <f t="shared" si="2"/>
        <v>0.1403438625</v>
      </c>
      <c r="H1951" s="2">
        <v>554.0</v>
      </c>
      <c r="I1951" s="3">
        <f t="shared" si="3"/>
        <v>0.2215113954</v>
      </c>
      <c r="J1951" s="2">
        <v>442.0</v>
      </c>
      <c r="K1951" s="3">
        <f t="shared" si="4"/>
        <v>0.1767293083</v>
      </c>
      <c r="L1951" s="2">
        <v>339.0</v>
      </c>
      <c r="M1951" s="3">
        <f t="shared" si="5"/>
        <v>0.6119133574</v>
      </c>
      <c r="N1951" s="2">
        <v>3067800.0</v>
      </c>
      <c r="O1951" s="4">
        <f t="shared" si="6"/>
        <v>5537.545126</v>
      </c>
      <c r="P1951" s="2">
        <v>1.0</v>
      </c>
      <c r="Q1951" s="3">
        <f t="shared" si="7"/>
        <v>0.004329004329</v>
      </c>
      <c r="R1951" s="2">
        <v>231.0</v>
      </c>
      <c r="S1951" s="5">
        <f t="shared" si="8"/>
        <v>1</v>
      </c>
    </row>
    <row r="1952">
      <c r="A1952" s="2" t="s">
        <v>1963</v>
      </c>
      <c r="B1952" s="2">
        <v>52.0</v>
      </c>
      <c r="C1952" s="2">
        <v>615.0</v>
      </c>
      <c r="D1952" s="2">
        <v>166.0</v>
      </c>
      <c r="E1952" s="3">
        <f t="shared" si="1"/>
        <v>0.2948490231</v>
      </c>
      <c r="F1952" s="2">
        <v>79.0</v>
      </c>
      <c r="G1952" s="3">
        <f t="shared" si="2"/>
        <v>0.1403197158</v>
      </c>
      <c r="H1952" s="2">
        <v>124.0</v>
      </c>
      <c r="I1952" s="3">
        <f t="shared" si="3"/>
        <v>0.2202486679</v>
      </c>
      <c r="J1952" s="2">
        <v>111.0</v>
      </c>
      <c r="K1952" s="3">
        <f t="shared" si="4"/>
        <v>0.1971580817</v>
      </c>
      <c r="L1952" s="2">
        <v>73.0</v>
      </c>
      <c r="M1952" s="3">
        <f t="shared" si="5"/>
        <v>0.5887096774</v>
      </c>
      <c r="N1952" s="2">
        <v>697000.0</v>
      </c>
      <c r="O1952" s="4">
        <f t="shared" si="6"/>
        <v>5620.967742</v>
      </c>
      <c r="P1952" s="2">
        <v>0.0</v>
      </c>
      <c r="Q1952" s="3">
        <f t="shared" si="7"/>
        <v>0</v>
      </c>
      <c r="R1952" s="2">
        <v>52.0</v>
      </c>
      <c r="S1952" s="5">
        <f t="shared" si="8"/>
        <v>1</v>
      </c>
    </row>
    <row r="1953">
      <c r="A1953" s="2" t="s">
        <v>1964</v>
      </c>
      <c r="B1953" s="2">
        <v>636.0</v>
      </c>
      <c r="C1953" s="2">
        <v>7464.0</v>
      </c>
      <c r="D1953" s="2">
        <v>2562.0</v>
      </c>
      <c r="E1953" s="3">
        <f t="shared" si="1"/>
        <v>0.3752196837</v>
      </c>
      <c r="F1953" s="2">
        <v>958.0</v>
      </c>
      <c r="G1953" s="3">
        <f t="shared" si="2"/>
        <v>0.140304628</v>
      </c>
      <c r="H1953" s="2">
        <v>1447.0</v>
      </c>
      <c r="I1953" s="3">
        <f t="shared" si="3"/>
        <v>0.2119214997</v>
      </c>
      <c r="J1953" s="2">
        <v>1137.0</v>
      </c>
      <c r="K1953" s="3">
        <f t="shared" si="4"/>
        <v>0.1665202109</v>
      </c>
      <c r="L1953" s="2">
        <v>865.0</v>
      </c>
      <c r="M1953" s="3">
        <f t="shared" si="5"/>
        <v>0.597788528</v>
      </c>
      <c r="N1953" s="2">
        <v>8015200.0</v>
      </c>
      <c r="O1953" s="4">
        <f t="shared" si="6"/>
        <v>5539.18452</v>
      </c>
      <c r="P1953" s="2">
        <v>0.0</v>
      </c>
      <c r="Q1953" s="3">
        <f t="shared" si="7"/>
        <v>0</v>
      </c>
      <c r="R1953" s="2">
        <v>636.0</v>
      </c>
      <c r="S1953" s="5">
        <f t="shared" si="8"/>
        <v>1</v>
      </c>
    </row>
    <row r="1954">
      <c r="A1954" s="2" t="s">
        <v>1965</v>
      </c>
      <c r="B1954" s="2">
        <v>88.0</v>
      </c>
      <c r="C1954" s="2">
        <v>1036.0</v>
      </c>
      <c r="D1954" s="2">
        <v>312.0</v>
      </c>
      <c r="E1954" s="3">
        <f t="shared" si="1"/>
        <v>0.3291139241</v>
      </c>
      <c r="F1954" s="2">
        <v>133.0</v>
      </c>
      <c r="G1954" s="3">
        <f t="shared" si="2"/>
        <v>0.1402953586</v>
      </c>
      <c r="H1954" s="2">
        <v>201.0</v>
      </c>
      <c r="I1954" s="3">
        <f t="shared" si="3"/>
        <v>0.2120253165</v>
      </c>
      <c r="J1954" s="2">
        <v>188.0</v>
      </c>
      <c r="K1954" s="3">
        <f t="shared" si="4"/>
        <v>0.1983122363</v>
      </c>
      <c r="L1954" s="2">
        <v>101.0</v>
      </c>
      <c r="M1954" s="3">
        <f t="shared" si="5"/>
        <v>0.5024875622</v>
      </c>
      <c r="N1954" s="2">
        <v>1244500.0</v>
      </c>
      <c r="O1954" s="4">
        <f t="shared" si="6"/>
        <v>6191.542289</v>
      </c>
      <c r="P1954" s="2">
        <v>0.0</v>
      </c>
      <c r="Q1954" s="3">
        <f t="shared" si="7"/>
        <v>0</v>
      </c>
      <c r="R1954" s="2">
        <v>88.0</v>
      </c>
      <c r="S1954" s="5">
        <f t="shared" si="8"/>
        <v>1</v>
      </c>
    </row>
    <row r="1955">
      <c r="A1955" s="2" t="s">
        <v>1966</v>
      </c>
      <c r="B1955" s="2">
        <v>257.0</v>
      </c>
      <c r="C1955" s="2">
        <v>3044.0</v>
      </c>
      <c r="D1955" s="2">
        <v>800.0</v>
      </c>
      <c r="E1955" s="3">
        <f t="shared" si="1"/>
        <v>0.2870470039</v>
      </c>
      <c r="F1955" s="2">
        <v>391.0</v>
      </c>
      <c r="G1955" s="3">
        <f t="shared" si="2"/>
        <v>0.1402942232</v>
      </c>
      <c r="H1955" s="2">
        <v>530.0</v>
      </c>
      <c r="I1955" s="3">
        <f t="shared" si="3"/>
        <v>0.1901686401</v>
      </c>
      <c r="J1955" s="2">
        <v>488.0</v>
      </c>
      <c r="K1955" s="3">
        <f t="shared" si="4"/>
        <v>0.1750986724</v>
      </c>
      <c r="L1955" s="2">
        <v>332.0</v>
      </c>
      <c r="M1955" s="3">
        <f t="shared" si="5"/>
        <v>0.6264150943</v>
      </c>
      <c r="N1955" s="2">
        <v>3052600.0</v>
      </c>
      <c r="O1955" s="4">
        <f t="shared" si="6"/>
        <v>5759.622642</v>
      </c>
      <c r="P1955" s="2">
        <v>1.0</v>
      </c>
      <c r="Q1955" s="3">
        <f t="shared" si="7"/>
        <v>0.003891050584</v>
      </c>
      <c r="R1955" s="2">
        <v>0.0</v>
      </c>
      <c r="S1955" s="5">
        <f t="shared" si="8"/>
        <v>0</v>
      </c>
    </row>
    <row r="1956">
      <c r="A1956" s="2" t="s">
        <v>1967</v>
      </c>
      <c r="B1956" s="2">
        <v>69.0</v>
      </c>
      <c r="C1956" s="2">
        <v>789.0</v>
      </c>
      <c r="D1956" s="2">
        <v>275.0</v>
      </c>
      <c r="E1956" s="3">
        <f t="shared" si="1"/>
        <v>0.3819444444</v>
      </c>
      <c r="F1956" s="2">
        <v>101.0</v>
      </c>
      <c r="G1956" s="3">
        <f t="shared" si="2"/>
        <v>0.1402777778</v>
      </c>
      <c r="H1956" s="2">
        <v>151.0</v>
      </c>
      <c r="I1956" s="3">
        <f t="shared" si="3"/>
        <v>0.2097222222</v>
      </c>
      <c r="J1956" s="2">
        <v>78.0</v>
      </c>
      <c r="K1956" s="3">
        <f t="shared" si="4"/>
        <v>0.1083333333</v>
      </c>
      <c r="L1956" s="2">
        <v>97.0</v>
      </c>
      <c r="M1956" s="3">
        <f t="shared" si="5"/>
        <v>0.642384106</v>
      </c>
      <c r="N1956" s="2">
        <v>769300.0</v>
      </c>
      <c r="O1956" s="4">
        <f t="shared" si="6"/>
        <v>5094.701987</v>
      </c>
      <c r="P1956" s="2">
        <v>0.0</v>
      </c>
      <c r="Q1956" s="3">
        <f t="shared" si="7"/>
        <v>0</v>
      </c>
      <c r="R1956" s="2">
        <v>69.0</v>
      </c>
      <c r="S1956" s="5">
        <f t="shared" si="8"/>
        <v>1</v>
      </c>
    </row>
    <row r="1957">
      <c r="A1957" s="2" t="s">
        <v>1968</v>
      </c>
      <c r="B1957" s="2">
        <v>1218.0</v>
      </c>
      <c r="C1957" s="2">
        <v>14121.0</v>
      </c>
      <c r="D1957" s="2">
        <v>4070.0</v>
      </c>
      <c r="E1957" s="3">
        <f t="shared" si="1"/>
        <v>0.31543052</v>
      </c>
      <c r="F1957" s="2">
        <v>1810.0</v>
      </c>
      <c r="G1957" s="3">
        <f t="shared" si="2"/>
        <v>0.1402774549</v>
      </c>
      <c r="H1957" s="2">
        <v>2747.0</v>
      </c>
      <c r="I1957" s="3">
        <f t="shared" si="3"/>
        <v>0.2128962257</v>
      </c>
      <c r="J1957" s="2">
        <v>2180.0</v>
      </c>
      <c r="K1957" s="3">
        <f t="shared" si="4"/>
        <v>0.1689529567</v>
      </c>
      <c r="L1957" s="2">
        <v>1615.0</v>
      </c>
      <c r="M1957" s="3">
        <f t="shared" si="5"/>
        <v>0.5879140881</v>
      </c>
      <c r="N1957" s="2">
        <v>1.65226E7</v>
      </c>
      <c r="O1957" s="4">
        <f t="shared" si="6"/>
        <v>6014.77976</v>
      </c>
      <c r="P1957" s="2">
        <v>11.0</v>
      </c>
      <c r="Q1957" s="3">
        <f t="shared" si="7"/>
        <v>0.009031198686</v>
      </c>
      <c r="R1957" s="2">
        <v>1218.0</v>
      </c>
      <c r="S1957" s="5">
        <f t="shared" si="8"/>
        <v>1</v>
      </c>
    </row>
    <row r="1958">
      <c r="A1958" s="2" t="s">
        <v>1969</v>
      </c>
      <c r="B1958" s="2">
        <v>145.0</v>
      </c>
      <c r="C1958" s="2">
        <v>1692.0</v>
      </c>
      <c r="D1958" s="2">
        <v>452.0</v>
      </c>
      <c r="E1958" s="3">
        <f t="shared" si="1"/>
        <v>0.2921784098</v>
      </c>
      <c r="F1958" s="2">
        <v>217.0</v>
      </c>
      <c r="G1958" s="3">
        <f t="shared" si="2"/>
        <v>0.1402714932</v>
      </c>
      <c r="H1958" s="2">
        <v>300.0</v>
      </c>
      <c r="I1958" s="3">
        <f t="shared" si="3"/>
        <v>0.1939237233</v>
      </c>
      <c r="J1958" s="2">
        <v>276.0</v>
      </c>
      <c r="K1958" s="3">
        <f t="shared" si="4"/>
        <v>0.1784098255</v>
      </c>
      <c r="L1958" s="2">
        <v>171.0</v>
      </c>
      <c r="M1958" s="3">
        <f t="shared" si="5"/>
        <v>0.57</v>
      </c>
      <c r="N1958" s="2">
        <v>1805600.0</v>
      </c>
      <c r="O1958" s="4">
        <f t="shared" si="6"/>
        <v>6018.666667</v>
      </c>
      <c r="P1958" s="2">
        <v>0.0</v>
      </c>
      <c r="Q1958" s="3">
        <f t="shared" si="7"/>
        <v>0</v>
      </c>
      <c r="R1958" s="2">
        <v>41.0</v>
      </c>
      <c r="S1958" s="5">
        <f t="shared" si="8"/>
        <v>0.2827586207</v>
      </c>
    </row>
    <row r="1959">
      <c r="A1959" s="2" t="s">
        <v>1970</v>
      </c>
      <c r="B1959" s="2">
        <v>103.0</v>
      </c>
      <c r="C1959" s="2">
        <v>1201.0</v>
      </c>
      <c r="D1959" s="2">
        <v>336.0</v>
      </c>
      <c r="E1959" s="3">
        <f t="shared" si="1"/>
        <v>0.306010929</v>
      </c>
      <c r="F1959" s="2">
        <v>154.0</v>
      </c>
      <c r="G1959" s="3">
        <f t="shared" si="2"/>
        <v>0.1402550091</v>
      </c>
      <c r="H1959" s="2">
        <v>227.0</v>
      </c>
      <c r="I1959" s="3">
        <f t="shared" si="3"/>
        <v>0.2067395264</v>
      </c>
      <c r="J1959" s="2">
        <v>127.0</v>
      </c>
      <c r="K1959" s="3">
        <f t="shared" si="4"/>
        <v>0.1156648452</v>
      </c>
      <c r="L1959" s="2">
        <v>148.0</v>
      </c>
      <c r="M1959" s="3">
        <f t="shared" si="5"/>
        <v>0.6519823789</v>
      </c>
      <c r="N1959" s="2">
        <v>1249800.0</v>
      </c>
      <c r="O1959" s="4">
        <f t="shared" si="6"/>
        <v>5505.726872</v>
      </c>
      <c r="P1959" s="2">
        <v>0.0</v>
      </c>
      <c r="Q1959" s="3">
        <f t="shared" si="7"/>
        <v>0</v>
      </c>
      <c r="R1959" s="2">
        <v>9.0</v>
      </c>
      <c r="S1959" s="5">
        <f t="shared" si="8"/>
        <v>0.08737864078</v>
      </c>
    </row>
    <row r="1960">
      <c r="A1960" s="2" t="s">
        <v>1971</v>
      </c>
      <c r="B1960" s="2">
        <v>358.0</v>
      </c>
      <c r="C1960" s="2">
        <v>4130.0</v>
      </c>
      <c r="D1960" s="2">
        <v>1357.0</v>
      </c>
      <c r="E1960" s="3">
        <f t="shared" si="1"/>
        <v>0.3597560976</v>
      </c>
      <c r="F1960" s="2">
        <v>529.0</v>
      </c>
      <c r="G1960" s="3">
        <f t="shared" si="2"/>
        <v>0.1402439024</v>
      </c>
      <c r="H1960" s="2">
        <v>773.0</v>
      </c>
      <c r="I1960" s="3">
        <f t="shared" si="3"/>
        <v>0.204931071</v>
      </c>
      <c r="J1960" s="2">
        <v>694.0</v>
      </c>
      <c r="K1960" s="3">
        <f t="shared" si="4"/>
        <v>0.1839872747</v>
      </c>
      <c r="L1960" s="2">
        <v>448.0</v>
      </c>
      <c r="M1960" s="3">
        <f t="shared" si="5"/>
        <v>0.5795601552</v>
      </c>
      <c r="N1960" s="2">
        <v>4443400.0</v>
      </c>
      <c r="O1960" s="4">
        <f t="shared" si="6"/>
        <v>5748.253558</v>
      </c>
      <c r="P1960" s="2">
        <v>1.0</v>
      </c>
      <c r="Q1960" s="3">
        <f t="shared" si="7"/>
        <v>0.002793296089</v>
      </c>
      <c r="R1960" s="2">
        <v>358.0</v>
      </c>
      <c r="S1960" s="5">
        <f t="shared" si="8"/>
        <v>1</v>
      </c>
    </row>
    <row r="1961">
      <c r="A1961" s="2" t="s">
        <v>1972</v>
      </c>
      <c r="B1961" s="2">
        <v>89.0</v>
      </c>
      <c r="C1961" s="2">
        <v>1016.0</v>
      </c>
      <c r="D1961" s="2">
        <v>342.0</v>
      </c>
      <c r="E1961" s="3">
        <f t="shared" si="1"/>
        <v>0.3689320388</v>
      </c>
      <c r="F1961" s="2">
        <v>130.0</v>
      </c>
      <c r="G1961" s="3">
        <f t="shared" si="2"/>
        <v>0.1402373247</v>
      </c>
      <c r="H1961" s="2">
        <v>182.0</v>
      </c>
      <c r="I1961" s="3">
        <f t="shared" si="3"/>
        <v>0.1963322546</v>
      </c>
      <c r="J1961" s="2">
        <v>150.0</v>
      </c>
      <c r="K1961" s="3">
        <f t="shared" si="4"/>
        <v>0.1618122977</v>
      </c>
      <c r="L1961" s="2">
        <v>116.0</v>
      </c>
      <c r="M1961" s="3">
        <f t="shared" si="5"/>
        <v>0.6373626374</v>
      </c>
      <c r="N1961" s="2">
        <v>1068100.0</v>
      </c>
      <c r="O1961" s="4">
        <f t="shared" si="6"/>
        <v>5868.681319</v>
      </c>
      <c r="P1961" s="2">
        <v>0.0</v>
      </c>
      <c r="Q1961" s="3">
        <f t="shared" si="7"/>
        <v>0</v>
      </c>
      <c r="R1961" s="2">
        <v>89.0</v>
      </c>
      <c r="S1961" s="5">
        <f t="shared" si="8"/>
        <v>1</v>
      </c>
    </row>
    <row r="1962">
      <c r="A1962" s="2" t="s">
        <v>1973</v>
      </c>
      <c r="B1962" s="2">
        <v>1140.0</v>
      </c>
      <c r="C1962" s="2">
        <v>13049.0</v>
      </c>
      <c r="D1962" s="2">
        <v>4632.0</v>
      </c>
      <c r="E1962" s="3">
        <f t="shared" si="1"/>
        <v>0.388949534</v>
      </c>
      <c r="F1962" s="2">
        <v>1670.0</v>
      </c>
      <c r="G1962" s="3">
        <f t="shared" si="2"/>
        <v>0.1402300781</v>
      </c>
      <c r="H1962" s="2">
        <v>2563.0</v>
      </c>
      <c r="I1962" s="3">
        <f t="shared" si="3"/>
        <v>0.2152153833</v>
      </c>
      <c r="J1962" s="2">
        <v>2322.0</v>
      </c>
      <c r="K1962" s="3">
        <f t="shared" si="4"/>
        <v>0.1949785876</v>
      </c>
      <c r="L1962" s="2">
        <v>1520.0</v>
      </c>
      <c r="M1962" s="3">
        <f t="shared" si="5"/>
        <v>0.5930550137</v>
      </c>
      <c r="N1962" s="2">
        <v>1.49946E7</v>
      </c>
      <c r="O1962" s="4">
        <f t="shared" si="6"/>
        <v>5850.409676</v>
      </c>
      <c r="P1962" s="2">
        <v>0.0</v>
      </c>
      <c r="Q1962" s="3">
        <f t="shared" si="7"/>
        <v>0</v>
      </c>
      <c r="R1962" s="2">
        <v>1140.0</v>
      </c>
      <c r="S1962" s="5">
        <f t="shared" si="8"/>
        <v>1</v>
      </c>
    </row>
    <row r="1963">
      <c r="A1963" s="2" t="s">
        <v>1974</v>
      </c>
      <c r="B1963" s="2">
        <v>75.0</v>
      </c>
      <c r="C1963" s="2">
        <v>888.0</v>
      </c>
      <c r="D1963" s="2">
        <v>356.0</v>
      </c>
      <c r="E1963" s="3">
        <f t="shared" si="1"/>
        <v>0.4378843788</v>
      </c>
      <c r="F1963" s="2">
        <v>114.0</v>
      </c>
      <c r="G1963" s="3">
        <f t="shared" si="2"/>
        <v>0.1402214022</v>
      </c>
      <c r="H1963" s="2">
        <v>176.0</v>
      </c>
      <c r="I1963" s="3">
        <f t="shared" si="3"/>
        <v>0.2164821648</v>
      </c>
      <c r="J1963" s="2">
        <v>146.0</v>
      </c>
      <c r="K1963" s="3">
        <f t="shared" si="4"/>
        <v>0.1795817958</v>
      </c>
      <c r="L1963" s="2">
        <v>102.0</v>
      </c>
      <c r="M1963" s="3">
        <f t="shared" si="5"/>
        <v>0.5795454545</v>
      </c>
      <c r="N1963" s="2">
        <v>972200.0</v>
      </c>
      <c r="O1963" s="4">
        <f t="shared" si="6"/>
        <v>5523.863636</v>
      </c>
      <c r="P1963" s="2">
        <v>0.0</v>
      </c>
      <c r="Q1963" s="3">
        <f t="shared" si="7"/>
        <v>0</v>
      </c>
      <c r="R1963" s="2">
        <v>0.0</v>
      </c>
      <c r="S1963" s="5">
        <f t="shared" si="8"/>
        <v>0</v>
      </c>
    </row>
    <row r="1964">
      <c r="A1964" s="2" t="s">
        <v>1975</v>
      </c>
      <c r="B1964" s="2">
        <v>541.0</v>
      </c>
      <c r="C1964" s="2">
        <v>6232.0</v>
      </c>
      <c r="D1964" s="2">
        <v>1880.0</v>
      </c>
      <c r="E1964" s="3">
        <f t="shared" si="1"/>
        <v>0.3303461606</v>
      </c>
      <c r="F1964" s="2">
        <v>798.0</v>
      </c>
      <c r="G1964" s="3">
        <f t="shared" si="2"/>
        <v>0.1402214022</v>
      </c>
      <c r="H1964" s="2">
        <v>1221.0</v>
      </c>
      <c r="I1964" s="3">
        <f t="shared" si="3"/>
        <v>0.2145492884</v>
      </c>
      <c r="J1964" s="2">
        <v>982.0</v>
      </c>
      <c r="K1964" s="3">
        <f t="shared" si="4"/>
        <v>0.1725531541</v>
      </c>
      <c r="L1964" s="2">
        <v>745.0</v>
      </c>
      <c r="M1964" s="3">
        <f t="shared" si="5"/>
        <v>0.6101556102</v>
      </c>
      <c r="N1964" s="2">
        <v>7287100.0</v>
      </c>
      <c r="O1964" s="4">
        <f t="shared" si="6"/>
        <v>5968.140868</v>
      </c>
      <c r="P1964" s="2">
        <v>1.0</v>
      </c>
      <c r="Q1964" s="3">
        <f t="shared" si="7"/>
        <v>0.001848428835</v>
      </c>
      <c r="R1964" s="2">
        <v>0.0</v>
      </c>
      <c r="S1964" s="5">
        <f t="shared" si="8"/>
        <v>0</v>
      </c>
    </row>
    <row r="1965">
      <c r="A1965" s="2" t="s">
        <v>1976</v>
      </c>
      <c r="B1965" s="2">
        <v>25.0</v>
      </c>
      <c r="C1965" s="2">
        <v>296.0</v>
      </c>
      <c r="D1965" s="2">
        <v>104.0</v>
      </c>
      <c r="E1965" s="3">
        <f t="shared" si="1"/>
        <v>0.3837638376</v>
      </c>
      <c r="F1965" s="2">
        <v>38.0</v>
      </c>
      <c r="G1965" s="3">
        <f t="shared" si="2"/>
        <v>0.1402214022</v>
      </c>
      <c r="H1965" s="2">
        <v>41.0</v>
      </c>
      <c r="I1965" s="3">
        <f t="shared" si="3"/>
        <v>0.1512915129</v>
      </c>
      <c r="J1965" s="2">
        <v>39.0</v>
      </c>
      <c r="K1965" s="3">
        <f t="shared" si="4"/>
        <v>0.1439114391</v>
      </c>
      <c r="L1965" s="2">
        <v>23.0</v>
      </c>
      <c r="M1965" s="3">
        <f t="shared" si="5"/>
        <v>0.5609756098</v>
      </c>
      <c r="N1965" s="2">
        <v>213600.0</v>
      </c>
      <c r="O1965" s="4">
        <f t="shared" si="6"/>
        <v>5209.756098</v>
      </c>
      <c r="P1965" s="2">
        <v>0.0</v>
      </c>
      <c r="Q1965" s="3">
        <f t="shared" si="7"/>
        <v>0</v>
      </c>
      <c r="R1965" s="2">
        <v>0.0</v>
      </c>
      <c r="S1965" s="5">
        <f t="shared" si="8"/>
        <v>0</v>
      </c>
    </row>
    <row r="1966">
      <c r="A1966" s="2" t="s">
        <v>1977</v>
      </c>
      <c r="B1966" s="2">
        <v>79.0</v>
      </c>
      <c r="C1966" s="2">
        <v>935.0</v>
      </c>
      <c r="D1966" s="2">
        <v>320.0</v>
      </c>
      <c r="E1966" s="3">
        <f t="shared" si="1"/>
        <v>0.3738317757</v>
      </c>
      <c r="F1966" s="2">
        <v>120.0</v>
      </c>
      <c r="G1966" s="3">
        <f t="shared" si="2"/>
        <v>0.1401869159</v>
      </c>
      <c r="H1966" s="2">
        <v>185.0</v>
      </c>
      <c r="I1966" s="3">
        <f t="shared" si="3"/>
        <v>0.2161214953</v>
      </c>
      <c r="J1966" s="2">
        <v>146.0</v>
      </c>
      <c r="K1966" s="3">
        <f t="shared" si="4"/>
        <v>0.1705607477</v>
      </c>
      <c r="L1966" s="2">
        <v>115.0</v>
      </c>
      <c r="M1966" s="3">
        <f t="shared" si="5"/>
        <v>0.6216216216</v>
      </c>
      <c r="N1966" s="2">
        <v>810100.0</v>
      </c>
      <c r="O1966" s="4">
        <f t="shared" si="6"/>
        <v>4378.918919</v>
      </c>
      <c r="P1966" s="2">
        <v>0.0</v>
      </c>
      <c r="Q1966" s="3">
        <f t="shared" si="7"/>
        <v>0</v>
      </c>
      <c r="R1966" s="2">
        <v>0.0</v>
      </c>
      <c r="S1966" s="5">
        <f t="shared" si="8"/>
        <v>0</v>
      </c>
    </row>
    <row r="1967">
      <c r="A1967" s="2" t="s">
        <v>1978</v>
      </c>
      <c r="B1967" s="2">
        <v>2391.0</v>
      </c>
      <c r="C1967" s="2">
        <v>27972.0</v>
      </c>
      <c r="D1967" s="2">
        <v>9980.0</v>
      </c>
      <c r="E1967" s="3">
        <f t="shared" si="1"/>
        <v>0.3901333021</v>
      </c>
      <c r="F1967" s="2">
        <v>3586.0</v>
      </c>
      <c r="G1967" s="3">
        <f t="shared" si="2"/>
        <v>0.1401821665</v>
      </c>
      <c r="H1967" s="2">
        <v>5583.0</v>
      </c>
      <c r="I1967" s="3">
        <f t="shared" si="3"/>
        <v>0.2182479184</v>
      </c>
      <c r="J1967" s="2">
        <v>4405.0</v>
      </c>
      <c r="K1967" s="3">
        <f t="shared" si="4"/>
        <v>0.1721981158</v>
      </c>
      <c r="L1967" s="2">
        <v>3376.0</v>
      </c>
      <c r="M1967" s="3">
        <f t="shared" si="5"/>
        <v>0.6046928175</v>
      </c>
      <c r="N1967" s="2">
        <v>3.16784E7</v>
      </c>
      <c r="O1967" s="4">
        <f t="shared" si="6"/>
        <v>5674.082035</v>
      </c>
      <c r="P1967" s="2">
        <v>6.0</v>
      </c>
      <c r="Q1967" s="3">
        <f t="shared" si="7"/>
        <v>0.002509410289</v>
      </c>
      <c r="R1967" s="2">
        <v>2376.0</v>
      </c>
      <c r="S1967" s="5">
        <f t="shared" si="8"/>
        <v>0.9937264743</v>
      </c>
    </row>
    <row r="1968">
      <c r="A1968" s="2" t="s">
        <v>1979</v>
      </c>
      <c r="B1968" s="2">
        <v>600.0</v>
      </c>
      <c r="C1968" s="2">
        <v>7056.0</v>
      </c>
      <c r="D1968" s="2">
        <v>1841.0</v>
      </c>
      <c r="E1968" s="3">
        <f t="shared" si="1"/>
        <v>0.2851610905</v>
      </c>
      <c r="F1968" s="2">
        <v>905.0</v>
      </c>
      <c r="G1968" s="3">
        <f t="shared" si="2"/>
        <v>0.1401796778</v>
      </c>
      <c r="H1968" s="2">
        <v>1228.0</v>
      </c>
      <c r="I1968" s="3">
        <f t="shared" si="3"/>
        <v>0.1902106568</v>
      </c>
      <c r="J1968" s="2">
        <v>918.0</v>
      </c>
      <c r="K1968" s="3">
        <f t="shared" si="4"/>
        <v>0.1421933086</v>
      </c>
      <c r="L1968" s="2">
        <v>715.0</v>
      </c>
      <c r="M1968" s="3">
        <f t="shared" si="5"/>
        <v>0.582247557</v>
      </c>
      <c r="N1968" s="2">
        <v>7911200.0</v>
      </c>
      <c r="O1968" s="4">
        <f t="shared" si="6"/>
        <v>6442.345277</v>
      </c>
      <c r="P1968" s="2">
        <v>3.0</v>
      </c>
      <c r="Q1968" s="3">
        <f t="shared" si="7"/>
        <v>0.005</v>
      </c>
      <c r="R1968" s="2">
        <v>600.0</v>
      </c>
      <c r="S1968" s="5">
        <f t="shared" si="8"/>
        <v>1</v>
      </c>
    </row>
    <row r="1969">
      <c r="A1969" s="2" t="s">
        <v>1980</v>
      </c>
      <c r="B1969" s="2">
        <v>1787.0</v>
      </c>
      <c r="C1969" s="2">
        <v>21027.0</v>
      </c>
      <c r="D1969" s="2">
        <v>7657.0</v>
      </c>
      <c r="E1969" s="3">
        <f t="shared" si="1"/>
        <v>0.397972973</v>
      </c>
      <c r="F1969" s="2">
        <v>2697.0</v>
      </c>
      <c r="G1969" s="3">
        <f t="shared" si="2"/>
        <v>0.1401767152</v>
      </c>
      <c r="H1969" s="2">
        <v>4200.0</v>
      </c>
      <c r="I1969" s="3">
        <f t="shared" si="3"/>
        <v>0.2182952183</v>
      </c>
      <c r="J1969" s="2">
        <v>3219.0</v>
      </c>
      <c r="K1969" s="3">
        <f t="shared" si="4"/>
        <v>0.1673076923</v>
      </c>
      <c r="L1969" s="2">
        <v>2521.0</v>
      </c>
      <c r="M1969" s="3">
        <f t="shared" si="5"/>
        <v>0.6002380952</v>
      </c>
      <c r="N1969" s="2">
        <v>2.33449E7</v>
      </c>
      <c r="O1969" s="4">
        <f t="shared" si="6"/>
        <v>5558.309524</v>
      </c>
      <c r="P1969" s="2">
        <v>1.0</v>
      </c>
      <c r="Q1969" s="3">
        <f t="shared" si="7"/>
        <v>0.0005595970901</v>
      </c>
      <c r="R1969" s="2">
        <v>1787.0</v>
      </c>
      <c r="S1969" s="5">
        <f t="shared" si="8"/>
        <v>1</v>
      </c>
    </row>
    <row r="1970">
      <c r="A1970" s="2" t="s">
        <v>1981</v>
      </c>
      <c r="B1970" s="2">
        <v>1066.0</v>
      </c>
      <c r="C1970" s="2">
        <v>12359.0</v>
      </c>
      <c r="D1970" s="2">
        <v>3917.0</v>
      </c>
      <c r="E1970" s="3">
        <f t="shared" si="1"/>
        <v>0.3468520322</v>
      </c>
      <c r="F1970" s="2">
        <v>1583.0</v>
      </c>
      <c r="G1970" s="3">
        <f t="shared" si="2"/>
        <v>0.1401753299</v>
      </c>
      <c r="H1970" s="2">
        <v>2417.0</v>
      </c>
      <c r="I1970" s="3">
        <f t="shared" si="3"/>
        <v>0.214026388</v>
      </c>
      <c r="J1970" s="2">
        <v>2006.0</v>
      </c>
      <c r="K1970" s="3">
        <f t="shared" si="4"/>
        <v>0.1776321615</v>
      </c>
      <c r="L1970" s="2">
        <v>1443.0</v>
      </c>
      <c r="M1970" s="3">
        <f t="shared" si="5"/>
        <v>0.5970211005</v>
      </c>
      <c r="N1970" s="2">
        <v>1.47034E7</v>
      </c>
      <c r="O1970" s="4">
        <f t="shared" si="6"/>
        <v>6083.326438</v>
      </c>
      <c r="P1970" s="2">
        <v>1.0</v>
      </c>
      <c r="Q1970" s="3">
        <f t="shared" si="7"/>
        <v>0.0009380863039</v>
      </c>
      <c r="R1970" s="2">
        <v>1066.0</v>
      </c>
      <c r="S1970" s="5">
        <f t="shared" si="8"/>
        <v>1</v>
      </c>
    </row>
    <row r="1971">
      <c r="A1971" s="2" t="s">
        <v>1982</v>
      </c>
      <c r="B1971" s="2">
        <v>578.0</v>
      </c>
      <c r="C1971" s="2">
        <v>6821.0</v>
      </c>
      <c r="D1971" s="2">
        <v>2382.0</v>
      </c>
      <c r="E1971" s="3">
        <f t="shared" si="1"/>
        <v>0.381547333</v>
      </c>
      <c r="F1971" s="2">
        <v>875.0</v>
      </c>
      <c r="G1971" s="3">
        <f t="shared" si="2"/>
        <v>0.1401569758</v>
      </c>
      <c r="H1971" s="2">
        <v>1421.0</v>
      </c>
      <c r="I1971" s="3">
        <f t="shared" si="3"/>
        <v>0.2276149287</v>
      </c>
      <c r="J1971" s="2">
        <v>1047.0</v>
      </c>
      <c r="K1971" s="3">
        <f t="shared" si="4"/>
        <v>0.1677078328</v>
      </c>
      <c r="L1971" s="2">
        <v>851.0</v>
      </c>
      <c r="M1971" s="3">
        <f t="shared" si="5"/>
        <v>0.5988740324</v>
      </c>
      <c r="N1971" s="2">
        <v>7109500.0</v>
      </c>
      <c r="O1971" s="4">
        <f t="shared" si="6"/>
        <v>5003.166784</v>
      </c>
      <c r="P1971" s="2">
        <v>1.0</v>
      </c>
      <c r="Q1971" s="3">
        <f t="shared" si="7"/>
        <v>0.001730103806</v>
      </c>
      <c r="R1971" s="2">
        <v>578.0</v>
      </c>
      <c r="S1971" s="5">
        <f t="shared" si="8"/>
        <v>1</v>
      </c>
    </row>
    <row r="1972">
      <c r="A1972" s="2" t="s">
        <v>1983</v>
      </c>
      <c r="B1972" s="2">
        <v>25.0</v>
      </c>
      <c r="C1972" s="2">
        <v>289.0</v>
      </c>
      <c r="D1972" s="2">
        <v>77.0</v>
      </c>
      <c r="E1972" s="3">
        <f t="shared" si="1"/>
        <v>0.2916666667</v>
      </c>
      <c r="F1972" s="2">
        <v>37.0</v>
      </c>
      <c r="G1972" s="3">
        <f t="shared" si="2"/>
        <v>0.1401515152</v>
      </c>
      <c r="H1972" s="2">
        <v>62.0</v>
      </c>
      <c r="I1972" s="3">
        <f t="shared" si="3"/>
        <v>0.2348484848</v>
      </c>
      <c r="J1972" s="2">
        <v>50.0</v>
      </c>
      <c r="K1972" s="3">
        <f t="shared" si="4"/>
        <v>0.1893939394</v>
      </c>
      <c r="L1972" s="2">
        <v>43.0</v>
      </c>
      <c r="M1972" s="3">
        <f t="shared" si="5"/>
        <v>0.6935483871</v>
      </c>
      <c r="N1972" s="2">
        <v>306400.0</v>
      </c>
      <c r="O1972" s="4">
        <f t="shared" si="6"/>
        <v>4941.935484</v>
      </c>
      <c r="P1972" s="2">
        <v>0.0</v>
      </c>
      <c r="Q1972" s="3">
        <f t="shared" si="7"/>
        <v>0</v>
      </c>
      <c r="R1972" s="2">
        <v>25.0</v>
      </c>
      <c r="S1972" s="5">
        <f t="shared" si="8"/>
        <v>1</v>
      </c>
    </row>
    <row r="1973">
      <c r="A1973" s="2" t="s">
        <v>1984</v>
      </c>
      <c r="B1973" s="2">
        <v>512.0</v>
      </c>
      <c r="C1973" s="2">
        <v>5992.0</v>
      </c>
      <c r="D1973" s="2">
        <v>1819.0</v>
      </c>
      <c r="E1973" s="3">
        <f t="shared" si="1"/>
        <v>0.3319343066</v>
      </c>
      <c r="F1973" s="2">
        <v>768.0</v>
      </c>
      <c r="G1973" s="3">
        <f t="shared" si="2"/>
        <v>0.1401459854</v>
      </c>
      <c r="H1973" s="2">
        <v>1161.0</v>
      </c>
      <c r="I1973" s="3">
        <f t="shared" si="3"/>
        <v>0.2118613139</v>
      </c>
      <c r="J1973" s="2">
        <v>1009.0</v>
      </c>
      <c r="K1973" s="3">
        <f t="shared" si="4"/>
        <v>0.1841240876</v>
      </c>
      <c r="L1973" s="2">
        <v>703.0</v>
      </c>
      <c r="M1973" s="3">
        <f t="shared" si="5"/>
        <v>0.6055124892</v>
      </c>
      <c r="N1973" s="2">
        <v>6335200.0</v>
      </c>
      <c r="O1973" s="4">
        <f t="shared" si="6"/>
        <v>5456.67528</v>
      </c>
      <c r="P1973" s="2">
        <v>0.0</v>
      </c>
      <c r="Q1973" s="3">
        <f t="shared" si="7"/>
        <v>0</v>
      </c>
      <c r="R1973" s="2">
        <v>512.0</v>
      </c>
      <c r="S1973" s="5">
        <f t="shared" si="8"/>
        <v>1</v>
      </c>
    </row>
    <row r="1974">
      <c r="A1974" s="2" t="s">
        <v>1985</v>
      </c>
      <c r="B1974" s="2">
        <v>352.0</v>
      </c>
      <c r="C1974" s="2">
        <v>4113.0</v>
      </c>
      <c r="D1974" s="2">
        <v>989.0</v>
      </c>
      <c r="E1974" s="3">
        <f t="shared" si="1"/>
        <v>0.2629619782</v>
      </c>
      <c r="F1974" s="2">
        <v>527.0</v>
      </c>
      <c r="G1974" s="3">
        <f t="shared" si="2"/>
        <v>0.1401223079</v>
      </c>
      <c r="H1974" s="2">
        <v>710.0</v>
      </c>
      <c r="I1974" s="3">
        <f t="shared" si="3"/>
        <v>0.1887795799</v>
      </c>
      <c r="J1974" s="2">
        <v>641.0</v>
      </c>
      <c r="K1974" s="3">
        <f t="shared" si="4"/>
        <v>0.1704333954</v>
      </c>
      <c r="L1974" s="2">
        <v>418.0</v>
      </c>
      <c r="M1974" s="3">
        <f t="shared" si="5"/>
        <v>0.5887323944</v>
      </c>
      <c r="N1974" s="2">
        <v>4198500.0</v>
      </c>
      <c r="O1974" s="4">
        <f t="shared" si="6"/>
        <v>5913.380282</v>
      </c>
      <c r="P1974" s="2">
        <v>1.0</v>
      </c>
      <c r="Q1974" s="3">
        <f t="shared" si="7"/>
        <v>0.002840909091</v>
      </c>
      <c r="R1974" s="2">
        <v>352.0</v>
      </c>
      <c r="S1974" s="5">
        <f t="shared" si="8"/>
        <v>1</v>
      </c>
    </row>
    <row r="1975">
      <c r="A1975" s="2" t="s">
        <v>1986</v>
      </c>
      <c r="B1975" s="2">
        <v>758.0</v>
      </c>
      <c r="C1975" s="2">
        <v>8844.0</v>
      </c>
      <c r="D1975" s="2">
        <v>3399.0</v>
      </c>
      <c r="E1975" s="3">
        <f t="shared" si="1"/>
        <v>0.4203561712</v>
      </c>
      <c r="F1975" s="2">
        <v>1133.0</v>
      </c>
      <c r="G1975" s="3">
        <f t="shared" si="2"/>
        <v>0.1401187237</v>
      </c>
      <c r="H1975" s="2">
        <v>1770.0</v>
      </c>
      <c r="I1975" s="3">
        <f t="shared" si="3"/>
        <v>0.2188968588</v>
      </c>
      <c r="J1975" s="2">
        <v>1314.0</v>
      </c>
      <c r="K1975" s="3">
        <f t="shared" si="4"/>
        <v>0.1625030918</v>
      </c>
      <c r="L1975" s="2">
        <v>1081.0</v>
      </c>
      <c r="M1975" s="3">
        <f t="shared" si="5"/>
        <v>0.6107344633</v>
      </c>
      <c r="N1975" s="2">
        <v>9471500.0</v>
      </c>
      <c r="O1975" s="4">
        <f t="shared" si="6"/>
        <v>5351.129944</v>
      </c>
      <c r="P1975" s="2">
        <v>0.0</v>
      </c>
      <c r="Q1975" s="3">
        <f t="shared" si="7"/>
        <v>0</v>
      </c>
      <c r="R1975" s="2">
        <v>465.0</v>
      </c>
      <c r="S1975" s="5">
        <f t="shared" si="8"/>
        <v>0.6134564644</v>
      </c>
    </row>
    <row r="1976">
      <c r="A1976" s="2" t="s">
        <v>1987</v>
      </c>
      <c r="B1976" s="2">
        <v>65.0</v>
      </c>
      <c r="C1976" s="2">
        <v>743.0</v>
      </c>
      <c r="D1976" s="2">
        <v>208.0</v>
      </c>
      <c r="E1976" s="3">
        <f t="shared" si="1"/>
        <v>0.3067846608</v>
      </c>
      <c r="F1976" s="2">
        <v>95.0</v>
      </c>
      <c r="G1976" s="3">
        <f t="shared" si="2"/>
        <v>0.1401179941</v>
      </c>
      <c r="H1976" s="2">
        <v>142.0</v>
      </c>
      <c r="I1976" s="3">
        <f t="shared" si="3"/>
        <v>0.209439528</v>
      </c>
      <c r="J1976" s="2">
        <v>103.0</v>
      </c>
      <c r="K1976" s="3">
        <f t="shared" si="4"/>
        <v>0.1519174041</v>
      </c>
      <c r="L1976" s="2">
        <v>78.0</v>
      </c>
      <c r="M1976" s="3">
        <f t="shared" si="5"/>
        <v>0.5492957746</v>
      </c>
      <c r="N1976" s="2">
        <v>785800.0</v>
      </c>
      <c r="O1976" s="4">
        <f t="shared" si="6"/>
        <v>5533.802817</v>
      </c>
      <c r="P1976" s="2">
        <v>1.0</v>
      </c>
      <c r="Q1976" s="3">
        <f t="shared" si="7"/>
        <v>0.01538461538</v>
      </c>
      <c r="R1976" s="2">
        <v>65.0</v>
      </c>
      <c r="S1976" s="5">
        <f t="shared" si="8"/>
        <v>1</v>
      </c>
    </row>
    <row r="1977">
      <c r="A1977" s="2" t="s">
        <v>1988</v>
      </c>
      <c r="B1977" s="2">
        <v>108.0</v>
      </c>
      <c r="C1977" s="2">
        <v>1300.0</v>
      </c>
      <c r="D1977" s="2">
        <v>408.0</v>
      </c>
      <c r="E1977" s="3">
        <f t="shared" si="1"/>
        <v>0.3422818792</v>
      </c>
      <c r="F1977" s="2">
        <v>167.0</v>
      </c>
      <c r="G1977" s="3">
        <f t="shared" si="2"/>
        <v>0.1401006711</v>
      </c>
      <c r="H1977" s="2">
        <v>233.0</v>
      </c>
      <c r="I1977" s="3">
        <f t="shared" si="3"/>
        <v>0.1954697987</v>
      </c>
      <c r="J1977" s="2">
        <v>214.0</v>
      </c>
      <c r="K1977" s="3">
        <f t="shared" si="4"/>
        <v>0.1795302013</v>
      </c>
      <c r="L1977" s="2">
        <v>135.0</v>
      </c>
      <c r="M1977" s="3">
        <f t="shared" si="5"/>
        <v>0.5793991416</v>
      </c>
      <c r="N1977" s="2">
        <v>1418600.0</v>
      </c>
      <c r="O1977" s="4">
        <f t="shared" si="6"/>
        <v>6088.412017</v>
      </c>
      <c r="P1977" s="2">
        <v>1.0</v>
      </c>
      <c r="Q1977" s="3">
        <f t="shared" si="7"/>
        <v>0.009259259259</v>
      </c>
      <c r="R1977" s="2">
        <v>108.0</v>
      </c>
      <c r="S1977" s="5">
        <f t="shared" si="8"/>
        <v>1</v>
      </c>
    </row>
    <row r="1978">
      <c r="A1978" s="2" t="s">
        <v>1989</v>
      </c>
      <c r="B1978" s="2">
        <v>1758.0</v>
      </c>
      <c r="C1978" s="2">
        <v>20181.0</v>
      </c>
      <c r="D1978" s="2">
        <v>6243.0</v>
      </c>
      <c r="E1978" s="3">
        <f t="shared" si="1"/>
        <v>0.3388698909</v>
      </c>
      <c r="F1978" s="2">
        <v>2581.0</v>
      </c>
      <c r="G1978" s="3">
        <f t="shared" si="2"/>
        <v>0.1400966184</v>
      </c>
      <c r="H1978" s="2">
        <v>3911.0</v>
      </c>
      <c r="I1978" s="3">
        <f t="shared" si="3"/>
        <v>0.2122889866</v>
      </c>
      <c r="J1978" s="2">
        <v>3517.0</v>
      </c>
      <c r="K1978" s="3">
        <f t="shared" si="4"/>
        <v>0.190902676</v>
      </c>
      <c r="L1978" s="2">
        <v>2350.0</v>
      </c>
      <c r="M1978" s="3">
        <f t="shared" si="5"/>
        <v>0.6008693429</v>
      </c>
      <c r="N1978" s="2">
        <v>2.32467E7</v>
      </c>
      <c r="O1978" s="4">
        <f t="shared" si="6"/>
        <v>5943.927384</v>
      </c>
      <c r="P1978" s="2">
        <v>8.0</v>
      </c>
      <c r="Q1978" s="3">
        <f t="shared" si="7"/>
        <v>0.004550625711</v>
      </c>
      <c r="R1978" s="2">
        <v>0.0</v>
      </c>
      <c r="S1978" s="5">
        <f t="shared" si="8"/>
        <v>0</v>
      </c>
    </row>
    <row r="1979">
      <c r="A1979" s="2" t="s">
        <v>1990</v>
      </c>
      <c r="B1979" s="2">
        <v>320.0</v>
      </c>
      <c r="C1979" s="2">
        <v>3704.0</v>
      </c>
      <c r="D1979" s="2">
        <v>1310.0</v>
      </c>
      <c r="E1979" s="3">
        <f t="shared" si="1"/>
        <v>0.3871158392</v>
      </c>
      <c r="F1979" s="2">
        <v>474.0</v>
      </c>
      <c r="G1979" s="3">
        <f t="shared" si="2"/>
        <v>0.140070922</v>
      </c>
      <c r="H1979" s="2">
        <v>734.0</v>
      </c>
      <c r="I1979" s="3">
        <f t="shared" si="3"/>
        <v>0.2169030733</v>
      </c>
      <c r="J1979" s="2">
        <v>518.0</v>
      </c>
      <c r="K1979" s="3">
        <f t="shared" si="4"/>
        <v>0.1530732861</v>
      </c>
      <c r="L1979" s="2">
        <v>432.0</v>
      </c>
      <c r="M1979" s="3">
        <f t="shared" si="5"/>
        <v>0.5885558583</v>
      </c>
      <c r="N1979" s="2">
        <v>4239600.0</v>
      </c>
      <c r="O1979" s="4">
        <f t="shared" si="6"/>
        <v>5776.021798</v>
      </c>
      <c r="P1979" s="2">
        <v>0.0</v>
      </c>
      <c r="Q1979" s="3">
        <f t="shared" si="7"/>
        <v>0</v>
      </c>
      <c r="R1979" s="2">
        <v>320.0</v>
      </c>
      <c r="S1979" s="5">
        <f t="shared" si="8"/>
        <v>1</v>
      </c>
    </row>
    <row r="1980">
      <c r="A1980" s="2" t="s">
        <v>1991</v>
      </c>
      <c r="B1980" s="2">
        <v>34.0</v>
      </c>
      <c r="C1980" s="2">
        <v>391.0</v>
      </c>
      <c r="D1980" s="2">
        <v>127.0</v>
      </c>
      <c r="E1980" s="3">
        <f t="shared" si="1"/>
        <v>0.3557422969</v>
      </c>
      <c r="F1980" s="2">
        <v>50.0</v>
      </c>
      <c r="G1980" s="3">
        <f t="shared" si="2"/>
        <v>0.1400560224</v>
      </c>
      <c r="H1980" s="2">
        <v>69.0</v>
      </c>
      <c r="I1980" s="3">
        <f t="shared" si="3"/>
        <v>0.1932773109</v>
      </c>
      <c r="J1980" s="2">
        <v>47.0</v>
      </c>
      <c r="K1980" s="3">
        <f t="shared" si="4"/>
        <v>0.1316526611</v>
      </c>
      <c r="L1980" s="2">
        <v>38.0</v>
      </c>
      <c r="M1980" s="3">
        <f t="shared" si="5"/>
        <v>0.5507246377</v>
      </c>
      <c r="N1980" s="2">
        <v>366900.0</v>
      </c>
      <c r="O1980" s="4">
        <f t="shared" si="6"/>
        <v>5317.391304</v>
      </c>
      <c r="P1980" s="2">
        <v>0.0</v>
      </c>
      <c r="Q1980" s="3">
        <f t="shared" si="7"/>
        <v>0</v>
      </c>
      <c r="R1980" s="2">
        <v>34.0</v>
      </c>
      <c r="S1980" s="5">
        <f t="shared" si="8"/>
        <v>1</v>
      </c>
    </row>
    <row r="1981">
      <c r="A1981" s="2" t="s">
        <v>1992</v>
      </c>
      <c r="B1981" s="2">
        <v>246.0</v>
      </c>
      <c r="C1981" s="2">
        <v>2838.0</v>
      </c>
      <c r="D1981" s="2">
        <v>892.0</v>
      </c>
      <c r="E1981" s="3">
        <f t="shared" si="1"/>
        <v>0.3441358025</v>
      </c>
      <c r="F1981" s="2">
        <v>363.0</v>
      </c>
      <c r="G1981" s="3">
        <f t="shared" si="2"/>
        <v>0.1400462963</v>
      </c>
      <c r="H1981" s="2">
        <v>587.0</v>
      </c>
      <c r="I1981" s="3">
        <f t="shared" si="3"/>
        <v>0.2264660494</v>
      </c>
      <c r="J1981" s="2">
        <v>388.0</v>
      </c>
      <c r="K1981" s="3">
        <f t="shared" si="4"/>
        <v>0.149691358</v>
      </c>
      <c r="L1981" s="2">
        <v>369.0</v>
      </c>
      <c r="M1981" s="3">
        <f t="shared" si="5"/>
        <v>0.6286201022</v>
      </c>
      <c r="N1981" s="2">
        <v>3151400.0</v>
      </c>
      <c r="O1981" s="4">
        <f t="shared" si="6"/>
        <v>5368.654174</v>
      </c>
      <c r="P1981" s="2">
        <v>0.0</v>
      </c>
      <c r="Q1981" s="3">
        <f t="shared" si="7"/>
        <v>0</v>
      </c>
      <c r="R1981" s="2">
        <v>246.0</v>
      </c>
      <c r="S1981" s="5">
        <f t="shared" si="8"/>
        <v>1</v>
      </c>
    </row>
    <row r="1982">
      <c r="A1982" s="2" t="s">
        <v>1993</v>
      </c>
      <c r="B1982" s="2">
        <v>511.0</v>
      </c>
      <c r="C1982" s="2">
        <v>5895.0</v>
      </c>
      <c r="D1982" s="2">
        <v>1684.0</v>
      </c>
      <c r="E1982" s="3">
        <f t="shared" si="1"/>
        <v>0.3127786033</v>
      </c>
      <c r="F1982" s="2">
        <v>754.0</v>
      </c>
      <c r="G1982" s="3">
        <f t="shared" si="2"/>
        <v>0.1400445765</v>
      </c>
      <c r="H1982" s="2">
        <v>1140.0</v>
      </c>
      <c r="I1982" s="3">
        <f t="shared" si="3"/>
        <v>0.2117384844</v>
      </c>
      <c r="J1982" s="2">
        <v>900.0</v>
      </c>
      <c r="K1982" s="3">
        <f t="shared" si="4"/>
        <v>0.1671619614</v>
      </c>
      <c r="L1982" s="2">
        <v>685.0</v>
      </c>
      <c r="M1982" s="3">
        <f t="shared" si="5"/>
        <v>0.600877193</v>
      </c>
      <c r="N1982" s="2">
        <v>6634700.0</v>
      </c>
      <c r="O1982" s="4">
        <f t="shared" si="6"/>
        <v>5819.912281</v>
      </c>
      <c r="P1982" s="2">
        <v>1.0</v>
      </c>
      <c r="Q1982" s="3">
        <f t="shared" si="7"/>
        <v>0.001956947162</v>
      </c>
      <c r="R1982" s="2">
        <v>501.0</v>
      </c>
      <c r="S1982" s="5">
        <f t="shared" si="8"/>
        <v>0.9804305284</v>
      </c>
    </row>
    <row r="1983">
      <c r="A1983" s="2" t="s">
        <v>1994</v>
      </c>
      <c r="B1983" s="2">
        <v>91.0</v>
      </c>
      <c r="C1983" s="2">
        <v>1041.0</v>
      </c>
      <c r="D1983" s="2">
        <v>350.0</v>
      </c>
      <c r="E1983" s="3">
        <f t="shared" si="1"/>
        <v>0.3684210526</v>
      </c>
      <c r="F1983" s="2">
        <v>133.0</v>
      </c>
      <c r="G1983" s="3">
        <f t="shared" si="2"/>
        <v>0.14</v>
      </c>
      <c r="H1983" s="2">
        <v>185.0</v>
      </c>
      <c r="I1983" s="3">
        <f t="shared" si="3"/>
        <v>0.1947368421</v>
      </c>
      <c r="J1983" s="2">
        <v>155.0</v>
      </c>
      <c r="K1983" s="3">
        <f t="shared" si="4"/>
        <v>0.1631578947</v>
      </c>
      <c r="L1983" s="2">
        <v>115.0</v>
      </c>
      <c r="M1983" s="3">
        <f t="shared" si="5"/>
        <v>0.6216216216</v>
      </c>
      <c r="N1983" s="2">
        <v>1001700.0</v>
      </c>
      <c r="O1983" s="4">
        <f t="shared" si="6"/>
        <v>5414.594595</v>
      </c>
      <c r="P1983" s="2">
        <v>0.0</v>
      </c>
      <c r="Q1983" s="3">
        <f t="shared" si="7"/>
        <v>0</v>
      </c>
      <c r="R1983" s="2">
        <v>91.0</v>
      </c>
      <c r="S1983" s="5">
        <f t="shared" si="8"/>
        <v>1</v>
      </c>
    </row>
    <row r="1984">
      <c r="A1984" s="2" t="s">
        <v>1995</v>
      </c>
      <c r="B1984" s="2">
        <v>1261.0</v>
      </c>
      <c r="C1984" s="2">
        <v>14597.0</v>
      </c>
      <c r="D1984" s="2">
        <v>4338.0</v>
      </c>
      <c r="E1984" s="3">
        <f t="shared" si="1"/>
        <v>0.325284943</v>
      </c>
      <c r="F1984" s="2">
        <v>1867.0</v>
      </c>
      <c r="G1984" s="3">
        <f t="shared" si="2"/>
        <v>0.1399970006</v>
      </c>
      <c r="H1984" s="2">
        <v>2919.0</v>
      </c>
      <c r="I1984" s="3">
        <f t="shared" si="3"/>
        <v>0.2188812238</v>
      </c>
      <c r="J1984" s="2">
        <v>2186.0</v>
      </c>
      <c r="K1984" s="3">
        <f t="shared" si="4"/>
        <v>0.1639172166</v>
      </c>
      <c r="L1984" s="2">
        <v>1762.0</v>
      </c>
      <c r="M1984" s="3">
        <f t="shared" si="5"/>
        <v>0.6036313806</v>
      </c>
      <c r="N1984" s="2">
        <v>1.63937E7</v>
      </c>
      <c r="O1984" s="4">
        <f t="shared" si="6"/>
        <v>5616.20418</v>
      </c>
      <c r="P1984" s="2">
        <v>3.0</v>
      </c>
      <c r="Q1984" s="3">
        <f t="shared" si="7"/>
        <v>0.002379064235</v>
      </c>
      <c r="R1984" s="2">
        <v>1261.0</v>
      </c>
      <c r="S1984" s="5">
        <f t="shared" si="8"/>
        <v>1</v>
      </c>
    </row>
    <row r="1985">
      <c r="A1985" s="2" t="s">
        <v>1996</v>
      </c>
      <c r="B1985" s="2">
        <v>538.0</v>
      </c>
      <c r="C1985" s="2">
        <v>6189.0</v>
      </c>
      <c r="D1985" s="2">
        <v>1747.0</v>
      </c>
      <c r="E1985" s="3">
        <f t="shared" si="1"/>
        <v>0.3091488232</v>
      </c>
      <c r="F1985" s="2">
        <v>791.0</v>
      </c>
      <c r="G1985" s="3">
        <f t="shared" si="2"/>
        <v>0.1399752256</v>
      </c>
      <c r="H1985" s="2">
        <v>1205.0</v>
      </c>
      <c r="I1985" s="3">
        <f t="shared" si="3"/>
        <v>0.2132365953</v>
      </c>
      <c r="J1985" s="2">
        <v>1196.0</v>
      </c>
      <c r="K1985" s="3">
        <f t="shared" si="4"/>
        <v>0.2116439568</v>
      </c>
      <c r="L1985" s="2">
        <v>717.0</v>
      </c>
      <c r="M1985" s="3">
        <f t="shared" si="5"/>
        <v>0.5950207469</v>
      </c>
      <c r="N1985" s="2">
        <v>7455600.0</v>
      </c>
      <c r="O1985" s="4">
        <f t="shared" si="6"/>
        <v>6187.219917</v>
      </c>
      <c r="P1985" s="2">
        <v>4.0</v>
      </c>
      <c r="Q1985" s="3">
        <f t="shared" si="7"/>
        <v>0.007434944238</v>
      </c>
      <c r="R1985" s="2">
        <v>538.0</v>
      </c>
      <c r="S1985" s="5">
        <f t="shared" si="8"/>
        <v>1</v>
      </c>
    </row>
    <row r="1986">
      <c r="A1986" s="2" t="s">
        <v>1997</v>
      </c>
      <c r="B1986" s="2">
        <v>723.0</v>
      </c>
      <c r="C1986" s="2">
        <v>8439.0</v>
      </c>
      <c r="D1986" s="2">
        <v>2705.0</v>
      </c>
      <c r="E1986" s="3">
        <f t="shared" si="1"/>
        <v>0.3505702436</v>
      </c>
      <c r="F1986" s="2">
        <v>1080.0</v>
      </c>
      <c r="G1986" s="3">
        <f t="shared" si="2"/>
        <v>0.1399688958</v>
      </c>
      <c r="H1986" s="2">
        <v>1673.0</v>
      </c>
      <c r="I1986" s="3">
        <f t="shared" si="3"/>
        <v>0.2168221877</v>
      </c>
      <c r="J1986" s="2">
        <v>1320.0</v>
      </c>
      <c r="K1986" s="3">
        <f t="shared" si="4"/>
        <v>0.1710730949</v>
      </c>
      <c r="L1986" s="2">
        <v>979.0</v>
      </c>
      <c r="M1986" s="3">
        <f t="shared" si="5"/>
        <v>0.5851763299</v>
      </c>
      <c r="N1986" s="2">
        <v>9787700.0</v>
      </c>
      <c r="O1986" s="4">
        <f t="shared" si="6"/>
        <v>5850.388524</v>
      </c>
      <c r="P1986" s="2">
        <v>1.0</v>
      </c>
      <c r="Q1986" s="3">
        <f t="shared" si="7"/>
        <v>0.001383125864</v>
      </c>
      <c r="R1986" s="2">
        <v>723.0</v>
      </c>
      <c r="S1986" s="5">
        <f t="shared" si="8"/>
        <v>1</v>
      </c>
    </row>
    <row r="1987">
      <c r="A1987" s="2" t="s">
        <v>1998</v>
      </c>
      <c r="B1987" s="2">
        <v>110.0</v>
      </c>
      <c r="C1987" s="2">
        <v>1296.0</v>
      </c>
      <c r="D1987" s="2">
        <v>411.0</v>
      </c>
      <c r="E1987" s="3">
        <f t="shared" si="1"/>
        <v>0.3465430017</v>
      </c>
      <c r="F1987" s="2">
        <v>166.0</v>
      </c>
      <c r="G1987" s="3">
        <f t="shared" si="2"/>
        <v>0.1399662732</v>
      </c>
      <c r="H1987" s="2">
        <v>245.0</v>
      </c>
      <c r="I1987" s="3">
        <f t="shared" si="3"/>
        <v>0.2065767285</v>
      </c>
      <c r="J1987" s="2">
        <v>230.0</v>
      </c>
      <c r="K1987" s="3">
        <f t="shared" si="4"/>
        <v>0.1939291737</v>
      </c>
      <c r="L1987" s="2">
        <v>134.0</v>
      </c>
      <c r="M1987" s="3">
        <f t="shared" si="5"/>
        <v>0.5469387755</v>
      </c>
      <c r="N1987" s="2">
        <v>1444600.0</v>
      </c>
      <c r="O1987" s="4">
        <f t="shared" si="6"/>
        <v>5896.326531</v>
      </c>
      <c r="P1987" s="2">
        <v>2.0</v>
      </c>
      <c r="Q1987" s="3">
        <f t="shared" si="7"/>
        <v>0.01818181818</v>
      </c>
      <c r="R1987" s="2">
        <v>110.0</v>
      </c>
      <c r="S1987" s="5">
        <f t="shared" si="8"/>
        <v>1</v>
      </c>
    </row>
    <row r="1988">
      <c r="A1988" s="2" t="s">
        <v>1999</v>
      </c>
      <c r="B1988" s="2">
        <v>98.0</v>
      </c>
      <c r="C1988" s="2">
        <v>1134.0</v>
      </c>
      <c r="D1988" s="2">
        <v>360.0</v>
      </c>
      <c r="E1988" s="3">
        <f t="shared" si="1"/>
        <v>0.3474903475</v>
      </c>
      <c r="F1988" s="2">
        <v>145.0</v>
      </c>
      <c r="G1988" s="3">
        <f t="shared" si="2"/>
        <v>0.13996139</v>
      </c>
      <c r="H1988" s="2">
        <v>228.0</v>
      </c>
      <c r="I1988" s="3">
        <f t="shared" si="3"/>
        <v>0.2200772201</v>
      </c>
      <c r="J1988" s="2">
        <v>120.0</v>
      </c>
      <c r="K1988" s="3">
        <f t="shared" si="4"/>
        <v>0.1158301158</v>
      </c>
      <c r="L1988" s="2">
        <v>139.0</v>
      </c>
      <c r="M1988" s="3">
        <f t="shared" si="5"/>
        <v>0.6096491228</v>
      </c>
      <c r="N1988" s="2">
        <v>1193400.0</v>
      </c>
      <c r="O1988" s="4">
        <f t="shared" si="6"/>
        <v>5234.210526</v>
      </c>
      <c r="P1988" s="2">
        <v>2.0</v>
      </c>
      <c r="Q1988" s="3">
        <f t="shared" si="7"/>
        <v>0.02040816327</v>
      </c>
      <c r="R1988" s="2">
        <v>98.0</v>
      </c>
      <c r="S1988" s="5">
        <f t="shared" si="8"/>
        <v>1</v>
      </c>
    </row>
    <row r="1989">
      <c r="A1989" s="2" t="s">
        <v>2000</v>
      </c>
      <c r="B1989" s="2">
        <v>43.0</v>
      </c>
      <c r="C1989" s="2">
        <v>486.0</v>
      </c>
      <c r="D1989" s="2">
        <v>125.0</v>
      </c>
      <c r="E1989" s="3">
        <f t="shared" si="1"/>
        <v>0.2821670429</v>
      </c>
      <c r="F1989" s="2">
        <v>62.0</v>
      </c>
      <c r="G1989" s="3">
        <f t="shared" si="2"/>
        <v>0.1399548533</v>
      </c>
      <c r="H1989" s="2">
        <v>90.0</v>
      </c>
      <c r="I1989" s="3">
        <f t="shared" si="3"/>
        <v>0.2031602709</v>
      </c>
      <c r="J1989" s="2">
        <v>90.0</v>
      </c>
      <c r="K1989" s="3">
        <f t="shared" si="4"/>
        <v>0.2031602709</v>
      </c>
      <c r="L1989" s="2">
        <v>58.0</v>
      </c>
      <c r="M1989" s="3">
        <f t="shared" si="5"/>
        <v>0.6444444444</v>
      </c>
      <c r="N1989" s="2">
        <v>405800.0</v>
      </c>
      <c r="O1989" s="4">
        <f t="shared" si="6"/>
        <v>4508.888889</v>
      </c>
      <c r="P1989" s="2">
        <v>0.0</v>
      </c>
      <c r="Q1989" s="3">
        <f t="shared" si="7"/>
        <v>0</v>
      </c>
      <c r="R1989" s="2">
        <v>43.0</v>
      </c>
      <c r="S1989" s="5">
        <f t="shared" si="8"/>
        <v>1</v>
      </c>
    </row>
    <row r="1990">
      <c r="A1990" s="2" t="s">
        <v>2001</v>
      </c>
      <c r="B1990" s="2">
        <v>390.0</v>
      </c>
      <c r="C1990" s="2">
        <v>4556.0</v>
      </c>
      <c r="D1990" s="2">
        <v>1257.0</v>
      </c>
      <c r="E1990" s="3">
        <f t="shared" si="1"/>
        <v>0.3017282765</v>
      </c>
      <c r="F1990" s="2">
        <v>583.0</v>
      </c>
      <c r="G1990" s="3">
        <f t="shared" si="2"/>
        <v>0.1399423908</v>
      </c>
      <c r="H1990" s="2">
        <v>883.0</v>
      </c>
      <c r="I1990" s="3">
        <f t="shared" si="3"/>
        <v>0.2119539126</v>
      </c>
      <c r="J1990" s="2">
        <v>670.0</v>
      </c>
      <c r="K1990" s="3">
        <f t="shared" si="4"/>
        <v>0.1608257321</v>
      </c>
      <c r="L1990" s="2">
        <v>544.0</v>
      </c>
      <c r="M1990" s="3">
        <f t="shared" si="5"/>
        <v>0.6160815402</v>
      </c>
      <c r="N1990" s="2">
        <v>4904900.0</v>
      </c>
      <c r="O1990" s="4">
        <f t="shared" si="6"/>
        <v>5554.813137</v>
      </c>
      <c r="P1990" s="2">
        <v>2.0</v>
      </c>
      <c r="Q1990" s="3">
        <f t="shared" si="7"/>
        <v>0.005128205128</v>
      </c>
      <c r="R1990" s="2">
        <v>390.0</v>
      </c>
      <c r="S1990" s="5">
        <f t="shared" si="8"/>
        <v>1</v>
      </c>
    </row>
    <row r="1991">
      <c r="A1991" s="2" t="s">
        <v>2002</v>
      </c>
      <c r="B1991" s="2">
        <v>1082.0</v>
      </c>
      <c r="C1991" s="2">
        <v>12737.0</v>
      </c>
      <c r="D1991" s="2">
        <v>3730.0</v>
      </c>
      <c r="E1991" s="3">
        <f t="shared" si="1"/>
        <v>0.32003432</v>
      </c>
      <c r="F1991" s="2">
        <v>1631.0</v>
      </c>
      <c r="G1991" s="3">
        <f t="shared" si="2"/>
        <v>0.1399399399</v>
      </c>
      <c r="H1991" s="2">
        <v>2404.0</v>
      </c>
      <c r="I1991" s="3">
        <f t="shared" si="3"/>
        <v>0.2062634063</v>
      </c>
      <c r="J1991" s="2">
        <v>1943.0</v>
      </c>
      <c r="K1991" s="3">
        <f t="shared" si="4"/>
        <v>0.1667095667</v>
      </c>
      <c r="L1991" s="2">
        <v>1455.0</v>
      </c>
      <c r="M1991" s="3">
        <f t="shared" si="5"/>
        <v>0.6052412646</v>
      </c>
      <c r="N1991" s="2">
        <v>1.35472E7</v>
      </c>
      <c r="O1991" s="4">
        <f t="shared" si="6"/>
        <v>5635.274542</v>
      </c>
      <c r="P1991" s="2">
        <v>5.0</v>
      </c>
      <c r="Q1991" s="3">
        <f t="shared" si="7"/>
        <v>0.004621072089</v>
      </c>
      <c r="R1991" s="2">
        <v>960.0</v>
      </c>
      <c r="S1991" s="5">
        <f t="shared" si="8"/>
        <v>0.887245841</v>
      </c>
    </row>
    <row r="1992">
      <c r="A1992" s="2" t="s">
        <v>2003</v>
      </c>
      <c r="B1992" s="2">
        <v>90.0</v>
      </c>
      <c r="C1992" s="2">
        <v>1069.0</v>
      </c>
      <c r="D1992" s="2">
        <v>357.0</v>
      </c>
      <c r="E1992" s="3">
        <f t="shared" si="1"/>
        <v>0.3646578141</v>
      </c>
      <c r="F1992" s="2">
        <v>137.0</v>
      </c>
      <c r="G1992" s="3">
        <f t="shared" si="2"/>
        <v>0.139938713</v>
      </c>
      <c r="H1992" s="2">
        <v>206.0</v>
      </c>
      <c r="I1992" s="3">
        <f t="shared" si="3"/>
        <v>0.2104187947</v>
      </c>
      <c r="J1992" s="2">
        <v>181.0</v>
      </c>
      <c r="K1992" s="3">
        <f t="shared" si="4"/>
        <v>0.1848825332</v>
      </c>
      <c r="L1992" s="2">
        <v>117.0</v>
      </c>
      <c r="M1992" s="3">
        <f t="shared" si="5"/>
        <v>0.567961165</v>
      </c>
      <c r="N1992" s="2">
        <v>1182100.0</v>
      </c>
      <c r="O1992" s="4">
        <f t="shared" si="6"/>
        <v>5738.349515</v>
      </c>
      <c r="P1992" s="2">
        <v>0.0</v>
      </c>
      <c r="Q1992" s="3">
        <f t="shared" si="7"/>
        <v>0</v>
      </c>
      <c r="R1992" s="2">
        <v>0.0</v>
      </c>
      <c r="S1992" s="5">
        <f t="shared" si="8"/>
        <v>0</v>
      </c>
    </row>
    <row r="1993">
      <c r="A1993" s="2" t="s">
        <v>2004</v>
      </c>
      <c r="B1993" s="2">
        <v>112.0</v>
      </c>
      <c r="C1993" s="2">
        <v>1334.0</v>
      </c>
      <c r="D1993" s="2">
        <v>400.0</v>
      </c>
      <c r="E1993" s="3">
        <f t="shared" si="1"/>
        <v>0.3273322422</v>
      </c>
      <c r="F1993" s="2">
        <v>171.0</v>
      </c>
      <c r="G1993" s="3">
        <f t="shared" si="2"/>
        <v>0.1399345336</v>
      </c>
      <c r="H1993" s="2">
        <v>254.0</v>
      </c>
      <c r="I1993" s="3">
        <f t="shared" si="3"/>
        <v>0.2078559738</v>
      </c>
      <c r="J1993" s="2">
        <v>177.0</v>
      </c>
      <c r="K1993" s="3">
        <f t="shared" si="4"/>
        <v>0.1448445172</v>
      </c>
      <c r="L1993" s="2">
        <v>146.0</v>
      </c>
      <c r="M1993" s="3">
        <f t="shared" si="5"/>
        <v>0.5748031496</v>
      </c>
      <c r="N1993" s="2">
        <v>1334400.0</v>
      </c>
      <c r="O1993" s="4">
        <f t="shared" si="6"/>
        <v>5253.543307</v>
      </c>
      <c r="P1993" s="2">
        <v>0.0</v>
      </c>
      <c r="Q1993" s="3">
        <f t="shared" si="7"/>
        <v>0</v>
      </c>
      <c r="R1993" s="2">
        <v>0.0</v>
      </c>
      <c r="S1993" s="5">
        <f t="shared" si="8"/>
        <v>0</v>
      </c>
    </row>
    <row r="1994">
      <c r="A1994" s="2" t="s">
        <v>2005</v>
      </c>
      <c r="B1994" s="2">
        <v>326.0</v>
      </c>
      <c r="C1994" s="2">
        <v>3785.0</v>
      </c>
      <c r="D1994" s="2">
        <v>1256.0</v>
      </c>
      <c r="E1994" s="3">
        <f t="shared" si="1"/>
        <v>0.3631107256</v>
      </c>
      <c r="F1994" s="2">
        <v>484.0</v>
      </c>
      <c r="G1994" s="3">
        <f t="shared" si="2"/>
        <v>0.1399248338</v>
      </c>
      <c r="H1994" s="2">
        <v>735.0</v>
      </c>
      <c r="I1994" s="3">
        <f t="shared" si="3"/>
        <v>0.2124891587</v>
      </c>
      <c r="J1994" s="2">
        <v>700.0</v>
      </c>
      <c r="K1994" s="3">
        <f t="shared" si="4"/>
        <v>0.2023706273</v>
      </c>
      <c r="L1994" s="2">
        <v>442.0</v>
      </c>
      <c r="M1994" s="3">
        <f t="shared" si="5"/>
        <v>0.6013605442</v>
      </c>
      <c r="N1994" s="2">
        <v>4413200.0</v>
      </c>
      <c r="O1994" s="4">
        <f t="shared" si="6"/>
        <v>6004.353741</v>
      </c>
      <c r="P1994" s="2">
        <v>1.0</v>
      </c>
      <c r="Q1994" s="3">
        <f t="shared" si="7"/>
        <v>0.003067484663</v>
      </c>
      <c r="R1994" s="2">
        <v>326.0</v>
      </c>
      <c r="S1994" s="5">
        <f t="shared" si="8"/>
        <v>1</v>
      </c>
    </row>
    <row r="1995">
      <c r="A1995" s="2" t="s">
        <v>2006</v>
      </c>
      <c r="B1995" s="2">
        <v>803.0</v>
      </c>
      <c r="C1995" s="2">
        <v>9251.0</v>
      </c>
      <c r="D1995" s="2">
        <v>2250.0</v>
      </c>
      <c r="E1995" s="3">
        <f t="shared" si="1"/>
        <v>0.2663352273</v>
      </c>
      <c r="F1995" s="2">
        <v>1182.0</v>
      </c>
      <c r="G1995" s="3">
        <f t="shared" si="2"/>
        <v>0.1399147727</v>
      </c>
      <c r="H1995" s="2">
        <v>1793.0</v>
      </c>
      <c r="I1995" s="3">
        <f t="shared" si="3"/>
        <v>0.2122395833</v>
      </c>
      <c r="J1995" s="2">
        <v>1696.0</v>
      </c>
      <c r="K1995" s="3">
        <f t="shared" si="4"/>
        <v>0.2007575758</v>
      </c>
      <c r="L1995" s="2">
        <v>1055.0</v>
      </c>
      <c r="M1995" s="3">
        <f t="shared" si="5"/>
        <v>0.5883993307</v>
      </c>
      <c r="N1995" s="2">
        <v>1.00877E7</v>
      </c>
      <c r="O1995" s="4">
        <f t="shared" si="6"/>
        <v>5626.157278</v>
      </c>
      <c r="P1995" s="2">
        <v>1.0</v>
      </c>
      <c r="Q1995" s="3">
        <f t="shared" si="7"/>
        <v>0.001245330012</v>
      </c>
      <c r="R1995" s="2">
        <v>243.0</v>
      </c>
      <c r="S1995" s="5">
        <f t="shared" si="8"/>
        <v>0.302615193</v>
      </c>
    </row>
    <row r="1996">
      <c r="A1996" s="2" t="s">
        <v>2007</v>
      </c>
      <c r="B1996" s="2">
        <v>1071.0</v>
      </c>
      <c r="C1996" s="2">
        <v>12417.0</v>
      </c>
      <c r="D1996" s="2">
        <v>4099.0</v>
      </c>
      <c r="E1996" s="3">
        <f t="shared" si="1"/>
        <v>0.3612726952</v>
      </c>
      <c r="F1996" s="2">
        <v>1587.0</v>
      </c>
      <c r="G1996" s="3">
        <f t="shared" si="2"/>
        <v>0.139873083</v>
      </c>
      <c r="H1996" s="2">
        <v>2437.0</v>
      </c>
      <c r="I1996" s="3">
        <f t="shared" si="3"/>
        <v>0.2147893531</v>
      </c>
      <c r="J1996" s="2">
        <v>1805.0</v>
      </c>
      <c r="K1996" s="3">
        <f t="shared" si="4"/>
        <v>0.1590869029</v>
      </c>
      <c r="L1996" s="2">
        <v>1503.0</v>
      </c>
      <c r="M1996" s="3">
        <f t="shared" si="5"/>
        <v>0.6167418958</v>
      </c>
      <c r="N1996" s="2">
        <v>1.38823E7</v>
      </c>
      <c r="O1996" s="4">
        <f t="shared" si="6"/>
        <v>5696.471071</v>
      </c>
      <c r="P1996" s="2">
        <v>1.0</v>
      </c>
      <c r="Q1996" s="3">
        <f t="shared" si="7"/>
        <v>0.0009337068161</v>
      </c>
      <c r="R1996" s="2">
        <v>1071.0</v>
      </c>
      <c r="S1996" s="5">
        <f t="shared" si="8"/>
        <v>1</v>
      </c>
    </row>
    <row r="1997">
      <c r="A1997" s="2" t="s">
        <v>2008</v>
      </c>
      <c r="B1997" s="2">
        <v>234.0</v>
      </c>
      <c r="C1997" s="2">
        <v>2765.0</v>
      </c>
      <c r="D1997" s="2">
        <v>948.0</v>
      </c>
      <c r="E1997" s="3">
        <f t="shared" si="1"/>
        <v>0.3745555117</v>
      </c>
      <c r="F1997" s="2">
        <v>354.0</v>
      </c>
      <c r="G1997" s="3">
        <f t="shared" si="2"/>
        <v>0.1398656657</v>
      </c>
      <c r="H1997" s="2">
        <v>506.0</v>
      </c>
      <c r="I1997" s="3">
        <f t="shared" si="3"/>
        <v>0.1999209798</v>
      </c>
      <c r="J1997" s="2">
        <v>320.0</v>
      </c>
      <c r="K1997" s="3">
        <f t="shared" si="4"/>
        <v>0.1264322402</v>
      </c>
      <c r="L1997" s="2">
        <v>320.0</v>
      </c>
      <c r="M1997" s="3">
        <f t="shared" si="5"/>
        <v>0.6324110672</v>
      </c>
      <c r="N1997" s="2">
        <v>2761100.0</v>
      </c>
      <c r="O1997" s="4">
        <f t="shared" si="6"/>
        <v>5456.719368</v>
      </c>
      <c r="P1997" s="2">
        <v>1.0</v>
      </c>
      <c r="Q1997" s="3">
        <f t="shared" si="7"/>
        <v>0.004273504274</v>
      </c>
      <c r="R1997" s="2">
        <v>234.0</v>
      </c>
      <c r="S1997" s="5">
        <f t="shared" si="8"/>
        <v>1</v>
      </c>
    </row>
    <row r="1998">
      <c r="A1998" s="2" t="s">
        <v>2009</v>
      </c>
      <c r="B1998" s="2">
        <v>1802.0</v>
      </c>
      <c r="C1998" s="2">
        <v>21057.0</v>
      </c>
      <c r="D1998" s="2">
        <v>7061.0</v>
      </c>
      <c r="E1998" s="3">
        <f t="shared" si="1"/>
        <v>0.3667099455</v>
      </c>
      <c r="F1998" s="2">
        <v>2693.0</v>
      </c>
      <c r="G1998" s="3">
        <f t="shared" si="2"/>
        <v>0.1398597767</v>
      </c>
      <c r="H1998" s="2">
        <v>4213.0</v>
      </c>
      <c r="I1998" s="3">
        <f t="shared" si="3"/>
        <v>0.2188003116</v>
      </c>
      <c r="J1998" s="2">
        <v>3519.0</v>
      </c>
      <c r="K1998" s="3">
        <f t="shared" si="4"/>
        <v>0.1827577253</v>
      </c>
      <c r="L1998" s="2">
        <v>2559.0</v>
      </c>
      <c r="M1998" s="3">
        <f t="shared" si="5"/>
        <v>0.6074056492</v>
      </c>
      <c r="N1998" s="2">
        <v>2.43672E7</v>
      </c>
      <c r="O1998" s="4">
        <f t="shared" si="6"/>
        <v>5783.81201</v>
      </c>
      <c r="P1998" s="2">
        <v>5.0</v>
      </c>
      <c r="Q1998" s="3">
        <f t="shared" si="7"/>
        <v>0.002774694784</v>
      </c>
      <c r="R1998" s="2">
        <v>1802.0</v>
      </c>
      <c r="S1998" s="5">
        <f t="shared" si="8"/>
        <v>1</v>
      </c>
    </row>
    <row r="1999">
      <c r="A1999" s="2" t="s">
        <v>2010</v>
      </c>
      <c r="B1999" s="2">
        <v>192.0</v>
      </c>
      <c r="C1999" s="2">
        <v>2287.0</v>
      </c>
      <c r="D1999" s="2">
        <v>651.0</v>
      </c>
      <c r="E1999" s="3">
        <f t="shared" si="1"/>
        <v>0.3107398568</v>
      </c>
      <c r="F1999" s="2">
        <v>293.0</v>
      </c>
      <c r="G1999" s="3">
        <f t="shared" si="2"/>
        <v>0.1398568019</v>
      </c>
      <c r="H1999" s="2">
        <v>462.0</v>
      </c>
      <c r="I1999" s="3">
        <f t="shared" si="3"/>
        <v>0.2205250597</v>
      </c>
      <c r="J1999" s="2">
        <v>385.0</v>
      </c>
      <c r="K1999" s="3">
        <f t="shared" si="4"/>
        <v>0.1837708831</v>
      </c>
      <c r="L1999" s="2">
        <v>283.0</v>
      </c>
      <c r="M1999" s="3">
        <f t="shared" si="5"/>
        <v>0.6125541126</v>
      </c>
      <c r="N1999" s="2">
        <v>2370400.0</v>
      </c>
      <c r="O1999" s="4">
        <f t="shared" si="6"/>
        <v>5130.735931</v>
      </c>
      <c r="P1999" s="2">
        <v>0.0</v>
      </c>
      <c r="Q1999" s="3">
        <f t="shared" si="7"/>
        <v>0</v>
      </c>
      <c r="R1999" s="2">
        <v>0.0</v>
      </c>
      <c r="S1999" s="5">
        <f t="shared" si="8"/>
        <v>0</v>
      </c>
    </row>
    <row r="2000">
      <c r="A2000" s="2" t="s">
        <v>2011</v>
      </c>
      <c r="B2000" s="2">
        <v>114.0</v>
      </c>
      <c r="C2000" s="2">
        <v>1301.0</v>
      </c>
      <c r="D2000" s="2">
        <v>425.0</v>
      </c>
      <c r="E2000" s="3">
        <f t="shared" si="1"/>
        <v>0.3580454928</v>
      </c>
      <c r="F2000" s="2">
        <v>166.0</v>
      </c>
      <c r="G2000" s="3">
        <f t="shared" si="2"/>
        <v>0.1398483572</v>
      </c>
      <c r="H2000" s="2">
        <v>294.0</v>
      </c>
      <c r="I2000" s="3">
        <f t="shared" si="3"/>
        <v>0.247683235</v>
      </c>
      <c r="J2000" s="2">
        <v>237.0</v>
      </c>
      <c r="K2000" s="3">
        <f t="shared" si="4"/>
        <v>0.199663016</v>
      </c>
      <c r="L2000" s="2">
        <v>187.0</v>
      </c>
      <c r="M2000" s="3">
        <f t="shared" si="5"/>
        <v>0.6360544218</v>
      </c>
      <c r="N2000" s="2">
        <v>1548400.0</v>
      </c>
      <c r="O2000" s="4">
        <f t="shared" si="6"/>
        <v>5266.666667</v>
      </c>
      <c r="P2000" s="2">
        <v>0.0</v>
      </c>
      <c r="Q2000" s="3">
        <f t="shared" si="7"/>
        <v>0</v>
      </c>
      <c r="R2000" s="2">
        <v>114.0</v>
      </c>
      <c r="S2000" s="5">
        <f t="shared" si="8"/>
        <v>1</v>
      </c>
    </row>
    <row r="2001">
      <c r="A2001" s="2" t="s">
        <v>2012</v>
      </c>
      <c r="B2001" s="2">
        <v>116.0</v>
      </c>
      <c r="C2001" s="2">
        <v>1396.0</v>
      </c>
      <c r="D2001" s="2">
        <v>447.0</v>
      </c>
      <c r="E2001" s="3">
        <f t="shared" si="1"/>
        <v>0.34921875</v>
      </c>
      <c r="F2001" s="2">
        <v>179.0</v>
      </c>
      <c r="G2001" s="3">
        <f t="shared" si="2"/>
        <v>0.13984375</v>
      </c>
      <c r="H2001" s="2">
        <v>285.0</v>
      </c>
      <c r="I2001" s="3">
        <f t="shared" si="3"/>
        <v>0.22265625</v>
      </c>
      <c r="J2001" s="2">
        <v>188.0</v>
      </c>
      <c r="K2001" s="3">
        <f t="shared" si="4"/>
        <v>0.146875</v>
      </c>
      <c r="L2001" s="2">
        <v>175.0</v>
      </c>
      <c r="M2001" s="3">
        <f t="shared" si="5"/>
        <v>0.6140350877</v>
      </c>
      <c r="N2001" s="2">
        <v>1566300.0</v>
      </c>
      <c r="O2001" s="4">
        <f t="shared" si="6"/>
        <v>5495.789474</v>
      </c>
      <c r="P2001" s="2">
        <v>0.0</v>
      </c>
      <c r="Q2001" s="3">
        <f t="shared" si="7"/>
        <v>0</v>
      </c>
      <c r="R2001" s="2">
        <v>116.0</v>
      </c>
      <c r="S2001" s="5">
        <f t="shared" si="8"/>
        <v>1</v>
      </c>
    </row>
    <row r="2002">
      <c r="A2002" s="2" t="s">
        <v>2013</v>
      </c>
      <c r="B2002" s="2">
        <v>34.0</v>
      </c>
      <c r="C2002" s="2">
        <v>413.0</v>
      </c>
      <c r="D2002" s="2">
        <v>157.0</v>
      </c>
      <c r="E2002" s="3">
        <f t="shared" si="1"/>
        <v>0.4142480211</v>
      </c>
      <c r="F2002" s="2">
        <v>53.0</v>
      </c>
      <c r="G2002" s="3">
        <f t="shared" si="2"/>
        <v>0.1398416887</v>
      </c>
      <c r="H2002" s="2">
        <v>88.0</v>
      </c>
      <c r="I2002" s="3">
        <f t="shared" si="3"/>
        <v>0.2321899736</v>
      </c>
      <c r="J2002" s="2">
        <v>70.0</v>
      </c>
      <c r="K2002" s="3">
        <f t="shared" si="4"/>
        <v>0.1846965699</v>
      </c>
      <c r="L2002" s="2">
        <v>50.0</v>
      </c>
      <c r="M2002" s="3">
        <f t="shared" si="5"/>
        <v>0.5681818182</v>
      </c>
      <c r="N2002" s="2">
        <v>558600.0</v>
      </c>
      <c r="O2002" s="4">
        <f t="shared" si="6"/>
        <v>6347.727273</v>
      </c>
      <c r="P2002" s="2">
        <v>1.0</v>
      </c>
      <c r="Q2002" s="3">
        <f t="shared" si="7"/>
        <v>0.02941176471</v>
      </c>
      <c r="R2002" s="2">
        <v>34.0</v>
      </c>
      <c r="S2002" s="5">
        <f t="shared" si="8"/>
        <v>1</v>
      </c>
    </row>
    <row r="2003">
      <c r="A2003" s="2" t="s">
        <v>2014</v>
      </c>
      <c r="B2003" s="2">
        <v>703.0</v>
      </c>
      <c r="C2003" s="2">
        <v>8169.0</v>
      </c>
      <c r="D2003" s="2">
        <v>2328.0</v>
      </c>
      <c r="E2003" s="3">
        <f t="shared" si="1"/>
        <v>0.3118135548</v>
      </c>
      <c r="F2003" s="2">
        <v>1044.0</v>
      </c>
      <c r="G2003" s="3">
        <f t="shared" si="2"/>
        <v>0.1398339137</v>
      </c>
      <c r="H2003" s="2">
        <v>1420.0</v>
      </c>
      <c r="I2003" s="3">
        <f t="shared" si="3"/>
        <v>0.1901955532</v>
      </c>
      <c r="J2003" s="2">
        <v>1125.0</v>
      </c>
      <c r="K2003" s="3">
        <f t="shared" si="4"/>
        <v>0.1506830967</v>
      </c>
      <c r="L2003" s="2">
        <v>875.0</v>
      </c>
      <c r="M2003" s="3">
        <f t="shared" si="5"/>
        <v>0.6161971831</v>
      </c>
      <c r="N2003" s="2">
        <v>8527800.0</v>
      </c>
      <c r="O2003" s="4">
        <f t="shared" si="6"/>
        <v>6005.492958</v>
      </c>
      <c r="P2003" s="2">
        <v>4.0</v>
      </c>
      <c r="Q2003" s="3">
        <f t="shared" si="7"/>
        <v>0.005689900427</v>
      </c>
      <c r="R2003" s="2">
        <v>703.0</v>
      </c>
      <c r="S2003" s="5">
        <f t="shared" si="8"/>
        <v>1</v>
      </c>
    </row>
    <row r="2004">
      <c r="A2004" s="2" t="s">
        <v>2015</v>
      </c>
      <c r="B2004" s="2">
        <v>240.0</v>
      </c>
      <c r="C2004" s="2">
        <v>2779.0</v>
      </c>
      <c r="D2004" s="2">
        <v>853.0</v>
      </c>
      <c r="E2004" s="3">
        <f t="shared" si="1"/>
        <v>0.335959039</v>
      </c>
      <c r="F2004" s="2">
        <v>355.0</v>
      </c>
      <c r="G2004" s="3">
        <f t="shared" si="2"/>
        <v>0.1398188263</v>
      </c>
      <c r="H2004" s="2">
        <v>532.0</v>
      </c>
      <c r="I2004" s="3">
        <f t="shared" si="3"/>
        <v>0.2095313115</v>
      </c>
      <c r="J2004" s="2">
        <v>408.0</v>
      </c>
      <c r="K2004" s="3">
        <f t="shared" si="4"/>
        <v>0.1606931863</v>
      </c>
      <c r="L2004" s="2">
        <v>327.0</v>
      </c>
      <c r="M2004" s="3">
        <f t="shared" si="5"/>
        <v>0.6146616541</v>
      </c>
      <c r="N2004" s="2">
        <v>2896400.0</v>
      </c>
      <c r="O2004" s="4">
        <f t="shared" si="6"/>
        <v>5444.360902</v>
      </c>
      <c r="P2004" s="2">
        <v>1.0</v>
      </c>
      <c r="Q2004" s="3">
        <f t="shared" si="7"/>
        <v>0.004166666667</v>
      </c>
      <c r="R2004" s="2">
        <v>240.0</v>
      </c>
      <c r="S2004" s="5">
        <f t="shared" si="8"/>
        <v>1</v>
      </c>
    </row>
    <row r="2005">
      <c r="A2005" s="2" t="s">
        <v>2016</v>
      </c>
      <c r="B2005" s="2">
        <v>754.0</v>
      </c>
      <c r="C2005" s="2">
        <v>8808.0</v>
      </c>
      <c r="D2005" s="2">
        <v>3088.0</v>
      </c>
      <c r="E2005" s="3">
        <f t="shared" si="1"/>
        <v>0.3834119692</v>
      </c>
      <c r="F2005" s="2">
        <v>1126.0</v>
      </c>
      <c r="G2005" s="3">
        <f t="shared" si="2"/>
        <v>0.1398063074</v>
      </c>
      <c r="H2005" s="2">
        <v>1746.0</v>
      </c>
      <c r="I2005" s="3">
        <f t="shared" si="3"/>
        <v>0.2167866898</v>
      </c>
      <c r="J2005" s="2">
        <v>1432.0</v>
      </c>
      <c r="K2005" s="3">
        <f t="shared" si="4"/>
        <v>0.177799851</v>
      </c>
      <c r="L2005" s="2">
        <v>1064.0</v>
      </c>
      <c r="M2005" s="3">
        <f t="shared" si="5"/>
        <v>0.6093928981</v>
      </c>
      <c r="N2005" s="2">
        <v>9505900.0</v>
      </c>
      <c r="O2005" s="4">
        <f t="shared" si="6"/>
        <v>5444.387171</v>
      </c>
      <c r="P2005" s="2">
        <v>0.0</v>
      </c>
      <c r="Q2005" s="3">
        <f t="shared" si="7"/>
        <v>0</v>
      </c>
      <c r="R2005" s="2">
        <v>754.0</v>
      </c>
      <c r="S2005" s="5">
        <f t="shared" si="8"/>
        <v>1</v>
      </c>
    </row>
    <row r="2006">
      <c r="A2006" s="2" t="s">
        <v>2017</v>
      </c>
      <c r="B2006" s="2">
        <v>391.0</v>
      </c>
      <c r="C2006" s="2">
        <v>4547.0</v>
      </c>
      <c r="D2006" s="2">
        <v>1545.0</v>
      </c>
      <c r="E2006" s="3">
        <f t="shared" si="1"/>
        <v>0.3717516843</v>
      </c>
      <c r="F2006" s="2">
        <v>581.0</v>
      </c>
      <c r="G2006" s="3">
        <f t="shared" si="2"/>
        <v>0.1397978826</v>
      </c>
      <c r="H2006" s="2">
        <v>889.0</v>
      </c>
      <c r="I2006" s="3">
        <f t="shared" si="3"/>
        <v>0.2139076035</v>
      </c>
      <c r="J2006" s="2">
        <v>757.0</v>
      </c>
      <c r="K2006" s="3">
        <f t="shared" si="4"/>
        <v>0.1821462945</v>
      </c>
      <c r="L2006" s="2">
        <v>521.0</v>
      </c>
      <c r="M2006" s="3">
        <f t="shared" si="5"/>
        <v>0.5860517435</v>
      </c>
      <c r="N2006" s="2">
        <v>4930100.0</v>
      </c>
      <c r="O2006" s="4">
        <f t="shared" si="6"/>
        <v>5545.669291</v>
      </c>
      <c r="P2006" s="2">
        <v>0.0</v>
      </c>
      <c r="Q2006" s="3">
        <f t="shared" si="7"/>
        <v>0</v>
      </c>
      <c r="R2006" s="2">
        <v>1.0</v>
      </c>
      <c r="S2006" s="5">
        <f t="shared" si="8"/>
        <v>0.002557544757</v>
      </c>
    </row>
    <row r="2007">
      <c r="A2007" s="2" t="s">
        <v>2018</v>
      </c>
      <c r="B2007" s="2">
        <v>729.0</v>
      </c>
      <c r="C2007" s="2">
        <v>8505.0</v>
      </c>
      <c r="D2007" s="2">
        <v>2962.0</v>
      </c>
      <c r="E2007" s="3">
        <f t="shared" si="1"/>
        <v>0.3809156379</v>
      </c>
      <c r="F2007" s="2">
        <v>1087.0</v>
      </c>
      <c r="G2007" s="3">
        <f t="shared" si="2"/>
        <v>0.1397890947</v>
      </c>
      <c r="H2007" s="2">
        <v>1640.0</v>
      </c>
      <c r="I2007" s="3">
        <f t="shared" si="3"/>
        <v>0.2109053498</v>
      </c>
      <c r="J2007" s="2">
        <v>1342.0</v>
      </c>
      <c r="K2007" s="3">
        <f t="shared" si="4"/>
        <v>0.1725823045</v>
      </c>
      <c r="L2007" s="2">
        <v>976.0</v>
      </c>
      <c r="M2007" s="3">
        <f t="shared" si="5"/>
        <v>0.5951219512</v>
      </c>
      <c r="N2007" s="2">
        <v>9183200.0</v>
      </c>
      <c r="O2007" s="4">
        <f t="shared" si="6"/>
        <v>5599.512195</v>
      </c>
      <c r="P2007" s="2">
        <v>1.0</v>
      </c>
      <c r="Q2007" s="3">
        <f t="shared" si="7"/>
        <v>0.001371742112</v>
      </c>
      <c r="R2007" s="2">
        <v>729.0</v>
      </c>
      <c r="S2007" s="5">
        <f t="shared" si="8"/>
        <v>1</v>
      </c>
    </row>
    <row r="2008">
      <c r="A2008" s="2" t="s">
        <v>2019</v>
      </c>
      <c r="B2008" s="2">
        <v>92.0</v>
      </c>
      <c r="C2008" s="2">
        <v>1115.0</v>
      </c>
      <c r="D2008" s="2">
        <v>295.0</v>
      </c>
      <c r="E2008" s="3">
        <f t="shared" si="1"/>
        <v>0.2883675464</v>
      </c>
      <c r="F2008" s="2">
        <v>143.0</v>
      </c>
      <c r="G2008" s="3">
        <f t="shared" si="2"/>
        <v>0.1397849462</v>
      </c>
      <c r="H2008" s="2">
        <v>228.0</v>
      </c>
      <c r="I2008" s="3">
        <f t="shared" si="3"/>
        <v>0.2228739003</v>
      </c>
      <c r="J2008" s="2">
        <v>228.0</v>
      </c>
      <c r="K2008" s="3">
        <f t="shared" si="4"/>
        <v>0.2228739003</v>
      </c>
      <c r="L2008" s="2">
        <v>137.0</v>
      </c>
      <c r="M2008" s="3">
        <f t="shared" si="5"/>
        <v>0.600877193</v>
      </c>
      <c r="N2008" s="2">
        <v>1292900.0</v>
      </c>
      <c r="O2008" s="4">
        <f t="shared" si="6"/>
        <v>5670.614035</v>
      </c>
      <c r="P2008" s="2">
        <v>0.0</v>
      </c>
      <c r="Q2008" s="3">
        <f t="shared" si="7"/>
        <v>0</v>
      </c>
      <c r="R2008" s="2">
        <v>92.0</v>
      </c>
      <c r="S2008" s="5">
        <f t="shared" si="8"/>
        <v>1</v>
      </c>
    </row>
    <row r="2009">
      <c r="A2009" s="2" t="s">
        <v>2020</v>
      </c>
      <c r="B2009" s="2">
        <v>41.0</v>
      </c>
      <c r="C2009" s="2">
        <v>506.0</v>
      </c>
      <c r="D2009" s="2">
        <v>147.0</v>
      </c>
      <c r="E2009" s="3">
        <f t="shared" si="1"/>
        <v>0.3161290323</v>
      </c>
      <c r="F2009" s="2">
        <v>65.0</v>
      </c>
      <c r="G2009" s="3">
        <f t="shared" si="2"/>
        <v>0.1397849462</v>
      </c>
      <c r="H2009" s="2">
        <v>103.0</v>
      </c>
      <c r="I2009" s="3">
        <f t="shared" si="3"/>
        <v>0.2215053763</v>
      </c>
      <c r="J2009" s="2">
        <v>92.0</v>
      </c>
      <c r="K2009" s="3">
        <f t="shared" si="4"/>
        <v>0.1978494624</v>
      </c>
      <c r="L2009" s="2">
        <v>64.0</v>
      </c>
      <c r="M2009" s="3">
        <f t="shared" si="5"/>
        <v>0.6213592233</v>
      </c>
      <c r="N2009" s="2">
        <v>596500.0</v>
      </c>
      <c r="O2009" s="4">
        <f t="shared" si="6"/>
        <v>5791.262136</v>
      </c>
      <c r="P2009" s="2">
        <v>0.0</v>
      </c>
      <c r="Q2009" s="3">
        <f t="shared" si="7"/>
        <v>0</v>
      </c>
      <c r="R2009" s="2">
        <v>41.0</v>
      </c>
      <c r="S2009" s="5">
        <f t="shared" si="8"/>
        <v>1</v>
      </c>
    </row>
    <row r="2010">
      <c r="A2010" s="2" t="s">
        <v>2021</v>
      </c>
      <c r="B2010" s="2">
        <v>17.0</v>
      </c>
      <c r="C2010" s="2">
        <v>203.0</v>
      </c>
      <c r="D2010" s="2">
        <v>68.0</v>
      </c>
      <c r="E2010" s="3">
        <f t="shared" si="1"/>
        <v>0.3655913978</v>
      </c>
      <c r="F2010" s="2">
        <v>26.0</v>
      </c>
      <c r="G2010" s="3">
        <f t="shared" si="2"/>
        <v>0.1397849462</v>
      </c>
      <c r="H2010" s="2">
        <v>38.0</v>
      </c>
      <c r="I2010" s="3">
        <f t="shared" si="3"/>
        <v>0.2043010753</v>
      </c>
      <c r="J2010" s="2">
        <v>33.0</v>
      </c>
      <c r="K2010" s="3">
        <f t="shared" si="4"/>
        <v>0.1774193548</v>
      </c>
      <c r="L2010" s="2">
        <v>27.0</v>
      </c>
      <c r="M2010" s="3">
        <f t="shared" si="5"/>
        <v>0.7105263158</v>
      </c>
      <c r="N2010" s="2">
        <v>197100.0</v>
      </c>
      <c r="O2010" s="4">
        <f t="shared" si="6"/>
        <v>5186.842105</v>
      </c>
      <c r="P2010" s="2">
        <v>0.0</v>
      </c>
      <c r="Q2010" s="3">
        <f t="shared" si="7"/>
        <v>0</v>
      </c>
      <c r="R2010" s="2">
        <v>17.0</v>
      </c>
      <c r="S2010" s="5">
        <f t="shared" si="8"/>
        <v>1</v>
      </c>
    </row>
    <row r="2011">
      <c r="A2011" s="2" t="s">
        <v>2022</v>
      </c>
      <c r="B2011" s="2">
        <v>137.0</v>
      </c>
      <c r="C2011" s="2">
        <v>1575.0</v>
      </c>
      <c r="D2011" s="2">
        <v>484.0</v>
      </c>
      <c r="E2011" s="3">
        <f t="shared" si="1"/>
        <v>0.3365785814</v>
      </c>
      <c r="F2011" s="2">
        <v>201.0</v>
      </c>
      <c r="G2011" s="3">
        <f t="shared" si="2"/>
        <v>0.1397774687</v>
      </c>
      <c r="H2011" s="2">
        <v>356.0</v>
      </c>
      <c r="I2011" s="3">
        <f t="shared" si="3"/>
        <v>0.247566064</v>
      </c>
      <c r="J2011" s="2">
        <v>294.0</v>
      </c>
      <c r="K2011" s="3">
        <f t="shared" si="4"/>
        <v>0.2044506259</v>
      </c>
      <c r="L2011" s="2">
        <v>200.0</v>
      </c>
      <c r="M2011" s="3">
        <f t="shared" si="5"/>
        <v>0.5617977528</v>
      </c>
      <c r="N2011" s="2">
        <v>2037200.0</v>
      </c>
      <c r="O2011" s="4">
        <f t="shared" si="6"/>
        <v>5722.47191</v>
      </c>
      <c r="P2011" s="2">
        <v>0.0</v>
      </c>
      <c r="Q2011" s="3">
        <f t="shared" si="7"/>
        <v>0</v>
      </c>
      <c r="R2011" s="2">
        <v>137.0</v>
      </c>
      <c r="S2011" s="5">
        <f t="shared" si="8"/>
        <v>1</v>
      </c>
    </row>
    <row r="2012">
      <c r="A2012" s="2" t="s">
        <v>2023</v>
      </c>
      <c r="B2012" s="2">
        <v>219.0</v>
      </c>
      <c r="C2012" s="2">
        <v>2630.0</v>
      </c>
      <c r="D2012" s="2">
        <v>894.0</v>
      </c>
      <c r="E2012" s="3">
        <f t="shared" si="1"/>
        <v>0.3708004977</v>
      </c>
      <c r="F2012" s="2">
        <v>337.0</v>
      </c>
      <c r="G2012" s="3">
        <f t="shared" si="2"/>
        <v>0.1397760265</v>
      </c>
      <c r="H2012" s="2">
        <v>510.0</v>
      </c>
      <c r="I2012" s="3">
        <f t="shared" si="3"/>
        <v>0.2115304853</v>
      </c>
      <c r="J2012" s="2">
        <v>461.0</v>
      </c>
      <c r="K2012" s="3">
        <f t="shared" si="4"/>
        <v>0.1912069681</v>
      </c>
      <c r="L2012" s="2">
        <v>300.0</v>
      </c>
      <c r="M2012" s="3">
        <f t="shared" si="5"/>
        <v>0.5882352941</v>
      </c>
      <c r="N2012" s="2">
        <v>2863300.0</v>
      </c>
      <c r="O2012" s="4">
        <f t="shared" si="6"/>
        <v>5614.313725</v>
      </c>
      <c r="P2012" s="2">
        <v>0.0</v>
      </c>
      <c r="Q2012" s="3">
        <f t="shared" si="7"/>
        <v>0</v>
      </c>
      <c r="R2012" s="2">
        <v>219.0</v>
      </c>
      <c r="S2012" s="5">
        <f t="shared" si="8"/>
        <v>1</v>
      </c>
    </row>
    <row r="2013">
      <c r="A2013" s="2" t="s">
        <v>2024</v>
      </c>
      <c r="B2013" s="2">
        <v>738.0</v>
      </c>
      <c r="C2013" s="2">
        <v>8572.0</v>
      </c>
      <c r="D2013" s="2">
        <v>2806.0</v>
      </c>
      <c r="E2013" s="3">
        <f t="shared" si="1"/>
        <v>0.3581822824</v>
      </c>
      <c r="F2013" s="2">
        <v>1095.0</v>
      </c>
      <c r="G2013" s="3">
        <f t="shared" si="2"/>
        <v>0.1397753383</v>
      </c>
      <c r="H2013" s="2">
        <v>1739.0</v>
      </c>
      <c r="I2013" s="3">
        <f t="shared" si="3"/>
        <v>0.221981108</v>
      </c>
      <c r="J2013" s="2">
        <v>1358.0</v>
      </c>
      <c r="K2013" s="3">
        <f t="shared" si="4"/>
        <v>0.1733469492</v>
      </c>
      <c r="L2013" s="2">
        <v>1033.0</v>
      </c>
      <c r="M2013" s="3">
        <f t="shared" si="5"/>
        <v>0.5940195515</v>
      </c>
      <c r="N2013" s="2">
        <v>9608900.0</v>
      </c>
      <c r="O2013" s="4">
        <f t="shared" si="6"/>
        <v>5525.531915</v>
      </c>
      <c r="P2013" s="2">
        <v>0.0</v>
      </c>
      <c r="Q2013" s="3">
        <f t="shared" si="7"/>
        <v>0</v>
      </c>
      <c r="R2013" s="2">
        <v>738.0</v>
      </c>
      <c r="S2013" s="5">
        <f t="shared" si="8"/>
        <v>1</v>
      </c>
    </row>
    <row r="2014">
      <c r="A2014" s="2" t="s">
        <v>2025</v>
      </c>
      <c r="B2014" s="2">
        <v>77.0</v>
      </c>
      <c r="C2014" s="2">
        <v>864.0</v>
      </c>
      <c r="D2014" s="2">
        <v>294.0</v>
      </c>
      <c r="E2014" s="3">
        <f t="shared" si="1"/>
        <v>0.373570521</v>
      </c>
      <c r="F2014" s="2">
        <v>110.0</v>
      </c>
      <c r="G2014" s="3">
        <f t="shared" si="2"/>
        <v>0.1397712834</v>
      </c>
      <c r="H2014" s="2">
        <v>170.0</v>
      </c>
      <c r="I2014" s="3">
        <f t="shared" si="3"/>
        <v>0.2160101652</v>
      </c>
      <c r="J2014" s="2">
        <v>143.0</v>
      </c>
      <c r="K2014" s="3">
        <f t="shared" si="4"/>
        <v>0.1817026684</v>
      </c>
      <c r="L2014" s="2">
        <v>90.0</v>
      </c>
      <c r="M2014" s="3">
        <f t="shared" si="5"/>
        <v>0.5294117647</v>
      </c>
      <c r="N2014" s="2">
        <v>970300.0</v>
      </c>
      <c r="O2014" s="4">
        <f t="shared" si="6"/>
        <v>5707.647059</v>
      </c>
      <c r="P2014" s="2">
        <v>0.0</v>
      </c>
      <c r="Q2014" s="3">
        <f t="shared" si="7"/>
        <v>0</v>
      </c>
      <c r="R2014" s="2">
        <v>77.0</v>
      </c>
      <c r="S2014" s="5">
        <f t="shared" si="8"/>
        <v>1</v>
      </c>
    </row>
    <row r="2015">
      <c r="A2015" s="2" t="s">
        <v>2026</v>
      </c>
      <c r="B2015" s="2">
        <v>479.0</v>
      </c>
      <c r="C2015" s="2">
        <v>5552.0</v>
      </c>
      <c r="D2015" s="2">
        <v>1947.0</v>
      </c>
      <c r="E2015" s="3">
        <f t="shared" si="1"/>
        <v>0.3837965701</v>
      </c>
      <c r="F2015" s="2">
        <v>709.0</v>
      </c>
      <c r="G2015" s="3">
        <f t="shared" si="2"/>
        <v>0.1397595111</v>
      </c>
      <c r="H2015" s="2">
        <v>1084.0</v>
      </c>
      <c r="I2015" s="3">
        <f t="shared" si="3"/>
        <v>0.2136802681</v>
      </c>
      <c r="J2015" s="2">
        <v>874.0</v>
      </c>
      <c r="K2015" s="3">
        <f t="shared" si="4"/>
        <v>0.1722846442</v>
      </c>
      <c r="L2015" s="2">
        <v>648.0</v>
      </c>
      <c r="M2015" s="3">
        <f t="shared" si="5"/>
        <v>0.5977859779</v>
      </c>
      <c r="N2015" s="2">
        <v>5770900.0</v>
      </c>
      <c r="O2015" s="4">
        <f t="shared" si="6"/>
        <v>5323.708487</v>
      </c>
      <c r="P2015" s="2">
        <v>1.0</v>
      </c>
      <c r="Q2015" s="3">
        <f t="shared" si="7"/>
        <v>0.002087682672</v>
      </c>
      <c r="R2015" s="2">
        <v>479.0</v>
      </c>
      <c r="S2015" s="5">
        <f t="shared" si="8"/>
        <v>1</v>
      </c>
    </row>
    <row r="2016">
      <c r="A2016" s="2" t="s">
        <v>2027</v>
      </c>
      <c r="B2016" s="2">
        <v>714.0</v>
      </c>
      <c r="C2016" s="2">
        <v>8213.0</v>
      </c>
      <c r="D2016" s="2">
        <v>2564.0</v>
      </c>
      <c r="E2016" s="3">
        <f t="shared" si="1"/>
        <v>0.341912255</v>
      </c>
      <c r="F2016" s="2">
        <v>1048.0</v>
      </c>
      <c r="G2016" s="3">
        <f t="shared" si="2"/>
        <v>0.1397519669</v>
      </c>
      <c r="H2016" s="2">
        <v>1632.0</v>
      </c>
      <c r="I2016" s="3">
        <f t="shared" si="3"/>
        <v>0.2176290172</v>
      </c>
      <c r="J2016" s="2">
        <v>1360.0</v>
      </c>
      <c r="K2016" s="3">
        <f t="shared" si="4"/>
        <v>0.1813575143</v>
      </c>
      <c r="L2016" s="2">
        <v>965.0</v>
      </c>
      <c r="M2016" s="3">
        <f t="shared" si="5"/>
        <v>0.5912990196</v>
      </c>
      <c r="N2016" s="2">
        <v>9021000.0</v>
      </c>
      <c r="O2016" s="4">
        <f t="shared" si="6"/>
        <v>5527.573529</v>
      </c>
      <c r="P2016" s="2">
        <v>2.0</v>
      </c>
      <c r="Q2016" s="3">
        <f t="shared" si="7"/>
        <v>0.002801120448</v>
      </c>
      <c r="R2016" s="2">
        <v>714.0</v>
      </c>
      <c r="S2016" s="5">
        <f t="shared" si="8"/>
        <v>1</v>
      </c>
    </row>
    <row r="2017">
      <c r="A2017" s="2" t="s">
        <v>2028</v>
      </c>
      <c r="B2017" s="2">
        <v>212.0</v>
      </c>
      <c r="C2017" s="2">
        <v>2459.0</v>
      </c>
      <c r="D2017" s="2">
        <v>757.0</v>
      </c>
      <c r="E2017" s="3">
        <f t="shared" si="1"/>
        <v>0.336893636</v>
      </c>
      <c r="F2017" s="2">
        <v>314.0</v>
      </c>
      <c r="G2017" s="3">
        <f t="shared" si="2"/>
        <v>0.1397418781</v>
      </c>
      <c r="H2017" s="2">
        <v>429.0</v>
      </c>
      <c r="I2017" s="3">
        <f t="shared" si="3"/>
        <v>0.1909212283</v>
      </c>
      <c r="J2017" s="2">
        <v>413.0</v>
      </c>
      <c r="K2017" s="3">
        <f t="shared" si="4"/>
        <v>0.1838006231</v>
      </c>
      <c r="L2017" s="2">
        <v>244.0</v>
      </c>
      <c r="M2017" s="3">
        <f t="shared" si="5"/>
        <v>0.5687645688</v>
      </c>
      <c r="N2017" s="2">
        <v>2740600.0</v>
      </c>
      <c r="O2017" s="4">
        <f t="shared" si="6"/>
        <v>6388.344988</v>
      </c>
      <c r="P2017" s="2">
        <v>1.0</v>
      </c>
      <c r="Q2017" s="3">
        <f t="shared" si="7"/>
        <v>0.004716981132</v>
      </c>
      <c r="R2017" s="2">
        <v>212.0</v>
      </c>
      <c r="S2017" s="5">
        <f t="shared" si="8"/>
        <v>1</v>
      </c>
    </row>
    <row r="2018">
      <c r="A2018" s="2" t="s">
        <v>2029</v>
      </c>
      <c r="B2018" s="2">
        <v>94.0</v>
      </c>
      <c r="C2018" s="2">
        <v>1146.0</v>
      </c>
      <c r="D2018" s="2">
        <v>369.0</v>
      </c>
      <c r="E2018" s="3">
        <f t="shared" si="1"/>
        <v>0.3507604563</v>
      </c>
      <c r="F2018" s="2">
        <v>147.0</v>
      </c>
      <c r="G2018" s="3">
        <f t="shared" si="2"/>
        <v>0.1397338403</v>
      </c>
      <c r="H2018" s="2">
        <v>200.0</v>
      </c>
      <c r="I2018" s="3">
        <f t="shared" si="3"/>
        <v>0.1901140684</v>
      </c>
      <c r="J2018" s="2">
        <v>195.0</v>
      </c>
      <c r="K2018" s="3">
        <f t="shared" si="4"/>
        <v>0.1853612167</v>
      </c>
      <c r="L2018" s="2">
        <v>121.0</v>
      </c>
      <c r="M2018" s="3">
        <f t="shared" si="5"/>
        <v>0.605</v>
      </c>
      <c r="N2018" s="2">
        <v>1068400.0</v>
      </c>
      <c r="O2018" s="4">
        <f t="shared" si="6"/>
        <v>5342</v>
      </c>
      <c r="P2018" s="2">
        <v>0.0</v>
      </c>
      <c r="Q2018" s="3">
        <f t="shared" si="7"/>
        <v>0</v>
      </c>
      <c r="R2018" s="2">
        <v>94.0</v>
      </c>
      <c r="S2018" s="5">
        <f t="shared" si="8"/>
        <v>1</v>
      </c>
    </row>
    <row r="2019">
      <c r="A2019" s="2" t="s">
        <v>2030</v>
      </c>
      <c r="B2019" s="2">
        <v>57.0</v>
      </c>
      <c r="C2019" s="2">
        <v>651.0</v>
      </c>
      <c r="D2019" s="2">
        <v>216.0</v>
      </c>
      <c r="E2019" s="3">
        <f t="shared" si="1"/>
        <v>0.3636363636</v>
      </c>
      <c r="F2019" s="2">
        <v>83.0</v>
      </c>
      <c r="G2019" s="3">
        <f t="shared" si="2"/>
        <v>0.1397306397</v>
      </c>
      <c r="H2019" s="2">
        <v>131.0</v>
      </c>
      <c r="I2019" s="3">
        <f t="shared" si="3"/>
        <v>0.2205387205</v>
      </c>
      <c r="J2019" s="2">
        <v>110.0</v>
      </c>
      <c r="K2019" s="3">
        <f t="shared" si="4"/>
        <v>0.1851851852</v>
      </c>
      <c r="L2019" s="2">
        <v>76.0</v>
      </c>
      <c r="M2019" s="3">
        <f t="shared" si="5"/>
        <v>0.5801526718</v>
      </c>
      <c r="N2019" s="2">
        <v>798900.0</v>
      </c>
      <c r="O2019" s="4">
        <f t="shared" si="6"/>
        <v>6098.473282</v>
      </c>
      <c r="P2019" s="2">
        <v>1.0</v>
      </c>
      <c r="Q2019" s="3">
        <f t="shared" si="7"/>
        <v>0.01754385965</v>
      </c>
      <c r="R2019" s="2">
        <v>0.0</v>
      </c>
      <c r="S2019" s="5">
        <f t="shared" si="8"/>
        <v>0</v>
      </c>
    </row>
    <row r="2020">
      <c r="A2020" s="2" t="s">
        <v>2031</v>
      </c>
      <c r="B2020" s="2">
        <v>49.0</v>
      </c>
      <c r="C2020" s="2">
        <v>550.0</v>
      </c>
      <c r="D2020" s="2">
        <v>119.0</v>
      </c>
      <c r="E2020" s="3">
        <f t="shared" si="1"/>
        <v>0.2375249501</v>
      </c>
      <c r="F2020" s="2">
        <v>70.0</v>
      </c>
      <c r="G2020" s="3">
        <f t="shared" si="2"/>
        <v>0.1397205589</v>
      </c>
      <c r="H2020" s="2">
        <v>80.0</v>
      </c>
      <c r="I2020" s="3">
        <f t="shared" si="3"/>
        <v>0.1596806387</v>
      </c>
      <c r="J2020" s="2">
        <v>82.0</v>
      </c>
      <c r="K2020" s="3">
        <f t="shared" si="4"/>
        <v>0.1636726547</v>
      </c>
      <c r="L2020" s="2">
        <v>40.0</v>
      </c>
      <c r="M2020" s="3">
        <f t="shared" si="5"/>
        <v>0.5</v>
      </c>
      <c r="N2020" s="2">
        <v>516800.0</v>
      </c>
      <c r="O2020" s="4">
        <f t="shared" si="6"/>
        <v>6460</v>
      </c>
      <c r="P2020" s="2">
        <v>1.0</v>
      </c>
      <c r="Q2020" s="3">
        <f t="shared" si="7"/>
        <v>0.02040816327</v>
      </c>
      <c r="R2020" s="2">
        <v>0.0</v>
      </c>
      <c r="S2020" s="5">
        <f t="shared" si="8"/>
        <v>0</v>
      </c>
    </row>
    <row r="2021">
      <c r="A2021" s="2" t="s">
        <v>2032</v>
      </c>
      <c r="B2021" s="2">
        <v>381.0</v>
      </c>
      <c r="C2021" s="2">
        <v>4425.0</v>
      </c>
      <c r="D2021" s="2">
        <v>1301.0</v>
      </c>
      <c r="E2021" s="3">
        <f t="shared" si="1"/>
        <v>0.3217111771</v>
      </c>
      <c r="F2021" s="2">
        <v>565.0</v>
      </c>
      <c r="G2021" s="3">
        <f t="shared" si="2"/>
        <v>0.1397131553</v>
      </c>
      <c r="H2021" s="2">
        <v>844.0</v>
      </c>
      <c r="I2021" s="3">
        <f t="shared" si="3"/>
        <v>0.2087042532</v>
      </c>
      <c r="J2021" s="2">
        <v>701.0</v>
      </c>
      <c r="K2021" s="3">
        <f t="shared" si="4"/>
        <v>0.1733432245</v>
      </c>
      <c r="L2021" s="2">
        <v>504.0</v>
      </c>
      <c r="M2021" s="3">
        <f t="shared" si="5"/>
        <v>0.5971563981</v>
      </c>
      <c r="N2021" s="2">
        <v>5052600.0</v>
      </c>
      <c r="O2021" s="4">
        <f t="shared" si="6"/>
        <v>5986.492891</v>
      </c>
      <c r="P2021" s="2">
        <v>1.0</v>
      </c>
      <c r="Q2021" s="3">
        <f t="shared" si="7"/>
        <v>0.002624671916</v>
      </c>
      <c r="R2021" s="2">
        <v>381.0</v>
      </c>
      <c r="S2021" s="5">
        <f t="shared" si="8"/>
        <v>1</v>
      </c>
    </row>
    <row r="2022">
      <c r="A2022" s="2" t="s">
        <v>2033</v>
      </c>
      <c r="B2022" s="2">
        <v>153.0</v>
      </c>
      <c r="C2022" s="2">
        <v>1785.0</v>
      </c>
      <c r="D2022" s="2">
        <v>497.0</v>
      </c>
      <c r="E2022" s="3">
        <f t="shared" si="1"/>
        <v>0.3045343137</v>
      </c>
      <c r="F2022" s="2">
        <v>228.0</v>
      </c>
      <c r="G2022" s="3">
        <f t="shared" si="2"/>
        <v>0.1397058824</v>
      </c>
      <c r="H2022" s="2">
        <v>326.0</v>
      </c>
      <c r="I2022" s="3">
        <f t="shared" si="3"/>
        <v>0.199754902</v>
      </c>
      <c r="J2022" s="2">
        <v>290.0</v>
      </c>
      <c r="K2022" s="3">
        <f t="shared" si="4"/>
        <v>0.1776960784</v>
      </c>
      <c r="L2022" s="2">
        <v>191.0</v>
      </c>
      <c r="M2022" s="3">
        <f t="shared" si="5"/>
        <v>0.5858895706</v>
      </c>
      <c r="N2022" s="2">
        <v>1938900.0</v>
      </c>
      <c r="O2022" s="4">
        <f t="shared" si="6"/>
        <v>5947.546012</v>
      </c>
      <c r="P2022" s="2">
        <v>0.0</v>
      </c>
      <c r="Q2022" s="3">
        <f t="shared" si="7"/>
        <v>0</v>
      </c>
      <c r="R2022" s="2">
        <v>153.0</v>
      </c>
      <c r="S2022" s="5">
        <f t="shared" si="8"/>
        <v>1</v>
      </c>
    </row>
    <row r="2023">
      <c r="A2023" s="2" t="s">
        <v>2034</v>
      </c>
      <c r="B2023" s="2">
        <v>243.0</v>
      </c>
      <c r="C2023" s="2">
        <v>2820.0</v>
      </c>
      <c r="D2023" s="2">
        <v>838.0</v>
      </c>
      <c r="E2023" s="3">
        <f t="shared" si="1"/>
        <v>0.3251843229</v>
      </c>
      <c r="F2023" s="2">
        <v>360.0</v>
      </c>
      <c r="G2023" s="3">
        <f t="shared" si="2"/>
        <v>0.1396973225</v>
      </c>
      <c r="H2023" s="2">
        <v>518.0</v>
      </c>
      <c r="I2023" s="3">
        <f t="shared" si="3"/>
        <v>0.2010089251</v>
      </c>
      <c r="J2023" s="2">
        <v>459.0</v>
      </c>
      <c r="K2023" s="3">
        <f t="shared" si="4"/>
        <v>0.1781140861</v>
      </c>
      <c r="L2023" s="2">
        <v>285.0</v>
      </c>
      <c r="M2023" s="3">
        <f t="shared" si="5"/>
        <v>0.5501930502</v>
      </c>
      <c r="N2023" s="2">
        <v>2963200.0</v>
      </c>
      <c r="O2023" s="4">
        <f t="shared" si="6"/>
        <v>5720.46332</v>
      </c>
      <c r="P2023" s="2">
        <v>0.0</v>
      </c>
      <c r="Q2023" s="3">
        <f t="shared" si="7"/>
        <v>0</v>
      </c>
      <c r="R2023" s="2">
        <v>241.0</v>
      </c>
      <c r="S2023" s="5">
        <f t="shared" si="8"/>
        <v>0.9917695473</v>
      </c>
    </row>
    <row r="2024">
      <c r="A2024" s="2" t="s">
        <v>2035</v>
      </c>
      <c r="B2024" s="2">
        <v>336.0</v>
      </c>
      <c r="C2024" s="2">
        <v>3994.0</v>
      </c>
      <c r="D2024" s="2">
        <v>1099.0</v>
      </c>
      <c r="E2024" s="3">
        <f t="shared" si="1"/>
        <v>0.3004373975</v>
      </c>
      <c r="F2024" s="2">
        <v>511.0</v>
      </c>
      <c r="G2024" s="3">
        <f t="shared" si="2"/>
        <v>0.1396938218</v>
      </c>
      <c r="H2024" s="2">
        <v>764.0</v>
      </c>
      <c r="I2024" s="3">
        <f t="shared" si="3"/>
        <v>0.2088572991</v>
      </c>
      <c r="J2024" s="2">
        <v>693.0</v>
      </c>
      <c r="K2024" s="3">
        <f t="shared" si="4"/>
        <v>0.1894477857</v>
      </c>
      <c r="L2024" s="2">
        <v>442.0</v>
      </c>
      <c r="M2024" s="3">
        <f t="shared" si="5"/>
        <v>0.5785340314</v>
      </c>
      <c r="N2024" s="2">
        <v>4330900.0</v>
      </c>
      <c r="O2024" s="4">
        <f t="shared" si="6"/>
        <v>5668.717277</v>
      </c>
      <c r="P2024" s="2">
        <v>0.0</v>
      </c>
      <c r="Q2024" s="3">
        <f t="shared" si="7"/>
        <v>0</v>
      </c>
      <c r="R2024" s="2">
        <v>336.0</v>
      </c>
      <c r="S2024" s="5">
        <f t="shared" si="8"/>
        <v>1</v>
      </c>
    </row>
    <row r="2025">
      <c r="A2025" s="2" t="s">
        <v>2036</v>
      </c>
      <c r="B2025" s="2">
        <v>194.0</v>
      </c>
      <c r="C2025" s="2">
        <v>2313.0</v>
      </c>
      <c r="D2025" s="2">
        <v>785.0</v>
      </c>
      <c r="E2025" s="3">
        <f t="shared" si="1"/>
        <v>0.3704577631</v>
      </c>
      <c r="F2025" s="2">
        <v>296.0</v>
      </c>
      <c r="G2025" s="3">
        <f t="shared" si="2"/>
        <v>0.1396885323</v>
      </c>
      <c r="H2025" s="2">
        <v>411.0</v>
      </c>
      <c r="I2025" s="3">
        <f t="shared" si="3"/>
        <v>0.1939594148</v>
      </c>
      <c r="J2025" s="2">
        <v>346.0</v>
      </c>
      <c r="K2025" s="3">
        <f t="shared" si="4"/>
        <v>0.1632845682</v>
      </c>
      <c r="L2025" s="2">
        <v>261.0</v>
      </c>
      <c r="M2025" s="3">
        <f t="shared" si="5"/>
        <v>0.6350364964</v>
      </c>
      <c r="N2025" s="2">
        <v>2225400.0</v>
      </c>
      <c r="O2025" s="4">
        <f t="shared" si="6"/>
        <v>5414.59854</v>
      </c>
      <c r="P2025" s="2">
        <v>0.0</v>
      </c>
      <c r="Q2025" s="3">
        <f t="shared" si="7"/>
        <v>0</v>
      </c>
      <c r="R2025" s="2">
        <v>194.0</v>
      </c>
      <c r="S2025" s="5">
        <f t="shared" si="8"/>
        <v>1</v>
      </c>
    </row>
    <row r="2026">
      <c r="A2026" s="2" t="s">
        <v>2037</v>
      </c>
      <c r="B2026" s="2">
        <v>343.0</v>
      </c>
      <c r="C2026" s="2">
        <v>4080.0</v>
      </c>
      <c r="D2026" s="2">
        <v>1415.0</v>
      </c>
      <c r="E2026" s="3">
        <f t="shared" si="1"/>
        <v>0.3786459727</v>
      </c>
      <c r="F2026" s="2">
        <v>522.0</v>
      </c>
      <c r="G2026" s="3">
        <f t="shared" si="2"/>
        <v>0.1396842387</v>
      </c>
      <c r="H2026" s="2">
        <v>753.0</v>
      </c>
      <c r="I2026" s="3">
        <f t="shared" si="3"/>
        <v>0.2014985282</v>
      </c>
      <c r="J2026" s="2">
        <v>693.0</v>
      </c>
      <c r="K2026" s="3">
        <f t="shared" si="4"/>
        <v>0.1854428686</v>
      </c>
      <c r="L2026" s="2">
        <v>431.0</v>
      </c>
      <c r="M2026" s="3">
        <f t="shared" si="5"/>
        <v>0.572377158</v>
      </c>
      <c r="N2026" s="2">
        <v>4517200.0</v>
      </c>
      <c r="O2026" s="4">
        <f t="shared" si="6"/>
        <v>5998.937583</v>
      </c>
      <c r="P2026" s="2">
        <v>2.0</v>
      </c>
      <c r="Q2026" s="3">
        <f t="shared" si="7"/>
        <v>0.00583090379</v>
      </c>
      <c r="R2026" s="2">
        <v>343.0</v>
      </c>
      <c r="S2026" s="5">
        <f t="shared" si="8"/>
        <v>1</v>
      </c>
    </row>
    <row r="2027">
      <c r="A2027" s="2" t="s">
        <v>2038</v>
      </c>
      <c r="B2027" s="2">
        <v>455.0</v>
      </c>
      <c r="C2027" s="2">
        <v>5316.0</v>
      </c>
      <c r="D2027" s="2">
        <v>1660.0</v>
      </c>
      <c r="E2027" s="3">
        <f t="shared" si="1"/>
        <v>0.3414935199</v>
      </c>
      <c r="F2027" s="2">
        <v>679.0</v>
      </c>
      <c r="G2027" s="3">
        <f t="shared" si="2"/>
        <v>0.1396831928</v>
      </c>
      <c r="H2027" s="2">
        <v>1134.0</v>
      </c>
      <c r="I2027" s="3">
        <f t="shared" si="3"/>
        <v>0.2332853322</v>
      </c>
      <c r="J2027" s="2">
        <v>1005.0</v>
      </c>
      <c r="K2027" s="3">
        <f t="shared" si="4"/>
        <v>0.2067475828</v>
      </c>
      <c r="L2027" s="2">
        <v>649.0</v>
      </c>
      <c r="M2027" s="3">
        <f t="shared" si="5"/>
        <v>0.5723104056</v>
      </c>
      <c r="N2027" s="2">
        <v>6543600.0</v>
      </c>
      <c r="O2027" s="4">
        <f t="shared" si="6"/>
        <v>5770.37037</v>
      </c>
      <c r="P2027" s="2">
        <v>0.0</v>
      </c>
      <c r="Q2027" s="3">
        <f t="shared" si="7"/>
        <v>0</v>
      </c>
      <c r="R2027" s="2">
        <v>455.0</v>
      </c>
      <c r="S2027" s="5">
        <f t="shared" si="8"/>
        <v>1</v>
      </c>
    </row>
    <row r="2028">
      <c r="A2028" s="2" t="s">
        <v>2039</v>
      </c>
      <c r="B2028" s="2">
        <v>271.0</v>
      </c>
      <c r="C2028" s="2">
        <v>3149.0</v>
      </c>
      <c r="D2028" s="2">
        <v>931.0</v>
      </c>
      <c r="E2028" s="3">
        <f t="shared" si="1"/>
        <v>0.3234885337</v>
      </c>
      <c r="F2028" s="2">
        <v>402.0</v>
      </c>
      <c r="G2028" s="3">
        <f t="shared" si="2"/>
        <v>0.1396803336</v>
      </c>
      <c r="H2028" s="2">
        <v>528.0</v>
      </c>
      <c r="I2028" s="3">
        <f t="shared" si="3"/>
        <v>0.1834607366</v>
      </c>
      <c r="J2028" s="2">
        <v>493.0</v>
      </c>
      <c r="K2028" s="3">
        <f t="shared" si="4"/>
        <v>0.1712995136</v>
      </c>
      <c r="L2028" s="2">
        <v>308.0</v>
      </c>
      <c r="M2028" s="3">
        <f t="shared" si="5"/>
        <v>0.5833333333</v>
      </c>
      <c r="N2028" s="2">
        <v>3399400.0</v>
      </c>
      <c r="O2028" s="4">
        <f t="shared" si="6"/>
        <v>6438.257576</v>
      </c>
      <c r="P2028" s="2">
        <v>0.0</v>
      </c>
      <c r="Q2028" s="3">
        <f t="shared" si="7"/>
        <v>0</v>
      </c>
      <c r="R2028" s="2">
        <v>271.0</v>
      </c>
      <c r="S2028" s="5">
        <f t="shared" si="8"/>
        <v>1</v>
      </c>
    </row>
    <row r="2029">
      <c r="A2029" s="2" t="s">
        <v>2040</v>
      </c>
      <c r="B2029" s="2">
        <v>279.0</v>
      </c>
      <c r="C2029" s="2">
        <v>3279.0</v>
      </c>
      <c r="D2029" s="2">
        <v>1034.0</v>
      </c>
      <c r="E2029" s="3">
        <f t="shared" si="1"/>
        <v>0.3446666667</v>
      </c>
      <c r="F2029" s="2">
        <v>419.0</v>
      </c>
      <c r="G2029" s="3">
        <f t="shared" si="2"/>
        <v>0.1396666667</v>
      </c>
      <c r="H2029" s="2">
        <v>641.0</v>
      </c>
      <c r="I2029" s="3">
        <f t="shared" si="3"/>
        <v>0.2136666667</v>
      </c>
      <c r="J2029" s="2">
        <v>540.0</v>
      </c>
      <c r="K2029" s="3">
        <f t="shared" si="4"/>
        <v>0.18</v>
      </c>
      <c r="L2029" s="2">
        <v>367.0</v>
      </c>
      <c r="M2029" s="3">
        <f t="shared" si="5"/>
        <v>0.5725429017</v>
      </c>
      <c r="N2029" s="2">
        <v>3750300.0</v>
      </c>
      <c r="O2029" s="4">
        <f t="shared" si="6"/>
        <v>5850.702028</v>
      </c>
      <c r="P2029" s="2">
        <v>2.0</v>
      </c>
      <c r="Q2029" s="3">
        <f t="shared" si="7"/>
        <v>0.007168458781</v>
      </c>
      <c r="R2029" s="2">
        <v>274.0</v>
      </c>
      <c r="S2029" s="5">
        <f t="shared" si="8"/>
        <v>0.982078853</v>
      </c>
    </row>
    <row r="2030">
      <c r="A2030" s="2" t="s">
        <v>2041</v>
      </c>
      <c r="B2030" s="2">
        <v>49.0</v>
      </c>
      <c r="C2030" s="2">
        <v>586.0</v>
      </c>
      <c r="D2030" s="2">
        <v>211.0</v>
      </c>
      <c r="E2030" s="3">
        <f t="shared" si="1"/>
        <v>0.3929236499</v>
      </c>
      <c r="F2030" s="2">
        <v>75.0</v>
      </c>
      <c r="G2030" s="3">
        <f t="shared" si="2"/>
        <v>0.1396648045</v>
      </c>
      <c r="H2030" s="2">
        <v>103.0</v>
      </c>
      <c r="I2030" s="3">
        <f t="shared" si="3"/>
        <v>0.1918063315</v>
      </c>
      <c r="J2030" s="2">
        <v>95.0</v>
      </c>
      <c r="K2030" s="3">
        <f t="shared" si="4"/>
        <v>0.1769087523</v>
      </c>
      <c r="L2030" s="2">
        <v>60.0</v>
      </c>
      <c r="M2030" s="3">
        <f t="shared" si="5"/>
        <v>0.5825242718</v>
      </c>
      <c r="N2030" s="2">
        <v>469300.0</v>
      </c>
      <c r="O2030" s="4">
        <f t="shared" si="6"/>
        <v>4556.31068</v>
      </c>
      <c r="P2030" s="2">
        <v>0.0</v>
      </c>
      <c r="Q2030" s="3">
        <f t="shared" si="7"/>
        <v>0</v>
      </c>
      <c r="R2030" s="2">
        <v>21.0</v>
      </c>
      <c r="S2030" s="5">
        <f t="shared" si="8"/>
        <v>0.4285714286</v>
      </c>
    </row>
    <row r="2031">
      <c r="A2031" s="2" t="s">
        <v>2042</v>
      </c>
      <c r="B2031" s="2">
        <v>219.0</v>
      </c>
      <c r="C2031" s="2">
        <v>2532.0</v>
      </c>
      <c r="D2031" s="2">
        <v>817.0</v>
      </c>
      <c r="E2031" s="3">
        <f t="shared" si="1"/>
        <v>0.3532209252</v>
      </c>
      <c r="F2031" s="2">
        <v>323.0</v>
      </c>
      <c r="G2031" s="3">
        <f t="shared" si="2"/>
        <v>0.1396454821</v>
      </c>
      <c r="H2031" s="2">
        <v>481.0</v>
      </c>
      <c r="I2031" s="3">
        <f t="shared" si="3"/>
        <v>0.2079550367</v>
      </c>
      <c r="J2031" s="2">
        <v>381.0</v>
      </c>
      <c r="K2031" s="3">
        <f t="shared" si="4"/>
        <v>0.1647211414</v>
      </c>
      <c r="L2031" s="2">
        <v>275.0</v>
      </c>
      <c r="M2031" s="3">
        <f t="shared" si="5"/>
        <v>0.5717255717</v>
      </c>
      <c r="N2031" s="2">
        <v>2574500.0</v>
      </c>
      <c r="O2031" s="4">
        <f t="shared" si="6"/>
        <v>5352.390852</v>
      </c>
      <c r="P2031" s="2">
        <v>0.0</v>
      </c>
      <c r="Q2031" s="3">
        <f t="shared" si="7"/>
        <v>0</v>
      </c>
      <c r="R2031" s="2">
        <v>219.0</v>
      </c>
      <c r="S2031" s="5">
        <f t="shared" si="8"/>
        <v>1</v>
      </c>
    </row>
    <row r="2032">
      <c r="A2032" s="2" t="s">
        <v>2043</v>
      </c>
      <c r="B2032" s="2">
        <v>100.0</v>
      </c>
      <c r="C2032" s="2">
        <v>1210.0</v>
      </c>
      <c r="D2032" s="2">
        <v>376.0</v>
      </c>
      <c r="E2032" s="3">
        <f t="shared" si="1"/>
        <v>0.3387387387</v>
      </c>
      <c r="F2032" s="2">
        <v>155.0</v>
      </c>
      <c r="G2032" s="3">
        <f t="shared" si="2"/>
        <v>0.1396396396</v>
      </c>
      <c r="H2032" s="2">
        <v>209.0</v>
      </c>
      <c r="I2032" s="3">
        <f t="shared" si="3"/>
        <v>0.1882882883</v>
      </c>
      <c r="J2032" s="2">
        <v>174.0</v>
      </c>
      <c r="K2032" s="3">
        <f t="shared" si="4"/>
        <v>0.1567567568</v>
      </c>
      <c r="L2032" s="2">
        <v>131.0</v>
      </c>
      <c r="M2032" s="3">
        <f t="shared" si="5"/>
        <v>0.6267942584</v>
      </c>
      <c r="N2032" s="2">
        <v>1115500.0</v>
      </c>
      <c r="O2032" s="4">
        <f t="shared" si="6"/>
        <v>5337.320574</v>
      </c>
      <c r="P2032" s="2">
        <v>0.0</v>
      </c>
      <c r="Q2032" s="3">
        <f t="shared" si="7"/>
        <v>0</v>
      </c>
      <c r="R2032" s="2">
        <v>100.0</v>
      </c>
      <c r="S2032" s="5">
        <f t="shared" si="8"/>
        <v>1</v>
      </c>
    </row>
    <row r="2033">
      <c r="A2033" s="2" t="s">
        <v>2044</v>
      </c>
      <c r="B2033" s="2">
        <v>740.0</v>
      </c>
      <c r="C2033" s="2">
        <v>8704.0</v>
      </c>
      <c r="D2033" s="2">
        <v>3263.0</v>
      </c>
      <c r="E2033" s="3">
        <f t="shared" si="1"/>
        <v>0.4097187343</v>
      </c>
      <c r="F2033" s="2">
        <v>1112.0</v>
      </c>
      <c r="G2033" s="3">
        <f t="shared" si="2"/>
        <v>0.1396283275</v>
      </c>
      <c r="H2033" s="2">
        <v>1796.0</v>
      </c>
      <c r="I2033" s="3">
        <f t="shared" si="3"/>
        <v>0.2255148167</v>
      </c>
      <c r="J2033" s="2">
        <v>1307.0</v>
      </c>
      <c r="K2033" s="3">
        <f t="shared" si="4"/>
        <v>0.1641135108</v>
      </c>
      <c r="L2033" s="2">
        <v>1099.0</v>
      </c>
      <c r="M2033" s="3">
        <f t="shared" si="5"/>
        <v>0.6119153675</v>
      </c>
      <c r="N2033" s="2">
        <v>9600700.0</v>
      </c>
      <c r="O2033" s="4">
        <f t="shared" si="6"/>
        <v>5345.601336</v>
      </c>
      <c r="P2033" s="2">
        <v>0.0</v>
      </c>
      <c r="Q2033" s="3">
        <f t="shared" si="7"/>
        <v>0</v>
      </c>
      <c r="R2033" s="2">
        <v>740.0</v>
      </c>
      <c r="S2033" s="5">
        <f t="shared" si="8"/>
        <v>1</v>
      </c>
    </row>
    <row r="2034">
      <c r="A2034" s="2" t="s">
        <v>2045</v>
      </c>
      <c r="B2034" s="2">
        <v>955.0</v>
      </c>
      <c r="C2034" s="2">
        <v>11111.0</v>
      </c>
      <c r="D2034" s="2">
        <v>4250.0</v>
      </c>
      <c r="E2034" s="3">
        <f t="shared" si="1"/>
        <v>0.4184718393</v>
      </c>
      <c r="F2034" s="2">
        <v>1418.0</v>
      </c>
      <c r="G2034" s="3">
        <f t="shared" si="2"/>
        <v>0.1396218984</v>
      </c>
      <c r="H2034" s="2">
        <v>2236.0</v>
      </c>
      <c r="I2034" s="3">
        <f t="shared" si="3"/>
        <v>0.2201654195</v>
      </c>
      <c r="J2034" s="2">
        <v>1549.0</v>
      </c>
      <c r="K2034" s="3">
        <f t="shared" si="4"/>
        <v>0.1525206774</v>
      </c>
      <c r="L2034" s="2">
        <v>1363.0</v>
      </c>
      <c r="M2034" s="3">
        <f t="shared" si="5"/>
        <v>0.6095706619</v>
      </c>
      <c r="N2034" s="2">
        <v>1.18019E7</v>
      </c>
      <c r="O2034" s="4">
        <f t="shared" si="6"/>
        <v>5278.13059</v>
      </c>
      <c r="P2034" s="2">
        <v>2.0</v>
      </c>
      <c r="Q2034" s="3">
        <f t="shared" si="7"/>
        <v>0.002094240838</v>
      </c>
      <c r="R2034" s="2">
        <v>955.0</v>
      </c>
      <c r="S2034" s="5">
        <f t="shared" si="8"/>
        <v>1</v>
      </c>
    </row>
    <row r="2035">
      <c r="A2035" s="2" t="s">
        <v>2046</v>
      </c>
      <c r="B2035" s="2">
        <v>1015.0</v>
      </c>
      <c r="C2035" s="2">
        <v>11888.0</v>
      </c>
      <c r="D2035" s="2">
        <v>4018.0</v>
      </c>
      <c r="E2035" s="3">
        <f t="shared" si="1"/>
        <v>0.3695392256</v>
      </c>
      <c r="F2035" s="2">
        <v>1518.0</v>
      </c>
      <c r="G2035" s="3">
        <f t="shared" si="2"/>
        <v>0.1396118826</v>
      </c>
      <c r="H2035" s="2">
        <v>2406.0</v>
      </c>
      <c r="I2035" s="3">
        <f t="shared" si="3"/>
        <v>0.2212820749</v>
      </c>
      <c r="J2035" s="2">
        <v>2098.0</v>
      </c>
      <c r="K2035" s="3">
        <f t="shared" si="4"/>
        <v>0.1929550262</v>
      </c>
      <c r="L2035" s="2">
        <v>1445.0</v>
      </c>
      <c r="M2035" s="3">
        <f t="shared" si="5"/>
        <v>0.6005818786</v>
      </c>
      <c r="N2035" s="2">
        <v>1.30306E7</v>
      </c>
      <c r="O2035" s="4">
        <f t="shared" si="6"/>
        <v>5415.876974</v>
      </c>
      <c r="P2035" s="2">
        <v>2.0</v>
      </c>
      <c r="Q2035" s="3">
        <f t="shared" si="7"/>
        <v>0.00197044335</v>
      </c>
      <c r="R2035" s="2">
        <v>1015.0</v>
      </c>
      <c r="S2035" s="5">
        <f t="shared" si="8"/>
        <v>1</v>
      </c>
    </row>
    <row r="2036">
      <c r="A2036" s="2" t="s">
        <v>2047</v>
      </c>
      <c r="B2036" s="2">
        <v>442.0</v>
      </c>
      <c r="C2036" s="2">
        <v>5177.0</v>
      </c>
      <c r="D2036" s="2">
        <v>1700.0</v>
      </c>
      <c r="E2036" s="3">
        <f t="shared" si="1"/>
        <v>0.3590285111</v>
      </c>
      <c r="F2036" s="2">
        <v>661.0</v>
      </c>
      <c r="G2036" s="3">
        <f t="shared" si="2"/>
        <v>0.1395987328</v>
      </c>
      <c r="H2036" s="2">
        <v>963.0</v>
      </c>
      <c r="I2036" s="3">
        <f t="shared" si="3"/>
        <v>0.2033790919</v>
      </c>
      <c r="J2036" s="2">
        <v>754.0</v>
      </c>
      <c r="K2036" s="3">
        <f t="shared" si="4"/>
        <v>0.1592397043</v>
      </c>
      <c r="L2036" s="2">
        <v>579.0</v>
      </c>
      <c r="M2036" s="3">
        <f t="shared" si="5"/>
        <v>0.6012461059</v>
      </c>
      <c r="N2036" s="2">
        <v>5181100.0</v>
      </c>
      <c r="O2036" s="4">
        <f t="shared" si="6"/>
        <v>5380.166147</v>
      </c>
      <c r="P2036" s="2">
        <v>0.0</v>
      </c>
      <c r="Q2036" s="3">
        <f t="shared" si="7"/>
        <v>0</v>
      </c>
      <c r="R2036" s="2">
        <v>442.0</v>
      </c>
      <c r="S2036" s="5">
        <f t="shared" si="8"/>
        <v>1</v>
      </c>
    </row>
    <row r="2037">
      <c r="A2037" s="2" t="s">
        <v>2048</v>
      </c>
      <c r="B2037" s="2">
        <v>219.0</v>
      </c>
      <c r="C2037" s="2">
        <v>2576.0</v>
      </c>
      <c r="D2037" s="2">
        <v>797.0</v>
      </c>
      <c r="E2037" s="3">
        <f t="shared" si="1"/>
        <v>0.3381417056</v>
      </c>
      <c r="F2037" s="2">
        <v>329.0</v>
      </c>
      <c r="G2037" s="3">
        <f t="shared" si="2"/>
        <v>0.1395842172</v>
      </c>
      <c r="H2037" s="2">
        <v>496.0</v>
      </c>
      <c r="I2037" s="3">
        <f t="shared" si="3"/>
        <v>0.2104369962</v>
      </c>
      <c r="J2037" s="2">
        <v>415.0</v>
      </c>
      <c r="K2037" s="3">
        <f t="shared" si="4"/>
        <v>0.176071277</v>
      </c>
      <c r="L2037" s="2">
        <v>302.0</v>
      </c>
      <c r="M2037" s="3">
        <f t="shared" si="5"/>
        <v>0.6088709677</v>
      </c>
      <c r="N2037" s="2">
        <v>2733900.0</v>
      </c>
      <c r="O2037" s="4">
        <f t="shared" si="6"/>
        <v>5511.895161</v>
      </c>
      <c r="P2037" s="2">
        <v>0.0</v>
      </c>
      <c r="Q2037" s="3">
        <f t="shared" si="7"/>
        <v>0</v>
      </c>
      <c r="R2037" s="2">
        <v>219.0</v>
      </c>
      <c r="S2037" s="5">
        <f t="shared" si="8"/>
        <v>1</v>
      </c>
    </row>
    <row r="2038">
      <c r="A2038" s="2" t="s">
        <v>2049</v>
      </c>
      <c r="B2038" s="2">
        <v>153.0</v>
      </c>
      <c r="C2038" s="2">
        <v>1808.0</v>
      </c>
      <c r="D2038" s="2">
        <v>556.0</v>
      </c>
      <c r="E2038" s="3">
        <f t="shared" si="1"/>
        <v>0.3359516616</v>
      </c>
      <c r="F2038" s="2">
        <v>231.0</v>
      </c>
      <c r="G2038" s="3">
        <f t="shared" si="2"/>
        <v>0.1395770393</v>
      </c>
      <c r="H2038" s="2">
        <v>286.0</v>
      </c>
      <c r="I2038" s="3">
        <f t="shared" si="3"/>
        <v>0.1728096677</v>
      </c>
      <c r="J2038" s="2">
        <v>254.0</v>
      </c>
      <c r="K2038" s="3">
        <f t="shared" si="4"/>
        <v>0.1534743202</v>
      </c>
      <c r="L2038" s="2">
        <v>155.0</v>
      </c>
      <c r="M2038" s="3">
        <f t="shared" si="5"/>
        <v>0.541958042</v>
      </c>
      <c r="N2038" s="2">
        <v>1708300.0</v>
      </c>
      <c r="O2038" s="4">
        <f t="shared" si="6"/>
        <v>5973.076923</v>
      </c>
      <c r="P2038" s="2">
        <v>0.0</v>
      </c>
      <c r="Q2038" s="3">
        <f t="shared" si="7"/>
        <v>0</v>
      </c>
      <c r="R2038" s="2">
        <v>153.0</v>
      </c>
      <c r="S2038" s="5">
        <f t="shared" si="8"/>
        <v>1</v>
      </c>
    </row>
    <row r="2039">
      <c r="A2039" s="2" t="s">
        <v>2050</v>
      </c>
      <c r="B2039" s="2">
        <v>4330.0</v>
      </c>
      <c r="C2039" s="2">
        <v>50084.0</v>
      </c>
      <c r="D2039" s="2">
        <v>15366.0</v>
      </c>
      <c r="E2039" s="3">
        <f t="shared" si="1"/>
        <v>0.3358394894</v>
      </c>
      <c r="F2039" s="2">
        <v>6386.0</v>
      </c>
      <c r="G2039" s="3">
        <f t="shared" si="2"/>
        <v>0.1395724964</v>
      </c>
      <c r="H2039" s="2">
        <v>9755.0</v>
      </c>
      <c r="I2039" s="3">
        <f t="shared" si="3"/>
        <v>0.2132054028</v>
      </c>
      <c r="J2039" s="2">
        <v>8856.0</v>
      </c>
      <c r="K2039" s="3">
        <f t="shared" si="4"/>
        <v>0.1935568475</v>
      </c>
      <c r="L2039" s="2">
        <v>5791.0</v>
      </c>
      <c r="M2039" s="3">
        <f t="shared" si="5"/>
        <v>0.593644285</v>
      </c>
      <c r="N2039" s="2">
        <v>6.01943E7</v>
      </c>
      <c r="O2039" s="4">
        <f t="shared" si="6"/>
        <v>6170.609944</v>
      </c>
      <c r="P2039" s="2">
        <v>6.0</v>
      </c>
      <c r="Q2039" s="3">
        <f t="shared" si="7"/>
        <v>0.001385681293</v>
      </c>
      <c r="R2039" s="2">
        <v>1776.0</v>
      </c>
      <c r="S2039" s="5">
        <f t="shared" si="8"/>
        <v>0.4101616628</v>
      </c>
    </row>
    <row r="2040">
      <c r="A2040" s="2" t="s">
        <v>2051</v>
      </c>
      <c r="B2040" s="2">
        <v>65.0</v>
      </c>
      <c r="C2040" s="2">
        <v>760.0</v>
      </c>
      <c r="D2040" s="2">
        <v>299.0</v>
      </c>
      <c r="E2040" s="3">
        <f t="shared" si="1"/>
        <v>0.4302158273</v>
      </c>
      <c r="F2040" s="2">
        <v>97.0</v>
      </c>
      <c r="G2040" s="3">
        <f t="shared" si="2"/>
        <v>0.1395683453</v>
      </c>
      <c r="H2040" s="2">
        <v>141.0</v>
      </c>
      <c r="I2040" s="3">
        <f t="shared" si="3"/>
        <v>0.2028776978</v>
      </c>
      <c r="J2040" s="2">
        <v>122.0</v>
      </c>
      <c r="K2040" s="3">
        <f t="shared" si="4"/>
        <v>0.1755395683</v>
      </c>
      <c r="L2040" s="2">
        <v>81.0</v>
      </c>
      <c r="M2040" s="3">
        <f t="shared" si="5"/>
        <v>0.5744680851</v>
      </c>
      <c r="N2040" s="2">
        <v>809800.0</v>
      </c>
      <c r="O2040" s="4">
        <f t="shared" si="6"/>
        <v>5743.262411</v>
      </c>
      <c r="P2040" s="2">
        <v>1.0</v>
      </c>
      <c r="Q2040" s="3">
        <f t="shared" si="7"/>
        <v>0.01538461538</v>
      </c>
      <c r="R2040" s="2">
        <v>65.0</v>
      </c>
      <c r="S2040" s="5">
        <f t="shared" si="8"/>
        <v>1</v>
      </c>
    </row>
    <row r="2041">
      <c r="A2041" s="2" t="s">
        <v>2052</v>
      </c>
      <c r="B2041" s="2">
        <v>1419.0</v>
      </c>
      <c r="C2041" s="2">
        <v>16487.0</v>
      </c>
      <c r="D2041" s="2">
        <v>4782.0</v>
      </c>
      <c r="E2041" s="3">
        <f t="shared" si="1"/>
        <v>0.3173612955</v>
      </c>
      <c r="F2041" s="2">
        <v>2103.0</v>
      </c>
      <c r="G2041" s="3">
        <f t="shared" si="2"/>
        <v>0.1395672949</v>
      </c>
      <c r="H2041" s="2">
        <v>3114.0</v>
      </c>
      <c r="I2041" s="3">
        <f t="shared" si="3"/>
        <v>0.2066631272</v>
      </c>
      <c r="J2041" s="2">
        <v>2483.0</v>
      </c>
      <c r="K2041" s="3">
        <f t="shared" si="4"/>
        <v>0.1647863021</v>
      </c>
      <c r="L2041" s="2">
        <v>1838.0</v>
      </c>
      <c r="M2041" s="3">
        <f t="shared" si="5"/>
        <v>0.5902376365</v>
      </c>
      <c r="N2041" s="2">
        <v>1.80672E7</v>
      </c>
      <c r="O2041" s="4">
        <f t="shared" si="6"/>
        <v>5801.926782</v>
      </c>
      <c r="P2041" s="2">
        <v>5.0</v>
      </c>
      <c r="Q2041" s="3">
        <f t="shared" si="7"/>
        <v>0.003523608175</v>
      </c>
      <c r="R2041" s="2">
        <v>1419.0</v>
      </c>
      <c r="S2041" s="5">
        <f t="shared" si="8"/>
        <v>1</v>
      </c>
    </row>
    <row r="2042">
      <c r="A2042" s="2" t="s">
        <v>2053</v>
      </c>
      <c r="B2042" s="2">
        <v>253.0</v>
      </c>
      <c r="C2042" s="2">
        <v>2983.0</v>
      </c>
      <c r="D2042" s="2">
        <v>804.0</v>
      </c>
      <c r="E2042" s="3">
        <f t="shared" si="1"/>
        <v>0.2945054945</v>
      </c>
      <c r="F2042" s="2">
        <v>381.0</v>
      </c>
      <c r="G2042" s="3">
        <f t="shared" si="2"/>
        <v>0.1395604396</v>
      </c>
      <c r="H2042" s="2">
        <v>550.0</v>
      </c>
      <c r="I2042" s="3">
        <f t="shared" si="3"/>
        <v>0.2014652015</v>
      </c>
      <c r="J2042" s="2">
        <v>448.0</v>
      </c>
      <c r="K2042" s="3">
        <f t="shared" si="4"/>
        <v>0.1641025641</v>
      </c>
      <c r="L2042" s="2">
        <v>313.0</v>
      </c>
      <c r="M2042" s="3">
        <f t="shared" si="5"/>
        <v>0.5690909091</v>
      </c>
      <c r="N2042" s="2">
        <v>3070600.0</v>
      </c>
      <c r="O2042" s="4">
        <f t="shared" si="6"/>
        <v>5582.909091</v>
      </c>
      <c r="P2042" s="2">
        <v>0.0</v>
      </c>
      <c r="Q2042" s="3">
        <f t="shared" si="7"/>
        <v>0</v>
      </c>
      <c r="R2042" s="2">
        <v>1.0</v>
      </c>
      <c r="S2042" s="5">
        <f t="shared" si="8"/>
        <v>0.00395256917</v>
      </c>
    </row>
    <row r="2043">
      <c r="A2043" s="2" t="s">
        <v>2054</v>
      </c>
      <c r="B2043" s="2">
        <v>316.0</v>
      </c>
      <c r="C2043" s="2">
        <v>3777.0</v>
      </c>
      <c r="D2043" s="2">
        <v>1436.0</v>
      </c>
      <c r="E2043" s="3">
        <f t="shared" si="1"/>
        <v>0.4149089858</v>
      </c>
      <c r="F2043" s="2">
        <v>483.0</v>
      </c>
      <c r="G2043" s="3">
        <f t="shared" si="2"/>
        <v>0.1395550419</v>
      </c>
      <c r="H2043" s="2">
        <v>755.0</v>
      </c>
      <c r="I2043" s="3">
        <f t="shared" si="3"/>
        <v>0.2181450448</v>
      </c>
      <c r="J2043" s="2">
        <v>607.0</v>
      </c>
      <c r="K2043" s="3">
        <f t="shared" si="4"/>
        <v>0.1753828373</v>
      </c>
      <c r="L2043" s="2">
        <v>463.0</v>
      </c>
      <c r="M2043" s="3">
        <f t="shared" si="5"/>
        <v>0.6132450331</v>
      </c>
      <c r="N2043" s="2">
        <v>4126700.0</v>
      </c>
      <c r="O2043" s="4">
        <f t="shared" si="6"/>
        <v>5465.827815</v>
      </c>
      <c r="P2043" s="2">
        <v>1.0</v>
      </c>
      <c r="Q2043" s="3">
        <f t="shared" si="7"/>
        <v>0.003164556962</v>
      </c>
      <c r="R2043" s="2">
        <v>316.0</v>
      </c>
      <c r="S2043" s="5">
        <f t="shared" si="8"/>
        <v>1</v>
      </c>
    </row>
    <row r="2044">
      <c r="A2044" s="2" t="s">
        <v>2055</v>
      </c>
      <c r="B2044" s="2">
        <v>194.0</v>
      </c>
      <c r="C2044" s="2">
        <v>2308.0</v>
      </c>
      <c r="D2044" s="2">
        <v>773.0</v>
      </c>
      <c r="E2044" s="3">
        <f t="shared" si="1"/>
        <v>0.3656575213</v>
      </c>
      <c r="F2044" s="2">
        <v>295.0</v>
      </c>
      <c r="G2044" s="3">
        <f t="shared" si="2"/>
        <v>0.1395458846</v>
      </c>
      <c r="H2044" s="2">
        <v>463.0</v>
      </c>
      <c r="I2044" s="3">
        <f t="shared" si="3"/>
        <v>0.2190160833</v>
      </c>
      <c r="J2044" s="2">
        <v>303.0</v>
      </c>
      <c r="K2044" s="3">
        <f t="shared" si="4"/>
        <v>0.1433301798</v>
      </c>
      <c r="L2044" s="2">
        <v>268.0</v>
      </c>
      <c r="M2044" s="3">
        <f t="shared" si="5"/>
        <v>0.5788336933</v>
      </c>
      <c r="N2044" s="2">
        <v>2457400.0</v>
      </c>
      <c r="O2044" s="4">
        <f t="shared" si="6"/>
        <v>5307.559395</v>
      </c>
      <c r="P2044" s="2">
        <v>0.0</v>
      </c>
      <c r="Q2044" s="3">
        <f t="shared" si="7"/>
        <v>0</v>
      </c>
      <c r="R2044" s="2">
        <v>0.0</v>
      </c>
      <c r="S2044" s="5">
        <f t="shared" si="8"/>
        <v>0</v>
      </c>
    </row>
    <row r="2045">
      <c r="A2045" s="2" t="s">
        <v>2056</v>
      </c>
      <c r="B2045" s="2">
        <v>16.0</v>
      </c>
      <c r="C2045" s="2">
        <v>188.0</v>
      </c>
      <c r="D2045" s="2">
        <v>54.0</v>
      </c>
      <c r="E2045" s="3">
        <f t="shared" si="1"/>
        <v>0.3139534884</v>
      </c>
      <c r="F2045" s="2">
        <v>24.0</v>
      </c>
      <c r="G2045" s="3">
        <f t="shared" si="2"/>
        <v>0.1395348837</v>
      </c>
      <c r="H2045" s="2">
        <v>34.0</v>
      </c>
      <c r="I2045" s="3">
        <f t="shared" si="3"/>
        <v>0.1976744186</v>
      </c>
      <c r="J2045" s="2">
        <v>35.0</v>
      </c>
      <c r="K2045" s="3">
        <f t="shared" si="4"/>
        <v>0.2034883721</v>
      </c>
      <c r="L2045" s="2">
        <v>18.0</v>
      </c>
      <c r="M2045" s="3">
        <f t="shared" si="5"/>
        <v>0.5294117647</v>
      </c>
      <c r="N2045" s="2">
        <v>162100.0</v>
      </c>
      <c r="O2045" s="4">
        <f t="shared" si="6"/>
        <v>4767.647059</v>
      </c>
      <c r="P2045" s="2">
        <v>0.0</v>
      </c>
      <c r="Q2045" s="3">
        <f t="shared" si="7"/>
        <v>0</v>
      </c>
      <c r="R2045" s="2">
        <v>16.0</v>
      </c>
      <c r="S2045" s="5">
        <f t="shared" si="8"/>
        <v>1</v>
      </c>
    </row>
    <row r="2046">
      <c r="A2046" s="2" t="s">
        <v>2057</v>
      </c>
      <c r="B2046" s="2">
        <v>194.0</v>
      </c>
      <c r="C2046" s="2">
        <v>2301.0</v>
      </c>
      <c r="D2046" s="2">
        <v>778.0</v>
      </c>
      <c r="E2046" s="3">
        <f t="shared" si="1"/>
        <v>0.3692453726</v>
      </c>
      <c r="F2046" s="2">
        <v>294.0</v>
      </c>
      <c r="G2046" s="3">
        <f t="shared" si="2"/>
        <v>0.1395348837</v>
      </c>
      <c r="H2046" s="2">
        <v>457.0</v>
      </c>
      <c r="I2046" s="3">
        <f t="shared" si="3"/>
        <v>0.2168960607</v>
      </c>
      <c r="J2046" s="2">
        <v>400.0</v>
      </c>
      <c r="K2046" s="3">
        <f t="shared" si="4"/>
        <v>0.1898433792</v>
      </c>
      <c r="L2046" s="2">
        <v>258.0</v>
      </c>
      <c r="M2046" s="3">
        <f t="shared" si="5"/>
        <v>0.5645514223</v>
      </c>
      <c r="N2046" s="2">
        <v>2512700.0</v>
      </c>
      <c r="O2046" s="4">
        <f t="shared" si="6"/>
        <v>5498.249453</v>
      </c>
      <c r="P2046" s="2">
        <v>0.0</v>
      </c>
      <c r="Q2046" s="3">
        <f t="shared" si="7"/>
        <v>0</v>
      </c>
      <c r="R2046" s="2">
        <v>194.0</v>
      </c>
      <c r="S2046" s="5">
        <f t="shared" si="8"/>
        <v>1</v>
      </c>
    </row>
    <row r="2047">
      <c r="A2047" s="2" t="s">
        <v>2058</v>
      </c>
      <c r="B2047" s="2">
        <v>528.0</v>
      </c>
      <c r="C2047" s="2">
        <v>6197.0</v>
      </c>
      <c r="D2047" s="2">
        <v>2090.0</v>
      </c>
      <c r="E2047" s="3">
        <f t="shared" si="1"/>
        <v>0.3686717234</v>
      </c>
      <c r="F2047" s="2">
        <v>791.0</v>
      </c>
      <c r="G2047" s="3">
        <f t="shared" si="2"/>
        <v>0.1395307814</v>
      </c>
      <c r="H2047" s="2">
        <v>1221.0</v>
      </c>
      <c r="I2047" s="3">
        <f t="shared" si="3"/>
        <v>0.2153819016</v>
      </c>
      <c r="J2047" s="2">
        <v>985.0</v>
      </c>
      <c r="K2047" s="3">
        <f t="shared" si="4"/>
        <v>0.1737519845</v>
      </c>
      <c r="L2047" s="2">
        <v>729.0</v>
      </c>
      <c r="M2047" s="3">
        <f t="shared" si="5"/>
        <v>0.5970515971</v>
      </c>
      <c r="N2047" s="2">
        <v>6989300.0</v>
      </c>
      <c r="O2047" s="4">
        <f t="shared" si="6"/>
        <v>5724.242424</v>
      </c>
      <c r="P2047" s="2">
        <v>1.0</v>
      </c>
      <c r="Q2047" s="3">
        <f t="shared" si="7"/>
        <v>0.001893939394</v>
      </c>
      <c r="R2047" s="2">
        <v>509.0</v>
      </c>
      <c r="S2047" s="5">
        <f t="shared" si="8"/>
        <v>0.9640151515</v>
      </c>
    </row>
    <row r="2048">
      <c r="A2048" s="2" t="s">
        <v>2059</v>
      </c>
      <c r="B2048" s="2">
        <v>321.0</v>
      </c>
      <c r="C2048" s="2">
        <v>3697.0</v>
      </c>
      <c r="D2048" s="2">
        <v>1098.0</v>
      </c>
      <c r="E2048" s="3">
        <f t="shared" si="1"/>
        <v>0.3252369668</v>
      </c>
      <c r="F2048" s="2">
        <v>471.0</v>
      </c>
      <c r="G2048" s="3">
        <f t="shared" si="2"/>
        <v>0.139514218</v>
      </c>
      <c r="H2048" s="2">
        <v>736.0</v>
      </c>
      <c r="I2048" s="3">
        <f t="shared" si="3"/>
        <v>0.2180094787</v>
      </c>
      <c r="J2048" s="2">
        <v>666.0</v>
      </c>
      <c r="K2048" s="3">
        <f t="shared" si="4"/>
        <v>0.1972748815</v>
      </c>
      <c r="L2048" s="2">
        <v>426.0</v>
      </c>
      <c r="M2048" s="3">
        <f t="shared" si="5"/>
        <v>0.5788043478</v>
      </c>
      <c r="N2048" s="2">
        <v>4196300.0</v>
      </c>
      <c r="O2048" s="4">
        <f t="shared" si="6"/>
        <v>5701.494565</v>
      </c>
      <c r="P2048" s="2">
        <v>1.0</v>
      </c>
      <c r="Q2048" s="3">
        <f t="shared" si="7"/>
        <v>0.003115264798</v>
      </c>
      <c r="R2048" s="2">
        <v>321.0</v>
      </c>
      <c r="S2048" s="5">
        <f t="shared" si="8"/>
        <v>1</v>
      </c>
    </row>
    <row r="2049">
      <c r="A2049" s="2" t="s">
        <v>2060</v>
      </c>
      <c r="B2049" s="2">
        <v>1601.0</v>
      </c>
      <c r="C2049" s="2">
        <v>18804.0</v>
      </c>
      <c r="D2049" s="2">
        <v>6868.0</v>
      </c>
      <c r="E2049" s="3">
        <f t="shared" si="1"/>
        <v>0.399232692</v>
      </c>
      <c r="F2049" s="2">
        <v>2400.0</v>
      </c>
      <c r="G2049" s="3">
        <f t="shared" si="2"/>
        <v>0.1395105505</v>
      </c>
      <c r="H2049" s="2">
        <v>4008.0</v>
      </c>
      <c r="I2049" s="3">
        <f t="shared" si="3"/>
        <v>0.2329826193</v>
      </c>
      <c r="J2049" s="2">
        <v>3177.0</v>
      </c>
      <c r="K2049" s="3">
        <f t="shared" si="4"/>
        <v>0.1846770912</v>
      </c>
      <c r="L2049" s="2">
        <v>2353.0</v>
      </c>
      <c r="M2049" s="3">
        <f t="shared" si="5"/>
        <v>0.5870758483</v>
      </c>
      <c r="N2049" s="2">
        <v>2.19343E7</v>
      </c>
      <c r="O2049" s="4">
        <f t="shared" si="6"/>
        <v>5472.629741</v>
      </c>
      <c r="P2049" s="2">
        <v>5.0</v>
      </c>
      <c r="Q2049" s="3">
        <f t="shared" si="7"/>
        <v>0.003123048095</v>
      </c>
      <c r="R2049" s="2">
        <v>1601.0</v>
      </c>
      <c r="S2049" s="5">
        <f t="shared" si="8"/>
        <v>1</v>
      </c>
    </row>
    <row r="2050">
      <c r="A2050" s="2" t="s">
        <v>2061</v>
      </c>
      <c r="B2050" s="2">
        <v>1037.0</v>
      </c>
      <c r="C2050" s="2">
        <v>12098.0</v>
      </c>
      <c r="D2050" s="2">
        <v>4138.0</v>
      </c>
      <c r="E2050" s="3">
        <f t="shared" si="1"/>
        <v>0.3741072236</v>
      </c>
      <c r="F2050" s="2">
        <v>1543.0</v>
      </c>
      <c r="G2050" s="3">
        <f t="shared" si="2"/>
        <v>0.1394991411</v>
      </c>
      <c r="H2050" s="2">
        <v>2375.0</v>
      </c>
      <c r="I2050" s="3">
        <f t="shared" si="3"/>
        <v>0.2147183799</v>
      </c>
      <c r="J2050" s="2">
        <v>2026.0</v>
      </c>
      <c r="K2050" s="3">
        <f t="shared" si="4"/>
        <v>0.183166079</v>
      </c>
      <c r="L2050" s="2">
        <v>1417.0</v>
      </c>
      <c r="M2050" s="3">
        <f t="shared" si="5"/>
        <v>0.5966315789</v>
      </c>
      <c r="N2050" s="2">
        <v>1.39304E7</v>
      </c>
      <c r="O2050" s="4">
        <f t="shared" si="6"/>
        <v>5865.431579</v>
      </c>
      <c r="P2050" s="2">
        <v>5.0</v>
      </c>
      <c r="Q2050" s="3">
        <f t="shared" si="7"/>
        <v>0.004821600771</v>
      </c>
      <c r="R2050" s="2">
        <v>1037.0</v>
      </c>
      <c r="S2050" s="5">
        <f t="shared" si="8"/>
        <v>1</v>
      </c>
    </row>
    <row r="2051">
      <c r="A2051" s="2" t="s">
        <v>2062</v>
      </c>
      <c r="B2051" s="2">
        <v>154.0</v>
      </c>
      <c r="C2051" s="2">
        <v>1767.0</v>
      </c>
      <c r="D2051" s="2">
        <v>475.0</v>
      </c>
      <c r="E2051" s="3">
        <f t="shared" si="1"/>
        <v>0.2944823311</v>
      </c>
      <c r="F2051" s="2">
        <v>225.0</v>
      </c>
      <c r="G2051" s="3">
        <f t="shared" si="2"/>
        <v>0.1394916305</v>
      </c>
      <c r="H2051" s="2">
        <v>341.0</v>
      </c>
      <c r="I2051" s="3">
        <f t="shared" si="3"/>
        <v>0.2114073156</v>
      </c>
      <c r="J2051" s="2">
        <v>280.0</v>
      </c>
      <c r="K2051" s="3">
        <f t="shared" si="4"/>
        <v>0.1735895846</v>
      </c>
      <c r="L2051" s="2">
        <v>197.0</v>
      </c>
      <c r="M2051" s="3">
        <f t="shared" si="5"/>
        <v>0.57771261</v>
      </c>
      <c r="N2051" s="2">
        <v>1923400.0</v>
      </c>
      <c r="O2051" s="4">
        <f t="shared" si="6"/>
        <v>5640.469208</v>
      </c>
      <c r="P2051" s="2">
        <v>0.0</v>
      </c>
      <c r="Q2051" s="3">
        <f t="shared" si="7"/>
        <v>0</v>
      </c>
      <c r="R2051" s="2">
        <v>154.0</v>
      </c>
      <c r="S2051" s="5">
        <f t="shared" si="8"/>
        <v>1</v>
      </c>
    </row>
    <row r="2052">
      <c r="A2052" s="2" t="s">
        <v>2063</v>
      </c>
      <c r="B2052" s="2">
        <v>237.0</v>
      </c>
      <c r="C2052" s="2">
        <v>2739.0</v>
      </c>
      <c r="D2052" s="2">
        <v>886.0</v>
      </c>
      <c r="E2052" s="3">
        <f t="shared" si="1"/>
        <v>0.3541167066</v>
      </c>
      <c r="F2052" s="2">
        <v>349.0</v>
      </c>
      <c r="G2052" s="3">
        <f t="shared" si="2"/>
        <v>0.1394884093</v>
      </c>
      <c r="H2052" s="2">
        <v>536.0</v>
      </c>
      <c r="I2052" s="3">
        <f t="shared" si="3"/>
        <v>0.2142286171</v>
      </c>
      <c r="J2052" s="2">
        <v>503.0</v>
      </c>
      <c r="K2052" s="3">
        <f t="shared" si="4"/>
        <v>0.2010391687</v>
      </c>
      <c r="L2052" s="2">
        <v>323.0</v>
      </c>
      <c r="M2052" s="3">
        <f t="shared" si="5"/>
        <v>0.6026119403</v>
      </c>
      <c r="N2052" s="2">
        <v>3181700.0</v>
      </c>
      <c r="O2052" s="4">
        <f t="shared" si="6"/>
        <v>5936.007463</v>
      </c>
      <c r="P2052" s="2">
        <v>0.0</v>
      </c>
      <c r="Q2052" s="3">
        <f t="shared" si="7"/>
        <v>0</v>
      </c>
      <c r="R2052" s="2">
        <v>237.0</v>
      </c>
      <c r="S2052" s="5">
        <f t="shared" si="8"/>
        <v>1</v>
      </c>
    </row>
    <row r="2053">
      <c r="A2053" s="2" t="s">
        <v>2064</v>
      </c>
      <c r="B2053" s="2">
        <v>593.0</v>
      </c>
      <c r="C2053" s="2">
        <v>6974.0</v>
      </c>
      <c r="D2053" s="2">
        <v>2444.0</v>
      </c>
      <c r="E2053" s="3">
        <f t="shared" si="1"/>
        <v>0.3830120671</v>
      </c>
      <c r="F2053" s="2">
        <v>890.0</v>
      </c>
      <c r="G2053" s="3">
        <f t="shared" si="2"/>
        <v>0.1394765711</v>
      </c>
      <c r="H2053" s="2">
        <v>1437.0</v>
      </c>
      <c r="I2053" s="3">
        <f t="shared" si="3"/>
        <v>0.2251998119</v>
      </c>
      <c r="J2053" s="2">
        <v>1017.0</v>
      </c>
      <c r="K2053" s="3">
        <f t="shared" si="4"/>
        <v>0.1593794076</v>
      </c>
      <c r="L2053" s="2">
        <v>895.0</v>
      </c>
      <c r="M2053" s="3">
        <f t="shared" si="5"/>
        <v>0.6228253305</v>
      </c>
      <c r="N2053" s="2">
        <v>7601700.0</v>
      </c>
      <c r="O2053" s="4">
        <f t="shared" si="6"/>
        <v>5289.979123</v>
      </c>
      <c r="P2053" s="2">
        <v>0.0</v>
      </c>
      <c r="Q2053" s="3">
        <f t="shared" si="7"/>
        <v>0</v>
      </c>
      <c r="R2053" s="2">
        <v>441.0</v>
      </c>
      <c r="S2053" s="5">
        <f t="shared" si="8"/>
        <v>0.7436762226</v>
      </c>
    </row>
    <row r="2054">
      <c r="A2054" s="2" t="s">
        <v>2065</v>
      </c>
      <c r="B2054" s="2">
        <v>889.0</v>
      </c>
      <c r="C2054" s="2">
        <v>10432.0</v>
      </c>
      <c r="D2054" s="2">
        <v>3139.0</v>
      </c>
      <c r="E2054" s="3">
        <f t="shared" si="1"/>
        <v>0.3289322016</v>
      </c>
      <c r="F2054" s="2">
        <v>1331.0</v>
      </c>
      <c r="G2054" s="3">
        <f t="shared" si="2"/>
        <v>0.13947396</v>
      </c>
      <c r="H2054" s="2">
        <v>1954.0</v>
      </c>
      <c r="I2054" s="3">
        <f t="shared" si="3"/>
        <v>0.2047574138</v>
      </c>
      <c r="J2054" s="2">
        <v>1813.0</v>
      </c>
      <c r="K2054" s="3">
        <f t="shared" si="4"/>
        <v>0.1899821859</v>
      </c>
      <c r="L2054" s="2">
        <v>1146.0</v>
      </c>
      <c r="M2054" s="3">
        <f t="shared" si="5"/>
        <v>0.5864892528</v>
      </c>
      <c r="N2054" s="2">
        <v>1.12918E7</v>
      </c>
      <c r="O2054" s="4">
        <f t="shared" si="6"/>
        <v>5778.812692</v>
      </c>
      <c r="P2054" s="2">
        <v>2.0</v>
      </c>
      <c r="Q2054" s="3">
        <f t="shared" si="7"/>
        <v>0.002249718785</v>
      </c>
      <c r="R2054" s="2">
        <v>889.0</v>
      </c>
      <c r="S2054" s="5">
        <f t="shared" si="8"/>
        <v>1</v>
      </c>
    </row>
    <row r="2055">
      <c r="A2055" s="2" t="s">
        <v>2066</v>
      </c>
      <c r="B2055" s="2">
        <v>5730.0</v>
      </c>
      <c r="C2055" s="2">
        <v>66695.0</v>
      </c>
      <c r="D2055" s="2">
        <v>24072.0</v>
      </c>
      <c r="E2055" s="3">
        <f t="shared" si="1"/>
        <v>0.3948495038</v>
      </c>
      <c r="F2055" s="2">
        <v>8503.0</v>
      </c>
      <c r="G2055" s="3">
        <f t="shared" si="2"/>
        <v>0.1394734684</v>
      </c>
      <c r="H2055" s="2">
        <v>13980.0</v>
      </c>
      <c r="I2055" s="3">
        <f t="shared" si="3"/>
        <v>0.2293119003</v>
      </c>
      <c r="J2055" s="2">
        <v>11002.0</v>
      </c>
      <c r="K2055" s="3">
        <f t="shared" si="4"/>
        <v>0.1804642008</v>
      </c>
      <c r="L2055" s="2">
        <v>8381.0</v>
      </c>
      <c r="M2055" s="3">
        <f t="shared" si="5"/>
        <v>0.5994992847</v>
      </c>
      <c r="N2055" s="2">
        <v>7.61314E7</v>
      </c>
      <c r="O2055" s="4">
        <f t="shared" si="6"/>
        <v>5445.736767</v>
      </c>
      <c r="P2055" s="2">
        <v>7.0</v>
      </c>
      <c r="Q2055" s="3">
        <f t="shared" si="7"/>
        <v>0.001221640489</v>
      </c>
      <c r="R2055" s="2">
        <v>5730.0</v>
      </c>
      <c r="S2055" s="5">
        <f t="shared" si="8"/>
        <v>1</v>
      </c>
    </row>
    <row r="2056">
      <c r="A2056" s="2" t="s">
        <v>2067</v>
      </c>
      <c r="B2056" s="2">
        <v>148.0</v>
      </c>
      <c r="C2056" s="2">
        <v>1704.0</v>
      </c>
      <c r="D2056" s="2">
        <v>478.0</v>
      </c>
      <c r="E2056" s="3">
        <f t="shared" si="1"/>
        <v>0.3071979434</v>
      </c>
      <c r="F2056" s="2">
        <v>217.0</v>
      </c>
      <c r="G2056" s="3">
        <f t="shared" si="2"/>
        <v>0.1394601542</v>
      </c>
      <c r="H2056" s="2">
        <v>314.0</v>
      </c>
      <c r="I2056" s="3">
        <f t="shared" si="3"/>
        <v>0.2017994859</v>
      </c>
      <c r="J2056" s="2">
        <v>307.0</v>
      </c>
      <c r="K2056" s="3">
        <f t="shared" si="4"/>
        <v>0.1973007712</v>
      </c>
      <c r="L2056" s="2">
        <v>175.0</v>
      </c>
      <c r="M2056" s="3">
        <f t="shared" si="5"/>
        <v>0.5573248408</v>
      </c>
      <c r="N2056" s="2">
        <v>1798600.0</v>
      </c>
      <c r="O2056" s="4">
        <f t="shared" si="6"/>
        <v>5728.025478</v>
      </c>
      <c r="P2056" s="2">
        <v>0.0</v>
      </c>
      <c r="Q2056" s="3">
        <f t="shared" si="7"/>
        <v>0</v>
      </c>
      <c r="R2056" s="2">
        <v>0.0</v>
      </c>
      <c r="S2056" s="5">
        <f t="shared" si="8"/>
        <v>0</v>
      </c>
    </row>
    <row r="2057">
      <c r="A2057" s="2" t="s">
        <v>2068</v>
      </c>
      <c r="B2057" s="2">
        <v>407.0</v>
      </c>
      <c r="C2057" s="2">
        <v>4688.0</v>
      </c>
      <c r="D2057" s="2">
        <v>1490.0</v>
      </c>
      <c r="E2057" s="3">
        <f t="shared" si="1"/>
        <v>0.3480495211</v>
      </c>
      <c r="F2057" s="2">
        <v>597.0</v>
      </c>
      <c r="G2057" s="3">
        <f t="shared" si="2"/>
        <v>0.1394533987</v>
      </c>
      <c r="H2057" s="2">
        <v>924.0</v>
      </c>
      <c r="I2057" s="3">
        <f t="shared" si="3"/>
        <v>0.2158374212</v>
      </c>
      <c r="J2057" s="2">
        <v>762.0</v>
      </c>
      <c r="K2057" s="3">
        <f t="shared" si="4"/>
        <v>0.1779957954</v>
      </c>
      <c r="L2057" s="2">
        <v>546.0</v>
      </c>
      <c r="M2057" s="3">
        <f t="shared" si="5"/>
        <v>0.5909090909</v>
      </c>
      <c r="N2057" s="2">
        <v>5254400.0</v>
      </c>
      <c r="O2057" s="4">
        <f t="shared" si="6"/>
        <v>5686.580087</v>
      </c>
      <c r="P2057" s="2">
        <v>0.0</v>
      </c>
      <c r="Q2057" s="3">
        <f t="shared" si="7"/>
        <v>0</v>
      </c>
      <c r="R2057" s="2">
        <v>407.0</v>
      </c>
      <c r="S2057" s="5">
        <f t="shared" si="8"/>
        <v>1</v>
      </c>
    </row>
    <row r="2058">
      <c r="A2058" s="2" t="s">
        <v>2069</v>
      </c>
      <c r="B2058" s="2">
        <v>671.0</v>
      </c>
      <c r="C2058" s="2">
        <v>7835.0</v>
      </c>
      <c r="D2058" s="2">
        <v>2274.0</v>
      </c>
      <c r="E2058" s="3">
        <f t="shared" si="1"/>
        <v>0.3174204355</v>
      </c>
      <c r="F2058" s="2">
        <v>999.0</v>
      </c>
      <c r="G2058" s="3">
        <f t="shared" si="2"/>
        <v>0.1394472362</v>
      </c>
      <c r="H2058" s="2">
        <v>1582.0</v>
      </c>
      <c r="I2058" s="3">
        <f t="shared" si="3"/>
        <v>0.220826354</v>
      </c>
      <c r="J2058" s="2">
        <v>1260.0</v>
      </c>
      <c r="K2058" s="3">
        <f t="shared" si="4"/>
        <v>0.175879397</v>
      </c>
      <c r="L2058" s="2">
        <v>936.0</v>
      </c>
      <c r="M2058" s="3">
        <f t="shared" si="5"/>
        <v>0.5916561315</v>
      </c>
      <c r="N2058" s="2">
        <v>8731200.0</v>
      </c>
      <c r="O2058" s="4">
        <f t="shared" si="6"/>
        <v>5519.08976</v>
      </c>
      <c r="P2058" s="2">
        <v>1.0</v>
      </c>
      <c r="Q2058" s="3">
        <f t="shared" si="7"/>
        <v>0.001490312966</v>
      </c>
      <c r="R2058" s="2">
        <v>671.0</v>
      </c>
      <c r="S2058" s="5">
        <f t="shared" si="8"/>
        <v>1</v>
      </c>
    </row>
    <row r="2059">
      <c r="A2059" s="2" t="s">
        <v>2070</v>
      </c>
      <c r="B2059" s="2">
        <v>498.0</v>
      </c>
      <c r="C2059" s="2">
        <v>5755.0</v>
      </c>
      <c r="D2059" s="2">
        <v>2000.0</v>
      </c>
      <c r="E2059" s="3">
        <f t="shared" si="1"/>
        <v>0.3804451208</v>
      </c>
      <c r="F2059" s="2">
        <v>733.0</v>
      </c>
      <c r="G2059" s="3">
        <f t="shared" si="2"/>
        <v>0.1394331368</v>
      </c>
      <c r="H2059" s="2">
        <v>1142.0</v>
      </c>
      <c r="I2059" s="3">
        <f t="shared" si="3"/>
        <v>0.217234164</v>
      </c>
      <c r="J2059" s="2">
        <v>883.0</v>
      </c>
      <c r="K2059" s="3">
        <f t="shared" si="4"/>
        <v>0.1679665208</v>
      </c>
      <c r="L2059" s="2">
        <v>687.0</v>
      </c>
      <c r="M2059" s="3">
        <f t="shared" si="5"/>
        <v>0.6015761821</v>
      </c>
      <c r="N2059" s="2">
        <v>5964000.0</v>
      </c>
      <c r="O2059" s="4">
        <f t="shared" si="6"/>
        <v>5222.416813</v>
      </c>
      <c r="P2059" s="2">
        <v>0.0</v>
      </c>
      <c r="Q2059" s="3">
        <f t="shared" si="7"/>
        <v>0</v>
      </c>
      <c r="R2059" s="2">
        <v>498.0</v>
      </c>
      <c r="S2059" s="5">
        <f t="shared" si="8"/>
        <v>1</v>
      </c>
    </row>
    <row r="2060">
      <c r="A2060" s="2" t="s">
        <v>2071</v>
      </c>
      <c r="B2060" s="2">
        <v>4840.0</v>
      </c>
      <c r="C2060" s="2">
        <v>56694.0</v>
      </c>
      <c r="D2060" s="2">
        <v>18780.0</v>
      </c>
      <c r="E2060" s="3">
        <f t="shared" si="1"/>
        <v>0.3621707101</v>
      </c>
      <c r="F2060" s="2">
        <v>7230.0</v>
      </c>
      <c r="G2060" s="3">
        <f t="shared" si="2"/>
        <v>0.1394299379</v>
      </c>
      <c r="H2060" s="2">
        <v>11181.0</v>
      </c>
      <c r="I2060" s="3">
        <f t="shared" si="3"/>
        <v>0.2156246384</v>
      </c>
      <c r="J2060" s="2">
        <v>9684.0</v>
      </c>
      <c r="K2060" s="3">
        <f t="shared" si="4"/>
        <v>0.1867551201</v>
      </c>
      <c r="L2060" s="2">
        <v>6713.0</v>
      </c>
      <c r="M2060" s="3">
        <f t="shared" si="5"/>
        <v>0.6003935247</v>
      </c>
      <c r="N2060" s="2">
        <v>6.48843E7</v>
      </c>
      <c r="O2060" s="4">
        <f t="shared" si="6"/>
        <v>5803.085592</v>
      </c>
      <c r="P2060" s="2">
        <v>10.0</v>
      </c>
      <c r="Q2060" s="3">
        <f t="shared" si="7"/>
        <v>0.002066115702</v>
      </c>
      <c r="R2060" s="2">
        <v>4811.0</v>
      </c>
      <c r="S2060" s="5">
        <f t="shared" si="8"/>
        <v>0.9940082645</v>
      </c>
    </row>
    <row r="2061">
      <c r="A2061" s="2" t="s">
        <v>2072</v>
      </c>
      <c r="B2061" s="2">
        <v>252.0</v>
      </c>
      <c r="C2061" s="2">
        <v>2956.0</v>
      </c>
      <c r="D2061" s="2">
        <v>931.0</v>
      </c>
      <c r="E2061" s="3">
        <f t="shared" si="1"/>
        <v>0.3443047337</v>
      </c>
      <c r="F2061" s="2">
        <v>377.0</v>
      </c>
      <c r="G2061" s="3">
        <f t="shared" si="2"/>
        <v>0.1394230769</v>
      </c>
      <c r="H2061" s="2">
        <v>598.0</v>
      </c>
      <c r="I2061" s="3">
        <f t="shared" si="3"/>
        <v>0.2211538462</v>
      </c>
      <c r="J2061" s="2">
        <v>472.0</v>
      </c>
      <c r="K2061" s="3">
        <f t="shared" si="4"/>
        <v>0.174556213</v>
      </c>
      <c r="L2061" s="2">
        <v>355.0</v>
      </c>
      <c r="M2061" s="3">
        <f t="shared" si="5"/>
        <v>0.5936454849</v>
      </c>
      <c r="N2061" s="2">
        <v>3370600.0</v>
      </c>
      <c r="O2061" s="4">
        <f t="shared" si="6"/>
        <v>5636.454849</v>
      </c>
      <c r="P2061" s="2">
        <v>1.0</v>
      </c>
      <c r="Q2061" s="3">
        <f t="shared" si="7"/>
        <v>0.003968253968</v>
      </c>
      <c r="R2061" s="2">
        <v>252.0</v>
      </c>
      <c r="S2061" s="5">
        <f t="shared" si="8"/>
        <v>1</v>
      </c>
    </row>
    <row r="2062">
      <c r="A2062" s="2" t="s">
        <v>2073</v>
      </c>
      <c r="B2062" s="2">
        <v>638.0</v>
      </c>
      <c r="C2062" s="2">
        <v>7581.0</v>
      </c>
      <c r="D2062" s="2">
        <v>2572.0</v>
      </c>
      <c r="E2062" s="3">
        <f t="shared" si="1"/>
        <v>0.3704450526</v>
      </c>
      <c r="F2062" s="2">
        <v>968.0</v>
      </c>
      <c r="G2062" s="3">
        <f t="shared" si="2"/>
        <v>0.1394209996</v>
      </c>
      <c r="H2062" s="2">
        <v>1540.0</v>
      </c>
      <c r="I2062" s="3">
        <f t="shared" si="3"/>
        <v>0.2218061357</v>
      </c>
      <c r="J2062" s="2">
        <v>1231.0</v>
      </c>
      <c r="K2062" s="3">
        <f t="shared" si="4"/>
        <v>0.1773008786</v>
      </c>
      <c r="L2062" s="2">
        <v>961.0</v>
      </c>
      <c r="M2062" s="3">
        <f t="shared" si="5"/>
        <v>0.624025974</v>
      </c>
      <c r="N2062" s="2">
        <v>8456500.0</v>
      </c>
      <c r="O2062" s="4">
        <f t="shared" si="6"/>
        <v>5491.233766</v>
      </c>
      <c r="P2062" s="2">
        <v>2.0</v>
      </c>
      <c r="Q2062" s="3">
        <f t="shared" si="7"/>
        <v>0.003134796238</v>
      </c>
      <c r="R2062" s="2">
        <v>638.0</v>
      </c>
      <c r="S2062" s="5">
        <f t="shared" si="8"/>
        <v>1</v>
      </c>
    </row>
    <row r="2063">
      <c r="A2063" s="2" t="s">
        <v>2074</v>
      </c>
      <c r="B2063" s="2">
        <v>701.0</v>
      </c>
      <c r="C2063" s="2">
        <v>8140.0</v>
      </c>
      <c r="D2063" s="2">
        <v>2461.0</v>
      </c>
      <c r="E2063" s="3">
        <f t="shared" si="1"/>
        <v>0.3308240355</v>
      </c>
      <c r="F2063" s="2">
        <v>1037.0</v>
      </c>
      <c r="G2063" s="3">
        <f t="shared" si="2"/>
        <v>0.1394004571</v>
      </c>
      <c r="H2063" s="2">
        <v>1634.0</v>
      </c>
      <c r="I2063" s="3">
        <f t="shared" si="3"/>
        <v>0.2196531792</v>
      </c>
      <c r="J2063" s="2">
        <v>1390.0</v>
      </c>
      <c r="K2063" s="3">
        <f t="shared" si="4"/>
        <v>0.1868530716</v>
      </c>
      <c r="L2063" s="2">
        <v>1002.0</v>
      </c>
      <c r="M2063" s="3">
        <f t="shared" si="5"/>
        <v>0.6132190942</v>
      </c>
      <c r="N2063" s="2">
        <v>9333500.0</v>
      </c>
      <c r="O2063" s="4">
        <f t="shared" si="6"/>
        <v>5712.056304</v>
      </c>
      <c r="P2063" s="2">
        <v>1.0</v>
      </c>
      <c r="Q2063" s="3">
        <f t="shared" si="7"/>
        <v>0.001426533524</v>
      </c>
      <c r="R2063" s="2">
        <v>700.0</v>
      </c>
      <c r="S2063" s="5">
        <f t="shared" si="8"/>
        <v>0.9985734665</v>
      </c>
    </row>
    <row r="2064">
      <c r="A2064" s="2" t="s">
        <v>2075</v>
      </c>
      <c r="B2064" s="2">
        <v>210.0</v>
      </c>
      <c r="C2064" s="2">
        <v>2441.0</v>
      </c>
      <c r="D2064" s="2">
        <v>771.0</v>
      </c>
      <c r="E2064" s="3">
        <f t="shared" si="1"/>
        <v>0.3455849395</v>
      </c>
      <c r="F2064" s="2">
        <v>311.0</v>
      </c>
      <c r="G2064" s="3">
        <f t="shared" si="2"/>
        <v>0.1393993725</v>
      </c>
      <c r="H2064" s="2">
        <v>494.0</v>
      </c>
      <c r="I2064" s="3">
        <f t="shared" si="3"/>
        <v>0.2214253698</v>
      </c>
      <c r="J2064" s="2">
        <v>450.0</v>
      </c>
      <c r="K2064" s="3">
        <f t="shared" si="4"/>
        <v>0.2017032721</v>
      </c>
      <c r="L2064" s="2">
        <v>302.0</v>
      </c>
      <c r="M2064" s="3">
        <f t="shared" si="5"/>
        <v>0.6113360324</v>
      </c>
      <c r="N2064" s="2">
        <v>2872800.0</v>
      </c>
      <c r="O2064" s="4">
        <f t="shared" si="6"/>
        <v>5815.384615</v>
      </c>
      <c r="P2064" s="2">
        <v>0.0</v>
      </c>
      <c r="Q2064" s="3">
        <f t="shared" si="7"/>
        <v>0</v>
      </c>
      <c r="R2064" s="2">
        <v>210.0</v>
      </c>
      <c r="S2064" s="5">
        <f t="shared" si="8"/>
        <v>1</v>
      </c>
    </row>
    <row r="2065">
      <c r="A2065" s="2" t="s">
        <v>2076</v>
      </c>
      <c r="B2065" s="2">
        <v>255.0</v>
      </c>
      <c r="C2065" s="2">
        <v>2895.0</v>
      </c>
      <c r="D2065" s="2">
        <v>871.0</v>
      </c>
      <c r="E2065" s="3">
        <f t="shared" si="1"/>
        <v>0.3299242424</v>
      </c>
      <c r="F2065" s="2">
        <v>368.0</v>
      </c>
      <c r="G2065" s="3">
        <f t="shared" si="2"/>
        <v>0.1393939394</v>
      </c>
      <c r="H2065" s="2">
        <v>587.0</v>
      </c>
      <c r="I2065" s="3">
        <f t="shared" si="3"/>
        <v>0.2223484848</v>
      </c>
      <c r="J2065" s="2">
        <v>526.0</v>
      </c>
      <c r="K2065" s="3">
        <f t="shared" si="4"/>
        <v>0.1992424242</v>
      </c>
      <c r="L2065" s="2">
        <v>356.0</v>
      </c>
      <c r="M2065" s="3">
        <f t="shared" si="5"/>
        <v>0.6064735945</v>
      </c>
      <c r="N2065" s="2">
        <v>3457900.0</v>
      </c>
      <c r="O2065" s="4">
        <f t="shared" si="6"/>
        <v>5890.800681</v>
      </c>
      <c r="P2065" s="2">
        <v>1.0</v>
      </c>
      <c r="Q2065" s="3">
        <f t="shared" si="7"/>
        <v>0.003921568627</v>
      </c>
      <c r="R2065" s="2">
        <v>255.0</v>
      </c>
      <c r="S2065" s="5">
        <f t="shared" si="8"/>
        <v>1</v>
      </c>
    </row>
    <row r="2066">
      <c r="A2066" s="2" t="s">
        <v>2077</v>
      </c>
      <c r="B2066" s="2">
        <v>57.0</v>
      </c>
      <c r="C2066" s="2">
        <v>717.0</v>
      </c>
      <c r="D2066" s="2">
        <v>205.0</v>
      </c>
      <c r="E2066" s="3">
        <f t="shared" si="1"/>
        <v>0.3106060606</v>
      </c>
      <c r="F2066" s="2">
        <v>92.0</v>
      </c>
      <c r="G2066" s="3">
        <f t="shared" si="2"/>
        <v>0.1393939394</v>
      </c>
      <c r="H2066" s="2">
        <v>118.0</v>
      </c>
      <c r="I2066" s="3">
        <f t="shared" si="3"/>
        <v>0.1787878788</v>
      </c>
      <c r="J2066" s="2">
        <v>120.0</v>
      </c>
      <c r="K2066" s="3">
        <f t="shared" si="4"/>
        <v>0.1818181818</v>
      </c>
      <c r="L2066" s="2">
        <v>71.0</v>
      </c>
      <c r="M2066" s="3">
        <f t="shared" si="5"/>
        <v>0.6016949153</v>
      </c>
      <c r="N2066" s="2">
        <v>708100.0</v>
      </c>
      <c r="O2066" s="4">
        <f t="shared" si="6"/>
        <v>6000.847458</v>
      </c>
      <c r="P2066" s="2">
        <v>0.0</v>
      </c>
      <c r="Q2066" s="3">
        <f t="shared" si="7"/>
        <v>0</v>
      </c>
      <c r="R2066" s="2">
        <v>57.0</v>
      </c>
      <c r="S2066" s="5">
        <f t="shared" si="8"/>
        <v>1</v>
      </c>
    </row>
    <row r="2067">
      <c r="A2067" s="2" t="s">
        <v>2078</v>
      </c>
      <c r="B2067" s="2">
        <v>29.0</v>
      </c>
      <c r="C2067" s="2">
        <v>359.0</v>
      </c>
      <c r="D2067" s="2">
        <v>128.0</v>
      </c>
      <c r="E2067" s="3">
        <f t="shared" si="1"/>
        <v>0.3878787879</v>
      </c>
      <c r="F2067" s="2">
        <v>46.0</v>
      </c>
      <c r="G2067" s="3">
        <f t="shared" si="2"/>
        <v>0.1393939394</v>
      </c>
      <c r="H2067" s="2">
        <v>60.0</v>
      </c>
      <c r="I2067" s="3">
        <f t="shared" si="3"/>
        <v>0.1818181818</v>
      </c>
      <c r="J2067" s="2">
        <v>45.0</v>
      </c>
      <c r="K2067" s="3">
        <f t="shared" si="4"/>
        <v>0.1363636364</v>
      </c>
      <c r="L2067" s="2">
        <v>38.0</v>
      </c>
      <c r="M2067" s="3">
        <f t="shared" si="5"/>
        <v>0.6333333333</v>
      </c>
      <c r="N2067" s="2">
        <v>306700.0</v>
      </c>
      <c r="O2067" s="4">
        <f t="shared" si="6"/>
        <v>5111.666667</v>
      </c>
      <c r="P2067" s="2">
        <v>0.0</v>
      </c>
      <c r="Q2067" s="3">
        <f t="shared" si="7"/>
        <v>0</v>
      </c>
      <c r="R2067" s="2">
        <v>0.0</v>
      </c>
      <c r="S2067" s="5">
        <f t="shared" si="8"/>
        <v>0</v>
      </c>
    </row>
    <row r="2068">
      <c r="A2068" s="2" t="s">
        <v>2079</v>
      </c>
      <c r="B2068" s="2">
        <v>405.0</v>
      </c>
      <c r="C2068" s="2">
        <v>4559.0</v>
      </c>
      <c r="D2068" s="2">
        <v>1389.0</v>
      </c>
      <c r="E2068" s="3">
        <f t="shared" si="1"/>
        <v>0.3343765046</v>
      </c>
      <c r="F2068" s="2">
        <v>579.0</v>
      </c>
      <c r="G2068" s="3">
        <f t="shared" si="2"/>
        <v>0.1393837265</v>
      </c>
      <c r="H2068" s="2">
        <v>858.0</v>
      </c>
      <c r="I2068" s="3">
        <f t="shared" si="3"/>
        <v>0.2065479056</v>
      </c>
      <c r="J2068" s="2">
        <v>872.0</v>
      </c>
      <c r="K2068" s="3">
        <f t="shared" si="4"/>
        <v>0.2099181512</v>
      </c>
      <c r="L2068" s="2">
        <v>508.0</v>
      </c>
      <c r="M2068" s="3">
        <f t="shared" si="5"/>
        <v>0.5920745921</v>
      </c>
      <c r="N2068" s="2">
        <v>5345900.0</v>
      </c>
      <c r="O2068" s="4">
        <f t="shared" si="6"/>
        <v>6230.652681</v>
      </c>
      <c r="P2068" s="2">
        <v>2.0</v>
      </c>
      <c r="Q2068" s="3">
        <f t="shared" si="7"/>
        <v>0.004938271605</v>
      </c>
      <c r="R2068" s="2">
        <v>405.0</v>
      </c>
      <c r="S2068" s="5">
        <f t="shared" si="8"/>
        <v>1</v>
      </c>
    </row>
    <row r="2069">
      <c r="A2069" s="2" t="s">
        <v>2080</v>
      </c>
      <c r="B2069" s="2">
        <v>361.0</v>
      </c>
      <c r="C2069" s="2">
        <v>4350.0</v>
      </c>
      <c r="D2069" s="2">
        <v>1407.0</v>
      </c>
      <c r="E2069" s="3">
        <f t="shared" si="1"/>
        <v>0.3527199799</v>
      </c>
      <c r="F2069" s="2">
        <v>556.0</v>
      </c>
      <c r="G2069" s="3">
        <f t="shared" si="2"/>
        <v>0.1393833041</v>
      </c>
      <c r="H2069" s="2">
        <v>761.0</v>
      </c>
      <c r="I2069" s="3">
        <f t="shared" si="3"/>
        <v>0.1907746302</v>
      </c>
      <c r="J2069" s="2">
        <v>589.0</v>
      </c>
      <c r="K2069" s="3">
        <f t="shared" si="4"/>
        <v>0.1476560541</v>
      </c>
      <c r="L2069" s="2">
        <v>456.0</v>
      </c>
      <c r="M2069" s="3">
        <f t="shared" si="5"/>
        <v>0.5992115637</v>
      </c>
      <c r="N2069" s="2">
        <v>4459300.0</v>
      </c>
      <c r="O2069" s="4">
        <f t="shared" si="6"/>
        <v>5859.78975</v>
      </c>
      <c r="P2069" s="2">
        <v>1.0</v>
      </c>
      <c r="Q2069" s="3">
        <f t="shared" si="7"/>
        <v>0.002770083102</v>
      </c>
      <c r="R2069" s="2">
        <v>361.0</v>
      </c>
      <c r="S2069" s="5">
        <f t="shared" si="8"/>
        <v>1</v>
      </c>
    </row>
    <row r="2070">
      <c r="A2070" s="2" t="s">
        <v>2081</v>
      </c>
      <c r="B2070" s="2">
        <v>152.0</v>
      </c>
      <c r="C2070" s="2">
        <v>1752.0</v>
      </c>
      <c r="D2070" s="2">
        <v>531.0</v>
      </c>
      <c r="E2070" s="3">
        <f t="shared" si="1"/>
        <v>0.331875</v>
      </c>
      <c r="F2070" s="2">
        <v>223.0</v>
      </c>
      <c r="G2070" s="3">
        <f t="shared" si="2"/>
        <v>0.139375</v>
      </c>
      <c r="H2070" s="2">
        <v>367.0</v>
      </c>
      <c r="I2070" s="3">
        <f t="shared" si="3"/>
        <v>0.229375</v>
      </c>
      <c r="J2070" s="2">
        <v>343.0</v>
      </c>
      <c r="K2070" s="3">
        <f t="shared" si="4"/>
        <v>0.214375</v>
      </c>
      <c r="L2070" s="2">
        <v>226.0</v>
      </c>
      <c r="M2070" s="3">
        <f t="shared" si="5"/>
        <v>0.6158038147</v>
      </c>
      <c r="N2070" s="2">
        <v>2237200.0</v>
      </c>
      <c r="O2070" s="4">
        <f t="shared" si="6"/>
        <v>6095.912807</v>
      </c>
      <c r="P2070" s="2">
        <v>0.0</v>
      </c>
      <c r="Q2070" s="3">
        <f t="shared" si="7"/>
        <v>0</v>
      </c>
      <c r="R2070" s="2">
        <v>4.0</v>
      </c>
      <c r="S2070" s="5">
        <f t="shared" si="8"/>
        <v>0.02631578947</v>
      </c>
    </row>
    <row r="2071">
      <c r="A2071" s="2" t="s">
        <v>2082</v>
      </c>
      <c r="B2071" s="2">
        <v>7565.0</v>
      </c>
      <c r="C2071" s="2">
        <v>88039.0</v>
      </c>
      <c r="D2071" s="2">
        <v>28339.0</v>
      </c>
      <c r="E2071" s="3">
        <f t="shared" si="1"/>
        <v>0.3521510053</v>
      </c>
      <c r="F2071" s="2">
        <v>11216.0</v>
      </c>
      <c r="G2071" s="3">
        <f t="shared" si="2"/>
        <v>0.1393742078</v>
      </c>
      <c r="H2071" s="2">
        <v>17574.0</v>
      </c>
      <c r="I2071" s="3">
        <f t="shared" si="3"/>
        <v>0.218381092</v>
      </c>
      <c r="J2071" s="2">
        <v>15668.0</v>
      </c>
      <c r="K2071" s="3">
        <f t="shared" si="4"/>
        <v>0.1946964237</v>
      </c>
      <c r="L2071" s="2">
        <v>10288.0</v>
      </c>
      <c r="M2071" s="3">
        <f t="shared" si="5"/>
        <v>0.5854102652</v>
      </c>
      <c r="N2071" s="2">
        <v>1.012294E8</v>
      </c>
      <c r="O2071" s="4">
        <f t="shared" si="6"/>
        <v>5760.179811</v>
      </c>
      <c r="P2071" s="2">
        <v>14.0</v>
      </c>
      <c r="Q2071" s="3">
        <f t="shared" si="7"/>
        <v>0.001850627892</v>
      </c>
      <c r="R2071" s="2">
        <v>7565.0</v>
      </c>
      <c r="S2071" s="5">
        <f t="shared" si="8"/>
        <v>1</v>
      </c>
    </row>
    <row r="2072">
      <c r="A2072" s="2" t="s">
        <v>2083</v>
      </c>
      <c r="B2072" s="2">
        <v>670.0</v>
      </c>
      <c r="C2072" s="2">
        <v>7910.0</v>
      </c>
      <c r="D2072" s="2">
        <v>2163.0</v>
      </c>
      <c r="E2072" s="3">
        <f t="shared" si="1"/>
        <v>0.2987569061</v>
      </c>
      <c r="F2072" s="2">
        <v>1009.0</v>
      </c>
      <c r="G2072" s="3">
        <f t="shared" si="2"/>
        <v>0.1393646409</v>
      </c>
      <c r="H2072" s="2">
        <v>1585.0</v>
      </c>
      <c r="I2072" s="3">
        <f t="shared" si="3"/>
        <v>0.2189226519</v>
      </c>
      <c r="J2072" s="2">
        <v>1050.0</v>
      </c>
      <c r="K2072" s="3">
        <f t="shared" si="4"/>
        <v>0.1450276243</v>
      </c>
      <c r="L2072" s="2">
        <v>982.0</v>
      </c>
      <c r="M2072" s="3">
        <f t="shared" si="5"/>
        <v>0.6195583596</v>
      </c>
      <c r="N2072" s="2">
        <v>8691700.0</v>
      </c>
      <c r="O2072" s="4">
        <f t="shared" si="6"/>
        <v>5483.722397</v>
      </c>
      <c r="P2072" s="2">
        <v>4.0</v>
      </c>
      <c r="Q2072" s="3">
        <f t="shared" si="7"/>
        <v>0.005970149254</v>
      </c>
      <c r="R2072" s="2">
        <v>670.0</v>
      </c>
      <c r="S2072" s="5">
        <f t="shared" si="8"/>
        <v>1</v>
      </c>
    </row>
    <row r="2073">
      <c r="A2073" s="2" t="s">
        <v>2084</v>
      </c>
      <c r="B2073" s="2">
        <v>341.0</v>
      </c>
      <c r="C2073" s="2">
        <v>4008.0</v>
      </c>
      <c r="D2073" s="2">
        <v>1400.0</v>
      </c>
      <c r="E2073" s="3">
        <f t="shared" si="1"/>
        <v>0.3817834742</v>
      </c>
      <c r="F2073" s="2">
        <v>511.0</v>
      </c>
      <c r="G2073" s="3">
        <f t="shared" si="2"/>
        <v>0.1393509681</v>
      </c>
      <c r="H2073" s="2">
        <v>739.0</v>
      </c>
      <c r="I2073" s="3">
        <f t="shared" si="3"/>
        <v>0.2015271339</v>
      </c>
      <c r="J2073" s="2">
        <v>594.0</v>
      </c>
      <c r="K2073" s="3">
        <f t="shared" si="4"/>
        <v>0.1619852741</v>
      </c>
      <c r="L2073" s="2">
        <v>410.0</v>
      </c>
      <c r="M2073" s="3">
        <f t="shared" si="5"/>
        <v>0.5548037889</v>
      </c>
      <c r="N2073" s="2">
        <v>4259700.0</v>
      </c>
      <c r="O2073" s="4">
        <f t="shared" si="6"/>
        <v>5764.140731</v>
      </c>
      <c r="P2073" s="2">
        <v>0.0</v>
      </c>
      <c r="Q2073" s="3">
        <f t="shared" si="7"/>
        <v>0</v>
      </c>
      <c r="R2073" s="2">
        <v>341.0</v>
      </c>
      <c r="S2073" s="5">
        <f t="shared" si="8"/>
        <v>1</v>
      </c>
    </row>
    <row r="2074">
      <c r="A2074" s="2" t="s">
        <v>2085</v>
      </c>
      <c r="B2074" s="2">
        <v>90.0</v>
      </c>
      <c r="C2074" s="2">
        <v>1066.0</v>
      </c>
      <c r="D2074" s="2">
        <v>295.0</v>
      </c>
      <c r="E2074" s="3">
        <f t="shared" si="1"/>
        <v>0.3022540984</v>
      </c>
      <c r="F2074" s="2">
        <v>136.0</v>
      </c>
      <c r="G2074" s="3">
        <f t="shared" si="2"/>
        <v>0.1393442623</v>
      </c>
      <c r="H2074" s="2">
        <v>195.0</v>
      </c>
      <c r="I2074" s="3">
        <f t="shared" si="3"/>
        <v>0.199795082</v>
      </c>
      <c r="J2074" s="2">
        <v>206.0</v>
      </c>
      <c r="K2074" s="3">
        <f t="shared" si="4"/>
        <v>0.2110655738</v>
      </c>
      <c r="L2074" s="2">
        <v>117.0</v>
      </c>
      <c r="M2074" s="3">
        <f t="shared" si="5"/>
        <v>0.6</v>
      </c>
      <c r="N2074" s="2">
        <v>1164200.0</v>
      </c>
      <c r="O2074" s="4">
        <f t="shared" si="6"/>
        <v>5970.25641</v>
      </c>
      <c r="P2074" s="2">
        <v>0.0</v>
      </c>
      <c r="Q2074" s="3">
        <f t="shared" si="7"/>
        <v>0</v>
      </c>
      <c r="R2074" s="2">
        <v>90.0</v>
      </c>
      <c r="S2074" s="5">
        <f t="shared" si="8"/>
        <v>1</v>
      </c>
    </row>
    <row r="2075">
      <c r="A2075" s="2" t="s">
        <v>2086</v>
      </c>
      <c r="B2075" s="2">
        <v>1069.0</v>
      </c>
      <c r="C2075" s="2">
        <v>12451.0</v>
      </c>
      <c r="D2075" s="2">
        <v>4351.0</v>
      </c>
      <c r="E2075" s="3">
        <f t="shared" si="1"/>
        <v>0.3822702513</v>
      </c>
      <c r="F2075" s="2">
        <v>1586.0</v>
      </c>
      <c r="G2075" s="3">
        <f t="shared" si="2"/>
        <v>0.139342822</v>
      </c>
      <c r="H2075" s="2">
        <v>2427.0</v>
      </c>
      <c r="I2075" s="3">
        <f t="shared" si="3"/>
        <v>0.213231418</v>
      </c>
      <c r="J2075" s="2">
        <v>2185.0</v>
      </c>
      <c r="K2075" s="3">
        <f t="shared" si="4"/>
        <v>0.1919697768</v>
      </c>
      <c r="L2075" s="2">
        <v>1509.0</v>
      </c>
      <c r="M2075" s="3">
        <f t="shared" si="5"/>
        <v>0.6217552534</v>
      </c>
      <c r="N2075" s="2">
        <v>1.36831E7</v>
      </c>
      <c r="O2075" s="4">
        <f t="shared" si="6"/>
        <v>5637.865678</v>
      </c>
      <c r="P2075" s="2">
        <v>2.0</v>
      </c>
      <c r="Q2075" s="3">
        <f t="shared" si="7"/>
        <v>0.00187090739</v>
      </c>
      <c r="R2075" s="2">
        <v>894.0</v>
      </c>
      <c r="S2075" s="5">
        <f t="shared" si="8"/>
        <v>0.8362956034</v>
      </c>
    </row>
    <row r="2076">
      <c r="A2076" s="2" t="s">
        <v>2087</v>
      </c>
      <c r="B2076" s="2">
        <v>206.0</v>
      </c>
      <c r="C2076" s="2">
        <v>2438.0</v>
      </c>
      <c r="D2076" s="2">
        <v>697.0</v>
      </c>
      <c r="E2076" s="3">
        <f t="shared" si="1"/>
        <v>0.3122759857</v>
      </c>
      <c r="F2076" s="2">
        <v>311.0</v>
      </c>
      <c r="G2076" s="3">
        <f t="shared" si="2"/>
        <v>0.1393369176</v>
      </c>
      <c r="H2076" s="2">
        <v>500.0</v>
      </c>
      <c r="I2076" s="3">
        <f t="shared" si="3"/>
        <v>0.2240143369</v>
      </c>
      <c r="J2076" s="2">
        <v>426.0</v>
      </c>
      <c r="K2076" s="3">
        <f t="shared" si="4"/>
        <v>0.1908602151</v>
      </c>
      <c r="L2076" s="2">
        <v>290.0</v>
      </c>
      <c r="M2076" s="3">
        <f t="shared" si="5"/>
        <v>0.58</v>
      </c>
      <c r="N2076" s="2">
        <v>2917300.0</v>
      </c>
      <c r="O2076" s="4">
        <f t="shared" si="6"/>
        <v>5834.6</v>
      </c>
      <c r="P2076" s="2">
        <v>1.0</v>
      </c>
      <c r="Q2076" s="3">
        <f t="shared" si="7"/>
        <v>0.004854368932</v>
      </c>
      <c r="R2076" s="2">
        <v>206.0</v>
      </c>
      <c r="S2076" s="5">
        <f t="shared" si="8"/>
        <v>1</v>
      </c>
    </row>
    <row r="2077">
      <c r="A2077" s="2" t="s">
        <v>2088</v>
      </c>
      <c r="B2077" s="2">
        <v>229.0</v>
      </c>
      <c r="C2077" s="2">
        <v>2655.0</v>
      </c>
      <c r="D2077" s="2">
        <v>826.0</v>
      </c>
      <c r="E2077" s="3">
        <f t="shared" si="1"/>
        <v>0.3404781533</v>
      </c>
      <c r="F2077" s="2">
        <v>338.0</v>
      </c>
      <c r="G2077" s="3">
        <f t="shared" si="2"/>
        <v>0.1393239901</v>
      </c>
      <c r="H2077" s="2">
        <v>472.0</v>
      </c>
      <c r="I2077" s="3">
        <f t="shared" si="3"/>
        <v>0.1945589448</v>
      </c>
      <c r="J2077" s="2">
        <v>305.0</v>
      </c>
      <c r="K2077" s="3">
        <f t="shared" si="4"/>
        <v>0.125721352</v>
      </c>
      <c r="L2077" s="2">
        <v>285.0</v>
      </c>
      <c r="M2077" s="3">
        <f t="shared" si="5"/>
        <v>0.6038135593</v>
      </c>
      <c r="N2077" s="2">
        <v>2644400.0</v>
      </c>
      <c r="O2077" s="4">
        <f t="shared" si="6"/>
        <v>5602.542373</v>
      </c>
      <c r="P2077" s="2">
        <v>1.0</v>
      </c>
      <c r="Q2077" s="3">
        <f t="shared" si="7"/>
        <v>0.004366812227</v>
      </c>
      <c r="R2077" s="2">
        <v>229.0</v>
      </c>
      <c r="S2077" s="5">
        <f t="shared" si="8"/>
        <v>1</v>
      </c>
    </row>
    <row r="2078">
      <c r="A2078" s="2" t="s">
        <v>2089</v>
      </c>
      <c r="B2078" s="2">
        <v>3455.0</v>
      </c>
      <c r="C2078" s="2">
        <v>40143.0</v>
      </c>
      <c r="D2078" s="2">
        <v>10747.0</v>
      </c>
      <c r="E2078" s="3">
        <f t="shared" si="1"/>
        <v>0.2929295683</v>
      </c>
      <c r="F2078" s="2">
        <v>5111.0</v>
      </c>
      <c r="G2078" s="3">
        <f t="shared" si="2"/>
        <v>0.1393098561</v>
      </c>
      <c r="H2078" s="2">
        <v>8221.0</v>
      </c>
      <c r="I2078" s="3">
        <f t="shared" si="3"/>
        <v>0.2240787178</v>
      </c>
      <c r="J2078" s="2">
        <v>6616.0</v>
      </c>
      <c r="K2078" s="3">
        <f t="shared" si="4"/>
        <v>0.1803314435</v>
      </c>
      <c r="L2078" s="2">
        <v>4971.0</v>
      </c>
      <c r="M2078" s="3">
        <f t="shared" si="5"/>
        <v>0.6046709646</v>
      </c>
      <c r="N2078" s="2">
        <v>4.76859E7</v>
      </c>
      <c r="O2078" s="4">
        <f t="shared" si="6"/>
        <v>5800.498723</v>
      </c>
      <c r="P2078" s="2">
        <v>8.0</v>
      </c>
      <c r="Q2078" s="3">
        <f t="shared" si="7"/>
        <v>0.002315484805</v>
      </c>
      <c r="R2078" s="2">
        <v>3455.0</v>
      </c>
      <c r="S2078" s="5">
        <f t="shared" si="8"/>
        <v>1</v>
      </c>
    </row>
    <row r="2079">
      <c r="A2079" s="2" t="s">
        <v>2090</v>
      </c>
      <c r="B2079" s="2">
        <v>36.0</v>
      </c>
      <c r="C2079" s="2">
        <v>438.0</v>
      </c>
      <c r="D2079" s="2">
        <v>172.0</v>
      </c>
      <c r="E2079" s="3">
        <f t="shared" si="1"/>
        <v>0.4278606965</v>
      </c>
      <c r="F2079" s="2">
        <v>56.0</v>
      </c>
      <c r="G2079" s="3">
        <f t="shared" si="2"/>
        <v>0.1393034826</v>
      </c>
      <c r="H2079" s="2">
        <v>91.0</v>
      </c>
      <c r="I2079" s="3">
        <f t="shared" si="3"/>
        <v>0.2263681592</v>
      </c>
      <c r="J2079" s="2">
        <v>48.0</v>
      </c>
      <c r="K2079" s="3">
        <f t="shared" si="4"/>
        <v>0.1194029851</v>
      </c>
      <c r="L2079" s="2">
        <v>53.0</v>
      </c>
      <c r="M2079" s="3">
        <f t="shared" si="5"/>
        <v>0.5824175824</v>
      </c>
      <c r="N2079" s="2">
        <v>421300.0</v>
      </c>
      <c r="O2079" s="4">
        <f t="shared" si="6"/>
        <v>4629.67033</v>
      </c>
      <c r="P2079" s="2">
        <v>0.0</v>
      </c>
      <c r="Q2079" s="3">
        <f t="shared" si="7"/>
        <v>0</v>
      </c>
      <c r="R2079" s="2">
        <v>36.0</v>
      </c>
      <c r="S2079" s="5">
        <f t="shared" si="8"/>
        <v>1</v>
      </c>
    </row>
    <row r="2080">
      <c r="A2080" s="2" t="s">
        <v>2091</v>
      </c>
      <c r="B2080" s="2">
        <v>79.0</v>
      </c>
      <c r="C2080" s="2">
        <v>962.0</v>
      </c>
      <c r="D2080" s="2">
        <v>326.0</v>
      </c>
      <c r="E2080" s="3">
        <f t="shared" si="1"/>
        <v>0.369195923</v>
      </c>
      <c r="F2080" s="2">
        <v>123.0</v>
      </c>
      <c r="G2080" s="3">
        <f t="shared" si="2"/>
        <v>0.1392978482</v>
      </c>
      <c r="H2080" s="2">
        <v>175.0</v>
      </c>
      <c r="I2080" s="3">
        <f t="shared" si="3"/>
        <v>0.1981879955</v>
      </c>
      <c r="J2080" s="2">
        <v>164.0</v>
      </c>
      <c r="K2080" s="3">
        <f t="shared" si="4"/>
        <v>0.1857304643</v>
      </c>
      <c r="L2080" s="2">
        <v>103.0</v>
      </c>
      <c r="M2080" s="3">
        <f t="shared" si="5"/>
        <v>0.5885714286</v>
      </c>
      <c r="N2080" s="2">
        <v>925800.0</v>
      </c>
      <c r="O2080" s="4">
        <f t="shared" si="6"/>
        <v>5290.285714</v>
      </c>
      <c r="P2080" s="2">
        <v>0.0</v>
      </c>
      <c r="Q2080" s="3">
        <f t="shared" si="7"/>
        <v>0</v>
      </c>
      <c r="R2080" s="2">
        <v>79.0</v>
      </c>
      <c r="S2080" s="5">
        <f t="shared" si="8"/>
        <v>1</v>
      </c>
    </row>
    <row r="2081">
      <c r="A2081" s="2" t="s">
        <v>2092</v>
      </c>
      <c r="B2081" s="2">
        <v>843.0</v>
      </c>
      <c r="C2081" s="2">
        <v>9781.0</v>
      </c>
      <c r="D2081" s="2">
        <v>2754.0</v>
      </c>
      <c r="E2081" s="3">
        <f t="shared" si="1"/>
        <v>0.3081226225</v>
      </c>
      <c r="F2081" s="2">
        <v>1245.0</v>
      </c>
      <c r="G2081" s="3">
        <f t="shared" si="2"/>
        <v>0.1392929067</v>
      </c>
      <c r="H2081" s="2">
        <v>1892.0</v>
      </c>
      <c r="I2081" s="3">
        <f t="shared" si="3"/>
        <v>0.2116804654</v>
      </c>
      <c r="J2081" s="2">
        <v>1768.0</v>
      </c>
      <c r="K2081" s="3">
        <f t="shared" si="4"/>
        <v>0.1978071157</v>
      </c>
      <c r="L2081" s="2">
        <v>1090.0</v>
      </c>
      <c r="M2081" s="3">
        <f t="shared" si="5"/>
        <v>0.5761099366</v>
      </c>
      <c r="N2081" s="2">
        <v>1.05608E7</v>
      </c>
      <c r="O2081" s="4">
        <f t="shared" si="6"/>
        <v>5581.818182</v>
      </c>
      <c r="P2081" s="2">
        <v>1.0</v>
      </c>
      <c r="Q2081" s="3">
        <f t="shared" si="7"/>
        <v>0.00118623962</v>
      </c>
      <c r="R2081" s="2">
        <v>843.0</v>
      </c>
      <c r="S2081" s="5">
        <f t="shared" si="8"/>
        <v>1</v>
      </c>
    </row>
    <row r="2082">
      <c r="A2082" s="2" t="s">
        <v>2093</v>
      </c>
      <c r="B2082" s="2">
        <v>474.0</v>
      </c>
      <c r="C2082" s="2">
        <v>5471.0</v>
      </c>
      <c r="D2082" s="2">
        <v>1863.0</v>
      </c>
      <c r="E2082" s="3">
        <f t="shared" si="1"/>
        <v>0.3728236942</v>
      </c>
      <c r="F2082" s="2">
        <v>696.0</v>
      </c>
      <c r="G2082" s="3">
        <f t="shared" si="2"/>
        <v>0.1392835701</v>
      </c>
      <c r="H2082" s="2">
        <v>1115.0</v>
      </c>
      <c r="I2082" s="3">
        <f t="shared" si="3"/>
        <v>0.2231338803</v>
      </c>
      <c r="J2082" s="2">
        <v>963.0</v>
      </c>
      <c r="K2082" s="3">
        <f t="shared" si="4"/>
        <v>0.1927156294</v>
      </c>
      <c r="L2082" s="2">
        <v>647.0</v>
      </c>
      <c r="M2082" s="3">
        <f t="shared" si="5"/>
        <v>0.5802690583</v>
      </c>
      <c r="N2082" s="2">
        <v>6398000.0</v>
      </c>
      <c r="O2082" s="4">
        <f t="shared" si="6"/>
        <v>5738.116592</v>
      </c>
      <c r="P2082" s="2">
        <v>0.0</v>
      </c>
      <c r="Q2082" s="3">
        <f t="shared" si="7"/>
        <v>0</v>
      </c>
      <c r="R2082" s="2">
        <v>474.0</v>
      </c>
      <c r="S2082" s="5">
        <f t="shared" si="8"/>
        <v>1</v>
      </c>
    </row>
    <row r="2083">
      <c r="A2083" s="2" t="s">
        <v>2094</v>
      </c>
      <c r="B2083" s="2">
        <v>75.0</v>
      </c>
      <c r="C2083" s="2">
        <v>872.0</v>
      </c>
      <c r="D2083" s="2">
        <v>265.0</v>
      </c>
      <c r="E2083" s="3">
        <f t="shared" si="1"/>
        <v>0.3324968632</v>
      </c>
      <c r="F2083" s="2">
        <v>111.0</v>
      </c>
      <c r="G2083" s="3">
        <f t="shared" si="2"/>
        <v>0.139272271</v>
      </c>
      <c r="H2083" s="2">
        <v>148.0</v>
      </c>
      <c r="I2083" s="3">
        <f t="shared" si="3"/>
        <v>0.1856963614</v>
      </c>
      <c r="J2083" s="2">
        <v>131.0</v>
      </c>
      <c r="K2083" s="3">
        <f t="shared" si="4"/>
        <v>0.1643663739</v>
      </c>
      <c r="L2083" s="2">
        <v>81.0</v>
      </c>
      <c r="M2083" s="3">
        <f t="shared" si="5"/>
        <v>0.5472972973</v>
      </c>
      <c r="N2083" s="2">
        <v>898200.0</v>
      </c>
      <c r="O2083" s="4">
        <f t="shared" si="6"/>
        <v>6068.918919</v>
      </c>
      <c r="P2083" s="2">
        <v>0.0</v>
      </c>
      <c r="Q2083" s="3">
        <f t="shared" si="7"/>
        <v>0</v>
      </c>
      <c r="R2083" s="2">
        <v>75.0</v>
      </c>
      <c r="S2083" s="5">
        <f t="shared" si="8"/>
        <v>1</v>
      </c>
    </row>
    <row r="2084">
      <c r="A2084" s="2" t="s">
        <v>2095</v>
      </c>
      <c r="B2084" s="2">
        <v>317.0</v>
      </c>
      <c r="C2084" s="2">
        <v>3764.0</v>
      </c>
      <c r="D2084" s="2">
        <v>1027.0</v>
      </c>
      <c r="E2084" s="3">
        <f t="shared" si="1"/>
        <v>0.2979402379</v>
      </c>
      <c r="F2084" s="2">
        <v>480.0</v>
      </c>
      <c r="G2084" s="3">
        <f t="shared" si="2"/>
        <v>0.1392515231</v>
      </c>
      <c r="H2084" s="2">
        <v>659.0</v>
      </c>
      <c r="I2084" s="3">
        <f t="shared" si="3"/>
        <v>0.1911807369</v>
      </c>
      <c r="J2084" s="2">
        <v>588.0</v>
      </c>
      <c r="K2084" s="3">
        <f t="shared" si="4"/>
        <v>0.1705831158</v>
      </c>
      <c r="L2084" s="2">
        <v>410.0</v>
      </c>
      <c r="M2084" s="3">
        <f t="shared" si="5"/>
        <v>0.62215478</v>
      </c>
      <c r="N2084" s="2">
        <v>4075200.0</v>
      </c>
      <c r="O2084" s="4">
        <f t="shared" si="6"/>
        <v>6183.915023</v>
      </c>
      <c r="P2084" s="2">
        <v>0.0</v>
      </c>
      <c r="Q2084" s="3">
        <f t="shared" si="7"/>
        <v>0</v>
      </c>
      <c r="R2084" s="2">
        <v>317.0</v>
      </c>
      <c r="S2084" s="5">
        <f t="shared" si="8"/>
        <v>1</v>
      </c>
    </row>
    <row r="2085">
      <c r="A2085" s="2" t="s">
        <v>2096</v>
      </c>
      <c r="B2085" s="2">
        <v>15.0</v>
      </c>
      <c r="C2085" s="2">
        <v>173.0</v>
      </c>
      <c r="D2085" s="2">
        <v>63.0</v>
      </c>
      <c r="E2085" s="3">
        <f t="shared" si="1"/>
        <v>0.3987341772</v>
      </c>
      <c r="F2085" s="2">
        <v>22.0</v>
      </c>
      <c r="G2085" s="3">
        <f t="shared" si="2"/>
        <v>0.1392405063</v>
      </c>
      <c r="H2085" s="2">
        <v>28.0</v>
      </c>
      <c r="I2085" s="3">
        <f t="shared" si="3"/>
        <v>0.1772151899</v>
      </c>
      <c r="J2085" s="2">
        <v>27.0</v>
      </c>
      <c r="K2085" s="3">
        <f t="shared" si="4"/>
        <v>0.1708860759</v>
      </c>
      <c r="L2085" s="2">
        <v>19.0</v>
      </c>
      <c r="M2085" s="3">
        <f t="shared" si="5"/>
        <v>0.6785714286</v>
      </c>
      <c r="N2085" s="2">
        <v>166900.0</v>
      </c>
      <c r="O2085" s="4">
        <f t="shared" si="6"/>
        <v>5960.714286</v>
      </c>
      <c r="P2085" s="2">
        <v>0.0</v>
      </c>
      <c r="Q2085" s="3">
        <f t="shared" si="7"/>
        <v>0</v>
      </c>
      <c r="R2085" s="2">
        <v>15.0</v>
      </c>
      <c r="S2085" s="5">
        <f t="shared" si="8"/>
        <v>1</v>
      </c>
    </row>
    <row r="2086">
      <c r="A2086" s="2" t="s">
        <v>2097</v>
      </c>
      <c r="B2086" s="2">
        <v>13.0</v>
      </c>
      <c r="C2086" s="2">
        <v>171.0</v>
      </c>
      <c r="D2086" s="2">
        <v>42.0</v>
      </c>
      <c r="E2086" s="3">
        <f t="shared" si="1"/>
        <v>0.2658227848</v>
      </c>
      <c r="F2086" s="2">
        <v>22.0</v>
      </c>
      <c r="G2086" s="3">
        <f t="shared" si="2"/>
        <v>0.1392405063</v>
      </c>
      <c r="H2086" s="2">
        <v>34.0</v>
      </c>
      <c r="I2086" s="3">
        <f t="shared" si="3"/>
        <v>0.2151898734</v>
      </c>
      <c r="J2086" s="2">
        <v>25.0</v>
      </c>
      <c r="K2086" s="3">
        <f t="shared" si="4"/>
        <v>0.1582278481</v>
      </c>
      <c r="L2086" s="2">
        <v>19.0</v>
      </c>
      <c r="M2086" s="3">
        <f t="shared" si="5"/>
        <v>0.5588235294</v>
      </c>
      <c r="N2086" s="2">
        <v>200400.0</v>
      </c>
      <c r="O2086" s="4">
        <f t="shared" si="6"/>
        <v>5894.117647</v>
      </c>
      <c r="P2086" s="2">
        <v>0.0</v>
      </c>
      <c r="Q2086" s="3">
        <f t="shared" si="7"/>
        <v>0</v>
      </c>
      <c r="R2086" s="2">
        <v>13.0</v>
      </c>
      <c r="S2086" s="5">
        <f t="shared" si="8"/>
        <v>1</v>
      </c>
    </row>
    <row r="2087">
      <c r="A2087" s="2" t="s">
        <v>2098</v>
      </c>
      <c r="B2087" s="2">
        <v>3821.0</v>
      </c>
      <c r="C2087" s="2">
        <v>44384.0</v>
      </c>
      <c r="D2087" s="2">
        <v>14755.0</v>
      </c>
      <c r="E2087" s="3">
        <f t="shared" si="1"/>
        <v>0.3637551463</v>
      </c>
      <c r="F2087" s="2">
        <v>5648.0</v>
      </c>
      <c r="G2087" s="3">
        <f t="shared" si="2"/>
        <v>0.1392401943</v>
      </c>
      <c r="H2087" s="2">
        <v>8333.0</v>
      </c>
      <c r="I2087" s="3">
        <f t="shared" si="3"/>
        <v>0.2054335232</v>
      </c>
      <c r="J2087" s="2">
        <v>6955.0</v>
      </c>
      <c r="K2087" s="3">
        <f t="shared" si="4"/>
        <v>0.1714616769</v>
      </c>
      <c r="L2087" s="2">
        <v>4998.0</v>
      </c>
      <c r="M2087" s="3">
        <f t="shared" si="5"/>
        <v>0.5997839914</v>
      </c>
      <c r="N2087" s="2">
        <v>5.14061E7</v>
      </c>
      <c r="O2087" s="4">
        <f t="shared" si="6"/>
        <v>6168.978759</v>
      </c>
      <c r="P2087" s="2">
        <v>9.0</v>
      </c>
      <c r="Q2087" s="3">
        <f t="shared" si="7"/>
        <v>0.002355404344</v>
      </c>
      <c r="R2087" s="2">
        <v>3821.0</v>
      </c>
      <c r="S2087" s="5">
        <f t="shared" si="8"/>
        <v>1</v>
      </c>
    </row>
    <row r="2088">
      <c r="A2088" s="2" t="s">
        <v>2099</v>
      </c>
      <c r="B2088" s="2">
        <v>218.0</v>
      </c>
      <c r="C2088" s="2">
        <v>2502.0</v>
      </c>
      <c r="D2088" s="2">
        <v>615.0</v>
      </c>
      <c r="E2088" s="3">
        <f t="shared" si="1"/>
        <v>0.2692644483</v>
      </c>
      <c r="F2088" s="2">
        <v>318.0</v>
      </c>
      <c r="G2088" s="3">
        <f t="shared" si="2"/>
        <v>0.1392294221</v>
      </c>
      <c r="H2088" s="2">
        <v>433.0</v>
      </c>
      <c r="I2088" s="3">
        <f t="shared" si="3"/>
        <v>0.1895796848</v>
      </c>
      <c r="J2088" s="2">
        <v>375.0</v>
      </c>
      <c r="K2088" s="3">
        <f t="shared" si="4"/>
        <v>0.1641856392</v>
      </c>
      <c r="L2088" s="2">
        <v>265.0</v>
      </c>
      <c r="M2088" s="3">
        <f t="shared" si="5"/>
        <v>0.6120092379</v>
      </c>
      <c r="N2088" s="2">
        <v>2597500.0</v>
      </c>
      <c r="O2088" s="4">
        <f t="shared" si="6"/>
        <v>5998.845266</v>
      </c>
      <c r="P2088" s="2">
        <v>0.0</v>
      </c>
      <c r="Q2088" s="3">
        <f t="shared" si="7"/>
        <v>0</v>
      </c>
      <c r="R2088" s="2">
        <v>218.0</v>
      </c>
      <c r="S2088" s="5">
        <f t="shared" si="8"/>
        <v>1</v>
      </c>
    </row>
    <row r="2089">
      <c r="A2089" s="2" t="s">
        <v>2100</v>
      </c>
      <c r="B2089" s="2">
        <v>577.0</v>
      </c>
      <c r="C2089" s="2">
        <v>6726.0</v>
      </c>
      <c r="D2089" s="2">
        <v>2438.0</v>
      </c>
      <c r="E2089" s="3">
        <f t="shared" si="1"/>
        <v>0.3964872337</v>
      </c>
      <c r="F2089" s="2">
        <v>856.0</v>
      </c>
      <c r="G2089" s="3">
        <f t="shared" si="2"/>
        <v>0.1392096276</v>
      </c>
      <c r="H2089" s="2">
        <v>1309.0</v>
      </c>
      <c r="I2089" s="3">
        <f t="shared" si="3"/>
        <v>0.2128801431</v>
      </c>
      <c r="J2089" s="2">
        <v>1011.0</v>
      </c>
      <c r="K2089" s="3">
        <f t="shared" si="4"/>
        <v>0.1644169784</v>
      </c>
      <c r="L2089" s="2">
        <v>789.0</v>
      </c>
      <c r="M2089" s="3">
        <f t="shared" si="5"/>
        <v>0.602750191</v>
      </c>
      <c r="N2089" s="2">
        <v>7052300.0</v>
      </c>
      <c r="O2089" s="4">
        <f t="shared" si="6"/>
        <v>5387.547746</v>
      </c>
      <c r="P2089" s="2">
        <v>1.0</v>
      </c>
      <c r="Q2089" s="3">
        <f t="shared" si="7"/>
        <v>0.001733102253</v>
      </c>
      <c r="R2089" s="2">
        <v>577.0</v>
      </c>
      <c r="S2089" s="5">
        <f t="shared" si="8"/>
        <v>1</v>
      </c>
    </row>
    <row r="2090">
      <c r="A2090" s="2" t="s">
        <v>2101</v>
      </c>
      <c r="B2090" s="2">
        <v>1146.0</v>
      </c>
      <c r="C2090" s="2">
        <v>13322.0</v>
      </c>
      <c r="D2090" s="2">
        <v>4252.0</v>
      </c>
      <c r="E2090" s="3">
        <f t="shared" si="1"/>
        <v>0.3492115637</v>
      </c>
      <c r="F2090" s="2">
        <v>1695.0</v>
      </c>
      <c r="G2090" s="3">
        <f t="shared" si="2"/>
        <v>0.1392082786</v>
      </c>
      <c r="H2090" s="2">
        <v>2744.0</v>
      </c>
      <c r="I2090" s="3">
        <f t="shared" si="3"/>
        <v>0.2253613666</v>
      </c>
      <c r="J2090" s="2">
        <v>2253.0</v>
      </c>
      <c r="K2090" s="3">
        <f t="shared" si="4"/>
        <v>0.1850361367</v>
      </c>
      <c r="L2090" s="2">
        <v>1654.0</v>
      </c>
      <c r="M2090" s="3">
        <f t="shared" si="5"/>
        <v>0.6027696793</v>
      </c>
      <c r="N2090" s="2">
        <v>1.56956E7</v>
      </c>
      <c r="O2090" s="4">
        <f t="shared" si="6"/>
        <v>5719.970845</v>
      </c>
      <c r="P2090" s="2">
        <v>6.0</v>
      </c>
      <c r="Q2090" s="3">
        <f t="shared" si="7"/>
        <v>0.005235602094</v>
      </c>
      <c r="R2090" s="2">
        <v>1146.0</v>
      </c>
      <c r="S2090" s="5">
        <f t="shared" si="8"/>
        <v>1</v>
      </c>
    </row>
    <row r="2091">
      <c r="A2091" s="2" t="s">
        <v>2102</v>
      </c>
      <c r="B2091" s="2">
        <v>34.0</v>
      </c>
      <c r="C2091" s="2">
        <v>386.0</v>
      </c>
      <c r="D2091" s="2">
        <v>121.0</v>
      </c>
      <c r="E2091" s="3">
        <f t="shared" si="1"/>
        <v>0.34375</v>
      </c>
      <c r="F2091" s="2">
        <v>49.0</v>
      </c>
      <c r="G2091" s="3">
        <f t="shared" si="2"/>
        <v>0.1392045455</v>
      </c>
      <c r="H2091" s="2">
        <v>57.0</v>
      </c>
      <c r="I2091" s="3">
        <f t="shared" si="3"/>
        <v>0.1619318182</v>
      </c>
      <c r="J2091" s="2">
        <v>59.0</v>
      </c>
      <c r="K2091" s="3">
        <f t="shared" si="4"/>
        <v>0.1676136364</v>
      </c>
      <c r="L2091" s="2">
        <v>38.0</v>
      </c>
      <c r="M2091" s="3">
        <f t="shared" si="5"/>
        <v>0.6666666667</v>
      </c>
      <c r="N2091" s="2">
        <v>315200.0</v>
      </c>
      <c r="O2091" s="4">
        <f t="shared" si="6"/>
        <v>5529.824561</v>
      </c>
      <c r="P2091" s="2">
        <v>0.0</v>
      </c>
      <c r="Q2091" s="3">
        <f t="shared" si="7"/>
        <v>0</v>
      </c>
      <c r="R2091" s="2">
        <v>2.0</v>
      </c>
      <c r="S2091" s="5">
        <f t="shared" si="8"/>
        <v>0.05882352941</v>
      </c>
    </row>
    <row r="2092">
      <c r="A2092" s="2" t="s">
        <v>2103</v>
      </c>
      <c r="B2092" s="2">
        <v>232.0</v>
      </c>
      <c r="C2092" s="2">
        <v>2696.0</v>
      </c>
      <c r="D2092" s="2">
        <v>791.0</v>
      </c>
      <c r="E2092" s="3">
        <f t="shared" si="1"/>
        <v>0.3210227273</v>
      </c>
      <c r="F2092" s="2">
        <v>343.0</v>
      </c>
      <c r="G2092" s="3">
        <f t="shared" si="2"/>
        <v>0.1392045455</v>
      </c>
      <c r="H2092" s="2">
        <v>477.0</v>
      </c>
      <c r="I2092" s="3">
        <f t="shared" si="3"/>
        <v>0.1935876623</v>
      </c>
      <c r="J2092" s="2">
        <v>409.0</v>
      </c>
      <c r="K2092" s="3">
        <f t="shared" si="4"/>
        <v>0.1659902597</v>
      </c>
      <c r="L2092" s="2">
        <v>302.0</v>
      </c>
      <c r="M2092" s="3">
        <f t="shared" si="5"/>
        <v>0.6331236897</v>
      </c>
      <c r="N2092" s="2">
        <v>2895300.0</v>
      </c>
      <c r="O2092" s="4">
        <f t="shared" si="6"/>
        <v>6069.811321</v>
      </c>
      <c r="P2092" s="2">
        <v>2.0</v>
      </c>
      <c r="Q2092" s="3">
        <f t="shared" si="7"/>
        <v>0.008620689655</v>
      </c>
      <c r="R2092" s="2">
        <v>232.0</v>
      </c>
      <c r="S2092" s="5">
        <f t="shared" si="8"/>
        <v>1</v>
      </c>
    </row>
    <row r="2093">
      <c r="A2093" s="2" t="s">
        <v>2104</v>
      </c>
      <c r="B2093" s="2">
        <v>123.0</v>
      </c>
      <c r="C2093" s="2">
        <v>1452.0</v>
      </c>
      <c r="D2093" s="2">
        <v>437.0</v>
      </c>
      <c r="E2093" s="3">
        <f t="shared" si="1"/>
        <v>0.3288186606</v>
      </c>
      <c r="F2093" s="2">
        <v>185.0</v>
      </c>
      <c r="G2093" s="3">
        <f t="shared" si="2"/>
        <v>0.1392024078</v>
      </c>
      <c r="H2093" s="2">
        <v>268.0</v>
      </c>
      <c r="I2093" s="3">
        <f t="shared" si="3"/>
        <v>0.20165538</v>
      </c>
      <c r="J2093" s="2">
        <v>236.0</v>
      </c>
      <c r="K2093" s="3">
        <f t="shared" si="4"/>
        <v>0.1775771257</v>
      </c>
      <c r="L2093" s="2">
        <v>157.0</v>
      </c>
      <c r="M2093" s="3">
        <f t="shared" si="5"/>
        <v>0.5858208955</v>
      </c>
      <c r="N2093" s="2">
        <v>1398800.0</v>
      </c>
      <c r="O2093" s="4">
        <f t="shared" si="6"/>
        <v>5219.402985</v>
      </c>
      <c r="P2093" s="2">
        <v>0.0</v>
      </c>
      <c r="Q2093" s="3">
        <f t="shared" si="7"/>
        <v>0</v>
      </c>
      <c r="R2093" s="2">
        <v>123.0</v>
      </c>
      <c r="S2093" s="5">
        <f t="shared" si="8"/>
        <v>1</v>
      </c>
    </row>
    <row r="2094">
      <c r="A2094" s="2" t="s">
        <v>2105</v>
      </c>
      <c r="B2094" s="2">
        <v>1515.0</v>
      </c>
      <c r="C2094" s="2">
        <v>18002.0</v>
      </c>
      <c r="D2094" s="2">
        <v>6802.0</v>
      </c>
      <c r="E2094" s="3">
        <f t="shared" si="1"/>
        <v>0.4125674774</v>
      </c>
      <c r="F2094" s="2">
        <v>2295.0</v>
      </c>
      <c r="G2094" s="3">
        <f t="shared" si="2"/>
        <v>0.1392005823</v>
      </c>
      <c r="H2094" s="2">
        <v>3620.0</v>
      </c>
      <c r="I2094" s="3">
        <f t="shared" si="3"/>
        <v>0.2195669315</v>
      </c>
      <c r="J2094" s="2">
        <v>2606.0</v>
      </c>
      <c r="K2094" s="3">
        <f t="shared" si="4"/>
        <v>0.1580639292</v>
      </c>
      <c r="L2094" s="2">
        <v>2203.0</v>
      </c>
      <c r="M2094" s="3">
        <f t="shared" si="5"/>
        <v>0.6085635359</v>
      </c>
      <c r="N2094" s="2">
        <v>1.96037E7</v>
      </c>
      <c r="O2094" s="4">
        <f t="shared" si="6"/>
        <v>5415.38674</v>
      </c>
      <c r="P2094" s="2">
        <v>2.0</v>
      </c>
      <c r="Q2094" s="3">
        <f t="shared" si="7"/>
        <v>0.001320132013</v>
      </c>
      <c r="R2094" s="2">
        <v>1515.0</v>
      </c>
      <c r="S2094" s="5">
        <f t="shared" si="8"/>
        <v>1</v>
      </c>
    </row>
    <row r="2095">
      <c r="A2095" s="2" t="s">
        <v>2106</v>
      </c>
      <c r="B2095" s="2">
        <v>572.0</v>
      </c>
      <c r="C2095" s="2">
        <v>6729.0</v>
      </c>
      <c r="D2095" s="2">
        <v>1943.0</v>
      </c>
      <c r="E2095" s="3">
        <f t="shared" si="1"/>
        <v>0.3155757674</v>
      </c>
      <c r="F2095" s="2">
        <v>857.0</v>
      </c>
      <c r="G2095" s="3">
        <f t="shared" si="2"/>
        <v>0.1391911645</v>
      </c>
      <c r="H2095" s="2">
        <v>1385.0</v>
      </c>
      <c r="I2095" s="3">
        <f t="shared" si="3"/>
        <v>0.2249472146</v>
      </c>
      <c r="J2095" s="2">
        <v>1133.0</v>
      </c>
      <c r="K2095" s="3">
        <f t="shared" si="4"/>
        <v>0.1840181907</v>
      </c>
      <c r="L2095" s="2">
        <v>824.0</v>
      </c>
      <c r="M2095" s="3">
        <f t="shared" si="5"/>
        <v>0.5949458484</v>
      </c>
      <c r="N2095" s="2">
        <v>7576100.0</v>
      </c>
      <c r="O2095" s="4">
        <f t="shared" si="6"/>
        <v>5470.108303</v>
      </c>
      <c r="P2095" s="2">
        <v>1.0</v>
      </c>
      <c r="Q2095" s="3">
        <f t="shared" si="7"/>
        <v>0.001748251748</v>
      </c>
      <c r="R2095" s="2">
        <v>572.0</v>
      </c>
      <c r="S2095" s="5">
        <f t="shared" si="8"/>
        <v>1</v>
      </c>
    </row>
    <row r="2096">
      <c r="A2096" s="2" t="s">
        <v>2107</v>
      </c>
      <c r="B2096" s="2">
        <v>224.0</v>
      </c>
      <c r="C2096" s="2">
        <v>2523.0</v>
      </c>
      <c r="D2096" s="2">
        <v>601.0</v>
      </c>
      <c r="E2096" s="3">
        <f t="shared" si="1"/>
        <v>0.2614180078</v>
      </c>
      <c r="F2096" s="2">
        <v>320.0</v>
      </c>
      <c r="G2096" s="3">
        <f t="shared" si="2"/>
        <v>0.1391909526</v>
      </c>
      <c r="H2096" s="2">
        <v>489.0</v>
      </c>
      <c r="I2096" s="3">
        <f t="shared" si="3"/>
        <v>0.2127011744</v>
      </c>
      <c r="J2096" s="2">
        <v>474.0</v>
      </c>
      <c r="K2096" s="3">
        <f t="shared" si="4"/>
        <v>0.2061765985</v>
      </c>
      <c r="L2096" s="2">
        <v>293.0</v>
      </c>
      <c r="M2096" s="3">
        <f t="shared" si="5"/>
        <v>0.5991820041</v>
      </c>
      <c r="N2096" s="2">
        <v>3022600.0</v>
      </c>
      <c r="O2096" s="4">
        <f t="shared" si="6"/>
        <v>6181.186094</v>
      </c>
      <c r="P2096" s="2">
        <v>1.0</v>
      </c>
      <c r="Q2096" s="3">
        <f t="shared" si="7"/>
        <v>0.004464285714</v>
      </c>
      <c r="R2096" s="2">
        <v>224.0</v>
      </c>
      <c r="S2096" s="5">
        <f t="shared" si="8"/>
        <v>1</v>
      </c>
    </row>
    <row r="2097">
      <c r="A2097" s="2" t="s">
        <v>2108</v>
      </c>
      <c r="B2097" s="2">
        <v>35.0</v>
      </c>
      <c r="C2097" s="2">
        <v>423.0</v>
      </c>
      <c r="D2097" s="2">
        <v>156.0</v>
      </c>
      <c r="E2097" s="3">
        <f t="shared" si="1"/>
        <v>0.4020618557</v>
      </c>
      <c r="F2097" s="2">
        <v>54.0</v>
      </c>
      <c r="G2097" s="3">
        <f t="shared" si="2"/>
        <v>0.1391752577</v>
      </c>
      <c r="H2097" s="2">
        <v>89.0</v>
      </c>
      <c r="I2097" s="3">
        <f t="shared" si="3"/>
        <v>0.2293814433</v>
      </c>
      <c r="J2097" s="2">
        <v>56.0</v>
      </c>
      <c r="K2097" s="3">
        <f t="shared" si="4"/>
        <v>0.1443298969</v>
      </c>
      <c r="L2097" s="2">
        <v>43.0</v>
      </c>
      <c r="M2097" s="3">
        <f t="shared" si="5"/>
        <v>0.4831460674</v>
      </c>
      <c r="N2097" s="2">
        <v>465500.0</v>
      </c>
      <c r="O2097" s="4">
        <f t="shared" si="6"/>
        <v>5230.337079</v>
      </c>
      <c r="P2097" s="2">
        <v>0.0</v>
      </c>
      <c r="Q2097" s="3">
        <f t="shared" si="7"/>
        <v>0</v>
      </c>
      <c r="R2097" s="2">
        <v>35.0</v>
      </c>
      <c r="S2097" s="5">
        <f t="shared" si="8"/>
        <v>1</v>
      </c>
    </row>
    <row r="2098">
      <c r="A2098" s="2" t="s">
        <v>2109</v>
      </c>
      <c r="B2098" s="2">
        <v>154.0</v>
      </c>
      <c r="C2098" s="2">
        <v>1821.0</v>
      </c>
      <c r="D2098" s="2">
        <v>385.0</v>
      </c>
      <c r="E2098" s="3">
        <f t="shared" si="1"/>
        <v>0.2309538092</v>
      </c>
      <c r="F2098" s="2">
        <v>232.0</v>
      </c>
      <c r="G2098" s="3">
        <f t="shared" si="2"/>
        <v>0.1391721656</v>
      </c>
      <c r="H2098" s="2">
        <v>318.0</v>
      </c>
      <c r="I2098" s="3">
        <f t="shared" si="3"/>
        <v>0.1907618476</v>
      </c>
      <c r="J2098" s="2">
        <v>314.0</v>
      </c>
      <c r="K2098" s="3">
        <f t="shared" si="4"/>
        <v>0.1883623275</v>
      </c>
      <c r="L2098" s="2">
        <v>197.0</v>
      </c>
      <c r="M2098" s="3">
        <f t="shared" si="5"/>
        <v>0.6194968553</v>
      </c>
      <c r="N2098" s="2">
        <v>1852000.0</v>
      </c>
      <c r="O2098" s="4">
        <f t="shared" si="6"/>
        <v>5823.899371</v>
      </c>
      <c r="P2098" s="2">
        <v>0.0</v>
      </c>
      <c r="Q2098" s="3">
        <f t="shared" si="7"/>
        <v>0</v>
      </c>
      <c r="R2098" s="2">
        <v>154.0</v>
      </c>
      <c r="S2098" s="5">
        <f t="shared" si="8"/>
        <v>1</v>
      </c>
    </row>
    <row r="2099">
      <c r="A2099" s="2" t="s">
        <v>2110</v>
      </c>
      <c r="B2099" s="2">
        <v>66.0</v>
      </c>
      <c r="C2099" s="2">
        <v>763.0</v>
      </c>
      <c r="D2099" s="2">
        <v>272.0</v>
      </c>
      <c r="E2099" s="3">
        <f t="shared" si="1"/>
        <v>0.3902439024</v>
      </c>
      <c r="F2099" s="2">
        <v>97.0</v>
      </c>
      <c r="G2099" s="3">
        <f t="shared" si="2"/>
        <v>0.1391678623</v>
      </c>
      <c r="H2099" s="2">
        <v>140.0</v>
      </c>
      <c r="I2099" s="3">
        <f t="shared" si="3"/>
        <v>0.2008608321</v>
      </c>
      <c r="J2099" s="2">
        <v>115.0</v>
      </c>
      <c r="K2099" s="3">
        <f t="shared" si="4"/>
        <v>0.1649928264</v>
      </c>
      <c r="L2099" s="2">
        <v>82.0</v>
      </c>
      <c r="M2099" s="3">
        <f t="shared" si="5"/>
        <v>0.5857142857</v>
      </c>
      <c r="N2099" s="2">
        <v>863100.0</v>
      </c>
      <c r="O2099" s="4">
        <f t="shared" si="6"/>
        <v>6165</v>
      </c>
      <c r="P2099" s="2">
        <v>0.0</v>
      </c>
      <c r="Q2099" s="3">
        <f t="shared" si="7"/>
        <v>0</v>
      </c>
      <c r="R2099" s="2">
        <v>0.0</v>
      </c>
      <c r="S2099" s="5">
        <f t="shared" si="8"/>
        <v>0</v>
      </c>
    </row>
    <row r="2100">
      <c r="A2100" s="2" t="s">
        <v>2111</v>
      </c>
      <c r="B2100" s="2">
        <v>195.0</v>
      </c>
      <c r="C2100" s="2">
        <v>2322.0</v>
      </c>
      <c r="D2100" s="2">
        <v>667.0</v>
      </c>
      <c r="E2100" s="3">
        <f t="shared" si="1"/>
        <v>0.313587212</v>
      </c>
      <c r="F2100" s="2">
        <v>296.0</v>
      </c>
      <c r="G2100" s="3">
        <f t="shared" si="2"/>
        <v>0.1391631406</v>
      </c>
      <c r="H2100" s="2">
        <v>473.0</v>
      </c>
      <c r="I2100" s="3">
        <f t="shared" si="3"/>
        <v>0.2223789375</v>
      </c>
      <c r="J2100" s="2">
        <v>396.0</v>
      </c>
      <c r="K2100" s="3">
        <f t="shared" si="4"/>
        <v>0.1861777151</v>
      </c>
      <c r="L2100" s="2">
        <v>280.0</v>
      </c>
      <c r="M2100" s="3">
        <f t="shared" si="5"/>
        <v>0.5919661734</v>
      </c>
      <c r="N2100" s="2">
        <v>2425300.0</v>
      </c>
      <c r="O2100" s="4">
        <f t="shared" si="6"/>
        <v>5127.484144</v>
      </c>
      <c r="P2100" s="2">
        <v>0.0</v>
      </c>
      <c r="Q2100" s="3">
        <f t="shared" si="7"/>
        <v>0</v>
      </c>
      <c r="R2100" s="2">
        <v>195.0</v>
      </c>
      <c r="S2100" s="5">
        <f t="shared" si="8"/>
        <v>1</v>
      </c>
    </row>
    <row r="2101">
      <c r="A2101" s="2" t="s">
        <v>2112</v>
      </c>
      <c r="B2101" s="2">
        <v>341.0</v>
      </c>
      <c r="C2101" s="2">
        <v>3970.0</v>
      </c>
      <c r="D2101" s="2">
        <v>1424.0</v>
      </c>
      <c r="E2101" s="3">
        <f t="shared" si="1"/>
        <v>0.3923945991</v>
      </c>
      <c r="F2101" s="2">
        <v>505.0</v>
      </c>
      <c r="G2101" s="3">
        <f t="shared" si="2"/>
        <v>0.1391567925</v>
      </c>
      <c r="H2101" s="2">
        <v>758.0</v>
      </c>
      <c r="I2101" s="3">
        <f t="shared" si="3"/>
        <v>0.2088729678</v>
      </c>
      <c r="J2101" s="2">
        <v>572.0</v>
      </c>
      <c r="K2101" s="3">
        <f t="shared" si="4"/>
        <v>0.1576191788</v>
      </c>
      <c r="L2101" s="2">
        <v>458.0</v>
      </c>
      <c r="M2101" s="3">
        <f t="shared" si="5"/>
        <v>0.6042216359</v>
      </c>
      <c r="N2101" s="2">
        <v>4168600.0</v>
      </c>
      <c r="O2101" s="4">
        <f t="shared" si="6"/>
        <v>5499.472296</v>
      </c>
      <c r="P2101" s="2">
        <v>1.0</v>
      </c>
      <c r="Q2101" s="3">
        <f t="shared" si="7"/>
        <v>0.00293255132</v>
      </c>
      <c r="R2101" s="2">
        <v>51.0</v>
      </c>
      <c r="S2101" s="5">
        <f t="shared" si="8"/>
        <v>0.1495601173</v>
      </c>
    </row>
    <row r="2102">
      <c r="A2102" s="2" t="s">
        <v>2113</v>
      </c>
      <c r="B2102" s="2">
        <v>2524.0</v>
      </c>
      <c r="C2102" s="2">
        <v>29587.0</v>
      </c>
      <c r="D2102" s="2">
        <v>10929.0</v>
      </c>
      <c r="E2102" s="3">
        <f t="shared" si="1"/>
        <v>0.403835495</v>
      </c>
      <c r="F2102" s="2">
        <v>3766.0</v>
      </c>
      <c r="G2102" s="3">
        <f t="shared" si="2"/>
        <v>0.1391567823</v>
      </c>
      <c r="H2102" s="2">
        <v>6232.0</v>
      </c>
      <c r="I2102" s="3">
        <f t="shared" si="3"/>
        <v>0.2302775006</v>
      </c>
      <c r="J2102" s="2">
        <v>4353.0</v>
      </c>
      <c r="K2102" s="3">
        <f t="shared" si="4"/>
        <v>0.1608469128</v>
      </c>
      <c r="L2102" s="2">
        <v>3765.0</v>
      </c>
      <c r="M2102" s="3">
        <f t="shared" si="5"/>
        <v>0.604139923</v>
      </c>
      <c r="N2102" s="2">
        <v>3.30949E7</v>
      </c>
      <c r="O2102" s="4">
        <f t="shared" si="6"/>
        <v>5310.478177</v>
      </c>
      <c r="P2102" s="2">
        <v>11.0</v>
      </c>
      <c r="Q2102" s="3">
        <f t="shared" si="7"/>
        <v>0.004358161648</v>
      </c>
      <c r="R2102" s="2">
        <v>2513.0</v>
      </c>
      <c r="S2102" s="5">
        <f t="shared" si="8"/>
        <v>0.9956418384</v>
      </c>
    </row>
    <row r="2103">
      <c r="A2103" s="2" t="s">
        <v>2114</v>
      </c>
      <c r="B2103" s="2">
        <v>405.0</v>
      </c>
      <c r="C2103" s="2">
        <v>4803.0</v>
      </c>
      <c r="D2103" s="2">
        <v>1480.0</v>
      </c>
      <c r="E2103" s="3">
        <f t="shared" si="1"/>
        <v>0.3365165985</v>
      </c>
      <c r="F2103" s="2">
        <v>612.0</v>
      </c>
      <c r="G2103" s="3">
        <f t="shared" si="2"/>
        <v>0.139154161</v>
      </c>
      <c r="H2103" s="2">
        <v>899.0</v>
      </c>
      <c r="I2103" s="3">
        <f t="shared" si="3"/>
        <v>0.204411096</v>
      </c>
      <c r="J2103" s="2">
        <v>659.0</v>
      </c>
      <c r="K2103" s="3">
        <f t="shared" si="4"/>
        <v>0.1498408367</v>
      </c>
      <c r="L2103" s="2">
        <v>531.0</v>
      </c>
      <c r="M2103" s="3">
        <f t="shared" si="5"/>
        <v>0.5906562848</v>
      </c>
      <c r="N2103" s="2">
        <v>5327500.0</v>
      </c>
      <c r="O2103" s="4">
        <f t="shared" si="6"/>
        <v>5926.028921</v>
      </c>
      <c r="P2103" s="2">
        <v>2.0</v>
      </c>
      <c r="Q2103" s="3">
        <f t="shared" si="7"/>
        <v>0.004938271605</v>
      </c>
      <c r="R2103" s="2">
        <v>405.0</v>
      </c>
      <c r="S2103" s="5">
        <f t="shared" si="8"/>
        <v>1</v>
      </c>
    </row>
    <row r="2104">
      <c r="A2104" s="2" t="s">
        <v>2115</v>
      </c>
      <c r="B2104" s="2">
        <v>273.0</v>
      </c>
      <c r="C2104" s="2">
        <v>3191.0</v>
      </c>
      <c r="D2104" s="2">
        <v>1076.0</v>
      </c>
      <c r="E2104" s="3">
        <f t="shared" si="1"/>
        <v>0.3687457162</v>
      </c>
      <c r="F2104" s="2">
        <v>406.0</v>
      </c>
      <c r="G2104" s="3">
        <f t="shared" si="2"/>
        <v>0.1391363948</v>
      </c>
      <c r="H2104" s="2">
        <v>619.0</v>
      </c>
      <c r="I2104" s="3">
        <f t="shared" si="3"/>
        <v>0.212131597</v>
      </c>
      <c r="J2104" s="2">
        <v>554.0</v>
      </c>
      <c r="K2104" s="3">
        <f t="shared" si="4"/>
        <v>0.1898560658</v>
      </c>
      <c r="L2104" s="2">
        <v>374.0</v>
      </c>
      <c r="M2104" s="3">
        <f t="shared" si="5"/>
        <v>0.6042003231</v>
      </c>
      <c r="N2104" s="2">
        <v>3123500.0</v>
      </c>
      <c r="O2104" s="4">
        <f t="shared" si="6"/>
        <v>5046.042003</v>
      </c>
      <c r="P2104" s="2">
        <v>0.0</v>
      </c>
      <c r="Q2104" s="3">
        <f t="shared" si="7"/>
        <v>0</v>
      </c>
      <c r="R2104" s="2">
        <v>273.0</v>
      </c>
      <c r="S2104" s="5">
        <f t="shared" si="8"/>
        <v>1</v>
      </c>
    </row>
    <row r="2105">
      <c r="A2105" s="2" t="s">
        <v>2116</v>
      </c>
      <c r="B2105" s="2">
        <v>11.0</v>
      </c>
      <c r="C2105" s="2">
        <v>126.0</v>
      </c>
      <c r="D2105" s="2">
        <v>37.0</v>
      </c>
      <c r="E2105" s="3">
        <f t="shared" si="1"/>
        <v>0.3217391304</v>
      </c>
      <c r="F2105" s="2">
        <v>16.0</v>
      </c>
      <c r="G2105" s="3">
        <f t="shared" si="2"/>
        <v>0.1391304348</v>
      </c>
      <c r="H2105" s="2">
        <v>17.0</v>
      </c>
      <c r="I2105" s="3">
        <f t="shared" si="3"/>
        <v>0.147826087</v>
      </c>
      <c r="J2105" s="2">
        <v>14.0</v>
      </c>
      <c r="K2105" s="3">
        <f t="shared" si="4"/>
        <v>0.1217391304</v>
      </c>
      <c r="L2105" s="2">
        <v>14.0</v>
      </c>
      <c r="M2105" s="3">
        <f t="shared" si="5"/>
        <v>0.8235294118</v>
      </c>
      <c r="N2105" s="2">
        <v>98000.0</v>
      </c>
      <c r="O2105" s="4">
        <f t="shared" si="6"/>
        <v>5764.705882</v>
      </c>
      <c r="P2105" s="2">
        <v>0.0</v>
      </c>
      <c r="Q2105" s="3">
        <f t="shared" si="7"/>
        <v>0</v>
      </c>
      <c r="R2105" s="2">
        <v>0.0</v>
      </c>
      <c r="S2105" s="5">
        <f t="shared" si="8"/>
        <v>0</v>
      </c>
    </row>
    <row r="2106">
      <c r="A2106" s="2" t="s">
        <v>2117</v>
      </c>
      <c r="B2106" s="2">
        <v>10.0</v>
      </c>
      <c r="C2106" s="2">
        <v>125.0</v>
      </c>
      <c r="D2106" s="2">
        <v>51.0</v>
      </c>
      <c r="E2106" s="3">
        <f t="shared" si="1"/>
        <v>0.4434782609</v>
      </c>
      <c r="F2106" s="2">
        <v>16.0</v>
      </c>
      <c r="G2106" s="3">
        <f t="shared" si="2"/>
        <v>0.1391304348</v>
      </c>
      <c r="H2106" s="2">
        <v>21.0</v>
      </c>
      <c r="I2106" s="3">
        <f t="shared" si="3"/>
        <v>0.1826086957</v>
      </c>
      <c r="J2106" s="2">
        <v>11.0</v>
      </c>
      <c r="K2106" s="3">
        <f t="shared" si="4"/>
        <v>0.09565217391</v>
      </c>
      <c r="L2106" s="2">
        <v>13.0</v>
      </c>
      <c r="M2106" s="3">
        <f t="shared" si="5"/>
        <v>0.619047619</v>
      </c>
      <c r="N2106" s="2">
        <v>99100.0</v>
      </c>
      <c r="O2106" s="4">
        <f t="shared" si="6"/>
        <v>4719.047619</v>
      </c>
      <c r="P2106" s="2">
        <v>0.0</v>
      </c>
      <c r="Q2106" s="3">
        <f t="shared" si="7"/>
        <v>0</v>
      </c>
      <c r="R2106" s="2">
        <v>10.0</v>
      </c>
      <c r="S2106" s="5">
        <f t="shared" si="8"/>
        <v>1</v>
      </c>
    </row>
    <row r="2107">
      <c r="A2107" s="2" t="s">
        <v>2118</v>
      </c>
      <c r="B2107" s="2">
        <v>628.0</v>
      </c>
      <c r="C2107" s="2">
        <v>7334.0</v>
      </c>
      <c r="D2107" s="2">
        <v>2026.0</v>
      </c>
      <c r="E2107" s="3">
        <f t="shared" si="1"/>
        <v>0.3021175067</v>
      </c>
      <c r="F2107" s="2">
        <v>933.0</v>
      </c>
      <c r="G2107" s="3">
        <f t="shared" si="2"/>
        <v>0.1391291381</v>
      </c>
      <c r="H2107" s="2">
        <v>1437.0</v>
      </c>
      <c r="I2107" s="3">
        <f t="shared" si="3"/>
        <v>0.2142857143</v>
      </c>
      <c r="J2107" s="2">
        <v>1235.0</v>
      </c>
      <c r="K2107" s="3">
        <f t="shared" si="4"/>
        <v>0.1841634357</v>
      </c>
      <c r="L2107" s="2">
        <v>857.0</v>
      </c>
      <c r="M2107" s="3">
        <f t="shared" si="5"/>
        <v>0.59638135</v>
      </c>
      <c r="N2107" s="2">
        <v>7997000.0</v>
      </c>
      <c r="O2107" s="4">
        <f t="shared" si="6"/>
        <v>5565.06611</v>
      </c>
      <c r="P2107" s="2">
        <v>0.0</v>
      </c>
      <c r="Q2107" s="3">
        <f t="shared" si="7"/>
        <v>0</v>
      </c>
      <c r="R2107" s="2">
        <v>628.0</v>
      </c>
      <c r="S2107" s="5">
        <f t="shared" si="8"/>
        <v>1</v>
      </c>
    </row>
    <row r="2108">
      <c r="A2108" s="2" t="s">
        <v>2119</v>
      </c>
      <c r="B2108" s="2">
        <v>98.0</v>
      </c>
      <c r="C2108" s="2">
        <v>1205.0</v>
      </c>
      <c r="D2108" s="2">
        <v>401.0</v>
      </c>
      <c r="E2108" s="3">
        <f t="shared" si="1"/>
        <v>0.3622402891</v>
      </c>
      <c r="F2108" s="2">
        <v>154.0</v>
      </c>
      <c r="G2108" s="3">
        <f t="shared" si="2"/>
        <v>0.1391147245</v>
      </c>
      <c r="H2108" s="2">
        <v>216.0</v>
      </c>
      <c r="I2108" s="3">
        <f t="shared" si="3"/>
        <v>0.1951219512</v>
      </c>
      <c r="J2108" s="2">
        <v>182.0</v>
      </c>
      <c r="K2108" s="3">
        <f t="shared" si="4"/>
        <v>0.1644083107</v>
      </c>
      <c r="L2108" s="2">
        <v>124.0</v>
      </c>
      <c r="M2108" s="3">
        <f t="shared" si="5"/>
        <v>0.5740740741</v>
      </c>
      <c r="N2108" s="2">
        <v>1131600.0</v>
      </c>
      <c r="O2108" s="4">
        <f t="shared" si="6"/>
        <v>5238.888889</v>
      </c>
      <c r="P2108" s="2">
        <v>0.0</v>
      </c>
      <c r="Q2108" s="3">
        <f t="shared" si="7"/>
        <v>0</v>
      </c>
      <c r="R2108" s="2">
        <v>98.0</v>
      </c>
      <c r="S2108" s="5">
        <f t="shared" si="8"/>
        <v>1</v>
      </c>
    </row>
    <row r="2109">
      <c r="A2109" s="2" t="s">
        <v>2120</v>
      </c>
      <c r="B2109" s="2">
        <v>1279.0</v>
      </c>
      <c r="C2109" s="2">
        <v>14822.0</v>
      </c>
      <c r="D2109" s="2">
        <v>3772.0</v>
      </c>
      <c r="E2109" s="3">
        <f t="shared" si="1"/>
        <v>0.2785202688</v>
      </c>
      <c r="F2109" s="2">
        <v>1884.0</v>
      </c>
      <c r="G2109" s="3">
        <f t="shared" si="2"/>
        <v>0.1391124566</v>
      </c>
      <c r="H2109" s="2">
        <v>2884.0</v>
      </c>
      <c r="I2109" s="3">
        <f t="shared" si="3"/>
        <v>0.2129513402</v>
      </c>
      <c r="J2109" s="2">
        <v>2708.0</v>
      </c>
      <c r="K2109" s="3">
        <f t="shared" si="4"/>
        <v>0.1999556967</v>
      </c>
      <c r="L2109" s="2">
        <v>1721.0</v>
      </c>
      <c r="M2109" s="3">
        <f t="shared" si="5"/>
        <v>0.596740638</v>
      </c>
      <c r="N2109" s="2">
        <v>1.70583E7</v>
      </c>
      <c r="O2109" s="4">
        <f t="shared" si="6"/>
        <v>5914.805825</v>
      </c>
      <c r="P2109" s="2">
        <v>2.0</v>
      </c>
      <c r="Q2109" s="3">
        <f t="shared" si="7"/>
        <v>0.001563721658</v>
      </c>
      <c r="R2109" s="2">
        <v>1279.0</v>
      </c>
      <c r="S2109" s="5">
        <f t="shared" si="8"/>
        <v>1</v>
      </c>
    </row>
    <row r="2110">
      <c r="A2110" s="2" t="s">
        <v>2121</v>
      </c>
      <c r="B2110" s="2">
        <v>210.0</v>
      </c>
      <c r="C2110" s="2">
        <v>2460.0</v>
      </c>
      <c r="D2110" s="2">
        <v>858.0</v>
      </c>
      <c r="E2110" s="3">
        <f t="shared" si="1"/>
        <v>0.3813333333</v>
      </c>
      <c r="F2110" s="2">
        <v>313.0</v>
      </c>
      <c r="G2110" s="3">
        <f t="shared" si="2"/>
        <v>0.1391111111</v>
      </c>
      <c r="H2110" s="2">
        <v>490.0</v>
      </c>
      <c r="I2110" s="3">
        <f t="shared" si="3"/>
        <v>0.2177777778</v>
      </c>
      <c r="J2110" s="2">
        <v>364.0</v>
      </c>
      <c r="K2110" s="3">
        <f t="shared" si="4"/>
        <v>0.1617777778</v>
      </c>
      <c r="L2110" s="2">
        <v>299.0</v>
      </c>
      <c r="M2110" s="3">
        <f t="shared" si="5"/>
        <v>0.6102040816</v>
      </c>
      <c r="N2110" s="2">
        <v>2535000.0</v>
      </c>
      <c r="O2110" s="4">
        <f t="shared" si="6"/>
        <v>5173.469388</v>
      </c>
      <c r="P2110" s="2">
        <v>0.0</v>
      </c>
      <c r="Q2110" s="3">
        <f t="shared" si="7"/>
        <v>0</v>
      </c>
      <c r="R2110" s="2">
        <v>210.0</v>
      </c>
      <c r="S2110" s="5">
        <f t="shared" si="8"/>
        <v>1</v>
      </c>
    </row>
    <row r="2111">
      <c r="A2111" s="2" t="s">
        <v>2122</v>
      </c>
      <c r="B2111" s="2">
        <v>249.0</v>
      </c>
      <c r="C2111" s="2">
        <v>2873.0</v>
      </c>
      <c r="D2111" s="2">
        <v>920.0</v>
      </c>
      <c r="E2111" s="3">
        <f t="shared" si="1"/>
        <v>0.3506097561</v>
      </c>
      <c r="F2111" s="2">
        <v>365.0</v>
      </c>
      <c r="G2111" s="3">
        <f t="shared" si="2"/>
        <v>0.1391006098</v>
      </c>
      <c r="H2111" s="2">
        <v>570.0</v>
      </c>
      <c r="I2111" s="3">
        <f t="shared" si="3"/>
        <v>0.2172256098</v>
      </c>
      <c r="J2111" s="2">
        <v>499.0</v>
      </c>
      <c r="K2111" s="3">
        <f t="shared" si="4"/>
        <v>0.1901676829</v>
      </c>
      <c r="L2111" s="2">
        <v>350.0</v>
      </c>
      <c r="M2111" s="3">
        <f t="shared" si="5"/>
        <v>0.6140350877</v>
      </c>
      <c r="N2111" s="2">
        <v>3506700.0</v>
      </c>
      <c r="O2111" s="4">
        <f t="shared" si="6"/>
        <v>6152.105263</v>
      </c>
      <c r="P2111" s="2">
        <v>2.0</v>
      </c>
      <c r="Q2111" s="3">
        <f t="shared" si="7"/>
        <v>0.008032128514</v>
      </c>
      <c r="R2111" s="2">
        <v>249.0</v>
      </c>
      <c r="S2111" s="5">
        <f t="shared" si="8"/>
        <v>1</v>
      </c>
    </row>
    <row r="2112">
      <c r="A2112" s="2" t="s">
        <v>2123</v>
      </c>
      <c r="B2112" s="2">
        <v>23.0</v>
      </c>
      <c r="C2112" s="2">
        <v>289.0</v>
      </c>
      <c r="D2112" s="2">
        <v>66.0</v>
      </c>
      <c r="E2112" s="3">
        <f t="shared" si="1"/>
        <v>0.2481203008</v>
      </c>
      <c r="F2112" s="2">
        <v>37.0</v>
      </c>
      <c r="G2112" s="3">
        <f t="shared" si="2"/>
        <v>0.1390977444</v>
      </c>
      <c r="H2112" s="2">
        <v>41.0</v>
      </c>
      <c r="I2112" s="3">
        <f t="shared" si="3"/>
        <v>0.1541353383</v>
      </c>
      <c r="J2112" s="2">
        <v>56.0</v>
      </c>
      <c r="K2112" s="3">
        <f t="shared" si="4"/>
        <v>0.2105263158</v>
      </c>
      <c r="L2112" s="2">
        <v>21.0</v>
      </c>
      <c r="M2112" s="3">
        <f t="shared" si="5"/>
        <v>0.512195122</v>
      </c>
      <c r="N2112" s="2">
        <v>243800.0</v>
      </c>
      <c r="O2112" s="4">
        <f t="shared" si="6"/>
        <v>5946.341463</v>
      </c>
      <c r="P2112" s="2">
        <v>0.0</v>
      </c>
      <c r="Q2112" s="3">
        <f t="shared" si="7"/>
        <v>0</v>
      </c>
      <c r="R2112" s="2">
        <v>23.0</v>
      </c>
      <c r="S2112" s="5">
        <f t="shared" si="8"/>
        <v>1</v>
      </c>
    </row>
    <row r="2113">
      <c r="A2113" s="2" t="s">
        <v>2124</v>
      </c>
      <c r="B2113" s="2">
        <v>280.0</v>
      </c>
      <c r="C2113" s="2">
        <v>3357.0</v>
      </c>
      <c r="D2113" s="2">
        <v>918.0</v>
      </c>
      <c r="E2113" s="3">
        <f t="shared" si="1"/>
        <v>0.2983425414</v>
      </c>
      <c r="F2113" s="2">
        <v>428.0</v>
      </c>
      <c r="G2113" s="3">
        <f t="shared" si="2"/>
        <v>0.1390965226</v>
      </c>
      <c r="H2113" s="2">
        <v>582.0</v>
      </c>
      <c r="I2113" s="3">
        <f t="shared" si="3"/>
        <v>0.1891452714</v>
      </c>
      <c r="J2113" s="2">
        <v>581.0</v>
      </c>
      <c r="K2113" s="3">
        <f t="shared" si="4"/>
        <v>0.1888202795</v>
      </c>
      <c r="L2113" s="2">
        <v>341.0</v>
      </c>
      <c r="M2113" s="3">
        <f t="shared" si="5"/>
        <v>0.5859106529</v>
      </c>
      <c r="N2113" s="2">
        <v>3700300.0</v>
      </c>
      <c r="O2113" s="4">
        <f t="shared" si="6"/>
        <v>6357.90378</v>
      </c>
      <c r="P2113" s="2">
        <v>0.0</v>
      </c>
      <c r="Q2113" s="3">
        <f t="shared" si="7"/>
        <v>0</v>
      </c>
      <c r="R2113" s="2">
        <v>280.0</v>
      </c>
      <c r="S2113" s="5">
        <f t="shared" si="8"/>
        <v>1</v>
      </c>
    </row>
    <row r="2114">
      <c r="A2114" s="2" t="s">
        <v>2125</v>
      </c>
      <c r="B2114" s="2">
        <v>13.0</v>
      </c>
      <c r="C2114" s="2">
        <v>164.0</v>
      </c>
      <c r="D2114" s="2">
        <v>57.0</v>
      </c>
      <c r="E2114" s="3">
        <f t="shared" si="1"/>
        <v>0.3774834437</v>
      </c>
      <c r="F2114" s="2">
        <v>21.0</v>
      </c>
      <c r="G2114" s="3">
        <f t="shared" si="2"/>
        <v>0.1390728477</v>
      </c>
      <c r="H2114" s="2">
        <v>32.0</v>
      </c>
      <c r="I2114" s="3">
        <f t="shared" si="3"/>
        <v>0.2119205298</v>
      </c>
      <c r="J2114" s="2">
        <v>26.0</v>
      </c>
      <c r="K2114" s="3">
        <f t="shared" si="4"/>
        <v>0.1721854305</v>
      </c>
      <c r="L2114" s="2">
        <v>19.0</v>
      </c>
      <c r="M2114" s="3">
        <f t="shared" si="5"/>
        <v>0.59375</v>
      </c>
      <c r="N2114" s="2">
        <v>154200.0</v>
      </c>
      <c r="O2114" s="4">
        <f t="shared" si="6"/>
        <v>4818.75</v>
      </c>
      <c r="P2114" s="2">
        <v>0.0</v>
      </c>
      <c r="Q2114" s="3">
        <f t="shared" si="7"/>
        <v>0</v>
      </c>
      <c r="R2114" s="2">
        <v>13.0</v>
      </c>
      <c r="S2114" s="5">
        <f t="shared" si="8"/>
        <v>1</v>
      </c>
    </row>
    <row r="2115">
      <c r="A2115" s="2" t="s">
        <v>2126</v>
      </c>
      <c r="B2115" s="2">
        <v>64.0</v>
      </c>
      <c r="C2115" s="2">
        <v>740.0</v>
      </c>
      <c r="D2115" s="2">
        <v>201.0</v>
      </c>
      <c r="E2115" s="3">
        <f t="shared" si="1"/>
        <v>0.2973372781</v>
      </c>
      <c r="F2115" s="2">
        <v>94.0</v>
      </c>
      <c r="G2115" s="3">
        <f t="shared" si="2"/>
        <v>0.1390532544</v>
      </c>
      <c r="H2115" s="2">
        <v>126.0</v>
      </c>
      <c r="I2115" s="3">
        <f t="shared" si="3"/>
        <v>0.1863905325</v>
      </c>
      <c r="J2115" s="2">
        <v>131.0</v>
      </c>
      <c r="K2115" s="3">
        <f t="shared" si="4"/>
        <v>0.1937869822</v>
      </c>
      <c r="L2115" s="2">
        <v>73.0</v>
      </c>
      <c r="M2115" s="3">
        <f t="shared" si="5"/>
        <v>0.5793650794</v>
      </c>
      <c r="N2115" s="2">
        <v>729800.0</v>
      </c>
      <c r="O2115" s="4">
        <f t="shared" si="6"/>
        <v>5792.063492</v>
      </c>
      <c r="P2115" s="2">
        <v>0.0</v>
      </c>
      <c r="Q2115" s="3">
        <f t="shared" si="7"/>
        <v>0</v>
      </c>
      <c r="R2115" s="2">
        <v>1.0</v>
      </c>
      <c r="S2115" s="5">
        <f t="shared" si="8"/>
        <v>0.015625</v>
      </c>
    </row>
    <row r="2116">
      <c r="A2116" s="2" t="s">
        <v>2127</v>
      </c>
      <c r="B2116" s="2">
        <v>257.0</v>
      </c>
      <c r="C2116" s="2">
        <v>3069.0</v>
      </c>
      <c r="D2116" s="2">
        <v>894.0</v>
      </c>
      <c r="E2116" s="3">
        <f t="shared" si="1"/>
        <v>0.3179231863</v>
      </c>
      <c r="F2116" s="2">
        <v>391.0</v>
      </c>
      <c r="G2116" s="3">
        <f t="shared" si="2"/>
        <v>0.1390469417</v>
      </c>
      <c r="H2116" s="2">
        <v>618.0</v>
      </c>
      <c r="I2116" s="3">
        <f t="shared" si="3"/>
        <v>0.219772404</v>
      </c>
      <c r="J2116" s="2">
        <v>504.0</v>
      </c>
      <c r="K2116" s="3">
        <f t="shared" si="4"/>
        <v>0.1792318634</v>
      </c>
      <c r="L2116" s="2">
        <v>369.0</v>
      </c>
      <c r="M2116" s="3">
        <f t="shared" si="5"/>
        <v>0.5970873786</v>
      </c>
      <c r="N2116" s="2">
        <v>3356300.0</v>
      </c>
      <c r="O2116" s="4">
        <f t="shared" si="6"/>
        <v>5430.906149</v>
      </c>
      <c r="P2116" s="2">
        <v>2.0</v>
      </c>
      <c r="Q2116" s="3">
        <f t="shared" si="7"/>
        <v>0.007782101167</v>
      </c>
      <c r="R2116" s="2">
        <v>257.0</v>
      </c>
      <c r="S2116" s="5">
        <f t="shared" si="8"/>
        <v>1</v>
      </c>
    </row>
    <row r="2117">
      <c r="A2117" s="2" t="s">
        <v>2128</v>
      </c>
      <c r="B2117" s="2">
        <v>71.0</v>
      </c>
      <c r="C2117" s="2">
        <v>819.0</v>
      </c>
      <c r="D2117" s="2">
        <v>319.0</v>
      </c>
      <c r="E2117" s="3">
        <f t="shared" si="1"/>
        <v>0.4264705882</v>
      </c>
      <c r="F2117" s="2">
        <v>104.0</v>
      </c>
      <c r="G2117" s="3">
        <f t="shared" si="2"/>
        <v>0.1390374332</v>
      </c>
      <c r="H2117" s="2">
        <v>148.0</v>
      </c>
      <c r="I2117" s="3">
        <f t="shared" si="3"/>
        <v>0.1978609626</v>
      </c>
      <c r="J2117" s="2">
        <v>106.0</v>
      </c>
      <c r="K2117" s="3">
        <f t="shared" si="4"/>
        <v>0.1417112299</v>
      </c>
      <c r="L2117" s="2">
        <v>88.0</v>
      </c>
      <c r="M2117" s="3">
        <f t="shared" si="5"/>
        <v>0.5945945946</v>
      </c>
      <c r="N2117" s="2">
        <v>768900.0</v>
      </c>
      <c r="O2117" s="4">
        <f t="shared" si="6"/>
        <v>5195.27027</v>
      </c>
      <c r="P2117" s="2">
        <v>0.0</v>
      </c>
      <c r="Q2117" s="3">
        <f t="shared" si="7"/>
        <v>0</v>
      </c>
      <c r="R2117" s="2">
        <v>71.0</v>
      </c>
      <c r="S2117" s="5">
        <f t="shared" si="8"/>
        <v>1</v>
      </c>
    </row>
    <row r="2118">
      <c r="A2118" s="2" t="s">
        <v>2129</v>
      </c>
      <c r="B2118" s="2">
        <v>140.0</v>
      </c>
      <c r="C2118" s="2">
        <v>1636.0</v>
      </c>
      <c r="D2118" s="2">
        <v>618.0</v>
      </c>
      <c r="E2118" s="3">
        <f t="shared" si="1"/>
        <v>0.4131016043</v>
      </c>
      <c r="F2118" s="2">
        <v>208.0</v>
      </c>
      <c r="G2118" s="3">
        <f t="shared" si="2"/>
        <v>0.1390374332</v>
      </c>
      <c r="H2118" s="2">
        <v>289.0</v>
      </c>
      <c r="I2118" s="3">
        <f t="shared" si="3"/>
        <v>0.1931818182</v>
      </c>
      <c r="J2118" s="2">
        <v>200.0</v>
      </c>
      <c r="K2118" s="3">
        <f t="shared" si="4"/>
        <v>0.1336898396</v>
      </c>
      <c r="L2118" s="2">
        <v>164.0</v>
      </c>
      <c r="M2118" s="3">
        <f t="shared" si="5"/>
        <v>0.5674740484</v>
      </c>
      <c r="N2118" s="2">
        <v>1516900.0</v>
      </c>
      <c r="O2118" s="4">
        <f t="shared" si="6"/>
        <v>5248.788927</v>
      </c>
      <c r="P2118" s="2">
        <v>0.0</v>
      </c>
      <c r="Q2118" s="3">
        <f t="shared" si="7"/>
        <v>0</v>
      </c>
      <c r="R2118" s="2">
        <v>140.0</v>
      </c>
      <c r="S2118" s="5">
        <f t="shared" si="8"/>
        <v>1</v>
      </c>
    </row>
    <row r="2119">
      <c r="A2119" s="2">
        <v>8606.0</v>
      </c>
      <c r="B2119" s="2">
        <v>283.0</v>
      </c>
      <c r="C2119" s="2">
        <v>3311.0</v>
      </c>
      <c r="D2119" s="2">
        <v>864.0</v>
      </c>
      <c r="E2119" s="3">
        <f t="shared" si="1"/>
        <v>0.285336856</v>
      </c>
      <c r="F2119" s="2">
        <v>421.0</v>
      </c>
      <c r="G2119" s="3">
        <f t="shared" si="2"/>
        <v>0.1390356671</v>
      </c>
      <c r="H2119" s="2">
        <v>628.0</v>
      </c>
      <c r="I2119" s="3">
        <f t="shared" si="3"/>
        <v>0.2073976222</v>
      </c>
      <c r="J2119" s="2">
        <v>489.0</v>
      </c>
      <c r="K2119" s="3">
        <f t="shared" si="4"/>
        <v>0.1614927345</v>
      </c>
      <c r="L2119" s="2">
        <v>388.0</v>
      </c>
      <c r="M2119" s="3">
        <f t="shared" si="5"/>
        <v>0.6178343949</v>
      </c>
      <c r="N2119" s="2">
        <v>3518800.0</v>
      </c>
      <c r="O2119" s="4">
        <f t="shared" si="6"/>
        <v>5603.184713</v>
      </c>
      <c r="P2119" s="2">
        <v>0.0</v>
      </c>
      <c r="Q2119" s="3">
        <f t="shared" si="7"/>
        <v>0</v>
      </c>
      <c r="R2119" s="2">
        <v>283.0</v>
      </c>
      <c r="S2119" s="5">
        <f t="shared" si="8"/>
        <v>1</v>
      </c>
    </row>
    <row r="2120">
      <c r="A2120" s="2" t="s">
        <v>2130</v>
      </c>
      <c r="B2120" s="2">
        <v>114.0</v>
      </c>
      <c r="C2120" s="2">
        <v>1380.0</v>
      </c>
      <c r="D2120" s="2">
        <v>529.0</v>
      </c>
      <c r="E2120" s="3">
        <f t="shared" si="1"/>
        <v>0.4178515008</v>
      </c>
      <c r="F2120" s="2">
        <v>176.0</v>
      </c>
      <c r="G2120" s="3">
        <f t="shared" si="2"/>
        <v>0.1390205371</v>
      </c>
      <c r="H2120" s="2">
        <v>273.0</v>
      </c>
      <c r="I2120" s="3">
        <f t="shared" si="3"/>
        <v>0.2156398104</v>
      </c>
      <c r="J2120" s="2">
        <v>226.0</v>
      </c>
      <c r="K2120" s="3">
        <f t="shared" si="4"/>
        <v>0.1785150079</v>
      </c>
      <c r="L2120" s="2">
        <v>162.0</v>
      </c>
      <c r="M2120" s="3">
        <f t="shared" si="5"/>
        <v>0.5934065934</v>
      </c>
      <c r="N2120" s="2">
        <v>1549600.0</v>
      </c>
      <c r="O2120" s="4">
        <f t="shared" si="6"/>
        <v>5676.190476</v>
      </c>
      <c r="P2120" s="2">
        <v>0.0</v>
      </c>
      <c r="Q2120" s="3">
        <f t="shared" si="7"/>
        <v>0</v>
      </c>
      <c r="R2120" s="2">
        <v>0.0</v>
      </c>
      <c r="S2120" s="5">
        <f t="shared" si="8"/>
        <v>0</v>
      </c>
    </row>
    <row r="2121">
      <c r="A2121" s="2" t="s">
        <v>2131</v>
      </c>
      <c r="B2121" s="2">
        <v>3397.0</v>
      </c>
      <c r="C2121" s="2">
        <v>39651.0</v>
      </c>
      <c r="D2121" s="2">
        <v>14426.0</v>
      </c>
      <c r="E2121" s="3">
        <f t="shared" si="1"/>
        <v>0.3979147129</v>
      </c>
      <c r="F2121" s="2">
        <v>5040.0</v>
      </c>
      <c r="G2121" s="3">
        <f t="shared" si="2"/>
        <v>0.1390191427</v>
      </c>
      <c r="H2121" s="2">
        <v>8538.0</v>
      </c>
      <c r="I2121" s="3">
        <f t="shared" si="3"/>
        <v>0.2355050477</v>
      </c>
      <c r="J2121" s="2">
        <v>5566.0</v>
      </c>
      <c r="K2121" s="3">
        <f t="shared" si="4"/>
        <v>0.1535278866</v>
      </c>
      <c r="L2121" s="2">
        <v>5265.0</v>
      </c>
      <c r="M2121" s="3">
        <f t="shared" si="5"/>
        <v>0.6166549543</v>
      </c>
      <c r="N2121" s="2">
        <v>4.64355E7</v>
      </c>
      <c r="O2121" s="4">
        <f t="shared" si="6"/>
        <v>5438.685875</v>
      </c>
      <c r="P2121" s="2">
        <v>10.0</v>
      </c>
      <c r="Q2121" s="3">
        <f t="shared" si="7"/>
        <v>0.002943773918</v>
      </c>
      <c r="R2121" s="2">
        <v>3397.0</v>
      </c>
      <c r="S2121" s="5">
        <f t="shared" si="8"/>
        <v>1</v>
      </c>
    </row>
    <row r="2122">
      <c r="A2122" s="2" t="s">
        <v>2132</v>
      </c>
      <c r="B2122" s="2">
        <v>576.0</v>
      </c>
      <c r="C2122" s="2">
        <v>6827.0</v>
      </c>
      <c r="D2122" s="2">
        <v>2564.0</v>
      </c>
      <c r="E2122" s="3">
        <f t="shared" si="1"/>
        <v>0.4101743721</v>
      </c>
      <c r="F2122" s="2">
        <v>869.0</v>
      </c>
      <c r="G2122" s="3">
        <f t="shared" si="2"/>
        <v>0.1390177572</v>
      </c>
      <c r="H2122" s="2">
        <v>1362.0</v>
      </c>
      <c r="I2122" s="3">
        <f t="shared" si="3"/>
        <v>0.2178851384</v>
      </c>
      <c r="J2122" s="2">
        <v>887.0</v>
      </c>
      <c r="K2122" s="3">
        <f t="shared" si="4"/>
        <v>0.1418972964</v>
      </c>
      <c r="L2122" s="2">
        <v>819.0</v>
      </c>
      <c r="M2122" s="3">
        <f t="shared" si="5"/>
        <v>0.6013215859</v>
      </c>
      <c r="N2122" s="2">
        <v>7423500.0</v>
      </c>
      <c r="O2122" s="4">
        <f t="shared" si="6"/>
        <v>5450.440529</v>
      </c>
      <c r="P2122" s="2">
        <v>1.0</v>
      </c>
      <c r="Q2122" s="3">
        <f t="shared" si="7"/>
        <v>0.001736111111</v>
      </c>
      <c r="R2122" s="2">
        <v>576.0</v>
      </c>
      <c r="S2122" s="5">
        <f t="shared" si="8"/>
        <v>1</v>
      </c>
    </row>
    <row r="2123">
      <c r="A2123" s="2" t="s">
        <v>2133</v>
      </c>
      <c r="B2123" s="2">
        <v>554.0</v>
      </c>
      <c r="C2123" s="2">
        <v>6496.0</v>
      </c>
      <c r="D2123" s="2">
        <v>2291.0</v>
      </c>
      <c r="E2123" s="3">
        <f t="shared" si="1"/>
        <v>0.3855604174</v>
      </c>
      <c r="F2123" s="2">
        <v>826.0</v>
      </c>
      <c r="G2123" s="3">
        <f t="shared" si="2"/>
        <v>0.1390104342</v>
      </c>
      <c r="H2123" s="2">
        <v>1297.0</v>
      </c>
      <c r="I2123" s="3">
        <f t="shared" si="3"/>
        <v>0.2182766745</v>
      </c>
      <c r="J2123" s="2">
        <v>1061.0</v>
      </c>
      <c r="K2123" s="3">
        <f t="shared" si="4"/>
        <v>0.1785594076</v>
      </c>
      <c r="L2123" s="2">
        <v>752.0</v>
      </c>
      <c r="M2123" s="3">
        <f t="shared" si="5"/>
        <v>0.5797995374</v>
      </c>
      <c r="N2123" s="2">
        <v>6890000.0</v>
      </c>
      <c r="O2123" s="4">
        <f t="shared" si="6"/>
        <v>5312.259059</v>
      </c>
      <c r="P2123" s="2">
        <v>0.0</v>
      </c>
      <c r="Q2123" s="3">
        <f t="shared" si="7"/>
        <v>0</v>
      </c>
      <c r="R2123" s="2">
        <v>6.0</v>
      </c>
      <c r="S2123" s="5">
        <f t="shared" si="8"/>
        <v>0.01083032491</v>
      </c>
    </row>
    <row r="2124">
      <c r="A2124" s="2" t="s">
        <v>2134</v>
      </c>
      <c r="B2124" s="2">
        <v>1228.0</v>
      </c>
      <c r="C2124" s="2">
        <v>14199.0</v>
      </c>
      <c r="D2124" s="2">
        <v>4956.0</v>
      </c>
      <c r="E2124" s="3">
        <f t="shared" si="1"/>
        <v>0.3820831085</v>
      </c>
      <c r="F2124" s="2">
        <v>1803.0</v>
      </c>
      <c r="G2124" s="3">
        <f t="shared" si="2"/>
        <v>0.1390023899</v>
      </c>
      <c r="H2124" s="2">
        <v>2768.0</v>
      </c>
      <c r="I2124" s="3">
        <f t="shared" si="3"/>
        <v>0.2133991211</v>
      </c>
      <c r="J2124" s="2">
        <v>2073.0</v>
      </c>
      <c r="K2124" s="3">
        <f t="shared" si="4"/>
        <v>0.1598180557</v>
      </c>
      <c r="L2124" s="2">
        <v>1648.0</v>
      </c>
      <c r="M2124" s="3">
        <f t="shared" si="5"/>
        <v>0.5953757225</v>
      </c>
      <c r="N2124" s="2">
        <v>1.61457E7</v>
      </c>
      <c r="O2124" s="4">
        <f t="shared" si="6"/>
        <v>5832.984104</v>
      </c>
      <c r="P2124" s="2">
        <v>6.0</v>
      </c>
      <c r="Q2124" s="3">
        <f t="shared" si="7"/>
        <v>0.004885993485</v>
      </c>
      <c r="R2124" s="2">
        <v>1228.0</v>
      </c>
      <c r="S2124" s="5">
        <f t="shared" si="8"/>
        <v>1</v>
      </c>
    </row>
    <row r="2125">
      <c r="A2125" s="2" t="s">
        <v>2135</v>
      </c>
      <c r="B2125" s="2">
        <v>302.0</v>
      </c>
      <c r="C2125" s="2">
        <v>3561.0</v>
      </c>
      <c r="D2125" s="2">
        <v>1236.0</v>
      </c>
      <c r="E2125" s="3">
        <f t="shared" si="1"/>
        <v>0.3792574409</v>
      </c>
      <c r="F2125" s="2">
        <v>453.0</v>
      </c>
      <c r="G2125" s="3">
        <f t="shared" si="2"/>
        <v>0.1389996932</v>
      </c>
      <c r="H2125" s="2">
        <v>684.0</v>
      </c>
      <c r="I2125" s="3">
        <f t="shared" si="3"/>
        <v>0.2098803314</v>
      </c>
      <c r="J2125" s="2">
        <v>479.0</v>
      </c>
      <c r="K2125" s="3">
        <f t="shared" si="4"/>
        <v>0.1469776005</v>
      </c>
      <c r="L2125" s="2">
        <v>401.0</v>
      </c>
      <c r="M2125" s="3">
        <f t="shared" si="5"/>
        <v>0.5862573099</v>
      </c>
      <c r="N2125" s="2">
        <v>3821300.0</v>
      </c>
      <c r="O2125" s="4">
        <f t="shared" si="6"/>
        <v>5586.695906</v>
      </c>
      <c r="P2125" s="2">
        <v>1.0</v>
      </c>
      <c r="Q2125" s="3">
        <f t="shared" si="7"/>
        <v>0.003311258278</v>
      </c>
      <c r="R2125" s="2">
        <v>302.0</v>
      </c>
      <c r="S2125" s="5">
        <f t="shared" si="8"/>
        <v>1</v>
      </c>
    </row>
    <row r="2126">
      <c r="A2126" s="2" t="s">
        <v>2136</v>
      </c>
      <c r="B2126" s="2">
        <v>699.0</v>
      </c>
      <c r="C2126" s="2">
        <v>8102.0</v>
      </c>
      <c r="D2126" s="2">
        <v>2406.0</v>
      </c>
      <c r="E2126" s="3">
        <f t="shared" si="1"/>
        <v>0.325003377</v>
      </c>
      <c r="F2126" s="2">
        <v>1029.0</v>
      </c>
      <c r="G2126" s="3">
        <f t="shared" si="2"/>
        <v>0.1389977036</v>
      </c>
      <c r="H2126" s="2">
        <v>1546.0</v>
      </c>
      <c r="I2126" s="3">
        <f t="shared" si="3"/>
        <v>0.2088342564</v>
      </c>
      <c r="J2126" s="2">
        <v>1562.0</v>
      </c>
      <c r="K2126" s="3">
        <f t="shared" si="4"/>
        <v>0.2109955423</v>
      </c>
      <c r="L2126" s="2">
        <v>890.0</v>
      </c>
      <c r="M2126" s="3">
        <f t="shared" si="5"/>
        <v>0.5756791721</v>
      </c>
      <c r="N2126" s="2">
        <v>8977000.0</v>
      </c>
      <c r="O2126" s="4">
        <f t="shared" si="6"/>
        <v>5806.597671</v>
      </c>
      <c r="P2126" s="2">
        <v>2.0</v>
      </c>
      <c r="Q2126" s="3">
        <f t="shared" si="7"/>
        <v>0.002861230329</v>
      </c>
      <c r="R2126" s="2">
        <v>699.0</v>
      </c>
      <c r="S2126" s="5">
        <f t="shared" si="8"/>
        <v>1</v>
      </c>
    </row>
    <row r="2127">
      <c r="A2127" s="2" t="s">
        <v>2137</v>
      </c>
      <c r="B2127" s="2">
        <v>230.0</v>
      </c>
      <c r="C2127" s="2">
        <v>2669.0</v>
      </c>
      <c r="D2127" s="2">
        <v>801.0</v>
      </c>
      <c r="E2127" s="3">
        <f t="shared" si="1"/>
        <v>0.3284132841</v>
      </c>
      <c r="F2127" s="2">
        <v>339.0</v>
      </c>
      <c r="G2127" s="3">
        <f t="shared" si="2"/>
        <v>0.1389913899</v>
      </c>
      <c r="H2127" s="2">
        <v>535.0</v>
      </c>
      <c r="I2127" s="3">
        <f t="shared" si="3"/>
        <v>0.2193521935</v>
      </c>
      <c r="J2127" s="2">
        <v>414.0</v>
      </c>
      <c r="K2127" s="3">
        <f t="shared" si="4"/>
        <v>0.1697416974</v>
      </c>
      <c r="L2127" s="2">
        <v>329.0</v>
      </c>
      <c r="M2127" s="3">
        <f t="shared" si="5"/>
        <v>0.614953271</v>
      </c>
      <c r="N2127" s="2">
        <v>2929200.0</v>
      </c>
      <c r="O2127" s="4">
        <f t="shared" si="6"/>
        <v>5475.140187</v>
      </c>
      <c r="P2127" s="2">
        <v>2.0</v>
      </c>
      <c r="Q2127" s="3">
        <f t="shared" si="7"/>
        <v>0.008695652174</v>
      </c>
      <c r="R2127" s="2">
        <v>230.0</v>
      </c>
      <c r="S2127" s="5">
        <f t="shared" si="8"/>
        <v>1</v>
      </c>
    </row>
    <row r="2128">
      <c r="A2128" s="2" t="s">
        <v>2138</v>
      </c>
      <c r="B2128" s="2">
        <v>127.0</v>
      </c>
      <c r="C2128" s="2">
        <v>1530.0</v>
      </c>
      <c r="D2128" s="2">
        <v>605.0</v>
      </c>
      <c r="E2128" s="3">
        <f t="shared" si="1"/>
        <v>0.4312188168</v>
      </c>
      <c r="F2128" s="2">
        <v>195.0</v>
      </c>
      <c r="G2128" s="3">
        <f t="shared" si="2"/>
        <v>0.1389878831</v>
      </c>
      <c r="H2128" s="2">
        <v>257.0</v>
      </c>
      <c r="I2128" s="3">
        <f t="shared" si="3"/>
        <v>0.1831789024</v>
      </c>
      <c r="J2128" s="2">
        <v>225.0</v>
      </c>
      <c r="K2128" s="3">
        <f t="shared" si="4"/>
        <v>0.1603706344</v>
      </c>
      <c r="L2128" s="2">
        <v>134.0</v>
      </c>
      <c r="M2128" s="3">
        <f t="shared" si="5"/>
        <v>0.5214007782</v>
      </c>
      <c r="N2128" s="2">
        <v>1490500.0</v>
      </c>
      <c r="O2128" s="4">
        <f t="shared" si="6"/>
        <v>5799.610895</v>
      </c>
      <c r="P2128" s="2">
        <v>0.0</v>
      </c>
      <c r="Q2128" s="3">
        <f t="shared" si="7"/>
        <v>0</v>
      </c>
      <c r="R2128" s="2">
        <v>127.0</v>
      </c>
      <c r="S2128" s="5">
        <f t="shared" si="8"/>
        <v>1</v>
      </c>
    </row>
    <row r="2129">
      <c r="A2129" s="2" t="s">
        <v>2139</v>
      </c>
      <c r="B2129" s="2">
        <v>27.0</v>
      </c>
      <c r="C2129" s="2">
        <v>322.0</v>
      </c>
      <c r="D2129" s="2">
        <v>58.0</v>
      </c>
      <c r="E2129" s="3">
        <f t="shared" si="1"/>
        <v>0.1966101695</v>
      </c>
      <c r="F2129" s="2">
        <v>41.0</v>
      </c>
      <c r="G2129" s="3">
        <f t="shared" si="2"/>
        <v>0.1389830508</v>
      </c>
      <c r="H2129" s="2">
        <v>54.0</v>
      </c>
      <c r="I2129" s="3">
        <f t="shared" si="3"/>
        <v>0.1830508475</v>
      </c>
      <c r="J2129" s="2">
        <v>54.0</v>
      </c>
      <c r="K2129" s="3">
        <f t="shared" si="4"/>
        <v>0.1830508475</v>
      </c>
      <c r="L2129" s="2">
        <v>31.0</v>
      </c>
      <c r="M2129" s="3">
        <f t="shared" si="5"/>
        <v>0.5740740741</v>
      </c>
      <c r="N2129" s="2">
        <v>253300.0</v>
      </c>
      <c r="O2129" s="4">
        <f t="shared" si="6"/>
        <v>4690.740741</v>
      </c>
      <c r="P2129" s="2">
        <v>0.0</v>
      </c>
      <c r="Q2129" s="3">
        <f t="shared" si="7"/>
        <v>0</v>
      </c>
      <c r="R2129" s="2">
        <v>27.0</v>
      </c>
      <c r="S2129" s="5">
        <f t="shared" si="8"/>
        <v>1</v>
      </c>
    </row>
    <row r="2130">
      <c r="A2130" s="2" t="s">
        <v>2140</v>
      </c>
      <c r="B2130" s="2">
        <v>35.0</v>
      </c>
      <c r="C2130" s="2">
        <v>402.0</v>
      </c>
      <c r="D2130" s="2">
        <v>137.0</v>
      </c>
      <c r="E2130" s="3">
        <f t="shared" si="1"/>
        <v>0.3732970027</v>
      </c>
      <c r="F2130" s="2">
        <v>51.0</v>
      </c>
      <c r="G2130" s="3">
        <f t="shared" si="2"/>
        <v>0.1389645777</v>
      </c>
      <c r="H2130" s="2">
        <v>77.0</v>
      </c>
      <c r="I2130" s="3">
        <f t="shared" si="3"/>
        <v>0.2098092643</v>
      </c>
      <c r="J2130" s="2">
        <v>61.0</v>
      </c>
      <c r="K2130" s="3">
        <f t="shared" si="4"/>
        <v>0.1662125341</v>
      </c>
      <c r="L2130" s="2">
        <v>38.0</v>
      </c>
      <c r="M2130" s="3">
        <f t="shared" si="5"/>
        <v>0.4935064935</v>
      </c>
      <c r="N2130" s="2">
        <v>424700.0</v>
      </c>
      <c r="O2130" s="4">
        <f t="shared" si="6"/>
        <v>5515.584416</v>
      </c>
      <c r="P2130" s="2">
        <v>0.0</v>
      </c>
      <c r="Q2130" s="3">
        <f t="shared" si="7"/>
        <v>0</v>
      </c>
      <c r="R2130" s="2">
        <v>35.0</v>
      </c>
      <c r="S2130" s="5">
        <f t="shared" si="8"/>
        <v>1</v>
      </c>
    </row>
    <row r="2131">
      <c r="A2131" s="2" t="s">
        <v>2141</v>
      </c>
      <c r="B2131" s="2">
        <v>71.0</v>
      </c>
      <c r="C2131" s="2">
        <v>805.0</v>
      </c>
      <c r="D2131" s="2">
        <v>243.0</v>
      </c>
      <c r="E2131" s="3">
        <f t="shared" si="1"/>
        <v>0.3310626703</v>
      </c>
      <c r="F2131" s="2">
        <v>102.0</v>
      </c>
      <c r="G2131" s="3">
        <f t="shared" si="2"/>
        <v>0.1389645777</v>
      </c>
      <c r="H2131" s="2">
        <v>143.0</v>
      </c>
      <c r="I2131" s="3">
        <f t="shared" si="3"/>
        <v>0.1948228883</v>
      </c>
      <c r="J2131" s="2">
        <v>103.0</v>
      </c>
      <c r="K2131" s="3">
        <f t="shared" si="4"/>
        <v>0.1403269755</v>
      </c>
      <c r="L2131" s="2">
        <v>81.0</v>
      </c>
      <c r="M2131" s="3">
        <f t="shared" si="5"/>
        <v>0.5664335664</v>
      </c>
      <c r="N2131" s="2">
        <v>820600.0</v>
      </c>
      <c r="O2131" s="4">
        <f t="shared" si="6"/>
        <v>5738.461538</v>
      </c>
      <c r="P2131" s="2">
        <v>1.0</v>
      </c>
      <c r="Q2131" s="3">
        <f t="shared" si="7"/>
        <v>0.01408450704</v>
      </c>
      <c r="R2131" s="2">
        <v>71.0</v>
      </c>
      <c r="S2131" s="5">
        <f t="shared" si="8"/>
        <v>1</v>
      </c>
    </row>
    <row r="2132">
      <c r="A2132" s="2" t="s">
        <v>2142</v>
      </c>
      <c r="B2132" s="2">
        <v>1779.0</v>
      </c>
      <c r="C2132" s="2">
        <v>20748.0</v>
      </c>
      <c r="D2132" s="2">
        <v>6544.0</v>
      </c>
      <c r="E2132" s="3">
        <f t="shared" si="1"/>
        <v>0.3449839211</v>
      </c>
      <c r="F2132" s="2">
        <v>2636.0</v>
      </c>
      <c r="G2132" s="3">
        <f t="shared" si="2"/>
        <v>0.1389635721</v>
      </c>
      <c r="H2132" s="2">
        <v>4034.0</v>
      </c>
      <c r="I2132" s="3">
        <f t="shared" si="3"/>
        <v>0.2126627656</v>
      </c>
      <c r="J2132" s="2">
        <v>3148.0</v>
      </c>
      <c r="K2132" s="3">
        <f t="shared" si="4"/>
        <v>0.1659549792</v>
      </c>
      <c r="L2132" s="2">
        <v>2447.0</v>
      </c>
      <c r="M2132" s="3">
        <f t="shared" si="5"/>
        <v>0.6065939514</v>
      </c>
      <c r="N2132" s="2">
        <v>2.29286E7</v>
      </c>
      <c r="O2132" s="4">
        <f t="shared" si="6"/>
        <v>5683.837382</v>
      </c>
      <c r="P2132" s="2">
        <v>4.0</v>
      </c>
      <c r="Q2132" s="3">
        <f t="shared" si="7"/>
        <v>0.002248454188</v>
      </c>
      <c r="R2132" s="2">
        <v>1779.0</v>
      </c>
      <c r="S2132" s="5">
        <f t="shared" si="8"/>
        <v>1</v>
      </c>
    </row>
    <row r="2133">
      <c r="A2133" s="2" t="s">
        <v>2143</v>
      </c>
      <c r="B2133" s="2">
        <v>112.0</v>
      </c>
      <c r="C2133" s="2">
        <v>1285.0</v>
      </c>
      <c r="D2133" s="2">
        <v>397.0</v>
      </c>
      <c r="E2133" s="3">
        <f t="shared" si="1"/>
        <v>0.3384484228</v>
      </c>
      <c r="F2133" s="2">
        <v>163.0</v>
      </c>
      <c r="G2133" s="3">
        <f t="shared" si="2"/>
        <v>0.1389599318</v>
      </c>
      <c r="H2133" s="2">
        <v>227.0</v>
      </c>
      <c r="I2133" s="3">
        <f t="shared" si="3"/>
        <v>0.1935208866</v>
      </c>
      <c r="J2133" s="2">
        <v>221.0</v>
      </c>
      <c r="K2133" s="3">
        <f t="shared" si="4"/>
        <v>0.1884057971</v>
      </c>
      <c r="L2133" s="2">
        <v>132.0</v>
      </c>
      <c r="M2133" s="3">
        <f t="shared" si="5"/>
        <v>0.5814977974</v>
      </c>
      <c r="N2133" s="2">
        <v>1340200.0</v>
      </c>
      <c r="O2133" s="4">
        <f t="shared" si="6"/>
        <v>5903.964758</v>
      </c>
      <c r="P2133" s="2">
        <v>0.0</v>
      </c>
      <c r="Q2133" s="3">
        <f t="shared" si="7"/>
        <v>0</v>
      </c>
      <c r="R2133" s="2">
        <v>112.0</v>
      </c>
      <c r="S2133" s="5">
        <f t="shared" si="8"/>
        <v>1</v>
      </c>
    </row>
    <row r="2134">
      <c r="A2134" s="2" t="s">
        <v>2144</v>
      </c>
      <c r="B2134" s="2">
        <v>38.0</v>
      </c>
      <c r="C2134" s="2">
        <v>441.0</v>
      </c>
      <c r="D2134" s="2">
        <v>124.0</v>
      </c>
      <c r="E2134" s="3">
        <f t="shared" si="1"/>
        <v>0.3076923077</v>
      </c>
      <c r="F2134" s="2">
        <v>56.0</v>
      </c>
      <c r="G2134" s="3">
        <f t="shared" si="2"/>
        <v>0.1389578164</v>
      </c>
      <c r="H2134" s="2">
        <v>82.0</v>
      </c>
      <c r="I2134" s="3">
        <f t="shared" si="3"/>
        <v>0.2034739454</v>
      </c>
      <c r="J2134" s="2">
        <v>66.0</v>
      </c>
      <c r="K2134" s="3">
        <f t="shared" si="4"/>
        <v>0.1637717122</v>
      </c>
      <c r="L2134" s="2">
        <v>48.0</v>
      </c>
      <c r="M2134" s="3">
        <f t="shared" si="5"/>
        <v>0.5853658537</v>
      </c>
      <c r="N2134" s="2">
        <v>527800.0</v>
      </c>
      <c r="O2134" s="4">
        <f t="shared" si="6"/>
        <v>6436.585366</v>
      </c>
      <c r="P2134" s="2">
        <v>0.0</v>
      </c>
      <c r="Q2134" s="3">
        <f t="shared" si="7"/>
        <v>0</v>
      </c>
      <c r="R2134" s="2">
        <v>38.0</v>
      </c>
      <c r="S2134" s="5">
        <f t="shared" si="8"/>
        <v>1</v>
      </c>
    </row>
    <row r="2135">
      <c r="A2135" s="2" t="s">
        <v>2145</v>
      </c>
      <c r="B2135" s="2">
        <v>144.0</v>
      </c>
      <c r="C2135" s="2">
        <v>1605.0</v>
      </c>
      <c r="D2135" s="2">
        <v>400.0</v>
      </c>
      <c r="E2135" s="3">
        <f t="shared" si="1"/>
        <v>0.2737850787</v>
      </c>
      <c r="F2135" s="2">
        <v>203.0</v>
      </c>
      <c r="G2135" s="3">
        <f t="shared" si="2"/>
        <v>0.1389459274</v>
      </c>
      <c r="H2135" s="2">
        <v>294.0</v>
      </c>
      <c r="I2135" s="3">
        <f t="shared" si="3"/>
        <v>0.2012320329</v>
      </c>
      <c r="J2135" s="2">
        <v>258.0</v>
      </c>
      <c r="K2135" s="3">
        <f t="shared" si="4"/>
        <v>0.1765913758</v>
      </c>
      <c r="L2135" s="2">
        <v>164.0</v>
      </c>
      <c r="M2135" s="3">
        <f t="shared" si="5"/>
        <v>0.5578231293</v>
      </c>
      <c r="N2135" s="2">
        <v>1746200.0</v>
      </c>
      <c r="O2135" s="4">
        <f t="shared" si="6"/>
        <v>5939.455782</v>
      </c>
      <c r="P2135" s="2">
        <v>0.0</v>
      </c>
      <c r="Q2135" s="3">
        <f t="shared" si="7"/>
        <v>0</v>
      </c>
      <c r="R2135" s="2">
        <v>144.0</v>
      </c>
      <c r="S2135" s="5">
        <f t="shared" si="8"/>
        <v>1</v>
      </c>
    </row>
    <row r="2136">
      <c r="A2136" s="2" t="s">
        <v>2146</v>
      </c>
      <c r="B2136" s="2">
        <v>54.0</v>
      </c>
      <c r="C2136" s="2">
        <v>601.0</v>
      </c>
      <c r="D2136" s="2">
        <v>210.0</v>
      </c>
      <c r="E2136" s="3">
        <f t="shared" si="1"/>
        <v>0.3839122486</v>
      </c>
      <c r="F2136" s="2">
        <v>76.0</v>
      </c>
      <c r="G2136" s="3">
        <f t="shared" si="2"/>
        <v>0.1389396709</v>
      </c>
      <c r="H2136" s="2">
        <v>119.0</v>
      </c>
      <c r="I2136" s="3">
        <f t="shared" si="3"/>
        <v>0.2175502742</v>
      </c>
      <c r="J2136" s="2">
        <v>107.0</v>
      </c>
      <c r="K2136" s="3">
        <f t="shared" si="4"/>
        <v>0.1956124314</v>
      </c>
      <c r="L2136" s="2">
        <v>65.0</v>
      </c>
      <c r="M2136" s="3">
        <f t="shared" si="5"/>
        <v>0.5462184874</v>
      </c>
      <c r="N2136" s="2">
        <v>700700.0</v>
      </c>
      <c r="O2136" s="4">
        <f t="shared" si="6"/>
        <v>5888.235294</v>
      </c>
      <c r="P2136" s="2">
        <v>0.0</v>
      </c>
      <c r="Q2136" s="3">
        <f t="shared" si="7"/>
        <v>0</v>
      </c>
      <c r="R2136" s="2">
        <v>54.0</v>
      </c>
      <c r="S2136" s="5">
        <f t="shared" si="8"/>
        <v>1</v>
      </c>
    </row>
    <row r="2137">
      <c r="A2137" s="2" t="s">
        <v>2147</v>
      </c>
      <c r="B2137" s="2">
        <v>408.0</v>
      </c>
      <c r="C2137" s="2">
        <v>4784.0</v>
      </c>
      <c r="D2137" s="2">
        <v>1720.0</v>
      </c>
      <c r="E2137" s="3">
        <f t="shared" si="1"/>
        <v>0.3930530165</v>
      </c>
      <c r="F2137" s="2">
        <v>608.0</v>
      </c>
      <c r="G2137" s="3">
        <f t="shared" si="2"/>
        <v>0.1389396709</v>
      </c>
      <c r="H2137" s="2">
        <v>951.0</v>
      </c>
      <c r="I2137" s="3">
        <f t="shared" si="3"/>
        <v>0.217321755</v>
      </c>
      <c r="J2137" s="2">
        <v>713.0</v>
      </c>
      <c r="K2137" s="3">
        <f t="shared" si="4"/>
        <v>0.1629341865</v>
      </c>
      <c r="L2137" s="2">
        <v>586.0</v>
      </c>
      <c r="M2137" s="3">
        <f t="shared" si="5"/>
        <v>0.6161934805</v>
      </c>
      <c r="N2137" s="2">
        <v>5039100.0</v>
      </c>
      <c r="O2137" s="4">
        <f t="shared" si="6"/>
        <v>5298.73817</v>
      </c>
      <c r="P2137" s="2">
        <v>0.0</v>
      </c>
      <c r="Q2137" s="3">
        <f t="shared" si="7"/>
        <v>0</v>
      </c>
      <c r="R2137" s="2">
        <v>408.0</v>
      </c>
      <c r="S2137" s="5">
        <f t="shared" si="8"/>
        <v>1</v>
      </c>
    </row>
    <row r="2138">
      <c r="A2138" s="2" t="s">
        <v>2148</v>
      </c>
      <c r="B2138" s="2">
        <v>51.0</v>
      </c>
      <c r="C2138" s="2">
        <v>598.0</v>
      </c>
      <c r="D2138" s="2">
        <v>222.0</v>
      </c>
      <c r="E2138" s="3">
        <f t="shared" si="1"/>
        <v>0.4058500914</v>
      </c>
      <c r="F2138" s="2">
        <v>76.0</v>
      </c>
      <c r="G2138" s="3">
        <f t="shared" si="2"/>
        <v>0.1389396709</v>
      </c>
      <c r="H2138" s="2">
        <v>94.0</v>
      </c>
      <c r="I2138" s="3">
        <f t="shared" si="3"/>
        <v>0.1718464351</v>
      </c>
      <c r="J2138" s="2">
        <v>88.0</v>
      </c>
      <c r="K2138" s="3">
        <f t="shared" si="4"/>
        <v>0.1608775137</v>
      </c>
      <c r="L2138" s="2">
        <v>53.0</v>
      </c>
      <c r="M2138" s="3">
        <f t="shared" si="5"/>
        <v>0.5638297872</v>
      </c>
      <c r="N2138" s="2">
        <v>503600.0</v>
      </c>
      <c r="O2138" s="4">
        <f t="shared" si="6"/>
        <v>5357.446809</v>
      </c>
      <c r="P2138" s="2">
        <v>0.0</v>
      </c>
      <c r="Q2138" s="3">
        <f t="shared" si="7"/>
        <v>0</v>
      </c>
      <c r="R2138" s="2">
        <v>51.0</v>
      </c>
      <c r="S2138" s="5">
        <f t="shared" si="8"/>
        <v>1</v>
      </c>
    </row>
    <row r="2139">
      <c r="A2139" s="2" t="s">
        <v>2149</v>
      </c>
      <c r="B2139" s="2">
        <v>671.0</v>
      </c>
      <c r="C2139" s="2">
        <v>8020.0</v>
      </c>
      <c r="D2139" s="2">
        <v>2444.0</v>
      </c>
      <c r="E2139" s="3">
        <f t="shared" si="1"/>
        <v>0.3325622534</v>
      </c>
      <c r="F2139" s="2">
        <v>1021.0</v>
      </c>
      <c r="G2139" s="3">
        <f t="shared" si="2"/>
        <v>0.1389304667</v>
      </c>
      <c r="H2139" s="2">
        <v>1560.0</v>
      </c>
      <c r="I2139" s="3">
        <f t="shared" si="3"/>
        <v>0.2122737787</v>
      </c>
      <c r="J2139" s="2">
        <v>1347.0</v>
      </c>
      <c r="K2139" s="3">
        <f t="shared" si="4"/>
        <v>0.1832902436</v>
      </c>
      <c r="L2139" s="2">
        <v>950.0</v>
      </c>
      <c r="M2139" s="3">
        <f t="shared" si="5"/>
        <v>0.608974359</v>
      </c>
      <c r="N2139" s="2">
        <v>8822700.0</v>
      </c>
      <c r="O2139" s="4">
        <f t="shared" si="6"/>
        <v>5655.576923</v>
      </c>
      <c r="P2139" s="2">
        <v>0.0</v>
      </c>
      <c r="Q2139" s="3">
        <f t="shared" si="7"/>
        <v>0</v>
      </c>
      <c r="R2139" s="2">
        <v>664.0</v>
      </c>
      <c r="S2139" s="5">
        <f t="shared" si="8"/>
        <v>0.9895678092</v>
      </c>
    </row>
    <row r="2140">
      <c r="A2140" s="2" t="s">
        <v>2150</v>
      </c>
      <c r="B2140" s="2">
        <v>273.0</v>
      </c>
      <c r="C2140" s="2">
        <v>3145.0</v>
      </c>
      <c r="D2140" s="2">
        <v>1214.0</v>
      </c>
      <c r="E2140" s="3">
        <f t="shared" si="1"/>
        <v>0.4227019499</v>
      </c>
      <c r="F2140" s="2">
        <v>399.0</v>
      </c>
      <c r="G2140" s="3">
        <f t="shared" si="2"/>
        <v>0.1389275766</v>
      </c>
      <c r="H2140" s="2">
        <v>629.0</v>
      </c>
      <c r="I2140" s="3">
        <f t="shared" si="3"/>
        <v>0.2190111421</v>
      </c>
      <c r="J2140" s="2">
        <v>475.0</v>
      </c>
      <c r="K2140" s="3">
        <f t="shared" si="4"/>
        <v>0.1653899721</v>
      </c>
      <c r="L2140" s="2">
        <v>369.0</v>
      </c>
      <c r="M2140" s="3">
        <f t="shared" si="5"/>
        <v>0.586645469</v>
      </c>
      <c r="N2140" s="2">
        <v>3777200.0</v>
      </c>
      <c r="O2140" s="4">
        <f t="shared" si="6"/>
        <v>6005.08744</v>
      </c>
      <c r="P2140" s="2">
        <v>1.0</v>
      </c>
      <c r="Q2140" s="3">
        <f t="shared" si="7"/>
        <v>0.003663003663</v>
      </c>
      <c r="R2140" s="2">
        <v>273.0</v>
      </c>
      <c r="S2140" s="5">
        <f t="shared" si="8"/>
        <v>1</v>
      </c>
    </row>
    <row r="2141">
      <c r="A2141" s="2" t="s">
        <v>2151</v>
      </c>
      <c r="B2141" s="2">
        <v>84.0</v>
      </c>
      <c r="C2141" s="2">
        <v>991.0</v>
      </c>
      <c r="D2141" s="2">
        <v>358.0</v>
      </c>
      <c r="E2141" s="3">
        <f t="shared" si="1"/>
        <v>0.394707828</v>
      </c>
      <c r="F2141" s="2">
        <v>126.0</v>
      </c>
      <c r="G2141" s="3">
        <f t="shared" si="2"/>
        <v>0.1389195149</v>
      </c>
      <c r="H2141" s="2">
        <v>180.0</v>
      </c>
      <c r="I2141" s="3">
        <f t="shared" si="3"/>
        <v>0.1984564498</v>
      </c>
      <c r="J2141" s="2">
        <v>139.0</v>
      </c>
      <c r="K2141" s="3">
        <f t="shared" si="4"/>
        <v>0.1532524807</v>
      </c>
      <c r="L2141" s="2">
        <v>116.0</v>
      </c>
      <c r="M2141" s="3">
        <f t="shared" si="5"/>
        <v>0.6444444444</v>
      </c>
      <c r="N2141" s="2">
        <v>970300.0</v>
      </c>
      <c r="O2141" s="4">
        <f t="shared" si="6"/>
        <v>5390.555556</v>
      </c>
      <c r="P2141" s="2">
        <v>1.0</v>
      </c>
      <c r="Q2141" s="3">
        <f t="shared" si="7"/>
        <v>0.0119047619</v>
      </c>
      <c r="R2141" s="2">
        <v>84.0</v>
      </c>
      <c r="S2141" s="5">
        <f t="shared" si="8"/>
        <v>1</v>
      </c>
    </row>
    <row r="2142">
      <c r="A2142" s="2" t="s">
        <v>2152</v>
      </c>
      <c r="B2142" s="2">
        <v>7.0</v>
      </c>
      <c r="C2142" s="2">
        <v>79.0</v>
      </c>
      <c r="D2142" s="2">
        <v>22.0</v>
      </c>
      <c r="E2142" s="3">
        <f t="shared" si="1"/>
        <v>0.3055555556</v>
      </c>
      <c r="F2142" s="2">
        <v>10.0</v>
      </c>
      <c r="G2142" s="3">
        <f t="shared" si="2"/>
        <v>0.1388888889</v>
      </c>
      <c r="H2142" s="2">
        <v>10.0</v>
      </c>
      <c r="I2142" s="3">
        <f t="shared" si="3"/>
        <v>0.1388888889</v>
      </c>
      <c r="J2142" s="2">
        <v>15.0</v>
      </c>
      <c r="K2142" s="3">
        <f t="shared" si="4"/>
        <v>0.2083333333</v>
      </c>
      <c r="L2142" s="2">
        <v>3.0</v>
      </c>
      <c r="M2142" s="3">
        <f t="shared" si="5"/>
        <v>0.3</v>
      </c>
      <c r="N2142" s="2">
        <v>39500.0</v>
      </c>
      <c r="O2142" s="4">
        <f t="shared" si="6"/>
        <v>3950</v>
      </c>
      <c r="P2142" s="2">
        <v>0.0</v>
      </c>
      <c r="Q2142" s="3">
        <f t="shared" si="7"/>
        <v>0</v>
      </c>
      <c r="R2142" s="2">
        <v>0.0</v>
      </c>
      <c r="S2142" s="5">
        <f t="shared" si="8"/>
        <v>0</v>
      </c>
    </row>
    <row r="2143">
      <c r="A2143" s="2" t="s">
        <v>2153</v>
      </c>
      <c r="B2143" s="2">
        <v>3.0</v>
      </c>
      <c r="C2143" s="2">
        <v>39.0</v>
      </c>
      <c r="D2143" s="2">
        <v>8.0</v>
      </c>
      <c r="E2143" s="3">
        <f t="shared" si="1"/>
        <v>0.2222222222</v>
      </c>
      <c r="F2143" s="2">
        <v>5.0</v>
      </c>
      <c r="G2143" s="3">
        <f t="shared" si="2"/>
        <v>0.1388888889</v>
      </c>
      <c r="H2143" s="2">
        <v>3.0</v>
      </c>
      <c r="I2143" s="3">
        <f t="shared" si="3"/>
        <v>0.08333333333</v>
      </c>
      <c r="J2143" s="2">
        <v>6.0</v>
      </c>
      <c r="K2143" s="3">
        <f t="shared" si="4"/>
        <v>0.1666666667</v>
      </c>
      <c r="L2143" s="2">
        <v>1.0</v>
      </c>
      <c r="M2143" s="3">
        <f t="shared" si="5"/>
        <v>0.3333333333</v>
      </c>
      <c r="N2143" s="2">
        <v>18000.0</v>
      </c>
      <c r="O2143" s="4">
        <f t="shared" si="6"/>
        <v>6000</v>
      </c>
      <c r="P2143" s="2">
        <v>0.0</v>
      </c>
      <c r="Q2143" s="3">
        <f t="shared" si="7"/>
        <v>0</v>
      </c>
      <c r="R2143" s="2">
        <v>3.0</v>
      </c>
      <c r="S2143" s="5">
        <f t="shared" si="8"/>
        <v>1</v>
      </c>
    </row>
    <row r="2144">
      <c r="A2144" s="2" t="s">
        <v>2154</v>
      </c>
      <c r="B2144" s="2">
        <v>480.0</v>
      </c>
      <c r="C2144" s="2">
        <v>5592.0</v>
      </c>
      <c r="D2144" s="2">
        <v>1886.0</v>
      </c>
      <c r="E2144" s="3">
        <f t="shared" si="1"/>
        <v>0.3689358372</v>
      </c>
      <c r="F2144" s="2">
        <v>710.0</v>
      </c>
      <c r="G2144" s="3">
        <f t="shared" si="2"/>
        <v>0.1388888889</v>
      </c>
      <c r="H2144" s="2">
        <v>1093.0</v>
      </c>
      <c r="I2144" s="3">
        <f t="shared" si="3"/>
        <v>0.2138106416</v>
      </c>
      <c r="J2144" s="2">
        <v>810.0</v>
      </c>
      <c r="K2144" s="3">
        <f t="shared" si="4"/>
        <v>0.1584507042</v>
      </c>
      <c r="L2144" s="2">
        <v>674.0</v>
      </c>
      <c r="M2144" s="3">
        <f t="shared" si="5"/>
        <v>0.6166514181</v>
      </c>
      <c r="N2144" s="2">
        <v>6251400.0</v>
      </c>
      <c r="O2144" s="4">
        <f t="shared" si="6"/>
        <v>5719.487649</v>
      </c>
      <c r="P2144" s="2">
        <v>1.0</v>
      </c>
      <c r="Q2144" s="3">
        <f t="shared" si="7"/>
        <v>0.002083333333</v>
      </c>
      <c r="R2144" s="2">
        <v>480.0</v>
      </c>
      <c r="S2144" s="5">
        <f t="shared" si="8"/>
        <v>1</v>
      </c>
    </row>
    <row r="2145">
      <c r="A2145" s="2" t="s">
        <v>2155</v>
      </c>
      <c r="B2145" s="2">
        <v>3.0</v>
      </c>
      <c r="C2145" s="2">
        <v>39.0</v>
      </c>
      <c r="D2145" s="2">
        <v>16.0</v>
      </c>
      <c r="E2145" s="3">
        <f t="shared" si="1"/>
        <v>0.4444444444</v>
      </c>
      <c r="F2145" s="2">
        <v>5.0</v>
      </c>
      <c r="G2145" s="3">
        <f t="shared" si="2"/>
        <v>0.1388888889</v>
      </c>
      <c r="H2145" s="2">
        <v>8.0</v>
      </c>
      <c r="I2145" s="3">
        <f t="shared" si="3"/>
        <v>0.2222222222</v>
      </c>
      <c r="J2145" s="2">
        <v>5.0</v>
      </c>
      <c r="K2145" s="3">
        <f t="shared" si="4"/>
        <v>0.1388888889</v>
      </c>
      <c r="L2145" s="2">
        <v>5.0</v>
      </c>
      <c r="M2145" s="3">
        <f t="shared" si="5"/>
        <v>0.625</v>
      </c>
      <c r="N2145" s="2">
        <v>33300.0</v>
      </c>
      <c r="O2145" s="4">
        <f t="shared" si="6"/>
        <v>4162.5</v>
      </c>
      <c r="P2145" s="2">
        <v>0.0</v>
      </c>
      <c r="Q2145" s="3">
        <f t="shared" si="7"/>
        <v>0</v>
      </c>
      <c r="R2145" s="2">
        <v>3.0</v>
      </c>
      <c r="S2145" s="5">
        <f t="shared" si="8"/>
        <v>1</v>
      </c>
    </row>
    <row r="2146">
      <c r="A2146" s="2" t="s">
        <v>2156</v>
      </c>
      <c r="B2146" s="2">
        <v>3.0</v>
      </c>
      <c r="C2146" s="2">
        <v>39.0</v>
      </c>
      <c r="D2146" s="2">
        <v>16.0</v>
      </c>
      <c r="E2146" s="3">
        <f t="shared" si="1"/>
        <v>0.4444444444</v>
      </c>
      <c r="F2146" s="2">
        <v>5.0</v>
      </c>
      <c r="G2146" s="3">
        <f t="shared" si="2"/>
        <v>0.1388888889</v>
      </c>
      <c r="H2146" s="2">
        <v>7.0</v>
      </c>
      <c r="I2146" s="3">
        <f t="shared" si="3"/>
        <v>0.1944444444</v>
      </c>
      <c r="J2146" s="2">
        <v>5.0</v>
      </c>
      <c r="K2146" s="3">
        <f t="shared" si="4"/>
        <v>0.1388888889</v>
      </c>
      <c r="L2146" s="2">
        <v>5.0</v>
      </c>
      <c r="M2146" s="3">
        <f t="shared" si="5"/>
        <v>0.7142857143</v>
      </c>
      <c r="N2146" s="2">
        <v>40400.0</v>
      </c>
      <c r="O2146" s="4">
        <f t="shared" si="6"/>
        <v>5771.428571</v>
      </c>
      <c r="P2146" s="2">
        <v>0.0</v>
      </c>
      <c r="Q2146" s="3">
        <f t="shared" si="7"/>
        <v>0</v>
      </c>
      <c r="R2146" s="2">
        <v>3.0</v>
      </c>
      <c r="S2146" s="5">
        <f t="shared" si="8"/>
        <v>1</v>
      </c>
    </row>
    <row r="2147">
      <c r="A2147" s="2" t="s">
        <v>2157</v>
      </c>
      <c r="B2147" s="2">
        <v>3.0</v>
      </c>
      <c r="C2147" s="2">
        <v>39.0</v>
      </c>
      <c r="D2147" s="2">
        <v>13.0</v>
      </c>
      <c r="E2147" s="3">
        <f t="shared" si="1"/>
        <v>0.3611111111</v>
      </c>
      <c r="F2147" s="2">
        <v>5.0</v>
      </c>
      <c r="G2147" s="3">
        <f t="shared" si="2"/>
        <v>0.1388888889</v>
      </c>
      <c r="H2147" s="2">
        <v>8.0</v>
      </c>
      <c r="I2147" s="3">
        <f t="shared" si="3"/>
        <v>0.2222222222</v>
      </c>
      <c r="J2147" s="2">
        <v>3.0</v>
      </c>
      <c r="K2147" s="3">
        <f t="shared" si="4"/>
        <v>0.08333333333</v>
      </c>
      <c r="L2147" s="2">
        <v>5.0</v>
      </c>
      <c r="M2147" s="3">
        <f t="shared" si="5"/>
        <v>0.625</v>
      </c>
      <c r="N2147" s="2">
        <v>23400.0</v>
      </c>
      <c r="O2147" s="4">
        <f t="shared" si="6"/>
        <v>2925</v>
      </c>
      <c r="P2147" s="2">
        <v>0.0</v>
      </c>
      <c r="Q2147" s="3">
        <f t="shared" si="7"/>
        <v>0</v>
      </c>
      <c r="R2147" s="2">
        <v>3.0</v>
      </c>
      <c r="S2147" s="5">
        <f t="shared" si="8"/>
        <v>1</v>
      </c>
    </row>
    <row r="2148">
      <c r="A2148" s="2" t="s">
        <v>2158</v>
      </c>
      <c r="B2148" s="2">
        <v>4.0</v>
      </c>
      <c r="C2148" s="2">
        <v>40.0</v>
      </c>
      <c r="D2148" s="2">
        <v>17.0</v>
      </c>
      <c r="E2148" s="3">
        <f t="shared" si="1"/>
        <v>0.4722222222</v>
      </c>
      <c r="F2148" s="2">
        <v>5.0</v>
      </c>
      <c r="G2148" s="3">
        <f t="shared" si="2"/>
        <v>0.1388888889</v>
      </c>
      <c r="H2148" s="2">
        <v>7.0</v>
      </c>
      <c r="I2148" s="3">
        <f t="shared" si="3"/>
        <v>0.1944444444</v>
      </c>
      <c r="J2148" s="2">
        <v>3.0</v>
      </c>
      <c r="K2148" s="3">
        <f t="shared" si="4"/>
        <v>0.08333333333</v>
      </c>
      <c r="L2148" s="2">
        <v>3.0</v>
      </c>
      <c r="M2148" s="3">
        <f t="shared" si="5"/>
        <v>0.4285714286</v>
      </c>
      <c r="N2148" s="2">
        <v>38900.0</v>
      </c>
      <c r="O2148" s="4">
        <f t="shared" si="6"/>
        <v>5557.142857</v>
      </c>
      <c r="P2148" s="2">
        <v>0.0</v>
      </c>
      <c r="Q2148" s="3">
        <f t="shared" si="7"/>
        <v>0</v>
      </c>
      <c r="R2148" s="2">
        <v>4.0</v>
      </c>
      <c r="S2148" s="5">
        <f t="shared" si="8"/>
        <v>1</v>
      </c>
    </row>
    <row r="2149">
      <c r="A2149" s="2" t="s">
        <v>2159</v>
      </c>
      <c r="B2149" s="2">
        <v>308.0</v>
      </c>
      <c r="C2149" s="2">
        <v>3613.0</v>
      </c>
      <c r="D2149" s="2">
        <v>1405.0</v>
      </c>
      <c r="E2149" s="3">
        <f t="shared" si="1"/>
        <v>0.4251134644</v>
      </c>
      <c r="F2149" s="2">
        <v>459.0</v>
      </c>
      <c r="G2149" s="3">
        <f t="shared" si="2"/>
        <v>0.1388804841</v>
      </c>
      <c r="H2149" s="2">
        <v>752.0</v>
      </c>
      <c r="I2149" s="3">
        <f t="shared" si="3"/>
        <v>0.2275340393</v>
      </c>
      <c r="J2149" s="2">
        <v>597.0</v>
      </c>
      <c r="K2149" s="3">
        <f t="shared" si="4"/>
        <v>0.1806354009</v>
      </c>
      <c r="L2149" s="2">
        <v>451.0</v>
      </c>
      <c r="M2149" s="3">
        <f t="shared" si="5"/>
        <v>0.5997340426</v>
      </c>
      <c r="N2149" s="2">
        <v>4050100.0</v>
      </c>
      <c r="O2149" s="4">
        <f t="shared" si="6"/>
        <v>5385.771277</v>
      </c>
      <c r="P2149" s="2">
        <v>2.0</v>
      </c>
      <c r="Q2149" s="3">
        <f t="shared" si="7"/>
        <v>0.006493506494</v>
      </c>
      <c r="R2149" s="2">
        <v>0.0</v>
      </c>
      <c r="S2149" s="5">
        <f t="shared" si="8"/>
        <v>0</v>
      </c>
    </row>
    <row r="2150">
      <c r="A2150" s="2" t="s">
        <v>2160</v>
      </c>
      <c r="B2150" s="2">
        <v>272.0</v>
      </c>
      <c r="C2150" s="2">
        <v>3145.0</v>
      </c>
      <c r="D2150" s="2">
        <v>1081.0</v>
      </c>
      <c r="E2150" s="3">
        <f t="shared" si="1"/>
        <v>0.3762617473</v>
      </c>
      <c r="F2150" s="2">
        <v>399.0</v>
      </c>
      <c r="G2150" s="3">
        <f t="shared" si="2"/>
        <v>0.1388792203</v>
      </c>
      <c r="H2150" s="2">
        <v>583.0</v>
      </c>
      <c r="I2150" s="3">
        <f t="shared" si="3"/>
        <v>0.2029237731</v>
      </c>
      <c r="J2150" s="2">
        <v>505.0</v>
      </c>
      <c r="K2150" s="3">
        <f t="shared" si="4"/>
        <v>0.1757744518</v>
      </c>
      <c r="L2150" s="2">
        <v>344.0</v>
      </c>
      <c r="M2150" s="3">
        <f t="shared" si="5"/>
        <v>0.590051458</v>
      </c>
      <c r="N2150" s="2">
        <v>3566800.0</v>
      </c>
      <c r="O2150" s="4">
        <f t="shared" si="6"/>
        <v>6118.010292</v>
      </c>
      <c r="P2150" s="2">
        <v>1.0</v>
      </c>
      <c r="Q2150" s="3">
        <f t="shared" si="7"/>
        <v>0.003676470588</v>
      </c>
      <c r="R2150" s="2">
        <v>272.0</v>
      </c>
      <c r="S2150" s="5">
        <f t="shared" si="8"/>
        <v>1</v>
      </c>
    </row>
    <row r="2151">
      <c r="A2151" s="2" t="s">
        <v>2161</v>
      </c>
      <c r="B2151" s="2">
        <v>430.0</v>
      </c>
      <c r="C2151" s="2">
        <v>5046.0</v>
      </c>
      <c r="D2151" s="2">
        <v>1538.0</v>
      </c>
      <c r="E2151" s="3">
        <f t="shared" si="1"/>
        <v>0.3331889081</v>
      </c>
      <c r="F2151" s="2">
        <v>641.0</v>
      </c>
      <c r="G2151" s="3">
        <f t="shared" si="2"/>
        <v>0.138864818</v>
      </c>
      <c r="H2151" s="2">
        <v>973.0</v>
      </c>
      <c r="I2151" s="3">
        <f t="shared" si="3"/>
        <v>0.2107885615</v>
      </c>
      <c r="J2151" s="2">
        <v>774.0</v>
      </c>
      <c r="K2151" s="3">
        <f t="shared" si="4"/>
        <v>0.167677643</v>
      </c>
      <c r="L2151" s="2">
        <v>588.0</v>
      </c>
      <c r="M2151" s="3">
        <f t="shared" si="5"/>
        <v>0.6043165468</v>
      </c>
      <c r="N2151" s="2">
        <v>5891400.0</v>
      </c>
      <c r="O2151" s="4">
        <f t="shared" si="6"/>
        <v>6054.881809</v>
      </c>
      <c r="P2151" s="2">
        <v>2.0</v>
      </c>
      <c r="Q2151" s="3">
        <f t="shared" si="7"/>
        <v>0.004651162791</v>
      </c>
      <c r="R2151" s="2">
        <v>430.0</v>
      </c>
      <c r="S2151" s="5">
        <f t="shared" si="8"/>
        <v>1</v>
      </c>
    </row>
    <row r="2152">
      <c r="A2152" s="2" t="s">
        <v>2162</v>
      </c>
      <c r="B2152" s="2">
        <v>1476.0</v>
      </c>
      <c r="C2152" s="2">
        <v>17234.0</v>
      </c>
      <c r="D2152" s="2">
        <v>4950.0</v>
      </c>
      <c r="E2152" s="3">
        <f t="shared" si="1"/>
        <v>0.3141261581</v>
      </c>
      <c r="F2152" s="2">
        <v>2188.0</v>
      </c>
      <c r="G2152" s="3">
        <f t="shared" si="2"/>
        <v>0.1388501079</v>
      </c>
      <c r="H2152" s="2">
        <v>3339.0</v>
      </c>
      <c r="I2152" s="3">
        <f t="shared" si="3"/>
        <v>0.2118923721</v>
      </c>
      <c r="J2152" s="2">
        <v>2262.0</v>
      </c>
      <c r="K2152" s="3">
        <f t="shared" si="4"/>
        <v>0.1435461353</v>
      </c>
      <c r="L2152" s="2">
        <v>1999.0</v>
      </c>
      <c r="M2152" s="3">
        <f t="shared" si="5"/>
        <v>0.5986822402</v>
      </c>
      <c r="N2152" s="2">
        <v>1.92586E7</v>
      </c>
      <c r="O2152" s="4">
        <f t="shared" si="6"/>
        <v>5767.774783</v>
      </c>
      <c r="P2152" s="2">
        <v>3.0</v>
      </c>
      <c r="Q2152" s="3">
        <f t="shared" si="7"/>
        <v>0.002032520325</v>
      </c>
      <c r="R2152" s="2">
        <v>1476.0</v>
      </c>
      <c r="S2152" s="5">
        <f t="shared" si="8"/>
        <v>1</v>
      </c>
    </row>
    <row r="2153">
      <c r="A2153" s="2" t="s">
        <v>2163</v>
      </c>
      <c r="B2153" s="2">
        <v>61.0</v>
      </c>
      <c r="C2153" s="2">
        <v>666.0</v>
      </c>
      <c r="D2153" s="2">
        <v>233.0</v>
      </c>
      <c r="E2153" s="3">
        <f t="shared" si="1"/>
        <v>0.3851239669</v>
      </c>
      <c r="F2153" s="2">
        <v>84.0</v>
      </c>
      <c r="G2153" s="3">
        <f t="shared" si="2"/>
        <v>0.1388429752</v>
      </c>
      <c r="H2153" s="2">
        <v>119.0</v>
      </c>
      <c r="I2153" s="3">
        <f t="shared" si="3"/>
        <v>0.1966942149</v>
      </c>
      <c r="J2153" s="2">
        <v>78.0</v>
      </c>
      <c r="K2153" s="3">
        <f t="shared" si="4"/>
        <v>0.1289256198</v>
      </c>
      <c r="L2153" s="2">
        <v>71.0</v>
      </c>
      <c r="M2153" s="3">
        <f t="shared" si="5"/>
        <v>0.5966386555</v>
      </c>
      <c r="N2153" s="2">
        <v>717200.0</v>
      </c>
      <c r="O2153" s="4">
        <f t="shared" si="6"/>
        <v>6026.890756</v>
      </c>
      <c r="P2153" s="2">
        <v>0.0</v>
      </c>
      <c r="Q2153" s="3">
        <f t="shared" si="7"/>
        <v>0</v>
      </c>
      <c r="R2153" s="2">
        <v>61.0</v>
      </c>
      <c r="S2153" s="5">
        <f t="shared" si="8"/>
        <v>1</v>
      </c>
    </row>
    <row r="2154">
      <c r="A2154" s="2" t="s">
        <v>2164</v>
      </c>
      <c r="B2154" s="2">
        <v>1040.0</v>
      </c>
      <c r="C2154" s="2">
        <v>12132.0</v>
      </c>
      <c r="D2154" s="2">
        <v>3427.0</v>
      </c>
      <c r="E2154" s="3">
        <f t="shared" si="1"/>
        <v>0.3089614136</v>
      </c>
      <c r="F2154" s="2">
        <v>1540.0</v>
      </c>
      <c r="G2154" s="3">
        <f t="shared" si="2"/>
        <v>0.1388388027</v>
      </c>
      <c r="H2154" s="2">
        <v>2187.0</v>
      </c>
      <c r="I2154" s="3">
        <f t="shared" si="3"/>
        <v>0.1971691309</v>
      </c>
      <c r="J2154" s="2">
        <v>1727.0</v>
      </c>
      <c r="K2154" s="3">
        <f t="shared" si="4"/>
        <v>0.1556978002</v>
      </c>
      <c r="L2154" s="2">
        <v>1346.0</v>
      </c>
      <c r="M2154" s="3">
        <f t="shared" si="5"/>
        <v>0.6154549611</v>
      </c>
      <c r="N2154" s="2">
        <v>1.35127E7</v>
      </c>
      <c r="O2154" s="4">
        <f t="shared" si="6"/>
        <v>6178.646548</v>
      </c>
      <c r="P2154" s="2">
        <v>9.0</v>
      </c>
      <c r="Q2154" s="3">
        <f t="shared" si="7"/>
        <v>0.008653846154</v>
      </c>
      <c r="R2154" s="2">
        <v>1040.0</v>
      </c>
      <c r="S2154" s="5">
        <f t="shared" si="8"/>
        <v>1</v>
      </c>
    </row>
    <row r="2155">
      <c r="A2155" s="2" t="s">
        <v>2165</v>
      </c>
      <c r="B2155" s="2">
        <v>512.0</v>
      </c>
      <c r="C2155" s="2">
        <v>6015.0</v>
      </c>
      <c r="D2155" s="2">
        <v>1807.0</v>
      </c>
      <c r="E2155" s="3">
        <f t="shared" si="1"/>
        <v>0.3283663456</v>
      </c>
      <c r="F2155" s="2">
        <v>764.0</v>
      </c>
      <c r="G2155" s="3">
        <f t="shared" si="2"/>
        <v>0.1388333636</v>
      </c>
      <c r="H2155" s="2">
        <v>1235.0</v>
      </c>
      <c r="I2155" s="3">
        <f t="shared" si="3"/>
        <v>0.224423042</v>
      </c>
      <c r="J2155" s="2">
        <v>1043.0</v>
      </c>
      <c r="K2155" s="3">
        <f t="shared" si="4"/>
        <v>0.189532982</v>
      </c>
      <c r="L2155" s="2">
        <v>750.0</v>
      </c>
      <c r="M2155" s="3">
        <f t="shared" si="5"/>
        <v>0.6072874494</v>
      </c>
      <c r="N2155" s="2">
        <v>6145200.0</v>
      </c>
      <c r="O2155" s="4">
        <f t="shared" si="6"/>
        <v>4975.870445</v>
      </c>
      <c r="P2155" s="2">
        <v>2.0</v>
      </c>
      <c r="Q2155" s="3">
        <f t="shared" si="7"/>
        <v>0.00390625</v>
      </c>
      <c r="R2155" s="2">
        <v>512.0</v>
      </c>
      <c r="S2155" s="5">
        <f t="shared" si="8"/>
        <v>1</v>
      </c>
    </row>
    <row r="2156">
      <c r="A2156" s="2" t="s">
        <v>2166</v>
      </c>
      <c r="B2156" s="2">
        <v>851.0</v>
      </c>
      <c r="C2156" s="2">
        <v>9993.0</v>
      </c>
      <c r="D2156" s="2">
        <v>3500.0</v>
      </c>
      <c r="E2156" s="3">
        <f t="shared" si="1"/>
        <v>0.382848392</v>
      </c>
      <c r="F2156" s="2">
        <v>1269.0</v>
      </c>
      <c r="G2156" s="3">
        <f t="shared" si="2"/>
        <v>0.1388098884</v>
      </c>
      <c r="H2156" s="2">
        <v>2040.0</v>
      </c>
      <c r="I2156" s="3">
        <f t="shared" si="3"/>
        <v>0.2231459199</v>
      </c>
      <c r="J2156" s="2">
        <v>1436.0</v>
      </c>
      <c r="K2156" s="3">
        <f t="shared" si="4"/>
        <v>0.157077226</v>
      </c>
      <c r="L2156" s="2">
        <v>1217.0</v>
      </c>
      <c r="M2156" s="3">
        <f t="shared" si="5"/>
        <v>0.5965686275</v>
      </c>
      <c r="N2156" s="2">
        <v>1.11056E7</v>
      </c>
      <c r="O2156" s="4">
        <f t="shared" si="6"/>
        <v>5443.921569</v>
      </c>
      <c r="P2156" s="2">
        <v>1.0</v>
      </c>
      <c r="Q2156" s="3">
        <f t="shared" si="7"/>
        <v>0.001175088132</v>
      </c>
      <c r="R2156" s="2">
        <v>851.0</v>
      </c>
      <c r="S2156" s="5">
        <f t="shared" si="8"/>
        <v>1</v>
      </c>
    </row>
    <row r="2157">
      <c r="A2157" s="2" t="s">
        <v>2167</v>
      </c>
      <c r="B2157" s="2">
        <v>127.0</v>
      </c>
      <c r="C2157" s="2">
        <v>1503.0</v>
      </c>
      <c r="D2157" s="2">
        <v>545.0</v>
      </c>
      <c r="E2157" s="3">
        <f t="shared" si="1"/>
        <v>0.3960755814</v>
      </c>
      <c r="F2157" s="2">
        <v>191.0</v>
      </c>
      <c r="G2157" s="3">
        <f t="shared" si="2"/>
        <v>0.1388081395</v>
      </c>
      <c r="H2157" s="2">
        <v>289.0</v>
      </c>
      <c r="I2157" s="3">
        <f t="shared" si="3"/>
        <v>0.2100290698</v>
      </c>
      <c r="J2157" s="2">
        <v>219.0</v>
      </c>
      <c r="K2157" s="3">
        <f t="shared" si="4"/>
        <v>0.1591569767</v>
      </c>
      <c r="L2157" s="2">
        <v>182.0</v>
      </c>
      <c r="M2157" s="3">
        <f t="shared" si="5"/>
        <v>0.6297577855</v>
      </c>
      <c r="N2157" s="2">
        <v>1599700.0</v>
      </c>
      <c r="O2157" s="4">
        <f t="shared" si="6"/>
        <v>5535.294118</v>
      </c>
      <c r="P2157" s="2">
        <v>0.0</v>
      </c>
      <c r="Q2157" s="3">
        <f t="shared" si="7"/>
        <v>0</v>
      </c>
      <c r="R2157" s="2">
        <v>127.0</v>
      </c>
      <c r="S2157" s="5">
        <f t="shared" si="8"/>
        <v>1</v>
      </c>
    </row>
    <row r="2158">
      <c r="A2158" s="2" t="s">
        <v>2168</v>
      </c>
      <c r="B2158" s="2">
        <v>655.0</v>
      </c>
      <c r="C2158" s="2">
        <v>7600.0</v>
      </c>
      <c r="D2158" s="2">
        <v>2583.0</v>
      </c>
      <c r="E2158" s="3">
        <f t="shared" si="1"/>
        <v>0.3719222462</v>
      </c>
      <c r="F2158" s="2">
        <v>964.0</v>
      </c>
      <c r="G2158" s="3">
        <f t="shared" si="2"/>
        <v>0.1388048956</v>
      </c>
      <c r="H2158" s="2">
        <v>1556.0</v>
      </c>
      <c r="I2158" s="3">
        <f t="shared" si="3"/>
        <v>0.2240460763</v>
      </c>
      <c r="J2158" s="2">
        <v>1167.0</v>
      </c>
      <c r="K2158" s="3">
        <f t="shared" si="4"/>
        <v>0.1680345572</v>
      </c>
      <c r="L2158" s="2">
        <v>920.0</v>
      </c>
      <c r="M2158" s="3">
        <f t="shared" si="5"/>
        <v>0.5912596401</v>
      </c>
      <c r="N2158" s="2">
        <v>8597400.0</v>
      </c>
      <c r="O2158" s="4">
        <f t="shared" si="6"/>
        <v>5525.321337</v>
      </c>
      <c r="P2158" s="2">
        <v>1.0</v>
      </c>
      <c r="Q2158" s="3">
        <f t="shared" si="7"/>
        <v>0.001526717557</v>
      </c>
      <c r="R2158" s="2">
        <v>655.0</v>
      </c>
      <c r="S2158" s="5">
        <f t="shared" si="8"/>
        <v>1</v>
      </c>
    </row>
    <row r="2159">
      <c r="A2159" s="2" t="s">
        <v>2169</v>
      </c>
      <c r="B2159" s="2">
        <v>497.0</v>
      </c>
      <c r="C2159" s="2">
        <v>5843.0</v>
      </c>
      <c r="D2159" s="2">
        <v>1735.0</v>
      </c>
      <c r="E2159" s="3">
        <f t="shared" si="1"/>
        <v>0.3245417134</v>
      </c>
      <c r="F2159" s="2">
        <v>742.0</v>
      </c>
      <c r="G2159" s="3">
        <f t="shared" si="2"/>
        <v>0.138795361</v>
      </c>
      <c r="H2159" s="2">
        <v>1119.0</v>
      </c>
      <c r="I2159" s="3">
        <f t="shared" si="3"/>
        <v>0.209315376</v>
      </c>
      <c r="J2159" s="2">
        <v>1099.0</v>
      </c>
      <c r="K2159" s="3">
        <f t="shared" si="4"/>
        <v>0.2055742611</v>
      </c>
      <c r="L2159" s="2">
        <v>662.0</v>
      </c>
      <c r="M2159" s="3">
        <f t="shared" si="5"/>
        <v>0.5915996425</v>
      </c>
      <c r="N2159" s="2">
        <v>6382200.0</v>
      </c>
      <c r="O2159" s="4">
        <f t="shared" si="6"/>
        <v>5703.485255</v>
      </c>
      <c r="P2159" s="2">
        <v>0.0</v>
      </c>
      <c r="Q2159" s="3">
        <f t="shared" si="7"/>
        <v>0</v>
      </c>
      <c r="R2159" s="2">
        <v>497.0</v>
      </c>
      <c r="S2159" s="5">
        <f t="shared" si="8"/>
        <v>1</v>
      </c>
    </row>
    <row r="2160">
      <c r="A2160" s="2" t="s">
        <v>2170</v>
      </c>
      <c r="B2160" s="2">
        <v>254.0</v>
      </c>
      <c r="C2160" s="2">
        <v>2927.0</v>
      </c>
      <c r="D2160" s="2">
        <v>972.0</v>
      </c>
      <c r="E2160" s="3">
        <f t="shared" si="1"/>
        <v>0.3636363636</v>
      </c>
      <c r="F2160" s="2">
        <v>371.0</v>
      </c>
      <c r="G2160" s="3">
        <f t="shared" si="2"/>
        <v>0.138795361</v>
      </c>
      <c r="H2160" s="2">
        <v>587.0</v>
      </c>
      <c r="I2160" s="3">
        <f t="shared" si="3"/>
        <v>0.2196034418</v>
      </c>
      <c r="J2160" s="2">
        <v>408.0</v>
      </c>
      <c r="K2160" s="3">
        <f t="shared" si="4"/>
        <v>0.152637486</v>
      </c>
      <c r="L2160" s="2">
        <v>381.0</v>
      </c>
      <c r="M2160" s="3">
        <f t="shared" si="5"/>
        <v>0.6490630324</v>
      </c>
      <c r="N2160" s="2">
        <v>3236500.0</v>
      </c>
      <c r="O2160" s="4">
        <f t="shared" si="6"/>
        <v>5513.62862</v>
      </c>
      <c r="P2160" s="2">
        <v>0.0</v>
      </c>
      <c r="Q2160" s="3">
        <f t="shared" si="7"/>
        <v>0</v>
      </c>
      <c r="R2160" s="2">
        <v>254.0</v>
      </c>
      <c r="S2160" s="5">
        <f t="shared" si="8"/>
        <v>1</v>
      </c>
    </row>
    <row r="2161">
      <c r="A2161" s="2" t="s">
        <v>2171</v>
      </c>
      <c r="B2161" s="2">
        <v>1100.0</v>
      </c>
      <c r="C2161" s="2">
        <v>12708.0</v>
      </c>
      <c r="D2161" s="2">
        <v>3967.0</v>
      </c>
      <c r="E2161" s="3">
        <f t="shared" si="1"/>
        <v>0.341747071</v>
      </c>
      <c r="F2161" s="2">
        <v>1611.0</v>
      </c>
      <c r="G2161" s="3">
        <f t="shared" si="2"/>
        <v>0.1387835975</v>
      </c>
      <c r="H2161" s="2">
        <v>2547.0</v>
      </c>
      <c r="I2161" s="3">
        <f t="shared" si="3"/>
        <v>0.219417643</v>
      </c>
      <c r="J2161" s="2">
        <v>2132.0</v>
      </c>
      <c r="K2161" s="3">
        <f t="shared" si="4"/>
        <v>0.1836664369</v>
      </c>
      <c r="L2161" s="2">
        <v>1563.0</v>
      </c>
      <c r="M2161" s="3">
        <f t="shared" si="5"/>
        <v>0.6136631331</v>
      </c>
      <c r="N2161" s="2">
        <v>1.54442E7</v>
      </c>
      <c r="O2161" s="4">
        <f t="shared" si="6"/>
        <v>6063.682764</v>
      </c>
      <c r="P2161" s="2">
        <v>0.0</v>
      </c>
      <c r="Q2161" s="3">
        <f t="shared" si="7"/>
        <v>0</v>
      </c>
      <c r="R2161" s="2">
        <v>1100.0</v>
      </c>
      <c r="S2161" s="5">
        <f t="shared" si="8"/>
        <v>1</v>
      </c>
    </row>
    <row r="2162">
      <c r="A2162" s="2" t="s">
        <v>2172</v>
      </c>
      <c r="B2162" s="2">
        <v>302.0</v>
      </c>
      <c r="C2162" s="2">
        <v>3466.0</v>
      </c>
      <c r="D2162" s="2">
        <v>1129.0</v>
      </c>
      <c r="E2162" s="3">
        <f t="shared" si="1"/>
        <v>0.3568268015</v>
      </c>
      <c r="F2162" s="2">
        <v>439.0</v>
      </c>
      <c r="G2162" s="3">
        <f t="shared" si="2"/>
        <v>0.1387484197</v>
      </c>
      <c r="H2162" s="2">
        <v>663.0</v>
      </c>
      <c r="I2162" s="3">
        <f t="shared" si="3"/>
        <v>0.2095448799</v>
      </c>
      <c r="J2162" s="2">
        <v>599.0</v>
      </c>
      <c r="K2162" s="3">
        <f t="shared" si="4"/>
        <v>0.1893173198</v>
      </c>
      <c r="L2162" s="2">
        <v>396.0</v>
      </c>
      <c r="M2162" s="3">
        <f t="shared" si="5"/>
        <v>0.5972850679</v>
      </c>
      <c r="N2162" s="2">
        <v>3732900.0</v>
      </c>
      <c r="O2162" s="4">
        <f t="shared" si="6"/>
        <v>5630.316742</v>
      </c>
      <c r="P2162" s="2">
        <v>0.0</v>
      </c>
      <c r="Q2162" s="3">
        <f t="shared" si="7"/>
        <v>0</v>
      </c>
      <c r="R2162" s="2">
        <v>302.0</v>
      </c>
      <c r="S2162" s="5">
        <f t="shared" si="8"/>
        <v>1</v>
      </c>
    </row>
    <row r="2163">
      <c r="A2163" s="2" t="s">
        <v>2173</v>
      </c>
      <c r="B2163" s="2">
        <v>1400.0</v>
      </c>
      <c r="C2163" s="2">
        <v>16298.0</v>
      </c>
      <c r="D2163" s="2">
        <v>5437.0</v>
      </c>
      <c r="E2163" s="3">
        <f t="shared" si="1"/>
        <v>0.3649483152</v>
      </c>
      <c r="F2163" s="2">
        <v>2067.0</v>
      </c>
      <c r="G2163" s="3">
        <f t="shared" si="2"/>
        <v>0.1387434555</v>
      </c>
      <c r="H2163" s="2">
        <v>3126.0</v>
      </c>
      <c r="I2163" s="3">
        <f t="shared" si="3"/>
        <v>0.2098268224</v>
      </c>
      <c r="J2163" s="2">
        <v>2469.0</v>
      </c>
      <c r="K2163" s="3">
        <f t="shared" si="4"/>
        <v>0.1657269432</v>
      </c>
      <c r="L2163" s="2">
        <v>1858.0</v>
      </c>
      <c r="M2163" s="3">
        <f t="shared" si="5"/>
        <v>0.5943698017</v>
      </c>
      <c r="N2163" s="2">
        <v>1.78571E7</v>
      </c>
      <c r="O2163" s="4">
        <f t="shared" si="6"/>
        <v>5712.444018</v>
      </c>
      <c r="P2163" s="2">
        <v>1.0</v>
      </c>
      <c r="Q2163" s="3">
        <f t="shared" si="7"/>
        <v>0.0007142857143</v>
      </c>
      <c r="R2163" s="2">
        <v>1400.0</v>
      </c>
      <c r="S2163" s="5">
        <f t="shared" si="8"/>
        <v>1</v>
      </c>
    </row>
    <row r="2164">
      <c r="A2164" s="2" t="s">
        <v>2174</v>
      </c>
      <c r="B2164" s="2">
        <v>86.0</v>
      </c>
      <c r="C2164" s="2">
        <v>1023.0</v>
      </c>
      <c r="D2164" s="2">
        <v>398.0</v>
      </c>
      <c r="E2164" s="3">
        <f t="shared" si="1"/>
        <v>0.4247598719</v>
      </c>
      <c r="F2164" s="2">
        <v>130.0</v>
      </c>
      <c r="G2164" s="3">
        <f t="shared" si="2"/>
        <v>0.1387406617</v>
      </c>
      <c r="H2164" s="2">
        <v>217.0</v>
      </c>
      <c r="I2164" s="3">
        <f t="shared" si="3"/>
        <v>0.2315901814</v>
      </c>
      <c r="J2164" s="2">
        <v>161.0</v>
      </c>
      <c r="K2164" s="3">
        <f t="shared" si="4"/>
        <v>0.1718249733</v>
      </c>
      <c r="L2164" s="2">
        <v>132.0</v>
      </c>
      <c r="M2164" s="3">
        <f t="shared" si="5"/>
        <v>0.6082949309</v>
      </c>
      <c r="N2164" s="2">
        <v>1199400.0</v>
      </c>
      <c r="O2164" s="4">
        <f t="shared" si="6"/>
        <v>5527.18894</v>
      </c>
      <c r="P2164" s="2">
        <v>0.0</v>
      </c>
      <c r="Q2164" s="3">
        <f t="shared" si="7"/>
        <v>0</v>
      </c>
      <c r="R2164" s="2">
        <v>86.0</v>
      </c>
      <c r="S2164" s="5">
        <f t="shared" si="8"/>
        <v>1</v>
      </c>
    </row>
    <row r="2165">
      <c r="A2165" s="2" t="s">
        <v>2175</v>
      </c>
      <c r="B2165" s="2">
        <v>241.0</v>
      </c>
      <c r="C2165" s="2">
        <v>2800.0</v>
      </c>
      <c r="D2165" s="2">
        <v>806.0</v>
      </c>
      <c r="E2165" s="3">
        <f t="shared" si="1"/>
        <v>0.3149667839</v>
      </c>
      <c r="F2165" s="2">
        <v>355.0</v>
      </c>
      <c r="G2165" s="3">
        <f t="shared" si="2"/>
        <v>0.1387260649</v>
      </c>
      <c r="H2165" s="2">
        <v>485.0</v>
      </c>
      <c r="I2165" s="3">
        <f t="shared" si="3"/>
        <v>0.189527159</v>
      </c>
      <c r="J2165" s="2">
        <v>442.0</v>
      </c>
      <c r="K2165" s="3">
        <f t="shared" si="4"/>
        <v>0.1727237202</v>
      </c>
      <c r="L2165" s="2">
        <v>284.0</v>
      </c>
      <c r="M2165" s="3">
        <f t="shared" si="5"/>
        <v>0.5855670103</v>
      </c>
      <c r="N2165" s="2">
        <v>2878300.0</v>
      </c>
      <c r="O2165" s="4">
        <f t="shared" si="6"/>
        <v>5934.639175</v>
      </c>
      <c r="P2165" s="2">
        <v>2.0</v>
      </c>
      <c r="Q2165" s="3">
        <f t="shared" si="7"/>
        <v>0.008298755187</v>
      </c>
      <c r="R2165" s="2">
        <v>241.0</v>
      </c>
      <c r="S2165" s="5">
        <f t="shared" si="8"/>
        <v>1</v>
      </c>
    </row>
    <row r="2166">
      <c r="A2166" s="2" t="s">
        <v>2176</v>
      </c>
      <c r="B2166" s="2">
        <v>126.0</v>
      </c>
      <c r="C2166" s="2">
        <v>1474.0</v>
      </c>
      <c r="D2166" s="2">
        <v>335.0</v>
      </c>
      <c r="E2166" s="3">
        <f t="shared" si="1"/>
        <v>0.2485163205</v>
      </c>
      <c r="F2166" s="2">
        <v>187.0</v>
      </c>
      <c r="G2166" s="3">
        <f t="shared" si="2"/>
        <v>0.1387240356</v>
      </c>
      <c r="H2166" s="2">
        <v>269.0</v>
      </c>
      <c r="I2166" s="3">
        <f t="shared" si="3"/>
        <v>0.1995548961</v>
      </c>
      <c r="J2166" s="2">
        <v>291.0</v>
      </c>
      <c r="K2166" s="3">
        <f t="shared" si="4"/>
        <v>0.2158753709</v>
      </c>
      <c r="L2166" s="2">
        <v>142.0</v>
      </c>
      <c r="M2166" s="3">
        <f t="shared" si="5"/>
        <v>0.5278810409</v>
      </c>
      <c r="N2166" s="2">
        <v>1572700.0</v>
      </c>
      <c r="O2166" s="4">
        <f t="shared" si="6"/>
        <v>5846.468401</v>
      </c>
      <c r="P2166" s="2">
        <v>0.0</v>
      </c>
      <c r="Q2166" s="3">
        <f t="shared" si="7"/>
        <v>0</v>
      </c>
      <c r="R2166" s="2">
        <v>126.0</v>
      </c>
      <c r="S2166" s="5">
        <f t="shared" si="8"/>
        <v>1</v>
      </c>
    </row>
    <row r="2167">
      <c r="A2167" s="2" t="s">
        <v>2177</v>
      </c>
      <c r="B2167" s="2">
        <v>620.0</v>
      </c>
      <c r="C2167" s="2">
        <v>7360.0</v>
      </c>
      <c r="D2167" s="2">
        <v>2980.0</v>
      </c>
      <c r="E2167" s="3">
        <f t="shared" si="1"/>
        <v>0.4421364985</v>
      </c>
      <c r="F2167" s="2">
        <v>935.0</v>
      </c>
      <c r="G2167" s="3">
        <f t="shared" si="2"/>
        <v>0.1387240356</v>
      </c>
      <c r="H2167" s="2">
        <v>1512.0</v>
      </c>
      <c r="I2167" s="3">
        <f t="shared" si="3"/>
        <v>0.2243323442</v>
      </c>
      <c r="J2167" s="2">
        <v>689.0</v>
      </c>
      <c r="K2167" s="3">
        <f t="shared" si="4"/>
        <v>0.1022255193</v>
      </c>
      <c r="L2167" s="2">
        <v>948.0</v>
      </c>
      <c r="M2167" s="3">
        <f t="shared" si="5"/>
        <v>0.626984127</v>
      </c>
      <c r="N2167" s="2">
        <v>7706000.0</v>
      </c>
      <c r="O2167" s="4">
        <f t="shared" si="6"/>
        <v>5096.560847</v>
      </c>
      <c r="P2167" s="2">
        <v>1.0</v>
      </c>
      <c r="Q2167" s="3">
        <f t="shared" si="7"/>
        <v>0.001612903226</v>
      </c>
      <c r="R2167" s="2">
        <v>620.0</v>
      </c>
      <c r="S2167" s="5">
        <f t="shared" si="8"/>
        <v>1</v>
      </c>
    </row>
    <row r="2168">
      <c r="A2168" s="2" t="s">
        <v>2178</v>
      </c>
      <c r="B2168" s="2">
        <v>103.0</v>
      </c>
      <c r="C2168" s="2">
        <v>1242.0</v>
      </c>
      <c r="D2168" s="2">
        <v>396.0</v>
      </c>
      <c r="E2168" s="3">
        <f t="shared" si="1"/>
        <v>0.3476733977</v>
      </c>
      <c r="F2168" s="2">
        <v>158.0</v>
      </c>
      <c r="G2168" s="3">
        <f t="shared" si="2"/>
        <v>0.1387181738</v>
      </c>
      <c r="H2168" s="2">
        <v>220.0</v>
      </c>
      <c r="I2168" s="3">
        <f t="shared" si="3"/>
        <v>0.1931518876</v>
      </c>
      <c r="J2168" s="2">
        <v>216.0</v>
      </c>
      <c r="K2168" s="3">
        <f t="shared" si="4"/>
        <v>0.1896400351</v>
      </c>
      <c r="L2168" s="2">
        <v>137.0</v>
      </c>
      <c r="M2168" s="3">
        <f t="shared" si="5"/>
        <v>0.6227272727</v>
      </c>
      <c r="N2168" s="2">
        <v>1236200.0</v>
      </c>
      <c r="O2168" s="4">
        <f t="shared" si="6"/>
        <v>5619.090909</v>
      </c>
      <c r="P2168" s="2">
        <v>0.0</v>
      </c>
      <c r="Q2168" s="3">
        <f t="shared" si="7"/>
        <v>0</v>
      </c>
      <c r="R2168" s="2">
        <v>56.0</v>
      </c>
      <c r="S2168" s="5">
        <f t="shared" si="8"/>
        <v>0.5436893204</v>
      </c>
    </row>
    <row r="2169">
      <c r="A2169" s="2" t="s">
        <v>2179</v>
      </c>
      <c r="B2169" s="2">
        <v>551.0</v>
      </c>
      <c r="C2169" s="2">
        <v>6549.0</v>
      </c>
      <c r="D2169" s="2">
        <v>1836.0</v>
      </c>
      <c r="E2169" s="3">
        <f t="shared" si="1"/>
        <v>0.306102034</v>
      </c>
      <c r="F2169" s="2">
        <v>832.0</v>
      </c>
      <c r="G2169" s="3">
        <f t="shared" si="2"/>
        <v>0.1387129043</v>
      </c>
      <c r="H2169" s="2">
        <v>1254.0</v>
      </c>
      <c r="I2169" s="3">
        <f t="shared" si="3"/>
        <v>0.2090696899</v>
      </c>
      <c r="J2169" s="2">
        <v>1186.0</v>
      </c>
      <c r="K2169" s="3">
        <f t="shared" si="4"/>
        <v>0.1977325775</v>
      </c>
      <c r="L2169" s="2">
        <v>754.0</v>
      </c>
      <c r="M2169" s="3">
        <f t="shared" si="5"/>
        <v>0.6012759171</v>
      </c>
      <c r="N2169" s="2">
        <v>7399300.0</v>
      </c>
      <c r="O2169" s="4">
        <f t="shared" si="6"/>
        <v>5900.558214</v>
      </c>
      <c r="P2169" s="2">
        <v>3.0</v>
      </c>
      <c r="Q2169" s="3">
        <f t="shared" si="7"/>
        <v>0.005444646098</v>
      </c>
      <c r="R2169" s="2">
        <v>551.0</v>
      </c>
      <c r="S2169" s="5">
        <f t="shared" si="8"/>
        <v>1</v>
      </c>
    </row>
    <row r="2170">
      <c r="A2170" s="2" t="s">
        <v>2180</v>
      </c>
      <c r="B2170" s="2">
        <v>725.0</v>
      </c>
      <c r="C2170" s="2">
        <v>8721.0</v>
      </c>
      <c r="D2170" s="2">
        <v>3195.0</v>
      </c>
      <c r="E2170" s="3">
        <f t="shared" si="1"/>
        <v>0.3995747874</v>
      </c>
      <c r="F2170" s="2">
        <v>1109.0</v>
      </c>
      <c r="G2170" s="3">
        <f t="shared" si="2"/>
        <v>0.1386943472</v>
      </c>
      <c r="H2170" s="2">
        <v>1699.0</v>
      </c>
      <c r="I2170" s="3">
        <f t="shared" si="3"/>
        <v>0.2124812406</v>
      </c>
      <c r="J2170" s="2">
        <v>1192.0</v>
      </c>
      <c r="K2170" s="3">
        <f t="shared" si="4"/>
        <v>0.1490745373</v>
      </c>
      <c r="L2170" s="2">
        <v>1007.0</v>
      </c>
      <c r="M2170" s="3">
        <f t="shared" si="5"/>
        <v>0.5927015892</v>
      </c>
      <c r="N2170" s="2">
        <v>9075600.0</v>
      </c>
      <c r="O2170" s="4">
        <f t="shared" si="6"/>
        <v>5341.73043</v>
      </c>
      <c r="P2170" s="2">
        <v>1.0</v>
      </c>
      <c r="Q2170" s="3">
        <f t="shared" si="7"/>
        <v>0.001379310345</v>
      </c>
      <c r="R2170" s="2">
        <v>725.0</v>
      </c>
      <c r="S2170" s="5">
        <f t="shared" si="8"/>
        <v>1</v>
      </c>
    </row>
    <row r="2171">
      <c r="A2171" s="2" t="s">
        <v>2181</v>
      </c>
      <c r="B2171" s="2">
        <v>387.0</v>
      </c>
      <c r="C2171" s="2">
        <v>4497.0</v>
      </c>
      <c r="D2171" s="2">
        <v>1603.0</v>
      </c>
      <c r="E2171" s="3">
        <f t="shared" si="1"/>
        <v>0.3900243309</v>
      </c>
      <c r="F2171" s="2">
        <v>570.0</v>
      </c>
      <c r="G2171" s="3">
        <f t="shared" si="2"/>
        <v>0.1386861314</v>
      </c>
      <c r="H2171" s="2">
        <v>868.0</v>
      </c>
      <c r="I2171" s="3">
        <f t="shared" si="3"/>
        <v>0.2111922141</v>
      </c>
      <c r="J2171" s="2">
        <v>691.0</v>
      </c>
      <c r="K2171" s="3">
        <f t="shared" si="4"/>
        <v>0.1681265207</v>
      </c>
      <c r="L2171" s="2">
        <v>517.0</v>
      </c>
      <c r="M2171" s="3">
        <f t="shared" si="5"/>
        <v>0.5956221198</v>
      </c>
      <c r="N2171" s="2">
        <v>4612300.0</v>
      </c>
      <c r="O2171" s="4">
        <f t="shared" si="6"/>
        <v>5313.709677</v>
      </c>
      <c r="P2171" s="2">
        <v>0.0</v>
      </c>
      <c r="Q2171" s="3">
        <f t="shared" si="7"/>
        <v>0</v>
      </c>
      <c r="R2171" s="2">
        <v>387.0</v>
      </c>
      <c r="S2171" s="5">
        <f t="shared" si="8"/>
        <v>1</v>
      </c>
    </row>
    <row r="2172">
      <c r="A2172" s="2" t="s">
        <v>2182</v>
      </c>
      <c r="B2172" s="2">
        <v>37.0</v>
      </c>
      <c r="C2172" s="2">
        <v>448.0</v>
      </c>
      <c r="D2172" s="2">
        <v>140.0</v>
      </c>
      <c r="E2172" s="3">
        <f t="shared" si="1"/>
        <v>0.3406326034</v>
      </c>
      <c r="F2172" s="2">
        <v>57.0</v>
      </c>
      <c r="G2172" s="3">
        <f t="shared" si="2"/>
        <v>0.1386861314</v>
      </c>
      <c r="H2172" s="2">
        <v>83.0</v>
      </c>
      <c r="I2172" s="3">
        <f t="shared" si="3"/>
        <v>0.201946472</v>
      </c>
      <c r="J2172" s="2">
        <v>61.0</v>
      </c>
      <c r="K2172" s="3">
        <f t="shared" si="4"/>
        <v>0.1484184915</v>
      </c>
      <c r="L2172" s="2">
        <v>55.0</v>
      </c>
      <c r="M2172" s="3">
        <f t="shared" si="5"/>
        <v>0.6626506024</v>
      </c>
      <c r="N2172" s="2">
        <v>466800.0</v>
      </c>
      <c r="O2172" s="4">
        <f t="shared" si="6"/>
        <v>5624.096386</v>
      </c>
      <c r="P2172" s="2">
        <v>0.0</v>
      </c>
      <c r="Q2172" s="3">
        <f t="shared" si="7"/>
        <v>0</v>
      </c>
      <c r="R2172" s="2">
        <v>37.0</v>
      </c>
      <c r="S2172" s="5">
        <f t="shared" si="8"/>
        <v>1</v>
      </c>
    </row>
    <row r="2173">
      <c r="A2173" s="2" t="s">
        <v>2183</v>
      </c>
      <c r="B2173" s="2">
        <v>62.0</v>
      </c>
      <c r="C2173" s="2">
        <v>747.0</v>
      </c>
      <c r="D2173" s="2">
        <v>190.0</v>
      </c>
      <c r="E2173" s="3">
        <f t="shared" si="1"/>
        <v>0.2773722628</v>
      </c>
      <c r="F2173" s="2">
        <v>95.0</v>
      </c>
      <c r="G2173" s="3">
        <f t="shared" si="2"/>
        <v>0.1386861314</v>
      </c>
      <c r="H2173" s="2">
        <v>128.0</v>
      </c>
      <c r="I2173" s="3">
        <f t="shared" si="3"/>
        <v>0.1868613139</v>
      </c>
      <c r="J2173" s="2">
        <v>92.0</v>
      </c>
      <c r="K2173" s="3">
        <f t="shared" si="4"/>
        <v>0.1343065693</v>
      </c>
      <c r="L2173" s="2">
        <v>87.0</v>
      </c>
      <c r="M2173" s="3">
        <f t="shared" si="5"/>
        <v>0.6796875</v>
      </c>
      <c r="N2173" s="2">
        <v>714900.0</v>
      </c>
      <c r="O2173" s="4">
        <f t="shared" si="6"/>
        <v>5585.15625</v>
      </c>
      <c r="P2173" s="2">
        <v>0.0</v>
      </c>
      <c r="Q2173" s="3">
        <f t="shared" si="7"/>
        <v>0</v>
      </c>
      <c r="R2173" s="2">
        <v>62.0</v>
      </c>
      <c r="S2173" s="5">
        <f t="shared" si="8"/>
        <v>1</v>
      </c>
    </row>
    <row r="2174">
      <c r="A2174" s="2" t="s">
        <v>2184</v>
      </c>
      <c r="B2174" s="2">
        <v>524.0</v>
      </c>
      <c r="C2174" s="2">
        <v>6062.0</v>
      </c>
      <c r="D2174" s="2">
        <v>1742.0</v>
      </c>
      <c r="E2174" s="3">
        <f t="shared" si="1"/>
        <v>0.3145539906</v>
      </c>
      <c r="F2174" s="2">
        <v>768.0</v>
      </c>
      <c r="G2174" s="3">
        <f t="shared" si="2"/>
        <v>0.1386782232</v>
      </c>
      <c r="H2174" s="2">
        <v>1098.0</v>
      </c>
      <c r="I2174" s="3">
        <f t="shared" si="3"/>
        <v>0.1982665222</v>
      </c>
      <c r="J2174" s="2">
        <v>923.0</v>
      </c>
      <c r="K2174" s="3">
        <f t="shared" si="4"/>
        <v>0.1666666667</v>
      </c>
      <c r="L2174" s="2">
        <v>678.0</v>
      </c>
      <c r="M2174" s="3">
        <f t="shared" si="5"/>
        <v>0.6174863388</v>
      </c>
      <c r="N2174" s="2">
        <v>6933900.0</v>
      </c>
      <c r="O2174" s="4">
        <f t="shared" si="6"/>
        <v>6315.027322</v>
      </c>
      <c r="P2174" s="2">
        <v>0.0</v>
      </c>
      <c r="Q2174" s="3">
        <f t="shared" si="7"/>
        <v>0</v>
      </c>
      <c r="R2174" s="2">
        <v>524.0</v>
      </c>
      <c r="S2174" s="5">
        <f t="shared" si="8"/>
        <v>1</v>
      </c>
    </row>
    <row r="2175">
      <c r="A2175" s="2" t="s">
        <v>2185</v>
      </c>
      <c r="B2175" s="2">
        <v>1145.0</v>
      </c>
      <c r="C2175" s="2">
        <v>13347.0</v>
      </c>
      <c r="D2175" s="2">
        <v>4385.0</v>
      </c>
      <c r="E2175" s="3">
        <f t="shared" si="1"/>
        <v>0.3593673168</v>
      </c>
      <c r="F2175" s="2">
        <v>1692.0</v>
      </c>
      <c r="G2175" s="3">
        <f t="shared" si="2"/>
        <v>0.1386657925</v>
      </c>
      <c r="H2175" s="2">
        <v>2589.0</v>
      </c>
      <c r="I2175" s="3">
        <f t="shared" si="3"/>
        <v>0.2121783314</v>
      </c>
      <c r="J2175" s="2">
        <v>2118.0</v>
      </c>
      <c r="K2175" s="3">
        <f t="shared" si="4"/>
        <v>0.173578102</v>
      </c>
      <c r="L2175" s="2">
        <v>1545.0</v>
      </c>
      <c r="M2175" s="3">
        <f t="shared" si="5"/>
        <v>0.5967555041</v>
      </c>
      <c r="N2175" s="2">
        <v>1.43119E7</v>
      </c>
      <c r="O2175" s="4">
        <f t="shared" si="6"/>
        <v>5527.964465</v>
      </c>
      <c r="P2175" s="2">
        <v>2.0</v>
      </c>
      <c r="Q2175" s="3">
        <f t="shared" si="7"/>
        <v>0.001746724891</v>
      </c>
      <c r="R2175" s="2">
        <v>1144.0</v>
      </c>
      <c r="S2175" s="5">
        <f t="shared" si="8"/>
        <v>0.9991266376</v>
      </c>
    </row>
    <row r="2176">
      <c r="A2176" s="2" t="s">
        <v>2186</v>
      </c>
      <c r="B2176" s="2">
        <v>188.0</v>
      </c>
      <c r="C2176" s="2">
        <v>2164.0</v>
      </c>
      <c r="D2176" s="2">
        <v>633.0</v>
      </c>
      <c r="E2176" s="3">
        <f t="shared" si="1"/>
        <v>0.3203441296</v>
      </c>
      <c r="F2176" s="2">
        <v>274.0</v>
      </c>
      <c r="G2176" s="3">
        <f t="shared" si="2"/>
        <v>0.1386639676</v>
      </c>
      <c r="H2176" s="2">
        <v>434.0</v>
      </c>
      <c r="I2176" s="3">
        <f t="shared" si="3"/>
        <v>0.2196356275</v>
      </c>
      <c r="J2176" s="2">
        <v>317.0</v>
      </c>
      <c r="K2176" s="3">
        <f t="shared" si="4"/>
        <v>0.1604251012</v>
      </c>
      <c r="L2176" s="2">
        <v>273.0</v>
      </c>
      <c r="M2176" s="3">
        <f t="shared" si="5"/>
        <v>0.6290322581</v>
      </c>
      <c r="N2176" s="2">
        <v>2410300.0</v>
      </c>
      <c r="O2176" s="4">
        <f t="shared" si="6"/>
        <v>5553.686636</v>
      </c>
      <c r="P2176" s="2">
        <v>1.0</v>
      </c>
      <c r="Q2176" s="3">
        <f t="shared" si="7"/>
        <v>0.005319148936</v>
      </c>
      <c r="R2176" s="2">
        <v>188.0</v>
      </c>
      <c r="S2176" s="5">
        <f t="shared" si="8"/>
        <v>1</v>
      </c>
    </row>
    <row r="2177">
      <c r="A2177" s="2" t="s">
        <v>2187</v>
      </c>
      <c r="B2177" s="2">
        <v>317.0</v>
      </c>
      <c r="C2177" s="2">
        <v>3721.0</v>
      </c>
      <c r="D2177" s="2">
        <v>1202.0</v>
      </c>
      <c r="E2177" s="3">
        <f t="shared" si="1"/>
        <v>0.3531139835</v>
      </c>
      <c r="F2177" s="2">
        <v>472.0</v>
      </c>
      <c r="G2177" s="3">
        <f t="shared" si="2"/>
        <v>0.1386603995</v>
      </c>
      <c r="H2177" s="2">
        <v>724.0</v>
      </c>
      <c r="I2177" s="3">
        <f t="shared" si="3"/>
        <v>0.2126909518</v>
      </c>
      <c r="J2177" s="2">
        <v>607.0</v>
      </c>
      <c r="K2177" s="3">
        <f t="shared" si="4"/>
        <v>0.178319624</v>
      </c>
      <c r="L2177" s="2">
        <v>401.0</v>
      </c>
      <c r="M2177" s="3">
        <f t="shared" si="5"/>
        <v>0.5538674033</v>
      </c>
      <c r="N2177" s="2">
        <v>4086700.0</v>
      </c>
      <c r="O2177" s="4">
        <f t="shared" si="6"/>
        <v>5644.61326</v>
      </c>
      <c r="P2177" s="2">
        <v>0.0</v>
      </c>
      <c r="Q2177" s="3">
        <f t="shared" si="7"/>
        <v>0</v>
      </c>
      <c r="R2177" s="2">
        <v>317.0</v>
      </c>
      <c r="S2177" s="5">
        <f t="shared" si="8"/>
        <v>1</v>
      </c>
    </row>
    <row r="2178">
      <c r="A2178" s="2" t="s">
        <v>2188</v>
      </c>
      <c r="B2178" s="2">
        <v>390.0</v>
      </c>
      <c r="C2178" s="2">
        <v>4609.0</v>
      </c>
      <c r="D2178" s="2">
        <v>1468.0</v>
      </c>
      <c r="E2178" s="3">
        <f t="shared" si="1"/>
        <v>0.3479497511</v>
      </c>
      <c r="F2178" s="2">
        <v>585.0</v>
      </c>
      <c r="G2178" s="3">
        <f t="shared" si="2"/>
        <v>0.1386584499</v>
      </c>
      <c r="H2178" s="2">
        <v>913.0</v>
      </c>
      <c r="I2178" s="3">
        <f t="shared" si="3"/>
        <v>0.216401991</v>
      </c>
      <c r="J2178" s="2">
        <v>715.0</v>
      </c>
      <c r="K2178" s="3">
        <f t="shared" si="4"/>
        <v>0.1694714387</v>
      </c>
      <c r="L2178" s="2">
        <v>572.0</v>
      </c>
      <c r="M2178" s="3">
        <f t="shared" si="5"/>
        <v>0.6265060241</v>
      </c>
      <c r="N2178" s="2">
        <v>5246700.0</v>
      </c>
      <c r="O2178" s="4">
        <f t="shared" si="6"/>
        <v>5746.659365</v>
      </c>
      <c r="P2178" s="2">
        <v>0.0</v>
      </c>
      <c r="Q2178" s="3">
        <f t="shared" si="7"/>
        <v>0</v>
      </c>
      <c r="R2178" s="2">
        <v>390.0</v>
      </c>
      <c r="S2178" s="5">
        <f t="shared" si="8"/>
        <v>1</v>
      </c>
    </row>
    <row r="2179">
      <c r="A2179" s="2" t="s">
        <v>2189</v>
      </c>
      <c r="B2179" s="2">
        <v>178.0</v>
      </c>
      <c r="C2179" s="2">
        <v>2082.0</v>
      </c>
      <c r="D2179" s="2">
        <v>549.0</v>
      </c>
      <c r="E2179" s="3">
        <f t="shared" si="1"/>
        <v>0.2883403361</v>
      </c>
      <c r="F2179" s="2">
        <v>264.0</v>
      </c>
      <c r="G2179" s="3">
        <f t="shared" si="2"/>
        <v>0.1386554622</v>
      </c>
      <c r="H2179" s="2">
        <v>374.0</v>
      </c>
      <c r="I2179" s="3">
        <f t="shared" si="3"/>
        <v>0.1964285714</v>
      </c>
      <c r="J2179" s="2">
        <v>361.0</v>
      </c>
      <c r="K2179" s="3">
        <f t="shared" si="4"/>
        <v>0.1896008403</v>
      </c>
      <c r="L2179" s="2">
        <v>218.0</v>
      </c>
      <c r="M2179" s="3">
        <f t="shared" si="5"/>
        <v>0.5828877005</v>
      </c>
      <c r="N2179" s="2">
        <v>2145200.0</v>
      </c>
      <c r="O2179" s="4">
        <f t="shared" si="6"/>
        <v>5735.828877</v>
      </c>
      <c r="P2179" s="2">
        <v>0.0</v>
      </c>
      <c r="Q2179" s="3">
        <f t="shared" si="7"/>
        <v>0</v>
      </c>
      <c r="R2179" s="2">
        <v>178.0</v>
      </c>
      <c r="S2179" s="5">
        <f t="shared" si="8"/>
        <v>1</v>
      </c>
    </row>
    <row r="2180">
      <c r="A2180" s="2" t="s">
        <v>2190</v>
      </c>
      <c r="B2180" s="2">
        <v>204.0</v>
      </c>
      <c r="C2180" s="2">
        <v>2375.0</v>
      </c>
      <c r="D2180" s="2">
        <v>802.0</v>
      </c>
      <c r="E2180" s="3">
        <f t="shared" si="1"/>
        <v>0.3694150161</v>
      </c>
      <c r="F2180" s="2">
        <v>301.0</v>
      </c>
      <c r="G2180" s="3">
        <f t="shared" si="2"/>
        <v>0.1386457854</v>
      </c>
      <c r="H2180" s="2">
        <v>445.0</v>
      </c>
      <c r="I2180" s="3">
        <f t="shared" si="3"/>
        <v>0.2049746661</v>
      </c>
      <c r="J2180" s="2">
        <v>303.0</v>
      </c>
      <c r="K2180" s="3">
        <f t="shared" si="4"/>
        <v>0.1395670198</v>
      </c>
      <c r="L2180" s="2">
        <v>278.0</v>
      </c>
      <c r="M2180" s="3">
        <f t="shared" si="5"/>
        <v>0.6247191011</v>
      </c>
      <c r="N2180" s="2">
        <v>2577700.0</v>
      </c>
      <c r="O2180" s="4">
        <f t="shared" si="6"/>
        <v>5792.58427</v>
      </c>
      <c r="P2180" s="2">
        <v>0.0</v>
      </c>
      <c r="Q2180" s="3">
        <f t="shared" si="7"/>
        <v>0</v>
      </c>
      <c r="R2180" s="2">
        <v>0.0</v>
      </c>
      <c r="S2180" s="5">
        <f t="shared" si="8"/>
        <v>0</v>
      </c>
    </row>
    <row r="2181">
      <c r="A2181" s="2" t="s">
        <v>2191</v>
      </c>
      <c r="B2181" s="2">
        <v>196.0</v>
      </c>
      <c r="C2181" s="2">
        <v>2295.0</v>
      </c>
      <c r="D2181" s="2">
        <v>728.0</v>
      </c>
      <c r="E2181" s="3">
        <f t="shared" si="1"/>
        <v>0.3468318247</v>
      </c>
      <c r="F2181" s="2">
        <v>291.0</v>
      </c>
      <c r="G2181" s="3">
        <f t="shared" si="2"/>
        <v>0.1386374464</v>
      </c>
      <c r="H2181" s="2">
        <v>472.0</v>
      </c>
      <c r="I2181" s="3">
        <f t="shared" si="3"/>
        <v>0.2248689852</v>
      </c>
      <c r="J2181" s="2">
        <v>292.0</v>
      </c>
      <c r="K2181" s="3">
        <f t="shared" si="4"/>
        <v>0.1391138637</v>
      </c>
      <c r="L2181" s="2">
        <v>264.0</v>
      </c>
      <c r="M2181" s="3">
        <f t="shared" si="5"/>
        <v>0.5593220339</v>
      </c>
      <c r="N2181" s="2">
        <v>2734600.0</v>
      </c>
      <c r="O2181" s="4">
        <f t="shared" si="6"/>
        <v>5793.644068</v>
      </c>
      <c r="P2181" s="2">
        <v>0.0</v>
      </c>
      <c r="Q2181" s="3">
        <f t="shared" si="7"/>
        <v>0</v>
      </c>
      <c r="R2181" s="2">
        <v>5.0</v>
      </c>
      <c r="S2181" s="5">
        <f t="shared" si="8"/>
        <v>0.02551020408</v>
      </c>
    </row>
    <row r="2182">
      <c r="A2182" s="2" t="s">
        <v>2192</v>
      </c>
      <c r="B2182" s="2">
        <v>53.0</v>
      </c>
      <c r="C2182" s="2">
        <v>594.0</v>
      </c>
      <c r="D2182" s="2">
        <v>199.0</v>
      </c>
      <c r="E2182" s="3">
        <f t="shared" si="1"/>
        <v>0.3678373383</v>
      </c>
      <c r="F2182" s="2">
        <v>75.0</v>
      </c>
      <c r="G2182" s="3">
        <f t="shared" si="2"/>
        <v>0.1386321627</v>
      </c>
      <c r="H2182" s="2">
        <v>127.0</v>
      </c>
      <c r="I2182" s="3">
        <f t="shared" si="3"/>
        <v>0.2347504621</v>
      </c>
      <c r="J2182" s="2">
        <v>80.0</v>
      </c>
      <c r="K2182" s="3">
        <f t="shared" si="4"/>
        <v>0.1478743068</v>
      </c>
      <c r="L2182" s="2">
        <v>75.0</v>
      </c>
      <c r="M2182" s="3">
        <f t="shared" si="5"/>
        <v>0.5905511811</v>
      </c>
      <c r="N2182" s="2">
        <v>673400.0</v>
      </c>
      <c r="O2182" s="4">
        <f t="shared" si="6"/>
        <v>5302.362205</v>
      </c>
      <c r="P2182" s="2">
        <v>0.0</v>
      </c>
      <c r="Q2182" s="3">
        <f t="shared" si="7"/>
        <v>0</v>
      </c>
      <c r="R2182" s="2">
        <v>53.0</v>
      </c>
      <c r="S2182" s="5">
        <f t="shared" si="8"/>
        <v>1</v>
      </c>
    </row>
    <row r="2183">
      <c r="A2183" s="2" t="s">
        <v>2193</v>
      </c>
      <c r="B2183" s="2">
        <v>137.0</v>
      </c>
      <c r="C2183" s="2">
        <v>1623.0</v>
      </c>
      <c r="D2183" s="2">
        <v>524.0</v>
      </c>
      <c r="E2183" s="3">
        <f t="shared" si="1"/>
        <v>0.3526244953</v>
      </c>
      <c r="F2183" s="2">
        <v>206.0</v>
      </c>
      <c r="G2183" s="3">
        <f t="shared" si="2"/>
        <v>0.1386271871</v>
      </c>
      <c r="H2183" s="2">
        <v>308.0</v>
      </c>
      <c r="I2183" s="3">
        <f t="shared" si="3"/>
        <v>0.2072678331</v>
      </c>
      <c r="J2183" s="2">
        <v>269.0</v>
      </c>
      <c r="K2183" s="3">
        <f t="shared" si="4"/>
        <v>0.1810228802</v>
      </c>
      <c r="L2183" s="2">
        <v>164.0</v>
      </c>
      <c r="M2183" s="3">
        <f t="shared" si="5"/>
        <v>0.5324675325</v>
      </c>
      <c r="N2183" s="2">
        <v>1790100.0</v>
      </c>
      <c r="O2183" s="4">
        <f t="shared" si="6"/>
        <v>5812.012987</v>
      </c>
      <c r="P2183" s="2">
        <v>0.0</v>
      </c>
      <c r="Q2183" s="3">
        <f t="shared" si="7"/>
        <v>0</v>
      </c>
      <c r="R2183" s="2">
        <v>137.0</v>
      </c>
      <c r="S2183" s="5">
        <f t="shared" si="8"/>
        <v>1</v>
      </c>
    </row>
    <row r="2184">
      <c r="A2184" s="2" t="s">
        <v>2194</v>
      </c>
      <c r="B2184" s="2">
        <v>175.0</v>
      </c>
      <c r="C2184" s="2">
        <v>2029.0</v>
      </c>
      <c r="D2184" s="2">
        <v>461.0</v>
      </c>
      <c r="E2184" s="3">
        <f t="shared" si="1"/>
        <v>0.2486515642</v>
      </c>
      <c r="F2184" s="2">
        <v>257.0</v>
      </c>
      <c r="G2184" s="3">
        <f t="shared" si="2"/>
        <v>0.1386192017</v>
      </c>
      <c r="H2184" s="2">
        <v>360.0</v>
      </c>
      <c r="I2184" s="3">
        <f t="shared" si="3"/>
        <v>0.1941747573</v>
      </c>
      <c r="J2184" s="2">
        <v>386.0</v>
      </c>
      <c r="K2184" s="3">
        <f t="shared" si="4"/>
        <v>0.2081984898</v>
      </c>
      <c r="L2184" s="2">
        <v>207.0</v>
      </c>
      <c r="M2184" s="3">
        <f t="shared" si="5"/>
        <v>0.575</v>
      </c>
      <c r="N2184" s="2">
        <v>2223800.0</v>
      </c>
      <c r="O2184" s="4">
        <f t="shared" si="6"/>
        <v>6177.222222</v>
      </c>
      <c r="P2184" s="2">
        <v>0.0</v>
      </c>
      <c r="Q2184" s="3">
        <f t="shared" si="7"/>
        <v>0</v>
      </c>
      <c r="R2184" s="2">
        <v>175.0</v>
      </c>
      <c r="S2184" s="5">
        <f t="shared" si="8"/>
        <v>1</v>
      </c>
    </row>
    <row r="2185">
      <c r="A2185" s="2" t="s">
        <v>2195</v>
      </c>
      <c r="B2185" s="2">
        <v>102.0</v>
      </c>
      <c r="C2185" s="2">
        <v>1213.0</v>
      </c>
      <c r="D2185" s="2">
        <v>417.0</v>
      </c>
      <c r="E2185" s="3">
        <f t="shared" si="1"/>
        <v>0.3753375338</v>
      </c>
      <c r="F2185" s="2">
        <v>154.0</v>
      </c>
      <c r="G2185" s="3">
        <f t="shared" si="2"/>
        <v>0.1386138614</v>
      </c>
      <c r="H2185" s="2">
        <v>216.0</v>
      </c>
      <c r="I2185" s="3">
        <f t="shared" si="3"/>
        <v>0.1944194419</v>
      </c>
      <c r="J2185" s="2">
        <v>165.0</v>
      </c>
      <c r="K2185" s="3">
        <f t="shared" si="4"/>
        <v>0.1485148515</v>
      </c>
      <c r="L2185" s="2">
        <v>143.0</v>
      </c>
      <c r="M2185" s="3">
        <f t="shared" si="5"/>
        <v>0.662037037</v>
      </c>
      <c r="N2185" s="2">
        <v>1139800.0</v>
      </c>
      <c r="O2185" s="4">
        <f t="shared" si="6"/>
        <v>5276.851852</v>
      </c>
      <c r="P2185" s="2">
        <v>0.0</v>
      </c>
      <c r="Q2185" s="3">
        <f t="shared" si="7"/>
        <v>0</v>
      </c>
      <c r="R2185" s="2">
        <v>0.0</v>
      </c>
      <c r="S2185" s="5">
        <f t="shared" si="8"/>
        <v>0</v>
      </c>
    </row>
    <row r="2186">
      <c r="A2186" s="2" t="s">
        <v>2196</v>
      </c>
      <c r="B2186" s="2">
        <v>572.0</v>
      </c>
      <c r="C2186" s="2">
        <v>6618.0</v>
      </c>
      <c r="D2186" s="2">
        <v>1622.0</v>
      </c>
      <c r="E2186" s="3">
        <f t="shared" si="1"/>
        <v>0.2682765465</v>
      </c>
      <c r="F2186" s="2">
        <v>838.0</v>
      </c>
      <c r="G2186" s="3">
        <f t="shared" si="2"/>
        <v>0.1386040357</v>
      </c>
      <c r="H2186" s="2">
        <v>1165.0</v>
      </c>
      <c r="I2186" s="3">
        <f t="shared" si="3"/>
        <v>0.1926893814</v>
      </c>
      <c r="J2186" s="2">
        <v>1149.0</v>
      </c>
      <c r="K2186" s="3">
        <f t="shared" si="4"/>
        <v>0.1900430036</v>
      </c>
      <c r="L2186" s="2">
        <v>685.0</v>
      </c>
      <c r="M2186" s="3">
        <f t="shared" si="5"/>
        <v>0.5879828326</v>
      </c>
      <c r="N2186" s="2">
        <v>7691700.0</v>
      </c>
      <c r="O2186" s="4">
        <f t="shared" si="6"/>
        <v>6602.317597</v>
      </c>
      <c r="P2186" s="2">
        <v>1.0</v>
      </c>
      <c r="Q2186" s="3">
        <f t="shared" si="7"/>
        <v>0.001748251748</v>
      </c>
      <c r="R2186" s="2">
        <v>572.0</v>
      </c>
      <c r="S2186" s="5">
        <f t="shared" si="8"/>
        <v>1</v>
      </c>
    </row>
    <row r="2187">
      <c r="A2187" s="2" t="s">
        <v>2197</v>
      </c>
      <c r="B2187" s="2">
        <v>3709.0</v>
      </c>
      <c r="C2187" s="2">
        <v>43227.0</v>
      </c>
      <c r="D2187" s="2">
        <v>13867.0</v>
      </c>
      <c r="E2187" s="3">
        <f t="shared" si="1"/>
        <v>0.3509033858</v>
      </c>
      <c r="F2187" s="2">
        <v>5477.0</v>
      </c>
      <c r="G2187" s="3">
        <f t="shared" si="2"/>
        <v>0.1385950706</v>
      </c>
      <c r="H2187" s="2">
        <v>8773.0</v>
      </c>
      <c r="I2187" s="3">
        <f t="shared" si="3"/>
        <v>0.2220001012</v>
      </c>
      <c r="J2187" s="2">
        <v>8316.0</v>
      </c>
      <c r="K2187" s="3">
        <f t="shared" si="4"/>
        <v>0.2104357508</v>
      </c>
      <c r="L2187" s="2">
        <v>5159.0</v>
      </c>
      <c r="M2187" s="3">
        <f t="shared" si="5"/>
        <v>0.5880542574</v>
      </c>
      <c r="N2187" s="2">
        <v>5.07342E7</v>
      </c>
      <c r="O2187" s="4">
        <f t="shared" si="6"/>
        <v>5782.993275</v>
      </c>
      <c r="P2187" s="2">
        <v>7.0</v>
      </c>
      <c r="Q2187" s="3">
        <f t="shared" si="7"/>
        <v>0.001887301159</v>
      </c>
      <c r="R2187" s="2">
        <v>1.0</v>
      </c>
      <c r="S2187" s="5">
        <f t="shared" si="8"/>
        <v>0.0002696144513</v>
      </c>
    </row>
    <row r="2188">
      <c r="A2188" s="2" t="s">
        <v>2198</v>
      </c>
      <c r="B2188" s="2">
        <v>428.0</v>
      </c>
      <c r="C2188" s="2">
        <v>4909.0</v>
      </c>
      <c r="D2188" s="2">
        <v>1723.0</v>
      </c>
      <c r="E2188" s="3">
        <f t="shared" si="1"/>
        <v>0.3845123856</v>
      </c>
      <c r="F2188" s="2">
        <v>621.0</v>
      </c>
      <c r="G2188" s="3">
        <f t="shared" si="2"/>
        <v>0.1385851372</v>
      </c>
      <c r="H2188" s="2">
        <v>978.0</v>
      </c>
      <c r="I2188" s="3">
        <f t="shared" si="3"/>
        <v>0.2182548538</v>
      </c>
      <c r="J2188" s="2">
        <v>820.0</v>
      </c>
      <c r="K2188" s="3">
        <f t="shared" si="4"/>
        <v>0.1829948672</v>
      </c>
      <c r="L2188" s="2">
        <v>594.0</v>
      </c>
      <c r="M2188" s="3">
        <f t="shared" si="5"/>
        <v>0.6073619632</v>
      </c>
      <c r="N2188" s="2">
        <v>5561400.0</v>
      </c>
      <c r="O2188" s="4">
        <f t="shared" si="6"/>
        <v>5686.503067</v>
      </c>
      <c r="P2188" s="2">
        <v>1.0</v>
      </c>
      <c r="Q2188" s="3">
        <f t="shared" si="7"/>
        <v>0.002336448598</v>
      </c>
      <c r="R2188" s="2">
        <v>428.0</v>
      </c>
      <c r="S2188" s="5">
        <f t="shared" si="8"/>
        <v>1</v>
      </c>
    </row>
    <row r="2189">
      <c r="A2189" s="2" t="s">
        <v>2199</v>
      </c>
      <c r="B2189" s="2">
        <v>3889.0</v>
      </c>
      <c r="C2189" s="2">
        <v>44805.0</v>
      </c>
      <c r="D2189" s="2">
        <v>12860.0</v>
      </c>
      <c r="E2189" s="3">
        <f t="shared" si="1"/>
        <v>0.3143024734</v>
      </c>
      <c r="F2189" s="2">
        <v>5670.0</v>
      </c>
      <c r="G2189" s="3">
        <f t="shared" si="2"/>
        <v>0.138576596</v>
      </c>
      <c r="H2189" s="2">
        <v>8808.0</v>
      </c>
      <c r="I2189" s="3">
        <f t="shared" si="3"/>
        <v>0.2152703099</v>
      </c>
      <c r="J2189" s="2">
        <v>6731.0</v>
      </c>
      <c r="K2189" s="3">
        <f t="shared" si="4"/>
        <v>0.164507772</v>
      </c>
      <c r="L2189" s="2">
        <v>5382.0</v>
      </c>
      <c r="M2189" s="3">
        <f t="shared" si="5"/>
        <v>0.6110354223</v>
      </c>
      <c r="N2189" s="2">
        <v>5.29926E7</v>
      </c>
      <c r="O2189" s="4">
        <f t="shared" si="6"/>
        <v>6016.416894</v>
      </c>
      <c r="P2189" s="2">
        <v>8.0</v>
      </c>
      <c r="Q2189" s="3">
        <f t="shared" si="7"/>
        <v>0.002057084083</v>
      </c>
      <c r="R2189" s="2">
        <v>3889.0</v>
      </c>
      <c r="S2189" s="5">
        <f t="shared" si="8"/>
        <v>1</v>
      </c>
    </row>
    <row r="2190">
      <c r="A2190" s="2" t="s">
        <v>2200</v>
      </c>
      <c r="B2190" s="2">
        <v>242.0</v>
      </c>
      <c r="C2190" s="2">
        <v>2775.0</v>
      </c>
      <c r="D2190" s="2">
        <v>1014.0</v>
      </c>
      <c r="E2190" s="3">
        <f t="shared" si="1"/>
        <v>0.400315831</v>
      </c>
      <c r="F2190" s="2">
        <v>351.0</v>
      </c>
      <c r="G2190" s="3">
        <f t="shared" si="2"/>
        <v>0.1385708646</v>
      </c>
      <c r="H2190" s="2">
        <v>514.0</v>
      </c>
      <c r="I2190" s="3">
        <f t="shared" si="3"/>
        <v>0.202921437</v>
      </c>
      <c r="J2190" s="2">
        <v>470.0</v>
      </c>
      <c r="K2190" s="3">
        <f t="shared" si="4"/>
        <v>0.1855507304</v>
      </c>
      <c r="L2190" s="2">
        <v>289.0</v>
      </c>
      <c r="M2190" s="3">
        <f t="shared" si="5"/>
        <v>0.5622568093</v>
      </c>
      <c r="N2190" s="2">
        <v>2863500.0</v>
      </c>
      <c r="O2190" s="4">
        <f t="shared" si="6"/>
        <v>5571.011673</v>
      </c>
      <c r="P2190" s="2">
        <v>1.0</v>
      </c>
      <c r="Q2190" s="3">
        <f t="shared" si="7"/>
        <v>0.004132231405</v>
      </c>
      <c r="R2190" s="2">
        <v>242.0</v>
      </c>
      <c r="S2190" s="5">
        <f t="shared" si="8"/>
        <v>1</v>
      </c>
    </row>
    <row r="2191">
      <c r="A2191" s="2" t="s">
        <v>2201</v>
      </c>
      <c r="B2191" s="2">
        <v>1425.0</v>
      </c>
      <c r="C2191" s="2">
        <v>16883.0</v>
      </c>
      <c r="D2191" s="2">
        <v>6346.0</v>
      </c>
      <c r="E2191" s="3">
        <f t="shared" si="1"/>
        <v>0.4105317635</v>
      </c>
      <c r="F2191" s="2">
        <v>2142.0</v>
      </c>
      <c r="G2191" s="3">
        <f t="shared" si="2"/>
        <v>0.1385690257</v>
      </c>
      <c r="H2191" s="2">
        <v>3447.0</v>
      </c>
      <c r="I2191" s="3">
        <f t="shared" si="3"/>
        <v>0.2229913313</v>
      </c>
      <c r="J2191" s="2">
        <v>2701.0</v>
      </c>
      <c r="K2191" s="3">
        <f t="shared" si="4"/>
        <v>0.1747315306</v>
      </c>
      <c r="L2191" s="2">
        <v>2063.0</v>
      </c>
      <c r="M2191" s="3">
        <f t="shared" si="5"/>
        <v>0.5984914418</v>
      </c>
      <c r="N2191" s="2">
        <v>1.86118E7</v>
      </c>
      <c r="O2191" s="4">
        <f t="shared" si="6"/>
        <v>5399.419785</v>
      </c>
      <c r="P2191" s="2">
        <v>6.0</v>
      </c>
      <c r="Q2191" s="3">
        <f t="shared" si="7"/>
        <v>0.004210526316</v>
      </c>
      <c r="R2191" s="2">
        <v>3.0</v>
      </c>
      <c r="S2191" s="5">
        <f t="shared" si="8"/>
        <v>0.002105263158</v>
      </c>
    </row>
    <row r="2192">
      <c r="A2192" s="2" t="s">
        <v>2202</v>
      </c>
      <c r="B2192" s="2">
        <v>175.0</v>
      </c>
      <c r="C2192" s="2">
        <v>2037.0</v>
      </c>
      <c r="D2192" s="2">
        <v>763.0</v>
      </c>
      <c r="E2192" s="3">
        <f t="shared" si="1"/>
        <v>0.4097744361</v>
      </c>
      <c r="F2192" s="2">
        <v>258.0</v>
      </c>
      <c r="G2192" s="3">
        <f t="shared" si="2"/>
        <v>0.1385606874</v>
      </c>
      <c r="H2192" s="2">
        <v>397.0</v>
      </c>
      <c r="I2192" s="3">
        <f t="shared" si="3"/>
        <v>0.2132116004</v>
      </c>
      <c r="J2192" s="2">
        <v>356.0</v>
      </c>
      <c r="K2192" s="3">
        <f t="shared" si="4"/>
        <v>0.1911922664</v>
      </c>
      <c r="L2192" s="2">
        <v>232.0</v>
      </c>
      <c r="M2192" s="3">
        <f t="shared" si="5"/>
        <v>0.5843828715</v>
      </c>
      <c r="N2192" s="2">
        <v>2017900.0</v>
      </c>
      <c r="O2192" s="4">
        <f t="shared" si="6"/>
        <v>5082.871537</v>
      </c>
      <c r="P2192" s="2">
        <v>0.0</v>
      </c>
      <c r="Q2192" s="3">
        <f t="shared" si="7"/>
        <v>0</v>
      </c>
      <c r="R2192" s="2">
        <v>175.0</v>
      </c>
      <c r="S2192" s="5">
        <f t="shared" si="8"/>
        <v>1</v>
      </c>
    </row>
    <row r="2193">
      <c r="A2193" s="2" t="s">
        <v>2203</v>
      </c>
      <c r="B2193" s="2">
        <v>194.0</v>
      </c>
      <c r="C2193" s="2">
        <v>2222.0</v>
      </c>
      <c r="D2193" s="2">
        <v>718.0</v>
      </c>
      <c r="E2193" s="3">
        <f t="shared" si="1"/>
        <v>0.3540433925</v>
      </c>
      <c r="F2193" s="2">
        <v>281.0</v>
      </c>
      <c r="G2193" s="3">
        <f t="shared" si="2"/>
        <v>0.1385601578</v>
      </c>
      <c r="H2193" s="2">
        <v>410.0</v>
      </c>
      <c r="I2193" s="3">
        <f t="shared" si="3"/>
        <v>0.2021696252</v>
      </c>
      <c r="J2193" s="2">
        <v>326.0</v>
      </c>
      <c r="K2193" s="3">
        <f t="shared" si="4"/>
        <v>0.1607495069</v>
      </c>
      <c r="L2193" s="2">
        <v>244.0</v>
      </c>
      <c r="M2193" s="3">
        <f t="shared" si="5"/>
        <v>0.5951219512</v>
      </c>
      <c r="N2193" s="2">
        <v>2276600.0</v>
      </c>
      <c r="O2193" s="4">
        <f t="shared" si="6"/>
        <v>5552.682927</v>
      </c>
      <c r="P2193" s="2">
        <v>1.0</v>
      </c>
      <c r="Q2193" s="3">
        <f t="shared" si="7"/>
        <v>0.005154639175</v>
      </c>
      <c r="R2193" s="2">
        <v>2.0</v>
      </c>
      <c r="S2193" s="5">
        <f t="shared" si="8"/>
        <v>0.01030927835</v>
      </c>
    </row>
    <row r="2194">
      <c r="A2194" s="2" t="s">
        <v>2204</v>
      </c>
      <c r="B2194" s="2">
        <v>617.0</v>
      </c>
      <c r="C2194" s="2">
        <v>7293.0</v>
      </c>
      <c r="D2194" s="2">
        <v>2091.0</v>
      </c>
      <c r="E2194" s="3">
        <f t="shared" si="1"/>
        <v>0.3132115039</v>
      </c>
      <c r="F2194" s="2">
        <v>925.0</v>
      </c>
      <c r="G2194" s="3">
        <f t="shared" si="2"/>
        <v>0.1385560216</v>
      </c>
      <c r="H2194" s="2">
        <v>1356.0</v>
      </c>
      <c r="I2194" s="3">
        <f t="shared" si="3"/>
        <v>0.2031156381</v>
      </c>
      <c r="J2194" s="2">
        <v>1072.0</v>
      </c>
      <c r="K2194" s="3">
        <f t="shared" si="4"/>
        <v>0.1605751947</v>
      </c>
      <c r="L2194" s="2">
        <v>803.0</v>
      </c>
      <c r="M2194" s="3">
        <f t="shared" si="5"/>
        <v>0.5921828909</v>
      </c>
      <c r="N2194" s="2">
        <v>8082600.0</v>
      </c>
      <c r="O2194" s="4">
        <f t="shared" si="6"/>
        <v>5960.619469</v>
      </c>
      <c r="P2194" s="2">
        <v>2.0</v>
      </c>
      <c r="Q2194" s="3">
        <f t="shared" si="7"/>
        <v>0.003241491086</v>
      </c>
      <c r="R2194" s="2">
        <v>617.0</v>
      </c>
      <c r="S2194" s="5">
        <f t="shared" si="8"/>
        <v>1</v>
      </c>
    </row>
    <row r="2195">
      <c r="A2195" s="2" t="s">
        <v>2205</v>
      </c>
      <c r="B2195" s="2">
        <v>5293.0</v>
      </c>
      <c r="C2195" s="2">
        <v>62151.0</v>
      </c>
      <c r="D2195" s="2">
        <v>19338.0</v>
      </c>
      <c r="E2195" s="3">
        <f t="shared" si="1"/>
        <v>0.3401104506</v>
      </c>
      <c r="F2195" s="2">
        <v>7878.0</v>
      </c>
      <c r="G2195" s="3">
        <f t="shared" si="2"/>
        <v>0.1385557002</v>
      </c>
      <c r="H2195" s="2">
        <v>12203.0</v>
      </c>
      <c r="I2195" s="3">
        <f t="shared" si="3"/>
        <v>0.2146223926</v>
      </c>
      <c r="J2195" s="2">
        <v>8259.0</v>
      </c>
      <c r="K2195" s="3">
        <f t="shared" si="4"/>
        <v>0.1452566042</v>
      </c>
      <c r="L2195" s="2">
        <v>7370.0</v>
      </c>
      <c r="M2195" s="3">
        <f t="shared" si="5"/>
        <v>0.6039498484</v>
      </c>
      <c r="N2195" s="2">
        <v>7.00401E7</v>
      </c>
      <c r="O2195" s="4">
        <f t="shared" si="6"/>
        <v>5739.580431</v>
      </c>
      <c r="P2195" s="2">
        <v>16.0</v>
      </c>
      <c r="Q2195" s="3">
        <f t="shared" si="7"/>
        <v>0.003022860382</v>
      </c>
      <c r="R2195" s="2">
        <v>5293.0</v>
      </c>
      <c r="S2195" s="5">
        <f t="shared" si="8"/>
        <v>1</v>
      </c>
    </row>
    <row r="2196">
      <c r="A2196" s="2" t="s">
        <v>2206</v>
      </c>
      <c r="B2196" s="2">
        <v>42.0</v>
      </c>
      <c r="C2196" s="2">
        <v>504.0</v>
      </c>
      <c r="D2196" s="2">
        <v>157.0</v>
      </c>
      <c r="E2196" s="3">
        <f t="shared" si="1"/>
        <v>0.3398268398</v>
      </c>
      <c r="F2196" s="2">
        <v>64.0</v>
      </c>
      <c r="G2196" s="3">
        <f t="shared" si="2"/>
        <v>0.1385281385</v>
      </c>
      <c r="H2196" s="2">
        <v>86.0</v>
      </c>
      <c r="I2196" s="3">
        <f t="shared" si="3"/>
        <v>0.1861471861</v>
      </c>
      <c r="J2196" s="2">
        <v>90.0</v>
      </c>
      <c r="K2196" s="3">
        <f t="shared" si="4"/>
        <v>0.1948051948</v>
      </c>
      <c r="L2196" s="2">
        <v>43.0</v>
      </c>
      <c r="M2196" s="3">
        <f t="shared" si="5"/>
        <v>0.5</v>
      </c>
      <c r="N2196" s="2">
        <v>553400.0</v>
      </c>
      <c r="O2196" s="4">
        <f t="shared" si="6"/>
        <v>6434.883721</v>
      </c>
      <c r="P2196" s="2">
        <v>0.0</v>
      </c>
      <c r="Q2196" s="3">
        <f t="shared" si="7"/>
        <v>0</v>
      </c>
      <c r="R2196" s="2">
        <v>42.0</v>
      </c>
      <c r="S2196" s="5">
        <f t="shared" si="8"/>
        <v>1</v>
      </c>
    </row>
    <row r="2197">
      <c r="A2197" s="2" t="s">
        <v>2207</v>
      </c>
      <c r="B2197" s="2">
        <v>154.0</v>
      </c>
      <c r="C2197" s="2">
        <v>1800.0</v>
      </c>
      <c r="D2197" s="2">
        <v>472.0</v>
      </c>
      <c r="E2197" s="3">
        <f t="shared" si="1"/>
        <v>0.2867557716</v>
      </c>
      <c r="F2197" s="2">
        <v>228.0</v>
      </c>
      <c r="G2197" s="3">
        <f t="shared" si="2"/>
        <v>0.1385176185</v>
      </c>
      <c r="H2197" s="2">
        <v>330.0</v>
      </c>
      <c r="I2197" s="3">
        <f t="shared" si="3"/>
        <v>0.2004860267</v>
      </c>
      <c r="J2197" s="2">
        <v>333.0</v>
      </c>
      <c r="K2197" s="3">
        <f t="shared" si="4"/>
        <v>0.202308627</v>
      </c>
      <c r="L2197" s="2">
        <v>194.0</v>
      </c>
      <c r="M2197" s="3">
        <f t="shared" si="5"/>
        <v>0.5878787879</v>
      </c>
      <c r="N2197" s="2">
        <v>1988800.0</v>
      </c>
      <c r="O2197" s="4">
        <f t="shared" si="6"/>
        <v>6026.666667</v>
      </c>
      <c r="P2197" s="2">
        <v>0.0</v>
      </c>
      <c r="Q2197" s="3">
        <f t="shared" si="7"/>
        <v>0</v>
      </c>
      <c r="R2197" s="2">
        <v>154.0</v>
      </c>
      <c r="S2197" s="5">
        <f t="shared" si="8"/>
        <v>1</v>
      </c>
    </row>
    <row r="2198">
      <c r="A2198" s="2" t="s">
        <v>2208</v>
      </c>
      <c r="B2198" s="2">
        <v>2666.0</v>
      </c>
      <c r="C2198" s="2">
        <v>30853.0</v>
      </c>
      <c r="D2198" s="2">
        <v>11887.0</v>
      </c>
      <c r="E2198" s="3">
        <f t="shared" si="1"/>
        <v>0.4217192323</v>
      </c>
      <c r="F2198" s="2">
        <v>3904.0</v>
      </c>
      <c r="G2198" s="3">
        <f t="shared" si="2"/>
        <v>0.1385035655</v>
      </c>
      <c r="H2198" s="2">
        <v>6192.0</v>
      </c>
      <c r="I2198" s="3">
        <f t="shared" si="3"/>
        <v>0.219675737</v>
      </c>
      <c r="J2198" s="2">
        <v>5578.0</v>
      </c>
      <c r="K2198" s="3">
        <f t="shared" si="4"/>
        <v>0.1978926455</v>
      </c>
      <c r="L2198" s="2">
        <v>3696.0</v>
      </c>
      <c r="M2198" s="3">
        <f t="shared" si="5"/>
        <v>0.5968992248</v>
      </c>
      <c r="N2198" s="2">
        <v>3.62319E7</v>
      </c>
      <c r="O2198" s="4">
        <f t="shared" si="6"/>
        <v>5851.405039</v>
      </c>
      <c r="P2198" s="2">
        <v>8.0</v>
      </c>
      <c r="Q2198" s="3">
        <f t="shared" si="7"/>
        <v>0.003000750188</v>
      </c>
      <c r="R2198" s="2">
        <v>2649.0</v>
      </c>
      <c r="S2198" s="5">
        <f t="shared" si="8"/>
        <v>0.9936234059</v>
      </c>
    </row>
    <row r="2199">
      <c r="A2199" s="2" t="s">
        <v>2209</v>
      </c>
      <c r="B2199" s="2">
        <v>12.0</v>
      </c>
      <c r="C2199" s="2">
        <v>142.0</v>
      </c>
      <c r="D2199" s="2">
        <v>49.0</v>
      </c>
      <c r="E2199" s="3">
        <f t="shared" si="1"/>
        <v>0.3769230769</v>
      </c>
      <c r="F2199" s="2">
        <v>18.0</v>
      </c>
      <c r="G2199" s="3">
        <f t="shared" si="2"/>
        <v>0.1384615385</v>
      </c>
      <c r="H2199" s="2">
        <v>25.0</v>
      </c>
      <c r="I2199" s="3">
        <f t="shared" si="3"/>
        <v>0.1923076923</v>
      </c>
      <c r="J2199" s="2">
        <v>26.0</v>
      </c>
      <c r="K2199" s="3">
        <f t="shared" si="4"/>
        <v>0.2</v>
      </c>
      <c r="L2199" s="2">
        <v>14.0</v>
      </c>
      <c r="M2199" s="3">
        <f t="shared" si="5"/>
        <v>0.56</v>
      </c>
      <c r="N2199" s="2">
        <v>162900.0</v>
      </c>
      <c r="O2199" s="4">
        <f t="shared" si="6"/>
        <v>6516</v>
      </c>
      <c r="P2199" s="2">
        <v>0.0</v>
      </c>
      <c r="Q2199" s="3">
        <f t="shared" si="7"/>
        <v>0</v>
      </c>
      <c r="R2199" s="2">
        <v>0.0</v>
      </c>
      <c r="S2199" s="5">
        <f t="shared" si="8"/>
        <v>0</v>
      </c>
    </row>
    <row r="2200">
      <c r="A2200" s="2" t="s">
        <v>2210</v>
      </c>
      <c r="B2200" s="2">
        <v>285.0</v>
      </c>
      <c r="C2200" s="2">
        <v>3340.0</v>
      </c>
      <c r="D2200" s="2">
        <v>994.0</v>
      </c>
      <c r="E2200" s="3">
        <f t="shared" si="1"/>
        <v>0.3253682488</v>
      </c>
      <c r="F2200" s="2">
        <v>423.0</v>
      </c>
      <c r="G2200" s="3">
        <f t="shared" si="2"/>
        <v>0.1384615385</v>
      </c>
      <c r="H2200" s="2">
        <v>631.0</v>
      </c>
      <c r="I2200" s="3">
        <f t="shared" si="3"/>
        <v>0.2065466448</v>
      </c>
      <c r="J2200" s="2">
        <v>489.0</v>
      </c>
      <c r="K2200" s="3">
        <f t="shared" si="4"/>
        <v>0.1600654664</v>
      </c>
      <c r="L2200" s="2">
        <v>372.0</v>
      </c>
      <c r="M2200" s="3">
        <f t="shared" si="5"/>
        <v>0.589540412</v>
      </c>
      <c r="N2200" s="2">
        <v>3321500.0</v>
      </c>
      <c r="O2200" s="4">
        <f t="shared" si="6"/>
        <v>5263.866878</v>
      </c>
      <c r="P2200" s="2">
        <v>1.0</v>
      </c>
      <c r="Q2200" s="3">
        <f t="shared" si="7"/>
        <v>0.00350877193</v>
      </c>
      <c r="R2200" s="2">
        <v>285.0</v>
      </c>
      <c r="S2200" s="5">
        <f t="shared" si="8"/>
        <v>1</v>
      </c>
    </row>
    <row r="2201">
      <c r="A2201" s="2" t="s">
        <v>2211</v>
      </c>
      <c r="B2201" s="2">
        <v>728.0</v>
      </c>
      <c r="C2201" s="2">
        <v>8514.0</v>
      </c>
      <c r="D2201" s="2">
        <v>2809.0</v>
      </c>
      <c r="E2201" s="3">
        <f t="shared" si="1"/>
        <v>0.3607757513</v>
      </c>
      <c r="F2201" s="2">
        <v>1078.0</v>
      </c>
      <c r="G2201" s="3">
        <f t="shared" si="2"/>
        <v>0.1384536347</v>
      </c>
      <c r="H2201" s="2">
        <v>1742.0</v>
      </c>
      <c r="I2201" s="3">
        <f t="shared" si="3"/>
        <v>0.2237349088</v>
      </c>
      <c r="J2201" s="2">
        <v>1424.0</v>
      </c>
      <c r="K2201" s="3">
        <f t="shared" si="4"/>
        <v>0.1828923709</v>
      </c>
      <c r="L2201" s="2">
        <v>1005.0</v>
      </c>
      <c r="M2201" s="3">
        <f t="shared" si="5"/>
        <v>0.5769230769</v>
      </c>
      <c r="N2201" s="2">
        <v>9601200.0</v>
      </c>
      <c r="O2201" s="4">
        <f t="shared" si="6"/>
        <v>5511.595867</v>
      </c>
      <c r="P2201" s="2">
        <v>7.0</v>
      </c>
      <c r="Q2201" s="3">
        <f t="shared" si="7"/>
        <v>0.009615384615</v>
      </c>
      <c r="R2201" s="2">
        <v>728.0</v>
      </c>
      <c r="S2201" s="5">
        <f t="shared" si="8"/>
        <v>1</v>
      </c>
    </row>
    <row r="2202">
      <c r="A2202" s="2" t="s">
        <v>2212</v>
      </c>
      <c r="B2202" s="2">
        <v>1288.0</v>
      </c>
      <c r="C2202" s="2">
        <v>15105.0</v>
      </c>
      <c r="D2202" s="2">
        <v>4697.0</v>
      </c>
      <c r="E2202" s="3">
        <f t="shared" si="1"/>
        <v>0.3399435478</v>
      </c>
      <c r="F2202" s="2">
        <v>1913.0</v>
      </c>
      <c r="G2202" s="3">
        <f t="shared" si="2"/>
        <v>0.1384526308</v>
      </c>
      <c r="H2202" s="2">
        <v>2871.0</v>
      </c>
      <c r="I2202" s="3">
        <f t="shared" si="3"/>
        <v>0.2077875081</v>
      </c>
      <c r="J2202" s="2">
        <v>2130.0</v>
      </c>
      <c r="K2202" s="3">
        <f t="shared" si="4"/>
        <v>0.1541579214</v>
      </c>
      <c r="L2202" s="2">
        <v>1745.0</v>
      </c>
      <c r="M2202" s="3">
        <f t="shared" si="5"/>
        <v>0.6078021595</v>
      </c>
      <c r="N2202" s="2">
        <v>1.60086E7</v>
      </c>
      <c r="O2202" s="4">
        <f t="shared" si="6"/>
        <v>5575.966562</v>
      </c>
      <c r="P2202" s="2">
        <v>5.0</v>
      </c>
      <c r="Q2202" s="3">
        <f t="shared" si="7"/>
        <v>0.003881987578</v>
      </c>
      <c r="R2202" s="2">
        <v>1288.0</v>
      </c>
      <c r="S2202" s="5">
        <f t="shared" si="8"/>
        <v>1</v>
      </c>
    </row>
    <row r="2203">
      <c r="A2203" s="2" t="s">
        <v>2213</v>
      </c>
      <c r="B2203" s="2">
        <v>42.0</v>
      </c>
      <c r="C2203" s="2">
        <v>526.0</v>
      </c>
      <c r="D2203" s="2">
        <v>165.0</v>
      </c>
      <c r="E2203" s="3">
        <f t="shared" si="1"/>
        <v>0.3409090909</v>
      </c>
      <c r="F2203" s="2">
        <v>67.0</v>
      </c>
      <c r="G2203" s="3">
        <f t="shared" si="2"/>
        <v>0.1384297521</v>
      </c>
      <c r="H2203" s="2">
        <v>99.0</v>
      </c>
      <c r="I2203" s="3">
        <f t="shared" si="3"/>
        <v>0.2045454545</v>
      </c>
      <c r="J2203" s="2">
        <v>76.0</v>
      </c>
      <c r="K2203" s="3">
        <f t="shared" si="4"/>
        <v>0.1570247934</v>
      </c>
      <c r="L2203" s="2">
        <v>46.0</v>
      </c>
      <c r="M2203" s="3">
        <f t="shared" si="5"/>
        <v>0.4646464646</v>
      </c>
      <c r="N2203" s="2">
        <v>571500.0</v>
      </c>
      <c r="O2203" s="4">
        <f t="shared" si="6"/>
        <v>5772.727273</v>
      </c>
      <c r="P2203" s="2">
        <v>1.0</v>
      </c>
      <c r="Q2203" s="3">
        <f t="shared" si="7"/>
        <v>0.02380952381</v>
      </c>
      <c r="R2203" s="2">
        <v>0.0</v>
      </c>
      <c r="S2203" s="5">
        <f t="shared" si="8"/>
        <v>0</v>
      </c>
    </row>
    <row r="2204">
      <c r="A2204" s="2" t="s">
        <v>2214</v>
      </c>
      <c r="B2204" s="2">
        <v>244.0</v>
      </c>
      <c r="C2204" s="2">
        <v>2982.0</v>
      </c>
      <c r="D2204" s="2">
        <v>989.0</v>
      </c>
      <c r="E2204" s="3">
        <f t="shared" si="1"/>
        <v>0.3612125639</v>
      </c>
      <c r="F2204" s="2">
        <v>379.0</v>
      </c>
      <c r="G2204" s="3">
        <f t="shared" si="2"/>
        <v>0.138422206</v>
      </c>
      <c r="H2204" s="2">
        <v>582.0</v>
      </c>
      <c r="I2204" s="3">
        <f t="shared" si="3"/>
        <v>0.2125639153</v>
      </c>
      <c r="J2204" s="2">
        <v>464.0</v>
      </c>
      <c r="K2204" s="3">
        <f t="shared" si="4"/>
        <v>0.1694667641</v>
      </c>
      <c r="L2204" s="2">
        <v>342.0</v>
      </c>
      <c r="M2204" s="3">
        <f t="shared" si="5"/>
        <v>0.587628866</v>
      </c>
      <c r="N2204" s="2">
        <v>3079300.0</v>
      </c>
      <c r="O2204" s="4">
        <f t="shared" si="6"/>
        <v>5290.893471</v>
      </c>
      <c r="P2204" s="2">
        <v>2.0</v>
      </c>
      <c r="Q2204" s="3">
        <f t="shared" si="7"/>
        <v>0.008196721311</v>
      </c>
      <c r="R2204" s="2">
        <v>244.0</v>
      </c>
      <c r="S2204" s="5">
        <f t="shared" si="8"/>
        <v>1</v>
      </c>
    </row>
    <row r="2205">
      <c r="A2205" s="2" t="s">
        <v>2215</v>
      </c>
      <c r="B2205" s="2">
        <v>169.0</v>
      </c>
      <c r="C2205" s="2">
        <v>2004.0</v>
      </c>
      <c r="D2205" s="2">
        <v>654.0</v>
      </c>
      <c r="E2205" s="3">
        <f t="shared" si="1"/>
        <v>0.3564032698</v>
      </c>
      <c r="F2205" s="2">
        <v>254.0</v>
      </c>
      <c r="G2205" s="3">
        <f t="shared" si="2"/>
        <v>0.1384196185</v>
      </c>
      <c r="H2205" s="2">
        <v>375.0</v>
      </c>
      <c r="I2205" s="3">
        <f t="shared" si="3"/>
        <v>0.204359673</v>
      </c>
      <c r="J2205" s="2">
        <v>298.0</v>
      </c>
      <c r="K2205" s="3">
        <f t="shared" si="4"/>
        <v>0.1623978202</v>
      </c>
      <c r="L2205" s="2">
        <v>219.0</v>
      </c>
      <c r="M2205" s="3">
        <f t="shared" si="5"/>
        <v>0.584</v>
      </c>
      <c r="N2205" s="2">
        <v>2107100.0</v>
      </c>
      <c r="O2205" s="4">
        <f t="shared" si="6"/>
        <v>5618.933333</v>
      </c>
      <c r="P2205" s="2">
        <v>0.0</v>
      </c>
      <c r="Q2205" s="3">
        <f t="shared" si="7"/>
        <v>0</v>
      </c>
      <c r="R2205" s="2">
        <v>169.0</v>
      </c>
      <c r="S2205" s="5">
        <f t="shared" si="8"/>
        <v>1</v>
      </c>
    </row>
    <row r="2206">
      <c r="A2206" s="2" t="s">
        <v>2216</v>
      </c>
      <c r="B2206" s="2">
        <v>154.0</v>
      </c>
      <c r="C2206" s="2">
        <v>1852.0</v>
      </c>
      <c r="D2206" s="2">
        <v>549.0</v>
      </c>
      <c r="E2206" s="3">
        <f t="shared" si="1"/>
        <v>0.3233215548</v>
      </c>
      <c r="F2206" s="2">
        <v>235.0</v>
      </c>
      <c r="G2206" s="3">
        <f t="shared" si="2"/>
        <v>0.1383981154</v>
      </c>
      <c r="H2206" s="2">
        <v>341.0</v>
      </c>
      <c r="I2206" s="3">
        <f t="shared" si="3"/>
        <v>0.2008244994</v>
      </c>
      <c r="J2206" s="2">
        <v>313.0</v>
      </c>
      <c r="K2206" s="3">
        <f t="shared" si="4"/>
        <v>0.1843345112</v>
      </c>
      <c r="L2206" s="2">
        <v>195.0</v>
      </c>
      <c r="M2206" s="3">
        <f t="shared" si="5"/>
        <v>0.5718475073</v>
      </c>
      <c r="N2206" s="2">
        <v>1831500.0</v>
      </c>
      <c r="O2206" s="4">
        <f t="shared" si="6"/>
        <v>5370.967742</v>
      </c>
      <c r="P2206" s="2">
        <v>0.0</v>
      </c>
      <c r="Q2206" s="3">
        <f t="shared" si="7"/>
        <v>0</v>
      </c>
      <c r="R2206" s="2">
        <v>154.0</v>
      </c>
      <c r="S2206" s="5">
        <f t="shared" si="8"/>
        <v>1</v>
      </c>
    </row>
    <row r="2207">
      <c r="A2207" s="2" t="s">
        <v>2217</v>
      </c>
      <c r="B2207" s="2">
        <v>20.0</v>
      </c>
      <c r="C2207" s="2">
        <v>244.0</v>
      </c>
      <c r="D2207" s="2">
        <v>79.0</v>
      </c>
      <c r="E2207" s="3">
        <f t="shared" si="1"/>
        <v>0.3526785714</v>
      </c>
      <c r="F2207" s="2">
        <v>31.0</v>
      </c>
      <c r="G2207" s="3">
        <f t="shared" si="2"/>
        <v>0.1383928571</v>
      </c>
      <c r="H2207" s="2">
        <v>46.0</v>
      </c>
      <c r="I2207" s="3">
        <f t="shared" si="3"/>
        <v>0.2053571429</v>
      </c>
      <c r="J2207" s="2">
        <v>38.0</v>
      </c>
      <c r="K2207" s="3">
        <f t="shared" si="4"/>
        <v>0.1696428571</v>
      </c>
      <c r="L2207" s="2">
        <v>27.0</v>
      </c>
      <c r="M2207" s="3">
        <f t="shared" si="5"/>
        <v>0.5869565217</v>
      </c>
      <c r="N2207" s="2">
        <v>226700.0</v>
      </c>
      <c r="O2207" s="4">
        <f t="shared" si="6"/>
        <v>4928.26087</v>
      </c>
      <c r="P2207" s="2">
        <v>0.0</v>
      </c>
      <c r="Q2207" s="3">
        <f t="shared" si="7"/>
        <v>0</v>
      </c>
      <c r="R2207" s="2">
        <v>20.0</v>
      </c>
      <c r="S2207" s="5">
        <f t="shared" si="8"/>
        <v>1</v>
      </c>
    </row>
    <row r="2208">
      <c r="A2208" s="2" t="s">
        <v>2218</v>
      </c>
      <c r="B2208" s="2">
        <v>367.0</v>
      </c>
      <c r="C2208" s="2">
        <v>4291.0</v>
      </c>
      <c r="D2208" s="2">
        <v>1544.0</v>
      </c>
      <c r="E2208" s="3">
        <f t="shared" si="1"/>
        <v>0.3934760449</v>
      </c>
      <c r="F2208" s="2">
        <v>543.0</v>
      </c>
      <c r="G2208" s="3">
        <f t="shared" si="2"/>
        <v>0.1383792049</v>
      </c>
      <c r="H2208" s="2">
        <v>856.0</v>
      </c>
      <c r="I2208" s="3">
        <f t="shared" si="3"/>
        <v>0.2181447503</v>
      </c>
      <c r="J2208" s="2">
        <v>737.0</v>
      </c>
      <c r="K2208" s="3">
        <f t="shared" si="4"/>
        <v>0.1878185525</v>
      </c>
      <c r="L2208" s="2">
        <v>520.0</v>
      </c>
      <c r="M2208" s="3">
        <f t="shared" si="5"/>
        <v>0.6074766355</v>
      </c>
      <c r="N2208" s="2">
        <v>4972200.0</v>
      </c>
      <c r="O2208" s="4">
        <f t="shared" si="6"/>
        <v>5808.64486</v>
      </c>
      <c r="P2208" s="2">
        <v>1.0</v>
      </c>
      <c r="Q2208" s="3">
        <f t="shared" si="7"/>
        <v>0.00272479564</v>
      </c>
      <c r="R2208" s="2">
        <v>367.0</v>
      </c>
      <c r="S2208" s="5">
        <f t="shared" si="8"/>
        <v>1</v>
      </c>
    </row>
    <row r="2209">
      <c r="A2209" s="2" t="s">
        <v>2219</v>
      </c>
      <c r="B2209" s="2">
        <v>272.0</v>
      </c>
      <c r="C2209" s="2">
        <v>3141.0</v>
      </c>
      <c r="D2209" s="2">
        <v>865.0</v>
      </c>
      <c r="E2209" s="3">
        <f t="shared" si="1"/>
        <v>0.3014987801</v>
      </c>
      <c r="F2209" s="2">
        <v>397.0</v>
      </c>
      <c r="G2209" s="3">
        <f t="shared" si="2"/>
        <v>0.1383757407</v>
      </c>
      <c r="H2209" s="2">
        <v>591.0</v>
      </c>
      <c r="I2209" s="3">
        <f t="shared" si="3"/>
        <v>0.2059951203</v>
      </c>
      <c r="J2209" s="2">
        <v>544.0</v>
      </c>
      <c r="K2209" s="3">
        <f t="shared" si="4"/>
        <v>0.1896131056</v>
      </c>
      <c r="L2209" s="2">
        <v>349.0</v>
      </c>
      <c r="M2209" s="3">
        <f t="shared" si="5"/>
        <v>0.5905245347</v>
      </c>
      <c r="N2209" s="2">
        <v>3507300.0</v>
      </c>
      <c r="O2209" s="4">
        <f t="shared" si="6"/>
        <v>5934.517766</v>
      </c>
      <c r="P2209" s="2">
        <v>1.0</v>
      </c>
      <c r="Q2209" s="3">
        <f t="shared" si="7"/>
        <v>0.003676470588</v>
      </c>
      <c r="R2209" s="2">
        <v>26.0</v>
      </c>
      <c r="S2209" s="5">
        <f t="shared" si="8"/>
        <v>0.09558823529</v>
      </c>
    </row>
    <row r="2210">
      <c r="A2210" s="2" t="s">
        <v>2220</v>
      </c>
      <c r="B2210" s="2">
        <v>78.0</v>
      </c>
      <c r="C2210" s="2">
        <v>938.0</v>
      </c>
      <c r="D2210" s="2">
        <v>281.0</v>
      </c>
      <c r="E2210" s="3">
        <f t="shared" si="1"/>
        <v>0.326744186</v>
      </c>
      <c r="F2210" s="2">
        <v>119.0</v>
      </c>
      <c r="G2210" s="3">
        <f t="shared" si="2"/>
        <v>0.138372093</v>
      </c>
      <c r="H2210" s="2">
        <v>152.0</v>
      </c>
      <c r="I2210" s="3">
        <f t="shared" si="3"/>
        <v>0.176744186</v>
      </c>
      <c r="J2210" s="2">
        <v>151.0</v>
      </c>
      <c r="K2210" s="3">
        <f t="shared" si="4"/>
        <v>0.1755813953</v>
      </c>
      <c r="L2210" s="2">
        <v>84.0</v>
      </c>
      <c r="M2210" s="3">
        <f t="shared" si="5"/>
        <v>0.5526315789</v>
      </c>
      <c r="N2210" s="2">
        <v>932600.0</v>
      </c>
      <c r="O2210" s="4">
        <f t="shared" si="6"/>
        <v>6135.526316</v>
      </c>
      <c r="P2210" s="2">
        <v>1.0</v>
      </c>
      <c r="Q2210" s="3">
        <f t="shared" si="7"/>
        <v>0.01282051282</v>
      </c>
      <c r="R2210" s="2">
        <v>78.0</v>
      </c>
      <c r="S2210" s="5">
        <f t="shared" si="8"/>
        <v>1</v>
      </c>
    </row>
    <row r="2211">
      <c r="A2211" s="2" t="s">
        <v>2221</v>
      </c>
      <c r="B2211" s="2">
        <v>317.0</v>
      </c>
      <c r="C2211" s="2">
        <v>3757.0</v>
      </c>
      <c r="D2211" s="2">
        <v>1308.0</v>
      </c>
      <c r="E2211" s="3">
        <f t="shared" si="1"/>
        <v>0.3802325581</v>
      </c>
      <c r="F2211" s="2">
        <v>476.0</v>
      </c>
      <c r="G2211" s="3">
        <f t="shared" si="2"/>
        <v>0.138372093</v>
      </c>
      <c r="H2211" s="2">
        <v>724.0</v>
      </c>
      <c r="I2211" s="3">
        <f t="shared" si="3"/>
        <v>0.2104651163</v>
      </c>
      <c r="J2211" s="2">
        <v>594.0</v>
      </c>
      <c r="K2211" s="3">
        <f t="shared" si="4"/>
        <v>0.1726744186</v>
      </c>
      <c r="L2211" s="2">
        <v>421.0</v>
      </c>
      <c r="M2211" s="3">
        <f t="shared" si="5"/>
        <v>0.5814917127</v>
      </c>
      <c r="N2211" s="2">
        <v>4047700.0</v>
      </c>
      <c r="O2211" s="4">
        <f t="shared" si="6"/>
        <v>5590.745856</v>
      </c>
      <c r="P2211" s="2">
        <v>1.0</v>
      </c>
      <c r="Q2211" s="3">
        <f t="shared" si="7"/>
        <v>0.003154574132</v>
      </c>
      <c r="R2211" s="2">
        <v>317.0</v>
      </c>
      <c r="S2211" s="5">
        <f t="shared" si="8"/>
        <v>1</v>
      </c>
    </row>
    <row r="2212">
      <c r="A2212" s="2" t="s">
        <v>2222</v>
      </c>
      <c r="B2212" s="2">
        <v>268.0</v>
      </c>
      <c r="C2212" s="2">
        <v>3188.0</v>
      </c>
      <c r="D2212" s="2">
        <v>1111.0</v>
      </c>
      <c r="E2212" s="3">
        <f t="shared" si="1"/>
        <v>0.3804794521</v>
      </c>
      <c r="F2212" s="2">
        <v>404.0</v>
      </c>
      <c r="G2212" s="3">
        <f t="shared" si="2"/>
        <v>0.1383561644</v>
      </c>
      <c r="H2212" s="2">
        <v>626.0</v>
      </c>
      <c r="I2212" s="3">
        <f t="shared" si="3"/>
        <v>0.2143835616</v>
      </c>
      <c r="J2212" s="2">
        <v>499.0</v>
      </c>
      <c r="K2212" s="3">
        <f t="shared" si="4"/>
        <v>0.170890411</v>
      </c>
      <c r="L2212" s="2">
        <v>344.0</v>
      </c>
      <c r="M2212" s="3">
        <f t="shared" si="5"/>
        <v>0.5495207668</v>
      </c>
      <c r="N2212" s="2">
        <v>3675700.0</v>
      </c>
      <c r="O2212" s="4">
        <f t="shared" si="6"/>
        <v>5871.72524</v>
      </c>
      <c r="P2212" s="2">
        <v>0.0</v>
      </c>
      <c r="Q2212" s="3">
        <f t="shared" si="7"/>
        <v>0</v>
      </c>
      <c r="R2212" s="2">
        <v>268.0</v>
      </c>
      <c r="S2212" s="5">
        <f t="shared" si="8"/>
        <v>1</v>
      </c>
    </row>
    <row r="2213">
      <c r="A2213" s="2" t="s">
        <v>2223</v>
      </c>
      <c r="B2213" s="2">
        <v>25.0</v>
      </c>
      <c r="C2213" s="2">
        <v>278.0</v>
      </c>
      <c r="D2213" s="2">
        <v>82.0</v>
      </c>
      <c r="E2213" s="3">
        <f t="shared" si="1"/>
        <v>0.3241106719</v>
      </c>
      <c r="F2213" s="2">
        <v>35.0</v>
      </c>
      <c r="G2213" s="3">
        <f t="shared" si="2"/>
        <v>0.1383399209</v>
      </c>
      <c r="H2213" s="2">
        <v>59.0</v>
      </c>
      <c r="I2213" s="3">
        <f t="shared" si="3"/>
        <v>0.233201581</v>
      </c>
      <c r="J2213" s="2">
        <v>52.0</v>
      </c>
      <c r="K2213" s="3">
        <f t="shared" si="4"/>
        <v>0.2055335968</v>
      </c>
      <c r="L2213" s="2">
        <v>31.0</v>
      </c>
      <c r="M2213" s="3">
        <f t="shared" si="5"/>
        <v>0.5254237288</v>
      </c>
      <c r="N2213" s="2">
        <v>357600.0</v>
      </c>
      <c r="O2213" s="4">
        <f t="shared" si="6"/>
        <v>6061.016949</v>
      </c>
      <c r="P2213" s="2">
        <v>0.0</v>
      </c>
      <c r="Q2213" s="3">
        <f t="shared" si="7"/>
        <v>0</v>
      </c>
      <c r="R2213" s="2">
        <v>0.0</v>
      </c>
      <c r="S2213" s="5">
        <f t="shared" si="8"/>
        <v>0</v>
      </c>
    </row>
    <row r="2214">
      <c r="A2214" s="2" t="s">
        <v>2224</v>
      </c>
      <c r="B2214" s="2">
        <v>392.0</v>
      </c>
      <c r="C2214" s="2">
        <v>4657.0</v>
      </c>
      <c r="D2214" s="2">
        <v>1441.0</v>
      </c>
      <c r="E2214" s="3">
        <f t="shared" si="1"/>
        <v>0.337866354</v>
      </c>
      <c r="F2214" s="2">
        <v>590.0</v>
      </c>
      <c r="G2214" s="3">
        <f t="shared" si="2"/>
        <v>0.1383352872</v>
      </c>
      <c r="H2214" s="2">
        <v>923.0</v>
      </c>
      <c r="I2214" s="3">
        <f t="shared" si="3"/>
        <v>0.2164126612</v>
      </c>
      <c r="J2214" s="2">
        <v>830.0</v>
      </c>
      <c r="K2214" s="3">
        <f t="shared" si="4"/>
        <v>0.1946072685</v>
      </c>
      <c r="L2214" s="2">
        <v>558.0</v>
      </c>
      <c r="M2214" s="3">
        <f t="shared" si="5"/>
        <v>0.6045503792</v>
      </c>
      <c r="N2214" s="2">
        <v>5036000.0</v>
      </c>
      <c r="O2214" s="4">
        <f t="shared" si="6"/>
        <v>5456.121343</v>
      </c>
      <c r="P2214" s="2">
        <v>0.0</v>
      </c>
      <c r="Q2214" s="3">
        <f t="shared" si="7"/>
        <v>0</v>
      </c>
      <c r="R2214" s="2">
        <v>392.0</v>
      </c>
      <c r="S2214" s="5">
        <f t="shared" si="8"/>
        <v>1</v>
      </c>
    </row>
    <row r="2215">
      <c r="A2215" s="2" t="s">
        <v>2225</v>
      </c>
      <c r="B2215" s="2">
        <v>184.0</v>
      </c>
      <c r="C2215" s="2">
        <v>2129.0</v>
      </c>
      <c r="D2215" s="2">
        <v>719.0</v>
      </c>
      <c r="E2215" s="3">
        <f t="shared" si="1"/>
        <v>0.3696658098</v>
      </c>
      <c r="F2215" s="2">
        <v>269.0</v>
      </c>
      <c r="G2215" s="3">
        <f t="shared" si="2"/>
        <v>0.1383033419</v>
      </c>
      <c r="H2215" s="2">
        <v>401.0</v>
      </c>
      <c r="I2215" s="3">
        <f t="shared" si="3"/>
        <v>0.2061696658</v>
      </c>
      <c r="J2215" s="2">
        <v>374.0</v>
      </c>
      <c r="K2215" s="3">
        <f t="shared" si="4"/>
        <v>0.1922879177</v>
      </c>
      <c r="L2215" s="2">
        <v>240.0</v>
      </c>
      <c r="M2215" s="3">
        <f t="shared" si="5"/>
        <v>0.5985037406</v>
      </c>
      <c r="N2215" s="2">
        <v>2271700.0</v>
      </c>
      <c r="O2215" s="4">
        <f t="shared" si="6"/>
        <v>5665.087282</v>
      </c>
      <c r="P2215" s="2">
        <v>0.0</v>
      </c>
      <c r="Q2215" s="3">
        <f t="shared" si="7"/>
        <v>0</v>
      </c>
      <c r="R2215" s="2">
        <v>184.0</v>
      </c>
      <c r="S2215" s="5">
        <f t="shared" si="8"/>
        <v>1</v>
      </c>
    </row>
    <row r="2216">
      <c r="A2216" s="2" t="s">
        <v>2226</v>
      </c>
      <c r="B2216" s="2">
        <v>214.0</v>
      </c>
      <c r="C2216" s="2">
        <v>2470.0</v>
      </c>
      <c r="D2216" s="2">
        <v>789.0</v>
      </c>
      <c r="E2216" s="3">
        <f t="shared" si="1"/>
        <v>0.3497340426</v>
      </c>
      <c r="F2216" s="2">
        <v>312.0</v>
      </c>
      <c r="G2216" s="3">
        <f t="shared" si="2"/>
        <v>0.1382978723</v>
      </c>
      <c r="H2216" s="2">
        <v>460.0</v>
      </c>
      <c r="I2216" s="3">
        <f t="shared" si="3"/>
        <v>0.2039007092</v>
      </c>
      <c r="J2216" s="2">
        <v>387.0</v>
      </c>
      <c r="K2216" s="3">
        <f t="shared" si="4"/>
        <v>0.1715425532</v>
      </c>
      <c r="L2216" s="2">
        <v>275.0</v>
      </c>
      <c r="M2216" s="3">
        <f t="shared" si="5"/>
        <v>0.597826087</v>
      </c>
      <c r="N2216" s="2">
        <v>2852600.0</v>
      </c>
      <c r="O2216" s="4">
        <f t="shared" si="6"/>
        <v>6201.304348</v>
      </c>
      <c r="P2216" s="2">
        <v>0.0</v>
      </c>
      <c r="Q2216" s="3">
        <f t="shared" si="7"/>
        <v>0</v>
      </c>
      <c r="R2216" s="2">
        <v>59.0</v>
      </c>
      <c r="S2216" s="5">
        <f t="shared" si="8"/>
        <v>0.2757009346</v>
      </c>
    </row>
    <row r="2217">
      <c r="A2217" s="2" t="s">
        <v>2227</v>
      </c>
      <c r="B2217" s="2">
        <v>35.0</v>
      </c>
      <c r="C2217" s="2">
        <v>411.0</v>
      </c>
      <c r="D2217" s="2">
        <v>144.0</v>
      </c>
      <c r="E2217" s="3">
        <f t="shared" si="1"/>
        <v>0.3829787234</v>
      </c>
      <c r="F2217" s="2">
        <v>52.0</v>
      </c>
      <c r="G2217" s="3">
        <f t="shared" si="2"/>
        <v>0.1382978723</v>
      </c>
      <c r="H2217" s="2">
        <v>71.0</v>
      </c>
      <c r="I2217" s="3">
        <f t="shared" si="3"/>
        <v>0.1888297872</v>
      </c>
      <c r="J2217" s="2">
        <v>56.0</v>
      </c>
      <c r="K2217" s="3">
        <f t="shared" si="4"/>
        <v>0.1489361702</v>
      </c>
      <c r="L2217" s="2">
        <v>47.0</v>
      </c>
      <c r="M2217" s="3">
        <f t="shared" si="5"/>
        <v>0.661971831</v>
      </c>
      <c r="N2217" s="2">
        <v>341300.0</v>
      </c>
      <c r="O2217" s="4">
        <f t="shared" si="6"/>
        <v>4807.042254</v>
      </c>
      <c r="P2217" s="2">
        <v>0.0</v>
      </c>
      <c r="Q2217" s="3">
        <f t="shared" si="7"/>
        <v>0</v>
      </c>
      <c r="R2217" s="2">
        <v>35.0</v>
      </c>
      <c r="S2217" s="5">
        <f t="shared" si="8"/>
        <v>1</v>
      </c>
    </row>
    <row r="2218">
      <c r="A2218" s="2" t="s">
        <v>2228</v>
      </c>
      <c r="B2218" s="2">
        <v>9.0</v>
      </c>
      <c r="C2218" s="2">
        <v>103.0</v>
      </c>
      <c r="D2218" s="2">
        <v>39.0</v>
      </c>
      <c r="E2218" s="3">
        <f t="shared" si="1"/>
        <v>0.414893617</v>
      </c>
      <c r="F2218" s="2">
        <v>13.0</v>
      </c>
      <c r="G2218" s="3">
        <f t="shared" si="2"/>
        <v>0.1382978723</v>
      </c>
      <c r="H2218" s="2">
        <v>19.0</v>
      </c>
      <c r="I2218" s="3">
        <f t="shared" si="3"/>
        <v>0.2021276596</v>
      </c>
      <c r="J2218" s="2">
        <v>12.0</v>
      </c>
      <c r="K2218" s="3">
        <f t="shared" si="4"/>
        <v>0.1276595745</v>
      </c>
      <c r="L2218" s="2">
        <v>8.0</v>
      </c>
      <c r="M2218" s="3">
        <f t="shared" si="5"/>
        <v>0.4210526316</v>
      </c>
      <c r="N2218" s="2">
        <v>112400.0</v>
      </c>
      <c r="O2218" s="4">
        <f t="shared" si="6"/>
        <v>5915.789474</v>
      </c>
      <c r="P2218" s="2">
        <v>0.0</v>
      </c>
      <c r="Q2218" s="3">
        <f t="shared" si="7"/>
        <v>0</v>
      </c>
      <c r="R2218" s="2">
        <v>9.0</v>
      </c>
      <c r="S2218" s="5">
        <f t="shared" si="8"/>
        <v>1</v>
      </c>
    </row>
    <row r="2219">
      <c r="A2219" s="2" t="s">
        <v>2229</v>
      </c>
      <c r="B2219" s="2">
        <v>261.0</v>
      </c>
      <c r="C2219" s="2">
        <v>3110.0</v>
      </c>
      <c r="D2219" s="2">
        <v>919.0</v>
      </c>
      <c r="E2219" s="3">
        <f t="shared" si="1"/>
        <v>0.3225693226</v>
      </c>
      <c r="F2219" s="2">
        <v>394.0</v>
      </c>
      <c r="G2219" s="3">
        <f t="shared" si="2"/>
        <v>0.1382941383</v>
      </c>
      <c r="H2219" s="2">
        <v>580.0</v>
      </c>
      <c r="I2219" s="3">
        <f t="shared" si="3"/>
        <v>0.2035802036</v>
      </c>
      <c r="J2219" s="2">
        <v>479.0</v>
      </c>
      <c r="K2219" s="3">
        <f t="shared" si="4"/>
        <v>0.1681291681</v>
      </c>
      <c r="L2219" s="2">
        <v>357.0</v>
      </c>
      <c r="M2219" s="3">
        <f t="shared" si="5"/>
        <v>0.6155172414</v>
      </c>
      <c r="N2219" s="2">
        <v>3083400.0</v>
      </c>
      <c r="O2219" s="4">
        <f t="shared" si="6"/>
        <v>5316.206897</v>
      </c>
      <c r="P2219" s="2">
        <v>0.0</v>
      </c>
      <c r="Q2219" s="3">
        <f t="shared" si="7"/>
        <v>0</v>
      </c>
      <c r="R2219" s="2">
        <v>261.0</v>
      </c>
      <c r="S2219" s="5">
        <f t="shared" si="8"/>
        <v>1</v>
      </c>
    </row>
    <row r="2220">
      <c r="A2220" s="2" t="s">
        <v>2230</v>
      </c>
      <c r="B2220" s="2">
        <v>145.0</v>
      </c>
      <c r="C2220" s="2">
        <v>1642.0</v>
      </c>
      <c r="D2220" s="2">
        <v>521.0</v>
      </c>
      <c r="E2220" s="3">
        <f t="shared" si="1"/>
        <v>0.3480293921</v>
      </c>
      <c r="F2220" s="2">
        <v>207.0</v>
      </c>
      <c r="G2220" s="3">
        <f t="shared" si="2"/>
        <v>0.1382765531</v>
      </c>
      <c r="H2220" s="2">
        <v>325.0</v>
      </c>
      <c r="I2220" s="3">
        <f t="shared" si="3"/>
        <v>0.2171008684</v>
      </c>
      <c r="J2220" s="2">
        <v>307.0</v>
      </c>
      <c r="K2220" s="3">
        <f t="shared" si="4"/>
        <v>0.2050768203</v>
      </c>
      <c r="L2220" s="2">
        <v>218.0</v>
      </c>
      <c r="M2220" s="3">
        <f t="shared" si="5"/>
        <v>0.6707692308</v>
      </c>
      <c r="N2220" s="2">
        <v>1830000.0</v>
      </c>
      <c r="O2220" s="4">
        <f t="shared" si="6"/>
        <v>5630.769231</v>
      </c>
      <c r="P2220" s="2">
        <v>0.0</v>
      </c>
      <c r="Q2220" s="3">
        <f t="shared" si="7"/>
        <v>0</v>
      </c>
      <c r="R2220" s="2">
        <v>145.0</v>
      </c>
      <c r="S2220" s="5">
        <f t="shared" si="8"/>
        <v>1</v>
      </c>
    </row>
    <row r="2221">
      <c r="A2221" s="2" t="s">
        <v>2231</v>
      </c>
      <c r="B2221" s="2">
        <v>68.0</v>
      </c>
      <c r="C2221" s="2">
        <v>784.0</v>
      </c>
      <c r="D2221" s="2">
        <v>273.0</v>
      </c>
      <c r="E2221" s="3">
        <f t="shared" si="1"/>
        <v>0.3812849162</v>
      </c>
      <c r="F2221" s="2">
        <v>99.0</v>
      </c>
      <c r="G2221" s="3">
        <f t="shared" si="2"/>
        <v>0.1382681564</v>
      </c>
      <c r="H2221" s="2">
        <v>148.0</v>
      </c>
      <c r="I2221" s="3">
        <f t="shared" si="3"/>
        <v>0.2067039106</v>
      </c>
      <c r="J2221" s="2">
        <v>114.0</v>
      </c>
      <c r="K2221" s="3">
        <f t="shared" si="4"/>
        <v>0.1592178771</v>
      </c>
      <c r="L2221" s="2">
        <v>87.0</v>
      </c>
      <c r="M2221" s="3">
        <f t="shared" si="5"/>
        <v>0.5878378378</v>
      </c>
      <c r="N2221" s="2">
        <v>829200.0</v>
      </c>
      <c r="O2221" s="4">
        <f t="shared" si="6"/>
        <v>5602.702703</v>
      </c>
      <c r="P2221" s="2">
        <v>0.0</v>
      </c>
      <c r="Q2221" s="3">
        <f t="shared" si="7"/>
        <v>0</v>
      </c>
      <c r="R2221" s="2">
        <v>67.0</v>
      </c>
      <c r="S2221" s="5">
        <f t="shared" si="8"/>
        <v>0.9852941176</v>
      </c>
    </row>
    <row r="2222">
      <c r="A2222" s="2" t="s">
        <v>2232</v>
      </c>
      <c r="B2222" s="2">
        <v>85.0</v>
      </c>
      <c r="C2222" s="2">
        <v>1018.0</v>
      </c>
      <c r="D2222" s="2">
        <v>363.0</v>
      </c>
      <c r="E2222" s="3">
        <f t="shared" si="1"/>
        <v>0.3890675241</v>
      </c>
      <c r="F2222" s="2">
        <v>129.0</v>
      </c>
      <c r="G2222" s="3">
        <f t="shared" si="2"/>
        <v>0.1382636656</v>
      </c>
      <c r="H2222" s="2">
        <v>197.0</v>
      </c>
      <c r="I2222" s="3">
        <f t="shared" si="3"/>
        <v>0.2111468382</v>
      </c>
      <c r="J2222" s="2">
        <v>170.0</v>
      </c>
      <c r="K2222" s="3">
        <f t="shared" si="4"/>
        <v>0.1822079314</v>
      </c>
      <c r="L2222" s="2">
        <v>118.0</v>
      </c>
      <c r="M2222" s="3">
        <f t="shared" si="5"/>
        <v>0.5989847716</v>
      </c>
      <c r="N2222" s="2">
        <v>979000.0</v>
      </c>
      <c r="O2222" s="4">
        <f t="shared" si="6"/>
        <v>4969.543147</v>
      </c>
      <c r="P2222" s="2">
        <v>0.0</v>
      </c>
      <c r="Q2222" s="3">
        <f t="shared" si="7"/>
        <v>0</v>
      </c>
      <c r="R2222" s="2">
        <v>85.0</v>
      </c>
      <c r="S2222" s="5">
        <f t="shared" si="8"/>
        <v>1</v>
      </c>
    </row>
    <row r="2223">
      <c r="A2223" s="2" t="s">
        <v>2233</v>
      </c>
      <c r="B2223" s="2">
        <v>27.0</v>
      </c>
      <c r="C2223" s="2">
        <v>338.0</v>
      </c>
      <c r="D2223" s="2">
        <v>133.0</v>
      </c>
      <c r="E2223" s="3">
        <f t="shared" si="1"/>
        <v>0.4276527331</v>
      </c>
      <c r="F2223" s="2">
        <v>43.0</v>
      </c>
      <c r="G2223" s="3">
        <f t="shared" si="2"/>
        <v>0.1382636656</v>
      </c>
      <c r="H2223" s="2">
        <v>57.0</v>
      </c>
      <c r="I2223" s="3">
        <f t="shared" si="3"/>
        <v>0.1832797428</v>
      </c>
      <c r="J2223" s="2">
        <v>40.0</v>
      </c>
      <c r="K2223" s="3">
        <f t="shared" si="4"/>
        <v>0.1286173633</v>
      </c>
      <c r="L2223" s="2">
        <v>31.0</v>
      </c>
      <c r="M2223" s="3">
        <f t="shared" si="5"/>
        <v>0.5438596491</v>
      </c>
      <c r="N2223" s="2">
        <v>278300.0</v>
      </c>
      <c r="O2223" s="4">
        <f t="shared" si="6"/>
        <v>4882.45614</v>
      </c>
      <c r="P2223" s="2">
        <v>0.0</v>
      </c>
      <c r="Q2223" s="3">
        <f t="shared" si="7"/>
        <v>0</v>
      </c>
      <c r="R2223" s="2">
        <v>27.0</v>
      </c>
      <c r="S2223" s="5">
        <f t="shared" si="8"/>
        <v>1</v>
      </c>
    </row>
    <row r="2224">
      <c r="A2224" s="2" t="s">
        <v>2234</v>
      </c>
      <c r="B2224" s="2">
        <v>1283.0</v>
      </c>
      <c r="C2224" s="2">
        <v>14765.0</v>
      </c>
      <c r="D2224" s="2">
        <v>4196.0</v>
      </c>
      <c r="E2224" s="3">
        <f t="shared" si="1"/>
        <v>0.3112297879</v>
      </c>
      <c r="F2224" s="2">
        <v>1864.0</v>
      </c>
      <c r="G2224" s="3">
        <f t="shared" si="2"/>
        <v>0.1382584186</v>
      </c>
      <c r="H2224" s="2">
        <v>2894.0</v>
      </c>
      <c r="I2224" s="3">
        <f t="shared" si="3"/>
        <v>0.2146565791</v>
      </c>
      <c r="J2224" s="2">
        <v>2462.0</v>
      </c>
      <c r="K2224" s="3">
        <f t="shared" si="4"/>
        <v>0.1826138555</v>
      </c>
      <c r="L2224" s="2">
        <v>1696.0</v>
      </c>
      <c r="M2224" s="3">
        <f t="shared" si="5"/>
        <v>0.5860400829</v>
      </c>
      <c r="N2224" s="2">
        <v>1.72821E7</v>
      </c>
      <c r="O2224" s="4">
        <f t="shared" si="6"/>
        <v>5971.700069</v>
      </c>
      <c r="P2224" s="2">
        <v>6.0</v>
      </c>
      <c r="Q2224" s="3">
        <f t="shared" si="7"/>
        <v>0.004676539361</v>
      </c>
      <c r="R2224" s="2">
        <v>1283.0</v>
      </c>
      <c r="S2224" s="5">
        <f t="shared" si="8"/>
        <v>1</v>
      </c>
    </row>
    <row r="2225">
      <c r="A2225" s="2" t="s">
        <v>2235</v>
      </c>
      <c r="B2225" s="2">
        <v>1954.0</v>
      </c>
      <c r="C2225" s="2">
        <v>22785.0</v>
      </c>
      <c r="D2225" s="2">
        <v>6363.0</v>
      </c>
      <c r="E2225" s="3">
        <f t="shared" si="1"/>
        <v>0.3054582113</v>
      </c>
      <c r="F2225" s="2">
        <v>2880.0</v>
      </c>
      <c r="G2225" s="3">
        <f t="shared" si="2"/>
        <v>0.1382554846</v>
      </c>
      <c r="H2225" s="2">
        <v>4384.0</v>
      </c>
      <c r="I2225" s="3">
        <f t="shared" si="3"/>
        <v>0.210455571</v>
      </c>
      <c r="J2225" s="2">
        <v>4271.0</v>
      </c>
      <c r="K2225" s="3">
        <f t="shared" si="4"/>
        <v>0.2050309635</v>
      </c>
      <c r="L2225" s="2">
        <v>2512.0</v>
      </c>
      <c r="M2225" s="3">
        <f t="shared" si="5"/>
        <v>0.5729927007</v>
      </c>
      <c r="N2225" s="2">
        <v>2.64955E7</v>
      </c>
      <c r="O2225" s="4">
        <f t="shared" si="6"/>
        <v>6043.681569</v>
      </c>
      <c r="P2225" s="2">
        <v>3.0</v>
      </c>
      <c r="Q2225" s="3">
        <f t="shared" si="7"/>
        <v>0.00153531218</v>
      </c>
      <c r="R2225" s="2">
        <v>1954.0</v>
      </c>
      <c r="S2225" s="5">
        <f t="shared" si="8"/>
        <v>1</v>
      </c>
    </row>
    <row r="2226">
      <c r="A2226" s="2" t="s">
        <v>2236</v>
      </c>
      <c r="B2226" s="2">
        <v>18.0</v>
      </c>
      <c r="C2226" s="2">
        <v>235.0</v>
      </c>
      <c r="D2226" s="2">
        <v>70.0</v>
      </c>
      <c r="E2226" s="3">
        <f t="shared" si="1"/>
        <v>0.3225806452</v>
      </c>
      <c r="F2226" s="2">
        <v>30.0</v>
      </c>
      <c r="G2226" s="3">
        <f t="shared" si="2"/>
        <v>0.1382488479</v>
      </c>
      <c r="H2226" s="2">
        <v>37.0</v>
      </c>
      <c r="I2226" s="3">
        <f t="shared" si="3"/>
        <v>0.1705069124</v>
      </c>
      <c r="J2226" s="2">
        <v>37.0</v>
      </c>
      <c r="K2226" s="3">
        <f t="shared" si="4"/>
        <v>0.1705069124</v>
      </c>
      <c r="L2226" s="2">
        <v>23.0</v>
      </c>
      <c r="M2226" s="3">
        <f t="shared" si="5"/>
        <v>0.6216216216</v>
      </c>
      <c r="N2226" s="2">
        <v>194800.0</v>
      </c>
      <c r="O2226" s="4">
        <f t="shared" si="6"/>
        <v>5264.864865</v>
      </c>
      <c r="P2226" s="2">
        <v>0.0</v>
      </c>
      <c r="Q2226" s="3">
        <f t="shared" si="7"/>
        <v>0</v>
      </c>
      <c r="R2226" s="2">
        <v>18.0</v>
      </c>
      <c r="S2226" s="5">
        <f t="shared" si="8"/>
        <v>1</v>
      </c>
    </row>
    <row r="2227">
      <c r="A2227" s="2" t="s">
        <v>2237</v>
      </c>
      <c r="B2227" s="2">
        <v>154.0</v>
      </c>
      <c r="C2227" s="2">
        <v>1825.0</v>
      </c>
      <c r="D2227" s="2">
        <v>640.0</v>
      </c>
      <c r="E2227" s="3">
        <f t="shared" si="1"/>
        <v>0.3830041891</v>
      </c>
      <c r="F2227" s="2">
        <v>231.0</v>
      </c>
      <c r="G2227" s="3">
        <f t="shared" si="2"/>
        <v>0.1382405745</v>
      </c>
      <c r="H2227" s="2">
        <v>345.0</v>
      </c>
      <c r="I2227" s="3">
        <f t="shared" si="3"/>
        <v>0.2064631957</v>
      </c>
      <c r="J2227" s="2">
        <v>289.0</v>
      </c>
      <c r="K2227" s="3">
        <f t="shared" si="4"/>
        <v>0.1729503291</v>
      </c>
      <c r="L2227" s="2">
        <v>209.0</v>
      </c>
      <c r="M2227" s="3">
        <f t="shared" si="5"/>
        <v>0.6057971014</v>
      </c>
      <c r="N2227" s="2">
        <v>1897600.0</v>
      </c>
      <c r="O2227" s="4">
        <f t="shared" si="6"/>
        <v>5500.289855</v>
      </c>
      <c r="P2227" s="2">
        <v>1.0</v>
      </c>
      <c r="Q2227" s="3">
        <f t="shared" si="7"/>
        <v>0.006493506494</v>
      </c>
      <c r="R2227" s="2">
        <v>103.0</v>
      </c>
      <c r="S2227" s="5">
        <f t="shared" si="8"/>
        <v>0.6688311688</v>
      </c>
    </row>
    <row r="2228">
      <c r="A2228" s="2" t="s">
        <v>2238</v>
      </c>
      <c r="B2228" s="2">
        <v>880.0</v>
      </c>
      <c r="C2228" s="2">
        <v>10255.0</v>
      </c>
      <c r="D2228" s="2">
        <v>4144.0</v>
      </c>
      <c r="E2228" s="3">
        <f t="shared" si="1"/>
        <v>0.4420266667</v>
      </c>
      <c r="F2228" s="2">
        <v>1296.0</v>
      </c>
      <c r="G2228" s="3">
        <f t="shared" si="2"/>
        <v>0.13824</v>
      </c>
      <c r="H2228" s="2">
        <v>2012.0</v>
      </c>
      <c r="I2228" s="3">
        <f t="shared" si="3"/>
        <v>0.2146133333</v>
      </c>
      <c r="J2228" s="2">
        <v>1364.0</v>
      </c>
      <c r="K2228" s="3">
        <f t="shared" si="4"/>
        <v>0.1454933333</v>
      </c>
      <c r="L2228" s="2">
        <v>1224.0</v>
      </c>
      <c r="M2228" s="3">
        <f t="shared" si="5"/>
        <v>0.6083499006</v>
      </c>
      <c r="N2228" s="2">
        <v>1.10683E7</v>
      </c>
      <c r="O2228" s="4">
        <f t="shared" si="6"/>
        <v>5501.143141</v>
      </c>
      <c r="P2228" s="2">
        <v>2.0</v>
      </c>
      <c r="Q2228" s="3">
        <f t="shared" si="7"/>
        <v>0.002272727273</v>
      </c>
      <c r="R2228" s="2">
        <v>880.0</v>
      </c>
      <c r="S2228" s="5">
        <f t="shared" si="8"/>
        <v>1</v>
      </c>
    </row>
    <row r="2229">
      <c r="A2229" s="2" t="s">
        <v>2239</v>
      </c>
      <c r="B2229" s="2">
        <v>148.0</v>
      </c>
      <c r="C2229" s="2">
        <v>1783.0</v>
      </c>
      <c r="D2229" s="2">
        <v>526.0</v>
      </c>
      <c r="E2229" s="3">
        <f t="shared" si="1"/>
        <v>0.3217125382</v>
      </c>
      <c r="F2229" s="2">
        <v>226.0</v>
      </c>
      <c r="G2229" s="3">
        <f t="shared" si="2"/>
        <v>0.1382262997</v>
      </c>
      <c r="H2229" s="2">
        <v>338.0</v>
      </c>
      <c r="I2229" s="3">
        <f t="shared" si="3"/>
        <v>0.2067278287</v>
      </c>
      <c r="J2229" s="2">
        <v>298.0</v>
      </c>
      <c r="K2229" s="3">
        <f t="shared" si="4"/>
        <v>0.1822629969</v>
      </c>
      <c r="L2229" s="2">
        <v>199.0</v>
      </c>
      <c r="M2229" s="3">
        <f t="shared" si="5"/>
        <v>0.5887573964</v>
      </c>
      <c r="N2229" s="2">
        <v>1934900.0</v>
      </c>
      <c r="O2229" s="4">
        <f t="shared" si="6"/>
        <v>5724.556213</v>
      </c>
      <c r="P2229" s="2">
        <v>0.0</v>
      </c>
      <c r="Q2229" s="3">
        <f t="shared" si="7"/>
        <v>0</v>
      </c>
      <c r="R2229" s="2">
        <v>148.0</v>
      </c>
      <c r="S2229" s="5">
        <f t="shared" si="8"/>
        <v>1</v>
      </c>
    </row>
    <row r="2230">
      <c r="A2230" s="2" t="s">
        <v>2240</v>
      </c>
      <c r="B2230" s="2">
        <v>218.0</v>
      </c>
      <c r="C2230" s="2">
        <v>2591.0</v>
      </c>
      <c r="D2230" s="2">
        <v>943.0</v>
      </c>
      <c r="E2230" s="3">
        <f t="shared" si="1"/>
        <v>0.3973872735</v>
      </c>
      <c r="F2230" s="2">
        <v>328.0</v>
      </c>
      <c r="G2230" s="3">
        <f t="shared" si="2"/>
        <v>0.1382216603</v>
      </c>
      <c r="H2230" s="2">
        <v>519.0</v>
      </c>
      <c r="I2230" s="3">
        <f t="shared" si="3"/>
        <v>0.218710493</v>
      </c>
      <c r="J2230" s="2">
        <v>381.0</v>
      </c>
      <c r="K2230" s="3">
        <f t="shared" si="4"/>
        <v>0.1605562579</v>
      </c>
      <c r="L2230" s="2">
        <v>305.0</v>
      </c>
      <c r="M2230" s="3">
        <f t="shared" si="5"/>
        <v>0.5876685934</v>
      </c>
      <c r="N2230" s="2">
        <v>2655700.0</v>
      </c>
      <c r="O2230" s="4">
        <f t="shared" si="6"/>
        <v>5116.955684</v>
      </c>
      <c r="P2230" s="2">
        <v>0.0</v>
      </c>
      <c r="Q2230" s="3">
        <f t="shared" si="7"/>
        <v>0</v>
      </c>
      <c r="R2230" s="2">
        <v>218.0</v>
      </c>
      <c r="S2230" s="5">
        <f t="shared" si="8"/>
        <v>1</v>
      </c>
    </row>
    <row r="2231">
      <c r="A2231" s="2" t="s">
        <v>2241</v>
      </c>
      <c r="B2231" s="2">
        <v>295.0</v>
      </c>
      <c r="C2231" s="2">
        <v>3428.0</v>
      </c>
      <c r="D2231" s="2">
        <v>1107.0</v>
      </c>
      <c r="E2231" s="3">
        <f t="shared" si="1"/>
        <v>0.3533354612</v>
      </c>
      <c r="F2231" s="2">
        <v>433.0</v>
      </c>
      <c r="G2231" s="3">
        <f t="shared" si="2"/>
        <v>0.1382061921</v>
      </c>
      <c r="H2231" s="2">
        <v>694.0</v>
      </c>
      <c r="I2231" s="3">
        <f t="shared" si="3"/>
        <v>0.2215129269</v>
      </c>
      <c r="J2231" s="2">
        <v>596.0</v>
      </c>
      <c r="K2231" s="3">
        <f t="shared" si="4"/>
        <v>0.1902330035</v>
      </c>
      <c r="L2231" s="2">
        <v>385.0</v>
      </c>
      <c r="M2231" s="3">
        <f t="shared" si="5"/>
        <v>0.5547550432</v>
      </c>
      <c r="N2231" s="2">
        <v>4187100.0</v>
      </c>
      <c r="O2231" s="4">
        <f t="shared" si="6"/>
        <v>6033.285303</v>
      </c>
      <c r="P2231" s="2">
        <v>0.0</v>
      </c>
      <c r="Q2231" s="3">
        <f t="shared" si="7"/>
        <v>0</v>
      </c>
      <c r="R2231" s="2">
        <v>295.0</v>
      </c>
      <c r="S2231" s="5">
        <f t="shared" si="8"/>
        <v>1</v>
      </c>
    </row>
    <row r="2232">
      <c r="A2232" s="2" t="s">
        <v>2242</v>
      </c>
      <c r="B2232" s="2">
        <v>58.0</v>
      </c>
      <c r="C2232" s="2">
        <v>702.0</v>
      </c>
      <c r="D2232" s="2">
        <v>175.0</v>
      </c>
      <c r="E2232" s="3">
        <f t="shared" si="1"/>
        <v>0.2717391304</v>
      </c>
      <c r="F2232" s="2">
        <v>89.0</v>
      </c>
      <c r="G2232" s="3">
        <f t="shared" si="2"/>
        <v>0.1381987578</v>
      </c>
      <c r="H2232" s="2">
        <v>115.0</v>
      </c>
      <c r="I2232" s="3">
        <f t="shared" si="3"/>
        <v>0.1785714286</v>
      </c>
      <c r="J2232" s="2">
        <v>102.0</v>
      </c>
      <c r="K2232" s="3">
        <f t="shared" si="4"/>
        <v>0.1583850932</v>
      </c>
      <c r="L2232" s="2">
        <v>72.0</v>
      </c>
      <c r="M2232" s="3">
        <f t="shared" si="5"/>
        <v>0.6260869565</v>
      </c>
      <c r="N2232" s="2">
        <v>656300.0</v>
      </c>
      <c r="O2232" s="4">
        <f t="shared" si="6"/>
        <v>5706.956522</v>
      </c>
      <c r="P2232" s="2">
        <v>0.0</v>
      </c>
      <c r="Q2232" s="3">
        <f t="shared" si="7"/>
        <v>0</v>
      </c>
      <c r="R2232" s="2">
        <v>58.0</v>
      </c>
      <c r="S2232" s="5">
        <f t="shared" si="8"/>
        <v>1</v>
      </c>
    </row>
    <row r="2233">
      <c r="A2233" s="2" t="s">
        <v>2243</v>
      </c>
      <c r="B2233" s="2">
        <v>76.0</v>
      </c>
      <c r="C2233" s="2">
        <v>872.0</v>
      </c>
      <c r="D2233" s="2">
        <v>240.0</v>
      </c>
      <c r="E2233" s="3">
        <f t="shared" si="1"/>
        <v>0.3015075377</v>
      </c>
      <c r="F2233" s="2">
        <v>110.0</v>
      </c>
      <c r="G2233" s="3">
        <f t="shared" si="2"/>
        <v>0.1381909548</v>
      </c>
      <c r="H2233" s="2">
        <v>178.0</v>
      </c>
      <c r="I2233" s="3">
        <f t="shared" si="3"/>
        <v>0.2236180905</v>
      </c>
      <c r="J2233" s="2">
        <v>150.0</v>
      </c>
      <c r="K2233" s="3">
        <f t="shared" si="4"/>
        <v>0.1884422111</v>
      </c>
      <c r="L2233" s="2">
        <v>115.0</v>
      </c>
      <c r="M2233" s="3">
        <f t="shared" si="5"/>
        <v>0.6460674157</v>
      </c>
      <c r="N2233" s="2">
        <v>1069200.0</v>
      </c>
      <c r="O2233" s="4">
        <f t="shared" si="6"/>
        <v>6006.741573</v>
      </c>
      <c r="P2233" s="2">
        <v>0.0</v>
      </c>
      <c r="Q2233" s="3">
        <f t="shared" si="7"/>
        <v>0</v>
      </c>
      <c r="R2233" s="2">
        <v>76.0</v>
      </c>
      <c r="S2233" s="5">
        <f t="shared" si="8"/>
        <v>1</v>
      </c>
    </row>
    <row r="2234">
      <c r="A2234" s="2" t="s">
        <v>2244</v>
      </c>
      <c r="B2234" s="2">
        <v>67.0</v>
      </c>
      <c r="C2234" s="2">
        <v>769.0</v>
      </c>
      <c r="D2234" s="2">
        <v>213.0</v>
      </c>
      <c r="E2234" s="3">
        <f t="shared" si="1"/>
        <v>0.3034188034</v>
      </c>
      <c r="F2234" s="2">
        <v>97.0</v>
      </c>
      <c r="G2234" s="3">
        <f t="shared" si="2"/>
        <v>0.1381766382</v>
      </c>
      <c r="H2234" s="2">
        <v>155.0</v>
      </c>
      <c r="I2234" s="3">
        <f t="shared" si="3"/>
        <v>0.2207977208</v>
      </c>
      <c r="J2234" s="2">
        <v>149.0</v>
      </c>
      <c r="K2234" s="3">
        <f t="shared" si="4"/>
        <v>0.2122507123</v>
      </c>
      <c r="L2234" s="2">
        <v>99.0</v>
      </c>
      <c r="M2234" s="3">
        <f t="shared" si="5"/>
        <v>0.6387096774</v>
      </c>
      <c r="N2234" s="2">
        <v>827100.0</v>
      </c>
      <c r="O2234" s="4">
        <f t="shared" si="6"/>
        <v>5336.129032</v>
      </c>
      <c r="P2234" s="2">
        <v>0.0</v>
      </c>
      <c r="Q2234" s="3">
        <f t="shared" si="7"/>
        <v>0</v>
      </c>
      <c r="R2234" s="2">
        <v>67.0</v>
      </c>
      <c r="S2234" s="5">
        <f t="shared" si="8"/>
        <v>1</v>
      </c>
    </row>
    <row r="2235">
      <c r="A2235" s="2" t="s">
        <v>2245</v>
      </c>
      <c r="B2235" s="2">
        <v>214.0</v>
      </c>
      <c r="C2235" s="2">
        <v>2501.0</v>
      </c>
      <c r="D2235" s="2">
        <v>894.0</v>
      </c>
      <c r="E2235" s="3">
        <f t="shared" si="1"/>
        <v>0.3909051159</v>
      </c>
      <c r="F2235" s="2">
        <v>316.0</v>
      </c>
      <c r="G2235" s="3">
        <f t="shared" si="2"/>
        <v>0.1381722781</v>
      </c>
      <c r="H2235" s="2">
        <v>515.0</v>
      </c>
      <c r="I2235" s="3">
        <f t="shared" si="3"/>
        <v>0.225185833</v>
      </c>
      <c r="J2235" s="2">
        <v>377.0</v>
      </c>
      <c r="K2235" s="3">
        <f t="shared" si="4"/>
        <v>0.1648447748</v>
      </c>
      <c r="L2235" s="2">
        <v>309.0</v>
      </c>
      <c r="M2235" s="3">
        <f t="shared" si="5"/>
        <v>0.6</v>
      </c>
      <c r="N2235" s="2">
        <v>2993300.0</v>
      </c>
      <c r="O2235" s="4">
        <f t="shared" si="6"/>
        <v>5812.23301</v>
      </c>
      <c r="P2235" s="2">
        <v>0.0</v>
      </c>
      <c r="Q2235" s="3">
        <f t="shared" si="7"/>
        <v>0</v>
      </c>
      <c r="R2235" s="2">
        <v>214.0</v>
      </c>
      <c r="S2235" s="5">
        <f t="shared" si="8"/>
        <v>1</v>
      </c>
    </row>
    <row r="2236">
      <c r="A2236" s="2" t="s">
        <v>2246</v>
      </c>
      <c r="B2236" s="2">
        <v>53.0</v>
      </c>
      <c r="C2236" s="2">
        <v>632.0</v>
      </c>
      <c r="D2236" s="2">
        <v>215.0</v>
      </c>
      <c r="E2236" s="3">
        <f t="shared" si="1"/>
        <v>0.3713298791</v>
      </c>
      <c r="F2236" s="2">
        <v>80.0</v>
      </c>
      <c r="G2236" s="3">
        <f t="shared" si="2"/>
        <v>0.1381692573</v>
      </c>
      <c r="H2236" s="2">
        <v>121.0</v>
      </c>
      <c r="I2236" s="3">
        <f t="shared" si="3"/>
        <v>0.2089810017</v>
      </c>
      <c r="J2236" s="2">
        <v>112.0</v>
      </c>
      <c r="K2236" s="3">
        <f t="shared" si="4"/>
        <v>0.1934369603</v>
      </c>
      <c r="L2236" s="2">
        <v>74.0</v>
      </c>
      <c r="M2236" s="3">
        <f t="shared" si="5"/>
        <v>0.6115702479</v>
      </c>
      <c r="N2236" s="2">
        <v>620900.0</v>
      </c>
      <c r="O2236" s="4">
        <f t="shared" si="6"/>
        <v>5131.404959</v>
      </c>
      <c r="P2236" s="2">
        <v>0.0</v>
      </c>
      <c r="Q2236" s="3">
        <f t="shared" si="7"/>
        <v>0</v>
      </c>
      <c r="R2236" s="2">
        <v>53.0</v>
      </c>
      <c r="S2236" s="5">
        <f t="shared" si="8"/>
        <v>1</v>
      </c>
    </row>
    <row r="2237">
      <c r="A2237" s="2" t="s">
        <v>2247</v>
      </c>
      <c r="B2237" s="2">
        <v>209.0</v>
      </c>
      <c r="C2237" s="2">
        <v>2431.0</v>
      </c>
      <c r="D2237" s="2">
        <v>715.0</v>
      </c>
      <c r="E2237" s="3">
        <f t="shared" si="1"/>
        <v>0.3217821782</v>
      </c>
      <c r="F2237" s="2">
        <v>307.0</v>
      </c>
      <c r="G2237" s="3">
        <f t="shared" si="2"/>
        <v>0.1381638164</v>
      </c>
      <c r="H2237" s="2">
        <v>463.0</v>
      </c>
      <c r="I2237" s="3">
        <f t="shared" si="3"/>
        <v>0.2083708371</v>
      </c>
      <c r="J2237" s="2">
        <v>419.0</v>
      </c>
      <c r="K2237" s="3">
        <f t="shared" si="4"/>
        <v>0.1885688569</v>
      </c>
      <c r="L2237" s="2">
        <v>276.0</v>
      </c>
      <c r="M2237" s="3">
        <f t="shared" si="5"/>
        <v>0.596112311</v>
      </c>
      <c r="N2237" s="2">
        <v>2661200.0</v>
      </c>
      <c r="O2237" s="4">
        <f t="shared" si="6"/>
        <v>5747.732181</v>
      </c>
      <c r="P2237" s="2">
        <v>0.0</v>
      </c>
      <c r="Q2237" s="3">
        <f t="shared" si="7"/>
        <v>0</v>
      </c>
      <c r="R2237" s="2">
        <v>0.0</v>
      </c>
      <c r="S2237" s="5">
        <f t="shared" si="8"/>
        <v>0</v>
      </c>
    </row>
    <row r="2238">
      <c r="A2238" s="2" t="s">
        <v>2248</v>
      </c>
      <c r="B2238" s="2">
        <v>140.0</v>
      </c>
      <c r="C2238" s="2">
        <v>1631.0</v>
      </c>
      <c r="D2238" s="2">
        <v>552.0</v>
      </c>
      <c r="E2238" s="3">
        <f t="shared" si="1"/>
        <v>0.370221328</v>
      </c>
      <c r="F2238" s="2">
        <v>206.0</v>
      </c>
      <c r="G2238" s="3">
        <f t="shared" si="2"/>
        <v>0.1381623072</v>
      </c>
      <c r="H2238" s="2">
        <v>320.0</v>
      </c>
      <c r="I2238" s="3">
        <f t="shared" si="3"/>
        <v>0.2146210597</v>
      </c>
      <c r="J2238" s="2">
        <v>225.0</v>
      </c>
      <c r="K2238" s="3">
        <f t="shared" si="4"/>
        <v>0.1509054326</v>
      </c>
      <c r="L2238" s="2">
        <v>181.0</v>
      </c>
      <c r="M2238" s="3">
        <f t="shared" si="5"/>
        <v>0.565625</v>
      </c>
      <c r="N2238" s="2">
        <v>1699500.0</v>
      </c>
      <c r="O2238" s="4">
        <f t="shared" si="6"/>
        <v>5310.9375</v>
      </c>
      <c r="P2238" s="2">
        <v>0.0</v>
      </c>
      <c r="Q2238" s="3">
        <f t="shared" si="7"/>
        <v>0</v>
      </c>
      <c r="R2238" s="2">
        <v>140.0</v>
      </c>
      <c r="S2238" s="5">
        <f t="shared" si="8"/>
        <v>1</v>
      </c>
    </row>
    <row r="2239">
      <c r="A2239" s="2" t="s">
        <v>2249</v>
      </c>
      <c r="B2239" s="2">
        <v>2531.0</v>
      </c>
      <c r="C2239" s="2">
        <v>29377.0</v>
      </c>
      <c r="D2239" s="2">
        <v>9053.0</v>
      </c>
      <c r="E2239" s="3">
        <f t="shared" si="1"/>
        <v>0.3372196975</v>
      </c>
      <c r="F2239" s="2">
        <v>3709.0</v>
      </c>
      <c r="G2239" s="3">
        <f t="shared" si="2"/>
        <v>0.1381583849</v>
      </c>
      <c r="H2239" s="2">
        <v>5881.0</v>
      </c>
      <c r="I2239" s="3">
        <f t="shared" si="3"/>
        <v>0.2190642926</v>
      </c>
      <c r="J2239" s="2">
        <v>5587.0</v>
      </c>
      <c r="K2239" s="3">
        <f t="shared" si="4"/>
        <v>0.2081129405</v>
      </c>
      <c r="L2239" s="2">
        <v>3483.0</v>
      </c>
      <c r="M2239" s="3">
        <f t="shared" si="5"/>
        <v>0.5922462166</v>
      </c>
      <c r="N2239" s="2">
        <v>3.39041E7</v>
      </c>
      <c r="O2239" s="4">
        <f t="shared" si="6"/>
        <v>5765.022955</v>
      </c>
      <c r="P2239" s="2">
        <v>2.0</v>
      </c>
      <c r="Q2239" s="3">
        <f t="shared" si="7"/>
        <v>0.0007902015014</v>
      </c>
      <c r="R2239" s="2">
        <v>2531.0</v>
      </c>
      <c r="S2239" s="5">
        <f t="shared" si="8"/>
        <v>1</v>
      </c>
    </row>
    <row r="2240">
      <c r="A2240" s="2" t="s">
        <v>2250</v>
      </c>
      <c r="B2240" s="2">
        <v>620.0</v>
      </c>
      <c r="C2240" s="2">
        <v>7214.0</v>
      </c>
      <c r="D2240" s="2">
        <v>2398.0</v>
      </c>
      <c r="E2240" s="3">
        <f t="shared" si="1"/>
        <v>0.3636639369</v>
      </c>
      <c r="F2240" s="2">
        <v>911.0</v>
      </c>
      <c r="G2240" s="3">
        <f t="shared" si="2"/>
        <v>0.1381558993</v>
      </c>
      <c r="H2240" s="2">
        <v>1446.0</v>
      </c>
      <c r="I2240" s="3">
        <f t="shared" si="3"/>
        <v>0.2192902639</v>
      </c>
      <c r="J2240" s="2">
        <v>1337.0</v>
      </c>
      <c r="K2240" s="3">
        <f t="shared" si="4"/>
        <v>0.2027600849</v>
      </c>
      <c r="L2240" s="2">
        <v>878.0</v>
      </c>
      <c r="M2240" s="3">
        <f t="shared" si="5"/>
        <v>0.6071922545</v>
      </c>
      <c r="N2240" s="2">
        <v>8242700.0</v>
      </c>
      <c r="O2240" s="4">
        <f t="shared" si="6"/>
        <v>5700.345781</v>
      </c>
      <c r="P2240" s="2">
        <v>3.0</v>
      </c>
      <c r="Q2240" s="3">
        <f t="shared" si="7"/>
        <v>0.004838709677</v>
      </c>
      <c r="R2240" s="2">
        <v>620.0</v>
      </c>
      <c r="S2240" s="5">
        <f t="shared" si="8"/>
        <v>1</v>
      </c>
    </row>
    <row r="2241">
      <c r="A2241" s="2" t="s">
        <v>2251</v>
      </c>
      <c r="B2241" s="2">
        <v>76.0</v>
      </c>
      <c r="C2241" s="2">
        <v>894.0</v>
      </c>
      <c r="D2241" s="2">
        <v>268.0</v>
      </c>
      <c r="E2241" s="3">
        <f t="shared" si="1"/>
        <v>0.3276283619</v>
      </c>
      <c r="F2241" s="2">
        <v>113.0</v>
      </c>
      <c r="G2241" s="3">
        <f t="shared" si="2"/>
        <v>0.1381418093</v>
      </c>
      <c r="H2241" s="2">
        <v>165.0</v>
      </c>
      <c r="I2241" s="3">
        <f t="shared" si="3"/>
        <v>0.2017114914</v>
      </c>
      <c r="J2241" s="2">
        <v>145.0</v>
      </c>
      <c r="K2241" s="3">
        <f t="shared" si="4"/>
        <v>0.1772616137</v>
      </c>
      <c r="L2241" s="2">
        <v>95.0</v>
      </c>
      <c r="M2241" s="3">
        <f t="shared" si="5"/>
        <v>0.5757575758</v>
      </c>
      <c r="N2241" s="2">
        <v>895400.0</v>
      </c>
      <c r="O2241" s="4">
        <f t="shared" si="6"/>
        <v>5426.666667</v>
      </c>
      <c r="P2241" s="2">
        <v>0.0</v>
      </c>
      <c r="Q2241" s="3">
        <f t="shared" si="7"/>
        <v>0</v>
      </c>
      <c r="R2241" s="2">
        <v>76.0</v>
      </c>
      <c r="S2241" s="5">
        <f t="shared" si="8"/>
        <v>1</v>
      </c>
    </row>
    <row r="2242">
      <c r="A2242" s="2" t="s">
        <v>2252</v>
      </c>
      <c r="B2242" s="2">
        <v>204.0</v>
      </c>
      <c r="C2242" s="2">
        <v>2354.0</v>
      </c>
      <c r="D2242" s="2">
        <v>611.0</v>
      </c>
      <c r="E2242" s="3">
        <f t="shared" si="1"/>
        <v>0.2841860465</v>
      </c>
      <c r="F2242" s="2">
        <v>297.0</v>
      </c>
      <c r="G2242" s="3">
        <f t="shared" si="2"/>
        <v>0.1381395349</v>
      </c>
      <c r="H2242" s="2">
        <v>454.0</v>
      </c>
      <c r="I2242" s="3">
        <f t="shared" si="3"/>
        <v>0.2111627907</v>
      </c>
      <c r="J2242" s="2">
        <v>432.0</v>
      </c>
      <c r="K2242" s="3">
        <f t="shared" si="4"/>
        <v>0.2009302326</v>
      </c>
      <c r="L2242" s="2">
        <v>270.0</v>
      </c>
      <c r="M2242" s="3">
        <f t="shared" si="5"/>
        <v>0.5947136564</v>
      </c>
      <c r="N2242" s="2">
        <v>2603900.0</v>
      </c>
      <c r="O2242" s="4">
        <f t="shared" si="6"/>
        <v>5735.462555</v>
      </c>
      <c r="P2242" s="2">
        <v>2.0</v>
      </c>
      <c r="Q2242" s="3">
        <f t="shared" si="7"/>
        <v>0.009803921569</v>
      </c>
      <c r="R2242" s="2">
        <v>204.0</v>
      </c>
      <c r="S2242" s="5">
        <f t="shared" si="8"/>
        <v>1</v>
      </c>
    </row>
    <row r="2243">
      <c r="A2243" s="2" t="s">
        <v>2253</v>
      </c>
      <c r="B2243" s="2">
        <v>1091.0</v>
      </c>
      <c r="C2243" s="2">
        <v>12616.0</v>
      </c>
      <c r="D2243" s="2">
        <v>4425.0</v>
      </c>
      <c r="E2243" s="3">
        <f t="shared" si="1"/>
        <v>0.3839479393</v>
      </c>
      <c r="F2243" s="2">
        <v>1592.0</v>
      </c>
      <c r="G2243" s="3">
        <f t="shared" si="2"/>
        <v>0.1381344902</v>
      </c>
      <c r="H2243" s="2">
        <v>2498.0</v>
      </c>
      <c r="I2243" s="3">
        <f t="shared" si="3"/>
        <v>0.2167462039</v>
      </c>
      <c r="J2243" s="2">
        <v>2077.0</v>
      </c>
      <c r="K2243" s="3">
        <f t="shared" si="4"/>
        <v>0.1802169197</v>
      </c>
      <c r="L2243" s="2">
        <v>1475.0</v>
      </c>
      <c r="M2243" s="3">
        <f t="shared" si="5"/>
        <v>0.5904723779</v>
      </c>
      <c r="N2243" s="2">
        <v>1.50443E7</v>
      </c>
      <c r="O2243" s="4">
        <f t="shared" si="6"/>
        <v>6022.53803</v>
      </c>
      <c r="P2243" s="2">
        <v>2.0</v>
      </c>
      <c r="Q2243" s="3">
        <f t="shared" si="7"/>
        <v>0.001833180568</v>
      </c>
      <c r="R2243" s="2">
        <v>1091.0</v>
      </c>
      <c r="S2243" s="5">
        <f t="shared" si="8"/>
        <v>1</v>
      </c>
    </row>
    <row r="2244">
      <c r="A2244" s="2" t="s">
        <v>2254</v>
      </c>
      <c r="B2244" s="2">
        <v>15.0</v>
      </c>
      <c r="C2244" s="2">
        <v>196.0</v>
      </c>
      <c r="D2244" s="2">
        <v>84.0</v>
      </c>
      <c r="E2244" s="3">
        <f t="shared" si="1"/>
        <v>0.4640883978</v>
      </c>
      <c r="F2244" s="2">
        <v>25.0</v>
      </c>
      <c r="G2244" s="3">
        <f t="shared" si="2"/>
        <v>0.138121547</v>
      </c>
      <c r="H2244" s="2">
        <v>34.0</v>
      </c>
      <c r="I2244" s="3">
        <f t="shared" si="3"/>
        <v>0.1878453039</v>
      </c>
      <c r="J2244" s="2">
        <v>27.0</v>
      </c>
      <c r="K2244" s="3">
        <f t="shared" si="4"/>
        <v>0.1491712707</v>
      </c>
      <c r="L2244" s="2">
        <v>14.0</v>
      </c>
      <c r="M2244" s="3">
        <f t="shared" si="5"/>
        <v>0.4117647059</v>
      </c>
      <c r="N2244" s="2">
        <v>180400.0</v>
      </c>
      <c r="O2244" s="4">
        <f t="shared" si="6"/>
        <v>5305.882353</v>
      </c>
      <c r="P2244" s="2">
        <v>0.0</v>
      </c>
      <c r="Q2244" s="3">
        <f t="shared" si="7"/>
        <v>0</v>
      </c>
      <c r="R2244" s="2">
        <v>15.0</v>
      </c>
      <c r="S2244" s="5">
        <f t="shared" si="8"/>
        <v>1</v>
      </c>
    </row>
    <row r="2245">
      <c r="A2245" s="2" t="s">
        <v>2255</v>
      </c>
      <c r="B2245" s="2">
        <v>1678.0</v>
      </c>
      <c r="C2245" s="2">
        <v>19445.0</v>
      </c>
      <c r="D2245" s="2">
        <v>6475.0</v>
      </c>
      <c r="E2245" s="3">
        <f t="shared" si="1"/>
        <v>0.3644396916</v>
      </c>
      <c r="F2245" s="2">
        <v>2454.0</v>
      </c>
      <c r="G2245" s="3">
        <f t="shared" si="2"/>
        <v>0.138121236</v>
      </c>
      <c r="H2245" s="2">
        <v>4040.0</v>
      </c>
      <c r="I2245" s="3">
        <f t="shared" si="3"/>
        <v>0.2273878539</v>
      </c>
      <c r="J2245" s="2">
        <v>3260.0</v>
      </c>
      <c r="K2245" s="3">
        <f t="shared" si="4"/>
        <v>0.1834862385</v>
      </c>
      <c r="L2245" s="2">
        <v>2454.0</v>
      </c>
      <c r="M2245" s="3">
        <f t="shared" si="5"/>
        <v>0.6074257426</v>
      </c>
      <c r="N2245" s="2">
        <v>2.309E7</v>
      </c>
      <c r="O2245" s="4">
        <f t="shared" si="6"/>
        <v>5715.346535</v>
      </c>
      <c r="P2245" s="2">
        <v>5.0</v>
      </c>
      <c r="Q2245" s="3">
        <f t="shared" si="7"/>
        <v>0.002979737783</v>
      </c>
      <c r="R2245" s="2">
        <v>1678.0</v>
      </c>
      <c r="S2245" s="5">
        <f t="shared" si="8"/>
        <v>1</v>
      </c>
    </row>
    <row r="2246">
      <c r="A2246" s="2" t="s">
        <v>2256</v>
      </c>
      <c r="B2246" s="2">
        <v>85.0</v>
      </c>
      <c r="C2246" s="2">
        <v>1019.0</v>
      </c>
      <c r="D2246" s="2">
        <v>284.0</v>
      </c>
      <c r="E2246" s="3">
        <f t="shared" si="1"/>
        <v>0.3040685225</v>
      </c>
      <c r="F2246" s="2">
        <v>129.0</v>
      </c>
      <c r="G2246" s="3">
        <f t="shared" si="2"/>
        <v>0.1381156317</v>
      </c>
      <c r="H2246" s="2">
        <v>191.0</v>
      </c>
      <c r="I2246" s="3">
        <f t="shared" si="3"/>
        <v>0.204496788</v>
      </c>
      <c r="J2246" s="2">
        <v>161.0</v>
      </c>
      <c r="K2246" s="3">
        <f t="shared" si="4"/>
        <v>0.1723768737</v>
      </c>
      <c r="L2246" s="2">
        <v>117.0</v>
      </c>
      <c r="M2246" s="3">
        <f t="shared" si="5"/>
        <v>0.612565445</v>
      </c>
      <c r="N2246" s="2">
        <v>1083900.0</v>
      </c>
      <c r="O2246" s="4">
        <f t="shared" si="6"/>
        <v>5674.86911</v>
      </c>
      <c r="P2246" s="2">
        <v>0.0</v>
      </c>
      <c r="Q2246" s="3">
        <f t="shared" si="7"/>
        <v>0</v>
      </c>
      <c r="R2246" s="2">
        <v>85.0</v>
      </c>
      <c r="S2246" s="5">
        <f t="shared" si="8"/>
        <v>1</v>
      </c>
    </row>
    <row r="2247">
      <c r="A2247" s="2" t="s">
        <v>2257</v>
      </c>
      <c r="B2247" s="2">
        <v>73.0</v>
      </c>
      <c r="C2247" s="2">
        <v>826.0</v>
      </c>
      <c r="D2247" s="2">
        <v>246.0</v>
      </c>
      <c r="E2247" s="3">
        <f t="shared" si="1"/>
        <v>0.3266932271</v>
      </c>
      <c r="F2247" s="2">
        <v>104.0</v>
      </c>
      <c r="G2247" s="3">
        <f t="shared" si="2"/>
        <v>0.1381142098</v>
      </c>
      <c r="H2247" s="2">
        <v>130.0</v>
      </c>
      <c r="I2247" s="3">
        <f t="shared" si="3"/>
        <v>0.1726427623</v>
      </c>
      <c r="J2247" s="2">
        <v>141.0</v>
      </c>
      <c r="K2247" s="3">
        <f t="shared" si="4"/>
        <v>0.187250996</v>
      </c>
      <c r="L2247" s="2">
        <v>71.0</v>
      </c>
      <c r="M2247" s="3">
        <f t="shared" si="5"/>
        <v>0.5461538462</v>
      </c>
      <c r="N2247" s="2">
        <v>848300.0</v>
      </c>
      <c r="O2247" s="4">
        <f t="shared" si="6"/>
        <v>6525.384615</v>
      </c>
      <c r="P2247" s="2">
        <v>0.0</v>
      </c>
      <c r="Q2247" s="3">
        <f t="shared" si="7"/>
        <v>0</v>
      </c>
      <c r="R2247" s="2">
        <v>73.0</v>
      </c>
      <c r="S2247" s="5">
        <f t="shared" si="8"/>
        <v>1</v>
      </c>
    </row>
    <row r="2248">
      <c r="A2248" s="2" t="s">
        <v>2258</v>
      </c>
      <c r="B2248" s="2">
        <v>252.0</v>
      </c>
      <c r="C2248" s="2">
        <v>2931.0</v>
      </c>
      <c r="D2248" s="2">
        <v>796.0</v>
      </c>
      <c r="E2248" s="3">
        <f t="shared" si="1"/>
        <v>0.2971257932</v>
      </c>
      <c r="F2248" s="2">
        <v>370.0</v>
      </c>
      <c r="G2248" s="3">
        <f t="shared" si="2"/>
        <v>0.1381112355</v>
      </c>
      <c r="H2248" s="2">
        <v>558.0</v>
      </c>
      <c r="I2248" s="3">
        <f t="shared" si="3"/>
        <v>0.2082866741</v>
      </c>
      <c r="J2248" s="2">
        <v>441.0</v>
      </c>
      <c r="K2248" s="3">
        <f t="shared" si="4"/>
        <v>0.1646136618</v>
      </c>
      <c r="L2248" s="2">
        <v>332.0</v>
      </c>
      <c r="M2248" s="3">
        <f t="shared" si="5"/>
        <v>0.5949820789</v>
      </c>
      <c r="N2248" s="2">
        <v>3122400.0</v>
      </c>
      <c r="O2248" s="4">
        <f t="shared" si="6"/>
        <v>5595.698925</v>
      </c>
      <c r="P2248" s="2">
        <v>1.0</v>
      </c>
      <c r="Q2248" s="3">
        <f t="shared" si="7"/>
        <v>0.003968253968</v>
      </c>
      <c r="R2248" s="2">
        <v>252.0</v>
      </c>
      <c r="S2248" s="5">
        <f t="shared" si="8"/>
        <v>1</v>
      </c>
    </row>
    <row r="2249">
      <c r="A2249" s="2" t="s">
        <v>2259</v>
      </c>
      <c r="B2249" s="2">
        <v>306.0</v>
      </c>
      <c r="C2249" s="2">
        <v>3586.0</v>
      </c>
      <c r="D2249" s="2">
        <v>895.0</v>
      </c>
      <c r="E2249" s="3">
        <f t="shared" si="1"/>
        <v>0.2728658537</v>
      </c>
      <c r="F2249" s="2">
        <v>453.0</v>
      </c>
      <c r="G2249" s="3">
        <f t="shared" si="2"/>
        <v>0.1381097561</v>
      </c>
      <c r="H2249" s="2">
        <v>657.0</v>
      </c>
      <c r="I2249" s="3">
        <f t="shared" si="3"/>
        <v>0.200304878</v>
      </c>
      <c r="J2249" s="2">
        <v>473.0</v>
      </c>
      <c r="K2249" s="3">
        <f t="shared" si="4"/>
        <v>0.1442073171</v>
      </c>
      <c r="L2249" s="2">
        <v>428.0</v>
      </c>
      <c r="M2249" s="3">
        <f t="shared" si="5"/>
        <v>0.6514459665</v>
      </c>
      <c r="N2249" s="2">
        <v>3998500.0</v>
      </c>
      <c r="O2249" s="4">
        <f t="shared" si="6"/>
        <v>6085.996956</v>
      </c>
      <c r="P2249" s="2">
        <v>3.0</v>
      </c>
      <c r="Q2249" s="3">
        <f t="shared" si="7"/>
        <v>0.009803921569</v>
      </c>
      <c r="R2249" s="2">
        <v>0.0</v>
      </c>
      <c r="S2249" s="5">
        <f t="shared" si="8"/>
        <v>0</v>
      </c>
    </row>
    <row r="2250">
      <c r="A2250" s="2" t="s">
        <v>2260</v>
      </c>
      <c r="B2250" s="2">
        <v>1279.0</v>
      </c>
      <c r="C2250" s="2">
        <v>14857.0</v>
      </c>
      <c r="D2250" s="2">
        <v>3660.0</v>
      </c>
      <c r="E2250" s="3">
        <f t="shared" si="1"/>
        <v>0.2695536898</v>
      </c>
      <c r="F2250" s="2">
        <v>1875.0</v>
      </c>
      <c r="G2250" s="3">
        <f t="shared" si="2"/>
        <v>0.1380910296</v>
      </c>
      <c r="H2250" s="2">
        <v>2720.0</v>
      </c>
      <c r="I2250" s="3">
        <f t="shared" si="3"/>
        <v>0.2003240536</v>
      </c>
      <c r="J2250" s="2">
        <v>1913.0</v>
      </c>
      <c r="K2250" s="3">
        <f t="shared" si="4"/>
        <v>0.1408896745</v>
      </c>
      <c r="L2250" s="2">
        <v>1622.0</v>
      </c>
      <c r="M2250" s="3">
        <f t="shared" si="5"/>
        <v>0.5963235294</v>
      </c>
      <c r="N2250" s="2">
        <v>1.56013E7</v>
      </c>
      <c r="O2250" s="4">
        <f t="shared" si="6"/>
        <v>5735.772059</v>
      </c>
      <c r="P2250" s="2">
        <v>0.0</v>
      </c>
      <c r="Q2250" s="3">
        <f t="shared" si="7"/>
        <v>0</v>
      </c>
      <c r="R2250" s="2">
        <v>1279.0</v>
      </c>
      <c r="S2250" s="5">
        <f t="shared" si="8"/>
        <v>1</v>
      </c>
    </row>
    <row r="2251">
      <c r="A2251" s="2" t="s">
        <v>2261</v>
      </c>
      <c r="B2251" s="2">
        <v>1365.0</v>
      </c>
      <c r="C2251" s="2">
        <v>16051.0</v>
      </c>
      <c r="D2251" s="2">
        <v>4772.0</v>
      </c>
      <c r="E2251" s="3">
        <f t="shared" si="1"/>
        <v>0.3249353125</v>
      </c>
      <c r="F2251" s="2">
        <v>2028.0</v>
      </c>
      <c r="G2251" s="3">
        <f t="shared" si="2"/>
        <v>0.1380906986</v>
      </c>
      <c r="H2251" s="2">
        <v>3290.0</v>
      </c>
      <c r="I2251" s="3">
        <f t="shared" si="3"/>
        <v>0.2240228789</v>
      </c>
      <c r="J2251" s="2">
        <v>2685.0</v>
      </c>
      <c r="K2251" s="3">
        <f t="shared" si="4"/>
        <v>0.1828271824</v>
      </c>
      <c r="L2251" s="2">
        <v>1989.0</v>
      </c>
      <c r="M2251" s="3">
        <f t="shared" si="5"/>
        <v>0.6045592705</v>
      </c>
      <c r="N2251" s="2">
        <v>1.8496E7</v>
      </c>
      <c r="O2251" s="4">
        <f t="shared" si="6"/>
        <v>5621.884498</v>
      </c>
      <c r="P2251" s="2">
        <v>3.0</v>
      </c>
      <c r="Q2251" s="3">
        <f t="shared" si="7"/>
        <v>0.002197802198</v>
      </c>
      <c r="R2251" s="2">
        <v>1365.0</v>
      </c>
      <c r="S2251" s="5">
        <f t="shared" si="8"/>
        <v>1</v>
      </c>
    </row>
    <row r="2252">
      <c r="A2252" s="2" t="s">
        <v>2262</v>
      </c>
      <c r="B2252" s="2">
        <v>126.0</v>
      </c>
      <c r="C2252" s="2">
        <v>1473.0</v>
      </c>
      <c r="D2252" s="2">
        <v>483.0</v>
      </c>
      <c r="E2252" s="3">
        <f t="shared" si="1"/>
        <v>0.3585746102</v>
      </c>
      <c r="F2252" s="2">
        <v>186.0</v>
      </c>
      <c r="G2252" s="3">
        <f t="shared" si="2"/>
        <v>0.1380846325</v>
      </c>
      <c r="H2252" s="2">
        <v>279.0</v>
      </c>
      <c r="I2252" s="3">
        <f t="shared" si="3"/>
        <v>0.2071269488</v>
      </c>
      <c r="J2252" s="2">
        <v>201.0</v>
      </c>
      <c r="K2252" s="3">
        <f t="shared" si="4"/>
        <v>0.14922049</v>
      </c>
      <c r="L2252" s="2">
        <v>158.0</v>
      </c>
      <c r="M2252" s="3">
        <f t="shared" si="5"/>
        <v>0.5663082437</v>
      </c>
      <c r="N2252" s="2">
        <v>1510300.0</v>
      </c>
      <c r="O2252" s="4">
        <f t="shared" si="6"/>
        <v>5413.261649</v>
      </c>
      <c r="P2252" s="2">
        <v>0.0</v>
      </c>
      <c r="Q2252" s="3">
        <f t="shared" si="7"/>
        <v>0</v>
      </c>
      <c r="R2252" s="2">
        <v>0.0</v>
      </c>
      <c r="S2252" s="5">
        <f t="shared" si="8"/>
        <v>0</v>
      </c>
    </row>
    <row r="2253">
      <c r="A2253" s="2" t="s">
        <v>2263</v>
      </c>
      <c r="B2253" s="2">
        <v>132.0</v>
      </c>
      <c r="C2253" s="2">
        <v>1537.0</v>
      </c>
      <c r="D2253" s="2">
        <v>519.0</v>
      </c>
      <c r="E2253" s="3">
        <f t="shared" si="1"/>
        <v>0.3693950178</v>
      </c>
      <c r="F2253" s="2">
        <v>194.0</v>
      </c>
      <c r="G2253" s="3">
        <f t="shared" si="2"/>
        <v>0.1380782918</v>
      </c>
      <c r="H2253" s="2">
        <v>296.0</v>
      </c>
      <c r="I2253" s="3">
        <f t="shared" si="3"/>
        <v>0.2106761566</v>
      </c>
      <c r="J2253" s="2">
        <v>208.0</v>
      </c>
      <c r="K2253" s="3">
        <f t="shared" si="4"/>
        <v>0.1480427046</v>
      </c>
      <c r="L2253" s="2">
        <v>180.0</v>
      </c>
      <c r="M2253" s="3">
        <f t="shared" si="5"/>
        <v>0.6081081081</v>
      </c>
      <c r="N2253" s="2">
        <v>1636000.0</v>
      </c>
      <c r="O2253" s="4">
        <f t="shared" si="6"/>
        <v>5527.027027</v>
      </c>
      <c r="P2253" s="2">
        <v>0.0</v>
      </c>
      <c r="Q2253" s="3">
        <f t="shared" si="7"/>
        <v>0</v>
      </c>
      <c r="R2253" s="2">
        <v>132.0</v>
      </c>
      <c r="S2253" s="5">
        <f t="shared" si="8"/>
        <v>1</v>
      </c>
    </row>
    <row r="2254">
      <c r="A2254" s="2" t="s">
        <v>2264</v>
      </c>
      <c r="B2254" s="2">
        <v>222.0</v>
      </c>
      <c r="C2254" s="2">
        <v>2583.0</v>
      </c>
      <c r="D2254" s="2">
        <v>846.0</v>
      </c>
      <c r="E2254" s="3">
        <f t="shared" si="1"/>
        <v>0.3583227446</v>
      </c>
      <c r="F2254" s="2">
        <v>326.0</v>
      </c>
      <c r="G2254" s="3">
        <f t="shared" si="2"/>
        <v>0.138077086</v>
      </c>
      <c r="H2254" s="2">
        <v>506.0</v>
      </c>
      <c r="I2254" s="3">
        <f t="shared" si="3"/>
        <v>0.2143159678</v>
      </c>
      <c r="J2254" s="2">
        <v>434.0</v>
      </c>
      <c r="K2254" s="3">
        <f t="shared" si="4"/>
        <v>0.1838204151</v>
      </c>
      <c r="L2254" s="2">
        <v>315.0</v>
      </c>
      <c r="M2254" s="3">
        <f t="shared" si="5"/>
        <v>0.6225296443</v>
      </c>
      <c r="N2254" s="2">
        <v>2657400.0</v>
      </c>
      <c r="O2254" s="4">
        <f t="shared" si="6"/>
        <v>5251.778656</v>
      </c>
      <c r="P2254" s="2">
        <v>0.0</v>
      </c>
      <c r="Q2254" s="3">
        <f t="shared" si="7"/>
        <v>0</v>
      </c>
      <c r="R2254" s="2">
        <v>222.0</v>
      </c>
      <c r="S2254" s="5">
        <f t="shared" si="8"/>
        <v>1</v>
      </c>
    </row>
    <row r="2255">
      <c r="A2255" s="2" t="s">
        <v>2265</v>
      </c>
      <c r="B2255" s="2">
        <v>65.0</v>
      </c>
      <c r="C2255" s="2">
        <v>782.0</v>
      </c>
      <c r="D2255" s="2">
        <v>352.0</v>
      </c>
      <c r="E2255" s="3">
        <f t="shared" si="1"/>
        <v>0.4909344491</v>
      </c>
      <c r="F2255" s="2">
        <v>99.0</v>
      </c>
      <c r="G2255" s="3">
        <f t="shared" si="2"/>
        <v>0.1380753138</v>
      </c>
      <c r="H2255" s="2">
        <v>149.0</v>
      </c>
      <c r="I2255" s="3">
        <f t="shared" si="3"/>
        <v>0.2078103208</v>
      </c>
      <c r="J2255" s="2">
        <v>91.0</v>
      </c>
      <c r="K2255" s="3">
        <f t="shared" si="4"/>
        <v>0.1269177127</v>
      </c>
      <c r="L2255" s="2">
        <v>95.0</v>
      </c>
      <c r="M2255" s="3">
        <f t="shared" si="5"/>
        <v>0.6375838926</v>
      </c>
      <c r="N2255" s="2">
        <v>747800.0</v>
      </c>
      <c r="O2255" s="4">
        <f t="shared" si="6"/>
        <v>5018.791946</v>
      </c>
      <c r="P2255" s="2">
        <v>0.0</v>
      </c>
      <c r="Q2255" s="3">
        <f t="shared" si="7"/>
        <v>0</v>
      </c>
      <c r="R2255" s="2">
        <v>65.0</v>
      </c>
      <c r="S2255" s="5">
        <f t="shared" si="8"/>
        <v>1</v>
      </c>
    </row>
    <row r="2256">
      <c r="A2256" s="2" t="s">
        <v>2266</v>
      </c>
      <c r="B2256" s="2">
        <v>1688.0</v>
      </c>
      <c r="C2256" s="2">
        <v>19773.0</v>
      </c>
      <c r="D2256" s="2">
        <v>6741.0</v>
      </c>
      <c r="E2256" s="3">
        <f t="shared" si="1"/>
        <v>0.3727398396</v>
      </c>
      <c r="F2256" s="2">
        <v>2497.0</v>
      </c>
      <c r="G2256" s="3">
        <f t="shared" si="2"/>
        <v>0.1380702239</v>
      </c>
      <c r="H2256" s="2">
        <v>3877.0</v>
      </c>
      <c r="I2256" s="3">
        <f t="shared" si="3"/>
        <v>0.2143765552</v>
      </c>
      <c r="J2256" s="2">
        <v>2618.0</v>
      </c>
      <c r="K2256" s="3">
        <f t="shared" si="4"/>
        <v>0.1447608515</v>
      </c>
      <c r="L2256" s="2">
        <v>2329.0</v>
      </c>
      <c r="M2256" s="3">
        <f t="shared" si="5"/>
        <v>0.6007222079</v>
      </c>
      <c r="N2256" s="2">
        <v>2.16641E7</v>
      </c>
      <c r="O2256" s="4">
        <f t="shared" si="6"/>
        <v>5587.851432</v>
      </c>
      <c r="P2256" s="2">
        <v>6.0</v>
      </c>
      <c r="Q2256" s="3">
        <f t="shared" si="7"/>
        <v>0.00355450237</v>
      </c>
      <c r="R2256" s="2">
        <v>1688.0</v>
      </c>
      <c r="S2256" s="5">
        <f t="shared" si="8"/>
        <v>1</v>
      </c>
    </row>
    <row r="2257">
      <c r="A2257" s="2" t="s">
        <v>2267</v>
      </c>
      <c r="B2257" s="2">
        <v>52.0</v>
      </c>
      <c r="C2257" s="2">
        <v>588.0</v>
      </c>
      <c r="D2257" s="2">
        <v>177.0</v>
      </c>
      <c r="E2257" s="3">
        <f t="shared" si="1"/>
        <v>0.3302238806</v>
      </c>
      <c r="F2257" s="2">
        <v>74.0</v>
      </c>
      <c r="G2257" s="3">
        <f t="shared" si="2"/>
        <v>0.1380597015</v>
      </c>
      <c r="H2257" s="2">
        <v>92.0</v>
      </c>
      <c r="I2257" s="3">
        <f t="shared" si="3"/>
        <v>0.171641791</v>
      </c>
      <c r="J2257" s="2">
        <v>80.0</v>
      </c>
      <c r="K2257" s="3">
        <f t="shared" si="4"/>
        <v>0.1492537313</v>
      </c>
      <c r="L2257" s="2">
        <v>59.0</v>
      </c>
      <c r="M2257" s="3">
        <f t="shared" si="5"/>
        <v>0.6413043478</v>
      </c>
      <c r="N2257" s="2">
        <v>454400.0</v>
      </c>
      <c r="O2257" s="4">
        <f t="shared" si="6"/>
        <v>4939.130435</v>
      </c>
      <c r="P2257" s="2">
        <v>0.0</v>
      </c>
      <c r="Q2257" s="3">
        <f t="shared" si="7"/>
        <v>0</v>
      </c>
      <c r="R2257" s="2">
        <v>52.0</v>
      </c>
      <c r="S2257" s="5">
        <f t="shared" si="8"/>
        <v>1</v>
      </c>
    </row>
    <row r="2258">
      <c r="A2258" s="2" t="s">
        <v>2268</v>
      </c>
      <c r="B2258" s="2">
        <v>1636.0</v>
      </c>
      <c r="C2258" s="2">
        <v>18847.0</v>
      </c>
      <c r="D2258" s="2">
        <v>5448.0</v>
      </c>
      <c r="E2258" s="3">
        <f t="shared" si="1"/>
        <v>0.3165417466</v>
      </c>
      <c r="F2258" s="2">
        <v>2376.0</v>
      </c>
      <c r="G2258" s="3">
        <f t="shared" si="2"/>
        <v>0.1380512463</v>
      </c>
      <c r="H2258" s="2">
        <v>3739.0</v>
      </c>
      <c r="I2258" s="3">
        <f t="shared" si="3"/>
        <v>0.2172447853</v>
      </c>
      <c r="J2258" s="2">
        <v>3494.0</v>
      </c>
      <c r="K2258" s="3">
        <f t="shared" si="4"/>
        <v>0.2030097031</v>
      </c>
      <c r="L2258" s="2">
        <v>2212.0</v>
      </c>
      <c r="M2258" s="3">
        <f t="shared" si="5"/>
        <v>0.5916020326</v>
      </c>
      <c r="N2258" s="2">
        <v>2.19431E7</v>
      </c>
      <c r="O2258" s="4">
        <f t="shared" si="6"/>
        <v>5868.708211</v>
      </c>
      <c r="P2258" s="2">
        <v>3.0</v>
      </c>
      <c r="Q2258" s="3">
        <f t="shared" si="7"/>
        <v>0.001833740831</v>
      </c>
      <c r="R2258" s="2">
        <v>1636.0</v>
      </c>
      <c r="S2258" s="5">
        <f t="shared" si="8"/>
        <v>1</v>
      </c>
    </row>
    <row r="2259">
      <c r="A2259" s="2" t="s">
        <v>2269</v>
      </c>
      <c r="B2259" s="2">
        <v>136.0</v>
      </c>
      <c r="C2259" s="2">
        <v>1592.0</v>
      </c>
      <c r="D2259" s="2">
        <v>555.0</v>
      </c>
      <c r="E2259" s="3">
        <f t="shared" si="1"/>
        <v>0.3811813187</v>
      </c>
      <c r="F2259" s="2">
        <v>201.0</v>
      </c>
      <c r="G2259" s="3">
        <f t="shared" si="2"/>
        <v>0.1380494505</v>
      </c>
      <c r="H2259" s="2">
        <v>294.0</v>
      </c>
      <c r="I2259" s="3">
        <f t="shared" si="3"/>
        <v>0.2019230769</v>
      </c>
      <c r="J2259" s="2">
        <v>263.0</v>
      </c>
      <c r="K2259" s="3">
        <f t="shared" si="4"/>
        <v>0.1806318681</v>
      </c>
      <c r="L2259" s="2">
        <v>161.0</v>
      </c>
      <c r="M2259" s="3">
        <f t="shared" si="5"/>
        <v>0.5476190476</v>
      </c>
      <c r="N2259" s="2">
        <v>1712200.0</v>
      </c>
      <c r="O2259" s="4">
        <f t="shared" si="6"/>
        <v>5823.809524</v>
      </c>
      <c r="P2259" s="2">
        <v>0.0</v>
      </c>
      <c r="Q2259" s="3">
        <f t="shared" si="7"/>
        <v>0</v>
      </c>
      <c r="R2259" s="2">
        <v>37.0</v>
      </c>
      <c r="S2259" s="5">
        <f t="shared" si="8"/>
        <v>0.2720588235</v>
      </c>
    </row>
    <row r="2260">
      <c r="A2260" s="2" t="s">
        <v>2270</v>
      </c>
      <c r="B2260" s="2">
        <v>181.0</v>
      </c>
      <c r="C2260" s="2">
        <v>2137.0</v>
      </c>
      <c r="D2260" s="2">
        <v>747.0</v>
      </c>
      <c r="E2260" s="3">
        <f t="shared" si="1"/>
        <v>0.3819018405</v>
      </c>
      <c r="F2260" s="2">
        <v>270.0</v>
      </c>
      <c r="G2260" s="3">
        <f t="shared" si="2"/>
        <v>0.1380368098</v>
      </c>
      <c r="H2260" s="2">
        <v>383.0</v>
      </c>
      <c r="I2260" s="3">
        <f t="shared" si="3"/>
        <v>0.195807771</v>
      </c>
      <c r="J2260" s="2">
        <v>309.0</v>
      </c>
      <c r="K2260" s="3">
        <f t="shared" si="4"/>
        <v>0.1579754601</v>
      </c>
      <c r="L2260" s="2">
        <v>238.0</v>
      </c>
      <c r="M2260" s="3">
        <f t="shared" si="5"/>
        <v>0.6214099217</v>
      </c>
      <c r="N2260" s="2">
        <v>2270200.0</v>
      </c>
      <c r="O2260" s="4">
        <f t="shared" si="6"/>
        <v>5927.415144</v>
      </c>
      <c r="P2260" s="2">
        <v>0.0</v>
      </c>
      <c r="Q2260" s="3">
        <f t="shared" si="7"/>
        <v>0</v>
      </c>
      <c r="R2260" s="2">
        <v>181.0</v>
      </c>
      <c r="S2260" s="5">
        <f t="shared" si="8"/>
        <v>1</v>
      </c>
    </row>
    <row r="2261">
      <c r="A2261" s="2" t="s">
        <v>2271</v>
      </c>
      <c r="B2261" s="2">
        <v>394.0</v>
      </c>
      <c r="C2261" s="2">
        <v>4596.0</v>
      </c>
      <c r="D2261" s="2">
        <v>1204.0</v>
      </c>
      <c r="E2261" s="3">
        <f t="shared" si="1"/>
        <v>0.2865302237</v>
      </c>
      <c r="F2261" s="2">
        <v>580.0</v>
      </c>
      <c r="G2261" s="3">
        <f t="shared" si="2"/>
        <v>0.1380295098</v>
      </c>
      <c r="H2261" s="2">
        <v>837.0</v>
      </c>
      <c r="I2261" s="3">
        <f t="shared" si="3"/>
        <v>0.1991908615</v>
      </c>
      <c r="J2261" s="2">
        <v>729.0</v>
      </c>
      <c r="K2261" s="3">
        <f t="shared" si="4"/>
        <v>0.1734888149</v>
      </c>
      <c r="L2261" s="2">
        <v>485.0</v>
      </c>
      <c r="M2261" s="3">
        <f t="shared" si="5"/>
        <v>0.5794504182</v>
      </c>
      <c r="N2261" s="2">
        <v>5268700.0</v>
      </c>
      <c r="O2261" s="4">
        <f t="shared" si="6"/>
        <v>6294.74313</v>
      </c>
      <c r="P2261" s="2">
        <v>2.0</v>
      </c>
      <c r="Q2261" s="3">
        <f t="shared" si="7"/>
        <v>0.005076142132</v>
      </c>
      <c r="R2261" s="2">
        <v>394.0</v>
      </c>
      <c r="S2261" s="5">
        <f t="shared" si="8"/>
        <v>1</v>
      </c>
    </row>
    <row r="2262">
      <c r="A2262" s="2" t="s">
        <v>2272</v>
      </c>
      <c r="B2262" s="2">
        <v>1997.0</v>
      </c>
      <c r="C2262" s="2">
        <v>23420.0</v>
      </c>
      <c r="D2262" s="2">
        <v>7446.0</v>
      </c>
      <c r="E2262" s="3">
        <f t="shared" si="1"/>
        <v>0.3475703683</v>
      </c>
      <c r="F2262" s="2">
        <v>2957.0</v>
      </c>
      <c r="G2262" s="3">
        <f t="shared" si="2"/>
        <v>0.1380292209</v>
      </c>
      <c r="H2262" s="2">
        <v>4539.0</v>
      </c>
      <c r="I2262" s="3">
        <f t="shared" si="3"/>
        <v>0.2118750875</v>
      </c>
      <c r="J2262" s="2">
        <v>3790.0</v>
      </c>
      <c r="K2262" s="3">
        <f t="shared" si="4"/>
        <v>0.176912664</v>
      </c>
      <c r="L2262" s="2">
        <v>2664.0</v>
      </c>
      <c r="M2262" s="3">
        <f t="shared" si="5"/>
        <v>0.5869134171</v>
      </c>
      <c r="N2262" s="2">
        <v>2.50491E7</v>
      </c>
      <c r="O2262" s="4">
        <f t="shared" si="6"/>
        <v>5518.638467</v>
      </c>
      <c r="P2262" s="2">
        <v>3.0</v>
      </c>
      <c r="Q2262" s="3">
        <f t="shared" si="7"/>
        <v>0.00150225338</v>
      </c>
      <c r="R2262" s="2">
        <v>15.0</v>
      </c>
      <c r="S2262" s="5">
        <f t="shared" si="8"/>
        <v>0.0075112669</v>
      </c>
    </row>
    <row r="2263">
      <c r="A2263" s="2" t="s">
        <v>2273</v>
      </c>
      <c r="B2263" s="2">
        <v>546.0</v>
      </c>
      <c r="C2263" s="2">
        <v>6364.0</v>
      </c>
      <c r="D2263" s="2">
        <v>2148.0</v>
      </c>
      <c r="E2263" s="3">
        <f t="shared" si="1"/>
        <v>0.3691990375</v>
      </c>
      <c r="F2263" s="2">
        <v>803.0</v>
      </c>
      <c r="G2263" s="3">
        <f t="shared" si="2"/>
        <v>0.1380199381</v>
      </c>
      <c r="H2263" s="2">
        <v>1239.0</v>
      </c>
      <c r="I2263" s="3">
        <f t="shared" si="3"/>
        <v>0.21295978</v>
      </c>
      <c r="J2263" s="2">
        <v>1101.0</v>
      </c>
      <c r="K2263" s="3">
        <f t="shared" si="4"/>
        <v>0.1892402888</v>
      </c>
      <c r="L2263" s="2">
        <v>727.0</v>
      </c>
      <c r="M2263" s="3">
        <f t="shared" si="5"/>
        <v>0.586763519</v>
      </c>
      <c r="N2263" s="2">
        <v>7151100.0</v>
      </c>
      <c r="O2263" s="4">
        <f t="shared" si="6"/>
        <v>5771.670702</v>
      </c>
      <c r="P2263" s="2">
        <v>1.0</v>
      </c>
      <c r="Q2263" s="3">
        <f t="shared" si="7"/>
        <v>0.001831501832</v>
      </c>
      <c r="R2263" s="2">
        <v>546.0</v>
      </c>
      <c r="S2263" s="5">
        <f t="shared" si="8"/>
        <v>1</v>
      </c>
    </row>
    <row r="2264">
      <c r="A2264" s="2" t="s">
        <v>2274</v>
      </c>
      <c r="B2264" s="2">
        <v>111.0</v>
      </c>
      <c r="C2264" s="2">
        <v>1321.0</v>
      </c>
      <c r="D2264" s="2">
        <v>405.0</v>
      </c>
      <c r="E2264" s="3">
        <f t="shared" si="1"/>
        <v>0.3347107438</v>
      </c>
      <c r="F2264" s="2">
        <v>167.0</v>
      </c>
      <c r="G2264" s="3">
        <f t="shared" si="2"/>
        <v>0.1380165289</v>
      </c>
      <c r="H2264" s="2">
        <v>248.0</v>
      </c>
      <c r="I2264" s="3">
        <f t="shared" si="3"/>
        <v>0.2049586777</v>
      </c>
      <c r="J2264" s="2">
        <v>206.0</v>
      </c>
      <c r="K2264" s="3">
        <f t="shared" si="4"/>
        <v>0.1702479339</v>
      </c>
      <c r="L2264" s="2">
        <v>140.0</v>
      </c>
      <c r="M2264" s="3">
        <f t="shared" si="5"/>
        <v>0.564516129</v>
      </c>
      <c r="N2264" s="2">
        <v>1348900.0</v>
      </c>
      <c r="O2264" s="4">
        <f t="shared" si="6"/>
        <v>5439.112903</v>
      </c>
      <c r="P2264" s="2">
        <v>0.0</v>
      </c>
      <c r="Q2264" s="3">
        <f t="shared" si="7"/>
        <v>0</v>
      </c>
      <c r="R2264" s="2">
        <v>111.0</v>
      </c>
      <c r="S2264" s="5">
        <f t="shared" si="8"/>
        <v>1</v>
      </c>
    </row>
    <row r="2265">
      <c r="A2265" s="2" t="s">
        <v>2275</v>
      </c>
      <c r="B2265" s="2">
        <v>525.0</v>
      </c>
      <c r="C2265" s="2">
        <v>6010.0</v>
      </c>
      <c r="D2265" s="2">
        <v>2302.0</v>
      </c>
      <c r="E2265" s="3">
        <f t="shared" si="1"/>
        <v>0.4196900638</v>
      </c>
      <c r="F2265" s="2">
        <v>757.0</v>
      </c>
      <c r="G2265" s="3">
        <f t="shared" si="2"/>
        <v>0.1380127621</v>
      </c>
      <c r="H2265" s="2">
        <v>1189.0</v>
      </c>
      <c r="I2265" s="3">
        <f t="shared" si="3"/>
        <v>0.2167730173</v>
      </c>
      <c r="J2265" s="2">
        <v>870.0</v>
      </c>
      <c r="K2265" s="3">
        <f t="shared" si="4"/>
        <v>0.1586144029</v>
      </c>
      <c r="L2265" s="2">
        <v>735.0</v>
      </c>
      <c r="M2265" s="3">
        <f t="shared" si="5"/>
        <v>0.6181665265</v>
      </c>
      <c r="N2265" s="2">
        <v>6592100.0</v>
      </c>
      <c r="O2265" s="4">
        <f t="shared" si="6"/>
        <v>5544.238856</v>
      </c>
      <c r="P2265" s="2">
        <v>1.0</v>
      </c>
      <c r="Q2265" s="3">
        <f t="shared" si="7"/>
        <v>0.001904761905</v>
      </c>
      <c r="R2265" s="2">
        <v>209.0</v>
      </c>
      <c r="S2265" s="5">
        <f t="shared" si="8"/>
        <v>0.3980952381</v>
      </c>
    </row>
    <row r="2266">
      <c r="A2266" s="2" t="s">
        <v>2276</v>
      </c>
      <c r="B2266" s="2">
        <v>2347.0</v>
      </c>
      <c r="C2266" s="2">
        <v>27304.0</v>
      </c>
      <c r="D2266" s="2">
        <v>8161.0</v>
      </c>
      <c r="E2266" s="3">
        <f t="shared" si="1"/>
        <v>0.3270024442</v>
      </c>
      <c r="F2266" s="2">
        <v>3444.0</v>
      </c>
      <c r="G2266" s="3">
        <f t="shared" si="2"/>
        <v>0.1379973555</v>
      </c>
      <c r="H2266" s="2">
        <v>5276.0</v>
      </c>
      <c r="I2266" s="3">
        <f t="shared" si="3"/>
        <v>0.2114036142</v>
      </c>
      <c r="J2266" s="2">
        <v>4553.0</v>
      </c>
      <c r="K2266" s="3">
        <f t="shared" si="4"/>
        <v>0.1824337861</v>
      </c>
      <c r="L2266" s="2">
        <v>3129.0</v>
      </c>
      <c r="M2266" s="3">
        <f t="shared" si="5"/>
        <v>0.5930629265</v>
      </c>
      <c r="N2266" s="2">
        <v>3.15029E7</v>
      </c>
      <c r="O2266" s="4">
        <f t="shared" si="6"/>
        <v>5970.981804</v>
      </c>
      <c r="P2266" s="2">
        <v>9.0</v>
      </c>
      <c r="Q2266" s="3">
        <f t="shared" si="7"/>
        <v>0.003834682573</v>
      </c>
      <c r="R2266" s="2">
        <v>0.0</v>
      </c>
      <c r="S2266" s="5">
        <f t="shared" si="8"/>
        <v>0</v>
      </c>
    </row>
    <row r="2267">
      <c r="A2267" s="2" t="s">
        <v>2277</v>
      </c>
      <c r="B2267" s="2">
        <v>160.0</v>
      </c>
      <c r="C2267" s="2">
        <v>1892.0</v>
      </c>
      <c r="D2267" s="2">
        <v>595.0</v>
      </c>
      <c r="E2267" s="3">
        <f t="shared" si="1"/>
        <v>0.3435334873</v>
      </c>
      <c r="F2267" s="2">
        <v>239.0</v>
      </c>
      <c r="G2267" s="3">
        <f t="shared" si="2"/>
        <v>0.1379907621</v>
      </c>
      <c r="H2267" s="2">
        <v>384.0</v>
      </c>
      <c r="I2267" s="3">
        <f t="shared" si="3"/>
        <v>0.2217090069</v>
      </c>
      <c r="J2267" s="2">
        <v>302.0</v>
      </c>
      <c r="K2267" s="3">
        <f t="shared" si="4"/>
        <v>0.1743648961</v>
      </c>
      <c r="L2267" s="2">
        <v>232.0</v>
      </c>
      <c r="M2267" s="3">
        <f t="shared" si="5"/>
        <v>0.6041666667</v>
      </c>
      <c r="N2267" s="2">
        <v>2177100.0</v>
      </c>
      <c r="O2267" s="4">
        <f t="shared" si="6"/>
        <v>5669.53125</v>
      </c>
      <c r="P2267" s="2">
        <v>1.0</v>
      </c>
      <c r="Q2267" s="3">
        <f t="shared" si="7"/>
        <v>0.00625</v>
      </c>
      <c r="R2267" s="2">
        <v>160.0</v>
      </c>
      <c r="S2267" s="5">
        <f t="shared" si="8"/>
        <v>1</v>
      </c>
    </row>
    <row r="2268">
      <c r="A2268" s="2" t="s">
        <v>2278</v>
      </c>
      <c r="B2268" s="2">
        <v>591.0</v>
      </c>
      <c r="C2268" s="2">
        <v>6925.0</v>
      </c>
      <c r="D2268" s="2">
        <v>2582.0</v>
      </c>
      <c r="E2268" s="3">
        <f t="shared" si="1"/>
        <v>0.4076413009</v>
      </c>
      <c r="F2268" s="2">
        <v>874.0</v>
      </c>
      <c r="G2268" s="3">
        <f t="shared" si="2"/>
        <v>0.1379854752</v>
      </c>
      <c r="H2268" s="2">
        <v>1425.0</v>
      </c>
      <c r="I2268" s="3">
        <f t="shared" si="3"/>
        <v>0.2249763183</v>
      </c>
      <c r="J2268" s="2">
        <v>991.0</v>
      </c>
      <c r="K2268" s="3">
        <f t="shared" si="4"/>
        <v>0.156457215</v>
      </c>
      <c r="L2268" s="2">
        <v>912.0</v>
      </c>
      <c r="M2268" s="3">
        <f t="shared" si="5"/>
        <v>0.64</v>
      </c>
      <c r="N2268" s="2">
        <v>7821500.0</v>
      </c>
      <c r="O2268" s="4">
        <f t="shared" si="6"/>
        <v>5488.77193</v>
      </c>
      <c r="P2268" s="2">
        <v>0.0</v>
      </c>
      <c r="Q2268" s="3">
        <f t="shared" si="7"/>
        <v>0</v>
      </c>
      <c r="R2268" s="2">
        <v>591.0</v>
      </c>
      <c r="S2268" s="5">
        <f t="shared" si="8"/>
        <v>1</v>
      </c>
    </row>
    <row r="2269">
      <c r="A2269" s="2" t="s">
        <v>2279</v>
      </c>
      <c r="B2269" s="2">
        <v>880.0</v>
      </c>
      <c r="C2269" s="2">
        <v>10345.0</v>
      </c>
      <c r="D2269" s="2">
        <v>2688.0</v>
      </c>
      <c r="E2269" s="3">
        <f t="shared" si="1"/>
        <v>0.2839936609</v>
      </c>
      <c r="F2269" s="2">
        <v>1306.0</v>
      </c>
      <c r="G2269" s="3">
        <f t="shared" si="2"/>
        <v>0.1379820391</v>
      </c>
      <c r="H2269" s="2">
        <v>1880.0</v>
      </c>
      <c r="I2269" s="3">
        <f t="shared" si="3"/>
        <v>0.1986265188</v>
      </c>
      <c r="J2269" s="2">
        <v>1606.0</v>
      </c>
      <c r="K2269" s="3">
        <f t="shared" si="4"/>
        <v>0.1696777602</v>
      </c>
      <c r="L2269" s="2">
        <v>1081.0</v>
      </c>
      <c r="M2269" s="3">
        <f t="shared" si="5"/>
        <v>0.575</v>
      </c>
      <c r="N2269" s="2">
        <v>1.19904E7</v>
      </c>
      <c r="O2269" s="4">
        <f t="shared" si="6"/>
        <v>6377.87234</v>
      </c>
      <c r="P2269" s="2">
        <v>1.0</v>
      </c>
      <c r="Q2269" s="3">
        <f t="shared" si="7"/>
        <v>0.001136363636</v>
      </c>
      <c r="R2269" s="2">
        <v>880.0</v>
      </c>
      <c r="S2269" s="5">
        <f t="shared" si="8"/>
        <v>1</v>
      </c>
    </row>
    <row r="2270">
      <c r="A2270" s="2" t="s">
        <v>2280</v>
      </c>
      <c r="B2270" s="2">
        <v>575.0</v>
      </c>
      <c r="C2270" s="2">
        <v>6750.0</v>
      </c>
      <c r="D2270" s="2">
        <v>1887.0</v>
      </c>
      <c r="E2270" s="3">
        <f t="shared" si="1"/>
        <v>0.3055870445</v>
      </c>
      <c r="F2270" s="2">
        <v>852.0</v>
      </c>
      <c r="G2270" s="3">
        <f t="shared" si="2"/>
        <v>0.1379757085</v>
      </c>
      <c r="H2270" s="2">
        <v>1301.0</v>
      </c>
      <c r="I2270" s="3">
        <f t="shared" si="3"/>
        <v>0.2106882591</v>
      </c>
      <c r="J2270" s="2">
        <v>1146.0</v>
      </c>
      <c r="K2270" s="3">
        <f t="shared" si="4"/>
        <v>0.1855870445</v>
      </c>
      <c r="L2270" s="2">
        <v>745.0</v>
      </c>
      <c r="M2270" s="3">
        <f t="shared" si="5"/>
        <v>0.5726364335</v>
      </c>
      <c r="N2270" s="2">
        <v>7892900.0</v>
      </c>
      <c r="O2270" s="4">
        <f t="shared" si="6"/>
        <v>6066.794773</v>
      </c>
      <c r="P2270" s="2">
        <v>1.0</v>
      </c>
      <c r="Q2270" s="3">
        <f t="shared" si="7"/>
        <v>0.001739130435</v>
      </c>
      <c r="R2270" s="2">
        <v>575.0</v>
      </c>
      <c r="S2270" s="5">
        <f t="shared" si="8"/>
        <v>1</v>
      </c>
    </row>
    <row r="2271">
      <c r="A2271" s="2" t="s">
        <v>2281</v>
      </c>
      <c r="B2271" s="2">
        <v>1803.0</v>
      </c>
      <c r="C2271" s="2">
        <v>20843.0</v>
      </c>
      <c r="D2271" s="2">
        <v>6408.0</v>
      </c>
      <c r="E2271" s="3">
        <f t="shared" si="1"/>
        <v>0.3365546218</v>
      </c>
      <c r="F2271" s="2">
        <v>2627.0</v>
      </c>
      <c r="G2271" s="3">
        <f t="shared" si="2"/>
        <v>0.1379726891</v>
      </c>
      <c r="H2271" s="2">
        <v>4229.0</v>
      </c>
      <c r="I2271" s="3">
        <f t="shared" si="3"/>
        <v>0.2221113445</v>
      </c>
      <c r="J2271" s="2">
        <v>3699.0</v>
      </c>
      <c r="K2271" s="3">
        <f t="shared" si="4"/>
        <v>0.1942752101</v>
      </c>
      <c r="L2271" s="2">
        <v>2508.0</v>
      </c>
      <c r="M2271" s="3">
        <f t="shared" si="5"/>
        <v>0.5930480019</v>
      </c>
      <c r="N2271" s="2">
        <v>2.52903E7</v>
      </c>
      <c r="O2271" s="4">
        <f t="shared" si="6"/>
        <v>5980.208087</v>
      </c>
      <c r="P2271" s="2">
        <v>11.0</v>
      </c>
      <c r="Q2271" s="3">
        <f t="shared" si="7"/>
        <v>0.006100942873</v>
      </c>
      <c r="R2271" s="2">
        <v>1803.0</v>
      </c>
      <c r="S2271" s="5">
        <f t="shared" si="8"/>
        <v>1</v>
      </c>
    </row>
    <row r="2272">
      <c r="A2272" s="2" t="s">
        <v>2282</v>
      </c>
      <c r="B2272" s="2">
        <v>1339.0</v>
      </c>
      <c r="C2272" s="2">
        <v>15842.0</v>
      </c>
      <c r="D2272" s="2">
        <v>4957.0</v>
      </c>
      <c r="E2272" s="3">
        <f t="shared" si="1"/>
        <v>0.3417913535</v>
      </c>
      <c r="F2272" s="2">
        <v>2001.0</v>
      </c>
      <c r="G2272" s="3">
        <f t="shared" si="2"/>
        <v>0.1379714542</v>
      </c>
      <c r="H2272" s="2">
        <v>3088.0</v>
      </c>
      <c r="I2272" s="3">
        <f t="shared" si="3"/>
        <v>0.2129214645</v>
      </c>
      <c r="J2272" s="2">
        <v>2736.0</v>
      </c>
      <c r="K2272" s="3">
        <f t="shared" si="4"/>
        <v>0.188650624</v>
      </c>
      <c r="L2272" s="2">
        <v>1907.0</v>
      </c>
      <c r="M2272" s="3">
        <f t="shared" si="5"/>
        <v>0.6175518135</v>
      </c>
      <c r="N2272" s="2">
        <v>1.80418E7</v>
      </c>
      <c r="O2272" s="4">
        <f t="shared" si="6"/>
        <v>5842.551813</v>
      </c>
      <c r="P2272" s="2">
        <v>2.0</v>
      </c>
      <c r="Q2272" s="3">
        <f t="shared" si="7"/>
        <v>0.001493651979</v>
      </c>
      <c r="R2272" s="2">
        <v>1339.0</v>
      </c>
      <c r="S2272" s="5">
        <f t="shared" si="8"/>
        <v>1</v>
      </c>
    </row>
    <row r="2273">
      <c r="A2273" s="2" t="s">
        <v>2283</v>
      </c>
      <c r="B2273" s="2">
        <v>1417.0</v>
      </c>
      <c r="C2273" s="2">
        <v>16639.0</v>
      </c>
      <c r="D2273" s="2">
        <v>5898.0</v>
      </c>
      <c r="E2273" s="3">
        <f t="shared" si="1"/>
        <v>0.3874655104</v>
      </c>
      <c r="F2273" s="2">
        <v>2100.0</v>
      </c>
      <c r="G2273" s="3">
        <f t="shared" si="2"/>
        <v>0.1379582184</v>
      </c>
      <c r="H2273" s="2">
        <v>3516.0</v>
      </c>
      <c r="I2273" s="3">
        <f t="shared" si="3"/>
        <v>0.2309814742</v>
      </c>
      <c r="J2273" s="2">
        <v>2724.0</v>
      </c>
      <c r="K2273" s="3">
        <f t="shared" si="4"/>
        <v>0.1789515175</v>
      </c>
      <c r="L2273" s="2">
        <v>2093.0</v>
      </c>
      <c r="M2273" s="3">
        <f t="shared" si="5"/>
        <v>0.5952787258</v>
      </c>
      <c r="N2273" s="2">
        <v>1.89317E7</v>
      </c>
      <c r="O2273" s="4">
        <f t="shared" si="6"/>
        <v>5384.442548</v>
      </c>
      <c r="P2273" s="2">
        <v>3.0</v>
      </c>
      <c r="Q2273" s="3">
        <f t="shared" si="7"/>
        <v>0.002117148906</v>
      </c>
      <c r="R2273" s="2">
        <v>1417.0</v>
      </c>
      <c r="S2273" s="5">
        <f t="shared" si="8"/>
        <v>1</v>
      </c>
    </row>
    <row r="2274">
      <c r="A2274" s="2" t="s">
        <v>2284</v>
      </c>
      <c r="B2274" s="2">
        <v>138.0</v>
      </c>
      <c r="C2274" s="2">
        <v>1653.0</v>
      </c>
      <c r="D2274" s="2">
        <v>449.0</v>
      </c>
      <c r="E2274" s="3">
        <f t="shared" si="1"/>
        <v>0.296369637</v>
      </c>
      <c r="F2274" s="2">
        <v>209.0</v>
      </c>
      <c r="G2274" s="3">
        <f t="shared" si="2"/>
        <v>0.1379537954</v>
      </c>
      <c r="H2274" s="2">
        <v>306.0</v>
      </c>
      <c r="I2274" s="3">
        <f t="shared" si="3"/>
        <v>0.201980198</v>
      </c>
      <c r="J2274" s="2">
        <v>323.0</v>
      </c>
      <c r="K2274" s="3">
        <f t="shared" si="4"/>
        <v>0.2132013201</v>
      </c>
      <c r="L2274" s="2">
        <v>177.0</v>
      </c>
      <c r="M2274" s="3">
        <f t="shared" si="5"/>
        <v>0.5784313725</v>
      </c>
      <c r="N2274" s="2">
        <v>1629900.0</v>
      </c>
      <c r="O2274" s="4">
        <f t="shared" si="6"/>
        <v>5326.470588</v>
      </c>
      <c r="P2274" s="2">
        <v>0.0</v>
      </c>
      <c r="Q2274" s="3">
        <f t="shared" si="7"/>
        <v>0</v>
      </c>
      <c r="R2274" s="2">
        <v>138.0</v>
      </c>
      <c r="S2274" s="5">
        <f t="shared" si="8"/>
        <v>1</v>
      </c>
    </row>
    <row r="2275">
      <c r="A2275" s="2" t="s">
        <v>2285</v>
      </c>
      <c r="B2275" s="2">
        <v>400.0</v>
      </c>
      <c r="C2275" s="2">
        <v>4735.0</v>
      </c>
      <c r="D2275" s="2">
        <v>1529.0</v>
      </c>
      <c r="E2275" s="3">
        <f t="shared" si="1"/>
        <v>0.352710496</v>
      </c>
      <c r="F2275" s="2">
        <v>598.0</v>
      </c>
      <c r="G2275" s="3">
        <f t="shared" si="2"/>
        <v>0.1379469435</v>
      </c>
      <c r="H2275" s="2">
        <v>928.0</v>
      </c>
      <c r="I2275" s="3">
        <f t="shared" si="3"/>
        <v>0.214071511</v>
      </c>
      <c r="J2275" s="2">
        <v>651.0</v>
      </c>
      <c r="K2275" s="3">
        <f t="shared" si="4"/>
        <v>0.1501730104</v>
      </c>
      <c r="L2275" s="2">
        <v>549.0</v>
      </c>
      <c r="M2275" s="3">
        <f t="shared" si="5"/>
        <v>0.5915948276</v>
      </c>
      <c r="N2275" s="2">
        <v>5010800.0</v>
      </c>
      <c r="O2275" s="4">
        <f t="shared" si="6"/>
        <v>5399.568966</v>
      </c>
      <c r="P2275" s="2">
        <v>1.0</v>
      </c>
      <c r="Q2275" s="3">
        <f t="shared" si="7"/>
        <v>0.0025</v>
      </c>
      <c r="R2275" s="2">
        <v>400.0</v>
      </c>
      <c r="S2275" s="5">
        <f t="shared" si="8"/>
        <v>1</v>
      </c>
    </row>
    <row r="2276">
      <c r="A2276" s="2" t="s">
        <v>2286</v>
      </c>
      <c r="B2276" s="2">
        <v>354.0</v>
      </c>
      <c r="C2276" s="2">
        <v>4131.0</v>
      </c>
      <c r="D2276" s="2">
        <v>1339.0</v>
      </c>
      <c r="E2276" s="3">
        <f t="shared" si="1"/>
        <v>0.3545141647</v>
      </c>
      <c r="F2276" s="2">
        <v>521.0</v>
      </c>
      <c r="G2276" s="3">
        <f t="shared" si="2"/>
        <v>0.1379401642</v>
      </c>
      <c r="H2276" s="2">
        <v>820.0</v>
      </c>
      <c r="I2276" s="3">
        <f t="shared" si="3"/>
        <v>0.2171035213</v>
      </c>
      <c r="J2276" s="2">
        <v>651.0</v>
      </c>
      <c r="K2276" s="3">
        <f t="shared" si="4"/>
        <v>0.1723590151</v>
      </c>
      <c r="L2276" s="2">
        <v>487.0</v>
      </c>
      <c r="M2276" s="3">
        <f t="shared" si="5"/>
        <v>0.593902439</v>
      </c>
      <c r="N2276" s="2">
        <v>4679700.0</v>
      </c>
      <c r="O2276" s="4">
        <f t="shared" si="6"/>
        <v>5706.95122</v>
      </c>
      <c r="P2276" s="2">
        <v>1.0</v>
      </c>
      <c r="Q2276" s="3">
        <f t="shared" si="7"/>
        <v>0.002824858757</v>
      </c>
      <c r="R2276" s="2">
        <v>354.0</v>
      </c>
      <c r="S2276" s="5">
        <f t="shared" si="8"/>
        <v>1</v>
      </c>
    </row>
    <row r="2277">
      <c r="A2277" s="2" t="s">
        <v>2287</v>
      </c>
      <c r="B2277" s="2">
        <v>354.0</v>
      </c>
      <c r="C2277" s="2">
        <v>4124.0</v>
      </c>
      <c r="D2277" s="2">
        <v>1275.0</v>
      </c>
      <c r="E2277" s="3">
        <f t="shared" si="1"/>
        <v>0.3381962865</v>
      </c>
      <c r="F2277" s="2">
        <v>520.0</v>
      </c>
      <c r="G2277" s="3">
        <f t="shared" si="2"/>
        <v>0.1379310345</v>
      </c>
      <c r="H2277" s="2">
        <v>787.0</v>
      </c>
      <c r="I2277" s="3">
        <f t="shared" si="3"/>
        <v>0.2087533156</v>
      </c>
      <c r="J2277" s="2">
        <v>733.0</v>
      </c>
      <c r="K2277" s="3">
        <f t="shared" si="4"/>
        <v>0.1944297082</v>
      </c>
      <c r="L2277" s="2">
        <v>459.0</v>
      </c>
      <c r="M2277" s="3">
        <f t="shared" si="5"/>
        <v>0.583227446</v>
      </c>
      <c r="N2277" s="2">
        <v>4433600.0</v>
      </c>
      <c r="O2277" s="4">
        <f t="shared" si="6"/>
        <v>5633.545108</v>
      </c>
      <c r="P2277" s="2">
        <v>0.0</v>
      </c>
      <c r="Q2277" s="3">
        <f t="shared" si="7"/>
        <v>0</v>
      </c>
      <c r="R2277" s="2">
        <v>260.0</v>
      </c>
      <c r="S2277" s="5">
        <f t="shared" si="8"/>
        <v>0.7344632768</v>
      </c>
    </row>
    <row r="2278">
      <c r="A2278" s="2" t="s">
        <v>2288</v>
      </c>
      <c r="B2278" s="2">
        <v>13.0</v>
      </c>
      <c r="C2278" s="2">
        <v>158.0</v>
      </c>
      <c r="D2278" s="2">
        <v>45.0</v>
      </c>
      <c r="E2278" s="3">
        <f t="shared" si="1"/>
        <v>0.3103448276</v>
      </c>
      <c r="F2278" s="2">
        <v>20.0</v>
      </c>
      <c r="G2278" s="3">
        <f t="shared" si="2"/>
        <v>0.1379310345</v>
      </c>
      <c r="H2278" s="2">
        <v>30.0</v>
      </c>
      <c r="I2278" s="3">
        <f t="shared" si="3"/>
        <v>0.2068965517</v>
      </c>
      <c r="J2278" s="2">
        <v>26.0</v>
      </c>
      <c r="K2278" s="3">
        <f t="shared" si="4"/>
        <v>0.1793103448</v>
      </c>
      <c r="L2278" s="2">
        <v>22.0</v>
      </c>
      <c r="M2278" s="3">
        <f t="shared" si="5"/>
        <v>0.7333333333</v>
      </c>
      <c r="N2278" s="2">
        <v>197500.0</v>
      </c>
      <c r="O2278" s="4">
        <f t="shared" si="6"/>
        <v>6583.333333</v>
      </c>
      <c r="P2278" s="2">
        <v>0.0</v>
      </c>
      <c r="Q2278" s="3">
        <f t="shared" si="7"/>
        <v>0</v>
      </c>
      <c r="R2278" s="2">
        <v>13.0</v>
      </c>
      <c r="S2278" s="5">
        <f t="shared" si="8"/>
        <v>1</v>
      </c>
    </row>
    <row r="2279">
      <c r="A2279" s="2">
        <v>2357.0</v>
      </c>
      <c r="B2279" s="2">
        <v>18.0</v>
      </c>
      <c r="C2279" s="2">
        <v>221.0</v>
      </c>
      <c r="D2279" s="2">
        <v>82.0</v>
      </c>
      <c r="E2279" s="3">
        <f t="shared" si="1"/>
        <v>0.4039408867</v>
      </c>
      <c r="F2279" s="2">
        <v>28.0</v>
      </c>
      <c r="G2279" s="3">
        <f t="shared" si="2"/>
        <v>0.1379310345</v>
      </c>
      <c r="H2279" s="2">
        <v>49.0</v>
      </c>
      <c r="I2279" s="3">
        <f t="shared" si="3"/>
        <v>0.2413793103</v>
      </c>
      <c r="J2279" s="2">
        <v>31.0</v>
      </c>
      <c r="K2279" s="3">
        <f t="shared" si="4"/>
        <v>0.1527093596</v>
      </c>
      <c r="L2279" s="2">
        <v>26.0</v>
      </c>
      <c r="M2279" s="3">
        <f t="shared" si="5"/>
        <v>0.5306122449</v>
      </c>
      <c r="N2279" s="2">
        <v>273400.0</v>
      </c>
      <c r="O2279" s="4">
        <f t="shared" si="6"/>
        <v>5579.591837</v>
      </c>
      <c r="P2279" s="2">
        <v>0.0</v>
      </c>
      <c r="Q2279" s="3">
        <f t="shared" si="7"/>
        <v>0</v>
      </c>
      <c r="R2279" s="2">
        <v>18.0</v>
      </c>
      <c r="S2279" s="5">
        <f t="shared" si="8"/>
        <v>1</v>
      </c>
    </row>
    <row r="2280">
      <c r="A2280" s="2" t="s">
        <v>2289</v>
      </c>
      <c r="B2280" s="2">
        <v>6.0</v>
      </c>
      <c r="C2280" s="2">
        <v>64.0</v>
      </c>
      <c r="D2280" s="2">
        <v>12.0</v>
      </c>
      <c r="E2280" s="3">
        <f t="shared" si="1"/>
        <v>0.2068965517</v>
      </c>
      <c r="F2280" s="2">
        <v>8.0</v>
      </c>
      <c r="G2280" s="3">
        <f t="shared" si="2"/>
        <v>0.1379310345</v>
      </c>
      <c r="H2280" s="2">
        <v>8.0</v>
      </c>
      <c r="I2280" s="3">
        <f t="shared" si="3"/>
        <v>0.1379310345</v>
      </c>
      <c r="J2280" s="2">
        <v>8.0</v>
      </c>
      <c r="K2280" s="3">
        <f t="shared" si="4"/>
        <v>0.1379310345</v>
      </c>
      <c r="L2280" s="2">
        <v>7.0</v>
      </c>
      <c r="M2280" s="3">
        <f t="shared" si="5"/>
        <v>0.875</v>
      </c>
      <c r="N2280" s="2">
        <v>56100.0</v>
      </c>
      <c r="O2280" s="4">
        <f t="shared" si="6"/>
        <v>7012.5</v>
      </c>
      <c r="P2280" s="2">
        <v>0.0</v>
      </c>
      <c r="Q2280" s="3">
        <f t="shared" si="7"/>
        <v>0</v>
      </c>
      <c r="R2280" s="2">
        <v>6.0</v>
      </c>
      <c r="S2280" s="5">
        <f t="shared" si="8"/>
        <v>1</v>
      </c>
    </row>
    <row r="2281">
      <c r="A2281" s="2" t="s">
        <v>2290</v>
      </c>
      <c r="B2281" s="2">
        <v>6.0</v>
      </c>
      <c r="C2281" s="2">
        <v>64.0</v>
      </c>
      <c r="D2281" s="2">
        <v>25.0</v>
      </c>
      <c r="E2281" s="3">
        <f t="shared" si="1"/>
        <v>0.4310344828</v>
      </c>
      <c r="F2281" s="2">
        <v>8.0</v>
      </c>
      <c r="G2281" s="3">
        <f t="shared" si="2"/>
        <v>0.1379310345</v>
      </c>
      <c r="H2281" s="2">
        <v>9.0</v>
      </c>
      <c r="I2281" s="3">
        <f t="shared" si="3"/>
        <v>0.1551724138</v>
      </c>
      <c r="J2281" s="2">
        <v>4.0</v>
      </c>
      <c r="K2281" s="3">
        <f t="shared" si="4"/>
        <v>0.06896551724</v>
      </c>
      <c r="L2281" s="2">
        <v>5.0</v>
      </c>
      <c r="M2281" s="3">
        <f t="shared" si="5"/>
        <v>0.5555555556</v>
      </c>
      <c r="N2281" s="2">
        <v>32600.0</v>
      </c>
      <c r="O2281" s="4">
        <f t="shared" si="6"/>
        <v>3622.222222</v>
      </c>
      <c r="P2281" s="2">
        <v>0.0</v>
      </c>
      <c r="Q2281" s="3">
        <f t="shared" si="7"/>
        <v>0</v>
      </c>
      <c r="R2281" s="2">
        <v>0.0</v>
      </c>
      <c r="S2281" s="5">
        <f t="shared" si="8"/>
        <v>0</v>
      </c>
    </row>
    <row r="2282">
      <c r="A2282" s="2" t="s">
        <v>2291</v>
      </c>
      <c r="B2282" s="2">
        <v>950.0</v>
      </c>
      <c r="C2282" s="2">
        <v>11289.0</v>
      </c>
      <c r="D2282" s="2">
        <v>3288.0</v>
      </c>
      <c r="E2282" s="3">
        <f t="shared" si="1"/>
        <v>0.3180191508</v>
      </c>
      <c r="F2282" s="2">
        <v>1426.0</v>
      </c>
      <c r="G2282" s="3">
        <f t="shared" si="2"/>
        <v>0.1379243641</v>
      </c>
      <c r="H2282" s="2">
        <v>2369.0</v>
      </c>
      <c r="I2282" s="3">
        <f t="shared" si="3"/>
        <v>0.2291324113</v>
      </c>
      <c r="J2282" s="2">
        <v>1867.0</v>
      </c>
      <c r="K2282" s="3">
        <f t="shared" si="4"/>
        <v>0.1805783925</v>
      </c>
      <c r="L2282" s="2">
        <v>1411.0</v>
      </c>
      <c r="M2282" s="3">
        <f t="shared" si="5"/>
        <v>0.595609962</v>
      </c>
      <c r="N2282" s="2">
        <v>1.33648E7</v>
      </c>
      <c r="O2282" s="4">
        <f t="shared" si="6"/>
        <v>5641.536513</v>
      </c>
      <c r="P2282" s="2">
        <v>1.0</v>
      </c>
      <c r="Q2282" s="3">
        <f t="shared" si="7"/>
        <v>0.001052631579</v>
      </c>
      <c r="R2282" s="2">
        <v>950.0</v>
      </c>
      <c r="S2282" s="5">
        <f t="shared" si="8"/>
        <v>1</v>
      </c>
    </row>
    <row r="2283">
      <c r="A2283" s="2" t="s">
        <v>2292</v>
      </c>
      <c r="B2283" s="2">
        <v>282.0</v>
      </c>
      <c r="C2283" s="2">
        <v>3291.0</v>
      </c>
      <c r="D2283" s="2">
        <v>936.0</v>
      </c>
      <c r="E2283" s="3">
        <f t="shared" si="1"/>
        <v>0.3110667996</v>
      </c>
      <c r="F2283" s="2">
        <v>415.0</v>
      </c>
      <c r="G2283" s="3">
        <f t="shared" si="2"/>
        <v>0.1379195746</v>
      </c>
      <c r="H2283" s="2">
        <v>669.0</v>
      </c>
      <c r="I2283" s="3">
        <f t="shared" si="3"/>
        <v>0.222333001</v>
      </c>
      <c r="J2283" s="2">
        <v>512.0</v>
      </c>
      <c r="K2283" s="3">
        <f t="shared" si="4"/>
        <v>0.1701561981</v>
      </c>
      <c r="L2283" s="2">
        <v>406.0</v>
      </c>
      <c r="M2283" s="3">
        <f t="shared" si="5"/>
        <v>0.6068759342</v>
      </c>
      <c r="N2283" s="2">
        <v>3559000.0</v>
      </c>
      <c r="O2283" s="4">
        <f t="shared" si="6"/>
        <v>5319.880419</v>
      </c>
      <c r="P2283" s="2">
        <v>1.0</v>
      </c>
      <c r="Q2283" s="3">
        <f t="shared" si="7"/>
        <v>0.003546099291</v>
      </c>
      <c r="R2283" s="2">
        <v>282.0</v>
      </c>
      <c r="S2283" s="5">
        <f t="shared" si="8"/>
        <v>1</v>
      </c>
    </row>
    <row r="2284">
      <c r="A2284" s="2" t="s">
        <v>2293</v>
      </c>
      <c r="B2284" s="2">
        <v>743.0</v>
      </c>
      <c r="C2284" s="2">
        <v>8538.0</v>
      </c>
      <c r="D2284" s="2">
        <v>2848.0</v>
      </c>
      <c r="E2284" s="3">
        <f t="shared" si="1"/>
        <v>0.3653624118</v>
      </c>
      <c r="F2284" s="2">
        <v>1075.0</v>
      </c>
      <c r="G2284" s="3">
        <f t="shared" si="2"/>
        <v>0.137908916</v>
      </c>
      <c r="H2284" s="2">
        <v>1672.0</v>
      </c>
      <c r="I2284" s="3">
        <f t="shared" si="3"/>
        <v>0.2144964721</v>
      </c>
      <c r="J2284" s="2">
        <v>1525.0</v>
      </c>
      <c r="K2284" s="3">
        <f t="shared" si="4"/>
        <v>0.1956382296</v>
      </c>
      <c r="L2284" s="2">
        <v>999.0</v>
      </c>
      <c r="M2284" s="3">
        <f t="shared" si="5"/>
        <v>0.5974880383</v>
      </c>
      <c r="N2284" s="2">
        <v>9499800.0</v>
      </c>
      <c r="O2284" s="4">
        <f t="shared" si="6"/>
        <v>5681.698565</v>
      </c>
      <c r="P2284" s="2">
        <v>4.0</v>
      </c>
      <c r="Q2284" s="3">
        <f t="shared" si="7"/>
        <v>0.005383580081</v>
      </c>
      <c r="R2284" s="2">
        <v>743.0</v>
      </c>
      <c r="S2284" s="5">
        <f t="shared" si="8"/>
        <v>1</v>
      </c>
    </row>
    <row r="2285">
      <c r="A2285" s="2" t="s">
        <v>2294</v>
      </c>
      <c r="B2285" s="2">
        <v>436.0</v>
      </c>
      <c r="C2285" s="2">
        <v>5113.0</v>
      </c>
      <c r="D2285" s="2">
        <v>1538.0</v>
      </c>
      <c r="E2285" s="3">
        <f t="shared" si="1"/>
        <v>0.3288432756</v>
      </c>
      <c r="F2285" s="2">
        <v>645.0</v>
      </c>
      <c r="G2285" s="3">
        <f t="shared" si="2"/>
        <v>0.137908916</v>
      </c>
      <c r="H2285" s="2">
        <v>966.0</v>
      </c>
      <c r="I2285" s="3">
        <f t="shared" si="3"/>
        <v>0.2065426555</v>
      </c>
      <c r="J2285" s="2">
        <v>805.0</v>
      </c>
      <c r="K2285" s="3">
        <f t="shared" si="4"/>
        <v>0.1721188796</v>
      </c>
      <c r="L2285" s="2">
        <v>573.0</v>
      </c>
      <c r="M2285" s="3">
        <f t="shared" si="5"/>
        <v>0.5931677019</v>
      </c>
      <c r="N2285" s="2">
        <v>5828200.0</v>
      </c>
      <c r="O2285" s="4">
        <f t="shared" si="6"/>
        <v>6033.333333</v>
      </c>
      <c r="P2285" s="2">
        <v>0.0</v>
      </c>
      <c r="Q2285" s="3">
        <f t="shared" si="7"/>
        <v>0</v>
      </c>
      <c r="R2285" s="2">
        <v>436.0</v>
      </c>
      <c r="S2285" s="5">
        <f t="shared" si="8"/>
        <v>1</v>
      </c>
    </row>
    <row r="2286">
      <c r="A2286" s="2" t="s">
        <v>2295</v>
      </c>
      <c r="B2286" s="2">
        <v>143.0</v>
      </c>
      <c r="C2286" s="2">
        <v>1673.0</v>
      </c>
      <c r="D2286" s="2">
        <v>528.0</v>
      </c>
      <c r="E2286" s="3">
        <f t="shared" si="1"/>
        <v>0.3450980392</v>
      </c>
      <c r="F2286" s="2">
        <v>211.0</v>
      </c>
      <c r="G2286" s="3">
        <f t="shared" si="2"/>
        <v>0.1379084967</v>
      </c>
      <c r="H2286" s="2">
        <v>284.0</v>
      </c>
      <c r="I2286" s="3">
        <f t="shared" si="3"/>
        <v>0.185620915</v>
      </c>
      <c r="J2286" s="2">
        <v>242.0</v>
      </c>
      <c r="K2286" s="3">
        <f t="shared" si="4"/>
        <v>0.1581699346</v>
      </c>
      <c r="L2286" s="2">
        <v>162.0</v>
      </c>
      <c r="M2286" s="3">
        <f t="shared" si="5"/>
        <v>0.5704225352</v>
      </c>
      <c r="N2286" s="2">
        <v>1622500.0</v>
      </c>
      <c r="O2286" s="4">
        <f t="shared" si="6"/>
        <v>5713.028169</v>
      </c>
      <c r="P2286" s="2">
        <v>0.0</v>
      </c>
      <c r="Q2286" s="3">
        <f t="shared" si="7"/>
        <v>0</v>
      </c>
      <c r="R2286" s="2">
        <v>143.0</v>
      </c>
      <c r="S2286" s="5">
        <f t="shared" si="8"/>
        <v>1</v>
      </c>
    </row>
    <row r="2287">
      <c r="A2287" s="2" t="s">
        <v>2296</v>
      </c>
      <c r="B2287" s="2">
        <v>189.0</v>
      </c>
      <c r="C2287" s="2">
        <v>2205.0</v>
      </c>
      <c r="D2287" s="2">
        <v>682.0</v>
      </c>
      <c r="E2287" s="3">
        <f t="shared" si="1"/>
        <v>0.3382936508</v>
      </c>
      <c r="F2287" s="2">
        <v>278.0</v>
      </c>
      <c r="G2287" s="3">
        <f t="shared" si="2"/>
        <v>0.1378968254</v>
      </c>
      <c r="H2287" s="2">
        <v>435.0</v>
      </c>
      <c r="I2287" s="3">
        <f t="shared" si="3"/>
        <v>0.2157738095</v>
      </c>
      <c r="J2287" s="2">
        <v>395.0</v>
      </c>
      <c r="K2287" s="3">
        <f t="shared" si="4"/>
        <v>0.1959325397</v>
      </c>
      <c r="L2287" s="2">
        <v>254.0</v>
      </c>
      <c r="M2287" s="3">
        <f t="shared" si="5"/>
        <v>0.583908046</v>
      </c>
      <c r="N2287" s="2">
        <v>2523700.0</v>
      </c>
      <c r="O2287" s="4">
        <f t="shared" si="6"/>
        <v>5801.609195</v>
      </c>
      <c r="P2287" s="2">
        <v>0.0</v>
      </c>
      <c r="Q2287" s="3">
        <f t="shared" si="7"/>
        <v>0</v>
      </c>
      <c r="R2287" s="2">
        <v>189.0</v>
      </c>
      <c r="S2287" s="5">
        <f t="shared" si="8"/>
        <v>1</v>
      </c>
    </row>
    <row r="2288">
      <c r="A2288" s="2" t="s">
        <v>2297</v>
      </c>
      <c r="B2288" s="2">
        <v>171.0</v>
      </c>
      <c r="C2288" s="2">
        <v>1955.0</v>
      </c>
      <c r="D2288" s="2">
        <v>681.0</v>
      </c>
      <c r="E2288" s="3">
        <f t="shared" si="1"/>
        <v>0.3817264574</v>
      </c>
      <c r="F2288" s="2">
        <v>246.0</v>
      </c>
      <c r="G2288" s="3">
        <f t="shared" si="2"/>
        <v>0.1378923767</v>
      </c>
      <c r="H2288" s="2">
        <v>367.0</v>
      </c>
      <c r="I2288" s="3">
        <f t="shared" si="3"/>
        <v>0.2057174888</v>
      </c>
      <c r="J2288" s="2">
        <v>281.0</v>
      </c>
      <c r="K2288" s="3">
        <f t="shared" si="4"/>
        <v>0.1575112108</v>
      </c>
      <c r="L2288" s="2">
        <v>219.0</v>
      </c>
      <c r="M2288" s="3">
        <f t="shared" si="5"/>
        <v>0.5967302452</v>
      </c>
      <c r="N2288" s="2">
        <v>2169700.0</v>
      </c>
      <c r="O2288" s="4">
        <f t="shared" si="6"/>
        <v>5911.989101</v>
      </c>
      <c r="P2288" s="2">
        <v>2.0</v>
      </c>
      <c r="Q2288" s="3">
        <f t="shared" si="7"/>
        <v>0.01169590643</v>
      </c>
      <c r="R2288" s="2">
        <v>171.0</v>
      </c>
      <c r="S2288" s="5">
        <f t="shared" si="8"/>
        <v>1</v>
      </c>
    </row>
    <row r="2289">
      <c r="A2289" s="2" t="s">
        <v>2298</v>
      </c>
      <c r="B2289" s="2">
        <v>1537.0</v>
      </c>
      <c r="C2289" s="2">
        <v>18043.0</v>
      </c>
      <c r="D2289" s="2">
        <v>7013.0</v>
      </c>
      <c r="E2289" s="3">
        <f t="shared" si="1"/>
        <v>0.4248758027</v>
      </c>
      <c r="F2289" s="2">
        <v>2276.0</v>
      </c>
      <c r="G2289" s="3">
        <f t="shared" si="2"/>
        <v>0.1378892524</v>
      </c>
      <c r="H2289" s="2">
        <v>3708.0</v>
      </c>
      <c r="I2289" s="3">
        <f t="shared" si="3"/>
        <v>0.2246455834</v>
      </c>
      <c r="J2289" s="2">
        <v>3109.0</v>
      </c>
      <c r="K2289" s="3">
        <f t="shared" si="4"/>
        <v>0.1883557494</v>
      </c>
      <c r="L2289" s="2">
        <v>2228.0</v>
      </c>
      <c r="M2289" s="3">
        <f t="shared" si="5"/>
        <v>0.6008629989</v>
      </c>
      <c r="N2289" s="2">
        <v>2.04386E7</v>
      </c>
      <c r="O2289" s="4">
        <f t="shared" si="6"/>
        <v>5512.028047</v>
      </c>
      <c r="P2289" s="2">
        <v>1.0</v>
      </c>
      <c r="Q2289" s="3">
        <f t="shared" si="7"/>
        <v>0.0006506180872</v>
      </c>
      <c r="R2289" s="2">
        <v>1537.0</v>
      </c>
      <c r="S2289" s="5">
        <f t="shared" si="8"/>
        <v>1</v>
      </c>
    </row>
    <row r="2290">
      <c r="A2290" s="2" t="s">
        <v>2299</v>
      </c>
      <c r="B2290" s="2">
        <v>1950.0</v>
      </c>
      <c r="C2290" s="2">
        <v>22757.0</v>
      </c>
      <c r="D2290" s="2">
        <v>7268.0</v>
      </c>
      <c r="E2290" s="3">
        <f t="shared" si="1"/>
        <v>0.3493055222</v>
      </c>
      <c r="F2290" s="2">
        <v>2869.0</v>
      </c>
      <c r="G2290" s="3">
        <f t="shared" si="2"/>
        <v>0.1378862883</v>
      </c>
      <c r="H2290" s="2">
        <v>4703.0</v>
      </c>
      <c r="I2290" s="3">
        <f t="shared" si="3"/>
        <v>0.2260297015</v>
      </c>
      <c r="J2290" s="2">
        <v>3828.0</v>
      </c>
      <c r="K2290" s="3">
        <f t="shared" si="4"/>
        <v>0.1839765464</v>
      </c>
      <c r="L2290" s="2">
        <v>2850.0</v>
      </c>
      <c r="M2290" s="3">
        <f t="shared" si="5"/>
        <v>0.6059961727</v>
      </c>
      <c r="N2290" s="2">
        <v>2.64493E7</v>
      </c>
      <c r="O2290" s="4">
        <f t="shared" si="6"/>
        <v>5623.920902</v>
      </c>
      <c r="P2290" s="2">
        <v>5.0</v>
      </c>
      <c r="Q2290" s="3">
        <f t="shared" si="7"/>
        <v>0.002564102564</v>
      </c>
      <c r="R2290" s="2">
        <v>1950.0</v>
      </c>
      <c r="S2290" s="5">
        <f t="shared" si="8"/>
        <v>1</v>
      </c>
    </row>
    <row r="2291">
      <c r="A2291" s="2" t="s">
        <v>2300</v>
      </c>
      <c r="B2291" s="2">
        <v>681.0</v>
      </c>
      <c r="C2291" s="2">
        <v>7999.0</v>
      </c>
      <c r="D2291" s="2">
        <v>3164.0</v>
      </c>
      <c r="E2291" s="3">
        <f t="shared" si="1"/>
        <v>0.4323585679</v>
      </c>
      <c r="F2291" s="2">
        <v>1009.0</v>
      </c>
      <c r="G2291" s="3">
        <f t="shared" si="2"/>
        <v>0.137879202</v>
      </c>
      <c r="H2291" s="2">
        <v>1583.0</v>
      </c>
      <c r="I2291" s="3">
        <f t="shared" si="3"/>
        <v>0.2163159333</v>
      </c>
      <c r="J2291" s="2">
        <v>1141.0</v>
      </c>
      <c r="K2291" s="3">
        <f t="shared" si="4"/>
        <v>0.1559169172</v>
      </c>
      <c r="L2291" s="2">
        <v>948.0</v>
      </c>
      <c r="M2291" s="3">
        <f t="shared" si="5"/>
        <v>0.5988629185</v>
      </c>
      <c r="N2291" s="2">
        <v>8848400.0</v>
      </c>
      <c r="O2291" s="4">
        <f t="shared" si="6"/>
        <v>5589.639924</v>
      </c>
      <c r="P2291" s="2">
        <v>1.0</v>
      </c>
      <c r="Q2291" s="3">
        <f t="shared" si="7"/>
        <v>0.001468428781</v>
      </c>
      <c r="R2291" s="2">
        <v>681.0</v>
      </c>
      <c r="S2291" s="5">
        <f t="shared" si="8"/>
        <v>1</v>
      </c>
    </row>
    <row r="2292">
      <c r="A2292" s="2" t="s">
        <v>2301</v>
      </c>
      <c r="B2292" s="2">
        <v>55.0</v>
      </c>
      <c r="C2292" s="2">
        <v>657.0</v>
      </c>
      <c r="D2292" s="2">
        <v>153.0</v>
      </c>
      <c r="E2292" s="3">
        <f t="shared" si="1"/>
        <v>0.2541528239</v>
      </c>
      <c r="F2292" s="2">
        <v>83.0</v>
      </c>
      <c r="G2292" s="3">
        <f t="shared" si="2"/>
        <v>0.1378737542</v>
      </c>
      <c r="H2292" s="2">
        <v>105.0</v>
      </c>
      <c r="I2292" s="3">
        <f t="shared" si="3"/>
        <v>0.1744186047</v>
      </c>
      <c r="J2292" s="2">
        <v>109.0</v>
      </c>
      <c r="K2292" s="3">
        <f t="shared" si="4"/>
        <v>0.1810631229</v>
      </c>
      <c r="L2292" s="2">
        <v>59.0</v>
      </c>
      <c r="M2292" s="3">
        <f t="shared" si="5"/>
        <v>0.5619047619</v>
      </c>
      <c r="N2292" s="2">
        <v>694600.0</v>
      </c>
      <c r="O2292" s="4">
        <f t="shared" si="6"/>
        <v>6615.238095</v>
      </c>
      <c r="P2292" s="2">
        <v>0.0</v>
      </c>
      <c r="Q2292" s="3">
        <f t="shared" si="7"/>
        <v>0</v>
      </c>
      <c r="R2292" s="2">
        <v>55.0</v>
      </c>
      <c r="S2292" s="5">
        <f t="shared" si="8"/>
        <v>1</v>
      </c>
    </row>
    <row r="2293">
      <c r="A2293" s="2" t="s">
        <v>2302</v>
      </c>
      <c r="B2293" s="2">
        <v>275.0</v>
      </c>
      <c r="C2293" s="2">
        <v>3198.0</v>
      </c>
      <c r="D2293" s="2">
        <v>1060.0</v>
      </c>
      <c r="E2293" s="3">
        <f t="shared" si="1"/>
        <v>0.3626411221</v>
      </c>
      <c r="F2293" s="2">
        <v>403.0</v>
      </c>
      <c r="G2293" s="3">
        <f t="shared" si="2"/>
        <v>0.1378720493</v>
      </c>
      <c r="H2293" s="2">
        <v>699.0</v>
      </c>
      <c r="I2293" s="3">
        <f t="shared" si="3"/>
        <v>0.239137872</v>
      </c>
      <c r="J2293" s="2">
        <v>514.0</v>
      </c>
      <c r="K2293" s="3">
        <f t="shared" si="4"/>
        <v>0.1758467328</v>
      </c>
      <c r="L2293" s="2">
        <v>434.0</v>
      </c>
      <c r="M2293" s="3">
        <f t="shared" si="5"/>
        <v>0.6208869814</v>
      </c>
      <c r="N2293" s="2">
        <v>3730700.0</v>
      </c>
      <c r="O2293" s="4">
        <f t="shared" si="6"/>
        <v>5337.195994</v>
      </c>
      <c r="P2293" s="2">
        <v>0.0</v>
      </c>
      <c r="Q2293" s="3">
        <f t="shared" si="7"/>
        <v>0</v>
      </c>
      <c r="R2293" s="2">
        <v>275.0</v>
      </c>
      <c r="S2293" s="5">
        <f t="shared" si="8"/>
        <v>1</v>
      </c>
    </row>
    <row r="2294">
      <c r="A2294" s="2" t="s">
        <v>2303</v>
      </c>
      <c r="B2294" s="2">
        <v>186.0</v>
      </c>
      <c r="C2294" s="2">
        <v>2246.0</v>
      </c>
      <c r="D2294" s="2">
        <v>778.0</v>
      </c>
      <c r="E2294" s="3">
        <f t="shared" si="1"/>
        <v>0.3776699029</v>
      </c>
      <c r="F2294" s="2">
        <v>284.0</v>
      </c>
      <c r="G2294" s="3">
        <f t="shared" si="2"/>
        <v>0.1378640777</v>
      </c>
      <c r="H2294" s="2">
        <v>382.0</v>
      </c>
      <c r="I2294" s="3">
        <f t="shared" si="3"/>
        <v>0.1854368932</v>
      </c>
      <c r="J2294" s="2">
        <v>297.0</v>
      </c>
      <c r="K2294" s="3">
        <f t="shared" si="4"/>
        <v>0.1441747573</v>
      </c>
      <c r="L2294" s="2">
        <v>232.0</v>
      </c>
      <c r="M2294" s="3">
        <f t="shared" si="5"/>
        <v>0.6073298429</v>
      </c>
      <c r="N2294" s="2">
        <v>2166400.0</v>
      </c>
      <c r="O2294" s="4">
        <f t="shared" si="6"/>
        <v>5671.204188</v>
      </c>
      <c r="P2294" s="2">
        <v>0.0</v>
      </c>
      <c r="Q2294" s="3">
        <f t="shared" si="7"/>
        <v>0</v>
      </c>
      <c r="R2294" s="2">
        <v>186.0</v>
      </c>
      <c r="S2294" s="5">
        <f t="shared" si="8"/>
        <v>1</v>
      </c>
    </row>
    <row r="2295">
      <c r="A2295" s="2" t="s">
        <v>2304</v>
      </c>
      <c r="B2295" s="2">
        <v>887.0</v>
      </c>
      <c r="C2295" s="2">
        <v>10288.0</v>
      </c>
      <c r="D2295" s="2">
        <v>2949.0</v>
      </c>
      <c r="E2295" s="3">
        <f t="shared" si="1"/>
        <v>0.313690033</v>
      </c>
      <c r="F2295" s="2">
        <v>1296.0</v>
      </c>
      <c r="G2295" s="3">
        <f t="shared" si="2"/>
        <v>0.1378576747</v>
      </c>
      <c r="H2295" s="2">
        <v>1888.0</v>
      </c>
      <c r="I2295" s="3">
        <f t="shared" si="3"/>
        <v>0.200829699</v>
      </c>
      <c r="J2295" s="2">
        <v>1673.0</v>
      </c>
      <c r="K2295" s="3">
        <f t="shared" si="4"/>
        <v>0.1779597915</v>
      </c>
      <c r="L2295" s="2">
        <v>1152.0</v>
      </c>
      <c r="M2295" s="3">
        <f t="shared" si="5"/>
        <v>0.6101694915</v>
      </c>
      <c r="N2295" s="2">
        <v>1.14886E7</v>
      </c>
      <c r="O2295" s="4">
        <f t="shared" si="6"/>
        <v>6085.063559</v>
      </c>
      <c r="P2295" s="2">
        <v>2.0</v>
      </c>
      <c r="Q2295" s="3">
        <f t="shared" si="7"/>
        <v>0.002254791432</v>
      </c>
      <c r="R2295" s="2">
        <v>887.0</v>
      </c>
      <c r="S2295" s="5">
        <f t="shared" si="8"/>
        <v>1</v>
      </c>
    </row>
    <row r="2296">
      <c r="A2296" s="2" t="s">
        <v>2305</v>
      </c>
      <c r="B2296" s="2">
        <v>159.0</v>
      </c>
      <c r="C2296" s="2">
        <v>1813.0</v>
      </c>
      <c r="D2296" s="2">
        <v>445.0</v>
      </c>
      <c r="E2296" s="3">
        <f t="shared" si="1"/>
        <v>0.26904474</v>
      </c>
      <c r="F2296" s="2">
        <v>228.0</v>
      </c>
      <c r="G2296" s="3">
        <f t="shared" si="2"/>
        <v>0.1378476421</v>
      </c>
      <c r="H2296" s="2">
        <v>298.0</v>
      </c>
      <c r="I2296" s="3">
        <f t="shared" si="3"/>
        <v>0.1801692866</v>
      </c>
      <c r="J2296" s="2">
        <v>278.0</v>
      </c>
      <c r="K2296" s="3">
        <f t="shared" si="4"/>
        <v>0.1680773881</v>
      </c>
      <c r="L2296" s="2">
        <v>186.0</v>
      </c>
      <c r="M2296" s="3">
        <f t="shared" si="5"/>
        <v>0.6241610738</v>
      </c>
      <c r="N2296" s="2">
        <v>1794400.0</v>
      </c>
      <c r="O2296" s="4">
        <f t="shared" si="6"/>
        <v>6021.47651</v>
      </c>
      <c r="P2296" s="2">
        <v>0.0</v>
      </c>
      <c r="Q2296" s="3">
        <f t="shared" si="7"/>
        <v>0</v>
      </c>
      <c r="R2296" s="2">
        <v>159.0</v>
      </c>
      <c r="S2296" s="5">
        <f t="shared" si="8"/>
        <v>1</v>
      </c>
    </row>
    <row r="2297">
      <c r="A2297" s="2" t="s">
        <v>2306</v>
      </c>
      <c r="B2297" s="2">
        <v>144.0</v>
      </c>
      <c r="C2297" s="2">
        <v>1682.0</v>
      </c>
      <c r="D2297" s="2">
        <v>492.0</v>
      </c>
      <c r="E2297" s="3">
        <f t="shared" si="1"/>
        <v>0.3198959688</v>
      </c>
      <c r="F2297" s="2">
        <v>212.0</v>
      </c>
      <c r="G2297" s="3">
        <f t="shared" si="2"/>
        <v>0.1378413524</v>
      </c>
      <c r="H2297" s="2">
        <v>329.0</v>
      </c>
      <c r="I2297" s="3">
        <f t="shared" si="3"/>
        <v>0.2139141743</v>
      </c>
      <c r="J2297" s="2">
        <v>270.0</v>
      </c>
      <c r="K2297" s="3">
        <f t="shared" si="4"/>
        <v>0.1755526658</v>
      </c>
      <c r="L2297" s="2">
        <v>185.0</v>
      </c>
      <c r="M2297" s="3">
        <f t="shared" si="5"/>
        <v>0.5623100304</v>
      </c>
      <c r="N2297" s="2">
        <v>1794100.0</v>
      </c>
      <c r="O2297" s="4">
        <f t="shared" si="6"/>
        <v>5453.191489</v>
      </c>
      <c r="P2297" s="2">
        <v>0.0</v>
      </c>
      <c r="Q2297" s="3">
        <f t="shared" si="7"/>
        <v>0</v>
      </c>
      <c r="R2297" s="2">
        <v>144.0</v>
      </c>
      <c r="S2297" s="5">
        <f t="shared" si="8"/>
        <v>1</v>
      </c>
    </row>
    <row r="2298">
      <c r="A2298" s="2" t="s">
        <v>2307</v>
      </c>
      <c r="B2298" s="2">
        <v>1215.0</v>
      </c>
      <c r="C2298" s="2">
        <v>14281.0</v>
      </c>
      <c r="D2298" s="2">
        <v>5095.0</v>
      </c>
      <c r="E2298" s="3">
        <f t="shared" si="1"/>
        <v>0.3899433645</v>
      </c>
      <c r="F2298" s="2">
        <v>1801.0</v>
      </c>
      <c r="G2298" s="3">
        <f t="shared" si="2"/>
        <v>0.1378386652</v>
      </c>
      <c r="H2298" s="2">
        <v>2866.0</v>
      </c>
      <c r="I2298" s="3">
        <f t="shared" si="3"/>
        <v>0.2193479259</v>
      </c>
      <c r="J2298" s="2">
        <v>2258.0</v>
      </c>
      <c r="K2298" s="3">
        <f t="shared" si="4"/>
        <v>0.1728149395</v>
      </c>
      <c r="L2298" s="2">
        <v>1683.0</v>
      </c>
      <c r="M2298" s="3">
        <f t="shared" si="5"/>
        <v>0.5872295883</v>
      </c>
      <c r="N2298" s="2">
        <v>1.52843E7</v>
      </c>
      <c r="O2298" s="4">
        <f t="shared" si="6"/>
        <v>5332.972784</v>
      </c>
      <c r="P2298" s="2">
        <v>3.0</v>
      </c>
      <c r="Q2298" s="3">
        <f t="shared" si="7"/>
        <v>0.002469135802</v>
      </c>
      <c r="R2298" s="2">
        <v>1215.0</v>
      </c>
      <c r="S2298" s="5">
        <f t="shared" si="8"/>
        <v>1</v>
      </c>
    </row>
    <row r="2299">
      <c r="A2299" s="2" t="s">
        <v>2308</v>
      </c>
      <c r="B2299" s="2">
        <v>531.0</v>
      </c>
      <c r="C2299" s="2">
        <v>6206.0</v>
      </c>
      <c r="D2299" s="2">
        <v>1564.0</v>
      </c>
      <c r="E2299" s="3">
        <f t="shared" si="1"/>
        <v>0.2755947137</v>
      </c>
      <c r="F2299" s="2">
        <v>782.0</v>
      </c>
      <c r="G2299" s="3">
        <f t="shared" si="2"/>
        <v>0.1377973568</v>
      </c>
      <c r="H2299" s="2">
        <v>1104.0</v>
      </c>
      <c r="I2299" s="3">
        <f t="shared" si="3"/>
        <v>0.1945374449</v>
      </c>
      <c r="J2299" s="2">
        <v>1133.0</v>
      </c>
      <c r="K2299" s="3">
        <f t="shared" si="4"/>
        <v>0.1996475771</v>
      </c>
      <c r="L2299" s="2">
        <v>660.0</v>
      </c>
      <c r="M2299" s="3">
        <f t="shared" si="5"/>
        <v>0.597826087</v>
      </c>
      <c r="N2299" s="2">
        <v>6245800.0</v>
      </c>
      <c r="O2299" s="4">
        <f t="shared" si="6"/>
        <v>5657.427536</v>
      </c>
      <c r="P2299" s="2">
        <v>2.0</v>
      </c>
      <c r="Q2299" s="3">
        <f t="shared" si="7"/>
        <v>0.003766478343</v>
      </c>
      <c r="R2299" s="2">
        <v>531.0</v>
      </c>
      <c r="S2299" s="5">
        <f t="shared" si="8"/>
        <v>1</v>
      </c>
    </row>
    <row r="2300">
      <c r="A2300" s="2" t="s">
        <v>2309</v>
      </c>
      <c r="B2300" s="2">
        <v>47.0</v>
      </c>
      <c r="C2300" s="2">
        <v>555.0</v>
      </c>
      <c r="D2300" s="2">
        <v>124.0</v>
      </c>
      <c r="E2300" s="3">
        <f t="shared" si="1"/>
        <v>0.2440944882</v>
      </c>
      <c r="F2300" s="2">
        <v>70.0</v>
      </c>
      <c r="G2300" s="3">
        <f t="shared" si="2"/>
        <v>0.1377952756</v>
      </c>
      <c r="H2300" s="2">
        <v>94.0</v>
      </c>
      <c r="I2300" s="3">
        <f t="shared" si="3"/>
        <v>0.1850393701</v>
      </c>
      <c r="J2300" s="2">
        <v>95.0</v>
      </c>
      <c r="K2300" s="3">
        <f t="shared" si="4"/>
        <v>0.187007874</v>
      </c>
      <c r="L2300" s="2">
        <v>52.0</v>
      </c>
      <c r="M2300" s="3">
        <f t="shared" si="5"/>
        <v>0.5531914894</v>
      </c>
      <c r="N2300" s="2">
        <v>616300.0</v>
      </c>
      <c r="O2300" s="4">
        <f t="shared" si="6"/>
        <v>6556.382979</v>
      </c>
      <c r="P2300" s="2">
        <v>1.0</v>
      </c>
      <c r="Q2300" s="3">
        <f t="shared" si="7"/>
        <v>0.02127659574</v>
      </c>
      <c r="R2300" s="2">
        <v>47.0</v>
      </c>
      <c r="S2300" s="5">
        <f t="shared" si="8"/>
        <v>1</v>
      </c>
    </row>
    <row r="2301">
      <c r="A2301" s="2" t="s">
        <v>2310</v>
      </c>
      <c r="B2301" s="2">
        <v>24.0</v>
      </c>
      <c r="C2301" s="2">
        <v>278.0</v>
      </c>
      <c r="D2301" s="2">
        <v>69.0</v>
      </c>
      <c r="E2301" s="3">
        <f t="shared" si="1"/>
        <v>0.2716535433</v>
      </c>
      <c r="F2301" s="2">
        <v>35.0</v>
      </c>
      <c r="G2301" s="3">
        <f t="shared" si="2"/>
        <v>0.1377952756</v>
      </c>
      <c r="H2301" s="2">
        <v>46.0</v>
      </c>
      <c r="I2301" s="3">
        <f t="shared" si="3"/>
        <v>0.1811023622</v>
      </c>
      <c r="J2301" s="2">
        <v>37.0</v>
      </c>
      <c r="K2301" s="3">
        <f t="shared" si="4"/>
        <v>0.1456692913</v>
      </c>
      <c r="L2301" s="2">
        <v>30.0</v>
      </c>
      <c r="M2301" s="3">
        <f t="shared" si="5"/>
        <v>0.652173913</v>
      </c>
      <c r="N2301" s="2">
        <v>244200.0</v>
      </c>
      <c r="O2301" s="4">
        <f t="shared" si="6"/>
        <v>5308.695652</v>
      </c>
      <c r="P2301" s="2">
        <v>0.0</v>
      </c>
      <c r="Q2301" s="3">
        <f t="shared" si="7"/>
        <v>0</v>
      </c>
      <c r="R2301" s="2">
        <v>0.0</v>
      </c>
      <c r="S2301" s="5">
        <f t="shared" si="8"/>
        <v>0</v>
      </c>
    </row>
    <row r="2302">
      <c r="A2302" s="2" t="s">
        <v>2311</v>
      </c>
      <c r="B2302" s="2">
        <v>208.0</v>
      </c>
      <c r="C2302" s="2">
        <v>2465.0</v>
      </c>
      <c r="D2302" s="2">
        <v>1050.0</v>
      </c>
      <c r="E2302" s="3">
        <f t="shared" si="1"/>
        <v>0.4652193177</v>
      </c>
      <c r="F2302" s="2">
        <v>311.0</v>
      </c>
      <c r="G2302" s="3">
        <f t="shared" si="2"/>
        <v>0.1377935312</v>
      </c>
      <c r="H2302" s="2">
        <v>497.0</v>
      </c>
      <c r="I2302" s="3">
        <f t="shared" si="3"/>
        <v>0.2202038104</v>
      </c>
      <c r="J2302" s="2">
        <v>406.0</v>
      </c>
      <c r="K2302" s="3">
        <f t="shared" si="4"/>
        <v>0.1798848028</v>
      </c>
      <c r="L2302" s="2">
        <v>310.0</v>
      </c>
      <c r="M2302" s="3">
        <f t="shared" si="5"/>
        <v>0.6237424547</v>
      </c>
      <c r="N2302" s="2">
        <v>2500500.0</v>
      </c>
      <c r="O2302" s="4">
        <f t="shared" si="6"/>
        <v>5031.187123</v>
      </c>
      <c r="P2302" s="2">
        <v>0.0</v>
      </c>
      <c r="Q2302" s="3">
        <f t="shared" si="7"/>
        <v>0</v>
      </c>
      <c r="R2302" s="2">
        <v>132.0</v>
      </c>
      <c r="S2302" s="5">
        <f t="shared" si="8"/>
        <v>0.6346153846</v>
      </c>
    </row>
    <row r="2303">
      <c r="A2303" s="2" t="s">
        <v>2312</v>
      </c>
      <c r="B2303" s="2">
        <v>41.0</v>
      </c>
      <c r="C2303" s="2">
        <v>491.0</v>
      </c>
      <c r="D2303" s="2">
        <v>180.0</v>
      </c>
      <c r="E2303" s="3">
        <f t="shared" si="1"/>
        <v>0.4</v>
      </c>
      <c r="F2303" s="2">
        <v>62.0</v>
      </c>
      <c r="G2303" s="3">
        <f t="shared" si="2"/>
        <v>0.1377777778</v>
      </c>
      <c r="H2303" s="2">
        <v>102.0</v>
      </c>
      <c r="I2303" s="3">
        <f t="shared" si="3"/>
        <v>0.2266666667</v>
      </c>
      <c r="J2303" s="2">
        <v>65.0</v>
      </c>
      <c r="K2303" s="3">
        <f t="shared" si="4"/>
        <v>0.1444444444</v>
      </c>
      <c r="L2303" s="2">
        <v>61.0</v>
      </c>
      <c r="M2303" s="3">
        <f t="shared" si="5"/>
        <v>0.5980392157</v>
      </c>
      <c r="N2303" s="2">
        <v>570000.0</v>
      </c>
      <c r="O2303" s="4">
        <f t="shared" si="6"/>
        <v>5588.235294</v>
      </c>
      <c r="P2303" s="2">
        <v>0.0</v>
      </c>
      <c r="Q2303" s="3">
        <f t="shared" si="7"/>
        <v>0</v>
      </c>
      <c r="R2303" s="2">
        <v>0.0</v>
      </c>
      <c r="S2303" s="5">
        <f t="shared" si="8"/>
        <v>0</v>
      </c>
    </row>
    <row r="2304">
      <c r="A2304" s="2" t="s">
        <v>2313</v>
      </c>
      <c r="B2304" s="2">
        <v>4094.0</v>
      </c>
      <c r="C2304" s="2">
        <v>47660.0</v>
      </c>
      <c r="D2304" s="2">
        <v>13449.0</v>
      </c>
      <c r="E2304" s="3">
        <f t="shared" si="1"/>
        <v>0.3087040353</v>
      </c>
      <c r="F2304" s="2">
        <v>6002.0</v>
      </c>
      <c r="G2304" s="3">
        <f t="shared" si="2"/>
        <v>0.1377679842</v>
      </c>
      <c r="H2304" s="2">
        <v>9597.0</v>
      </c>
      <c r="I2304" s="3">
        <f t="shared" si="3"/>
        <v>0.2202864619</v>
      </c>
      <c r="J2304" s="2">
        <v>7844.0</v>
      </c>
      <c r="K2304" s="3">
        <f t="shared" si="4"/>
        <v>0.1800486618</v>
      </c>
      <c r="L2304" s="2">
        <v>5781.0</v>
      </c>
      <c r="M2304" s="3">
        <f t="shared" si="5"/>
        <v>0.6023757424</v>
      </c>
      <c r="N2304" s="2">
        <v>5.59826E7</v>
      </c>
      <c r="O2304" s="4">
        <f t="shared" si="6"/>
        <v>5833.343753</v>
      </c>
      <c r="P2304" s="2">
        <v>10.0</v>
      </c>
      <c r="Q2304" s="3">
        <f t="shared" si="7"/>
        <v>0.002442598925</v>
      </c>
      <c r="R2304" s="2">
        <v>4094.0</v>
      </c>
      <c r="S2304" s="5">
        <f t="shared" si="8"/>
        <v>1</v>
      </c>
    </row>
    <row r="2305">
      <c r="A2305" s="2" t="s">
        <v>2314</v>
      </c>
      <c r="B2305" s="2">
        <v>2918.0</v>
      </c>
      <c r="C2305" s="2">
        <v>34393.0</v>
      </c>
      <c r="D2305" s="2">
        <v>14425.0</v>
      </c>
      <c r="E2305" s="3">
        <f t="shared" si="1"/>
        <v>0.4583002383</v>
      </c>
      <c r="F2305" s="2">
        <v>4336.0</v>
      </c>
      <c r="G2305" s="3">
        <f t="shared" si="2"/>
        <v>0.1377601271</v>
      </c>
      <c r="H2305" s="2">
        <v>7198.0</v>
      </c>
      <c r="I2305" s="3">
        <f t="shared" si="3"/>
        <v>0.2286894361</v>
      </c>
      <c r="J2305" s="2">
        <v>5399.0</v>
      </c>
      <c r="K2305" s="3">
        <f t="shared" si="4"/>
        <v>0.1715329627</v>
      </c>
      <c r="L2305" s="2">
        <v>4279.0</v>
      </c>
      <c r="M2305" s="3">
        <f t="shared" si="5"/>
        <v>0.5944706863</v>
      </c>
      <c r="N2305" s="2">
        <v>3.79321E7</v>
      </c>
      <c r="O2305" s="4">
        <f t="shared" si="6"/>
        <v>5269.811059</v>
      </c>
      <c r="P2305" s="2">
        <v>5.0</v>
      </c>
      <c r="Q2305" s="3">
        <f t="shared" si="7"/>
        <v>0.001713502399</v>
      </c>
      <c r="R2305" s="2">
        <v>0.0</v>
      </c>
      <c r="S2305" s="5">
        <f t="shared" si="8"/>
        <v>0</v>
      </c>
    </row>
    <row r="2306">
      <c r="A2306" s="2" t="s">
        <v>2315</v>
      </c>
      <c r="B2306" s="2">
        <v>382.0</v>
      </c>
      <c r="C2306" s="2">
        <v>4491.0</v>
      </c>
      <c r="D2306" s="2">
        <v>1447.0</v>
      </c>
      <c r="E2306" s="3">
        <f t="shared" si="1"/>
        <v>0.3521538087</v>
      </c>
      <c r="F2306" s="2">
        <v>566.0</v>
      </c>
      <c r="G2306" s="3">
        <f t="shared" si="2"/>
        <v>0.1377464103</v>
      </c>
      <c r="H2306" s="2">
        <v>820.0</v>
      </c>
      <c r="I2306" s="3">
        <f t="shared" si="3"/>
        <v>0.1995619372</v>
      </c>
      <c r="J2306" s="2">
        <v>683.0</v>
      </c>
      <c r="K2306" s="3">
        <f t="shared" si="4"/>
        <v>0.1662204916</v>
      </c>
      <c r="L2306" s="2">
        <v>493.0</v>
      </c>
      <c r="M2306" s="3">
        <f t="shared" si="5"/>
        <v>0.6012195122</v>
      </c>
      <c r="N2306" s="2">
        <v>4687800.0</v>
      </c>
      <c r="O2306" s="4">
        <f t="shared" si="6"/>
        <v>5716.829268</v>
      </c>
      <c r="P2306" s="2">
        <v>0.0</v>
      </c>
      <c r="Q2306" s="3">
        <f t="shared" si="7"/>
        <v>0</v>
      </c>
      <c r="R2306" s="2">
        <v>382.0</v>
      </c>
      <c r="S2306" s="5">
        <f t="shared" si="8"/>
        <v>1</v>
      </c>
    </row>
    <row r="2307">
      <c r="A2307" s="2" t="s">
        <v>2316</v>
      </c>
      <c r="B2307" s="2">
        <v>272.0</v>
      </c>
      <c r="C2307" s="2">
        <v>3205.0</v>
      </c>
      <c r="D2307" s="2">
        <v>1006.0</v>
      </c>
      <c r="E2307" s="3">
        <f t="shared" si="1"/>
        <v>0.342993522</v>
      </c>
      <c r="F2307" s="2">
        <v>404.0</v>
      </c>
      <c r="G2307" s="3">
        <f t="shared" si="2"/>
        <v>0.1377429253</v>
      </c>
      <c r="H2307" s="2">
        <v>600.0</v>
      </c>
      <c r="I2307" s="3">
        <f t="shared" si="3"/>
        <v>0.204568701</v>
      </c>
      <c r="J2307" s="2">
        <v>449.0</v>
      </c>
      <c r="K2307" s="3">
        <f t="shared" si="4"/>
        <v>0.1530855779</v>
      </c>
      <c r="L2307" s="2">
        <v>389.0</v>
      </c>
      <c r="M2307" s="3">
        <f t="shared" si="5"/>
        <v>0.6483333333</v>
      </c>
      <c r="N2307" s="2">
        <v>3478600.0</v>
      </c>
      <c r="O2307" s="4">
        <f t="shared" si="6"/>
        <v>5797.666667</v>
      </c>
      <c r="P2307" s="2">
        <v>1.0</v>
      </c>
      <c r="Q2307" s="3">
        <f t="shared" si="7"/>
        <v>0.003676470588</v>
      </c>
      <c r="R2307" s="2">
        <v>272.0</v>
      </c>
      <c r="S2307" s="5">
        <f t="shared" si="8"/>
        <v>1</v>
      </c>
    </row>
    <row r="2308">
      <c r="A2308" s="2" t="s">
        <v>2317</v>
      </c>
      <c r="B2308" s="2">
        <v>29.0</v>
      </c>
      <c r="C2308" s="2">
        <v>363.0</v>
      </c>
      <c r="D2308" s="2">
        <v>82.0</v>
      </c>
      <c r="E2308" s="3">
        <f t="shared" si="1"/>
        <v>0.245508982</v>
      </c>
      <c r="F2308" s="2">
        <v>46.0</v>
      </c>
      <c r="G2308" s="3">
        <f t="shared" si="2"/>
        <v>0.1377245509</v>
      </c>
      <c r="H2308" s="2">
        <v>64.0</v>
      </c>
      <c r="I2308" s="3">
        <f t="shared" si="3"/>
        <v>0.1916167665</v>
      </c>
      <c r="J2308" s="2">
        <v>63.0</v>
      </c>
      <c r="K2308" s="3">
        <f t="shared" si="4"/>
        <v>0.1886227545</v>
      </c>
      <c r="L2308" s="2">
        <v>41.0</v>
      </c>
      <c r="M2308" s="3">
        <f t="shared" si="5"/>
        <v>0.640625</v>
      </c>
      <c r="N2308" s="2">
        <v>389800.0</v>
      </c>
      <c r="O2308" s="4">
        <f t="shared" si="6"/>
        <v>6090.625</v>
      </c>
      <c r="P2308" s="2">
        <v>0.0</v>
      </c>
      <c r="Q2308" s="3">
        <f t="shared" si="7"/>
        <v>0</v>
      </c>
      <c r="R2308" s="2">
        <v>29.0</v>
      </c>
      <c r="S2308" s="5">
        <f t="shared" si="8"/>
        <v>1</v>
      </c>
    </row>
    <row r="2309">
      <c r="A2309" s="2" t="s">
        <v>2318</v>
      </c>
      <c r="B2309" s="2">
        <v>156.0</v>
      </c>
      <c r="C2309" s="2">
        <v>1768.0</v>
      </c>
      <c r="D2309" s="2">
        <v>597.0</v>
      </c>
      <c r="E2309" s="3">
        <f t="shared" si="1"/>
        <v>0.3703473945</v>
      </c>
      <c r="F2309" s="2">
        <v>222.0</v>
      </c>
      <c r="G2309" s="3">
        <f t="shared" si="2"/>
        <v>0.1377171216</v>
      </c>
      <c r="H2309" s="2">
        <v>382.0</v>
      </c>
      <c r="I2309" s="3">
        <f t="shared" si="3"/>
        <v>0.2369727047</v>
      </c>
      <c r="J2309" s="2">
        <v>254.0</v>
      </c>
      <c r="K2309" s="3">
        <f t="shared" si="4"/>
        <v>0.1575682382</v>
      </c>
      <c r="L2309" s="2">
        <v>222.0</v>
      </c>
      <c r="M2309" s="3">
        <f t="shared" si="5"/>
        <v>0.5811518325</v>
      </c>
      <c r="N2309" s="2">
        <v>2194900.0</v>
      </c>
      <c r="O2309" s="4">
        <f t="shared" si="6"/>
        <v>5745.811518</v>
      </c>
      <c r="P2309" s="2">
        <v>0.0</v>
      </c>
      <c r="Q2309" s="3">
        <f t="shared" si="7"/>
        <v>0</v>
      </c>
      <c r="R2309" s="2">
        <v>156.0</v>
      </c>
      <c r="S2309" s="5">
        <f t="shared" si="8"/>
        <v>1</v>
      </c>
    </row>
    <row r="2310">
      <c r="A2310" s="2" t="s">
        <v>2319</v>
      </c>
      <c r="B2310" s="2">
        <v>379.0</v>
      </c>
      <c r="C2310" s="2">
        <v>4460.0</v>
      </c>
      <c r="D2310" s="2">
        <v>1547.0</v>
      </c>
      <c r="E2310" s="3">
        <f t="shared" si="1"/>
        <v>0.3790737564</v>
      </c>
      <c r="F2310" s="2">
        <v>562.0</v>
      </c>
      <c r="G2310" s="3">
        <f t="shared" si="2"/>
        <v>0.1377113453</v>
      </c>
      <c r="H2310" s="2">
        <v>902.0</v>
      </c>
      <c r="I2310" s="3">
        <f t="shared" si="3"/>
        <v>0.2210242588</v>
      </c>
      <c r="J2310" s="2">
        <v>603.0</v>
      </c>
      <c r="K2310" s="3">
        <f t="shared" si="4"/>
        <v>0.1477579025</v>
      </c>
      <c r="L2310" s="2">
        <v>525.0</v>
      </c>
      <c r="M2310" s="3">
        <f t="shared" si="5"/>
        <v>0.5820399113</v>
      </c>
      <c r="N2310" s="2">
        <v>4840200.0</v>
      </c>
      <c r="O2310" s="4">
        <f t="shared" si="6"/>
        <v>5366.075388</v>
      </c>
      <c r="P2310" s="2">
        <v>2.0</v>
      </c>
      <c r="Q2310" s="3">
        <f t="shared" si="7"/>
        <v>0.005277044855</v>
      </c>
      <c r="R2310" s="2">
        <v>379.0</v>
      </c>
      <c r="S2310" s="5">
        <f t="shared" si="8"/>
        <v>1</v>
      </c>
    </row>
    <row r="2311">
      <c r="A2311" s="2" t="s">
        <v>2320</v>
      </c>
      <c r="B2311" s="2">
        <v>220.0</v>
      </c>
      <c r="C2311" s="2">
        <v>2718.0</v>
      </c>
      <c r="D2311" s="2">
        <v>833.0</v>
      </c>
      <c r="E2311" s="3">
        <f t="shared" si="1"/>
        <v>0.3334667734</v>
      </c>
      <c r="F2311" s="2">
        <v>344.0</v>
      </c>
      <c r="G2311" s="3">
        <f t="shared" si="2"/>
        <v>0.1377101681</v>
      </c>
      <c r="H2311" s="2">
        <v>558.0</v>
      </c>
      <c r="I2311" s="3">
        <f t="shared" si="3"/>
        <v>0.223378703</v>
      </c>
      <c r="J2311" s="2">
        <v>472.0</v>
      </c>
      <c r="K2311" s="3">
        <f t="shared" si="4"/>
        <v>0.1889511609</v>
      </c>
      <c r="L2311" s="2">
        <v>340.0</v>
      </c>
      <c r="M2311" s="3">
        <f t="shared" si="5"/>
        <v>0.6093189964</v>
      </c>
      <c r="N2311" s="2">
        <v>3203300.0</v>
      </c>
      <c r="O2311" s="4">
        <f t="shared" si="6"/>
        <v>5740.681004</v>
      </c>
      <c r="P2311" s="2">
        <v>0.0</v>
      </c>
      <c r="Q2311" s="3">
        <f t="shared" si="7"/>
        <v>0</v>
      </c>
      <c r="R2311" s="2">
        <v>220.0</v>
      </c>
      <c r="S2311" s="5">
        <f t="shared" si="8"/>
        <v>1</v>
      </c>
    </row>
    <row r="2312">
      <c r="A2312" s="2" t="s">
        <v>2321</v>
      </c>
      <c r="B2312" s="2">
        <v>167.0</v>
      </c>
      <c r="C2312" s="2">
        <v>1968.0</v>
      </c>
      <c r="D2312" s="2">
        <v>459.0</v>
      </c>
      <c r="E2312" s="3">
        <f t="shared" si="1"/>
        <v>0.254858412</v>
      </c>
      <c r="F2312" s="2">
        <v>248.0</v>
      </c>
      <c r="G2312" s="3">
        <f t="shared" si="2"/>
        <v>0.1377012771</v>
      </c>
      <c r="H2312" s="2">
        <v>368.0</v>
      </c>
      <c r="I2312" s="3">
        <f t="shared" si="3"/>
        <v>0.2043309273</v>
      </c>
      <c r="J2312" s="2">
        <v>311.0</v>
      </c>
      <c r="K2312" s="3">
        <f t="shared" si="4"/>
        <v>0.1726818434</v>
      </c>
      <c r="L2312" s="2">
        <v>201.0</v>
      </c>
      <c r="M2312" s="3">
        <f t="shared" si="5"/>
        <v>0.5461956522</v>
      </c>
      <c r="N2312" s="2">
        <v>2205000.0</v>
      </c>
      <c r="O2312" s="4">
        <f t="shared" si="6"/>
        <v>5991.847826</v>
      </c>
      <c r="P2312" s="2">
        <v>0.0</v>
      </c>
      <c r="Q2312" s="3">
        <f t="shared" si="7"/>
        <v>0</v>
      </c>
      <c r="R2312" s="2">
        <v>167.0</v>
      </c>
      <c r="S2312" s="5">
        <f t="shared" si="8"/>
        <v>1</v>
      </c>
    </row>
    <row r="2313">
      <c r="A2313" s="2" t="s">
        <v>2322</v>
      </c>
      <c r="B2313" s="2">
        <v>208.0</v>
      </c>
      <c r="C2313" s="2">
        <v>2423.0</v>
      </c>
      <c r="D2313" s="2">
        <v>763.0</v>
      </c>
      <c r="E2313" s="3">
        <f t="shared" si="1"/>
        <v>0.344469526</v>
      </c>
      <c r="F2313" s="2">
        <v>305.0</v>
      </c>
      <c r="G2313" s="3">
        <f t="shared" si="2"/>
        <v>0.1376975169</v>
      </c>
      <c r="H2313" s="2">
        <v>455.0</v>
      </c>
      <c r="I2313" s="3">
        <f t="shared" si="3"/>
        <v>0.2054176072</v>
      </c>
      <c r="J2313" s="2">
        <v>484.0</v>
      </c>
      <c r="K2313" s="3">
        <f t="shared" si="4"/>
        <v>0.218510158</v>
      </c>
      <c r="L2313" s="2">
        <v>269.0</v>
      </c>
      <c r="M2313" s="3">
        <f t="shared" si="5"/>
        <v>0.5912087912</v>
      </c>
      <c r="N2313" s="2">
        <v>2565800.0</v>
      </c>
      <c r="O2313" s="4">
        <f t="shared" si="6"/>
        <v>5639.120879</v>
      </c>
      <c r="P2313" s="2">
        <v>1.0</v>
      </c>
      <c r="Q2313" s="3">
        <f t="shared" si="7"/>
        <v>0.004807692308</v>
      </c>
      <c r="R2313" s="2">
        <v>0.0</v>
      </c>
      <c r="S2313" s="5">
        <f t="shared" si="8"/>
        <v>0</v>
      </c>
    </row>
    <row r="2314">
      <c r="A2314" s="2" t="s">
        <v>2323</v>
      </c>
      <c r="B2314" s="2">
        <v>39.0</v>
      </c>
      <c r="C2314" s="2">
        <v>482.0</v>
      </c>
      <c r="D2314" s="2">
        <v>153.0</v>
      </c>
      <c r="E2314" s="3">
        <f t="shared" si="1"/>
        <v>0.3453724605</v>
      </c>
      <c r="F2314" s="2">
        <v>61.0</v>
      </c>
      <c r="G2314" s="3">
        <f t="shared" si="2"/>
        <v>0.1376975169</v>
      </c>
      <c r="H2314" s="2">
        <v>93.0</v>
      </c>
      <c r="I2314" s="3">
        <f t="shared" si="3"/>
        <v>0.2099322799</v>
      </c>
      <c r="J2314" s="2">
        <v>73.0</v>
      </c>
      <c r="K2314" s="3">
        <f t="shared" si="4"/>
        <v>0.164785553</v>
      </c>
      <c r="L2314" s="2">
        <v>57.0</v>
      </c>
      <c r="M2314" s="3">
        <f t="shared" si="5"/>
        <v>0.6129032258</v>
      </c>
      <c r="N2314" s="2">
        <v>512100.0</v>
      </c>
      <c r="O2314" s="4">
        <f t="shared" si="6"/>
        <v>5506.451613</v>
      </c>
      <c r="P2314" s="2">
        <v>0.0</v>
      </c>
      <c r="Q2314" s="3">
        <f t="shared" si="7"/>
        <v>0</v>
      </c>
      <c r="R2314" s="2">
        <v>39.0</v>
      </c>
      <c r="S2314" s="5">
        <f t="shared" si="8"/>
        <v>1</v>
      </c>
    </row>
    <row r="2315">
      <c r="A2315" s="2" t="s">
        <v>2324</v>
      </c>
      <c r="B2315" s="2">
        <v>278.0</v>
      </c>
      <c r="C2315" s="2">
        <v>3263.0</v>
      </c>
      <c r="D2315" s="2">
        <v>891.0</v>
      </c>
      <c r="E2315" s="3">
        <f t="shared" si="1"/>
        <v>0.2984924623</v>
      </c>
      <c r="F2315" s="2">
        <v>411.0</v>
      </c>
      <c r="G2315" s="3">
        <f t="shared" si="2"/>
        <v>0.1376884422</v>
      </c>
      <c r="H2315" s="2">
        <v>550.0</v>
      </c>
      <c r="I2315" s="3">
        <f t="shared" si="3"/>
        <v>0.1842546064</v>
      </c>
      <c r="J2315" s="2">
        <v>555.0</v>
      </c>
      <c r="K2315" s="3">
        <f t="shared" si="4"/>
        <v>0.1859296482</v>
      </c>
      <c r="L2315" s="2">
        <v>336.0</v>
      </c>
      <c r="M2315" s="3">
        <f t="shared" si="5"/>
        <v>0.6109090909</v>
      </c>
      <c r="N2315" s="2">
        <v>3507800.0</v>
      </c>
      <c r="O2315" s="4">
        <f t="shared" si="6"/>
        <v>6377.818182</v>
      </c>
      <c r="P2315" s="2">
        <v>1.0</v>
      </c>
      <c r="Q2315" s="3">
        <f t="shared" si="7"/>
        <v>0.003597122302</v>
      </c>
      <c r="R2315" s="2">
        <v>0.0</v>
      </c>
      <c r="S2315" s="5">
        <f t="shared" si="8"/>
        <v>0</v>
      </c>
    </row>
    <row r="2316">
      <c r="A2316" s="2" t="s">
        <v>2325</v>
      </c>
      <c r="B2316" s="2">
        <v>443.0</v>
      </c>
      <c r="C2316" s="2">
        <v>5193.0</v>
      </c>
      <c r="D2316" s="2">
        <v>1586.0</v>
      </c>
      <c r="E2316" s="3">
        <f t="shared" si="1"/>
        <v>0.3338947368</v>
      </c>
      <c r="F2316" s="2">
        <v>654.0</v>
      </c>
      <c r="G2316" s="3">
        <f t="shared" si="2"/>
        <v>0.1376842105</v>
      </c>
      <c r="H2316" s="2">
        <v>956.0</v>
      </c>
      <c r="I2316" s="3">
        <f t="shared" si="3"/>
        <v>0.2012631579</v>
      </c>
      <c r="J2316" s="2">
        <v>958.0</v>
      </c>
      <c r="K2316" s="3">
        <f t="shared" si="4"/>
        <v>0.2016842105</v>
      </c>
      <c r="L2316" s="2">
        <v>583.0</v>
      </c>
      <c r="M2316" s="3">
        <f t="shared" si="5"/>
        <v>0.609832636</v>
      </c>
      <c r="N2316" s="2">
        <v>5721800.0</v>
      </c>
      <c r="O2316" s="4">
        <f t="shared" si="6"/>
        <v>5985.146444</v>
      </c>
      <c r="P2316" s="2">
        <v>1.0</v>
      </c>
      <c r="Q2316" s="3">
        <f t="shared" si="7"/>
        <v>0.002257336343</v>
      </c>
      <c r="R2316" s="2">
        <v>0.0</v>
      </c>
      <c r="S2316" s="5">
        <f t="shared" si="8"/>
        <v>0</v>
      </c>
    </row>
    <row r="2317">
      <c r="A2317" s="2" t="s">
        <v>2326</v>
      </c>
      <c r="B2317" s="2">
        <v>268.0</v>
      </c>
      <c r="C2317" s="2">
        <v>3137.0</v>
      </c>
      <c r="D2317" s="2">
        <v>760.0</v>
      </c>
      <c r="E2317" s="3">
        <f t="shared" si="1"/>
        <v>0.2649006623</v>
      </c>
      <c r="F2317" s="2">
        <v>395.0</v>
      </c>
      <c r="G2317" s="3">
        <f t="shared" si="2"/>
        <v>0.1376786337</v>
      </c>
      <c r="H2317" s="2">
        <v>605.0</v>
      </c>
      <c r="I2317" s="3">
        <f t="shared" si="3"/>
        <v>0.2108748693</v>
      </c>
      <c r="J2317" s="2">
        <v>483.0</v>
      </c>
      <c r="K2317" s="3">
        <f t="shared" si="4"/>
        <v>0.1683513419</v>
      </c>
      <c r="L2317" s="2">
        <v>380.0</v>
      </c>
      <c r="M2317" s="3">
        <f t="shared" si="5"/>
        <v>0.6280991736</v>
      </c>
      <c r="N2317" s="2">
        <v>3532600.0</v>
      </c>
      <c r="O2317" s="4">
        <f t="shared" si="6"/>
        <v>5839.008264</v>
      </c>
      <c r="P2317" s="2">
        <v>0.0</v>
      </c>
      <c r="Q2317" s="3">
        <f t="shared" si="7"/>
        <v>0</v>
      </c>
      <c r="R2317" s="2">
        <v>268.0</v>
      </c>
      <c r="S2317" s="5">
        <f t="shared" si="8"/>
        <v>1</v>
      </c>
    </row>
    <row r="2318">
      <c r="A2318" s="2" t="s">
        <v>2327</v>
      </c>
      <c r="B2318" s="2">
        <v>258.0</v>
      </c>
      <c r="C2318" s="2">
        <v>3040.0</v>
      </c>
      <c r="D2318" s="2">
        <v>728.0</v>
      </c>
      <c r="E2318" s="3">
        <f t="shared" si="1"/>
        <v>0.261682243</v>
      </c>
      <c r="F2318" s="2">
        <v>383.0</v>
      </c>
      <c r="G2318" s="3">
        <f t="shared" si="2"/>
        <v>0.1376707405</v>
      </c>
      <c r="H2318" s="2">
        <v>567.0</v>
      </c>
      <c r="I2318" s="3">
        <f t="shared" si="3"/>
        <v>0.2038102085</v>
      </c>
      <c r="J2318" s="2">
        <v>488.0</v>
      </c>
      <c r="K2318" s="3">
        <f t="shared" si="4"/>
        <v>0.1754133717</v>
      </c>
      <c r="L2318" s="2">
        <v>336.0</v>
      </c>
      <c r="M2318" s="3">
        <f t="shared" si="5"/>
        <v>0.5925925926</v>
      </c>
      <c r="N2318" s="2">
        <v>3403800.0</v>
      </c>
      <c r="O2318" s="4">
        <f t="shared" si="6"/>
        <v>6003.174603</v>
      </c>
      <c r="P2318" s="2">
        <v>0.0</v>
      </c>
      <c r="Q2318" s="3">
        <f t="shared" si="7"/>
        <v>0</v>
      </c>
      <c r="R2318" s="2">
        <v>258.0</v>
      </c>
      <c r="S2318" s="5">
        <f t="shared" si="8"/>
        <v>1</v>
      </c>
    </row>
    <row r="2319">
      <c r="A2319" s="2" t="s">
        <v>2328</v>
      </c>
      <c r="B2319" s="2">
        <v>156.0</v>
      </c>
      <c r="C2319" s="2">
        <v>1834.0</v>
      </c>
      <c r="D2319" s="2">
        <v>619.0</v>
      </c>
      <c r="E2319" s="3">
        <f t="shared" si="1"/>
        <v>0.3688915375</v>
      </c>
      <c r="F2319" s="2">
        <v>231.0</v>
      </c>
      <c r="G2319" s="3">
        <f t="shared" si="2"/>
        <v>0.1376638856</v>
      </c>
      <c r="H2319" s="2">
        <v>328.0</v>
      </c>
      <c r="I2319" s="3">
        <f t="shared" si="3"/>
        <v>0.1954707986</v>
      </c>
      <c r="J2319" s="2">
        <v>295.0</v>
      </c>
      <c r="K2319" s="3">
        <f t="shared" si="4"/>
        <v>0.1758045292</v>
      </c>
      <c r="L2319" s="2">
        <v>212.0</v>
      </c>
      <c r="M2319" s="3">
        <f t="shared" si="5"/>
        <v>0.6463414634</v>
      </c>
      <c r="N2319" s="2">
        <v>1870000.0</v>
      </c>
      <c r="O2319" s="4">
        <f t="shared" si="6"/>
        <v>5701.219512</v>
      </c>
      <c r="P2319" s="2">
        <v>0.0</v>
      </c>
      <c r="Q2319" s="3">
        <f t="shared" si="7"/>
        <v>0</v>
      </c>
      <c r="R2319" s="2">
        <v>81.0</v>
      </c>
      <c r="S2319" s="5">
        <f t="shared" si="8"/>
        <v>0.5192307692</v>
      </c>
    </row>
    <row r="2320">
      <c r="A2320" s="2" t="s">
        <v>2329</v>
      </c>
      <c r="B2320" s="2">
        <v>1023.0</v>
      </c>
      <c r="C2320" s="2">
        <v>11898.0</v>
      </c>
      <c r="D2320" s="2">
        <v>3698.0</v>
      </c>
      <c r="E2320" s="3">
        <f t="shared" si="1"/>
        <v>0.340045977</v>
      </c>
      <c r="F2320" s="2">
        <v>1497.0</v>
      </c>
      <c r="G2320" s="3">
        <f t="shared" si="2"/>
        <v>0.1376551724</v>
      </c>
      <c r="H2320" s="2">
        <v>2376.0</v>
      </c>
      <c r="I2320" s="3">
        <f t="shared" si="3"/>
        <v>0.2184827586</v>
      </c>
      <c r="J2320" s="2">
        <v>1932.0</v>
      </c>
      <c r="K2320" s="3">
        <f t="shared" si="4"/>
        <v>0.1776551724</v>
      </c>
      <c r="L2320" s="2">
        <v>1432.0</v>
      </c>
      <c r="M2320" s="3">
        <f t="shared" si="5"/>
        <v>0.6026936027</v>
      </c>
      <c r="N2320" s="2">
        <v>1.36283E7</v>
      </c>
      <c r="O2320" s="4">
        <f t="shared" si="6"/>
        <v>5735.816498</v>
      </c>
      <c r="P2320" s="2">
        <v>2.0</v>
      </c>
      <c r="Q2320" s="3">
        <f t="shared" si="7"/>
        <v>0.001955034213</v>
      </c>
      <c r="R2320" s="2">
        <v>1023.0</v>
      </c>
      <c r="S2320" s="5">
        <f t="shared" si="8"/>
        <v>1</v>
      </c>
    </row>
    <row r="2321">
      <c r="A2321" s="2" t="s">
        <v>2330</v>
      </c>
      <c r="B2321" s="2">
        <v>2252.0</v>
      </c>
      <c r="C2321" s="2">
        <v>26596.0</v>
      </c>
      <c r="D2321" s="2">
        <v>9355.0</v>
      </c>
      <c r="E2321" s="3">
        <f t="shared" si="1"/>
        <v>0.3842836017</v>
      </c>
      <c r="F2321" s="2">
        <v>3351.0</v>
      </c>
      <c r="G2321" s="3">
        <f t="shared" si="2"/>
        <v>0.1376519882</v>
      </c>
      <c r="H2321" s="2">
        <v>5217.0</v>
      </c>
      <c r="I2321" s="3">
        <f t="shared" si="3"/>
        <v>0.2143033191</v>
      </c>
      <c r="J2321" s="2">
        <v>3629.0</v>
      </c>
      <c r="K2321" s="3">
        <f t="shared" si="4"/>
        <v>0.1490716398</v>
      </c>
      <c r="L2321" s="2">
        <v>3150.0</v>
      </c>
      <c r="M2321" s="3">
        <f t="shared" si="5"/>
        <v>0.6037952846</v>
      </c>
      <c r="N2321" s="2">
        <v>2.83863E7</v>
      </c>
      <c r="O2321" s="4">
        <f t="shared" si="6"/>
        <v>5441.115584</v>
      </c>
      <c r="P2321" s="2">
        <v>6.0</v>
      </c>
      <c r="Q2321" s="3">
        <f t="shared" si="7"/>
        <v>0.002664298401</v>
      </c>
      <c r="R2321" s="2">
        <v>2252.0</v>
      </c>
      <c r="S2321" s="5">
        <f t="shared" si="8"/>
        <v>1</v>
      </c>
    </row>
    <row r="2322">
      <c r="A2322" s="2" t="s">
        <v>2331</v>
      </c>
      <c r="B2322" s="2">
        <v>895.0</v>
      </c>
      <c r="C2322" s="2">
        <v>10246.0</v>
      </c>
      <c r="D2322" s="2">
        <v>3375.0</v>
      </c>
      <c r="E2322" s="3">
        <f t="shared" si="1"/>
        <v>0.3609239654</v>
      </c>
      <c r="F2322" s="2">
        <v>1287.0</v>
      </c>
      <c r="G2322" s="3">
        <f t="shared" si="2"/>
        <v>0.1376323388</v>
      </c>
      <c r="H2322" s="2">
        <v>2023.0</v>
      </c>
      <c r="I2322" s="3">
        <f t="shared" si="3"/>
        <v>0.2163404983</v>
      </c>
      <c r="J2322" s="2">
        <v>1527.0</v>
      </c>
      <c r="K2322" s="3">
        <f t="shared" si="4"/>
        <v>0.163298043</v>
      </c>
      <c r="L2322" s="2">
        <v>1197.0</v>
      </c>
      <c r="M2322" s="3">
        <f t="shared" si="5"/>
        <v>0.5916955017</v>
      </c>
      <c r="N2322" s="2">
        <v>1.21277E7</v>
      </c>
      <c r="O2322" s="4">
        <f t="shared" si="6"/>
        <v>5994.908552</v>
      </c>
      <c r="P2322" s="2">
        <v>2.0</v>
      </c>
      <c r="Q2322" s="3">
        <f t="shared" si="7"/>
        <v>0.002234636872</v>
      </c>
      <c r="R2322" s="2">
        <v>895.0</v>
      </c>
      <c r="S2322" s="5">
        <f t="shared" si="8"/>
        <v>1</v>
      </c>
    </row>
    <row r="2323">
      <c r="A2323" s="2" t="s">
        <v>2332</v>
      </c>
      <c r="B2323" s="2">
        <v>50.0</v>
      </c>
      <c r="C2323" s="2">
        <v>624.0</v>
      </c>
      <c r="D2323" s="2">
        <v>227.0</v>
      </c>
      <c r="E2323" s="3">
        <f t="shared" si="1"/>
        <v>0.3954703833</v>
      </c>
      <c r="F2323" s="2">
        <v>79.0</v>
      </c>
      <c r="G2323" s="3">
        <f t="shared" si="2"/>
        <v>0.137630662</v>
      </c>
      <c r="H2323" s="2">
        <v>130.0</v>
      </c>
      <c r="I2323" s="3">
        <f t="shared" si="3"/>
        <v>0.2264808362</v>
      </c>
      <c r="J2323" s="2">
        <v>101.0</v>
      </c>
      <c r="K2323" s="3">
        <f t="shared" si="4"/>
        <v>0.1759581882</v>
      </c>
      <c r="L2323" s="2">
        <v>82.0</v>
      </c>
      <c r="M2323" s="3">
        <f t="shared" si="5"/>
        <v>0.6307692308</v>
      </c>
      <c r="N2323" s="2">
        <v>686200.0</v>
      </c>
      <c r="O2323" s="4">
        <f t="shared" si="6"/>
        <v>5278.461538</v>
      </c>
      <c r="P2323" s="2">
        <v>0.0</v>
      </c>
      <c r="Q2323" s="3">
        <f t="shared" si="7"/>
        <v>0</v>
      </c>
      <c r="R2323" s="2">
        <v>0.0</v>
      </c>
      <c r="S2323" s="5">
        <f t="shared" si="8"/>
        <v>0</v>
      </c>
    </row>
    <row r="2324">
      <c r="A2324" s="2" t="s">
        <v>2333</v>
      </c>
      <c r="B2324" s="2">
        <v>3354.0</v>
      </c>
      <c r="C2324" s="2">
        <v>39349.0</v>
      </c>
      <c r="D2324" s="2">
        <v>14165.0</v>
      </c>
      <c r="E2324" s="3">
        <f t="shared" si="1"/>
        <v>0.3935268787</v>
      </c>
      <c r="F2324" s="2">
        <v>4954.0</v>
      </c>
      <c r="G2324" s="3">
        <f t="shared" si="2"/>
        <v>0.1376302264</v>
      </c>
      <c r="H2324" s="2">
        <v>8342.0</v>
      </c>
      <c r="I2324" s="3">
        <f t="shared" si="3"/>
        <v>0.2317544103</v>
      </c>
      <c r="J2324" s="2">
        <v>6653.0</v>
      </c>
      <c r="K2324" s="3">
        <f t="shared" si="4"/>
        <v>0.1848312266</v>
      </c>
      <c r="L2324" s="2">
        <v>5005.0</v>
      </c>
      <c r="M2324" s="3">
        <f t="shared" si="5"/>
        <v>0.5999760249</v>
      </c>
      <c r="N2324" s="2">
        <v>4.39001E7</v>
      </c>
      <c r="O2324" s="4">
        <f t="shared" si="6"/>
        <v>5262.538959</v>
      </c>
      <c r="P2324" s="2">
        <v>7.0</v>
      </c>
      <c r="Q2324" s="3">
        <f t="shared" si="7"/>
        <v>0.002087060227</v>
      </c>
      <c r="R2324" s="2">
        <v>3354.0</v>
      </c>
      <c r="S2324" s="5">
        <f t="shared" si="8"/>
        <v>1</v>
      </c>
    </row>
    <row r="2325">
      <c r="A2325" s="2" t="s">
        <v>2334</v>
      </c>
      <c r="B2325" s="2">
        <v>9.0</v>
      </c>
      <c r="C2325" s="2">
        <v>118.0</v>
      </c>
      <c r="D2325" s="2">
        <v>37.0</v>
      </c>
      <c r="E2325" s="3">
        <f t="shared" si="1"/>
        <v>0.3394495413</v>
      </c>
      <c r="F2325" s="2">
        <v>15.0</v>
      </c>
      <c r="G2325" s="3">
        <f t="shared" si="2"/>
        <v>0.1376146789</v>
      </c>
      <c r="H2325" s="2">
        <v>20.0</v>
      </c>
      <c r="I2325" s="3">
        <f t="shared" si="3"/>
        <v>0.1834862385</v>
      </c>
      <c r="J2325" s="2">
        <v>19.0</v>
      </c>
      <c r="K2325" s="3">
        <f t="shared" si="4"/>
        <v>0.1743119266</v>
      </c>
      <c r="L2325" s="2">
        <v>8.0</v>
      </c>
      <c r="M2325" s="3">
        <f t="shared" si="5"/>
        <v>0.4</v>
      </c>
      <c r="N2325" s="2">
        <v>112700.0</v>
      </c>
      <c r="O2325" s="4">
        <f t="shared" si="6"/>
        <v>5635</v>
      </c>
      <c r="P2325" s="2">
        <v>0.0</v>
      </c>
      <c r="Q2325" s="3">
        <f t="shared" si="7"/>
        <v>0</v>
      </c>
      <c r="R2325" s="2">
        <v>0.0</v>
      </c>
      <c r="S2325" s="5">
        <f t="shared" si="8"/>
        <v>0</v>
      </c>
    </row>
    <row r="2326">
      <c r="A2326" s="2" t="s">
        <v>2335</v>
      </c>
      <c r="B2326" s="2">
        <v>141.0</v>
      </c>
      <c r="C2326" s="2">
        <v>1667.0</v>
      </c>
      <c r="D2326" s="2">
        <v>565.0</v>
      </c>
      <c r="E2326" s="3">
        <f t="shared" si="1"/>
        <v>0.370249017</v>
      </c>
      <c r="F2326" s="2">
        <v>210.0</v>
      </c>
      <c r="G2326" s="3">
        <f t="shared" si="2"/>
        <v>0.1376146789</v>
      </c>
      <c r="H2326" s="2">
        <v>314.0</v>
      </c>
      <c r="I2326" s="3">
        <f t="shared" si="3"/>
        <v>0.2057667104</v>
      </c>
      <c r="J2326" s="2">
        <v>251.0</v>
      </c>
      <c r="K2326" s="3">
        <f t="shared" si="4"/>
        <v>0.1644823067</v>
      </c>
      <c r="L2326" s="2">
        <v>191.0</v>
      </c>
      <c r="M2326" s="3">
        <f t="shared" si="5"/>
        <v>0.6082802548</v>
      </c>
      <c r="N2326" s="2">
        <v>1684800.0</v>
      </c>
      <c r="O2326" s="4">
        <f t="shared" si="6"/>
        <v>5365.605096</v>
      </c>
      <c r="P2326" s="2">
        <v>0.0</v>
      </c>
      <c r="Q2326" s="3">
        <f t="shared" si="7"/>
        <v>0</v>
      </c>
      <c r="R2326" s="2">
        <v>141.0</v>
      </c>
      <c r="S2326" s="5">
        <f t="shared" si="8"/>
        <v>1</v>
      </c>
    </row>
    <row r="2327">
      <c r="A2327" s="2" t="s">
        <v>2336</v>
      </c>
      <c r="B2327" s="2">
        <v>314.0</v>
      </c>
      <c r="C2327" s="2">
        <v>3664.0</v>
      </c>
      <c r="D2327" s="2">
        <v>932.0</v>
      </c>
      <c r="E2327" s="3">
        <f t="shared" si="1"/>
        <v>0.2782089552</v>
      </c>
      <c r="F2327" s="2">
        <v>461.0</v>
      </c>
      <c r="G2327" s="3">
        <f t="shared" si="2"/>
        <v>0.1376119403</v>
      </c>
      <c r="H2327" s="2">
        <v>721.0</v>
      </c>
      <c r="I2327" s="3">
        <f t="shared" si="3"/>
        <v>0.2152238806</v>
      </c>
      <c r="J2327" s="2">
        <v>655.0</v>
      </c>
      <c r="K2327" s="3">
        <f t="shared" si="4"/>
        <v>0.1955223881</v>
      </c>
      <c r="L2327" s="2">
        <v>434.0</v>
      </c>
      <c r="M2327" s="3">
        <f t="shared" si="5"/>
        <v>0.6019417476</v>
      </c>
      <c r="N2327" s="2">
        <v>4057700.0</v>
      </c>
      <c r="O2327" s="4">
        <f t="shared" si="6"/>
        <v>5627.877947</v>
      </c>
      <c r="P2327" s="2">
        <v>1.0</v>
      </c>
      <c r="Q2327" s="3">
        <f t="shared" si="7"/>
        <v>0.003184713376</v>
      </c>
      <c r="R2327" s="2">
        <v>0.0</v>
      </c>
      <c r="S2327" s="5">
        <f t="shared" si="8"/>
        <v>0</v>
      </c>
    </row>
    <row r="2328">
      <c r="A2328" s="2" t="s">
        <v>2337</v>
      </c>
      <c r="B2328" s="2">
        <v>987.0</v>
      </c>
      <c r="C2328" s="2">
        <v>11626.0</v>
      </c>
      <c r="D2328" s="2">
        <v>4533.0</v>
      </c>
      <c r="E2328" s="3">
        <f t="shared" si="1"/>
        <v>0.4260738791</v>
      </c>
      <c r="F2328" s="2">
        <v>1464.0</v>
      </c>
      <c r="G2328" s="3">
        <f t="shared" si="2"/>
        <v>0.1376069179</v>
      </c>
      <c r="H2328" s="2">
        <v>2339.0</v>
      </c>
      <c r="I2328" s="3">
        <f t="shared" si="3"/>
        <v>0.2198514898</v>
      </c>
      <c r="J2328" s="2">
        <v>1729.0</v>
      </c>
      <c r="K2328" s="3">
        <f t="shared" si="4"/>
        <v>0.162515274</v>
      </c>
      <c r="L2328" s="2">
        <v>1444.0</v>
      </c>
      <c r="M2328" s="3">
        <f t="shared" si="5"/>
        <v>0.6173578452</v>
      </c>
      <c r="N2328" s="2">
        <v>1.26786E7</v>
      </c>
      <c r="O2328" s="4">
        <f t="shared" si="6"/>
        <v>5420.52159</v>
      </c>
      <c r="P2328" s="2">
        <v>4.0</v>
      </c>
      <c r="Q2328" s="3">
        <f t="shared" si="7"/>
        <v>0.004052684904</v>
      </c>
      <c r="R2328" s="2">
        <v>987.0</v>
      </c>
      <c r="S2328" s="5">
        <f t="shared" si="8"/>
        <v>1</v>
      </c>
    </row>
    <row r="2329">
      <c r="A2329" s="2" t="s">
        <v>2338</v>
      </c>
      <c r="B2329" s="2">
        <v>193.0</v>
      </c>
      <c r="C2329" s="2">
        <v>2257.0</v>
      </c>
      <c r="D2329" s="2">
        <v>618.0</v>
      </c>
      <c r="E2329" s="3">
        <f t="shared" si="1"/>
        <v>0.2994186047</v>
      </c>
      <c r="F2329" s="2">
        <v>284.0</v>
      </c>
      <c r="G2329" s="3">
        <f t="shared" si="2"/>
        <v>0.1375968992</v>
      </c>
      <c r="H2329" s="2">
        <v>385.0</v>
      </c>
      <c r="I2329" s="3">
        <f t="shared" si="3"/>
        <v>0.1865310078</v>
      </c>
      <c r="J2329" s="2">
        <v>414.0</v>
      </c>
      <c r="K2329" s="3">
        <f t="shared" si="4"/>
        <v>0.2005813953</v>
      </c>
      <c r="L2329" s="2">
        <v>217.0</v>
      </c>
      <c r="M2329" s="3">
        <f t="shared" si="5"/>
        <v>0.5636363636</v>
      </c>
      <c r="N2329" s="2">
        <v>2513400.0</v>
      </c>
      <c r="O2329" s="4">
        <f t="shared" si="6"/>
        <v>6528.311688</v>
      </c>
      <c r="P2329" s="2">
        <v>0.0</v>
      </c>
      <c r="Q2329" s="3">
        <f t="shared" si="7"/>
        <v>0</v>
      </c>
      <c r="R2329" s="2">
        <v>193.0</v>
      </c>
      <c r="S2329" s="5">
        <f t="shared" si="8"/>
        <v>1</v>
      </c>
    </row>
    <row r="2330">
      <c r="A2330" s="2" t="s">
        <v>2339</v>
      </c>
      <c r="B2330" s="2">
        <v>37.0</v>
      </c>
      <c r="C2330" s="2">
        <v>415.0</v>
      </c>
      <c r="D2330" s="2">
        <v>146.0</v>
      </c>
      <c r="E2330" s="3">
        <f t="shared" si="1"/>
        <v>0.3862433862</v>
      </c>
      <c r="F2330" s="2">
        <v>52.0</v>
      </c>
      <c r="G2330" s="3">
        <f t="shared" si="2"/>
        <v>0.1375661376</v>
      </c>
      <c r="H2330" s="2">
        <v>91.0</v>
      </c>
      <c r="I2330" s="3">
        <f t="shared" si="3"/>
        <v>0.2407407407</v>
      </c>
      <c r="J2330" s="2">
        <v>73.0</v>
      </c>
      <c r="K2330" s="3">
        <f t="shared" si="4"/>
        <v>0.1931216931</v>
      </c>
      <c r="L2330" s="2">
        <v>61.0</v>
      </c>
      <c r="M2330" s="3">
        <f t="shared" si="5"/>
        <v>0.6703296703</v>
      </c>
      <c r="N2330" s="2">
        <v>486900.0</v>
      </c>
      <c r="O2330" s="4">
        <f t="shared" si="6"/>
        <v>5350.549451</v>
      </c>
      <c r="P2330" s="2">
        <v>0.0</v>
      </c>
      <c r="Q2330" s="3">
        <f t="shared" si="7"/>
        <v>0</v>
      </c>
      <c r="R2330" s="2">
        <v>37.0</v>
      </c>
      <c r="S2330" s="5">
        <f t="shared" si="8"/>
        <v>1</v>
      </c>
    </row>
    <row r="2331">
      <c r="A2331" s="2" t="s">
        <v>2340</v>
      </c>
      <c r="B2331" s="2">
        <v>1961.0</v>
      </c>
      <c r="C2331" s="2">
        <v>22759.0</v>
      </c>
      <c r="D2331" s="2">
        <v>7300.0</v>
      </c>
      <c r="E2331" s="3">
        <f t="shared" si="1"/>
        <v>0.350995288</v>
      </c>
      <c r="F2331" s="2">
        <v>2861.0</v>
      </c>
      <c r="G2331" s="3">
        <f t="shared" si="2"/>
        <v>0.137561304</v>
      </c>
      <c r="H2331" s="2">
        <v>4209.0</v>
      </c>
      <c r="I2331" s="3">
        <f t="shared" si="3"/>
        <v>0.2023752284</v>
      </c>
      <c r="J2331" s="2">
        <v>3976.0</v>
      </c>
      <c r="K2331" s="3">
        <f t="shared" si="4"/>
        <v>0.1911722281</v>
      </c>
      <c r="L2331" s="2">
        <v>2501.0</v>
      </c>
      <c r="M2331" s="3">
        <f t="shared" si="5"/>
        <v>0.5942028986</v>
      </c>
      <c r="N2331" s="2">
        <v>2.49554E7</v>
      </c>
      <c r="O2331" s="4">
        <f t="shared" si="6"/>
        <v>5929.056783</v>
      </c>
      <c r="P2331" s="2">
        <v>3.0</v>
      </c>
      <c r="Q2331" s="3">
        <f t="shared" si="7"/>
        <v>0.001529831719</v>
      </c>
      <c r="R2331" s="2">
        <v>1961.0</v>
      </c>
      <c r="S2331" s="5">
        <f t="shared" si="8"/>
        <v>1</v>
      </c>
    </row>
    <row r="2332">
      <c r="A2332" s="2" t="s">
        <v>2341</v>
      </c>
      <c r="B2332" s="2">
        <v>348.0</v>
      </c>
      <c r="C2332" s="2">
        <v>4070.0</v>
      </c>
      <c r="D2332" s="2">
        <v>1426.0</v>
      </c>
      <c r="E2332" s="3">
        <f t="shared" si="1"/>
        <v>0.3831273509</v>
      </c>
      <c r="F2332" s="2">
        <v>512.0</v>
      </c>
      <c r="G2332" s="3">
        <f t="shared" si="2"/>
        <v>0.1375604514</v>
      </c>
      <c r="H2332" s="2">
        <v>785.0</v>
      </c>
      <c r="I2332" s="3">
        <f t="shared" si="3"/>
        <v>0.2109081139</v>
      </c>
      <c r="J2332" s="2">
        <v>566.0</v>
      </c>
      <c r="K2332" s="3">
        <f t="shared" si="4"/>
        <v>0.1520687802</v>
      </c>
      <c r="L2332" s="2">
        <v>493.0</v>
      </c>
      <c r="M2332" s="3">
        <f t="shared" si="5"/>
        <v>0.6280254777</v>
      </c>
      <c r="N2332" s="2">
        <v>4130600.0</v>
      </c>
      <c r="O2332" s="4">
        <f t="shared" si="6"/>
        <v>5261.910828</v>
      </c>
      <c r="P2332" s="2">
        <v>0.0</v>
      </c>
      <c r="Q2332" s="3">
        <f t="shared" si="7"/>
        <v>0</v>
      </c>
      <c r="R2332" s="2">
        <v>348.0</v>
      </c>
      <c r="S2332" s="5">
        <f t="shared" si="8"/>
        <v>1</v>
      </c>
    </row>
    <row r="2333">
      <c r="A2333" s="2" t="s">
        <v>2342</v>
      </c>
      <c r="B2333" s="2">
        <v>44.0</v>
      </c>
      <c r="C2333" s="2">
        <v>502.0</v>
      </c>
      <c r="D2333" s="2">
        <v>127.0</v>
      </c>
      <c r="E2333" s="3">
        <f t="shared" si="1"/>
        <v>0.2772925764</v>
      </c>
      <c r="F2333" s="2">
        <v>63.0</v>
      </c>
      <c r="G2333" s="3">
        <f t="shared" si="2"/>
        <v>0.1375545852</v>
      </c>
      <c r="H2333" s="2">
        <v>91.0</v>
      </c>
      <c r="I2333" s="3">
        <f t="shared" si="3"/>
        <v>0.1986899563</v>
      </c>
      <c r="J2333" s="2">
        <v>94.0</v>
      </c>
      <c r="K2333" s="3">
        <f t="shared" si="4"/>
        <v>0.2052401747</v>
      </c>
      <c r="L2333" s="2">
        <v>60.0</v>
      </c>
      <c r="M2333" s="3">
        <f t="shared" si="5"/>
        <v>0.6593406593</v>
      </c>
      <c r="N2333" s="2">
        <v>533600.0</v>
      </c>
      <c r="O2333" s="4">
        <f t="shared" si="6"/>
        <v>5863.736264</v>
      </c>
      <c r="P2333" s="2">
        <v>0.0</v>
      </c>
      <c r="Q2333" s="3">
        <f t="shared" si="7"/>
        <v>0</v>
      </c>
      <c r="R2333" s="2">
        <v>44.0</v>
      </c>
      <c r="S2333" s="5">
        <f t="shared" si="8"/>
        <v>1</v>
      </c>
    </row>
    <row r="2334">
      <c r="A2334" s="2" t="s">
        <v>2343</v>
      </c>
      <c r="B2334" s="2">
        <v>414.0</v>
      </c>
      <c r="C2334" s="2">
        <v>4827.0</v>
      </c>
      <c r="D2334" s="2">
        <v>1554.0</v>
      </c>
      <c r="E2334" s="3">
        <f t="shared" si="1"/>
        <v>0.3521414004</v>
      </c>
      <c r="F2334" s="2">
        <v>607.0</v>
      </c>
      <c r="G2334" s="3">
        <f t="shared" si="2"/>
        <v>0.1375481532</v>
      </c>
      <c r="H2334" s="2">
        <v>925.0</v>
      </c>
      <c r="I2334" s="3">
        <f t="shared" si="3"/>
        <v>0.2096079764</v>
      </c>
      <c r="J2334" s="2">
        <v>820.0</v>
      </c>
      <c r="K2334" s="3">
        <f t="shared" si="4"/>
        <v>0.1858146386</v>
      </c>
      <c r="L2334" s="2">
        <v>562.0</v>
      </c>
      <c r="M2334" s="3">
        <f t="shared" si="5"/>
        <v>0.6075675676</v>
      </c>
      <c r="N2334" s="2">
        <v>5507700.0</v>
      </c>
      <c r="O2334" s="4">
        <f t="shared" si="6"/>
        <v>5954.27027</v>
      </c>
      <c r="P2334" s="2">
        <v>1.0</v>
      </c>
      <c r="Q2334" s="3">
        <f t="shared" si="7"/>
        <v>0.002415458937</v>
      </c>
      <c r="R2334" s="2">
        <v>0.0</v>
      </c>
      <c r="S2334" s="5">
        <f t="shared" si="8"/>
        <v>0</v>
      </c>
    </row>
    <row r="2335">
      <c r="A2335" s="2" t="s">
        <v>2344</v>
      </c>
      <c r="B2335" s="2">
        <v>49.0</v>
      </c>
      <c r="C2335" s="2">
        <v>587.0</v>
      </c>
      <c r="D2335" s="2">
        <v>127.0</v>
      </c>
      <c r="E2335" s="3">
        <f t="shared" si="1"/>
        <v>0.2360594796</v>
      </c>
      <c r="F2335" s="2">
        <v>74.0</v>
      </c>
      <c r="G2335" s="3">
        <f t="shared" si="2"/>
        <v>0.1375464684</v>
      </c>
      <c r="H2335" s="2">
        <v>84.0</v>
      </c>
      <c r="I2335" s="3">
        <f t="shared" si="3"/>
        <v>0.156133829</v>
      </c>
      <c r="J2335" s="2">
        <v>100.0</v>
      </c>
      <c r="K2335" s="3">
        <f t="shared" si="4"/>
        <v>0.1858736059</v>
      </c>
      <c r="L2335" s="2">
        <v>56.0</v>
      </c>
      <c r="M2335" s="3">
        <f t="shared" si="5"/>
        <v>0.6666666667</v>
      </c>
      <c r="N2335" s="2">
        <v>519900.0</v>
      </c>
      <c r="O2335" s="4">
        <f t="shared" si="6"/>
        <v>6189.285714</v>
      </c>
      <c r="P2335" s="2">
        <v>0.0</v>
      </c>
      <c r="Q2335" s="3">
        <f t="shared" si="7"/>
        <v>0</v>
      </c>
      <c r="R2335" s="2">
        <v>49.0</v>
      </c>
      <c r="S2335" s="5">
        <f t="shared" si="8"/>
        <v>1</v>
      </c>
    </row>
    <row r="2336">
      <c r="A2336" s="2" t="s">
        <v>2345</v>
      </c>
      <c r="B2336" s="2">
        <v>547.0</v>
      </c>
      <c r="C2336" s="2">
        <v>6465.0</v>
      </c>
      <c r="D2336" s="2">
        <v>2174.0</v>
      </c>
      <c r="E2336" s="3">
        <f t="shared" si="1"/>
        <v>0.3673538358</v>
      </c>
      <c r="F2336" s="2">
        <v>814.0</v>
      </c>
      <c r="G2336" s="3">
        <f t="shared" si="2"/>
        <v>0.1375464684</v>
      </c>
      <c r="H2336" s="2">
        <v>1264.0</v>
      </c>
      <c r="I2336" s="3">
        <f t="shared" si="3"/>
        <v>0.2135856708</v>
      </c>
      <c r="J2336" s="2">
        <v>882.0</v>
      </c>
      <c r="K2336" s="3">
        <f t="shared" si="4"/>
        <v>0.1490368368</v>
      </c>
      <c r="L2336" s="2">
        <v>741.0</v>
      </c>
      <c r="M2336" s="3">
        <f t="shared" si="5"/>
        <v>0.5862341772</v>
      </c>
      <c r="N2336" s="2">
        <v>6685000.0</v>
      </c>
      <c r="O2336" s="4">
        <f t="shared" si="6"/>
        <v>5288.765823</v>
      </c>
      <c r="P2336" s="2">
        <v>1.0</v>
      </c>
      <c r="Q2336" s="3">
        <f t="shared" si="7"/>
        <v>0.001828153565</v>
      </c>
      <c r="R2336" s="2">
        <v>547.0</v>
      </c>
      <c r="S2336" s="5">
        <f t="shared" si="8"/>
        <v>1</v>
      </c>
    </row>
    <row r="2337">
      <c r="A2337" s="2" t="s">
        <v>2346</v>
      </c>
      <c r="B2337" s="2">
        <v>617.0</v>
      </c>
      <c r="C2337" s="2">
        <v>7044.0</v>
      </c>
      <c r="D2337" s="2">
        <v>2018.0</v>
      </c>
      <c r="E2337" s="3">
        <f t="shared" si="1"/>
        <v>0.3139878637</v>
      </c>
      <c r="F2337" s="2">
        <v>884.0</v>
      </c>
      <c r="G2337" s="3">
        <f t="shared" si="2"/>
        <v>0.1375447332</v>
      </c>
      <c r="H2337" s="2">
        <v>1356.0</v>
      </c>
      <c r="I2337" s="3">
        <f t="shared" si="3"/>
        <v>0.2109849074</v>
      </c>
      <c r="J2337" s="2">
        <v>1297.0</v>
      </c>
      <c r="K2337" s="3">
        <f t="shared" si="4"/>
        <v>0.2018048856</v>
      </c>
      <c r="L2337" s="2">
        <v>796.0</v>
      </c>
      <c r="M2337" s="3">
        <f t="shared" si="5"/>
        <v>0.587020649</v>
      </c>
      <c r="N2337" s="2">
        <v>8362400.0</v>
      </c>
      <c r="O2337" s="4">
        <f t="shared" si="6"/>
        <v>6166.961652</v>
      </c>
      <c r="P2337" s="2">
        <v>3.0</v>
      </c>
      <c r="Q2337" s="3">
        <f t="shared" si="7"/>
        <v>0.004862236629</v>
      </c>
      <c r="R2337" s="2">
        <v>617.0</v>
      </c>
      <c r="S2337" s="5">
        <f t="shared" si="8"/>
        <v>1</v>
      </c>
    </row>
    <row r="2338">
      <c r="A2338" s="2" t="s">
        <v>2347</v>
      </c>
      <c r="B2338" s="2">
        <v>389.0</v>
      </c>
      <c r="C2338" s="2">
        <v>4577.0</v>
      </c>
      <c r="D2338" s="2">
        <v>1478.0</v>
      </c>
      <c r="E2338" s="3">
        <f t="shared" si="1"/>
        <v>0.352913085</v>
      </c>
      <c r="F2338" s="2">
        <v>576.0</v>
      </c>
      <c r="G2338" s="3">
        <f t="shared" si="2"/>
        <v>0.1375358166</v>
      </c>
      <c r="H2338" s="2">
        <v>894.0</v>
      </c>
      <c r="I2338" s="3">
        <f t="shared" si="3"/>
        <v>0.2134670487</v>
      </c>
      <c r="J2338" s="2">
        <v>762.0</v>
      </c>
      <c r="K2338" s="3">
        <f t="shared" si="4"/>
        <v>0.1819484241</v>
      </c>
      <c r="L2338" s="2">
        <v>523.0</v>
      </c>
      <c r="M2338" s="3">
        <f t="shared" si="5"/>
        <v>0.5850111857</v>
      </c>
      <c r="N2338" s="2">
        <v>5107300.0</v>
      </c>
      <c r="O2338" s="4">
        <f t="shared" si="6"/>
        <v>5712.863535</v>
      </c>
      <c r="P2338" s="2">
        <v>0.0</v>
      </c>
      <c r="Q2338" s="3">
        <f t="shared" si="7"/>
        <v>0</v>
      </c>
      <c r="R2338" s="2">
        <v>389.0</v>
      </c>
      <c r="S2338" s="5">
        <f t="shared" si="8"/>
        <v>1</v>
      </c>
    </row>
    <row r="2339">
      <c r="A2339" s="2" t="s">
        <v>2348</v>
      </c>
      <c r="B2339" s="2">
        <v>47.0</v>
      </c>
      <c r="C2339" s="2">
        <v>556.0</v>
      </c>
      <c r="D2339" s="2">
        <v>161.0</v>
      </c>
      <c r="E2339" s="3">
        <f t="shared" si="1"/>
        <v>0.3163064833</v>
      </c>
      <c r="F2339" s="2">
        <v>70.0</v>
      </c>
      <c r="G2339" s="3">
        <f t="shared" si="2"/>
        <v>0.137524558</v>
      </c>
      <c r="H2339" s="2">
        <v>97.0</v>
      </c>
      <c r="I2339" s="3">
        <f t="shared" si="3"/>
        <v>0.1905697446</v>
      </c>
      <c r="J2339" s="2">
        <v>109.0</v>
      </c>
      <c r="K2339" s="3">
        <f t="shared" si="4"/>
        <v>0.2141453831</v>
      </c>
      <c r="L2339" s="2">
        <v>65.0</v>
      </c>
      <c r="M2339" s="3">
        <f t="shared" si="5"/>
        <v>0.6701030928</v>
      </c>
      <c r="N2339" s="2">
        <v>501100.0</v>
      </c>
      <c r="O2339" s="4">
        <f t="shared" si="6"/>
        <v>5165.979381</v>
      </c>
      <c r="P2339" s="2">
        <v>0.0</v>
      </c>
      <c r="Q2339" s="3">
        <f t="shared" si="7"/>
        <v>0</v>
      </c>
      <c r="R2339" s="2">
        <v>47.0</v>
      </c>
      <c r="S2339" s="5">
        <f t="shared" si="8"/>
        <v>1</v>
      </c>
    </row>
    <row r="2340">
      <c r="A2340" s="2" t="s">
        <v>2349</v>
      </c>
      <c r="B2340" s="2">
        <v>140.0</v>
      </c>
      <c r="C2340" s="2">
        <v>1638.0</v>
      </c>
      <c r="D2340" s="2">
        <v>576.0</v>
      </c>
      <c r="E2340" s="3">
        <f t="shared" si="1"/>
        <v>0.3845126836</v>
      </c>
      <c r="F2340" s="2">
        <v>206.0</v>
      </c>
      <c r="G2340" s="3">
        <f t="shared" si="2"/>
        <v>0.1375166889</v>
      </c>
      <c r="H2340" s="2">
        <v>293.0</v>
      </c>
      <c r="I2340" s="3">
        <f t="shared" si="3"/>
        <v>0.1955941255</v>
      </c>
      <c r="J2340" s="2">
        <v>246.0</v>
      </c>
      <c r="K2340" s="3">
        <f t="shared" si="4"/>
        <v>0.1642189586</v>
      </c>
      <c r="L2340" s="2">
        <v>184.0</v>
      </c>
      <c r="M2340" s="3">
        <f t="shared" si="5"/>
        <v>0.6279863481</v>
      </c>
      <c r="N2340" s="2">
        <v>1678200.0</v>
      </c>
      <c r="O2340" s="4">
        <f t="shared" si="6"/>
        <v>5727.645051</v>
      </c>
      <c r="P2340" s="2">
        <v>1.0</v>
      </c>
      <c r="Q2340" s="3">
        <f t="shared" si="7"/>
        <v>0.007142857143</v>
      </c>
      <c r="R2340" s="2">
        <v>140.0</v>
      </c>
      <c r="S2340" s="5">
        <f t="shared" si="8"/>
        <v>1</v>
      </c>
    </row>
    <row r="2341">
      <c r="A2341" s="2" t="s">
        <v>2350</v>
      </c>
      <c r="B2341" s="2">
        <v>79.0</v>
      </c>
      <c r="C2341" s="2">
        <v>908.0</v>
      </c>
      <c r="D2341" s="2">
        <v>296.0</v>
      </c>
      <c r="E2341" s="3">
        <f t="shared" si="1"/>
        <v>0.3570566948</v>
      </c>
      <c r="F2341" s="2">
        <v>114.0</v>
      </c>
      <c r="G2341" s="3">
        <f t="shared" si="2"/>
        <v>0.1375150784</v>
      </c>
      <c r="H2341" s="2">
        <v>170.0</v>
      </c>
      <c r="I2341" s="3">
        <f t="shared" si="3"/>
        <v>0.205066345</v>
      </c>
      <c r="J2341" s="2">
        <v>137.0</v>
      </c>
      <c r="K2341" s="3">
        <f t="shared" si="4"/>
        <v>0.1652593486</v>
      </c>
      <c r="L2341" s="2">
        <v>99.0</v>
      </c>
      <c r="M2341" s="3">
        <f t="shared" si="5"/>
        <v>0.5823529412</v>
      </c>
      <c r="N2341" s="2">
        <v>952500.0</v>
      </c>
      <c r="O2341" s="4">
        <f t="shared" si="6"/>
        <v>5602.941176</v>
      </c>
      <c r="P2341" s="2">
        <v>0.0</v>
      </c>
      <c r="Q2341" s="3">
        <f t="shared" si="7"/>
        <v>0</v>
      </c>
      <c r="R2341" s="2">
        <v>62.0</v>
      </c>
      <c r="S2341" s="5">
        <f t="shared" si="8"/>
        <v>0.7848101266</v>
      </c>
    </row>
    <row r="2342">
      <c r="A2342" s="2" t="s">
        <v>2351</v>
      </c>
      <c r="B2342" s="2">
        <v>2095.0</v>
      </c>
      <c r="C2342" s="2">
        <v>24340.0</v>
      </c>
      <c r="D2342" s="2">
        <v>8687.0</v>
      </c>
      <c r="E2342" s="3">
        <f t="shared" si="1"/>
        <v>0.3905147224</v>
      </c>
      <c r="F2342" s="2">
        <v>3059.0</v>
      </c>
      <c r="G2342" s="3">
        <f t="shared" si="2"/>
        <v>0.1375140481</v>
      </c>
      <c r="H2342" s="2">
        <v>4942.0</v>
      </c>
      <c r="I2342" s="3">
        <f t="shared" si="3"/>
        <v>0.2221622837</v>
      </c>
      <c r="J2342" s="2">
        <v>3615.0</v>
      </c>
      <c r="K2342" s="3">
        <f t="shared" si="4"/>
        <v>0.1625084289</v>
      </c>
      <c r="L2342" s="2">
        <v>2974.0</v>
      </c>
      <c r="M2342" s="3">
        <f t="shared" si="5"/>
        <v>0.6017806556</v>
      </c>
      <c r="N2342" s="2">
        <v>2.758E7</v>
      </c>
      <c r="O2342" s="4">
        <f t="shared" si="6"/>
        <v>5580.736544</v>
      </c>
      <c r="P2342" s="2">
        <v>5.0</v>
      </c>
      <c r="Q2342" s="3">
        <f t="shared" si="7"/>
        <v>0.002386634845</v>
      </c>
      <c r="R2342" s="2">
        <v>0.0</v>
      </c>
      <c r="S2342" s="5">
        <f t="shared" si="8"/>
        <v>0</v>
      </c>
    </row>
    <row r="2343">
      <c r="A2343" s="2" t="s">
        <v>2352</v>
      </c>
      <c r="B2343" s="2">
        <v>202.0</v>
      </c>
      <c r="C2343" s="2">
        <v>2420.0</v>
      </c>
      <c r="D2343" s="2">
        <v>814.0</v>
      </c>
      <c r="E2343" s="3">
        <f t="shared" si="1"/>
        <v>0.3669972949</v>
      </c>
      <c r="F2343" s="2">
        <v>305.0</v>
      </c>
      <c r="G2343" s="3">
        <f t="shared" si="2"/>
        <v>0.1375112714</v>
      </c>
      <c r="H2343" s="2">
        <v>473.0</v>
      </c>
      <c r="I2343" s="3">
        <f t="shared" si="3"/>
        <v>0.2132551849</v>
      </c>
      <c r="J2343" s="2">
        <v>439.0</v>
      </c>
      <c r="K2343" s="3">
        <f t="shared" si="4"/>
        <v>0.1979260595</v>
      </c>
      <c r="L2343" s="2">
        <v>288.0</v>
      </c>
      <c r="M2343" s="3">
        <f t="shared" si="5"/>
        <v>0.6088794926</v>
      </c>
      <c r="N2343" s="2">
        <v>2813900.0</v>
      </c>
      <c r="O2343" s="4">
        <f t="shared" si="6"/>
        <v>5949.048626</v>
      </c>
      <c r="P2343" s="2">
        <v>0.0</v>
      </c>
      <c r="Q2343" s="3">
        <f t="shared" si="7"/>
        <v>0</v>
      </c>
      <c r="R2343" s="2">
        <v>202.0</v>
      </c>
      <c r="S2343" s="5">
        <f t="shared" si="8"/>
        <v>1</v>
      </c>
    </row>
    <row r="2344">
      <c r="A2344" s="2" t="s">
        <v>2353</v>
      </c>
      <c r="B2344" s="2">
        <v>6234.0</v>
      </c>
      <c r="C2344" s="2">
        <v>72670.0</v>
      </c>
      <c r="D2344" s="2">
        <v>25827.0</v>
      </c>
      <c r="E2344" s="3">
        <f t="shared" si="1"/>
        <v>0.3887500753</v>
      </c>
      <c r="F2344" s="2">
        <v>9135.0</v>
      </c>
      <c r="G2344" s="3">
        <f t="shared" si="2"/>
        <v>0.1375007526</v>
      </c>
      <c r="H2344" s="2">
        <v>14739.0</v>
      </c>
      <c r="I2344" s="3">
        <f t="shared" si="3"/>
        <v>0.22185261</v>
      </c>
      <c r="J2344" s="2">
        <v>11076.0</v>
      </c>
      <c r="K2344" s="3">
        <f t="shared" si="4"/>
        <v>0.1667168403</v>
      </c>
      <c r="L2344" s="2">
        <v>8843.0</v>
      </c>
      <c r="M2344" s="3">
        <f t="shared" si="5"/>
        <v>0.5999728611</v>
      </c>
      <c r="N2344" s="2">
        <v>8.35786E7</v>
      </c>
      <c r="O2344" s="4">
        <f t="shared" si="6"/>
        <v>5670.574666</v>
      </c>
      <c r="P2344" s="2">
        <v>11.0</v>
      </c>
      <c r="Q2344" s="3">
        <f t="shared" si="7"/>
        <v>0.001764517164</v>
      </c>
      <c r="R2344" s="2">
        <v>6234.0</v>
      </c>
      <c r="S2344" s="5">
        <f t="shared" si="8"/>
        <v>1</v>
      </c>
    </row>
    <row r="2345">
      <c r="A2345" s="2" t="s">
        <v>2354</v>
      </c>
      <c r="B2345" s="2">
        <v>8.0</v>
      </c>
      <c r="C2345" s="2">
        <v>88.0</v>
      </c>
      <c r="D2345" s="2">
        <v>28.0</v>
      </c>
      <c r="E2345" s="3">
        <f t="shared" si="1"/>
        <v>0.35</v>
      </c>
      <c r="F2345" s="2">
        <v>11.0</v>
      </c>
      <c r="G2345" s="3">
        <f t="shared" si="2"/>
        <v>0.1375</v>
      </c>
      <c r="H2345" s="2">
        <v>10.0</v>
      </c>
      <c r="I2345" s="3">
        <f t="shared" si="3"/>
        <v>0.125</v>
      </c>
      <c r="J2345" s="2">
        <v>16.0</v>
      </c>
      <c r="K2345" s="3">
        <f t="shared" si="4"/>
        <v>0.2</v>
      </c>
      <c r="L2345" s="2">
        <v>3.0</v>
      </c>
      <c r="M2345" s="3">
        <f t="shared" si="5"/>
        <v>0.3</v>
      </c>
      <c r="N2345" s="2">
        <v>62600.0</v>
      </c>
      <c r="O2345" s="4">
        <f t="shared" si="6"/>
        <v>6260</v>
      </c>
      <c r="P2345" s="2">
        <v>0.0</v>
      </c>
      <c r="Q2345" s="3">
        <f t="shared" si="7"/>
        <v>0</v>
      </c>
      <c r="R2345" s="2">
        <v>8.0</v>
      </c>
      <c r="S2345" s="5">
        <f t="shared" si="8"/>
        <v>1</v>
      </c>
    </row>
    <row r="2346">
      <c r="A2346" s="2" t="s">
        <v>2355</v>
      </c>
      <c r="B2346" s="2">
        <v>54.0</v>
      </c>
      <c r="C2346" s="2">
        <v>614.0</v>
      </c>
      <c r="D2346" s="2">
        <v>194.0</v>
      </c>
      <c r="E2346" s="3">
        <f t="shared" si="1"/>
        <v>0.3464285714</v>
      </c>
      <c r="F2346" s="2">
        <v>77.0</v>
      </c>
      <c r="G2346" s="3">
        <f t="shared" si="2"/>
        <v>0.1375</v>
      </c>
      <c r="H2346" s="2">
        <v>110.0</v>
      </c>
      <c r="I2346" s="3">
        <f t="shared" si="3"/>
        <v>0.1964285714</v>
      </c>
      <c r="J2346" s="2">
        <v>96.0</v>
      </c>
      <c r="K2346" s="3">
        <f t="shared" si="4"/>
        <v>0.1714285714</v>
      </c>
      <c r="L2346" s="2">
        <v>63.0</v>
      </c>
      <c r="M2346" s="3">
        <f t="shared" si="5"/>
        <v>0.5727272727</v>
      </c>
      <c r="N2346" s="2">
        <v>559000.0</v>
      </c>
      <c r="O2346" s="4">
        <f t="shared" si="6"/>
        <v>5081.818182</v>
      </c>
      <c r="P2346" s="2">
        <v>0.0</v>
      </c>
      <c r="Q2346" s="3">
        <f t="shared" si="7"/>
        <v>0</v>
      </c>
      <c r="R2346" s="2">
        <v>0.0</v>
      </c>
      <c r="S2346" s="5">
        <f t="shared" si="8"/>
        <v>0</v>
      </c>
    </row>
    <row r="2347">
      <c r="A2347" s="2" t="s">
        <v>2356</v>
      </c>
      <c r="B2347" s="2">
        <v>3199.0</v>
      </c>
      <c r="C2347" s="2">
        <v>37264.0</v>
      </c>
      <c r="D2347" s="2">
        <v>11473.0</v>
      </c>
      <c r="E2347" s="3">
        <f t="shared" si="1"/>
        <v>0.3367972993</v>
      </c>
      <c r="F2347" s="2">
        <v>4683.0</v>
      </c>
      <c r="G2347" s="3">
        <f t="shared" si="2"/>
        <v>0.1374724791</v>
      </c>
      <c r="H2347" s="2">
        <v>7682.0</v>
      </c>
      <c r="I2347" s="3">
        <f t="shared" si="3"/>
        <v>0.2255100543</v>
      </c>
      <c r="J2347" s="2">
        <v>6274.0</v>
      </c>
      <c r="K2347" s="3">
        <f t="shared" si="4"/>
        <v>0.1841773081</v>
      </c>
      <c r="L2347" s="2">
        <v>4593.0</v>
      </c>
      <c r="M2347" s="3">
        <f t="shared" si="5"/>
        <v>0.5978911742</v>
      </c>
      <c r="N2347" s="2">
        <v>4.25259E7</v>
      </c>
      <c r="O2347" s="4">
        <f t="shared" si="6"/>
        <v>5535.784952</v>
      </c>
      <c r="P2347" s="2">
        <v>10.0</v>
      </c>
      <c r="Q2347" s="3">
        <f t="shared" si="7"/>
        <v>0.003125976868</v>
      </c>
      <c r="R2347" s="2">
        <v>3.0</v>
      </c>
      <c r="S2347" s="5">
        <f t="shared" si="8"/>
        <v>0.0009377930603</v>
      </c>
    </row>
    <row r="2348">
      <c r="A2348" s="2" t="s">
        <v>2357</v>
      </c>
      <c r="B2348" s="2">
        <v>98.0</v>
      </c>
      <c r="C2348" s="2">
        <v>1131.0</v>
      </c>
      <c r="D2348" s="2">
        <v>358.0</v>
      </c>
      <c r="E2348" s="3">
        <f t="shared" si="1"/>
        <v>0.3465634076</v>
      </c>
      <c r="F2348" s="2">
        <v>142.0</v>
      </c>
      <c r="G2348" s="3">
        <f t="shared" si="2"/>
        <v>0.137463698</v>
      </c>
      <c r="H2348" s="2">
        <v>235.0</v>
      </c>
      <c r="I2348" s="3">
        <f t="shared" si="3"/>
        <v>0.2274927396</v>
      </c>
      <c r="J2348" s="2">
        <v>217.0</v>
      </c>
      <c r="K2348" s="3">
        <f t="shared" si="4"/>
        <v>0.2100677638</v>
      </c>
      <c r="L2348" s="2">
        <v>139.0</v>
      </c>
      <c r="M2348" s="3">
        <f t="shared" si="5"/>
        <v>0.5914893617</v>
      </c>
      <c r="N2348" s="2">
        <v>1181700.0</v>
      </c>
      <c r="O2348" s="4">
        <f t="shared" si="6"/>
        <v>5028.510638</v>
      </c>
      <c r="P2348" s="2">
        <v>0.0</v>
      </c>
      <c r="Q2348" s="3">
        <f t="shared" si="7"/>
        <v>0</v>
      </c>
      <c r="R2348" s="2">
        <v>83.0</v>
      </c>
      <c r="S2348" s="5">
        <f t="shared" si="8"/>
        <v>0.8469387755</v>
      </c>
    </row>
    <row r="2349">
      <c r="A2349" s="2" t="s">
        <v>2358</v>
      </c>
      <c r="B2349" s="2">
        <v>2585.0</v>
      </c>
      <c r="C2349" s="2">
        <v>30149.0</v>
      </c>
      <c r="D2349" s="2">
        <v>9133.0</v>
      </c>
      <c r="E2349" s="3">
        <f t="shared" si="1"/>
        <v>0.3313379771</v>
      </c>
      <c r="F2349" s="2">
        <v>3789.0</v>
      </c>
      <c r="G2349" s="3">
        <f t="shared" si="2"/>
        <v>0.1374619068</v>
      </c>
      <c r="H2349" s="2">
        <v>5765.0</v>
      </c>
      <c r="I2349" s="3">
        <f t="shared" si="3"/>
        <v>0.2091496154</v>
      </c>
      <c r="J2349" s="2">
        <v>4157.0</v>
      </c>
      <c r="K2349" s="3">
        <f t="shared" si="4"/>
        <v>0.1508126542</v>
      </c>
      <c r="L2349" s="2">
        <v>3527.0</v>
      </c>
      <c r="M2349" s="3">
        <f t="shared" si="5"/>
        <v>0.6117953166</v>
      </c>
      <c r="N2349" s="2">
        <v>3.27281E7</v>
      </c>
      <c r="O2349" s="4">
        <f t="shared" si="6"/>
        <v>5677.033825</v>
      </c>
      <c r="P2349" s="2">
        <v>7.0</v>
      </c>
      <c r="Q2349" s="3">
        <f t="shared" si="7"/>
        <v>0.002707930368</v>
      </c>
      <c r="R2349" s="2">
        <v>2585.0</v>
      </c>
      <c r="S2349" s="5">
        <f t="shared" si="8"/>
        <v>1</v>
      </c>
    </row>
    <row r="2350">
      <c r="A2350" s="2" t="s">
        <v>2359</v>
      </c>
      <c r="B2350" s="2">
        <v>3652.0</v>
      </c>
      <c r="C2350" s="2">
        <v>42254.0</v>
      </c>
      <c r="D2350" s="2">
        <v>13599.0</v>
      </c>
      <c r="E2350" s="3">
        <f t="shared" si="1"/>
        <v>0.3522874462</v>
      </c>
      <c r="F2350" s="2">
        <v>5306.0</v>
      </c>
      <c r="G2350" s="3">
        <f t="shared" si="2"/>
        <v>0.1374540179</v>
      </c>
      <c r="H2350" s="2">
        <v>8795.0</v>
      </c>
      <c r="I2350" s="3">
        <f t="shared" si="3"/>
        <v>0.2278379359</v>
      </c>
      <c r="J2350" s="2">
        <v>7079.0</v>
      </c>
      <c r="K2350" s="3">
        <f t="shared" si="4"/>
        <v>0.1833842806</v>
      </c>
      <c r="L2350" s="2">
        <v>5307.0</v>
      </c>
      <c r="M2350" s="3">
        <f t="shared" si="5"/>
        <v>0.603411029</v>
      </c>
      <c r="N2350" s="2">
        <v>5.12379E7</v>
      </c>
      <c r="O2350" s="4">
        <f t="shared" si="6"/>
        <v>5825.798749</v>
      </c>
      <c r="P2350" s="2">
        <v>17.0</v>
      </c>
      <c r="Q2350" s="3">
        <f t="shared" si="7"/>
        <v>0.004654983571</v>
      </c>
      <c r="R2350" s="2">
        <v>3652.0</v>
      </c>
      <c r="S2350" s="5">
        <f t="shared" si="8"/>
        <v>1</v>
      </c>
    </row>
    <row r="2351">
      <c r="A2351" s="2" t="s">
        <v>2360</v>
      </c>
      <c r="B2351" s="2">
        <v>3295.0</v>
      </c>
      <c r="C2351" s="2">
        <v>38776.0</v>
      </c>
      <c r="D2351" s="2">
        <v>11471.0</v>
      </c>
      <c r="E2351" s="3">
        <f t="shared" si="1"/>
        <v>0.3232997943</v>
      </c>
      <c r="F2351" s="2">
        <v>4877.0</v>
      </c>
      <c r="G2351" s="3">
        <f t="shared" si="2"/>
        <v>0.1374538485</v>
      </c>
      <c r="H2351" s="2">
        <v>7603.0</v>
      </c>
      <c r="I2351" s="3">
        <f t="shared" si="3"/>
        <v>0.2142837011</v>
      </c>
      <c r="J2351" s="2">
        <v>5966.0</v>
      </c>
      <c r="K2351" s="3">
        <f t="shared" si="4"/>
        <v>0.1681463318</v>
      </c>
      <c r="L2351" s="2">
        <v>4583.0</v>
      </c>
      <c r="M2351" s="3">
        <f t="shared" si="5"/>
        <v>0.602788373</v>
      </c>
      <c r="N2351" s="2">
        <v>4.50031E7</v>
      </c>
      <c r="O2351" s="4">
        <f t="shared" si="6"/>
        <v>5919.12403</v>
      </c>
      <c r="P2351" s="2">
        <v>7.0</v>
      </c>
      <c r="Q2351" s="3">
        <f t="shared" si="7"/>
        <v>0.002124430956</v>
      </c>
      <c r="R2351" s="2">
        <v>3295.0</v>
      </c>
      <c r="S2351" s="5">
        <f t="shared" si="8"/>
        <v>1</v>
      </c>
    </row>
    <row r="2352">
      <c r="A2352" s="2" t="s">
        <v>2361</v>
      </c>
      <c r="B2352" s="2">
        <v>117.0</v>
      </c>
      <c r="C2352" s="2">
        <v>1412.0</v>
      </c>
      <c r="D2352" s="2">
        <v>474.0</v>
      </c>
      <c r="E2352" s="3">
        <f t="shared" si="1"/>
        <v>0.366023166</v>
      </c>
      <c r="F2352" s="2">
        <v>178.0</v>
      </c>
      <c r="G2352" s="3">
        <f t="shared" si="2"/>
        <v>0.1374517375</v>
      </c>
      <c r="H2352" s="2">
        <v>286.0</v>
      </c>
      <c r="I2352" s="3">
        <f t="shared" si="3"/>
        <v>0.2208494208</v>
      </c>
      <c r="J2352" s="2">
        <v>212.0</v>
      </c>
      <c r="K2352" s="3">
        <f t="shared" si="4"/>
        <v>0.1637065637</v>
      </c>
      <c r="L2352" s="2">
        <v>173.0</v>
      </c>
      <c r="M2352" s="3">
        <f t="shared" si="5"/>
        <v>0.6048951049</v>
      </c>
      <c r="N2352" s="2">
        <v>1489000.0</v>
      </c>
      <c r="O2352" s="4">
        <f t="shared" si="6"/>
        <v>5206.293706</v>
      </c>
      <c r="P2352" s="2">
        <v>0.0</v>
      </c>
      <c r="Q2352" s="3">
        <f t="shared" si="7"/>
        <v>0</v>
      </c>
      <c r="R2352" s="2">
        <v>117.0</v>
      </c>
      <c r="S2352" s="5">
        <f t="shared" si="8"/>
        <v>1</v>
      </c>
    </row>
    <row r="2353">
      <c r="A2353" s="2" t="s">
        <v>2362</v>
      </c>
      <c r="B2353" s="2">
        <v>67.0</v>
      </c>
      <c r="C2353" s="2">
        <v>780.0</v>
      </c>
      <c r="D2353" s="2">
        <v>243.0</v>
      </c>
      <c r="E2353" s="3">
        <f t="shared" si="1"/>
        <v>0.3408134642</v>
      </c>
      <c r="F2353" s="2">
        <v>98.0</v>
      </c>
      <c r="G2353" s="3">
        <f t="shared" si="2"/>
        <v>0.1374474053</v>
      </c>
      <c r="H2353" s="2">
        <v>148.0</v>
      </c>
      <c r="I2353" s="3">
        <f t="shared" si="3"/>
        <v>0.2075736325</v>
      </c>
      <c r="J2353" s="2">
        <v>129.0</v>
      </c>
      <c r="K2353" s="3">
        <f t="shared" si="4"/>
        <v>0.1809256662</v>
      </c>
      <c r="L2353" s="2">
        <v>101.0</v>
      </c>
      <c r="M2353" s="3">
        <f t="shared" si="5"/>
        <v>0.6824324324</v>
      </c>
      <c r="N2353" s="2">
        <v>794600.0</v>
      </c>
      <c r="O2353" s="4">
        <f t="shared" si="6"/>
        <v>5368.918919</v>
      </c>
      <c r="P2353" s="2">
        <v>0.0</v>
      </c>
      <c r="Q2353" s="3">
        <f t="shared" si="7"/>
        <v>0</v>
      </c>
      <c r="R2353" s="2">
        <v>67.0</v>
      </c>
      <c r="S2353" s="5">
        <f t="shared" si="8"/>
        <v>1</v>
      </c>
    </row>
    <row r="2354">
      <c r="A2354" s="2" t="s">
        <v>2363</v>
      </c>
      <c r="B2354" s="2">
        <v>548.0</v>
      </c>
      <c r="C2354" s="2">
        <v>6514.0</v>
      </c>
      <c r="D2354" s="2">
        <v>2285.0</v>
      </c>
      <c r="E2354" s="3">
        <f t="shared" si="1"/>
        <v>0.3830036876</v>
      </c>
      <c r="F2354" s="2">
        <v>820.0</v>
      </c>
      <c r="G2354" s="3">
        <f t="shared" si="2"/>
        <v>0.1374455246</v>
      </c>
      <c r="H2354" s="2">
        <v>1234.0</v>
      </c>
      <c r="I2354" s="3">
        <f t="shared" si="3"/>
        <v>0.2068387529</v>
      </c>
      <c r="J2354" s="2">
        <v>981.0</v>
      </c>
      <c r="K2354" s="3">
        <f t="shared" si="4"/>
        <v>0.1644317801</v>
      </c>
      <c r="L2354" s="2">
        <v>742.0</v>
      </c>
      <c r="M2354" s="3">
        <f t="shared" si="5"/>
        <v>0.6012965964</v>
      </c>
      <c r="N2354" s="2">
        <v>6979600.0</v>
      </c>
      <c r="O2354" s="4">
        <f t="shared" si="6"/>
        <v>5656.077796</v>
      </c>
      <c r="P2354" s="2">
        <v>0.0</v>
      </c>
      <c r="Q2354" s="3">
        <f t="shared" si="7"/>
        <v>0</v>
      </c>
      <c r="R2354" s="2">
        <v>548.0</v>
      </c>
      <c r="S2354" s="5">
        <f t="shared" si="8"/>
        <v>1</v>
      </c>
    </row>
    <row r="2355">
      <c r="A2355" s="2" t="s">
        <v>2364</v>
      </c>
      <c r="B2355" s="2">
        <v>11289.0</v>
      </c>
      <c r="C2355" s="2">
        <v>132005.0</v>
      </c>
      <c r="D2355" s="2">
        <v>44172.0</v>
      </c>
      <c r="E2355" s="3">
        <f t="shared" si="1"/>
        <v>0.365916697</v>
      </c>
      <c r="F2355" s="2">
        <v>16591.0</v>
      </c>
      <c r="G2355" s="3">
        <f t="shared" si="2"/>
        <v>0.1374382849</v>
      </c>
      <c r="H2355" s="2">
        <v>25851.0</v>
      </c>
      <c r="I2355" s="3">
        <f t="shared" si="3"/>
        <v>0.2141472547</v>
      </c>
      <c r="J2355" s="2">
        <v>19013.0</v>
      </c>
      <c r="K2355" s="3">
        <f t="shared" si="4"/>
        <v>0.1575019053</v>
      </c>
      <c r="L2355" s="2">
        <v>15831.0</v>
      </c>
      <c r="M2355" s="3">
        <f t="shared" si="5"/>
        <v>0.6123941047</v>
      </c>
      <c r="N2355" s="2">
        <v>1.484777E8</v>
      </c>
      <c r="O2355" s="4">
        <f t="shared" si="6"/>
        <v>5743.595992</v>
      </c>
      <c r="P2355" s="2">
        <v>34.0</v>
      </c>
      <c r="Q2355" s="3">
        <f t="shared" si="7"/>
        <v>0.00301178138</v>
      </c>
      <c r="R2355" s="2">
        <v>11289.0</v>
      </c>
      <c r="S2355" s="5">
        <f t="shared" si="8"/>
        <v>1</v>
      </c>
    </row>
    <row r="2356">
      <c r="A2356" s="2" t="s">
        <v>2365</v>
      </c>
      <c r="B2356" s="2">
        <v>596.0</v>
      </c>
      <c r="C2356" s="2">
        <v>6970.0</v>
      </c>
      <c r="D2356" s="2">
        <v>2331.0</v>
      </c>
      <c r="E2356" s="3">
        <f t="shared" si="1"/>
        <v>0.3657044242</v>
      </c>
      <c r="F2356" s="2">
        <v>876.0</v>
      </c>
      <c r="G2356" s="3">
        <f t="shared" si="2"/>
        <v>0.1374333229</v>
      </c>
      <c r="H2356" s="2">
        <v>1343.0</v>
      </c>
      <c r="I2356" s="3">
        <f t="shared" si="3"/>
        <v>0.2106997176</v>
      </c>
      <c r="J2356" s="2">
        <v>1105.0</v>
      </c>
      <c r="K2356" s="3">
        <f t="shared" si="4"/>
        <v>0.1733605271</v>
      </c>
      <c r="L2356" s="2">
        <v>771.0</v>
      </c>
      <c r="M2356" s="3">
        <f t="shared" si="5"/>
        <v>0.574087863</v>
      </c>
      <c r="N2356" s="2">
        <v>7500700.0</v>
      </c>
      <c r="O2356" s="4">
        <f t="shared" si="6"/>
        <v>5585.033507</v>
      </c>
      <c r="P2356" s="2">
        <v>0.0</v>
      </c>
      <c r="Q2356" s="3">
        <f t="shared" si="7"/>
        <v>0</v>
      </c>
      <c r="R2356" s="2">
        <v>596.0</v>
      </c>
      <c r="S2356" s="5">
        <f t="shared" si="8"/>
        <v>1</v>
      </c>
    </row>
    <row r="2357">
      <c r="A2357" s="2" t="s">
        <v>2366</v>
      </c>
      <c r="B2357" s="2">
        <v>51.0</v>
      </c>
      <c r="C2357" s="2">
        <v>604.0</v>
      </c>
      <c r="D2357" s="2">
        <v>201.0</v>
      </c>
      <c r="E2357" s="3">
        <f t="shared" si="1"/>
        <v>0.3634719711</v>
      </c>
      <c r="F2357" s="2">
        <v>76.0</v>
      </c>
      <c r="G2357" s="3">
        <f t="shared" si="2"/>
        <v>0.1374321881</v>
      </c>
      <c r="H2357" s="2">
        <v>119.0</v>
      </c>
      <c r="I2357" s="3">
        <f t="shared" si="3"/>
        <v>0.2151898734</v>
      </c>
      <c r="J2357" s="2">
        <v>94.0</v>
      </c>
      <c r="K2357" s="3">
        <f t="shared" si="4"/>
        <v>0.1699819168</v>
      </c>
      <c r="L2357" s="2">
        <v>65.0</v>
      </c>
      <c r="M2357" s="3">
        <f t="shared" si="5"/>
        <v>0.5462184874</v>
      </c>
      <c r="N2357" s="2">
        <v>639800.0</v>
      </c>
      <c r="O2357" s="4">
        <f t="shared" si="6"/>
        <v>5376.470588</v>
      </c>
      <c r="P2357" s="2">
        <v>0.0</v>
      </c>
      <c r="Q2357" s="3">
        <f t="shared" si="7"/>
        <v>0</v>
      </c>
      <c r="R2357" s="2">
        <v>51.0</v>
      </c>
      <c r="S2357" s="5">
        <f t="shared" si="8"/>
        <v>1</v>
      </c>
    </row>
    <row r="2358">
      <c r="A2358" s="2" t="s">
        <v>2367</v>
      </c>
      <c r="B2358" s="2">
        <v>1653.0</v>
      </c>
      <c r="C2358" s="2">
        <v>19468.0</v>
      </c>
      <c r="D2358" s="2">
        <v>6972.0</v>
      </c>
      <c r="E2358" s="3">
        <f t="shared" si="1"/>
        <v>0.3913555992</v>
      </c>
      <c r="F2358" s="2">
        <v>2448.0</v>
      </c>
      <c r="G2358" s="3">
        <f t="shared" si="2"/>
        <v>0.137412293</v>
      </c>
      <c r="H2358" s="2">
        <v>3938.0</v>
      </c>
      <c r="I2358" s="3">
        <f t="shared" si="3"/>
        <v>0.2210496772</v>
      </c>
      <c r="J2358" s="2">
        <v>3134.0</v>
      </c>
      <c r="K2358" s="3">
        <f t="shared" si="4"/>
        <v>0.1759191692</v>
      </c>
      <c r="L2358" s="2">
        <v>2388.0</v>
      </c>
      <c r="M2358" s="3">
        <f t="shared" si="5"/>
        <v>0.6063991874</v>
      </c>
      <c r="N2358" s="2">
        <v>2.20631E7</v>
      </c>
      <c r="O2358" s="4">
        <f t="shared" si="6"/>
        <v>5602.615541</v>
      </c>
      <c r="P2358" s="2">
        <v>2.0</v>
      </c>
      <c r="Q2358" s="3">
        <f t="shared" si="7"/>
        <v>0.001209921355</v>
      </c>
      <c r="R2358" s="2">
        <v>0.0</v>
      </c>
      <c r="S2358" s="5">
        <f t="shared" si="8"/>
        <v>0</v>
      </c>
    </row>
    <row r="2359">
      <c r="A2359" s="2" t="s">
        <v>2368</v>
      </c>
      <c r="B2359" s="2">
        <v>508.0</v>
      </c>
      <c r="C2359" s="2">
        <v>5937.0</v>
      </c>
      <c r="D2359" s="2">
        <v>1844.0</v>
      </c>
      <c r="E2359" s="3">
        <f t="shared" si="1"/>
        <v>0.3396573955</v>
      </c>
      <c r="F2359" s="2">
        <v>746.0</v>
      </c>
      <c r="G2359" s="3">
        <f t="shared" si="2"/>
        <v>0.1374102045</v>
      </c>
      <c r="H2359" s="2">
        <v>1041.0</v>
      </c>
      <c r="I2359" s="3">
        <f t="shared" si="3"/>
        <v>0.1917480199</v>
      </c>
      <c r="J2359" s="2">
        <v>855.0</v>
      </c>
      <c r="K2359" s="3">
        <f t="shared" si="4"/>
        <v>0.1574875668</v>
      </c>
      <c r="L2359" s="2">
        <v>590.0</v>
      </c>
      <c r="M2359" s="3">
        <f t="shared" si="5"/>
        <v>0.5667627281</v>
      </c>
      <c r="N2359" s="2">
        <v>6397300.0</v>
      </c>
      <c r="O2359" s="4">
        <f t="shared" si="6"/>
        <v>6145.341018</v>
      </c>
      <c r="P2359" s="2">
        <v>3.0</v>
      </c>
      <c r="Q2359" s="3">
        <f t="shared" si="7"/>
        <v>0.005905511811</v>
      </c>
      <c r="R2359" s="2">
        <v>508.0</v>
      </c>
      <c r="S2359" s="5">
        <f t="shared" si="8"/>
        <v>1</v>
      </c>
    </row>
    <row r="2360">
      <c r="A2360" s="2" t="s">
        <v>2369</v>
      </c>
      <c r="B2360" s="2">
        <v>37.0</v>
      </c>
      <c r="C2360" s="2">
        <v>430.0</v>
      </c>
      <c r="D2360" s="2">
        <v>105.0</v>
      </c>
      <c r="E2360" s="3">
        <f t="shared" si="1"/>
        <v>0.2671755725</v>
      </c>
      <c r="F2360" s="2">
        <v>54.0</v>
      </c>
      <c r="G2360" s="3">
        <f t="shared" si="2"/>
        <v>0.1374045802</v>
      </c>
      <c r="H2360" s="2">
        <v>77.0</v>
      </c>
      <c r="I2360" s="3">
        <f t="shared" si="3"/>
        <v>0.1959287532</v>
      </c>
      <c r="J2360" s="2">
        <v>84.0</v>
      </c>
      <c r="K2360" s="3">
        <f t="shared" si="4"/>
        <v>0.213740458</v>
      </c>
      <c r="L2360" s="2">
        <v>45.0</v>
      </c>
      <c r="M2360" s="3">
        <f t="shared" si="5"/>
        <v>0.5844155844</v>
      </c>
      <c r="N2360" s="2">
        <v>524100.0</v>
      </c>
      <c r="O2360" s="4">
        <f t="shared" si="6"/>
        <v>6806.493506</v>
      </c>
      <c r="P2360" s="2">
        <v>0.0</v>
      </c>
      <c r="Q2360" s="3">
        <f t="shared" si="7"/>
        <v>0</v>
      </c>
      <c r="R2360" s="2">
        <v>37.0</v>
      </c>
      <c r="S2360" s="5">
        <f t="shared" si="8"/>
        <v>1</v>
      </c>
    </row>
    <row r="2361">
      <c r="A2361" s="2" t="s">
        <v>2370</v>
      </c>
      <c r="B2361" s="2">
        <v>372.0</v>
      </c>
      <c r="C2361" s="2">
        <v>4433.0</v>
      </c>
      <c r="D2361" s="2">
        <v>1520.0</v>
      </c>
      <c r="E2361" s="3">
        <f t="shared" si="1"/>
        <v>0.3742920463</v>
      </c>
      <c r="F2361" s="2">
        <v>558.0</v>
      </c>
      <c r="G2361" s="3">
        <f t="shared" si="2"/>
        <v>0.1374045802</v>
      </c>
      <c r="H2361" s="2">
        <v>844.0</v>
      </c>
      <c r="I2361" s="3">
        <f t="shared" si="3"/>
        <v>0.2078305836</v>
      </c>
      <c r="J2361" s="2">
        <v>670.0</v>
      </c>
      <c r="K2361" s="3">
        <f t="shared" si="4"/>
        <v>0.1649839941</v>
      </c>
      <c r="L2361" s="2">
        <v>502.0</v>
      </c>
      <c r="M2361" s="3">
        <f t="shared" si="5"/>
        <v>0.5947867299</v>
      </c>
      <c r="N2361" s="2">
        <v>4771200.0</v>
      </c>
      <c r="O2361" s="4">
        <f t="shared" si="6"/>
        <v>5653.080569</v>
      </c>
      <c r="P2361" s="2">
        <v>0.0</v>
      </c>
      <c r="Q2361" s="3">
        <f t="shared" si="7"/>
        <v>0</v>
      </c>
      <c r="R2361" s="2">
        <v>372.0</v>
      </c>
      <c r="S2361" s="5">
        <f t="shared" si="8"/>
        <v>1</v>
      </c>
    </row>
    <row r="2362">
      <c r="A2362" s="2" t="s">
        <v>2371</v>
      </c>
      <c r="B2362" s="2">
        <v>24.0</v>
      </c>
      <c r="C2362" s="2">
        <v>286.0</v>
      </c>
      <c r="D2362" s="2">
        <v>61.0</v>
      </c>
      <c r="E2362" s="3">
        <f t="shared" si="1"/>
        <v>0.2328244275</v>
      </c>
      <c r="F2362" s="2">
        <v>36.0</v>
      </c>
      <c r="G2362" s="3">
        <f t="shared" si="2"/>
        <v>0.1374045802</v>
      </c>
      <c r="H2362" s="2">
        <v>47.0</v>
      </c>
      <c r="I2362" s="3">
        <f t="shared" si="3"/>
        <v>0.179389313</v>
      </c>
      <c r="J2362" s="2">
        <v>40.0</v>
      </c>
      <c r="K2362" s="3">
        <f t="shared" si="4"/>
        <v>0.1526717557</v>
      </c>
      <c r="L2362" s="2">
        <v>32.0</v>
      </c>
      <c r="M2362" s="3">
        <f t="shared" si="5"/>
        <v>0.6808510638</v>
      </c>
      <c r="N2362" s="2">
        <v>271200.0</v>
      </c>
      <c r="O2362" s="4">
        <f t="shared" si="6"/>
        <v>5770.212766</v>
      </c>
      <c r="P2362" s="2">
        <v>0.0</v>
      </c>
      <c r="Q2362" s="3">
        <f t="shared" si="7"/>
        <v>0</v>
      </c>
      <c r="R2362" s="2">
        <v>0.0</v>
      </c>
      <c r="S2362" s="5">
        <f t="shared" si="8"/>
        <v>0</v>
      </c>
    </row>
    <row r="2363">
      <c r="A2363" s="2" t="s">
        <v>2372</v>
      </c>
      <c r="B2363" s="2">
        <v>1372.0</v>
      </c>
      <c r="C2363" s="2">
        <v>16184.0</v>
      </c>
      <c r="D2363" s="2">
        <v>5684.0</v>
      </c>
      <c r="E2363" s="3">
        <f t="shared" si="1"/>
        <v>0.3837429112</v>
      </c>
      <c r="F2363" s="2">
        <v>2035.0</v>
      </c>
      <c r="G2363" s="3">
        <f t="shared" si="2"/>
        <v>0.1373886038</v>
      </c>
      <c r="H2363" s="2">
        <v>3074.0</v>
      </c>
      <c r="I2363" s="3">
        <f t="shared" si="3"/>
        <v>0.2075344315</v>
      </c>
      <c r="J2363" s="2">
        <v>2366.0</v>
      </c>
      <c r="K2363" s="3">
        <f t="shared" si="4"/>
        <v>0.1597353497</v>
      </c>
      <c r="L2363" s="2">
        <v>1805.0</v>
      </c>
      <c r="M2363" s="3">
        <f t="shared" si="5"/>
        <v>0.5871828237</v>
      </c>
      <c r="N2363" s="2">
        <v>1.76875E7</v>
      </c>
      <c r="O2363" s="4">
        <f t="shared" si="6"/>
        <v>5753.903709</v>
      </c>
      <c r="P2363" s="2">
        <v>2.0</v>
      </c>
      <c r="Q2363" s="3">
        <f t="shared" si="7"/>
        <v>0.001457725948</v>
      </c>
      <c r="R2363" s="2">
        <v>129.0</v>
      </c>
      <c r="S2363" s="5">
        <f t="shared" si="8"/>
        <v>0.09402332362</v>
      </c>
    </row>
    <row r="2364">
      <c r="A2364" s="2" t="s">
        <v>2373</v>
      </c>
      <c r="B2364" s="2">
        <v>1186.0</v>
      </c>
      <c r="C2364" s="2">
        <v>13964.0</v>
      </c>
      <c r="D2364" s="2">
        <v>4362.0</v>
      </c>
      <c r="E2364" s="3">
        <f t="shared" si="1"/>
        <v>0.3413679762</v>
      </c>
      <c r="F2364" s="2">
        <v>1755.0</v>
      </c>
      <c r="G2364" s="3">
        <f t="shared" si="2"/>
        <v>0.1373454375</v>
      </c>
      <c r="H2364" s="2">
        <v>2713.0</v>
      </c>
      <c r="I2364" s="3">
        <f t="shared" si="3"/>
        <v>0.2123180466</v>
      </c>
      <c r="J2364" s="2">
        <v>2417.0</v>
      </c>
      <c r="K2364" s="3">
        <f t="shared" si="4"/>
        <v>0.1891532321</v>
      </c>
      <c r="L2364" s="2">
        <v>1612.0</v>
      </c>
      <c r="M2364" s="3">
        <f t="shared" si="5"/>
        <v>0.5941761887</v>
      </c>
      <c r="N2364" s="2">
        <v>1.5715E7</v>
      </c>
      <c r="O2364" s="4">
        <f t="shared" si="6"/>
        <v>5792.480649</v>
      </c>
      <c r="P2364" s="2">
        <v>4.0</v>
      </c>
      <c r="Q2364" s="3">
        <f t="shared" si="7"/>
        <v>0.003372681282</v>
      </c>
      <c r="R2364" s="2">
        <v>1170.0</v>
      </c>
      <c r="S2364" s="5">
        <f t="shared" si="8"/>
        <v>0.9865092749</v>
      </c>
    </row>
    <row r="2365">
      <c r="A2365" s="2" t="s">
        <v>2374</v>
      </c>
      <c r="B2365" s="2">
        <v>226.0</v>
      </c>
      <c r="C2365" s="2">
        <v>2556.0</v>
      </c>
      <c r="D2365" s="2">
        <v>937.0</v>
      </c>
      <c r="E2365" s="3">
        <f t="shared" si="1"/>
        <v>0.4021459227</v>
      </c>
      <c r="F2365" s="2">
        <v>320.0</v>
      </c>
      <c r="G2365" s="3">
        <f t="shared" si="2"/>
        <v>0.1373390558</v>
      </c>
      <c r="H2365" s="2">
        <v>492.0</v>
      </c>
      <c r="I2365" s="3">
        <f t="shared" si="3"/>
        <v>0.2111587983</v>
      </c>
      <c r="J2365" s="2">
        <v>373.0</v>
      </c>
      <c r="K2365" s="3">
        <f t="shared" si="4"/>
        <v>0.1600858369</v>
      </c>
      <c r="L2365" s="2">
        <v>300.0</v>
      </c>
      <c r="M2365" s="3">
        <f t="shared" si="5"/>
        <v>0.6097560976</v>
      </c>
      <c r="N2365" s="2">
        <v>2721800.0</v>
      </c>
      <c r="O2365" s="4">
        <f t="shared" si="6"/>
        <v>5532.113821</v>
      </c>
      <c r="P2365" s="2">
        <v>1.0</v>
      </c>
      <c r="Q2365" s="3">
        <f t="shared" si="7"/>
        <v>0.004424778761</v>
      </c>
      <c r="R2365" s="2">
        <v>226.0</v>
      </c>
      <c r="S2365" s="5">
        <f t="shared" si="8"/>
        <v>1</v>
      </c>
    </row>
    <row r="2366">
      <c r="A2366" s="2" t="s">
        <v>2375</v>
      </c>
      <c r="B2366" s="2">
        <v>295.0</v>
      </c>
      <c r="C2366" s="2">
        <v>3426.0</v>
      </c>
      <c r="D2366" s="2">
        <v>838.0</v>
      </c>
      <c r="E2366" s="3">
        <f t="shared" si="1"/>
        <v>0.2676461195</v>
      </c>
      <c r="F2366" s="2">
        <v>430.0</v>
      </c>
      <c r="G2366" s="3">
        <f t="shared" si="2"/>
        <v>0.1373363143</v>
      </c>
      <c r="H2366" s="2">
        <v>664.0</v>
      </c>
      <c r="I2366" s="3">
        <f t="shared" si="3"/>
        <v>0.2120728202</v>
      </c>
      <c r="J2366" s="2">
        <v>507.0</v>
      </c>
      <c r="K2366" s="3">
        <f t="shared" si="4"/>
        <v>0.1619290961</v>
      </c>
      <c r="L2366" s="2">
        <v>387.0</v>
      </c>
      <c r="M2366" s="3">
        <f t="shared" si="5"/>
        <v>0.5828313253</v>
      </c>
      <c r="N2366" s="2">
        <v>3735900.0</v>
      </c>
      <c r="O2366" s="4">
        <f t="shared" si="6"/>
        <v>5626.355422</v>
      </c>
      <c r="P2366" s="2">
        <v>1.0</v>
      </c>
      <c r="Q2366" s="3">
        <f t="shared" si="7"/>
        <v>0.003389830508</v>
      </c>
      <c r="R2366" s="2">
        <v>295.0</v>
      </c>
      <c r="S2366" s="5">
        <f t="shared" si="8"/>
        <v>1</v>
      </c>
    </row>
    <row r="2367">
      <c r="A2367" s="2" t="s">
        <v>2376</v>
      </c>
      <c r="B2367" s="2">
        <v>729.0</v>
      </c>
      <c r="C2367" s="2">
        <v>8579.0</v>
      </c>
      <c r="D2367" s="2">
        <v>3002.0</v>
      </c>
      <c r="E2367" s="3">
        <f t="shared" si="1"/>
        <v>0.3824203822</v>
      </c>
      <c r="F2367" s="2">
        <v>1078.0</v>
      </c>
      <c r="G2367" s="3">
        <f t="shared" si="2"/>
        <v>0.1373248408</v>
      </c>
      <c r="H2367" s="2">
        <v>1803.0</v>
      </c>
      <c r="I2367" s="3">
        <f t="shared" si="3"/>
        <v>0.2296815287</v>
      </c>
      <c r="J2367" s="2">
        <v>1362.0</v>
      </c>
      <c r="K2367" s="3">
        <f t="shared" si="4"/>
        <v>0.1735031847</v>
      </c>
      <c r="L2367" s="2">
        <v>1046.0</v>
      </c>
      <c r="M2367" s="3">
        <f t="shared" si="5"/>
        <v>0.5801442041</v>
      </c>
      <c r="N2367" s="2">
        <v>9750600.0</v>
      </c>
      <c r="O2367" s="4">
        <f t="shared" si="6"/>
        <v>5407.986689</v>
      </c>
      <c r="P2367" s="2">
        <v>0.0</v>
      </c>
      <c r="Q2367" s="3">
        <f t="shared" si="7"/>
        <v>0</v>
      </c>
      <c r="R2367" s="2">
        <v>729.0</v>
      </c>
      <c r="S2367" s="5">
        <f t="shared" si="8"/>
        <v>1</v>
      </c>
    </row>
    <row r="2368">
      <c r="A2368" s="2" t="s">
        <v>2377</v>
      </c>
      <c r="B2368" s="2">
        <v>192.0</v>
      </c>
      <c r="C2368" s="2">
        <v>2231.0</v>
      </c>
      <c r="D2368" s="2">
        <v>716.0</v>
      </c>
      <c r="E2368" s="3">
        <f t="shared" si="1"/>
        <v>0.3511525257</v>
      </c>
      <c r="F2368" s="2">
        <v>280.0</v>
      </c>
      <c r="G2368" s="3">
        <f t="shared" si="2"/>
        <v>0.1373222168</v>
      </c>
      <c r="H2368" s="2">
        <v>408.0</v>
      </c>
      <c r="I2368" s="3">
        <f t="shared" si="3"/>
        <v>0.2000980873</v>
      </c>
      <c r="J2368" s="2">
        <v>346.0</v>
      </c>
      <c r="K2368" s="3">
        <f t="shared" si="4"/>
        <v>0.169691025</v>
      </c>
      <c r="L2368" s="2">
        <v>239.0</v>
      </c>
      <c r="M2368" s="3">
        <f t="shared" si="5"/>
        <v>0.5857843137</v>
      </c>
      <c r="N2368" s="2">
        <v>2297100.0</v>
      </c>
      <c r="O2368" s="4">
        <f t="shared" si="6"/>
        <v>5630.147059</v>
      </c>
      <c r="P2368" s="2">
        <v>0.0</v>
      </c>
      <c r="Q2368" s="3">
        <f t="shared" si="7"/>
        <v>0</v>
      </c>
      <c r="R2368" s="2">
        <v>147.0</v>
      </c>
      <c r="S2368" s="5">
        <f t="shared" si="8"/>
        <v>0.765625</v>
      </c>
    </row>
    <row r="2369">
      <c r="A2369" s="2" t="s">
        <v>2378</v>
      </c>
      <c r="B2369" s="2">
        <v>56.0</v>
      </c>
      <c r="C2369" s="2">
        <v>675.0</v>
      </c>
      <c r="D2369" s="2">
        <v>201.0</v>
      </c>
      <c r="E2369" s="3">
        <f t="shared" si="1"/>
        <v>0.3247172859</v>
      </c>
      <c r="F2369" s="2">
        <v>85.0</v>
      </c>
      <c r="G2369" s="3">
        <f t="shared" si="2"/>
        <v>0.1373182553</v>
      </c>
      <c r="H2369" s="2">
        <v>123.0</v>
      </c>
      <c r="I2369" s="3">
        <f t="shared" si="3"/>
        <v>0.1987075929</v>
      </c>
      <c r="J2369" s="2">
        <v>107.0</v>
      </c>
      <c r="K2369" s="3">
        <f t="shared" si="4"/>
        <v>0.1728594507</v>
      </c>
      <c r="L2369" s="2">
        <v>80.0</v>
      </c>
      <c r="M2369" s="3">
        <f t="shared" si="5"/>
        <v>0.6504065041</v>
      </c>
      <c r="N2369" s="2">
        <v>755400.0</v>
      </c>
      <c r="O2369" s="4">
        <f t="shared" si="6"/>
        <v>6141.463415</v>
      </c>
      <c r="P2369" s="2">
        <v>0.0</v>
      </c>
      <c r="Q2369" s="3">
        <f t="shared" si="7"/>
        <v>0</v>
      </c>
      <c r="R2369" s="2">
        <v>56.0</v>
      </c>
      <c r="S2369" s="5">
        <f t="shared" si="8"/>
        <v>1</v>
      </c>
    </row>
    <row r="2370">
      <c r="A2370" s="2" t="s">
        <v>2379</v>
      </c>
      <c r="B2370" s="2">
        <v>1991.0</v>
      </c>
      <c r="C2370" s="2">
        <v>23161.0</v>
      </c>
      <c r="D2370" s="2">
        <v>6477.0</v>
      </c>
      <c r="E2370" s="3">
        <f t="shared" si="1"/>
        <v>0.3059518186</v>
      </c>
      <c r="F2370" s="2">
        <v>2907.0</v>
      </c>
      <c r="G2370" s="3">
        <f t="shared" si="2"/>
        <v>0.137316958</v>
      </c>
      <c r="H2370" s="2">
        <v>4368.0</v>
      </c>
      <c r="I2370" s="3">
        <f t="shared" si="3"/>
        <v>0.2063297119</v>
      </c>
      <c r="J2370" s="2">
        <v>3774.0</v>
      </c>
      <c r="K2370" s="3">
        <f t="shared" si="4"/>
        <v>0.1782711384</v>
      </c>
      <c r="L2370" s="2">
        <v>2623.0</v>
      </c>
      <c r="M2370" s="3">
        <f t="shared" si="5"/>
        <v>0.600503663</v>
      </c>
      <c r="N2370" s="2">
        <v>2.58335E7</v>
      </c>
      <c r="O2370" s="4">
        <f t="shared" si="6"/>
        <v>5914.262821</v>
      </c>
      <c r="P2370" s="2">
        <v>10.0</v>
      </c>
      <c r="Q2370" s="3">
        <f t="shared" si="7"/>
        <v>0.005022601708</v>
      </c>
      <c r="R2370" s="2">
        <v>1991.0</v>
      </c>
      <c r="S2370" s="5">
        <f t="shared" si="8"/>
        <v>1</v>
      </c>
    </row>
    <row r="2371">
      <c r="A2371" s="2" t="s">
        <v>2380</v>
      </c>
      <c r="B2371" s="2">
        <v>89.0</v>
      </c>
      <c r="C2371" s="2">
        <v>1043.0</v>
      </c>
      <c r="D2371" s="2">
        <v>308.0</v>
      </c>
      <c r="E2371" s="3">
        <f t="shared" si="1"/>
        <v>0.322851153</v>
      </c>
      <c r="F2371" s="2">
        <v>131.0</v>
      </c>
      <c r="G2371" s="3">
        <f t="shared" si="2"/>
        <v>0.1373165618</v>
      </c>
      <c r="H2371" s="2">
        <v>180.0</v>
      </c>
      <c r="I2371" s="3">
        <f t="shared" si="3"/>
        <v>0.1886792453</v>
      </c>
      <c r="J2371" s="2">
        <v>169.0</v>
      </c>
      <c r="K2371" s="3">
        <f t="shared" si="4"/>
        <v>0.177148847</v>
      </c>
      <c r="L2371" s="2">
        <v>118.0</v>
      </c>
      <c r="M2371" s="3">
        <f t="shared" si="5"/>
        <v>0.6555555556</v>
      </c>
      <c r="N2371" s="2">
        <v>851000.0</v>
      </c>
      <c r="O2371" s="4">
        <f t="shared" si="6"/>
        <v>4727.777778</v>
      </c>
      <c r="P2371" s="2">
        <v>0.0</v>
      </c>
      <c r="Q2371" s="3">
        <f t="shared" si="7"/>
        <v>0</v>
      </c>
      <c r="R2371" s="2">
        <v>0.0</v>
      </c>
      <c r="S2371" s="5">
        <f t="shared" si="8"/>
        <v>0</v>
      </c>
    </row>
    <row r="2372">
      <c r="A2372" s="2" t="s">
        <v>2381</v>
      </c>
      <c r="B2372" s="2">
        <v>65.0</v>
      </c>
      <c r="C2372" s="2">
        <v>757.0</v>
      </c>
      <c r="D2372" s="2">
        <v>246.0</v>
      </c>
      <c r="E2372" s="3">
        <f t="shared" si="1"/>
        <v>0.3554913295</v>
      </c>
      <c r="F2372" s="2">
        <v>95.0</v>
      </c>
      <c r="G2372" s="3">
        <f t="shared" si="2"/>
        <v>0.137283237</v>
      </c>
      <c r="H2372" s="2">
        <v>127.0</v>
      </c>
      <c r="I2372" s="3">
        <f t="shared" si="3"/>
        <v>0.1835260116</v>
      </c>
      <c r="J2372" s="2">
        <v>130.0</v>
      </c>
      <c r="K2372" s="3">
        <f t="shared" si="4"/>
        <v>0.1878612717</v>
      </c>
      <c r="L2372" s="2">
        <v>67.0</v>
      </c>
      <c r="M2372" s="3">
        <f t="shared" si="5"/>
        <v>0.5275590551</v>
      </c>
      <c r="N2372" s="2">
        <v>719100.0</v>
      </c>
      <c r="O2372" s="4">
        <f t="shared" si="6"/>
        <v>5662.204724</v>
      </c>
      <c r="P2372" s="2">
        <v>0.0</v>
      </c>
      <c r="Q2372" s="3">
        <f t="shared" si="7"/>
        <v>0</v>
      </c>
      <c r="R2372" s="2">
        <v>65.0</v>
      </c>
      <c r="S2372" s="5">
        <f t="shared" si="8"/>
        <v>1</v>
      </c>
    </row>
    <row r="2373">
      <c r="A2373" s="2" t="s">
        <v>2382</v>
      </c>
      <c r="B2373" s="2">
        <v>1227.0</v>
      </c>
      <c r="C2373" s="2">
        <v>14310.0</v>
      </c>
      <c r="D2373" s="2">
        <v>4541.0</v>
      </c>
      <c r="E2373" s="3">
        <f t="shared" si="1"/>
        <v>0.3470916456</v>
      </c>
      <c r="F2373" s="2">
        <v>1796.0</v>
      </c>
      <c r="G2373" s="3">
        <f t="shared" si="2"/>
        <v>0.1372773829</v>
      </c>
      <c r="H2373" s="2">
        <v>2752.0</v>
      </c>
      <c r="I2373" s="3">
        <f t="shared" si="3"/>
        <v>0.2103493083</v>
      </c>
      <c r="J2373" s="2">
        <v>2317.0</v>
      </c>
      <c r="K2373" s="3">
        <f t="shared" si="4"/>
        <v>0.1771000535</v>
      </c>
      <c r="L2373" s="2">
        <v>1643.0</v>
      </c>
      <c r="M2373" s="3">
        <f t="shared" si="5"/>
        <v>0.5970203488</v>
      </c>
      <c r="N2373" s="2">
        <v>1.55074E7</v>
      </c>
      <c r="O2373" s="4">
        <f t="shared" si="6"/>
        <v>5634.956395</v>
      </c>
      <c r="P2373" s="2">
        <v>2.0</v>
      </c>
      <c r="Q2373" s="3">
        <f t="shared" si="7"/>
        <v>0.00162999185</v>
      </c>
      <c r="R2373" s="2">
        <v>1227.0</v>
      </c>
      <c r="S2373" s="5">
        <f t="shared" si="8"/>
        <v>1</v>
      </c>
    </row>
    <row r="2374">
      <c r="A2374" s="2" t="s">
        <v>2383</v>
      </c>
      <c r="B2374" s="2">
        <v>231.0</v>
      </c>
      <c r="C2374" s="2">
        <v>2708.0</v>
      </c>
      <c r="D2374" s="2">
        <v>803.0</v>
      </c>
      <c r="E2374" s="3">
        <f t="shared" si="1"/>
        <v>0.3241824788</v>
      </c>
      <c r="F2374" s="2">
        <v>340.0</v>
      </c>
      <c r="G2374" s="3">
        <f t="shared" si="2"/>
        <v>0.1372628179</v>
      </c>
      <c r="H2374" s="2">
        <v>521.0</v>
      </c>
      <c r="I2374" s="3">
        <f t="shared" si="3"/>
        <v>0.2103350828</v>
      </c>
      <c r="J2374" s="2">
        <v>418.0</v>
      </c>
      <c r="K2374" s="3">
        <f t="shared" si="4"/>
        <v>0.1687525232</v>
      </c>
      <c r="L2374" s="2">
        <v>311.0</v>
      </c>
      <c r="M2374" s="3">
        <f t="shared" si="5"/>
        <v>0.5969289827</v>
      </c>
      <c r="N2374" s="2">
        <v>3030800.0</v>
      </c>
      <c r="O2374" s="4">
        <f t="shared" si="6"/>
        <v>5817.274472</v>
      </c>
      <c r="P2374" s="2">
        <v>0.0</v>
      </c>
      <c r="Q2374" s="3">
        <f t="shared" si="7"/>
        <v>0</v>
      </c>
      <c r="R2374" s="2">
        <v>231.0</v>
      </c>
      <c r="S2374" s="5">
        <f t="shared" si="8"/>
        <v>1</v>
      </c>
    </row>
    <row r="2375">
      <c r="A2375" s="2" t="s">
        <v>2384</v>
      </c>
      <c r="B2375" s="2">
        <v>283.0</v>
      </c>
      <c r="C2375" s="2">
        <v>3270.0</v>
      </c>
      <c r="D2375" s="2">
        <v>1001.0</v>
      </c>
      <c r="E2375" s="3">
        <f t="shared" si="1"/>
        <v>0.3351188483</v>
      </c>
      <c r="F2375" s="2">
        <v>410.0</v>
      </c>
      <c r="G2375" s="3">
        <f t="shared" si="2"/>
        <v>0.1372614664</v>
      </c>
      <c r="H2375" s="2">
        <v>664.0</v>
      </c>
      <c r="I2375" s="3">
        <f t="shared" si="3"/>
        <v>0.2222966187</v>
      </c>
      <c r="J2375" s="2">
        <v>553.0</v>
      </c>
      <c r="K2375" s="3">
        <f t="shared" si="4"/>
        <v>0.1851355875</v>
      </c>
      <c r="L2375" s="2">
        <v>405.0</v>
      </c>
      <c r="M2375" s="3">
        <f t="shared" si="5"/>
        <v>0.609939759</v>
      </c>
      <c r="N2375" s="2">
        <v>3627900.0</v>
      </c>
      <c r="O2375" s="4">
        <f t="shared" si="6"/>
        <v>5463.704819</v>
      </c>
      <c r="P2375" s="2">
        <v>0.0</v>
      </c>
      <c r="Q2375" s="3">
        <f t="shared" si="7"/>
        <v>0</v>
      </c>
      <c r="R2375" s="2">
        <v>283.0</v>
      </c>
      <c r="S2375" s="5">
        <f t="shared" si="8"/>
        <v>1</v>
      </c>
    </row>
    <row r="2376">
      <c r="A2376" s="2" t="s">
        <v>2385</v>
      </c>
      <c r="B2376" s="2">
        <v>1244.0</v>
      </c>
      <c r="C2376" s="2">
        <v>14489.0</v>
      </c>
      <c r="D2376" s="2">
        <v>5144.0</v>
      </c>
      <c r="E2376" s="3">
        <f t="shared" si="1"/>
        <v>0.3883729709</v>
      </c>
      <c r="F2376" s="2">
        <v>1818.0</v>
      </c>
      <c r="G2376" s="3">
        <f t="shared" si="2"/>
        <v>0.1372593431</v>
      </c>
      <c r="H2376" s="2">
        <v>2901.0</v>
      </c>
      <c r="I2376" s="3">
        <f t="shared" si="3"/>
        <v>0.2190260476</v>
      </c>
      <c r="J2376" s="2">
        <v>2055.0</v>
      </c>
      <c r="K2376" s="3">
        <f t="shared" si="4"/>
        <v>0.1551528879</v>
      </c>
      <c r="L2376" s="2">
        <v>1752.0</v>
      </c>
      <c r="M2376" s="3">
        <f t="shared" si="5"/>
        <v>0.6039296794</v>
      </c>
      <c r="N2376" s="2">
        <v>1.59019E7</v>
      </c>
      <c r="O2376" s="4">
        <f t="shared" si="6"/>
        <v>5481.523613</v>
      </c>
      <c r="P2376" s="2">
        <v>1.0</v>
      </c>
      <c r="Q2376" s="3">
        <f t="shared" si="7"/>
        <v>0.0008038585209</v>
      </c>
      <c r="R2376" s="2">
        <v>1244.0</v>
      </c>
      <c r="S2376" s="5">
        <f t="shared" si="8"/>
        <v>1</v>
      </c>
    </row>
    <row r="2377">
      <c r="A2377" s="2" t="s">
        <v>2386</v>
      </c>
      <c r="B2377" s="2">
        <v>5.0</v>
      </c>
      <c r="C2377" s="2">
        <v>56.0</v>
      </c>
      <c r="D2377" s="2">
        <v>22.0</v>
      </c>
      <c r="E2377" s="3">
        <f t="shared" si="1"/>
        <v>0.431372549</v>
      </c>
      <c r="F2377" s="2">
        <v>7.0</v>
      </c>
      <c r="G2377" s="3">
        <f t="shared" si="2"/>
        <v>0.137254902</v>
      </c>
      <c r="H2377" s="2">
        <v>18.0</v>
      </c>
      <c r="I2377" s="3">
        <f t="shared" si="3"/>
        <v>0.3529411765</v>
      </c>
      <c r="J2377" s="2">
        <v>13.0</v>
      </c>
      <c r="K2377" s="3">
        <f t="shared" si="4"/>
        <v>0.2549019608</v>
      </c>
      <c r="L2377" s="2">
        <v>10.0</v>
      </c>
      <c r="M2377" s="3">
        <f t="shared" si="5"/>
        <v>0.5555555556</v>
      </c>
      <c r="N2377" s="2">
        <v>106500.0</v>
      </c>
      <c r="O2377" s="4">
        <f t="shared" si="6"/>
        <v>5916.666667</v>
      </c>
      <c r="P2377" s="2">
        <v>0.0</v>
      </c>
      <c r="Q2377" s="3">
        <f t="shared" si="7"/>
        <v>0</v>
      </c>
      <c r="R2377" s="2">
        <v>5.0</v>
      </c>
      <c r="S2377" s="5">
        <f t="shared" si="8"/>
        <v>1</v>
      </c>
    </row>
    <row r="2378">
      <c r="A2378" s="2" t="s">
        <v>2387</v>
      </c>
      <c r="B2378" s="2">
        <v>525.0</v>
      </c>
      <c r="C2378" s="2">
        <v>6077.0</v>
      </c>
      <c r="D2378" s="2">
        <v>2053.0</v>
      </c>
      <c r="E2378" s="3">
        <f t="shared" si="1"/>
        <v>0.3697766571</v>
      </c>
      <c r="F2378" s="2">
        <v>762.0</v>
      </c>
      <c r="G2378" s="3">
        <f t="shared" si="2"/>
        <v>0.1372478386</v>
      </c>
      <c r="H2378" s="2">
        <v>1187.0</v>
      </c>
      <c r="I2378" s="3">
        <f t="shared" si="3"/>
        <v>0.21379683</v>
      </c>
      <c r="J2378" s="2">
        <v>981.0</v>
      </c>
      <c r="K2378" s="3">
        <f t="shared" si="4"/>
        <v>0.1766930836</v>
      </c>
      <c r="L2378" s="2">
        <v>714.0</v>
      </c>
      <c r="M2378" s="3">
        <f t="shared" si="5"/>
        <v>0.601516428</v>
      </c>
      <c r="N2378" s="2">
        <v>6598100.0</v>
      </c>
      <c r="O2378" s="4">
        <f t="shared" si="6"/>
        <v>5558.635215</v>
      </c>
      <c r="P2378" s="2">
        <v>1.0</v>
      </c>
      <c r="Q2378" s="3">
        <f t="shared" si="7"/>
        <v>0.001904761905</v>
      </c>
      <c r="R2378" s="2">
        <v>525.0</v>
      </c>
      <c r="S2378" s="5">
        <f t="shared" si="8"/>
        <v>1</v>
      </c>
    </row>
    <row r="2379">
      <c r="A2379" s="2" t="s">
        <v>2388</v>
      </c>
      <c r="B2379" s="2">
        <v>356.0</v>
      </c>
      <c r="C2379" s="2">
        <v>4174.0</v>
      </c>
      <c r="D2379" s="2">
        <v>1278.0</v>
      </c>
      <c r="E2379" s="3">
        <f t="shared" si="1"/>
        <v>0.3347302252</v>
      </c>
      <c r="F2379" s="2">
        <v>524.0</v>
      </c>
      <c r="G2379" s="3">
        <f t="shared" si="2"/>
        <v>0.1372446307</v>
      </c>
      <c r="H2379" s="2">
        <v>841.0</v>
      </c>
      <c r="I2379" s="3">
        <f t="shared" si="3"/>
        <v>0.2202723939</v>
      </c>
      <c r="J2379" s="2">
        <v>652.0</v>
      </c>
      <c r="K2379" s="3">
        <f t="shared" si="4"/>
        <v>0.1707700367</v>
      </c>
      <c r="L2379" s="2">
        <v>489.0</v>
      </c>
      <c r="M2379" s="3">
        <f t="shared" si="5"/>
        <v>0.581450654</v>
      </c>
      <c r="N2379" s="2">
        <v>4675100.0</v>
      </c>
      <c r="O2379" s="4">
        <f t="shared" si="6"/>
        <v>5558.977408</v>
      </c>
      <c r="P2379" s="2">
        <v>1.0</v>
      </c>
      <c r="Q2379" s="3">
        <f t="shared" si="7"/>
        <v>0.002808988764</v>
      </c>
      <c r="R2379" s="2">
        <v>36.0</v>
      </c>
      <c r="S2379" s="5">
        <f t="shared" si="8"/>
        <v>0.1011235955</v>
      </c>
    </row>
    <row r="2380">
      <c r="A2380" s="2" t="s">
        <v>2389</v>
      </c>
      <c r="B2380" s="2">
        <v>88.0</v>
      </c>
      <c r="C2380" s="2">
        <v>977.0</v>
      </c>
      <c r="D2380" s="2">
        <v>331.0</v>
      </c>
      <c r="E2380" s="3">
        <f t="shared" si="1"/>
        <v>0.3723284589</v>
      </c>
      <c r="F2380" s="2">
        <v>122.0</v>
      </c>
      <c r="G2380" s="3">
        <f t="shared" si="2"/>
        <v>0.1372328459</v>
      </c>
      <c r="H2380" s="2">
        <v>200.0</v>
      </c>
      <c r="I2380" s="3">
        <f t="shared" si="3"/>
        <v>0.2249718785</v>
      </c>
      <c r="J2380" s="2">
        <v>186.0</v>
      </c>
      <c r="K2380" s="3">
        <f t="shared" si="4"/>
        <v>0.209223847</v>
      </c>
      <c r="L2380" s="2">
        <v>126.0</v>
      </c>
      <c r="M2380" s="3">
        <f t="shared" si="5"/>
        <v>0.63</v>
      </c>
      <c r="N2380" s="2">
        <v>1091100.0</v>
      </c>
      <c r="O2380" s="4">
        <f t="shared" si="6"/>
        <v>5455.5</v>
      </c>
      <c r="P2380" s="2">
        <v>0.0</v>
      </c>
      <c r="Q2380" s="3">
        <f t="shared" si="7"/>
        <v>0</v>
      </c>
      <c r="R2380" s="2">
        <v>88.0</v>
      </c>
      <c r="S2380" s="5">
        <f t="shared" si="8"/>
        <v>1</v>
      </c>
    </row>
    <row r="2381">
      <c r="A2381" s="2" t="s">
        <v>2390</v>
      </c>
      <c r="B2381" s="2">
        <v>81.0</v>
      </c>
      <c r="C2381" s="2">
        <v>970.0</v>
      </c>
      <c r="D2381" s="2">
        <v>290.0</v>
      </c>
      <c r="E2381" s="3">
        <f t="shared" si="1"/>
        <v>0.3262092238</v>
      </c>
      <c r="F2381" s="2">
        <v>122.0</v>
      </c>
      <c r="G2381" s="3">
        <f t="shared" si="2"/>
        <v>0.1372328459</v>
      </c>
      <c r="H2381" s="2">
        <v>194.0</v>
      </c>
      <c r="I2381" s="3">
        <f t="shared" si="3"/>
        <v>0.2182227222</v>
      </c>
      <c r="J2381" s="2">
        <v>169.0</v>
      </c>
      <c r="K2381" s="3">
        <f t="shared" si="4"/>
        <v>0.1901012373</v>
      </c>
      <c r="L2381" s="2">
        <v>119.0</v>
      </c>
      <c r="M2381" s="3">
        <f t="shared" si="5"/>
        <v>0.6134020619</v>
      </c>
      <c r="N2381" s="2">
        <v>945200.0</v>
      </c>
      <c r="O2381" s="4">
        <f t="shared" si="6"/>
        <v>4872.164948</v>
      </c>
      <c r="P2381" s="2">
        <v>0.0</v>
      </c>
      <c r="Q2381" s="3">
        <f t="shared" si="7"/>
        <v>0</v>
      </c>
      <c r="R2381" s="2">
        <v>81.0</v>
      </c>
      <c r="S2381" s="5">
        <f t="shared" si="8"/>
        <v>1</v>
      </c>
    </row>
    <row r="2382">
      <c r="A2382" s="2" t="s">
        <v>2391</v>
      </c>
      <c r="B2382" s="2">
        <v>142.0</v>
      </c>
      <c r="C2382" s="2">
        <v>1665.0</v>
      </c>
      <c r="D2382" s="2">
        <v>436.0</v>
      </c>
      <c r="E2382" s="3">
        <f t="shared" si="1"/>
        <v>0.2862770847</v>
      </c>
      <c r="F2382" s="2">
        <v>209.0</v>
      </c>
      <c r="G2382" s="3">
        <f t="shared" si="2"/>
        <v>0.137229153</v>
      </c>
      <c r="H2382" s="2">
        <v>304.0</v>
      </c>
      <c r="I2382" s="3">
        <f t="shared" si="3"/>
        <v>0.1996060407</v>
      </c>
      <c r="J2382" s="2">
        <v>292.0</v>
      </c>
      <c r="K2382" s="3">
        <f t="shared" si="4"/>
        <v>0.1917268549</v>
      </c>
      <c r="L2382" s="2">
        <v>181.0</v>
      </c>
      <c r="M2382" s="3">
        <f t="shared" si="5"/>
        <v>0.5953947368</v>
      </c>
      <c r="N2382" s="2">
        <v>1728000.0</v>
      </c>
      <c r="O2382" s="4">
        <f t="shared" si="6"/>
        <v>5684.210526</v>
      </c>
      <c r="P2382" s="2">
        <v>0.0</v>
      </c>
      <c r="Q2382" s="3">
        <f t="shared" si="7"/>
        <v>0</v>
      </c>
      <c r="R2382" s="2">
        <v>142.0</v>
      </c>
      <c r="S2382" s="5">
        <f t="shared" si="8"/>
        <v>1</v>
      </c>
    </row>
    <row r="2383">
      <c r="A2383" s="2" t="s">
        <v>2392</v>
      </c>
      <c r="B2383" s="2">
        <v>69.0</v>
      </c>
      <c r="C2383" s="2">
        <v>805.0</v>
      </c>
      <c r="D2383" s="2">
        <v>215.0</v>
      </c>
      <c r="E2383" s="3">
        <f t="shared" si="1"/>
        <v>0.2921195652</v>
      </c>
      <c r="F2383" s="2">
        <v>101.0</v>
      </c>
      <c r="G2383" s="3">
        <f t="shared" si="2"/>
        <v>0.1372282609</v>
      </c>
      <c r="H2383" s="2">
        <v>136.0</v>
      </c>
      <c r="I2383" s="3">
        <f t="shared" si="3"/>
        <v>0.1847826087</v>
      </c>
      <c r="J2383" s="2">
        <v>119.0</v>
      </c>
      <c r="K2383" s="3">
        <f t="shared" si="4"/>
        <v>0.1616847826</v>
      </c>
      <c r="L2383" s="2">
        <v>83.0</v>
      </c>
      <c r="M2383" s="3">
        <f t="shared" si="5"/>
        <v>0.6102941176</v>
      </c>
      <c r="N2383" s="2">
        <v>769800.0</v>
      </c>
      <c r="O2383" s="4">
        <f t="shared" si="6"/>
        <v>5660.294118</v>
      </c>
      <c r="P2383" s="2">
        <v>0.0</v>
      </c>
      <c r="Q2383" s="3">
        <f t="shared" si="7"/>
        <v>0</v>
      </c>
      <c r="R2383" s="2">
        <v>69.0</v>
      </c>
      <c r="S2383" s="5">
        <f t="shared" si="8"/>
        <v>1</v>
      </c>
    </row>
    <row r="2384">
      <c r="A2384" s="2" t="s">
        <v>2393</v>
      </c>
      <c r="B2384" s="2">
        <v>88.0</v>
      </c>
      <c r="C2384" s="2">
        <v>1050.0</v>
      </c>
      <c r="D2384" s="2">
        <v>344.0</v>
      </c>
      <c r="E2384" s="3">
        <f t="shared" si="1"/>
        <v>0.3575883576</v>
      </c>
      <c r="F2384" s="2">
        <v>132.0</v>
      </c>
      <c r="G2384" s="3">
        <f t="shared" si="2"/>
        <v>0.1372141372</v>
      </c>
      <c r="H2384" s="2">
        <v>183.0</v>
      </c>
      <c r="I2384" s="3">
        <f t="shared" si="3"/>
        <v>0.1902286902</v>
      </c>
      <c r="J2384" s="2">
        <v>168.0</v>
      </c>
      <c r="K2384" s="3">
        <f t="shared" si="4"/>
        <v>0.1746361746</v>
      </c>
      <c r="L2384" s="2">
        <v>115.0</v>
      </c>
      <c r="M2384" s="3">
        <f t="shared" si="5"/>
        <v>0.6284153005</v>
      </c>
      <c r="N2384" s="2">
        <v>978000.0</v>
      </c>
      <c r="O2384" s="4">
        <f t="shared" si="6"/>
        <v>5344.262295</v>
      </c>
      <c r="P2384" s="2">
        <v>0.0</v>
      </c>
      <c r="Q2384" s="3">
        <f t="shared" si="7"/>
        <v>0</v>
      </c>
      <c r="R2384" s="2">
        <v>0.0</v>
      </c>
      <c r="S2384" s="5">
        <f t="shared" si="8"/>
        <v>0</v>
      </c>
    </row>
    <row r="2385">
      <c r="A2385" s="2" t="s">
        <v>2394</v>
      </c>
      <c r="B2385" s="2">
        <v>965.0</v>
      </c>
      <c r="C2385" s="2">
        <v>11285.0</v>
      </c>
      <c r="D2385" s="2">
        <v>3053.0</v>
      </c>
      <c r="E2385" s="3">
        <f t="shared" si="1"/>
        <v>0.2958333333</v>
      </c>
      <c r="F2385" s="2">
        <v>1416.0</v>
      </c>
      <c r="G2385" s="3">
        <f t="shared" si="2"/>
        <v>0.1372093023</v>
      </c>
      <c r="H2385" s="2">
        <v>2335.0</v>
      </c>
      <c r="I2385" s="3">
        <f t="shared" si="3"/>
        <v>0.2262596899</v>
      </c>
      <c r="J2385" s="2">
        <v>2328.0</v>
      </c>
      <c r="K2385" s="3">
        <f t="shared" si="4"/>
        <v>0.2255813953</v>
      </c>
      <c r="L2385" s="2">
        <v>1359.0</v>
      </c>
      <c r="M2385" s="3">
        <f t="shared" si="5"/>
        <v>0.582012848</v>
      </c>
      <c r="N2385" s="2">
        <v>1.32241E7</v>
      </c>
      <c r="O2385" s="4">
        <f t="shared" si="6"/>
        <v>5663.426124</v>
      </c>
      <c r="P2385" s="2">
        <v>0.0</v>
      </c>
      <c r="Q2385" s="3">
        <f t="shared" si="7"/>
        <v>0</v>
      </c>
      <c r="R2385" s="2">
        <v>965.0</v>
      </c>
      <c r="S2385" s="5">
        <f t="shared" si="8"/>
        <v>1</v>
      </c>
    </row>
    <row r="2386">
      <c r="A2386" s="2" t="s">
        <v>2395</v>
      </c>
      <c r="B2386" s="2">
        <v>1668.0</v>
      </c>
      <c r="C2386" s="2">
        <v>19597.0</v>
      </c>
      <c r="D2386" s="2">
        <v>6223.0</v>
      </c>
      <c r="E2386" s="3">
        <f t="shared" si="1"/>
        <v>0.3470913046</v>
      </c>
      <c r="F2386" s="2">
        <v>2460.0</v>
      </c>
      <c r="G2386" s="3">
        <f t="shared" si="2"/>
        <v>0.1372078755</v>
      </c>
      <c r="H2386" s="2">
        <v>3859.0</v>
      </c>
      <c r="I2386" s="3">
        <f t="shared" si="3"/>
        <v>0.2152378828</v>
      </c>
      <c r="J2386" s="2">
        <v>3272.0</v>
      </c>
      <c r="K2386" s="3">
        <f t="shared" si="4"/>
        <v>0.1824976295</v>
      </c>
      <c r="L2386" s="2">
        <v>2259.0</v>
      </c>
      <c r="M2386" s="3">
        <f t="shared" si="5"/>
        <v>0.5853848147</v>
      </c>
      <c r="N2386" s="2">
        <v>2.21038E7</v>
      </c>
      <c r="O2386" s="4">
        <f t="shared" si="6"/>
        <v>5727.856958</v>
      </c>
      <c r="P2386" s="2">
        <v>5.0</v>
      </c>
      <c r="Q2386" s="3">
        <f t="shared" si="7"/>
        <v>0.002997601918</v>
      </c>
      <c r="R2386" s="2">
        <v>1459.0</v>
      </c>
      <c r="S2386" s="5">
        <f t="shared" si="8"/>
        <v>0.8747002398</v>
      </c>
    </row>
    <row r="2387">
      <c r="A2387" s="2" t="s">
        <v>2396</v>
      </c>
      <c r="B2387" s="2">
        <v>117.0</v>
      </c>
      <c r="C2387" s="2">
        <v>1356.0</v>
      </c>
      <c r="D2387" s="2">
        <v>418.0</v>
      </c>
      <c r="E2387" s="3">
        <f t="shared" si="1"/>
        <v>0.3373688458</v>
      </c>
      <c r="F2387" s="2">
        <v>170.0</v>
      </c>
      <c r="G2387" s="3">
        <f t="shared" si="2"/>
        <v>0.1372074253</v>
      </c>
      <c r="H2387" s="2">
        <v>249.0</v>
      </c>
      <c r="I2387" s="3">
        <f t="shared" si="3"/>
        <v>0.200968523</v>
      </c>
      <c r="J2387" s="2">
        <v>209.0</v>
      </c>
      <c r="K2387" s="3">
        <f t="shared" si="4"/>
        <v>0.1686844229</v>
      </c>
      <c r="L2387" s="2">
        <v>149.0</v>
      </c>
      <c r="M2387" s="3">
        <f t="shared" si="5"/>
        <v>0.5983935743</v>
      </c>
      <c r="N2387" s="2">
        <v>1426200.0</v>
      </c>
      <c r="O2387" s="4">
        <f t="shared" si="6"/>
        <v>5727.710843</v>
      </c>
      <c r="P2387" s="2">
        <v>0.0</v>
      </c>
      <c r="Q2387" s="3">
        <f t="shared" si="7"/>
        <v>0</v>
      </c>
      <c r="R2387" s="2">
        <v>117.0</v>
      </c>
      <c r="S2387" s="5">
        <f t="shared" si="8"/>
        <v>1</v>
      </c>
    </row>
    <row r="2388">
      <c r="A2388" s="2" t="s">
        <v>2397</v>
      </c>
      <c r="B2388" s="2">
        <v>251.0</v>
      </c>
      <c r="C2388" s="2">
        <v>2904.0</v>
      </c>
      <c r="D2388" s="2">
        <v>689.0</v>
      </c>
      <c r="E2388" s="3">
        <f t="shared" si="1"/>
        <v>0.2597059932</v>
      </c>
      <c r="F2388" s="2">
        <v>364.0</v>
      </c>
      <c r="G2388" s="3">
        <f t="shared" si="2"/>
        <v>0.1372031662</v>
      </c>
      <c r="H2388" s="2">
        <v>491.0</v>
      </c>
      <c r="I2388" s="3">
        <f t="shared" si="3"/>
        <v>0.1850735017</v>
      </c>
      <c r="J2388" s="2">
        <v>502.0</v>
      </c>
      <c r="K2388" s="3">
        <f t="shared" si="4"/>
        <v>0.1892197512</v>
      </c>
      <c r="L2388" s="2">
        <v>281.0</v>
      </c>
      <c r="M2388" s="3">
        <f t="shared" si="5"/>
        <v>0.5723014257</v>
      </c>
      <c r="N2388" s="2">
        <v>2917100.0</v>
      </c>
      <c r="O2388" s="4">
        <f t="shared" si="6"/>
        <v>5941.14053</v>
      </c>
      <c r="P2388" s="2">
        <v>2.0</v>
      </c>
      <c r="Q2388" s="3">
        <f t="shared" si="7"/>
        <v>0.00796812749</v>
      </c>
      <c r="R2388" s="2">
        <v>251.0</v>
      </c>
      <c r="S2388" s="5">
        <f t="shared" si="8"/>
        <v>1</v>
      </c>
    </row>
    <row r="2389">
      <c r="A2389" s="2" t="s">
        <v>2398</v>
      </c>
      <c r="B2389" s="2">
        <v>119.0</v>
      </c>
      <c r="C2389" s="2">
        <v>1380.0</v>
      </c>
      <c r="D2389" s="2">
        <v>499.0</v>
      </c>
      <c r="E2389" s="3">
        <f t="shared" si="1"/>
        <v>0.3957176844</v>
      </c>
      <c r="F2389" s="2">
        <v>173.0</v>
      </c>
      <c r="G2389" s="3">
        <f t="shared" si="2"/>
        <v>0.1371927042</v>
      </c>
      <c r="H2389" s="2">
        <v>268.0</v>
      </c>
      <c r="I2389" s="3">
        <f t="shared" si="3"/>
        <v>0.2125297383</v>
      </c>
      <c r="J2389" s="2">
        <v>219.0</v>
      </c>
      <c r="K2389" s="3">
        <f t="shared" si="4"/>
        <v>0.1736716891</v>
      </c>
      <c r="L2389" s="2">
        <v>154.0</v>
      </c>
      <c r="M2389" s="3">
        <f t="shared" si="5"/>
        <v>0.5746268657</v>
      </c>
      <c r="N2389" s="2">
        <v>1619900.0</v>
      </c>
      <c r="O2389" s="4">
        <f t="shared" si="6"/>
        <v>6044.402985</v>
      </c>
      <c r="P2389" s="2">
        <v>1.0</v>
      </c>
      <c r="Q2389" s="3">
        <f t="shared" si="7"/>
        <v>0.008403361345</v>
      </c>
      <c r="R2389" s="2">
        <v>119.0</v>
      </c>
      <c r="S2389" s="5">
        <f t="shared" si="8"/>
        <v>1</v>
      </c>
    </row>
    <row r="2390">
      <c r="A2390" s="2" t="s">
        <v>2399</v>
      </c>
      <c r="B2390" s="2">
        <v>632.0</v>
      </c>
      <c r="C2390" s="2">
        <v>7287.0</v>
      </c>
      <c r="D2390" s="2">
        <v>2416.0</v>
      </c>
      <c r="E2390" s="3">
        <f t="shared" si="1"/>
        <v>0.3630353118</v>
      </c>
      <c r="F2390" s="2">
        <v>913.0</v>
      </c>
      <c r="G2390" s="3">
        <f t="shared" si="2"/>
        <v>0.1371900826</v>
      </c>
      <c r="H2390" s="2">
        <v>1375.0</v>
      </c>
      <c r="I2390" s="3">
        <f t="shared" si="3"/>
        <v>0.2066115702</v>
      </c>
      <c r="J2390" s="2">
        <v>1129.0</v>
      </c>
      <c r="K2390" s="3">
        <f t="shared" si="4"/>
        <v>0.169646882</v>
      </c>
      <c r="L2390" s="2">
        <v>825.0</v>
      </c>
      <c r="M2390" s="3">
        <f t="shared" si="5"/>
        <v>0.6</v>
      </c>
      <c r="N2390" s="2">
        <v>7899900.0</v>
      </c>
      <c r="O2390" s="4">
        <f t="shared" si="6"/>
        <v>5745.381818</v>
      </c>
      <c r="P2390" s="2">
        <v>2.0</v>
      </c>
      <c r="Q2390" s="3">
        <f t="shared" si="7"/>
        <v>0.003164556962</v>
      </c>
      <c r="R2390" s="2">
        <v>632.0</v>
      </c>
      <c r="S2390" s="5">
        <f t="shared" si="8"/>
        <v>1</v>
      </c>
    </row>
    <row r="2391">
      <c r="A2391" s="2" t="s">
        <v>2400</v>
      </c>
      <c r="B2391" s="2">
        <v>198.0</v>
      </c>
      <c r="C2391" s="2">
        <v>2312.0</v>
      </c>
      <c r="D2391" s="2">
        <v>713.0</v>
      </c>
      <c r="E2391" s="3">
        <f t="shared" si="1"/>
        <v>0.3372753075</v>
      </c>
      <c r="F2391" s="2">
        <v>290.0</v>
      </c>
      <c r="G2391" s="3">
        <f t="shared" si="2"/>
        <v>0.1371807001</v>
      </c>
      <c r="H2391" s="2">
        <v>431.0</v>
      </c>
      <c r="I2391" s="3">
        <f t="shared" si="3"/>
        <v>0.2038789026</v>
      </c>
      <c r="J2391" s="2">
        <v>319.0</v>
      </c>
      <c r="K2391" s="3">
        <f t="shared" si="4"/>
        <v>0.1508987701</v>
      </c>
      <c r="L2391" s="2">
        <v>255.0</v>
      </c>
      <c r="M2391" s="3">
        <f t="shared" si="5"/>
        <v>0.5916473318</v>
      </c>
      <c r="N2391" s="2">
        <v>2219500.0</v>
      </c>
      <c r="O2391" s="4">
        <f t="shared" si="6"/>
        <v>5149.651972</v>
      </c>
      <c r="P2391" s="2">
        <v>0.0</v>
      </c>
      <c r="Q2391" s="3">
        <f t="shared" si="7"/>
        <v>0</v>
      </c>
      <c r="R2391" s="2">
        <v>198.0</v>
      </c>
      <c r="S2391" s="5">
        <f t="shared" si="8"/>
        <v>1</v>
      </c>
    </row>
    <row r="2392">
      <c r="A2392" s="2" t="s">
        <v>2401</v>
      </c>
      <c r="B2392" s="2">
        <v>850.0</v>
      </c>
      <c r="C2392" s="2">
        <v>9853.0</v>
      </c>
      <c r="D2392" s="2">
        <v>3125.0</v>
      </c>
      <c r="E2392" s="3">
        <f t="shared" si="1"/>
        <v>0.34710652</v>
      </c>
      <c r="F2392" s="2">
        <v>1235.0</v>
      </c>
      <c r="G2392" s="3">
        <f t="shared" si="2"/>
        <v>0.1371764967</v>
      </c>
      <c r="H2392" s="2">
        <v>1939.0</v>
      </c>
      <c r="I2392" s="3">
        <f t="shared" si="3"/>
        <v>0.2153726536</v>
      </c>
      <c r="J2392" s="2">
        <v>1738.0</v>
      </c>
      <c r="K2392" s="3">
        <f t="shared" si="4"/>
        <v>0.1930467622</v>
      </c>
      <c r="L2392" s="2">
        <v>1142.0</v>
      </c>
      <c r="M2392" s="3">
        <f t="shared" si="5"/>
        <v>0.5889633832</v>
      </c>
      <c r="N2392" s="2">
        <v>1.11269E7</v>
      </c>
      <c r="O2392" s="4">
        <f t="shared" si="6"/>
        <v>5738.47344</v>
      </c>
      <c r="P2392" s="2">
        <v>0.0</v>
      </c>
      <c r="Q2392" s="3">
        <f t="shared" si="7"/>
        <v>0</v>
      </c>
      <c r="R2392" s="2">
        <v>850.0</v>
      </c>
      <c r="S2392" s="5">
        <f t="shared" si="8"/>
        <v>1</v>
      </c>
    </row>
    <row r="2393">
      <c r="A2393" s="2" t="s">
        <v>2402</v>
      </c>
      <c r="B2393" s="2">
        <v>322.0</v>
      </c>
      <c r="C2393" s="2">
        <v>3763.0</v>
      </c>
      <c r="D2393" s="2">
        <v>1250.0</v>
      </c>
      <c r="E2393" s="3">
        <f t="shared" si="1"/>
        <v>0.3632664923</v>
      </c>
      <c r="F2393" s="2">
        <v>472.0</v>
      </c>
      <c r="G2393" s="3">
        <f t="shared" si="2"/>
        <v>0.1371694275</v>
      </c>
      <c r="H2393" s="2">
        <v>655.0</v>
      </c>
      <c r="I2393" s="3">
        <f t="shared" si="3"/>
        <v>0.190351642</v>
      </c>
      <c r="J2393" s="2">
        <v>511.0</v>
      </c>
      <c r="K2393" s="3">
        <f t="shared" si="4"/>
        <v>0.1485033421</v>
      </c>
      <c r="L2393" s="2">
        <v>412.0</v>
      </c>
      <c r="M2393" s="3">
        <f t="shared" si="5"/>
        <v>0.6290076336</v>
      </c>
      <c r="N2393" s="2">
        <v>3653100.0</v>
      </c>
      <c r="O2393" s="4">
        <f t="shared" si="6"/>
        <v>5577.251908</v>
      </c>
      <c r="P2393" s="2">
        <v>0.0</v>
      </c>
      <c r="Q2393" s="3">
        <f t="shared" si="7"/>
        <v>0</v>
      </c>
      <c r="R2393" s="2">
        <v>150.0</v>
      </c>
      <c r="S2393" s="5">
        <f t="shared" si="8"/>
        <v>0.4658385093</v>
      </c>
    </row>
    <row r="2394">
      <c r="A2394" s="2" t="s">
        <v>2403</v>
      </c>
      <c r="B2394" s="2">
        <v>109.0</v>
      </c>
      <c r="C2394" s="2">
        <v>1261.0</v>
      </c>
      <c r="D2394" s="2">
        <v>450.0</v>
      </c>
      <c r="E2394" s="3">
        <f t="shared" si="1"/>
        <v>0.390625</v>
      </c>
      <c r="F2394" s="2">
        <v>158.0</v>
      </c>
      <c r="G2394" s="3">
        <f t="shared" si="2"/>
        <v>0.1371527778</v>
      </c>
      <c r="H2394" s="2">
        <v>253.0</v>
      </c>
      <c r="I2394" s="3">
        <f t="shared" si="3"/>
        <v>0.2196180556</v>
      </c>
      <c r="J2394" s="2">
        <v>140.0</v>
      </c>
      <c r="K2394" s="3">
        <f t="shared" si="4"/>
        <v>0.1215277778</v>
      </c>
      <c r="L2394" s="2">
        <v>157.0</v>
      </c>
      <c r="M2394" s="3">
        <f t="shared" si="5"/>
        <v>0.6205533597</v>
      </c>
      <c r="N2394" s="2">
        <v>1445500.0</v>
      </c>
      <c r="O2394" s="4">
        <f t="shared" si="6"/>
        <v>5713.438735</v>
      </c>
      <c r="P2394" s="2">
        <v>0.0</v>
      </c>
      <c r="Q2394" s="3">
        <f t="shared" si="7"/>
        <v>0</v>
      </c>
      <c r="R2394" s="2">
        <v>109.0</v>
      </c>
      <c r="S2394" s="5">
        <f t="shared" si="8"/>
        <v>1</v>
      </c>
    </row>
    <row r="2395">
      <c r="A2395" s="2" t="s">
        <v>2404</v>
      </c>
      <c r="B2395" s="2">
        <v>337.0</v>
      </c>
      <c r="C2395" s="2">
        <v>3866.0</v>
      </c>
      <c r="D2395" s="2">
        <v>1244.0</v>
      </c>
      <c r="E2395" s="3">
        <f t="shared" si="1"/>
        <v>0.3525077926</v>
      </c>
      <c r="F2395" s="2">
        <v>484.0</v>
      </c>
      <c r="G2395" s="3">
        <f t="shared" si="2"/>
        <v>0.1371493341</v>
      </c>
      <c r="H2395" s="2">
        <v>790.0</v>
      </c>
      <c r="I2395" s="3">
        <f t="shared" si="3"/>
        <v>0.2238594503</v>
      </c>
      <c r="J2395" s="2">
        <v>627.0</v>
      </c>
      <c r="K2395" s="3">
        <f t="shared" si="4"/>
        <v>0.1776707283</v>
      </c>
      <c r="L2395" s="2">
        <v>489.0</v>
      </c>
      <c r="M2395" s="3">
        <f t="shared" si="5"/>
        <v>0.6189873418</v>
      </c>
      <c r="N2395" s="2">
        <v>4624800.0</v>
      </c>
      <c r="O2395" s="4">
        <f t="shared" si="6"/>
        <v>5854.177215</v>
      </c>
      <c r="P2395" s="2">
        <v>2.0</v>
      </c>
      <c r="Q2395" s="3">
        <f t="shared" si="7"/>
        <v>0.005934718101</v>
      </c>
      <c r="R2395" s="2">
        <v>337.0</v>
      </c>
      <c r="S2395" s="5">
        <f t="shared" si="8"/>
        <v>1</v>
      </c>
    </row>
    <row r="2396">
      <c r="A2396" s="2" t="s">
        <v>2405</v>
      </c>
      <c r="B2396" s="2">
        <v>272.0</v>
      </c>
      <c r="C2396" s="2">
        <v>3174.0</v>
      </c>
      <c r="D2396" s="2">
        <v>1068.0</v>
      </c>
      <c r="E2396" s="3">
        <f t="shared" si="1"/>
        <v>0.3680220538</v>
      </c>
      <c r="F2396" s="2">
        <v>398.0</v>
      </c>
      <c r="G2396" s="3">
        <f t="shared" si="2"/>
        <v>0.1371467953</v>
      </c>
      <c r="H2396" s="2">
        <v>568.0</v>
      </c>
      <c r="I2396" s="3">
        <f t="shared" si="3"/>
        <v>0.1957270848</v>
      </c>
      <c r="J2396" s="2">
        <v>501.0</v>
      </c>
      <c r="K2396" s="3">
        <f t="shared" si="4"/>
        <v>0.1726395589</v>
      </c>
      <c r="L2396" s="2">
        <v>341.0</v>
      </c>
      <c r="M2396" s="3">
        <f t="shared" si="5"/>
        <v>0.6003521127</v>
      </c>
      <c r="N2396" s="2">
        <v>3178600.0</v>
      </c>
      <c r="O2396" s="4">
        <f t="shared" si="6"/>
        <v>5596.126761</v>
      </c>
      <c r="P2396" s="2">
        <v>0.0</v>
      </c>
      <c r="Q2396" s="3">
        <f t="shared" si="7"/>
        <v>0</v>
      </c>
      <c r="R2396" s="2">
        <v>56.0</v>
      </c>
      <c r="S2396" s="5">
        <f t="shared" si="8"/>
        <v>0.2058823529</v>
      </c>
    </row>
    <row r="2397">
      <c r="A2397" s="2" t="s">
        <v>2406</v>
      </c>
      <c r="B2397" s="2">
        <v>422.0</v>
      </c>
      <c r="C2397" s="2">
        <v>4892.0</v>
      </c>
      <c r="D2397" s="2">
        <v>1788.0</v>
      </c>
      <c r="E2397" s="3">
        <f t="shared" si="1"/>
        <v>0.4</v>
      </c>
      <c r="F2397" s="2">
        <v>613.0</v>
      </c>
      <c r="G2397" s="3">
        <f t="shared" si="2"/>
        <v>0.1371364653</v>
      </c>
      <c r="H2397" s="2">
        <v>1030.0</v>
      </c>
      <c r="I2397" s="3">
        <f t="shared" si="3"/>
        <v>0.2304250559</v>
      </c>
      <c r="J2397" s="2">
        <v>715.0</v>
      </c>
      <c r="K2397" s="3">
        <f t="shared" si="4"/>
        <v>0.1599552573</v>
      </c>
      <c r="L2397" s="2">
        <v>646.0</v>
      </c>
      <c r="M2397" s="3">
        <f t="shared" si="5"/>
        <v>0.627184466</v>
      </c>
      <c r="N2397" s="2">
        <v>5383600.0</v>
      </c>
      <c r="O2397" s="4">
        <f t="shared" si="6"/>
        <v>5226.796117</v>
      </c>
      <c r="P2397" s="2">
        <v>0.0</v>
      </c>
      <c r="Q2397" s="3">
        <f t="shared" si="7"/>
        <v>0</v>
      </c>
      <c r="R2397" s="2">
        <v>422.0</v>
      </c>
      <c r="S2397" s="5">
        <f t="shared" si="8"/>
        <v>1</v>
      </c>
    </row>
    <row r="2398">
      <c r="A2398" s="2" t="s">
        <v>2407</v>
      </c>
      <c r="B2398" s="2">
        <v>104.0</v>
      </c>
      <c r="C2398" s="2">
        <v>1227.0</v>
      </c>
      <c r="D2398" s="2">
        <v>411.0</v>
      </c>
      <c r="E2398" s="3">
        <f t="shared" si="1"/>
        <v>0.3659839715</v>
      </c>
      <c r="F2398" s="2">
        <v>154.0</v>
      </c>
      <c r="G2398" s="3">
        <f t="shared" si="2"/>
        <v>0.1371326803</v>
      </c>
      <c r="H2398" s="2">
        <v>239.0</v>
      </c>
      <c r="I2398" s="3">
        <f t="shared" si="3"/>
        <v>0.2128227961</v>
      </c>
      <c r="J2398" s="2">
        <v>196.0</v>
      </c>
      <c r="K2398" s="3">
        <f t="shared" si="4"/>
        <v>0.1745325022</v>
      </c>
      <c r="L2398" s="2">
        <v>152.0</v>
      </c>
      <c r="M2398" s="3">
        <f t="shared" si="5"/>
        <v>0.6359832636</v>
      </c>
      <c r="N2398" s="2">
        <v>1231400.0</v>
      </c>
      <c r="O2398" s="4">
        <f t="shared" si="6"/>
        <v>5152.301255</v>
      </c>
      <c r="P2398" s="2">
        <v>0.0</v>
      </c>
      <c r="Q2398" s="3">
        <f t="shared" si="7"/>
        <v>0</v>
      </c>
      <c r="R2398" s="2">
        <v>102.0</v>
      </c>
      <c r="S2398" s="5">
        <f t="shared" si="8"/>
        <v>0.9807692308</v>
      </c>
    </row>
    <row r="2399">
      <c r="A2399" s="2" t="s">
        <v>2408</v>
      </c>
      <c r="B2399" s="2">
        <v>550.0</v>
      </c>
      <c r="C2399" s="2">
        <v>6530.0</v>
      </c>
      <c r="D2399" s="2">
        <v>2103.0</v>
      </c>
      <c r="E2399" s="3">
        <f t="shared" si="1"/>
        <v>0.3516722408</v>
      </c>
      <c r="F2399" s="2">
        <v>820.0</v>
      </c>
      <c r="G2399" s="3">
        <f t="shared" si="2"/>
        <v>0.1371237458</v>
      </c>
      <c r="H2399" s="2">
        <v>1266.0</v>
      </c>
      <c r="I2399" s="3">
        <f t="shared" si="3"/>
        <v>0.2117056856</v>
      </c>
      <c r="J2399" s="2">
        <v>860.0</v>
      </c>
      <c r="K2399" s="3">
        <f t="shared" si="4"/>
        <v>0.143812709</v>
      </c>
      <c r="L2399" s="2">
        <v>751.0</v>
      </c>
      <c r="M2399" s="3">
        <f t="shared" si="5"/>
        <v>0.593206951</v>
      </c>
      <c r="N2399" s="2">
        <v>6785800.0</v>
      </c>
      <c r="O2399" s="4">
        <f t="shared" si="6"/>
        <v>5360.031596</v>
      </c>
      <c r="P2399" s="2">
        <v>0.0</v>
      </c>
      <c r="Q2399" s="3">
        <f t="shared" si="7"/>
        <v>0</v>
      </c>
      <c r="R2399" s="2">
        <v>13.0</v>
      </c>
      <c r="S2399" s="5">
        <f t="shared" si="8"/>
        <v>0.02363636364</v>
      </c>
    </row>
    <row r="2400">
      <c r="A2400" s="2" t="s">
        <v>2409</v>
      </c>
      <c r="B2400" s="2">
        <v>244.0</v>
      </c>
      <c r="C2400" s="2">
        <v>2906.0</v>
      </c>
      <c r="D2400" s="2">
        <v>1015.0</v>
      </c>
      <c r="E2400" s="3">
        <f t="shared" si="1"/>
        <v>0.3812922615</v>
      </c>
      <c r="F2400" s="2">
        <v>365.0</v>
      </c>
      <c r="G2400" s="3">
        <f t="shared" si="2"/>
        <v>0.1371149512</v>
      </c>
      <c r="H2400" s="2">
        <v>595.0</v>
      </c>
      <c r="I2400" s="3">
        <f t="shared" si="3"/>
        <v>0.2235161533</v>
      </c>
      <c r="J2400" s="2">
        <v>379.0</v>
      </c>
      <c r="K2400" s="3">
        <f t="shared" si="4"/>
        <v>0.1423741548</v>
      </c>
      <c r="L2400" s="2">
        <v>378.0</v>
      </c>
      <c r="M2400" s="3">
        <f t="shared" si="5"/>
        <v>0.6352941176</v>
      </c>
      <c r="N2400" s="2">
        <v>3142900.0</v>
      </c>
      <c r="O2400" s="4">
        <f t="shared" si="6"/>
        <v>5282.184874</v>
      </c>
      <c r="P2400" s="2">
        <v>2.0</v>
      </c>
      <c r="Q2400" s="3">
        <f t="shared" si="7"/>
        <v>0.008196721311</v>
      </c>
      <c r="R2400" s="2">
        <v>244.0</v>
      </c>
      <c r="S2400" s="5">
        <f t="shared" si="8"/>
        <v>1</v>
      </c>
    </row>
    <row r="2401">
      <c r="A2401" s="2" t="s">
        <v>2410</v>
      </c>
      <c r="B2401" s="2">
        <v>2053.0</v>
      </c>
      <c r="C2401" s="2">
        <v>23838.0</v>
      </c>
      <c r="D2401" s="2">
        <v>7285.0</v>
      </c>
      <c r="E2401" s="3">
        <f t="shared" si="1"/>
        <v>0.3344044067</v>
      </c>
      <c r="F2401" s="2">
        <v>2987.0</v>
      </c>
      <c r="G2401" s="3">
        <f t="shared" si="2"/>
        <v>0.1371126922</v>
      </c>
      <c r="H2401" s="2">
        <v>4518.0</v>
      </c>
      <c r="I2401" s="3">
        <f t="shared" si="3"/>
        <v>0.2073904062</v>
      </c>
      <c r="J2401" s="2">
        <v>4556.0</v>
      </c>
      <c r="K2401" s="3">
        <f t="shared" si="4"/>
        <v>0.2091347257</v>
      </c>
      <c r="L2401" s="2">
        <v>2619.0</v>
      </c>
      <c r="M2401" s="3">
        <f t="shared" si="5"/>
        <v>0.5796812749</v>
      </c>
      <c r="N2401" s="2">
        <v>2.72928E7</v>
      </c>
      <c r="O2401" s="4">
        <f t="shared" si="6"/>
        <v>6040.903054</v>
      </c>
      <c r="P2401" s="2">
        <v>4.0</v>
      </c>
      <c r="Q2401" s="3">
        <f t="shared" si="7"/>
        <v>0.001948368242</v>
      </c>
      <c r="R2401" s="2">
        <v>2046.0</v>
      </c>
      <c r="S2401" s="5">
        <f t="shared" si="8"/>
        <v>0.9965903556</v>
      </c>
    </row>
    <row r="2402">
      <c r="A2402" s="2" t="s">
        <v>2411</v>
      </c>
      <c r="B2402" s="2">
        <v>623.0</v>
      </c>
      <c r="C2402" s="2">
        <v>7435.0</v>
      </c>
      <c r="D2402" s="2">
        <v>2564.0</v>
      </c>
      <c r="E2402" s="3">
        <f t="shared" si="1"/>
        <v>0.3763945978</v>
      </c>
      <c r="F2402" s="2">
        <v>934.0</v>
      </c>
      <c r="G2402" s="3">
        <f t="shared" si="2"/>
        <v>0.1371109806</v>
      </c>
      <c r="H2402" s="2">
        <v>1425.0</v>
      </c>
      <c r="I2402" s="3">
        <f t="shared" si="3"/>
        <v>0.2091896653</v>
      </c>
      <c r="J2402" s="2">
        <v>1072.0</v>
      </c>
      <c r="K2402" s="3">
        <f t="shared" si="4"/>
        <v>0.1573693482</v>
      </c>
      <c r="L2402" s="2">
        <v>831.0</v>
      </c>
      <c r="M2402" s="3">
        <f t="shared" si="5"/>
        <v>0.5831578947</v>
      </c>
      <c r="N2402" s="2">
        <v>7612000.0</v>
      </c>
      <c r="O2402" s="4">
        <f t="shared" si="6"/>
        <v>5341.754386</v>
      </c>
      <c r="P2402" s="2">
        <v>2.0</v>
      </c>
      <c r="Q2402" s="3">
        <f t="shared" si="7"/>
        <v>0.003210272873</v>
      </c>
      <c r="R2402" s="2">
        <v>623.0</v>
      </c>
      <c r="S2402" s="5">
        <f t="shared" si="8"/>
        <v>1</v>
      </c>
    </row>
    <row r="2403">
      <c r="A2403" s="2" t="s">
        <v>2412</v>
      </c>
      <c r="B2403" s="2">
        <v>376.0</v>
      </c>
      <c r="C2403" s="2">
        <v>4417.0</v>
      </c>
      <c r="D2403" s="2">
        <v>1038.0</v>
      </c>
      <c r="E2403" s="3">
        <f t="shared" si="1"/>
        <v>0.2568671121</v>
      </c>
      <c r="F2403" s="2">
        <v>554.0</v>
      </c>
      <c r="G2403" s="3">
        <f t="shared" si="2"/>
        <v>0.1370947785</v>
      </c>
      <c r="H2403" s="2">
        <v>816.0</v>
      </c>
      <c r="I2403" s="3">
        <f t="shared" si="3"/>
        <v>0.2019302153</v>
      </c>
      <c r="J2403" s="2">
        <v>668.0</v>
      </c>
      <c r="K2403" s="3">
        <f t="shared" si="4"/>
        <v>0.1653056174</v>
      </c>
      <c r="L2403" s="2">
        <v>501.0</v>
      </c>
      <c r="M2403" s="3">
        <f t="shared" si="5"/>
        <v>0.6139705882</v>
      </c>
      <c r="N2403" s="2">
        <v>5354300.0</v>
      </c>
      <c r="O2403" s="4">
        <f t="shared" si="6"/>
        <v>6561.642157</v>
      </c>
      <c r="P2403" s="2">
        <v>2.0</v>
      </c>
      <c r="Q2403" s="3">
        <f t="shared" si="7"/>
        <v>0.005319148936</v>
      </c>
      <c r="R2403" s="2">
        <v>376.0</v>
      </c>
      <c r="S2403" s="5">
        <f t="shared" si="8"/>
        <v>1</v>
      </c>
    </row>
    <row r="2404">
      <c r="A2404" s="2" t="s">
        <v>2413</v>
      </c>
      <c r="B2404" s="2">
        <v>1100.0</v>
      </c>
      <c r="C2404" s="2">
        <v>12750.0</v>
      </c>
      <c r="D2404" s="2">
        <v>3890.0</v>
      </c>
      <c r="E2404" s="3">
        <f t="shared" si="1"/>
        <v>0.3339055794</v>
      </c>
      <c r="F2404" s="2">
        <v>1597.0</v>
      </c>
      <c r="G2404" s="3">
        <f t="shared" si="2"/>
        <v>0.1370815451</v>
      </c>
      <c r="H2404" s="2">
        <v>2417.0</v>
      </c>
      <c r="I2404" s="3">
        <f t="shared" si="3"/>
        <v>0.2074678112</v>
      </c>
      <c r="J2404" s="2">
        <v>1918.0</v>
      </c>
      <c r="K2404" s="3">
        <f t="shared" si="4"/>
        <v>0.1646351931</v>
      </c>
      <c r="L2404" s="2">
        <v>1447.0</v>
      </c>
      <c r="M2404" s="3">
        <f t="shared" si="5"/>
        <v>0.5986760447</v>
      </c>
      <c r="N2404" s="2">
        <v>1.3413E7</v>
      </c>
      <c r="O2404" s="4">
        <f t="shared" si="6"/>
        <v>5549.441456</v>
      </c>
      <c r="P2404" s="2">
        <v>1.0</v>
      </c>
      <c r="Q2404" s="3">
        <f t="shared" si="7"/>
        <v>0.0009090909091</v>
      </c>
      <c r="R2404" s="2">
        <v>1100.0</v>
      </c>
      <c r="S2404" s="5">
        <f t="shared" si="8"/>
        <v>1</v>
      </c>
    </row>
    <row r="2405">
      <c r="A2405" s="2" t="s">
        <v>2414</v>
      </c>
      <c r="B2405" s="2">
        <v>598.0</v>
      </c>
      <c r="C2405" s="2">
        <v>6952.0</v>
      </c>
      <c r="D2405" s="2">
        <v>2531.0</v>
      </c>
      <c r="E2405" s="3">
        <f t="shared" si="1"/>
        <v>0.3983317595</v>
      </c>
      <c r="F2405" s="2">
        <v>871.0</v>
      </c>
      <c r="G2405" s="3">
        <f t="shared" si="2"/>
        <v>0.1370790054</v>
      </c>
      <c r="H2405" s="2">
        <v>1420.0</v>
      </c>
      <c r="I2405" s="3">
        <f t="shared" si="3"/>
        <v>0.2234812716</v>
      </c>
      <c r="J2405" s="2">
        <v>1316.0</v>
      </c>
      <c r="K2405" s="3">
        <f t="shared" si="4"/>
        <v>0.2071136292</v>
      </c>
      <c r="L2405" s="2">
        <v>827.0</v>
      </c>
      <c r="M2405" s="3">
        <f t="shared" si="5"/>
        <v>0.5823943662</v>
      </c>
      <c r="N2405" s="2">
        <v>7661800.0</v>
      </c>
      <c r="O2405" s="4">
        <f t="shared" si="6"/>
        <v>5395.633803</v>
      </c>
      <c r="P2405" s="2">
        <v>0.0</v>
      </c>
      <c r="Q2405" s="3">
        <f t="shared" si="7"/>
        <v>0</v>
      </c>
      <c r="R2405" s="2">
        <v>598.0</v>
      </c>
      <c r="S2405" s="5">
        <f t="shared" si="8"/>
        <v>1</v>
      </c>
    </row>
    <row r="2406">
      <c r="A2406" s="2" t="s">
        <v>2415</v>
      </c>
      <c r="B2406" s="2">
        <v>4398.0</v>
      </c>
      <c r="C2406" s="2">
        <v>51802.0</v>
      </c>
      <c r="D2406" s="2">
        <v>18171.0</v>
      </c>
      <c r="E2406" s="3">
        <f t="shared" si="1"/>
        <v>0.3833220825</v>
      </c>
      <c r="F2406" s="2">
        <v>6497.0</v>
      </c>
      <c r="G2406" s="3">
        <f t="shared" si="2"/>
        <v>0.1370559446</v>
      </c>
      <c r="H2406" s="2">
        <v>10336.0</v>
      </c>
      <c r="I2406" s="3">
        <f t="shared" si="3"/>
        <v>0.2180406717</v>
      </c>
      <c r="J2406" s="2">
        <v>7348.0</v>
      </c>
      <c r="K2406" s="3">
        <f t="shared" si="4"/>
        <v>0.1550080162</v>
      </c>
      <c r="L2406" s="2">
        <v>6161.0</v>
      </c>
      <c r="M2406" s="3">
        <f t="shared" si="5"/>
        <v>0.5960719814</v>
      </c>
      <c r="N2406" s="2">
        <v>5.62795E7</v>
      </c>
      <c r="O2406" s="4">
        <f t="shared" si="6"/>
        <v>5444.998065</v>
      </c>
      <c r="P2406" s="2">
        <v>8.0</v>
      </c>
      <c r="Q2406" s="3">
        <f t="shared" si="7"/>
        <v>0.00181900864</v>
      </c>
      <c r="R2406" s="2">
        <v>4.0</v>
      </c>
      <c r="S2406" s="5">
        <f t="shared" si="8"/>
        <v>0.0009095043201</v>
      </c>
    </row>
    <row r="2407">
      <c r="A2407" s="2" t="s">
        <v>2416</v>
      </c>
      <c r="B2407" s="2">
        <v>185.0</v>
      </c>
      <c r="C2407" s="2">
        <v>2228.0</v>
      </c>
      <c r="D2407" s="2">
        <v>763.0</v>
      </c>
      <c r="E2407" s="3">
        <f t="shared" si="1"/>
        <v>0.3734703867</v>
      </c>
      <c r="F2407" s="2">
        <v>280.0</v>
      </c>
      <c r="G2407" s="3">
        <f t="shared" si="2"/>
        <v>0.1370533529</v>
      </c>
      <c r="H2407" s="2">
        <v>418.0</v>
      </c>
      <c r="I2407" s="3">
        <f t="shared" si="3"/>
        <v>0.2046010768</v>
      </c>
      <c r="J2407" s="2">
        <v>325.0</v>
      </c>
      <c r="K2407" s="3">
        <f t="shared" si="4"/>
        <v>0.1590797846</v>
      </c>
      <c r="L2407" s="2">
        <v>250.0</v>
      </c>
      <c r="M2407" s="3">
        <f t="shared" si="5"/>
        <v>0.5980861244</v>
      </c>
      <c r="N2407" s="2">
        <v>2491700.0</v>
      </c>
      <c r="O2407" s="4">
        <f t="shared" si="6"/>
        <v>5961.004785</v>
      </c>
      <c r="P2407" s="2">
        <v>0.0</v>
      </c>
      <c r="Q2407" s="3">
        <f t="shared" si="7"/>
        <v>0</v>
      </c>
      <c r="R2407" s="2">
        <v>185.0</v>
      </c>
      <c r="S2407" s="5">
        <f t="shared" si="8"/>
        <v>1</v>
      </c>
    </row>
    <row r="2408">
      <c r="A2408" s="2" t="s">
        <v>2417</v>
      </c>
      <c r="B2408" s="2">
        <v>5589.0</v>
      </c>
      <c r="C2408" s="2">
        <v>65370.0</v>
      </c>
      <c r="D2408" s="2">
        <v>21570.0</v>
      </c>
      <c r="E2408" s="3">
        <f t="shared" si="1"/>
        <v>0.360816982</v>
      </c>
      <c r="F2408" s="2">
        <v>8193.0</v>
      </c>
      <c r="G2408" s="3">
        <f t="shared" si="2"/>
        <v>0.1370502334</v>
      </c>
      <c r="H2408" s="2">
        <v>13184.0</v>
      </c>
      <c r="I2408" s="3">
        <f t="shared" si="3"/>
        <v>0.2205382981</v>
      </c>
      <c r="J2408" s="2">
        <v>8729.0</v>
      </c>
      <c r="K2408" s="3">
        <f t="shared" si="4"/>
        <v>0.1460162928</v>
      </c>
      <c r="L2408" s="2">
        <v>8037.0</v>
      </c>
      <c r="M2408" s="3">
        <f t="shared" si="5"/>
        <v>0.6096025485</v>
      </c>
      <c r="N2408" s="2">
        <v>7.3552E7</v>
      </c>
      <c r="O2408" s="4">
        <f t="shared" si="6"/>
        <v>5578.883495</v>
      </c>
      <c r="P2408" s="2">
        <v>14.0</v>
      </c>
      <c r="Q2408" s="3">
        <f t="shared" si="7"/>
        <v>0.002504920379</v>
      </c>
      <c r="R2408" s="2">
        <v>5589.0</v>
      </c>
      <c r="S2408" s="5">
        <f t="shared" si="8"/>
        <v>1</v>
      </c>
    </row>
    <row r="2409">
      <c r="A2409" s="2" t="s">
        <v>2418</v>
      </c>
      <c r="B2409" s="2">
        <v>216.0</v>
      </c>
      <c r="C2409" s="2">
        <v>2478.0</v>
      </c>
      <c r="D2409" s="2">
        <v>761.0</v>
      </c>
      <c r="E2409" s="3">
        <f t="shared" si="1"/>
        <v>0.3364279399</v>
      </c>
      <c r="F2409" s="2">
        <v>310.0</v>
      </c>
      <c r="G2409" s="3">
        <f t="shared" si="2"/>
        <v>0.1370468612</v>
      </c>
      <c r="H2409" s="2">
        <v>437.0</v>
      </c>
      <c r="I2409" s="3">
        <f t="shared" si="3"/>
        <v>0.1931918656</v>
      </c>
      <c r="J2409" s="2">
        <v>368.0</v>
      </c>
      <c r="K2409" s="3">
        <f t="shared" si="4"/>
        <v>0.1626878868</v>
      </c>
      <c r="L2409" s="2">
        <v>268.0</v>
      </c>
      <c r="M2409" s="3">
        <f t="shared" si="5"/>
        <v>0.6132723112</v>
      </c>
      <c r="N2409" s="2">
        <v>2565200.0</v>
      </c>
      <c r="O2409" s="4">
        <f t="shared" si="6"/>
        <v>5870.022883</v>
      </c>
      <c r="P2409" s="2">
        <v>1.0</v>
      </c>
      <c r="Q2409" s="3">
        <f t="shared" si="7"/>
        <v>0.00462962963</v>
      </c>
      <c r="R2409" s="2">
        <v>52.0</v>
      </c>
      <c r="S2409" s="5">
        <f t="shared" si="8"/>
        <v>0.2407407407</v>
      </c>
    </row>
    <row r="2410">
      <c r="A2410" s="2" t="s">
        <v>2419</v>
      </c>
      <c r="B2410" s="2">
        <v>261.0</v>
      </c>
      <c r="C2410" s="2">
        <v>3012.0</v>
      </c>
      <c r="D2410" s="2">
        <v>988.0</v>
      </c>
      <c r="E2410" s="3">
        <f t="shared" si="1"/>
        <v>0.3591421301</v>
      </c>
      <c r="F2410" s="2">
        <v>377.0</v>
      </c>
      <c r="G2410" s="3">
        <f t="shared" si="2"/>
        <v>0.137041076</v>
      </c>
      <c r="H2410" s="2">
        <v>598.0</v>
      </c>
      <c r="I2410" s="3">
        <f t="shared" si="3"/>
        <v>0.2173754998</v>
      </c>
      <c r="J2410" s="2">
        <v>488.0</v>
      </c>
      <c r="K2410" s="3">
        <f t="shared" si="4"/>
        <v>0.17739004</v>
      </c>
      <c r="L2410" s="2">
        <v>363.0</v>
      </c>
      <c r="M2410" s="3">
        <f t="shared" si="5"/>
        <v>0.6070234114</v>
      </c>
      <c r="N2410" s="2">
        <v>3523700.0</v>
      </c>
      <c r="O2410" s="4">
        <f t="shared" si="6"/>
        <v>5892.474916</v>
      </c>
      <c r="P2410" s="2">
        <v>0.0</v>
      </c>
      <c r="Q2410" s="3">
        <f t="shared" si="7"/>
        <v>0</v>
      </c>
      <c r="R2410" s="2">
        <v>261.0</v>
      </c>
      <c r="S2410" s="5">
        <f t="shared" si="8"/>
        <v>1</v>
      </c>
    </row>
    <row r="2411">
      <c r="A2411" s="2" t="s">
        <v>2420</v>
      </c>
      <c r="B2411" s="2">
        <v>25.0</v>
      </c>
      <c r="C2411" s="2">
        <v>295.0</v>
      </c>
      <c r="D2411" s="2">
        <v>88.0</v>
      </c>
      <c r="E2411" s="3">
        <f t="shared" si="1"/>
        <v>0.3259259259</v>
      </c>
      <c r="F2411" s="2">
        <v>37.0</v>
      </c>
      <c r="G2411" s="3">
        <f t="shared" si="2"/>
        <v>0.137037037</v>
      </c>
      <c r="H2411" s="2">
        <v>56.0</v>
      </c>
      <c r="I2411" s="3">
        <f t="shared" si="3"/>
        <v>0.2074074074</v>
      </c>
      <c r="J2411" s="2">
        <v>39.0</v>
      </c>
      <c r="K2411" s="3">
        <f t="shared" si="4"/>
        <v>0.1444444444</v>
      </c>
      <c r="L2411" s="2">
        <v>36.0</v>
      </c>
      <c r="M2411" s="3">
        <f t="shared" si="5"/>
        <v>0.6428571429</v>
      </c>
      <c r="N2411" s="2">
        <v>309600.0</v>
      </c>
      <c r="O2411" s="4">
        <f t="shared" si="6"/>
        <v>5528.571429</v>
      </c>
      <c r="P2411" s="2">
        <v>0.0</v>
      </c>
      <c r="Q2411" s="3">
        <f t="shared" si="7"/>
        <v>0</v>
      </c>
      <c r="R2411" s="2">
        <v>0.0</v>
      </c>
      <c r="S2411" s="5">
        <f t="shared" si="8"/>
        <v>0</v>
      </c>
    </row>
    <row r="2412">
      <c r="A2412" s="2" t="s">
        <v>2421</v>
      </c>
      <c r="B2412" s="2">
        <v>248.0</v>
      </c>
      <c r="C2412" s="2">
        <v>2795.0</v>
      </c>
      <c r="D2412" s="2">
        <v>1015.0</v>
      </c>
      <c r="E2412" s="3">
        <f t="shared" si="1"/>
        <v>0.3985080487</v>
      </c>
      <c r="F2412" s="2">
        <v>349.0</v>
      </c>
      <c r="G2412" s="3">
        <f t="shared" si="2"/>
        <v>0.1370239497</v>
      </c>
      <c r="H2412" s="2">
        <v>547.0</v>
      </c>
      <c r="I2412" s="3">
        <f t="shared" si="3"/>
        <v>0.2147624656</v>
      </c>
      <c r="J2412" s="2">
        <v>414.0</v>
      </c>
      <c r="K2412" s="3">
        <f t="shared" si="4"/>
        <v>0.1625441696</v>
      </c>
      <c r="L2412" s="2">
        <v>318.0</v>
      </c>
      <c r="M2412" s="3">
        <f t="shared" si="5"/>
        <v>0.5813528336</v>
      </c>
      <c r="N2412" s="2">
        <v>3148100.0</v>
      </c>
      <c r="O2412" s="4">
        <f t="shared" si="6"/>
        <v>5755.210238</v>
      </c>
      <c r="P2412" s="2">
        <v>0.0</v>
      </c>
      <c r="Q2412" s="3">
        <f t="shared" si="7"/>
        <v>0</v>
      </c>
      <c r="R2412" s="2">
        <v>248.0</v>
      </c>
      <c r="S2412" s="5">
        <f t="shared" si="8"/>
        <v>1</v>
      </c>
    </row>
    <row r="2413">
      <c r="A2413" s="2" t="s">
        <v>2422</v>
      </c>
      <c r="B2413" s="2">
        <v>1555.0</v>
      </c>
      <c r="C2413" s="2">
        <v>18355.0</v>
      </c>
      <c r="D2413" s="2">
        <v>6709.0</v>
      </c>
      <c r="E2413" s="3">
        <f t="shared" si="1"/>
        <v>0.3993452381</v>
      </c>
      <c r="F2413" s="2">
        <v>2302.0</v>
      </c>
      <c r="G2413" s="3">
        <f t="shared" si="2"/>
        <v>0.1370238095</v>
      </c>
      <c r="H2413" s="2">
        <v>3575.0</v>
      </c>
      <c r="I2413" s="3">
        <f t="shared" si="3"/>
        <v>0.212797619</v>
      </c>
      <c r="J2413" s="2">
        <v>2624.0</v>
      </c>
      <c r="K2413" s="3">
        <f t="shared" si="4"/>
        <v>0.1561904762</v>
      </c>
      <c r="L2413" s="2">
        <v>2190.0</v>
      </c>
      <c r="M2413" s="3">
        <f t="shared" si="5"/>
        <v>0.6125874126</v>
      </c>
      <c r="N2413" s="2">
        <v>1.8731E7</v>
      </c>
      <c r="O2413" s="4">
        <f t="shared" si="6"/>
        <v>5239.440559</v>
      </c>
      <c r="P2413" s="2">
        <v>2.0</v>
      </c>
      <c r="Q2413" s="3">
        <f t="shared" si="7"/>
        <v>0.001286173633</v>
      </c>
      <c r="R2413" s="2">
        <v>1552.0</v>
      </c>
      <c r="S2413" s="5">
        <f t="shared" si="8"/>
        <v>0.9980707395</v>
      </c>
    </row>
    <row r="2414">
      <c r="A2414" s="2" t="s">
        <v>2423</v>
      </c>
      <c r="B2414" s="2">
        <v>219.0</v>
      </c>
      <c r="C2414" s="2">
        <v>2664.0</v>
      </c>
      <c r="D2414" s="2">
        <v>869.0</v>
      </c>
      <c r="E2414" s="3">
        <f t="shared" si="1"/>
        <v>0.3554192229</v>
      </c>
      <c r="F2414" s="2">
        <v>335.0</v>
      </c>
      <c r="G2414" s="3">
        <f t="shared" si="2"/>
        <v>0.1370143149</v>
      </c>
      <c r="H2414" s="2">
        <v>531.0</v>
      </c>
      <c r="I2414" s="3">
        <f t="shared" si="3"/>
        <v>0.2171779141</v>
      </c>
      <c r="J2414" s="2">
        <v>389.0</v>
      </c>
      <c r="K2414" s="3">
        <f t="shared" si="4"/>
        <v>0.1591002045</v>
      </c>
      <c r="L2414" s="2">
        <v>318.0</v>
      </c>
      <c r="M2414" s="3">
        <f t="shared" si="5"/>
        <v>0.5988700565</v>
      </c>
      <c r="N2414" s="2">
        <v>2724700.0</v>
      </c>
      <c r="O2414" s="4">
        <f t="shared" si="6"/>
        <v>5131.26177</v>
      </c>
      <c r="P2414" s="2">
        <v>0.0</v>
      </c>
      <c r="Q2414" s="3">
        <f t="shared" si="7"/>
        <v>0</v>
      </c>
      <c r="R2414" s="2">
        <v>219.0</v>
      </c>
      <c r="S2414" s="5">
        <f t="shared" si="8"/>
        <v>1</v>
      </c>
    </row>
    <row r="2415">
      <c r="A2415" s="2" t="s">
        <v>2424</v>
      </c>
      <c r="B2415" s="2">
        <v>986.0</v>
      </c>
      <c r="C2415" s="2">
        <v>11321.0</v>
      </c>
      <c r="D2415" s="2">
        <v>3626.0</v>
      </c>
      <c r="E2415" s="3">
        <f t="shared" si="1"/>
        <v>0.3508466376</v>
      </c>
      <c r="F2415" s="2">
        <v>1416.0</v>
      </c>
      <c r="G2415" s="3">
        <f t="shared" si="2"/>
        <v>0.1370101597</v>
      </c>
      <c r="H2415" s="2">
        <v>2256.0</v>
      </c>
      <c r="I2415" s="3">
        <f t="shared" si="3"/>
        <v>0.218287373</v>
      </c>
      <c r="J2415" s="2">
        <v>1804.0</v>
      </c>
      <c r="K2415" s="3">
        <f t="shared" si="4"/>
        <v>0.1745524915</v>
      </c>
      <c r="L2415" s="2">
        <v>1337.0</v>
      </c>
      <c r="M2415" s="3">
        <f t="shared" si="5"/>
        <v>0.592641844</v>
      </c>
      <c r="N2415" s="2">
        <v>1.38868E7</v>
      </c>
      <c r="O2415" s="4">
        <f t="shared" si="6"/>
        <v>6155.496454</v>
      </c>
      <c r="P2415" s="2">
        <v>3.0</v>
      </c>
      <c r="Q2415" s="3">
        <f t="shared" si="7"/>
        <v>0.003042596349</v>
      </c>
      <c r="R2415" s="2">
        <v>986.0</v>
      </c>
      <c r="S2415" s="5">
        <f t="shared" si="8"/>
        <v>1</v>
      </c>
    </row>
    <row r="2416">
      <c r="A2416" s="2" t="s">
        <v>2425</v>
      </c>
      <c r="B2416" s="2">
        <v>127.0</v>
      </c>
      <c r="C2416" s="2">
        <v>1492.0</v>
      </c>
      <c r="D2416" s="2">
        <v>505.0</v>
      </c>
      <c r="E2416" s="3">
        <f t="shared" si="1"/>
        <v>0.36996337</v>
      </c>
      <c r="F2416" s="2">
        <v>187.0</v>
      </c>
      <c r="G2416" s="3">
        <f t="shared" si="2"/>
        <v>0.136996337</v>
      </c>
      <c r="H2416" s="2">
        <v>268.0</v>
      </c>
      <c r="I2416" s="3">
        <f t="shared" si="3"/>
        <v>0.1963369963</v>
      </c>
      <c r="J2416" s="2">
        <v>267.0</v>
      </c>
      <c r="K2416" s="3">
        <f t="shared" si="4"/>
        <v>0.1956043956</v>
      </c>
      <c r="L2416" s="2">
        <v>152.0</v>
      </c>
      <c r="M2416" s="3">
        <f t="shared" si="5"/>
        <v>0.5671641791</v>
      </c>
      <c r="N2416" s="2">
        <v>1543200.0</v>
      </c>
      <c r="O2416" s="4">
        <f t="shared" si="6"/>
        <v>5758.208955</v>
      </c>
      <c r="P2416" s="2">
        <v>0.0</v>
      </c>
      <c r="Q2416" s="3">
        <f t="shared" si="7"/>
        <v>0</v>
      </c>
      <c r="R2416" s="2">
        <v>127.0</v>
      </c>
      <c r="S2416" s="5">
        <f t="shared" si="8"/>
        <v>1</v>
      </c>
    </row>
    <row r="2417">
      <c r="A2417" s="2" t="s">
        <v>2426</v>
      </c>
      <c r="B2417" s="2">
        <v>301.0</v>
      </c>
      <c r="C2417" s="2">
        <v>3491.0</v>
      </c>
      <c r="D2417" s="2">
        <v>1007.0</v>
      </c>
      <c r="E2417" s="3">
        <f t="shared" si="1"/>
        <v>0.3156739812</v>
      </c>
      <c r="F2417" s="2">
        <v>437.0</v>
      </c>
      <c r="G2417" s="3">
        <f t="shared" si="2"/>
        <v>0.1369905956</v>
      </c>
      <c r="H2417" s="2">
        <v>641.0</v>
      </c>
      <c r="I2417" s="3">
        <f t="shared" si="3"/>
        <v>0.2009404389</v>
      </c>
      <c r="J2417" s="2">
        <v>474.0</v>
      </c>
      <c r="K2417" s="3">
        <f t="shared" si="4"/>
        <v>0.1485893417</v>
      </c>
      <c r="L2417" s="2">
        <v>403.0</v>
      </c>
      <c r="M2417" s="3">
        <f t="shared" si="5"/>
        <v>0.6287051482</v>
      </c>
      <c r="N2417" s="2">
        <v>3785300.0</v>
      </c>
      <c r="O2417" s="4">
        <f t="shared" si="6"/>
        <v>5905.304212</v>
      </c>
      <c r="P2417" s="2">
        <v>1.0</v>
      </c>
      <c r="Q2417" s="3">
        <f t="shared" si="7"/>
        <v>0.003322259136</v>
      </c>
      <c r="R2417" s="2">
        <v>301.0</v>
      </c>
      <c r="S2417" s="5">
        <f t="shared" si="8"/>
        <v>1</v>
      </c>
    </row>
    <row r="2418">
      <c r="A2418" s="2" t="s">
        <v>2427</v>
      </c>
      <c r="B2418" s="2">
        <v>6513.0</v>
      </c>
      <c r="C2418" s="2">
        <v>76308.0</v>
      </c>
      <c r="D2418" s="2">
        <v>26339.0</v>
      </c>
      <c r="E2418" s="3">
        <f t="shared" si="1"/>
        <v>0.3773766029</v>
      </c>
      <c r="F2418" s="2">
        <v>9561.0</v>
      </c>
      <c r="G2418" s="3">
        <f t="shared" si="2"/>
        <v>0.1369868902</v>
      </c>
      <c r="H2418" s="2">
        <v>15355.0</v>
      </c>
      <c r="I2418" s="3">
        <f t="shared" si="3"/>
        <v>0.2200014328</v>
      </c>
      <c r="J2418" s="2">
        <v>13138.0</v>
      </c>
      <c r="K2418" s="3">
        <f t="shared" si="4"/>
        <v>0.1882369797</v>
      </c>
      <c r="L2418" s="2">
        <v>9087.0</v>
      </c>
      <c r="M2418" s="3">
        <f t="shared" si="5"/>
        <v>0.5917942038</v>
      </c>
      <c r="N2418" s="2">
        <v>8.42298E7</v>
      </c>
      <c r="O2418" s="4">
        <f t="shared" si="6"/>
        <v>5485.496581</v>
      </c>
      <c r="P2418" s="2">
        <v>6.0</v>
      </c>
      <c r="Q2418" s="3">
        <f t="shared" si="7"/>
        <v>0.0009212344542</v>
      </c>
      <c r="R2418" s="2">
        <v>25.0</v>
      </c>
      <c r="S2418" s="5">
        <f t="shared" si="8"/>
        <v>0.003838476892</v>
      </c>
    </row>
    <row r="2419">
      <c r="A2419" s="2" t="s">
        <v>2428</v>
      </c>
      <c r="B2419" s="2">
        <v>36.0</v>
      </c>
      <c r="C2419" s="2">
        <v>401.0</v>
      </c>
      <c r="D2419" s="2">
        <v>106.0</v>
      </c>
      <c r="E2419" s="3">
        <f t="shared" si="1"/>
        <v>0.2904109589</v>
      </c>
      <c r="F2419" s="2">
        <v>50.0</v>
      </c>
      <c r="G2419" s="3">
        <f t="shared" si="2"/>
        <v>0.1369863014</v>
      </c>
      <c r="H2419" s="2">
        <v>73.0</v>
      </c>
      <c r="I2419" s="3">
        <f t="shared" si="3"/>
        <v>0.2</v>
      </c>
      <c r="J2419" s="2">
        <v>76.0</v>
      </c>
      <c r="K2419" s="3">
        <f t="shared" si="4"/>
        <v>0.2082191781</v>
      </c>
      <c r="L2419" s="2">
        <v>44.0</v>
      </c>
      <c r="M2419" s="3">
        <f t="shared" si="5"/>
        <v>0.602739726</v>
      </c>
      <c r="N2419" s="2">
        <v>484100.0</v>
      </c>
      <c r="O2419" s="4">
        <f t="shared" si="6"/>
        <v>6631.506849</v>
      </c>
      <c r="P2419" s="2">
        <v>0.0</v>
      </c>
      <c r="Q2419" s="3">
        <f t="shared" si="7"/>
        <v>0</v>
      </c>
      <c r="R2419" s="2">
        <v>36.0</v>
      </c>
      <c r="S2419" s="5">
        <f t="shared" si="8"/>
        <v>1</v>
      </c>
    </row>
    <row r="2420">
      <c r="A2420" s="2" t="s">
        <v>2429</v>
      </c>
      <c r="B2420" s="2">
        <v>253.0</v>
      </c>
      <c r="C2420" s="2">
        <v>2954.0</v>
      </c>
      <c r="D2420" s="2">
        <v>1061.0</v>
      </c>
      <c r="E2420" s="3">
        <f t="shared" si="1"/>
        <v>0.392817475</v>
      </c>
      <c r="F2420" s="2">
        <v>370.0</v>
      </c>
      <c r="G2420" s="3">
        <f t="shared" si="2"/>
        <v>0.1369863014</v>
      </c>
      <c r="H2420" s="2">
        <v>575.0</v>
      </c>
      <c r="I2420" s="3">
        <f t="shared" si="3"/>
        <v>0.212884117</v>
      </c>
      <c r="J2420" s="2">
        <v>443.0</v>
      </c>
      <c r="K2420" s="3">
        <f t="shared" si="4"/>
        <v>0.1640133284</v>
      </c>
      <c r="L2420" s="2">
        <v>365.0</v>
      </c>
      <c r="M2420" s="3">
        <f t="shared" si="5"/>
        <v>0.6347826087</v>
      </c>
      <c r="N2420" s="2">
        <v>3128400.0</v>
      </c>
      <c r="O2420" s="4">
        <f t="shared" si="6"/>
        <v>5440.695652</v>
      </c>
      <c r="P2420" s="2">
        <v>0.0</v>
      </c>
      <c r="Q2420" s="3">
        <f t="shared" si="7"/>
        <v>0</v>
      </c>
      <c r="R2420" s="2">
        <v>0.0</v>
      </c>
      <c r="S2420" s="5">
        <f t="shared" si="8"/>
        <v>0</v>
      </c>
    </row>
    <row r="2421">
      <c r="A2421" s="2" t="s">
        <v>2430</v>
      </c>
      <c r="B2421" s="2">
        <v>7.0</v>
      </c>
      <c r="C2421" s="2">
        <v>80.0</v>
      </c>
      <c r="D2421" s="2">
        <v>22.0</v>
      </c>
      <c r="E2421" s="3">
        <f t="shared" si="1"/>
        <v>0.301369863</v>
      </c>
      <c r="F2421" s="2">
        <v>10.0</v>
      </c>
      <c r="G2421" s="3">
        <f t="shared" si="2"/>
        <v>0.1369863014</v>
      </c>
      <c r="H2421" s="2">
        <v>9.0</v>
      </c>
      <c r="I2421" s="3">
        <f t="shared" si="3"/>
        <v>0.1232876712</v>
      </c>
      <c r="J2421" s="2">
        <v>9.0</v>
      </c>
      <c r="K2421" s="3">
        <f t="shared" si="4"/>
        <v>0.1232876712</v>
      </c>
      <c r="L2421" s="2">
        <v>5.0</v>
      </c>
      <c r="M2421" s="3">
        <f t="shared" si="5"/>
        <v>0.5555555556</v>
      </c>
      <c r="N2421" s="2">
        <v>51300.0</v>
      </c>
      <c r="O2421" s="4">
        <f t="shared" si="6"/>
        <v>5700</v>
      </c>
      <c r="P2421" s="2">
        <v>0.0</v>
      </c>
      <c r="Q2421" s="3">
        <f t="shared" si="7"/>
        <v>0</v>
      </c>
      <c r="R2421" s="2">
        <v>7.0</v>
      </c>
      <c r="S2421" s="5">
        <f t="shared" si="8"/>
        <v>1</v>
      </c>
    </row>
    <row r="2422">
      <c r="A2422" s="2" t="s">
        <v>2431</v>
      </c>
      <c r="B2422" s="2">
        <v>304.0</v>
      </c>
      <c r="C2422" s="2">
        <v>3560.0</v>
      </c>
      <c r="D2422" s="2">
        <v>1219.0</v>
      </c>
      <c r="E2422" s="3">
        <f t="shared" si="1"/>
        <v>0.3743857494</v>
      </c>
      <c r="F2422" s="2">
        <v>446.0</v>
      </c>
      <c r="G2422" s="3">
        <f t="shared" si="2"/>
        <v>0.136977887</v>
      </c>
      <c r="H2422" s="2">
        <v>710.0</v>
      </c>
      <c r="I2422" s="3">
        <f t="shared" si="3"/>
        <v>0.2180589681</v>
      </c>
      <c r="J2422" s="2">
        <v>554.0</v>
      </c>
      <c r="K2422" s="3">
        <f t="shared" si="4"/>
        <v>0.1701474201</v>
      </c>
      <c r="L2422" s="2">
        <v>427.0</v>
      </c>
      <c r="M2422" s="3">
        <f t="shared" si="5"/>
        <v>0.6014084507</v>
      </c>
      <c r="N2422" s="2">
        <v>3856900.0</v>
      </c>
      <c r="O2422" s="4">
        <f t="shared" si="6"/>
        <v>5432.253521</v>
      </c>
      <c r="P2422" s="2">
        <v>1.0</v>
      </c>
      <c r="Q2422" s="3">
        <f t="shared" si="7"/>
        <v>0.003289473684</v>
      </c>
      <c r="R2422" s="2">
        <v>271.0</v>
      </c>
      <c r="S2422" s="5">
        <f t="shared" si="8"/>
        <v>0.8914473684</v>
      </c>
    </row>
    <row r="2423">
      <c r="A2423" s="2" t="s">
        <v>2432</v>
      </c>
      <c r="B2423" s="2">
        <v>299.0</v>
      </c>
      <c r="C2423" s="2">
        <v>3409.0</v>
      </c>
      <c r="D2423" s="2">
        <v>1060.0</v>
      </c>
      <c r="E2423" s="3">
        <f t="shared" si="1"/>
        <v>0.3408360129</v>
      </c>
      <c r="F2423" s="2">
        <v>426.0</v>
      </c>
      <c r="G2423" s="3">
        <f t="shared" si="2"/>
        <v>0.136977492</v>
      </c>
      <c r="H2423" s="2">
        <v>650.0</v>
      </c>
      <c r="I2423" s="3">
        <f t="shared" si="3"/>
        <v>0.2090032154</v>
      </c>
      <c r="J2423" s="2">
        <v>503.0</v>
      </c>
      <c r="K2423" s="3">
        <f t="shared" si="4"/>
        <v>0.1617363344</v>
      </c>
      <c r="L2423" s="2">
        <v>373.0</v>
      </c>
      <c r="M2423" s="3">
        <f t="shared" si="5"/>
        <v>0.5738461538</v>
      </c>
      <c r="N2423" s="2">
        <v>3772700.0</v>
      </c>
      <c r="O2423" s="4">
        <f t="shared" si="6"/>
        <v>5804.153846</v>
      </c>
      <c r="P2423" s="2">
        <v>1.0</v>
      </c>
      <c r="Q2423" s="3">
        <f t="shared" si="7"/>
        <v>0.003344481605</v>
      </c>
      <c r="R2423" s="2">
        <v>299.0</v>
      </c>
      <c r="S2423" s="5">
        <f t="shared" si="8"/>
        <v>1</v>
      </c>
    </row>
    <row r="2424">
      <c r="A2424" s="2" t="s">
        <v>2433</v>
      </c>
      <c r="B2424" s="2">
        <v>426.0</v>
      </c>
      <c r="C2424" s="2">
        <v>4967.0</v>
      </c>
      <c r="D2424" s="2">
        <v>1404.0</v>
      </c>
      <c r="E2424" s="3">
        <f t="shared" si="1"/>
        <v>0.3091829993</v>
      </c>
      <c r="F2424" s="2">
        <v>622.0</v>
      </c>
      <c r="G2424" s="3">
        <f t="shared" si="2"/>
        <v>0.1369742348</v>
      </c>
      <c r="H2424" s="2">
        <v>969.0</v>
      </c>
      <c r="I2424" s="3">
        <f t="shared" si="3"/>
        <v>0.2133891213</v>
      </c>
      <c r="J2424" s="2">
        <v>750.0</v>
      </c>
      <c r="K2424" s="3">
        <f t="shared" si="4"/>
        <v>0.1651618586</v>
      </c>
      <c r="L2424" s="2">
        <v>611.0</v>
      </c>
      <c r="M2424" s="3">
        <f t="shared" si="5"/>
        <v>0.6305469556</v>
      </c>
      <c r="N2424" s="2">
        <v>5468600.0</v>
      </c>
      <c r="O2424" s="4">
        <f t="shared" si="6"/>
        <v>5643.550052</v>
      </c>
      <c r="P2424" s="2">
        <v>0.0</v>
      </c>
      <c r="Q2424" s="3">
        <f t="shared" si="7"/>
        <v>0</v>
      </c>
      <c r="R2424" s="2">
        <v>426.0</v>
      </c>
      <c r="S2424" s="5">
        <f t="shared" si="8"/>
        <v>1</v>
      </c>
    </row>
    <row r="2425">
      <c r="A2425" s="2" t="s">
        <v>2434</v>
      </c>
      <c r="B2425" s="2">
        <v>206.0</v>
      </c>
      <c r="C2425" s="2">
        <v>2367.0</v>
      </c>
      <c r="D2425" s="2">
        <v>705.0</v>
      </c>
      <c r="E2425" s="3">
        <f t="shared" si="1"/>
        <v>0.3262378528</v>
      </c>
      <c r="F2425" s="2">
        <v>296.0</v>
      </c>
      <c r="G2425" s="3">
        <f t="shared" si="2"/>
        <v>0.1369736233</v>
      </c>
      <c r="H2425" s="2">
        <v>434.0</v>
      </c>
      <c r="I2425" s="3">
        <f t="shared" si="3"/>
        <v>0.2008329477</v>
      </c>
      <c r="J2425" s="2">
        <v>398.0</v>
      </c>
      <c r="K2425" s="3">
        <f t="shared" si="4"/>
        <v>0.1841739935</v>
      </c>
      <c r="L2425" s="2">
        <v>263.0</v>
      </c>
      <c r="M2425" s="3">
        <f t="shared" si="5"/>
        <v>0.6059907834</v>
      </c>
      <c r="N2425" s="2">
        <v>2550900.0</v>
      </c>
      <c r="O2425" s="4">
        <f t="shared" si="6"/>
        <v>5877.64977</v>
      </c>
      <c r="P2425" s="2">
        <v>0.0</v>
      </c>
      <c r="Q2425" s="3">
        <f t="shared" si="7"/>
        <v>0</v>
      </c>
      <c r="R2425" s="2">
        <v>206.0</v>
      </c>
      <c r="S2425" s="5">
        <f t="shared" si="8"/>
        <v>1</v>
      </c>
    </row>
    <row r="2426">
      <c r="A2426" s="2" t="s">
        <v>2435</v>
      </c>
      <c r="B2426" s="2">
        <v>343.0</v>
      </c>
      <c r="C2426" s="2">
        <v>3935.0</v>
      </c>
      <c r="D2426" s="2">
        <v>1370.0</v>
      </c>
      <c r="E2426" s="3">
        <f t="shared" si="1"/>
        <v>0.381403118</v>
      </c>
      <c r="F2426" s="2">
        <v>492.0</v>
      </c>
      <c r="G2426" s="3">
        <f t="shared" si="2"/>
        <v>0.1369710468</v>
      </c>
      <c r="H2426" s="2">
        <v>775.0</v>
      </c>
      <c r="I2426" s="3">
        <f t="shared" si="3"/>
        <v>0.2157572383</v>
      </c>
      <c r="J2426" s="2">
        <v>644.0</v>
      </c>
      <c r="K2426" s="3">
        <f t="shared" si="4"/>
        <v>0.1792873051</v>
      </c>
      <c r="L2426" s="2">
        <v>458.0</v>
      </c>
      <c r="M2426" s="3">
        <f t="shared" si="5"/>
        <v>0.5909677419</v>
      </c>
      <c r="N2426" s="2">
        <v>4275300.0</v>
      </c>
      <c r="O2426" s="4">
        <f t="shared" si="6"/>
        <v>5516.516129</v>
      </c>
      <c r="P2426" s="2">
        <v>0.0</v>
      </c>
      <c r="Q2426" s="3">
        <f t="shared" si="7"/>
        <v>0</v>
      </c>
      <c r="R2426" s="2">
        <v>343.0</v>
      </c>
      <c r="S2426" s="5">
        <f t="shared" si="8"/>
        <v>1</v>
      </c>
    </row>
    <row r="2427">
      <c r="A2427" s="2" t="s">
        <v>2436</v>
      </c>
      <c r="B2427" s="2">
        <v>264.0</v>
      </c>
      <c r="C2427" s="2">
        <v>3053.0</v>
      </c>
      <c r="D2427" s="2">
        <v>1032.0</v>
      </c>
      <c r="E2427" s="3">
        <f t="shared" si="1"/>
        <v>0.3700250986</v>
      </c>
      <c r="F2427" s="2">
        <v>382.0</v>
      </c>
      <c r="G2427" s="3">
        <f t="shared" si="2"/>
        <v>0.1369666547</v>
      </c>
      <c r="H2427" s="2">
        <v>618.0</v>
      </c>
      <c r="I2427" s="3">
        <f t="shared" si="3"/>
        <v>0.2215847974</v>
      </c>
      <c r="J2427" s="2">
        <v>518.0</v>
      </c>
      <c r="K2427" s="3">
        <f t="shared" si="4"/>
        <v>0.1857296522</v>
      </c>
      <c r="L2427" s="2">
        <v>356.0</v>
      </c>
      <c r="M2427" s="3">
        <f t="shared" si="5"/>
        <v>0.5760517799</v>
      </c>
      <c r="N2427" s="2">
        <v>3741400.0</v>
      </c>
      <c r="O2427" s="4">
        <f t="shared" si="6"/>
        <v>6054.045307</v>
      </c>
      <c r="P2427" s="2">
        <v>1.0</v>
      </c>
      <c r="Q2427" s="3">
        <f t="shared" si="7"/>
        <v>0.003787878788</v>
      </c>
      <c r="R2427" s="2">
        <v>264.0</v>
      </c>
      <c r="S2427" s="5">
        <f t="shared" si="8"/>
        <v>1</v>
      </c>
    </row>
    <row r="2428">
      <c r="A2428" s="2" t="s">
        <v>2437</v>
      </c>
      <c r="B2428" s="2">
        <v>654.0</v>
      </c>
      <c r="C2428" s="2">
        <v>7758.0</v>
      </c>
      <c r="D2428" s="2">
        <v>2367.0</v>
      </c>
      <c r="E2428" s="3">
        <f t="shared" si="1"/>
        <v>0.3331925676</v>
      </c>
      <c r="F2428" s="2">
        <v>973.0</v>
      </c>
      <c r="G2428" s="3">
        <f t="shared" si="2"/>
        <v>0.1369650901</v>
      </c>
      <c r="H2428" s="2">
        <v>1504.0</v>
      </c>
      <c r="I2428" s="3">
        <f t="shared" si="3"/>
        <v>0.2117117117</v>
      </c>
      <c r="J2428" s="2">
        <v>1215.0</v>
      </c>
      <c r="K2428" s="3">
        <f t="shared" si="4"/>
        <v>0.1710304054</v>
      </c>
      <c r="L2428" s="2">
        <v>893.0</v>
      </c>
      <c r="M2428" s="3">
        <f t="shared" si="5"/>
        <v>0.59375</v>
      </c>
      <c r="N2428" s="2">
        <v>8659500.0</v>
      </c>
      <c r="O2428" s="4">
        <f t="shared" si="6"/>
        <v>5757.646277</v>
      </c>
      <c r="P2428" s="2">
        <v>0.0</v>
      </c>
      <c r="Q2428" s="3">
        <f t="shared" si="7"/>
        <v>0</v>
      </c>
      <c r="R2428" s="2">
        <v>654.0</v>
      </c>
      <c r="S2428" s="5">
        <f t="shared" si="8"/>
        <v>1</v>
      </c>
    </row>
    <row r="2429">
      <c r="A2429" s="2" t="s">
        <v>2438</v>
      </c>
      <c r="B2429" s="2">
        <v>190.0</v>
      </c>
      <c r="C2429" s="2">
        <v>2198.0</v>
      </c>
      <c r="D2429" s="2">
        <v>724.0</v>
      </c>
      <c r="E2429" s="3">
        <f t="shared" si="1"/>
        <v>0.3605577689</v>
      </c>
      <c r="F2429" s="2">
        <v>275.0</v>
      </c>
      <c r="G2429" s="3">
        <f t="shared" si="2"/>
        <v>0.1369521912</v>
      </c>
      <c r="H2429" s="2">
        <v>375.0</v>
      </c>
      <c r="I2429" s="3">
        <f t="shared" si="3"/>
        <v>0.186752988</v>
      </c>
      <c r="J2429" s="2">
        <v>362.0</v>
      </c>
      <c r="K2429" s="3">
        <f t="shared" si="4"/>
        <v>0.1802788845</v>
      </c>
      <c r="L2429" s="2">
        <v>221.0</v>
      </c>
      <c r="M2429" s="3">
        <f t="shared" si="5"/>
        <v>0.5893333333</v>
      </c>
      <c r="N2429" s="2">
        <v>2224700.0</v>
      </c>
      <c r="O2429" s="4">
        <f t="shared" si="6"/>
        <v>5932.533333</v>
      </c>
      <c r="P2429" s="2">
        <v>0.0</v>
      </c>
      <c r="Q2429" s="3">
        <f t="shared" si="7"/>
        <v>0</v>
      </c>
      <c r="R2429" s="2">
        <v>141.0</v>
      </c>
      <c r="S2429" s="5">
        <f t="shared" si="8"/>
        <v>0.7421052632</v>
      </c>
    </row>
    <row r="2430">
      <c r="A2430" s="2" t="s">
        <v>2439</v>
      </c>
      <c r="B2430" s="2">
        <v>1680.0</v>
      </c>
      <c r="C2430" s="2">
        <v>19694.0</v>
      </c>
      <c r="D2430" s="2">
        <v>4382.0</v>
      </c>
      <c r="E2430" s="3">
        <f t="shared" si="1"/>
        <v>0.2432552459</v>
      </c>
      <c r="F2430" s="2">
        <v>2467.0</v>
      </c>
      <c r="G2430" s="3">
        <f t="shared" si="2"/>
        <v>0.1369490396</v>
      </c>
      <c r="H2430" s="2">
        <v>3701.0</v>
      </c>
      <c r="I2430" s="3">
        <f t="shared" si="3"/>
        <v>0.2054513156</v>
      </c>
      <c r="J2430" s="2">
        <v>3485.0</v>
      </c>
      <c r="K2430" s="3">
        <f t="shared" si="4"/>
        <v>0.1934606417</v>
      </c>
      <c r="L2430" s="2">
        <v>2166.0</v>
      </c>
      <c r="M2430" s="3">
        <f t="shared" si="5"/>
        <v>0.5852472305</v>
      </c>
      <c r="N2430" s="2">
        <v>2.25718E7</v>
      </c>
      <c r="O2430" s="4">
        <f t="shared" si="6"/>
        <v>6098.838152</v>
      </c>
      <c r="P2430" s="2">
        <v>2.0</v>
      </c>
      <c r="Q2430" s="3">
        <f t="shared" si="7"/>
        <v>0.00119047619</v>
      </c>
      <c r="R2430" s="2">
        <v>1680.0</v>
      </c>
      <c r="S2430" s="5">
        <f t="shared" si="8"/>
        <v>1</v>
      </c>
    </row>
    <row r="2431">
      <c r="A2431" s="2" t="s">
        <v>2440</v>
      </c>
      <c r="B2431" s="2">
        <v>186.0</v>
      </c>
      <c r="C2431" s="2">
        <v>2143.0</v>
      </c>
      <c r="D2431" s="2">
        <v>688.0</v>
      </c>
      <c r="E2431" s="3">
        <f t="shared" si="1"/>
        <v>0.3515585079</v>
      </c>
      <c r="F2431" s="2">
        <v>268.0</v>
      </c>
      <c r="G2431" s="3">
        <f t="shared" si="2"/>
        <v>0.1369443025</v>
      </c>
      <c r="H2431" s="2">
        <v>401.0</v>
      </c>
      <c r="I2431" s="3">
        <f t="shared" si="3"/>
        <v>0.2049054676</v>
      </c>
      <c r="J2431" s="2">
        <v>229.0</v>
      </c>
      <c r="K2431" s="3">
        <f t="shared" si="4"/>
        <v>0.1170158406</v>
      </c>
      <c r="L2431" s="2">
        <v>241.0</v>
      </c>
      <c r="M2431" s="3">
        <f t="shared" si="5"/>
        <v>0.6009975062</v>
      </c>
      <c r="N2431" s="2">
        <v>1997100.0</v>
      </c>
      <c r="O2431" s="4">
        <f t="shared" si="6"/>
        <v>4980.299252</v>
      </c>
      <c r="P2431" s="2">
        <v>0.0</v>
      </c>
      <c r="Q2431" s="3">
        <f t="shared" si="7"/>
        <v>0</v>
      </c>
      <c r="R2431" s="2">
        <v>4.0</v>
      </c>
      <c r="S2431" s="5">
        <f t="shared" si="8"/>
        <v>0.02150537634</v>
      </c>
    </row>
    <row r="2432">
      <c r="A2432" s="2" t="s">
        <v>2441</v>
      </c>
      <c r="B2432" s="2">
        <v>1259.0</v>
      </c>
      <c r="C2432" s="2">
        <v>14783.0</v>
      </c>
      <c r="D2432" s="2">
        <v>4301.0</v>
      </c>
      <c r="E2432" s="3">
        <f t="shared" si="1"/>
        <v>0.3180272109</v>
      </c>
      <c r="F2432" s="2">
        <v>1852.0</v>
      </c>
      <c r="G2432" s="3">
        <f t="shared" si="2"/>
        <v>0.1369417332</v>
      </c>
      <c r="H2432" s="2">
        <v>2838.0</v>
      </c>
      <c r="I2432" s="3">
        <f t="shared" si="3"/>
        <v>0.2098491571</v>
      </c>
      <c r="J2432" s="2">
        <v>2413.0</v>
      </c>
      <c r="K2432" s="3">
        <f t="shared" si="4"/>
        <v>0.1784235433</v>
      </c>
      <c r="L2432" s="2">
        <v>1673.0</v>
      </c>
      <c r="M2432" s="3">
        <f t="shared" si="5"/>
        <v>0.5894996476</v>
      </c>
      <c r="N2432" s="2">
        <v>1.63579E7</v>
      </c>
      <c r="O2432" s="4">
        <f t="shared" si="6"/>
        <v>5763.883016</v>
      </c>
      <c r="P2432" s="2">
        <v>3.0</v>
      </c>
      <c r="Q2432" s="3">
        <f t="shared" si="7"/>
        <v>0.002382843527</v>
      </c>
      <c r="R2432" s="2">
        <v>1254.0</v>
      </c>
      <c r="S2432" s="5">
        <f t="shared" si="8"/>
        <v>0.9960285941</v>
      </c>
    </row>
    <row r="2433">
      <c r="A2433" s="2" t="s">
        <v>2442</v>
      </c>
      <c r="B2433" s="2">
        <v>484.0</v>
      </c>
      <c r="C2433" s="2">
        <v>5625.0</v>
      </c>
      <c r="D2433" s="2">
        <v>1968.0</v>
      </c>
      <c r="E2433" s="3">
        <f t="shared" si="1"/>
        <v>0.3828049018</v>
      </c>
      <c r="F2433" s="2">
        <v>704.0</v>
      </c>
      <c r="G2433" s="3">
        <f t="shared" si="2"/>
        <v>0.1369383388</v>
      </c>
      <c r="H2433" s="2">
        <v>1074.0</v>
      </c>
      <c r="I2433" s="3">
        <f t="shared" si="3"/>
        <v>0.2089087726</v>
      </c>
      <c r="J2433" s="2">
        <v>950.0</v>
      </c>
      <c r="K2433" s="3">
        <f t="shared" si="4"/>
        <v>0.1847889516</v>
      </c>
      <c r="L2433" s="2">
        <v>651.0</v>
      </c>
      <c r="M2433" s="3">
        <f t="shared" si="5"/>
        <v>0.6061452514</v>
      </c>
      <c r="N2433" s="2">
        <v>5968800.0</v>
      </c>
      <c r="O2433" s="4">
        <f t="shared" si="6"/>
        <v>5557.541899</v>
      </c>
      <c r="P2433" s="2">
        <v>1.0</v>
      </c>
      <c r="Q2433" s="3">
        <f t="shared" si="7"/>
        <v>0.002066115702</v>
      </c>
      <c r="R2433" s="2">
        <v>482.0</v>
      </c>
      <c r="S2433" s="5">
        <f t="shared" si="8"/>
        <v>0.9958677686</v>
      </c>
    </row>
    <row r="2434">
      <c r="A2434" s="2" t="s">
        <v>2443</v>
      </c>
      <c r="B2434" s="2">
        <v>410.0</v>
      </c>
      <c r="C2434" s="2">
        <v>4850.0</v>
      </c>
      <c r="D2434" s="2">
        <v>1583.0</v>
      </c>
      <c r="E2434" s="3">
        <f t="shared" si="1"/>
        <v>0.3565315315</v>
      </c>
      <c r="F2434" s="2">
        <v>608.0</v>
      </c>
      <c r="G2434" s="3">
        <f t="shared" si="2"/>
        <v>0.1369369369</v>
      </c>
      <c r="H2434" s="2">
        <v>920.0</v>
      </c>
      <c r="I2434" s="3">
        <f t="shared" si="3"/>
        <v>0.2072072072</v>
      </c>
      <c r="J2434" s="2">
        <v>755.0</v>
      </c>
      <c r="K2434" s="3">
        <f t="shared" si="4"/>
        <v>0.170045045</v>
      </c>
      <c r="L2434" s="2">
        <v>540.0</v>
      </c>
      <c r="M2434" s="3">
        <f t="shared" si="5"/>
        <v>0.5869565217</v>
      </c>
      <c r="N2434" s="2">
        <v>4872700.0</v>
      </c>
      <c r="O2434" s="4">
        <f t="shared" si="6"/>
        <v>5296.413043</v>
      </c>
      <c r="P2434" s="2">
        <v>1.0</v>
      </c>
      <c r="Q2434" s="3">
        <f t="shared" si="7"/>
        <v>0.00243902439</v>
      </c>
      <c r="R2434" s="2">
        <v>410.0</v>
      </c>
      <c r="S2434" s="5">
        <f t="shared" si="8"/>
        <v>1</v>
      </c>
    </row>
    <row r="2435">
      <c r="A2435" s="2" t="s">
        <v>2444</v>
      </c>
      <c r="B2435" s="2">
        <v>174.0</v>
      </c>
      <c r="C2435" s="2">
        <v>2080.0</v>
      </c>
      <c r="D2435" s="2">
        <v>753.0</v>
      </c>
      <c r="E2435" s="3">
        <f t="shared" si="1"/>
        <v>0.3950682057</v>
      </c>
      <c r="F2435" s="2">
        <v>261.0</v>
      </c>
      <c r="G2435" s="3">
        <f t="shared" si="2"/>
        <v>0.1369359916</v>
      </c>
      <c r="H2435" s="2">
        <v>418.0</v>
      </c>
      <c r="I2435" s="3">
        <f t="shared" si="3"/>
        <v>0.2193074502</v>
      </c>
      <c r="J2435" s="2">
        <v>352.0</v>
      </c>
      <c r="K2435" s="3">
        <f t="shared" si="4"/>
        <v>0.184679958</v>
      </c>
      <c r="L2435" s="2">
        <v>261.0</v>
      </c>
      <c r="M2435" s="3">
        <f t="shared" si="5"/>
        <v>0.6244019139</v>
      </c>
      <c r="N2435" s="2">
        <v>2351300.0</v>
      </c>
      <c r="O2435" s="4">
        <f t="shared" si="6"/>
        <v>5625.119617</v>
      </c>
      <c r="P2435" s="2">
        <v>1.0</v>
      </c>
      <c r="Q2435" s="3">
        <f t="shared" si="7"/>
        <v>0.005747126437</v>
      </c>
      <c r="R2435" s="2">
        <v>174.0</v>
      </c>
      <c r="S2435" s="5">
        <f t="shared" si="8"/>
        <v>1</v>
      </c>
    </row>
    <row r="2436">
      <c r="A2436" s="2" t="s">
        <v>2445</v>
      </c>
      <c r="B2436" s="2">
        <v>1550.0</v>
      </c>
      <c r="C2436" s="2">
        <v>18063.0</v>
      </c>
      <c r="D2436" s="2">
        <v>5315.0</v>
      </c>
      <c r="E2436" s="3">
        <f t="shared" si="1"/>
        <v>0.3218676195</v>
      </c>
      <c r="F2436" s="2">
        <v>2261.0</v>
      </c>
      <c r="G2436" s="3">
        <f t="shared" si="2"/>
        <v>0.1369224248</v>
      </c>
      <c r="H2436" s="2">
        <v>3507.0</v>
      </c>
      <c r="I2436" s="3">
        <f t="shared" si="3"/>
        <v>0.2123781263</v>
      </c>
      <c r="J2436" s="2">
        <v>2834.0</v>
      </c>
      <c r="K2436" s="3">
        <f t="shared" si="4"/>
        <v>0.1716223581</v>
      </c>
      <c r="L2436" s="2">
        <v>2127.0</v>
      </c>
      <c r="M2436" s="3">
        <f t="shared" si="5"/>
        <v>0.6065012831</v>
      </c>
      <c r="N2436" s="2">
        <v>2.01825E7</v>
      </c>
      <c r="O2436" s="4">
        <f t="shared" si="6"/>
        <v>5754.918734</v>
      </c>
      <c r="P2436" s="2">
        <v>3.0</v>
      </c>
      <c r="Q2436" s="3">
        <f t="shared" si="7"/>
        <v>0.001935483871</v>
      </c>
      <c r="R2436" s="2">
        <v>1550.0</v>
      </c>
      <c r="S2436" s="5">
        <f t="shared" si="8"/>
        <v>1</v>
      </c>
    </row>
    <row r="2437">
      <c r="A2437" s="2" t="s">
        <v>2446</v>
      </c>
      <c r="B2437" s="2">
        <v>36.0</v>
      </c>
      <c r="C2437" s="2">
        <v>445.0</v>
      </c>
      <c r="D2437" s="2">
        <v>133.0</v>
      </c>
      <c r="E2437" s="3">
        <f t="shared" si="1"/>
        <v>0.3251833741</v>
      </c>
      <c r="F2437" s="2">
        <v>56.0</v>
      </c>
      <c r="G2437" s="3">
        <f t="shared" si="2"/>
        <v>0.1369193154</v>
      </c>
      <c r="H2437" s="2">
        <v>70.0</v>
      </c>
      <c r="I2437" s="3">
        <f t="shared" si="3"/>
        <v>0.1711491443</v>
      </c>
      <c r="J2437" s="2">
        <v>64.0</v>
      </c>
      <c r="K2437" s="3">
        <f t="shared" si="4"/>
        <v>0.1564792176</v>
      </c>
      <c r="L2437" s="2">
        <v>35.0</v>
      </c>
      <c r="M2437" s="3">
        <f t="shared" si="5"/>
        <v>0.5</v>
      </c>
      <c r="N2437" s="2">
        <v>351600.0</v>
      </c>
      <c r="O2437" s="4">
        <f t="shared" si="6"/>
        <v>5022.857143</v>
      </c>
      <c r="P2437" s="2">
        <v>0.0</v>
      </c>
      <c r="Q2437" s="3">
        <f t="shared" si="7"/>
        <v>0</v>
      </c>
      <c r="R2437" s="2">
        <v>36.0</v>
      </c>
      <c r="S2437" s="5">
        <f t="shared" si="8"/>
        <v>1</v>
      </c>
    </row>
    <row r="2438">
      <c r="A2438" s="2" t="s">
        <v>2447</v>
      </c>
      <c r="B2438" s="2">
        <v>484.0</v>
      </c>
      <c r="C2438" s="2">
        <v>5670.0</v>
      </c>
      <c r="D2438" s="2">
        <v>1772.0</v>
      </c>
      <c r="E2438" s="3">
        <f t="shared" si="1"/>
        <v>0.3416891631</v>
      </c>
      <c r="F2438" s="2">
        <v>710.0</v>
      </c>
      <c r="G2438" s="3">
        <f t="shared" si="2"/>
        <v>0.1369070575</v>
      </c>
      <c r="H2438" s="2">
        <v>1109.0</v>
      </c>
      <c r="I2438" s="3">
        <f t="shared" si="3"/>
        <v>0.2138449672</v>
      </c>
      <c r="J2438" s="2">
        <v>910.0</v>
      </c>
      <c r="K2438" s="3">
        <f t="shared" si="4"/>
        <v>0.1754724258</v>
      </c>
      <c r="L2438" s="2">
        <v>669.0</v>
      </c>
      <c r="M2438" s="3">
        <f t="shared" si="5"/>
        <v>0.6032461677</v>
      </c>
      <c r="N2438" s="2">
        <v>6119500.0</v>
      </c>
      <c r="O2438" s="4">
        <f t="shared" si="6"/>
        <v>5518.034265</v>
      </c>
      <c r="P2438" s="2">
        <v>0.0</v>
      </c>
      <c r="Q2438" s="3">
        <f t="shared" si="7"/>
        <v>0</v>
      </c>
      <c r="R2438" s="2">
        <v>484.0</v>
      </c>
      <c r="S2438" s="5">
        <f t="shared" si="8"/>
        <v>1</v>
      </c>
    </row>
    <row r="2439">
      <c r="A2439" s="2" t="s">
        <v>2448</v>
      </c>
      <c r="B2439" s="2">
        <v>41.0</v>
      </c>
      <c r="C2439" s="2">
        <v>472.0</v>
      </c>
      <c r="D2439" s="2">
        <v>135.0</v>
      </c>
      <c r="E2439" s="3">
        <f t="shared" si="1"/>
        <v>0.313225058</v>
      </c>
      <c r="F2439" s="2">
        <v>59.0</v>
      </c>
      <c r="G2439" s="3">
        <f t="shared" si="2"/>
        <v>0.1368909513</v>
      </c>
      <c r="H2439" s="2">
        <v>77.0</v>
      </c>
      <c r="I2439" s="3">
        <f t="shared" si="3"/>
        <v>0.1786542923</v>
      </c>
      <c r="J2439" s="2">
        <v>79.0</v>
      </c>
      <c r="K2439" s="3">
        <f t="shared" si="4"/>
        <v>0.1832946636</v>
      </c>
      <c r="L2439" s="2">
        <v>46.0</v>
      </c>
      <c r="M2439" s="3">
        <f t="shared" si="5"/>
        <v>0.5974025974</v>
      </c>
      <c r="N2439" s="2">
        <v>464400.0</v>
      </c>
      <c r="O2439" s="4">
        <f t="shared" si="6"/>
        <v>6031.168831</v>
      </c>
      <c r="P2439" s="2">
        <v>0.0</v>
      </c>
      <c r="Q2439" s="3">
        <f t="shared" si="7"/>
        <v>0</v>
      </c>
      <c r="R2439" s="2">
        <v>41.0</v>
      </c>
      <c r="S2439" s="5">
        <f t="shared" si="8"/>
        <v>1</v>
      </c>
    </row>
    <row r="2440">
      <c r="A2440" s="2" t="s">
        <v>2449</v>
      </c>
      <c r="B2440" s="2">
        <v>72.0</v>
      </c>
      <c r="C2440" s="2">
        <v>861.0</v>
      </c>
      <c r="D2440" s="2">
        <v>279.0</v>
      </c>
      <c r="E2440" s="3">
        <f t="shared" si="1"/>
        <v>0.3536121673</v>
      </c>
      <c r="F2440" s="2">
        <v>108.0</v>
      </c>
      <c r="G2440" s="3">
        <f t="shared" si="2"/>
        <v>0.1368821293</v>
      </c>
      <c r="H2440" s="2">
        <v>166.0</v>
      </c>
      <c r="I2440" s="3">
        <f t="shared" si="3"/>
        <v>0.2103929024</v>
      </c>
      <c r="J2440" s="2">
        <v>151.0</v>
      </c>
      <c r="K2440" s="3">
        <f t="shared" si="4"/>
        <v>0.1913814956</v>
      </c>
      <c r="L2440" s="2">
        <v>101.0</v>
      </c>
      <c r="M2440" s="3">
        <f t="shared" si="5"/>
        <v>0.6084337349</v>
      </c>
      <c r="N2440" s="2">
        <v>974900.0</v>
      </c>
      <c r="O2440" s="4">
        <f t="shared" si="6"/>
        <v>5872.891566</v>
      </c>
      <c r="P2440" s="2">
        <v>0.0</v>
      </c>
      <c r="Q2440" s="3">
        <f t="shared" si="7"/>
        <v>0</v>
      </c>
      <c r="R2440" s="2">
        <v>72.0</v>
      </c>
      <c r="S2440" s="5">
        <f t="shared" si="8"/>
        <v>1</v>
      </c>
    </row>
    <row r="2441">
      <c r="A2441" s="2" t="s">
        <v>2450</v>
      </c>
      <c r="B2441" s="2">
        <v>125.0</v>
      </c>
      <c r="C2441" s="2">
        <v>1462.0</v>
      </c>
      <c r="D2441" s="2">
        <v>530.0</v>
      </c>
      <c r="E2441" s="3">
        <f t="shared" si="1"/>
        <v>0.3964098728</v>
      </c>
      <c r="F2441" s="2">
        <v>183.0</v>
      </c>
      <c r="G2441" s="3">
        <f t="shared" si="2"/>
        <v>0.1368735976</v>
      </c>
      <c r="H2441" s="2">
        <v>303.0</v>
      </c>
      <c r="I2441" s="3">
        <f t="shared" si="3"/>
        <v>0.2266267764</v>
      </c>
      <c r="J2441" s="2">
        <v>155.0</v>
      </c>
      <c r="K2441" s="3">
        <f t="shared" si="4"/>
        <v>0.1159311892</v>
      </c>
      <c r="L2441" s="2">
        <v>198.0</v>
      </c>
      <c r="M2441" s="3">
        <f t="shared" si="5"/>
        <v>0.6534653465</v>
      </c>
      <c r="N2441" s="2">
        <v>1585500.0</v>
      </c>
      <c r="O2441" s="4">
        <f t="shared" si="6"/>
        <v>5232.673267</v>
      </c>
      <c r="P2441" s="2">
        <v>0.0</v>
      </c>
      <c r="Q2441" s="3">
        <f t="shared" si="7"/>
        <v>0</v>
      </c>
      <c r="R2441" s="2">
        <v>125.0</v>
      </c>
      <c r="S2441" s="5">
        <f t="shared" si="8"/>
        <v>1</v>
      </c>
    </row>
    <row r="2442">
      <c r="A2442" s="2" t="s">
        <v>2451</v>
      </c>
      <c r="B2442" s="2">
        <v>186.0</v>
      </c>
      <c r="C2442" s="2">
        <v>2210.0</v>
      </c>
      <c r="D2442" s="2">
        <v>802.0</v>
      </c>
      <c r="E2442" s="3">
        <f t="shared" si="1"/>
        <v>0.3962450593</v>
      </c>
      <c r="F2442" s="2">
        <v>277.0</v>
      </c>
      <c r="G2442" s="3">
        <f t="shared" si="2"/>
        <v>0.1368577075</v>
      </c>
      <c r="H2442" s="2">
        <v>426.0</v>
      </c>
      <c r="I2442" s="3">
        <f t="shared" si="3"/>
        <v>0.2104743083</v>
      </c>
      <c r="J2442" s="2">
        <v>365.0</v>
      </c>
      <c r="K2442" s="3">
        <f t="shared" si="4"/>
        <v>0.1803359684</v>
      </c>
      <c r="L2442" s="2">
        <v>237.0</v>
      </c>
      <c r="M2442" s="3">
        <f t="shared" si="5"/>
        <v>0.5563380282</v>
      </c>
      <c r="N2442" s="2">
        <v>2347500.0</v>
      </c>
      <c r="O2442" s="4">
        <f t="shared" si="6"/>
        <v>5510.56338</v>
      </c>
      <c r="P2442" s="2">
        <v>1.0</v>
      </c>
      <c r="Q2442" s="3">
        <f t="shared" si="7"/>
        <v>0.005376344086</v>
      </c>
      <c r="R2442" s="2">
        <v>186.0</v>
      </c>
      <c r="S2442" s="5">
        <f t="shared" si="8"/>
        <v>1</v>
      </c>
    </row>
    <row r="2443">
      <c r="A2443" s="2" t="s">
        <v>2452</v>
      </c>
      <c r="B2443" s="2">
        <v>71.0</v>
      </c>
      <c r="C2443" s="2">
        <v>809.0</v>
      </c>
      <c r="D2443" s="2">
        <v>233.0</v>
      </c>
      <c r="E2443" s="3">
        <f t="shared" si="1"/>
        <v>0.3157181572</v>
      </c>
      <c r="F2443" s="2">
        <v>101.0</v>
      </c>
      <c r="G2443" s="3">
        <f t="shared" si="2"/>
        <v>0.1368563686</v>
      </c>
      <c r="H2443" s="2">
        <v>161.0</v>
      </c>
      <c r="I2443" s="3">
        <f t="shared" si="3"/>
        <v>0.2181571816</v>
      </c>
      <c r="J2443" s="2">
        <v>143.0</v>
      </c>
      <c r="K2443" s="3">
        <f t="shared" si="4"/>
        <v>0.1937669377</v>
      </c>
      <c r="L2443" s="2">
        <v>108.0</v>
      </c>
      <c r="M2443" s="3">
        <f t="shared" si="5"/>
        <v>0.6708074534</v>
      </c>
      <c r="N2443" s="2">
        <v>948200.0</v>
      </c>
      <c r="O2443" s="4">
        <f t="shared" si="6"/>
        <v>5889.440994</v>
      </c>
      <c r="P2443" s="2">
        <v>0.0</v>
      </c>
      <c r="Q2443" s="3">
        <f t="shared" si="7"/>
        <v>0</v>
      </c>
      <c r="R2443" s="2">
        <v>71.0</v>
      </c>
      <c r="S2443" s="5">
        <f t="shared" si="8"/>
        <v>1</v>
      </c>
    </row>
    <row r="2444">
      <c r="A2444" s="2" t="s">
        <v>2453</v>
      </c>
      <c r="B2444" s="2">
        <v>202.0</v>
      </c>
      <c r="C2444" s="2">
        <v>2416.0</v>
      </c>
      <c r="D2444" s="2">
        <v>933.0</v>
      </c>
      <c r="E2444" s="3">
        <f t="shared" si="1"/>
        <v>0.4214092141</v>
      </c>
      <c r="F2444" s="2">
        <v>303.0</v>
      </c>
      <c r="G2444" s="3">
        <f t="shared" si="2"/>
        <v>0.1368563686</v>
      </c>
      <c r="H2444" s="2">
        <v>469.0</v>
      </c>
      <c r="I2444" s="3">
        <f t="shared" si="3"/>
        <v>0.211833785</v>
      </c>
      <c r="J2444" s="2">
        <v>322.0</v>
      </c>
      <c r="K2444" s="3">
        <f t="shared" si="4"/>
        <v>0.145438121</v>
      </c>
      <c r="L2444" s="2">
        <v>294.0</v>
      </c>
      <c r="M2444" s="3">
        <f t="shared" si="5"/>
        <v>0.6268656716</v>
      </c>
      <c r="N2444" s="2">
        <v>2616300.0</v>
      </c>
      <c r="O2444" s="4">
        <f t="shared" si="6"/>
        <v>5578.464819</v>
      </c>
      <c r="P2444" s="2">
        <v>1.0</v>
      </c>
      <c r="Q2444" s="3">
        <f t="shared" si="7"/>
        <v>0.00495049505</v>
      </c>
      <c r="R2444" s="2">
        <v>202.0</v>
      </c>
      <c r="S2444" s="5">
        <f t="shared" si="8"/>
        <v>1</v>
      </c>
    </row>
    <row r="2445">
      <c r="A2445" s="2" t="s">
        <v>2454</v>
      </c>
      <c r="B2445" s="2">
        <v>95.0</v>
      </c>
      <c r="C2445" s="2">
        <v>1118.0</v>
      </c>
      <c r="D2445" s="2">
        <v>347.0</v>
      </c>
      <c r="E2445" s="3">
        <f t="shared" si="1"/>
        <v>0.339198436</v>
      </c>
      <c r="F2445" s="2">
        <v>140.0</v>
      </c>
      <c r="G2445" s="3">
        <f t="shared" si="2"/>
        <v>0.1368523949</v>
      </c>
      <c r="H2445" s="2">
        <v>201.0</v>
      </c>
      <c r="I2445" s="3">
        <f t="shared" si="3"/>
        <v>0.1964809384</v>
      </c>
      <c r="J2445" s="2">
        <v>167.0</v>
      </c>
      <c r="K2445" s="3">
        <f t="shared" si="4"/>
        <v>0.1632453568</v>
      </c>
      <c r="L2445" s="2">
        <v>113.0</v>
      </c>
      <c r="M2445" s="3">
        <f t="shared" si="5"/>
        <v>0.5621890547</v>
      </c>
      <c r="N2445" s="2">
        <v>1276700.0</v>
      </c>
      <c r="O2445" s="4">
        <f t="shared" si="6"/>
        <v>6351.741294</v>
      </c>
      <c r="P2445" s="2">
        <v>0.0</v>
      </c>
      <c r="Q2445" s="3">
        <f t="shared" si="7"/>
        <v>0</v>
      </c>
      <c r="R2445" s="2">
        <v>95.0</v>
      </c>
      <c r="S2445" s="5">
        <f t="shared" si="8"/>
        <v>1</v>
      </c>
    </row>
    <row r="2446">
      <c r="A2446" s="2" t="s">
        <v>2455</v>
      </c>
      <c r="B2446" s="2">
        <v>253.0</v>
      </c>
      <c r="C2446" s="2">
        <v>2869.0</v>
      </c>
      <c r="D2446" s="2">
        <v>656.0</v>
      </c>
      <c r="E2446" s="3">
        <f t="shared" si="1"/>
        <v>0.250764526</v>
      </c>
      <c r="F2446" s="2">
        <v>358.0</v>
      </c>
      <c r="G2446" s="3">
        <f t="shared" si="2"/>
        <v>0.1368501529</v>
      </c>
      <c r="H2446" s="2">
        <v>481.0</v>
      </c>
      <c r="I2446" s="3">
        <f t="shared" si="3"/>
        <v>0.1838685015</v>
      </c>
      <c r="J2446" s="2">
        <v>463.0</v>
      </c>
      <c r="K2446" s="3">
        <f t="shared" si="4"/>
        <v>0.1769877676</v>
      </c>
      <c r="L2446" s="2">
        <v>280.0</v>
      </c>
      <c r="M2446" s="3">
        <f t="shared" si="5"/>
        <v>0.5821205821</v>
      </c>
      <c r="N2446" s="2">
        <v>3111300.0</v>
      </c>
      <c r="O2446" s="4">
        <f t="shared" si="6"/>
        <v>6468.399168</v>
      </c>
      <c r="P2446" s="2">
        <v>0.0</v>
      </c>
      <c r="Q2446" s="3">
        <f t="shared" si="7"/>
        <v>0</v>
      </c>
      <c r="R2446" s="2">
        <v>253.0</v>
      </c>
      <c r="S2446" s="5">
        <f t="shared" si="8"/>
        <v>1</v>
      </c>
    </row>
    <row r="2447">
      <c r="A2447" s="2" t="s">
        <v>2456</v>
      </c>
      <c r="B2447" s="2">
        <v>985.0</v>
      </c>
      <c r="C2447" s="2">
        <v>11442.0</v>
      </c>
      <c r="D2447" s="2">
        <v>4698.0</v>
      </c>
      <c r="E2447" s="3">
        <f t="shared" si="1"/>
        <v>0.4492684326</v>
      </c>
      <c r="F2447" s="2">
        <v>1431.0</v>
      </c>
      <c r="G2447" s="3">
        <f t="shared" si="2"/>
        <v>0.1368461318</v>
      </c>
      <c r="H2447" s="2">
        <v>2224.0</v>
      </c>
      <c r="I2447" s="3">
        <f t="shared" si="3"/>
        <v>0.2126805011</v>
      </c>
      <c r="J2447" s="2">
        <v>1485.0</v>
      </c>
      <c r="K2447" s="3">
        <f t="shared" si="4"/>
        <v>0.1420101368</v>
      </c>
      <c r="L2447" s="2">
        <v>1310.0</v>
      </c>
      <c r="M2447" s="3">
        <f t="shared" si="5"/>
        <v>0.589028777</v>
      </c>
      <c r="N2447" s="2">
        <v>1.22534E7</v>
      </c>
      <c r="O2447" s="4">
        <f t="shared" si="6"/>
        <v>5509.622302</v>
      </c>
      <c r="P2447" s="2">
        <v>1.0</v>
      </c>
      <c r="Q2447" s="3">
        <f t="shared" si="7"/>
        <v>0.001015228426</v>
      </c>
      <c r="R2447" s="2">
        <v>985.0</v>
      </c>
      <c r="S2447" s="5">
        <f t="shared" si="8"/>
        <v>1</v>
      </c>
    </row>
    <row r="2448">
      <c r="A2448" s="2" t="s">
        <v>2457</v>
      </c>
      <c r="B2448" s="2">
        <v>522.0</v>
      </c>
      <c r="C2448" s="2">
        <v>5988.0</v>
      </c>
      <c r="D2448" s="2">
        <v>1739.0</v>
      </c>
      <c r="E2448" s="3">
        <f t="shared" si="1"/>
        <v>0.3181485547</v>
      </c>
      <c r="F2448" s="2">
        <v>748.0</v>
      </c>
      <c r="G2448" s="3">
        <f t="shared" si="2"/>
        <v>0.1368459568</v>
      </c>
      <c r="H2448" s="2">
        <v>1145.0</v>
      </c>
      <c r="I2448" s="3">
        <f t="shared" si="3"/>
        <v>0.2094767655</v>
      </c>
      <c r="J2448" s="2">
        <v>945.0</v>
      </c>
      <c r="K2448" s="3">
        <f t="shared" si="4"/>
        <v>0.1728869374</v>
      </c>
      <c r="L2448" s="2">
        <v>698.0</v>
      </c>
      <c r="M2448" s="3">
        <f t="shared" si="5"/>
        <v>0.6096069869</v>
      </c>
      <c r="N2448" s="2">
        <v>6345200.0</v>
      </c>
      <c r="O2448" s="4">
        <f t="shared" si="6"/>
        <v>5541.659389</v>
      </c>
      <c r="P2448" s="2">
        <v>0.0</v>
      </c>
      <c r="Q2448" s="3">
        <f t="shared" si="7"/>
        <v>0</v>
      </c>
      <c r="R2448" s="2">
        <v>521.0</v>
      </c>
      <c r="S2448" s="5">
        <f t="shared" si="8"/>
        <v>0.9980842912</v>
      </c>
    </row>
    <row r="2449">
      <c r="A2449" s="2" t="s">
        <v>2458</v>
      </c>
      <c r="B2449" s="2">
        <v>25.0</v>
      </c>
      <c r="C2449" s="2">
        <v>310.0</v>
      </c>
      <c r="D2449" s="2">
        <v>101.0</v>
      </c>
      <c r="E2449" s="3">
        <f t="shared" si="1"/>
        <v>0.3543859649</v>
      </c>
      <c r="F2449" s="2">
        <v>39.0</v>
      </c>
      <c r="G2449" s="3">
        <f t="shared" si="2"/>
        <v>0.1368421053</v>
      </c>
      <c r="H2449" s="2">
        <v>48.0</v>
      </c>
      <c r="I2449" s="3">
        <f t="shared" si="3"/>
        <v>0.1684210526</v>
      </c>
      <c r="J2449" s="2">
        <v>51.0</v>
      </c>
      <c r="K2449" s="3">
        <f t="shared" si="4"/>
        <v>0.1789473684</v>
      </c>
      <c r="L2449" s="2">
        <v>29.0</v>
      </c>
      <c r="M2449" s="3">
        <f t="shared" si="5"/>
        <v>0.6041666667</v>
      </c>
      <c r="N2449" s="2">
        <v>231300.0</v>
      </c>
      <c r="O2449" s="4">
        <f t="shared" si="6"/>
        <v>4818.75</v>
      </c>
      <c r="P2449" s="2">
        <v>0.0</v>
      </c>
      <c r="Q2449" s="3">
        <f t="shared" si="7"/>
        <v>0</v>
      </c>
      <c r="R2449" s="2">
        <v>6.0</v>
      </c>
      <c r="S2449" s="5">
        <f t="shared" si="8"/>
        <v>0.24</v>
      </c>
    </row>
    <row r="2450">
      <c r="A2450" s="2" t="s">
        <v>2459</v>
      </c>
      <c r="B2450" s="2">
        <v>87.0</v>
      </c>
      <c r="C2450" s="2">
        <v>1059.0</v>
      </c>
      <c r="D2450" s="2">
        <v>255.0</v>
      </c>
      <c r="E2450" s="3">
        <f t="shared" si="1"/>
        <v>0.262345679</v>
      </c>
      <c r="F2450" s="2">
        <v>133.0</v>
      </c>
      <c r="G2450" s="3">
        <f t="shared" si="2"/>
        <v>0.1368312757</v>
      </c>
      <c r="H2450" s="2">
        <v>187.0</v>
      </c>
      <c r="I2450" s="3">
        <f t="shared" si="3"/>
        <v>0.1923868313</v>
      </c>
      <c r="J2450" s="2">
        <v>176.0</v>
      </c>
      <c r="K2450" s="3">
        <f t="shared" si="4"/>
        <v>0.1810699588</v>
      </c>
      <c r="L2450" s="2">
        <v>117.0</v>
      </c>
      <c r="M2450" s="3">
        <f t="shared" si="5"/>
        <v>0.6256684492</v>
      </c>
      <c r="N2450" s="2">
        <v>1022100.0</v>
      </c>
      <c r="O2450" s="4">
        <f t="shared" si="6"/>
        <v>5465.775401</v>
      </c>
      <c r="P2450" s="2">
        <v>1.0</v>
      </c>
      <c r="Q2450" s="3">
        <f t="shared" si="7"/>
        <v>0.01149425287</v>
      </c>
      <c r="R2450" s="2">
        <v>87.0</v>
      </c>
      <c r="S2450" s="5">
        <f t="shared" si="8"/>
        <v>1</v>
      </c>
    </row>
    <row r="2451">
      <c r="A2451" s="2" t="s">
        <v>2460</v>
      </c>
      <c r="B2451" s="2">
        <v>442.0</v>
      </c>
      <c r="C2451" s="2">
        <v>5083.0</v>
      </c>
      <c r="D2451" s="2">
        <v>1436.0</v>
      </c>
      <c r="E2451" s="3">
        <f t="shared" si="1"/>
        <v>0.3094160741</v>
      </c>
      <c r="F2451" s="2">
        <v>635.0</v>
      </c>
      <c r="G2451" s="3">
        <f t="shared" si="2"/>
        <v>0.1368239604</v>
      </c>
      <c r="H2451" s="2">
        <v>932.0</v>
      </c>
      <c r="I2451" s="3">
        <f t="shared" si="3"/>
        <v>0.2008187891</v>
      </c>
      <c r="J2451" s="2">
        <v>934.0</v>
      </c>
      <c r="K2451" s="3">
        <f t="shared" si="4"/>
        <v>0.2012497307</v>
      </c>
      <c r="L2451" s="2">
        <v>583.0</v>
      </c>
      <c r="M2451" s="3">
        <f t="shared" si="5"/>
        <v>0.6255364807</v>
      </c>
      <c r="N2451" s="2">
        <v>5628400.0</v>
      </c>
      <c r="O2451" s="4">
        <f t="shared" si="6"/>
        <v>6039.055794</v>
      </c>
      <c r="P2451" s="2">
        <v>1.0</v>
      </c>
      <c r="Q2451" s="3">
        <f t="shared" si="7"/>
        <v>0.002262443439</v>
      </c>
      <c r="R2451" s="2">
        <v>442.0</v>
      </c>
      <c r="S2451" s="5">
        <f t="shared" si="8"/>
        <v>1</v>
      </c>
    </row>
    <row r="2452">
      <c r="A2452" s="2" t="s">
        <v>2461</v>
      </c>
      <c r="B2452" s="2">
        <v>192.0</v>
      </c>
      <c r="C2452" s="2">
        <v>2202.0</v>
      </c>
      <c r="D2452" s="2">
        <v>654.0</v>
      </c>
      <c r="E2452" s="3">
        <f t="shared" si="1"/>
        <v>0.3253731343</v>
      </c>
      <c r="F2452" s="2">
        <v>275.0</v>
      </c>
      <c r="G2452" s="3">
        <f t="shared" si="2"/>
        <v>0.1368159204</v>
      </c>
      <c r="H2452" s="2">
        <v>424.0</v>
      </c>
      <c r="I2452" s="3">
        <f t="shared" si="3"/>
        <v>0.2109452736</v>
      </c>
      <c r="J2452" s="2">
        <v>412.0</v>
      </c>
      <c r="K2452" s="3">
        <f t="shared" si="4"/>
        <v>0.2049751244</v>
      </c>
      <c r="L2452" s="2">
        <v>257.0</v>
      </c>
      <c r="M2452" s="3">
        <f t="shared" si="5"/>
        <v>0.6061320755</v>
      </c>
      <c r="N2452" s="2">
        <v>2435700.0</v>
      </c>
      <c r="O2452" s="4">
        <f t="shared" si="6"/>
        <v>5744.575472</v>
      </c>
      <c r="P2452" s="2">
        <v>0.0</v>
      </c>
      <c r="Q2452" s="3">
        <f t="shared" si="7"/>
        <v>0</v>
      </c>
      <c r="R2452" s="2">
        <v>192.0</v>
      </c>
      <c r="S2452" s="5">
        <f t="shared" si="8"/>
        <v>1</v>
      </c>
    </row>
    <row r="2453">
      <c r="A2453" s="2" t="s">
        <v>2462</v>
      </c>
      <c r="B2453" s="2">
        <v>1199.0</v>
      </c>
      <c r="C2453" s="2">
        <v>14085.0</v>
      </c>
      <c r="D2453" s="2">
        <v>4316.0</v>
      </c>
      <c r="E2453" s="3">
        <f t="shared" si="1"/>
        <v>0.3349371411</v>
      </c>
      <c r="F2453" s="2">
        <v>1763.0</v>
      </c>
      <c r="G2453" s="3">
        <f t="shared" si="2"/>
        <v>0.1368151482</v>
      </c>
      <c r="H2453" s="2">
        <v>2819.0</v>
      </c>
      <c r="I2453" s="3">
        <f t="shared" si="3"/>
        <v>0.2187645507</v>
      </c>
      <c r="J2453" s="2">
        <v>2475.0</v>
      </c>
      <c r="K2453" s="3">
        <f t="shared" si="4"/>
        <v>0.192068912</v>
      </c>
      <c r="L2453" s="2">
        <v>1687.0</v>
      </c>
      <c r="M2453" s="3">
        <f t="shared" si="5"/>
        <v>0.5984391628</v>
      </c>
      <c r="N2453" s="2">
        <v>1.55964E7</v>
      </c>
      <c r="O2453" s="4">
        <f t="shared" si="6"/>
        <v>5532.600213</v>
      </c>
      <c r="P2453" s="2">
        <v>3.0</v>
      </c>
      <c r="Q2453" s="3">
        <f t="shared" si="7"/>
        <v>0.002502085071</v>
      </c>
      <c r="R2453" s="2">
        <v>0.0</v>
      </c>
      <c r="S2453" s="5">
        <f t="shared" si="8"/>
        <v>0</v>
      </c>
    </row>
    <row r="2454">
      <c r="A2454" s="2" t="s">
        <v>2463</v>
      </c>
      <c r="B2454" s="2">
        <v>170.0</v>
      </c>
      <c r="C2454" s="2">
        <v>2027.0</v>
      </c>
      <c r="D2454" s="2">
        <v>629.0</v>
      </c>
      <c r="E2454" s="3">
        <f t="shared" si="1"/>
        <v>0.338718363</v>
      </c>
      <c r="F2454" s="2">
        <v>254.0</v>
      </c>
      <c r="G2454" s="3">
        <f t="shared" si="2"/>
        <v>0.1367797523</v>
      </c>
      <c r="H2454" s="2">
        <v>382.0</v>
      </c>
      <c r="I2454" s="3">
        <f t="shared" si="3"/>
        <v>0.2057081314</v>
      </c>
      <c r="J2454" s="2">
        <v>363.0</v>
      </c>
      <c r="K2454" s="3">
        <f t="shared" si="4"/>
        <v>0.1954765751</v>
      </c>
      <c r="L2454" s="2">
        <v>231.0</v>
      </c>
      <c r="M2454" s="3">
        <f t="shared" si="5"/>
        <v>0.6047120419</v>
      </c>
      <c r="N2454" s="2">
        <v>2107000.0</v>
      </c>
      <c r="O2454" s="4">
        <f t="shared" si="6"/>
        <v>5515.706806</v>
      </c>
      <c r="P2454" s="2">
        <v>0.0</v>
      </c>
      <c r="Q2454" s="3">
        <f t="shared" si="7"/>
        <v>0</v>
      </c>
      <c r="R2454" s="2">
        <v>170.0</v>
      </c>
      <c r="S2454" s="5">
        <f t="shared" si="8"/>
        <v>1</v>
      </c>
    </row>
    <row r="2455">
      <c r="A2455" s="2" t="s">
        <v>2464</v>
      </c>
      <c r="B2455" s="2">
        <v>32.0</v>
      </c>
      <c r="C2455" s="2">
        <v>361.0</v>
      </c>
      <c r="D2455" s="2">
        <v>107.0</v>
      </c>
      <c r="E2455" s="3">
        <f t="shared" si="1"/>
        <v>0.3252279635</v>
      </c>
      <c r="F2455" s="2">
        <v>45.0</v>
      </c>
      <c r="G2455" s="3">
        <f t="shared" si="2"/>
        <v>0.1367781155</v>
      </c>
      <c r="H2455" s="2">
        <v>60.0</v>
      </c>
      <c r="I2455" s="3">
        <f t="shared" si="3"/>
        <v>0.1823708207</v>
      </c>
      <c r="J2455" s="2">
        <v>60.0</v>
      </c>
      <c r="K2455" s="3">
        <f t="shared" si="4"/>
        <v>0.1823708207</v>
      </c>
      <c r="L2455" s="2">
        <v>40.0</v>
      </c>
      <c r="M2455" s="3">
        <f t="shared" si="5"/>
        <v>0.6666666667</v>
      </c>
      <c r="N2455" s="2">
        <v>360500.0</v>
      </c>
      <c r="O2455" s="4">
        <f t="shared" si="6"/>
        <v>6008.333333</v>
      </c>
      <c r="P2455" s="2">
        <v>0.0</v>
      </c>
      <c r="Q2455" s="3">
        <f t="shared" si="7"/>
        <v>0</v>
      </c>
      <c r="R2455" s="2">
        <v>31.0</v>
      </c>
      <c r="S2455" s="5">
        <f t="shared" si="8"/>
        <v>0.96875</v>
      </c>
    </row>
    <row r="2456">
      <c r="A2456" s="2" t="s">
        <v>2465</v>
      </c>
      <c r="B2456" s="2">
        <v>461.0</v>
      </c>
      <c r="C2456" s="2">
        <v>5345.0</v>
      </c>
      <c r="D2456" s="2">
        <v>1794.0</v>
      </c>
      <c r="E2456" s="3">
        <f t="shared" si="1"/>
        <v>0.3673218673</v>
      </c>
      <c r="F2456" s="2">
        <v>668.0</v>
      </c>
      <c r="G2456" s="3">
        <f t="shared" si="2"/>
        <v>0.1367731368</v>
      </c>
      <c r="H2456" s="2">
        <v>1049.0</v>
      </c>
      <c r="I2456" s="3">
        <f t="shared" si="3"/>
        <v>0.2147829648</v>
      </c>
      <c r="J2456" s="2">
        <v>751.0</v>
      </c>
      <c r="K2456" s="3">
        <f t="shared" si="4"/>
        <v>0.1537674038</v>
      </c>
      <c r="L2456" s="2">
        <v>630.0</v>
      </c>
      <c r="M2456" s="3">
        <f t="shared" si="5"/>
        <v>0.6005719733</v>
      </c>
      <c r="N2456" s="2">
        <v>5533800.0</v>
      </c>
      <c r="O2456" s="4">
        <f t="shared" si="6"/>
        <v>5275.309819</v>
      </c>
      <c r="P2456" s="2">
        <v>0.0</v>
      </c>
      <c r="Q2456" s="3">
        <f t="shared" si="7"/>
        <v>0</v>
      </c>
      <c r="R2456" s="2">
        <v>461.0</v>
      </c>
      <c r="S2456" s="5">
        <f t="shared" si="8"/>
        <v>1</v>
      </c>
    </row>
    <row r="2457">
      <c r="A2457" s="2" t="s">
        <v>2466</v>
      </c>
      <c r="B2457" s="2">
        <v>2244.0</v>
      </c>
      <c r="C2457" s="2">
        <v>25912.0</v>
      </c>
      <c r="D2457" s="2">
        <v>9456.0</v>
      </c>
      <c r="E2457" s="3">
        <f t="shared" si="1"/>
        <v>0.3995267872</v>
      </c>
      <c r="F2457" s="2">
        <v>3237.0</v>
      </c>
      <c r="G2457" s="3">
        <f t="shared" si="2"/>
        <v>0.1367669427</v>
      </c>
      <c r="H2457" s="2">
        <v>5069.0</v>
      </c>
      <c r="I2457" s="3">
        <f t="shared" si="3"/>
        <v>0.2141710326</v>
      </c>
      <c r="J2457" s="2">
        <v>4496.0</v>
      </c>
      <c r="K2457" s="3">
        <f t="shared" si="4"/>
        <v>0.189961129</v>
      </c>
      <c r="L2457" s="2">
        <v>3065.0</v>
      </c>
      <c r="M2457" s="3">
        <f t="shared" si="5"/>
        <v>0.6046557506</v>
      </c>
      <c r="N2457" s="2">
        <v>2.96368E7</v>
      </c>
      <c r="O2457" s="4">
        <f t="shared" si="6"/>
        <v>5846.675873</v>
      </c>
      <c r="P2457" s="2">
        <v>0.0</v>
      </c>
      <c r="Q2457" s="3">
        <f t="shared" si="7"/>
        <v>0</v>
      </c>
      <c r="R2457" s="2">
        <v>2244.0</v>
      </c>
      <c r="S2457" s="5">
        <f t="shared" si="8"/>
        <v>1</v>
      </c>
    </row>
    <row r="2458">
      <c r="A2458" s="2" t="s">
        <v>2467</v>
      </c>
      <c r="B2458" s="2">
        <v>150.0</v>
      </c>
      <c r="C2458" s="2">
        <v>1744.0</v>
      </c>
      <c r="D2458" s="2">
        <v>520.0</v>
      </c>
      <c r="E2458" s="3">
        <f t="shared" si="1"/>
        <v>0.3262233375</v>
      </c>
      <c r="F2458" s="2">
        <v>218.0</v>
      </c>
      <c r="G2458" s="3">
        <f t="shared" si="2"/>
        <v>0.1367628607</v>
      </c>
      <c r="H2458" s="2">
        <v>329.0</v>
      </c>
      <c r="I2458" s="3">
        <f t="shared" si="3"/>
        <v>0.2063989962</v>
      </c>
      <c r="J2458" s="2">
        <v>289.0</v>
      </c>
      <c r="K2458" s="3">
        <f t="shared" si="4"/>
        <v>0.1813048934</v>
      </c>
      <c r="L2458" s="2">
        <v>199.0</v>
      </c>
      <c r="M2458" s="3">
        <f t="shared" si="5"/>
        <v>0.6048632219</v>
      </c>
      <c r="N2458" s="2">
        <v>1948400.0</v>
      </c>
      <c r="O2458" s="4">
        <f t="shared" si="6"/>
        <v>5922.18845</v>
      </c>
      <c r="P2458" s="2">
        <v>1.0</v>
      </c>
      <c r="Q2458" s="3">
        <f t="shared" si="7"/>
        <v>0.006666666667</v>
      </c>
      <c r="R2458" s="2">
        <v>150.0</v>
      </c>
      <c r="S2458" s="5">
        <f t="shared" si="8"/>
        <v>1</v>
      </c>
    </row>
    <row r="2459">
      <c r="A2459" s="2" t="s">
        <v>2468</v>
      </c>
      <c r="B2459" s="2">
        <v>2357.0</v>
      </c>
      <c r="C2459" s="2">
        <v>27584.0</v>
      </c>
      <c r="D2459" s="2">
        <v>9311.0</v>
      </c>
      <c r="E2459" s="3">
        <f t="shared" si="1"/>
        <v>0.3690886748</v>
      </c>
      <c r="F2459" s="2">
        <v>3450.0</v>
      </c>
      <c r="G2459" s="3">
        <f t="shared" si="2"/>
        <v>0.1367582352</v>
      </c>
      <c r="H2459" s="2">
        <v>5745.0</v>
      </c>
      <c r="I2459" s="3">
        <f t="shared" si="3"/>
        <v>0.2277321917</v>
      </c>
      <c r="J2459" s="2">
        <v>4226.0</v>
      </c>
      <c r="K2459" s="3">
        <f t="shared" si="4"/>
        <v>0.1675189281</v>
      </c>
      <c r="L2459" s="2">
        <v>3498.0</v>
      </c>
      <c r="M2459" s="3">
        <f t="shared" si="5"/>
        <v>0.6088772846</v>
      </c>
      <c r="N2459" s="2">
        <v>3.07661E7</v>
      </c>
      <c r="O2459" s="4">
        <f t="shared" si="6"/>
        <v>5355.282855</v>
      </c>
      <c r="P2459" s="2">
        <v>6.0</v>
      </c>
      <c r="Q2459" s="3">
        <f t="shared" si="7"/>
        <v>0.002545608825</v>
      </c>
      <c r="R2459" s="2">
        <v>2348.0</v>
      </c>
      <c r="S2459" s="5">
        <f t="shared" si="8"/>
        <v>0.9961815868</v>
      </c>
    </row>
    <row r="2460">
      <c r="A2460" s="2" t="s">
        <v>2469</v>
      </c>
      <c r="B2460" s="2">
        <v>762.0</v>
      </c>
      <c r="C2460" s="2">
        <v>8842.0</v>
      </c>
      <c r="D2460" s="2">
        <v>2980.0</v>
      </c>
      <c r="E2460" s="3">
        <f t="shared" si="1"/>
        <v>0.3688118812</v>
      </c>
      <c r="F2460" s="2">
        <v>1105.0</v>
      </c>
      <c r="G2460" s="3">
        <f t="shared" si="2"/>
        <v>0.1367574257</v>
      </c>
      <c r="H2460" s="2">
        <v>1720.0</v>
      </c>
      <c r="I2460" s="3">
        <f t="shared" si="3"/>
        <v>0.2128712871</v>
      </c>
      <c r="J2460" s="2">
        <v>1510.0</v>
      </c>
      <c r="K2460" s="3">
        <f t="shared" si="4"/>
        <v>0.1868811881</v>
      </c>
      <c r="L2460" s="2">
        <v>1029.0</v>
      </c>
      <c r="M2460" s="3">
        <f t="shared" si="5"/>
        <v>0.598255814</v>
      </c>
      <c r="N2460" s="2">
        <v>9974200.0</v>
      </c>
      <c r="O2460" s="4">
        <f t="shared" si="6"/>
        <v>5798.953488</v>
      </c>
      <c r="P2460" s="2">
        <v>3.0</v>
      </c>
      <c r="Q2460" s="3">
        <f t="shared" si="7"/>
        <v>0.003937007874</v>
      </c>
      <c r="R2460" s="2">
        <v>762.0</v>
      </c>
      <c r="S2460" s="5">
        <f t="shared" si="8"/>
        <v>1</v>
      </c>
    </row>
    <row r="2461">
      <c r="A2461" s="2" t="s">
        <v>2470</v>
      </c>
      <c r="B2461" s="2">
        <v>2249.0</v>
      </c>
      <c r="C2461" s="2">
        <v>26109.0</v>
      </c>
      <c r="D2461" s="2">
        <v>6927.0</v>
      </c>
      <c r="E2461" s="3">
        <f t="shared" si="1"/>
        <v>0.2903185247</v>
      </c>
      <c r="F2461" s="2">
        <v>3263.0</v>
      </c>
      <c r="G2461" s="3">
        <f t="shared" si="2"/>
        <v>0.1367560771</v>
      </c>
      <c r="H2461" s="2">
        <v>5022.0</v>
      </c>
      <c r="I2461" s="3">
        <f t="shared" si="3"/>
        <v>0.2104777871</v>
      </c>
      <c r="J2461" s="2">
        <v>5172.0</v>
      </c>
      <c r="K2461" s="3">
        <f t="shared" si="4"/>
        <v>0.2167644593</v>
      </c>
      <c r="L2461" s="2">
        <v>2948.0</v>
      </c>
      <c r="M2461" s="3">
        <f t="shared" si="5"/>
        <v>0.5870171247</v>
      </c>
      <c r="N2461" s="2">
        <v>3.07475E7</v>
      </c>
      <c r="O2461" s="4">
        <f t="shared" si="6"/>
        <v>6122.560733</v>
      </c>
      <c r="P2461" s="2">
        <v>7.0</v>
      </c>
      <c r="Q2461" s="3">
        <f t="shared" si="7"/>
        <v>0.003112494442</v>
      </c>
      <c r="R2461" s="2">
        <v>2246.0</v>
      </c>
      <c r="S2461" s="5">
        <f t="shared" si="8"/>
        <v>0.9986660738</v>
      </c>
    </row>
    <row r="2462">
      <c r="A2462" s="2" t="s">
        <v>2471</v>
      </c>
      <c r="B2462" s="2">
        <v>21.0</v>
      </c>
      <c r="C2462" s="2">
        <v>255.0</v>
      </c>
      <c r="D2462" s="2">
        <v>91.0</v>
      </c>
      <c r="E2462" s="3">
        <f t="shared" si="1"/>
        <v>0.3888888889</v>
      </c>
      <c r="F2462" s="2">
        <v>32.0</v>
      </c>
      <c r="G2462" s="3">
        <f t="shared" si="2"/>
        <v>0.1367521368</v>
      </c>
      <c r="H2462" s="2">
        <v>48.0</v>
      </c>
      <c r="I2462" s="3">
        <f t="shared" si="3"/>
        <v>0.2051282051</v>
      </c>
      <c r="J2462" s="2">
        <v>46.0</v>
      </c>
      <c r="K2462" s="3">
        <f t="shared" si="4"/>
        <v>0.1965811966</v>
      </c>
      <c r="L2462" s="2">
        <v>27.0</v>
      </c>
      <c r="M2462" s="3">
        <f t="shared" si="5"/>
        <v>0.5625</v>
      </c>
      <c r="N2462" s="2">
        <v>259800.0</v>
      </c>
      <c r="O2462" s="4">
        <f t="shared" si="6"/>
        <v>5412.5</v>
      </c>
      <c r="P2462" s="2">
        <v>0.0</v>
      </c>
      <c r="Q2462" s="3">
        <f t="shared" si="7"/>
        <v>0</v>
      </c>
      <c r="R2462" s="2">
        <v>10.0</v>
      </c>
      <c r="S2462" s="5">
        <f t="shared" si="8"/>
        <v>0.4761904762</v>
      </c>
    </row>
    <row r="2463">
      <c r="A2463" s="2" t="s">
        <v>2472</v>
      </c>
      <c r="B2463" s="2">
        <v>388.0</v>
      </c>
      <c r="C2463" s="2">
        <v>4600.0</v>
      </c>
      <c r="D2463" s="2">
        <v>1342.0</v>
      </c>
      <c r="E2463" s="3">
        <f t="shared" si="1"/>
        <v>0.3186134853</v>
      </c>
      <c r="F2463" s="2">
        <v>576.0</v>
      </c>
      <c r="G2463" s="3">
        <f t="shared" si="2"/>
        <v>0.1367521368</v>
      </c>
      <c r="H2463" s="2">
        <v>893.0</v>
      </c>
      <c r="I2463" s="3">
        <f t="shared" si="3"/>
        <v>0.2120132953</v>
      </c>
      <c r="J2463" s="2">
        <v>608.0</v>
      </c>
      <c r="K2463" s="3">
        <f t="shared" si="4"/>
        <v>0.1443494777</v>
      </c>
      <c r="L2463" s="2">
        <v>558.0</v>
      </c>
      <c r="M2463" s="3">
        <f t="shared" si="5"/>
        <v>0.6248600224</v>
      </c>
      <c r="N2463" s="2">
        <v>5012900.0</v>
      </c>
      <c r="O2463" s="4">
        <f t="shared" si="6"/>
        <v>5613.549832</v>
      </c>
      <c r="P2463" s="2">
        <v>1.0</v>
      </c>
      <c r="Q2463" s="3">
        <f t="shared" si="7"/>
        <v>0.002577319588</v>
      </c>
      <c r="R2463" s="2">
        <v>385.0</v>
      </c>
      <c r="S2463" s="5">
        <f t="shared" si="8"/>
        <v>0.9922680412</v>
      </c>
    </row>
    <row r="2464">
      <c r="A2464" s="2" t="s">
        <v>2473</v>
      </c>
      <c r="B2464" s="2">
        <v>350.0</v>
      </c>
      <c r="C2464" s="2">
        <v>4109.0</v>
      </c>
      <c r="D2464" s="2">
        <v>1466.0</v>
      </c>
      <c r="E2464" s="3">
        <f t="shared" si="1"/>
        <v>0.3899973397</v>
      </c>
      <c r="F2464" s="2">
        <v>514.0</v>
      </c>
      <c r="G2464" s="3">
        <f t="shared" si="2"/>
        <v>0.1367384943</v>
      </c>
      <c r="H2464" s="2">
        <v>856.0</v>
      </c>
      <c r="I2464" s="3">
        <f t="shared" si="3"/>
        <v>0.2277201383</v>
      </c>
      <c r="J2464" s="2">
        <v>675.0</v>
      </c>
      <c r="K2464" s="3">
        <f t="shared" si="4"/>
        <v>0.1795690343</v>
      </c>
      <c r="L2464" s="2">
        <v>489.0</v>
      </c>
      <c r="M2464" s="3">
        <f t="shared" si="5"/>
        <v>0.5712616822</v>
      </c>
      <c r="N2464" s="2">
        <v>4765200.0</v>
      </c>
      <c r="O2464" s="4">
        <f t="shared" si="6"/>
        <v>5566.82243</v>
      </c>
      <c r="P2464" s="2">
        <v>0.0</v>
      </c>
      <c r="Q2464" s="3">
        <f t="shared" si="7"/>
        <v>0</v>
      </c>
      <c r="R2464" s="2">
        <v>48.0</v>
      </c>
      <c r="S2464" s="5">
        <f t="shared" si="8"/>
        <v>0.1371428571</v>
      </c>
    </row>
    <row r="2465">
      <c r="A2465" s="2" t="s">
        <v>2474</v>
      </c>
      <c r="B2465" s="2">
        <v>68.0</v>
      </c>
      <c r="C2465" s="2">
        <v>814.0</v>
      </c>
      <c r="D2465" s="2">
        <v>218.0</v>
      </c>
      <c r="E2465" s="3">
        <f t="shared" si="1"/>
        <v>0.2922252011</v>
      </c>
      <c r="F2465" s="2">
        <v>102.0</v>
      </c>
      <c r="G2465" s="3">
        <f t="shared" si="2"/>
        <v>0.1367292225</v>
      </c>
      <c r="H2465" s="2">
        <v>153.0</v>
      </c>
      <c r="I2465" s="3">
        <f t="shared" si="3"/>
        <v>0.2050938338</v>
      </c>
      <c r="J2465" s="2">
        <v>148.0</v>
      </c>
      <c r="K2465" s="3">
        <f t="shared" si="4"/>
        <v>0.1983914209</v>
      </c>
      <c r="L2465" s="2">
        <v>93.0</v>
      </c>
      <c r="M2465" s="3">
        <f t="shared" si="5"/>
        <v>0.6078431373</v>
      </c>
      <c r="N2465" s="2">
        <v>895700.0</v>
      </c>
      <c r="O2465" s="4">
        <f t="shared" si="6"/>
        <v>5854.248366</v>
      </c>
      <c r="P2465" s="2">
        <v>0.0</v>
      </c>
      <c r="Q2465" s="3">
        <f t="shared" si="7"/>
        <v>0</v>
      </c>
      <c r="R2465" s="2">
        <v>68.0</v>
      </c>
      <c r="S2465" s="5">
        <f t="shared" si="8"/>
        <v>1</v>
      </c>
    </row>
    <row r="2466">
      <c r="A2466" s="2" t="s">
        <v>2475</v>
      </c>
      <c r="B2466" s="2">
        <v>161.0</v>
      </c>
      <c r="C2466" s="2">
        <v>1909.0</v>
      </c>
      <c r="D2466" s="2">
        <v>653.0</v>
      </c>
      <c r="E2466" s="3">
        <f t="shared" si="1"/>
        <v>0.3735697941</v>
      </c>
      <c r="F2466" s="2">
        <v>239.0</v>
      </c>
      <c r="G2466" s="3">
        <f t="shared" si="2"/>
        <v>0.1367276888</v>
      </c>
      <c r="H2466" s="2">
        <v>377.0</v>
      </c>
      <c r="I2466" s="3">
        <f t="shared" si="3"/>
        <v>0.2156750572</v>
      </c>
      <c r="J2466" s="2">
        <v>251.0</v>
      </c>
      <c r="K2466" s="3">
        <f t="shared" si="4"/>
        <v>0.1435926773</v>
      </c>
      <c r="L2466" s="2">
        <v>227.0</v>
      </c>
      <c r="M2466" s="3">
        <f t="shared" si="5"/>
        <v>0.6021220159</v>
      </c>
      <c r="N2466" s="2">
        <v>2098100.0</v>
      </c>
      <c r="O2466" s="4">
        <f t="shared" si="6"/>
        <v>5565.251989</v>
      </c>
      <c r="P2466" s="2">
        <v>0.0</v>
      </c>
      <c r="Q2466" s="3">
        <f t="shared" si="7"/>
        <v>0</v>
      </c>
      <c r="R2466" s="2">
        <v>158.0</v>
      </c>
      <c r="S2466" s="5">
        <f t="shared" si="8"/>
        <v>0.9813664596</v>
      </c>
    </row>
    <row r="2467">
      <c r="A2467" s="2" t="s">
        <v>2476</v>
      </c>
      <c r="B2467" s="2">
        <v>71.0</v>
      </c>
      <c r="C2467" s="2">
        <v>839.0</v>
      </c>
      <c r="D2467" s="2">
        <v>259.0</v>
      </c>
      <c r="E2467" s="3">
        <f t="shared" si="1"/>
        <v>0.3372395833</v>
      </c>
      <c r="F2467" s="2">
        <v>105.0</v>
      </c>
      <c r="G2467" s="3">
        <f t="shared" si="2"/>
        <v>0.13671875</v>
      </c>
      <c r="H2467" s="2">
        <v>156.0</v>
      </c>
      <c r="I2467" s="3">
        <f t="shared" si="3"/>
        <v>0.203125</v>
      </c>
      <c r="J2467" s="2">
        <v>136.0</v>
      </c>
      <c r="K2467" s="3">
        <f t="shared" si="4"/>
        <v>0.1770833333</v>
      </c>
      <c r="L2467" s="2">
        <v>94.0</v>
      </c>
      <c r="M2467" s="3">
        <f t="shared" si="5"/>
        <v>0.6025641026</v>
      </c>
      <c r="N2467" s="2">
        <v>882900.0</v>
      </c>
      <c r="O2467" s="4">
        <f t="shared" si="6"/>
        <v>5659.615385</v>
      </c>
      <c r="P2467" s="2">
        <v>0.0</v>
      </c>
      <c r="Q2467" s="3">
        <f t="shared" si="7"/>
        <v>0</v>
      </c>
      <c r="R2467" s="2">
        <v>71.0</v>
      </c>
      <c r="S2467" s="5">
        <f t="shared" si="8"/>
        <v>1</v>
      </c>
    </row>
    <row r="2468">
      <c r="A2468" s="2" t="s">
        <v>2477</v>
      </c>
      <c r="B2468" s="2">
        <v>659.0</v>
      </c>
      <c r="C2468" s="2">
        <v>7732.0</v>
      </c>
      <c r="D2468" s="2">
        <v>2592.0</v>
      </c>
      <c r="E2468" s="3">
        <f t="shared" si="1"/>
        <v>0.3664640181</v>
      </c>
      <c r="F2468" s="2">
        <v>967.0</v>
      </c>
      <c r="G2468" s="3">
        <f t="shared" si="2"/>
        <v>0.1367170932</v>
      </c>
      <c r="H2468" s="2">
        <v>1580.0</v>
      </c>
      <c r="I2468" s="3">
        <f t="shared" si="3"/>
        <v>0.2233847024</v>
      </c>
      <c r="J2468" s="2">
        <v>1187.0</v>
      </c>
      <c r="K2468" s="3">
        <f t="shared" si="4"/>
        <v>0.1678212922</v>
      </c>
      <c r="L2468" s="2">
        <v>968.0</v>
      </c>
      <c r="M2468" s="3">
        <f t="shared" si="5"/>
        <v>0.6126582278</v>
      </c>
      <c r="N2468" s="2">
        <v>8640300.0</v>
      </c>
      <c r="O2468" s="4">
        <f t="shared" si="6"/>
        <v>5468.544304</v>
      </c>
      <c r="P2468" s="2">
        <v>2.0</v>
      </c>
      <c r="Q2468" s="3">
        <f t="shared" si="7"/>
        <v>0.003034901366</v>
      </c>
      <c r="R2468" s="2">
        <v>659.0</v>
      </c>
      <c r="S2468" s="5">
        <f t="shared" si="8"/>
        <v>1</v>
      </c>
    </row>
    <row r="2469">
      <c r="A2469" s="2" t="s">
        <v>2478</v>
      </c>
      <c r="B2469" s="2">
        <v>829.0</v>
      </c>
      <c r="C2469" s="2">
        <v>9775.0</v>
      </c>
      <c r="D2469" s="2">
        <v>2805.0</v>
      </c>
      <c r="E2469" s="3">
        <f t="shared" si="1"/>
        <v>0.3135479544</v>
      </c>
      <c r="F2469" s="2">
        <v>1223.0</v>
      </c>
      <c r="G2469" s="3">
        <f t="shared" si="2"/>
        <v>0.1367091438</v>
      </c>
      <c r="H2469" s="2">
        <v>1906.0</v>
      </c>
      <c r="I2469" s="3">
        <f t="shared" si="3"/>
        <v>0.2130561145</v>
      </c>
      <c r="J2469" s="2">
        <v>1671.0</v>
      </c>
      <c r="K2469" s="3">
        <f t="shared" si="4"/>
        <v>0.186787391</v>
      </c>
      <c r="L2469" s="2">
        <v>1137.0</v>
      </c>
      <c r="M2469" s="3">
        <f t="shared" si="5"/>
        <v>0.5965372508</v>
      </c>
      <c r="N2469" s="2">
        <v>1.18532E7</v>
      </c>
      <c r="O2469" s="4">
        <f t="shared" si="6"/>
        <v>6218.887723</v>
      </c>
      <c r="P2469" s="2">
        <v>2.0</v>
      </c>
      <c r="Q2469" s="3">
        <f t="shared" si="7"/>
        <v>0.002412545235</v>
      </c>
      <c r="R2469" s="2">
        <v>829.0</v>
      </c>
      <c r="S2469" s="5">
        <f t="shared" si="8"/>
        <v>1</v>
      </c>
    </row>
    <row r="2470">
      <c r="A2470" s="2" t="s">
        <v>2479</v>
      </c>
      <c r="B2470" s="2">
        <v>2748.0</v>
      </c>
      <c r="C2470" s="2">
        <v>32245.0</v>
      </c>
      <c r="D2470" s="2">
        <v>10042.0</v>
      </c>
      <c r="E2470" s="3">
        <f t="shared" si="1"/>
        <v>0.3404414008</v>
      </c>
      <c r="F2470" s="2">
        <v>4032.0</v>
      </c>
      <c r="G2470" s="3">
        <f t="shared" si="2"/>
        <v>0.136691867</v>
      </c>
      <c r="H2470" s="2">
        <v>6223.0</v>
      </c>
      <c r="I2470" s="3">
        <f t="shared" si="3"/>
        <v>0.2109706072</v>
      </c>
      <c r="J2470" s="2">
        <v>4352.0</v>
      </c>
      <c r="K2470" s="3">
        <f t="shared" si="4"/>
        <v>0.1475404278</v>
      </c>
      <c r="L2470" s="2">
        <v>3859.0</v>
      </c>
      <c r="M2470" s="3">
        <f t="shared" si="5"/>
        <v>0.6201189137</v>
      </c>
      <c r="N2470" s="2">
        <v>3.47697E7</v>
      </c>
      <c r="O2470" s="4">
        <f t="shared" si="6"/>
        <v>5587.289089</v>
      </c>
      <c r="P2470" s="2">
        <v>8.0</v>
      </c>
      <c r="Q2470" s="3">
        <f t="shared" si="7"/>
        <v>0.002911208151</v>
      </c>
      <c r="R2470" s="2">
        <v>2671.0</v>
      </c>
      <c r="S2470" s="5">
        <f t="shared" si="8"/>
        <v>0.9719796215</v>
      </c>
    </row>
    <row r="2471">
      <c r="A2471" s="2" t="s">
        <v>2480</v>
      </c>
      <c r="B2471" s="2">
        <v>53.0</v>
      </c>
      <c r="C2471" s="2">
        <v>609.0</v>
      </c>
      <c r="D2471" s="2">
        <v>237.0</v>
      </c>
      <c r="E2471" s="3">
        <f t="shared" si="1"/>
        <v>0.4262589928</v>
      </c>
      <c r="F2471" s="2">
        <v>76.0</v>
      </c>
      <c r="G2471" s="3">
        <f t="shared" si="2"/>
        <v>0.1366906475</v>
      </c>
      <c r="H2471" s="2">
        <v>121.0</v>
      </c>
      <c r="I2471" s="3">
        <f t="shared" si="3"/>
        <v>0.2176258993</v>
      </c>
      <c r="J2471" s="2">
        <v>99.0</v>
      </c>
      <c r="K2471" s="3">
        <f t="shared" si="4"/>
        <v>0.178057554</v>
      </c>
      <c r="L2471" s="2">
        <v>73.0</v>
      </c>
      <c r="M2471" s="3">
        <f t="shared" si="5"/>
        <v>0.6033057851</v>
      </c>
      <c r="N2471" s="2">
        <v>631100.0</v>
      </c>
      <c r="O2471" s="4">
        <f t="shared" si="6"/>
        <v>5215.702479</v>
      </c>
      <c r="P2471" s="2">
        <v>0.0</v>
      </c>
      <c r="Q2471" s="3">
        <f t="shared" si="7"/>
        <v>0</v>
      </c>
      <c r="R2471" s="2">
        <v>53.0</v>
      </c>
      <c r="S2471" s="5">
        <f t="shared" si="8"/>
        <v>1</v>
      </c>
    </row>
    <row r="2472">
      <c r="A2472" s="2" t="s">
        <v>2481</v>
      </c>
      <c r="B2472" s="2">
        <v>171.0</v>
      </c>
      <c r="C2472" s="2">
        <v>2066.0</v>
      </c>
      <c r="D2472" s="2">
        <v>749.0</v>
      </c>
      <c r="E2472" s="3">
        <f t="shared" si="1"/>
        <v>0.3952506596</v>
      </c>
      <c r="F2472" s="2">
        <v>259.0</v>
      </c>
      <c r="G2472" s="3">
        <f t="shared" si="2"/>
        <v>0.1366754617</v>
      </c>
      <c r="H2472" s="2">
        <v>423.0</v>
      </c>
      <c r="I2472" s="3">
        <f t="shared" si="3"/>
        <v>0.2232189974</v>
      </c>
      <c r="J2472" s="2">
        <v>317.0</v>
      </c>
      <c r="K2472" s="3">
        <f t="shared" si="4"/>
        <v>0.1672823219</v>
      </c>
      <c r="L2472" s="2">
        <v>252.0</v>
      </c>
      <c r="M2472" s="3">
        <f t="shared" si="5"/>
        <v>0.5957446809</v>
      </c>
      <c r="N2472" s="2">
        <v>2374500.0</v>
      </c>
      <c r="O2472" s="4">
        <f t="shared" si="6"/>
        <v>5613.475177</v>
      </c>
      <c r="P2472" s="2">
        <v>0.0</v>
      </c>
      <c r="Q2472" s="3">
        <f t="shared" si="7"/>
        <v>0</v>
      </c>
      <c r="R2472" s="2">
        <v>171.0</v>
      </c>
      <c r="S2472" s="5">
        <f t="shared" si="8"/>
        <v>1</v>
      </c>
    </row>
    <row r="2473">
      <c r="A2473" s="2" t="s">
        <v>2482</v>
      </c>
      <c r="B2473" s="2">
        <v>273.0</v>
      </c>
      <c r="C2473" s="2">
        <v>3273.0</v>
      </c>
      <c r="D2473" s="2">
        <v>1146.0</v>
      </c>
      <c r="E2473" s="3">
        <f t="shared" si="1"/>
        <v>0.382</v>
      </c>
      <c r="F2473" s="2">
        <v>410.0</v>
      </c>
      <c r="G2473" s="3">
        <f t="shared" si="2"/>
        <v>0.1366666667</v>
      </c>
      <c r="H2473" s="2">
        <v>629.0</v>
      </c>
      <c r="I2473" s="3">
        <f t="shared" si="3"/>
        <v>0.2096666667</v>
      </c>
      <c r="J2473" s="2">
        <v>394.0</v>
      </c>
      <c r="K2473" s="3">
        <f t="shared" si="4"/>
        <v>0.1313333333</v>
      </c>
      <c r="L2473" s="2">
        <v>372.0</v>
      </c>
      <c r="M2473" s="3">
        <f t="shared" si="5"/>
        <v>0.5914149444</v>
      </c>
      <c r="N2473" s="2">
        <v>3395300.0</v>
      </c>
      <c r="O2473" s="4">
        <f t="shared" si="6"/>
        <v>5397.933227</v>
      </c>
      <c r="P2473" s="2">
        <v>0.0</v>
      </c>
      <c r="Q2473" s="3">
        <f t="shared" si="7"/>
        <v>0</v>
      </c>
      <c r="R2473" s="2">
        <v>273.0</v>
      </c>
      <c r="S2473" s="5">
        <f t="shared" si="8"/>
        <v>1</v>
      </c>
    </row>
    <row r="2474">
      <c r="A2474" s="2" t="s">
        <v>2483</v>
      </c>
      <c r="B2474" s="2">
        <v>932.0</v>
      </c>
      <c r="C2474" s="2">
        <v>10972.0</v>
      </c>
      <c r="D2474" s="2">
        <v>3840.0</v>
      </c>
      <c r="E2474" s="3">
        <f t="shared" si="1"/>
        <v>0.3824701195</v>
      </c>
      <c r="F2474" s="2">
        <v>1372.0</v>
      </c>
      <c r="G2474" s="3">
        <f t="shared" si="2"/>
        <v>0.1366533865</v>
      </c>
      <c r="H2474" s="2">
        <v>2196.0</v>
      </c>
      <c r="I2474" s="3">
        <f t="shared" si="3"/>
        <v>0.2187250996</v>
      </c>
      <c r="J2474" s="2">
        <v>1888.0</v>
      </c>
      <c r="K2474" s="3">
        <f t="shared" si="4"/>
        <v>0.1880478088</v>
      </c>
      <c r="L2474" s="2">
        <v>1282.0</v>
      </c>
      <c r="M2474" s="3">
        <f t="shared" si="5"/>
        <v>0.5837887067</v>
      </c>
      <c r="N2474" s="2">
        <v>1.21241E7</v>
      </c>
      <c r="O2474" s="4">
        <f t="shared" si="6"/>
        <v>5520.992714</v>
      </c>
      <c r="P2474" s="2">
        <v>1.0</v>
      </c>
      <c r="Q2474" s="3">
        <f t="shared" si="7"/>
        <v>0.001072961373</v>
      </c>
      <c r="R2474" s="2">
        <v>0.0</v>
      </c>
      <c r="S2474" s="5">
        <f t="shared" si="8"/>
        <v>0</v>
      </c>
    </row>
    <row r="2475">
      <c r="A2475" s="2" t="s">
        <v>2484</v>
      </c>
      <c r="B2475" s="2">
        <v>6388.0</v>
      </c>
      <c r="C2475" s="2">
        <v>74431.0</v>
      </c>
      <c r="D2475" s="2">
        <v>24897.0</v>
      </c>
      <c r="E2475" s="3">
        <f t="shared" si="1"/>
        <v>0.3659009744</v>
      </c>
      <c r="F2475" s="2">
        <v>9298.0</v>
      </c>
      <c r="G2475" s="3">
        <f t="shared" si="2"/>
        <v>0.1366488838</v>
      </c>
      <c r="H2475" s="2">
        <v>15011.0</v>
      </c>
      <c r="I2475" s="3">
        <f t="shared" si="3"/>
        <v>0.2206104963</v>
      </c>
      <c r="J2475" s="2">
        <v>12436.0</v>
      </c>
      <c r="K2475" s="3">
        <f t="shared" si="4"/>
        <v>0.1827667798</v>
      </c>
      <c r="L2475" s="2">
        <v>8873.0</v>
      </c>
      <c r="M2475" s="3">
        <f t="shared" si="5"/>
        <v>0.5910998601</v>
      </c>
      <c r="N2475" s="2">
        <v>8.61089E7</v>
      </c>
      <c r="O2475" s="4">
        <f t="shared" si="6"/>
        <v>5736.38665</v>
      </c>
      <c r="P2475" s="2">
        <v>12.0</v>
      </c>
      <c r="Q2475" s="3">
        <f t="shared" si="7"/>
        <v>0.001878522229</v>
      </c>
      <c r="R2475" s="2">
        <v>6388.0</v>
      </c>
      <c r="S2475" s="5">
        <f t="shared" si="8"/>
        <v>1</v>
      </c>
    </row>
    <row r="2476">
      <c r="A2476" s="2" t="s">
        <v>2485</v>
      </c>
      <c r="B2476" s="2">
        <v>434.0</v>
      </c>
      <c r="C2476" s="2">
        <v>5081.0</v>
      </c>
      <c r="D2476" s="2">
        <v>1573.0</v>
      </c>
      <c r="E2476" s="3">
        <f t="shared" si="1"/>
        <v>0.3384979557</v>
      </c>
      <c r="F2476" s="2">
        <v>635.0</v>
      </c>
      <c r="G2476" s="3">
        <f t="shared" si="2"/>
        <v>0.1366472993</v>
      </c>
      <c r="H2476" s="2">
        <v>991.0</v>
      </c>
      <c r="I2476" s="3">
        <f t="shared" si="3"/>
        <v>0.213255864</v>
      </c>
      <c r="J2476" s="2">
        <v>737.0</v>
      </c>
      <c r="K2476" s="3">
        <f t="shared" si="4"/>
        <v>0.1585969443</v>
      </c>
      <c r="L2476" s="2">
        <v>582.0</v>
      </c>
      <c r="M2476" s="3">
        <f t="shared" si="5"/>
        <v>0.5872855701</v>
      </c>
      <c r="N2476" s="2">
        <v>5349900.0</v>
      </c>
      <c r="O2476" s="4">
        <f t="shared" si="6"/>
        <v>5398.486377</v>
      </c>
      <c r="P2476" s="2">
        <v>1.0</v>
      </c>
      <c r="Q2476" s="3">
        <f t="shared" si="7"/>
        <v>0.002304147465</v>
      </c>
      <c r="R2476" s="2">
        <v>434.0</v>
      </c>
      <c r="S2476" s="5">
        <f t="shared" si="8"/>
        <v>1</v>
      </c>
    </row>
    <row r="2477">
      <c r="A2477" s="2" t="s">
        <v>2486</v>
      </c>
      <c r="B2477" s="2">
        <v>340.0</v>
      </c>
      <c r="C2477" s="2">
        <v>3992.0</v>
      </c>
      <c r="D2477" s="2">
        <v>1206.0</v>
      </c>
      <c r="E2477" s="3">
        <f t="shared" si="1"/>
        <v>0.330230011</v>
      </c>
      <c r="F2477" s="2">
        <v>499.0</v>
      </c>
      <c r="G2477" s="3">
        <f t="shared" si="2"/>
        <v>0.1366374589</v>
      </c>
      <c r="H2477" s="2">
        <v>775.0</v>
      </c>
      <c r="I2477" s="3">
        <f t="shared" si="3"/>
        <v>0.2122124863</v>
      </c>
      <c r="J2477" s="2">
        <v>716.0</v>
      </c>
      <c r="K2477" s="3">
        <f t="shared" si="4"/>
        <v>0.1960569551</v>
      </c>
      <c r="L2477" s="2">
        <v>458.0</v>
      </c>
      <c r="M2477" s="3">
        <f t="shared" si="5"/>
        <v>0.5909677419</v>
      </c>
      <c r="N2477" s="2">
        <v>4469800.0</v>
      </c>
      <c r="O2477" s="4">
        <f t="shared" si="6"/>
        <v>5767.483871</v>
      </c>
      <c r="P2477" s="2">
        <v>1.0</v>
      </c>
      <c r="Q2477" s="3">
        <f t="shared" si="7"/>
        <v>0.002941176471</v>
      </c>
      <c r="R2477" s="2">
        <v>340.0</v>
      </c>
      <c r="S2477" s="5">
        <f t="shared" si="8"/>
        <v>1</v>
      </c>
    </row>
    <row r="2478">
      <c r="A2478" s="2" t="s">
        <v>2487</v>
      </c>
      <c r="B2478" s="2">
        <v>537.0</v>
      </c>
      <c r="C2478" s="2">
        <v>6275.0</v>
      </c>
      <c r="D2478" s="2">
        <v>2008.0</v>
      </c>
      <c r="E2478" s="3">
        <f t="shared" si="1"/>
        <v>0.349947717</v>
      </c>
      <c r="F2478" s="2">
        <v>784.0</v>
      </c>
      <c r="G2478" s="3">
        <f t="shared" si="2"/>
        <v>0.1366329732</v>
      </c>
      <c r="H2478" s="2">
        <v>1266.0</v>
      </c>
      <c r="I2478" s="3">
        <f t="shared" si="3"/>
        <v>0.2206343674</v>
      </c>
      <c r="J2478" s="2">
        <v>904.0</v>
      </c>
      <c r="K2478" s="3">
        <f t="shared" si="4"/>
        <v>0.1575461833</v>
      </c>
      <c r="L2478" s="2">
        <v>764.0</v>
      </c>
      <c r="M2478" s="3">
        <f t="shared" si="5"/>
        <v>0.6034755134</v>
      </c>
      <c r="N2478" s="2">
        <v>7052700.0</v>
      </c>
      <c r="O2478" s="4">
        <f t="shared" si="6"/>
        <v>5570.853081</v>
      </c>
      <c r="P2478" s="2">
        <v>4.0</v>
      </c>
      <c r="Q2478" s="3">
        <f t="shared" si="7"/>
        <v>0.007448789572</v>
      </c>
      <c r="R2478" s="2">
        <v>537.0</v>
      </c>
      <c r="S2478" s="5">
        <f t="shared" si="8"/>
        <v>1</v>
      </c>
    </row>
    <row r="2479">
      <c r="A2479" s="2" t="s">
        <v>2488</v>
      </c>
      <c r="B2479" s="2">
        <v>410.0</v>
      </c>
      <c r="C2479" s="2">
        <v>4743.0</v>
      </c>
      <c r="D2479" s="2">
        <v>1385.0</v>
      </c>
      <c r="E2479" s="3">
        <f t="shared" si="1"/>
        <v>0.3196399723</v>
      </c>
      <c r="F2479" s="2">
        <v>592.0</v>
      </c>
      <c r="G2479" s="3">
        <f t="shared" si="2"/>
        <v>0.1366258943</v>
      </c>
      <c r="H2479" s="2">
        <v>911.0</v>
      </c>
      <c r="I2479" s="3">
        <f t="shared" si="3"/>
        <v>0.2102469421</v>
      </c>
      <c r="J2479" s="2">
        <v>870.0</v>
      </c>
      <c r="K2479" s="3">
        <f t="shared" si="4"/>
        <v>0.2007846757</v>
      </c>
      <c r="L2479" s="2">
        <v>531.0</v>
      </c>
      <c r="M2479" s="3">
        <f t="shared" si="5"/>
        <v>0.5828759605</v>
      </c>
      <c r="N2479" s="2">
        <v>5548500.0</v>
      </c>
      <c r="O2479" s="4">
        <f t="shared" si="6"/>
        <v>6090.559824</v>
      </c>
      <c r="P2479" s="2">
        <v>0.0</v>
      </c>
      <c r="Q2479" s="3">
        <f t="shared" si="7"/>
        <v>0</v>
      </c>
      <c r="R2479" s="2">
        <v>410.0</v>
      </c>
      <c r="S2479" s="5">
        <f t="shared" si="8"/>
        <v>1</v>
      </c>
    </row>
    <row r="2480">
      <c r="A2480" s="2" t="s">
        <v>2489</v>
      </c>
      <c r="B2480" s="2">
        <v>1877.0</v>
      </c>
      <c r="C2480" s="2">
        <v>21874.0</v>
      </c>
      <c r="D2480" s="2">
        <v>6382.0</v>
      </c>
      <c r="E2480" s="3">
        <f t="shared" si="1"/>
        <v>0.3191478722</v>
      </c>
      <c r="F2480" s="2">
        <v>2732.0</v>
      </c>
      <c r="G2480" s="3">
        <f t="shared" si="2"/>
        <v>0.1366204931</v>
      </c>
      <c r="H2480" s="2">
        <v>4150.0</v>
      </c>
      <c r="I2480" s="3">
        <f t="shared" si="3"/>
        <v>0.2075311297</v>
      </c>
      <c r="J2480" s="2">
        <v>3216.0</v>
      </c>
      <c r="K2480" s="3">
        <f t="shared" si="4"/>
        <v>0.1608241236</v>
      </c>
      <c r="L2480" s="2">
        <v>2452.0</v>
      </c>
      <c r="M2480" s="3">
        <f t="shared" si="5"/>
        <v>0.5908433735</v>
      </c>
      <c r="N2480" s="2">
        <v>2.40717E7</v>
      </c>
      <c r="O2480" s="4">
        <f t="shared" si="6"/>
        <v>5800.409639</v>
      </c>
      <c r="P2480" s="2">
        <v>9.0</v>
      </c>
      <c r="Q2480" s="3">
        <f t="shared" si="7"/>
        <v>0.004794885456</v>
      </c>
      <c r="R2480" s="2">
        <v>1541.0</v>
      </c>
      <c r="S2480" s="5">
        <f t="shared" si="8"/>
        <v>0.820990943</v>
      </c>
    </row>
    <row r="2481">
      <c r="A2481" s="2" t="s">
        <v>2490</v>
      </c>
      <c r="B2481" s="2">
        <v>303.0</v>
      </c>
      <c r="C2481" s="2">
        <v>3502.0</v>
      </c>
      <c r="D2481" s="2">
        <v>894.0</v>
      </c>
      <c r="E2481" s="3">
        <f t="shared" si="1"/>
        <v>0.279462332</v>
      </c>
      <c r="F2481" s="2">
        <v>437.0</v>
      </c>
      <c r="G2481" s="3">
        <f t="shared" si="2"/>
        <v>0.1366051891</v>
      </c>
      <c r="H2481" s="2">
        <v>625.0</v>
      </c>
      <c r="I2481" s="3">
        <f t="shared" si="3"/>
        <v>0.1953735542</v>
      </c>
      <c r="J2481" s="2">
        <v>659.0</v>
      </c>
      <c r="K2481" s="3">
        <f t="shared" si="4"/>
        <v>0.2060018756</v>
      </c>
      <c r="L2481" s="2">
        <v>378.0</v>
      </c>
      <c r="M2481" s="3">
        <f t="shared" si="5"/>
        <v>0.6048</v>
      </c>
      <c r="N2481" s="2">
        <v>3631400.0</v>
      </c>
      <c r="O2481" s="4">
        <f t="shared" si="6"/>
        <v>5810.24</v>
      </c>
      <c r="P2481" s="2">
        <v>1.0</v>
      </c>
      <c r="Q2481" s="3">
        <f t="shared" si="7"/>
        <v>0.003300330033</v>
      </c>
      <c r="R2481" s="2">
        <v>0.0</v>
      </c>
      <c r="S2481" s="5">
        <f t="shared" si="8"/>
        <v>0</v>
      </c>
    </row>
    <row r="2482">
      <c r="A2482" s="2" t="s">
        <v>2491</v>
      </c>
      <c r="B2482" s="2">
        <v>697.0</v>
      </c>
      <c r="C2482" s="2">
        <v>8186.0</v>
      </c>
      <c r="D2482" s="2">
        <v>2898.0</v>
      </c>
      <c r="E2482" s="3">
        <f t="shared" si="1"/>
        <v>0.3869675524</v>
      </c>
      <c r="F2482" s="2">
        <v>1023.0</v>
      </c>
      <c r="G2482" s="3">
        <f t="shared" si="2"/>
        <v>0.1366003472</v>
      </c>
      <c r="H2482" s="2">
        <v>1637.0</v>
      </c>
      <c r="I2482" s="3">
        <f t="shared" si="3"/>
        <v>0.2185872613</v>
      </c>
      <c r="J2482" s="2">
        <v>1279.0</v>
      </c>
      <c r="K2482" s="3">
        <f t="shared" si="4"/>
        <v>0.1707838163</v>
      </c>
      <c r="L2482" s="2">
        <v>972.0</v>
      </c>
      <c r="M2482" s="3">
        <f t="shared" si="5"/>
        <v>0.5937690898</v>
      </c>
      <c r="N2482" s="2">
        <v>8485300.0</v>
      </c>
      <c r="O2482" s="4">
        <f t="shared" si="6"/>
        <v>5183.445327</v>
      </c>
      <c r="P2482" s="2">
        <v>0.0</v>
      </c>
      <c r="Q2482" s="3">
        <f t="shared" si="7"/>
        <v>0</v>
      </c>
      <c r="R2482" s="2">
        <v>697.0</v>
      </c>
      <c r="S2482" s="5">
        <f t="shared" si="8"/>
        <v>1</v>
      </c>
    </row>
    <row r="2483">
      <c r="A2483" s="2" t="s">
        <v>2492</v>
      </c>
      <c r="B2483" s="2">
        <v>133.0</v>
      </c>
      <c r="C2483" s="2">
        <v>1502.0</v>
      </c>
      <c r="D2483" s="2">
        <v>330.0</v>
      </c>
      <c r="E2483" s="3">
        <f t="shared" si="1"/>
        <v>0.2410518627</v>
      </c>
      <c r="F2483" s="2">
        <v>187.0</v>
      </c>
      <c r="G2483" s="3">
        <f t="shared" si="2"/>
        <v>0.1365960555</v>
      </c>
      <c r="H2483" s="2">
        <v>286.0</v>
      </c>
      <c r="I2483" s="3">
        <f t="shared" si="3"/>
        <v>0.2089116143</v>
      </c>
      <c r="J2483" s="2">
        <v>278.0</v>
      </c>
      <c r="K2483" s="3">
        <f t="shared" si="4"/>
        <v>0.2030679328</v>
      </c>
      <c r="L2483" s="2">
        <v>158.0</v>
      </c>
      <c r="M2483" s="3">
        <f t="shared" si="5"/>
        <v>0.5524475524</v>
      </c>
      <c r="N2483" s="2">
        <v>1665100.0</v>
      </c>
      <c r="O2483" s="4">
        <f t="shared" si="6"/>
        <v>5822.027972</v>
      </c>
      <c r="P2483" s="2">
        <v>0.0</v>
      </c>
      <c r="Q2483" s="3">
        <f t="shared" si="7"/>
        <v>0</v>
      </c>
      <c r="R2483" s="2">
        <v>133.0</v>
      </c>
      <c r="S2483" s="5">
        <f t="shared" si="8"/>
        <v>1</v>
      </c>
    </row>
    <row r="2484">
      <c r="A2484" s="2" t="s">
        <v>2493</v>
      </c>
      <c r="B2484" s="2">
        <v>248.0</v>
      </c>
      <c r="C2484" s="2">
        <v>2891.0</v>
      </c>
      <c r="D2484" s="2">
        <v>714.0</v>
      </c>
      <c r="E2484" s="3">
        <f t="shared" si="1"/>
        <v>0.2701475596</v>
      </c>
      <c r="F2484" s="2">
        <v>361.0</v>
      </c>
      <c r="G2484" s="3">
        <f t="shared" si="2"/>
        <v>0.1365872115</v>
      </c>
      <c r="H2484" s="2">
        <v>505.0</v>
      </c>
      <c r="I2484" s="3">
        <f t="shared" si="3"/>
        <v>0.1910707529</v>
      </c>
      <c r="J2484" s="2">
        <v>467.0</v>
      </c>
      <c r="K2484" s="3">
        <f t="shared" si="4"/>
        <v>0.1766931517</v>
      </c>
      <c r="L2484" s="2">
        <v>284.0</v>
      </c>
      <c r="M2484" s="3">
        <f t="shared" si="5"/>
        <v>0.5623762376</v>
      </c>
      <c r="N2484" s="2">
        <v>3116500.0</v>
      </c>
      <c r="O2484" s="4">
        <f t="shared" si="6"/>
        <v>6171.287129</v>
      </c>
      <c r="P2484" s="2">
        <v>1.0</v>
      </c>
      <c r="Q2484" s="3">
        <f t="shared" si="7"/>
        <v>0.004032258065</v>
      </c>
      <c r="R2484" s="2">
        <v>248.0</v>
      </c>
      <c r="S2484" s="5">
        <f t="shared" si="8"/>
        <v>1</v>
      </c>
    </row>
    <row r="2485">
      <c r="A2485" s="2" t="s">
        <v>2494</v>
      </c>
      <c r="B2485" s="2">
        <v>594.0</v>
      </c>
      <c r="C2485" s="2">
        <v>6905.0</v>
      </c>
      <c r="D2485" s="2">
        <v>2518.0</v>
      </c>
      <c r="E2485" s="3">
        <f t="shared" si="1"/>
        <v>0.3989858976</v>
      </c>
      <c r="F2485" s="2">
        <v>862.0</v>
      </c>
      <c r="G2485" s="3">
        <f t="shared" si="2"/>
        <v>0.1365869117</v>
      </c>
      <c r="H2485" s="2">
        <v>1297.0</v>
      </c>
      <c r="I2485" s="3">
        <f t="shared" si="3"/>
        <v>0.2055141816</v>
      </c>
      <c r="J2485" s="2">
        <v>977.0</v>
      </c>
      <c r="K2485" s="3">
        <f t="shared" si="4"/>
        <v>0.1548090635</v>
      </c>
      <c r="L2485" s="2">
        <v>795.0</v>
      </c>
      <c r="M2485" s="3">
        <f t="shared" si="5"/>
        <v>0.6129529684</v>
      </c>
      <c r="N2485" s="2">
        <v>7253300.0</v>
      </c>
      <c r="O2485" s="4">
        <f t="shared" si="6"/>
        <v>5592.367001</v>
      </c>
      <c r="P2485" s="2">
        <v>2.0</v>
      </c>
      <c r="Q2485" s="3">
        <f t="shared" si="7"/>
        <v>0.003367003367</v>
      </c>
      <c r="R2485" s="2">
        <v>1.0</v>
      </c>
      <c r="S2485" s="5">
        <f t="shared" si="8"/>
        <v>0.001683501684</v>
      </c>
    </row>
    <row r="2486">
      <c r="A2486" s="2" t="s">
        <v>2495</v>
      </c>
      <c r="B2486" s="2">
        <v>40.0</v>
      </c>
      <c r="C2486" s="2">
        <v>450.0</v>
      </c>
      <c r="D2486" s="2">
        <v>127.0</v>
      </c>
      <c r="E2486" s="3">
        <f t="shared" si="1"/>
        <v>0.3097560976</v>
      </c>
      <c r="F2486" s="2">
        <v>56.0</v>
      </c>
      <c r="G2486" s="3">
        <f t="shared" si="2"/>
        <v>0.1365853659</v>
      </c>
      <c r="H2486" s="2">
        <v>64.0</v>
      </c>
      <c r="I2486" s="3">
        <f t="shared" si="3"/>
        <v>0.156097561</v>
      </c>
      <c r="J2486" s="2">
        <v>63.0</v>
      </c>
      <c r="K2486" s="3">
        <f t="shared" si="4"/>
        <v>0.1536585366</v>
      </c>
      <c r="L2486" s="2">
        <v>41.0</v>
      </c>
      <c r="M2486" s="3">
        <f t="shared" si="5"/>
        <v>0.640625</v>
      </c>
      <c r="N2486" s="2">
        <v>347400.0</v>
      </c>
      <c r="O2486" s="4">
        <f t="shared" si="6"/>
        <v>5428.125</v>
      </c>
      <c r="P2486" s="2">
        <v>0.0</v>
      </c>
      <c r="Q2486" s="3">
        <f t="shared" si="7"/>
        <v>0</v>
      </c>
      <c r="R2486" s="2">
        <v>40.0</v>
      </c>
      <c r="S2486" s="5">
        <f t="shared" si="8"/>
        <v>1</v>
      </c>
    </row>
    <row r="2487">
      <c r="A2487" s="2" t="s">
        <v>2496</v>
      </c>
      <c r="B2487" s="2">
        <v>271.0</v>
      </c>
      <c r="C2487" s="2">
        <v>3163.0</v>
      </c>
      <c r="D2487" s="2">
        <v>1087.0</v>
      </c>
      <c r="E2487" s="3">
        <f t="shared" si="1"/>
        <v>0.3758644537</v>
      </c>
      <c r="F2487" s="2">
        <v>395.0</v>
      </c>
      <c r="G2487" s="3">
        <f t="shared" si="2"/>
        <v>0.1365836791</v>
      </c>
      <c r="H2487" s="2">
        <v>604.0</v>
      </c>
      <c r="I2487" s="3">
        <f t="shared" si="3"/>
        <v>0.2088520055</v>
      </c>
      <c r="J2487" s="2">
        <v>473.0</v>
      </c>
      <c r="K2487" s="3">
        <f t="shared" si="4"/>
        <v>0.1635546335</v>
      </c>
      <c r="L2487" s="2">
        <v>368.0</v>
      </c>
      <c r="M2487" s="3">
        <f t="shared" si="5"/>
        <v>0.6092715232</v>
      </c>
      <c r="N2487" s="2">
        <v>3417600.0</v>
      </c>
      <c r="O2487" s="4">
        <f t="shared" si="6"/>
        <v>5658.278146</v>
      </c>
      <c r="P2487" s="2">
        <v>2.0</v>
      </c>
      <c r="Q2487" s="3">
        <f t="shared" si="7"/>
        <v>0.007380073801</v>
      </c>
      <c r="R2487" s="2">
        <v>271.0</v>
      </c>
      <c r="S2487" s="5">
        <f t="shared" si="8"/>
        <v>1</v>
      </c>
    </row>
    <row r="2488">
      <c r="A2488" s="2" t="s">
        <v>2497</v>
      </c>
      <c r="B2488" s="2">
        <v>192.0</v>
      </c>
      <c r="C2488" s="2">
        <v>2264.0</v>
      </c>
      <c r="D2488" s="2">
        <v>671.0</v>
      </c>
      <c r="E2488" s="3">
        <f t="shared" si="1"/>
        <v>0.3238416988</v>
      </c>
      <c r="F2488" s="2">
        <v>283.0</v>
      </c>
      <c r="G2488" s="3">
        <f t="shared" si="2"/>
        <v>0.1365830116</v>
      </c>
      <c r="H2488" s="2">
        <v>388.0</v>
      </c>
      <c r="I2488" s="3">
        <f t="shared" si="3"/>
        <v>0.1872586873</v>
      </c>
      <c r="J2488" s="2">
        <v>343.0</v>
      </c>
      <c r="K2488" s="3">
        <f t="shared" si="4"/>
        <v>0.1655405405</v>
      </c>
      <c r="L2488" s="2">
        <v>224.0</v>
      </c>
      <c r="M2488" s="3">
        <f t="shared" si="5"/>
        <v>0.5773195876</v>
      </c>
      <c r="N2488" s="2">
        <v>2147600.0</v>
      </c>
      <c r="O2488" s="4">
        <f t="shared" si="6"/>
        <v>5535.051546</v>
      </c>
      <c r="P2488" s="2">
        <v>0.0</v>
      </c>
      <c r="Q2488" s="3">
        <f t="shared" si="7"/>
        <v>0</v>
      </c>
      <c r="R2488" s="2">
        <v>192.0</v>
      </c>
      <c r="S2488" s="5">
        <f t="shared" si="8"/>
        <v>1</v>
      </c>
    </row>
    <row r="2489">
      <c r="A2489" s="2" t="s">
        <v>2498</v>
      </c>
      <c r="B2489" s="2">
        <v>2867.0</v>
      </c>
      <c r="C2489" s="2">
        <v>33606.0</v>
      </c>
      <c r="D2489" s="2">
        <v>11773.0</v>
      </c>
      <c r="E2489" s="3">
        <f t="shared" si="1"/>
        <v>0.3829987963</v>
      </c>
      <c r="F2489" s="2">
        <v>4198.0</v>
      </c>
      <c r="G2489" s="3">
        <f t="shared" si="2"/>
        <v>0.1365691792</v>
      </c>
      <c r="H2489" s="2">
        <v>7190.0</v>
      </c>
      <c r="I2489" s="3">
        <f t="shared" si="3"/>
        <v>0.2339048115</v>
      </c>
      <c r="J2489" s="2">
        <v>5693.0</v>
      </c>
      <c r="K2489" s="3">
        <f t="shared" si="4"/>
        <v>0.1852044634</v>
      </c>
      <c r="L2489" s="2">
        <v>4310.0</v>
      </c>
      <c r="M2489" s="3">
        <f t="shared" si="5"/>
        <v>0.5994436718</v>
      </c>
      <c r="N2489" s="2">
        <v>3.81553E7</v>
      </c>
      <c r="O2489" s="4">
        <f t="shared" si="6"/>
        <v>5306.717663</v>
      </c>
      <c r="P2489" s="2">
        <v>2.0</v>
      </c>
      <c r="Q2489" s="3">
        <f t="shared" si="7"/>
        <v>0.0006975933031</v>
      </c>
      <c r="R2489" s="2">
        <v>2867.0</v>
      </c>
      <c r="S2489" s="5">
        <f t="shared" si="8"/>
        <v>1</v>
      </c>
    </row>
    <row r="2490">
      <c r="A2490" s="2" t="s">
        <v>2499</v>
      </c>
      <c r="B2490" s="2">
        <v>473.0</v>
      </c>
      <c r="C2490" s="2">
        <v>5511.0</v>
      </c>
      <c r="D2490" s="2">
        <v>1623.0</v>
      </c>
      <c r="E2490" s="3">
        <f t="shared" si="1"/>
        <v>0.3221516475</v>
      </c>
      <c r="F2490" s="2">
        <v>688.0</v>
      </c>
      <c r="G2490" s="3">
        <f t="shared" si="2"/>
        <v>0.1365621278</v>
      </c>
      <c r="H2490" s="2">
        <v>1090.0</v>
      </c>
      <c r="I2490" s="3">
        <f t="shared" si="3"/>
        <v>0.2163556967</v>
      </c>
      <c r="J2490" s="2">
        <v>1026.0</v>
      </c>
      <c r="K2490" s="3">
        <f t="shared" si="4"/>
        <v>0.203652243</v>
      </c>
      <c r="L2490" s="2">
        <v>648.0</v>
      </c>
      <c r="M2490" s="3">
        <f t="shared" si="5"/>
        <v>0.5944954128</v>
      </c>
      <c r="N2490" s="2">
        <v>6472400.0</v>
      </c>
      <c r="O2490" s="4">
        <f t="shared" si="6"/>
        <v>5937.981651</v>
      </c>
      <c r="P2490" s="2">
        <v>3.0</v>
      </c>
      <c r="Q2490" s="3">
        <f t="shared" si="7"/>
        <v>0.006342494715</v>
      </c>
      <c r="R2490" s="2">
        <v>473.0</v>
      </c>
      <c r="S2490" s="5">
        <f t="shared" si="8"/>
        <v>1</v>
      </c>
    </row>
    <row r="2491">
      <c r="A2491" s="2" t="s">
        <v>2500</v>
      </c>
      <c r="B2491" s="2">
        <v>131.0</v>
      </c>
      <c r="C2491" s="2">
        <v>1515.0</v>
      </c>
      <c r="D2491" s="2">
        <v>597.0</v>
      </c>
      <c r="E2491" s="3">
        <f t="shared" si="1"/>
        <v>0.4313583815</v>
      </c>
      <c r="F2491" s="2">
        <v>189.0</v>
      </c>
      <c r="G2491" s="3">
        <f t="shared" si="2"/>
        <v>0.1365606936</v>
      </c>
      <c r="H2491" s="2">
        <v>293.0</v>
      </c>
      <c r="I2491" s="3">
        <f t="shared" si="3"/>
        <v>0.2117052023</v>
      </c>
      <c r="J2491" s="2">
        <v>237.0</v>
      </c>
      <c r="K2491" s="3">
        <f t="shared" si="4"/>
        <v>0.1712427746</v>
      </c>
      <c r="L2491" s="2">
        <v>178.0</v>
      </c>
      <c r="M2491" s="3">
        <f t="shared" si="5"/>
        <v>0.6075085324</v>
      </c>
      <c r="N2491" s="2">
        <v>1498900.0</v>
      </c>
      <c r="O2491" s="4">
        <f t="shared" si="6"/>
        <v>5115.699659</v>
      </c>
      <c r="P2491" s="2">
        <v>0.0</v>
      </c>
      <c r="Q2491" s="3">
        <f t="shared" si="7"/>
        <v>0</v>
      </c>
      <c r="R2491" s="2">
        <v>131.0</v>
      </c>
      <c r="S2491" s="5">
        <f t="shared" si="8"/>
        <v>1</v>
      </c>
    </row>
    <row r="2492">
      <c r="A2492" s="2" t="s">
        <v>2501</v>
      </c>
      <c r="B2492" s="2">
        <v>409.0</v>
      </c>
      <c r="C2492" s="2">
        <v>4759.0</v>
      </c>
      <c r="D2492" s="2">
        <v>1429.0</v>
      </c>
      <c r="E2492" s="3">
        <f t="shared" si="1"/>
        <v>0.3285057471</v>
      </c>
      <c r="F2492" s="2">
        <v>594.0</v>
      </c>
      <c r="G2492" s="3">
        <f t="shared" si="2"/>
        <v>0.1365517241</v>
      </c>
      <c r="H2492" s="2">
        <v>907.0</v>
      </c>
      <c r="I2492" s="3">
        <f t="shared" si="3"/>
        <v>0.2085057471</v>
      </c>
      <c r="J2492" s="2">
        <v>726.0</v>
      </c>
      <c r="K2492" s="3">
        <f t="shared" si="4"/>
        <v>0.1668965517</v>
      </c>
      <c r="L2492" s="2">
        <v>558.0</v>
      </c>
      <c r="M2492" s="3">
        <f t="shared" si="5"/>
        <v>0.6152149945</v>
      </c>
      <c r="N2492" s="2">
        <v>5117300.0</v>
      </c>
      <c r="O2492" s="4">
        <f t="shared" si="6"/>
        <v>5642.006615</v>
      </c>
      <c r="P2492" s="2">
        <v>0.0</v>
      </c>
      <c r="Q2492" s="3">
        <f t="shared" si="7"/>
        <v>0</v>
      </c>
      <c r="R2492" s="2">
        <v>3.0</v>
      </c>
      <c r="S2492" s="5">
        <f t="shared" si="8"/>
        <v>0.007334963325</v>
      </c>
    </row>
    <row r="2493">
      <c r="A2493" s="2" t="s">
        <v>2502</v>
      </c>
      <c r="B2493" s="2">
        <v>530.0</v>
      </c>
      <c r="C2493" s="2">
        <v>6228.0</v>
      </c>
      <c r="D2493" s="2">
        <v>2236.0</v>
      </c>
      <c r="E2493" s="3">
        <f t="shared" si="1"/>
        <v>0.3924183924</v>
      </c>
      <c r="F2493" s="2">
        <v>778.0</v>
      </c>
      <c r="G2493" s="3">
        <f t="shared" si="2"/>
        <v>0.1365391365</v>
      </c>
      <c r="H2493" s="2">
        <v>1228.0</v>
      </c>
      <c r="I2493" s="3">
        <f t="shared" si="3"/>
        <v>0.2155142155</v>
      </c>
      <c r="J2493" s="2">
        <v>980.0</v>
      </c>
      <c r="K2493" s="3">
        <f t="shared" si="4"/>
        <v>0.171990172</v>
      </c>
      <c r="L2493" s="2">
        <v>756.0</v>
      </c>
      <c r="M2493" s="3">
        <f t="shared" si="5"/>
        <v>0.6156351792</v>
      </c>
      <c r="N2493" s="2">
        <v>6603000.0</v>
      </c>
      <c r="O2493" s="4">
        <f t="shared" si="6"/>
        <v>5377.035831</v>
      </c>
      <c r="P2493" s="2">
        <v>0.0</v>
      </c>
      <c r="Q2493" s="3">
        <f t="shared" si="7"/>
        <v>0</v>
      </c>
      <c r="R2493" s="2">
        <v>530.0</v>
      </c>
      <c r="S2493" s="5">
        <f t="shared" si="8"/>
        <v>1</v>
      </c>
    </row>
    <row r="2494">
      <c r="A2494" s="2" t="s">
        <v>2503</v>
      </c>
      <c r="B2494" s="2">
        <v>611.0</v>
      </c>
      <c r="C2494" s="2">
        <v>7144.0</v>
      </c>
      <c r="D2494" s="2">
        <v>2356.0</v>
      </c>
      <c r="E2494" s="3">
        <f t="shared" si="1"/>
        <v>0.3606306444</v>
      </c>
      <c r="F2494" s="2">
        <v>892.0</v>
      </c>
      <c r="G2494" s="3">
        <f t="shared" si="2"/>
        <v>0.1365375784</v>
      </c>
      <c r="H2494" s="2">
        <v>1364.0</v>
      </c>
      <c r="I2494" s="3">
        <f t="shared" si="3"/>
        <v>0.2087861626</v>
      </c>
      <c r="J2494" s="2">
        <v>1189.0</v>
      </c>
      <c r="K2494" s="3">
        <f t="shared" si="4"/>
        <v>0.1819990816</v>
      </c>
      <c r="L2494" s="2">
        <v>825.0</v>
      </c>
      <c r="M2494" s="3">
        <f t="shared" si="5"/>
        <v>0.6048387097</v>
      </c>
      <c r="N2494" s="2">
        <v>7421600.0</v>
      </c>
      <c r="O2494" s="4">
        <f t="shared" si="6"/>
        <v>5441.055718</v>
      </c>
      <c r="P2494" s="2">
        <v>0.0</v>
      </c>
      <c r="Q2494" s="3">
        <f t="shared" si="7"/>
        <v>0</v>
      </c>
      <c r="R2494" s="2">
        <v>611.0</v>
      </c>
      <c r="S2494" s="5">
        <f t="shared" si="8"/>
        <v>1</v>
      </c>
    </row>
    <row r="2495">
      <c r="A2495" s="2" t="s">
        <v>2504</v>
      </c>
      <c r="B2495" s="2">
        <v>219.0</v>
      </c>
      <c r="C2495" s="2">
        <v>2592.0</v>
      </c>
      <c r="D2495" s="2">
        <v>832.0</v>
      </c>
      <c r="E2495" s="3">
        <f t="shared" si="1"/>
        <v>0.3506110409</v>
      </c>
      <c r="F2495" s="2">
        <v>324.0</v>
      </c>
      <c r="G2495" s="3">
        <f t="shared" si="2"/>
        <v>0.1365360303</v>
      </c>
      <c r="H2495" s="2">
        <v>500.0</v>
      </c>
      <c r="I2495" s="3">
        <f t="shared" si="3"/>
        <v>0.2107037505</v>
      </c>
      <c r="J2495" s="2">
        <v>354.0</v>
      </c>
      <c r="K2495" s="3">
        <f t="shared" si="4"/>
        <v>0.1491782554</v>
      </c>
      <c r="L2495" s="2">
        <v>290.0</v>
      </c>
      <c r="M2495" s="3">
        <f t="shared" si="5"/>
        <v>0.58</v>
      </c>
      <c r="N2495" s="2">
        <v>2616800.0</v>
      </c>
      <c r="O2495" s="4">
        <f t="shared" si="6"/>
        <v>5233.6</v>
      </c>
      <c r="P2495" s="2">
        <v>0.0</v>
      </c>
      <c r="Q2495" s="3">
        <f t="shared" si="7"/>
        <v>0</v>
      </c>
      <c r="R2495" s="2">
        <v>219.0</v>
      </c>
      <c r="S2495" s="5">
        <f t="shared" si="8"/>
        <v>1</v>
      </c>
    </row>
    <row r="2496">
      <c r="A2496" s="2" t="s">
        <v>2505</v>
      </c>
      <c r="B2496" s="2">
        <v>285.0</v>
      </c>
      <c r="C2496" s="2">
        <v>3266.0</v>
      </c>
      <c r="D2496" s="2">
        <v>959.0</v>
      </c>
      <c r="E2496" s="3">
        <f t="shared" si="1"/>
        <v>0.3217041261</v>
      </c>
      <c r="F2496" s="2">
        <v>407.0</v>
      </c>
      <c r="G2496" s="3">
        <f t="shared" si="2"/>
        <v>0.1365313653</v>
      </c>
      <c r="H2496" s="2">
        <v>614.0</v>
      </c>
      <c r="I2496" s="3">
        <f t="shared" si="3"/>
        <v>0.2059711506</v>
      </c>
      <c r="J2496" s="2">
        <v>636.0</v>
      </c>
      <c r="K2496" s="3">
        <f t="shared" si="4"/>
        <v>0.2133512244</v>
      </c>
      <c r="L2496" s="2">
        <v>348.0</v>
      </c>
      <c r="M2496" s="3">
        <f t="shared" si="5"/>
        <v>0.5667752443</v>
      </c>
      <c r="N2496" s="2">
        <v>3714900.0</v>
      </c>
      <c r="O2496" s="4">
        <f t="shared" si="6"/>
        <v>6050.325733</v>
      </c>
      <c r="P2496" s="2">
        <v>1.0</v>
      </c>
      <c r="Q2496" s="3">
        <f t="shared" si="7"/>
        <v>0.00350877193</v>
      </c>
      <c r="R2496" s="2">
        <v>91.0</v>
      </c>
      <c r="S2496" s="5">
        <f t="shared" si="8"/>
        <v>0.3192982456</v>
      </c>
    </row>
    <row r="2497">
      <c r="A2497" s="2" t="s">
        <v>2506</v>
      </c>
      <c r="B2497" s="2">
        <v>283.0</v>
      </c>
      <c r="C2497" s="2">
        <v>3264.0</v>
      </c>
      <c r="D2497" s="2">
        <v>987.0</v>
      </c>
      <c r="E2497" s="3">
        <f t="shared" si="1"/>
        <v>0.3310969473</v>
      </c>
      <c r="F2497" s="2">
        <v>407.0</v>
      </c>
      <c r="G2497" s="3">
        <f t="shared" si="2"/>
        <v>0.1365313653</v>
      </c>
      <c r="H2497" s="2">
        <v>640.0</v>
      </c>
      <c r="I2497" s="3">
        <f t="shared" si="3"/>
        <v>0.214693056</v>
      </c>
      <c r="J2497" s="2">
        <v>513.0</v>
      </c>
      <c r="K2497" s="3">
        <f t="shared" si="4"/>
        <v>0.1720899027</v>
      </c>
      <c r="L2497" s="2">
        <v>387.0</v>
      </c>
      <c r="M2497" s="3">
        <f t="shared" si="5"/>
        <v>0.6046875</v>
      </c>
      <c r="N2497" s="2">
        <v>3548000.0</v>
      </c>
      <c r="O2497" s="4">
        <f t="shared" si="6"/>
        <v>5543.75</v>
      </c>
      <c r="P2497" s="2">
        <v>0.0</v>
      </c>
      <c r="Q2497" s="3">
        <f t="shared" si="7"/>
        <v>0</v>
      </c>
      <c r="R2497" s="2">
        <v>283.0</v>
      </c>
      <c r="S2497" s="5">
        <f t="shared" si="8"/>
        <v>1</v>
      </c>
    </row>
    <row r="2498">
      <c r="A2498" s="2" t="s">
        <v>2507</v>
      </c>
      <c r="B2498" s="2">
        <v>104.0</v>
      </c>
      <c r="C2498" s="2">
        <v>1232.0</v>
      </c>
      <c r="D2498" s="2">
        <v>385.0</v>
      </c>
      <c r="E2498" s="3">
        <f t="shared" si="1"/>
        <v>0.3413120567</v>
      </c>
      <c r="F2498" s="2">
        <v>154.0</v>
      </c>
      <c r="G2498" s="3">
        <f t="shared" si="2"/>
        <v>0.1365248227</v>
      </c>
      <c r="H2498" s="2">
        <v>215.0</v>
      </c>
      <c r="I2498" s="3">
        <f t="shared" si="3"/>
        <v>0.1906028369</v>
      </c>
      <c r="J2498" s="2">
        <v>208.0</v>
      </c>
      <c r="K2498" s="3">
        <f t="shared" si="4"/>
        <v>0.1843971631</v>
      </c>
      <c r="L2498" s="2">
        <v>122.0</v>
      </c>
      <c r="M2498" s="3">
        <f t="shared" si="5"/>
        <v>0.5674418605</v>
      </c>
      <c r="N2498" s="2">
        <v>1246100.0</v>
      </c>
      <c r="O2498" s="4">
        <f t="shared" si="6"/>
        <v>5795.813953</v>
      </c>
      <c r="P2498" s="2">
        <v>0.0</v>
      </c>
      <c r="Q2498" s="3">
        <f t="shared" si="7"/>
        <v>0</v>
      </c>
      <c r="R2498" s="2">
        <v>104.0</v>
      </c>
      <c r="S2498" s="5">
        <f t="shared" si="8"/>
        <v>1</v>
      </c>
    </row>
    <row r="2499">
      <c r="A2499" s="2" t="s">
        <v>2508</v>
      </c>
      <c r="B2499" s="2">
        <v>511.0</v>
      </c>
      <c r="C2499" s="2">
        <v>5990.0</v>
      </c>
      <c r="D2499" s="2">
        <v>1391.0</v>
      </c>
      <c r="E2499" s="3">
        <f t="shared" si="1"/>
        <v>0.253878445</v>
      </c>
      <c r="F2499" s="2">
        <v>748.0</v>
      </c>
      <c r="G2499" s="3">
        <f t="shared" si="2"/>
        <v>0.136521263</v>
      </c>
      <c r="H2499" s="2">
        <v>1076.0</v>
      </c>
      <c r="I2499" s="3">
        <f t="shared" si="3"/>
        <v>0.1963862019</v>
      </c>
      <c r="J2499" s="2">
        <v>1112.0</v>
      </c>
      <c r="K2499" s="3">
        <f t="shared" si="4"/>
        <v>0.2029567439</v>
      </c>
      <c r="L2499" s="2">
        <v>613.0</v>
      </c>
      <c r="M2499" s="3">
        <f t="shared" si="5"/>
        <v>0.5697026022</v>
      </c>
      <c r="N2499" s="2">
        <v>6434000.0</v>
      </c>
      <c r="O2499" s="4">
        <f t="shared" si="6"/>
        <v>5979.553903</v>
      </c>
      <c r="P2499" s="2">
        <v>1.0</v>
      </c>
      <c r="Q2499" s="3">
        <f t="shared" si="7"/>
        <v>0.001956947162</v>
      </c>
      <c r="R2499" s="2">
        <v>511.0</v>
      </c>
      <c r="S2499" s="5">
        <f t="shared" si="8"/>
        <v>1</v>
      </c>
    </row>
    <row r="2500">
      <c r="A2500" s="2" t="s">
        <v>2509</v>
      </c>
      <c r="B2500" s="2">
        <v>541.0</v>
      </c>
      <c r="C2500" s="2">
        <v>6284.0</v>
      </c>
      <c r="D2500" s="2">
        <v>2115.0</v>
      </c>
      <c r="E2500" s="3">
        <f t="shared" si="1"/>
        <v>0.368274421</v>
      </c>
      <c r="F2500" s="2">
        <v>784.0</v>
      </c>
      <c r="G2500" s="3">
        <f t="shared" si="2"/>
        <v>0.1365140171</v>
      </c>
      <c r="H2500" s="2">
        <v>1246.0</v>
      </c>
      <c r="I2500" s="3">
        <f t="shared" si="3"/>
        <v>0.2169597771</v>
      </c>
      <c r="J2500" s="2">
        <v>1138.0</v>
      </c>
      <c r="K2500" s="3">
        <f t="shared" si="4"/>
        <v>0.1981542748</v>
      </c>
      <c r="L2500" s="2">
        <v>733.0</v>
      </c>
      <c r="M2500" s="3">
        <f t="shared" si="5"/>
        <v>0.588282504</v>
      </c>
      <c r="N2500" s="2">
        <v>7472000.0</v>
      </c>
      <c r="O2500" s="4">
        <f t="shared" si="6"/>
        <v>5996.789727</v>
      </c>
      <c r="P2500" s="2">
        <v>2.0</v>
      </c>
      <c r="Q2500" s="3">
        <f t="shared" si="7"/>
        <v>0.003696857671</v>
      </c>
      <c r="R2500" s="2">
        <v>541.0</v>
      </c>
      <c r="S2500" s="5">
        <f t="shared" si="8"/>
        <v>1</v>
      </c>
    </row>
    <row r="2501">
      <c r="A2501" s="2" t="s">
        <v>2510</v>
      </c>
      <c r="B2501" s="2">
        <v>2075.0</v>
      </c>
      <c r="C2501" s="2">
        <v>24300.0</v>
      </c>
      <c r="D2501" s="2">
        <v>8296.0</v>
      </c>
      <c r="E2501" s="3">
        <f t="shared" si="1"/>
        <v>0.3732733408</v>
      </c>
      <c r="F2501" s="2">
        <v>3034.0</v>
      </c>
      <c r="G2501" s="3">
        <f t="shared" si="2"/>
        <v>0.1365129359</v>
      </c>
      <c r="H2501" s="2">
        <v>4869.0</v>
      </c>
      <c r="I2501" s="3">
        <f t="shared" si="3"/>
        <v>0.2190776153</v>
      </c>
      <c r="J2501" s="2">
        <v>3472.0</v>
      </c>
      <c r="K2501" s="3">
        <f t="shared" si="4"/>
        <v>0.1562204724</v>
      </c>
      <c r="L2501" s="2">
        <v>2913.0</v>
      </c>
      <c r="M2501" s="3">
        <f t="shared" si="5"/>
        <v>0.5982747998</v>
      </c>
      <c r="N2501" s="2">
        <v>2.67335E7</v>
      </c>
      <c r="O2501" s="4">
        <f t="shared" si="6"/>
        <v>5490.552475</v>
      </c>
      <c r="P2501" s="2">
        <v>2.0</v>
      </c>
      <c r="Q2501" s="3">
        <f t="shared" si="7"/>
        <v>0.0009638554217</v>
      </c>
      <c r="R2501" s="2">
        <v>0.0</v>
      </c>
      <c r="S2501" s="5">
        <f t="shared" si="8"/>
        <v>0</v>
      </c>
    </row>
    <row r="2502">
      <c r="A2502" s="2" t="s">
        <v>2511</v>
      </c>
      <c r="B2502" s="2">
        <v>2533.0</v>
      </c>
      <c r="C2502" s="2">
        <v>29806.0</v>
      </c>
      <c r="D2502" s="2">
        <v>9245.0</v>
      </c>
      <c r="E2502" s="3">
        <f t="shared" si="1"/>
        <v>0.3389799435</v>
      </c>
      <c r="F2502" s="2">
        <v>3723.0</v>
      </c>
      <c r="G2502" s="3">
        <f t="shared" si="2"/>
        <v>0.1365086349</v>
      </c>
      <c r="H2502" s="2">
        <v>6039.0</v>
      </c>
      <c r="I2502" s="3">
        <f t="shared" si="3"/>
        <v>0.2214277857</v>
      </c>
      <c r="J2502" s="2">
        <v>4625.0</v>
      </c>
      <c r="K2502" s="3">
        <f t="shared" si="4"/>
        <v>0.1695816375</v>
      </c>
      <c r="L2502" s="2">
        <v>3617.0</v>
      </c>
      <c r="M2502" s="3">
        <f t="shared" si="5"/>
        <v>0.5989402219</v>
      </c>
      <c r="N2502" s="2">
        <v>3.28292E7</v>
      </c>
      <c r="O2502" s="4">
        <f t="shared" si="6"/>
        <v>5436.198046</v>
      </c>
      <c r="P2502" s="2">
        <v>4.0</v>
      </c>
      <c r="Q2502" s="3">
        <f t="shared" si="7"/>
        <v>0.001579155152</v>
      </c>
      <c r="R2502" s="2">
        <v>2533.0</v>
      </c>
      <c r="S2502" s="5">
        <f t="shared" si="8"/>
        <v>1</v>
      </c>
    </row>
    <row r="2503">
      <c r="A2503" s="2" t="s">
        <v>2512</v>
      </c>
      <c r="B2503" s="2">
        <v>147.0</v>
      </c>
      <c r="C2503" s="2">
        <v>1722.0</v>
      </c>
      <c r="D2503" s="2">
        <v>654.0</v>
      </c>
      <c r="E2503" s="3">
        <f t="shared" si="1"/>
        <v>0.4152380952</v>
      </c>
      <c r="F2503" s="2">
        <v>215.0</v>
      </c>
      <c r="G2503" s="3">
        <f t="shared" si="2"/>
        <v>0.1365079365</v>
      </c>
      <c r="H2503" s="2">
        <v>333.0</v>
      </c>
      <c r="I2503" s="3">
        <f t="shared" si="3"/>
        <v>0.2114285714</v>
      </c>
      <c r="J2503" s="2">
        <v>270.0</v>
      </c>
      <c r="K2503" s="3">
        <f t="shared" si="4"/>
        <v>0.1714285714</v>
      </c>
      <c r="L2503" s="2">
        <v>199.0</v>
      </c>
      <c r="M2503" s="3">
        <f t="shared" si="5"/>
        <v>0.5975975976</v>
      </c>
      <c r="N2503" s="2">
        <v>1692800.0</v>
      </c>
      <c r="O2503" s="4">
        <f t="shared" si="6"/>
        <v>5083.483483</v>
      </c>
      <c r="P2503" s="2">
        <v>0.0</v>
      </c>
      <c r="Q2503" s="3">
        <f t="shared" si="7"/>
        <v>0</v>
      </c>
      <c r="R2503" s="2">
        <v>147.0</v>
      </c>
      <c r="S2503" s="5">
        <f t="shared" si="8"/>
        <v>1</v>
      </c>
    </row>
    <row r="2504">
      <c r="A2504" s="2" t="s">
        <v>2513</v>
      </c>
      <c r="B2504" s="2">
        <v>28.0</v>
      </c>
      <c r="C2504" s="2">
        <v>343.0</v>
      </c>
      <c r="D2504" s="2">
        <v>115.0</v>
      </c>
      <c r="E2504" s="3">
        <f t="shared" si="1"/>
        <v>0.3650793651</v>
      </c>
      <c r="F2504" s="2">
        <v>43.0</v>
      </c>
      <c r="G2504" s="3">
        <f t="shared" si="2"/>
        <v>0.1365079365</v>
      </c>
      <c r="H2504" s="2">
        <v>51.0</v>
      </c>
      <c r="I2504" s="3">
        <f t="shared" si="3"/>
        <v>0.1619047619</v>
      </c>
      <c r="J2504" s="2">
        <v>36.0</v>
      </c>
      <c r="K2504" s="3">
        <f t="shared" si="4"/>
        <v>0.1142857143</v>
      </c>
      <c r="L2504" s="2">
        <v>31.0</v>
      </c>
      <c r="M2504" s="3">
        <f t="shared" si="5"/>
        <v>0.6078431373</v>
      </c>
      <c r="N2504" s="2">
        <v>285000.0</v>
      </c>
      <c r="O2504" s="4">
        <f t="shared" si="6"/>
        <v>5588.235294</v>
      </c>
      <c r="P2504" s="2">
        <v>0.0</v>
      </c>
      <c r="Q2504" s="3">
        <f t="shared" si="7"/>
        <v>0</v>
      </c>
      <c r="R2504" s="2">
        <v>0.0</v>
      </c>
      <c r="S2504" s="5">
        <f t="shared" si="8"/>
        <v>0</v>
      </c>
    </row>
    <row r="2505">
      <c r="A2505" s="2" t="s">
        <v>2514</v>
      </c>
      <c r="B2505" s="2">
        <v>60.0</v>
      </c>
      <c r="C2505" s="2">
        <v>734.0</v>
      </c>
      <c r="D2505" s="2">
        <v>239.0</v>
      </c>
      <c r="E2505" s="3">
        <f t="shared" si="1"/>
        <v>0.3545994065</v>
      </c>
      <c r="F2505" s="2">
        <v>92.0</v>
      </c>
      <c r="G2505" s="3">
        <f t="shared" si="2"/>
        <v>0.1364985163</v>
      </c>
      <c r="H2505" s="2">
        <v>134.0</v>
      </c>
      <c r="I2505" s="3">
        <f t="shared" si="3"/>
        <v>0.1988130564</v>
      </c>
      <c r="J2505" s="2">
        <v>126.0</v>
      </c>
      <c r="K2505" s="3">
        <f t="shared" si="4"/>
        <v>0.1869436202</v>
      </c>
      <c r="L2505" s="2">
        <v>76.0</v>
      </c>
      <c r="M2505" s="3">
        <f t="shared" si="5"/>
        <v>0.5671641791</v>
      </c>
      <c r="N2505" s="2">
        <v>695600.0</v>
      </c>
      <c r="O2505" s="4">
        <f t="shared" si="6"/>
        <v>5191.044776</v>
      </c>
      <c r="P2505" s="2">
        <v>0.0</v>
      </c>
      <c r="Q2505" s="3">
        <f t="shared" si="7"/>
        <v>0</v>
      </c>
      <c r="R2505" s="2">
        <v>60.0</v>
      </c>
      <c r="S2505" s="5">
        <f t="shared" si="8"/>
        <v>1</v>
      </c>
    </row>
    <row r="2506">
      <c r="A2506" s="2" t="s">
        <v>2515</v>
      </c>
      <c r="B2506" s="2">
        <v>1266.0</v>
      </c>
      <c r="C2506" s="2">
        <v>14812.0</v>
      </c>
      <c r="D2506" s="2">
        <v>4804.0</v>
      </c>
      <c r="E2506" s="3">
        <f t="shared" si="1"/>
        <v>0.3546434372</v>
      </c>
      <c r="F2506" s="2">
        <v>1849.0</v>
      </c>
      <c r="G2506" s="3">
        <f t="shared" si="2"/>
        <v>0.1364978591</v>
      </c>
      <c r="H2506" s="2">
        <v>2813.0</v>
      </c>
      <c r="I2506" s="3">
        <f t="shared" si="3"/>
        <v>0.2076627787</v>
      </c>
      <c r="J2506" s="2">
        <v>2247.0</v>
      </c>
      <c r="K2506" s="3">
        <f t="shared" si="4"/>
        <v>0.1658792263</v>
      </c>
      <c r="L2506" s="2">
        <v>1632.0</v>
      </c>
      <c r="M2506" s="3">
        <f t="shared" si="5"/>
        <v>0.5801635265</v>
      </c>
      <c r="N2506" s="2">
        <v>1.66554E7</v>
      </c>
      <c r="O2506" s="4">
        <f t="shared" si="6"/>
        <v>5920.867401</v>
      </c>
      <c r="P2506" s="2">
        <v>3.0</v>
      </c>
      <c r="Q2506" s="3">
        <f t="shared" si="7"/>
        <v>0.002369668246</v>
      </c>
      <c r="R2506" s="2">
        <v>27.0</v>
      </c>
      <c r="S2506" s="5">
        <f t="shared" si="8"/>
        <v>0.02132701422</v>
      </c>
    </row>
    <row r="2507">
      <c r="A2507" s="2" t="s">
        <v>2516</v>
      </c>
      <c r="B2507" s="2">
        <v>670.0</v>
      </c>
      <c r="C2507" s="2">
        <v>7791.0</v>
      </c>
      <c r="D2507" s="2">
        <v>2895.0</v>
      </c>
      <c r="E2507" s="3">
        <f t="shared" si="1"/>
        <v>0.4065440247</v>
      </c>
      <c r="F2507" s="2">
        <v>972.0</v>
      </c>
      <c r="G2507" s="3">
        <f t="shared" si="2"/>
        <v>0.1364976829</v>
      </c>
      <c r="H2507" s="2">
        <v>1555.0</v>
      </c>
      <c r="I2507" s="3">
        <f t="shared" si="3"/>
        <v>0.2183682067</v>
      </c>
      <c r="J2507" s="2">
        <v>1149.0</v>
      </c>
      <c r="K2507" s="3">
        <f t="shared" si="4"/>
        <v>0.1613537425</v>
      </c>
      <c r="L2507" s="2">
        <v>947.0</v>
      </c>
      <c r="M2507" s="3">
        <f t="shared" si="5"/>
        <v>0.6090032154</v>
      </c>
      <c r="N2507" s="2">
        <v>8873800.0</v>
      </c>
      <c r="O2507" s="4">
        <f t="shared" si="6"/>
        <v>5706.623794</v>
      </c>
      <c r="P2507" s="2">
        <v>2.0</v>
      </c>
      <c r="Q2507" s="3">
        <f t="shared" si="7"/>
        <v>0.002985074627</v>
      </c>
      <c r="R2507" s="2">
        <v>670.0</v>
      </c>
      <c r="S2507" s="5">
        <f t="shared" si="8"/>
        <v>1</v>
      </c>
    </row>
    <row r="2508">
      <c r="A2508" s="2" t="s">
        <v>2517</v>
      </c>
      <c r="B2508" s="2">
        <v>294.0</v>
      </c>
      <c r="C2508" s="2">
        <v>3437.0</v>
      </c>
      <c r="D2508" s="2">
        <v>1269.0</v>
      </c>
      <c r="E2508" s="3">
        <f t="shared" si="1"/>
        <v>0.4037543748</v>
      </c>
      <c r="F2508" s="2">
        <v>429.0</v>
      </c>
      <c r="G2508" s="3">
        <f t="shared" si="2"/>
        <v>0.1364937957</v>
      </c>
      <c r="H2508" s="2">
        <v>664.0</v>
      </c>
      <c r="I2508" s="3">
        <f t="shared" si="3"/>
        <v>0.2112631244</v>
      </c>
      <c r="J2508" s="2">
        <v>585.0</v>
      </c>
      <c r="K2508" s="3">
        <f t="shared" si="4"/>
        <v>0.1861279033</v>
      </c>
      <c r="L2508" s="2">
        <v>389.0</v>
      </c>
      <c r="M2508" s="3">
        <f t="shared" si="5"/>
        <v>0.5858433735</v>
      </c>
      <c r="N2508" s="2">
        <v>3669600.0</v>
      </c>
      <c r="O2508" s="4">
        <f t="shared" si="6"/>
        <v>5526.506024</v>
      </c>
      <c r="P2508" s="2">
        <v>0.0</v>
      </c>
      <c r="Q2508" s="3">
        <f t="shared" si="7"/>
        <v>0</v>
      </c>
      <c r="R2508" s="2">
        <v>294.0</v>
      </c>
      <c r="S2508" s="5">
        <f t="shared" si="8"/>
        <v>1</v>
      </c>
    </row>
    <row r="2509">
      <c r="A2509" s="2" t="s">
        <v>2518</v>
      </c>
      <c r="B2509" s="2">
        <v>98.0</v>
      </c>
      <c r="C2509" s="2">
        <v>1175.0</v>
      </c>
      <c r="D2509" s="2">
        <v>408.0</v>
      </c>
      <c r="E2509" s="3">
        <f t="shared" si="1"/>
        <v>0.3788300836</v>
      </c>
      <c r="F2509" s="2">
        <v>147.0</v>
      </c>
      <c r="G2509" s="3">
        <f t="shared" si="2"/>
        <v>0.1364902507</v>
      </c>
      <c r="H2509" s="2">
        <v>218.0</v>
      </c>
      <c r="I2509" s="3">
        <f t="shared" si="3"/>
        <v>0.2024141133</v>
      </c>
      <c r="J2509" s="2">
        <v>203.0</v>
      </c>
      <c r="K2509" s="3">
        <f t="shared" si="4"/>
        <v>0.1884865367</v>
      </c>
      <c r="L2509" s="2">
        <v>134.0</v>
      </c>
      <c r="M2509" s="3">
        <f t="shared" si="5"/>
        <v>0.6146788991</v>
      </c>
      <c r="N2509" s="2">
        <v>1082100.0</v>
      </c>
      <c r="O2509" s="4">
        <f t="shared" si="6"/>
        <v>4963.761468</v>
      </c>
      <c r="P2509" s="2">
        <v>0.0</v>
      </c>
      <c r="Q2509" s="3">
        <f t="shared" si="7"/>
        <v>0</v>
      </c>
      <c r="R2509" s="2">
        <v>98.0</v>
      </c>
      <c r="S2509" s="5">
        <f t="shared" si="8"/>
        <v>1</v>
      </c>
    </row>
    <row r="2510">
      <c r="A2510" s="2" t="s">
        <v>2519</v>
      </c>
      <c r="B2510" s="2">
        <v>101.0</v>
      </c>
      <c r="C2510" s="2">
        <v>1200.0</v>
      </c>
      <c r="D2510" s="2">
        <v>378.0</v>
      </c>
      <c r="E2510" s="3">
        <f t="shared" si="1"/>
        <v>0.3439490446</v>
      </c>
      <c r="F2510" s="2">
        <v>150.0</v>
      </c>
      <c r="G2510" s="3">
        <f t="shared" si="2"/>
        <v>0.1364877161</v>
      </c>
      <c r="H2510" s="2">
        <v>214.0</v>
      </c>
      <c r="I2510" s="3">
        <f t="shared" si="3"/>
        <v>0.194722475</v>
      </c>
      <c r="J2510" s="2">
        <v>181.0</v>
      </c>
      <c r="K2510" s="3">
        <f t="shared" si="4"/>
        <v>0.1646951774</v>
      </c>
      <c r="L2510" s="2">
        <v>117.0</v>
      </c>
      <c r="M2510" s="3">
        <f t="shared" si="5"/>
        <v>0.546728972</v>
      </c>
      <c r="N2510" s="2">
        <v>1183800.0</v>
      </c>
      <c r="O2510" s="4">
        <f t="shared" si="6"/>
        <v>5531.775701</v>
      </c>
      <c r="P2510" s="2">
        <v>0.0</v>
      </c>
      <c r="Q2510" s="3">
        <f t="shared" si="7"/>
        <v>0</v>
      </c>
      <c r="R2510" s="2">
        <v>0.0</v>
      </c>
      <c r="S2510" s="5">
        <f t="shared" si="8"/>
        <v>0</v>
      </c>
    </row>
    <row r="2511">
      <c r="A2511" s="2" t="s">
        <v>2520</v>
      </c>
      <c r="B2511" s="2">
        <v>68.0</v>
      </c>
      <c r="C2511" s="2">
        <v>808.0</v>
      </c>
      <c r="D2511" s="2">
        <v>265.0</v>
      </c>
      <c r="E2511" s="3">
        <f t="shared" si="1"/>
        <v>0.3581081081</v>
      </c>
      <c r="F2511" s="2">
        <v>101.0</v>
      </c>
      <c r="G2511" s="3">
        <f t="shared" si="2"/>
        <v>0.1364864865</v>
      </c>
      <c r="H2511" s="2">
        <v>143.0</v>
      </c>
      <c r="I2511" s="3">
        <f t="shared" si="3"/>
        <v>0.1932432432</v>
      </c>
      <c r="J2511" s="2">
        <v>151.0</v>
      </c>
      <c r="K2511" s="3">
        <f t="shared" si="4"/>
        <v>0.2040540541</v>
      </c>
      <c r="L2511" s="2">
        <v>87.0</v>
      </c>
      <c r="M2511" s="3">
        <f t="shared" si="5"/>
        <v>0.6083916084</v>
      </c>
      <c r="N2511" s="2">
        <v>798900.0</v>
      </c>
      <c r="O2511" s="4">
        <f t="shared" si="6"/>
        <v>5586.713287</v>
      </c>
      <c r="P2511" s="2">
        <v>1.0</v>
      </c>
      <c r="Q2511" s="3">
        <f t="shared" si="7"/>
        <v>0.01470588235</v>
      </c>
      <c r="R2511" s="2">
        <v>68.0</v>
      </c>
      <c r="S2511" s="5">
        <f t="shared" si="8"/>
        <v>1</v>
      </c>
    </row>
    <row r="2512">
      <c r="A2512" s="2" t="s">
        <v>2521</v>
      </c>
      <c r="B2512" s="2">
        <v>100.0</v>
      </c>
      <c r="C2512" s="2">
        <v>1221.0</v>
      </c>
      <c r="D2512" s="2">
        <v>407.0</v>
      </c>
      <c r="E2512" s="3">
        <f t="shared" si="1"/>
        <v>0.3630686887</v>
      </c>
      <c r="F2512" s="2">
        <v>153.0</v>
      </c>
      <c r="G2512" s="3">
        <f t="shared" si="2"/>
        <v>0.136485281</v>
      </c>
      <c r="H2512" s="2">
        <v>241.0</v>
      </c>
      <c r="I2512" s="3">
        <f t="shared" si="3"/>
        <v>0.2149866191</v>
      </c>
      <c r="J2512" s="2">
        <v>215.0</v>
      </c>
      <c r="K2512" s="3">
        <f t="shared" si="4"/>
        <v>0.1917930419</v>
      </c>
      <c r="L2512" s="2">
        <v>136.0</v>
      </c>
      <c r="M2512" s="3">
        <f t="shared" si="5"/>
        <v>0.5643153527</v>
      </c>
      <c r="N2512" s="2">
        <v>1329700.0</v>
      </c>
      <c r="O2512" s="4">
        <f t="shared" si="6"/>
        <v>5517.427386</v>
      </c>
      <c r="P2512" s="2">
        <v>0.0</v>
      </c>
      <c r="Q2512" s="3">
        <f t="shared" si="7"/>
        <v>0</v>
      </c>
      <c r="R2512" s="2">
        <v>100.0</v>
      </c>
      <c r="S2512" s="5">
        <f t="shared" si="8"/>
        <v>1</v>
      </c>
    </row>
    <row r="2513">
      <c r="A2513" s="2" t="s">
        <v>2522</v>
      </c>
      <c r="B2513" s="2">
        <v>553.0</v>
      </c>
      <c r="C2513" s="2">
        <v>6356.0</v>
      </c>
      <c r="D2513" s="2">
        <v>1685.0</v>
      </c>
      <c r="E2513" s="3">
        <f t="shared" si="1"/>
        <v>0.2903670515</v>
      </c>
      <c r="F2513" s="2">
        <v>792.0</v>
      </c>
      <c r="G2513" s="3">
        <f t="shared" si="2"/>
        <v>0.1364811304</v>
      </c>
      <c r="H2513" s="2">
        <v>1243.0</v>
      </c>
      <c r="I2513" s="3">
        <f t="shared" si="3"/>
        <v>0.214199552</v>
      </c>
      <c r="J2513" s="2">
        <v>1157.0</v>
      </c>
      <c r="K2513" s="3">
        <f t="shared" si="4"/>
        <v>0.1993796312</v>
      </c>
      <c r="L2513" s="2">
        <v>768.0</v>
      </c>
      <c r="M2513" s="3">
        <f t="shared" si="5"/>
        <v>0.6178600161</v>
      </c>
      <c r="N2513" s="2">
        <v>7220700.0</v>
      </c>
      <c r="O2513" s="4">
        <f t="shared" si="6"/>
        <v>5809.090909</v>
      </c>
      <c r="P2513" s="2">
        <v>3.0</v>
      </c>
      <c r="Q2513" s="3">
        <f t="shared" si="7"/>
        <v>0.005424954792</v>
      </c>
      <c r="R2513" s="2">
        <v>553.0</v>
      </c>
      <c r="S2513" s="5">
        <f t="shared" si="8"/>
        <v>1</v>
      </c>
    </row>
    <row r="2514">
      <c r="A2514" s="2" t="s">
        <v>2523</v>
      </c>
      <c r="B2514" s="2">
        <v>144.0</v>
      </c>
      <c r="C2514" s="2">
        <v>1712.0</v>
      </c>
      <c r="D2514" s="2">
        <v>639.0</v>
      </c>
      <c r="E2514" s="3">
        <f t="shared" si="1"/>
        <v>0.4075255102</v>
      </c>
      <c r="F2514" s="2">
        <v>214.0</v>
      </c>
      <c r="G2514" s="3">
        <f t="shared" si="2"/>
        <v>0.1364795918</v>
      </c>
      <c r="H2514" s="2">
        <v>332.0</v>
      </c>
      <c r="I2514" s="3">
        <f t="shared" si="3"/>
        <v>0.2117346939</v>
      </c>
      <c r="J2514" s="2">
        <v>234.0</v>
      </c>
      <c r="K2514" s="3">
        <f t="shared" si="4"/>
        <v>0.1492346939</v>
      </c>
      <c r="L2514" s="2">
        <v>201.0</v>
      </c>
      <c r="M2514" s="3">
        <f t="shared" si="5"/>
        <v>0.6054216867</v>
      </c>
      <c r="N2514" s="2">
        <v>1770800.0</v>
      </c>
      <c r="O2514" s="4">
        <f t="shared" si="6"/>
        <v>5333.73494</v>
      </c>
      <c r="P2514" s="2">
        <v>0.0</v>
      </c>
      <c r="Q2514" s="3">
        <f t="shared" si="7"/>
        <v>0</v>
      </c>
      <c r="R2514" s="2">
        <v>144.0</v>
      </c>
      <c r="S2514" s="5">
        <f t="shared" si="8"/>
        <v>1</v>
      </c>
    </row>
    <row r="2515">
      <c r="A2515" s="2" t="s">
        <v>2524</v>
      </c>
      <c r="B2515" s="2">
        <v>186.0</v>
      </c>
      <c r="C2515" s="2">
        <v>2157.0</v>
      </c>
      <c r="D2515" s="2">
        <v>667.0</v>
      </c>
      <c r="E2515" s="3">
        <f t="shared" si="1"/>
        <v>0.3384069001</v>
      </c>
      <c r="F2515" s="2">
        <v>269.0</v>
      </c>
      <c r="G2515" s="3">
        <f t="shared" si="2"/>
        <v>0.1364789447</v>
      </c>
      <c r="H2515" s="2">
        <v>394.0</v>
      </c>
      <c r="I2515" s="3">
        <f t="shared" si="3"/>
        <v>0.1998985287</v>
      </c>
      <c r="J2515" s="2">
        <v>355.0</v>
      </c>
      <c r="K2515" s="3">
        <f t="shared" si="4"/>
        <v>0.1801116185</v>
      </c>
      <c r="L2515" s="2">
        <v>230.0</v>
      </c>
      <c r="M2515" s="3">
        <f t="shared" si="5"/>
        <v>0.5837563452</v>
      </c>
      <c r="N2515" s="2">
        <v>2183800.0</v>
      </c>
      <c r="O2515" s="4">
        <f t="shared" si="6"/>
        <v>5542.639594</v>
      </c>
      <c r="P2515" s="2">
        <v>0.0</v>
      </c>
      <c r="Q2515" s="3">
        <f t="shared" si="7"/>
        <v>0</v>
      </c>
      <c r="R2515" s="2">
        <v>186.0</v>
      </c>
      <c r="S2515" s="5">
        <f t="shared" si="8"/>
        <v>1</v>
      </c>
    </row>
    <row r="2516">
      <c r="A2516" s="2" t="s">
        <v>2525</v>
      </c>
      <c r="B2516" s="2">
        <v>167.0</v>
      </c>
      <c r="C2516" s="2">
        <v>1933.0</v>
      </c>
      <c r="D2516" s="2">
        <v>584.0</v>
      </c>
      <c r="E2516" s="3">
        <f t="shared" si="1"/>
        <v>0.3306908267</v>
      </c>
      <c r="F2516" s="2">
        <v>241.0</v>
      </c>
      <c r="G2516" s="3">
        <f t="shared" si="2"/>
        <v>0.1364665912</v>
      </c>
      <c r="H2516" s="2">
        <v>379.0</v>
      </c>
      <c r="I2516" s="3">
        <f t="shared" si="3"/>
        <v>0.2146092865</v>
      </c>
      <c r="J2516" s="2">
        <v>309.0</v>
      </c>
      <c r="K2516" s="3">
        <f t="shared" si="4"/>
        <v>0.1749716874</v>
      </c>
      <c r="L2516" s="2">
        <v>233.0</v>
      </c>
      <c r="M2516" s="3">
        <f t="shared" si="5"/>
        <v>0.6147757256</v>
      </c>
      <c r="N2516" s="2">
        <v>2137800.0</v>
      </c>
      <c r="O2516" s="4">
        <f t="shared" si="6"/>
        <v>5640.633245</v>
      </c>
      <c r="P2516" s="2">
        <v>0.0</v>
      </c>
      <c r="Q2516" s="3">
        <f t="shared" si="7"/>
        <v>0</v>
      </c>
      <c r="R2516" s="2">
        <v>167.0</v>
      </c>
      <c r="S2516" s="5">
        <f t="shared" si="8"/>
        <v>1</v>
      </c>
    </row>
    <row r="2517">
      <c r="A2517" s="2" t="s">
        <v>2526</v>
      </c>
      <c r="B2517" s="2">
        <v>170.0</v>
      </c>
      <c r="C2517" s="2">
        <v>1980.0</v>
      </c>
      <c r="D2517" s="2">
        <v>643.0</v>
      </c>
      <c r="E2517" s="3">
        <f t="shared" si="1"/>
        <v>0.3552486188</v>
      </c>
      <c r="F2517" s="2">
        <v>247.0</v>
      </c>
      <c r="G2517" s="3">
        <f t="shared" si="2"/>
        <v>0.1364640884</v>
      </c>
      <c r="H2517" s="2">
        <v>385.0</v>
      </c>
      <c r="I2517" s="3">
        <f t="shared" si="3"/>
        <v>0.2127071823</v>
      </c>
      <c r="J2517" s="2">
        <v>354.0</v>
      </c>
      <c r="K2517" s="3">
        <f t="shared" si="4"/>
        <v>0.1955801105</v>
      </c>
      <c r="L2517" s="2">
        <v>225.0</v>
      </c>
      <c r="M2517" s="3">
        <f t="shared" si="5"/>
        <v>0.5844155844</v>
      </c>
      <c r="N2517" s="2">
        <v>2305500.0</v>
      </c>
      <c r="O2517" s="4">
        <f t="shared" si="6"/>
        <v>5988.311688</v>
      </c>
      <c r="P2517" s="2">
        <v>0.0</v>
      </c>
      <c r="Q2517" s="3">
        <f t="shared" si="7"/>
        <v>0</v>
      </c>
      <c r="R2517" s="2">
        <v>170.0</v>
      </c>
      <c r="S2517" s="5">
        <f t="shared" si="8"/>
        <v>1</v>
      </c>
    </row>
    <row r="2518">
      <c r="A2518" s="2" t="s">
        <v>2527</v>
      </c>
      <c r="B2518" s="2">
        <v>48.0</v>
      </c>
      <c r="C2518" s="2">
        <v>561.0</v>
      </c>
      <c r="D2518" s="2">
        <v>180.0</v>
      </c>
      <c r="E2518" s="3">
        <f t="shared" si="1"/>
        <v>0.350877193</v>
      </c>
      <c r="F2518" s="2">
        <v>70.0</v>
      </c>
      <c r="G2518" s="3">
        <f t="shared" si="2"/>
        <v>0.1364522417</v>
      </c>
      <c r="H2518" s="2">
        <v>100.0</v>
      </c>
      <c r="I2518" s="3">
        <f t="shared" si="3"/>
        <v>0.1949317739</v>
      </c>
      <c r="J2518" s="2">
        <v>81.0</v>
      </c>
      <c r="K2518" s="3">
        <f t="shared" si="4"/>
        <v>0.1578947368</v>
      </c>
      <c r="L2518" s="2">
        <v>58.0</v>
      </c>
      <c r="M2518" s="3">
        <f t="shared" si="5"/>
        <v>0.58</v>
      </c>
      <c r="N2518" s="2">
        <v>599600.0</v>
      </c>
      <c r="O2518" s="4">
        <f t="shared" si="6"/>
        <v>5996</v>
      </c>
      <c r="P2518" s="2">
        <v>1.0</v>
      </c>
      <c r="Q2518" s="3">
        <f t="shared" si="7"/>
        <v>0.02083333333</v>
      </c>
      <c r="R2518" s="2">
        <v>48.0</v>
      </c>
      <c r="S2518" s="5">
        <f t="shared" si="8"/>
        <v>1</v>
      </c>
    </row>
    <row r="2519">
      <c r="A2519" s="2" t="s">
        <v>2528</v>
      </c>
      <c r="B2519" s="2">
        <v>344.0</v>
      </c>
      <c r="C2519" s="2">
        <v>4045.0</v>
      </c>
      <c r="D2519" s="2">
        <v>1100.0</v>
      </c>
      <c r="E2519" s="3">
        <f t="shared" si="1"/>
        <v>0.2972169684</v>
      </c>
      <c r="F2519" s="2">
        <v>505.0</v>
      </c>
      <c r="G2519" s="3">
        <f t="shared" si="2"/>
        <v>0.1364496082</v>
      </c>
      <c r="H2519" s="2">
        <v>671.0</v>
      </c>
      <c r="I2519" s="3">
        <f t="shared" si="3"/>
        <v>0.1813023507</v>
      </c>
      <c r="J2519" s="2">
        <v>464.0</v>
      </c>
      <c r="K2519" s="3">
        <f t="shared" si="4"/>
        <v>0.1253715212</v>
      </c>
      <c r="L2519" s="2">
        <v>402.0</v>
      </c>
      <c r="M2519" s="3">
        <f t="shared" si="5"/>
        <v>0.5991058122</v>
      </c>
      <c r="N2519" s="2">
        <v>4175100.0</v>
      </c>
      <c r="O2519" s="4">
        <f t="shared" si="6"/>
        <v>6222.205663</v>
      </c>
      <c r="P2519" s="2">
        <v>2.0</v>
      </c>
      <c r="Q2519" s="3">
        <f t="shared" si="7"/>
        <v>0.005813953488</v>
      </c>
      <c r="R2519" s="2">
        <v>344.0</v>
      </c>
      <c r="S2519" s="5">
        <f t="shared" si="8"/>
        <v>1</v>
      </c>
    </row>
    <row r="2520">
      <c r="A2520" s="2" t="s">
        <v>2529</v>
      </c>
      <c r="B2520" s="2">
        <v>401.0</v>
      </c>
      <c r="C2520" s="2">
        <v>4659.0</v>
      </c>
      <c r="D2520" s="2">
        <v>1686.0</v>
      </c>
      <c r="E2520" s="3">
        <f t="shared" si="1"/>
        <v>0.3959605449</v>
      </c>
      <c r="F2520" s="2">
        <v>581.0</v>
      </c>
      <c r="G2520" s="3">
        <f t="shared" si="2"/>
        <v>0.1364490371</v>
      </c>
      <c r="H2520" s="2">
        <v>921.0</v>
      </c>
      <c r="I2520" s="3">
        <f t="shared" si="3"/>
        <v>0.2162987318</v>
      </c>
      <c r="J2520" s="2">
        <v>743.0</v>
      </c>
      <c r="K2520" s="3">
        <f t="shared" si="4"/>
        <v>0.1744950681</v>
      </c>
      <c r="L2520" s="2">
        <v>553.0</v>
      </c>
      <c r="M2520" s="3">
        <f t="shared" si="5"/>
        <v>0.6004343105</v>
      </c>
      <c r="N2520" s="2">
        <v>5101400.0</v>
      </c>
      <c r="O2520" s="4">
        <f t="shared" si="6"/>
        <v>5538.97937</v>
      </c>
      <c r="P2520" s="2">
        <v>0.0</v>
      </c>
      <c r="Q2520" s="3">
        <f t="shared" si="7"/>
        <v>0</v>
      </c>
      <c r="R2520" s="2">
        <v>401.0</v>
      </c>
      <c r="S2520" s="5">
        <f t="shared" si="8"/>
        <v>1</v>
      </c>
    </row>
    <row r="2521">
      <c r="A2521" s="2" t="s">
        <v>2530</v>
      </c>
      <c r="B2521" s="2">
        <v>106.0</v>
      </c>
      <c r="C2521" s="2">
        <v>1220.0</v>
      </c>
      <c r="D2521" s="2">
        <v>441.0</v>
      </c>
      <c r="E2521" s="3">
        <f t="shared" si="1"/>
        <v>0.3958707361</v>
      </c>
      <c r="F2521" s="2">
        <v>152.0</v>
      </c>
      <c r="G2521" s="3">
        <f t="shared" si="2"/>
        <v>0.1364452424</v>
      </c>
      <c r="H2521" s="2">
        <v>224.0</v>
      </c>
      <c r="I2521" s="3">
        <f t="shared" si="3"/>
        <v>0.2010771993</v>
      </c>
      <c r="J2521" s="2">
        <v>169.0</v>
      </c>
      <c r="K2521" s="3">
        <f t="shared" si="4"/>
        <v>0.1517055655</v>
      </c>
      <c r="L2521" s="2">
        <v>126.0</v>
      </c>
      <c r="M2521" s="3">
        <f t="shared" si="5"/>
        <v>0.5625</v>
      </c>
      <c r="N2521" s="2">
        <v>1254300.0</v>
      </c>
      <c r="O2521" s="4">
        <f t="shared" si="6"/>
        <v>5599.553571</v>
      </c>
      <c r="P2521" s="2">
        <v>0.0</v>
      </c>
      <c r="Q2521" s="3">
        <f t="shared" si="7"/>
        <v>0</v>
      </c>
      <c r="R2521" s="2">
        <v>105.0</v>
      </c>
      <c r="S2521" s="5">
        <f t="shared" si="8"/>
        <v>0.9905660377</v>
      </c>
    </row>
    <row r="2522">
      <c r="A2522" s="2" t="s">
        <v>2531</v>
      </c>
      <c r="B2522" s="2">
        <v>1886.0</v>
      </c>
      <c r="C2522" s="2">
        <v>21953.0</v>
      </c>
      <c r="D2522" s="2">
        <v>7289.0</v>
      </c>
      <c r="E2522" s="3">
        <f t="shared" si="1"/>
        <v>0.3632331689</v>
      </c>
      <c r="F2522" s="2">
        <v>2738.0</v>
      </c>
      <c r="G2522" s="3">
        <f t="shared" si="2"/>
        <v>0.1364429162</v>
      </c>
      <c r="H2522" s="2">
        <v>4464.0</v>
      </c>
      <c r="I2522" s="3">
        <f t="shared" si="3"/>
        <v>0.2224547765</v>
      </c>
      <c r="J2522" s="2">
        <v>4379.0</v>
      </c>
      <c r="K2522" s="3">
        <f t="shared" si="4"/>
        <v>0.2182189665</v>
      </c>
      <c r="L2522" s="2">
        <v>2631.0</v>
      </c>
      <c r="M2522" s="3">
        <f t="shared" si="5"/>
        <v>0.5893817204</v>
      </c>
      <c r="N2522" s="2">
        <v>2.6316E7</v>
      </c>
      <c r="O2522" s="4">
        <f t="shared" si="6"/>
        <v>5895.16129</v>
      </c>
      <c r="P2522" s="2">
        <v>1.0</v>
      </c>
      <c r="Q2522" s="3">
        <f t="shared" si="7"/>
        <v>0.0005302226935</v>
      </c>
      <c r="R2522" s="2">
        <v>1886.0</v>
      </c>
      <c r="S2522" s="5">
        <f t="shared" si="8"/>
        <v>1</v>
      </c>
    </row>
    <row r="2523">
      <c r="A2523" s="2" t="s">
        <v>2532</v>
      </c>
      <c r="B2523" s="2">
        <v>56.0</v>
      </c>
      <c r="C2523" s="2">
        <v>635.0</v>
      </c>
      <c r="D2523" s="2">
        <v>193.0</v>
      </c>
      <c r="E2523" s="3">
        <f t="shared" si="1"/>
        <v>0.3333333333</v>
      </c>
      <c r="F2523" s="2">
        <v>79.0</v>
      </c>
      <c r="G2523" s="3">
        <f t="shared" si="2"/>
        <v>0.1364421416</v>
      </c>
      <c r="H2523" s="2">
        <v>125.0</v>
      </c>
      <c r="I2523" s="3">
        <f t="shared" si="3"/>
        <v>0.2158894646</v>
      </c>
      <c r="J2523" s="2">
        <v>92.0</v>
      </c>
      <c r="K2523" s="3">
        <f t="shared" si="4"/>
        <v>0.1588946459</v>
      </c>
      <c r="L2523" s="2">
        <v>73.0</v>
      </c>
      <c r="M2523" s="3">
        <f t="shared" si="5"/>
        <v>0.584</v>
      </c>
      <c r="N2523" s="2">
        <v>614200.0</v>
      </c>
      <c r="O2523" s="4">
        <f t="shared" si="6"/>
        <v>4913.6</v>
      </c>
      <c r="P2523" s="2">
        <v>0.0</v>
      </c>
      <c r="Q2523" s="3">
        <f t="shared" si="7"/>
        <v>0</v>
      </c>
      <c r="R2523" s="2">
        <v>21.0</v>
      </c>
      <c r="S2523" s="5">
        <f t="shared" si="8"/>
        <v>0.375</v>
      </c>
    </row>
    <row r="2524">
      <c r="A2524" s="2" t="s">
        <v>2533</v>
      </c>
      <c r="B2524" s="2">
        <v>119.0</v>
      </c>
      <c r="C2524" s="2">
        <v>1365.0</v>
      </c>
      <c r="D2524" s="2">
        <v>475.0</v>
      </c>
      <c r="E2524" s="3">
        <f t="shared" si="1"/>
        <v>0.3812199037</v>
      </c>
      <c r="F2524" s="2">
        <v>170.0</v>
      </c>
      <c r="G2524" s="3">
        <f t="shared" si="2"/>
        <v>0.1364365971</v>
      </c>
      <c r="H2524" s="2">
        <v>251.0</v>
      </c>
      <c r="I2524" s="3">
        <f t="shared" si="3"/>
        <v>0.2014446228</v>
      </c>
      <c r="J2524" s="2">
        <v>220.0</v>
      </c>
      <c r="K2524" s="3">
        <f t="shared" si="4"/>
        <v>0.176565008</v>
      </c>
      <c r="L2524" s="2">
        <v>159.0</v>
      </c>
      <c r="M2524" s="3">
        <f t="shared" si="5"/>
        <v>0.6334661355</v>
      </c>
      <c r="N2524" s="2">
        <v>1390600.0</v>
      </c>
      <c r="O2524" s="4">
        <f t="shared" si="6"/>
        <v>5540.239044</v>
      </c>
      <c r="P2524" s="2">
        <v>1.0</v>
      </c>
      <c r="Q2524" s="3">
        <f t="shared" si="7"/>
        <v>0.008403361345</v>
      </c>
      <c r="R2524" s="2">
        <v>119.0</v>
      </c>
      <c r="S2524" s="5">
        <f t="shared" si="8"/>
        <v>1</v>
      </c>
    </row>
    <row r="2525">
      <c r="A2525" s="2" t="s">
        <v>2534</v>
      </c>
      <c r="B2525" s="2">
        <v>308.0</v>
      </c>
      <c r="C2525" s="2">
        <v>3666.0</v>
      </c>
      <c r="D2525" s="2">
        <v>1196.0</v>
      </c>
      <c r="E2525" s="3">
        <f t="shared" si="1"/>
        <v>0.3561643836</v>
      </c>
      <c r="F2525" s="2">
        <v>458.0</v>
      </c>
      <c r="G2525" s="3">
        <f t="shared" si="2"/>
        <v>0.1363907088</v>
      </c>
      <c r="H2525" s="2">
        <v>635.0</v>
      </c>
      <c r="I2525" s="3">
        <f t="shared" si="3"/>
        <v>0.1891006552</v>
      </c>
      <c r="J2525" s="2">
        <v>586.0</v>
      </c>
      <c r="K2525" s="3">
        <f t="shared" si="4"/>
        <v>0.1745086361</v>
      </c>
      <c r="L2525" s="2">
        <v>358.0</v>
      </c>
      <c r="M2525" s="3">
        <f t="shared" si="5"/>
        <v>0.5637795276</v>
      </c>
      <c r="N2525" s="2">
        <v>3937300.0</v>
      </c>
      <c r="O2525" s="4">
        <f t="shared" si="6"/>
        <v>6200.472441</v>
      </c>
      <c r="P2525" s="2">
        <v>0.0</v>
      </c>
      <c r="Q2525" s="3">
        <f t="shared" si="7"/>
        <v>0</v>
      </c>
      <c r="R2525" s="2">
        <v>308.0</v>
      </c>
      <c r="S2525" s="5">
        <f t="shared" si="8"/>
        <v>1</v>
      </c>
    </row>
    <row r="2526">
      <c r="A2526" s="2" t="s">
        <v>2535</v>
      </c>
      <c r="B2526" s="2">
        <v>160.0</v>
      </c>
      <c r="C2526" s="2">
        <v>1883.0</v>
      </c>
      <c r="D2526" s="2">
        <v>828.0</v>
      </c>
      <c r="E2526" s="3">
        <f t="shared" si="1"/>
        <v>0.4805571677</v>
      </c>
      <c r="F2526" s="2">
        <v>235.0</v>
      </c>
      <c r="G2526" s="3">
        <f t="shared" si="2"/>
        <v>0.1363900174</v>
      </c>
      <c r="H2526" s="2">
        <v>406.0</v>
      </c>
      <c r="I2526" s="3">
        <f t="shared" si="3"/>
        <v>0.2356355194</v>
      </c>
      <c r="J2526" s="2">
        <v>241.0</v>
      </c>
      <c r="K2526" s="3">
        <f t="shared" si="4"/>
        <v>0.1398723157</v>
      </c>
      <c r="L2526" s="2">
        <v>254.0</v>
      </c>
      <c r="M2526" s="3">
        <f t="shared" si="5"/>
        <v>0.6256157635</v>
      </c>
      <c r="N2526" s="2">
        <v>1880500.0</v>
      </c>
      <c r="O2526" s="4">
        <f t="shared" si="6"/>
        <v>4631.773399</v>
      </c>
      <c r="P2526" s="2">
        <v>0.0</v>
      </c>
      <c r="Q2526" s="3">
        <f t="shared" si="7"/>
        <v>0</v>
      </c>
      <c r="R2526" s="2">
        <v>0.0</v>
      </c>
      <c r="S2526" s="5">
        <f t="shared" si="8"/>
        <v>0</v>
      </c>
    </row>
    <row r="2527">
      <c r="A2527" s="2" t="s">
        <v>2536</v>
      </c>
      <c r="B2527" s="2">
        <v>2964.0</v>
      </c>
      <c r="C2527" s="2">
        <v>34580.0</v>
      </c>
      <c r="D2527" s="2">
        <v>8506.0</v>
      </c>
      <c r="E2527" s="3">
        <f t="shared" si="1"/>
        <v>0.2690409919</v>
      </c>
      <c r="F2527" s="2">
        <v>4312.0</v>
      </c>
      <c r="G2527" s="3">
        <f t="shared" si="2"/>
        <v>0.1363866397</v>
      </c>
      <c r="H2527" s="2">
        <v>6754.0</v>
      </c>
      <c r="I2527" s="3">
        <f t="shared" si="3"/>
        <v>0.2136260121</v>
      </c>
      <c r="J2527" s="2">
        <v>5689.0</v>
      </c>
      <c r="K2527" s="3">
        <f t="shared" si="4"/>
        <v>0.1799405364</v>
      </c>
      <c r="L2527" s="2">
        <v>4038.0</v>
      </c>
      <c r="M2527" s="3">
        <f t="shared" si="5"/>
        <v>0.5978679301</v>
      </c>
      <c r="N2527" s="2">
        <v>4.02433E7</v>
      </c>
      <c r="O2527" s="4">
        <f t="shared" si="6"/>
        <v>5958.439443</v>
      </c>
      <c r="P2527" s="2">
        <v>11.0</v>
      </c>
      <c r="Q2527" s="3">
        <f t="shared" si="7"/>
        <v>0.00371120108</v>
      </c>
      <c r="R2527" s="2">
        <v>2964.0</v>
      </c>
      <c r="S2527" s="5">
        <f t="shared" si="8"/>
        <v>1</v>
      </c>
    </row>
    <row r="2528">
      <c r="A2528" s="2" t="s">
        <v>2537</v>
      </c>
      <c r="B2528" s="2">
        <v>5179.0</v>
      </c>
      <c r="C2528" s="2">
        <v>60313.0</v>
      </c>
      <c r="D2528" s="2">
        <v>21275.0</v>
      </c>
      <c r="E2528" s="3">
        <f t="shared" si="1"/>
        <v>0.3858780426</v>
      </c>
      <c r="F2528" s="2">
        <v>7519.0</v>
      </c>
      <c r="G2528" s="3">
        <f t="shared" si="2"/>
        <v>0.1363768274</v>
      </c>
      <c r="H2528" s="2">
        <v>12060.0</v>
      </c>
      <c r="I2528" s="3">
        <f t="shared" si="3"/>
        <v>0.2187397976</v>
      </c>
      <c r="J2528" s="2">
        <v>10591.0</v>
      </c>
      <c r="K2528" s="3">
        <f t="shared" si="4"/>
        <v>0.1920956216</v>
      </c>
      <c r="L2528" s="2">
        <v>7200.0</v>
      </c>
      <c r="M2528" s="3">
        <f t="shared" si="5"/>
        <v>0.5970149254</v>
      </c>
      <c r="N2528" s="2">
        <v>6.79984E7</v>
      </c>
      <c r="O2528" s="4">
        <f t="shared" si="6"/>
        <v>5638.341625</v>
      </c>
      <c r="P2528" s="2">
        <v>6.0</v>
      </c>
      <c r="Q2528" s="3">
        <f t="shared" si="7"/>
        <v>0.001158524812</v>
      </c>
      <c r="R2528" s="2">
        <v>5179.0</v>
      </c>
      <c r="S2528" s="5">
        <f t="shared" si="8"/>
        <v>1</v>
      </c>
    </row>
    <row r="2529">
      <c r="A2529" s="2" t="s">
        <v>2538</v>
      </c>
      <c r="B2529" s="2">
        <v>2.0</v>
      </c>
      <c r="C2529" s="2">
        <v>24.0</v>
      </c>
      <c r="D2529" s="2">
        <v>6.0</v>
      </c>
      <c r="E2529" s="3">
        <f t="shared" si="1"/>
        <v>0.2727272727</v>
      </c>
      <c r="F2529" s="2">
        <v>3.0</v>
      </c>
      <c r="G2529" s="3">
        <f t="shared" si="2"/>
        <v>0.1363636364</v>
      </c>
      <c r="H2529" s="2">
        <v>1.0</v>
      </c>
      <c r="I2529" s="3">
        <f t="shared" si="3"/>
        <v>0.04545454545</v>
      </c>
      <c r="J2529" s="2">
        <v>5.0</v>
      </c>
      <c r="K2529" s="3">
        <f t="shared" si="4"/>
        <v>0.2272727273</v>
      </c>
      <c r="L2529" s="2">
        <v>0.0</v>
      </c>
      <c r="M2529" s="3">
        <f t="shared" si="5"/>
        <v>0</v>
      </c>
      <c r="N2529" s="2">
        <v>2000.0</v>
      </c>
      <c r="O2529" s="4">
        <f t="shared" si="6"/>
        <v>2000</v>
      </c>
      <c r="P2529" s="2">
        <v>0.0</v>
      </c>
      <c r="Q2529" s="3">
        <f t="shared" si="7"/>
        <v>0</v>
      </c>
      <c r="R2529" s="2">
        <v>0.0</v>
      </c>
      <c r="S2529" s="5">
        <f t="shared" si="8"/>
        <v>0</v>
      </c>
    </row>
    <row r="2530">
      <c r="A2530" s="2" t="s">
        <v>2539</v>
      </c>
      <c r="B2530" s="2">
        <v>60.0</v>
      </c>
      <c r="C2530" s="2">
        <v>698.0</v>
      </c>
      <c r="D2530" s="2">
        <v>213.0</v>
      </c>
      <c r="E2530" s="3">
        <f t="shared" si="1"/>
        <v>0.3338557994</v>
      </c>
      <c r="F2530" s="2">
        <v>87.0</v>
      </c>
      <c r="G2530" s="3">
        <f t="shared" si="2"/>
        <v>0.1363636364</v>
      </c>
      <c r="H2530" s="2">
        <v>138.0</v>
      </c>
      <c r="I2530" s="3">
        <f t="shared" si="3"/>
        <v>0.2163009404</v>
      </c>
      <c r="J2530" s="2">
        <v>120.0</v>
      </c>
      <c r="K2530" s="3">
        <f t="shared" si="4"/>
        <v>0.1880877743</v>
      </c>
      <c r="L2530" s="2">
        <v>75.0</v>
      </c>
      <c r="M2530" s="3">
        <f t="shared" si="5"/>
        <v>0.5434782609</v>
      </c>
      <c r="N2530" s="2">
        <v>792400.0</v>
      </c>
      <c r="O2530" s="4">
        <f t="shared" si="6"/>
        <v>5742.028986</v>
      </c>
      <c r="P2530" s="2">
        <v>0.0</v>
      </c>
      <c r="Q2530" s="3">
        <f t="shared" si="7"/>
        <v>0</v>
      </c>
      <c r="R2530" s="2">
        <v>57.0</v>
      </c>
      <c r="S2530" s="5">
        <f t="shared" si="8"/>
        <v>0.95</v>
      </c>
    </row>
    <row r="2531">
      <c r="A2531" s="2" t="s">
        <v>2540</v>
      </c>
      <c r="B2531" s="2">
        <v>250.0</v>
      </c>
      <c r="C2531" s="2">
        <v>3000.0</v>
      </c>
      <c r="D2531" s="2">
        <v>838.0</v>
      </c>
      <c r="E2531" s="3">
        <f t="shared" si="1"/>
        <v>0.3047272727</v>
      </c>
      <c r="F2531" s="2">
        <v>375.0</v>
      </c>
      <c r="G2531" s="3">
        <f t="shared" si="2"/>
        <v>0.1363636364</v>
      </c>
      <c r="H2531" s="2">
        <v>530.0</v>
      </c>
      <c r="I2531" s="3">
        <f t="shared" si="3"/>
        <v>0.1927272727</v>
      </c>
      <c r="J2531" s="2">
        <v>489.0</v>
      </c>
      <c r="K2531" s="3">
        <f t="shared" si="4"/>
        <v>0.1778181818</v>
      </c>
      <c r="L2531" s="2">
        <v>305.0</v>
      </c>
      <c r="M2531" s="3">
        <f t="shared" si="5"/>
        <v>0.5754716981</v>
      </c>
      <c r="N2531" s="2">
        <v>2863200.0</v>
      </c>
      <c r="O2531" s="4">
        <f t="shared" si="6"/>
        <v>5402.264151</v>
      </c>
      <c r="P2531" s="2">
        <v>0.0</v>
      </c>
      <c r="Q2531" s="3">
        <f t="shared" si="7"/>
        <v>0</v>
      </c>
      <c r="R2531" s="2">
        <v>250.0</v>
      </c>
      <c r="S2531" s="5">
        <f t="shared" si="8"/>
        <v>1</v>
      </c>
    </row>
    <row r="2532">
      <c r="A2532" s="2" t="s">
        <v>2541</v>
      </c>
      <c r="B2532" s="2">
        <v>351.0</v>
      </c>
      <c r="C2532" s="2">
        <v>4091.0</v>
      </c>
      <c r="D2532" s="2">
        <v>1581.0</v>
      </c>
      <c r="E2532" s="3">
        <f t="shared" si="1"/>
        <v>0.4227272727</v>
      </c>
      <c r="F2532" s="2">
        <v>510.0</v>
      </c>
      <c r="G2532" s="3">
        <f t="shared" si="2"/>
        <v>0.1363636364</v>
      </c>
      <c r="H2532" s="2">
        <v>776.0</v>
      </c>
      <c r="I2532" s="3">
        <f t="shared" si="3"/>
        <v>0.207486631</v>
      </c>
      <c r="J2532" s="2">
        <v>651.0</v>
      </c>
      <c r="K2532" s="3">
        <f t="shared" si="4"/>
        <v>0.1740641711</v>
      </c>
      <c r="L2532" s="2">
        <v>480.0</v>
      </c>
      <c r="M2532" s="3">
        <f t="shared" si="5"/>
        <v>0.618556701</v>
      </c>
      <c r="N2532" s="2">
        <v>4238800.0</v>
      </c>
      <c r="O2532" s="4">
        <f t="shared" si="6"/>
        <v>5462.371134</v>
      </c>
      <c r="P2532" s="2">
        <v>0.0</v>
      </c>
      <c r="Q2532" s="3">
        <f t="shared" si="7"/>
        <v>0</v>
      </c>
      <c r="R2532" s="2">
        <v>351.0</v>
      </c>
      <c r="S2532" s="5">
        <f t="shared" si="8"/>
        <v>1</v>
      </c>
    </row>
    <row r="2533">
      <c r="A2533" s="2" t="s">
        <v>2542</v>
      </c>
      <c r="B2533" s="2">
        <v>7.0</v>
      </c>
      <c r="C2533" s="2">
        <v>95.0</v>
      </c>
      <c r="D2533" s="2">
        <v>28.0</v>
      </c>
      <c r="E2533" s="3">
        <f t="shared" si="1"/>
        <v>0.3181818182</v>
      </c>
      <c r="F2533" s="2">
        <v>12.0</v>
      </c>
      <c r="G2533" s="3">
        <f t="shared" si="2"/>
        <v>0.1363636364</v>
      </c>
      <c r="H2533" s="2">
        <v>20.0</v>
      </c>
      <c r="I2533" s="3">
        <f t="shared" si="3"/>
        <v>0.2272727273</v>
      </c>
      <c r="J2533" s="2">
        <v>15.0</v>
      </c>
      <c r="K2533" s="3">
        <f t="shared" si="4"/>
        <v>0.1704545455</v>
      </c>
      <c r="L2533" s="2">
        <v>11.0</v>
      </c>
      <c r="M2533" s="3">
        <f t="shared" si="5"/>
        <v>0.55</v>
      </c>
      <c r="N2533" s="2">
        <v>105000.0</v>
      </c>
      <c r="O2533" s="4">
        <f t="shared" si="6"/>
        <v>5250</v>
      </c>
      <c r="P2533" s="2">
        <v>0.0</v>
      </c>
      <c r="Q2533" s="3">
        <f t="shared" si="7"/>
        <v>0</v>
      </c>
      <c r="R2533" s="2">
        <v>7.0</v>
      </c>
      <c r="S2533" s="5">
        <f t="shared" si="8"/>
        <v>1</v>
      </c>
    </row>
    <row r="2534">
      <c r="A2534" s="2" t="s">
        <v>2543</v>
      </c>
      <c r="B2534" s="2">
        <v>174.0</v>
      </c>
      <c r="C2534" s="2">
        <v>2022.0</v>
      </c>
      <c r="D2534" s="2">
        <v>602.0</v>
      </c>
      <c r="E2534" s="3">
        <f t="shared" si="1"/>
        <v>0.3257575758</v>
      </c>
      <c r="F2534" s="2">
        <v>252.0</v>
      </c>
      <c r="G2534" s="3">
        <f t="shared" si="2"/>
        <v>0.1363636364</v>
      </c>
      <c r="H2534" s="2">
        <v>393.0</v>
      </c>
      <c r="I2534" s="3">
        <f t="shared" si="3"/>
        <v>0.2126623377</v>
      </c>
      <c r="J2534" s="2">
        <v>302.0</v>
      </c>
      <c r="K2534" s="3">
        <f t="shared" si="4"/>
        <v>0.1634199134</v>
      </c>
      <c r="L2534" s="2">
        <v>231.0</v>
      </c>
      <c r="M2534" s="3">
        <f t="shared" si="5"/>
        <v>0.5877862595</v>
      </c>
      <c r="N2534" s="2">
        <v>2115900.0</v>
      </c>
      <c r="O2534" s="4">
        <f t="shared" si="6"/>
        <v>5383.969466</v>
      </c>
      <c r="P2534" s="2">
        <v>0.0</v>
      </c>
      <c r="Q2534" s="3">
        <f t="shared" si="7"/>
        <v>0</v>
      </c>
      <c r="R2534" s="2">
        <v>174.0</v>
      </c>
      <c r="S2534" s="5">
        <f t="shared" si="8"/>
        <v>1</v>
      </c>
    </row>
    <row r="2535">
      <c r="A2535" s="2" t="s">
        <v>2544</v>
      </c>
      <c r="B2535" s="2">
        <v>22.0</v>
      </c>
      <c r="C2535" s="2">
        <v>242.0</v>
      </c>
      <c r="D2535" s="2">
        <v>75.0</v>
      </c>
      <c r="E2535" s="3">
        <f t="shared" si="1"/>
        <v>0.3409090909</v>
      </c>
      <c r="F2535" s="2">
        <v>30.0</v>
      </c>
      <c r="G2535" s="3">
        <f t="shared" si="2"/>
        <v>0.1363636364</v>
      </c>
      <c r="H2535" s="2">
        <v>48.0</v>
      </c>
      <c r="I2535" s="3">
        <f t="shared" si="3"/>
        <v>0.2181818182</v>
      </c>
      <c r="J2535" s="2">
        <v>35.0</v>
      </c>
      <c r="K2535" s="3">
        <f t="shared" si="4"/>
        <v>0.1590909091</v>
      </c>
      <c r="L2535" s="2">
        <v>36.0</v>
      </c>
      <c r="M2535" s="3">
        <f t="shared" si="5"/>
        <v>0.75</v>
      </c>
      <c r="N2535" s="2">
        <v>290500.0</v>
      </c>
      <c r="O2535" s="4">
        <f t="shared" si="6"/>
        <v>6052.083333</v>
      </c>
      <c r="P2535" s="2">
        <v>1.0</v>
      </c>
      <c r="Q2535" s="3">
        <f t="shared" si="7"/>
        <v>0.04545454545</v>
      </c>
      <c r="R2535" s="2">
        <v>22.0</v>
      </c>
      <c r="S2535" s="5">
        <f t="shared" si="8"/>
        <v>1</v>
      </c>
    </row>
    <row r="2536">
      <c r="A2536" s="2" t="s">
        <v>2545</v>
      </c>
      <c r="B2536" s="2">
        <v>2.0</v>
      </c>
      <c r="C2536" s="2">
        <v>24.0</v>
      </c>
      <c r="D2536" s="2">
        <v>7.0</v>
      </c>
      <c r="E2536" s="3">
        <f t="shared" si="1"/>
        <v>0.3181818182</v>
      </c>
      <c r="F2536" s="2">
        <v>3.0</v>
      </c>
      <c r="G2536" s="3">
        <f t="shared" si="2"/>
        <v>0.1363636364</v>
      </c>
      <c r="H2536" s="2">
        <v>3.0</v>
      </c>
      <c r="I2536" s="3">
        <f t="shared" si="3"/>
        <v>0.1363636364</v>
      </c>
      <c r="J2536" s="2">
        <v>3.0</v>
      </c>
      <c r="K2536" s="3">
        <f t="shared" si="4"/>
        <v>0.1363636364</v>
      </c>
      <c r="L2536" s="2">
        <v>3.0</v>
      </c>
      <c r="M2536" s="3">
        <f t="shared" si="5"/>
        <v>1</v>
      </c>
      <c r="N2536" s="2">
        <v>15500.0</v>
      </c>
      <c r="O2536" s="4">
        <f t="shared" si="6"/>
        <v>5166.666667</v>
      </c>
      <c r="P2536" s="2">
        <v>0.0</v>
      </c>
      <c r="Q2536" s="3">
        <f t="shared" si="7"/>
        <v>0</v>
      </c>
      <c r="R2536" s="2">
        <v>2.0</v>
      </c>
      <c r="S2536" s="5">
        <f t="shared" si="8"/>
        <v>1</v>
      </c>
    </row>
    <row r="2537">
      <c r="A2537" s="2" t="s">
        <v>2546</v>
      </c>
      <c r="B2537" s="2">
        <v>95.0</v>
      </c>
      <c r="C2537" s="2">
        <v>1085.0</v>
      </c>
      <c r="D2537" s="2">
        <v>398.0</v>
      </c>
      <c r="E2537" s="3">
        <f t="shared" si="1"/>
        <v>0.402020202</v>
      </c>
      <c r="F2537" s="2">
        <v>135.0</v>
      </c>
      <c r="G2537" s="3">
        <f t="shared" si="2"/>
        <v>0.1363636364</v>
      </c>
      <c r="H2537" s="2">
        <v>186.0</v>
      </c>
      <c r="I2537" s="3">
        <f t="shared" si="3"/>
        <v>0.1878787879</v>
      </c>
      <c r="J2537" s="2">
        <v>116.0</v>
      </c>
      <c r="K2537" s="3">
        <f t="shared" si="4"/>
        <v>0.1171717172</v>
      </c>
      <c r="L2537" s="2">
        <v>119.0</v>
      </c>
      <c r="M2537" s="3">
        <f t="shared" si="5"/>
        <v>0.6397849462</v>
      </c>
      <c r="N2537" s="2">
        <v>1070600.0</v>
      </c>
      <c r="O2537" s="4">
        <f t="shared" si="6"/>
        <v>5755.913978</v>
      </c>
      <c r="P2537" s="2">
        <v>0.0</v>
      </c>
      <c r="Q2537" s="3">
        <f t="shared" si="7"/>
        <v>0</v>
      </c>
      <c r="R2537" s="2">
        <v>95.0</v>
      </c>
      <c r="S2537" s="5">
        <f t="shared" si="8"/>
        <v>1</v>
      </c>
    </row>
    <row r="2538">
      <c r="A2538" s="2" t="s">
        <v>2547</v>
      </c>
      <c r="B2538" s="2">
        <v>221.0</v>
      </c>
      <c r="C2538" s="2">
        <v>2612.0</v>
      </c>
      <c r="D2538" s="2">
        <v>661.0</v>
      </c>
      <c r="E2538" s="3">
        <f t="shared" si="1"/>
        <v>0.2764533668</v>
      </c>
      <c r="F2538" s="2">
        <v>326.0</v>
      </c>
      <c r="G2538" s="3">
        <f t="shared" si="2"/>
        <v>0.1363446257</v>
      </c>
      <c r="H2538" s="2">
        <v>483.0</v>
      </c>
      <c r="I2538" s="3">
        <f t="shared" si="3"/>
        <v>0.2020075282</v>
      </c>
      <c r="J2538" s="2">
        <v>515.0</v>
      </c>
      <c r="K2538" s="3">
        <f t="shared" si="4"/>
        <v>0.2153910498</v>
      </c>
      <c r="L2538" s="2">
        <v>261.0</v>
      </c>
      <c r="M2538" s="3">
        <f t="shared" si="5"/>
        <v>0.5403726708</v>
      </c>
      <c r="N2538" s="2">
        <v>2800300.0</v>
      </c>
      <c r="O2538" s="4">
        <f t="shared" si="6"/>
        <v>5797.722567</v>
      </c>
      <c r="P2538" s="2">
        <v>1.0</v>
      </c>
      <c r="Q2538" s="3">
        <f t="shared" si="7"/>
        <v>0.004524886878</v>
      </c>
      <c r="R2538" s="2">
        <v>221.0</v>
      </c>
      <c r="S2538" s="5">
        <f t="shared" si="8"/>
        <v>1</v>
      </c>
    </row>
    <row r="2539">
      <c r="A2539" s="2" t="s">
        <v>2548</v>
      </c>
      <c r="B2539" s="2">
        <v>178.0</v>
      </c>
      <c r="C2539" s="2">
        <v>2085.0</v>
      </c>
      <c r="D2539" s="2">
        <v>692.0</v>
      </c>
      <c r="E2539" s="3">
        <f t="shared" si="1"/>
        <v>0.3628736235</v>
      </c>
      <c r="F2539" s="2">
        <v>260.0</v>
      </c>
      <c r="G2539" s="3">
        <f t="shared" si="2"/>
        <v>0.1363398007</v>
      </c>
      <c r="H2539" s="2">
        <v>385.0</v>
      </c>
      <c r="I2539" s="3">
        <f t="shared" si="3"/>
        <v>0.2018877819</v>
      </c>
      <c r="J2539" s="2">
        <v>350.0</v>
      </c>
      <c r="K2539" s="3">
        <f t="shared" si="4"/>
        <v>0.1835343471</v>
      </c>
      <c r="L2539" s="2">
        <v>226.0</v>
      </c>
      <c r="M2539" s="3">
        <f t="shared" si="5"/>
        <v>0.587012987</v>
      </c>
      <c r="N2539" s="2">
        <v>2029500.0</v>
      </c>
      <c r="O2539" s="4">
        <f t="shared" si="6"/>
        <v>5271.428571</v>
      </c>
      <c r="P2539" s="2">
        <v>0.0</v>
      </c>
      <c r="Q2539" s="3">
        <f t="shared" si="7"/>
        <v>0</v>
      </c>
      <c r="R2539" s="2">
        <v>178.0</v>
      </c>
      <c r="S2539" s="5">
        <f t="shared" si="8"/>
        <v>1</v>
      </c>
    </row>
    <row r="2540">
      <c r="A2540" s="2" t="s">
        <v>2549</v>
      </c>
      <c r="B2540" s="2">
        <v>165.0</v>
      </c>
      <c r="C2540" s="2">
        <v>1940.0</v>
      </c>
      <c r="D2540" s="2">
        <v>495.0</v>
      </c>
      <c r="E2540" s="3">
        <f t="shared" si="1"/>
        <v>0.2788732394</v>
      </c>
      <c r="F2540" s="2">
        <v>242.0</v>
      </c>
      <c r="G2540" s="3">
        <f t="shared" si="2"/>
        <v>0.1363380282</v>
      </c>
      <c r="H2540" s="2">
        <v>316.0</v>
      </c>
      <c r="I2540" s="3">
        <f t="shared" si="3"/>
        <v>0.178028169</v>
      </c>
      <c r="J2540" s="2">
        <v>288.0</v>
      </c>
      <c r="K2540" s="3">
        <f t="shared" si="4"/>
        <v>0.1622535211</v>
      </c>
      <c r="L2540" s="2">
        <v>176.0</v>
      </c>
      <c r="M2540" s="3">
        <f t="shared" si="5"/>
        <v>0.5569620253</v>
      </c>
      <c r="N2540" s="2">
        <v>1841500.0</v>
      </c>
      <c r="O2540" s="4">
        <f t="shared" si="6"/>
        <v>5827.531646</v>
      </c>
      <c r="P2540" s="2">
        <v>1.0</v>
      </c>
      <c r="Q2540" s="3">
        <f t="shared" si="7"/>
        <v>0.006060606061</v>
      </c>
      <c r="R2540" s="2">
        <v>165.0</v>
      </c>
      <c r="S2540" s="5">
        <f t="shared" si="8"/>
        <v>1</v>
      </c>
    </row>
    <row r="2541">
      <c r="A2541" s="2" t="s">
        <v>2550</v>
      </c>
      <c r="B2541" s="2">
        <v>157.0</v>
      </c>
      <c r="C2541" s="2">
        <v>1844.0</v>
      </c>
      <c r="D2541" s="2">
        <v>662.0</v>
      </c>
      <c r="E2541" s="3">
        <f t="shared" si="1"/>
        <v>0.3924125667</v>
      </c>
      <c r="F2541" s="2">
        <v>230.0</v>
      </c>
      <c r="G2541" s="3">
        <f t="shared" si="2"/>
        <v>0.1363366924</v>
      </c>
      <c r="H2541" s="2">
        <v>343.0</v>
      </c>
      <c r="I2541" s="3">
        <f t="shared" si="3"/>
        <v>0.2033195021</v>
      </c>
      <c r="J2541" s="2">
        <v>264.0</v>
      </c>
      <c r="K2541" s="3">
        <f t="shared" si="4"/>
        <v>0.1564908121</v>
      </c>
      <c r="L2541" s="2">
        <v>208.0</v>
      </c>
      <c r="M2541" s="3">
        <f t="shared" si="5"/>
        <v>0.6064139942</v>
      </c>
      <c r="N2541" s="2">
        <v>1864200.0</v>
      </c>
      <c r="O2541" s="4">
        <f t="shared" si="6"/>
        <v>5434.985423</v>
      </c>
      <c r="P2541" s="2">
        <v>0.0</v>
      </c>
      <c r="Q2541" s="3">
        <f t="shared" si="7"/>
        <v>0</v>
      </c>
      <c r="R2541" s="2">
        <v>61.0</v>
      </c>
      <c r="S2541" s="5">
        <f t="shared" si="8"/>
        <v>0.3885350318</v>
      </c>
    </row>
    <row r="2542">
      <c r="A2542" s="2" t="s">
        <v>2551</v>
      </c>
      <c r="B2542" s="2">
        <v>2819.0</v>
      </c>
      <c r="C2542" s="2">
        <v>32921.0</v>
      </c>
      <c r="D2542" s="2">
        <v>11394.0</v>
      </c>
      <c r="E2542" s="3">
        <f t="shared" si="1"/>
        <v>0.3785130556</v>
      </c>
      <c r="F2542" s="2">
        <v>4104.0</v>
      </c>
      <c r="G2542" s="3">
        <f t="shared" si="2"/>
        <v>0.136336456</v>
      </c>
      <c r="H2542" s="2">
        <v>6613.0</v>
      </c>
      <c r="I2542" s="3">
        <f t="shared" si="3"/>
        <v>0.2196863996</v>
      </c>
      <c r="J2542" s="2">
        <v>5734.0</v>
      </c>
      <c r="K2542" s="3">
        <f t="shared" si="4"/>
        <v>0.190485682</v>
      </c>
      <c r="L2542" s="2">
        <v>3941.0</v>
      </c>
      <c r="M2542" s="3">
        <f t="shared" si="5"/>
        <v>0.5959473764</v>
      </c>
      <c r="N2542" s="2">
        <v>3.80618E7</v>
      </c>
      <c r="O2542" s="4">
        <f t="shared" si="6"/>
        <v>5755.602601</v>
      </c>
      <c r="P2542" s="2">
        <v>4.0</v>
      </c>
      <c r="Q2542" s="3">
        <f t="shared" si="7"/>
        <v>0.001418942888</v>
      </c>
      <c r="R2542" s="2">
        <v>2819.0</v>
      </c>
      <c r="S2542" s="5">
        <f t="shared" si="8"/>
        <v>1</v>
      </c>
    </row>
    <row r="2543">
      <c r="A2543" s="2" t="s">
        <v>2552</v>
      </c>
      <c r="B2543" s="2">
        <v>453.0</v>
      </c>
      <c r="C2543" s="2">
        <v>5294.0</v>
      </c>
      <c r="D2543" s="2">
        <v>1962.0</v>
      </c>
      <c r="E2543" s="3">
        <f t="shared" si="1"/>
        <v>0.4052881636</v>
      </c>
      <c r="F2543" s="2">
        <v>660.0</v>
      </c>
      <c r="G2543" s="3">
        <f t="shared" si="2"/>
        <v>0.1363354679</v>
      </c>
      <c r="H2543" s="2">
        <v>994.0</v>
      </c>
      <c r="I2543" s="3">
        <f t="shared" si="3"/>
        <v>0.2053294774</v>
      </c>
      <c r="J2543" s="2">
        <v>754.0</v>
      </c>
      <c r="K2543" s="3">
        <f t="shared" si="4"/>
        <v>0.1557529436</v>
      </c>
      <c r="L2543" s="2">
        <v>586.0</v>
      </c>
      <c r="M2543" s="3">
        <f t="shared" si="5"/>
        <v>0.5895372233</v>
      </c>
      <c r="N2543" s="2">
        <v>5479800.0</v>
      </c>
      <c r="O2543" s="4">
        <f t="shared" si="6"/>
        <v>5512.877264</v>
      </c>
      <c r="P2543" s="2">
        <v>0.0</v>
      </c>
      <c r="Q2543" s="3">
        <f t="shared" si="7"/>
        <v>0</v>
      </c>
      <c r="R2543" s="2">
        <v>453.0</v>
      </c>
      <c r="S2543" s="5">
        <f t="shared" si="8"/>
        <v>1</v>
      </c>
    </row>
    <row r="2544">
      <c r="A2544" s="2" t="s">
        <v>2553</v>
      </c>
      <c r="B2544" s="2">
        <v>1109.0</v>
      </c>
      <c r="C2544" s="2">
        <v>12882.0</v>
      </c>
      <c r="D2544" s="2">
        <v>4264.0</v>
      </c>
      <c r="E2544" s="3">
        <f t="shared" si="1"/>
        <v>0.3621846598</v>
      </c>
      <c r="F2544" s="2">
        <v>1605.0</v>
      </c>
      <c r="G2544" s="3">
        <f t="shared" si="2"/>
        <v>0.1363288881</v>
      </c>
      <c r="H2544" s="2">
        <v>2477.0</v>
      </c>
      <c r="I2544" s="3">
        <f t="shared" si="3"/>
        <v>0.2103966703</v>
      </c>
      <c r="J2544" s="2">
        <v>2037.0</v>
      </c>
      <c r="K2544" s="3">
        <f t="shared" si="4"/>
        <v>0.1730230188</v>
      </c>
      <c r="L2544" s="2">
        <v>1464.0</v>
      </c>
      <c r="M2544" s="3">
        <f t="shared" si="5"/>
        <v>0.5910375454</v>
      </c>
      <c r="N2544" s="2">
        <v>1.39005E7</v>
      </c>
      <c r="O2544" s="4">
        <f t="shared" si="6"/>
        <v>5611.828825</v>
      </c>
      <c r="P2544" s="2">
        <v>2.0</v>
      </c>
      <c r="Q2544" s="3">
        <f t="shared" si="7"/>
        <v>0.00180342651</v>
      </c>
      <c r="R2544" s="2">
        <v>1109.0</v>
      </c>
      <c r="S2544" s="5">
        <f t="shared" si="8"/>
        <v>1</v>
      </c>
    </row>
    <row r="2545">
      <c r="A2545" s="2" t="s">
        <v>2554</v>
      </c>
      <c r="B2545" s="2">
        <v>892.0</v>
      </c>
      <c r="C2545" s="2">
        <v>10502.0</v>
      </c>
      <c r="D2545" s="2">
        <v>4097.0</v>
      </c>
      <c r="E2545" s="3">
        <f t="shared" si="1"/>
        <v>0.426326743</v>
      </c>
      <c r="F2545" s="2">
        <v>1310.0</v>
      </c>
      <c r="G2545" s="3">
        <f t="shared" si="2"/>
        <v>0.1363163371</v>
      </c>
      <c r="H2545" s="2">
        <v>2105.0</v>
      </c>
      <c r="I2545" s="3">
        <f t="shared" si="3"/>
        <v>0.2190426639</v>
      </c>
      <c r="J2545" s="2">
        <v>1470.0</v>
      </c>
      <c r="K2545" s="3">
        <f t="shared" si="4"/>
        <v>0.1529656608</v>
      </c>
      <c r="L2545" s="2">
        <v>1303.0</v>
      </c>
      <c r="M2545" s="3">
        <f t="shared" si="5"/>
        <v>0.6190023753</v>
      </c>
      <c r="N2545" s="2">
        <v>1.1417E7</v>
      </c>
      <c r="O2545" s="4">
        <f t="shared" si="6"/>
        <v>5423.752969</v>
      </c>
      <c r="P2545" s="2">
        <v>2.0</v>
      </c>
      <c r="Q2545" s="3">
        <f t="shared" si="7"/>
        <v>0.002242152466</v>
      </c>
      <c r="R2545" s="2">
        <v>892.0</v>
      </c>
      <c r="S2545" s="5">
        <f t="shared" si="8"/>
        <v>1</v>
      </c>
    </row>
    <row r="2546">
      <c r="A2546" s="2" t="s">
        <v>2555</v>
      </c>
      <c r="B2546" s="2">
        <v>913.0</v>
      </c>
      <c r="C2546" s="2">
        <v>10553.0</v>
      </c>
      <c r="D2546" s="2">
        <v>3319.0</v>
      </c>
      <c r="E2546" s="3">
        <f t="shared" si="1"/>
        <v>0.3442946058</v>
      </c>
      <c r="F2546" s="2">
        <v>1314.0</v>
      </c>
      <c r="G2546" s="3">
        <f t="shared" si="2"/>
        <v>0.1363070539</v>
      </c>
      <c r="H2546" s="2">
        <v>2157.0</v>
      </c>
      <c r="I2546" s="3">
        <f t="shared" si="3"/>
        <v>0.2237551867</v>
      </c>
      <c r="J2546" s="2">
        <v>1868.0</v>
      </c>
      <c r="K2546" s="3">
        <f t="shared" si="4"/>
        <v>0.1937759336</v>
      </c>
      <c r="L2546" s="2">
        <v>1312.0</v>
      </c>
      <c r="M2546" s="3">
        <f t="shared" si="5"/>
        <v>0.6082522021</v>
      </c>
      <c r="N2546" s="2">
        <v>1.1876E7</v>
      </c>
      <c r="O2546" s="4">
        <f t="shared" si="6"/>
        <v>5505.795086</v>
      </c>
      <c r="P2546" s="2">
        <v>0.0</v>
      </c>
      <c r="Q2546" s="3">
        <f t="shared" si="7"/>
        <v>0</v>
      </c>
      <c r="R2546" s="2">
        <v>913.0</v>
      </c>
      <c r="S2546" s="5">
        <f t="shared" si="8"/>
        <v>1</v>
      </c>
    </row>
    <row r="2547">
      <c r="A2547" s="2" t="s">
        <v>2556</v>
      </c>
      <c r="B2547" s="2">
        <v>403.0</v>
      </c>
      <c r="C2547" s="2">
        <v>4717.0</v>
      </c>
      <c r="D2547" s="2">
        <v>1404.0</v>
      </c>
      <c r="E2547" s="3">
        <f t="shared" si="1"/>
        <v>0.3254520167</v>
      </c>
      <c r="F2547" s="2">
        <v>588.0</v>
      </c>
      <c r="G2547" s="3">
        <f t="shared" si="2"/>
        <v>0.1363004172</v>
      </c>
      <c r="H2547" s="2">
        <v>896.0</v>
      </c>
      <c r="I2547" s="3">
        <f t="shared" si="3"/>
        <v>0.2076958739</v>
      </c>
      <c r="J2547" s="2">
        <v>695.0</v>
      </c>
      <c r="K2547" s="3">
        <f t="shared" si="4"/>
        <v>0.1611033843</v>
      </c>
      <c r="L2547" s="2">
        <v>532.0</v>
      </c>
      <c r="M2547" s="3">
        <f t="shared" si="5"/>
        <v>0.59375</v>
      </c>
      <c r="N2547" s="2">
        <v>5272900.0</v>
      </c>
      <c r="O2547" s="4">
        <f t="shared" si="6"/>
        <v>5884.933036</v>
      </c>
      <c r="P2547" s="2">
        <v>2.0</v>
      </c>
      <c r="Q2547" s="3">
        <f t="shared" si="7"/>
        <v>0.004962779156</v>
      </c>
      <c r="R2547" s="2">
        <v>403.0</v>
      </c>
      <c r="S2547" s="5">
        <f t="shared" si="8"/>
        <v>1</v>
      </c>
    </row>
    <row r="2548">
      <c r="A2548" s="2" t="s">
        <v>2557</v>
      </c>
      <c r="B2548" s="2">
        <v>393.0</v>
      </c>
      <c r="C2548" s="2">
        <v>4575.0</v>
      </c>
      <c r="D2548" s="2">
        <v>1481.0</v>
      </c>
      <c r="E2548" s="3">
        <f t="shared" si="1"/>
        <v>0.3541367767</v>
      </c>
      <c r="F2548" s="2">
        <v>570.0</v>
      </c>
      <c r="G2548" s="3">
        <f t="shared" si="2"/>
        <v>0.1362984218</v>
      </c>
      <c r="H2548" s="2">
        <v>847.0</v>
      </c>
      <c r="I2548" s="3">
        <f t="shared" si="3"/>
        <v>0.2025346724</v>
      </c>
      <c r="J2548" s="2">
        <v>674.0</v>
      </c>
      <c r="K2548" s="3">
        <f t="shared" si="4"/>
        <v>0.1611669058</v>
      </c>
      <c r="L2548" s="2">
        <v>488.0</v>
      </c>
      <c r="M2548" s="3">
        <f t="shared" si="5"/>
        <v>0.5761511216</v>
      </c>
      <c r="N2548" s="2">
        <v>4800800.0</v>
      </c>
      <c r="O2548" s="4">
        <f t="shared" si="6"/>
        <v>5668.004723</v>
      </c>
      <c r="P2548" s="2">
        <v>1.0</v>
      </c>
      <c r="Q2548" s="3">
        <f t="shared" si="7"/>
        <v>0.002544529262</v>
      </c>
      <c r="R2548" s="2">
        <v>40.0</v>
      </c>
      <c r="S2548" s="5">
        <f t="shared" si="8"/>
        <v>0.1017811705</v>
      </c>
    </row>
    <row r="2549">
      <c r="A2549" s="2" t="s">
        <v>2558</v>
      </c>
      <c r="B2549" s="2">
        <v>610.0</v>
      </c>
      <c r="C2549" s="2">
        <v>7228.0</v>
      </c>
      <c r="D2549" s="2">
        <v>2264.0</v>
      </c>
      <c r="E2549" s="3">
        <f t="shared" si="1"/>
        <v>0.3420973104</v>
      </c>
      <c r="F2549" s="2">
        <v>902.0</v>
      </c>
      <c r="G2549" s="3">
        <f t="shared" si="2"/>
        <v>0.1362949532</v>
      </c>
      <c r="H2549" s="2">
        <v>1470.0</v>
      </c>
      <c r="I2549" s="3">
        <f t="shared" si="3"/>
        <v>0.2221214869</v>
      </c>
      <c r="J2549" s="2">
        <v>1156.0</v>
      </c>
      <c r="K2549" s="3">
        <f t="shared" si="4"/>
        <v>0.1746751284</v>
      </c>
      <c r="L2549" s="2">
        <v>891.0</v>
      </c>
      <c r="M2549" s="3">
        <f t="shared" si="5"/>
        <v>0.606122449</v>
      </c>
      <c r="N2549" s="2">
        <v>7745500.0</v>
      </c>
      <c r="O2549" s="4">
        <f t="shared" si="6"/>
        <v>5269.047619</v>
      </c>
      <c r="P2549" s="2">
        <v>2.0</v>
      </c>
      <c r="Q2549" s="3">
        <f t="shared" si="7"/>
        <v>0.003278688525</v>
      </c>
      <c r="R2549" s="2">
        <v>610.0</v>
      </c>
      <c r="S2549" s="5">
        <f t="shared" si="8"/>
        <v>1</v>
      </c>
    </row>
    <row r="2550">
      <c r="A2550" s="2" t="s">
        <v>2559</v>
      </c>
      <c r="B2550" s="2">
        <v>1912.0</v>
      </c>
      <c r="C2550" s="2">
        <v>22428.0</v>
      </c>
      <c r="D2550" s="2">
        <v>7268.0</v>
      </c>
      <c r="E2550" s="3">
        <f t="shared" si="1"/>
        <v>0.3542600897</v>
      </c>
      <c r="F2550" s="2">
        <v>2796.0</v>
      </c>
      <c r="G2550" s="3">
        <f t="shared" si="2"/>
        <v>0.136283876</v>
      </c>
      <c r="H2550" s="2">
        <v>4371.0</v>
      </c>
      <c r="I2550" s="3">
        <f t="shared" si="3"/>
        <v>0.2130532267</v>
      </c>
      <c r="J2550" s="2">
        <v>3053.0</v>
      </c>
      <c r="K2550" s="3">
        <f t="shared" si="4"/>
        <v>0.1488106843</v>
      </c>
      <c r="L2550" s="2">
        <v>2632.0</v>
      </c>
      <c r="M2550" s="3">
        <f t="shared" si="5"/>
        <v>0.6021505376</v>
      </c>
      <c r="N2550" s="2">
        <v>2.40978E7</v>
      </c>
      <c r="O2550" s="4">
        <f t="shared" si="6"/>
        <v>5513.109128</v>
      </c>
      <c r="P2550" s="2">
        <v>5.0</v>
      </c>
      <c r="Q2550" s="3">
        <f t="shared" si="7"/>
        <v>0.002615062762</v>
      </c>
      <c r="R2550" s="2">
        <v>1912.0</v>
      </c>
      <c r="S2550" s="5">
        <f t="shared" si="8"/>
        <v>1</v>
      </c>
    </row>
    <row r="2551">
      <c r="A2551" s="2" t="s">
        <v>2560</v>
      </c>
      <c r="B2551" s="2">
        <v>46.0</v>
      </c>
      <c r="C2551" s="2">
        <v>545.0</v>
      </c>
      <c r="D2551" s="2">
        <v>150.0</v>
      </c>
      <c r="E2551" s="3">
        <f t="shared" si="1"/>
        <v>0.3006012024</v>
      </c>
      <c r="F2551" s="2">
        <v>68.0</v>
      </c>
      <c r="G2551" s="3">
        <f t="shared" si="2"/>
        <v>0.1362725451</v>
      </c>
      <c r="H2551" s="2">
        <v>106.0</v>
      </c>
      <c r="I2551" s="3">
        <f t="shared" si="3"/>
        <v>0.2124248497</v>
      </c>
      <c r="J2551" s="2">
        <v>92.0</v>
      </c>
      <c r="K2551" s="3">
        <f t="shared" si="4"/>
        <v>0.1843687375</v>
      </c>
      <c r="L2551" s="2">
        <v>71.0</v>
      </c>
      <c r="M2551" s="3">
        <f t="shared" si="5"/>
        <v>0.6698113208</v>
      </c>
      <c r="N2551" s="2">
        <v>585100.0</v>
      </c>
      <c r="O2551" s="4">
        <f t="shared" si="6"/>
        <v>5519.811321</v>
      </c>
      <c r="P2551" s="2">
        <v>0.0</v>
      </c>
      <c r="Q2551" s="3">
        <f t="shared" si="7"/>
        <v>0</v>
      </c>
      <c r="R2551" s="2">
        <v>46.0</v>
      </c>
      <c r="S2551" s="5">
        <f t="shared" si="8"/>
        <v>1</v>
      </c>
    </row>
    <row r="2552">
      <c r="A2552" s="2" t="s">
        <v>2561</v>
      </c>
      <c r="B2552" s="2">
        <v>43.0</v>
      </c>
      <c r="C2552" s="2">
        <v>520.0</v>
      </c>
      <c r="D2552" s="2">
        <v>179.0</v>
      </c>
      <c r="E2552" s="3">
        <f t="shared" si="1"/>
        <v>0.3752620545</v>
      </c>
      <c r="F2552" s="2">
        <v>65.0</v>
      </c>
      <c r="G2552" s="3">
        <f t="shared" si="2"/>
        <v>0.1362683438</v>
      </c>
      <c r="H2552" s="2">
        <v>102.0</v>
      </c>
      <c r="I2552" s="3">
        <f t="shared" si="3"/>
        <v>0.213836478</v>
      </c>
      <c r="J2552" s="2">
        <v>91.0</v>
      </c>
      <c r="K2552" s="3">
        <f t="shared" si="4"/>
        <v>0.1907756813</v>
      </c>
      <c r="L2552" s="2">
        <v>61.0</v>
      </c>
      <c r="M2552" s="3">
        <f t="shared" si="5"/>
        <v>0.5980392157</v>
      </c>
      <c r="N2552" s="2">
        <v>445800.0</v>
      </c>
      <c r="O2552" s="4">
        <f t="shared" si="6"/>
        <v>4370.588235</v>
      </c>
      <c r="P2552" s="2">
        <v>0.0</v>
      </c>
      <c r="Q2552" s="3">
        <f t="shared" si="7"/>
        <v>0</v>
      </c>
      <c r="R2552" s="2">
        <v>43.0</v>
      </c>
      <c r="S2552" s="5">
        <f t="shared" si="8"/>
        <v>1</v>
      </c>
    </row>
    <row r="2553">
      <c r="A2553" s="2" t="s">
        <v>2562</v>
      </c>
      <c r="B2553" s="2">
        <v>40.0</v>
      </c>
      <c r="C2553" s="2">
        <v>473.0</v>
      </c>
      <c r="D2553" s="2">
        <v>151.0</v>
      </c>
      <c r="E2553" s="3">
        <f t="shared" si="1"/>
        <v>0.3487297921</v>
      </c>
      <c r="F2553" s="2">
        <v>59.0</v>
      </c>
      <c r="G2553" s="3">
        <f t="shared" si="2"/>
        <v>0.1362586605</v>
      </c>
      <c r="H2553" s="2">
        <v>101.0</v>
      </c>
      <c r="I2553" s="3">
        <f t="shared" si="3"/>
        <v>0.233256351</v>
      </c>
      <c r="J2553" s="2">
        <v>82.0</v>
      </c>
      <c r="K2553" s="3">
        <f t="shared" si="4"/>
        <v>0.1893764434</v>
      </c>
      <c r="L2553" s="2">
        <v>63.0</v>
      </c>
      <c r="M2553" s="3">
        <f t="shared" si="5"/>
        <v>0.6237623762</v>
      </c>
      <c r="N2553" s="2">
        <v>551300.0</v>
      </c>
      <c r="O2553" s="4">
        <f t="shared" si="6"/>
        <v>5458.415842</v>
      </c>
      <c r="P2553" s="2">
        <v>0.0</v>
      </c>
      <c r="Q2553" s="3">
        <f t="shared" si="7"/>
        <v>0</v>
      </c>
      <c r="R2553" s="2">
        <v>40.0</v>
      </c>
      <c r="S2553" s="5">
        <f t="shared" si="8"/>
        <v>1</v>
      </c>
    </row>
    <row r="2554">
      <c r="A2554" s="2" t="s">
        <v>2563</v>
      </c>
      <c r="B2554" s="2">
        <v>78.0</v>
      </c>
      <c r="C2554" s="2">
        <v>900.0</v>
      </c>
      <c r="D2554" s="2">
        <v>311.0</v>
      </c>
      <c r="E2554" s="3">
        <f t="shared" si="1"/>
        <v>0.3783454988</v>
      </c>
      <c r="F2554" s="2">
        <v>112.0</v>
      </c>
      <c r="G2554" s="3">
        <f t="shared" si="2"/>
        <v>0.1362530414</v>
      </c>
      <c r="H2554" s="2">
        <v>154.0</v>
      </c>
      <c r="I2554" s="3">
        <f t="shared" si="3"/>
        <v>0.1873479319</v>
      </c>
      <c r="J2554" s="2">
        <v>142.0</v>
      </c>
      <c r="K2554" s="3">
        <f t="shared" si="4"/>
        <v>0.1727493917</v>
      </c>
      <c r="L2554" s="2">
        <v>92.0</v>
      </c>
      <c r="M2554" s="3">
        <f t="shared" si="5"/>
        <v>0.5974025974</v>
      </c>
      <c r="N2554" s="2">
        <v>938700.0</v>
      </c>
      <c r="O2554" s="4">
        <f t="shared" si="6"/>
        <v>6095.454545</v>
      </c>
      <c r="P2554" s="2">
        <v>0.0</v>
      </c>
      <c r="Q2554" s="3">
        <f t="shared" si="7"/>
        <v>0</v>
      </c>
      <c r="R2554" s="2">
        <v>0.0</v>
      </c>
      <c r="S2554" s="5">
        <f t="shared" si="8"/>
        <v>0</v>
      </c>
    </row>
    <row r="2555">
      <c r="A2555" s="2" t="s">
        <v>2564</v>
      </c>
      <c r="B2555" s="2">
        <v>36.0</v>
      </c>
      <c r="C2555" s="2">
        <v>425.0</v>
      </c>
      <c r="D2555" s="2">
        <v>124.0</v>
      </c>
      <c r="E2555" s="3">
        <f t="shared" si="1"/>
        <v>0.3187660668</v>
      </c>
      <c r="F2555" s="2">
        <v>53.0</v>
      </c>
      <c r="G2555" s="3">
        <f t="shared" si="2"/>
        <v>0.1362467866</v>
      </c>
      <c r="H2555" s="2">
        <v>70.0</v>
      </c>
      <c r="I2555" s="3">
        <f t="shared" si="3"/>
        <v>0.1799485861</v>
      </c>
      <c r="J2555" s="2">
        <v>73.0</v>
      </c>
      <c r="K2555" s="3">
        <f t="shared" si="4"/>
        <v>0.1876606684</v>
      </c>
      <c r="L2555" s="2">
        <v>41.0</v>
      </c>
      <c r="M2555" s="3">
        <f t="shared" si="5"/>
        <v>0.5857142857</v>
      </c>
      <c r="N2555" s="2">
        <v>393500.0</v>
      </c>
      <c r="O2555" s="4">
        <f t="shared" si="6"/>
        <v>5621.428571</v>
      </c>
      <c r="P2555" s="2">
        <v>0.0</v>
      </c>
      <c r="Q2555" s="3">
        <f t="shared" si="7"/>
        <v>0</v>
      </c>
      <c r="R2555" s="2">
        <v>36.0</v>
      </c>
      <c r="S2555" s="5">
        <f t="shared" si="8"/>
        <v>1</v>
      </c>
    </row>
    <row r="2556">
      <c r="A2556" s="2" t="s">
        <v>2565</v>
      </c>
      <c r="B2556" s="2">
        <v>184.0</v>
      </c>
      <c r="C2556" s="2">
        <v>2107.0</v>
      </c>
      <c r="D2556" s="2">
        <v>724.0</v>
      </c>
      <c r="E2556" s="3">
        <f t="shared" si="1"/>
        <v>0.3764950598</v>
      </c>
      <c r="F2556" s="2">
        <v>262.0</v>
      </c>
      <c r="G2556" s="3">
        <f t="shared" si="2"/>
        <v>0.1362454498</v>
      </c>
      <c r="H2556" s="2">
        <v>397.0</v>
      </c>
      <c r="I2556" s="3">
        <f t="shared" si="3"/>
        <v>0.2064482579</v>
      </c>
      <c r="J2556" s="2">
        <v>311.0</v>
      </c>
      <c r="K2556" s="3">
        <f t="shared" si="4"/>
        <v>0.1617264691</v>
      </c>
      <c r="L2556" s="2">
        <v>250.0</v>
      </c>
      <c r="M2556" s="3">
        <f t="shared" si="5"/>
        <v>0.6297229219</v>
      </c>
      <c r="N2556" s="2">
        <v>2124200.0</v>
      </c>
      <c r="O2556" s="4">
        <f t="shared" si="6"/>
        <v>5350.629723</v>
      </c>
      <c r="P2556" s="2">
        <v>1.0</v>
      </c>
      <c r="Q2556" s="3">
        <f t="shared" si="7"/>
        <v>0.005434782609</v>
      </c>
      <c r="R2556" s="2">
        <v>184.0</v>
      </c>
      <c r="S2556" s="5">
        <f t="shared" si="8"/>
        <v>1</v>
      </c>
    </row>
    <row r="2557">
      <c r="A2557" s="2" t="s">
        <v>2566</v>
      </c>
      <c r="B2557" s="2">
        <v>171.0</v>
      </c>
      <c r="C2557" s="2">
        <v>1984.0</v>
      </c>
      <c r="D2557" s="2">
        <v>584.0</v>
      </c>
      <c r="E2557" s="3">
        <f t="shared" si="1"/>
        <v>0.3221180364</v>
      </c>
      <c r="F2557" s="2">
        <v>247.0</v>
      </c>
      <c r="G2557" s="3">
        <f t="shared" si="2"/>
        <v>0.1362382791</v>
      </c>
      <c r="H2557" s="2">
        <v>385.0</v>
      </c>
      <c r="I2557" s="3">
        <f t="shared" si="3"/>
        <v>0.2123552124</v>
      </c>
      <c r="J2557" s="2">
        <v>295.0</v>
      </c>
      <c r="K2557" s="3">
        <f t="shared" si="4"/>
        <v>0.1627137341</v>
      </c>
      <c r="L2557" s="2">
        <v>220.0</v>
      </c>
      <c r="M2557" s="3">
        <f t="shared" si="5"/>
        <v>0.5714285714</v>
      </c>
      <c r="N2557" s="2">
        <v>2090800.0</v>
      </c>
      <c r="O2557" s="4">
        <f t="shared" si="6"/>
        <v>5430.649351</v>
      </c>
      <c r="P2557" s="2">
        <v>1.0</v>
      </c>
      <c r="Q2557" s="3">
        <f t="shared" si="7"/>
        <v>0.005847953216</v>
      </c>
      <c r="R2557" s="2">
        <v>171.0</v>
      </c>
      <c r="S2557" s="5">
        <f t="shared" si="8"/>
        <v>1</v>
      </c>
    </row>
    <row r="2558">
      <c r="A2558" s="2" t="s">
        <v>2567</v>
      </c>
      <c r="B2558" s="2">
        <v>678.0</v>
      </c>
      <c r="C2558" s="2">
        <v>7835.0</v>
      </c>
      <c r="D2558" s="2">
        <v>2359.0</v>
      </c>
      <c r="E2558" s="3">
        <f t="shared" si="1"/>
        <v>0.3296073774</v>
      </c>
      <c r="F2558" s="2">
        <v>975.0</v>
      </c>
      <c r="G2558" s="3">
        <f t="shared" si="2"/>
        <v>0.1362302641</v>
      </c>
      <c r="H2558" s="2">
        <v>1519.0</v>
      </c>
      <c r="I2558" s="3">
        <f t="shared" si="3"/>
        <v>0.2122397653</v>
      </c>
      <c r="J2558" s="2">
        <v>1499.0</v>
      </c>
      <c r="K2558" s="3">
        <f t="shared" si="4"/>
        <v>0.2094452983</v>
      </c>
      <c r="L2558" s="2">
        <v>905.0</v>
      </c>
      <c r="M2558" s="3">
        <f t="shared" si="5"/>
        <v>0.5957867018</v>
      </c>
      <c r="N2558" s="2">
        <v>9116100.0</v>
      </c>
      <c r="O2558" s="4">
        <f t="shared" si="6"/>
        <v>6001.382488</v>
      </c>
      <c r="P2558" s="2">
        <v>0.0</v>
      </c>
      <c r="Q2558" s="3">
        <f t="shared" si="7"/>
        <v>0</v>
      </c>
      <c r="R2558" s="2">
        <v>678.0</v>
      </c>
      <c r="S2558" s="5">
        <f t="shared" si="8"/>
        <v>1</v>
      </c>
    </row>
    <row r="2559">
      <c r="A2559" s="2" t="s">
        <v>2568</v>
      </c>
      <c r="B2559" s="2">
        <v>504.0</v>
      </c>
      <c r="C2559" s="2">
        <v>5936.0</v>
      </c>
      <c r="D2559" s="2">
        <v>2147.0</v>
      </c>
      <c r="E2559" s="3">
        <f t="shared" si="1"/>
        <v>0.3952503682</v>
      </c>
      <c r="F2559" s="2">
        <v>740.0</v>
      </c>
      <c r="G2559" s="3">
        <f t="shared" si="2"/>
        <v>0.1362297496</v>
      </c>
      <c r="H2559" s="2">
        <v>1202.0</v>
      </c>
      <c r="I2559" s="3">
        <f t="shared" si="3"/>
        <v>0.221281296</v>
      </c>
      <c r="J2559" s="2">
        <v>1008.0</v>
      </c>
      <c r="K2559" s="3">
        <f t="shared" si="4"/>
        <v>0.1855670103</v>
      </c>
      <c r="L2559" s="2">
        <v>701.0</v>
      </c>
      <c r="M2559" s="3">
        <f t="shared" si="5"/>
        <v>0.5831946755</v>
      </c>
      <c r="N2559" s="2">
        <v>6417500.0</v>
      </c>
      <c r="O2559" s="4">
        <f t="shared" si="6"/>
        <v>5339.018303</v>
      </c>
      <c r="P2559" s="2">
        <v>2.0</v>
      </c>
      <c r="Q2559" s="3">
        <f t="shared" si="7"/>
        <v>0.003968253968</v>
      </c>
      <c r="R2559" s="2">
        <v>504.0</v>
      </c>
      <c r="S2559" s="5">
        <f t="shared" si="8"/>
        <v>1</v>
      </c>
    </row>
    <row r="2560">
      <c r="A2560" s="2" t="s">
        <v>2569</v>
      </c>
      <c r="B2560" s="2">
        <v>59.0</v>
      </c>
      <c r="C2560" s="2">
        <v>661.0</v>
      </c>
      <c r="D2560" s="2">
        <v>204.0</v>
      </c>
      <c r="E2560" s="3">
        <f t="shared" si="1"/>
        <v>0.3388704319</v>
      </c>
      <c r="F2560" s="2">
        <v>82.0</v>
      </c>
      <c r="G2560" s="3">
        <f t="shared" si="2"/>
        <v>0.1362126246</v>
      </c>
      <c r="H2560" s="2">
        <v>134.0</v>
      </c>
      <c r="I2560" s="3">
        <f t="shared" si="3"/>
        <v>0.2225913621</v>
      </c>
      <c r="J2560" s="2">
        <v>120.0</v>
      </c>
      <c r="K2560" s="3">
        <f t="shared" si="4"/>
        <v>0.1993355482</v>
      </c>
      <c r="L2560" s="2">
        <v>79.0</v>
      </c>
      <c r="M2560" s="3">
        <f t="shared" si="5"/>
        <v>0.5895522388</v>
      </c>
      <c r="N2560" s="2">
        <v>688200.0</v>
      </c>
      <c r="O2560" s="4">
        <f t="shared" si="6"/>
        <v>5135.820896</v>
      </c>
      <c r="P2560" s="2">
        <v>0.0</v>
      </c>
      <c r="Q2560" s="3">
        <f t="shared" si="7"/>
        <v>0</v>
      </c>
      <c r="R2560" s="2">
        <v>0.0</v>
      </c>
      <c r="S2560" s="5">
        <f t="shared" si="8"/>
        <v>0</v>
      </c>
    </row>
    <row r="2561">
      <c r="A2561" s="2" t="s">
        <v>2570</v>
      </c>
      <c r="B2561" s="2">
        <v>768.0</v>
      </c>
      <c r="C2561" s="2">
        <v>9042.0</v>
      </c>
      <c r="D2561" s="2">
        <v>2629.0</v>
      </c>
      <c r="E2561" s="3">
        <f t="shared" si="1"/>
        <v>0.3177423254</v>
      </c>
      <c r="F2561" s="2">
        <v>1127.0</v>
      </c>
      <c r="G2561" s="3">
        <f t="shared" si="2"/>
        <v>0.1362098139</v>
      </c>
      <c r="H2561" s="2">
        <v>1607.0</v>
      </c>
      <c r="I2561" s="3">
        <f t="shared" si="3"/>
        <v>0.1942228668</v>
      </c>
      <c r="J2561" s="2">
        <v>1345.0</v>
      </c>
      <c r="K2561" s="3">
        <f t="shared" si="4"/>
        <v>0.1625574088</v>
      </c>
      <c r="L2561" s="2">
        <v>954.0</v>
      </c>
      <c r="M2561" s="3">
        <f t="shared" si="5"/>
        <v>0.5936527691</v>
      </c>
      <c r="N2561" s="2">
        <v>9657000.0</v>
      </c>
      <c r="O2561" s="4">
        <f t="shared" si="6"/>
        <v>6009.334163</v>
      </c>
      <c r="P2561" s="2">
        <v>1.0</v>
      </c>
      <c r="Q2561" s="3">
        <f t="shared" si="7"/>
        <v>0.001302083333</v>
      </c>
      <c r="R2561" s="2">
        <v>0.0</v>
      </c>
      <c r="S2561" s="5">
        <f t="shared" si="8"/>
        <v>0</v>
      </c>
    </row>
    <row r="2562">
      <c r="A2562" s="2" t="s">
        <v>2571</v>
      </c>
      <c r="B2562" s="2">
        <v>81.0</v>
      </c>
      <c r="C2562" s="2">
        <v>962.0</v>
      </c>
      <c r="D2562" s="2">
        <v>342.0</v>
      </c>
      <c r="E2562" s="3">
        <f t="shared" si="1"/>
        <v>0.3881952327</v>
      </c>
      <c r="F2562" s="2">
        <v>120.0</v>
      </c>
      <c r="G2562" s="3">
        <f t="shared" si="2"/>
        <v>0.1362088536</v>
      </c>
      <c r="H2562" s="2">
        <v>201.0</v>
      </c>
      <c r="I2562" s="3">
        <f t="shared" si="3"/>
        <v>0.2281498297</v>
      </c>
      <c r="J2562" s="2">
        <v>138.0</v>
      </c>
      <c r="K2562" s="3">
        <f t="shared" si="4"/>
        <v>0.1566401816</v>
      </c>
      <c r="L2562" s="2">
        <v>138.0</v>
      </c>
      <c r="M2562" s="3">
        <f t="shared" si="5"/>
        <v>0.6865671642</v>
      </c>
      <c r="N2562" s="2">
        <v>1062200.0</v>
      </c>
      <c r="O2562" s="4">
        <f t="shared" si="6"/>
        <v>5284.577114</v>
      </c>
      <c r="P2562" s="2">
        <v>0.0</v>
      </c>
      <c r="Q2562" s="3">
        <f t="shared" si="7"/>
        <v>0</v>
      </c>
      <c r="R2562" s="2">
        <v>52.0</v>
      </c>
      <c r="S2562" s="5">
        <f t="shared" si="8"/>
        <v>0.6419753086</v>
      </c>
    </row>
    <row r="2563">
      <c r="A2563" s="2" t="s">
        <v>2572</v>
      </c>
      <c r="B2563" s="2">
        <v>270.0</v>
      </c>
      <c r="C2563" s="2">
        <v>3170.0</v>
      </c>
      <c r="D2563" s="2">
        <v>980.0</v>
      </c>
      <c r="E2563" s="3">
        <f t="shared" si="1"/>
        <v>0.3379310345</v>
      </c>
      <c r="F2563" s="2">
        <v>395.0</v>
      </c>
      <c r="G2563" s="3">
        <f t="shared" si="2"/>
        <v>0.1362068966</v>
      </c>
      <c r="H2563" s="2">
        <v>588.0</v>
      </c>
      <c r="I2563" s="3">
        <f t="shared" si="3"/>
        <v>0.2027586207</v>
      </c>
      <c r="J2563" s="2">
        <v>419.0</v>
      </c>
      <c r="K2563" s="3">
        <f t="shared" si="4"/>
        <v>0.1444827586</v>
      </c>
      <c r="L2563" s="2">
        <v>366.0</v>
      </c>
      <c r="M2563" s="3">
        <f t="shared" si="5"/>
        <v>0.6224489796</v>
      </c>
      <c r="N2563" s="2">
        <v>3234100.0</v>
      </c>
      <c r="O2563" s="4">
        <f t="shared" si="6"/>
        <v>5500.170068</v>
      </c>
      <c r="P2563" s="2">
        <v>3.0</v>
      </c>
      <c r="Q2563" s="3">
        <f t="shared" si="7"/>
        <v>0.01111111111</v>
      </c>
      <c r="R2563" s="2">
        <v>63.0</v>
      </c>
      <c r="S2563" s="5">
        <f t="shared" si="8"/>
        <v>0.2333333333</v>
      </c>
    </row>
    <row r="2564">
      <c r="A2564" s="2" t="s">
        <v>2573</v>
      </c>
      <c r="B2564" s="2">
        <v>76.0</v>
      </c>
      <c r="C2564" s="2">
        <v>891.0</v>
      </c>
      <c r="D2564" s="2">
        <v>266.0</v>
      </c>
      <c r="E2564" s="3">
        <f t="shared" si="1"/>
        <v>0.3263803681</v>
      </c>
      <c r="F2564" s="2">
        <v>111.0</v>
      </c>
      <c r="G2564" s="3">
        <f t="shared" si="2"/>
        <v>0.136196319</v>
      </c>
      <c r="H2564" s="2">
        <v>180.0</v>
      </c>
      <c r="I2564" s="3">
        <f t="shared" si="3"/>
        <v>0.2208588957</v>
      </c>
      <c r="J2564" s="2">
        <v>131.0</v>
      </c>
      <c r="K2564" s="3">
        <f t="shared" si="4"/>
        <v>0.1607361963</v>
      </c>
      <c r="L2564" s="2">
        <v>119.0</v>
      </c>
      <c r="M2564" s="3">
        <f t="shared" si="5"/>
        <v>0.6611111111</v>
      </c>
      <c r="N2564" s="2">
        <v>946400.0</v>
      </c>
      <c r="O2564" s="4">
        <f t="shared" si="6"/>
        <v>5257.777778</v>
      </c>
      <c r="P2564" s="2">
        <v>0.0</v>
      </c>
      <c r="Q2564" s="3">
        <f t="shared" si="7"/>
        <v>0</v>
      </c>
      <c r="R2564" s="2">
        <v>76.0</v>
      </c>
      <c r="S2564" s="5">
        <f t="shared" si="8"/>
        <v>1</v>
      </c>
    </row>
    <row r="2565">
      <c r="A2565" s="2" t="s">
        <v>2574</v>
      </c>
      <c r="B2565" s="2">
        <v>170.0</v>
      </c>
      <c r="C2565" s="2">
        <v>2013.0</v>
      </c>
      <c r="D2565" s="2">
        <v>732.0</v>
      </c>
      <c r="E2565" s="3">
        <f t="shared" si="1"/>
        <v>0.3971785133</v>
      </c>
      <c r="F2565" s="2">
        <v>251.0</v>
      </c>
      <c r="G2565" s="3">
        <f t="shared" si="2"/>
        <v>0.1361909929</v>
      </c>
      <c r="H2565" s="2">
        <v>374.0</v>
      </c>
      <c r="I2565" s="3">
        <f t="shared" si="3"/>
        <v>0.2029300054</v>
      </c>
      <c r="J2565" s="2">
        <v>279.0</v>
      </c>
      <c r="K2565" s="3">
        <f t="shared" si="4"/>
        <v>0.1513836137</v>
      </c>
      <c r="L2565" s="2">
        <v>230.0</v>
      </c>
      <c r="M2565" s="3">
        <f t="shared" si="5"/>
        <v>0.614973262</v>
      </c>
      <c r="N2565" s="2">
        <v>2156400.0</v>
      </c>
      <c r="O2565" s="4">
        <f t="shared" si="6"/>
        <v>5765.775401</v>
      </c>
      <c r="P2565" s="2">
        <v>1.0</v>
      </c>
      <c r="Q2565" s="3">
        <f t="shared" si="7"/>
        <v>0.005882352941</v>
      </c>
      <c r="R2565" s="2">
        <v>170.0</v>
      </c>
      <c r="S2565" s="5">
        <f t="shared" si="8"/>
        <v>1</v>
      </c>
    </row>
    <row r="2566">
      <c r="A2566" s="2" t="s">
        <v>2575</v>
      </c>
      <c r="B2566" s="2">
        <v>166.0</v>
      </c>
      <c r="C2566" s="2">
        <v>1987.0</v>
      </c>
      <c r="D2566" s="2">
        <v>595.0</v>
      </c>
      <c r="E2566" s="3">
        <f t="shared" si="1"/>
        <v>0.3267435475</v>
      </c>
      <c r="F2566" s="2">
        <v>248.0</v>
      </c>
      <c r="G2566" s="3">
        <f t="shared" si="2"/>
        <v>0.1361889072</v>
      </c>
      <c r="H2566" s="2">
        <v>393.0</v>
      </c>
      <c r="I2566" s="3">
        <f t="shared" si="3"/>
        <v>0.215815486</v>
      </c>
      <c r="J2566" s="2">
        <v>311.0</v>
      </c>
      <c r="K2566" s="3">
        <f t="shared" si="4"/>
        <v>0.1707852828</v>
      </c>
      <c r="L2566" s="2">
        <v>236.0</v>
      </c>
      <c r="M2566" s="3">
        <f t="shared" si="5"/>
        <v>0.6005089059</v>
      </c>
      <c r="N2566" s="2">
        <v>2002900.0</v>
      </c>
      <c r="O2566" s="4">
        <f t="shared" si="6"/>
        <v>5096.437659</v>
      </c>
      <c r="P2566" s="2">
        <v>0.0</v>
      </c>
      <c r="Q2566" s="3">
        <f t="shared" si="7"/>
        <v>0</v>
      </c>
      <c r="R2566" s="2">
        <v>166.0</v>
      </c>
      <c r="S2566" s="5">
        <f t="shared" si="8"/>
        <v>1</v>
      </c>
    </row>
    <row r="2567">
      <c r="A2567" s="2" t="s">
        <v>2576</v>
      </c>
      <c r="B2567" s="2">
        <v>97.0</v>
      </c>
      <c r="C2567" s="2">
        <v>1125.0</v>
      </c>
      <c r="D2567" s="2">
        <v>269.0</v>
      </c>
      <c r="E2567" s="3">
        <f t="shared" si="1"/>
        <v>0.2616731518</v>
      </c>
      <c r="F2567" s="2">
        <v>140.0</v>
      </c>
      <c r="G2567" s="3">
        <f t="shared" si="2"/>
        <v>0.1361867704</v>
      </c>
      <c r="H2567" s="2">
        <v>239.0</v>
      </c>
      <c r="I2567" s="3">
        <f t="shared" si="3"/>
        <v>0.2324902724</v>
      </c>
      <c r="J2567" s="2">
        <v>186.0</v>
      </c>
      <c r="K2567" s="3">
        <f t="shared" si="4"/>
        <v>0.1809338521</v>
      </c>
      <c r="L2567" s="2">
        <v>139.0</v>
      </c>
      <c r="M2567" s="3">
        <f t="shared" si="5"/>
        <v>0.5815899582</v>
      </c>
      <c r="N2567" s="2">
        <v>1416900.0</v>
      </c>
      <c r="O2567" s="4">
        <f t="shared" si="6"/>
        <v>5928.451883</v>
      </c>
      <c r="P2567" s="2">
        <v>0.0</v>
      </c>
      <c r="Q2567" s="3">
        <f t="shared" si="7"/>
        <v>0</v>
      </c>
      <c r="R2567" s="2">
        <v>97.0</v>
      </c>
      <c r="S2567" s="5">
        <f t="shared" si="8"/>
        <v>1</v>
      </c>
    </row>
    <row r="2568">
      <c r="A2568" s="2" t="s">
        <v>2577</v>
      </c>
      <c r="B2568" s="2">
        <v>229.0</v>
      </c>
      <c r="C2568" s="2">
        <v>2733.0</v>
      </c>
      <c r="D2568" s="2">
        <v>855.0</v>
      </c>
      <c r="E2568" s="3">
        <f t="shared" si="1"/>
        <v>0.3414536741</v>
      </c>
      <c r="F2568" s="2">
        <v>341.0</v>
      </c>
      <c r="G2568" s="3">
        <f t="shared" si="2"/>
        <v>0.1361821086</v>
      </c>
      <c r="H2568" s="2">
        <v>533.0</v>
      </c>
      <c r="I2568" s="3">
        <f t="shared" si="3"/>
        <v>0.2128594249</v>
      </c>
      <c r="J2568" s="2">
        <v>415.0</v>
      </c>
      <c r="K2568" s="3">
        <f t="shared" si="4"/>
        <v>0.1657348243</v>
      </c>
      <c r="L2568" s="2">
        <v>335.0</v>
      </c>
      <c r="M2568" s="3">
        <f t="shared" si="5"/>
        <v>0.6285178236</v>
      </c>
      <c r="N2568" s="2">
        <v>2798800.0</v>
      </c>
      <c r="O2568" s="4">
        <f t="shared" si="6"/>
        <v>5251.031895</v>
      </c>
      <c r="P2568" s="2">
        <v>1.0</v>
      </c>
      <c r="Q2568" s="3">
        <f t="shared" si="7"/>
        <v>0.004366812227</v>
      </c>
      <c r="R2568" s="2">
        <v>229.0</v>
      </c>
      <c r="S2568" s="5">
        <f t="shared" si="8"/>
        <v>1</v>
      </c>
    </row>
    <row r="2569">
      <c r="A2569" s="2" t="s">
        <v>2578</v>
      </c>
      <c r="B2569" s="2">
        <v>443.0</v>
      </c>
      <c r="C2569" s="2">
        <v>5209.0</v>
      </c>
      <c r="D2569" s="2">
        <v>1668.0</v>
      </c>
      <c r="E2569" s="3">
        <f t="shared" si="1"/>
        <v>0.349979018</v>
      </c>
      <c r="F2569" s="2">
        <v>649.0</v>
      </c>
      <c r="G2569" s="3">
        <f t="shared" si="2"/>
        <v>0.1361728913</v>
      </c>
      <c r="H2569" s="2">
        <v>1044.0</v>
      </c>
      <c r="I2569" s="3">
        <f t="shared" si="3"/>
        <v>0.2190516156</v>
      </c>
      <c r="J2569" s="2">
        <v>945.0</v>
      </c>
      <c r="K2569" s="3">
        <f t="shared" si="4"/>
        <v>0.1982794796</v>
      </c>
      <c r="L2569" s="2">
        <v>630.0</v>
      </c>
      <c r="M2569" s="3">
        <f t="shared" si="5"/>
        <v>0.6034482759</v>
      </c>
      <c r="N2569" s="2">
        <v>5882400.0</v>
      </c>
      <c r="O2569" s="4">
        <f t="shared" si="6"/>
        <v>5634.482759</v>
      </c>
      <c r="P2569" s="2">
        <v>0.0</v>
      </c>
      <c r="Q2569" s="3">
        <f t="shared" si="7"/>
        <v>0</v>
      </c>
      <c r="R2569" s="2">
        <v>443.0</v>
      </c>
      <c r="S2569" s="5">
        <f t="shared" si="8"/>
        <v>1</v>
      </c>
    </row>
    <row r="2570">
      <c r="A2570" s="2" t="s">
        <v>2579</v>
      </c>
      <c r="B2570" s="2">
        <v>929.0</v>
      </c>
      <c r="C2570" s="2">
        <v>10674.0</v>
      </c>
      <c r="D2570" s="2">
        <v>3680.0</v>
      </c>
      <c r="E2570" s="3">
        <f t="shared" si="1"/>
        <v>0.3776295536</v>
      </c>
      <c r="F2570" s="2">
        <v>1327.0</v>
      </c>
      <c r="G2570" s="3">
        <f t="shared" si="2"/>
        <v>0.1361723961</v>
      </c>
      <c r="H2570" s="2">
        <v>2030.0</v>
      </c>
      <c r="I2570" s="3">
        <f t="shared" si="3"/>
        <v>0.2083119548</v>
      </c>
      <c r="J2570" s="2">
        <v>1637.0</v>
      </c>
      <c r="K2570" s="3">
        <f t="shared" si="4"/>
        <v>0.1679835813</v>
      </c>
      <c r="L2570" s="2">
        <v>1210.0</v>
      </c>
      <c r="M2570" s="3">
        <f t="shared" si="5"/>
        <v>0.5960591133</v>
      </c>
      <c r="N2570" s="2">
        <v>1.15241E7</v>
      </c>
      <c r="O2570" s="4">
        <f t="shared" si="6"/>
        <v>5676.896552</v>
      </c>
      <c r="P2570" s="2">
        <v>1.0</v>
      </c>
      <c r="Q2570" s="3">
        <f t="shared" si="7"/>
        <v>0.001076426265</v>
      </c>
      <c r="R2570" s="2">
        <v>929.0</v>
      </c>
      <c r="S2570" s="5">
        <f t="shared" si="8"/>
        <v>1</v>
      </c>
    </row>
    <row r="2571">
      <c r="A2571" s="2" t="s">
        <v>2580</v>
      </c>
      <c r="B2571" s="2">
        <v>145.0</v>
      </c>
      <c r="C2571" s="2">
        <v>1746.0</v>
      </c>
      <c r="D2571" s="2">
        <v>439.0</v>
      </c>
      <c r="E2571" s="3">
        <f t="shared" si="1"/>
        <v>0.2742036227</v>
      </c>
      <c r="F2571" s="2">
        <v>218.0</v>
      </c>
      <c r="G2571" s="3">
        <f t="shared" si="2"/>
        <v>0.1361648969</v>
      </c>
      <c r="H2571" s="2">
        <v>320.0</v>
      </c>
      <c r="I2571" s="3">
        <f t="shared" si="3"/>
        <v>0.1998750781</v>
      </c>
      <c r="J2571" s="2">
        <v>288.0</v>
      </c>
      <c r="K2571" s="3">
        <f t="shared" si="4"/>
        <v>0.1798875703</v>
      </c>
      <c r="L2571" s="2">
        <v>196.0</v>
      </c>
      <c r="M2571" s="3">
        <f t="shared" si="5"/>
        <v>0.6125</v>
      </c>
      <c r="N2571" s="2">
        <v>1792600.0</v>
      </c>
      <c r="O2571" s="4">
        <f t="shared" si="6"/>
        <v>5601.875</v>
      </c>
      <c r="P2571" s="2">
        <v>0.0</v>
      </c>
      <c r="Q2571" s="3">
        <f t="shared" si="7"/>
        <v>0</v>
      </c>
      <c r="R2571" s="2">
        <v>145.0</v>
      </c>
      <c r="S2571" s="5">
        <f t="shared" si="8"/>
        <v>1</v>
      </c>
    </row>
    <row r="2572">
      <c r="A2572" s="2" t="s">
        <v>2581</v>
      </c>
      <c r="B2572" s="2">
        <v>400.0</v>
      </c>
      <c r="C2572" s="2">
        <v>4770.0</v>
      </c>
      <c r="D2572" s="2">
        <v>1836.0</v>
      </c>
      <c r="E2572" s="3">
        <f t="shared" si="1"/>
        <v>0.4201372998</v>
      </c>
      <c r="F2572" s="2">
        <v>595.0</v>
      </c>
      <c r="G2572" s="3">
        <f t="shared" si="2"/>
        <v>0.1361556064</v>
      </c>
      <c r="H2572" s="2">
        <v>950.0</v>
      </c>
      <c r="I2572" s="3">
        <f t="shared" si="3"/>
        <v>0.2173913043</v>
      </c>
      <c r="J2572" s="2">
        <v>853.0</v>
      </c>
      <c r="K2572" s="3">
        <f t="shared" si="4"/>
        <v>0.195194508</v>
      </c>
      <c r="L2572" s="2">
        <v>560.0</v>
      </c>
      <c r="M2572" s="3">
        <f t="shared" si="5"/>
        <v>0.5894736842</v>
      </c>
      <c r="N2572" s="2">
        <v>5171700.0</v>
      </c>
      <c r="O2572" s="4">
        <f t="shared" si="6"/>
        <v>5443.894737</v>
      </c>
      <c r="P2572" s="2">
        <v>0.0</v>
      </c>
      <c r="Q2572" s="3">
        <f t="shared" si="7"/>
        <v>0</v>
      </c>
      <c r="R2572" s="2">
        <v>400.0</v>
      </c>
      <c r="S2572" s="5">
        <f t="shared" si="8"/>
        <v>1</v>
      </c>
    </row>
    <row r="2573">
      <c r="A2573" s="2" t="s">
        <v>2582</v>
      </c>
      <c r="B2573" s="2">
        <v>1367.0</v>
      </c>
      <c r="C2573" s="2">
        <v>16137.0</v>
      </c>
      <c r="D2573" s="2">
        <v>5619.0</v>
      </c>
      <c r="E2573" s="3">
        <f t="shared" si="1"/>
        <v>0.3804333108</v>
      </c>
      <c r="F2573" s="2">
        <v>2011.0</v>
      </c>
      <c r="G2573" s="3">
        <f t="shared" si="2"/>
        <v>0.136154367</v>
      </c>
      <c r="H2573" s="2">
        <v>3252.0</v>
      </c>
      <c r="I2573" s="3">
        <f t="shared" si="3"/>
        <v>0.2201760325</v>
      </c>
      <c r="J2573" s="2">
        <v>2381.0</v>
      </c>
      <c r="K2573" s="3">
        <f t="shared" si="4"/>
        <v>0.1612051456</v>
      </c>
      <c r="L2573" s="2">
        <v>1988.0</v>
      </c>
      <c r="M2573" s="3">
        <f t="shared" si="5"/>
        <v>0.6113161132</v>
      </c>
      <c r="N2573" s="2">
        <v>1.72825E7</v>
      </c>
      <c r="O2573" s="4">
        <f t="shared" si="6"/>
        <v>5314.421894</v>
      </c>
      <c r="P2573" s="2">
        <v>2.0</v>
      </c>
      <c r="Q2573" s="3">
        <f t="shared" si="7"/>
        <v>0.001463057791</v>
      </c>
      <c r="R2573" s="2">
        <v>1367.0</v>
      </c>
      <c r="S2573" s="5">
        <f t="shared" si="8"/>
        <v>1</v>
      </c>
    </row>
    <row r="2574">
      <c r="A2574" s="2" t="s">
        <v>2583</v>
      </c>
      <c r="B2574" s="2">
        <v>20.0</v>
      </c>
      <c r="C2574" s="2">
        <v>233.0</v>
      </c>
      <c r="D2574" s="2">
        <v>49.0</v>
      </c>
      <c r="E2574" s="3">
        <f t="shared" si="1"/>
        <v>0.2300469484</v>
      </c>
      <c r="F2574" s="2">
        <v>29.0</v>
      </c>
      <c r="G2574" s="3">
        <f t="shared" si="2"/>
        <v>0.1361502347</v>
      </c>
      <c r="H2574" s="2">
        <v>40.0</v>
      </c>
      <c r="I2574" s="3">
        <f t="shared" si="3"/>
        <v>0.1877934272</v>
      </c>
      <c r="J2574" s="2">
        <v>41.0</v>
      </c>
      <c r="K2574" s="3">
        <f t="shared" si="4"/>
        <v>0.1924882629</v>
      </c>
      <c r="L2574" s="2">
        <v>23.0</v>
      </c>
      <c r="M2574" s="3">
        <f t="shared" si="5"/>
        <v>0.575</v>
      </c>
      <c r="N2574" s="2">
        <v>247500.0</v>
      </c>
      <c r="O2574" s="4">
        <f t="shared" si="6"/>
        <v>6187.5</v>
      </c>
      <c r="P2574" s="2">
        <v>0.0</v>
      </c>
      <c r="Q2574" s="3">
        <f t="shared" si="7"/>
        <v>0</v>
      </c>
      <c r="R2574" s="2">
        <v>20.0</v>
      </c>
      <c r="S2574" s="5">
        <f t="shared" si="8"/>
        <v>1</v>
      </c>
    </row>
    <row r="2575">
      <c r="A2575" s="2" t="s">
        <v>2584</v>
      </c>
      <c r="B2575" s="2">
        <v>291.0</v>
      </c>
      <c r="C2575" s="2">
        <v>3442.0</v>
      </c>
      <c r="D2575" s="2">
        <v>932.0</v>
      </c>
      <c r="E2575" s="3">
        <f t="shared" si="1"/>
        <v>0.2957791177</v>
      </c>
      <c r="F2575" s="2">
        <v>429.0</v>
      </c>
      <c r="G2575" s="3">
        <f t="shared" si="2"/>
        <v>0.1361472548</v>
      </c>
      <c r="H2575" s="2">
        <v>662.0</v>
      </c>
      <c r="I2575" s="3">
        <f t="shared" si="3"/>
        <v>0.2100920343</v>
      </c>
      <c r="J2575" s="2">
        <v>508.0</v>
      </c>
      <c r="K2575" s="3">
        <f t="shared" si="4"/>
        <v>0.1612186607</v>
      </c>
      <c r="L2575" s="2">
        <v>386.0</v>
      </c>
      <c r="M2575" s="3">
        <f t="shared" si="5"/>
        <v>0.583081571</v>
      </c>
      <c r="N2575" s="2">
        <v>3871500.0</v>
      </c>
      <c r="O2575" s="4">
        <f t="shared" si="6"/>
        <v>5848.187311</v>
      </c>
      <c r="P2575" s="2">
        <v>1.0</v>
      </c>
      <c r="Q2575" s="3">
        <f t="shared" si="7"/>
        <v>0.003436426117</v>
      </c>
      <c r="R2575" s="2">
        <v>291.0</v>
      </c>
      <c r="S2575" s="5">
        <f t="shared" si="8"/>
        <v>1</v>
      </c>
    </row>
    <row r="2576">
      <c r="A2576" s="2" t="s">
        <v>2585</v>
      </c>
      <c r="B2576" s="2">
        <v>168.0</v>
      </c>
      <c r="C2576" s="2">
        <v>1953.0</v>
      </c>
      <c r="D2576" s="2">
        <v>628.0</v>
      </c>
      <c r="E2576" s="3">
        <f t="shared" si="1"/>
        <v>0.3518207283</v>
      </c>
      <c r="F2576" s="2">
        <v>243.0</v>
      </c>
      <c r="G2576" s="3">
        <f t="shared" si="2"/>
        <v>0.1361344538</v>
      </c>
      <c r="H2576" s="2">
        <v>367.0</v>
      </c>
      <c r="I2576" s="3">
        <f t="shared" si="3"/>
        <v>0.2056022409</v>
      </c>
      <c r="J2576" s="2">
        <v>285.0</v>
      </c>
      <c r="K2576" s="3">
        <f t="shared" si="4"/>
        <v>0.1596638655</v>
      </c>
      <c r="L2576" s="2">
        <v>228.0</v>
      </c>
      <c r="M2576" s="3">
        <f t="shared" si="5"/>
        <v>0.621253406</v>
      </c>
      <c r="N2576" s="2">
        <v>1979300.0</v>
      </c>
      <c r="O2576" s="4">
        <f t="shared" si="6"/>
        <v>5393.188011</v>
      </c>
      <c r="P2576" s="2">
        <v>1.0</v>
      </c>
      <c r="Q2576" s="3">
        <f t="shared" si="7"/>
        <v>0.005952380952</v>
      </c>
      <c r="R2576" s="2">
        <v>168.0</v>
      </c>
      <c r="S2576" s="5">
        <f t="shared" si="8"/>
        <v>1</v>
      </c>
    </row>
    <row r="2577">
      <c r="A2577" s="2" t="s">
        <v>2586</v>
      </c>
      <c r="B2577" s="2">
        <v>413.0</v>
      </c>
      <c r="C2577" s="2">
        <v>4865.0</v>
      </c>
      <c r="D2577" s="2">
        <v>1540.0</v>
      </c>
      <c r="E2577" s="3">
        <f t="shared" si="1"/>
        <v>0.3459119497</v>
      </c>
      <c r="F2577" s="2">
        <v>606.0</v>
      </c>
      <c r="G2577" s="3">
        <f t="shared" si="2"/>
        <v>0.1361185984</v>
      </c>
      <c r="H2577" s="2">
        <v>820.0</v>
      </c>
      <c r="I2577" s="3">
        <f t="shared" si="3"/>
        <v>0.1841868823</v>
      </c>
      <c r="J2577" s="2">
        <v>722.0</v>
      </c>
      <c r="K2577" s="3">
        <f t="shared" si="4"/>
        <v>0.1621743037</v>
      </c>
      <c r="L2577" s="2">
        <v>475.0</v>
      </c>
      <c r="M2577" s="3">
        <f t="shared" si="5"/>
        <v>0.5792682927</v>
      </c>
      <c r="N2577" s="2">
        <v>4525300.0</v>
      </c>
      <c r="O2577" s="4">
        <f t="shared" si="6"/>
        <v>5518.658537</v>
      </c>
      <c r="P2577" s="2">
        <v>0.0</v>
      </c>
      <c r="Q2577" s="3">
        <f t="shared" si="7"/>
        <v>0</v>
      </c>
      <c r="R2577" s="2">
        <v>413.0</v>
      </c>
      <c r="S2577" s="5">
        <f t="shared" si="8"/>
        <v>1</v>
      </c>
    </row>
    <row r="2578">
      <c r="A2578" s="2" t="s">
        <v>2587</v>
      </c>
      <c r="B2578" s="2">
        <v>513.0</v>
      </c>
      <c r="C2578" s="2">
        <v>6067.0</v>
      </c>
      <c r="D2578" s="2">
        <v>2012.0</v>
      </c>
      <c r="E2578" s="3">
        <f t="shared" si="1"/>
        <v>0.3622614332</v>
      </c>
      <c r="F2578" s="2">
        <v>756.0</v>
      </c>
      <c r="G2578" s="3">
        <f t="shared" si="2"/>
        <v>0.1361181131</v>
      </c>
      <c r="H2578" s="2">
        <v>1137.0</v>
      </c>
      <c r="I2578" s="3">
        <f t="shared" si="3"/>
        <v>0.2047173208</v>
      </c>
      <c r="J2578" s="2">
        <v>912.0</v>
      </c>
      <c r="K2578" s="3">
        <f t="shared" si="4"/>
        <v>0.1642059777</v>
      </c>
      <c r="L2578" s="2">
        <v>664.0</v>
      </c>
      <c r="M2578" s="3">
        <f t="shared" si="5"/>
        <v>0.5839929639</v>
      </c>
      <c r="N2578" s="2">
        <v>6202200.0</v>
      </c>
      <c r="O2578" s="4">
        <f t="shared" si="6"/>
        <v>5454.881266</v>
      </c>
      <c r="P2578" s="2">
        <v>1.0</v>
      </c>
      <c r="Q2578" s="3">
        <f t="shared" si="7"/>
        <v>0.001949317739</v>
      </c>
      <c r="R2578" s="2">
        <v>346.0</v>
      </c>
      <c r="S2578" s="5">
        <f t="shared" si="8"/>
        <v>0.6744639376</v>
      </c>
    </row>
    <row r="2579">
      <c r="A2579" s="2" t="s">
        <v>2588</v>
      </c>
      <c r="B2579" s="2">
        <v>86.0</v>
      </c>
      <c r="C2579" s="2">
        <v>997.0</v>
      </c>
      <c r="D2579" s="2">
        <v>330.0</v>
      </c>
      <c r="E2579" s="3">
        <f t="shared" si="1"/>
        <v>0.3622392975</v>
      </c>
      <c r="F2579" s="2">
        <v>124.0</v>
      </c>
      <c r="G2579" s="3">
        <f t="shared" si="2"/>
        <v>0.1361141603</v>
      </c>
      <c r="H2579" s="2">
        <v>182.0</v>
      </c>
      <c r="I2579" s="3">
        <f t="shared" si="3"/>
        <v>0.199780461</v>
      </c>
      <c r="J2579" s="2">
        <v>146.0</v>
      </c>
      <c r="K2579" s="3">
        <f t="shared" si="4"/>
        <v>0.1602634468</v>
      </c>
      <c r="L2579" s="2">
        <v>101.0</v>
      </c>
      <c r="M2579" s="3">
        <f t="shared" si="5"/>
        <v>0.5549450549</v>
      </c>
      <c r="N2579" s="2">
        <v>1060800.0</v>
      </c>
      <c r="O2579" s="4">
        <f t="shared" si="6"/>
        <v>5828.571429</v>
      </c>
      <c r="P2579" s="2">
        <v>0.0</v>
      </c>
      <c r="Q2579" s="3">
        <f t="shared" si="7"/>
        <v>0</v>
      </c>
      <c r="R2579" s="2">
        <v>0.0</v>
      </c>
      <c r="S2579" s="5">
        <f t="shared" si="8"/>
        <v>0</v>
      </c>
    </row>
    <row r="2580">
      <c r="A2580" s="2" t="s">
        <v>2589</v>
      </c>
      <c r="B2580" s="2">
        <v>1383.0</v>
      </c>
      <c r="C2580" s="2">
        <v>16077.0</v>
      </c>
      <c r="D2580" s="2">
        <v>6310.0</v>
      </c>
      <c r="E2580" s="3">
        <f t="shared" si="1"/>
        <v>0.429426977</v>
      </c>
      <c r="F2580" s="2">
        <v>2000.0</v>
      </c>
      <c r="G2580" s="3">
        <f t="shared" si="2"/>
        <v>0.1361099769</v>
      </c>
      <c r="H2580" s="2">
        <v>3212.0</v>
      </c>
      <c r="I2580" s="3">
        <f t="shared" si="3"/>
        <v>0.2185926228</v>
      </c>
      <c r="J2580" s="2">
        <v>2216.0</v>
      </c>
      <c r="K2580" s="3">
        <f t="shared" si="4"/>
        <v>0.1508098544</v>
      </c>
      <c r="L2580" s="2">
        <v>1883.0</v>
      </c>
      <c r="M2580" s="3">
        <f t="shared" si="5"/>
        <v>0.5862391034</v>
      </c>
      <c r="N2580" s="2">
        <v>1.81272E7</v>
      </c>
      <c r="O2580" s="4">
        <f t="shared" si="6"/>
        <v>5643.58655</v>
      </c>
      <c r="P2580" s="2">
        <v>4.0</v>
      </c>
      <c r="Q2580" s="3">
        <f t="shared" si="7"/>
        <v>0.002892263196</v>
      </c>
      <c r="R2580" s="2">
        <v>1383.0</v>
      </c>
      <c r="S2580" s="5">
        <f t="shared" si="8"/>
        <v>1</v>
      </c>
    </row>
    <row r="2581">
      <c r="A2581" s="2" t="s">
        <v>2590</v>
      </c>
      <c r="B2581" s="2">
        <v>669.0</v>
      </c>
      <c r="C2581" s="2">
        <v>7759.0</v>
      </c>
      <c r="D2581" s="2">
        <v>2633.0</v>
      </c>
      <c r="E2581" s="3">
        <f t="shared" si="1"/>
        <v>0.3713681241</v>
      </c>
      <c r="F2581" s="2">
        <v>965.0</v>
      </c>
      <c r="G2581" s="3">
        <f t="shared" si="2"/>
        <v>0.1361071932</v>
      </c>
      <c r="H2581" s="2">
        <v>1502.0</v>
      </c>
      <c r="I2581" s="3">
        <f t="shared" si="3"/>
        <v>0.2118476728</v>
      </c>
      <c r="J2581" s="2">
        <v>1344.0</v>
      </c>
      <c r="K2581" s="3">
        <f t="shared" si="4"/>
        <v>0.1895627645</v>
      </c>
      <c r="L2581" s="2">
        <v>856.0</v>
      </c>
      <c r="M2581" s="3">
        <f t="shared" si="5"/>
        <v>0.5699067909</v>
      </c>
      <c r="N2581" s="2">
        <v>8886700.0</v>
      </c>
      <c r="O2581" s="4">
        <f t="shared" si="6"/>
        <v>5916.577896</v>
      </c>
      <c r="P2581" s="2">
        <v>2.0</v>
      </c>
      <c r="Q2581" s="3">
        <f t="shared" si="7"/>
        <v>0.002989536622</v>
      </c>
      <c r="R2581" s="2">
        <v>669.0</v>
      </c>
      <c r="S2581" s="5">
        <f t="shared" si="8"/>
        <v>1</v>
      </c>
    </row>
    <row r="2582">
      <c r="A2582" s="2" t="s">
        <v>2591</v>
      </c>
      <c r="B2582" s="2">
        <v>183.0</v>
      </c>
      <c r="C2582" s="2">
        <v>2086.0</v>
      </c>
      <c r="D2582" s="2">
        <v>731.0</v>
      </c>
      <c r="E2582" s="3">
        <f t="shared" si="1"/>
        <v>0.3841303205</v>
      </c>
      <c r="F2582" s="2">
        <v>259.0</v>
      </c>
      <c r="G2582" s="3">
        <f t="shared" si="2"/>
        <v>0.1361008933</v>
      </c>
      <c r="H2582" s="2">
        <v>433.0</v>
      </c>
      <c r="I2582" s="3">
        <f t="shared" si="3"/>
        <v>0.2275354703</v>
      </c>
      <c r="J2582" s="2">
        <v>292.0</v>
      </c>
      <c r="K2582" s="3">
        <f t="shared" si="4"/>
        <v>0.1534419338</v>
      </c>
      <c r="L2582" s="2">
        <v>291.0</v>
      </c>
      <c r="M2582" s="3">
        <f t="shared" si="5"/>
        <v>0.6720554273</v>
      </c>
      <c r="N2582" s="2">
        <v>2379100.0</v>
      </c>
      <c r="O2582" s="4">
        <f t="shared" si="6"/>
        <v>5494.457275</v>
      </c>
      <c r="P2582" s="2">
        <v>1.0</v>
      </c>
      <c r="Q2582" s="3">
        <f t="shared" si="7"/>
        <v>0.005464480874</v>
      </c>
      <c r="R2582" s="2">
        <v>183.0</v>
      </c>
      <c r="S2582" s="5">
        <f t="shared" si="8"/>
        <v>1</v>
      </c>
    </row>
    <row r="2583">
      <c r="A2583" s="2" t="s">
        <v>2592</v>
      </c>
      <c r="B2583" s="2">
        <v>49.0</v>
      </c>
      <c r="C2583" s="2">
        <v>556.0</v>
      </c>
      <c r="D2583" s="2">
        <v>182.0</v>
      </c>
      <c r="E2583" s="3">
        <f t="shared" si="1"/>
        <v>0.358974359</v>
      </c>
      <c r="F2583" s="2">
        <v>69.0</v>
      </c>
      <c r="G2583" s="3">
        <f t="shared" si="2"/>
        <v>0.1360946746</v>
      </c>
      <c r="H2583" s="2">
        <v>105.0</v>
      </c>
      <c r="I2583" s="3">
        <f t="shared" si="3"/>
        <v>0.2071005917</v>
      </c>
      <c r="J2583" s="2">
        <v>58.0</v>
      </c>
      <c r="K2583" s="3">
        <f t="shared" si="4"/>
        <v>0.1143984221</v>
      </c>
      <c r="L2583" s="2">
        <v>68.0</v>
      </c>
      <c r="M2583" s="3">
        <f t="shared" si="5"/>
        <v>0.6476190476</v>
      </c>
      <c r="N2583" s="2">
        <v>522500.0</v>
      </c>
      <c r="O2583" s="4">
        <f t="shared" si="6"/>
        <v>4976.190476</v>
      </c>
      <c r="P2583" s="2">
        <v>0.0</v>
      </c>
      <c r="Q2583" s="3">
        <f t="shared" si="7"/>
        <v>0</v>
      </c>
      <c r="R2583" s="2">
        <v>49.0</v>
      </c>
      <c r="S2583" s="5">
        <f t="shared" si="8"/>
        <v>1</v>
      </c>
    </row>
    <row r="2584">
      <c r="A2584" s="2" t="s">
        <v>2593</v>
      </c>
      <c r="B2584" s="2">
        <v>1569.0</v>
      </c>
      <c r="C2584" s="2">
        <v>18323.0</v>
      </c>
      <c r="D2584" s="2">
        <v>5824.0</v>
      </c>
      <c r="E2584" s="3">
        <f t="shared" si="1"/>
        <v>0.3476184792</v>
      </c>
      <c r="F2584" s="2">
        <v>2280.0</v>
      </c>
      <c r="G2584" s="3">
        <f t="shared" si="2"/>
        <v>0.1360869046</v>
      </c>
      <c r="H2584" s="2">
        <v>3522.0</v>
      </c>
      <c r="I2584" s="3">
        <f t="shared" si="3"/>
        <v>0.2102184553</v>
      </c>
      <c r="J2584" s="2">
        <v>3160.0</v>
      </c>
      <c r="K2584" s="3">
        <f t="shared" si="4"/>
        <v>0.1886116748</v>
      </c>
      <c r="L2584" s="2">
        <v>2109.0</v>
      </c>
      <c r="M2584" s="3">
        <f t="shared" si="5"/>
        <v>0.5988074957</v>
      </c>
      <c r="N2584" s="2">
        <v>2.13537E7</v>
      </c>
      <c r="O2584" s="4">
        <f t="shared" si="6"/>
        <v>6062.947189</v>
      </c>
      <c r="P2584" s="2">
        <v>2.0</v>
      </c>
      <c r="Q2584" s="3">
        <f t="shared" si="7"/>
        <v>0.001274697259</v>
      </c>
      <c r="R2584" s="2">
        <v>1569.0</v>
      </c>
      <c r="S2584" s="5">
        <f t="shared" si="8"/>
        <v>1</v>
      </c>
    </row>
    <row r="2585">
      <c r="A2585" s="2" t="s">
        <v>2594</v>
      </c>
      <c r="B2585" s="2">
        <v>286.0</v>
      </c>
      <c r="C2585" s="2">
        <v>3270.0</v>
      </c>
      <c r="D2585" s="2">
        <v>1008.0</v>
      </c>
      <c r="E2585" s="3">
        <f t="shared" si="1"/>
        <v>0.3378016086</v>
      </c>
      <c r="F2585" s="2">
        <v>406.0</v>
      </c>
      <c r="G2585" s="3">
        <f t="shared" si="2"/>
        <v>0.1360589812</v>
      </c>
      <c r="H2585" s="2">
        <v>581.0</v>
      </c>
      <c r="I2585" s="3">
        <f t="shared" si="3"/>
        <v>0.1947050938</v>
      </c>
      <c r="J2585" s="2">
        <v>591.0</v>
      </c>
      <c r="K2585" s="3">
        <f t="shared" si="4"/>
        <v>0.1980563003</v>
      </c>
      <c r="L2585" s="2">
        <v>346.0</v>
      </c>
      <c r="M2585" s="3">
        <f t="shared" si="5"/>
        <v>0.595524957</v>
      </c>
      <c r="N2585" s="2">
        <v>3696000.0</v>
      </c>
      <c r="O2585" s="4">
        <f t="shared" si="6"/>
        <v>6361.445783</v>
      </c>
      <c r="P2585" s="2">
        <v>2.0</v>
      </c>
      <c r="Q2585" s="3">
        <f t="shared" si="7"/>
        <v>0.006993006993</v>
      </c>
      <c r="R2585" s="2">
        <v>286.0</v>
      </c>
      <c r="S2585" s="5">
        <f t="shared" si="8"/>
        <v>1</v>
      </c>
    </row>
    <row r="2586">
      <c r="A2586" s="2" t="s">
        <v>2595</v>
      </c>
      <c r="B2586" s="2">
        <v>575.0</v>
      </c>
      <c r="C2586" s="2">
        <v>6624.0</v>
      </c>
      <c r="D2586" s="2">
        <v>2052.0</v>
      </c>
      <c r="E2586" s="3">
        <f t="shared" si="1"/>
        <v>0.3392296247</v>
      </c>
      <c r="F2586" s="2">
        <v>823.0</v>
      </c>
      <c r="G2586" s="3">
        <f t="shared" si="2"/>
        <v>0.1360555464</v>
      </c>
      <c r="H2586" s="2">
        <v>1330.0</v>
      </c>
      <c r="I2586" s="3">
        <f t="shared" si="3"/>
        <v>0.2198710531</v>
      </c>
      <c r="J2586" s="2">
        <v>1124.0</v>
      </c>
      <c r="K2586" s="3">
        <f t="shared" si="4"/>
        <v>0.1858158373</v>
      </c>
      <c r="L2586" s="2">
        <v>799.0</v>
      </c>
      <c r="M2586" s="3">
        <f t="shared" si="5"/>
        <v>0.6007518797</v>
      </c>
      <c r="N2586" s="2">
        <v>8153900.0</v>
      </c>
      <c r="O2586" s="4">
        <f t="shared" si="6"/>
        <v>6130.75188</v>
      </c>
      <c r="P2586" s="2">
        <v>2.0</v>
      </c>
      <c r="Q2586" s="3">
        <f t="shared" si="7"/>
        <v>0.00347826087</v>
      </c>
      <c r="R2586" s="2">
        <v>575.0</v>
      </c>
      <c r="S2586" s="5">
        <f t="shared" si="8"/>
        <v>1</v>
      </c>
    </row>
    <row r="2587">
      <c r="A2587" s="2" t="s">
        <v>2596</v>
      </c>
      <c r="B2587" s="2">
        <v>571.0</v>
      </c>
      <c r="C2587" s="2">
        <v>6767.0</v>
      </c>
      <c r="D2587" s="2">
        <v>2235.0</v>
      </c>
      <c r="E2587" s="3">
        <f t="shared" si="1"/>
        <v>0.3607165913</v>
      </c>
      <c r="F2587" s="2">
        <v>843.0</v>
      </c>
      <c r="G2587" s="3">
        <f t="shared" si="2"/>
        <v>0.1360555197</v>
      </c>
      <c r="H2587" s="2">
        <v>1323.0</v>
      </c>
      <c r="I2587" s="3">
        <f t="shared" si="3"/>
        <v>0.2135248547</v>
      </c>
      <c r="J2587" s="2">
        <v>934.0</v>
      </c>
      <c r="K2587" s="3">
        <f t="shared" si="4"/>
        <v>0.1507424145</v>
      </c>
      <c r="L2587" s="2">
        <v>784.0</v>
      </c>
      <c r="M2587" s="3">
        <f t="shared" si="5"/>
        <v>0.5925925926</v>
      </c>
      <c r="N2587" s="2">
        <v>7171100.0</v>
      </c>
      <c r="O2587" s="4">
        <f t="shared" si="6"/>
        <v>5420.332577</v>
      </c>
      <c r="P2587" s="2">
        <v>1.0</v>
      </c>
      <c r="Q2587" s="3">
        <f t="shared" si="7"/>
        <v>0.001751313485</v>
      </c>
      <c r="R2587" s="2">
        <v>571.0</v>
      </c>
      <c r="S2587" s="5">
        <f t="shared" si="8"/>
        <v>1</v>
      </c>
    </row>
    <row r="2588">
      <c r="A2588" s="2" t="s">
        <v>2597</v>
      </c>
      <c r="B2588" s="2">
        <v>30.0</v>
      </c>
      <c r="C2588" s="2">
        <v>324.0</v>
      </c>
      <c r="D2588" s="2">
        <v>111.0</v>
      </c>
      <c r="E2588" s="3">
        <f t="shared" si="1"/>
        <v>0.3775510204</v>
      </c>
      <c r="F2588" s="2">
        <v>40.0</v>
      </c>
      <c r="G2588" s="3">
        <f t="shared" si="2"/>
        <v>0.1360544218</v>
      </c>
      <c r="H2588" s="2">
        <v>57.0</v>
      </c>
      <c r="I2588" s="3">
        <f t="shared" si="3"/>
        <v>0.193877551</v>
      </c>
      <c r="J2588" s="2">
        <v>43.0</v>
      </c>
      <c r="K2588" s="3">
        <f t="shared" si="4"/>
        <v>0.1462585034</v>
      </c>
      <c r="L2588" s="2">
        <v>31.0</v>
      </c>
      <c r="M2588" s="3">
        <f t="shared" si="5"/>
        <v>0.5438596491</v>
      </c>
      <c r="N2588" s="2">
        <v>262100.0</v>
      </c>
      <c r="O2588" s="4">
        <f t="shared" si="6"/>
        <v>4598.245614</v>
      </c>
      <c r="P2588" s="2">
        <v>0.0</v>
      </c>
      <c r="Q2588" s="3">
        <f t="shared" si="7"/>
        <v>0</v>
      </c>
      <c r="R2588" s="2">
        <v>30.0</v>
      </c>
      <c r="S2588" s="5">
        <f t="shared" si="8"/>
        <v>1</v>
      </c>
    </row>
    <row r="2589">
      <c r="A2589" s="2" t="s">
        <v>2598</v>
      </c>
      <c r="B2589" s="2">
        <v>1601.0</v>
      </c>
      <c r="C2589" s="2">
        <v>18698.0</v>
      </c>
      <c r="D2589" s="2">
        <v>5643.0</v>
      </c>
      <c r="E2589" s="3">
        <f t="shared" si="1"/>
        <v>0.3300579049</v>
      </c>
      <c r="F2589" s="2">
        <v>2326.0</v>
      </c>
      <c r="G2589" s="3">
        <f t="shared" si="2"/>
        <v>0.1360472598</v>
      </c>
      <c r="H2589" s="2">
        <v>3606.0</v>
      </c>
      <c r="I2589" s="3">
        <f t="shared" si="3"/>
        <v>0.2109141955</v>
      </c>
      <c r="J2589" s="2">
        <v>3122.0</v>
      </c>
      <c r="K2589" s="3">
        <f t="shared" si="4"/>
        <v>0.1826051354</v>
      </c>
      <c r="L2589" s="2">
        <v>2169.0</v>
      </c>
      <c r="M2589" s="3">
        <f t="shared" si="5"/>
        <v>0.6014975042</v>
      </c>
      <c r="N2589" s="2">
        <v>2.15236E7</v>
      </c>
      <c r="O2589" s="4">
        <f t="shared" si="6"/>
        <v>5968.829728</v>
      </c>
      <c r="P2589" s="2">
        <v>3.0</v>
      </c>
      <c r="Q2589" s="3">
        <f t="shared" si="7"/>
        <v>0.001873828857</v>
      </c>
      <c r="R2589" s="2">
        <v>0.0</v>
      </c>
      <c r="S2589" s="5">
        <f t="shared" si="8"/>
        <v>0</v>
      </c>
    </row>
    <row r="2590">
      <c r="A2590" s="2" t="s">
        <v>2599</v>
      </c>
      <c r="B2590" s="2">
        <v>82.0</v>
      </c>
      <c r="C2590" s="2">
        <v>942.0</v>
      </c>
      <c r="D2590" s="2">
        <v>208.0</v>
      </c>
      <c r="E2590" s="3">
        <f t="shared" si="1"/>
        <v>0.2418604651</v>
      </c>
      <c r="F2590" s="2">
        <v>117.0</v>
      </c>
      <c r="G2590" s="3">
        <f t="shared" si="2"/>
        <v>0.1360465116</v>
      </c>
      <c r="H2590" s="2">
        <v>154.0</v>
      </c>
      <c r="I2590" s="3">
        <f t="shared" si="3"/>
        <v>0.1790697674</v>
      </c>
      <c r="J2590" s="2">
        <v>159.0</v>
      </c>
      <c r="K2590" s="3">
        <f t="shared" si="4"/>
        <v>0.1848837209</v>
      </c>
      <c r="L2590" s="2">
        <v>91.0</v>
      </c>
      <c r="M2590" s="3">
        <f t="shared" si="5"/>
        <v>0.5909090909</v>
      </c>
      <c r="N2590" s="2">
        <v>867500.0</v>
      </c>
      <c r="O2590" s="4">
        <f t="shared" si="6"/>
        <v>5633.116883</v>
      </c>
      <c r="P2590" s="2">
        <v>0.0</v>
      </c>
      <c r="Q2590" s="3">
        <f t="shared" si="7"/>
        <v>0</v>
      </c>
      <c r="R2590" s="2">
        <v>0.0</v>
      </c>
      <c r="S2590" s="5">
        <f t="shared" si="8"/>
        <v>0</v>
      </c>
    </row>
    <row r="2591">
      <c r="A2591" s="2" t="s">
        <v>2600</v>
      </c>
      <c r="B2591" s="2">
        <v>48.0</v>
      </c>
      <c r="C2591" s="2">
        <v>614.0</v>
      </c>
      <c r="D2591" s="2">
        <v>204.0</v>
      </c>
      <c r="E2591" s="3">
        <f t="shared" si="1"/>
        <v>0.3604240283</v>
      </c>
      <c r="F2591" s="2">
        <v>77.0</v>
      </c>
      <c r="G2591" s="3">
        <f t="shared" si="2"/>
        <v>0.1360424028</v>
      </c>
      <c r="H2591" s="2">
        <v>136.0</v>
      </c>
      <c r="I2591" s="3">
        <f t="shared" si="3"/>
        <v>0.2402826855</v>
      </c>
      <c r="J2591" s="2">
        <v>109.0</v>
      </c>
      <c r="K2591" s="3">
        <f t="shared" si="4"/>
        <v>0.1925795053</v>
      </c>
      <c r="L2591" s="2">
        <v>81.0</v>
      </c>
      <c r="M2591" s="3">
        <f t="shared" si="5"/>
        <v>0.5955882353</v>
      </c>
      <c r="N2591" s="2">
        <v>709600.0</v>
      </c>
      <c r="O2591" s="4">
        <f t="shared" si="6"/>
        <v>5217.647059</v>
      </c>
      <c r="P2591" s="2">
        <v>0.0</v>
      </c>
      <c r="Q2591" s="3">
        <f t="shared" si="7"/>
        <v>0</v>
      </c>
      <c r="R2591" s="2">
        <v>48.0</v>
      </c>
      <c r="S2591" s="5">
        <f t="shared" si="8"/>
        <v>1</v>
      </c>
    </row>
    <row r="2592">
      <c r="A2592" s="2" t="s">
        <v>2601</v>
      </c>
      <c r="B2592" s="2">
        <v>476.0</v>
      </c>
      <c r="C2592" s="2">
        <v>5570.0</v>
      </c>
      <c r="D2592" s="2">
        <v>1360.0</v>
      </c>
      <c r="E2592" s="3">
        <f t="shared" si="1"/>
        <v>0.2669807617</v>
      </c>
      <c r="F2592" s="2">
        <v>693.0</v>
      </c>
      <c r="G2592" s="3">
        <f t="shared" si="2"/>
        <v>0.1360424028</v>
      </c>
      <c r="H2592" s="2">
        <v>1095.0</v>
      </c>
      <c r="I2592" s="3">
        <f t="shared" si="3"/>
        <v>0.214958775</v>
      </c>
      <c r="J2592" s="2">
        <v>777.0</v>
      </c>
      <c r="K2592" s="3">
        <f t="shared" si="4"/>
        <v>0.152532391</v>
      </c>
      <c r="L2592" s="2">
        <v>630.0</v>
      </c>
      <c r="M2592" s="3">
        <f t="shared" si="5"/>
        <v>0.5753424658</v>
      </c>
      <c r="N2592" s="2">
        <v>6063800.0</v>
      </c>
      <c r="O2592" s="4">
        <f t="shared" si="6"/>
        <v>5537.716895</v>
      </c>
      <c r="P2592" s="2">
        <v>2.0</v>
      </c>
      <c r="Q2592" s="3">
        <f t="shared" si="7"/>
        <v>0.004201680672</v>
      </c>
      <c r="R2592" s="2">
        <v>476.0</v>
      </c>
      <c r="S2592" s="5">
        <f t="shared" si="8"/>
        <v>1</v>
      </c>
    </row>
    <row r="2593">
      <c r="A2593" s="2" t="s">
        <v>2602</v>
      </c>
      <c r="B2593" s="2">
        <v>565.0</v>
      </c>
      <c r="C2593" s="2">
        <v>6644.0</v>
      </c>
      <c r="D2593" s="2">
        <v>2065.0</v>
      </c>
      <c r="E2593" s="3">
        <f t="shared" si="1"/>
        <v>0.3396940286</v>
      </c>
      <c r="F2593" s="2">
        <v>827.0</v>
      </c>
      <c r="G2593" s="3">
        <f t="shared" si="2"/>
        <v>0.1360421122</v>
      </c>
      <c r="H2593" s="2">
        <v>1203.0</v>
      </c>
      <c r="I2593" s="3">
        <f t="shared" si="3"/>
        <v>0.1978943905</v>
      </c>
      <c r="J2593" s="2">
        <v>1061.0</v>
      </c>
      <c r="K2593" s="3">
        <f t="shared" si="4"/>
        <v>0.1745352854</v>
      </c>
      <c r="L2593" s="2">
        <v>710.0</v>
      </c>
      <c r="M2593" s="3">
        <f t="shared" si="5"/>
        <v>0.5901911887</v>
      </c>
      <c r="N2593" s="2">
        <v>7345600.0</v>
      </c>
      <c r="O2593" s="4">
        <f t="shared" si="6"/>
        <v>6106.068163</v>
      </c>
      <c r="P2593" s="2">
        <v>1.0</v>
      </c>
      <c r="Q2593" s="3">
        <f t="shared" si="7"/>
        <v>0.001769911504</v>
      </c>
      <c r="R2593" s="2">
        <v>565.0</v>
      </c>
      <c r="S2593" s="5">
        <f t="shared" si="8"/>
        <v>1</v>
      </c>
    </row>
    <row r="2594">
      <c r="A2594" s="2" t="s">
        <v>2603</v>
      </c>
      <c r="B2594" s="2">
        <v>158.0</v>
      </c>
      <c r="C2594" s="2">
        <v>1812.0</v>
      </c>
      <c r="D2594" s="2">
        <v>584.0</v>
      </c>
      <c r="E2594" s="3">
        <f t="shared" si="1"/>
        <v>0.3530834341</v>
      </c>
      <c r="F2594" s="2">
        <v>225.0</v>
      </c>
      <c r="G2594" s="3">
        <f t="shared" si="2"/>
        <v>0.1360338573</v>
      </c>
      <c r="H2594" s="2">
        <v>307.0</v>
      </c>
      <c r="I2594" s="3">
        <f t="shared" si="3"/>
        <v>0.1856106409</v>
      </c>
      <c r="J2594" s="2">
        <v>290.0</v>
      </c>
      <c r="K2594" s="3">
        <f t="shared" si="4"/>
        <v>0.1753325272</v>
      </c>
      <c r="L2594" s="2">
        <v>184.0</v>
      </c>
      <c r="M2594" s="3">
        <f t="shared" si="5"/>
        <v>0.5993485342</v>
      </c>
      <c r="N2594" s="2">
        <v>1790000.0</v>
      </c>
      <c r="O2594" s="4">
        <f t="shared" si="6"/>
        <v>5830.618893</v>
      </c>
      <c r="P2594" s="2">
        <v>0.0</v>
      </c>
      <c r="Q2594" s="3">
        <f t="shared" si="7"/>
        <v>0</v>
      </c>
      <c r="R2594" s="2">
        <v>157.0</v>
      </c>
      <c r="S2594" s="5">
        <f t="shared" si="8"/>
        <v>0.9936708861</v>
      </c>
    </row>
    <row r="2595">
      <c r="A2595" s="2" t="s">
        <v>2604</v>
      </c>
      <c r="B2595" s="2">
        <v>23.0</v>
      </c>
      <c r="C2595" s="2">
        <v>295.0</v>
      </c>
      <c r="D2595" s="2">
        <v>51.0</v>
      </c>
      <c r="E2595" s="3">
        <f t="shared" si="1"/>
        <v>0.1875</v>
      </c>
      <c r="F2595" s="2">
        <v>37.0</v>
      </c>
      <c r="G2595" s="3">
        <f t="shared" si="2"/>
        <v>0.1360294118</v>
      </c>
      <c r="H2595" s="2">
        <v>58.0</v>
      </c>
      <c r="I2595" s="3">
        <f t="shared" si="3"/>
        <v>0.2132352941</v>
      </c>
      <c r="J2595" s="2">
        <v>56.0</v>
      </c>
      <c r="K2595" s="3">
        <f t="shared" si="4"/>
        <v>0.2058823529</v>
      </c>
      <c r="L2595" s="2">
        <v>35.0</v>
      </c>
      <c r="M2595" s="3">
        <f t="shared" si="5"/>
        <v>0.6034482759</v>
      </c>
      <c r="N2595" s="2">
        <v>317000.0</v>
      </c>
      <c r="O2595" s="4">
        <f t="shared" si="6"/>
        <v>5465.517241</v>
      </c>
      <c r="P2595" s="2">
        <v>0.0</v>
      </c>
      <c r="Q2595" s="3">
        <f t="shared" si="7"/>
        <v>0</v>
      </c>
      <c r="R2595" s="2">
        <v>23.0</v>
      </c>
      <c r="S2595" s="5">
        <f t="shared" si="8"/>
        <v>1</v>
      </c>
    </row>
    <row r="2596">
      <c r="A2596" s="2" t="s">
        <v>2605</v>
      </c>
      <c r="B2596" s="2">
        <v>435.0</v>
      </c>
      <c r="C2596" s="2">
        <v>5162.0</v>
      </c>
      <c r="D2596" s="2">
        <v>1362.0</v>
      </c>
      <c r="E2596" s="3">
        <f t="shared" si="1"/>
        <v>0.2881320076</v>
      </c>
      <c r="F2596" s="2">
        <v>643.0</v>
      </c>
      <c r="G2596" s="3">
        <f t="shared" si="2"/>
        <v>0.1360270785</v>
      </c>
      <c r="H2596" s="2">
        <v>861.0</v>
      </c>
      <c r="I2596" s="3">
        <f t="shared" si="3"/>
        <v>0.1821451238</v>
      </c>
      <c r="J2596" s="2">
        <v>781.0</v>
      </c>
      <c r="K2596" s="3">
        <f t="shared" si="4"/>
        <v>0.1652210704</v>
      </c>
      <c r="L2596" s="2">
        <v>505.0</v>
      </c>
      <c r="M2596" s="3">
        <f t="shared" si="5"/>
        <v>0.5865272938</v>
      </c>
      <c r="N2596" s="2">
        <v>5054500.0</v>
      </c>
      <c r="O2596" s="4">
        <f t="shared" si="6"/>
        <v>5870.499419</v>
      </c>
      <c r="P2596" s="2">
        <v>1.0</v>
      </c>
      <c r="Q2596" s="3">
        <f t="shared" si="7"/>
        <v>0.002298850575</v>
      </c>
      <c r="R2596" s="2">
        <v>435.0</v>
      </c>
      <c r="S2596" s="5">
        <f t="shared" si="8"/>
        <v>1</v>
      </c>
    </row>
    <row r="2597">
      <c r="A2597" s="2" t="s">
        <v>2606</v>
      </c>
      <c r="B2597" s="2">
        <v>1120.0</v>
      </c>
      <c r="C2597" s="2">
        <v>13015.0</v>
      </c>
      <c r="D2597" s="2">
        <v>4641.0</v>
      </c>
      <c r="E2597" s="3">
        <f t="shared" si="1"/>
        <v>0.3901639344</v>
      </c>
      <c r="F2597" s="2">
        <v>1618.0</v>
      </c>
      <c r="G2597" s="3">
        <f t="shared" si="2"/>
        <v>0.1360235393</v>
      </c>
      <c r="H2597" s="2">
        <v>2801.0</v>
      </c>
      <c r="I2597" s="3">
        <f t="shared" si="3"/>
        <v>0.2354770912</v>
      </c>
      <c r="J2597" s="2">
        <v>2237.0</v>
      </c>
      <c r="K2597" s="3">
        <f t="shared" si="4"/>
        <v>0.188062211</v>
      </c>
      <c r="L2597" s="2">
        <v>1689.0</v>
      </c>
      <c r="M2597" s="3">
        <f t="shared" si="5"/>
        <v>0.602998929</v>
      </c>
      <c r="N2597" s="2">
        <v>1.55607E7</v>
      </c>
      <c r="O2597" s="4">
        <f t="shared" si="6"/>
        <v>5555.408783</v>
      </c>
      <c r="P2597" s="2">
        <v>6.0</v>
      </c>
      <c r="Q2597" s="3">
        <f t="shared" si="7"/>
        <v>0.005357142857</v>
      </c>
      <c r="R2597" s="2">
        <v>1120.0</v>
      </c>
      <c r="S2597" s="5">
        <f t="shared" si="8"/>
        <v>1</v>
      </c>
    </row>
    <row r="2598">
      <c r="A2598" s="2" t="s">
        <v>2607</v>
      </c>
      <c r="B2598" s="2">
        <v>651.0</v>
      </c>
      <c r="C2598" s="2">
        <v>7591.0</v>
      </c>
      <c r="D2598" s="2">
        <v>2236.0</v>
      </c>
      <c r="E2598" s="3">
        <f t="shared" si="1"/>
        <v>0.3221902017</v>
      </c>
      <c r="F2598" s="2">
        <v>944.0</v>
      </c>
      <c r="G2598" s="3">
        <f t="shared" si="2"/>
        <v>0.1360230548</v>
      </c>
      <c r="H2598" s="2">
        <v>1403.0</v>
      </c>
      <c r="I2598" s="3">
        <f t="shared" si="3"/>
        <v>0.2021613833</v>
      </c>
      <c r="J2598" s="2">
        <v>1276.0</v>
      </c>
      <c r="K2598" s="3">
        <f t="shared" si="4"/>
        <v>0.1838616715</v>
      </c>
      <c r="L2598" s="2">
        <v>828.0</v>
      </c>
      <c r="M2598" s="3">
        <f t="shared" si="5"/>
        <v>0.5901639344</v>
      </c>
      <c r="N2598" s="2">
        <v>8347000.0</v>
      </c>
      <c r="O2598" s="4">
        <f t="shared" si="6"/>
        <v>5949.394155</v>
      </c>
      <c r="P2598" s="2">
        <v>3.0</v>
      </c>
      <c r="Q2598" s="3">
        <f t="shared" si="7"/>
        <v>0.004608294931</v>
      </c>
      <c r="R2598" s="2">
        <v>651.0</v>
      </c>
      <c r="S2598" s="5">
        <f t="shared" si="8"/>
        <v>1</v>
      </c>
    </row>
    <row r="2599">
      <c r="A2599" s="2" t="s">
        <v>2608</v>
      </c>
      <c r="B2599" s="2">
        <v>537.0</v>
      </c>
      <c r="C2599" s="2">
        <v>6220.0</v>
      </c>
      <c r="D2599" s="2">
        <v>2037.0</v>
      </c>
      <c r="E2599" s="3">
        <f t="shared" si="1"/>
        <v>0.358437445</v>
      </c>
      <c r="F2599" s="2">
        <v>773.0</v>
      </c>
      <c r="G2599" s="3">
        <f t="shared" si="2"/>
        <v>0.1360197079</v>
      </c>
      <c r="H2599" s="2">
        <v>1277.0</v>
      </c>
      <c r="I2599" s="3">
        <f t="shared" si="3"/>
        <v>0.2247052613</v>
      </c>
      <c r="J2599" s="2">
        <v>848.0</v>
      </c>
      <c r="K2599" s="3">
        <f t="shared" si="4"/>
        <v>0.1492169629</v>
      </c>
      <c r="L2599" s="2">
        <v>780.0</v>
      </c>
      <c r="M2599" s="3">
        <f t="shared" si="5"/>
        <v>0.6108065779</v>
      </c>
      <c r="N2599" s="2">
        <v>6975200.0</v>
      </c>
      <c r="O2599" s="4">
        <f t="shared" si="6"/>
        <v>5462.176977</v>
      </c>
      <c r="P2599" s="2">
        <v>5.0</v>
      </c>
      <c r="Q2599" s="3">
        <f t="shared" si="7"/>
        <v>0.009310986965</v>
      </c>
      <c r="R2599" s="2">
        <v>537.0</v>
      </c>
      <c r="S2599" s="5">
        <f t="shared" si="8"/>
        <v>1</v>
      </c>
    </row>
    <row r="2600">
      <c r="A2600" s="2" t="s">
        <v>2609</v>
      </c>
      <c r="B2600" s="2">
        <v>189.0</v>
      </c>
      <c r="C2600" s="2">
        <v>2255.0</v>
      </c>
      <c r="D2600" s="2">
        <v>609.0</v>
      </c>
      <c r="E2600" s="3">
        <f t="shared" si="1"/>
        <v>0.2947725073</v>
      </c>
      <c r="F2600" s="2">
        <v>281.0</v>
      </c>
      <c r="G2600" s="3">
        <f t="shared" si="2"/>
        <v>0.1360116167</v>
      </c>
      <c r="H2600" s="2">
        <v>429.0</v>
      </c>
      <c r="I2600" s="3">
        <f t="shared" si="3"/>
        <v>0.2076476283</v>
      </c>
      <c r="J2600" s="2">
        <v>312.0</v>
      </c>
      <c r="K2600" s="3">
        <f t="shared" si="4"/>
        <v>0.1510164569</v>
      </c>
      <c r="L2600" s="2">
        <v>272.0</v>
      </c>
      <c r="M2600" s="3">
        <f t="shared" si="5"/>
        <v>0.634032634</v>
      </c>
      <c r="N2600" s="2">
        <v>2437200.0</v>
      </c>
      <c r="O2600" s="4">
        <f t="shared" si="6"/>
        <v>5681.118881</v>
      </c>
      <c r="P2600" s="2">
        <v>0.0</v>
      </c>
      <c r="Q2600" s="3">
        <f t="shared" si="7"/>
        <v>0</v>
      </c>
      <c r="R2600" s="2">
        <v>0.0</v>
      </c>
      <c r="S2600" s="5">
        <f t="shared" si="8"/>
        <v>0</v>
      </c>
    </row>
    <row r="2601">
      <c r="A2601" s="2" t="s">
        <v>2610</v>
      </c>
      <c r="B2601" s="2">
        <v>285.0</v>
      </c>
      <c r="C2601" s="2">
        <v>3373.0</v>
      </c>
      <c r="D2601" s="2">
        <v>1177.0</v>
      </c>
      <c r="E2601" s="3">
        <f t="shared" si="1"/>
        <v>0.3811528497</v>
      </c>
      <c r="F2601" s="2">
        <v>420.0</v>
      </c>
      <c r="G2601" s="3">
        <f t="shared" si="2"/>
        <v>0.1360103627</v>
      </c>
      <c r="H2601" s="2">
        <v>646.0</v>
      </c>
      <c r="I2601" s="3">
        <f t="shared" si="3"/>
        <v>0.2091968912</v>
      </c>
      <c r="J2601" s="2">
        <v>561.0</v>
      </c>
      <c r="K2601" s="3">
        <f t="shared" si="4"/>
        <v>0.1816709845</v>
      </c>
      <c r="L2601" s="2">
        <v>389.0</v>
      </c>
      <c r="M2601" s="3">
        <f t="shared" si="5"/>
        <v>0.6021671827</v>
      </c>
      <c r="N2601" s="2">
        <v>3392900.0</v>
      </c>
      <c r="O2601" s="4">
        <f t="shared" si="6"/>
        <v>5252.167183</v>
      </c>
      <c r="P2601" s="2">
        <v>0.0</v>
      </c>
      <c r="Q2601" s="3">
        <f t="shared" si="7"/>
        <v>0</v>
      </c>
      <c r="R2601" s="2">
        <v>3.0</v>
      </c>
      <c r="S2601" s="5">
        <f t="shared" si="8"/>
        <v>0.01052631579</v>
      </c>
    </row>
    <row r="2602">
      <c r="A2602" s="2" t="s">
        <v>2611</v>
      </c>
      <c r="B2602" s="2">
        <v>2835.0</v>
      </c>
      <c r="C2602" s="2">
        <v>32886.0</v>
      </c>
      <c r="D2602" s="2">
        <v>8637.0</v>
      </c>
      <c r="E2602" s="3">
        <f t="shared" si="1"/>
        <v>0.2874114006</v>
      </c>
      <c r="F2602" s="2">
        <v>4087.0</v>
      </c>
      <c r="G2602" s="3">
        <f t="shared" si="2"/>
        <v>0.1360021297</v>
      </c>
      <c r="H2602" s="2">
        <v>6399.0</v>
      </c>
      <c r="I2602" s="3">
        <f t="shared" si="3"/>
        <v>0.2129380054</v>
      </c>
      <c r="J2602" s="2">
        <v>5785.0</v>
      </c>
      <c r="K2602" s="3">
        <f t="shared" si="4"/>
        <v>0.192506073</v>
      </c>
      <c r="L2602" s="2">
        <v>3849.0</v>
      </c>
      <c r="M2602" s="3">
        <f t="shared" si="5"/>
        <v>0.6015002344</v>
      </c>
      <c r="N2602" s="2">
        <v>3.81713E7</v>
      </c>
      <c r="O2602" s="4">
        <f t="shared" si="6"/>
        <v>5965.197687</v>
      </c>
      <c r="P2602" s="2">
        <v>5.0</v>
      </c>
      <c r="Q2602" s="3">
        <f t="shared" si="7"/>
        <v>0.00176366843</v>
      </c>
      <c r="R2602" s="2">
        <v>2835.0</v>
      </c>
      <c r="S2602" s="5">
        <f t="shared" si="8"/>
        <v>1</v>
      </c>
    </row>
    <row r="2603">
      <c r="A2603" s="2" t="s">
        <v>2612</v>
      </c>
      <c r="B2603" s="2">
        <v>70.0</v>
      </c>
      <c r="C2603" s="2">
        <v>820.0</v>
      </c>
      <c r="D2603" s="2">
        <v>248.0</v>
      </c>
      <c r="E2603" s="3">
        <f t="shared" si="1"/>
        <v>0.3306666667</v>
      </c>
      <c r="F2603" s="2">
        <v>102.0</v>
      </c>
      <c r="G2603" s="3">
        <f t="shared" si="2"/>
        <v>0.136</v>
      </c>
      <c r="H2603" s="2">
        <v>126.0</v>
      </c>
      <c r="I2603" s="3">
        <f t="shared" si="3"/>
        <v>0.168</v>
      </c>
      <c r="J2603" s="2">
        <v>160.0</v>
      </c>
      <c r="K2603" s="3">
        <f t="shared" si="4"/>
        <v>0.2133333333</v>
      </c>
      <c r="L2603" s="2">
        <v>85.0</v>
      </c>
      <c r="M2603" s="3">
        <f t="shared" si="5"/>
        <v>0.6746031746</v>
      </c>
      <c r="N2603" s="2">
        <v>745000.0</v>
      </c>
      <c r="O2603" s="4">
        <f t="shared" si="6"/>
        <v>5912.698413</v>
      </c>
      <c r="P2603" s="2">
        <v>0.0</v>
      </c>
      <c r="Q2603" s="3">
        <f t="shared" si="7"/>
        <v>0</v>
      </c>
      <c r="R2603" s="2">
        <v>70.0</v>
      </c>
      <c r="S2603" s="5">
        <f t="shared" si="8"/>
        <v>1</v>
      </c>
    </row>
    <row r="2604">
      <c r="A2604" s="2" t="s">
        <v>2613</v>
      </c>
      <c r="B2604" s="2">
        <v>70.0</v>
      </c>
      <c r="C2604" s="2">
        <v>820.0</v>
      </c>
      <c r="D2604" s="2">
        <v>242.0</v>
      </c>
      <c r="E2604" s="3">
        <f t="shared" si="1"/>
        <v>0.3226666667</v>
      </c>
      <c r="F2604" s="2">
        <v>102.0</v>
      </c>
      <c r="G2604" s="3">
        <f t="shared" si="2"/>
        <v>0.136</v>
      </c>
      <c r="H2604" s="2">
        <v>124.0</v>
      </c>
      <c r="I2604" s="3">
        <f t="shared" si="3"/>
        <v>0.1653333333</v>
      </c>
      <c r="J2604" s="2">
        <v>136.0</v>
      </c>
      <c r="K2604" s="3">
        <f t="shared" si="4"/>
        <v>0.1813333333</v>
      </c>
      <c r="L2604" s="2">
        <v>73.0</v>
      </c>
      <c r="M2604" s="3">
        <f t="shared" si="5"/>
        <v>0.5887096774</v>
      </c>
      <c r="N2604" s="2">
        <v>694300.0</v>
      </c>
      <c r="O2604" s="4">
        <f t="shared" si="6"/>
        <v>5599.193548</v>
      </c>
      <c r="P2604" s="2">
        <v>0.0</v>
      </c>
      <c r="Q2604" s="3">
        <f t="shared" si="7"/>
        <v>0</v>
      </c>
      <c r="R2604" s="2">
        <v>6.0</v>
      </c>
      <c r="S2604" s="5">
        <f t="shared" si="8"/>
        <v>0.08571428571</v>
      </c>
    </row>
    <row r="2605">
      <c r="A2605" s="2" t="s">
        <v>2614</v>
      </c>
      <c r="B2605" s="2">
        <v>35.0</v>
      </c>
      <c r="C2605" s="2">
        <v>410.0</v>
      </c>
      <c r="D2605" s="2">
        <v>124.0</v>
      </c>
      <c r="E2605" s="3">
        <f t="shared" si="1"/>
        <v>0.3306666667</v>
      </c>
      <c r="F2605" s="2">
        <v>51.0</v>
      </c>
      <c r="G2605" s="3">
        <f t="shared" si="2"/>
        <v>0.136</v>
      </c>
      <c r="H2605" s="2">
        <v>82.0</v>
      </c>
      <c r="I2605" s="3">
        <f t="shared" si="3"/>
        <v>0.2186666667</v>
      </c>
      <c r="J2605" s="2">
        <v>67.0</v>
      </c>
      <c r="K2605" s="3">
        <f t="shared" si="4"/>
        <v>0.1786666667</v>
      </c>
      <c r="L2605" s="2">
        <v>44.0</v>
      </c>
      <c r="M2605" s="3">
        <f t="shared" si="5"/>
        <v>0.5365853659</v>
      </c>
      <c r="N2605" s="2">
        <v>558200.0</v>
      </c>
      <c r="O2605" s="4">
        <f t="shared" si="6"/>
        <v>6807.317073</v>
      </c>
      <c r="P2605" s="2">
        <v>1.0</v>
      </c>
      <c r="Q2605" s="3">
        <f t="shared" si="7"/>
        <v>0.02857142857</v>
      </c>
      <c r="R2605" s="2">
        <v>35.0</v>
      </c>
      <c r="S2605" s="5">
        <f t="shared" si="8"/>
        <v>1</v>
      </c>
    </row>
    <row r="2606">
      <c r="A2606" s="2" t="s">
        <v>2615</v>
      </c>
      <c r="B2606" s="2">
        <v>600.0</v>
      </c>
      <c r="C2606" s="2">
        <v>7056.0</v>
      </c>
      <c r="D2606" s="2">
        <v>1938.0</v>
      </c>
      <c r="E2606" s="3">
        <f t="shared" si="1"/>
        <v>0.3001858736</v>
      </c>
      <c r="F2606" s="2">
        <v>878.0</v>
      </c>
      <c r="G2606" s="3">
        <f t="shared" si="2"/>
        <v>0.1359975217</v>
      </c>
      <c r="H2606" s="2">
        <v>1313.0</v>
      </c>
      <c r="I2606" s="3">
        <f t="shared" si="3"/>
        <v>0.2033767038</v>
      </c>
      <c r="J2606" s="2">
        <v>1276.0</v>
      </c>
      <c r="K2606" s="3">
        <f t="shared" si="4"/>
        <v>0.197645601</v>
      </c>
      <c r="L2606" s="2">
        <v>779.0</v>
      </c>
      <c r="M2606" s="3">
        <f t="shared" si="5"/>
        <v>0.5932977913</v>
      </c>
      <c r="N2606" s="2">
        <v>8238500.0</v>
      </c>
      <c r="O2606" s="4">
        <f t="shared" si="6"/>
        <v>6274.562072</v>
      </c>
      <c r="P2606" s="2">
        <v>3.0</v>
      </c>
      <c r="Q2606" s="3">
        <f t="shared" si="7"/>
        <v>0.005</v>
      </c>
      <c r="R2606" s="2">
        <v>600.0</v>
      </c>
      <c r="S2606" s="5">
        <f t="shared" si="8"/>
        <v>1</v>
      </c>
    </row>
    <row r="2607">
      <c r="A2607" s="2" t="s">
        <v>2616</v>
      </c>
      <c r="B2607" s="2">
        <v>220.0</v>
      </c>
      <c r="C2607" s="2">
        <v>2573.0</v>
      </c>
      <c r="D2607" s="2">
        <v>1110.0</v>
      </c>
      <c r="E2607" s="3">
        <f t="shared" si="1"/>
        <v>0.4717382065</v>
      </c>
      <c r="F2607" s="2">
        <v>320.0</v>
      </c>
      <c r="G2607" s="3">
        <f t="shared" si="2"/>
        <v>0.1359966001</v>
      </c>
      <c r="H2607" s="2">
        <v>507.0</v>
      </c>
      <c r="I2607" s="3">
        <f t="shared" si="3"/>
        <v>0.2154696133</v>
      </c>
      <c r="J2607" s="2">
        <v>353.0</v>
      </c>
      <c r="K2607" s="3">
        <f t="shared" si="4"/>
        <v>0.1500212495</v>
      </c>
      <c r="L2607" s="2">
        <v>298.0</v>
      </c>
      <c r="M2607" s="3">
        <f t="shared" si="5"/>
        <v>0.5877712032</v>
      </c>
      <c r="N2607" s="2">
        <v>2492500.0</v>
      </c>
      <c r="O2607" s="4">
        <f t="shared" si="6"/>
        <v>4916.17357</v>
      </c>
      <c r="P2607" s="2">
        <v>0.0</v>
      </c>
      <c r="Q2607" s="3">
        <f t="shared" si="7"/>
        <v>0</v>
      </c>
      <c r="R2607" s="2">
        <v>220.0</v>
      </c>
      <c r="S2607" s="5">
        <f t="shared" si="8"/>
        <v>1</v>
      </c>
    </row>
    <row r="2608">
      <c r="A2608" s="2" t="s">
        <v>2617</v>
      </c>
      <c r="B2608" s="2">
        <v>140.0</v>
      </c>
      <c r="C2608" s="2">
        <v>1618.0</v>
      </c>
      <c r="D2608" s="2">
        <v>523.0</v>
      </c>
      <c r="E2608" s="3">
        <f t="shared" si="1"/>
        <v>0.3538565629</v>
      </c>
      <c r="F2608" s="2">
        <v>201.0</v>
      </c>
      <c r="G2608" s="3">
        <f t="shared" si="2"/>
        <v>0.1359945873</v>
      </c>
      <c r="H2608" s="2">
        <v>297.0</v>
      </c>
      <c r="I2608" s="3">
        <f t="shared" si="3"/>
        <v>0.200947226</v>
      </c>
      <c r="J2608" s="2">
        <v>226.0</v>
      </c>
      <c r="K2608" s="3">
        <f t="shared" si="4"/>
        <v>0.1529093369</v>
      </c>
      <c r="L2608" s="2">
        <v>192.0</v>
      </c>
      <c r="M2608" s="3">
        <f t="shared" si="5"/>
        <v>0.6464646465</v>
      </c>
      <c r="N2608" s="2">
        <v>1528200.0</v>
      </c>
      <c r="O2608" s="4">
        <f t="shared" si="6"/>
        <v>5145.454545</v>
      </c>
      <c r="P2608" s="2">
        <v>0.0</v>
      </c>
      <c r="Q2608" s="3">
        <f t="shared" si="7"/>
        <v>0</v>
      </c>
      <c r="R2608" s="2">
        <v>0.0</v>
      </c>
      <c r="S2608" s="5">
        <f t="shared" si="8"/>
        <v>0</v>
      </c>
    </row>
    <row r="2609">
      <c r="A2609" s="2" t="s">
        <v>2618</v>
      </c>
      <c r="B2609" s="2">
        <v>803.0</v>
      </c>
      <c r="C2609" s="2">
        <v>9546.0</v>
      </c>
      <c r="D2609" s="2">
        <v>3078.0</v>
      </c>
      <c r="E2609" s="3">
        <f t="shared" si="1"/>
        <v>0.352053071</v>
      </c>
      <c r="F2609" s="2">
        <v>1189.0</v>
      </c>
      <c r="G2609" s="3">
        <f t="shared" si="2"/>
        <v>0.1359945099</v>
      </c>
      <c r="H2609" s="2">
        <v>1810.0</v>
      </c>
      <c r="I2609" s="3">
        <f t="shared" si="3"/>
        <v>0.2070227611</v>
      </c>
      <c r="J2609" s="2">
        <v>1453.0</v>
      </c>
      <c r="K2609" s="3">
        <f t="shared" si="4"/>
        <v>0.1661900949</v>
      </c>
      <c r="L2609" s="2">
        <v>1082.0</v>
      </c>
      <c r="M2609" s="3">
        <f t="shared" si="5"/>
        <v>0.5977900552</v>
      </c>
      <c r="N2609" s="2">
        <v>1.03896E7</v>
      </c>
      <c r="O2609" s="4">
        <f t="shared" si="6"/>
        <v>5740.110497</v>
      </c>
      <c r="P2609" s="2">
        <v>5.0</v>
      </c>
      <c r="Q2609" s="3">
        <f t="shared" si="7"/>
        <v>0.006226650062</v>
      </c>
      <c r="R2609" s="2">
        <v>803.0</v>
      </c>
      <c r="S2609" s="5">
        <f t="shared" si="8"/>
        <v>1</v>
      </c>
    </row>
    <row r="2610">
      <c r="A2610" s="2" t="s">
        <v>2619</v>
      </c>
      <c r="B2610" s="2">
        <v>451.0</v>
      </c>
      <c r="C2610" s="2">
        <v>5216.0</v>
      </c>
      <c r="D2610" s="2">
        <v>1778.0</v>
      </c>
      <c r="E2610" s="3">
        <f t="shared" si="1"/>
        <v>0.3731374607</v>
      </c>
      <c r="F2610" s="2">
        <v>648.0</v>
      </c>
      <c r="G2610" s="3">
        <f t="shared" si="2"/>
        <v>0.1359916055</v>
      </c>
      <c r="H2610" s="2">
        <v>960.0</v>
      </c>
      <c r="I2610" s="3">
        <f t="shared" si="3"/>
        <v>0.2014690451</v>
      </c>
      <c r="J2610" s="2">
        <v>901.0</v>
      </c>
      <c r="K2610" s="3">
        <f t="shared" si="4"/>
        <v>0.1890870934</v>
      </c>
      <c r="L2610" s="2">
        <v>553.0</v>
      </c>
      <c r="M2610" s="3">
        <f t="shared" si="5"/>
        <v>0.5760416667</v>
      </c>
      <c r="N2610" s="2">
        <v>5749100.0</v>
      </c>
      <c r="O2610" s="4">
        <f t="shared" si="6"/>
        <v>5988.645833</v>
      </c>
      <c r="P2610" s="2">
        <v>0.0</v>
      </c>
      <c r="Q2610" s="3">
        <f t="shared" si="7"/>
        <v>0</v>
      </c>
      <c r="R2610" s="2">
        <v>451.0</v>
      </c>
      <c r="S2610" s="5">
        <f t="shared" si="8"/>
        <v>1</v>
      </c>
    </row>
    <row r="2611">
      <c r="A2611" s="2" t="s">
        <v>2620</v>
      </c>
      <c r="B2611" s="2">
        <v>1676.0</v>
      </c>
      <c r="C2611" s="2">
        <v>19430.0</v>
      </c>
      <c r="D2611" s="2">
        <v>6311.0</v>
      </c>
      <c r="E2611" s="3">
        <f t="shared" si="1"/>
        <v>0.35546919</v>
      </c>
      <c r="F2611" s="2">
        <v>2414.0</v>
      </c>
      <c r="G2611" s="3">
        <f t="shared" si="2"/>
        <v>0.135969359</v>
      </c>
      <c r="H2611" s="2">
        <v>3827.0</v>
      </c>
      <c r="I2611" s="3">
        <f t="shared" si="3"/>
        <v>0.2155570576</v>
      </c>
      <c r="J2611" s="2">
        <v>3224.0</v>
      </c>
      <c r="K2611" s="3">
        <f t="shared" si="4"/>
        <v>0.1815928805</v>
      </c>
      <c r="L2611" s="2">
        <v>2278.0</v>
      </c>
      <c r="M2611" s="3">
        <f t="shared" si="5"/>
        <v>0.5952443167</v>
      </c>
      <c r="N2611" s="2">
        <v>2.19806E7</v>
      </c>
      <c r="O2611" s="4">
        <f t="shared" si="6"/>
        <v>5743.558923</v>
      </c>
      <c r="P2611" s="2">
        <v>1.0</v>
      </c>
      <c r="Q2611" s="3">
        <f t="shared" si="7"/>
        <v>0.0005966587112</v>
      </c>
      <c r="R2611" s="2">
        <v>0.0</v>
      </c>
      <c r="S2611" s="5">
        <f t="shared" si="8"/>
        <v>0</v>
      </c>
    </row>
    <row r="2612">
      <c r="A2612" s="2" t="s">
        <v>2621</v>
      </c>
      <c r="B2612" s="2">
        <v>388.0</v>
      </c>
      <c r="C2612" s="2">
        <v>4492.0</v>
      </c>
      <c r="D2612" s="2">
        <v>1686.0</v>
      </c>
      <c r="E2612" s="3">
        <f t="shared" si="1"/>
        <v>0.4108187135</v>
      </c>
      <c r="F2612" s="2">
        <v>558.0</v>
      </c>
      <c r="G2612" s="3">
        <f t="shared" si="2"/>
        <v>0.1359649123</v>
      </c>
      <c r="H2612" s="2">
        <v>872.0</v>
      </c>
      <c r="I2612" s="3">
        <f t="shared" si="3"/>
        <v>0.2124756335</v>
      </c>
      <c r="J2612" s="2">
        <v>568.0</v>
      </c>
      <c r="K2612" s="3">
        <f t="shared" si="4"/>
        <v>0.1384015595</v>
      </c>
      <c r="L2612" s="2">
        <v>589.0</v>
      </c>
      <c r="M2612" s="3">
        <f t="shared" si="5"/>
        <v>0.6754587156</v>
      </c>
      <c r="N2612" s="2">
        <v>4451000.0</v>
      </c>
      <c r="O2612" s="4">
        <f t="shared" si="6"/>
        <v>5104.357798</v>
      </c>
      <c r="P2612" s="2">
        <v>1.0</v>
      </c>
      <c r="Q2612" s="3">
        <f t="shared" si="7"/>
        <v>0.002577319588</v>
      </c>
      <c r="R2612" s="2">
        <v>388.0</v>
      </c>
      <c r="S2612" s="5">
        <f t="shared" si="8"/>
        <v>1</v>
      </c>
    </row>
    <row r="2613">
      <c r="A2613" s="2" t="s">
        <v>2622</v>
      </c>
      <c r="B2613" s="2">
        <v>690.0</v>
      </c>
      <c r="C2613" s="2">
        <v>7994.0</v>
      </c>
      <c r="D2613" s="2">
        <v>2579.0</v>
      </c>
      <c r="E2613" s="3">
        <f t="shared" si="1"/>
        <v>0.353094195</v>
      </c>
      <c r="F2613" s="2">
        <v>993.0</v>
      </c>
      <c r="G2613" s="3">
        <f t="shared" si="2"/>
        <v>0.1359529025</v>
      </c>
      <c r="H2613" s="2">
        <v>1583.0</v>
      </c>
      <c r="I2613" s="3">
        <f t="shared" si="3"/>
        <v>0.2167305586</v>
      </c>
      <c r="J2613" s="2">
        <v>1248.0</v>
      </c>
      <c r="K2613" s="3">
        <f t="shared" si="4"/>
        <v>0.1708652793</v>
      </c>
      <c r="L2613" s="2">
        <v>958.0</v>
      </c>
      <c r="M2613" s="3">
        <f t="shared" si="5"/>
        <v>0.6051800379</v>
      </c>
      <c r="N2613" s="2">
        <v>8531200.0</v>
      </c>
      <c r="O2613" s="4">
        <f t="shared" si="6"/>
        <v>5389.260897</v>
      </c>
      <c r="P2613" s="2">
        <v>2.0</v>
      </c>
      <c r="Q2613" s="3">
        <f t="shared" si="7"/>
        <v>0.002898550725</v>
      </c>
      <c r="R2613" s="2">
        <v>690.0</v>
      </c>
      <c r="S2613" s="5">
        <f t="shared" si="8"/>
        <v>1</v>
      </c>
    </row>
    <row r="2614">
      <c r="A2614" s="2" t="s">
        <v>2623</v>
      </c>
      <c r="B2614" s="2">
        <v>412.0</v>
      </c>
      <c r="C2614" s="2">
        <v>4921.0</v>
      </c>
      <c r="D2614" s="2">
        <v>1690.0</v>
      </c>
      <c r="E2614" s="3">
        <f t="shared" si="1"/>
        <v>0.3748059437</v>
      </c>
      <c r="F2614" s="2">
        <v>613.0</v>
      </c>
      <c r="G2614" s="3">
        <f t="shared" si="2"/>
        <v>0.1359503216</v>
      </c>
      <c r="H2614" s="2">
        <v>975.0</v>
      </c>
      <c r="I2614" s="3">
        <f t="shared" si="3"/>
        <v>0.2162341983</v>
      </c>
      <c r="J2614" s="2">
        <v>803.0</v>
      </c>
      <c r="K2614" s="3">
        <f t="shared" si="4"/>
        <v>0.1780882679</v>
      </c>
      <c r="L2614" s="2">
        <v>569.0</v>
      </c>
      <c r="M2614" s="3">
        <f t="shared" si="5"/>
        <v>0.5835897436</v>
      </c>
      <c r="N2614" s="2">
        <v>5196400.0</v>
      </c>
      <c r="O2614" s="4">
        <f t="shared" si="6"/>
        <v>5329.641026</v>
      </c>
      <c r="P2614" s="2">
        <v>2.0</v>
      </c>
      <c r="Q2614" s="3">
        <f t="shared" si="7"/>
        <v>0.004854368932</v>
      </c>
      <c r="R2614" s="2">
        <v>412.0</v>
      </c>
      <c r="S2614" s="5">
        <f t="shared" si="8"/>
        <v>1</v>
      </c>
    </row>
    <row r="2615">
      <c r="A2615" s="2" t="s">
        <v>2624</v>
      </c>
      <c r="B2615" s="2">
        <v>827.0</v>
      </c>
      <c r="C2615" s="2">
        <v>9588.0</v>
      </c>
      <c r="D2615" s="2">
        <v>3075.0</v>
      </c>
      <c r="E2615" s="3">
        <f t="shared" si="1"/>
        <v>0.3509873302</v>
      </c>
      <c r="F2615" s="2">
        <v>1191.0</v>
      </c>
      <c r="G2615" s="3">
        <f t="shared" si="2"/>
        <v>0.1359433855</v>
      </c>
      <c r="H2615" s="2">
        <v>1980.0</v>
      </c>
      <c r="I2615" s="3">
        <f t="shared" si="3"/>
        <v>0.226001598</v>
      </c>
      <c r="J2615" s="2">
        <v>1424.0</v>
      </c>
      <c r="K2615" s="3">
        <f t="shared" si="4"/>
        <v>0.162538523</v>
      </c>
      <c r="L2615" s="2">
        <v>1172.0</v>
      </c>
      <c r="M2615" s="3">
        <f t="shared" si="5"/>
        <v>0.5919191919</v>
      </c>
      <c r="N2615" s="2">
        <v>1.14323E7</v>
      </c>
      <c r="O2615" s="4">
        <f t="shared" si="6"/>
        <v>5773.888889</v>
      </c>
      <c r="P2615" s="2">
        <v>4.0</v>
      </c>
      <c r="Q2615" s="3">
        <f t="shared" si="7"/>
        <v>0.004836759371</v>
      </c>
      <c r="R2615" s="2">
        <v>827.0</v>
      </c>
      <c r="S2615" s="5">
        <f t="shared" si="8"/>
        <v>1</v>
      </c>
    </row>
    <row r="2616">
      <c r="A2616" s="2" t="s">
        <v>2625</v>
      </c>
      <c r="B2616" s="2">
        <v>982.0</v>
      </c>
      <c r="C2616" s="2">
        <v>11554.0</v>
      </c>
      <c r="D2616" s="2">
        <v>3437.0</v>
      </c>
      <c r="E2616" s="3">
        <f t="shared" si="1"/>
        <v>0.3251040484</v>
      </c>
      <c r="F2616" s="2">
        <v>1437.0</v>
      </c>
      <c r="G2616" s="3">
        <f t="shared" si="2"/>
        <v>0.1359250851</v>
      </c>
      <c r="H2616" s="2">
        <v>2278.0</v>
      </c>
      <c r="I2616" s="3">
        <f t="shared" si="3"/>
        <v>0.2154748392</v>
      </c>
      <c r="J2616" s="2">
        <v>2064.0</v>
      </c>
      <c r="K2616" s="3">
        <f t="shared" si="4"/>
        <v>0.1952326901</v>
      </c>
      <c r="L2616" s="2">
        <v>1387.0</v>
      </c>
      <c r="M2616" s="3">
        <f t="shared" si="5"/>
        <v>0.6088674276</v>
      </c>
      <c r="N2616" s="2">
        <v>1.3641E7</v>
      </c>
      <c r="O2616" s="4">
        <f t="shared" si="6"/>
        <v>5988.147498</v>
      </c>
      <c r="P2616" s="2">
        <v>5.0</v>
      </c>
      <c r="Q2616" s="3">
        <f t="shared" si="7"/>
        <v>0.005091649695</v>
      </c>
      <c r="R2616" s="2">
        <v>982.0</v>
      </c>
      <c r="S2616" s="5">
        <f t="shared" si="8"/>
        <v>1</v>
      </c>
    </row>
    <row r="2617">
      <c r="A2617" s="2" t="s">
        <v>2626</v>
      </c>
      <c r="B2617" s="2">
        <v>54.0</v>
      </c>
      <c r="C2617" s="2">
        <v>672.0</v>
      </c>
      <c r="D2617" s="2">
        <v>186.0</v>
      </c>
      <c r="E2617" s="3">
        <f t="shared" si="1"/>
        <v>0.3009708738</v>
      </c>
      <c r="F2617" s="2">
        <v>84.0</v>
      </c>
      <c r="G2617" s="3">
        <f t="shared" si="2"/>
        <v>0.1359223301</v>
      </c>
      <c r="H2617" s="2">
        <v>118.0</v>
      </c>
      <c r="I2617" s="3">
        <f t="shared" si="3"/>
        <v>0.1909385113</v>
      </c>
      <c r="J2617" s="2">
        <v>98.0</v>
      </c>
      <c r="K2617" s="3">
        <f t="shared" si="4"/>
        <v>0.1585760518</v>
      </c>
      <c r="L2617" s="2">
        <v>65.0</v>
      </c>
      <c r="M2617" s="3">
        <f t="shared" si="5"/>
        <v>0.5508474576</v>
      </c>
      <c r="N2617" s="2">
        <v>558900.0</v>
      </c>
      <c r="O2617" s="4">
        <f t="shared" si="6"/>
        <v>4736.440678</v>
      </c>
      <c r="P2617" s="2">
        <v>0.0</v>
      </c>
      <c r="Q2617" s="3">
        <f t="shared" si="7"/>
        <v>0</v>
      </c>
      <c r="R2617" s="2">
        <v>35.0</v>
      </c>
      <c r="S2617" s="5">
        <f t="shared" si="8"/>
        <v>0.6481481481</v>
      </c>
    </row>
    <row r="2618">
      <c r="A2618" s="2" t="s">
        <v>2627</v>
      </c>
      <c r="B2618" s="2">
        <v>602.0</v>
      </c>
      <c r="C2618" s="2">
        <v>7025.0</v>
      </c>
      <c r="D2618" s="2">
        <v>1946.0</v>
      </c>
      <c r="E2618" s="3">
        <f t="shared" si="1"/>
        <v>0.3029736883</v>
      </c>
      <c r="F2618" s="2">
        <v>873.0</v>
      </c>
      <c r="G2618" s="3">
        <f t="shared" si="2"/>
        <v>0.1359177954</v>
      </c>
      <c r="H2618" s="2">
        <v>1304.0</v>
      </c>
      <c r="I2618" s="3">
        <f t="shared" si="3"/>
        <v>0.2030203955</v>
      </c>
      <c r="J2618" s="2">
        <v>1099.0</v>
      </c>
      <c r="K2618" s="3">
        <f t="shared" si="4"/>
        <v>0.1711038456</v>
      </c>
      <c r="L2618" s="2">
        <v>773.0</v>
      </c>
      <c r="M2618" s="3">
        <f t="shared" si="5"/>
        <v>0.592791411</v>
      </c>
      <c r="N2618" s="2">
        <v>8223600.0</v>
      </c>
      <c r="O2618" s="4">
        <f t="shared" si="6"/>
        <v>6306.441718</v>
      </c>
      <c r="P2618" s="2">
        <v>3.0</v>
      </c>
      <c r="Q2618" s="3">
        <f t="shared" si="7"/>
        <v>0.004983388704</v>
      </c>
      <c r="R2618" s="2">
        <v>0.0</v>
      </c>
      <c r="S2618" s="5">
        <f t="shared" si="8"/>
        <v>0</v>
      </c>
    </row>
    <row r="2619">
      <c r="A2619" s="2" t="s">
        <v>2628</v>
      </c>
      <c r="B2619" s="2">
        <v>1227.0</v>
      </c>
      <c r="C2619" s="2">
        <v>14464.0</v>
      </c>
      <c r="D2619" s="2">
        <v>4396.0</v>
      </c>
      <c r="E2619" s="3">
        <f t="shared" si="1"/>
        <v>0.3320994183</v>
      </c>
      <c r="F2619" s="2">
        <v>1799.0</v>
      </c>
      <c r="G2619" s="3">
        <f t="shared" si="2"/>
        <v>0.1359069276</v>
      </c>
      <c r="H2619" s="2">
        <v>2757.0</v>
      </c>
      <c r="I2619" s="3">
        <f t="shared" si="3"/>
        <v>0.2082798217</v>
      </c>
      <c r="J2619" s="2">
        <v>2382.0</v>
      </c>
      <c r="K2619" s="3">
        <f t="shared" si="4"/>
        <v>0.1799501398</v>
      </c>
      <c r="L2619" s="2">
        <v>1586.0</v>
      </c>
      <c r="M2619" s="3">
        <f t="shared" si="5"/>
        <v>0.575262967</v>
      </c>
      <c r="N2619" s="2">
        <v>1.57803E7</v>
      </c>
      <c r="O2619" s="4">
        <f t="shared" si="6"/>
        <v>5723.721436</v>
      </c>
      <c r="P2619" s="2">
        <v>4.0</v>
      </c>
      <c r="Q2619" s="3">
        <f t="shared" si="7"/>
        <v>0.0032599837</v>
      </c>
      <c r="R2619" s="2">
        <v>0.0</v>
      </c>
      <c r="S2619" s="5">
        <f t="shared" si="8"/>
        <v>0</v>
      </c>
    </row>
    <row r="2620">
      <c r="A2620" s="2" t="s">
        <v>2629</v>
      </c>
      <c r="B2620" s="2">
        <v>43.0</v>
      </c>
      <c r="C2620" s="2">
        <v>514.0</v>
      </c>
      <c r="D2620" s="2">
        <v>159.0</v>
      </c>
      <c r="E2620" s="3">
        <f t="shared" si="1"/>
        <v>0.3375796178</v>
      </c>
      <c r="F2620" s="2">
        <v>64.0</v>
      </c>
      <c r="G2620" s="3">
        <f t="shared" si="2"/>
        <v>0.135881104</v>
      </c>
      <c r="H2620" s="2">
        <v>103.0</v>
      </c>
      <c r="I2620" s="3">
        <f t="shared" si="3"/>
        <v>0.2186836518</v>
      </c>
      <c r="J2620" s="2">
        <v>78.0</v>
      </c>
      <c r="K2620" s="3">
        <f t="shared" si="4"/>
        <v>0.1656050955</v>
      </c>
      <c r="L2620" s="2">
        <v>60.0</v>
      </c>
      <c r="M2620" s="3">
        <f t="shared" si="5"/>
        <v>0.5825242718</v>
      </c>
      <c r="N2620" s="2">
        <v>616600.0</v>
      </c>
      <c r="O2620" s="4">
        <f t="shared" si="6"/>
        <v>5986.407767</v>
      </c>
      <c r="P2620" s="2">
        <v>0.0</v>
      </c>
      <c r="Q2620" s="3">
        <f t="shared" si="7"/>
        <v>0</v>
      </c>
      <c r="R2620" s="2">
        <v>43.0</v>
      </c>
      <c r="S2620" s="5">
        <f t="shared" si="8"/>
        <v>1</v>
      </c>
    </row>
    <row r="2621">
      <c r="A2621" s="2" t="s">
        <v>2630</v>
      </c>
      <c r="B2621" s="2">
        <v>236.0</v>
      </c>
      <c r="C2621" s="2">
        <v>2753.0</v>
      </c>
      <c r="D2621" s="2">
        <v>1021.0</v>
      </c>
      <c r="E2621" s="3">
        <f t="shared" si="1"/>
        <v>0.4056416369</v>
      </c>
      <c r="F2621" s="2">
        <v>342.0</v>
      </c>
      <c r="G2621" s="3">
        <f t="shared" si="2"/>
        <v>0.1358760429</v>
      </c>
      <c r="H2621" s="2">
        <v>543.0</v>
      </c>
      <c r="I2621" s="3">
        <f t="shared" si="3"/>
        <v>0.2157330155</v>
      </c>
      <c r="J2621" s="2">
        <v>362.0</v>
      </c>
      <c r="K2621" s="3">
        <f t="shared" si="4"/>
        <v>0.1438220103</v>
      </c>
      <c r="L2621" s="2">
        <v>346.0</v>
      </c>
      <c r="M2621" s="3">
        <f t="shared" si="5"/>
        <v>0.6372007366</v>
      </c>
      <c r="N2621" s="2">
        <v>2975000.0</v>
      </c>
      <c r="O2621" s="4">
        <f t="shared" si="6"/>
        <v>5478.821363</v>
      </c>
      <c r="P2621" s="2">
        <v>0.0</v>
      </c>
      <c r="Q2621" s="3">
        <f t="shared" si="7"/>
        <v>0</v>
      </c>
      <c r="R2621" s="2">
        <v>236.0</v>
      </c>
      <c r="S2621" s="5">
        <f t="shared" si="8"/>
        <v>1</v>
      </c>
    </row>
    <row r="2622">
      <c r="A2622" s="2" t="s">
        <v>2631</v>
      </c>
      <c r="B2622" s="2">
        <v>786.0</v>
      </c>
      <c r="C2622" s="2">
        <v>9029.0</v>
      </c>
      <c r="D2622" s="2">
        <v>3105.0</v>
      </c>
      <c r="E2622" s="3">
        <f t="shared" si="1"/>
        <v>0.3766832464</v>
      </c>
      <c r="F2622" s="2">
        <v>1120.0</v>
      </c>
      <c r="G2622" s="3">
        <f t="shared" si="2"/>
        <v>0.1358728618</v>
      </c>
      <c r="H2622" s="2">
        <v>1786.0</v>
      </c>
      <c r="I2622" s="3">
        <f t="shared" si="3"/>
        <v>0.2166686886</v>
      </c>
      <c r="J2622" s="2">
        <v>1356.0</v>
      </c>
      <c r="K2622" s="3">
        <f t="shared" si="4"/>
        <v>0.1645032148</v>
      </c>
      <c r="L2622" s="2">
        <v>1047.0</v>
      </c>
      <c r="M2622" s="3">
        <f t="shared" si="5"/>
        <v>0.5862262038</v>
      </c>
      <c r="N2622" s="2">
        <v>9685600.0</v>
      </c>
      <c r="O2622" s="4">
        <f t="shared" si="6"/>
        <v>5423.068309</v>
      </c>
      <c r="P2622" s="2">
        <v>0.0</v>
      </c>
      <c r="Q2622" s="3">
        <f t="shared" si="7"/>
        <v>0</v>
      </c>
      <c r="R2622" s="2">
        <v>786.0</v>
      </c>
      <c r="S2622" s="5">
        <f t="shared" si="8"/>
        <v>1</v>
      </c>
    </row>
    <row r="2623">
      <c r="A2623" s="2" t="s">
        <v>2632</v>
      </c>
      <c r="B2623" s="2">
        <v>125.0</v>
      </c>
      <c r="C2623" s="2">
        <v>1472.0</v>
      </c>
      <c r="D2623" s="2">
        <v>513.0</v>
      </c>
      <c r="E2623" s="3">
        <f t="shared" si="1"/>
        <v>0.3808463252</v>
      </c>
      <c r="F2623" s="2">
        <v>183.0</v>
      </c>
      <c r="G2623" s="3">
        <f t="shared" si="2"/>
        <v>0.135857461</v>
      </c>
      <c r="H2623" s="2">
        <v>280.0</v>
      </c>
      <c r="I2623" s="3">
        <f t="shared" si="3"/>
        <v>0.2078693393</v>
      </c>
      <c r="J2623" s="2">
        <v>210.0</v>
      </c>
      <c r="K2623" s="3">
        <f t="shared" si="4"/>
        <v>0.1559020045</v>
      </c>
      <c r="L2623" s="2">
        <v>161.0</v>
      </c>
      <c r="M2623" s="3">
        <f t="shared" si="5"/>
        <v>0.575</v>
      </c>
      <c r="N2623" s="2">
        <v>1576000.0</v>
      </c>
      <c r="O2623" s="4">
        <f t="shared" si="6"/>
        <v>5628.571429</v>
      </c>
      <c r="P2623" s="2">
        <v>0.0</v>
      </c>
      <c r="Q2623" s="3">
        <f t="shared" si="7"/>
        <v>0</v>
      </c>
      <c r="R2623" s="2">
        <v>125.0</v>
      </c>
      <c r="S2623" s="5">
        <f t="shared" si="8"/>
        <v>1</v>
      </c>
    </row>
    <row r="2624">
      <c r="A2624" s="2" t="s">
        <v>2633</v>
      </c>
      <c r="B2624" s="2">
        <v>301.0</v>
      </c>
      <c r="C2624" s="2">
        <v>3584.0</v>
      </c>
      <c r="D2624" s="2">
        <v>949.0</v>
      </c>
      <c r="E2624" s="3">
        <f t="shared" si="1"/>
        <v>0.2890648797</v>
      </c>
      <c r="F2624" s="2">
        <v>446.0</v>
      </c>
      <c r="G2624" s="3">
        <f t="shared" si="2"/>
        <v>0.1358513555</v>
      </c>
      <c r="H2624" s="2">
        <v>642.0</v>
      </c>
      <c r="I2624" s="3">
        <f t="shared" si="3"/>
        <v>0.195552848</v>
      </c>
      <c r="J2624" s="2">
        <v>601.0</v>
      </c>
      <c r="K2624" s="3">
        <f t="shared" si="4"/>
        <v>0.1830642705</v>
      </c>
      <c r="L2624" s="2">
        <v>370.0</v>
      </c>
      <c r="M2624" s="3">
        <f t="shared" si="5"/>
        <v>0.5763239875</v>
      </c>
      <c r="N2624" s="2">
        <v>3565200.0</v>
      </c>
      <c r="O2624" s="4">
        <f t="shared" si="6"/>
        <v>5553.271028</v>
      </c>
      <c r="P2624" s="2">
        <v>0.0</v>
      </c>
      <c r="Q2624" s="3">
        <f t="shared" si="7"/>
        <v>0</v>
      </c>
      <c r="R2624" s="2">
        <v>0.0</v>
      </c>
      <c r="S2624" s="5">
        <f t="shared" si="8"/>
        <v>0</v>
      </c>
    </row>
    <row r="2625">
      <c r="A2625" s="2" t="s">
        <v>2634</v>
      </c>
      <c r="B2625" s="2">
        <v>459.0</v>
      </c>
      <c r="C2625" s="2">
        <v>5310.0</v>
      </c>
      <c r="D2625" s="2">
        <v>1607.0</v>
      </c>
      <c r="E2625" s="3">
        <f t="shared" si="1"/>
        <v>0.3312719027</v>
      </c>
      <c r="F2625" s="2">
        <v>659.0</v>
      </c>
      <c r="G2625" s="3">
        <f t="shared" si="2"/>
        <v>0.1358482787</v>
      </c>
      <c r="H2625" s="2">
        <v>1047.0</v>
      </c>
      <c r="I2625" s="3">
        <f t="shared" si="3"/>
        <v>0.2158317873</v>
      </c>
      <c r="J2625" s="2">
        <v>1018.0</v>
      </c>
      <c r="K2625" s="3">
        <f t="shared" si="4"/>
        <v>0.2098536384</v>
      </c>
      <c r="L2625" s="2">
        <v>616.0</v>
      </c>
      <c r="M2625" s="3">
        <f t="shared" si="5"/>
        <v>0.58834766</v>
      </c>
      <c r="N2625" s="2">
        <v>6243800.0</v>
      </c>
      <c r="O2625" s="4">
        <f t="shared" si="6"/>
        <v>5963.514804</v>
      </c>
      <c r="P2625" s="2">
        <v>2.0</v>
      </c>
      <c r="Q2625" s="3">
        <f t="shared" si="7"/>
        <v>0.004357298475</v>
      </c>
      <c r="R2625" s="2">
        <v>459.0</v>
      </c>
      <c r="S2625" s="5">
        <f t="shared" si="8"/>
        <v>1</v>
      </c>
    </row>
    <row r="2626">
      <c r="A2626" s="2" t="s">
        <v>2635</v>
      </c>
      <c r="B2626" s="2">
        <v>308.0</v>
      </c>
      <c r="C2626" s="2">
        <v>3628.0</v>
      </c>
      <c r="D2626" s="2">
        <v>1139.0</v>
      </c>
      <c r="E2626" s="3">
        <f t="shared" si="1"/>
        <v>0.3430722892</v>
      </c>
      <c r="F2626" s="2">
        <v>451.0</v>
      </c>
      <c r="G2626" s="3">
        <f t="shared" si="2"/>
        <v>0.1358433735</v>
      </c>
      <c r="H2626" s="2">
        <v>670.0</v>
      </c>
      <c r="I2626" s="3">
        <f t="shared" si="3"/>
        <v>0.2018072289</v>
      </c>
      <c r="J2626" s="2">
        <v>647.0</v>
      </c>
      <c r="K2626" s="3">
        <f t="shared" si="4"/>
        <v>0.1948795181</v>
      </c>
      <c r="L2626" s="2">
        <v>386.0</v>
      </c>
      <c r="M2626" s="3">
        <f t="shared" si="5"/>
        <v>0.576119403</v>
      </c>
      <c r="N2626" s="2">
        <v>3613600.0</v>
      </c>
      <c r="O2626" s="4">
        <f t="shared" si="6"/>
        <v>5393.432836</v>
      </c>
      <c r="P2626" s="2">
        <v>0.0</v>
      </c>
      <c r="Q2626" s="3">
        <f t="shared" si="7"/>
        <v>0</v>
      </c>
      <c r="R2626" s="2">
        <v>303.0</v>
      </c>
      <c r="S2626" s="5">
        <f t="shared" si="8"/>
        <v>0.9837662338</v>
      </c>
    </row>
    <row r="2627">
      <c r="A2627" s="2" t="s">
        <v>2636</v>
      </c>
      <c r="B2627" s="2">
        <v>492.0</v>
      </c>
      <c r="C2627" s="2">
        <v>5785.0</v>
      </c>
      <c r="D2627" s="2">
        <v>1762.0</v>
      </c>
      <c r="E2627" s="3">
        <f t="shared" si="1"/>
        <v>0.3328924995</v>
      </c>
      <c r="F2627" s="2">
        <v>719.0</v>
      </c>
      <c r="G2627" s="3">
        <f t="shared" si="2"/>
        <v>0.1358397884</v>
      </c>
      <c r="H2627" s="2">
        <v>1113.0</v>
      </c>
      <c r="I2627" s="3">
        <f t="shared" si="3"/>
        <v>0.2102777253</v>
      </c>
      <c r="J2627" s="2">
        <v>961.0</v>
      </c>
      <c r="K2627" s="3">
        <f t="shared" si="4"/>
        <v>0.1815605517</v>
      </c>
      <c r="L2627" s="2">
        <v>672.0</v>
      </c>
      <c r="M2627" s="3">
        <f t="shared" si="5"/>
        <v>0.6037735849</v>
      </c>
      <c r="N2627" s="2">
        <v>6496300.0</v>
      </c>
      <c r="O2627" s="4">
        <f t="shared" si="6"/>
        <v>5836.747529</v>
      </c>
      <c r="P2627" s="2">
        <v>1.0</v>
      </c>
      <c r="Q2627" s="3">
        <f t="shared" si="7"/>
        <v>0.002032520325</v>
      </c>
      <c r="R2627" s="2">
        <v>492.0</v>
      </c>
      <c r="S2627" s="5">
        <f t="shared" si="8"/>
        <v>1</v>
      </c>
    </row>
    <row r="2628">
      <c r="A2628" s="2" t="s">
        <v>2637</v>
      </c>
      <c r="B2628" s="2">
        <v>34.0</v>
      </c>
      <c r="C2628" s="2">
        <v>380.0</v>
      </c>
      <c r="D2628" s="2">
        <v>132.0</v>
      </c>
      <c r="E2628" s="3">
        <f t="shared" si="1"/>
        <v>0.3815028902</v>
      </c>
      <c r="F2628" s="2">
        <v>47.0</v>
      </c>
      <c r="G2628" s="3">
        <f t="shared" si="2"/>
        <v>0.1358381503</v>
      </c>
      <c r="H2628" s="2">
        <v>76.0</v>
      </c>
      <c r="I2628" s="3">
        <f t="shared" si="3"/>
        <v>0.2196531792</v>
      </c>
      <c r="J2628" s="2">
        <v>69.0</v>
      </c>
      <c r="K2628" s="3">
        <f t="shared" si="4"/>
        <v>0.1994219653</v>
      </c>
      <c r="L2628" s="2">
        <v>51.0</v>
      </c>
      <c r="M2628" s="3">
        <f t="shared" si="5"/>
        <v>0.6710526316</v>
      </c>
      <c r="N2628" s="2">
        <v>394300.0</v>
      </c>
      <c r="O2628" s="4">
        <f t="shared" si="6"/>
        <v>5188.157895</v>
      </c>
      <c r="P2628" s="2">
        <v>0.0</v>
      </c>
      <c r="Q2628" s="3">
        <f t="shared" si="7"/>
        <v>0</v>
      </c>
      <c r="R2628" s="2">
        <v>9.0</v>
      </c>
      <c r="S2628" s="5">
        <f t="shared" si="8"/>
        <v>0.2647058824</v>
      </c>
    </row>
    <row r="2629">
      <c r="A2629" s="2" t="s">
        <v>2638</v>
      </c>
      <c r="B2629" s="2">
        <v>61.0</v>
      </c>
      <c r="C2629" s="2">
        <v>753.0</v>
      </c>
      <c r="D2629" s="2">
        <v>218.0</v>
      </c>
      <c r="E2629" s="3">
        <f t="shared" si="1"/>
        <v>0.3150289017</v>
      </c>
      <c r="F2629" s="2">
        <v>94.0</v>
      </c>
      <c r="G2629" s="3">
        <f t="shared" si="2"/>
        <v>0.1358381503</v>
      </c>
      <c r="H2629" s="2">
        <v>123.0</v>
      </c>
      <c r="I2629" s="3">
        <f t="shared" si="3"/>
        <v>0.1777456647</v>
      </c>
      <c r="J2629" s="2">
        <v>124.0</v>
      </c>
      <c r="K2629" s="3">
        <f t="shared" si="4"/>
        <v>0.1791907514</v>
      </c>
      <c r="L2629" s="2">
        <v>69.0</v>
      </c>
      <c r="M2629" s="3">
        <f t="shared" si="5"/>
        <v>0.5609756098</v>
      </c>
      <c r="N2629" s="2">
        <v>729300.0</v>
      </c>
      <c r="O2629" s="4">
        <f t="shared" si="6"/>
        <v>5929.268293</v>
      </c>
      <c r="P2629" s="2">
        <v>0.0</v>
      </c>
      <c r="Q2629" s="3">
        <f t="shared" si="7"/>
        <v>0</v>
      </c>
      <c r="R2629" s="2">
        <v>61.0</v>
      </c>
      <c r="S2629" s="5">
        <f t="shared" si="8"/>
        <v>1</v>
      </c>
    </row>
    <row r="2630">
      <c r="A2630" s="2" t="s">
        <v>2639</v>
      </c>
      <c r="B2630" s="2">
        <v>265.0</v>
      </c>
      <c r="C2630" s="2">
        <v>3173.0</v>
      </c>
      <c r="D2630" s="2">
        <v>1005.0</v>
      </c>
      <c r="E2630" s="3">
        <f t="shared" si="1"/>
        <v>0.3455983494</v>
      </c>
      <c r="F2630" s="2">
        <v>395.0</v>
      </c>
      <c r="G2630" s="3">
        <f t="shared" si="2"/>
        <v>0.1358321871</v>
      </c>
      <c r="H2630" s="2">
        <v>608.0</v>
      </c>
      <c r="I2630" s="3">
        <f t="shared" si="3"/>
        <v>0.2090784044</v>
      </c>
      <c r="J2630" s="2">
        <v>439.0</v>
      </c>
      <c r="K2630" s="3">
        <f t="shared" si="4"/>
        <v>0.1509628611</v>
      </c>
      <c r="L2630" s="2">
        <v>358.0</v>
      </c>
      <c r="M2630" s="3">
        <f t="shared" si="5"/>
        <v>0.5888157895</v>
      </c>
      <c r="N2630" s="2">
        <v>3439800.0</v>
      </c>
      <c r="O2630" s="4">
        <f t="shared" si="6"/>
        <v>5657.565789</v>
      </c>
      <c r="P2630" s="2">
        <v>0.0</v>
      </c>
      <c r="Q2630" s="3">
        <f t="shared" si="7"/>
        <v>0</v>
      </c>
      <c r="R2630" s="2">
        <v>244.0</v>
      </c>
      <c r="S2630" s="5">
        <f t="shared" si="8"/>
        <v>0.920754717</v>
      </c>
    </row>
    <row r="2631">
      <c r="A2631" s="2" t="s">
        <v>2640</v>
      </c>
      <c r="B2631" s="2">
        <v>78.0</v>
      </c>
      <c r="C2631" s="2">
        <v>932.0</v>
      </c>
      <c r="D2631" s="2">
        <v>315.0</v>
      </c>
      <c r="E2631" s="3">
        <f t="shared" si="1"/>
        <v>0.368852459</v>
      </c>
      <c r="F2631" s="2">
        <v>116.0</v>
      </c>
      <c r="G2631" s="3">
        <f t="shared" si="2"/>
        <v>0.1358313817</v>
      </c>
      <c r="H2631" s="2">
        <v>187.0</v>
      </c>
      <c r="I2631" s="3">
        <f t="shared" si="3"/>
        <v>0.218969555</v>
      </c>
      <c r="J2631" s="2">
        <v>153.0</v>
      </c>
      <c r="K2631" s="3">
        <f t="shared" si="4"/>
        <v>0.1791569087</v>
      </c>
      <c r="L2631" s="2">
        <v>116.0</v>
      </c>
      <c r="M2631" s="3">
        <f t="shared" si="5"/>
        <v>0.6203208556</v>
      </c>
      <c r="N2631" s="2">
        <v>939200.0</v>
      </c>
      <c r="O2631" s="4">
        <f t="shared" si="6"/>
        <v>5022.459893</v>
      </c>
      <c r="P2631" s="2">
        <v>0.0</v>
      </c>
      <c r="Q2631" s="3">
        <f t="shared" si="7"/>
        <v>0</v>
      </c>
      <c r="R2631" s="2">
        <v>78.0</v>
      </c>
      <c r="S2631" s="5">
        <f t="shared" si="8"/>
        <v>1</v>
      </c>
    </row>
    <row r="2632">
      <c r="A2632" s="2" t="s">
        <v>2641</v>
      </c>
      <c r="B2632" s="2">
        <v>827.0</v>
      </c>
      <c r="C2632" s="2">
        <v>9691.0</v>
      </c>
      <c r="D2632" s="2">
        <v>2697.0</v>
      </c>
      <c r="E2632" s="3">
        <f t="shared" si="1"/>
        <v>0.3042644404</v>
      </c>
      <c r="F2632" s="2">
        <v>1204.0</v>
      </c>
      <c r="G2632" s="3">
        <f t="shared" si="2"/>
        <v>0.1358303249</v>
      </c>
      <c r="H2632" s="2">
        <v>1788.0</v>
      </c>
      <c r="I2632" s="3">
        <f t="shared" si="3"/>
        <v>0.2017148014</v>
      </c>
      <c r="J2632" s="2">
        <v>1454.0</v>
      </c>
      <c r="K2632" s="3">
        <f t="shared" si="4"/>
        <v>0.164034296</v>
      </c>
      <c r="L2632" s="2">
        <v>1081.0</v>
      </c>
      <c r="M2632" s="3">
        <f t="shared" si="5"/>
        <v>0.6045861298</v>
      </c>
      <c r="N2632" s="2">
        <v>1.05264E7</v>
      </c>
      <c r="O2632" s="4">
        <f t="shared" si="6"/>
        <v>5887.248322</v>
      </c>
      <c r="P2632" s="2">
        <v>1.0</v>
      </c>
      <c r="Q2632" s="3">
        <f t="shared" si="7"/>
        <v>0.001209189843</v>
      </c>
      <c r="R2632" s="2">
        <v>827.0</v>
      </c>
      <c r="S2632" s="5">
        <f t="shared" si="8"/>
        <v>1</v>
      </c>
    </row>
    <row r="2633">
      <c r="A2633" s="2" t="s">
        <v>2642</v>
      </c>
      <c r="B2633" s="2">
        <v>2373.0</v>
      </c>
      <c r="C2633" s="2">
        <v>27671.0</v>
      </c>
      <c r="D2633" s="2">
        <v>6838.0</v>
      </c>
      <c r="E2633" s="3">
        <f t="shared" si="1"/>
        <v>0.2702980473</v>
      </c>
      <c r="F2633" s="2">
        <v>3436.0</v>
      </c>
      <c r="G2633" s="3">
        <f t="shared" si="2"/>
        <v>0.1358210135</v>
      </c>
      <c r="H2633" s="2">
        <v>5038.0</v>
      </c>
      <c r="I2633" s="3">
        <f t="shared" si="3"/>
        <v>0.1991461776</v>
      </c>
      <c r="J2633" s="2">
        <v>4991.0</v>
      </c>
      <c r="K2633" s="3">
        <f t="shared" si="4"/>
        <v>0.1972883232</v>
      </c>
      <c r="L2633" s="2">
        <v>3016.0</v>
      </c>
      <c r="M2633" s="3">
        <f t="shared" si="5"/>
        <v>0.598650258</v>
      </c>
      <c r="N2633" s="2">
        <v>3.08317E7</v>
      </c>
      <c r="O2633" s="4">
        <f t="shared" si="6"/>
        <v>6119.829297</v>
      </c>
      <c r="P2633" s="2">
        <v>2.0</v>
      </c>
      <c r="Q2633" s="3">
        <f t="shared" si="7"/>
        <v>0.0008428150021</v>
      </c>
      <c r="R2633" s="2">
        <v>2373.0</v>
      </c>
      <c r="S2633" s="5">
        <f t="shared" si="8"/>
        <v>1</v>
      </c>
    </row>
    <row r="2634">
      <c r="A2634" s="2" t="s">
        <v>2643</v>
      </c>
      <c r="B2634" s="2">
        <v>64.0</v>
      </c>
      <c r="C2634" s="2">
        <v>734.0</v>
      </c>
      <c r="D2634" s="2">
        <v>223.0</v>
      </c>
      <c r="E2634" s="3">
        <f t="shared" si="1"/>
        <v>0.3328358209</v>
      </c>
      <c r="F2634" s="2">
        <v>91.0</v>
      </c>
      <c r="G2634" s="3">
        <f t="shared" si="2"/>
        <v>0.1358208955</v>
      </c>
      <c r="H2634" s="2">
        <v>138.0</v>
      </c>
      <c r="I2634" s="3">
        <f t="shared" si="3"/>
        <v>0.2059701493</v>
      </c>
      <c r="J2634" s="2">
        <v>128.0</v>
      </c>
      <c r="K2634" s="3">
        <f t="shared" si="4"/>
        <v>0.1910447761</v>
      </c>
      <c r="L2634" s="2">
        <v>90.0</v>
      </c>
      <c r="M2634" s="3">
        <f t="shared" si="5"/>
        <v>0.652173913</v>
      </c>
      <c r="N2634" s="2">
        <v>702400.0</v>
      </c>
      <c r="O2634" s="4">
        <f t="shared" si="6"/>
        <v>5089.855072</v>
      </c>
      <c r="P2634" s="2">
        <v>0.0</v>
      </c>
      <c r="Q2634" s="3">
        <f t="shared" si="7"/>
        <v>0</v>
      </c>
      <c r="R2634" s="2">
        <v>64.0</v>
      </c>
      <c r="S2634" s="5">
        <f t="shared" si="8"/>
        <v>1</v>
      </c>
    </row>
    <row r="2635">
      <c r="A2635" s="2" t="s">
        <v>2644</v>
      </c>
      <c r="B2635" s="2">
        <v>154.0</v>
      </c>
      <c r="C2635" s="2">
        <v>1818.0</v>
      </c>
      <c r="D2635" s="2">
        <v>595.0</v>
      </c>
      <c r="E2635" s="3">
        <f t="shared" si="1"/>
        <v>0.3575721154</v>
      </c>
      <c r="F2635" s="2">
        <v>226.0</v>
      </c>
      <c r="G2635" s="3">
        <f t="shared" si="2"/>
        <v>0.1358173077</v>
      </c>
      <c r="H2635" s="2">
        <v>373.0</v>
      </c>
      <c r="I2635" s="3">
        <f t="shared" si="3"/>
        <v>0.2241586538</v>
      </c>
      <c r="J2635" s="2">
        <v>298.0</v>
      </c>
      <c r="K2635" s="3">
        <f t="shared" si="4"/>
        <v>0.1790865385</v>
      </c>
      <c r="L2635" s="2">
        <v>209.0</v>
      </c>
      <c r="M2635" s="3">
        <f t="shared" si="5"/>
        <v>0.5603217158</v>
      </c>
      <c r="N2635" s="2">
        <v>2003600.0</v>
      </c>
      <c r="O2635" s="4">
        <f t="shared" si="6"/>
        <v>5371.581769</v>
      </c>
      <c r="P2635" s="2">
        <v>0.0</v>
      </c>
      <c r="Q2635" s="3">
        <f t="shared" si="7"/>
        <v>0</v>
      </c>
      <c r="R2635" s="2">
        <v>154.0</v>
      </c>
      <c r="S2635" s="5">
        <f t="shared" si="8"/>
        <v>1</v>
      </c>
    </row>
    <row r="2636">
      <c r="A2636" s="2" t="s">
        <v>2645</v>
      </c>
      <c r="B2636" s="2">
        <v>98.0</v>
      </c>
      <c r="C2636" s="2">
        <v>1173.0</v>
      </c>
      <c r="D2636" s="2">
        <v>330.0</v>
      </c>
      <c r="E2636" s="3">
        <f t="shared" si="1"/>
        <v>0.3069767442</v>
      </c>
      <c r="F2636" s="2">
        <v>146.0</v>
      </c>
      <c r="G2636" s="3">
        <f t="shared" si="2"/>
        <v>0.1358139535</v>
      </c>
      <c r="H2636" s="2">
        <v>174.0</v>
      </c>
      <c r="I2636" s="3">
        <f t="shared" si="3"/>
        <v>0.1618604651</v>
      </c>
      <c r="J2636" s="2">
        <v>129.0</v>
      </c>
      <c r="K2636" s="3">
        <f t="shared" si="4"/>
        <v>0.12</v>
      </c>
      <c r="L2636" s="2">
        <v>94.0</v>
      </c>
      <c r="M2636" s="3">
        <f t="shared" si="5"/>
        <v>0.5402298851</v>
      </c>
      <c r="N2636" s="2">
        <v>1066700.0</v>
      </c>
      <c r="O2636" s="4">
        <f t="shared" si="6"/>
        <v>6130.45977</v>
      </c>
      <c r="P2636" s="2">
        <v>0.0</v>
      </c>
      <c r="Q2636" s="3">
        <f t="shared" si="7"/>
        <v>0</v>
      </c>
      <c r="R2636" s="2">
        <v>98.0</v>
      </c>
      <c r="S2636" s="5">
        <f t="shared" si="8"/>
        <v>1</v>
      </c>
    </row>
    <row r="2637">
      <c r="A2637" s="2" t="s">
        <v>2646</v>
      </c>
      <c r="B2637" s="2">
        <v>2590.0</v>
      </c>
      <c r="C2637" s="2">
        <v>30512.0</v>
      </c>
      <c r="D2637" s="2">
        <v>10985.0</v>
      </c>
      <c r="E2637" s="3">
        <f t="shared" si="1"/>
        <v>0.393417377</v>
      </c>
      <c r="F2637" s="2">
        <v>3792.0</v>
      </c>
      <c r="G2637" s="3">
        <f t="shared" si="2"/>
        <v>0.1358068906</v>
      </c>
      <c r="H2637" s="2">
        <v>5793.0</v>
      </c>
      <c r="I2637" s="3">
        <f t="shared" si="3"/>
        <v>0.2074708115</v>
      </c>
      <c r="J2637" s="2">
        <v>3953.0</v>
      </c>
      <c r="K2637" s="3">
        <f t="shared" si="4"/>
        <v>0.1415729532</v>
      </c>
      <c r="L2637" s="2">
        <v>3521.0</v>
      </c>
      <c r="M2637" s="3">
        <f t="shared" si="5"/>
        <v>0.6078025203</v>
      </c>
      <c r="N2637" s="2">
        <v>3.17126E7</v>
      </c>
      <c r="O2637" s="4">
        <f t="shared" si="6"/>
        <v>5474.296565</v>
      </c>
      <c r="P2637" s="2">
        <v>6.0</v>
      </c>
      <c r="Q2637" s="3">
        <f t="shared" si="7"/>
        <v>0.002316602317</v>
      </c>
      <c r="R2637" s="2">
        <v>2590.0</v>
      </c>
      <c r="S2637" s="5">
        <f t="shared" si="8"/>
        <v>1</v>
      </c>
    </row>
    <row r="2638">
      <c r="A2638" s="2" t="s">
        <v>2647</v>
      </c>
      <c r="B2638" s="2">
        <v>632.0</v>
      </c>
      <c r="C2638" s="2">
        <v>7237.0</v>
      </c>
      <c r="D2638" s="2">
        <v>2421.0</v>
      </c>
      <c r="E2638" s="3">
        <f t="shared" si="1"/>
        <v>0.3665404996</v>
      </c>
      <c r="F2638" s="2">
        <v>897.0</v>
      </c>
      <c r="G2638" s="3">
        <f t="shared" si="2"/>
        <v>0.1358062074</v>
      </c>
      <c r="H2638" s="2">
        <v>1399.0</v>
      </c>
      <c r="I2638" s="3">
        <f t="shared" si="3"/>
        <v>0.2118092354</v>
      </c>
      <c r="J2638" s="2">
        <v>1124.0</v>
      </c>
      <c r="K2638" s="3">
        <f t="shared" si="4"/>
        <v>0.1701741105</v>
      </c>
      <c r="L2638" s="2">
        <v>850.0</v>
      </c>
      <c r="M2638" s="3">
        <f t="shared" si="5"/>
        <v>0.6075768406</v>
      </c>
      <c r="N2638" s="2">
        <v>7816500.0</v>
      </c>
      <c r="O2638" s="4">
        <f t="shared" si="6"/>
        <v>5587.205147</v>
      </c>
      <c r="P2638" s="2">
        <v>0.0</v>
      </c>
      <c r="Q2638" s="3">
        <f t="shared" si="7"/>
        <v>0</v>
      </c>
      <c r="R2638" s="2">
        <v>632.0</v>
      </c>
      <c r="S2638" s="5">
        <f t="shared" si="8"/>
        <v>1</v>
      </c>
    </row>
    <row r="2639">
      <c r="A2639" s="2" t="s">
        <v>2648</v>
      </c>
      <c r="B2639" s="2">
        <v>7.0</v>
      </c>
      <c r="C2639" s="2">
        <v>88.0</v>
      </c>
      <c r="D2639" s="2">
        <v>28.0</v>
      </c>
      <c r="E2639" s="3">
        <f t="shared" si="1"/>
        <v>0.3456790123</v>
      </c>
      <c r="F2639" s="2">
        <v>11.0</v>
      </c>
      <c r="G2639" s="3">
        <f t="shared" si="2"/>
        <v>0.1358024691</v>
      </c>
      <c r="H2639" s="2">
        <v>16.0</v>
      </c>
      <c r="I2639" s="3">
        <f t="shared" si="3"/>
        <v>0.1975308642</v>
      </c>
      <c r="J2639" s="2">
        <v>15.0</v>
      </c>
      <c r="K2639" s="3">
        <f t="shared" si="4"/>
        <v>0.1851851852</v>
      </c>
      <c r="L2639" s="2">
        <v>6.0</v>
      </c>
      <c r="M2639" s="3">
        <f t="shared" si="5"/>
        <v>0.375</v>
      </c>
      <c r="N2639" s="2">
        <v>103200.0</v>
      </c>
      <c r="O2639" s="4">
        <f t="shared" si="6"/>
        <v>6450</v>
      </c>
      <c r="P2639" s="2">
        <v>0.0</v>
      </c>
      <c r="Q2639" s="3">
        <f t="shared" si="7"/>
        <v>0</v>
      </c>
      <c r="R2639" s="2">
        <v>7.0</v>
      </c>
      <c r="S2639" s="5">
        <f t="shared" si="8"/>
        <v>1</v>
      </c>
    </row>
    <row r="2640">
      <c r="A2640" s="2" t="s">
        <v>2649</v>
      </c>
      <c r="B2640" s="2">
        <v>7.0</v>
      </c>
      <c r="C2640" s="2">
        <v>88.0</v>
      </c>
      <c r="D2640" s="2">
        <v>12.0</v>
      </c>
      <c r="E2640" s="3">
        <f t="shared" si="1"/>
        <v>0.1481481481</v>
      </c>
      <c r="F2640" s="2">
        <v>11.0</v>
      </c>
      <c r="G2640" s="3">
        <f t="shared" si="2"/>
        <v>0.1358024691</v>
      </c>
      <c r="H2640" s="2">
        <v>10.0</v>
      </c>
      <c r="I2640" s="3">
        <f t="shared" si="3"/>
        <v>0.1234567901</v>
      </c>
      <c r="J2640" s="2">
        <v>11.0</v>
      </c>
      <c r="K2640" s="3">
        <f t="shared" si="4"/>
        <v>0.1358024691</v>
      </c>
      <c r="L2640" s="2">
        <v>4.0</v>
      </c>
      <c r="M2640" s="3">
        <f t="shared" si="5"/>
        <v>0.4</v>
      </c>
      <c r="N2640" s="2">
        <v>63500.0</v>
      </c>
      <c r="O2640" s="4">
        <f t="shared" si="6"/>
        <v>6350</v>
      </c>
      <c r="P2640" s="2">
        <v>0.0</v>
      </c>
      <c r="Q2640" s="3">
        <f t="shared" si="7"/>
        <v>0</v>
      </c>
      <c r="R2640" s="2">
        <v>0.0</v>
      </c>
      <c r="S2640" s="5">
        <f t="shared" si="8"/>
        <v>0</v>
      </c>
    </row>
    <row r="2641">
      <c r="A2641" s="2" t="s">
        <v>2650</v>
      </c>
      <c r="B2641" s="2">
        <v>471.0</v>
      </c>
      <c r="C2641" s="2">
        <v>5545.0</v>
      </c>
      <c r="D2641" s="2">
        <v>2054.0</v>
      </c>
      <c r="E2641" s="3">
        <f t="shared" si="1"/>
        <v>0.4048088293</v>
      </c>
      <c r="F2641" s="2">
        <v>689.0</v>
      </c>
      <c r="G2641" s="3">
        <f t="shared" si="2"/>
        <v>0.1357903035</v>
      </c>
      <c r="H2641" s="2">
        <v>1111.0</v>
      </c>
      <c r="I2641" s="3">
        <f t="shared" si="3"/>
        <v>0.2189594009</v>
      </c>
      <c r="J2641" s="2">
        <v>951.0</v>
      </c>
      <c r="K2641" s="3">
        <f t="shared" si="4"/>
        <v>0.1874260938</v>
      </c>
      <c r="L2641" s="2">
        <v>672.0</v>
      </c>
      <c r="M2641" s="3">
        <f t="shared" si="5"/>
        <v>0.604860486</v>
      </c>
      <c r="N2641" s="2">
        <v>6149500.0</v>
      </c>
      <c r="O2641" s="4">
        <f t="shared" si="6"/>
        <v>5535.10351</v>
      </c>
      <c r="P2641" s="2">
        <v>3.0</v>
      </c>
      <c r="Q2641" s="3">
        <f t="shared" si="7"/>
        <v>0.006369426752</v>
      </c>
      <c r="R2641" s="2">
        <v>471.0</v>
      </c>
      <c r="S2641" s="5">
        <f t="shared" si="8"/>
        <v>1</v>
      </c>
    </row>
    <row r="2642">
      <c r="A2642" s="2" t="s">
        <v>2651</v>
      </c>
      <c r="B2642" s="2">
        <v>412.0</v>
      </c>
      <c r="C2642" s="2">
        <v>4853.0</v>
      </c>
      <c r="D2642" s="2">
        <v>1660.0</v>
      </c>
      <c r="E2642" s="3">
        <f t="shared" si="1"/>
        <v>0.373789687</v>
      </c>
      <c r="F2642" s="2">
        <v>603.0</v>
      </c>
      <c r="G2642" s="3">
        <f t="shared" si="2"/>
        <v>0.1357802297</v>
      </c>
      <c r="H2642" s="2">
        <v>931.0</v>
      </c>
      <c r="I2642" s="3">
        <f t="shared" si="3"/>
        <v>0.209637469</v>
      </c>
      <c r="J2642" s="2">
        <v>829.0</v>
      </c>
      <c r="K2642" s="3">
        <f t="shared" si="4"/>
        <v>0.186669669</v>
      </c>
      <c r="L2642" s="2">
        <v>534.0</v>
      </c>
      <c r="M2642" s="3">
        <f t="shared" si="5"/>
        <v>0.5735767991</v>
      </c>
      <c r="N2642" s="2">
        <v>5285900.0</v>
      </c>
      <c r="O2642" s="4">
        <f t="shared" si="6"/>
        <v>5677.658432</v>
      </c>
      <c r="P2642" s="2">
        <v>1.0</v>
      </c>
      <c r="Q2642" s="3">
        <f t="shared" si="7"/>
        <v>0.002427184466</v>
      </c>
      <c r="R2642" s="2">
        <v>412.0</v>
      </c>
      <c r="S2642" s="5">
        <f t="shared" si="8"/>
        <v>1</v>
      </c>
    </row>
    <row r="2643">
      <c r="A2643" s="2" t="s">
        <v>2652</v>
      </c>
      <c r="B2643" s="2">
        <v>865.0</v>
      </c>
      <c r="C2643" s="2">
        <v>10035.0</v>
      </c>
      <c r="D2643" s="2">
        <v>3429.0</v>
      </c>
      <c r="E2643" s="3">
        <f t="shared" si="1"/>
        <v>0.3739367503</v>
      </c>
      <c r="F2643" s="2">
        <v>1245.0</v>
      </c>
      <c r="G2643" s="3">
        <f t="shared" si="2"/>
        <v>0.1357688113</v>
      </c>
      <c r="H2643" s="2">
        <v>2091.0</v>
      </c>
      <c r="I2643" s="3">
        <f t="shared" si="3"/>
        <v>0.2280261723</v>
      </c>
      <c r="J2643" s="2">
        <v>1689.0</v>
      </c>
      <c r="K2643" s="3">
        <f t="shared" si="4"/>
        <v>0.1841875682</v>
      </c>
      <c r="L2643" s="2">
        <v>1200.0</v>
      </c>
      <c r="M2643" s="3">
        <f t="shared" si="5"/>
        <v>0.5738880918</v>
      </c>
      <c r="N2643" s="2">
        <v>1.20153E7</v>
      </c>
      <c r="O2643" s="4">
        <f t="shared" si="6"/>
        <v>5746.197991</v>
      </c>
      <c r="P2643" s="2">
        <v>2.0</v>
      </c>
      <c r="Q2643" s="3">
        <f t="shared" si="7"/>
        <v>0.002312138728</v>
      </c>
      <c r="R2643" s="2">
        <v>865.0</v>
      </c>
      <c r="S2643" s="5">
        <f t="shared" si="8"/>
        <v>1</v>
      </c>
    </row>
    <row r="2644">
      <c r="A2644" s="2" t="s">
        <v>2653</v>
      </c>
      <c r="B2644" s="2">
        <v>103.0</v>
      </c>
      <c r="C2644" s="2">
        <v>1208.0</v>
      </c>
      <c r="D2644" s="2">
        <v>299.0</v>
      </c>
      <c r="E2644" s="3">
        <f t="shared" si="1"/>
        <v>0.2705882353</v>
      </c>
      <c r="F2644" s="2">
        <v>150.0</v>
      </c>
      <c r="G2644" s="3">
        <f t="shared" si="2"/>
        <v>0.1357466063</v>
      </c>
      <c r="H2644" s="2">
        <v>236.0</v>
      </c>
      <c r="I2644" s="3">
        <f t="shared" si="3"/>
        <v>0.2135746606</v>
      </c>
      <c r="J2644" s="2">
        <v>205.0</v>
      </c>
      <c r="K2644" s="3">
        <f t="shared" si="4"/>
        <v>0.185520362</v>
      </c>
      <c r="L2644" s="2">
        <v>146.0</v>
      </c>
      <c r="M2644" s="3">
        <f t="shared" si="5"/>
        <v>0.6186440678</v>
      </c>
      <c r="N2644" s="2">
        <v>1287800.0</v>
      </c>
      <c r="O2644" s="4">
        <f t="shared" si="6"/>
        <v>5456.779661</v>
      </c>
      <c r="P2644" s="2">
        <v>0.0</v>
      </c>
      <c r="Q2644" s="3">
        <f t="shared" si="7"/>
        <v>0</v>
      </c>
      <c r="R2644" s="2">
        <v>103.0</v>
      </c>
      <c r="S2644" s="5">
        <f t="shared" si="8"/>
        <v>1</v>
      </c>
    </row>
    <row r="2645">
      <c r="A2645" s="2" t="s">
        <v>2654</v>
      </c>
      <c r="B2645" s="2">
        <v>21.0</v>
      </c>
      <c r="C2645" s="2">
        <v>242.0</v>
      </c>
      <c r="D2645" s="2">
        <v>55.0</v>
      </c>
      <c r="E2645" s="3">
        <f t="shared" si="1"/>
        <v>0.2488687783</v>
      </c>
      <c r="F2645" s="2">
        <v>30.0</v>
      </c>
      <c r="G2645" s="3">
        <f t="shared" si="2"/>
        <v>0.1357466063</v>
      </c>
      <c r="H2645" s="2">
        <v>34.0</v>
      </c>
      <c r="I2645" s="3">
        <f t="shared" si="3"/>
        <v>0.1538461538</v>
      </c>
      <c r="J2645" s="2">
        <v>30.0</v>
      </c>
      <c r="K2645" s="3">
        <f t="shared" si="4"/>
        <v>0.1357466063</v>
      </c>
      <c r="L2645" s="2">
        <v>11.0</v>
      </c>
      <c r="M2645" s="3">
        <f t="shared" si="5"/>
        <v>0.3235294118</v>
      </c>
      <c r="N2645" s="2">
        <v>184400.0</v>
      </c>
      <c r="O2645" s="4">
        <f t="shared" si="6"/>
        <v>5423.529412</v>
      </c>
      <c r="P2645" s="2">
        <v>0.0</v>
      </c>
      <c r="Q2645" s="3">
        <f t="shared" si="7"/>
        <v>0</v>
      </c>
      <c r="R2645" s="2">
        <v>21.0</v>
      </c>
      <c r="S2645" s="5">
        <f t="shared" si="8"/>
        <v>1</v>
      </c>
    </row>
    <row r="2646">
      <c r="A2646" s="2" t="s">
        <v>2655</v>
      </c>
      <c r="B2646" s="2">
        <v>103.0</v>
      </c>
      <c r="C2646" s="2">
        <v>1186.0</v>
      </c>
      <c r="D2646" s="2">
        <v>338.0</v>
      </c>
      <c r="E2646" s="3">
        <f t="shared" si="1"/>
        <v>0.3120960295</v>
      </c>
      <c r="F2646" s="2">
        <v>147.0</v>
      </c>
      <c r="G2646" s="3">
        <f t="shared" si="2"/>
        <v>0.135734072</v>
      </c>
      <c r="H2646" s="2">
        <v>213.0</v>
      </c>
      <c r="I2646" s="3">
        <f t="shared" si="3"/>
        <v>0.1966759003</v>
      </c>
      <c r="J2646" s="2">
        <v>193.0</v>
      </c>
      <c r="K2646" s="3">
        <f t="shared" si="4"/>
        <v>0.1782086796</v>
      </c>
      <c r="L2646" s="2">
        <v>130.0</v>
      </c>
      <c r="M2646" s="3">
        <f t="shared" si="5"/>
        <v>0.6103286385</v>
      </c>
      <c r="N2646" s="2">
        <v>1240500.0</v>
      </c>
      <c r="O2646" s="4">
        <f t="shared" si="6"/>
        <v>5823.943662</v>
      </c>
      <c r="P2646" s="2">
        <v>0.0</v>
      </c>
      <c r="Q2646" s="3">
        <f t="shared" si="7"/>
        <v>0</v>
      </c>
      <c r="R2646" s="2">
        <v>0.0</v>
      </c>
      <c r="S2646" s="5">
        <f t="shared" si="8"/>
        <v>0</v>
      </c>
    </row>
    <row r="2647">
      <c r="A2647" s="2" t="s">
        <v>2656</v>
      </c>
      <c r="B2647" s="2">
        <v>308.0</v>
      </c>
      <c r="C2647" s="2">
        <v>3535.0</v>
      </c>
      <c r="D2647" s="2">
        <v>1212.0</v>
      </c>
      <c r="E2647" s="3">
        <f t="shared" si="1"/>
        <v>0.375581035</v>
      </c>
      <c r="F2647" s="2">
        <v>438.0</v>
      </c>
      <c r="G2647" s="3">
        <f t="shared" si="2"/>
        <v>0.13572978</v>
      </c>
      <c r="H2647" s="2">
        <v>688.0</v>
      </c>
      <c r="I2647" s="3">
        <f t="shared" si="3"/>
        <v>0.2132011156</v>
      </c>
      <c r="J2647" s="2">
        <v>561.0</v>
      </c>
      <c r="K2647" s="3">
        <f t="shared" si="4"/>
        <v>0.1738456771</v>
      </c>
      <c r="L2647" s="2">
        <v>406.0</v>
      </c>
      <c r="M2647" s="3">
        <f t="shared" si="5"/>
        <v>0.5901162791</v>
      </c>
      <c r="N2647" s="2">
        <v>3951900.0</v>
      </c>
      <c r="O2647" s="4">
        <f t="shared" si="6"/>
        <v>5744.040698</v>
      </c>
      <c r="P2647" s="2">
        <v>2.0</v>
      </c>
      <c r="Q2647" s="3">
        <f t="shared" si="7"/>
        <v>0.006493506494</v>
      </c>
      <c r="R2647" s="2">
        <v>216.0</v>
      </c>
      <c r="S2647" s="5">
        <f t="shared" si="8"/>
        <v>0.7012987013</v>
      </c>
    </row>
    <row r="2648">
      <c r="A2648" s="2" t="s">
        <v>2657</v>
      </c>
      <c r="B2648" s="2">
        <v>73.0</v>
      </c>
      <c r="C2648" s="2">
        <v>913.0</v>
      </c>
      <c r="D2648" s="2">
        <v>341.0</v>
      </c>
      <c r="E2648" s="3">
        <f t="shared" si="1"/>
        <v>0.405952381</v>
      </c>
      <c r="F2648" s="2">
        <v>114.0</v>
      </c>
      <c r="G2648" s="3">
        <f t="shared" si="2"/>
        <v>0.1357142857</v>
      </c>
      <c r="H2648" s="2">
        <v>162.0</v>
      </c>
      <c r="I2648" s="3">
        <f t="shared" si="3"/>
        <v>0.1928571429</v>
      </c>
      <c r="J2648" s="2">
        <v>138.0</v>
      </c>
      <c r="K2648" s="3">
        <f t="shared" si="4"/>
        <v>0.1642857143</v>
      </c>
      <c r="L2648" s="2">
        <v>86.0</v>
      </c>
      <c r="M2648" s="3">
        <f t="shared" si="5"/>
        <v>0.5308641975</v>
      </c>
      <c r="N2648" s="2">
        <v>889100.0</v>
      </c>
      <c r="O2648" s="4">
        <f t="shared" si="6"/>
        <v>5488.271605</v>
      </c>
      <c r="P2648" s="2">
        <v>0.0</v>
      </c>
      <c r="Q2648" s="3">
        <f t="shared" si="7"/>
        <v>0</v>
      </c>
      <c r="R2648" s="2">
        <v>73.0</v>
      </c>
      <c r="S2648" s="5">
        <f t="shared" si="8"/>
        <v>1</v>
      </c>
    </row>
    <row r="2649">
      <c r="A2649" s="2" t="s">
        <v>2658</v>
      </c>
      <c r="B2649" s="2">
        <v>160.0</v>
      </c>
      <c r="C2649" s="2">
        <v>1899.0</v>
      </c>
      <c r="D2649" s="2">
        <v>553.0</v>
      </c>
      <c r="E2649" s="3">
        <f t="shared" si="1"/>
        <v>0.3179988499</v>
      </c>
      <c r="F2649" s="2">
        <v>236.0</v>
      </c>
      <c r="G2649" s="3">
        <f t="shared" si="2"/>
        <v>0.1357101783</v>
      </c>
      <c r="H2649" s="2">
        <v>318.0</v>
      </c>
      <c r="I2649" s="3">
        <f t="shared" si="3"/>
        <v>0.1828637148</v>
      </c>
      <c r="J2649" s="2">
        <v>268.0</v>
      </c>
      <c r="K2649" s="3">
        <f t="shared" si="4"/>
        <v>0.1541115584</v>
      </c>
      <c r="L2649" s="2">
        <v>194.0</v>
      </c>
      <c r="M2649" s="3">
        <f t="shared" si="5"/>
        <v>0.6100628931</v>
      </c>
      <c r="N2649" s="2">
        <v>1931200.0</v>
      </c>
      <c r="O2649" s="4">
        <f t="shared" si="6"/>
        <v>6072.955975</v>
      </c>
      <c r="P2649" s="2">
        <v>1.0</v>
      </c>
      <c r="Q2649" s="3">
        <f t="shared" si="7"/>
        <v>0.00625</v>
      </c>
      <c r="R2649" s="2">
        <v>160.0</v>
      </c>
      <c r="S2649" s="5">
        <f t="shared" si="8"/>
        <v>1</v>
      </c>
    </row>
    <row r="2650">
      <c r="A2650" s="2" t="s">
        <v>2659</v>
      </c>
      <c r="B2650" s="2">
        <v>1757.0</v>
      </c>
      <c r="C2650" s="2">
        <v>20665.0</v>
      </c>
      <c r="D2650" s="2">
        <v>8893.0</v>
      </c>
      <c r="E2650" s="3">
        <f t="shared" si="1"/>
        <v>0.470330019</v>
      </c>
      <c r="F2650" s="2">
        <v>2566.0</v>
      </c>
      <c r="G2650" s="3">
        <f t="shared" si="2"/>
        <v>0.1357097525</v>
      </c>
      <c r="H2650" s="2">
        <v>4504.0</v>
      </c>
      <c r="I2650" s="3">
        <f t="shared" si="3"/>
        <v>0.2382060503</v>
      </c>
      <c r="J2650" s="2">
        <v>3127.0</v>
      </c>
      <c r="K2650" s="3">
        <f t="shared" si="4"/>
        <v>0.1653797334</v>
      </c>
      <c r="L2650" s="2">
        <v>2796.0</v>
      </c>
      <c r="M2650" s="3">
        <f t="shared" si="5"/>
        <v>0.6207815275</v>
      </c>
      <c r="N2650" s="2">
        <v>2.24316E7</v>
      </c>
      <c r="O2650" s="4">
        <f t="shared" si="6"/>
        <v>4980.373002</v>
      </c>
      <c r="P2650" s="2">
        <v>2.0</v>
      </c>
      <c r="Q2650" s="3">
        <f t="shared" si="7"/>
        <v>0.001138303927</v>
      </c>
      <c r="R2650" s="2">
        <v>73.0</v>
      </c>
      <c r="S2650" s="5">
        <f t="shared" si="8"/>
        <v>0.04154809334</v>
      </c>
    </row>
    <row r="2651">
      <c r="A2651" s="2" t="s">
        <v>2660</v>
      </c>
      <c r="B2651" s="2">
        <v>761.0</v>
      </c>
      <c r="C2651" s="2">
        <v>8816.0</v>
      </c>
      <c r="D2651" s="2">
        <v>2475.0</v>
      </c>
      <c r="E2651" s="3">
        <f t="shared" si="1"/>
        <v>0.3072625698</v>
      </c>
      <c r="F2651" s="2">
        <v>1093.0</v>
      </c>
      <c r="G2651" s="3">
        <f t="shared" si="2"/>
        <v>0.1356921167</v>
      </c>
      <c r="H2651" s="2">
        <v>1677.0</v>
      </c>
      <c r="I2651" s="3">
        <f t="shared" si="3"/>
        <v>0.2081936685</v>
      </c>
      <c r="J2651" s="2">
        <v>1433.0</v>
      </c>
      <c r="K2651" s="3">
        <f t="shared" si="4"/>
        <v>0.1779019243</v>
      </c>
      <c r="L2651" s="2">
        <v>1042.0</v>
      </c>
      <c r="M2651" s="3">
        <f t="shared" si="5"/>
        <v>0.6213476446</v>
      </c>
      <c r="N2651" s="2">
        <v>9606200.0</v>
      </c>
      <c r="O2651" s="4">
        <f t="shared" si="6"/>
        <v>5728.205128</v>
      </c>
      <c r="P2651" s="2">
        <v>2.0</v>
      </c>
      <c r="Q2651" s="3">
        <f t="shared" si="7"/>
        <v>0.002628120894</v>
      </c>
      <c r="R2651" s="2">
        <v>761.0</v>
      </c>
      <c r="S2651" s="5">
        <f t="shared" si="8"/>
        <v>1</v>
      </c>
    </row>
    <row r="2652">
      <c r="A2652" s="2" t="s">
        <v>2661</v>
      </c>
      <c r="B2652" s="2">
        <v>499.0</v>
      </c>
      <c r="C2652" s="2">
        <v>5842.0</v>
      </c>
      <c r="D2652" s="2">
        <v>1858.0</v>
      </c>
      <c r="E2652" s="3">
        <f t="shared" si="1"/>
        <v>0.3477447127</v>
      </c>
      <c r="F2652" s="2">
        <v>725.0</v>
      </c>
      <c r="G2652" s="3">
        <f t="shared" si="2"/>
        <v>0.135691559</v>
      </c>
      <c r="H2652" s="2">
        <v>1114.0</v>
      </c>
      <c r="I2652" s="3">
        <f t="shared" si="3"/>
        <v>0.208497099</v>
      </c>
      <c r="J2652" s="2">
        <v>972.0</v>
      </c>
      <c r="K2652" s="3">
        <f t="shared" si="4"/>
        <v>0.1819202695</v>
      </c>
      <c r="L2652" s="2">
        <v>675.0</v>
      </c>
      <c r="M2652" s="3">
        <f t="shared" si="5"/>
        <v>0.6059245961</v>
      </c>
      <c r="N2652" s="2">
        <v>6726600.0</v>
      </c>
      <c r="O2652" s="4">
        <f t="shared" si="6"/>
        <v>6038.240575</v>
      </c>
      <c r="P2652" s="2">
        <v>2.0</v>
      </c>
      <c r="Q2652" s="3">
        <f t="shared" si="7"/>
        <v>0.004008016032</v>
      </c>
      <c r="R2652" s="2">
        <v>499.0</v>
      </c>
      <c r="S2652" s="5">
        <f t="shared" si="8"/>
        <v>1</v>
      </c>
    </row>
    <row r="2653">
      <c r="A2653" s="2" t="s">
        <v>2662</v>
      </c>
      <c r="B2653" s="2">
        <v>116.0</v>
      </c>
      <c r="C2653" s="2">
        <v>1347.0</v>
      </c>
      <c r="D2653" s="2">
        <v>582.0</v>
      </c>
      <c r="E2653" s="3">
        <f t="shared" si="1"/>
        <v>0.4727863526</v>
      </c>
      <c r="F2653" s="2">
        <v>167.0</v>
      </c>
      <c r="G2653" s="3">
        <f t="shared" si="2"/>
        <v>0.1356620634</v>
      </c>
      <c r="H2653" s="2">
        <v>268.0</v>
      </c>
      <c r="I2653" s="3">
        <f t="shared" si="3"/>
        <v>0.2177091795</v>
      </c>
      <c r="J2653" s="2">
        <v>172.0</v>
      </c>
      <c r="K2653" s="3">
        <f t="shared" si="4"/>
        <v>0.1397238018</v>
      </c>
      <c r="L2653" s="2">
        <v>161.0</v>
      </c>
      <c r="M2653" s="3">
        <f t="shared" si="5"/>
        <v>0.6007462687</v>
      </c>
      <c r="N2653" s="2">
        <v>1336100.0</v>
      </c>
      <c r="O2653" s="4">
        <f t="shared" si="6"/>
        <v>4985.447761</v>
      </c>
      <c r="P2653" s="2">
        <v>0.0</v>
      </c>
      <c r="Q2653" s="3">
        <f t="shared" si="7"/>
        <v>0</v>
      </c>
      <c r="R2653" s="2">
        <v>116.0</v>
      </c>
      <c r="S2653" s="5">
        <f t="shared" si="8"/>
        <v>1</v>
      </c>
    </row>
    <row r="2654">
      <c r="A2654" s="2" t="s">
        <v>2663</v>
      </c>
      <c r="B2654" s="2">
        <v>972.0</v>
      </c>
      <c r="C2654" s="2">
        <v>11336.0</v>
      </c>
      <c r="D2654" s="2">
        <v>3575.0</v>
      </c>
      <c r="E2654" s="3">
        <f t="shared" si="1"/>
        <v>0.3449440371</v>
      </c>
      <c r="F2654" s="2">
        <v>1406.0</v>
      </c>
      <c r="G2654" s="3">
        <f t="shared" si="2"/>
        <v>0.1356619066</v>
      </c>
      <c r="H2654" s="2">
        <v>2156.0</v>
      </c>
      <c r="I2654" s="3">
        <f t="shared" si="3"/>
        <v>0.2080277885</v>
      </c>
      <c r="J2654" s="2">
        <v>1868.0</v>
      </c>
      <c r="K2654" s="3">
        <f t="shared" si="4"/>
        <v>0.1802392898</v>
      </c>
      <c r="L2654" s="2">
        <v>1294.0</v>
      </c>
      <c r="M2654" s="3">
        <f t="shared" si="5"/>
        <v>0.6001855288</v>
      </c>
      <c r="N2654" s="2">
        <v>1.21798E7</v>
      </c>
      <c r="O2654" s="4">
        <f t="shared" si="6"/>
        <v>5649.257885</v>
      </c>
      <c r="P2654" s="2">
        <v>1.0</v>
      </c>
      <c r="Q2654" s="3">
        <f t="shared" si="7"/>
        <v>0.001028806584</v>
      </c>
      <c r="R2654" s="2">
        <v>972.0</v>
      </c>
      <c r="S2654" s="5">
        <f t="shared" si="8"/>
        <v>1</v>
      </c>
    </row>
    <row r="2655">
      <c r="A2655" s="2" t="s">
        <v>2664</v>
      </c>
      <c r="B2655" s="2">
        <v>1354.0</v>
      </c>
      <c r="C2655" s="2">
        <v>15839.0</v>
      </c>
      <c r="D2655" s="2">
        <v>5266.0</v>
      </c>
      <c r="E2655" s="3">
        <f t="shared" si="1"/>
        <v>0.3635484984</v>
      </c>
      <c r="F2655" s="2">
        <v>1965.0</v>
      </c>
      <c r="G2655" s="3">
        <f t="shared" si="2"/>
        <v>0.1356575768</v>
      </c>
      <c r="H2655" s="2">
        <v>2970.0</v>
      </c>
      <c r="I2655" s="3">
        <f t="shared" si="3"/>
        <v>0.2050396962</v>
      </c>
      <c r="J2655" s="2">
        <v>2492.0</v>
      </c>
      <c r="K2655" s="3">
        <f t="shared" si="4"/>
        <v>0.1720400414</v>
      </c>
      <c r="L2655" s="2">
        <v>1746.0</v>
      </c>
      <c r="M2655" s="3">
        <f t="shared" si="5"/>
        <v>0.5878787879</v>
      </c>
      <c r="N2655" s="2">
        <v>1.69372E7</v>
      </c>
      <c r="O2655" s="4">
        <f t="shared" si="6"/>
        <v>5702.760943</v>
      </c>
      <c r="P2655" s="2">
        <v>2.0</v>
      </c>
      <c r="Q2655" s="3">
        <f t="shared" si="7"/>
        <v>0.001477104874</v>
      </c>
      <c r="R2655" s="2">
        <v>754.0</v>
      </c>
      <c r="S2655" s="5">
        <f t="shared" si="8"/>
        <v>0.5568685377</v>
      </c>
    </row>
    <row r="2656">
      <c r="A2656" s="2" t="s">
        <v>2665</v>
      </c>
      <c r="B2656" s="2">
        <v>651.0</v>
      </c>
      <c r="C2656" s="2">
        <v>7529.0</v>
      </c>
      <c r="D2656" s="2">
        <v>1776.0</v>
      </c>
      <c r="E2656" s="3">
        <f t="shared" si="1"/>
        <v>0.2582145973</v>
      </c>
      <c r="F2656" s="2">
        <v>933.0</v>
      </c>
      <c r="G2656" s="3">
        <f t="shared" si="2"/>
        <v>0.1356498982</v>
      </c>
      <c r="H2656" s="2">
        <v>1424.0</v>
      </c>
      <c r="I2656" s="3">
        <f t="shared" si="3"/>
        <v>0.2070369293</v>
      </c>
      <c r="J2656" s="2">
        <v>989.0</v>
      </c>
      <c r="K2656" s="3">
        <f t="shared" si="4"/>
        <v>0.1437917999</v>
      </c>
      <c r="L2656" s="2">
        <v>869.0</v>
      </c>
      <c r="M2656" s="3">
        <f t="shared" si="5"/>
        <v>0.610252809</v>
      </c>
      <c r="N2656" s="2">
        <v>8927900.0</v>
      </c>
      <c r="O2656" s="4">
        <f t="shared" si="6"/>
        <v>6269.592697</v>
      </c>
      <c r="P2656" s="2">
        <v>2.0</v>
      </c>
      <c r="Q2656" s="3">
        <f t="shared" si="7"/>
        <v>0.003072196621</v>
      </c>
      <c r="R2656" s="2">
        <v>651.0</v>
      </c>
      <c r="S2656" s="5">
        <f t="shared" si="8"/>
        <v>1</v>
      </c>
    </row>
    <row r="2657">
      <c r="A2657" s="2" t="s">
        <v>2666</v>
      </c>
      <c r="B2657" s="2">
        <v>261.0</v>
      </c>
      <c r="C2657" s="2">
        <v>3055.0</v>
      </c>
      <c r="D2657" s="2">
        <v>966.0</v>
      </c>
      <c r="E2657" s="3">
        <f t="shared" si="1"/>
        <v>0.3457408733</v>
      </c>
      <c r="F2657" s="2">
        <v>379.0</v>
      </c>
      <c r="G2657" s="3">
        <f t="shared" si="2"/>
        <v>0.1356478168</v>
      </c>
      <c r="H2657" s="2">
        <v>561.0</v>
      </c>
      <c r="I2657" s="3">
        <f t="shared" si="3"/>
        <v>0.2007874016</v>
      </c>
      <c r="J2657" s="2">
        <v>445.0</v>
      </c>
      <c r="K2657" s="3">
        <f t="shared" si="4"/>
        <v>0.159269864</v>
      </c>
      <c r="L2657" s="2">
        <v>341.0</v>
      </c>
      <c r="M2657" s="3">
        <f t="shared" si="5"/>
        <v>0.6078431373</v>
      </c>
      <c r="N2657" s="2">
        <v>3115900.0</v>
      </c>
      <c r="O2657" s="4">
        <f t="shared" si="6"/>
        <v>5554.188948</v>
      </c>
      <c r="P2657" s="2">
        <v>0.0</v>
      </c>
      <c r="Q2657" s="3">
        <f t="shared" si="7"/>
        <v>0</v>
      </c>
      <c r="R2657" s="2">
        <v>261.0</v>
      </c>
      <c r="S2657" s="5">
        <f t="shared" si="8"/>
        <v>1</v>
      </c>
    </row>
    <row r="2658">
      <c r="A2658" s="2" t="s">
        <v>2667</v>
      </c>
      <c r="B2658" s="2">
        <v>151.0</v>
      </c>
      <c r="C2658" s="2">
        <v>1795.0</v>
      </c>
      <c r="D2658" s="2">
        <v>642.0</v>
      </c>
      <c r="E2658" s="3">
        <f t="shared" si="1"/>
        <v>0.3905109489</v>
      </c>
      <c r="F2658" s="2">
        <v>223.0</v>
      </c>
      <c r="G2658" s="3">
        <f t="shared" si="2"/>
        <v>0.1356447689</v>
      </c>
      <c r="H2658" s="2">
        <v>344.0</v>
      </c>
      <c r="I2658" s="3">
        <f t="shared" si="3"/>
        <v>0.2092457421</v>
      </c>
      <c r="J2658" s="2">
        <v>270.0</v>
      </c>
      <c r="K2658" s="3">
        <f t="shared" si="4"/>
        <v>0.1642335766</v>
      </c>
      <c r="L2658" s="2">
        <v>196.0</v>
      </c>
      <c r="M2658" s="3">
        <f t="shared" si="5"/>
        <v>0.5697674419</v>
      </c>
      <c r="N2658" s="2">
        <v>1872400.0</v>
      </c>
      <c r="O2658" s="4">
        <f t="shared" si="6"/>
        <v>5443.023256</v>
      </c>
      <c r="P2658" s="2">
        <v>0.0</v>
      </c>
      <c r="Q2658" s="3">
        <f t="shared" si="7"/>
        <v>0</v>
      </c>
      <c r="R2658" s="2">
        <v>4.0</v>
      </c>
      <c r="S2658" s="5">
        <f t="shared" si="8"/>
        <v>0.02649006623</v>
      </c>
    </row>
    <row r="2659">
      <c r="A2659" s="2" t="s">
        <v>2668</v>
      </c>
      <c r="B2659" s="2">
        <v>1176.0</v>
      </c>
      <c r="C2659" s="2">
        <v>13790.0</v>
      </c>
      <c r="D2659" s="2">
        <v>4427.0</v>
      </c>
      <c r="E2659" s="3">
        <f t="shared" si="1"/>
        <v>0.3509592516</v>
      </c>
      <c r="F2659" s="2">
        <v>1711.0</v>
      </c>
      <c r="G2659" s="3">
        <f t="shared" si="2"/>
        <v>0.1356429364</v>
      </c>
      <c r="H2659" s="2">
        <v>2696.0</v>
      </c>
      <c r="I2659" s="3">
        <f t="shared" si="3"/>
        <v>0.2137307753</v>
      </c>
      <c r="J2659" s="2">
        <v>2364.0</v>
      </c>
      <c r="K2659" s="3">
        <f t="shared" si="4"/>
        <v>0.1874108134</v>
      </c>
      <c r="L2659" s="2">
        <v>1591.0</v>
      </c>
      <c r="M2659" s="3">
        <f t="shared" si="5"/>
        <v>0.5901335312</v>
      </c>
      <c r="N2659" s="2">
        <v>1.59506E7</v>
      </c>
      <c r="O2659" s="4">
        <f t="shared" si="6"/>
        <v>5916.394659</v>
      </c>
      <c r="P2659" s="2">
        <v>5.0</v>
      </c>
      <c r="Q2659" s="3">
        <f t="shared" si="7"/>
        <v>0.00425170068</v>
      </c>
      <c r="R2659" s="2">
        <v>1176.0</v>
      </c>
      <c r="S2659" s="5">
        <f t="shared" si="8"/>
        <v>1</v>
      </c>
    </row>
    <row r="2660">
      <c r="A2660" s="2" t="s">
        <v>2669</v>
      </c>
      <c r="B2660" s="2">
        <v>288.0</v>
      </c>
      <c r="C2660" s="2">
        <v>3348.0</v>
      </c>
      <c r="D2660" s="2">
        <v>1195.0</v>
      </c>
      <c r="E2660" s="3">
        <f t="shared" si="1"/>
        <v>0.3905228758</v>
      </c>
      <c r="F2660" s="2">
        <v>415.0</v>
      </c>
      <c r="G2660" s="3">
        <f t="shared" si="2"/>
        <v>0.135620915</v>
      </c>
      <c r="H2660" s="2">
        <v>627.0</v>
      </c>
      <c r="I2660" s="3">
        <f t="shared" si="3"/>
        <v>0.2049019608</v>
      </c>
      <c r="J2660" s="2">
        <v>421.0</v>
      </c>
      <c r="K2660" s="3">
        <f t="shared" si="4"/>
        <v>0.1375816993</v>
      </c>
      <c r="L2660" s="2">
        <v>404.0</v>
      </c>
      <c r="M2660" s="3">
        <f t="shared" si="5"/>
        <v>0.644338118</v>
      </c>
      <c r="N2660" s="2">
        <v>3397500.0</v>
      </c>
      <c r="O2660" s="4">
        <f t="shared" si="6"/>
        <v>5418.660287</v>
      </c>
      <c r="P2660" s="2">
        <v>0.0</v>
      </c>
      <c r="Q2660" s="3">
        <f t="shared" si="7"/>
        <v>0</v>
      </c>
      <c r="R2660" s="2">
        <v>0.0</v>
      </c>
      <c r="S2660" s="5">
        <f t="shared" si="8"/>
        <v>0</v>
      </c>
    </row>
    <row r="2661">
      <c r="A2661" s="2" t="s">
        <v>2670</v>
      </c>
      <c r="B2661" s="2">
        <v>228.0</v>
      </c>
      <c r="C2661" s="2">
        <v>2654.0</v>
      </c>
      <c r="D2661" s="2">
        <v>667.0</v>
      </c>
      <c r="E2661" s="3">
        <f t="shared" si="1"/>
        <v>0.2749381698</v>
      </c>
      <c r="F2661" s="2">
        <v>329.0</v>
      </c>
      <c r="G2661" s="3">
        <f t="shared" si="2"/>
        <v>0.1356141797</v>
      </c>
      <c r="H2661" s="2">
        <v>489.0</v>
      </c>
      <c r="I2661" s="3">
        <f t="shared" si="3"/>
        <v>0.2015663644</v>
      </c>
      <c r="J2661" s="2">
        <v>492.0</v>
      </c>
      <c r="K2661" s="3">
        <f t="shared" si="4"/>
        <v>0.2028029678</v>
      </c>
      <c r="L2661" s="2">
        <v>274.0</v>
      </c>
      <c r="M2661" s="3">
        <f t="shared" si="5"/>
        <v>0.5603271984</v>
      </c>
      <c r="N2661" s="2">
        <v>2876600.0</v>
      </c>
      <c r="O2661" s="4">
        <f t="shared" si="6"/>
        <v>5882.617587</v>
      </c>
      <c r="P2661" s="2">
        <v>0.0</v>
      </c>
      <c r="Q2661" s="3">
        <f t="shared" si="7"/>
        <v>0</v>
      </c>
      <c r="R2661" s="2">
        <v>228.0</v>
      </c>
      <c r="S2661" s="5">
        <f t="shared" si="8"/>
        <v>1</v>
      </c>
    </row>
    <row r="2662">
      <c r="A2662" s="2" t="s">
        <v>2671</v>
      </c>
      <c r="B2662" s="2">
        <v>3921.0</v>
      </c>
      <c r="C2662" s="2">
        <v>45814.0</v>
      </c>
      <c r="D2662" s="2">
        <v>16516.0</v>
      </c>
      <c r="E2662" s="3">
        <f t="shared" si="1"/>
        <v>0.3942424749</v>
      </c>
      <c r="F2662" s="2">
        <v>5681.0</v>
      </c>
      <c r="G2662" s="3">
        <f t="shared" si="2"/>
        <v>0.1356073807</v>
      </c>
      <c r="H2662" s="2">
        <v>9453.0</v>
      </c>
      <c r="I2662" s="3">
        <f t="shared" si="3"/>
        <v>0.2256462894</v>
      </c>
      <c r="J2662" s="2">
        <v>7674.0</v>
      </c>
      <c r="K2662" s="3">
        <f t="shared" si="4"/>
        <v>0.183180961</v>
      </c>
      <c r="L2662" s="2">
        <v>5645.0</v>
      </c>
      <c r="M2662" s="3">
        <f t="shared" si="5"/>
        <v>0.5971649212</v>
      </c>
      <c r="N2662" s="2">
        <v>5.28782E7</v>
      </c>
      <c r="O2662" s="4">
        <f t="shared" si="6"/>
        <v>5593.80091</v>
      </c>
      <c r="P2662" s="2">
        <v>7.0</v>
      </c>
      <c r="Q2662" s="3">
        <f t="shared" si="7"/>
        <v>0.001785258863</v>
      </c>
      <c r="R2662" s="2">
        <v>3859.0</v>
      </c>
      <c r="S2662" s="5">
        <f t="shared" si="8"/>
        <v>0.9841877072</v>
      </c>
    </row>
    <row r="2663">
      <c r="A2663" s="2" t="s">
        <v>2672</v>
      </c>
      <c r="B2663" s="2">
        <v>593.0</v>
      </c>
      <c r="C2663" s="2">
        <v>6729.0</v>
      </c>
      <c r="D2663" s="2">
        <v>2344.0</v>
      </c>
      <c r="E2663" s="3">
        <f t="shared" si="1"/>
        <v>0.3820078227</v>
      </c>
      <c r="F2663" s="2">
        <v>832.0</v>
      </c>
      <c r="G2663" s="3">
        <f t="shared" si="2"/>
        <v>0.1355932203</v>
      </c>
      <c r="H2663" s="2">
        <v>1322.0</v>
      </c>
      <c r="I2663" s="3">
        <f t="shared" si="3"/>
        <v>0.2154498044</v>
      </c>
      <c r="J2663" s="2">
        <v>1262.0</v>
      </c>
      <c r="K2663" s="3">
        <f t="shared" si="4"/>
        <v>0.2056714472</v>
      </c>
      <c r="L2663" s="2">
        <v>801.0</v>
      </c>
      <c r="M2663" s="3">
        <f t="shared" si="5"/>
        <v>0.6059001513</v>
      </c>
      <c r="N2663" s="2">
        <v>7612000.0</v>
      </c>
      <c r="O2663" s="4">
        <f t="shared" si="6"/>
        <v>5757.942511</v>
      </c>
      <c r="P2663" s="2">
        <v>2.0</v>
      </c>
      <c r="Q2663" s="3">
        <f t="shared" si="7"/>
        <v>0.003372681282</v>
      </c>
      <c r="R2663" s="2">
        <v>593.0</v>
      </c>
      <c r="S2663" s="5">
        <f t="shared" si="8"/>
        <v>1</v>
      </c>
    </row>
    <row r="2664">
      <c r="A2664" s="2" t="s">
        <v>2673</v>
      </c>
      <c r="B2664" s="2">
        <v>221.0</v>
      </c>
      <c r="C2664" s="2">
        <v>2581.0</v>
      </c>
      <c r="D2664" s="2">
        <v>864.0</v>
      </c>
      <c r="E2664" s="3">
        <f t="shared" si="1"/>
        <v>0.3661016949</v>
      </c>
      <c r="F2664" s="2">
        <v>320.0</v>
      </c>
      <c r="G2664" s="3">
        <f t="shared" si="2"/>
        <v>0.1355932203</v>
      </c>
      <c r="H2664" s="2">
        <v>473.0</v>
      </c>
      <c r="I2664" s="3">
        <f t="shared" si="3"/>
        <v>0.2004237288</v>
      </c>
      <c r="J2664" s="2">
        <v>338.0</v>
      </c>
      <c r="K2664" s="3">
        <f t="shared" si="4"/>
        <v>0.143220339</v>
      </c>
      <c r="L2664" s="2">
        <v>299.0</v>
      </c>
      <c r="M2664" s="3">
        <f t="shared" si="5"/>
        <v>0.6321353066</v>
      </c>
      <c r="N2664" s="2">
        <v>2504600.0</v>
      </c>
      <c r="O2664" s="4">
        <f t="shared" si="6"/>
        <v>5295.137421</v>
      </c>
      <c r="P2664" s="2">
        <v>1.0</v>
      </c>
      <c r="Q2664" s="3">
        <f t="shared" si="7"/>
        <v>0.004524886878</v>
      </c>
      <c r="R2664" s="2">
        <v>221.0</v>
      </c>
      <c r="S2664" s="5">
        <f t="shared" si="8"/>
        <v>1</v>
      </c>
    </row>
    <row r="2665">
      <c r="A2665" s="2" t="s">
        <v>2674</v>
      </c>
      <c r="B2665" s="2">
        <v>511.0</v>
      </c>
      <c r="C2665" s="2">
        <v>5976.0</v>
      </c>
      <c r="D2665" s="2">
        <v>1756.0</v>
      </c>
      <c r="E2665" s="3">
        <f t="shared" si="1"/>
        <v>0.3213174748</v>
      </c>
      <c r="F2665" s="2">
        <v>741.0</v>
      </c>
      <c r="G2665" s="3">
        <f t="shared" si="2"/>
        <v>0.1355901189</v>
      </c>
      <c r="H2665" s="2">
        <v>1152.0</v>
      </c>
      <c r="I2665" s="3">
        <f t="shared" si="3"/>
        <v>0.2107959744</v>
      </c>
      <c r="J2665" s="2">
        <v>1102.0</v>
      </c>
      <c r="K2665" s="3">
        <f t="shared" si="4"/>
        <v>0.2016468435</v>
      </c>
      <c r="L2665" s="2">
        <v>687.0</v>
      </c>
      <c r="M2665" s="3">
        <f t="shared" si="5"/>
        <v>0.5963541667</v>
      </c>
      <c r="N2665" s="2">
        <v>6506300.0</v>
      </c>
      <c r="O2665" s="4">
        <f t="shared" si="6"/>
        <v>5647.829861</v>
      </c>
      <c r="P2665" s="2">
        <v>1.0</v>
      </c>
      <c r="Q2665" s="3">
        <f t="shared" si="7"/>
        <v>0.001956947162</v>
      </c>
      <c r="R2665" s="2">
        <v>511.0</v>
      </c>
      <c r="S2665" s="5">
        <f t="shared" si="8"/>
        <v>1</v>
      </c>
    </row>
    <row r="2666">
      <c r="A2666" s="2" t="s">
        <v>2675</v>
      </c>
      <c r="B2666" s="2">
        <v>653.0</v>
      </c>
      <c r="C2666" s="2">
        <v>7689.0</v>
      </c>
      <c r="D2666" s="2">
        <v>2214.0</v>
      </c>
      <c r="E2666" s="3">
        <f t="shared" si="1"/>
        <v>0.3146674247</v>
      </c>
      <c r="F2666" s="2">
        <v>954.0</v>
      </c>
      <c r="G2666" s="3">
        <f t="shared" si="2"/>
        <v>0.1355884025</v>
      </c>
      <c r="H2666" s="2">
        <v>1334.0</v>
      </c>
      <c r="I2666" s="3">
        <f t="shared" si="3"/>
        <v>0.1895963616</v>
      </c>
      <c r="J2666" s="2">
        <v>744.0</v>
      </c>
      <c r="K2666" s="3">
        <f t="shared" si="4"/>
        <v>0.1057418988</v>
      </c>
      <c r="L2666" s="2">
        <v>806.0</v>
      </c>
      <c r="M2666" s="3">
        <f t="shared" si="5"/>
        <v>0.604197901</v>
      </c>
      <c r="N2666" s="2">
        <v>8014100.0</v>
      </c>
      <c r="O2666" s="4">
        <f t="shared" si="6"/>
        <v>6007.571214</v>
      </c>
      <c r="P2666" s="2">
        <v>4.0</v>
      </c>
      <c r="Q2666" s="3">
        <f t="shared" si="7"/>
        <v>0.006125574273</v>
      </c>
      <c r="R2666" s="2">
        <v>0.0</v>
      </c>
      <c r="S2666" s="5">
        <f t="shared" si="8"/>
        <v>0</v>
      </c>
    </row>
    <row r="2667">
      <c r="A2667" s="2" t="s">
        <v>2676</v>
      </c>
      <c r="B2667" s="2">
        <v>403.0</v>
      </c>
      <c r="C2667" s="2">
        <v>4725.0</v>
      </c>
      <c r="D2667" s="2">
        <v>1565.0</v>
      </c>
      <c r="E2667" s="3">
        <f t="shared" si="1"/>
        <v>0.3621008792</v>
      </c>
      <c r="F2667" s="2">
        <v>586.0</v>
      </c>
      <c r="G2667" s="3">
        <f t="shared" si="2"/>
        <v>0.1355853771</v>
      </c>
      <c r="H2667" s="2">
        <v>897.0</v>
      </c>
      <c r="I2667" s="3">
        <f t="shared" si="3"/>
        <v>0.2075428043</v>
      </c>
      <c r="J2667" s="2">
        <v>705.0</v>
      </c>
      <c r="K2667" s="3">
        <f t="shared" si="4"/>
        <v>0.1631189264</v>
      </c>
      <c r="L2667" s="2">
        <v>527.0</v>
      </c>
      <c r="M2667" s="3">
        <f t="shared" si="5"/>
        <v>0.5875139353</v>
      </c>
      <c r="N2667" s="2">
        <v>4938700.0</v>
      </c>
      <c r="O2667" s="4">
        <f t="shared" si="6"/>
        <v>5505.797101</v>
      </c>
      <c r="P2667" s="2">
        <v>0.0</v>
      </c>
      <c r="Q2667" s="3">
        <f t="shared" si="7"/>
        <v>0</v>
      </c>
      <c r="R2667" s="2">
        <v>403.0</v>
      </c>
      <c r="S2667" s="5">
        <f t="shared" si="8"/>
        <v>1</v>
      </c>
    </row>
    <row r="2668">
      <c r="A2668" s="2" t="s">
        <v>2677</v>
      </c>
      <c r="B2668" s="2">
        <v>469.0</v>
      </c>
      <c r="C2668" s="2">
        <v>5374.0</v>
      </c>
      <c r="D2668" s="2">
        <v>1676.0</v>
      </c>
      <c r="E2668" s="3">
        <f t="shared" si="1"/>
        <v>0.3416921509</v>
      </c>
      <c r="F2668" s="2">
        <v>665.0</v>
      </c>
      <c r="G2668" s="3">
        <f t="shared" si="2"/>
        <v>0.1355759429</v>
      </c>
      <c r="H2668" s="2">
        <v>1061.0</v>
      </c>
      <c r="I2668" s="3">
        <f t="shared" si="3"/>
        <v>0.2163098879</v>
      </c>
      <c r="J2668" s="2">
        <v>857.0</v>
      </c>
      <c r="K2668" s="3">
        <f t="shared" si="4"/>
        <v>0.1747196738</v>
      </c>
      <c r="L2668" s="2">
        <v>656.0</v>
      </c>
      <c r="M2668" s="3">
        <f t="shared" si="5"/>
        <v>0.6182846371</v>
      </c>
      <c r="N2668" s="2">
        <v>6094900.0</v>
      </c>
      <c r="O2668" s="4">
        <f t="shared" si="6"/>
        <v>5744.486334</v>
      </c>
      <c r="P2668" s="2">
        <v>0.0</v>
      </c>
      <c r="Q2668" s="3">
        <f t="shared" si="7"/>
        <v>0</v>
      </c>
      <c r="R2668" s="2">
        <v>469.0</v>
      </c>
      <c r="S2668" s="5">
        <f t="shared" si="8"/>
        <v>1</v>
      </c>
    </row>
    <row r="2669">
      <c r="A2669" s="2" t="s">
        <v>2678</v>
      </c>
      <c r="B2669" s="2">
        <v>102.0</v>
      </c>
      <c r="C2669" s="2">
        <v>1194.0</v>
      </c>
      <c r="D2669" s="2">
        <v>395.0</v>
      </c>
      <c r="E2669" s="3">
        <f t="shared" si="1"/>
        <v>0.3617216117</v>
      </c>
      <c r="F2669" s="2">
        <v>148.0</v>
      </c>
      <c r="G2669" s="3">
        <f t="shared" si="2"/>
        <v>0.1355311355</v>
      </c>
      <c r="H2669" s="2">
        <v>236.0</v>
      </c>
      <c r="I2669" s="3">
        <f t="shared" si="3"/>
        <v>0.2161172161</v>
      </c>
      <c r="J2669" s="2">
        <v>212.0</v>
      </c>
      <c r="K2669" s="3">
        <f t="shared" si="4"/>
        <v>0.1941391941</v>
      </c>
      <c r="L2669" s="2">
        <v>143.0</v>
      </c>
      <c r="M2669" s="3">
        <f t="shared" si="5"/>
        <v>0.6059322034</v>
      </c>
      <c r="N2669" s="2">
        <v>1343600.0</v>
      </c>
      <c r="O2669" s="4">
        <f t="shared" si="6"/>
        <v>5693.220339</v>
      </c>
      <c r="P2669" s="2">
        <v>0.0</v>
      </c>
      <c r="Q2669" s="3">
        <f t="shared" si="7"/>
        <v>0</v>
      </c>
      <c r="R2669" s="2">
        <v>102.0</v>
      </c>
      <c r="S2669" s="5">
        <f t="shared" si="8"/>
        <v>1</v>
      </c>
    </row>
    <row r="2670">
      <c r="A2670" s="2" t="s">
        <v>2679</v>
      </c>
      <c r="B2670" s="2">
        <v>176.0</v>
      </c>
      <c r="C2670" s="2">
        <v>2087.0</v>
      </c>
      <c r="D2670" s="2">
        <v>688.0</v>
      </c>
      <c r="E2670" s="3">
        <f t="shared" si="1"/>
        <v>0.3600209314</v>
      </c>
      <c r="F2670" s="2">
        <v>259.0</v>
      </c>
      <c r="G2670" s="3">
        <f t="shared" si="2"/>
        <v>0.1355311355</v>
      </c>
      <c r="H2670" s="2">
        <v>362.0</v>
      </c>
      <c r="I2670" s="3">
        <f t="shared" si="3"/>
        <v>0.189429618</v>
      </c>
      <c r="J2670" s="2">
        <v>317.0</v>
      </c>
      <c r="K2670" s="3">
        <f t="shared" si="4"/>
        <v>0.1658817373</v>
      </c>
      <c r="L2670" s="2">
        <v>215.0</v>
      </c>
      <c r="M2670" s="3">
        <f t="shared" si="5"/>
        <v>0.5939226519</v>
      </c>
      <c r="N2670" s="2">
        <v>2068100.0</v>
      </c>
      <c r="O2670" s="4">
        <f t="shared" si="6"/>
        <v>5712.983425</v>
      </c>
      <c r="P2670" s="2">
        <v>0.0</v>
      </c>
      <c r="Q2670" s="3">
        <f t="shared" si="7"/>
        <v>0</v>
      </c>
      <c r="R2670" s="2">
        <v>176.0</v>
      </c>
      <c r="S2670" s="5">
        <f t="shared" si="8"/>
        <v>1</v>
      </c>
    </row>
    <row r="2671">
      <c r="A2671" s="2" t="s">
        <v>2680</v>
      </c>
      <c r="B2671" s="2">
        <v>192.0</v>
      </c>
      <c r="C2671" s="2">
        <v>2273.0</v>
      </c>
      <c r="D2671" s="2">
        <v>840.0</v>
      </c>
      <c r="E2671" s="3">
        <f t="shared" si="1"/>
        <v>0.4036520903</v>
      </c>
      <c r="F2671" s="2">
        <v>282.0</v>
      </c>
      <c r="G2671" s="3">
        <f t="shared" si="2"/>
        <v>0.1355117732</v>
      </c>
      <c r="H2671" s="2">
        <v>423.0</v>
      </c>
      <c r="I2671" s="3">
        <f t="shared" si="3"/>
        <v>0.2032676598</v>
      </c>
      <c r="J2671" s="2">
        <v>331.0</v>
      </c>
      <c r="K2671" s="3">
        <f t="shared" si="4"/>
        <v>0.1590581451</v>
      </c>
      <c r="L2671" s="2">
        <v>268.0</v>
      </c>
      <c r="M2671" s="3">
        <f t="shared" si="5"/>
        <v>0.63356974</v>
      </c>
      <c r="N2671" s="2">
        <v>2081200.0</v>
      </c>
      <c r="O2671" s="4">
        <f t="shared" si="6"/>
        <v>4920.094563</v>
      </c>
      <c r="P2671" s="2">
        <v>0.0</v>
      </c>
      <c r="Q2671" s="3">
        <f t="shared" si="7"/>
        <v>0</v>
      </c>
      <c r="R2671" s="2">
        <v>86.0</v>
      </c>
      <c r="S2671" s="5">
        <f t="shared" si="8"/>
        <v>0.4479166667</v>
      </c>
    </row>
    <row r="2672">
      <c r="A2672" s="2" t="s">
        <v>2681</v>
      </c>
      <c r="B2672" s="2">
        <v>497.0</v>
      </c>
      <c r="C2672" s="2">
        <v>5803.0</v>
      </c>
      <c r="D2672" s="2">
        <v>1813.0</v>
      </c>
      <c r="E2672" s="3">
        <f t="shared" si="1"/>
        <v>0.3416886544</v>
      </c>
      <c r="F2672" s="2">
        <v>719.0</v>
      </c>
      <c r="G2672" s="3">
        <f t="shared" si="2"/>
        <v>0.1355069732</v>
      </c>
      <c r="H2672" s="2">
        <v>1104.0</v>
      </c>
      <c r="I2672" s="3">
        <f t="shared" si="3"/>
        <v>0.20806634</v>
      </c>
      <c r="J2672" s="2">
        <v>976.0</v>
      </c>
      <c r="K2672" s="3">
        <f t="shared" si="4"/>
        <v>0.1839427064</v>
      </c>
      <c r="L2672" s="2">
        <v>665.0</v>
      </c>
      <c r="M2672" s="3">
        <f t="shared" si="5"/>
        <v>0.6023550725</v>
      </c>
      <c r="N2672" s="2">
        <v>6466700.0</v>
      </c>
      <c r="O2672" s="4">
        <f t="shared" si="6"/>
        <v>5857.518116</v>
      </c>
      <c r="P2672" s="2">
        <v>1.0</v>
      </c>
      <c r="Q2672" s="3">
        <f t="shared" si="7"/>
        <v>0.002012072435</v>
      </c>
      <c r="R2672" s="2">
        <v>497.0</v>
      </c>
      <c r="S2672" s="5">
        <f t="shared" si="8"/>
        <v>1</v>
      </c>
    </row>
    <row r="2673">
      <c r="A2673" s="2" t="s">
        <v>2682</v>
      </c>
      <c r="B2673" s="2">
        <v>317.0</v>
      </c>
      <c r="C2673" s="2">
        <v>3815.0</v>
      </c>
      <c r="D2673" s="2">
        <v>1417.0</v>
      </c>
      <c r="E2673" s="3">
        <f t="shared" si="1"/>
        <v>0.4050886221</v>
      </c>
      <c r="F2673" s="2">
        <v>474.0</v>
      </c>
      <c r="G2673" s="3">
        <f t="shared" si="2"/>
        <v>0.1355060034</v>
      </c>
      <c r="H2673" s="2">
        <v>694.0</v>
      </c>
      <c r="I2673" s="3">
        <f t="shared" si="3"/>
        <v>0.1983990852</v>
      </c>
      <c r="J2673" s="2">
        <v>585.0</v>
      </c>
      <c r="K2673" s="3">
        <f t="shared" si="4"/>
        <v>0.167238422</v>
      </c>
      <c r="L2673" s="2">
        <v>377.0</v>
      </c>
      <c r="M2673" s="3">
        <f t="shared" si="5"/>
        <v>0.5432276657</v>
      </c>
      <c r="N2673" s="2">
        <v>3957900.0</v>
      </c>
      <c r="O2673" s="4">
        <f t="shared" si="6"/>
        <v>5703.025937</v>
      </c>
      <c r="P2673" s="2">
        <v>1.0</v>
      </c>
      <c r="Q2673" s="3">
        <f t="shared" si="7"/>
        <v>0.003154574132</v>
      </c>
      <c r="R2673" s="2">
        <v>317.0</v>
      </c>
      <c r="S2673" s="5">
        <f t="shared" si="8"/>
        <v>1</v>
      </c>
    </row>
    <row r="2674">
      <c r="A2674" s="2" t="s">
        <v>2683</v>
      </c>
      <c r="B2674" s="2">
        <v>1201.0</v>
      </c>
      <c r="C2674" s="2">
        <v>14123.0</v>
      </c>
      <c r="D2674" s="2">
        <v>5401.0</v>
      </c>
      <c r="E2674" s="3">
        <f t="shared" si="1"/>
        <v>0.4179693546</v>
      </c>
      <c r="F2674" s="2">
        <v>1751.0</v>
      </c>
      <c r="G2674" s="3">
        <f t="shared" si="2"/>
        <v>0.1355053397</v>
      </c>
      <c r="H2674" s="2">
        <v>2805.0</v>
      </c>
      <c r="I2674" s="3">
        <f t="shared" si="3"/>
        <v>0.2170716607</v>
      </c>
      <c r="J2674" s="2">
        <v>2099.0</v>
      </c>
      <c r="K2674" s="3">
        <f t="shared" si="4"/>
        <v>0.1624361554</v>
      </c>
      <c r="L2674" s="2">
        <v>1686.0</v>
      </c>
      <c r="M2674" s="3">
        <f t="shared" si="5"/>
        <v>0.6010695187</v>
      </c>
      <c r="N2674" s="2">
        <v>1.50845E7</v>
      </c>
      <c r="O2674" s="4">
        <f t="shared" si="6"/>
        <v>5377.71836</v>
      </c>
      <c r="P2674" s="2">
        <v>2.0</v>
      </c>
      <c r="Q2674" s="3">
        <f t="shared" si="7"/>
        <v>0.001665278934</v>
      </c>
      <c r="R2674" s="2">
        <v>323.0</v>
      </c>
      <c r="S2674" s="5">
        <f t="shared" si="8"/>
        <v>0.2689425479</v>
      </c>
    </row>
    <row r="2675">
      <c r="A2675" s="2" t="s">
        <v>2684</v>
      </c>
      <c r="B2675" s="2">
        <v>370.0</v>
      </c>
      <c r="C2675" s="2">
        <v>4252.0</v>
      </c>
      <c r="D2675" s="2">
        <v>1333.0</v>
      </c>
      <c r="E2675" s="3">
        <f t="shared" si="1"/>
        <v>0.3433797012</v>
      </c>
      <c r="F2675" s="2">
        <v>526.0</v>
      </c>
      <c r="G2675" s="3">
        <f t="shared" si="2"/>
        <v>0.1354971664</v>
      </c>
      <c r="H2675" s="2">
        <v>792.0</v>
      </c>
      <c r="I2675" s="3">
        <f t="shared" si="3"/>
        <v>0.2040185471</v>
      </c>
      <c r="J2675" s="2">
        <v>727.0</v>
      </c>
      <c r="K2675" s="3">
        <f t="shared" si="4"/>
        <v>0.1872746007</v>
      </c>
      <c r="L2675" s="2">
        <v>437.0</v>
      </c>
      <c r="M2675" s="3">
        <f t="shared" si="5"/>
        <v>0.5517676768</v>
      </c>
      <c r="N2675" s="2">
        <v>4741000.0</v>
      </c>
      <c r="O2675" s="4">
        <f t="shared" si="6"/>
        <v>5986.111111</v>
      </c>
      <c r="P2675" s="2">
        <v>1.0</v>
      </c>
      <c r="Q2675" s="3">
        <f t="shared" si="7"/>
        <v>0.002702702703</v>
      </c>
      <c r="R2675" s="2">
        <v>370.0</v>
      </c>
      <c r="S2675" s="5">
        <f t="shared" si="8"/>
        <v>1</v>
      </c>
    </row>
    <row r="2676">
      <c r="A2676" s="2" t="s">
        <v>2685</v>
      </c>
      <c r="B2676" s="2">
        <v>364.0</v>
      </c>
      <c r="C2676" s="2">
        <v>4187.0</v>
      </c>
      <c r="D2676" s="2">
        <v>1448.0</v>
      </c>
      <c r="E2676" s="3">
        <f t="shared" si="1"/>
        <v>0.378760136</v>
      </c>
      <c r="F2676" s="2">
        <v>518.0</v>
      </c>
      <c r="G2676" s="3">
        <f t="shared" si="2"/>
        <v>0.135495684</v>
      </c>
      <c r="H2676" s="2">
        <v>808.0</v>
      </c>
      <c r="I2676" s="3">
        <f t="shared" si="3"/>
        <v>0.2113523411</v>
      </c>
      <c r="J2676" s="2">
        <v>679.0</v>
      </c>
      <c r="K2676" s="3">
        <f t="shared" si="4"/>
        <v>0.1776092074</v>
      </c>
      <c r="L2676" s="2">
        <v>491.0</v>
      </c>
      <c r="M2676" s="3">
        <f t="shared" si="5"/>
        <v>0.6076732673</v>
      </c>
      <c r="N2676" s="2">
        <v>4657300.0</v>
      </c>
      <c r="O2676" s="4">
        <f t="shared" si="6"/>
        <v>5763.985149</v>
      </c>
      <c r="P2676" s="2">
        <v>0.0</v>
      </c>
      <c r="Q2676" s="3">
        <f t="shared" si="7"/>
        <v>0</v>
      </c>
      <c r="R2676" s="2">
        <v>364.0</v>
      </c>
      <c r="S2676" s="5">
        <f t="shared" si="8"/>
        <v>1</v>
      </c>
    </row>
    <row r="2677">
      <c r="A2677" s="2" t="s">
        <v>2686</v>
      </c>
      <c r="B2677" s="2">
        <v>276.0</v>
      </c>
      <c r="C2677" s="2">
        <v>3221.0</v>
      </c>
      <c r="D2677" s="2">
        <v>1026.0</v>
      </c>
      <c r="E2677" s="3">
        <f t="shared" si="1"/>
        <v>0.3483870968</v>
      </c>
      <c r="F2677" s="2">
        <v>399.0</v>
      </c>
      <c r="G2677" s="3">
        <f t="shared" si="2"/>
        <v>0.135483871</v>
      </c>
      <c r="H2677" s="2">
        <v>645.0</v>
      </c>
      <c r="I2677" s="3">
        <f t="shared" si="3"/>
        <v>0.2190152801</v>
      </c>
      <c r="J2677" s="2">
        <v>495.0</v>
      </c>
      <c r="K2677" s="3">
        <f t="shared" si="4"/>
        <v>0.1680814941</v>
      </c>
      <c r="L2677" s="2">
        <v>395.0</v>
      </c>
      <c r="M2677" s="3">
        <f t="shared" si="5"/>
        <v>0.6124031008</v>
      </c>
      <c r="N2677" s="2">
        <v>3631000.0</v>
      </c>
      <c r="O2677" s="4">
        <f t="shared" si="6"/>
        <v>5629.457364</v>
      </c>
      <c r="P2677" s="2">
        <v>1.0</v>
      </c>
      <c r="Q2677" s="3">
        <f t="shared" si="7"/>
        <v>0.003623188406</v>
      </c>
      <c r="R2677" s="2">
        <v>276.0</v>
      </c>
      <c r="S2677" s="5">
        <f t="shared" si="8"/>
        <v>1</v>
      </c>
    </row>
    <row r="2678">
      <c r="A2678" s="2" t="s">
        <v>2687</v>
      </c>
      <c r="B2678" s="2">
        <v>85.0</v>
      </c>
      <c r="C2678" s="2">
        <v>1015.0</v>
      </c>
      <c r="D2678" s="2">
        <v>313.0</v>
      </c>
      <c r="E2678" s="3">
        <f t="shared" si="1"/>
        <v>0.3365591398</v>
      </c>
      <c r="F2678" s="2">
        <v>126.0</v>
      </c>
      <c r="G2678" s="3">
        <f t="shared" si="2"/>
        <v>0.135483871</v>
      </c>
      <c r="H2678" s="2">
        <v>178.0</v>
      </c>
      <c r="I2678" s="3">
        <f t="shared" si="3"/>
        <v>0.1913978495</v>
      </c>
      <c r="J2678" s="2">
        <v>109.0</v>
      </c>
      <c r="K2678" s="3">
        <f t="shared" si="4"/>
        <v>0.1172043011</v>
      </c>
      <c r="L2678" s="2">
        <v>106.0</v>
      </c>
      <c r="M2678" s="3">
        <f t="shared" si="5"/>
        <v>0.595505618</v>
      </c>
      <c r="N2678" s="2">
        <v>892400.0</v>
      </c>
      <c r="O2678" s="4">
        <f t="shared" si="6"/>
        <v>5013.483146</v>
      </c>
      <c r="P2678" s="2">
        <v>0.0</v>
      </c>
      <c r="Q2678" s="3">
        <f t="shared" si="7"/>
        <v>0</v>
      </c>
      <c r="R2678" s="2">
        <v>85.0</v>
      </c>
      <c r="S2678" s="5">
        <f t="shared" si="8"/>
        <v>1</v>
      </c>
    </row>
    <row r="2679">
      <c r="A2679" s="2" t="s">
        <v>2688</v>
      </c>
      <c r="B2679" s="2">
        <v>133.0</v>
      </c>
      <c r="C2679" s="2">
        <v>1565.0</v>
      </c>
      <c r="D2679" s="2">
        <v>525.0</v>
      </c>
      <c r="E2679" s="3">
        <f t="shared" si="1"/>
        <v>0.3666201117</v>
      </c>
      <c r="F2679" s="2">
        <v>194.0</v>
      </c>
      <c r="G2679" s="3">
        <f t="shared" si="2"/>
        <v>0.1354748603</v>
      </c>
      <c r="H2679" s="2">
        <v>283.0</v>
      </c>
      <c r="I2679" s="3">
        <f t="shared" si="3"/>
        <v>0.1976256983</v>
      </c>
      <c r="J2679" s="2">
        <v>225.0</v>
      </c>
      <c r="K2679" s="3">
        <f t="shared" si="4"/>
        <v>0.157122905</v>
      </c>
      <c r="L2679" s="2">
        <v>169.0</v>
      </c>
      <c r="M2679" s="3">
        <f t="shared" si="5"/>
        <v>0.5971731449</v>
      </c>
      <c r="N2679" s="2">
        <v>1653100.0</v>
      </c>
      <c r="O2679" s="4">
        <f t="shared" si="6"/>
        <v>5841.342756</v>
      </c>
      <c r="P2679" s="2">
        <v>0.0</v>
      </c>
      <c r="Q2679" s="3">
        <f t="shared" si="7"/>
        <v>0</v>
      </c>
      <c r="R2679" s="2">
        <v>133.0</v>
      </c>
      <c r="S2679" s="5">
        <f t="shared" si="8"/>
        <v>1</v>
      </c>
    </row>
    <row r="2680">
      <c r="A2680" s="2" t="s">
        <v>2689</v>
      </c>
      <c r="B2680" s="2">
        <v>466.0</v>
      </c>
      <c r="C2680" s="2">
        <v>5515.0</v>
      </c>
      <c r="D2680" s="2">
        <v>1990.0</v>
      </c>
      <c r="E2680" s="3">
        <f t="shared" si="1"/>
        <v>0.394137453</v>
      </c>
      <c r="F2680" s="2">
        <v>684.0</v>
      </c>
      <c r="G2680" s="3">
        <f t="shared" si="2"/>
        <v>0.1354723708</v>
      </c>
      <c r="H2680" s="2">
        <v>1070.0</v>
      </c>
      <c r="I2680" s="3">
        <f t="shared" si="3"/>
        <v>0.2119231531</v>
      </c>
      <c r="J2680" s="2">
        <v>903.0</v>
      </c>
      <c r="K2680" s="3">
        <f t="shared" si="4"/>
        <v>0.1788472965</v>
      </c>
      <c r="L2680" s="2">
        <v>650.0</v>
      </c>
      <c r="M2680" s="3">
        <f t="shared" si="5"/>
        <v>0.6074766355</v>
      </c>
      <c r="N2680" s="2">
        <v>5762100.0</v>
      </c>
      <c r="O2680" s="4">
        <f t="shared" si="6"/>
        <v>5385.140187</v>
      </c>
      <c r="P2680" s="2">
        <v>1.0</v>
      </c>
      <c r="Q2680" s="3">
        <f t="shared" si="7"/>
        <v>0.002145922747</v>
      </c>
      <c r="R2680" s="2">
        <v>235.0</v>
      </c>
      <c r="S2680" s="5">
        <f t="shared" si="8"/>
        <v>0.5042918455</v>
      </c>
    </row>
    <row r="2681">
      <c r="A2681" s="2" t="s">
        <v>2690</v>
      </c>
      <c r="B2681" s="2">
        <v>41.0</v>
      </c>
      <c r="C2681" s="2">
        <v>447.0</v>
      </c>
      <c r="D2681" s="2">
        <v>115.0</v>
      </c>
      <c r="E2681" s="3">
        <f t="shared" si="1"/>
        <v>0.2832512315</v>
      </c>
      <c r="F2681" s="2">
        <v>55.0</v>
      </c>
      <c r="G2681" s="3">
        <f t="shared" si="2"/>
        <v>0.1354679803</v>
      </c>
      <c r="H2681" s="2">
        <v>85.0</v>
      </c>
      <c r="I2681" s="3">
        <f t="shared" si="3"/>
        <v>0.2093596059</v>
      </c>
      <c r="J2681" s="2">
        <v>76.0</v>
      </c>
      <c r="K2681" s="3">
        <f t="shared" si="4"/>
        <v>0.1871921182</v>
      </c>
      <c r="L2681" s="2">
        <v>51.0</v>
      </c>
      <c r="M2681" s="3">
        <f t="shared" si="5"/>
        <v>0.6</v>
      </c>
      <c r="N2681" s="2">
        <v>540900.0</v>
      </c>
      <c r="O2681" s="4">
        <f t="shared" si="6"/>
        <v>6363.529412</v>
      </c>
      <c r="P2681" s="2">
        <v>0.0</v>
      </c>
      <c r="Q2681" s="3">
        <f t="shared" si="7"/>
        <v>0</v>
      </c>
      <c r="R2681" s="2">
        <v>41.0</v>
      </c>
      <c r="S2681" s="5">
        <f t="shared" si="8"/>
        <v>1</v>
      </c>
    </row>
    <row r="2682">
      <c r="A2682" s="2" t="s">
        <v>2691</v>
      </c>
      <c r="B2682" s="2">
        <v>726.0</v>
      </c>
      <c r="C2682" s="2">
        <v>8514.0</v>
      </c>
      <c r="D2682" s="2">
        <v>2391.0</v>
      </c>
      <c r="E2682" s="3">
        <f t="shared" si="1"/>
        <v>0.3070107858</v>
      </c>
      <c r="F2682" s="2">
        <v>1055.0</v>
      </c>
      <c r="G2682" s="3">
        <f t="shared" si="2"/>
        <v>0.1354648177</v>
      </c>
      <c r="H2682" s="2">
        <v>1563.0</v>
      </c>
      <c r="I2682" s="3">
        <f t="shared" si="3"/>
        <v>0.2006933744</v>
      </c>
      <c r="J2682" s="2">
        <v>1477.0</v>
      </c>
      <c r="K2682" s="3">
        <f t="shared" si="4"/>
        <v>0.1896507447</v>
      </c>
      <c r="L2682" s="2">
        <v>915.0</v>
      </c>
      <c r="M2682" s="3">
        <f t="shared" si="5"/>
        <v>0.5854126679</v>
      </c>
      <c r="N2682" s="2">
        <v>9351400.0</v>
      </c>
      <c r="O2682" s="4">
        <f t="shared" si="6"/>
        <v>5982.981446</v>
      </c>
      <c r="P2682" s="2">
        <v>3.0</v>
      </c>
      <c r="Q2682" s="3">
        <f t="shared" si="7"/>
        <v>0.004132231405</v>
      </c>
      <c r="R2682" s="2">
        <v>726.0</v>
      </c>
      <c r="S2682" s="5">
        <f t="shared" si="8"/>
        <v>1</v>
      </c>
    </row>
    <row r="2683">
      <c r="A2683" s="2" t="s">
        <v>2692</v>
      </c>
      <c r="B2683" s="2">
        <v>3490.0</v>
      </c>
      <c r="C2683" s="2">
        <v>40984.0</v>
      </c>
      <c r="D2683" s="2">
        <v>12843.0</v>
      </c>
      <c r="E2683" s="3">
        <f t="shared" si="1"/>
        <v>0.3425348056</v>
      </c>
      <c r="F2683" s="2">
        <v>5079.0</v>
      </c>
      <c r="G2683" s="3">
        <f t="shared" si="2"/>
        <v>0.1354616739</v>
      </c>
      <c r="H2683" s="2">
        <v>8341.0</v>
      </c>
      <c r="I2683" s="3">
        <f t="shared" si="3"/>
        <v>0.2224622606</v>
      </c>
      <c r="J2683" s="2">
        <v>6581.0</v>
      </c>
      <c r="K2683" s="3">
        <f t="shared" si="4"/>
        <v>0.1755214168</v>
      </c>
      <c r="L2683" s="2">
        <v>5024.0</v>
      </c>
      <c r="M2683" s="3">
        <f t="shared" si="5"/>
        <v>0.6023258602</v>
      </c>
      <c r="N2683" s="2">
        <v>4.52753E7</v>
      </c>
      <c r="O2683" s="4">
        <f t="shared" si="6"/>
        <v>5428.042201</v>
      </c>
      <c r="P2683" s="2">
        <v>3.0</v>
      </c>
      <c r="Q2683" s="3">
        <f t="shared" si="7"/>
        <v>0.0008595988539</v>
      </c>
      <c r="R2683" s="2">
        <v>3490.0</v>
      </c>
      <c r="S2683" s="5">
        <f t="shared" si="8"/>
        <v>1</v>
      </c>
    </row>
    <row r="2684">
      <c r="A2684" s="2" t="s">
        <v>2693</v>
      </c>
      <c r="B2684" s="2">
        <v>674.0</v>
      </c>
      <c r="C2684" s="2">
        <v>7931.0</v>
      </c>
      <c r="D2684" s="2">
        <v>2626.0</v>
      </c>
      <c r="E2684" s="3">
        <f t="shared" si="1"/>
        <v>0.3618575169</v>
      </c>
      <c r="F2684" s="2">
        <v>983.0</v>
      </c>
      <c r="G2684" s="3">
        <f t="shared" si="2"/>
        <v>0.1354554224</v>
      </c>
      <c r="H2684" s="2">
        <v>1554.0</v>
      </c>
      <c r="I2684" s="3">
        <f t="shared" si="3"/>
        <v>0.2141380736</v>
      </c>
      <c r="J2684" s="2">
        <v>1430.0</v>
      </c>
      <c r="K2684" s="3">
        <f t="shared" si="4"/>
        <v>0.1970511231</v>
      </c>
      <c r="L2684" s="2">
        <v>937.0</v>
      </c>
      <c r="M2684" s="3">
        <f t="shared" si="5"/>
        <v>0.602960103</v>
      </c>
      <c r="N2684" s="2">
        <v>8758700.0</v>
      </c>
      <c r="O2684" s="4">
        <f t="shared" si="6"/>
        <v>5636.229086</v>
      </c>
      <c r="P2684" s="2">
        <v>0.0</v>
      </c>
      <c r="Q2684" s="3">
        <f t="shared" si="7"/>
        <v>0</v>
      </c>
      <c r="R2684" s="2">
        <v>674.0</v>
      </c>
      <c r="S2684" s="5">
        <f t="shared" si="8"/>
        <v>1</v>
      </c>
    </row>
    <row r="2685">
      <c r="A2685" s="2" t="s">
        <v>2694</v>
      </c>
      <c r="B2685" s="2">
        <v>177.0</v>
      </c>
      <c r="C2685" s="2">
        <v>2067.0</v>
      </c>
      <c r="D2685" s="2">
        <v>646.0</v>
      </c>
      <c r="E2685" s="3">
        <f t="shared" si="1"/>
        <v>0.3417989418</v>
      </c>
      <c r="F2685" s="2">
        <v>256.0</v>
      </c>
      <c r="G2685" s="3">
        <f t="shared" si="2"/>
        <v>0.1354497354</v>
      </c>
      <c r="H2685" s="2">
        <v>350.0</v>
      </c>
      <c r="I2685" s="3">
        <f t="shared" si="3"/>
        <v>0.1851851852</v>
      </c>
      <c r="J2685" s="2">
        <v>334.0</v>
      </c>
      <c r="K2685" s="3">
        <f t="shared" si="4"/>
        <v>0.1767195767</v>
      </c>
      <c r="L2685" s="2">
        <v>200.0</v>
      </c>
      <c r="M2685" s="3">
        <f t="shared" si="5"/>
        <v>0.5714285714</v>
      </c>
      <c r="N2685" s="2">
        <v>2093300.0</v>
      </c>
      <c r="O2685" s="4">
        <f t="shared" si="6"/>
        <v>5980.857143</v>
      </c>
      <c r="P2685" s="2">
        <v>0.0</v>
      </c>
      <c r="Q2685" s="3">
        <f t="shared" si="7"/>
        <v>0</v>
      </c>
      <c r="R2685" s="2">
        <v>177.0</v>
      </c>
      <c r="S2685" s="5">
        <f t="shared" si="8"/>
        <v>1</v>
      </c>
    </row>
    <row r="2686">
      <c r="A2686" s="2" t="s">
        <v>2695</v>
      </c>
      <c r="B2686" s="2">
        <v>367.0</v>
      </c>
      <c r="C2686" s="2">
        <v>4243.0</v>
      </c>
      <c r="D2686" s="2">
        <v>1115.0</v>
      </c>
      <c r="E2686" s="3">
        <f t="shared" si="1"/>
        <v>0.2876676987</v>
      </c>
      <c r="F2686" s="2">
        <v>525.0</v>
      </c>
      <c r="G2686" s="3">
        <f t="shared" si="2"/>
        <v>0.1354489164</v>
      </c>
      <c r="H2686" s="2">
        <v>797.0</v>
      </c>
      <c r="I2686" s="3">
        <f t="shared" si="3"/>
        <v>0.205624355</v>
      </c>
      <c r="J2686" s="2">
        <v>543.0</v>
      </c>
      <c r="K2686" s="3">
        <f t="shared" si="4"/>
        <v>0.1400928793</v>
      </c>
      <c r="L2686" s="2">
        <v>491.0</v>
      </c>
      <c r="M2686" s="3">
        <f t="shared" si="5"/>
        <v>0.6160602258</v>
      </c>
      <c r="N2686" s="2">
        <v>4571100.0</v>
      </c>
      <c r="O2686" s="4">
        <f t="shared" si="6"/>
        <v>5735.382685</v>
      </c>
      <c r="P2686" s="2">
        <v>1.0</v>
      </c>
      <c r="Q2686" s="3">
        <f t="shared" si="7"/>
        <v>0.00272479564</v>
      </c>
      <c r="R2686" s="2">
        <v>367.0</v>
      </c>
      <c r="S2686" s="5">
        <f t="shared" si="8"/>
        <v>1</v>
      </c>
    </row>
    <row r="2687">
      <c r="A2687" s="2" t="s">
        <v>2696</v>
      </c>
      <c r="B2687" s="2">
        <v>1259.0</v>
      </c>
      <c r="C2687" s="2">
        <v>14659.0</v>
      </c>
      <c r="D2687" s="2">
        <v>4746.0</v>
      </c>
      <c r="E2687" s="3">
        <f t="shared" si="1"/>
        <v>0.3541791045</v>
      </c>
      <c r="F2687" s="2">
        <v>1815.0</v>
      </c>
      <c r="G2687" s="3">
        <f t="shared" si="2"/>
        <v>0.1354477612</v>
      </c>
      <c r="H2687" s="2">
        <v>2838.0</v>
      </c>
      <c r="I2687" s="3">
        <f t="shared" si="3"/>
        <v>0.2117910448</v>
      </c>
      <c r="J2687" s="2">
        <v>2218.0</v>
      </c>
      <c r="K2687" s="3">
        <f t="shared" si="4"/>
        <v>0.1655223881</v>
      </c>
      <c r="L2687" s="2">
        <v>1684.0</v>
      </c>
      <c r="M2687" s="3">
        <f t="shared" si="5"/>
        <v>0.5933756166</v>
      </c>
      <c r="N2687" s="2">
        <v>1.59437E7</v>
      </c>
      <c r="O2687" s="4">
        <f t="shared" si="6"/>
        <v>5617.935166</v>
      </c>
      <c r="P2687" s="2">
        <v>0.0</v>
      </c>
      <c r="Q2687" s="3">
        <f t="shared" si="7"/>
        <v>0</v>
      </c>
      <c r="R2687" s="2">
        <v>1259.0</v>
      </c>
      <c r="S2687" s="5">
        <f t="shared" si="8"/>
        <v>1</v>
      </c>
    </row>
    <row r="2688">
      <c r="A2688" s="2" t="s">
        <v>2697</v>
      </c>
      <c r="B2688" s="2">
        <v>958.0</v>
      </c>
      <c r="C2688" s="2">
        <v>11243.0</v>
      </c>
      <c r="D2688" s="2">
        <v>4105.0</v>
      </c>
      <c r="E2688" s="3">
        <f t="shared" si="1"/>
        <v>0.3991249392</v>
      </c>
      <c r="F2688" s="2">
        <v>1393.0</v>
      </c>
      <c r="G2688" s="3">
        <f t="shared" si="2"/>
        <v>0.1354399611</v>
      </c>
      <c r="H2688" s="2">
        <v>2180.0</v>
      </c>
      <c r="I2688" s="3">
        <f t="shared" si="3"/>
        <v>0.2119591638</v>
      </c>
      <c r="J2688" s="2">
        <v>1677.0</v>
      </c>
      <c r="K2688" s="3">
        <f t="shared" si="4"/>
        <v>0.1630529898</v>
      </c>
      <c r="L2688" s="2">
        <v>1336.0</v>
      </c>
      <c r="M2688" s="3">
        <f t="shared" si="5"/>
        <v>0.6128440367</v>
      </c>
      <c r="N2688" s="2">
        <v>1.2024E7</v>
      </c>
      <c r="O2688" s="4">
        <f t="shared" si="6"/>
        <v>5515.59633</v>
      </c>
      <c r="P2688" s="2">
        <v>3.0</v>
      </c>
      <c r="Q2688" s="3">
        <f t="shared" si="7"/>
        <v>0.003131524008</v>
      </c>
      <c r="R2688" s="2">
        <v>10.0</v>
      </c>
      <c r="S2688" s="5">
        <f t="shared" si="8"/>
        <v>0.01043841336</v>
      </c>
    </row>
    <row r="2689">
      <c r="A2689" s="2" t="s">
        <v>2698</v>
      </c>
      <c r="B2689" s="2">
        <v>88.0</v>
      </c>
      <c r="C2689" s="2">
        <v>1070.0</v>
      </c>
      <c r="D2689" s="2">
        <v>335.0</v>
      </c>
      <c r="E2689" s="3">
        <f t="shared" si="1"/>
        <v>0.3411405295</v>
      </c>
      <c r="F2689" s="2">
        <v>133.0</v>
      </c>
      <c r="G2689" s="3">
        <f t="shared" si="2"/>
        <v>0.1354378819</v>
      </c>
      <c r="H2689" s="2">
        <v>197.0</v>
      </c>
      <c r="I2689" s="3">
        <f t="shared" si="3"/>
        <v>0.200610998</v>
      </c>
      <c r="J2689" s="2">
        <v>146.0</v>
      </c>
      <c r="K2689" s="3">
        <f t="shared" si="4"/>
        <v>0.1486761711</v>
      </c>
      <c r="L2689" s="2">
        <v>131.0</v>
      </c>
      <c r="M2689" s="3">
        <f t="shared" si="5"/>
        <v>0.6649746193</v>
      </c>
      <c r="N2689" s="2">
        <v>1040000.0</v>
      </c>
      <c r="O2689" s="4">
        <f t="shared" si="6"/>
        <v>5279.187817</v>
      </c>
      <c r="P2689" s="2">
        <v>0.0</v>
      </c>
      <c r="Q2689" s="3">
        <f t="shared" si="7"/>
        <v>0</v>
      </c>
      <c r="R2689" s="2">
        <v>88.0</v>
      </c>
      <c r="S2689" s="5">
        <f t="shared" si="8"/>
        <v>1</v>
      </c>
    </row>
    <row r="2690">
      <c r="A2690" s="2" t="s">
        <v>2699</v>
      </c>
      <c r="B2690" s="2">
        <v>761.0</v>
      </c>
      <c r="C2690" s="2">
        <v>9016.0</v>
      </c>
      <c r="D2690" s="2">
        <v>3173.0</v>
      </c>
      <c r="E2690" s="3">
        <f t="shared" si="1"/>
        <v>0.3843731072</v>
      </c>
      <c r="F2690" s="2">
        <v>1118.0</v>
      </c>
      <c r="G2690" s="3">
        <f t="shared" si="2"/>
        <v>0.1354330709</v>
      </c>
      <c r="H2690" s="2">
        <v>1930.0</v>
      </c>
      <c r="I2690" s="3">
        <f t="shared" si="3"/>
        <v>0.2337976984</v>
      </c>
      <c r="J2690" s="2">
        <v>1536.0</v>
      </c>
      <c r="K2690" s="3">
        <f t="shared" si="4"/>
        <v>0.1860690491</v>
      </c>
      <c r="L2690" s="2">
        <v>1124.0</v>
      </c>
      <c r="M2690" s="3">
        <f t="shared" si="5"/>
        <v>0.5823834197</v>
      </c>
      <c r="N2690" s="2">
        <v>1.06053E7</v>
      </c>
      <c r="O2690" s="4">
        <f t="shared" si="6"/>
        <v>5494.974093</v>
      </c>
      <c r="P2690" s="2">
        <v>1.0</v>
      </c>
      <c r="Q2690" s="3">
        <f t="shared" si="7"/>
        <v>0.001314060447</v>
      </c>
      <c r="R2690" s="2">
        <v>761.0</v>
      </c>
      <c r="S2690" s="5">
        <f t="shared" si="8"/>
        <v>1</v>
      </c>
    </row>
    <row r="2691">
      <c r="A2691" s="2" t="s">
        <v>2700</v>
      </c>
      <c r="B2691" s="2">
        <v>489.0</v>
      </c>
      <c r="C2691" s="2">
        <v>5887.0</v>
      </c>
      <c r="D2691" s="2">
        <v>1697.0</v>
      </c>
      <c r="E2691" s="3">
        <f t="shared" si="1"/>
        <v>0.3143756947</v>
      </c>
      <c r="F2691" s="2">
        <v>731.0</v>
      </c>
      <c r="G2691" s="3">
        <f t="shared" si="2"/>
        <v>0.1354205261</v>
      </c>
      <c r="H2691" s="2">
        <v>1110.0</v>
      </c>
      <c r="I2691" s="3">
        <f t="shared" si="3"/>
        <v>0.2056317155</v>
      </c>
      <c r="J2691" s="2">
        <v>1099.0</v>
      </c>
      <c r="K2691" s="3">
        <f t="shared" si="4"/>
        <v>0.2035939237</v>
      </c>
      <c r="L2691" s="2">
        <v>629.0</v>
      </c>
      <c r="M2691" s="3">
        <f t="shared" si="5"/>
        <v>0.5666666667</v>
      </c>
      <c r="N2691" s="2">
        <v>6220700.0</v>
      </c>
      <c r="O2691" s="4">
        <f t="shared" si="6"/>
        <v>5604.234234</v>
      </c>
      <c r="P2691" s="2">
        <v>1.0</v>
      </c>
      <c r="Q2691" s="3">
        <f t="shared" si="7"/>
        <v>0.002044989775</v>
      </c>
      <c r="R2691" s="2">
        <v>0.0</v>
      </c>
      <c r="S2691" s="5">
        <f t="shared" si="8"/>
        <v>0</v>
      </c>
    </row>
    <row r="2692">
      <c r="A2692" s="2" t="s">
        <v>2701</v>
      </c>
      <c r="B2692" s="2">
        <v>27.0</v>
      </c>
      <c r="C2692" s="2">
        <v>315.0</v>
      </c>
      <c r="D2692" s="2">
        <v>106.0</v>
      </c>
      <c r="E2692" s="3">
        <f t="shared" si="1"/>
        <v>0.3680555556</v>
      </c>
      <c r="F2692" s="2">
        <v>39.0</v>
      </c>
      <c r="G2692" s="3">
        <f t="shared" si="2"/>
        <v>0.1354166667</v>
      </c>
      <c r="H2692" s="2">
        <v>59.0</v>
      </c>
      <c r="I2692" s="3">
        <f t="shared" si="3"/>
        <v>0.2048611111</v>
      </c>
      <c r="J2692" s="2">
        <v>51.0</v>
      </c>
      <c r="K2692" s="3">
        <f t="shared" si="4"/>
        <v>0.1770833333</v>
      </c>
      <c r="L2692" s="2">
        <v>38.0</v>
      </c>
      <c r="M2692" s="3">
        <f t="shared" si="5"/>
        <v>0.6440677966</v>
      </c>
      <c r="N2692" s="2">
        <v>296200.0</v>
      </c>
      <c r="O2692" s="4">
        <f t="shared" si="6"/>
        <v>5020.338983</v>
      </c>
      <c r="P2692" s="2">
        <v>0.0</v>
      </c>
      <c r="Q2692" s="3">
        <f t="shared" si="7"/>
        <v>0</v>
      </c>
      <c r="R2692" s="2">
        <v>27.0</v>
      </c>
      <c r="S2692" s="5">
        <f t="shared" si="8"/>
        <v>1</v>
      </c>
    </row>
    <row r="2693">
      <c r="A2693" s="2" t="s">
        <v>2702</v>
      </c>
      <c r="B2693" s="2">
        <v>121.0</v>
      </c>
      <c r="C2693" s="2">
        <v>1465.0</v>
      </c>
      <c r="D2693" s="2">
        <v>437.0</v>
      </c>
      <c r="E2693" s="3">
        <f t="shared" si="1"/>
        <v>0.3251488095</v>
      </c>
      <c r="F2693" s="2">
        <v>182.0</v>
      </c>
      <c r="G2693" s="3">
        <f t="shared" si="2"/>
        <v>0.1354166667</v>
      </c>
      <c r="H2693" s="2">
        <v>265.0</v>
      </c>
      <c r="I2693" s="3">
        <f t="shared" si="3"/>
        <v>0.197172619</v>
      </c>
      <c r="J2693" s="2">
        <v>235.0</v>
      </c>
      <c r="K2693" s="3">
        <f t="shared" si="4"/>
        <v>0.1748511905</v>
      </c>
      <c r="L2693" s="2">
        <v>168.0</v>
      </c>
      <c r="M2693" s="3">
        <f t="shared" si="5"/>
        <v>0.6339622642</v>
      </c>
      <c r="N2693" s="2">
        <v>1524600.0</v>
      </c>
      <c r="O2693" s="4">
        <f t="shared" si="6"/>
        <v>5753.207547</v>
      </c>
      <c r="P2693" s="2">
        <v>0.0</v>
      </c>
      <c r="Q2693" s="3">
        <f t="shared" si="7"/>
        <v>0</v>
      </c>
      <c r="R2693" s="2">
        <v>116.0</v>
      </c>
      <c r="S2693" s="5">
        <f t="shared" si="8"/>
        <v>0.958677686</v>
      </c>
    </row>
    <row r="2694">
      <c r="A2694" s="2" t="s">
        <v>2703</v>
      </c>
      <c r="B2694" s="2">
        <v>9.0</v>
      </c>
      <c r="C2694" s="2">
        <v>105.0</v>
      </c>
      <c r="D2694" s="2">
        <v>37.0</v>
      </c>
      <c r="E2694" s="3">
        <f t="shared" si="1"/>
        <v>0.3854166667</v>
      </c>
      <c r="F2694" s="2">
        <v>13.0</v>
      </c>
      <c r="G2694" s="3">
        <f t="shared" si="2"/>
        <v>0.1354166667</v>
      </c>
      <c r="H2694" s="2">
        <v>15.0</v>
      </c>
      <c r="I2694" s="3">
        <f t="shared" si="3"/>
        <v>0.15625</v>
      </c>
      <c r="J2694" s="2">
        <v>16.0</v>
      </c>
      <c r="K2694" s="3">
        <f t="shared" si="4"/>
        <v>0.1666666667</v>
      </c>
      <c r="L2694" s="2">
        <v>9.0</v>
      </c>
      <c r="M2694" s="3">
        <f t="shared" si="5"/>
        <v>0.6</v>
      </c>
      <c r="N2694" s="2">
        <v>60900.0</v>
      </c>
      <c r="O2694" s="4">
        <f t="shared" si="6"/>
        <v>4060</v>
      </c>
      <c r="P2694" s="2">
        <v>0.0</v>
      </c>
      <c r="Q2694" s="3">
        <f t="shared" si="7"/>
        <v>0</v>
      </c>
      <c r="R2694" s="2">
        <v>9.0</v>
      </c>
      <c r="S2694" s="5">
        <f t="shared" si="8"/>
        <v>1</v>
      </c>
    </row>
    <row r="2695">
      <c r="A2695" s="2" t="s">
        <v>2704</v>
      </c>
      <c r="B2695" s="2">
        <v>85.0</v>
      </c>
      <c r="C2695" s="2">
        <v>1045.0</v>
      </c>
      <c r="D2695" s="2">
        <v>422.0</v>
      </c>
      <c r="E2695" s="3">
        <f t="shared" si="1"/>
        <v>0.4395833333</v>
      </c>
      <c r="F2695" s="2">
        <v>130.0</v>
      </c>
      <c r="G2695" s="3">
        <f t="shared" si="2"/>
        <v>0.1354166667</v>
      </c>
      <c r="H2695" s="2">
        <v>193.0</v>
      </c>
      <c r="I2695" s="3">
        <f t="shared" si="3"/>
        <v>0.2010416667</v>
      </c>
      <c r="J2695" s="2">
        <v>120.0</v>
      </c>
      <c r="K2695" s="3">
        <f t="shared" si="4"/>
        <v>0.125</v>
      </c>
      <c r="L2695" s="2">
        <v>119.0</v>
      </c>
      <c r="M2695" s="3">
        <f t="shared" si="5"/>
        <v>0.6165803109</v>
      </c>
      <c r="N2695" s="2">
        <v>1119600.0</v>
      </c>
      <c r="O2695" s="4">
        <f t="shared" si="6"/>
        <v>5801.036269</v>
      </c>
      <c r="P2695" s="2">
        <v>0.0</v>
      </c>
      <c r="Q2695" s="3">
        <f t="shared" si="7"/>
        <v>0</v>
      </c>
      <c r="R2695" s="2">
        <v>0.0</v>
      </c>
      <c r="S2695" s="5">
        <f t="shared" si="8"/>
        <v>0</v>
      </c>
    </row>
    <row r="2696">
      <c r="A2696" s="2" t="s">
        <v>2705</v>
      </c>
      <c r="B2696" s="2">
        <v>161.0</v>
      </c>
      <c r="C2696" s="2">
        <v>1941.0</v>
      </c>
      <c r="D2696" s="2">
        <v>512.0</v>
      </c>
      <c r="E2696" s="3">
        <f t="shared" si="1"/>
        <v>0.2876404494</v>
      </c>
      <c r="F2696" s="2">
        <v>241.0</v>
      </c>
      <c r="G2696" s="3">
        <f t="shared" si="2"/>
        <v>0.1353932584</v>
      </c>
      <c r="H2696" s="2">
        <v>365.0</v>
      </c>
      <c r="I2696" s="3">
        <f t="shared" si="3"/>
        <v>0.2050561798</v>
      </c>
      <c r="J2696" s="2">
        <v>329.0</v>
      </c>
      <c r="K2696" s="3">
        <f t="shared" si="4"/>
        <v>0.1848314607</v>
      </c>
      <c r="L2696" s="2">
        <v>219.0</v>
      </c>
      <c r="M2696" s="3">
        <f t="shared" si="5"/>
        <v>0.6</v>
      </c>
      <c r="N2696" s="2">
        <v>2101000.0</v>
      </c>
      <c r="O2696" s="4">
        <f t="shared" si="6"/>
        <v>5756.164384</v>
      </c>
      <c r="P2696" s="2">
        <v>0.0</v>
      </c>
      <c r="Q2696" s="3">
        <f t="shared" si="7"/>
        <v>0</v>
      </c>
      <c r="R2696" s="2">
        <v>0.0</v>
      </c>
      <c r="S2696" s="5">
        <f t="shared" si="8"/>
        <v>0</v>
      </c>
    </row>
    <row r="2697">
      <c r="A2697" s="2" t="s">
        <v>2706</v>
      </c>
      <c r="B2697" s="2">
        <v>127.0</v>
      </c>
      <c r="C2697" s="2">
        <v>1405.0</v>
      </c>
      <c r="D2697" s="2">
        <v>382.0</v>
      </c>
      <c r="E2697" s="3">
        <f t="shared" si="1"/>
        <v>0.2989045383</v>
      </c>
      <c r="F2697" s="2">
        <v>173.0</v>
      </c>
      <c r="G2697" s="3">
        <f t="shared" si="2"/>
        <v>0.1353677621</v>
      </c>
      <c r="H2697" s="2">
        <v>267.0</v>
      </c>
      <c r="I2697" s="3">
        <f t="shared" si="3"/>
        <v>0.2089201878</v>
      </c>
      <c r="J2697" s="2">
        <v>282.0</v>
      </c>
      <c r="K2697" s="3">
        <f t="shared" si="4"/>
        <v>0.220657277</v>
      </c>
      <c r="L2697" s="2">
        <v>157.0</v>
      </c>
      <c r="M2697" s="3">
        <f t="shared" si="5"/>
        <v>0.5880149813</v>
      </c>
      <c r="N2697" s="2">
        <v>1573100.0</v>
      </c>
      <c r="O2697" s="4">
        <f t="shared" si="6"/>
        <v>5891.7603</v>
      </c>
      <c r="P2697" s="2">
        <v>1.0</v>
      </c>
      <c r="Q2697" s="3">
        <f t="shared" si="7"/>
        <v>0.007874015748</v>
      </c>
      <c r="R2697" s="2">
        <v>61.0</v>
      </c>
      <c r="S2697" s="5">
        <f t="shared" si="8"/>
        <v>0.4803149606</v>
      </c>
    </row>
    <row r="2698">
      <c r="A2698" s="2" t="s">
        <v>2707</v>
      </c>
      <c r="B2698" s="2">
        <v>54.0</v>
      </c>
      <c r="C2698" s="2">
        <v>645.0</v>
      </c>
      <c r="D2698" s="2">
        <v>208.0</v>
      </c>
      <c r="E2698" s="3">
        <f t="shared" si="1"/>
        <v>0.3519458545</v>
      </c>
      <c r="F2698" s="2">
        <v>80.0</v>
      </c>
      <c r="G2698" s="3">
        <f t="shared" si="2"/>
        <v>0.1353637902</v>
      </c>
      <c r="H2698" s="2">
        <v>114.0</v>
      </c>
      <c r="I2698" s="3">
        <f t="shared" si="3"/>
        <v>0.192893401</v>
      </c>
      <c r="J2698" s="2">
        <v>77.0</v>
      </c>
      <c r="K2698" s="3">
        <f t="shared" si="4"/>
        <v>0.1302876481</v>
      </c>
      <c r="L2698" s="2">
        <v>60.0</v>
      </c>
      <c r="M2698" s="3">
        <f t="shared" si="5"/>
        <v>0.5263157895</v>
      </c>
      <c r="N2698" s="2">
        <v>621700.0</v>
      </c>
      <c r="O2698" s="4">
        <f t="shared" si="6"/>
        <v>5453.508772</v>
      </c>
      <c r="P2698" s="2">
        <v>0.0</v>
      </c>
      <c r="Q2698" s="3">
        <f t="shared" si="7"/>
        <v>0</v>
      </c>
      <c r="R2698" s="2">
        <v>54.0</v>
      </c>
      <c r="S2698" s="5">
        <f t="shared" si="8"/>
        <v>1</v>
      </c>
    </row>
    <row r="2699">
      <c r="A2699" s="2" t="s">
        <v>2708</v>
      </c>
      <c r="B2699" s="2">
        <v>34.0</v>
      </c>
      <c r="C2699" s="2">
        <v>396.0</v>
      </c>
      <c r="D2699" s="2">
        <v>135.0</v>
      </c>
      <c r="E2699" s="3">
        <f t="shared" si="1"/>
        <v>0.3729281768</v>
      </c>
      <c r="F2699" s="2">
        <v>49.0</v>
      </c>
      <c r="G2699" s="3">
        <f t="shared" si="2"/>
        <v>0.135359116</v>
      </c>
      <c r="H2699" s="2">
        <v>74.0</v>
      </c>
      <c r="I2699" s="3">
        <f t="shared" si="3"/>
        <v>0.2044198895</v>
      </c>
      <c r="J2699" s="2">
        <v>62.0</v>
      </c>
      <c r="K2699" s="3">
        <f t="shared" si="4"/>
        <v>0.1712707182</v>
      </c>
      <c r="L2699" s="2">
        <v>40.0</v>
      </c>
      <c r="M2699" s="3">
        <f t="shared" si="5"/>
        <v>0.5405405405</v>
      </c>
      <c r="N2699" s="2">
        <v>453500.0</v>
      </c>
      <c r="O2699" s="4">
        <f t="shared" si="6"/>
        <v>6128.378378</v>
      </c>
      <c r="P2699" s="2">
        <v>0.0</v>
      </c>
      <c r="Q2699" s="3">
        <f t="shared" si="7"/>
        <v>0</v>
      </c>
      <c r="R2699" s="2">
        <v>34.0</v>
      </c>
      <c r="S2699" s="5">
        <f t="shared" si="8"/>
        <v>1</v>
      </c>
    </row>
    <row r="2700">
      <c r="A2700" s="2" t="s">
        <v>2709</v>
      </c>
      <c r="B2700" s="2">
        <v>418.0</v>
      </c>
      <c r="C2700" s="2">
        <v>5029.0</v>
      </c>
      <c r="D2700" s="2">
        <v>1575.0</v>
      </c>
      <c r="E2700" s="3">
        <f t="shared" si="1"/>
        <v>0.3415744958</v>
      </c>
      <c r="F2700" s="2">
        <v>624.0</v>
      </c>
      <c r="G2700" s="3">
        <f t="shared" si="2"/>
        <v>0.1353285621</v>
      </c>
      <c r="H2700" s="2">
        <v>986.0</v>
      </c>
      <c r="I2700" s="3">
        <f t="shared" si="3"/>
        <v>0.213836478</v>
      </c>
      <c r="J2700" s="2">
        <v>833.0</v>
      </c>
      <c r="K2700" s="3">
        <f t="shared" si="4"/>
        <v>0.1806549555</v>
      </c>
      <c r="L2700" s="2">
        <v>591.0</v>
      </c>
      <c r="M2700" s="3">
        <f t="shared" si="5"/>
        <v>0.5993914807</v>
      </c>
      <c r="N2700" s="2">
        <v>5659400.0</v>
      </c>
      <c r="O2700" s="4">
        <f t="shared" si="6"/>
        <v>5739.756592</v>
      </c>
      <c r="P2700" s="2">
        <v>0.0</v>
      </c>
      <c r="Q2700" s="3">
        <f t="shared" si="7"/>
        <v>0</v>
      </c>
      <c r="R2700" s="2">
        <v>418.0</v>
      </c>
      <c r="S2700" s="5">
        <f t="shared" si="8"/>
        <v>1</v>
      </c>
    </row>
    <row r="2701">
      <c r="A2701" s="2" t="s">
        <v>2710</v>
      </c>
      <c r="B2701" s="2">
        <v>67.0</v>
      </c>
      <c r="C2701" s="2">
        <v>769.0</v>
      </c>
      <c r="D2701" s="2">
        <v>239.0</v>
      </c>
      <c r="E2701" s="3">
        <f t="shared" si="1"/>
        <v>0.3404558405</v>
      </c>
      <c r="F2701" s="2">
        <v>95.0</v>
      </c>
      <c r="G2701" s="3">
        <f t="shared" si="2"/>
        <v>0.1353276353</v>
      </c>
      <c r="H2701" s="2">
        <v>134.0</v>
      </c>
      <c r="I2701" s="3">
        <f t="shared" si="3"/>
        <v>0.1908831909</v>
      </c>
      <c r="J2701" s="2">
        <v>122.0</v>
      </c>
      <c r="K2701" s="3">
        <f t="shared" si="4"/>
        <v>0.1737891738</v>
      </c>
      <c r="L2701" s="2">
        <v>76.0</v>
      </c>
      <c r="M2701" s="3">
        <f t="shared" si="5"/>
        <v>0.5671641791</v>
      </c>
      <c r="N2701" s="2">
        <v>868600.0</v>
      </c>
      <c r="O2701" s="4">
        <f t="shared" si="6"/>
        <v>6482.089552</v>
      </c>
      <c r="P2701" s="2">
        <v>0.0</v>
      </c>
      <c r="Q2701" s="3">
        <f t="shared" si="7"/>
        <v>0</v>
      </c>
      <c r="R2701" s="2">
        <v>0.0</v>
      </c>
      <c r="S2701" s="5">
        <f t="shared" si="8"/>
        <v>0</v>
      </c>
    </row>
    <row r="2702">
      <c r="A2702" s="2" t="s">
        <v>2711</v>
      </c>
      <c r="B2702" s="2">
        <v>3223.0</v>
      </c>
      <c r="C2702" s="2">
        <v>37393.0</v>
      </c>
      <c r="D2702" s="2">
        <v>13712.0</v>
      </c>
      <c r="E2702" s="3">
        <f t="shared" si="1"/>
        <v>0.4012876793</v>
      </c>
      <c r="F2702" s="2">
        <v>4624.0</v>
      </c>
      <c r="G2702" s="3">
        <f t="shared" si="2"/>
        <v>0.1353233831</v>
      </c>
      <c r="H2702" s="2">
        <v>7654.0</v>
      </c>
      <c r="I2702" s="3">
        <f t="shared" si="3"/>
        <v>0.2239976588</v>
      </c>
      <c r="J2702" s="2">
        <v>6557.0</v>
      </c>
      <c r="K2702" s="3">
        <f t="shared" si="4"/>
        <v>0.1918934738</v>
      </c>
      <c r="L2702" s="2">
        <v>4527.0</v>
      </c>
      <c r="M2702" s="3">
        <f t="shared" si="5"/>
        <v>0.5914554481</v>
      </c>
      <c r="N2702" s="2">
        <v>4.30823E7</v>
      </c>
      <c r="O2702" s="4">
        <f t="shared" si="6"/>
        <v>5628.730076</v>
      </c>
      <c r="P2702" s="2">
        <v>3.0</v>
      </c>
      <c r="Q2702" s="3">
        <f t="shared" si="7"/>
        <v>0.0009308098045</v>
      </c>
      <c r="R2702" s="2">
        <v>3223.0</v>
      </c>
      <c r="S2702" s="5">
        <f t="shared" si="8"/>
        <v>1</v>
      </c>
    </row>
    <row r="2703">
      <c r="A2703" s="2" t="s">
        <v>2712</v>
      </c>
      <c r="B2703" s="2">
        <v>90.0</v>
      </c>
      <c r="C2703" s="2">
        <v>1095.0</v>
      </c>
      <c r="D2703" s="2">
        <v>338.0</v>
      </c>
      <c r="E2703" s="3">
        <f t="shared" si="1"/>
        <v>0.336318408</v>
      </c>
      <c r="F2703" s="2">
        <v>136.0</v>
      </c>
      <c r="G2703" s="3">
        <f t="shared" si="2"/>
        <v>0.1353233831</v>
      </c>
      <c r="H2703" s="2">
        <v>200.0</v>
      </c>
      <c r="I2703" s="3">
        <f t="shared" si="3"/>
        <v>0.1990049751</v>
      </c>
      <c r="J2703" s="2">
        <v>172.0</v>
      </c>
      <c r="K2703" s="3">
        <f t="shared" si="4"/>
        <v>0.1711442786</v>
      </c>
      <c r="L2703" s="2">
        <v>128.0</v>
      </c>
      <c r="M2703" s="3">
        <f t="shared" si="5"/>
        <v>0.64</v>
      </c>
      <c r="N2703" s="2">
        <v>1149400.0</v>
      </c>
      <c r="O2703" s="4">
        <f t="shared" si="6"/>
        <v>5747</v>
      </c>
      <c r="P2703" s="2">
        <v>0.0</v>
      </c>
      <c r="Q2703" s="3">
        <f t="shared" si="7"/>
        <v>0</v>
      </c>
      <c r="R2703" s="2">
        <v>90.0</v>
      </c>
      <c r="S2703" s="5">
        <f t="shared" si="8"/>
        <v>1</v>
      </c>
    </row>
    <row r="2704">
      <c r="A2704" s="2" t="s">
        <v>2713</v>
      </c>
      <c r="B2704" s="2">
        <v>138.0</v>
      </c>
      <c r="C2704" s="2">
        <v>1594.0</v>
      </c>
      <c r="D2704" s="2">
        <v>240.0</v>
      </c>
      <c r="E2704" s="3">
        <f t="shared" si="1"/>
        <v>0.1648351648</v>
      </c>
      <c r="F2704" s="2">
        <v>197.0</v>
      </c>
      <c r="G2704" s="3">
        <f t="shared" si="2"/>
        <v>0.1353021978</v>
      </c>
      <c r="H2704" s="2">
        <v>262.0</v>
      </c>
      <c r="I2704" s="3">
        <f t="shared" si="3"/>
        <v>0.1799450549</v>
      </c>
      <c r="J2704" s="2">
        <v>274.0</v>
      </c>
      <c r="K2704" s="3">
        <f t="shared" si="4"/>
        <v>0.1881868132</v>
      </c>
      <c r="L2704" s="2">
        <v>153.0</v>
      </c>
      <c r="M2704" s="3">
        <f t="shared" si="5"/>
        <v>0.5839694656</v>
      </c>
      <c r="N2704" s="2">
        <v>1619900.0</v>
      </c>
      <c r="O2704" s="4">
        <f t="shared" si="6"/>
        <v>6182.824427</v>
      </c>
      <c r="P2704" s="2">
        <v>0.0</v>
      </c>
      <c r="Q2704" s="3">
        <f t="shared" si="7"/>
        <v>0</v>
      </c>
      <c r="R2704" s="2">
        <v>138.0</v>
      </c>
      <c r="S2704" s="5">
        <f t="shared" si="8"/>
        <v>1</v>
      </c>
    </row>
    <row r="2705">
      <c r="A2705" s="2" t="s">
        <v>2714</v>
      </c>
      <c r="B2705" s="2">
        <v>503.0</v>
      </c>
      <c r="C2705" s="2">
        <v>5928.0</v>
      </c>
      <c r="D2705" s="2">
        <v>1812.0</v>
      </c>
      <c r="E2705" s="3">
        <f t="shared" si="1"/>
        <v>0.3340092166</v>
      </c>
      <c r="F2705" s="2">
        <v>734.0</v>
      </c>
      <c r="G2705" s="3">
        <f t="shared" si="2"/>
        <v>0.1352995392</v>
      </c>
      <c r="H2705" s="2">
        <v>1197.0</v>
      </c>
      <c r="I2705" s="3">
        <f t="shared" si="3"/>
        <v>0.2206451613</v>
      </c>
      <c r="J2705" s="2">
        <v>1063.0</v>
      </c>
      <c r="K2705" s="3">
        <f t="shared" si="4"/>
        <v>0.1959447005</v>
      </c>
      <c r="L2705" s="2">
        <v>709.0</v>
      </c>
      <c r="M2705" s="3">
        <f t="shared" si="5"/>
        <v>0.5923141186</v>
      </c>
      <c r="N2705" s="2">
        <v>6686700.0</v>
      </c>
      <c r="O2705" s="4">
        <f t="shared" si="6"/>
        <v>5586.215539</v>
      </c>
      <c r="P2705" s="2">
        <v>1.0</v>
      </c>
      <c r="Q2705" s="3">
        <f t="shared" si="7"/>
        <v>0.001988071571</v>
      </c>
      <c r="R2705" s="2">
        <v>503.0</v>
      </c>
      <c r="S2705" s="5">
        <f t="shared" si="8"/>
        <v>1</v>
      </c>
    </row>
    <row r="2706">
      <c r="A2706" s="2" t="s">
        <v>2715</v>
      </c>
      <c r="B2706" s="2">
        <v>119.0</v>
      </c>
      <c r="C2706" s="2">
        <v>1442.0</v>
      </c>
      <c r="D2706" s="2">
        <v>459.0</v>
      </c>
      <c r="E2706" s="3">
        <f t="shared" si="1"/>
        <v>0.3469387755</v>
      </c>
      <c r="F2706" s="2">
        <v>179.0</v>
      </c>
      <c r="G2706" s="3">
        <f t="shared" si="2"/>
        <v>0.1352985639</v>
      </c>
      <c r="H2706" s="2">
        <v>278.0</v>
      </c>
      <c r="I2706" s="3">
        <f t="shared" si="3"/>
        <v>0.2101284958</v>
      </c>
      <c r="J2706" s="2">
        <v>216.0</v>
      </c>
      <c r="K2706" s="3">
        <f t="shared" si="4"/>
        <v>0.1632653061</v>
      </c>
      <c r="L2706" s="2">
        <v>156.0</v>
      </c>
      <c r="M2706" s="3">
        <f t="shared" si="5"/>
        <v>0.5611510791</v>
      </c>
      <c r="N2706" s="2">
        <v>1461600.0</v>
      </c>
      <c r="O2706" s="4">
        <f t="shared" si="6"/>
        <v>5257.553957</v>
      </c>
      <c r="P2706" s="2">
        <v>0.0</v>
      </c>
      <c r="Q2706" s="3">
        <f t="shared" si="7"/>
        <v>0</v>
      </c>
      <c r="R2706" s="2">
        <v>119.0</v>
      </c>
      <c r="S2706" s="5">
        <f t="shared" si="8"/>
        <v>1</v>
      </c>
    </row>
    <row r="2707">
      <c r="A2707" s="2" t="s">
        <v>2716</v>
      </c>
      <c r="B2707" s="2">
        <v>290.0</v>
      </c>
      <c r="C2707" s="2">
        <v>3350.0</v>
      </c>
      <c r="D2707" s="2">
        <v>1283.0</v>
      </c>
      <c r="E2707" s="3">
        <f t="shared" si="1"/>
        <v>0.4192810458</v>
      </c>
      <c r="F2707" s="2">
        <v>414.0</v>
      </c>
      <c r="G2707" s="3">
        <f t="shared" si="2"/>
        <v>0.1352941176</v>
      </c>
      <c r="H2707" s="2">
        <v>689.0</v>
      </c>
      <c r="I2707" s="3">
        <f t="shared" si="3"/>
        <v>0.2251633987</v>
      </c>
      <c r="J2707" s="2">
        <v>522.0</v>
      </c>
      <c r="K2707" s="3">
        <f t="shared" si="4"/>
        <v>0.1705882353</v>
      </c>
      <c r="L2707" s="2">
        <v>414.0</v>
      </c>
      <c r="M2707" s="3">
        <f t="shared" si="5"/>
        <v>0.6008708273</v>
      </c>
      <c r="N2707" s="2">
        <v>3589900.0</v>
      </c>
      <c r="O2707" s="4">
        <f t="shared" si="6"/>
        <v>5210.30479</v>
      </c>
      <c r="P2707" s="2">
        <v>0.0</v>
      </c>
      <c r="Q2707" s="3">
        <f t="shared" si="7"/>
        <v>0</v>
      </c>
      <c r="R2707" s="2">
        <v>290.0</v>
      </c>
      <c r="S2707" s="5">
        <f t="shared" si="8"/>
        <v>1</v>
      </c>
    </row>
    <row r="2708">
      <c r="A2708" s="2" t="s">
        <v>2717</v>
      </c>
      <c r="B2708" s="2">
        <v>96.0</v>
      </c>
      <c r="C2708" s="2">
        <v>1094.0</v>
      </c>
      <c r="D2708" s="2">
        <v>349.0</v>
      </c>
      <c r="E2708" s="3">
        <f t="shared" si="1"/>
        <v>0.3496993988</v>
      </c>
      <c r="F2708" s="2">
        <v>135.0</v>
      </c>
      <c r="G2708" s="3">
        <f t="shared" si="2"/>
        <v>0.1352705411</v>
      </c>
      <c r="H2708" s="2">
        <v>187.0</v>
      </c>
      <c r="I2708" s="3">
        <f t="shared" si="3"/>
        <v>0.1873747495</v>
      </c>
      <c r="J2708" s="2">
        <v>163.0</v>
      </c>
      <c r="K2708" s="3">
        <f t="shared" si="4"/>
        <v>0.1633266533</v>
      </c>
      <c r="L2708" s="2">
        <v>113.0</v>
      </c>
      <c r="M2708" s="3">
        <f t="shared" si="5"/>
        <v>0.6042780749</v>
      </c>
      <c r="N2708" s="2">
        <v>1075000.0</v>
      </c>
      <c r="O2708" s="4">
        <f t="shared" si="6"/>
        <v>5748.663102</v>
      </c>
      <c r="P2708" s="2">
        <v>0.0</v>
      </c>
      <c r="Q2708" s="3">
        <f t="shared" si="7"/>
        <v>0</v>
      </c>
      <c r="R2708" s="2">
        <v>96.0</v>
      </c>
      <c r="S2708" s="5">
        <f t="shared" si="8"/>
        <v>1</v>
      </c>
    </row>
    <row r="2709">
      <c r="A2709" s="2" t="s">
        <v>2718</v>
      </c>
      <c r="B2709" s="2">
        <v>188.0</v>
      </c>
      <c r="C2709" s="2">
        <v>2199.0</v>
      </c>
      <c r="D2709" s="2">
        <v>697.0</v>
      </c>
      <c r="E2709" s="3">
        <f t="shared" si="1"/>
        <v>0.3465937345</v>
      </c>
      <c r="F2709" s="2">
        <v>272.0</v>
      </c>
      <c r="G2709" s="3">
        <f t="shared" si="2"/>
        <v>0.1352560915</v>
      </c>
      <c r="H2709" s="2">
        <v>430.0</v>
      </c>
      <c r="I2709" s="3">
        <f t="shared" si="3"/>
        <v>0.2138239682</v>
      </c>
      <c r="J2709" s="2">
        <v>315.0</v>
      </c>
      <c r="K2709" s="3">
        <f t="shared" si="4"/>
        <v>0.1566384883</v>
      </c>
      <c r="L2709" s="2">
        <v>255.0</v>
      </c>
      <c r="M2709" s="3">
        <f t="shared" si="5"/>
        <v>0.5930232558</v>
      </c>
      <c r="N2709" s="2">
        <v>2245400.0</v>
      </c>
      <c r="O2709" s="4">
        <f t="shared" si="6"/>
        <v>5221.860465</v>
      </c>
      <c r="P2709" s="2">
        <v>0.0</v>
      </c>
      <c r="Q2709" s="3">
        <f t="shared" si="7"/>
        <v>0</v>
      </c>
      <c r="R2709" s="2">
        <v>188.0</v>
      </c>
      <c r="S2709" s="5">
        <f t="shared" si="8"/>
        <v>1</v>
      </c>
    </row>
    <row r="2710">
      <c r="A2710" s="2" t="s">
        <v>2719</v>
      </c>
      <c r="B2710" s="2">
        <v>1671.0</v>
      </c>
      <c r="C2710" s="2">
        <v>19386.0</v>
      </c>
      <c r="D2710" s="2">
        <v>7167.0</v>
      </c>
      <c r="E2710" s="3">
        <f t="shared" si="1"/>
        <v>0.4045723963</v>
      </c>
      <c r="F2710" s="2">
        <v>2396.0</v>
      </c>
      <c r="G2710" s="3">
        <f t="shared" si="2"/>
        <v>0.1352526108</v>
      </c>
      <c r="H2710" s="2">
        <v>3921.0</v>
      </c>
      <c r="I2710" s="3">
        <f t="shared" si="3"/>
        <v>0.2213378493</v>
      </c>
      <c r="J2710" s="2">
        <v>3271.0</v>
      </c>
      <c r="K2710" s="3">
        <f t="shared" si="4"/>
        <v>0.1846457804</v>
      </c>
      <c r="L2710" s="2">
        <v>2321.0</v>
      </c>
      <c r="M2710" s="3">
        <f t="shared" si="5"/>
        <v>0.5919408314</v>
      </c>
      <c r="N2710" s="2">
        <v>2.25307E7</v>
      </c>
      <c r="O2710" s="4">
        <f t="shared" si="6"/>
        <v>5746.161693</v>
      </c>
      <c r="P2710" s="2">
        <v>3.0</v>
      </c>
      <c r="Q2710" s="3">
        <f t="shared" si="7"/>
        <v>0.001795332136</v>
      </c>
      <c r="R2710" s="2">
        <v>1671.0</v>
      </c>
      <c r="S2710" s="5">
        <f t="shared" si="8"/>
        <v>1</v>
      </c>
    </row>
    <row r="2711">
      <c r="A2711" s="2" t="s">
        <v>2720</v>
      </c>
      <c r="B2711" s="2">
        <v>26.0</v>
      </c>
      <c r="C2711" s="2">
        <v>307.0</v>
      </c>
      <c r="D2711" s="2">
        <v>90.0</v>
      </c>
      <c r="E2711" s="3">
        <f t="shared" si="1"/>
        <v>0.3202846975</v>
      </c>
      <c r="F2711" s="2">
        <v>38.0</v>
      </c>
      <c r="G2711" s="3">
        <f t="shared" si="2"/>
        <v>0.1352313167</v>
      </c>
      <c r="H2711" s="2">
        <v>42.0</v>
      </c>
      <c r="I2711" s="3">
        <f t="shared" si="3"/>
        <v>0.1494661922</v>
      </c>
      <c r="J2711" s="2">
        <v>49.0</v>
      </c>
      <c r="K2711" s="3">
        <f t="shared" si="4"/>
        <v>0.1743772242</v>
      </c>
      <c r="L2711" s="2">
        <v>28.0</v>
      </c>
      <c r="M2711" s="3">
        <f t="shared" si="5"/>
        <v>0.6666666667</v>
      </c>
      <c r="N2711" s="2">
        <v>239900.0</v>
      </c>
      <c r="O2711" s="4">
        <f t="shared" si="6"/>
        <v>5711.904762</v>
      </c>
      <c r="P2711" s="2">
        <v>0.0</v>
      </c>
      <c r="Q2711" s="3">
        <f t="shared" si="7"/>
        <v>0</v>
      </c>
      <c r="R2711" s="2">
        <v>26.0</v>
      </c>
      <c r="S2711" s="5">
        <f t="shared" si="8"/>
        <v>1</v>
      </c>
    </row>
    <row r="2712">
      <c r="A2712" s="2" t="s">
        <v>2721</v>
      </c>
      <c r="B2712" s="2">
        <v>4286.0</v>
      </c>
      <c r="C2712" s="2">
        <v>50178.0</v>
      </c>
      <c r="D2712" s="2">
        <v>16368.0</v>
      </c>
      <c r="E2712" s="3">
        <f t="shared" si="1"/>
        <v>0.3566634708</v>
      </c>
      <c r="F2712" s="2">
        <v>6206.0</v>
      </c>
      <c r="G2712" s="3">
        <f t="shared" si="2"/>
        <v>0.1352305413</v>
      </c>
      <c r="H2712" s="2">
        <v>9945.0</v>
      </c>
      <c r="I2712" s="3">
        <f t="shared" si="3"/>
        <v>0.2167044365</v>
      </c>
      <c r="J2712" s="2">
        <v>7429.0</v>
      </c>
      <c r="K2712" s="3">
        <f t="shared" si="4"/>
        <v>0.1618800662</v>
      </c>
      <c r="L2712" s="2">
        <v>5997.0</v>
      </c>
      <c r="M2712" s="3">
        <f t="shared" si="5"/>
        <v>0.6030165913</v>
      </c>
      <c r="N2712" s="2">
        <v>5.51086E7</v>
      </c>
      <c r="O2712" s="4">
        <f t="shared" si="6"/>
        <v>5541.337355</v>
      </c>
      <c r="P2712" s="2">
        <v>11.0</v>
      </c>
      <c r="Q2712" s="3">
        <f t="shared" si="7"/>
        <v>0.002566495567</v>
      </c>
      <c r="R2712" s="2">
        <v>4286.0</v>
      </c>
      <c r="S2712" s="5">
        <f t="shared" si="8"/>
        <v>1</v>
      </c>
    </row>
    <row r="2713">
      <c r="A2713" s="2" t="s">
        <v>2722</v>
      </c>
      <c r="B2713" s="2">
        <v>1024.0</v>
      </c>
      <c r="C2713" s="2">
        <v>12131.0</v>
      </c>
      <c r="D2713" s="2">
        <v>3150.0</v>
      </c>
      <c r="E2713" s="3">
        <f t="shared" si="1"/>
        <v>0.2836049338</v>
      </c>
      <c r="F2713" s="2">
        <v>1502.0</v>
      </c>
      <c r="G2713" s="3">
        <f t="shared" si="2"/>
        <v>0.1352300351</v>
      </c>
      <c r="H2713" s="2">
        <v>2295.0</v>
      </c>
      <c r="I2713" s="3">
        <f t="shared" si="3"/>
        <v>0.2066264518</v>
      </c>
      <c r="J2713" s="2">
        <v>1938.0</v>
      </c>
      <c r="K2713" s="3">
        <f t="shared" si="4"/>
        <v>0.1744845593</v>
      </c>
      <c r="L2713" s="2">
        <v>1383.0</v>
      </c>
      <c r="M2713" s="3">
        <f t="shared" si="5"/>
        <v>0.6026143791</v>
      </c>
      <c r="N2713" s="2">
        <v>1.34974E7</v>
      </c>
      <c r="O2713" s="4">
        <f t="shared" si="6"/>
        <v>5881.220044</v>
      </c>
      <c r="P2713" s="2">
        <v>3.0</v>
      </c>
      <c r="Q2713" s="3">
        <f t="shared" si="7"/>
        <v>0.0029296875</v>
      </c>
      <c r="R2713" s="2">
        <v>0.0</v>
      </c>
      <c r="S2713" s="5">
        <f t="shared" si="8"/>
        <v>0</v>
      </c>
    </row>
    <row r="2714">
      <c r="A2714" s="2" t="s">
        <v>2723</v>
      </c>
      <c r="B2714" s="2">
        <v>3537.0</v>
      </c>
      <c r="C2714" s="2">
        <v>41303.0</v>
      </c>
      <c r="D2714" s="2">
        <v>15049.0</v>
      </c>
      <c r="E2714" s="3">
        <f t="shared" si="1"/>
        <v>0.3984801144</v>
      </c>
      <c r="F2714" s="2">
        <v>5107.0</v>
      </c>
      <c r="G2714" s="3">
        <f t="shared" si="2"/>
        <v>0.1352274533</v>
      </c>
      <c r="H2714" s="2">
        <v>8323.0</v>
      </c>
      <c r="I2714" s="3">
        <f t="shared" si="3"/>
        <v>0.2203834137</v>
      </c>
      <c r="J2714" s="2">
        <v>6164.0</v>
      </c>
      <c r="K2714" s="3">
        <f t="shared" si="4"/>
        <v>0.1632155907</v>
      </c>
      <c r="L2714" s="2">
        <v>5015.0</v>
      </c>
      <c r="M2714" s="3">
        <f t="shared" si="5"/>
        <v>0.6025471585</v>
      </c>
      <c r="N2714" s="2">
        <v>4.67866E7</v>
      </c>
      <c r="O2714" s="4">
        <f t="shared" si="6"/>
        <v>5621.362489</v>
      </c>
      <c r="P2714" s="2">
        <v>5.0</v>
      </c>
      <c r="Q2714" s="3">
        <f t="shared" si="7"/>
        <v>0.001413627368</v>
      </c>
      <c r="R2714" s="2">
        <v>3537.0</v>
      </c>
      <c r="S2714" s="5">
        <f t="shared" si="8"/>
        <v>1</v>
      </c>
    </row>
    <row r="2715">
      <c r="A2715" s="2" t="s">
        <v>2724</v>
      </c>
      <c r="B2715" s="2">
        <v>888.0</v>
      </c>
      <c r="C2715" s="2">
        <v>10517.0</v>
      </c>
      <c r="D2715" s="2">
        <v>3683.0</v>
      </c>
      <c r="E2715" s="3">
        <f t="shared" si="1"/>
        <v>0.3824903936</v>
      </c>
      <c r="F2715" s="2">
        <v>1302.0</v>
      </c>
      <c r="G2715" s="3">
        <f t="shared" si="2"/>
        <v>0.1352165334</v>
      </c>
      <c r="H2715" s="2">
        <v>2089.0</v>
      </c>
      <c r="I2715" s="3">
        <f t="shared" si="3"/>
        <v>0.2169488005</v>
      </c>
      <c r="J2715" s="2">
        <v>1497.0</v>
      </c>
      <c r="K2715" s="3">
        <f t="shared" si="4"/>
        <v>0.1554678575</v>
      </c>
      <c r="L2715" s="2">
        <v>1272.0</v>
      </c>
      <c r="M2715" s="3">
        <f t="shared" si="5"/>
        <v>0.6089037817</v>
      </c>
      <c r="N2715" s="2">
        <v>1.12933E7</v>
      </c>
      <c r="O2715" s="4">
        <f t="shared" si="6"/>
        <v>5406.079464</v>
      </c>
      <c r="P2715" s="2">
        <v>2.0</v>
      </c>
      <c r="Q2715" s="3">
        <f t="shared" si="7"/>
        <v>0.002252252252</v>
      </c>
      <c r="R2715" s="2">
        <v>888.0</v>
      </c>
      <c r="S2715" s="5">
        <f t="shared" si="8"/>
        <v>1</v>
      </c>
    </row>
    <row r="2716">
      <c r="A2716" s="2" t="s">
        <v>2725</v>
      </c>
      <c r="B2716" s="2">
        <v>250.0</v>
      </c>
      <c r="C2716" s="2">
        <v>2898.0</v>
      </c>
      <c r="D2716" s="2">
        <v>686.0</v>
      </c>
      <c r="E2716" s="3">
        <f t="shared" si="1"/>
        <v>0.2590634441</v>
      </c>
      <c r="F2716" s="2">
        <v>358.0</v>
      </c>
      <c r="G2716" s="3">
        <f t="shared" si="2"/>
        <v>0.1351963746</v>
      </c>
      <c r="H2716" s="2">
        <v>488.0</v>
      </c>
      <c r="I2716" s="3">
        <f t="shared" si="3"/>
        <v>0.1842900302</v>
      </c>
      <c r="J2716" s="2">
        <v>405.0</v>
      </c>
      <c r="K2716" s="3">
        <f t="shared" si="4"/>
        <v>0.1529456193</v>
      </c>
      <c r="L2716" s="2">
        <v>292.0</v>
      </c>
      <c r="M2716" s="3">
        <f t="shared" si="5"/>
        <v>0.5983606557</v>
      </c>
      <c r="N2716" s="2">
        <v>3069500.0</v>
      </c>
      <c r="O2716" s="4">
        <f t="shared" si="6"/>
        <v>6289.959016</v>
      </c>
      <c r="P2716" s="2">
        <v>0.0</v>
      </c>
      <c r="Q2716" s="3">
        <f t="shared" si="7"/>
        <v>0</v>
      </c>
      <c r="R2716" s="2">
        <v>0.0</v>
      </c>
      <c r="S2716" s="5">
        <f t="shared" si="8"/>
        <v>0</v>
      </c>
    </row>
    <row r="2717">
      <c r="A2717" s="2" t="s">
        <v>2726</v>
      </c>
      <c r="B2717" s="2">
        <v>349.0</v>
      </c>
      <c r="C2717" s="2">
        <v>4003.0</v>
      </c>
      <c r="D2717" s="2">
        <v>1400.0</v>
      </c>
      <c r="E2717" s="3">
        <f t="shared" si="1"/>
        <v>0.3831417625</v>
      </c>
      <c r="F2717" s="2">
        <v>494.0</v>
      </c>
      <c r="G2717" s="3">
        <f t="shared" si="2"/>
        <v>0.1351943076</v>
      </c>
      <c r="H2717" s="2">
        <v>741.0</v>
      </c>
      <c r="I2717" s="3">
        <f t="shared" si="3"/>
        <v>0.2027914614</v>
      </c>
      <c r="J2717" s="2">
        <v>618.0</v>
      </c>
      <c r="K2717" s="3">
        <f t="shared" si="4"/>
        <v>0.1691297209</v>
      </c>
      <c r="L2717" s="2">
        <v>423.0</v>
      </c>
      <c r="M2717" s="3">
        <f t="shared" si="5"/>
        <v>0.5708502024</v>
      </c>
      <c r="N2717" s="2">
        <v>4054900.0</v>
      </c>
      <c r="O2717" s="4">
        <f t="shared" si="6"/>
        <v>5472.19973</v>
      </c>
      <c r="P2717" s="2">
        <v>0.0</v>
      </c>
      <c r="Q2717" s="3">
        <f t="shared" si="7"/>
        <v>0</v>
      </c>
      <c r="R2717" s="2">
        <v>349.0</v>
      </c>
      <c r="S2717" s="5">
        <f t="shared" si="8"/>
        <v>1</v>
      </c>
    </row>
    <row r="2718">
      <c r="A2718" s="2" t="s">
        <v>2727</v>
      </c>
      <c r="B2718" s="2">
        <v>43.0</v>
      </c>
      <c r="C2718" s="2">
        <v>509.0</v>
      </c>
      <c r="D2718" s="2">
        <v>184.0</v>
      </c>
      <c r="E2718" s="3">
        <f t="shared" si="1"/>
        <v>0.3948497854</v>
      </c>
      <c r="F2718" s="2">
        <v>63.0</v>
      </c>
      <c r="G2718" s="3">
        <f t="shared" si="2"/>
        <v>0.135193133</v>
      </c>
      <c r="H2718" s="2">
        <v>94.0</v>
      </c>
      <c r="I2718" s="3">
        <f t="shared" si="3"/>
        <v>0.2017167382</v>
      </c>
      <c r="J2718" s="2">
        <v>68.0</v>
      </c>
      <c r="K2718" s="3">
        <f t="shared" si="4"/>
        <v>0.1459227468</v>
      </c>
      <c r="L2718" s="2">
        <v>54.0</v>
      </c>
      <c r="M2718" s="3">
        <f t="shared" si="5"/>
        <v>0.5744680851</v>
      </c>
      <c r="N2718" s="2">
        <v>447500.0</v>
      </c>
      <c r="O2718" s="4">
        <f t="shared" si="6"/>
        <v>4760.638298</v>
      </c>
      <c r="P2718" s="2">
        <v>0.0</v>
      </c>
      <c r="Q2718" s="3">
        <f t="shared" si="7"/>
        <v>0</v>
      </c>
      <c r="R2718" s="2">
        <v>0.0</v>
      </c>
      <c r="S2718" s="5">
        <f t="shared" si="8"/>
        <v>0</v>
      </c>
    </row>
    <row r="2719">
      <c r="A2719" s="2" t="s">
        <v>2728</v>
      </c>
      <c r="B2719" s="2">
        <v>192.0</v>
      </c>
      <c r="C2719" s="2">
        <v>2130.0</v>
      </c>
      <c r="D2719" s="2">
        <v>651.0</v>
      </c>
      <c r="E2719" s="3">
        <f t="shared" si="1"/>
        <v>0.3359133127</v>
      </c>
      <c r="F2719" s="2">
        <v>262.0</v>
      </c>
      <c r="G2719" s="3">
        <f t="shared" si="2"/>
        <v>0.1351909185</v>
      </c>
      <c r="H2719" s="2">
        <v>391.0</v>
      </c>
      <c r="I2719" s="3">
        <f t="shared" si="3"/>
        <v>0.201754386</v>
      </c>
      <c r="J2719" s="2">
        <v>336.0</v>
      </c>
      <c r="K2719" s="3">
        <f t="shared" si="4"/>
        <v>0.173374613</v>
      </c>
      <c r="L2719" s="2">
        <v>241.0</v>
      </c>
      <c r="M2719" s="3">
        <f t="shared" si="5"/>
        <v>0.6163682864</v>
      </c>
      <c r="N2719" s="2">
        <v>2306500.0</v>
      </c>
      <c r="O2719" s="4">
        <f t="shared" si="6"/>
        <v>5898.976982</v>
      </c>
      <c r="P2719" s="2">
        <v>1.0</v>
      </c>
      <c r="Q2719" s="3">
        <f t="shared" si="7"/>
        <v>0.005208333333</v>
      </c>
      <c r="R2719" s="2">
        <v>192.0</v>
      </c>
      <c r="S2719" s="5">
        <f t="shared" si="8"/>
        <v>1</v>
      </c>
    </row>
    <row r="2720">
      <c r="A2720" s="2" t="s">
        <v>2729</v>
      </c>
      <c r="B2720" s="2">
        <v>96.0</v>
      </c>
      <c r="C2720" s="2">
        <v>1139.0</v>
      </c>
      <c r="D2720" s="2">
        <v>374.0</v>
      </c>
      <c r="E2720" s="3">
        <f t="shared" si="1"/>
        <v>0.3585810163</v>
      </c>
      <c r="F2720" s="2">
        <v>141.0</v>
      </c>
      <c r="G2720" s="3">
        <f t="shared" si="2"/>
        <v>0.1351869607</v>
      </c>
      <c r="H2720" s="2">
        <v>200.0</v>
      </c>
      <c r="I2720" s="3">
        <f t="shared" si="3"/>
        <v>0.1917545542</v>
      </c>
      <c r="J2720" s="2">
        <v>189.0</v>
      </c>
      <c r="K2720" s="3">
        <f t="shared" si="4"/>
        <v>0.1812080537</v>
      </c>
      <c r="L2720" s="2">
        <v>114.0</v>
      </c>
      <c r="M2720" s="3">
        <f t="shared" si="5"/>
        <v>0.57</v>
      </c>
      <c r="N2720" s="2">
        <v>1227600.0</v>
      </c>
      <c r="O2720" s="4">
        <f t="shared" si="6"/>
        <v>6138</v>
      </c>
      <c r="P2720" s="2">
        <v>0.0</v>
      </c>
      <c r="Q2720" s="3">
        <f t="shared" si="7"/>
        <v>0</v>
      </c>
      <c r="R2720" s="2">
        <v>96.0</v>
      </c>
      <c r="S2720" s="5">
        <f t="shared" si="8"/>
        <v>1</v>
      </c>
    </row>
    <row r="2721">
      <c r="A2721" s="2" t="s">
        <v>2730</v>
      </c>
      <c r="B2721" s="2">
        <v>756.0</v>
      </c>
      <c r="C2721" s="2">
        <v>8930.0</v>
      </c>
      <c r="D2721" s="2">
        <v>3326.0</v>
      </c>
      <c r="E2721" s="3">
        <f t="shared" si="1"/>
        <v>0.4068999266</v>
      </c>
      <c r="F2721" s="2">
        <v>1105.0</v>
      </c>
      <c r="G2721" s="3">
        <f t="shared" si="2"/>
        <v>0.1351847321</v>
      </c>
      <c r="H2721" s="2">
        <v>1800.0</v>
      </c>
      <c r="I2721" s="3">
        <f t="shared" si="3"/>
        <v>0.2202104233</v>
      </c>
      <c r="J2721" s="2">
        <v>827.0</v>
      </c>
      <c r="K2721" s="3">
        <f t="shared" si="4"/>
        <v>0.1011744556</v>
      </c>
      <c r="L2721" s="2">
        <v>1153.0</v>
      </c>
      <c r="M2721" s="3">
        <f t="shared" si="5"/>
        <v>0.6405555556</v>
      </c>
      <c r="N2721" s="2">
        <v>9165700.0</v>
      </c>
      <c r="O2721" s="4">
        <f t="shared" si="6"/>
        <v>5092.055556</v>
      </c>
      <c r="P2721" s="2">
        <v>0.0</v>
      </c>
      <c r="Q2721" s="3">
        <f t="shared" si="7"/>
        <v>0</v>
      </c>
      <c r="R2721" s="2">
        <v>468.0</v>
      </c>
      <c r="S2721" s="5">
        <f t="shared" si="8"/>
        <v>0.619047619</v>
      </c>
    </row>
    <row r="2722">
      <c r="A2722" s="2" t="s">
        <v>2731</v>
      </c>
      <c r="B2722" s="2">
        <v>386.0</v>
      </c>
      <c r="C2722" s="2">
        <v>4440.0</v>
      </c>
      <c r="D2722" s="2">
        <v>1446.0</v>
      </c>
      <c r="E2722" s="3">
        <f t="shared" si="1"/>
        <v>0.3566847558</v>
      </c>
      <c r="F2722" s="2">
        <v>548.0</v>
      </c>
      <c r="G2722" s="3">
        <f t="shared" si="2"/>
        <v>0.1351751357</v>
      </c>
      <c r="H2722" s="2">
        <v>834.0</v>
      </c>
      <c r="I2722" s="3">
        <f t="shared" si="3"/>
        <v>0.205722743</v>
      </c>
      <c r="J2722" s="2">
        <v>634.0</v>
      </c>
      <c r="K2722" s="3">
        <f t="shared" si="4"/>
        <v>0.1563887519</v>
      </c>
      <c r="L2722" s="2">
        <v>521.0</v>
      </c>
      <c r="M2722" s="3">
        <f t="shared" si="5"/>
        <v>0.6247002398</v>
      </c>
      <c r="N2722" s="2">
        <v>4623000.0</v>
      </c>
      <c r="O2722" s="4">
        <f t="shared" si="6"/>
        <v>5543.165468</v>
      </c>
      <c r="P2722" s="2">
        <v>1.0</v>
      </c>
      <c r="Q2722" s="3">
        <f t="shared" si="7"/>
        <v>0.002590673575</v>
      </c>
      <c r="R2722" s="2">
        <v>0.0</v>
      </c>
      <c r="S2722" s="5">
        <f t="shared" si="8"/>
        <v>0</v>
      </c>
    </row>
    <row r="2723">
      <c r="A2723" s="2" t="s">
        <v>2732</v>
      </c>
      <c r="B2723" s="2">
        <v>268.0</v>
      </c>
      <c r="C2723" s="2">
        <v>3205.0</v>
      </c>
      <c r="D2723" s="2">
        <v>1009.0</v>
      </c>
      <c r="E2723" s="3">
        <f t="shared" si="1"/>
        <v>0.3435478379</v>
      </c>
      <c r="F2723" s="2">
        <v>397.0</v>
      </c>
      <c r="G2723" s="3">
        <f t="shared" si="2"/>
        <v>0.1351719442</v>
      </c>
      <c r="H2723" s="2">
        <v>602.0</v>
      </c>
      <c r="I2723" s="3">
        <f t="shared" si="3"/>
        <v>0.2049710589</v>
      </c>
      <c r="J2723" s="2">
        <v>517.0</v>
      </c>
      <c r="K2723" s="3">
        <f t="shared" si="4"/>
        <v>0.1760299625</v>
      </c>
      <c r="L2723" s="2">
        <v>358.0</v>
      </c>
      <c r="M2723" s="3">
        <f t="shared" si="5"/>
        <v>0.5946843854</v>
      </c>
      <c r="N2723" s="2">
        <v>3225300.0</v>
      </c>
      <c r="O2723" s="4">
        <f t="shared" si="6"/>
        <v>5357.641196</v>
      </c>
      <c r="P2723" s="2">
        <v>1.0</v>
      </c>
      <c r="Q2723" s="3">
        <f t="shared" si="7"/>
        <v>0.003731343284</v>
      </c>
      <c r="R2723" s="2">
        <v>268.0</v>
      </c>
      <c r="S2723" s="5">
        <f t="shared" si="8"/>
        <v>1</v>
      </c>
    </row>
    <row r="2724">
      <c r="A2724" s="2" t="s">
        <v>2733</v>
      </c>
      <c r="B2724" s="2">
        <v>302.0</v>
      </c>
      <c r="C2724" s="2">
        <v>3609.0</v>
      </c>
      <c r="D2724" s="2">
        <v>1201.0</v>
      </c>
      <c r="E2724" s="3">
        <f t="shared" si="1"/>
        <v>0.3631690354</v>
      </c>
      <c r="F2724" s="2">
        <v>447.0</v>
      </c>
      <c r="G2724" s="3">
        <f t="shared" si="2"/>
        <v>0.1351678258</v>
      </c>
      <c r="H2724" s="2">
        <v>684.0</v>
      </c>
      <c r="I2724" s="3">
        <f t="shared" si="3"/>
        <v>0.2068339885</v>
      </c>
      <c r="J2724" s="2">
        <v>472.0</v>
      </c>
      <c r="K2724" s="3">
        <f t="shared" si="4"/>
        <v>0.1427275476</v>
      </c>
      <c r="L2724" s="2">
        <v>418.0</v>
      </c>
      <c r="M2724" s="3">
        <f t="shared" si="5"/>
        <v>0.6111111111</v>
      </c>
      <c r="N2724" s="2">
        <v>3762300.0</v>
      </c>
      <c r="O2724" s="4">
        <f t="shared" si="6"/>
        <v>5500.438596</v>
      </c>
      <c r="P2724" s="2">
        <v>0.0</v>
      </c>
      <c r="Q2724" s="3">
        <f t="shared" si="7"/>
        <v>0</v>
      </c>
      <c r="R2724" s="2">
        <v>0.0</v>
      </c>
      <c r="S2724" s="5">
        <f t="shared" si="8"/>
        <v>0</v>
      </c>
    </row>
    <row r="2725">
      <c r="A2725" s="2" t="s">
        <v>2734</v>
      </c>
      <c r="B2725" s="2">
        <v>3586.0</v>
      </c>
      <c r="C2725" s="2">
        <v>41732.0</v>
      </c>
      <c r="D2725" s="2">
        <v>11917.0</v>
      </c>
      <c r="E2725" s="3">
        <f t="shared" si="1"/>
        <v>0.3124049704</v>
      </c>
      <c r="F2725" s="2">
        <v>5156.0</v>
      </c>
      <c r="G2725" s="3">
        <f t="shared" si="2"/>
        <v>0.1351648928</v>
      </c>
      <c r="H2725" s="2">
        <v>8371.0</v>
      </c>
      <c r="I2725" s="3">
        <f t="shared" si="3"/>
        <v>0.2194463378</v>
      </c>
      <c r="J2725" s="2">
        <v>6881.0</v>
      </c>
      <c r="K2725" s="3">
        <f t="shared" si="4"/>
        <v>0.1803858858</v>
      </c>
      <c r="L2725" s="2">
        <v>5017.0</v>
      </c>
      <c r="M2725" s="3">
        <f t="shared" si="5"/>
        <v>0.5993310238</v>
      </c>
      <c r="N2725" s="2">
        <v>4.83847E7</v>
      </c>
      <c r="O2725" s="4">
        <f t="shared" si="6"/>
        <v>5780.038227</v>
      </c>
      <c r="P2725" s="2">
        <v>4.0</v>
      </c>
      <c r="Q2725" s="3">
        <f t="shared" si="7"/>
        <v>0.001115448968</v>
      </c>
      <c r="R2725" s="2">
        <v>29.0</v>
      </c>
      <c r="S2725" s="5">
        <f t="shared" si="8"/>
        <v>0.00808700502</v>
      </c>
    </row>
    <row r="2726">
      <c r="A2726" s="2" t="s">
        <v>2735</v>
      </c>
      <c r="B2726" s="2">
        <v>89.0</v>
      </c>
      <c r="C2726" s="2">
        <v>999.0</v>
      </c>
      <c r="D2726" s="2">
        <v>232.0</v>
      </c>
      <c r="E2726" s="3">
        <f t="shared" si="1"/>
        <v>0.2549450549</v>
      </c>
      <c r="F2726" s="2">
        <v>123.0</v>
      </c>
      <c r="G2726" s="3">
        <f t="shared" si="2"/>
        <v>0.1351648352</v>
      </c>
      <c r="H2726" s="2">
        <v>189.0</v>
      </c>
      <c r="I2726" s="3">
        <f t="shared" si="3"/>
        <v>0.2076923077</v>
      </c>
      <c r="J2726" s="2">
        <v>197.0</v>
      </c>
      <c r="K2726" s="3">
        <f t="shared" si="4"/>
        <v>0.2164835165</v>
      </c>
      <c r="L2726" s="2">
        <v>117.0</v>
      </c>
      <c r="M2726" s="3">
        <f t="shared" si="5"/>
        <v>0.619047619</v>
      </c>
      <c r="N2726" s="2">
        <v>1134000.0</v>
      </c>
      <c r="O2726" s="4">
        <f t="shared" si="6"/>
        <v>6000</v>
      </c>
      <c r="P2726" s="2">
        <v>0.0</v>
      </c>
      <c r="Q2726" s="3">
        <f t="shared" si="7"/>
        <v>0</v>
      </c>
      <c r="R2726" s="2">
        <v>89.0</v>
      </c>
      <c r="S2726" s="5">
        <f t="shared" si="8"/>
        <v>1</v>
      </c>
    </row>
    <row r="2727">
      <c r="A2727" s="2" t="s">
        <v>2736</v>
      </c>
      <c r="B2727" s="2">
        <v>93.0</v>
      </c>
      <c r="C2727" s="2">
        <v>1114.0</v>
      </c>
      <c r="D2727" s="2">
        <v>302.0</v>
      </c>
      <c r="E2727" s="3">
        <f t="shared" si="1"/>
        <v>0.2957884427</v>
      </c>
      <c r="F2727" s="2">
        <v>138.0</v>
      </c>
      <c r="G2727" s="3">
        <f t="shared" si="2"/>
        <v>0.1351616063</v>
      </c>
      <c r="H2727" s="2">
        <v>196.0</v>
      </c>
      <c r="I2727" s="3">
        <f t="shared" si="3"/>
        <v>0.1919686582</v>
      </c>
      <c r="J2727" s="2">
        <v>182.0</v>
      </c>
      <c r="K2727" s="3">
        <f t="shared" si="4"/>
        <v>0.1782566112</v>
      </c>
      <c r="L2727" s="2">
        <v>114.0</v>
      </c>
      <c r="M2727" s="3">
        <f t="shared" si="5"/>
        <v>0.5816326531</v>
      </c>
      <c r="N2727" s="2">
        <v>1086800.0</v>
      </c>
      <c r="O2727" s="4">
        <f t="shared" si="6"/>
        <v>5544.897959</v>
      </c>
      <c r="P2727" s="2">
        <v>0.0</v>
      </c>
      <c r="Q2727" s="3">
        <f t="shared" si="7"/>
        <v>0</v>
      </c>
      <c r="R2727" s="2">
        <v>0.0</v>
      </c>
      <c r="S2727" s="5">
        <f t="shared" si="8"/>
        <v>0</v>
      </c>
    </row>
    <row r="2728">
      <c r="A2728" s="2" t="s">
        <v>2737</v>
      </c>
      <c r="B2728" s="2">
        <v>4.0</v>
      </c>
      <c r="C2728" s="2">
        <v>41.0</v>
      </c>
      <c r="D2728" s="2">
        <v>13.0</v>
      </c>
      <c r="E2728" s="3">
        <f t="shared" si="1"/>
        <v>0.3513513514</v>
      </c>
      <c r="F2728" s="2">
        <v>5.0</v>
      </c>
      <c r="G2728" s="3">
        <f t="shared" si="2"/>
        <v>0.1351351351</v>
      </c>
      <c r="H2728" s="2">
        <v>8.0</v>
      </c>
      <c r="I2728" s="3">
        <f t="shared" si="3"/>
        <v>0.2162162162</v>
      </c>
      <c r="J2728" s="2">
        <v>10.0</v>
      </c>
      <c r="K2728" s="3">
        <f t="shared" si="4"/>
        <v>0.2702702703</v>
      </c>
      <c r="L2728" s="2">
        <v>4.0</v>
      </c>
      <c r="M2728" s="3">
        <f t="shared" si="5"/>
        <v>0.5</v>
      </c>
      <c r="N2728" s="2">
        <v>53000.0</v>
      </c>
      <c r="O2728" s="4">
        <f t="shared" si="6"/>
        <v>6625</v>
      </c>
      <c r="P2728" s="2">
        <v>0.0</v>
      </c>
      <c r="Q2728" s="3">
        <f t="shared" si="7"/>
        <v>0</v>
      </c>
      <c r="R2728" s="2">
        <v>4.0</v>
      </c>
      <c r="S2728" s="5">
        <f t="shared" si="8"/>
        <v>1</v>
      </c>
    </row>
    <row r="2729">
      <c r="A2729" s="2" t="s">
        <v>2738</v>
      </c>
      <c r="B2729" s="2">
        <v>3.0</v>
      </c>
      <c r="C2729" s="2">
        <v>40.0</v>
      </c>
      <c r="D2729" s="2">
        <v>19.0</v>
      </c>
      <c r="E2729" s="3">
        <f t="shared" si="1"/>
        <v>0.5135135135</v>
      </c>
      <c r="F2729" s="2">
        <v>5.0</v>
      </c>
      <c r="G2729" s="3">
        <f t="shared" si="2"/>
        <v>0.1351351351</v>
      </c>
      <c r="H2729" s="2">
        <v>5.0</v>
      </c>
      <c r="I2729" s="3">
        <f t="shared" si="3"/>
        <v>0.1351351351</v>
      </c>
      <c r="J2729" s="2">
        <v>5.0</v>
      </c>
      <c r="K2729" s="3">
        <f t="shared" si="4"/>
        <v>0.1351351351</v>
      </c>
      <c r="L2729" s="2">
        <v>3.0</v>
      </c>
      <c r="M2729" s="3">
        <f t="shared" si="5"/>
        <v>0.6</v>
      </c>
      <c r="N2729" s="2">
        <v>13200.0</v>
      </c>
      <c r="O2729" s="4">
        <f t="shared" si="6"/>
        <v>2640</v>
      </c>
      <c r="P2729" s="2">
        <v>0.0</v>
      </c>
      <c r="Q2729" s="3">
        <f t="shared" si="7"/>
        <v>0</v>
      </c>
      <c r="R2729" s="2">
        <v>3.0</v>
      </c>
      <c r="S2729" s="5">
        <f t="shared" si="8"/>
        <v>1</v>
      </c>
    </row>
    <row r="2730">
      <c r="A2730" s="2" t="s">
        <v>2739</v>
      </c>
      <c r="B2730" s="2">
        <v>528.0</v>
      </c>
      <c r="C2730" s="2">
        <v>6205.0</v>
      </c>
      <c r="D2730" s="2">
        <v>2210.0</v>
      </c>
      <c r="E2730" s="3">
        <f t="shared" si="1"/>
        <v>0.389290118</v>
      </c>
      <c r="F2730" s="2">
        <v>767.0</v>
      </c>
      <c r="G2730" s="3">
        <f t="shared" si="2"/>
        <v>0.1351065704</v>
      </c>
      <c r="H2730" s="2">
        <v>1239.0</v>
      </c>
      <c r="I2730" s="3">
        <f t="shared" si="3"/>
        <v>0.2182490752</v>
      </c>
      <c r="J2730" s="2">
        <v>872.0</v>
      </c>
      <c r="K2730" s="3">
        <f t="shared" si="4"/>
        <v>0.1536022547</v>
      </c>
      <c r="L2730" s="2">
        <v>752.0</v>
      </c>
      <c r="M2730" s="3">
        <f t="shared" si="5"/>
        <v>0.6069410815</v>
      </c>
      <c r="N2730" s="2">
        <v>6511000.0</v>
      </c>
      <c r="O2730" s="4">
        <f t="shared" si="6"/>
        <v>5255.044391</v>
      </c>
      <c r="P2730" s="2">
        <v>0.0</v>
      </c>
      <c r="Q2730" s="3">
        <f t="shared" si="7"/>
        <v>0</v>
      </c>
      <c r="R2730" s="2">
        <v>528.0</v>
      </c>
      <c r="S2730" s="5">
        <f t="shared" si="8"/>
        <v>1</v>
      </c>
    </row>
    <row r="2731">
      <c r="A2731" s="2" t="s">
        <v>2740</v>
      </c>
      <c r="B2731" s="2">
        <v>50.0</v>
      </c>
      <c r="C2731" s="2">
        <v>583.0</v>
      </c>
      <c r="D2731" s="2">
        <v>178.0</v>
      </c>
      <c r="E2731" s="3">
        <f t="shared" si="1"/>
        <v>0.3339587242</v>
      </c>
      <c r="F2731" s="2">
        <v>72.0</v>
      </c>
      <c r="G2731" s="3">
        <f t="shared" si="2"/>
        <v>0.1350844278</v>
      </c>
      <c r="H2731" s="2">
        <v>118.0</v>
      </c>
      <c r="I2731" s="3">
        <f t="shared" si="3"/>
        <v>0.2213883677</v>
      </c>
      <c r="J2731" s="2">
        <v>116.0</v>
      </c>
      <c r="K2731" s="3">
        <f t="shared" si="4"/>
        <v>0.2176360225</v>
      </c>
      <c r="L2731" s="2">
        <v>72.0</v>
      </c>
      <c r="M2731" s="3">
        <f t="shared" si="5"/>
        <v>0.6101694915</v>
      </c>
      <c r="N2731" s="2">
        <v>694700.0</v>
      </c>
      <c r="O2731" s="4">
        <f t="shared" si="6"/>
        <v>5887.288136</v>
      </c>
      <c r="P2731" s="2">
        <v>0.0</v>
      </c>
      <c r="Q2731" s="3">
        <f t="shared" si="7"/>
        <v>0</v>
      </c>
      <c r="R2731" s="2">
        <v>50.0</v>
      </c>
      <c r="S2731" s="5">
        <f t="shared" si="8"/>
        <v>1</v>
      </c>
    </row>
    <row r="2732">
      <c r="A2732" s="2" t="s">
        <v>2741</v>
      </c>
      <c r="B2732" s="2">
        <v>138.0</v>
      </c>
      <c r="C2732" s="2">
        <v>1552.0</v>
      </c>
      <c r="D2732" s="2">
        <v>482.0</v>
      </c>
      <c r="E2732" s="3">
        <f t="shared" si="1"/>
        <v>0.3408769448</v>
      </c>
      <c r="F2732" s="2">
        <v>191.0</v>
      </c>
      <c r="G2732" s="3">
        <f t="shared" si="2"/>
        <v>0.1350777935</v>
      </c>
      <c r="H2732" s="2">
        <v>333.0</v>
      </c>
      <c r="I2732" s="3">
        <f t="shared" si="3"/>
        <v>0.2355021216</v>
      </c>
      <c r="J2732" s="2">
        <v>293.0</v>
      </c>
      <c r="K2732" s="3">
        <f t="shared" si="4"/>
        <v>0.2072135785</v>
      </c>
      <c r="L2732" s="2">
        <v>188.0</v>
      </c>
      <c r="M2732" s="3">
        <f t="shared" si="5"/>
        <v>0.5645645646</v>
      </c>
      <c r="N2732" s="2">
        <v>2041200.0</v>
      </c>
      <c r="O2732" s="4">
        <f t="shared" si="6"/>
        <v>6129.72973</v>
      </c>
      <c r="P2732" s="2">
        <v>0.0</v>
      </c>
      <c r="Q2732" s="3">
        <f t="shared" si="7"/>
        <v>0</v>
      </c>
      <c r="R2732" s="2">
        <v>138.0</v>
      </c>
      <c r="S2732" s="5">
        <f t="shared" si="8"/>
        <v>1</v>
      </c>
    </row>
    <row r="2733">
      <c r="A2733" s="2" t="s">
        <v>2742</v>
      </c>
      <c r="B2733" s="2">
        <v>380.0</v>
      </c>
      <c r="C2733" s="2">
        <v>4526.0</v>
      </c>
      <c r="D2733" s="2">
        <v>1198.0</v>
      </c>
      <c r="E2733" s="3">
        <f t="shared" si="1"/>
        <v>0.2889532079</v>
      </c>
      <c r="F2733" s="2">
        <v>560.0</v>
      </c>
      <c r="G2733" s="3">
        <f t="shared" si="2"/>
        <v>0.1350699469</v>
      </c>
      <c r="H2733" s="2">
        <v>839.0</v>
      </c>
      <c r="I2733" s="3">
        <f t="shared" si="3"/>
        <v>0.2023637241</v>
      </c>
      <c r="J2733" s="2">
        <v>721.0</v>
      </c>
      <c r="K2733" s="3">
        <f t="shared" si="4"/>
        <v>0.1739025567</v>
      </c>
      <c r="L2733" s="2">
        <v>489.0</v>
      </c>
      <c r="M2733" s="3">
        <f t="shared" si="5"/>
        <v>0.5828367104</v>
      </c>
      <c r="N2733" s="2">
        <v>5083000.0</v>
      </c>
      <c r="O2733" s="4">
        <f t="shared" si="6"/>
        <v>6058.402861</v>
      </c>
      <c r="P2733" s="2">
        <v>0.0</v>
      </c>
      <c r="Q2733" s="3">
        <f t="shared" si="7"/>
        <v>0</v>
      </c>
      <c r="R2733" s="2">
        <v>380.0</v>
      </c>
      <c r="S2733" s="5">
        <f t="shared" si="8"/>
        <v>1</v>
      </c>
    </row>
    <row r="2734">
      <c r="A2734" s="2" t="s">
        <v>2743</v>
      </c>
      <c r="B2734" s="2">
        <v>77.0</v>
      </c>
      <c r="C2734" s="2">
        <v>884.0</v>
      </c>
      <c r="D2734" s="2">
        <v>187.0</v>
      </c>
      <c r="E2734" s="3">
        <f t="shared" si="1"/>
        <v>0.2317224287</v>
      </c>
      <c r="F2734" s="2">
        <v>109.0</v>
      </c>
      <c r="G2734" s="3">
        <f t="shared" si="2"/>
        <v>0.1350681537</v>
      </c>
      <c r="H2734" s="2">
        <v>162.0</v>
      </c>
      <c r="I2734" s="3">
        <f t="shared" si="3"/>
        <v>0.2007434944</v>
      </c>
      <c r="J2734" s="2">
        <v>162.0</v>
      </c>
      <c r="K2734" s="3">
        <f t="shared" si="4"/>
        <v>0.2007434944</v>
      </c>
      <c r="L2734" s="2">
        <v>89.0</v>
      </c>
      <c r="M2734" s="3">
        <f t="shared" si="5"/>
        <v>0.549382716</v>
      </c>
      <c r="N2734" s="2">
        <v>1043500.0</v>
      </c>
      <c r="O2734" s="4">
        <f t="shared" si="6"/>
        <v>6441.358025</v>
      </c>
      <c r="P2734" s="2">
        <v>0.0</v>
      </c>
      <c r="Q2734" s="3">
        <f t="shared" si="7"/>
        <v>0</v>
      </c>
      <c r="R2734" s="2">
        <v>77.0</v>
      </c>
      <c r="S2734" s="5">
        <f t="shared" si="8"/>
        <v>1</v>
      </c>
    </row>
    <row r="2735">
      <c r="A2735" s="2" t="s">
        <v>2744</v>
      </c>
      <c r="B2735" s="2">
        <v>564.0</v>
      </c>
      <c r="C2735" s="2">
        <v>6776.0</v>
      </c>
      <c r="D2735" s="2">
        <v>2381.0</v>
      </c>
      <c r="E2735" s="3">
        <f t="shared" si="1"/>
        <v>0.3832904057</v>
      </c>
      <c r="F2735" s="2">
        <v>839.0</v>
      </c>
      <c r="G2735" s="3">
        <f t="shared" si="2"/>
        <v>0.1350611719</v>
      </c>
      <c r="H2735" s="2">
        <v>1277.0</v>
      </c>
      <c r="I2735" s="3">
        <f t="shared" si="3"/>
        <v>0.2055698648</v>
      </c>
      <c r="J2735" s="2">
        <v>986.0</v>
      </c>
      <c r="K2735" s="3">
        <f t="shared" si="4"/>
        <v>0.1587250483</v>
      </c>
      <c r="L2735" s="2">
        <v>749.0</v>
      </c>
      <c r="M2735" s="3">
        <f t="shared" si="5"/>
        <v>0.5865309319</v>
      </c>
      <c r="N2735" s="2">
        <v>7144400.0</v>
      </c>
      <c r="O2735" s="4">
        <f t="shared" si="6"/>
        <v>5594.67502</v>
      </c>
      <c r="P2735" s="2">
        <v>0.0</v>
      </c>
      <c r="Q2735" s="3">
        <f t="shared" si="7"/>
        <v>0</v>
      </c>
      <c r="R2735" s="2">
        <v>564.0</v>
      </c>
      <c r="S2735" s="5">
        <f t="shared" si="8"/>
        <v>1</v>
      </c>
    </row>
    <row r="2736">
      <c r="A2736" s="2" t="s">
        <v>2745</v>
      </c>
      <c r="B2736" s="2">
        <v>188.0</v>
      </c>
      <c r="C2736" s="2">
        <v>2202.0</v>
      </c>
      <c r="D2736" s="2">
        <v>552.0</v>
      </c>
      <c r="E2736" s="3">
        <f t="shared" si="1"/>
        <v>0.27408143</v>
      </c>
      <c r="F2736" s="2">
        <v>272.0</v>
      </c>
      <c r="G2736" s="3">
        <f t="shared" si="2"/>
        <v>0.1350546177</v>
      </c>
      <c r="H2736" s="2">
        <v>399.0</v>
      </c>
      <c r="I2736" s="3">
        <f t="shared" si="3"/>
        <v>0.1981132075</v>
      </c>
      <c r="J2736" s="2">
        <v>353.0</v>
      </c>
      <c r="K2736" s="3">
        <f t="shared" si="4"/>
        <v>0.1752730884</v>
      </c>
      <c r="L2736" s="2">
        <v>237.0</v>
      </c>
      <c r="M2736" s="3">
        <f t="shared" si="5"/>
        <v>0.5939849624</v>
      </c>
      <c r="N2736" s="2">
        <v>2389800.0</v>
      </c>
      <c r="O2736" s="4">
        <f t="shared" si="6"/>
        <v>5989.473684</v>
      </c>
      <c r="P2736" s="2">
        <v>1.0</v>
      </c>
      <c r="Q2736" s="3">
        <f t="shared" si="7"/>
        <v>0.005319148936</v>
      </c>
      <c r="R2736" s="2">
        <v>188.0</v>
      </c>
      <c r="S2736" s="5">
        <f t="shared" si="8"/>
        <v>1</v>
      </c>
    </row>
    <row r="2737">
      <c r="A2737" s="2" t="s">
        <v>2746</v>
      </c>
      <c r="B2737" s="2">
        <v>249.0</v>
      </c>
      <c r="C2737" s="2">
        <v>2811.0</v>
      </c>
      <c r="D2737" s="2">
        <v>760.0</v>
      </c>
      <c r="E2737" s="3">
        <f t="shared" si="1"/>
        <v>0.2966432475</v>
      </c>
      <c r="F2737" s="2">
        <v>346.0</v>
      </c>
      <c r="G2737" s="3">
        <f t="shared" si="2"/>
        <v>0.1350507416</v>
      </c>
      <c r="H2737" s="2">
        <v>528.0</v>
      </c>
      <c r="I2737" s="3">
        <f t="shared" si="3"/>
        <v>0.206088993</v>
      </c>
      <c r="J2737" s="2">
        <v>554.0</v>
      </c>
      <c r="K2737" s="3">
        <f t="shared" si="4"/>
        <v>0.2162373146</v>
      </c>
      <c r="L2737" s="2">
        <v>315.0</v>
      </c>
      <c r="M2737" s="3">
        <f t="shared" si="5"/>
        <v>0.5965909091</v>
      </c>
      <c r="N2737" s="2">
        <v>3315500.0</v>
      </c>
      <c r="O2737" s="4">
        <f t="shared" si="6"/>
        <v>6279.356061</v>
      </c>
      <c r="P2737" s="2">
        <v>1.0</v>
      </c>
      <c r="Q2737" s="3">
        <f t="shared" si="7"/>
        <v>0.004016064257</v>
      </c>
      <c r="R2737" s="2">
        <v>249.0</v>
      </c>
      <c r="S2737" s="5">
        <f t="shared" si="8"/>
        <v>1</v>
      </c>
    </row>
    <row r="2738">
      <c r="A2738" s="2" t="s">
        <v>2747</v>
      </c>
      <c r="B2738" s="2">
        <v>179.0</v>
      </c>
      <c r="C2738" s="2">
        <v>2082.0</v>
      </c>
      <c r="D2738" s="2">
        <v>730.0</v>
      </c>
      <c r="E2738" s="3">
        <f t="shared" si="1"/>
        <v>0.3836048345</v>
      </c>
      <c r="F2738" s="2">
        <v>257.0</v>
      </c>
      <c r="G2738" s="3">
        <f t="shared" si="2"/>
        <v>0.1350499212</v>
      </c>
      <c r="H2738" s="2">
        <v>402.0</v>
      </c>
      <c r="I2738" s="3">
        <f t="shared" si="3"/>
        <v>0.211245402</v>
      </c>
      <c r="J2738" s="2">
        <v>353.0</v>
      </c>
      <c r="K2738" s="3">
        <f t="shared" si="4"/>
        <v>0.1854965843</v>
      </c>
      <c r="L2738" s="2">
        <v>241.0</v>
      </c>
      <c r="M2738" s="3">
        <f t="shared" si="5"/>
        <v>0.5995024876</v>
      </c>
      <c r="N2738" s="2">
        <v>2270600.0</v>
      </c>
      <c r="O2738" s="4">
        <f t="shared" si="6"/>
        <v>5648.258706</v>
      </c>
      <c r="P2738" s="2">
        <v>0.0</v>
      </c>
      <c r="Q2738" s="3">
        <f t="shared" si="7"/>
        <v>0</v>
      </c>
      <c r="R2738" s="2">
        <v>179.0</v>
      </c>
      <c r="S2738" s="5">
        <f t="shared" si="8"/>
        <v>1</v>
      </c>
    </row>
    <row r="2739">
      <c r="A2739" s="2" t="s">
        <v>2748</v>
      </c>
      <c r="B2739" s="2">
        <v>738.0</v>
      </c>
      <c r="C2739" s="2">
        <v>8587.0</v>
      </c>
      <c r="D2739" s="2">
        <v>2817.0</v>
      </c>
      <c r="E2739" s="3">
        <f t="shared" si="1"/>
        <v>0.3588992228</v>
      </c>
      <c r="F2739" s="2">
        <v>1060.0</v>
      </c>
      <c r="G2739" s="3">
        <f t="shared" si="2"/>
        <v>0.1350490508</v>
      </c>
      <c r="H2739" s="2">
        <v>1764.0</v>
      </c>
      <c r="I2739" s="3">
        <f t="shared" si="3"/>
        <v>0.2247420054</v>
      </c>
      <c r="J2739" s="2">
        <v>1491.0</v>
      </c>
      <c r="K2739" s="3">
        <f t="shared" si="4"/>
        <v>0.1899605045</v>
      </c>
      <c r="L2739" s="2">
        <v>1058.0</v>
      </c>
      <c r="M2739" s="3">
        <f t="shared" si="5"/>
        <v>0.5997732426</v>
      </c>
      <c r="N2739" s="2">
        <v>9832000.0</v>
      </c>
      <c r="O2739" s="4">
        <f t="shared" si="6"/>
        <v>5573.696145</v>
      </c>
      <c r="P2739" s="2">
        <v>2.0</v>
      </c>
      <c r="Q2739" s="3">
        <f t="shared" si="7"/>
        <v>0.0027100271</v>
      </c>
      <c r="R2739" s="2">
        <v>738.0</v>
      </c>
      <c r="S2739" s="5">
        <f t="shared" si="8"/>
        <v>1</v>
      </c>
    </row>
    <row r="2740">
      <c r="A2740" s="2" t="s">
        <v>2749</v>
      </c>
      <c r="B2740" s="2">
        <v>57.0</v>
      </c>
      <c r="C2740" s="2">
        <v>679.0</v>
      </c>
      <c r="D2740" s="2">
        <v>180.0</v>
      </c>
      <c r="E2740" s="3">
        <f t="shared" si="1"/>
        <v>0.2893890675</v>
      </c>
      <c r="F2740" s="2">
        <v>84.0</v>
      </c>
      <c r="G2740" s="3">
        <f t="shared" si="2"/>
        <v>0.1350482315</v>
      </c>
      <c r="H2740" s="2">
        <v>137.0</v>
      </c>
      <c r="I2740" s="3">
        <f t="shared" si="3"/>
        <v>0.2202572347</v>
      </c>
      <c r="J2740" s="2">
        <v>114.0</v>
      </c>
      <c r="K2740" s="3">
        <f t="shared" si="4"/>
        <v>0.1832797428</v>
      </c>
      <c r="L2740" s="2">
        <v>79.0</v>
      </c>
      <c r="M2740" s="3">
        <f t="shared" si="5"/>
        <v>0.5766423358</v>
      </c>
      <c r="N2740" s="2">
        <v>768300.0</v>
      </c>
      <c r="O2740" s="4">
        <f t="shared" si="6"/>
        <v>5608.029197</v>
      </c>
      <c r="P2740" s="2">
        <v>0.0</v>
      </c>
      <c r="Q2740" s="3">
        <f t="shared" si="7"/>
        <v>0</v>
      </c>
      <c r="R2740" s="2">
        <v>0.0</v>
      </c>
      <c r="S2740" s="5">
        <f t="shared" si="8"/>
        <v>0</v>
      </c>
    </row>
    <row r="2741">
      <c r="A2741" s="2" t="s">
        <v>2750</v>
      </c>
      <c r="B2741" s="2">
        <v>582.0</v>
      </c>
      <c r="C2741" s="2">
        <v>6765.0</v>
      </c>
      <c r="D2741" s="2">
        <v>2248.0</v>
      </c>
      <c r="E2741" s="3">
        <f t="shared" si="1"/>
        <v>0.3635775514</v>
      </c>
      <c r="F2741" s="2">
        <v>835.0</v>
      </c>
      <c r="G2741" s="3">
        <f t="shared" si="2"/>
        <v>0.1350477115</v>
      </c>
      <c r="H2741" s="2">
        <v>1318.0</v>
      </c>
      <c r="I2741" s="3">
        <f t="shared" si="3"/>
        <v>0.2131651302</v>
      </c>
      <c r="J2741" s="2">
        <v>931.0</v>
      </c>
      <c r="K2741" s="3">
        <f t="shared" si="4"/>
        <v>0.1505741549</v>
      </c>
      <c r="L2741" s="2">
        <v>748.0</v>
      </c>
      <c r="M2741" s="3">
        <f t="shared" si="5"/>
        <v>0.5675265554</v>
      </c>
      <c r="N2741" s="2">
        <v>7740400.0</v>
      </c>
      <c r="O2741" s="4">
        <f t="shared" si="6"/>
        <v>5872.837633</v>
      </c>
      <c r="P2741" s="2">
        <v>1.0</v>
      </c>
      <c r="Q2741" s="3">
        <f t="shared" si="7"/>
        <v>0.001718213058</v>
      </c>
      <c r="R2741" s="2">
        <v>582.0</v>
      </c>
      <c r="S2741" s="5">
        <f t="shared" si="8"/>
        <v>1</v>
      </c>
    </row>
    <row r="2742">
      <c r="A2742" s="2" t="s">
        <v>2751</v>
      </c>
      <c r="B2742" s="2">
        <v>551.0</v>
      </c>
      <c r="C2742" s="2">
        <v>6401.0</v>
      </c>
      <c r="D2742" s="2">
        <v>2173.0</v>
      </c>
      <c r="E2742" s="3">
        <f t="shared" si="1"/>
        <v>0.3714529915</v>
      </c>
      <c r="F2742" s="2">
        <v>790.0</v>
      </c>
      <c r="G2742" s="3">
        <f t="shared" si="2"/>
        <v>0.135042735</v>
      </c>
      <c r="H2742" s="2">
        <v>1144.0</v>
      </c>
      <c r="I2742" s="3">
        <f t="shared" si="3"/>
        <v>0.1955555556</v>
      </c>
      <c r="J2742" s="2">
        <v>1071.0</v>
      </c>
      <c r="K2742" s="3">
        <f t="shared" si="4"/>
        <v>0.1830769231</v>
      </c>
      <c r="L2742" s="2">
        <v>690.0</v>
      </c>
      <c r="M2742" s="3">
        <f t="shared" si="5"/>
        <v>0.6031468531</v>
      </c>
      <c r="N2742" s="2">
        <v>6835000.0</v>
      </c>
      <c r="O2742" s="4">
        <f t="shared" si="6"/>
        <v>5974.65035</v>
      </c>
      <c r="P2742" s="2">
        <v>3.0</v>
      </c>
      <c r="Q2742" s="3">
        <f t="shared" si="7"/>
        <v>0.005444646098</v>
      </c>
      <c r="R2742" s="2">
        <v>546.0</v>
      </c>
      <c r="S2742" s="5">
        <f t="shared" si="8"/>
        <v>0.9909255898</v>
      </c>
    </row>
    <row r="2743">
      <c r="A2743" s="2" t="s">
        <v>2752</v>
      </c>
      <c r="B2743" s="2">
        <v>843.0</v>
      </c>
      <c r="C2743" s="2">
        <v>9855.0</v>
      </c>
      <c r="D2743" s="2">
        <v>3181.0</v>
      </c>
      <c r="E2743" s="3">
        <f t="shared" si="1"/>
        <v>0.3529738127</v>
      </c>
      <c r="F2743" s="2">
        <v>1217.0</v>
      </c>
      <c r="G2743" s="3">
        <f t="shared" si="2"/>
        <v>0.135042166</v>
      </c>
      <c r="H2743" s="2">
        <v>1928.0</v>
      </c>
      <c r="I2743" s="3">
        <f t="shared" si="3"/>
        <v>0.2139369729</v>
      </c>
      <c r="J2743" s="2">
        <v>1760.0</v>
      </c>
      <c r="K2743" s="3">
        <f t="shared" si="4"/>
        <v>0.195295162</v>
      </c>
      <c r="L2743" s="2">
        <v>1149.0</v>
      </c>
      <c r="M2743" s="3">
        <f t="shared" si="5"/>
        <v>0.5959543568</v>
      </c>
      <c r="N2743" s="2">
        <v>1.08176E7</v>
      </c>
      <c r="O2743" s="4">
        <f t="shared" si="6"/>
        <v>5610.788382</v>
      </c>
      <c r="P2743" s="2">
        <v>0.0</v>
      </c>
      <c r="Q2743" s="3">
        <f t="shared" si="7"/>
        <v>0</v>
      </c>
      <c r="R2743" s="2">
        <v>843.0</v>
      </c>
      <c r="S2743" s="5">
        <f t="shared" si="8"/>
        <v>1</v>
      </c>
    </row>
    <row r="2744">
      <c r="A2744" s="2" t="s">
        <v>2753</v>
      </c>
      <c r="B2744" s="2">
        <v>124.0</v>
      </c>
      <c r="C2744" s="2">
        <v>1494.0</v>
      </c>
      <c r="D2744" s="2">
        <v>381.0</v>
      </c>
      <c r="E2744" s="3">
        <f t="shared" si="1"/>
        <v>0.2781021898</v>
      </c>
      <c r="F2744" s="2">
        <v>185.0</v>
      </c>
      <c r="G2744" s="3">
        <f t="shared" si="2"/>
        <v>0.1350364964</v>
      </c>
      <c r="H2744" s="2">
        <v>271.0</v>
      </c>
      <c r="I2744" s="3">
        <f t="shared" si="3"/>
        <v>0.197810219</v>
      </c>
      <c r="J2744" s="2">
        <v>261.0</v>
      </c>
      <c r="K2744" s="3">
        <f t="shared" si="4"/>
        <v>0.1905109489</v>
      </c>
      <c r="L2744" s="2">
        <v>171.0</v>
      </c>
      <c r="M2744" s="3">
        <f t="shared" si="5"/>
        <v>0.63099631</v>
      </c>
      <c r="N2744" s="2">
        <v>1611200.0</v>
      </c>
      <c r="O2744" s="4">
        <f t="shared" si="6"/>
        <v>5945.387454</v>
      </c>
      <c r="P2744" s="2">
        <v>0.0</v>
      </c>
      <c r="Q2744" s="3">
        <f t="shared" si="7"/>
        <v>0</v>
      </c>
      <c r="R2744" s="2">
        <v>0.0</v>
      </c>
      <c r="S2744" s="5">
        <f t="shared" si="8"/>
        <v>0</v>
      </c>
    </row>
    <row r="2745">
      <c r="A2745" s="2" t="s">
        <v>2754</v>
      </c>
      <c r="B2745" s="2">
        <v>62.0</v>
      </c>
      <c r="C2745" s="2">
        <v>736.0</v>
      </c>
      <c r="D2745" s="2">
        <v>217.0</v>
      </c>
      <c r="E2745" s="3">
        <f t="shared" si="1"/>
        <v>0.321958457</v>
      </c>
      <c r="F2745" s="2">
        <v>91.0</v>
      </c>
      <c r="G2745" s="3">
        <f t="shared" si="2"/>
        <v>0.1350148368</v>
      </c>
      <c r="H2745" s="2">
        <v>137.0</v>
      </c>
      <c r="I2745" s="3">
        <f t="shared" si="3"/>
        <v>0.203264095</v>
      </c>
      <c r="J2745" s="2">
        <v>100.0</v>
      </c>
      <c r="K2745" s="3">
        <f t="shared" si="4"/>
        <v>0.1483679525</v>
      </c>
      <c r="L2745" s="2">
        <v>84.0</v>
      </c>
      <c r="M2745" s="3">
        <f t="shared" si="5"/>
        <v>0.6131386861</v>
      </c>
      <c r="N2745" s="2">
        <v>819800.0</v>
      </c>
      <c r="O2745" s="4">
        <f t="shared" si="6"/>
        <v>5983.941606</v>
      </c>
      <c r="P2745" s="2">
        <v>0.0</v>
      </c>
      <c r="Q2745" s="3">
        <f t="shared" si="7"/>
        <v>0</v>
      </c>
      <c r="R2745" s="2">
        <v>62.0</v>
      </c>
      <c r="S2745" s="5">
        <f t="shared" si="8"/>
        <v>1</v>
      </c>
    </row>
    <row r="2746">
      <c r="A2746" s="2" t="s">
        <v>2755</v>
      </c>
      <c r="B2746" s="2">
        <v>136.0</v>
      </c>
      <c r="C2746" s="2">
        <v>1573.0</v>
      </c>
      <c r="D2746" s="2">
        <v>508.0</v>
      </c>
      <c r="E2746" s="3">
        <f t="shared" si="1"/>
        <v>0.3535142658</v>
      </c>
      <c r="F2746" s="2">
        <v>194.0</v>
      </c>
      <c r="G2746" s="3">
        <f t="shared" si="2"/>
        <v>0.1350034795</v>
      </c>
      <c r="H2746" s="2">
        <v>266.0</v>
      </c>
      <c r="I2746" s="3">
        <f t="shared" si="3"/>
        <v>0.1851078636</v>
      </c>
      <c r="J2746" s="2">
        <v>199.0</v>
      </c>
      <c r="K2746" s="3">
        <f t="shared" si="4"/>
        <v>0.1384829506</v>
      </c>
      <c r="L2746" s="2">
        <v>154.0</v>
      </c>
      <c r="M2746" s="3">
        <f t="shared" si="5"/>
        <v>0.5789473684</v>
      </c>
      <c r="N2746" s="2">
        <v>1553600.0</v>
      </c>
      <c r="O2746" s="4">
        <f t="shared" si="6"/>
        <v>5840.601504</v>
      </c>
      <c r="P2746" s="2">
        <v>1.0</v>
      </c>
      <c r="Q2746" s="3">
        <f t="shared" si="7"/>
        <v>0.007352941176</v>
      </c>
      <c r="R2746" s="2">
        <v>136.0</v>
      </c>
      <c r="S2746" s="5">
        <f t="shared" si="8"/>
        <v>1</v>
      </c>
    </row>
    <row r="2747">
      <c r="A2747" s="2" t="s">
        <v>2756</v>
      </c>
      <c r="B2747" s="2">
        <v>918.0</v>
      </c>
      <c r="C2747" s="2">
        <v>10622.0</v>
      </c>
      <c r="D2747" s="2">
        <v>2686.0</v>
      </c>
      <c r="E2747" s="3">
        <f t="shared" si="1"/>
        <v>0.276793075</v>
      </c>
      <c r="F2747" s="2">
        <v>1310.0</v>
      </c>
      <c r="G2747" s="3">
        <f t="shared" si="2"/>
        <v>0.134995878</v>
      </c>
      <c r="H2747" s="2">
        <v>1994.0</v>
      </c>
      <c r="I2747" s="3">
        <f t="shared" si="3"/>
        <v>0.2054822754</v>
      </c>
      <c r="J2747" s="2">
        <v>1758.0</v>
      </c>
      <c r="K2747" s="3">
        <f t="shared" si="4"/>
        <v>0.1811624073</v>
      </c>
      <c r="L2747" s="2">
        <v>1208.0</v>
      </c>
      <c r="M2747" s="3">
        <f t="shared" si="5"/>
        <v>0.6058174524</v>
      </c>
      <c r="N2747" s="2">
        <v>1.16399E7</v>
      </c>
      <c r="O2747" s="4">
        <f t="shared" si="6"/>
        <v>5837.462387</v>
      </c>
      <c r="P2747" s="2">
        <v>0.0</v>
      </c>
      <c r="Q2747" s="3">
        <f t="shared" si="7"/>
        <v>0</v>
      </c>
      <c r="R2747" s="2">
        <v>918.0</v>
      </c>
      <c r="S2747" s="5">
        <f t="shared" si="8"/>
        <v>1</v>
      </c>
    </row>
    <row r="2748">
      <c r="A2748" s="2" t="s">
        <v>2757</v>
      </c>
      <c r="B2748" s="2">
        <v>1610.0</v>
      </c>
      <c r="C2748" s="2">
        <v>18537.0</v>
      </c>
      <c r="D2748" s="2">
        <v>5432.0</v>
      </c>
      <c r="E2748" s="3">
        <f t="shared" si="1"/>
        <v>0.320907426</v>
      </c>
      <c r="F2748" s="2">
        <v>2285.0</v>
      </c>
      <c r="G2748" s="3">
        <f t="shared" si="2"/>
        <v>0.1349914338</v>
      </c>
      <c r="H2748" s="2">
        <v>3732.0</v>
      </c>
      <c r="I2748" s="3">
        <f t="shared" si="3"/>
        <v>0.2204761623</v>
      </c>
      <c r="J2748" s="2">
        <v>3217.0</v>
      </c>
      <c r="K2748" s="3">
        <f t="shared" si="4"/>
        <v>0.1900513972</v>
      </c>
      <c r="L2748" s="2">
        <v>2300.0</v>
      </c>
      <c r="M2748" s="3">
        <f t="shared" si="5"/>
        <v>0.6162915327</v>
      </c>
      <c r="N2748" s="2">
        <v>2.20258E7</v>
      </c>
      <c r="O2748" s="4">
        <f t="shared" si="6"/>
        <v>5901.87567</v>
      </c>
      <c r="P2748" s="2">
        <v>10.0</v>
      </c>
      <c r="Q2748" s="3">
        <f t="shared" si="7"/>
        <v>0.006211180124</v>
      </c>
      <c r="R2748" s="2">
        <v>1610.0</v>
      </c>
      <c r="S2748" s="5">
        <f t="shared" si="8"/>
        <v>1</v>
      </c>
    </row>
    <row r="2749">
      <c r="A2749" s="2" t="s">
        <v>2758</v>
      </c>
      <c r="B2749" s="2">
        <v>760.0</v>
      </c>
      <c r="C2749" s="2">
        <v>8842.0</v>
      </c>
      <c r="D2749" s="2">
        <v>3075.0</v>
      </c>
      <c r="E2749" s="3">
        <f t="shared" si="1"/>
        <v>0.3804751299</v>
      </c>
      <c r="F2749" s="2">
        <v>1091.0</v>
      </c>
      <c r="G2749" s="3">
        <f t="shared" si="2"/>
        <v>0.1349913388</v>
      </c>
      <c r="H2749" s="2">
        <v>1644.0</v>
      </c>
      <c r="I2749" s="3">
        <f t="shared" si="3"/>
        <v>0.2034149963</v>
      </c>
      <c r="J2749" s="2">
        <v>1309.0</v>
      </c>
      <c r="K2749" s="3">
        <f t="shared" si="4"/>
        <v>0.1619648602</v>
      </c>
      <c r="L2749" s="2">
        <v>992.0</v>
      </c>
      <c r="M2749" s="3">
        <f t="shared" si="5"/>
        <v>0.603406326</v>
      </c>
      <c r="N2749" s="2">
        <v>9273300.0</v>
      </c>
      <c r="O2749" s="4">
        <f t="shared" si="6"/>
        <v>5640.693431</v>
      </c>
      <c r="P2749" s="2">
        <v>1.0</v>
      </c>
      <c r="Q2749" s="3">
        <f t="shared" si="7"/>
        <v>0.001315789474</v>
      </c>
      <c r="R2749" s="2">
        <v>760.0</v>
      </c>
      <c r="S2749" s="5">
        <f t="shared" si="8"/>
        <v>1</v>
      </c>
    </row>
    <row r="2750">
      <c r="A2750" s="2" t="s">
        <v>2759</v>
      </c>
      <c r="B2750" s="2">
        <v>103.0</v>
      </c>
      <c r="C2750" s="2">
        <v>1192.0</v>
      </c>
      <c r="D2750" s="2">
        <v>397.0</v>
      </c>
      <c r="E2750" s="3">
        <f t="shared" si="1"/>
        <v>0.3645546373</v>
      </c>
      <c r="F2750" s="2">
        <v>147.0</v>
      </c>
      <c r="G2750" s="3">
        <f t="shared" si="2"/>
        <v>0.1349862259</v>
      </c>
      <c r="H2750" s="2">
        <v>215.0</v>
      </c>
      <c r="I2750" s="3">
        <f t="shared" si="3"/>
        <v>0.1974288338</v>
      </c>
      <c r="J2750" s="2">
        <v>188.0</v>
      </c>
      <c r="K2750" s="3">
        <f t="shared" si="4"/>
        <v>0.1726354454</v>
      </c>
      <c r="L2750" s="2">
        <v>130.0</v>
      </c>
      <c r="M2750" s="3">
        <f t="shared" si="5"/>
        <v>0.6046511628</v>
      </c>
      <c r="N2750" s="2">
        <v>1147100.0</v>
      </c>
      <c r="O2750" s="4">
        <f t="shared" si="6"/>
        <v>5335.348837</v>
      </c>
      <c r="P2750" s="2">
        <v>0.0</v>
      </c>
      <c r="Q2750" s="3">
        <f t="shared" si="7"/>
        <v>0</v>
      </c>
      <c r="R2750" s="2">
        <v>103.0</v>
      </c>
      <c r="S2750" s="5">
        <f t="shared" si="8"/>
        <v>1</v>
      </c>
    </row>
    <row r="2751">
      <c r="A2751" s="2" t="s">
        <v>2760</v>
      </c>
      <c r="B2751" s="2">
        <v>100.0</v>
      </c>
      <c r="C2751" s="2">
        <v>1152.0</v>
      </c>
      <c r="D2751" s="2">
        <v>343.0</v>
      </c>
      <c r="E2751" s="3">
        <f t="shared" si="1"/>
        <v>0.3260456274</v>
      </c>
      <c r="F2751" s="2">
        <v>142.0</v>
      </c>
      <c r="G2751" s="3">
        <f t="shared" si="2"/>
        <v>0.1349809886</v>
      </c>
      <c r="H2751" s="2">
        <v>228.0</v>
      </c>
      <c r="I2751" s="3">
        <f t="shared" si="3"/>
        <v>0.216730038</v>
      </c>
      <c r="J2751" s="2">
        <v>188.0</v>
      </c>
      <c r="K2751" s="3">
        <f t="shared" si="4"/>
        <v>0.1787072243</v>
      </c>
      <c r="L2751" s="2">
        <v>115.0</v>
      </c>
      <c r="M2751" s="3">
        <f t="shared" si="5"/>
        <v>0.5043859649</v>
      </c>
      <c r="N2751" s="2">
        <v>1254200.0</v>
      </c>
      <c r="O2751" s="4">
        <f t="shared" si="6"/>
        <v>5500.877193</v>
      </c>
      <c r="P2751" s="2">
        <v>2.0</v>
      </c>
      <c r="Q2751" s="3">
        <f t="shared" si="7"/>
        <v>0.02</v>
      </c>
      <c r="R2751" s="2">
        <v>100.0</v>
      </c>
      <c r="S2751" s="5">
        <f t="shared" si="8"/>
        <v>1</v>
      </c>
    </row>
    <row r="2752">
      <c r="A2752" s="2" t="s">
        <v>2761</v>
      </c>
      <c r="B2752" s="2">
        <v>476.0</v>
      </c>
      <c r="C2752" s="2">
        <v>5536.0</v>
      </c>
      <c r="D2752" s="2">
        <v>1298.0</v>
      </c>
      <c r="E2752" s="3">
        <f t="shared" si="1"/>
        <v>0.2565217391</v>
      </c>
      <c r="F2752" s="2">
        <v>683.0</v>
      </c>
      <c r="G2752" s="3">
        <f t="shared" si="2"/>
        <v>0.1349802372</v>
      </c>
      <c r="H2752" s="2">
        <v>979.0</v>
      </c>
      <c r="I2752" s="3">
        <f t="shared" si="3"/>
        <v>0.1934782609</v>
      </c>
      <c r="J2752" s="2">
        <v>857.0</v>
      </c>
      <c r="K2752" s="3">
        <f t="shared" si="4"/>
        <v>0.1693675889</v>
      </c>
      <c r="L2752" s="2">
        <v>591.0</v>
      </c>
      <c r="M2752" s="3">
        <f t="shared" si="5"/>
        <v>0.6036772217</v>
      </c>
      <c r="N2752" s="2">
        <v>6224900.0</v>
      </c>
      <c r="O2752" s="4">
        <f t="shared" si="6"/>
        <v>6358.426966</v>
      </c>
      <c r="P2752" s="2">
        <v>0.0</v>
      </c>
      <c r="Q2752" s="3">
        <f t="shared" si="7"/>
        <v>0</v>
      </c>
      <c r="R2752" s="2">
        <v>476.0</v>
      </c>
      <c r="S2752" s="5">
        <f t="shared" si="8"/>
        <v>1</v>
      </c>
    </row>
    <row r="2753">
      <c r="A2753" s="2" t="s">
        <v>2762</v>
      </c>
      <c r="B2753" s="2">
        <v>665.0</v>
      </c>
      <c r="C2753" s="2">
        <v>7748.0</v>
      </c>
      <c r="D2753" s="2">
        <v>2334.0</v>
      </c>
      <c r="E2753" s="3">
        <f t="shared" si="1"/>
        <v>0.3295213892</v>
      </c>
      <c r="F2753" s="2">
        <v>956.0</v>
      </c>
      <c r="G2753" s="3">
        <f t="shared" si="2"/>
        <v>0.1349710575</v>
      </c>
      <c r="H2753" s="2">
        <v>1428.0</v>
      </c>
      <c r="I2753" s="3">
        <f t="shared" si="3"/>
        <v>0.2016094875</v>
      </c>
      <c r="J2753" s="2">
        <v>1195.0</v>
      </c>
      <c r="K2753" s="3">
        <f t="shared" si="4"/>
        <v>0.1687138218</v>
      </c>
      <c r="L2753" s="2">
        <v>879.0</v>
      </c>
      <c r="M2753" s="3">
        <f t="shared" si="5"/>
        <v>0.6155462185</v>
      </c>
      <c r="N2753" s="2">
        <v>7983200.0</v>
      </c>
      <c r="O2753" s="4">
        <f t="shared" si="6"/>
        <v>5590.47619</v>
      </c>
      <c r="P2753" s="2">
        <v>3.0</v>
      </c>
      <c r="Q2753" s="3">
        <f t="shared" si="7"/>
        <v>0.004511278195</v>
      </c>
      <c r="R2753" s="2">
        <v>544.0</v>
      </c>
      <c r="S2753" s="5">
        <f t="shared" si="8"/>
        <v>0.8180451128</v>
      </c>
    </row>
    <row r="2754">
      <c r="A2754" s="2" t="s">
        <v>2763</v>
      </c>
      <c r="B2754" s="2">
        <v>1012.0</v>
      </c>
      <c r="C2754" s="2">
        <v>11807.0</v>
      </c>
      <c r="D2754" s="2">
        <v>3433.0</v>
      </c>
      <c r="E2754" s="3">
        <f t="shared" si="1"/>
        <v>0.3180176007</v>
      </c>
      <c r="F2754" s="2">
        <v>1457.0</v>
      </c>
      <c r="G2754" s="3">
        <f t="shared" si="2"/>
        <v>0.1349698935</v>
      </c>
      <c r="H2754" s="2">
        <v>2331.0</v>
      </c>
      <c r="I2754" s="3">
        <f t="shared" si="3"/>
        <v>0.2159333025</v>
      </c>
      <c r="J2754" s="2">
        <v>1935.0</v>
      </c>
      <c r="K2754" s="3">
        <f t="shared" si="4"/>
        <v>0.1792496526</v>
      </c>
      <c r="L2754" s="2">
        <v>1360.0</v>
      </c>
      <c r="M2754" s="3">
        <f t="shared" si="5"/>
        <v>0.5834405834</v>
      </c>
      <c r="N2754" s="2">
        <v>1.36585E7</v>
      </c>
      <c r="O2754" s="4">
        <f t="shared" si="6"/>
        <v>5859.50236</v>
      </c>
      <c r="P2754" s="2">
        <v>2.0</v>
      </c>
      <c r="Q2754" s="3">
        <f t="shared" si="7"/>
        <v>0.001976284585</v>
      </c>
      <c r="R2754" s="2">
        <v>1012.0</v>
      </c>
      <c r="S2754" s="5">
        <f t="shared" si="8"/>
        <v>1</v>
      </c>
    </row>
    <row r="2755">
      <c r="A2755" s="2" t="s">
        <v>2764</v>
      </c>
      <c r="B2755" s="2">
        <v>6878.0</v>
      </c>
      <c r="C2755" s="2">
        <v>80544.0</v>
      </c>
      <c r="D2755" s="2">
        <v>26757.0</v>
      </c>
      <c r="E2755" s="3">
        <f t="shared" si="1"/>
        <v>0.3632204816</v>
      </c>
      <c r="F2755" s="2">
        <v>9942.0</v>
      </c>
      <c r="G2755" s="3">
        <f t="shared" si="2"/>
        <v>0.1349604974</v>
      </c>
      <c r="H2755" s="2">
        <v>16125.0</v>
      </c>
      <c r="I2755" s="3">
        <f t="shared" si="3"/>
        <v>0.2188933837</v>
      </c>
      <c r="J2755" s="2">
        <v>13315.0</v>
      </c>
      <c r="K2755" s="3">
        <f t="shared" si="4"/>
        <v>0.1807482421</v>
      </c>
      <c r="L2755" s="2">
        <v>9525.0</v>
      </c>
      <c r="M2755" s="3">
        <f t="shared" si="5"/>
        <v>0.5906976744</v>
      </c>
      <c r="N2755" s="2">
        <v>8.96066E7</v>
      </c>
      <c r="O2755" s="4">
        <f t="shared" si="6"/>
        <v>5556.99845</v>
      </c>
      <c r="P2755" s="2">
        <v>16.0</v>
      </c>
      <c r="Q2755" s="3">
        <f t="shared" si="7"/>
        <v>0.002326257633</v>
      </c>
      <c r="R2755" s="2">
        <v>5389.0</v>
      </c>
      <c r="S2755" s="5">
        <f t="shared" si="8"/>
        <v>0.783512649</v>
      </c>
    </row>
    <row r="2756">
      <c r="A2756" s="2" t="s">
        <v>2765</v>
      </c>
      <c r="B2756" s="2">
        <v>293.0</v>
      </c>
      <c r="C2756" s="2">
        <v>3509.0</v>
      </c>
      <c r="D2756" s="2">
        <v>1316.0</v>
      </c>
      <c r="E2756" s="3">
        <f t="shared" si="1"/>
        <v>0.4092039801</v>
      </c>
      <c r="F2756" s="2">
        <v>434.0</v>
      </c>
      <c r="G2756" s="3">
        <f t="shared" si="2"/>
        <v>0.1349502488</v>
      </c>
      <c r="H2756" s="2">
        <v>647.0</v>
      </c>
      <c r="I2756" s="3">
        <f t="shared" si="3"/>
        <v>0.201181592</v>
      </c>
      <c r="J2756" s="2">
        <v>479.0</v>
      </c>
      <c r="K2756" s="3">
        <f t="shared" si="4"/>
        <v>0.1489427861</v>
      </c>
      <c r="L2756" s="2">
        <v>397.0</v>
      </c>
      <c r="M2756" s="3">
        <f t="shared" si="5"/>
        <v>0.6136012365</v>
      </c>
      <c r="N2756" s="2">
        <v>3538100.0</v>
      </c>
      <c r="O2756" s="4">
        <f t="shared" si="6"/>
        <v>5468.469861</v>
      </c>
      <c r="P2756" s="2">
        <v>0.0</v>
      </c>
      <c r="Q2756" s="3">
        <f t="shared" si="7"/>
        <v>0</v>
      </c>
      <c r="R2756" s="2">
        <v>293.0</v>
      </c>
      <c r="S2756" s="5">
        <f t="shared" si="8"/>
        <v>1</v>
      </c>
    </row>
    <row r="2757">
      <c r="A2757" s="2" t="s">
        <v>2766</v>
      </c>
      <c r="B2757" s="2">
        <v>54.0</v>
      </c>
      <c r="C2757" s="2">
        <v>632.0</v>
      </c>
      <c r="D2757" s="2">
        <v>174.0</v>
      </c>
      <c r="E2757" s="3">
        <f t="shared" si="1"/>
        <v>0.3010380623</v>
      </c>
      <c r="F2757" s="2">
        <v>78.0</v>
      </c>
      <c r="G2757" s="3">
        <f t="shared" si="2"/>
        <v>0.1349480969</v>
      </c>
      <c r="H2757" s="2">
        <v>126.0</v>
      </c>
      <c r="I2757" s="3">
        <f t="shared" si="3"/>
        <v>0.2179930796</v>
      </c>
      <c r="J2757" s="2">
        <v>120.0</v>
      </c>
      <c r="K2757" s="3">
        <f t="shared" si="4"/>
        <v>0.2076124567</v>
      </c>
      <c r="L2757" s="2">
        <v>68.0</v>
      </c>
      <c r="M2757" s="3">
        <f t="shared" si="5"/>
        <v>0.5396825397</v>
      </c>
      <c r="N2757" s="2">
        <v>758500.0</v>
      </c>
      <c r="O2757" s="4">
        <f t="shared" si="6"/>
        <v>6019.84127</v>
      </c>
      <c r="P2757" s="2">
        <v>0.0</v>
      </c>
      <c r="Q2757" s="3">
        <f t="shared" si="7"/>
        <v>0</v>
      </c>
      <c r="R2757" s="2">
        <v>54.0</v>
      </c>
      <c r="S2757" s="5">
        <f t="shared" si="8"/>
        <v>1</v>
      </c>
    </row>
    <row r="2758">
      <c r="A2758" s="2" t="s">
        <v>2767</v>
      </c>
      <c r="B2758" s="2">
        <v>775.0</v>
      </c>
      <c r="C2758" s="2">
        <v>8830.0</v>
      </c>
      <c r="D2758" s="2">
        <v>2094.0</v>
      </c>
      <c r="E2758" s="3">
        <f t="shared" si="1"/>
        <v>0.2599627561</v>
      </c>
      <c r="F2758" s="2">
        <v>1087.0</v>
      </c>
      <c r="G2758" s="3">
        <f t="shared" si="2"/>
        <v>0.1349472377</v>
      </c>
      <c r="H2758" s="2">
        <v>1744.0</v>
      </c>
      <c r="I2758" s="3">
        <f t="shared" si="3"/>
        <v>0.2165114836</v>
      </c>
      <c r="J2758" s="2">
        <v>2045.0</v>
      </c>
      <c r="K2758" s="3">
        <f t="shared" si="4"/>
        <v>0.2538795779</v>
      </c>
      <c r="L2758" s="2">
        <v>1039.0</v>
      </c>
      <c r="M2758" s="3">
        <f t="shared" si="5"/>
        <v>0.5957568807</v>
      </c>
      <c r="N2758" s="2">
        <v>1.10691E7</v>
      </c>
      <c r="O2758" s="4">
        <f t="shared" si="6"/>
        <v>6346.961009</v>
      </c>
      <c r="P2758" s="2">
        <v>1.0</v>
      </c>
      <c r="Q2758" s="3">
        <f t="shared" si="7"/>
        <v>0.001290322581</v>
      </c>
      <c r="R2758" s="2">
        <v>775.0</v>
      </c>
      <c r="S2758" s="5">
        <f t="shared" si="8"/>
        <v>1</v>
      </c>
    </row>
    <row r="2759">
      <c r="A2759" s="2" t="s">
        <v>2768</v>
      </c>
      <c r="B2759" s="2">
        <v>1029.0</v>
      </c>
      <c r="C2759" s="2">
        <v>11989.0</v>
      </c>
      <c r="D2759" s="2">
        <v>3843.0</v>
      </c>
      <c r="E2759" s="3">
        <f t="shared" si="1"/>
        <v>0.3506386861</v>
      </c>
      <c r="F2759" s="2">
        <v>1479.0</v>
      </c>
      <c r="G2759" s="3">
        <f t="shared" si="2"/>
        <v>0.1349452555</v>
      </c>
      <c r="H2759" s="2">
        <v>2394.0</v>
      </c>
      <c r="I2759" s="3">
        <f t="shared" si="3"/>
        <v>0.2184306569</v>
      </c>
      <c r="J2759" s="2">
        <v>2067.0</v>
      </c>
      <c r="K2759" s="3">
        <f t="shared" si="4"/>
        <v>0.1885948905</v>
      </c>
      <c r="L2759" s="2">
        <v>1416.0</v>
      </c>
      <c r="M2759" s="3">
        <f t="shared" si="5"/>
        <v>0.5914786967</v>
      </c>
      <c r="N2759" s="2">
        <v>1.3523E7</v>
      </c>
      <c r="O2759" s="4">
        <f t="shared" si="6"/>
        <v>5648.705096</v>
      </c>
      <c r="P2759" s="2">
        <v>1.0</v>
      </c>
      <c r="Q2759" s="3">
        <f t="shared" si="7"/>
        <v>0.0009718172983</v>
      </c>
      <c r="R2759" s="2">
        <v>1029.0</v>
      </c>
      <c r="S2759" s="5">
        <f t="shared" si="8"/>
        <v>1</v>
      </c>
    </row>
    <row r="2760">
      <c r="A2760" s="2" t="s">
        <v>2769</v>
      </c>
      <c r="B2760" s="2">
        <v>442.0</v>
      </c>
      <c r="C2760" s="2">
        <v>5148.0</v>
      </c>
      <c r="D2760" s="2">
        <v>1628.0</v>
      </c>
      <c r="E2760" s="3">
        <f t="shared" si="1"/>
        <v>0.3459413515</v>
      </c>
      <c r="F2760" s="2">
        <v>635.0</v>
      </c>
      <c r="G2760" s="3">
        <f t="shared" si="2"/>
        <v>0.1349341266</v>
      </c>
      <c r="H2760" s="2">
        <v>1015.0</v>
      </c>
      <c r="I2760" s="3">
        <f t="shared" si="3"/>
        <v>0.2156821079</v>
      </c>
      <c r="J2760" s="2">
        <v>848.0</v>
      </c>
      <c r="K2760" s="3">
        <f t="shared" si="4"/>
        <v>0.1801954951</v>
      </c>
      <c r="L2760" s="2">
        <v>607.0</v>
      </c>
      <c r="M2760" s="3">
        <f t="shared" si="5"/>
        <v>0.5980295567</v>
      </c>
      <c r="N2760" s="2">
        <v>6085700.0</v>
      </c>
      <c r="O2760" s="4">
        <f t="shared" si="6"/>
        <v>5995.763547</v>
      </c>
      <c r="P2760" s="2">
        <v>3.0</v>
      </c>
      <c r="Q2760" s="3">
        <f t="shared" si="7"/>
        <v>0.006787330317</v>
      </c>
      <c r="R2760" s="2">
        <v>442.0</v>
      </c>
      <c r="S2760" s="5">
        <f t="shared" si="8"/>
        <v>1</v>
      </c>
    </row>
    <row r="2761">
      <c r="A2761" s="2" t="s">
        <v>2770</v>
      </c>
      <c r="B2761" s="2">
        <v>201.0</v>
      </c>
      <c r="C2761" s="2">
        <v>2328.0</v>
      </c>
      <c r="D2761" s="2">
        <v>644.0</v>
      </c>
      <c r="E2761" s="3">
        <f t="shared" si="1"/>
        <v>0.3027738599</v>
      </c>
      <c r="F2761" s="2">
        <v>287.0</v>
      </c>
      <c r="G2761" s="3">
        <f t="shared" si="2"/>
        <v>0.1349318289</v>
      </c>
      <c r="H2761" s="2">
        <v>452.0</v>
      </c>
      <c r="I2761" s="3">
        <f t="shared" si="3"/>
        <v>0.2125058768</v>
      </c>
      <c r="J2761" s="2">
        <v>309.0</v>
      </c>
      <c r="K2761" s="3">
        <f t="shared" si="4"/>
        <v>0.1452750353</v>
      </c>
      <c r="L2761" s="2">
        <v>274.0</v>
      </c>
      <c r="M2761" s="3">
        <f t="shared" si="5"/>
        <v>0.6061946903</v>
      </c>
      <c r="N2761" s="2">
        <v>2673300.0</v>
      </c>
      <c r="O2761" s="4">
        <f t="shared" si="6"/>
        <v>5914.380531</v>
      </c>
      <c r="P2761" s="2">
        <v>2.0</v>
      </c>
      <c r="Q2761" s="3">
        <f t="shared" si="7"/>
        <v>0.009950248756</v>
      </c>
      <c r="R2761" s="2">
        <v>201.0</v>
      </c>
      <c r="S2761" s="5">
        <f t="shared" si="8"/>
        <v>1</v>
      </c>
    </row>
    <row r="2762">
      <c r="A2762" s="2" t="s">
        <v>2771</v>
      </c>
      <c r="B2762" s="2">
        <v>1717.0</v>
      </c>
      <c r="C2762" s="2">
        <v>19916.0</v>
      </c>
      <c r="D2762" s="2">
        <v>5068.0</v>
      </c>
      <c r="E2762" s="3">
        <f t="shared" si="1"/>
        <v>0.2784768394</v>
      </c>
      <c r="F2762" s="2">
        <v>2455.0</v>
      </c>
      <c r="G2762" s="3">
        <f t="shared" si="2"/>
        <v>0.1348975218</v>
      </c>
      <c r="H2762" s="2">
        <v>3882.0</v>
      </c>
      <c r="I2762" s="3">
        <f t="shared" si="3"/>
        <v>0.2133084235</v>
      </c>
      <c r="J2762" s="2">
        <v>3508.0</v>
      </c>
      <c r="K2762" s="3">
        <f t="shared" si="4"/>
        <v>0.1927578438</v>
      </c>
      <c r="L2762" s="2">
        <v>2318.0</v>
      </c>
      <c r="M2762" s="3">
        <f t="shared" si="5"/>
        <v>0.5971148892</v>
      </c>
      <c r="N2762" s="2">
        <v>2.28171E7</v>
      </c>
      <c r="O2762" s="4">
        <f t="shared" si="6"/>
        <v>5877.666151</v>
      </c>
      <c r="P2762" s="2">
        <v>4.0</v>
      </c>
      <c r="Q2762" s="3">
        <f t="shared" si="7"/>
        <v>0.002329644729</v>
      </c>
      <c r="R2762" s="2">
        <v>1717.0</v>
      </c>
      <c r="S2762" s="5">
        <f t="shared" si="8"/>
        <v>1</v>
      </c>
    </row>
    <row r="2763">
      <c r="A2763" s="2" t="s">
        <v>2772</v>
      </c>
      <c r="B2763" s="2">
        <v>295.0</v>
      </c>
      <c r="C2763" s="2">
        <v>3416.0</v>
      </c>
      <c r="D2763" s="2">
        <v>792.0</v>
      </c>
      <c r="E2763" s="3">
        <f t="shared" si="1"/>
        <v>0.253764819</v>
      </c>
      <c r="F2763" s="2">
        <v>421.0</v>
      </c>
      <c r="G2763" s="3">
        <f t="shared" si="2"/>
        <v>0.1348926626</v>
      </c>
      <c r="H2763" s="2">
        <v>642.0</v>
      </c>
      <c r="I2763" s="3">
        <f t="shared" si="3"/>
        <v>0.2057033002</v>
      </c>
      <c r="J2763" s="2">
        <v>558.0</v>
      </c>
      <c r="K2763" s="3">
        <f t="shared" si="4"/>
        <v>0.1787888497</v>
      </c>
      <c r="L2763" s="2">
        <v>407.0</v>
      </c>
      <c r="M2763" s="3">
        <f t="shared" si="5"/>
        <v>0.6339563863</v>
      </c>
      <c r="N2763" s="2">
        <v>3795100.0</v>
      </c>
      <c r="O2763" s="4">
        <f t="shared" si="6"/>
        <v>5911.370717</v>
      </c>
      <c r="P2763" s="2">
        <v>1.0</v>
      </c>
      <c r="Q2763" s="3">
        <f t="shared" si="7"/>
        <v>0.003389830508</v>
      </c>
      <c r="R2763" s="2">
        <v>295.0</v>
      </c>
      <c r="S2763" s="5">
        <f t="shared" si="8"/>
        <v>1</v>
      </c>
    </row>
    <row r="2764">
      <c r="A2764" s="2" t="s">
        <v>2773</v>
      </c>
      <c r="B2764" s="2">
        <v>331.0</v>
      </c>
      <c r="C2764" s="2">
        <v>3823.0</v>
      </c>
      <c r="D2764" s="2">
        <v>1244.0</v>
      </c>
      <c r="E2764" s="3">
        <f t="shared" si="1"/>
        <v>0.3562428408</v>
      </c>
      <c r="F2764" s="2">
        <v>471.0</v>
      </c>
      <c r="G2764" s="3">
        <f t="shared" si="2"/>
        <v>0.1348797251</v>
      </c>
      <c r="H2764" s="2">
        <v>791.0</v>
      </c>
      <c r="I2764" s="3">
        <f t="shared" si="3"/>
        <v>0.2265177549</v>
      </c>
      <c r="J2764" s="2">
        <v>608.0</v>
      </c>
      <c r="K2764" s="3">
        <f t="shared" si="4"/>
        <v>0.1741122566</v>
      </c>
      <c r="L2764" s="2">
        <v>487.0</v>
      </c>
      <c r="M2764" s="3">
        <f t="shared" si="5"/>
        <v>0.615676359</v>
      </c>
      <c r="N2764" s="2">
        <v>4326200.0</v>
      </c>
      <c r="O2764" s="4">
        <f t="shared" si="6"/>
        <v>5469.279393</v>
      </c>
      <c r="P2764" s="2">
        <v>0.0</v>
      </c>
      <c r="Q2764" s="3">
        <f t="shared" si="7"/>
        <v>0</v>
      </c>
      <c r="R2764" s="2">
        <v>331.0</v>
      </c>
      <c r="S2764" s="5">
        <f t="shared" si="8"/>
        <v>1</v>
      </c>
    </row>
    <row r="2765">
      <c r="A2765" s="2" t="s">
        <v>2774</v>
      </c>
      <c r="B2765" s="2">
        <v>1373.0</v>
      </c>
      <c r="C2765" s="2">
        <v>15957.0</v>
      </c>
      <c r="D2765" s="2">
        <v>4914.0</v>
      </c>
      <c r="E2765" s="3">
        <f t="shared" si="1"/>
        <v>0.3369445968</v>
      </c>
      <c r="F2765" s="2">
        <v>1967.0</v>
      </c>
      <c r="G2765" s="3">
        <f t="shared" si="2"/>
        <v>0.1348738343</v>
      </c>
      <c r="H2765" s="2">
        <v>3200.0</v>
      </c>
      <c r="I2765" s="3">
        <f t="shared" si="3"/>
        <v>0.2194185409</v>
      </c>
      <c r="J2765" s="2">
        <v>2740.0</v>
      </c>
      <c r="K2765" s="3">
        <f t="shared" si="4"/>
        <v>0.1878771256</v>
      </c>
      <c r="L2765" s="2">
        <v>1912.0</v>
      </c>
      <c r="M2765" s="3">
        <f t="shared" si="5"/>
        <v>0.5975</v>
      </c>
      <c r="N2765" s="2">
        <v>1.86917E7</v>
      </c>
      <c r="O2765" s="4">
        <f t="shared" si="6"/>
        <v>5841.15625</v>
      </c>
      <c r="P2765" s="2">
        <v>1.0</v>
      </c>
      <c r="Q2765" s="3">
        <f t="shared" si="7"/>
        <v>0.0007283321194</v>
      </c>
      <c r="R2765" s="2">
        <v>1373.0</v>
      </c>
      <c r="S2765" s="5">
        <f t="shared" si="8"/>
        <v>1</v>
      </c>
    </row>
    <row r="2766">
      <c r="A2766" s="2" t="s">
        <v>2775</v>
      </c>
      <c r="B2766" s="2">
        <v>179.0</v>
      </c>
      <c r="C2766" s="2">
        <v>2129.0</v>
      </c>
      <c r="D2766" s="2">
        <v>792.0</v>
      </c>
      <c r="E2766" s="3">
        <f t="shared" si="1"/>
        <v>0.4061538462</v>
      </c>
      <c r="F2766" s="2">
        <v>263.0</v>
      </c>
      <c r="G2766" s="3">
        <f t="shared" si="2"/>
        <v>0.1348717949</v>
      </c>
      <c r="H2766" s="2">
        <v>384.0</v>
      </c>
      <c r="I2766" s="3">
        <f t="shared" si="3"/>
        <v>0.1969230769</v>
      </c>
      <c r="J2766" s="2">
        <v>301.0</v>
      </c>
      <c r="K2766" s="3">
        <f t="shared" si="4"/>
        <v>0.1543589744</v>
      </c>
      <c r="L2766" s="2">
        <v>235.0</v>
      </c>
      <c r="M2766" s="3">
        <f t="shared" si="5"/>
        <v>0.6119791667</v>
      </c>
      <c r="N2766" s="2">
        <v>1960400.0</v>
      </c>
      <c r="O2766" s="4">
        <f t="shared" si="6"/>
        <v>5105.208333</v>
      </c>
      <c r="P2766" s="2">
        <v>0.0</v>
      </c>
      <c r="Q2766" s="3">
        <f t="shared" si="7"/>
        <v>0</v>
      </c>
      <c r="R2766" s="2">
        <v>1.0</v>
      </c>
      <c r="S2766" s="5">
        <f t="shared" si="8"/>
        <v>0.005586592179</v>
      </c>
    </row>
    <row r="2767">
      <c r="A2767" s="2" t="s">
        <v>2776</v>
      </c>
      <c r="B2767" s="2">
        <v>168.0</v>
      </c>
      <c r="C2767" s="2">
        <v>2044.0</v>
      </c>
      <c r="D2767" s="2">
        <v>761.0</v>
      </c>
      <c r="E2767" s="3">
        <f t="shared" si="1"/>
        <v>0.4056503198</v>
      </c>
      <c r="F2767" s="2">
        <v>253.0</v>
      </c>
      <c r="G2767" s="3">
        <f t="shared" si="2"/>
        <v>0.1348614072</v>
      </c>
      <c r="H2767" s="2">
        <v>423.0</v>
      </c>
      <c r="I2767" s="3">
        <f t="shared" si="3"/>
        <v>0.2254797441</v>
      </c>
      <c r="J2767" s="2">
        <v>354.0</v>
      </c>
      <c r="K2767" s="3">
        <f t="shared" si="4"/>
        <v>0.1886993603</v>
      </c>
      <c r="L2767" s="2">
        <v>247.0</v>
      </c>
      <c r="M2767" s="3">
        <f t="shared" si="5"/>
        <v>0.5839243499</v>
      </c>
      <c r="N2767" s="2">
        <v>2372200.0</v>
      </c>
      <c r="O2767" s="4">
        <f t="shared" si="6"/>
        <v>5608.037825</v>
      </c>
      <c r="P2767" s="2">
        <v>1.0</v>
      </c>
      <c r="Q2767" s="3">
        <f t="shared" si="7"/>
        <v>0.005952380952</v>
      </c>
      <c r="R2767" s="2">
        <v>168.0</v>
      </c>
      <c r="S2767" s="5">
        <f t="shared" si="8"/>
        <v>1</v>
      </c>
    </row>
    <row r="2768">
      <c r="A2768" s="2" t="s">
        <v>2777</v>
      </c>
      <c r="B2768" s="2">
        <v>174.0</v>
      </c>
      <c r="C2768" s="2">
        <v>2050.0</v>
      </c>
      <c r="D2768" s="2">
        <v>756.0</v>
      </c>
      <c r="E2768" s="3">
        <f t="shared" si="1"/>
        <v>0.4029850746</v>
      </c>
      <c r="F2768" s="2">
        <v>253.0</v>
      </c>
      <c r="G2768" s="3">
        <f t="shared" si="2"/>
        <v>0.1348614072</v>
      </c>
      <c r="H2768" s="2">
        <v>387.0</v>
      </c>
      <c r="I2768" s="3">
        <f t="shared" si="3"/>
        <v>0.2062899787</v>
      </c>
      <c r="J2768" s="2">
        <v>291.0</v>
      </c>
      <c r="K2768" s="3">
        <f t="shared" si="4"/>
        <v>0.1551172708</v>
      </c>
      <c r="L2768" s="2">
        <v>216.0</v>
      </c>
      <c r="M2768" s="3">
        <f t="shared" si="5"/>
        <v>0.5581395349</v>
      </c>
      <c r="N2768" s="2">
        <v>1990300.0</v>
      </c>
      <c r="O2768" s="4">
        <f t="shared" si="6"/>
        <v>5142.894057</v>
      </c>
      <c r="P2768" s="2">
        <v>0.0</v>
      </c>
      <c r="Q2768" s="3">
        <f t="shared" si="7"/>
        <v>0</v>
      </c>
      <c r="R2768" s="2">
        <v>137.0</v>
      </c>
      <c r="S2768" s="5">
        <f t="shared" si="8"/>
        <v>0.7873563218</v>
      </c>
    </row>
    <row r="2769">
      <c r="A2769" s="2" t="s">
        <v>2778</v>
      </c>
      <c r="B2769" s="2">
        <v>47.0</v>
      </c>
      <c r="C2769" s="2">
        <v>529.0</v>
      </c>
      <c r="D2769" s="2">
        <v>190.0</v>
      </c>
      <c r="E2769" s="3">
        <f t="shared" si="1"/>
        <v>0.3941908714</v>
      </c>
      <c r="F2769" s="2">
        <v>65.0</v>
      </c>
      <c r="G2769" s="3">
        <f t="shared" si="2"/>
        <v>0.1348547718</v>
      </c>
      <c r="H2769" s="2">
        <v>102.0</v>
      </c>
      <c r="I2769" s="3">
        <f t="shared" si="3"/>
        <v>0.2116182573</v>
      </c>
      <c r="J2769" s="2">
        <v>92.0</v>
      </c>
      <c r="K2769" s="3">
        <f t="shared" si="4"/>
        <v>0.1908713693</v>
      </c>
      <c r="L2769" s="2">
        <v>59.0</v>
      </c>
      <c r="M2769" s="3">
        <f t="shared" si="5"/>
        <v>0.5784313725</v>
      </c>
      <c r="N2769" s="2">
        <v>614800.0</v>
      </c>
      <c r="O2769" s="4">
        <f t="shared" si="6"/>
        <v>6027.45098</v>
      </c>
      <c r="P2769" s="2">
        <v>0.0</v>
      </c>
      <c r="Q2769" s="3">
        <f t="shared" si="7"/>
        <v>0</v>
      </c>
      <c r="R2769" s="2">
        <v>47.0</v>
      </c>
      <c r="S2769" s="5">
        <f t="shared" si="8"/>
        <v>1</v>
      </c>
    </row>
    <row r="2770">
      <c r="A2770" s="2" t="s">
        <v>2779</v>
      </c>
      <c r="B2770" s="2">
        <v>630.0</v>
      </c>
      <c r="C2770" s="2">
        <v>7490.0</v>
      </c>
      <c r="D2770" s="2">
        <v>2778.0</v>
      </c>
      <c r="E2770" s="3">
        <f t="shared" si="1"/>
        <v>0.4049562682</v>
      </c>
      <c r="F2770" s="2">
        <v>925.0</v>
      </c>
      <c r="G2770" s="3">
        <f t="shared" si="2"/>
        <v>0.1348396501</v>
      </c>
      <c r="H2770" s="2">
        <v>1553.0</v>
      </c>
      <c r="I2770" s="3">
        <f t="shared" si="3"/>
        <v>0.2263848397</v>
      </c>
      <c r="J2770" s="2">
        <v>1007.0</v>
      </c>
      <c r="K2770" s="3">
        <f t="shared" si="4"/>
        <v>0.1467930029</v>
      </c>
      <c r="L2770" s="2">
        <v>973.0</v>
      </c>
      <c r="M2770" s="3">
        <f t="shared" si="5"/>
        <v>0.6265292981</v>
      </c>
      <c r="N2770" s="2">
        <v>8090600.0</v>
      </c>
      <c r="O2770" s="4">
        <f t="shared" si="6"/>
        <v>5209.658725</v>
      </c>
      <c r="P2770" s="2">
        <v>1.0</v>
      </c>
      <c r="Q2770" s="3">
        <f t="shared" si="7"/>
        <v>0.001587301587</v>
      </c>
      <c r="R2770" s="2">
        <v>413.0</v>
      </c>
      <c r="S2770" s="5">
        <f t="shared" si="8"/>
        <v>0.6555555556</v>
      </c>
    </row>
    <row r="2771">
      <c r="A2771" s="2" t="s">
        <v>2780</v>
      </c>
      <c r="B2771" s="2">
        <v>663.0</v>
      </c>
      <c r="C2771" s="2">
        <v>7716.0</v>
      </c>
      <c r="D2771" s="2">
        <v>1960.0</v>
      </c>
      <c r="E2771" s="3">
        <f t="shared" si="1"/>
        <v>0.2778959308</v>
      </c>
      <c r="F2771" s="2">
        <v>951.0</v>
      </c>
      <c r="G2771" s="3">
        <f t="shared" si="2"/>
        <v>0.1348362399</v>
      </c>
      <c r="H2771" s="2">
        <v>1382.0</v>
      </c>
      <c r="I2771" s="3">
        <f t="shared" si="3"/>
        <v>0.1959449879</v>
      </c>
      <c r="J2771" s="2">
        <v>1150.0</v>
      </c>
      <c r="K2771" s="3">
        <f t="shared" si="4"/>
        <v>0.1630511839</v>
      </c>
      <c r="L2771" s="2">
        <v>793.0</v>
      </c>
      <c r="M2771" s="3">
        <f t="shared" si="5"/>
        <v>0.5738060781</v>
      </c>
      <c r="N2771" s="2">
        <v>8602300.0</v>
      </c>
      <c r="O2771" s="4">
        <f t="shared" si="6"/>
        <v>6224.529667</v>
      </c>
      <c r="P2771" s="2">
        <v>2.0</v>
      </c>
      <c r="Q2771" s="3">
        <f t="shared" si="7"/>
        <v>0.003016591252</v>
      </c>
      <c r="R2771" s="2">
        <v>663.0</v>
      </c>
      <c r="S2771" s="5">
        <f t="shared" si="8"/>
        <v>1</v>
      </c>
    </row>
    <row r="2772">
      <c r="A2772" s="2" t="s">
        <v>2781</v>
      </c>
      <c r="B2772" s="2">
        <v>674.0</v>
      </c>
      <c r="C2772" s="2">
        <v>7816.0</v>
      </c>
      <c r="D2772" s="2">
        <v>2850.0</v>
      </c>
      <c r="E2772" s="3">
        <f t="shared" si="1"/>
        <v>0.3990478857</v>
      </c>
      <c r="F2772" s="2">
        <v>963.0</v>
      </c>
      <c r="G2772" s="3">
        <f t="shared" si="2"/>
        <v>0.1348361803</v>
      </c>
      <c r="H2772" s="2">
        <v>1606.0</v>
      </c>
      <c r="I2772" s="3">
        <f t="shared" si="3"/>
        <v>0.224866984</v>
      </c>
      <c r="J2772" s="2">
        <v>1335.0</v>
      </c>
      <c r="K2772" s="3">
        <f t="shared" si="4"/>
        <v>0.1869224307</v>
      </c>
      <c r="L2772" s="2">
        <v>972.0</v>
      </c>
      <c r="M2772" s="3">
        <f t="shared" si="5"/>
        <v>0.6052303861</v>
      </c>
      <c r="N2772" s="2">
        <v>9067700.0</v>
      </c>
      <c r="O2772" s="4">
        <f t="shared" si="6"/>
        <v>5646.139477</v>
      </c>
      <c r="P2772" s="2">
        <v>4.0</v>
      </c>
      <c r="Q2772" s="3">
        <f t="shared" si="7"/>
        <v>0.005934718101</v>
      </c>
      <c r="R2772" s="2">
        <v>674.0</v>
      </c>
      <c r="S2772" s="5">
        <f t="shared" si="8"/>
        <v>1</v>
      </c>
    </row>
    <row r="2773">
      <c r="A2773" s="2" t="s">
        <v>2782</v>
      </c>
      <c r="B2773" s="2">
        <v>7.0</v>
      </c>
      <c r="C2773" s="2">
        <v>96.0</v>
      </c>
      <c r="D2773" s="2">
        <v>26.0</v>
      </c>
      <c r="E2773" s="3">
        <f t="shared" si="1"/>
        <v>0.2921348315</v>
      </c>
      <c r="F2773" s="2">
        <v>12.0</v>
      </c>
      <c r="G2773" s="3">
        <f t="shared" si="2"/>
        <v>0.1348314607</v>
      </c>
      <c r="H2773" s="2">
        <v>23.0</v>
      </c>
      <c r="I2773" s="3">
        <f t="shared" si="3"/>
        <v>0.2584269663</v>
      </c>
      <c r="J2773" s="2">
        <v>18.0</v>
      </c>
      <c r="K2773" s="3">
        <f t="shared" si="4"/>
        <v>0.202247191</v>
      </c>
      <c r="L2773" s="2">
        <v>14.0</v>
      </c>
      <c r="M2773" s="3">
        <f t="shared" si="5"/>
        <v>0.6086956522</v>
      </c>
      <c r="N2773" s="2">
        <v>122300.0</v>
      </c>
      <c r="O2773" s="4">
        <f t="shared" si="6"/>
        <v>5317.391304</v>
      </c>
      <c r="P2773" s="2">
        <v>0.0</v>
      </c>
      <c r="Q2773" s="3">
        <f t="shared" si="7"/>
        <v>0</v>
      </c>
      <c r="R2773" s="2">
        <v>7.0</v>
      </c>
      <c r="S2773" s="5">
        <f t="shared" si="8"/>
        <v>1</v>
      </c>
    </row>
    <row r="2774">
      <c r="A2774" s="2" t="s">
        <v>2783</v>
      </c>
      <c r="B2774" s="2">
        <v>17.0</v>
      </c>
      <c r="C2774" s="2">
        <v>195.0</v>
      </c>
      <c r="D2774" s="2">
        <v>70.0</v>
      </c>
      <c r="E2774" s="3">
        <f t="shared" si="1"/>
        <v>0.393258427</v>
      </c>
      <c r="F2774" s="2">
        <v>24.0</v>
      </c>
      <c r="G2774" s="3">
        <f t="shared" si="2"/>
        <v>0.1348314607</v>
      </c>
      <c r="H2774" s="2">
        <v>28.0</v>
      </c>
      <c r="I2774" s="3">
        <f t="shared" si="3"/>
        <v>0.1573033708</v>
      </c>
      <c r="J2774" s="2">
        <v>23.0</v>
      </c>
      <c r="K2774" s="3">
        <f t="shared" si="4"/>
        <v>0.1292134831</v>
      </c>
      <c r="L2774" s="2">
        <v>17.0</v>
      </c>
      <c r="M2774" s="3">
        <f t="shared" si="5"/>
        <v>0.6071428571</v>
      </c>
      <c r="N2774" s="2">
        <v>136600.0</v>
      </c>
      <c r="O2774" s="4">
        <f t="shared" si="6"/>
        <v>4878.571429</v>
      </c>
      <c r="P2774" s="2">
        <v>0.0</v>
      </c>
      <c r="Q2774" s="3">
        <f t="shared" si="7"/>
        <v>0</v>
      </c>
      <c r="R2774" s="2">
        <v>17.0</v>
      </c>
      <c r="S2774" s="5">
        <f t="shared" si="8"/>
        <v>1</v>
      </c>
    </row>
    <row r="2775">
      <c r="A2775" s="2" t="s">
        <v>2784</v>
      </c>
      <c r="B2775" s="2">
        <v>2095.0</v>
      </c>
      <c r="C2775" s="2">
        <v>24590.0</v>
      </c>
      <c r="D2775" s="2">
        <v>8076.0</v>
      </c>
      <c r="E2775" s="3">
        <f t="shared" si="1"/>
        <v>0.359013114</v>
      </c>
      <c r="F2775" s="2">
        <v>3033.0</v>
      </c>
      <c r="G2775" s="3">
        <f t="shared" si="2"/>
        <v>0.1348299622</v>
      </c>
      <c r="H2775" s="2">
        <v>4794.0</v>
      </c>
      <c r="I2775" s="3">
        <f t="shared" si="3"/>
        <v>0.2131140253</v>
      </c>
      <c r="J2775" s="2">
        <v>4258.0</v>
      </c>
      <c r="K2775" s="3">
        <f t="shared" si="4"/>
        <v>0.1892865081</v>
      </c>
      <c r="L2775" s="2">
        <v>2827.0</v>
      </c>
      <c r="M2775" s="3">
        <f t="shared" si="5"/>
        <v>0.5896954526</v>
      </c>
      <c r="N2775" s="2">
        <v>2.76484E7</v>
      </c>
      <c r="O2775" s="4">
        <f t="shared" si="6"/>
        <v>5767.292449</v>
      </c>
      <c r="P2775" s="2">
        <v>2.0</v>
      </c>
      <c r="Q2775" s="3">
        <f t="shared" si="7"/>
        <v>0.0009546539379</v>
      </c>
      <c r="R2775" s="2">
        <v>0.0</v>
      </c>
      <c r="S2775" s="5">
        <f t="shared" si="8"/>
        <v>0</v>
      </c>
    </row>
    <row r="2776">
      <c r="A2776" s="2" t="s">
        <v>2785</v>
      </c>
      <c r="B2776" s="2">
        <v>1616.0</v>
      </c>
      <c r="C2776" s="2">
        <v>19127.0</v>
      </c>
      <c r="D2776" s="2">
        <v>6755.0</v>
      </c>
      <c r="E2776" s="3">
        <f t="shared" si="1"/>
        <v>0.3857575238</v>
      </c>
      <c r="F2776" s="2">
        <v>2361.0</v>
      </c>
      <c r="G2776" s="3">
        <f t="shared" si="2"/>
        <v>0.1348295357</v>
      </c>
      <c r="H2776" s="2">
        <v>3786.0</v>
      </c>
      <c r="I2776" s="3">
        <f t="shared" si="3"/>
        <v>0.2162069556</v>
      </c>
      <c r="J2776" s="2">
        <v>2697.0</v>
      </c>
      <c r="K2776" s="3">
        <f t="shared" si="4"/>
        <v>0.1540174747</v>
      </c>
      <c r="L2776" s="2">
        <v>2322.0</v>
      </c>
      <c r="M2776" s="3">
        <f t="shared" si="5"/>
        <v>0.6133122029</v>
      </c>
      <c r="N2776" s="2">
        <v>2.07883E7</v>
      </c>
      <c r="O2776" s="4">
        <f t="shared" si="6"/>
        <v>5490.834654</v>
      </c>
      <c r="P2776" s="2">
        <v>5.0</v>
      </c>
      <c r="Q2776" s="3">
        <f t="shared" si="7"/>
        <v>0.003094059406</v>
      </c>
      <c r="R2776" s="2">
        <v>1616.0</v>
      </c>
      <c r="S2776" s="5">
        <f t="shared" si="8"/>
        <v>1</v>
      </c>
    </row>
    <row r="2777">
      <c r="A2777" s="2" t="s">
        <v>2786</v>
      </c>
      <c r="B2777" s="2">
        <v>395.0</v>
      </c>
      <c r="C2777" s="2">
        <v>4630.0</v>
      </c>
      <c r="D2777" s="2">
        <v>1367.0</v>
      </c>
      <c r="E2777" s="3">
        <f t="shared" si="1"/>
        <v>0.3227863046</v>
      </c>
      <c r="F2777" s="2">
        <v>571.0</v>
      </c>
      <c r="G2777" s="3">
        <f t="shared" si="2"/>
        <v>0.1348288076</v>
      </c>
      <c r="H2777" s="2">
        <v>878.0</v>
      </c>
      <c r="I2777" s="3">
        <f t="shared" si="3"/>
        <v>0.2073199528</v>
      </c>
      <c r="J2777" s="2">
        <v>660.0</v>
      </c>
      <c r="K2777" s="3">
        <f t="shared" si="4"/>
        <v>0.1558441558</v>
      </c>
      <c r="L2777" s="2">
        <v>524.0</v>
      </c>
      <c r="M2777" s="3">
        <f t="shared" si="5"/>
        <v>0.5968109339</v>
      </c>
      <c r="N2777" s="2">
        <v>4808200.0</v>
      </c>
      <c r="O2777" s="4">
        <f t="shared" si="6"/>
        <v>5476.309795</v>
      </c>
      <c r="P2777" s="2">
        <v>0.0</v>
      </c>
      <c r="Q2777" s="3">
        <f t="shared" si="7"/>
        <v>0</v>
      </c>
      <c r="R2777" s="2">
        <v>395.0</v>
      </c>
      <c r="S2777" s="5">
        <f t="shared" si="8"/>
        <v>1</v>
      </c>
    </row>
    <row r="2778">
      <c r="A2778" s="2" t="s">
        <v>2787</v>
      </c>
      <c r="B2778" s="2">
        <v>872.0</v>
      </c>
      <c r="C2778" s="2">
        <v>10284.0</v>
      </c>
      <c r="D2778" s="2">
        <v>3545.0</v>
      </c>
      <c r="E2778" s="3">
        <f t="shared" si="1"/>
        <v>0.3766468338</v>
      </c>
      <c r="F2778" s="2">
        <v>1269.0</v>
      </c>
      <c r="G2778" s="3">
        <f t="shared" si="2"/>
        <v>0.1348278793</v>
      </c>
      <c r="H2778" s="2">
        <v>2101.0</v>
      </c>
      <c r="I2778" s="3">
        <f t="shared" si="3"/>
        <v>0.2232256694</v>
      </c>
      <c r="J2778" s="2">
        <v>1551.0</v>
      </c>
      <c r="K2778" s="3">
        <f t="shared" si="4"/>
        <v>0.1647896303</v>
      </c>
      <c r="L2778" s="2">
        <v>1313.0</v>
      </c>
      <c r="M2778" s="3">
        <f t="shared" si="5"/>
        <v>0.6249405045</v>
      </c>
      <c r="N2778" s="2">
        <v>1.19121E7</v>
      </c>
      <c r="O2778" s="4">
        <f t="shared" si="6"/>
        <v>5669.728701</v>
      </c>
      <c r="P2778" s="2">
        <v>2.0</v>
      </c>
      <c r="Q2778" s="3">
        <f t="shared" si="7"/>
        <v>0.002293577982</v>
      </c>
      <c r="R2778" s="2">
        <v>258.0</v>
      </c>
      <c r="S2778" s="5">
        <f t="shared" si="8"/>
        <v>0.2958715596</v>
      </c>
    </row>
    <row r="2779">
      <c r="A2779" s="2" t="s">
        <v>2788</v>
      </c>
      <c r="B2779" s="2">
        <v>464.0</v>
      </c>
      <c r="C2779" s="2">
        <v>5515.0</v>
      </c>
      <c r="D2779" s="2">
        <v>1694.0</v>
      </c>
      <c r="E2779" s="3">
        <f t="shared" si="1"/>
        <v>0.3353791328</v>
      </c>
      <c r="F2779" s="2">
        <v>681.0</v>
      </c>
      <c r="G2779" s="3">
        <f t="shared" si="2"/>
        <v>0.1348247872</v>
      </c>
      <c r="H2779" s="2">
        <v>1056.0</v>
      </c>
      <c r="I2779" s="3">
        <f t="shared" si="3"/>
        <v>0.2090675114</v>
      </c>
      <c r="J2779" s="2">
        <v>801.0</v>
      </c>
      <c r="K2779" s="3">
        <f t="shared" si="4"/>
        <v>0.1585824589</v>
      </c>
      <c r="L2779" s="2">
        <v>620.0</v>
      </c>
      <c r="M2779" s="3">
        <f t="shared" si="5"/>
        <v>0.5871212121</v>
      </c>
      <c r="N2779" s="2">
        <v>6089000.0</v>
      </c>
      <c r="O2779" s="4">
        <f t="shared" si="6"/>
        <v>5766.098485</v>
      </c>
      <c r="P2779" s="2">
        <v>1.0</v>
      </c>
      <c r="Q2779" s="3">
        <f t="shared" si="7"/>
        <v>0.002155172414</v>
      </c>
      <c r="R2779" s="2">
        <v>464.0</v>
      </c>
      <c r="S2779" s="5">
        <f t="shared" si="8"/>
        <v>1</v>
      </c>
    </row>
    <row r="2780">
      <c r="A2780" s="2" t="s">
        <v>2789</v>
      </c>
      <c r="B2780" s="2">
        <v>752.0</v>
      </c>
      <c r="C2780" s="2">
        <v>8874.0</v>
      </c>
      <c r="D2780" s="2">
        <v>3195.0</v>
      </c>
      <c r="E2780" s="3">
        <f t="shared" si="1"/>
        <v>0.3933760158</v>
      </c>
      <c r="F2780" s="2">
        <v>1095.0</v>
      </c>
      <c r="G2780" s="3">
        <f t="shared" si="2"/>
        <v>0.1348190101</v>
      </c>
      <c r="H2780" s="2">
        <v>1794.0</v>
      </c>
      <c r="I2780" s="3">
        <f t="shared" si="3"/>
        <v>0.2208815563</v>
      </c>
      <c r="J2780" s="2">
        <v>1313.0</v>
      </c>
      <c r="K2780" s="3">
        <f t="shared" si="4"/>
        <v>0.1616596897</v>
      </c>
      <c r="L2780" s="2">
        <v>1046.0</v>
      </c>
      <c r="M2780" s="3">
        <f t="shared" si="5"/>
        <v>0.5830546265</v>
      </c>
      <c r="N2780" s="2">
        <v>9781900.0</v>
      </c>
      <c r="O2780" s="4">
        <f t="shared" si="6"/>
        <v>5452.564103</v>
      </c>
      <c r="P2780" s="2">
        <v>3.0</v>
      </c>
      <c r="Q2780" s="3">
        <f t="shared" si="7"/>
        <v>0.003989361702</v>
      </c>
      <c r="R2780" s="2">
        <v>752.0</v>
      </c>
      <c r="S2780" s="5">
        <f t="shared" si="8"/>
        <v>1</v>
      </c>
    </row>
    <row r="2781">
      <c r="A2781" s="2" t="s">
        <v>2790</v>
      </c>
      <c r="B2781" s="2">
        <v>1484.0</v>
      </c>
      <c r="C2781" s="2">
        <v>17491.0</v>
      </c>
      <c r="D2781" s="2">
        <v>7540.0</v>
      </c>
      <c r="E2781" s="3">
        <f t="shared" si="1"/>
        <v>0.4710439183</v>
      </c>
      <c r="F2781" s="2">
        <v>2158.0</v>
      </c>
      <c r="G2781" s="3">
        <f t="shared" si="2"/>
        <v>0.134816018</v>
      </c>
      <c r="H2781" s="2">
        <v>3423.0</v>
      </c>
      <c r="I2781" s="3">
        <f t="shared" si="3"/>
        <v>0.2138439433</v>
      </c>
      <c r="J2781" s="2">
        <v>2673.0</v>
      </c>
      <c r="K2781" s="3">
        <f t="shared" si="4"/>
        <v>0.1669894421</v>
      </c>
      <c r="L2781" s="2">
        <v>2060.0</v>
      </c>
      <c r="M2781" s="3">
        <f t="shared" si="5"/>
        <v>0.6018112767</v>
      </c>
      <c r="N2781" s="2">
        <v>1.93212E7</v>
      </c>
      <c r="O2781" s="4">
        <f t="shared" si="6"/>
        <v>5644.522349</v>
      </c>
      <c r="P2781" s="2">
        <v>3.0</v>
      </c>
      <c r="Q2781" s="3">
        <f t="shared" si="7"/>
        <v>0.002021563342</v>
      </c>
      <c r="R2781" s="2">
        <v>0.0</v>
      </c>
      <c r="S2781" s="5">
        <f t="shared" si="8"/>
        <v>0</v>
      </c>
    </row>
    <row r="2782">
      <c r="A2782" s="2" t="s">
        <v>2791</v>
      </c>
      <c r="B2782" s="2">
        <v>699.0</v>
      </c>
      <c r="C2782" s="2">
        <v>8102.0</v>
      </c>
      <c r="D2782" s="2">
        <v>2595.0</v>
      </c>
      <c r="E2782" s="3">
        <f t="shared" si="1"/>
        <v>0.3505335675</v>
      </c>
      <c r="F2782" s="2">
        <v>998.0</v>
      </c>
      <c r="G2782" s="3">
        <f t="shared" si="2"/>
        <v>0.1348102121</v>
      </c>
      <c r="H2782" s="2">
        <v>1574.0</v>
      </c>
      <c r="I2782" s="3">
        <f t="shared" si="3"/>
        <v>0.2126165068</v>
      </c>
      <c r="J2782" s="2">
        <v>1361.0</v>
      </c>
      <c r="K2782" s="3">
        <f t="shared" si="4"/>
        <v>0.1838443874</v>
      </c>
      <c r="L2782" s="2">
        <v>954.0</v>
      </c>
      <c r="M2782" s="3">
        <f t="shared" si="5"/>
        <v>0.6060991105</v>
      </c>
      <c r="N2782" s="2">
        <v>8983400.0</v>
      </c>
      <c r="O2782" s="4">
        <f t="shared" si="6"/>
        <v>5707.369759</v>
      </c>
      <c r="P2782" s="2">
        <v>4.0</v>
      </c>
      <c r="Q2782" s="3">
        <f t="shared" si="7"/>
        <v>0.005722460658</v>
      </c>
      <c r="R2782" s="2">
        <v>699.0</v>
      </c>
      <c r="S2782" s="5">
        <f t="shared" si="8"/>
        <v>1</v>
      </c>
    </row>
    <row r="2783">
      <c r="A2783" s="2" t="s">
        <v>2792</v>
      </c>
      <c r="B2783" s="2">
        <v>519.0</v>
      </c>
      <c r="C2783" s="2">
        <v>6075.0</v>
      </c>
      <c r="D2783" s="2">
        <v>1818.0</v>
      </c>
      <c r="E2783" s="3">
        <f t="shared" si="1"/>
        <v>0.3272138229</v>
      </c>
      <c r="F2783" s="2">
        <v>749.0</v>
      </c>
      <c r="G2783" s="3">
        <f t="shared" si="2"/>
        <v>0.1348092153</v>
      </c>
      <c r="H2783" s="2">
        <v>1190.0</v>
      </c>
      <c r="I2783" s="3">
        <f t="shared" si="3"/>
        <v>0.2141828654</v>
      </c>
      <c r="J2783" s="2">
        <v>1032.0</v>
      </c>
      <c r="K2783" s="3">
        <f t="shared" si="4"/>
        <v>0.1857451404</v>
      </c>
      <c r="L2783" s="2">
        <v>721.0</v>
      </c>
      <c r="M2783" s="3">
        <f t="shared" si="5"/>
        <v>0.6058823529</v>
      </c>
      <c r="N2783" s="2">
        <v>6569000.0</v>
      </c>
      <c r="O2783" s="4">
        <f t="shared" si="6"/>
        <v>5520.168067</v>
      </c>
      <c r="P2783" s="2">
        <v>1.0</v>
      </c>
      <c r="Q2783" s="3">
        <f t="shared" si="7"/>
        <v>0.001926782274</v>
      </c>
      <c r="R2783" s="2">
        <v>436.0</v>
      </c>
      <c r="S2783" s="5">
        <f t="shared" si="8"/>
        <v>0.8400770713</v>
      </c>
    </row>
    <row r="2784">
      <c r="A2784" s="2" t="s">
        <v>2793</v>
      </c>
      <c r="B2784" s="2">
        <v>576.0</v>
      </c>
      <c r="C2784" s="2">
        <v>6674.0</v>
      </c>
      <c r="D2784" s="2">
        <v>1995.0</v>
      </c>
      <c r="E2784" s="3">
        <f t="shared" si="1"/>
        <v>0.3271564447</v>
      </c>
      <c r="F2784" s="2">
        <v>822.0</v>
      </c>
      <c r="G2784" s="3">
        <f t="shared" si="2"/>
        <v>0.1347982945</v>
      </c>
      <c r="H2784" s="2">
        <v>1260.0</v>
      </c>
      <c r="I2784" s="3">
        <f t="shared" si="3"/>
        <v>0.206625123</v>
      </c>
      <c r="J2784" s="2">
        <v>1054.0</v>
      </c>
      <c r="K2784" s="3">
        <f t="shared" si="4"/>
        <v>0.1728435553</v>
      </c>
      <c r="L2784" s="2">
        <v>731.0</v>
      </c>
      <c r="M2784" s="3">
        <f t="shared" si="5"/>
        <v>0.5801587302</v>
      </c>
      <c r="N2784" s="2">
        <v>7758200.0</v>
      </c>
      <c r="O2784" s="4">
        <f t="shared" si="6"/>
        <v>6157.301587</v>
      </c>
      <c r="P2784" s="2">
        <v>4.0</v>
      </c>
      <c r="Q2784" s="3">
        <f t="shared" si="7"/>
        <v>0.006944444444</v>
      </c>
      <c r="R2784" s="2">
        <v>576.0</v>
      </c>
      <c r="S2784" s="5">
        <f t="shared" si="8"/>
        <v>1</v>
      </c>
    </row>
    <row r="2785">
      <c r="A2785" s="2" t="s">
        <v>2794</v>
      </c>
      <c r="B2785" s="2">
        <v>377.0</v>
      </c>
      <c r="C2785" s="2">
        <v>4435.0</v>
      </c>
      <c r="D2785" s="2">
        <v>1581.0</v>
      </c>
      <c r="E2785" s="3">
        <f t="shared" si="1"/>
        <v>0.3896007886</v>
      </c>
      <c r="F2785" s="2">
        <v>547.0</v>
      </c>
      <c r="G2785" s="3">
        <f t="shared" si="2"/>
        <v>0.1347954657</v>
      </c>
      <c r="H2785" s="2">
        <v>824.0</v>
      </c>
      <c r="I2785" s="3">
        <f t="shared" si="3"/>
        <v>0.2030556925</v>
      </c>
      <c r="J2785" s="2">
        <v>700.0</v>
      </c>
      <c r="K2785" s="3">
        <f t="shared" si="4"/>
        <v>0.1724987679</v>
      </c>
      <c r="L2785" s="2">
        <v>493.0</v>
      </c>
      <c r="M2785" s="3">
        <f t="shared" si="5"/>
        <v>0.5983009709</v>
      </c>
      <c r="N2785" s="2">
        <v>4649100.0</v>
      </c>
      <c r="O2785" s="4">
        <f t="shared" si="6"/>
        <v>5642.11165</v>
      </c>
      <c r="P2785" s="2">
        <v>3.0</v>
      </c>
      <c r="Q2785" s="3">
        <f t="shared" si="7"/>
        <v>0.007957559682</v>
      </c>
      <c r="R2785" s="2">
        <v>377.0</v>
      </c>
      <c r="S2785" s="5">
        <f t="shared" si="8"/>
        <v>1</v>
      </c>
    </row>
    <row r="2786">
      <c r="A2786" s="2" t="s">
        <v>2795</v>
      </c>
      <c r="B2786" s="2">
        <v>80.0</v>
      </c>
      <c r="C2786" s="2">
        <v>948.0</v>
      </c>
      <c r="D2786" s="2">
        <v>255.0</v>
      </c>
      <c r="E2786" s="3">
        <f t="shared" si="1"/>
        <v>0.2937788018</v>
      </c>
      <c r="F2786" s="2">
        <v>117.0</v>
      </c>
      <c r="G2786" s="3">
        <f t="shared" si="2"/>
        <v>0.1347926267</v>
      </c>
      <c r="H2786" s="2">
        <v>160.0</v>
      </c>
      <c r="I2786" s="3">
        <f t="shared" si="3"/>
        <v>0.1843317972</v>
      </c>
      <c r="J2786" s="2">
        <v>153.0</v>
      </c>
      <c r="K2786" s="3">
        <f t="shared" si="4"/>
        <v>0.1762672811</v>
      </c>
      <c r="L2786" s="2">
        <v>86.0</v>
      </c>
      <c r="M2786" s="3">
        <f t="shared" si="5"/>
        <v>0.5375</v>
      </c>
      <c r="N2786" s="2">
        <v>926200.0</v>
      </c>
      <c r="O2786" s="4">
        <f t="shared" si="6"/>
        <v>5788.75</v>
      </c>
      <c r="P2786" s="2">
        <v>1.0</v>
      </c>
      <c r="Q2786" s="3">
        <f t="shared" si="7"/>
        <v>0.0125</v>
      </c>
      <c r="R2786" s="2">
        <v>0.0</v>
      </c>
      <c r="S2786" s="5">
        <f t="shared" si="8"/>
        <v>0</v>
      </c>
    </row>
    <row r="2787">
      <c r="A2787" s="2" t="s">
        <v>2796</v>
      </c>
      <c r="B2787" s="2">
        <v>124.0</v>
      </c>
      <c r="C2787" s="2">
        <v>1452.0</v>
      </c>
      <c r="D2787" s="2">
        <v>403.0</v>
      </c>
      <c r="E2787" s="3">
        <f t="shared" si="1"/>
        <v>0.3034638554</v>
      </c>
      <c r="F2787" s="2">
        <v>179.0</v>
      </c>
      <c r="G2787" s="3">
        <f t="shared" si="2"/>
        <v>0.1347891566</v>
      </c>
      <c r="H2787" s="2">
        <v>265.0</v>
      </c>
      <c r="I2787" s="3">
        <f t="shared" si="3"/>
        <v>0.1995481928</v>
      </c>
      <c r="J2787" s="2">
        <v>182.0</v>
      </c>
      <c r="K2787" s="3">
        <f t="shared" si="4"/>
        <v>0.1370481928</v>
      </c>
      <c r="L2787" s="2">
        <v>157.0</v>
      </c>
      <c r="M2787" s="3">
        <f t="shared" si="5"/>
        <v>0.5924528302</v>
      </c>
      <c r="N2787" s="2">
        <v>1308000.0</v>
      </c>
      <c r="O2787" s="4">
        <f t="shared" si="6"/>
        <v>4935.849057</v>
      </c>
      <c r="P2787" s="2">
        <v>0.0</v>
      </c>
      <c r="Q2787" s="3">
        <f t="shared" si="7"/>
        <v>0</v>
      </c>
      <c r="R2787" s="2">
        <v>0.0</v>
      </c>
      <c r="S2787" s="5">
        <f t="shared" si="8"/>
        <v>0</v>
      </c>
    </row>
    <row r="2788">
      <c r="A2788" s="2" t="s">
        <v>2797</v>
      </c>
      <c r="B2788" s="2">
        <v>21.0</v>
      </c>
      <c r="C2788" s="2">
        <v>251.0</v>
      </c>
      <c r="D2788" s="2">
        <v>84.0</v>
      </c>
      <c r="E2788" s="3">
        <f t="shared" si="1"/>
        <v>0.3652173913</v>
      </c>
      <c r="F2788" s="2">
        <v>31.0</v>
      </c>
      <c r="G2788" s="3">
        <f t="shared" si="2"/>
        <v>0.1347826087</v>
      </c>
      <c r="H2788" s="2">
        <v>41.0</v>
      </c>
      <c r="I2788" s="3">
        <f t="shared" si="3"/>
        <v>0.1782608696</v>
      </c>
      <c r="J2788" s="2">
        <v>31.0</v>
      </c>
      <c r="K2788" s="3">
        <f t="shared" si="4"/>
        <v>0.1347826087</v>
      </c>
      <c r="L2788" s="2">
        <v>24.0</v>
      </c>
      <c r="M2788" s="3">
        <f t="shared" si="5"/>
        <v>0.5853658537</v>
      </c>
      <c r="N2788" s="2">
        <v>231200.0</v>
      </c>
      <c r="O2788" s="4">
        <f t="shared" si="6"/>
        <v>5639.02439</v>
      </c>
      <c r="P2788" s="2">
        <v>0.0</v>
      </c>
      <c r="Q2788" s="3">
        <f t="shared" si="7"/>
        <v>0</v>
      </c>
      <c r="R2788" s="2">
        <v>0.0</v>
      </c>
      <c r="S2788" s="5">
        <f t="shared" si="8"/>
        <v>0</v>
      </c>
    </row>
    <row r="2789">
      <c r="A2789" s="2" t="s">
        <v>2798</v>
      </c>
      <c r="B2789" s="2">
        <v>335.0</v>
      </c>
      <c r="C2789" s="2">
        <v>3941.0</v>
      </c>
      <c r="D2789" s="2">
        <v>1113.0</v>
      </c>
      <c r="E2789" s="3">
        <f t="shared" si="1"/>
        <v>0.3086522463</v>
      </c>
      <c r="F2789" s="2">
        <v>486.0</v>
      </c>
      <c r="G2789" s="3">
        <f t="shared" si="2"/>
        <v>0.1347753744</v>
      </c>
      <c r="H2789" s="2">
        <v>713.0</v>
      </c>
      <c r="I2789" s="3">
        <f t="shared" si="3"/>
        <v>0.1977260122</v>
      </c>
      <c r="J2789" s="2">
        <v>713.0</v>
      </c>
      <c r="K2789" s="3">
        <f t="shared" si="4"/>
        <v>0.1977260122</v>
      </c>
      <c r="L2789" s="2">
        <v>428.0</v>
      </c>
      <c r="M2789" s="3">
        <f t="shared" si="5"/>
        <v>0.6002805049</v>
      </c>
      <c r="N2789" s="2">
        <v>4230000.0</v>
      </c>
      <c r="O2789" s="4">
        <f t="shared" si="6"/>
        <v>5932.678822</v>
      </c>
      <c r="P2789" s="2">
        <v>0.0</v>
      </c>
      <c r="Q2789" s="3">
        <f t="shared" si="7"/>
        <v>0</v>
      </c>
      <c r="R2789" s="2">
        <v>253.0</v>
      </c>
      <c r="S2789" s="5">
        <f t="shared" si="8"/>
        <v>0.7552238806</v>
      </c>
    </row>
    <row r="2790">
      <c r="A2790" s="2" t="s">
        <v>2799</v>
      </c>
      <c r="B2790" s="2">
        <v>196.0</v>
      </c>
      <c r="C2790" s="2">
        <v>2281.0</v>
      </c>
      <c r="D2790" s="2">
        <v>701.0</v>
      </c>
      <c r="E2790" s="3">
        <f t="shared" si="1"/>
        <v>0.3362110312</v>
      </c>
      <c r="F2790" s="2">
        <v>281.0</v>
      </c>
      <c r="G2790" s="3">
        <f t="shared" si="2"/>
        <v>0.1347721823</v>
      </c>
      <c r="H2790" s="2">
        <v>423.0</v>
      </c>
      <c r="I2790" s="3">
        <f t="shared" si="3"/>
        <v>0.2028776978</v>
      </c>
      <c r="J2790" s="2">
        <v>339.0</v>
      </c>
      <c r="K2790" s="3">
        <f t="shared" si="4"/>
        <v>0.1625899281</v>
      </c>
      <c r="L2790" s="2">
        <v>247.0</v>
      </c>
      <c r="M2790" s="3">
        <f t="shared" si="5"/>
        <v>0.5839243499</v>
      </c>
      <c r="N2790" s="2">
        <v>2173500.0</v>
      </c>
      <c r="O2790" s="4">
        <f t="shared" si="6"/>
        <v>5138.297872</v>
      </c>
      <c r="P2790" s="2">
        <v>0.0</v>
      </c>
      <c r="Q2790" s="3">
        <f t="shared" si="7"/>
        <v>0</v>
      </c>
      <c r="R2790" s="2">
        <v>0.0</v>
      </c>
      <c r="S2790" s="5">
        <f t="shared" si="8"/>
        <v>0</v>
      </c>
    </row>
    <row r="2791">
      <c r="A2791" s="2" t="s">
        <v>2800</v>
      </c>
      <c r="B2791" s="2">
        <v>2349.0</v>
      </c>
      <c r="C2791" s="2">
        <v>27703.0</v>
      </c>
      <c r="D2791" s="2">
        <v>9632.0</v>
      </c>
      <c r="E2791" s="3">
        <f t="shared" si="1"/>
        <v>0.3799006074</v>
      </c>
      <c r="F2791" s="2">
        <v>3417.0</v>
      </c>
      <c r="G2791" s="3">
        <f t="shared" si="2"/>
        <v>0.1347716337</v>
      </c>
      <c r="H2791" s="2">
        <v>5396.0</v>
      </c>
      <c r="I2791" s="3">
        <f t="shared" si="3"/>
        <v>0.2128263785</v>
      </c>
      <c r="J2791" s="2">
        <v>4449.0</v>
      </c>
      <c r="K2791" s="3">
        <f t="shared" si="4"/>
        <v>0.1754752702</v>
      </c>
      <c r="L2791" s="2">
        <v>3192.0</v>
      </c>
      <c r="M2791" s="3">
        <f t="shared" si="5"/>
        <v>0.5915492958</v>
      </c>
      <c r="N2791" s="2">
        <v>3.02483E7</v>
      </c>
      <c r="O2791" s="4">
        <f t="shared" si="6"/>
        <v>5605.6894</v>
      </c>
      <c r="P2791" s="2">
        <v>4.0</v>
      </c>
      <c r="Q2791" s="3">
        <f t="shared" si="7"/>
        <v>0.001702852278</v>
      </c>
      <c r="R2791" s="2">
        <v>1167.0</v>
      </c>
      <c r="S2791" s="5">
        <f t="shared" si="8"/>
        <v>0.496807152</v>
      </c>
    </row>
    <row r="2792">
      <c r="A2792" s="2" t="s">
        <v>2801</v>
      </c>
      <c r="B2792" s="2">
        <v>111.0</v>
      </c>
      <c r="C2792" s="2">
        <v>1276.0</v>
      </c>
      <c r="D2792" s="2">
        <v>493.0</v>
      </c>
      <c r="E2792" s="3">
        <f t="shared" si="1"/>
        <v>0.4231759657</v>
      </c>
      <c r="F2792" s="2">
        <v>157.0</v>
      </c>
      <c r="G2792" s="3">
        <f t="shared" si="2"/>
        <v>0.1347639485</v>
      </c>
      <c r="H2792" s="2">
        <v>240.0</v>
      </c>
      <c r="I2792" s="3">
        <f t="shared" si="3"/>
        <v>0.2060085837</v>
      </c>
      <c r="J2792" s="2">
        <v>172.0</v>
      </c>
      <c r="K2792" s="3">
        <f t="shared" si="4"/>
        <v>0.147639485</v>
      </c>
      <c r="L2792" s="2">
        <v>145.0</v>
      </c>
      <c r="M2792" s="3">
        <f t="shared" si="5"/>
        <v>0.6041666667</v>
      </c>
      <c r="N2792" s="2">
        <v>1333300.0</v>
      </c>
      <c r="O2792" s="4">
        <f t="shared" si="6"/>
        <v>5555.416667</v>
      </c>
      <c r="P2792" s="2">
        <v>0.0</v>
      </c>
      <c r="Q2792" s="3">
        <f t="shared" si="7"/>
        <v>0</v>
      </c>
      <c r="R2792" s="2">
        <v>110.0</v>
      </c>
      <c r="S2792" s="5">
        <f t="shared" si="8"/>
        <v>0.990990991</v>
      </c>
    </row>
    <row r="2793">
      <c r="A2793" s="2" t="s">
        <v>2802</v>
      </c>
      <c r="B2793" s="2">
        <v>434.0</v>
      </c>
      <c r="C2793" s="2">
        <v>5109.0</v>
      </c>
      <c r="D2793" s="2">
        <v>1531.0</v>
      </c>
      <c r="E2793" s="3">
        <f t="shared" si="1"/>
        <v>0.327486631</v>
      </c>
      <c r="F2793" s="2">
        <v>630.0</v>
      </c>
      <c r="G2793" s="3">
        <f t="shared" si="2"/>
        <v>0.1347593583</v>
      </c>
      <c r="H2793" s="2">
        <v>983.0</v>
      </c>
      <c r="I2793" s="3">
        <f t="shared" si="3"/>
        <v>0.2102673797</v>
      </c>
      <c r="J2793" s="2">
        <v>892.0</v>
      </c>
      <c r="K2793" s="3">
        <f t="shared" si="4"/>
        <v>0.190802139</v>
      </c>
      <c r="L2793" s="2">
        <v>583.0</v>
      </c>
      <c r="M2793" s="3">
        <f t="shared" si="5"/>
        <v>0.5930824008</v>
      </c>
      <c r="N2793" s="2">
        <v>5675800.0</v>
      </c>
      <c r="O2793" s="4">
        <f t="shared" si="6"/>
        <v>5773.957274</v>
      </c>
      <c r="P2793" s="2">
        <v>2.0</v>
      </c>
      <c r="Q2793" s="3">
        <f t="shared" si="7"/>
        <v>0.004608294931</v>
      </c>
      <c r="R2793" s="2">
        <v>434.0</v>
      </c>
      <c r="S2793" s="5">
        <f t="shared" si="8"/>
        <v>1</v>
      </c>
    </row>
    <row r="2794">
      <c r="A2794" s="2" t="s">
        <v>2803</v>
      </c>
      <c r="B2794" s="2">
        <v>195.0</v>
      </c>
      <c r="C2794" s="2">
        <v>2258.0</v>
      </c>
      <c r="D2794" s="2">
        <v>706.0</v>
      </c>
      <c r="E2794" s="3">
        <f t="shared" si="1"/>
        <v>0.3422200679</v>
      </c>
      <c r="F2794" s="2">
        <v>278.0</v>
      </c>
      <c r="G2794" s="3">
        <f t="shared" si="2"/>
        <v>0.1347552109</v>
      </c>
      <c r="H2794" s="2">
        <v>396.0</v>
      </c>
      <c r="I2794" s="3">
        <f t="shared" si="3"/>
        <v>0.1919534658</v>
      </c>
      <c r="J2794" s="2">
        <v>361.0</v>
      </c>
      <c r="K2794" s="3">
        <f t="shared" si="4"/>
        <v>0.1749878817</v>
      </c>
      <c r="L2794" s="2">
        <v>233.0</v>
      </c>
      <c r="M2794" s="3">
        <f t="shared" si="5"/>
        <v>0.5883838384</v>
      </c>
      <c r="N2794" s="2">
        <v>2567800.0</v>
      </c>
      <c r="O2794" s="4">
        <f t="shared" si="6"/>
        <v>6484.343434</v>
      </c>
      <c r="P2794" s="2">
        <v>0.0</v>
      </c>
      <c r="Q2794" s="3">
        <f t="shared" si="7"/>
        <v>0</v>
      </c>
      <c r="R2794" s="2">
        <v>195.0</v>
      </c>
      <c r="S2794" s="5">
        <f t="shared" si="8"/>
        <v>1</v>
      </c>
    </row>
    <row r="2795">
      <c r="A2795" s="2" t="s">
        <v>2804</v>
      </c>
      <c r="B2795" s="2">
        <v>891.0</v>
      </c>
      <c r="C2795" s="2">
        <v>10420.0</v>
      </c>
      <c r="D2795" s="2">
        <v>3033.0</v>
      </c>
      <c r="E2795" s="3">
        <f t="shared" si="1"/>
        <v>0.3182915311</v>
      </c>
      <c r="F2795" s="2">
        <v>1284.0</v>
      </c>
      <c r="G2795" s="3">
        <f t="shared" si="2"/>
        <v>0.1347465631</v>
      </c>
      <c r="H2795" s="2">
        <v>2056.0</v>
      </c>
      <c r="I2795" s="3">
        <f t="shared" si="3"/>
        <v>0.2157624095</v>
      </c>
      <c r="J2795" s="2">
        <v>1630.0</v>
      </c>
      <c r="K2795" s="3">
        <f t="shared" si="4"/>
        <v>0.1710567741</v>
      </c>
      <c r="L2795" s="2">
        <v>1216.0</v>
      </c>
      <c r="M2795" s="3">
        <f t="shared" si="5"/>
        <v>0.5914396887</v>
      </c>
      <c r="N2795" s="2">
        <v>1.17097E7</v>
      </c>
      <c r="O2795" s="4">
        <f t="shared" si="6"/>
        <v>5695.379377</v>
      </c>
      <c r="P2795" s="2">
        <v>3.0</v>
      </c>
      <c r="Q2795" s="3">
        <f t="shared" si="7"/>
        <v>0.003367003367</v>
      </c>
      <c r="R2795" s="2">
        <v>891.0</v>
      </c>
      <c r="S2795" s="5">
        <f t="shared" si="8"/>
        <v>1</v>
      </c>
    </row>
    <row r="2796">
      <c r="A2796" s="2" t="s">
        <v>2805</v>
      </c>
      <c r="B2796" s="2">
        <v>31.0</v>
      </c>
      <c r="C2796" s="2">
        <v>365.0</v>
      </c>
      <c r="D2796" s="2">
        <v>135.0</v>
      </c>
      <c r="E2796" s="3">
        <f t="shared" si="1"/>
        <v>0.4041916168</v>
      </c>
      <c r="F2796" s="2">
        <v>45.0</v>
      </c>
      <c r="G2796" s="3">
        <f t="shared" si="2"/>
        <v>0.1347305389</v>
      </c>
      <c r="H2796" s="2">
        <v>78.0</v>
      </c>
      <c r="I2796" s="3">
        <f t="shared" si="3"/>
        <v>0.2335329341</v>
      </c>
      <c r="J2796" s="2">
        <v>49.0</v>
      </c>
      <c r="K2796" s="3">
        <f t="shared" si="4"/>
        <v>0.1467065868</v>
      </c>
      <c r="L2796" s="2">
        <v>49.0</v>
      </c>
      <c r="M2796" s="3">
        <f t="shared" si="5"/>
        <v>0.6282051282</v>
      </c>
      <c r="N2796" s="2">
        <v>417100.0</v>
      </c>
      <c r="O2796" s="4">
        <f t="shared" si="6"/>
        <v>5347.435897</v>
      </c>
      <c r="P2796" s="2">
        <v>0.0</v>
      </c>
      <c r="Q2796" s="3">
        <f t="shared" si="7"/>
        <v>0</v>
      </c>
      <c r="R2796" s="2">
        <v>31.0</v>
      </c>
      <c r="S2796" s="5">
        <f t="shared" si="8"/>
        <v>1</v>
      </c>
    </row>
    <row r="2797">
      <c r="A2797" s="2" t="s">
        <v>2806</v>
      </c>
      <c r="B2797" s="2">
        <v>288.0</v>
      </c>
      <c r="C2797" s="2">
        <v>3413.0</v>
      </c>
      <c r="D2797" s="2">
        <v>1401.0</v>
      </c>
      <c r="E2797" s="3">
        <f t="shared" si="1"/>
        <v>0.44832</v>
      </c>
      <c r="F2797" s="2">
        <v>421.0</v>
      </c>
      <c r="G2797" s="3">
        <f t="shared" si="2"/>
        <v>0.13472</v>
      </c>
      <c r="H2797" s="2">
        <v>629.0</v>
      </c>
      <c r="I2797" s="3">
        <f t="shared" si="3"/>
        <v>0.20128</v>
      </c>
      <c r="J2797" s="2">
        <v>452.0</v>
      </c>
      <c r="K2797" s="3">
        <f t="shared" si="4"/>
        <v>0.14464</v>
      </c>
      <c r="L2797" s="2">
        <v>357.0</v>
      </c>
      <c r="M2797" s="3">
        <f t="shared" si="5"/>
        <v>0.5675675676</v>
      </c>
      <c r="N2797" s="2">
        <v>3427600.0</v>
      </c>
      <c r="O2797" s="4">
        <f t="shared" si="6"/>
        <v>5449.284579</v>
      </c>
      <c r="P2797" s="2">
        <v>0.0</v>
      </c>
      <c r="Q2797" s="3">
        <f t="shared" si="7"/>
        <v>0</v>
      </c>
      <c r="R2797" s="2">
        <v>288.0</v>
      </c>
      <c r="S2797" s="5">
        <f t="shared" si="8"/>
        <v>1</v>
      </c>
    </row>
    <row r="2798">
      <c r="A2798" s="2" t="s">
        <v>2807</v>
      </c>
      <c r="B2798" s="2">
        <v>731.0</v>
      </c>
      <c r="C2798" s="2">
        <v>8592.0</v>
      </c>
      <c r="D2798" s="2">
        <v>3219.0</v>
      </c>
      <c r="E2798" s="3">
        <f t="shared" si="1"/>
        <v>0.4094898868</v>
      </c>
      <c r="F2798" s="2">
        <v>1059.0</v>
      </c>
      <c r="G2798" s="3">
        <f t="shared" si="2"/>
        <v>0.134715685</v>
      </c>
      <c r="H2798" s="2">
        <v>1730.0</v>
      </c>
      <c r="I2798" s="3">
        <f t="shared" si="3"/>
        <v>0.220073782</v>
      </c>
      <c r="J2798" s="2">
        <v>1163.0</v>
      </c>
      <c r="K2798" s="3">
        <f t="shared" si="4"/>
        <v>0.147945554</v>
      </c>
      <c r="L2798" s="2">
        <v>1067.0</v>
      </c>
      <c r="M2798" s="3">
        <f t="shared" si="5"/>
        <v>0.6167630058</v>
      </c>
      <c r="N2798" s="2">
        <v>9232400.0</v>
      </c>
      <c r="O2798" s="4">
        <f t="shared" si="6"/>
        <v>5336.647399</v>
      </c>
      <c r="P2798" s="2">
        <v>2.0</v>
      </c>
      <c r="Q2798" s="3">
        <f t="shared" si="7"/>
        <v>0.002735978112</v>
      </c>
      <c r="R2798" s="2">
        <v>731.0</v>
      </c>
      <c r="S2798" s="5">
        <f t="shared" si="8"/>
        <v>1</v>
      </c>
    </row>
    <row r="2799">
      <c r="A2799" s="2" t="s">
        <v>2808</v>
      </c>
      <c r="B2799" s="2">
        <v>75.0</v>
      </c>
      <c r="C2799" s="2">
        <v>899.0</v>
      </c>
      <c r="D2799" s="2">
        <v>318.0</v>
      </c>
      <c r="E2799" s="3">
        <f t="shared" si="1"/>
        <v>0.3859223301</v>
      </c>
      <c r="F2799" s="2">
        <v>111.0</v>
      </c>
      <c r="G2799" s="3">
        <f t="shared" si="2"/>
        <v>0.1347087379</v>
      </c>
      <c r="H2799" s="2">
        <v>196.0</v>
      </c>
      <c r="I2799" s="3">
        <f t="shared" si="3"/>
        <v>0.2378640777</v>
      </c>
      <c r="J2799" s="2">
        <v>123.0</v>
      </c>
      <c r="K2799" s="3">
        <f t="shared" si="4"/>
        <v>0.1492718447</v>
      </c>
      <c r="L2799" s="2">
        <v>110.0</v>
      </c>
      <c r="M2799" s="3">
        <f t="shared" si="5"/>
        <v>0.5612244898</v>
      </c>
      <c r="N2799" s="2">
        <v>1002300.0</v>
      </c>
      <c r="O2799" s="4">
        <f t="shared" si="6"/>
        <v>5113.77551</v>
      </c>
      <c r="P2799" s="2">
        <v>0.0</v>
      </c>
      <c r="Q2799" s="3">
        <f t="shared" si="7"/>
        <v>0</v>
      </c>
      <c r="R2799" s="2">
        <v>0.0</v>
      </c>
      <c r="S2799" s="5">
        <f t="shared" si="8"/>
        <v>0</v>
      </c>
    </row>
    <row r="2800">
      <c r="A2800" s="2" t="s">
        <v>2809</v>
      </c>
      <c r="B2800" s="2">
        <v>798.0</v>
      </c>
      <c r="C2800" s="2">
        <v>9151.0</v>
      </c>
      <c r="D2800" s="2">
        <v>3506.0</v>
      </c>
      <c r="E2800" s="3">
        <f t="shared" si="1"/>
        <v>0.4197294385</v>
      </c>
      <c r="F2800" s="2">
        <v>1125.0</v>
      </c>
      <c r="G2800" s="3">
        <f t="shared" si="2"/>
        <v>0.1346821501</v>
      </c>
      <c r="H2800" s="2">
        <v>1790.0</v>
      </c>
      <c r="I2800" s="3">
        <f t="shared" si="3"/>
        <v>0.2142942655</v>
      </c>
      <c r="J2800" s="2">
        <v>1256.0</v>
      </c>
      <c r="K2800" s="3">
        <f t="shared" si="4"/>
        <v>0.1503651383</v>
      </c>
      <c r="L2800" s="2">
        <v>1087.0</v>
      </c>
      <c r="M2800" s="3">
        <f t="shared" si="5"/>
        <v>0.6072625698</v>
      </c>
      <c r="N2800" s="2">
        <v>1.00919E7</v>
      </c>
      <c r="O2800" s="4">
        <f t="shared" si="6"/>
        <v>5637.932961</v>
      </c>
      <c r="P2800" s="2">
        <v>2.0</v>
      </c>
      <c r="Q2800" s="3">
        <f t="shared" si="7"/>
        <v>0.002506265664</v>
      </c>
      <c r="R2800" s="2">
        <v>798.0</v>
      </c>
      <c r="S2800" s="5">
        <f t="shared" si="8"/>
        <v>1</v>
      </c>
    </row>
    <row r="2801">
      <c r="A2801" s="2" t="s">
        <v>2810</v>
      </c>
      <c r="B2801" s="2">
        <v>391.0</v>
      </c>
      <c r="C2801" s="2">
        <v>4475.0</v>
      </c>
      <c r="D2801" s="2">
        <v>1268.0</v>
      </c>
      <c r="E2801" s="3">
        <f t="shared" si="1"/>
        <v>0.3104799216</v>
      </c>
      <c r="F2801" s="2">
        <v>550.0</v>
      </c>
      <c r="G2801" s="3">
        <f t="shared" si="2"/>
        <v>0.1346718903</v>
      </c>
      <c r="H2801" s="2">
        <v>893.0</v>
      </c>
      <c r="I2801" s="3">
        <f t="shared" si="3"/>
        <v>0.2186581783</v>
      </c>
      <c r="J2801" s="2">
        <v>704.0</v>
      </c>
      <c r="K2801" s="3">
        <f t="shared" si="4"/>
        <v>0.1723800196</v>
      </c>
      <c r="L2801" s="2">
        <v>536.0</v>
      </c>
      <c r="M2801" s="3">
        <f t="shared" si="5"/>
        <v>0.6002239642</v>
      </c>
      <c r="N2801" s="2">
        <v>5178700.0</v>
      </c>
      <c r="O2801" s="4">
        <f t="shared" si="6"/>
        <v>5799.216125</v>
      </c>
      <c r="P2801" s="2">
        <v>0.0</v>
      </c>
      <c r="Q2801" s="3">
        <f t="shared" si="7"/>
        <v>0</v>
      </c>
      <c r="R2801" s="2">
        <v>348.0</v>
      </c>
      <c r="S2801" s="5">
        <f t="shared" si="8"/>
        <v>0.8900255754</v>
      </c>
    </row>
    <row r="2802">
      <c r="A2802" s="2" t="s">
        <v>2811</v>
      </c>
      <c r="B2802" s="2">
        <v>33.0</v>
      </c>
      <c r="C2802" s="2">
        <v>382.0</v>
      </c>
      <c r="D2802" s="2">
        <v>111.0</v>
      </c>
      <c r="E2802" s="3">
        <f t="shared" si="1"/>
        <v>0.3180515759</v>
      </c>
      <c r="F2802" s="2">
        <v>47.0</v>
      </c>
      <c r="G2802" s="3">
        <f t="shared" si="2"/>
        <v>0.1346704871</v>
      </c>
      <c r="H2802" s="2">
        <v>73.0</v>
      </c>
      <c r="I2802" s="3">
        <f t="shared" si="3"/>
        <v>0.2091690544</v>
      </c>
      <c r="J2802" s="2">
        <v>51.0</v>
      </c>
      <c r="K2802" s="3">
        <f t="shared" si="4"/>
        <v>0.1461318052</v>
      </c>
      <c r="L2802" s="2">
        <v>39.0</v>
      </c>
      <c r="M2802" s="3">
        <f t="shared" si="5"/>
        <v>0.5342465753</v>
      </c>
      <c r="N2802" s="2">
        <v>398400.0</v>
      </c>
      <c r="O2802" s="4">
        <f t="shared" si="6"/>
        <v>5457.534247</v>
      </c>
      <c r="P2802" s="2">
        <v>1.0</v>
      </c>
      <c r="Q2802" s="3">
        <f t="shared" si="7"/>
        <v>0.0303030303</v>
      </c>
      <c r="R2802" s="2">
        <v>33.0</v>
      </c>
      <c r="S2802" s="5">
        <f t="shared" si="8"/>
        <v>1</v>
      </c>
    </row>
    <row r="2803">
      <c r="A2803" s="2" t="s">
        <v>2812</v>
      </c>
      <c r="B2803" s="2">
        <v>110.0</v>
      </c>
      <c r="C2803" s="2">
        <v>1313.0</v>
      </c>
      <c r="D2803" s="2">
        <v>379.0</v>
      </c>
      <c r="E2803" s="3">
        <f t="shared" si="1"/>
        <v>0.315045719</v>
      </c>
      <c r="F2803" s="2">
        <v>162.0</v>
      </c>
      <c r="G2803" s="3">
        <f t="shared" si="2"/>
        <v>0.1346633416</v>
      </c>
      <c r="H2803" s="2">
        <v>237.0</v>
      </c>
      <c r="I2803" s="3">
        <f t="shared" si="3"/>
        <v>0.1970074813</v>
      </c>
      <c r="J2803" s="2">
        <v>195.0</v>
      </c>
      <c r="K2803" s="3">
        <f t="shared" si="4"/>
        <v>0.1620947631</v>
      </c>
      <c r="L2803" s="2">
        <v>148.0</v>
      </c>
      <c r="M2803" s="3">
        <f t="shared" si="5"/>
        <v>0.6244725738</v>
      </c>
      <c r="N2803" s="2">
        <v>1302800.0</v>
      </c>
      <c r="O2803" s="4">
        <f t="shared" si="6"/>
        <v>5497.046414</v>
      </c>
      <c r="P2803" s="2">
        <v>0.0</v>
      </c>
      <c r="Q2803" s="3">
        <f t="shared" si="7"/>
        <v>0</v>
      </c>
      <c r="R2803" s="2">
        <v>0.0</v>
      </c>
      <c r="S2803" s="5">
        <f t="shared" si="8"/>
        <v>0</v>
      </c>
    </row>
    <row r="2804">
      <c r="A2804" s="2" t="s">
        <v>2813</v>
      </c>
      <c r="B2804" s="2">
        <v>750.0</v>
      </c>
      <c r="C2804" s="2">
        <v>8822.0</v>
      </c>
      <c r="D2804" s="2">
        <v>3211.0</v>
      </c>
      <c r="E2804" s="3">
        <f t="shared" si="1"/>
        <v>0.3977948464</v>
      </c>
      <c r="F2804" s="2">
        <v>1087.0</v>
      </c>
      <c r="G2804" s="3">
        <f t="shared" si="2"/>
        <v>0.1346630327</v>
      </c>
      <c r="H2804" s="2">
        <v>1672.0</v>
      </c>
      <c r="I2804" s="3">
        <f t="shared" si="3"/>
        <v>0.207135778</v>
      </c>
      <c r="J2804" s="2">
        <v>1093.0</v>
      </c>
      <c r="K2804" s="3">
        <f t="shared" si="4"/>
        <v>0.1354063429</v>
      </c>
      <c r="L2804" s="2">
        <v>1034.0</v>
      </c>
      <c r="M2804" s="3">
        <f t="shared" si="5"/>
        <v>0.6184210526</v>
      </c>
      <c r="N2804" s="2">
        <v>9461000.0</v>
      </c>
      <c r="O2804" s="4">
        <f t="shared" si="6"/>
        <v>5658.492823</v>
      </c>
      <c r="P2804" s="2">
        <v>1.0</v>
      </c>
      <c r="Q2804" s="3">
        <f t="shared" si="7"/>
        <v>0.001333333333</v>
      </c>
      <c r="R2804" s="2">
        <v>750.0</v>
      </c>
      <c r="S2804" s="5">
        <f t="shared" si="8"/>
        <v>1</v>
      </c>
    </row>
    <row r="2805">
      <c r="A2805" s="2" t="s">
        <v>2814</v>
      </c>
      <c r="B2805" s="2">
        <v>415.0</v>
      </c>
      <c r="C2805" s="2">
        <v>4960.0</v>
      </c>
      <c r="D2805" s="2">
        <v>1623.0</v>
      </c>
      <c r="E2805" s="3">
        <f t="shared" si="1"/>
        <v>0.3570957096</v>
      </c>
      <c r="F2805" s="2">
        <v>612.0</v>
      </c>
      <c r="G2805" s="3">
        <f t="shared" si="2"/>
        <v>0.1346534653</v>
      </c>
      <c r="H2805" s="2">
        <v>940.0</v>
      </c>
      <c r="I2805" s="3">
        <f t="shared" si="3"/>
        <v>0.2068206821</v>
      </c>
      <c r="J2805" s="2">
        <v>785.0</v>
      </c>
      <c r="K2805" s="3">
        <f t="shared" si="4"/>
        <v>0.1727172717</v>
      </c>
      <c r="L2805" s="2">
        <v>548.0</v>
      </c>
      <c r="M2805" s="3">
        <f t="shared" si="5"/>
        <v>0.5829787234</v>
      </c>
      <c r="N2805" s="2">
        <v>5336900.0</v>
      </c>
      <c r="O2805" s="4">
        <f t="shared" si="6"/>
        <v>5677.553191</v>
      </c>
      <c r="P2805" s="2">
        <v>2.0</v>
      </c>
      <c r="Q2805" s="3">
        <f t="shared" si="7"/>
        <v>0.004819277108</v>
      </c>
      <c r="R2805" s="2">
        <v>415.0</v>
      </c>
      <c r="S2805" s="5">
        <f t="shared" si="8"/>
        <v>1</v>
      </c>
    </row>
    <row r="2806">
      <c r="A2806" s="2" t="s">
        <v>2815</v>
      </c>
      <c r="B2806" s="2">
        <v>364.0</v>
      </c>
      <c r="C2806" s="2">
        <v>4330.0</v>
      </c>
      <c r="D2806" s="2">
        <v>1328.0</v>
      </c>
      <c r="E2806" s="3">
        <f t="shared" si="1"/>
        <v>0.3348461926</v>
      </c>
      <c r="F2806" s="2">
        <v>534.0</v>
      </c>
      <c r="G2806" s="3">
        <f t="shared" si="2"/>
        <v>0.1346444781</v>
      </c>
      <c r="H2806" s="2">
        <v>886.0</v>
      </c>
      <c r="I2806" s="3">
        <f t="shared" si="3"/>
        <v>0.2233988906</v>
      </c>
      <c r="J2806" s="2">
        <v>676.0</v>
      </c>
      <c r="K2806" s="3">
        <f t="shared" si="4"/>
        <v>0.1704488149</v>
      </c>
      <c r="L2806" s="2">
        <v>535.0</v>
      </c>
      <c r="M2806" s="3">
        <f t="shared" si="5"/>
        <v>0.6038374718</v>
      </c>
      <c r="N2806" s="2">
        <v>4670300.0</v>
      </c>
      <c r="O2806" s="4">
        <f t="shared" si="6"/>
        <v>5271.218962</v>
      </c>
      <c r="P2806" s="2">
        <v>1.0</v>
      </c>
      <c r="Q2806" s="3">
        <f t="shared" si="7"/>
        <v>0.002747252747</v>
      </c>
      <c r="R2806" s="2">
        <v>364.0</v>
      </c>
      <c r="S2806" s="5">
        <f t="shared" si="8"/>
        <v>1</v>
      </c>
    </row>
    <row r="2807">
      <c r="A2807" s="2" t="s">
        <v>2816</v>
      </c>
      <c r="B2807" s="2">
        <v>795.0</v>
      </c>
      <c r="C2807" s="2">
        <v>9381.0</v>
      </c>
      <c r="D2807" s="2">
        <v>3362.0</v>
      </c>
      <c r="E2807" s="3">
        <f t="shared" si="1"/>
        <v>0.3915676683</v>
      </c>
      <c r="F2807" s="2">
        <v>1156.0</v>
      </c>
      <c r="G2807" s="3">
        <f t="shared" si="2"/>
        <v>0.1346377824</v>
      </c>
      <c r="H2807" s="2">
        <v>1784.0</v>
      </c>
      <c r="I2807" s="3">
        <f t="shared" si="3"/>
        <v>0.2077801072</v>
      </c>
      <c r="J2807" s="2">
        <v>1408.0</v>
      </c>
      <c r="K2807" s="3">
        <f t="shared" si="4"/>
        <v>0.1639878873</v>
      </c>
      <c r="L2807" s="2">
        <v>1064.0</v>
      </c>
      <c r="M2807" s="3">
        <f t="shared" si="5"/>
        <v>0.5964125561</v>
      </c>
      <c r="N2807" s="2">
        <v>1.0088E7</v>
      </c>
      <c r="O2807" s="4">
        <f t="shared" si="6"/>
        <v>5654.70852</v>
      </c>
      <c r="P2807" s="2">
        <v>2.0</v>
      </c>
      <c r="Q2807" s="3">
        <f t="shared" si="7"/>
        <v>0.00251572327</v>
      </c>
      <c r="R2807" s="2">
        <v>795.0</v>
      </c>
      <c r="S2807" s="5">
        <f t="shared" si="8"/>
        <v>1</v>
      </c>
    </row>
    <row r="2808">
      <c r="A2808" s="2" t="s">
        <v>2817</v>
      </c>
      <c r="B2808" s="2">
        <v>241.0</v>
      </c>
      <c r="C2808" s="2">
        <v>2848.0</v>
      </c>
      <c r="D2808" s="2">
        <v>970.0</v>
      </c>
      <c r="E2808" s="3">
        <f t="shared" si="1"/>
        <v>0.3720751822</v>
      </c>
      <c r="F2808" s="2">
        <v>351.0</v>
      </c>
      <c r="G2808" s="3">
        <f t="shared" si="2"/>
        <v>0.1346375144</v>
      </c>
      <c r="H2808" s="2">
        <v>553.0</v>
      </c>
      <c r="I2808" s="3">
        <f t="shared" si="3"/>
        <v>0.2121212121</v>
      </c>
      <c r="J2808" s="2">
        <v>466.0</v>
      </c>
      <c r="K2808" s="3">
        <f t="shared" si="4"/>
        <v>0.1787495205</v>
      </c>
      <c r="L2808" s="2">
        <v>343.0</v>
      </c>
      <c r="M2808" s="3">
        <f t="shared" si="5"/>
        <v>0.6202531646</v>
      </c>
      <c r="N2808" s="2">
        <v>2916800.0</v>
      </c>
      <c r="O2808" s="4">
        <f t="shared" si="6"/>
        <v>5274.502712</v>
      </c>
      <c r="P2808" s="2">
        <v>0.0</v>
      </c>
      <c r="Q2808" s="3">
        <f t="shared" si="7"/>
        <v>0</v>
      </c>
      <c r="R2808" s="2">
        <v>241.0</v>
      </c>
      <c r="S2808" s="5">
        <f t="shared" si="8"/>
        <v>1</v>
      </c>
    </row>
    <row r="2809">
      <c r="A2809" s="2" t="s">
        <v>2818</v>
      </c>
      <c r="B2809" s="2">
        <v>255.0</v>
      </c>
      <c r="C2809" s="2">
        <v>3018.0</v>
      </c>
      <c r="D2809" s="2">
        <v>1051.0</v>
      </c>
      <c r="E2809" s="3">
        <f t="shared" si="1"/>
        <v>0.380383641</v>
      </c>
      <c r="F2809" s="2">
        <v>372.0</v>
      </c>
      <c r="G2809" s="3">
        <f t="shared" si="2"/>
        <v>0.1346362649</v>
      </c>
      <c r="H2809" s="2">
        <v>583.0</v>
      </c>
      <c r="I2809" s="3">
        <f t="shared" si="3"/>
        <v>0.2110025335</v>
      </c>
      <c r="J2809" s="2">
        <v>441.0</v>
      </c>
      <c r="K2809" s="3">
        <f t="shared" si="4"/>
        <v>0.1596091205</v>
      </c>
      <c r="L2809" s="2">
        <v>334.0</v>
      </c>
      <c r="M2809" s="3">
        <f t="shared" si="5"/>
        <v>0.5728987993</v>
      </c>
      <c r="N2809" s="2">
        <v>3098400.0</v>
      </c>
      <c r="O2809" s="4">
        <f t="shared" si="6"/>
        <v>5314.57976</v>
      </c>
      <c r="P2809" s="2">
        <v>1.0</v>
      </c>
      <c r="Q2809" s="3">
        <f t="shared" si="7"/>
        <v>0.003921568627</v>
      </c>
      <c r="R2809" s="2">
        <v>255.0</v>
      </c>
      <c r="S2809" s="5">
        <f t="shared" si="8"/>
        <v>1</v>
      </c>
    </row>
    <row r="2810">
      <c r="A2810" s="2" t="s">
        <v>2819</v>
      </c>
      <c r="B2810" s="2">
        <v>6242.0</v>
      </c>
      <c r="C2810" s="2">
        <v>72864.0</v>
      </c>
      <c r="D2810" s="2">
        <v>23685.0</v>
      </c>
      <c r="E2810" s="3">
        <f t="shared" si="1"/>
        <v>0.3555131938</v>
      </c>
      <c r="F2810" s="2">
        <v>8969.0</v>
      </c>
      <c r="G2810" s="3">
        <f t="shared" si="2"/>
        <v>0.1346251989</v>
      </c>
      <c r="H2810" s="2">
        <v>14293.0</v>
      </c>
      <c r="I2810" s="3">
        <f t="shared" si="3"/>
        <v>0.214538741</v>
      </c>
      <c r="J2810" s="2">
        <v>10801.0</v>
      </c>
      <c r="K2810" s="3">
        <f t="shared" si="4"/>
        <v>0.1621236228</v>
      </c>
      <c r="L2810" s="2">
        <v>8537.0</v>
      </c>
      <c r="M2810" s="3">
        <f t="shared" si="5"/>
        <v>0.5972853845</v>
      </c>
      <c r="N2810" s="2">
        <v>7.86252E7</v>
      </c>
      <c r="O2810" s="4">
        <f t="shared" si="6"/>
        <v>5500.958511</v>
      </c>
      <c r="P2810" s="2">
        <v>10.0</v>
      </c>
      <c r="Q2810" s="3">
        <f t="shared" si="7"/>
        <v>0.001602050625</v>
      </c>
      <c r="R2810" s="2">
        <v>6224.0</v>
      </c>
      <c r="S2810" s="5">
        <f t="shared" si="8"/>
        <v>0.9971163089</v>
      </c>
    </row>
    <row r="2811">
      <c r="A2811" s="2" t="s">
        <v>2820</v>
      </c>
      <c r="B2811" s="2">
        <v>406.0</v>
      </c>
      <c r="C2811" s="2">
        <v>4796.0</v>
      </c>
      <c r="D2811" s="2">
        <v>1742.0</v>
      </c>
      <c r="E2811" s="3">
        <f t="shared" si="1"/>
        <v>0.3968109339</v>
      </c>
      <c r="F2811" s="2">
        <v>591.0</v>
      </c>
      <c r="G2811" s="3">
        <f t="shared" si="2"/>
        <v>0.1346241458</v>
      </c>
      <c r="H2811" s="2">
        <v>980.0</v>
      </c>
      <c r="I2811" s="3">
        <f t="shared" si="3"/>
        <v>0.2232346241</v>
      </c>
      <c r="J2811" s="2">
        <v>791.0</v>
      </c>
      <c r="K2811" s="3">
        <f t="shared" si="4"/>
        <v>0.1801822323</v>
      </c>
      <c r="L2811" s="2">
        <v>579.0</v>
      </c>
      <c r="M2811" s="3">
        <f t="shared" si="5"/>
        <v>0.5908163265</v>
      </c>
      <c r="N2811" s="2">
        <v>5398900.0</v>
      </c>
      <c r="O2811" s="4">
        <f t="shared" si="6"/>
        <v>5509.081633</v>
      </c>
      <c r="P2811" s="2">
        <v>0.0</v>
      </c>
      <c r="Q2811" s="3">
        <f t="shared" si="7"/>
        <v>0</v>
      </c>
      <c r="R2811" s="2">
        <v>406.0</v>
      </c>
      <c r="S2811" s="5">
        <f t="shared" si="8"/>
        <v>1</v>
      </c>
    </row>
    <row r="2812">
      <c r="A2812" s="2" t="s">
        <v>2821</v>
      </c>
      <c r="B2812" s="2">
        <v>254.0</v>
      </c>
      <c r="C2812" s="2">
        <v>2943.0</v>
      </c>
      <c r="D2812" s="2">
        <v>1005.0</v>
      </c>
      <c r="E2812" s="3">
        <f t="shared" si="1"/>
        <v>0.3737448866</v>
      </c>
      <c r="F2812" s="2">
        <v>362.0</v>
      </c>
      <c r="G2812" s="3">
        <f t="shared" si="2"/>
        <v>0.1346225363</v>
      </c>
      <c r="H2812" s="2">
        <v>511.0</v>
      </c>
      <c r="I2812" s="3">
        <f t="shared" si="3"/>
        <v>0.1900334697</v>
      </c>
      <c r="J2812" s="2">
        <v>446.0</v>
      </c>
      <c r="K2812" s="3">
        <f t="shared" si="4"/>
        <v>0.1658609148</v>
      </c>
      <c r="L2812" s="2">
        <v>289.0</v>
      </c>
      <c r="M2812" s="3">
        <f t="shared" si="5"/>
        <v>0.5655577299</v>
      </c>
      <c r="N2812" s="2">
        <v>2949300.0</v>
      </c>
      <c r="O2812" s="4">
        <f t="shared" si="6"/>
        <v>5771.624266</v>
      </c>
      <c r="P2812" s="2">
        <v>0.0</v>
      </c>
      <c r="Q2812" s="3">
        <f t="shared" si="7"/>
        <v>0</v>
      </c>
      <c r="R2812" s="2">
        <v>254.0</v>
      </c>
      <c r="S2812" s="5">
        <f t="shared" si="8"/>
        <v>1</v>
      </c>
    </row>
    <row r="2813">
      <c r="A2813" s="2" t="s">
        <v>2822</v>
      </c>
      <c r="B2813" s="2">
        <v>1573.0</v>
      </c>
      <c r="C2813" s="2">
        <v>18116.0</v>
      </c>
      <c r="D2813" s="2">
        <v>5489.0</v>
      </c>
      <c r="E2813" s="3">
        <f t="shared" si="1"/>
        <v>0.3318019706</v>
      </c>
      <c r="F2813" s="2">
        <v>2227.0</v>
      </c>
      <c r="G2813" s="3">
        <f t="shared" si="2"/>
        <v>0.134618872</v>
      </c>
      <c r="H2813" s="2">
        <v>3611.0</v>
      </c>
      <c r="I2813" s="3">
        <f t="shared" si="3"/>
        <v>0.2182796349</v>
      </c>
      <c r="J2813" s="2">
        <v>3491.0</v>
      </c>
      <c r="K2813" s="3">
        <f t="shared" si="4"/>
        <v>0.2110258115</v>
      </c>
      <c r="L2813" s="2">
        <v>2109.0</v>
      </c>
      <c r="M2813" s="3">
        <f t="shared" si="5"/>
        <v>0.58404874</v>
      </c>
      <c r="N2813" s="2">
        <v>2.1824E7</v>
      </c>
      <c r="O2813" s="4">
        <f t="shared" si="6"/>
        <v>6043.755192</v>
      </c>
      <c r="P2813" s="2">
        <v>6.0</v>
      </c>
      <c r="Q2813" s="3">
        <f t="shared" si="7"/>
        <v>0.003814367451</v>
      </c>
      <c r="R2813" s="2">
        <v>1573.0</v>
      </c>
      <c r="S2813" s="5">
        <f t="shared" si="8"/>
        <v>1</v>
      </c>
    </row>
    <row r="2814">
      <c r="A2814" s="2" t="s">
        <v>2823</v>
      </c>
      <c r="B2814" s="2">
        <v>5.0</v>
      </c>
      <c r="C2814" s="2">
        <v>57.0</v>
      </c>
      <c r="D2814" s="2">
        <v>18.0</v>
      </c>
      <c r="E2814" s="3">
        <f t="shared" si="1"/>
        <v>0.3461538462</v>
      </c>
      <c r="F2814" s="2">
        <v>7.0</v>
      </c>
      <c r="G2814" s="3">
        <f t="shared" si="2"/>
        <v>0.1346153846</v>
      </c>
      <c r="H2814" s="2">
        <v>13.0</v>
      </c>
      <c r="I2814" s="3">
        <f t="shared" si="3"/>
        <v>0.25</v>
      </c>
      <c r="J2814" s="2">
        <v>13.0</v>
      </c>
      <c r="K2814" s="3">
        <f t="shared" si="4"/>
        <v>0.25</v>
      </c>
      <c r="L2814" s="2">
        <v>8.0</v>
      </c>
      <c r="M2814" s="3">
        <f t="shared" si="5"/>
        <v>0.6153846154</v>
      </c>
      <c r="N2814" s="2">
        <v>50400.0</v>
      </c>
      <c r="O2814" s="4">
        <f t="shared" si="6"/>
        <v>3876.923077</v>
      </c>
      <c r="P2814" s="2">
        <v>0.0</v>
      </c>
      <c r="Q2814" s="3">
        <f t="shared" si="7"/>
        <v>0</v>
      </c>
      <c r="R2814" s="2">
        <v>5.0</v>
      </c>
      <c r="S2814" s="5">
        <f t="shared" si="8"/>
        <v>1</v>
      </c>
    </row>
    <row r="2815">
      <c r="A2815" s="2" t="s">
        <v>2824</v>
      </c>
      <c r="B2815" s="2">
        <v>50.0</v>
      </c>
      <c r="C2815" s="2">
        <v>570.0</v>
      </c>
      <c r="D2815" s="2">
        <v>154.0</v>
      </c>
      <c r="E2815" s="3">
        <f t="shared" si="1"/>
        <v>0.2961538462</v>
      </c>
      <c r="F2815" s="2">
        <v>70.0</v>
      </c>
      <c r="G2815" s="3">
        <f t="shared" si="2"/>
        <v>0.1346153846</v>
      </c>
      <c r="H2815" s="2">
        <v>87.0</v>
      </c>
      <c r="I2815" s="3">
        <f t="shared" si="3"/>
        <v>0.1673076923</v>
      </c>
      <c r="J2815" s="2">
        <v>105.0</v>
      </c>
      <c r="K2815" s="3">
        <f t="shared" si="4"/>
        <v>0.2019230769</v>
      </c>
      <c r="L2815" s="2">
        <v>53.0</v>
      </c>
      <c r="M2815" s="3">
        <f t="shared" si="5"/>
        <v>0.6091954023</v>
      </c>
      <c r="N2815" s="2">
        <v>479200.0</v>
      </c>
      <c r="O2815" s="4">
        <f t="shared" si="6"/>
        <v>5508.045977</v>
      </c>
      <c r="P2815" s="2">
        <v>0.0</v>
      </c>
      <c r="Q2815" s="3">
        <f t="shared" si="7"/>
        <v>0</v>
      </c>
      <c r="R2815" s="2">
        <v>50.0</v>
      </c>
      <c r="S2815" s="5">
        <f t="shared" si="8"/>
        <v>1</v>
      </c>
    </row>
    <row r="2816">
      <c r="A2816" s="2" t="s">
        <v>2825</v>
      </c>
      <c r="B2816" s="2">
        <v>5.0</v>
      </c>
      <c r="C2816" s="2">
        <v>57.0</v>
      </c>
      <c r="D2816" s="2">
        <v>15.0</v>
      </c>
      <c r="E2816" s="3">
        <f t="shared" si="1"/>
        <v>0.2884615385</v>
      </c>
      <c r="F2816" s="2">
        <v>7.0</v>
      </c>
      <c r="G2816" s="3">
        <f t="shared" si="2"/>
        <v>0.1346153846</v>
      </c>
      <c r="H2816" s="2">
        <v>9.0</v>
      </c>
      <c r="I2816" s="3">
        <f t="shared" si="3"/>
        <v>0.1730769231</v>
      </c>
      <c r="J2816" s="2">
        <v>9.0</v>
      </c>
      <c r="K2816" s="3">
        <f t="shared" si="4"/>
        <v>0.1730769231</v>
      </c>
      <c r="L2816" s="2">
        <v>6.0</v>
      </c>
      <c r="M2816" s="3">
        <f t="shared" si="5"/>
        <v>0.6666666667</v>
      </c>
      <c r="N2816" s="2">
        <v>38100.0</v>
      </c>
      <c r="O2816" s="4">
        <f t="shared" si="6"/>
        <v>4233.333333</v>
      </c>
      <c r="P2816" s="2">
        <v>0.0</v>
      </c>
      <c r="Q2816" s="3">
        <f t="shared" si="7"/>
        <v>0</v>
      </c>
      <c r="R2816" s="2">
        <v>5.0</v>
      </c>
      <c r="S2816" s="5">
        <f t="shared" si="8"/>
        <v>1</v>
      </c>
    </row>
    <row r="2817">
      <c r="A2817" s="2" t="s">
        <v>2826</v>
      </c>
      <c r="B2817" s="2">
        <v>2268.0</v>
      </c>
      <c r="C2817" s="2">
        <v>26242.0</v>
      </c>
      <c r="D2817" s="2">
        <v>8126.0</v>
      </c>
      <c r="E2817" s="3">
        <f t="shared" si="1"/>
        <v>0.3389505297</v>
      </c>
      <c r="F2817" s="2">
        <v>3227.0</v>
      </c>
      <c r="G2817" s="3">
        <f t="shared" si="2"/>
        <v>0.1346041545</v>
      </c>
      <c r="H2817" s="2">
        <v>4846.0</v>
      </c>
      <c r="I2817" s="3">
        <f t="shared" si="3"/>
        <v>0.202135647</v>
      </c>
      <c r="J2817" s="2">
        <v>4317.0</v>
      </c>
      <c r="K2817" s="3">
        <f t="shared" si="4"/>
        <v>0.1800700759</v>
      </c>
      <c r="L2817" s="2">
        <v>2795.0</v>
      </c>
      <c r="M2817" s="3">
        <f t="shared" si="5"/>
        <v>0.5767643417</v>
      </c>
      <c r="N2817" s="2">
        <v>2.98324E7</v>
      </c>
      <c r="O2817" s="4">
        <f t="shared" si="6"/>
        <v>6156.087495</v>
      </c>
      <c r="P2817" s="2">
        <v>4.0</v>
      </c>
      <c r="Q2817" s="3">
        <f t="shared" si="7"/>
        <v>0.00176366843</v>
      </c>
      <c r="R2817" s="2">
        <v>2268.0</v>
      </c>
      <c r="S2817" s="5">
        <f t="shared" si="8"/>
        <v>1</v>
      </c>
    </row>
    <row r="2818">
      <c r="A2818" s="2" t="s">
        <v>2827</v>
      </c>
      <c r="B2818" s="2">
        <v>1510.0</v>
      </c>
      <c r="C2818" s="2">
        <v>17914.0</v>
      </c>
      <c r="D2818" s="2">
        <v>5154.0</v>
      </c>
      <c r="E2818" s="3">
        <f t="shared" si="1"/>
        <v>0.3141916606</v>
      </c>
      <c r="F2818" s="2">
        <v>2208.0</v>
      </c>
      <c r="G2818" s="3">
        <f t="shared" si="2"/>
        <v>0.1346013168</v>
      </c>
      <c r="H2818" s="2">
        <v>3433.0</v>
      </c>
      <c r="I2818" s="3">
        <f t="shared" si="3"/>
        <v>0.2092782248</v>
      </c>
      <c r="J2818" s="2">
        <v>2470.0</v>
      </c>
      <c r="K2818" s="3">
        <f t="shared" si="4"/>
        <v>0.150573031</v>
      </c>
      <c r="L2818" s="2">
        <v>2055.0</v>
      </c>
      <c r="M2818" s="3">
        <f t="shared" si="5"/>
        <v>0.598601806</v>
      </c>
      <c r="N2818" s="2">
        <v>1.92189E7</v>
      </c>
      <c r="O2818" s="4">
        <f t="shared" si="6"/>
        <v>5598.281387</v>
      </c>
      <c r="P2818" s="2">
        <v>5.0</v>
      </c>
      <c r="Q2818" s="3">
        <f t="shared" si="7"/>
        <v>0.003311258278</v>
      </c>
      <c r="R2818" s="2">
        <v>760.0</v>
      </c>
      <c r="S2818" s="5">
        <f t="shared" si="8"/>
        <v>0.5033112583</v>
      </c>
    </row>
    <row r="2819">
      <c r="A2819" s="2" t="s">
        <v>2828</v>
      </c>
      <c r="B2819" s="2">
        <v>198.0</v>
      </c>
      <c r="C2819" s="2">
        <v>2360.0</v>
      </c>
      <c r="D2819" s="2">
        <v>819.0</v>
      </c>
      <c r="E2819" s="3">
        <f t="shared" si="1"/>
        <v>0.3788159112</v>
      </c>
      <c r="F2819" s="2">
        <v>291.0</v>
      </c>
      <c r="G2819" s="3">
        <f t="shared" si="2"/>
        <v>0.1345975948</v>
      </c>
      <c r="H2819" s="2">
        <v>439.0</v>
      </c>
      <c r="I2819" s="3">
        <f t="shared" si="3"/>
        <v>0.203052729</v>
      </c>
      <c r="J2819" s="2">
        <v>369.0</v>
      </c>
      <c r="K2819" s="3">
        <f t="shared" si="4"/>
        <v>0.1706753006</v>
      </c>
      <c r="L2819" s="2">
        <v>265.0</v>
      </c>
      <c r="M2819" s="3">
        <f t="shared" si="5"/>
        <v>0.6036446469</v>
      </c>
      <c r="N2819" s="2">
        <v>2464600.0</v>
      </c>
      <c r="O2819" s="4">
        <f t="shared" si="6"/>
        <v>5614.123007</v>
      </c>
      <c r="P2819" s="2">
        <v>0.0</v>
      </c>
      <c r="Q2819" s="3">
        <f t="shared" si="7"/>
        <v>0</v>
      </c>
      <c r="R2819" s="2">
        <v>198.0</v>
      </c>
      <c r="S2819" s="5">
        <f t="shared" si="8"/>
        <v>1</v>
      </c>
    </row>
    <row r="2820">
      <c r="A2820" s="2" t="s">
        <v>2829</v>
      </c>
      <c r="B2820" s="2">
        <v>2800.0</v>
      </c>
      <c r="C2820" s="2">
        <v>32809.0</v>
      </c>
      <c r="D2820" s="2">
        <v>10602.0</v>
      </c>
      <c r="E2820" s="3">
        <f t="shared" si="1"/>
        <v>0.3532940118</v>
      </c>
      <c r="F2820" s="2">
        <v>4039.0</v>
      </c>
      <c r="G2820" s="3">
        <f t="shared" si="2"/>
        <v>0.1345929554</v>
      </c>
      <c r="H2820" s="2">
        <v>6326.0</v>
      </c>
      <c r="I2820" s="3">
        <f t="shared" si="3"/>
        <v>0.2108034256</v>
      </c>
      <c r="J2820" s="2">
        <v>4073.0</v>
      </c>
      <c r="K2820" s="3">
        <f t="shared" si="4"/>
        <v>0.1357259489</v>
      </c>
      <c r="L2820" s="2">
        <v>3778.0</v>
      </c>
      <c r="M2820" s="3">
        <f t="shared" si="5"/>
        <v>0.5972178312</v>
      </c>
      <c r="N2820" s="2">
        <v>3.53943E7</v>
      </c>
      <c r="O2820" s="4">
        <f t="shared" si="6"/>
        <v>5595.052166</v>
      </c>
      <c r="P2820" s="2">
        <v>8.0</v>
      </c>
      <c r="Q2820" s="3">
        <f t="shared" si="7"/>
        <v>0.002857142857</v>
      </c>
      <c r="R2820" s="2">
        <v>2800.0</v>
      </c>
      <c r="S2820" s="5">
        <f t="shared" si="8"/>
        <v>1</v>
      </c>
    </row>
    <row r="2821">
      <c r="A2821" s="2" t="s">
        <v>2830</v>
      </c>
      <c r="B2821" s="2">
        <v>137.0</v>
      </c>
      <c r="C2821" s="2">
        <v>1623.0</v>
      </c>
      <c r="D2821" s="2">
        <v>448.0</v>
      </c>
      <c r="E2821" s="3">
        <f t="shared" si="1"/>
        <v>0.3014804845</v>
      </c>
      <c r="F2821" s="2">
        <v>200.0</v>
      </c>
      <c r="G2821" s="3">
        <f t="shared" si="2"/>
        <v>0.134589502</v>
      </c>
      <c r="H2821" s="2">
        <v>304.0</v>
      </c>
      <c r="I2821" s="3">
        <f t="shared" si="3"/>
        <v>0.2045760431</v>
      </c>
      <c r="J2821" s="2">
        <v>276.0</v>
      </c>
      <c r="K2821" s="3">
        <f t="shared" si="4"/>
        <v>0.1857335128</v>
      </c>
      <c r="L2821" s="2">
        <v>175.0</v>
      </c>
      <c r="M2821" s="3">
        <f t="shared" si="5"/>
        <v>0.5756578947</v>
      </c>
      <c r="N2821" s="2">
        <v>1868700.0</v>
      </c>
      <c r="O2821" s="4">
        <f t="shared" si="6"/>
        <v>6147.039474</v>
      </c>
      <c r="P2821" s="2">
        <v>0.0</v>
      </c>
      <c r="Q2821" s="3">
        <f t="shared" si="7"/>
        <v>0</v>
      </c>
      <c r="R2821" s="2">
        <v>137.0</v>
      </c>
      <c r="S2821" s="5">
        <f t="shared" si="8"/>
        <v>1</v>
      </c>
    </row>
    <row r="2822">
      <c r="A2822" s="2" t="s">
        <v>2831</v>
      </c>
      <c r="B2822" s="2">
        <v>411.0</v>
      </c>
      <c r="C2822" s="2">
        <v>4780.0</v>
      </c>
      <c r="D2822" s="2">
        <v>1516.0</v>
      </c>
      <c r="E2822" s="3">
        <f t="shared" si="1"/>
        <v>0.3469901579</v>
      </c>
      <c r="F2822" s="2">
        <v>588.0</v>
      </c>
      <c r="G2822" s="3">
        <f t="shared" si="2"/>
        <v>0.1345845731</v>
      </c>
      <c r="H2822" s="2">
        <v>939.0</v>
      </c>
      <c r="I2822" s="3">
        <f t="shared" si="3"/>
        <v>0.2149233234</v>
      </c>
      <c r="J2822" s="2">
        <v>737.0</v>
      </c>
      <c r="K2822" s="3">
        <f t="shared" si="4"/>
        <v>0.1686884871</v>
      </c>
      <c r="L2822" s="2">
        <v>581.0</v>
      </c>
      <c r="M2822" s="3">
        <f t="shared" si="5"/>
        <v>0.618743344</v>
      </c>
      <c r="N2822" s="2">
        <v>5317100.0</v>
      </c>
      <c r="O2822" s="4">
        <f t="shared" si="6"/>
        <v>5662.513312</v>
      </c>
      <c r="P2822" s="2">
        <v>0.0</v>
      </c>
      <c r="Q2822" s="3">
        <f t="shared" si="7"/>
        <v>0</v>
      </c>
      <c r="R2822" s="2">
        <v>411.0</v>
      </c>
      <c r="S2822" s="5">
        <f t="shared" si="8"/>
        <v>1</v>
      </c>
    </row>
    <row r="2823">
      <c r="A2823" s="2" t="s">
        <v>2832</v>
      </c>
      <c r="B2823" s="2">
        <v>54.0</v>
      </c>
      <c r="C2823" s="2">
        <v>641.0</v>
      </c>
      <c r="D2823" s="2">
        <v>198.0</v>
      </c>
      <c r="E2823" s="3">
        <f t="shared" si="1"/>
        <v>0.3373083475</v>
      </c>
      <c r="F2823" s="2">
        <v>79.0</v>
      </c>
      <c r="G2823" s="3">
        <f t="shared" si="2"/>
        <v>0.1345826235</v>
      </c>
      <c r="H2823" s="2">
        <v>110.0</v>
      </c>
      <c r="I2823" s="3">
        <f t="shared" si="3"/>
        <v>0.1873935264</v>
      </c>
      <c r="J2823" s="2">
        <v>119.0</v>
      </c>
      <c r="K2823" s="3">
        <f t="shared" si="4"/>
        <v>0.202725724</v>
      </c>
      <c r="L2823" s="2">
        <v>66.0</v>
      </c>
      <c r="M2823" s="3">
        <f t="shared" si="5"/>
        <v>0.6</v>
      </c>
      <c r="N2823" s="2">
        <v>652400.0</v>
      </c>
      <c r="O2823" s="4">
        <f t="shared" si="6"/>
        <v>5930.909091</v>
      </c>
      <c r="P2823" s="2">
        <v>0.0</v>
      </c>
      <c r="Q2823" s="3">
        <f t="shared" si="7"/>
        <v>0</v>
      </c>
      <c r="R2823" s="2">
        <v>54.0</v>
      </c>
      <c r="S2823" s="5">
        <f t="shared" si="8"/>
        <v>1</v>
      </c>
    </row>
    <row r="2824">
      <c r="A2824" s="2" t="s">
        <v>2833</v>
      </c>
      <c r="B2824" s="2">
        <v>150.0</v>
      </c>
      <c r="C2824" s="2">
        <v>1755.0</v>
      </c>
      <c r="D2824" s="2">
        <v>541.0</v>
      </c>
      <c r="E2824" s="3">
        <f t="shared" si="1"/>
        <v>0.3370716511</v>
      </c>
      <c r="F2824" s="2">
        <v>216.0</v>
      </c>
      <c r="G2824" s="3">
        <f t="shared" si="2"/>
        <v>0.1345794393</v>
      </c>
      <c r="H2824" s="2">
        <v>342.0</v>
      </c>
      <c r="I2824" s="3">
        <f t="shared" si="3"/>
        <v>0.2130841121</v>
      </c>
      <c r="J2824" s="2">
        <v>289.0</v>
      </c>
      <c r="K2824" s="3">
        <f t="shared" si="4"/>
        <v>0.1800623053</v>
      </c>
      <c r="L2824" s="2">
        <v>185.0</v>
      </c>
      <c r="M2824" s="3">
        <f t="shared" si="5"/>
        <v>0.5409356725</v>
      </c>
      <c r="N2824" s="2">
        <v>1892700.0</v>
      </c>
      <c r="O2824" s="4">
        <f t="shared" si="6"/>
        <v>5534.210526</v>
      </c>
      <c r="P2824" s="2">
        <v>0.0</v>
      </c>
      <c r="Q2824" s="3">
        <f t="shared" si="7"/>
        <v>0</v>
      </c>
      <c r="R2824" s="2">
        <v>150.0</v>
      </c>
      <c r="S2824" s="5">
        <f t="shared" si="8"/>
        <v>1</v>
      </c>
    </row>
    <row r="2825">
      <c r="A2825" s="2" t="s">
        <v>2834</v>
      </c>
      <c r="B2825" s="2">
        <v>329.0</v>
      </c>
      <c r="C2825" s="2">
        <v>3881.0</v>
      </c>
      <c r="D2825" s="2">
        <v>919.0</v>
      </c>
      <c r="E2825" s="3">
        <f t="shared" si="1"/>
        <v>0.2587274775</v>
      </c>
      <c r="F2825" s="2">
        <v>478.0</v>
      </c>
      <c r="G2825" s="3">
        <f t="shared" si="2"/>
        <v>0.1345720721</v>
      </c>
      <c r="H2825" s="2">
        <v>676.0</v>
      </c>
      <c r="I2825" s="3">
        <f t="shared" si="3"/>
        <v>0.1903153153</v>
      </c>
      <c r="J2825" s="2">
        <v>500.0</v>
      </c>
      <c r="K2825" s="3">
        <f t="shared" si="4"/>
        <v>0.1407657658</v>
      </c>
      <c r="L2825" s="2">
        <v>406.0</v>
      </c>
      <c r="M2825" s="3">
        <f t="shared" si="5"/>
        <v>0.600591716</v>
      </c>
      <c r="N2825" s="2">
        <v>4107000.0</v>
      </c>
      <c r="O2825" s="4">
        <f t="shared" si="6"/>
        <v>6075.443787</v>
      </c>
      <c r="P2825" s="2">
        <v>0.0</v>
      </c>
      <c r="Q2825" s="3">
        <f t="shared" si="7"/>
        <v>0</v>
      </c>
      <c r="R2825" s="2">
        <v>329.0</v>
      </c>
      <c r="S2825" s="5">
        <f t="shared" si="8"/>
        <v>1</v>
      </c>
    </row>
    <row r="2826">
      <c r="A2826" s="2" t="s">
        <v>2835</v>
      </c>
      <c r="B2826" s="2">
        <v>1075.0</v>
      </c>
      <c r="C2826" s="2">
        <v>12430.0</v>
      </c>
      <c r="D2826" s="2">
        <v>3826.0</v>
      </c>
      <c r="E2826" s="3">
        <f t="shared" si="1"/>
        <v>0.3369440775</v>
      </c>
      <c r="F2826" s="2">
        <v>1528.0</v>
      </c>
      <c r="G2826" s="3">
        <f t="shared" si="2"/>
        <v>0.1345662704</v>
      </c>
      <c r="H2826" s="2">
        <v>2534.0</v>
      </c>
      <c r="I2826" s="3">
        <f t="shared" si="3"/>
        <v>0.2231616028</v>
      </c>
      <c r="J2826" s="2">
        <v>2142.0</v>
      </c>
      <c r="K2826" s="3">
        <f t="shared" si="4"/>
        <v>0.1886393659</v>
      </c>
      <c r="L2826" s="2">
        <v>1540.0</v>
      </c>
      <c r="M2826" s="3">
        <f t="shared" si="5"/>
        <v>0.6077348066</v>
      </c>
      <c r="N2826" s="2">
        <v>1.47517E7</v>
      </c>
      <c r="O2826" s="4">
        <f t="shared" si="6"/>
        <v>5821.507498</v>
      </c>
      <c r="P2826" s="2">
        <v>2.0</v>
      </c>
      <c r="Q2826" s="3">
        <f t="shared" si="7"/>
        <v>0.001860465116</v>
      </c>
      <c r="R2826" s="2">
        <v>1075.0</v>
      </c>
      <c r="S2826" s="5">
        <f t="shared" si="8"/>
        <v>1</v>
      </c>
    </row>
    <row r="2827">
      <c r="A2827" s="2" t="s">
        <v>2836</v>
      </c>
      <c r="B2827" s="2">
        <v>1774.0</v>
      </c>
      <c r="C2827" s="2">
        <v>21066.0</v>
      </c>
      <c r="D2827" s="2">
        <v>6096.0</v>
      </c>
      <c r="E2827" s="3">
        <f t="shared" si="1"/>
        <v>0.3159859009</v>
      </c>
      <c r="F2827" s="2">
        <v>2596.0</v>
      </c>
      <c r="G2827" s="3">
        <f t="shared" si="2"/>
        <v>0.1345635497</v>
      </c>
      <c r="H2827" s="2">
        <v>3975.0</v>
      </c>
      <c r="I2827" s="3">
        <f t="shared" si="3"/>
        <v>0.206043956</v>
      </c>
      <c r="J2827" s="2">
        <v>2448.0</v>
      </c>
      <c r="K2827" s="3">
        <f t="shared" si="4"/>
        <v>0.1268919759</v>
      </c>
      <c r="L2827" s="2">
        <v>2426.0</v>
      </c>
      <c r="M2827" s="3">
        <f t="shared" si="5"/>
        <v>0.6103144654</v>
      </c>
      <c r="N2827" s="2">
        <v>2.27298E7</v>
      </c>
      <c r="O2827" s="4">
        <f t="shared" si="6"/>
        <v>5718.188679</v>
      </c>
      <c r="P2827" s="2">
        <v>7.0</v>
      </c>
      <c r="Q2827" s="3">
        <f t="shared" si="7"/>
        <v>0.003945885006</v>
      </c>
      <c r="R2827" s="2">
        <v>1231.0</v>
      </c>
      <c r="S2827" s="5">
        <f t="shared" si="8"/>
        <v>0.6939120631</v>
      </c>
    </row>
    <row r="2828">
      <c r="A2828" s="2" t="s">
        <v>2837</v>
      </c>
      <c r="B2828" s="2">
        <v>30.0</v>
      </c>
      <c r="C2828" s="2">
        <v>357.0</v>
      </c>
      <c r="D2828" s="2">
        <v>122.0</v>
      </c>
      <c r="E2828" s="3">
        <f t="shared" si="1"/>
        <v>0.373088685</v>
      </c>
      <c r="F2828" s="2">
        <v>44.0</v>
      </c>
      <c r="G2828" s="3">
        <f t="shared" si="2"/>
        <v>0.1345565749</v>
      </c>
      <c r="H2828" s="2">
        <v>61.0</v>
      </c>
      <c r="I2828" s="3">
        <f t="shared" si="3"/>
        <v>0.1865443425</v>
      </c>
      <c r="J2828" s="2">
        <v>55.0</v>
      </c>
      <c r="K2828" s="3">
        <f t="shared" si="4"/>
        <v>0.1681957187</v>
      </c>
      <c r="L2828" s="2">
        <v>30.0</v>
      </c>
      <c r="M2828" s="3">
        <f t="shared" si="5"/>
        <v>0.4918032787</v>
      </c>
      <c r="N2828" s="2">
        <v>354400.0</v>
      </c>
      <c r="O2828" s="4">
        <f t="shared" si="6"/>
        <v>5809.836066</v>
      </c>
      <c r="P2828" s="2">
        <v>0.0</v>
      </c>
      <c r="Q2828" s="3">
        <f t="shared" si="7"/>
        <v>0</v>
      </c>
      <c r="R2828" s="2">
        <v>0.0</v>
      </c>
      <c r="S2828" s="5">
        <f t="shared" si="8"/>
        <v>0</v>
      </c>
    </row>
    <row r="2829">
      <c r="A2829" s="2" t="s">
        <v>2838</v>
      </c>
      <c r="B2829" s="2">
        <v>31.0</v>
      </c>
      <c r="C2829" s="2">
        <v>358.0</v>
      </c>
      <c r="D2829" s="2">
        <v>109.0</v>
      </c>
      <c r="E2829" s="3">
        <f t="shared" si="1"/>
        <v>0.3333333333</v>
      </c>
      <c r="F2829" s="2">
        <v>44.0</v>
      </c>
      <c r="G2829" s="3">
        <f t="shared" si="2"/>
        <v>0.1345565749</v>
      </c>
      <c r="H2829" s="2">
        <v>60.0</v>
      </c>
      <c r="I2829" s="3">
        <f t="shared" si="3"/>
        <v>0.1834862385</v>
      </c>
      <c r="J2829" s="2">
        <v>46.0</v>
      </c>
      <c r="K2829" s="3">
        <f t="shared" si="4"/>
        <v>0.1406727829</v>
      </c>
      <c r="L2829" s="2">
        <v>40.0</v>
      </c>
      <c r="M2829" s="3">
        <f t="shared" si="5"/>
        <v>0.6666666667</v>
      </c>
      <c r="N2829" s="2">
        <v>350200.0</v>
      </c>
      <c r="O2829" s="4">
        <f t="shared" si="6"/>
        <v>5836.666667</v>
      </c>
      <c r="P2829" s="2">
        <v>1.0</v>
      </c>
      <c r="Q2829" s="3">
        <f t="shared" si="7"/>
        <v>0.03225806452</v>
      </c>
      <c r="R2829" s="2">
        <v>31.0</v>
      </c>
      <c r="S2829" s="5">
        <f t="shared" si="8"/>
        <v>1</v>
      </c>
    </row>
    <row r="2830">
      <c r="A2830" s="2" t="s">
        <v>2839</v>
      </c>
      <c r="B2830" s="2">
        <v>160.0</v>
      </c>
      <c r="C2830" s="2">
        <v>1914.0</v>
      </c>
      <c r="D2830" s="2">
        <v>582.0</v>
      </c>
      <c r="E2830" s="3">
        <f t="shared" si="1"/>
        <v>0.3318129989</v>
      </c>
      <c r="F2830" s="2">
        <v>236.0</v>
      </c>
      <c r="G2830" s="3">
        <f t="shared" si="2"/>
        <v>0.1345496009</v>
      </c>
      <c r="H2830" s="2">
        <v>352.0</v>
      </c>
      <c r="I2830" s="3">
        <f t="shared" si="3"/>
        <v>0.2006841505</v>
      </c>
      <c r="J2830" s="2">
        <v>285.0</v>
      </c>
      <c r="K2830" s="3">
        <f t="shared" si="4"/>
        <v>0.1624857469</v>
      </c>
      <c r="L2830" s="2">
        <v>212.0</v>
      </c>
      <c r="M2830" s="3">
        <f t="shared" si="5"/>
        <v>0.6022727273</v>
      </c>
      <c r="N2830" s="2">
        <v>2118800.0</v>
      </c>
      <c r="O2830" s="4">
        <f t="shared" si="6"/>
        <v>6019.318182</v>
      </c>
      <c r="P2830" s="2">
        <v>0.0</v>
      </c>
      <c r="Q2830" s="3">
        <f t="shared" si="7"/>
        <v>0</v>
      </c>
      <c r="R2830" s="2">
        <v>160.0</v>
      </c>
      <c r="S2830" s="5">
        <f t="shared" si="8"/>
        <v>1</v>
      </c>
    </row>
    <row r="2831">
      <c r="A2831" s="2">
        <v>0.16667</v>
      </c>
      <c r="B2831" s="2">
        <v>105.0</v>
      </c>
      <c r="C2831" s="2">
        <v>1205.0</v>
      </c>
      <c r="D2831" s="2">
        <v>458.0</v>
      </c>
      <c r="E2831" s="3">
        <f t="shared" si="1"/>
        <v>0.4163636364</v>
      </c>
      <c r="F2831" s="2">
        <v>148.0</v>
      </c>
      <c r="G2831" s="3">
        <f t="shared" si="2"/>
        <v>0.1345454545</v>
      </c>
      <c r="H2831" s="2">
        <v>236.0</v>
      </c>
      <c r="I2831" s="3">
        <f t="shared" si="3"/>
        <v>0.2145454545</v>
      </c>
      <c r="J2831" s="2">
        <v>161.0</v>
      </c>
      <c r="K2831" s="3">
        <f t="shared" si="4"/>
        <v>0.1463636364</v>
      </c>
      <c r="L2831" s="2">
        <v>138.0</v>
      </c>
      <c r="M2831" s="3">
        <f t="shared" si="5"/>
        <v>0.5847457627</v>
      </c>
      <c r="N2831" s="2">
        <v>1348900.0</v>
      </c>
      <c r="O2831" s="4">
        <f t="shared" si="6"/>
        <v>5715.677966</v>
      </c>
      <c r="P2831" s="2">
        <v>0.0</v>
      </c>
      <c r="Q2831" s="3">
        <f t="shared" si="7"/>
        <v>0</v>
      </c>
      <c r="R2831" s="2">
        <v>72.0</v>
      </c>
      <c r="S2831" s="5">
        <f t="shared" si="8"/>
        <v>0.6857142857</v>
      </c>
    </row>
    <row r="2832">
      <c r="A2832" s="2" t="s">
        <v>2840</v>
      </c>
      <c r="B2832" s="2">
        <v>46.0</v>
      </c>
      <c r="C2832" s="2">
        <v>544.0</v>
      </c>
      <c r="D2832" s="2">
        <v>107.0</v>
      </c>
      <c r="E2832" s="3">
        <f t="shared" si="1"/>
        <v>0.2148594378</v>
      </c>
      <c r="F2832" s="2">
        <v>67.0</v>
      </c>
      <c r="G2832" s="3">
        <f t="shared" si="2"/>
        <v>0.1345381526</v>
      </c>
      <c r="H2832" s="2">
        <v>86.0</v>
      </c>
      <c r="I2832" s="3">
        <f t="shared" si="3"/>
        <v>0.1726907631</v>
      </c>
      <c r="J2832" s="2">
        <v>58.0</v>
      </c>
      <c r="K2832" s="3">
        <f t="shared" si="4"/>
        <v>0.1164658635</v>
      </c>
      <c r="L2832" s="2">
        <v>53.0</v>
      </c>
      <c r="M2832" s="3">
        <f t="shared" si="5"/>
        <v>0.6162790698</v>
      </c>
      <c r="N2832" s="2">
        <v>448200.0</v>
      </c>
      <c r="O2832" s="4">
        <f t="shared" si="6"/>
        <v>5211.627907</v>
      </c>
      <c r="P2832" s="2">
        <v>0.0</v>
      </c>
      <c r="Q2832" s="3">
        <f t="shared" si="7"/>
        <v>0</v>
      </c>
      <c r="R2832" s="2">
        <v>46.0</v>
      </c>
      <c r="S2832" s="5">
        <f t="shared" si="8"/>
        <v>1</v>
      </c>
    </row>
    <row r="2833">
      <c r="A2833" s="2" t="s">
        <v>2841</v>
      </c>
      <c r="B2833" s="2">
        <v>1521.0</v>
      </c>
      <c r="C2833" s="2">
        <v>17859.0</v>
      </c>
      <c r="D2833" s="2">
        <v>6723.0</v>
      </c>
      <c r="E2833" s="3">
        <f t="shared" si="1"/>
        <v>0.411494675</v>
      </c>
      <c r="F2833" s="2">
        <v>2198.0</v>
      </c>
      <c r="G2833" s="3">
        <f t="shared" si="2"/>
        <v>0.1345329906</v>
      </c>
      <c r="H2833" s="2">
        <v>3558.0</v>
      </c>
      <c r="I2833" s="3">
        <f t="shared" si="3"/>
        <v>0.2177745134</v>
      </c>
      <c r="J2833" s="2">
        <v>2868.0</v>
      </c>
      <c r="K2833" s="3">
        <f t="shared" si="4"/>
        <v>0.175541682</v>
      </c>
      <c r="L2833" s="2">
        <v>2117.0</v>
      </c>
      <c r="M2833" s="3">
        <f t="shared" si="5"/>
        <v>0.5949971894</v>
      </c>
      <c r="N2833" s="2">
        <v>1.98314E7</v>
      </c>
      <c r="O2833" s="4">
        <f t="shared" si="6"/>
        <v>5573.749297</v>
      </c>
      <c r="P2833" s="2">
        <v>4.0</v>
      </c>
      <c r="Q2833" s="3">
        <f t="shared" si="7"/>
        <v>0.002629848784</v>
      </c>
      <c r="R2833" s="2">
        <v>0.0</v>
      </c>
      <c r="S2833" s="5">
        <f t="shared" si="8"/>
        <v>0</v>
      </c>
    </row>
    <row r="2834">
      <c r="A2834" s="2" t="s">
        <v>2842</v>
      </c>
      <c r="B2834" s="2">
        <v>109.0</v>
      </c>
      <c r="C2834" s="2">
        <v>1276.0</v>
      </c>
      <c r="D2834" s="2">
        <v>433.0</v>
      </c>
      <c r="E2834" s="3">
        <f t="shared" si="1"/>
        <v>0.3710368466</v>
      </c>
      <c r="F2834" s="2">
        <v>157.0</v>
      </c>
      <c r="G2834" s="3">
        <f t="shared" si="2"/>
        <v>0.1345329906</v>
      </c>
      <c r="H2834" s="2">
        <v>225.0</v>
      </c>
      <c r="I2834" s="3">
        <f t="shared" si="3"/>
        <v>0.1928020566</v>
      </c>
      <c r="J2834" s="2">
        <v>168.0</v>
      </c>
      <c r="K2834" s="3">
        <f t="shared" si="4"/>
        <v>0.1439588689</v>
      </c>
      <c r="L2834" s="2">
        <v>137.0</v>
      </c>
      <c r="M2834" s="3">
        <f t="shared" si="5"/>
        <v>0.6088888889</v>
      </c>
      <c r="N2834" s="2">
        <v>1257400.0</v>
      </c>
      <c r="O2834" s="4">
        <f t="shared" si="6"/>
        <v>5588.444444</v>
      </c>
      <c r="P2834" s="2">
        <v>1.0</v>
      </c>
      <c r="Q2834" s="3">
        <f t="shared" si="7"/>
        <v>0.009174311927</v>
      </c>
      <c r="R2834" s="2">
        <v>109.0</v>
      </c>
      <c r="S2834" s="5">
        <f t="shared" si="8"/>
        <v>1</v>
      </c>
    </row>
    <row r="2835">
      <c r="A2835" s="2" t="s">
        <v>2843</v>
      </c>
      <c r="B2835" s="2">
        <v>2024.0</v>
      </c>
      <c r="C2835" s="2">
        <v>23818.0</v>
      </c>
      <c r="D2835" s="2">
        <v>8394.0</v>
      </c>
      <c r="E2835" s="3">
        <f t="shared" si="1"/>
        <v>0.3851518767</v>
      </c>
      <c r="F2835" s="2">
        <v>2932.0</v>
      </c>
      <c r="G2835" s="3">
        <f t="shared" si="2"/>
        <v>0.1345324401</v>
      </c>
      <c r="H2835" s="2">
        <v>4642.0</v>
      </c>
      <c r="I2835" s="3">
        <f t="shared" si="3"/>
        <v>0.2129944021</v>
      </c>
      <c r="J2835" s="2">
        <v>3427.0</v>
      </c>
      <c r="K2835" s="3">
        <f t="shared" si="4"/>
        <v>0.1572451133</v>
      </c>
      <c r="L2835" s="2">
        <v>2854.0</v>
      </c>
      <c r="M2835" s="3">
        <f t="shared" si="5"/>
        <v>0.6148211978</v>
      </c>
      <c r="N2835" s="2">
        <v>2.53525E7</v>
      </c>
      <c r="O2835" s="4">
        <f t="shared" si="6"/>
        <v>5461.546747</v>
      </c>
      <c r="P2835" s="2">
        <v>9.0</v>
      </c>
      <c r="Q2835" s="3">
        <f t="shared" si="7"/>
        <v>0.004446640316</v>
      </c>
      <c r="R2835" s="2">
        <v>1732.0</v>
      </c>
      <c r="S2835" s="5">
        <f t="shared" si="8"/>
        <v>0.8557312253</v>
      </c>
    </row>
    <row r="2836">
      <c r="A2836" s="2" t="s">
        <v>2844</v>
      </c>
      <c r="B2836" s="2">
        <v>36.0</v>
      </c>
      <c r="C2836" s="2">
        <v>430.0</v>
      </c>
      <c r="D2836" s="2">
        <v>141.0</v>
      </c>
      <c r="E2836" s="3">
        <f t="shared" si="1"/>
        <v>0.3578680203</v>
      </c>
      <c r="F2836" s="2">
        <v>53.0</v>
      </c>
      <c r="G2836" s="3">
        <f t="shared" si="2"/>
        <v>0.1345177665</v>
      </c>
      <c r="H2836" s="2">
        <v>87.0</v>
      </c>
      <c r="I2836" s="3">
        <f t="shared" si="3"/>
        <v>0.2208121827</v>
      </c>
      <c r="J2836" s="2">
        <v>65.0</v>
      </c>
      <c r="K2836" s="3">
        <f t="shared" si="4"/>
        <v>0.1649746193</v>
      </c>
      <c r="L2836" s="2">
        <v>58.0</v>
      </c>
      <c r="M2836" s="3">
        <f t="shared" si="5"/>
        <v>0.6666666667</v>
      </c>
      <c r="N2836" s="2">
        <v>442300.0</v>
      </c>
      <c r="O2836" s="4">
        <f t="shared" si="6"/>
        <v>5083.908046</v>
      </c>
      <c r="P2836" s="2">
        <v>1.0</v>
      </c>
      <c r="Q2836" s="3">
        <f t="shared" si="7"/>
        <v>0.02777777778</v>
      </c>
      <c r="R2836" s="2">
        <v>12.0</v>
      </c>
      <c r="S2836" s="5">
        <f t="shared" si="8"/>
        <v>0.3333333333</v>
      </c>
    </row>
    <row r="2837">
      <c r="A2837" s="2" t="s">
        <v>2845</v>
      </c>
      <c r="B2837" s="2">
        <v>416.0</v>
      </c>
      <c r="C2837" s="2">
        <v>4899.0</v>
      </c>
      <c r="D2837" s="2">
        <v>1331.0</v>
      </c>
      <c r="E2837" s="3">
        <f t="shared" si="1"/>
        <v>0.2968993977</v>
      </c>
      <c r="F2837" s="2">
        <v>603.0</v>
      </c>
      <c r="G2837" s="3">
        <f t="shared" si="2"/>
        <v>0.1345081419</v>
      </c>
      <c r="H2837" s="2">
        <v>910.0</v>
      </c>
      <c r="I2837" s="3">
        <f t="shared" si="3"/>
        <v>0.2029890698</v>
      </c>
      <c r="J2837" s="2">
        <v>773.0</v>
      </c>
      <c r="K2837" s="3">
        <f t="shared" si="4"/>
        <v>0.1724291769</v>
      </c>
      <c r="L2837" s="2">
        <v>542.0</v>
      </c>
      <c r="M2837" s="3">
        <f t="shared" si="5"/>
        <v>0.5956043956</v>
      </c>
      <c r="N2837" s="2">
        <v>5299900.0</v>
      </c>
      <c r="O2837" s="4">
        <f t="shared" si="6"/>
        <v>5824.065934</v>
      </c>
      <c r="P2837" s="2">
        <v>1.0</v>
      </c>
      <c r="Q2837" s="3">
        <f t="shared" si="7"/>
        <v>0.002403846154</v>
      </c>
      <c r="R2837" s="2">
        <v>416.0</v>
      </c>
      <c r="S2837" s="5">
        <f t="shared" si="8"/>
        <v>1</v>
      </c>
    </row>
    <row r="2838">
      <c r="A2838" s="2" t="s">
        <v>2846</v>
      </c>
      <c r="B2838" s="2">
        <v>175.0</v>
      </c>
      <c r="C2838" s="2">
        <v>2108.0</v>
      </c>
      <c r="D2838" s="2">
        <v>876.0</v>
      </c>
      <c r="E2838" s="3">
        <f t="shared" si="1"/>
        <v>0.453181583</v>
      </c>
      <c r="F2838" s="2">
        <v>260.0</v>
      </c>
      <c r="G2838" s="3">
        <f t="shared" si="2"/>
        <v>0.1345059493</v>
      </c>
      <c r="H2838" s="2">
        <v>382.0</v>
      </c>
      <c r="I2838" s="3">
        <f t="shared" si="3"/>
        <v>0.1976202794</v>
      </c>
      <c r="J2838" s="2">
        <v>304.0</v>
      </c>
      <c r="K2838" s="3">
        <f t="shared" si="4"/>
        <v>0.1572684946</v>
      </c>
      <c r="L2838" s="2">
        <v>233.0</v>
      </c>
      <c r="M2838" s="3">
        <f t="shared" si="5"/>
        <v>0.609947644</v>
      </c>
      <c r="N2838" s="2">
        <v>2089900.0</v>
      </c>
      <c r="O2838" s="4">
        <f t="shared" si="6"/>
        <v>5470.942408</v>
      </c>
      <c r="P2838" s="2">
        <v>1.0</v>
      </c>
      <c r="Q2838" s="3">
        <f t="shared" si="7"/>
        <v>0.005714285714</v>
      </c>
      <c r="R2838" s="2">
        <v>53.0</v>
      </c>
      <c r="S2838" s="5">
        <f t="shared" si="8"/>
        <v>0.3028571429</v>
      </c>
    </row>
    <row r="2839">
      <c r="A2839" s="2" t="s">
        <v>2847</v>
      </c>
      <c r="B2839" s="2">
        <v>1359.0</v>
      </c>
      <c r="C2839" s="2">
        <v>15872.0</v>
      </c>
      <c r="D2839" s="2">
        <v>5891.0</v>
      </c>
      <c r="E2839" s="3">
        <f t="shared" si="1"/>
        <v>0.405911941</v>
      </c>
      <c r="F2839" s="2">
        <v>1952.0</v>
      </c>
      <c r="G2839" s="3">
        <f t="shared" si="2"/>
        <v>0.1345001034</v>
      </c>
      <c r="H2839" s="2">
        <v>3251.0</v>
      </c>
      <c r="I2839" s="3">
        <f t="shared" si="3"/>
        <v>0.2240060635</v>
      </c>
      <c r="J2839" s="2">
        <v>2352.0</v>
      </c>
      <c r="K2839" s="3">
        <f t="shared" si="4"/>
        <v>0.1620615999</v>
      </c>
      <c r="L2839" s="2">
        <v>1978.0</v>
      </c>
      <c r="M2839" s="3">
        <f t="shared" si="5"/>
        <v>0.6084281759</v>
      </c>
      <c r="N2839" s="2">
        <v>1.7088E7</v>
      </c>
      <c r="O2839" s="4">
        <f t="shared" si="6"/>
        <v>5256.228853</v>
      </c>
      <c r="P2839" s="2">
        <v>1.0</v>
      </c>
      <c r="Q2839" s="3">
        <f t="shared" si="7"/>
        <v>0.0007358351729</v>
      </c>
      <c r="R2839" s="2">
        <v>1359.0</v>
      </c>
      <c r="S2839" s="5">
        <f t="shared" si="8"/>
        <v>1</v>
      </c>
    </row>
    <row r="2840">
      <c r="A2840" s="2" t="s">
        <v>2848</v>
      </c>
      <c r="B2840" s="2">
        <v>982.0</v>
      </c>
      <c r="C2840" s="2">
        <v>11355.0</v>
      </c>
      <c r="D2840" s="2">
        <v>3689.0</v>
      </c>
      <c r="E2840" s="3">
        <f t="shared" si="1"/>
        <v>0.3556348212</v>
      </c>
      <c r="F2840" s="2">
        <v>1395.0</v>
      </c>
      <c r="G2840" s="3">
        <f t="shared" si="2"/>
        <v>0.1344837559</v>
      </c>
      <c r="H2840" s="2">
        <v>2299.0</v>
      </c>
      <c r="I2840" s="3">
        <f t="shared" si="3"/>
        <v>0.2216330859</v>
      </c>
      <c r="J2840" s="2">
        <v>1780.0</v>
      </c>
      <c r="K2840" s="3">
        <f t="shared" si="4"/>
        <v>0.1715993445</v>
      </c>
      <c r="L2840" s="2">
        <v>1388.0</v>
      </c>
      <c r="M2840" s="3">
        <f t="shared" si="5"/>
        <v>0.6037407569</v>
      </c>
      <c r="N2840" s="2">
        <v>1.2974E7</v>
      </c>
      <c r="O2840" s="4">
        <f t="shared" si="6"/>
        <v>5643.323184</v>
      </c>
      <c r="P2840" s="2">
        <v>2.0</v>
      </c>
      <c r="Q2840" s="3">
        <f t="shared" si="7"/>
        <v>0.002036659878</v>
      </c>
      <c r="R2840" s="2">
        <v>982.0</v>
      </c>
      <c r="S2840" s="5">
        <f t="shared" si="8"/>
        <v>1</v>
      </c>
    </row>
    <row r="2841">
      <c r="A2841" s="2" t="s">
        <v>2849</v>
      </c>
      <c r="B2841" s="2">
        <v>613.0</v>
      </c>
      <c r="C2841" s="2">
        <v>7231.0</v>
      </c>
      <c r="D2841" s="2">
        <v>2427.0</v>
      </c>
      <c r="E2841" s="3">
        <f t="shared" si="1"/>
        <v>0.3667271079</v>
      </c>
      <c r="F2841" s="2">
        <v>890.0</v>
      </c>
      <c r="G2841" s="3">
        <f t="shared" si="2"/>
        <v>0.1344817165</v>
      </c>
      <c r="H2841" s="2">
        <v>1394.0</v>
      </c>
      <c r="I2841" s="3">
        <f t="shared" si="3"/>
        <v>0.2106376549</v>
      </c>
      <c r="J2841" s="2">
        <v>1093.0</v>
      </c>
      <c r="K2841" s="3">
        <f t="shared" si="4"/>
        <v>0.1651556361</v>
      </c>
      <c r="L2841" s="2">
        <v>831.0</v>
      </c>
      <c r="M2841" s="3">
        <f t="shared" si="5"/>
        <v>0.5961262554</v>
      </c>
      <c r="N2841" s="2">
        <v>7899800.0</v>
      </c>
      <c r="O2841" s="4">
        <f t="shared" si="6"/>
        <v>5667.001435</v>
      </c>
      <c r="P2841" s="2">
        <v>3.0</v>
      </c>
      <c r="Q2841" s="3">
        <f t="shared" si="7"/>
        <v>0.004893964111</v>
      </c>
      <c r="R2841" s="2">
        <v>613.0</v>
      </c>
      <c r="S2841" s="5">
        <f t="shared" si="8"/>
        <v>1</v>
      </c>
    </row>
    <row r="2842">
      <c r="A2842" s="2" t="s">
        <v>2850</v>
      </c>
      <c r="B2842" s="2">
        <v>189.0</v>
      </c>
      <c r="C2842" s="2">
        <v>2167.0</v>
      </c>
      <c r="D2842" s="2">
        <v>744.0</v>
      </c>
      <c r="E2842" s="3">
        <f t="shared" si="1"/>
        <v>0.3761375126</v>
      </c>
      <c r="F2842" s="2">
        <v>266.0</v>
      </c>
      <c r="G2842" s="3">
        <f t="shared" si="2"/>
        <v>0.134479272</v>
      </c>
      <c r="H2842" s="2">
        <v>449.0</v>
      </c>
      <c r="I2842" s="3">
        <f t="shared" si="3"/>
        <v>0.2269969666</v>
      </c>
      <c r="J2842" s="2">
        <v>367.0</v>
      </c>
      <c r="K2842" s="3">
        <f t="shared" si="4"/>
        <v>0.1855409505</v>
      </c>
      <c r="L2842" s="2">
        <v>249.0</v>
      </c>
      <c r="M2842" s="3">
        <f t="shared" si="5"/>
        <v>0.5545657016</v>
      </c>
      <c r="N2842" s="2">
        <v>2617900.0</v>
      </c>
      <c r="O2842" s="4">
        <f t="shared" si="6"/>
        <v>5830.512249</v>
      </c>
      <c r="P2842" s="2">
        <v>0.0</v>
      </c>
      <c r="Q2842" s="3">
        <f t="shared" si="7"/>
        <v>0</v>
      </c>
      <c r="R2842" s="2">
        <v>189.0</v>
      </c>
      <c r="S2842" s="5">
        <f t="shared" si="8"/>
        <v>1</v>
      </c>
    </row>
    <row r="2843">
      <c r="A2843" s="2" t="s">
        <v>2851</v>
      </c>
      <c r="B2843" s="2">
        <v>1073.0</v>
      </c>
      <c r="C2843" s="2">
        <v>12526.0</v>
      </c>
      <c r="D2843" s="2">
        <v>3608.0</v>
      </c>
      <c r="E2843" s="3">
        <f t="shared" si="1"/>
        <v>0.3150266306</v>
      </c>
      <c r="F2843" s="2">
        <v>1540.0</v>
      </c>
      <c r="G2843" s="3">
        <f t="shared" si="2"/>
        <v>0.1344625862</v>
      </c>
      <c r="H2843" s="2">
        <v>2560.0</v>
      </c>
      <c r="I2843" s="3">
        <f t="shared" si="3"/>
        <v>0.2235222213</v>
      </c>
      <c r="J2843" s="2">
        <v>1894.0</v>
      </c>
      <c r="K2843" s="3">
        <f t="shared" si="4"/>
        <v>0.1653715184</v>
      </c>
      <c r="L2843" s="2">
        <v>1532.0</v>
      </c>
      <c r="M2843" s="3">
        <f t="shared" si="5"/>
        <v>0.5984375</v>
      </c>
      <c r="N2843" s="2">
        <v>1.50504E7</v>
      </c>
      <c r="O2843" s="4">
        <f t="shared" si="6"/>
        <v>5879.0625</v>
      </c>
      <c r="P2843" s="2">
        <v>4.0</v>
      </c>
      <c r="Q2843" s="3">
        <f t="shared" si="7"/>
        <v>0.003727865797</v>
      </c>
      <c r="R2843" s="2">
        <v>1073.0</v>
      </c>
      <c r="S2843" s="5">
        <f t="shared" si="8"/>
        <v>1</v>
      </c>
    </row>
    <row r="2844">
      <c r="A2844" s="2" t="s">
        <v>2852</v>
      </c>
      <c r="B2844" s="2">
        <v>1053.0</v>
      </c>
      <c r="C2844" s="2">
        <v>12224.0</v>
      </c>
      <c r="D2844" s="2">
        <v>3091.0</v>
      </c>
      <c r="E2844" s="3">
        <f t="shared" si="1"/>
        <v>0.2766985946</v>
      </c>
      <c r="F2844" s="2">
        <v>1502.0</v>
      </c>
      <c r="G2844" s="3">
        <f t="shared" si="2"/>
        <v>0.134455286</v>
      </c>
      <c r="H2844" s="2">
        <v>2301.0</v>
      </c>
      <c r="I2844" s="3">
        <f t="shared" si="3"/>
        <v>0.205979769</v>
      </c>
      <c r="J2844" s="2">
        <v>2000.0</v>
      </c>
      <c r="K2844" s="3">
        <f t="shared" si="4"/>
        <v>0.1790350013</v>
      </c>
      <c r="L2844" s="2">
        <v>1375.0</v>
      </c>
      <c r="M2844" s="3">
        <f t="shared" si="5"/>
        <v>0.5975662755</v>
      </c>
      <c r="N2844" s="2">
        <v>1.38466E7</v>
      </c>
      <c r="O2844" s="4">
        <f t="shared" si="6"/>
        <v>6017.644502</v>
      </c>
      <c r="P2844" s="2">
        <v>0.0</v>
      </c>
      <c r="Q2844" s="3">
        <f t="shared" si="7"/>
        <v>0</v>
      </c>
      <c r="R2844" s="2">
        <v>1053.0</v>
      </c>
      <c r="S2844" s="5">
        <f t="shared" si="8"/>
        <v>1</v>
      </c>
    </row>
    <row r="2845">
      <c r="A2845" s="2" t="s">
        <v>2853</v>
      </c>
      <c r="B2845" s="2">
        <v>237.0</v>
      </c>
      <c r="C2845" s="2">
        <v>2736.0</v>
      </c>
      <c r="D2845" s="2">
        <v>416.0</v>
      </c>
      <c r="E2845" s="3">
        <f t="shared" si="1"/>
        <v>0.1664665866</v>
      </c>
      <c r="F2845" s="2">
        <v>336.0</v>
      </c>
      <c r="G2845" s="3">
        <f t="shared" si="2"/>
        <v>0.1344537815</v>
      </c>
      <c r="H2845" s="2">
        <v>473.0</v>
      </c>
      <c r="I2845" s="3">
        <f t="shared" si="3"/>
        <v>0.1892757103</v>
      </c>
      <c r="J2845" s="2">
        <v>589.0</v>
      </c>
      <c r="K2845" s="3">
        <f t="shared" si="4"/>
        <v>0.2356942777</v>
      </c>
      <c r="L2845" s="2">
        <v>258.0</v>
      </c>
      <c r="M2845" s="3">
        <f t="shared" si="5"/>
        <v>0.5454545455</v>
      </c>
      <c r="N2845" s="2">
        <v>3068900.0</v>
      </c>
      <c r="O2845" s="4">
        <f t="shared" si="6"/>
        <v>6488.160677</v>
      </c>
      <c r="P2845" s="2">
        <v>0.0</v>
      </c>
      <c r="Q2845" s="3">
        <f t="shared" si="7"/>
        <v>0</v>
      </c>
      <c r="R2845" s="2">
        <v>237.0</v>
      </c>
      <c r="S2845" s="5">
        <f t="shared" si="8"/>
        <v>1</v>
      </c>
    </row>
    <row r="2846">
      <c r="A2846" s="2" t="s">
        <v>2854</v>
      </c>
      <c r="B2846" s="2">
        <v>694.0</v>
      </c>
      <c r="C2846" s="2">
        <v>8184.0</v>
      </c>
      <c r="D2846" s="2">
        <v>2769.0</v>
      </c>
      <c r="E2846" s="3">
        <f t="shared" si="1"/>
        <v>0.3696929239</v>
      </c>
      <c r="F2846" s="2">
        <v>1007.0</v>
      </c>
      <c r="G2846" s="3">
        <f t="shared" si="2"/>
        <v>0.1344459279</v>
      </c>
      <c r="H2846" s="2">
        <v>1591.0</v>
      </c>
      <c r="I2846" s="3">
        <f t="shared" si="3"/>
        <v>0.2124165554</v>
      </c>
      <c r="J2846" s="2">
        <v>1336.0</v>
      </c>
      <c r="K2846" s="3">
        <f t="shared" si="4"/>
        <v>0.1783711615</v>
      </c>
      <c r="L2846" s="2">
        <v>909.0</v>
      </c>
      <c r="M2846" s="3">
        <f t="shared" si="5"/>
        <v>0.5713387806</v>
      </c>
      <c r="N2846" s="2">
        <v>8965900.0</v>
      </c>
      <c r="O2846" s="4">
        <f t="shared" si="6"/>
        <v>5635.386549</v>
      </c>
      <c r="P2846" s="2">
        <v>2.0</v>
      </c>
      <c r="Q2846" s="3">
        <f t="shared" si="7"/>
        <v>0.00288184438</v>
      </c>
      <c r="R2846" s="2">
        <v>246.0</v>
      </c>
      <c r="S2846" s="5">
        <f t="shared" si="8"/>
        <v>0.3544668588</v>
      </c>
    </row>
    <row r="2847">
      <c r="A2847" s="2" t="s">
        <v>2855</v>
      </c>
      <c r="B2847" s="2">
        <v>874.0</v>
      </c>
      <c r="C2847" s="2">
        <v>10194.0</v>
      </c>
      <c r="D2847" s="2">
        <v>2892.0</v>
      </c>
      <c r="E2847" s="3">
        <f t="shared" si="1"/>
        <v>0.3103004292</v>
      </c>
      <c r="F2847" s="2">
        <v>1253.0</v>
      </c>
      <c r="G2847" s="3">
        <f t="shared" si="2"/>
        <v>0.1344420601</v>
      </c>
      <c r="H2847" s="2">
        <v>1992.0</v>
      </c>
      <c r="I2847" s="3">
        <f t="shared" si="3"/>
        <v>0.2137339056</v>
      </c>
      <c r="J2847" s="2">
        <v>1825.0</v>
      </c>
      <c r="K2847" s="3">
        <f t="shared" si="4"/>
        <v>0.1958154506</v>
      </c>
      <c r="L2847" s="2">
        <v>1171.0</v>
      </c>
      <c r="M2847" s="3">
        <f t="shared" si="5"/>
        <v>0.5878514056</v>
      </c>
      <c r="N2847" s="2">
        <v>1.19183E7</v>
      </c>
      <c r="O2847" s="4">
        <f t="shared" si="6"/>
        <v>5983.082329</v>
      </c>
      <c r="P2847" s="2">
        <v>1.0</v>
      </c>
      <c r="Q2847" s="3">
        <f t="shared" si="7"/>
        <v>0.00114416476</v>
      </c>
      <c r="R2847" s="2">
        <v>874.0</v>
      </c>
      <c r="S2847" s="5">
        <f t="shared" si="8"/>
        <v>1</v>
      </c>
    </row>
    <row r="2848">
      <c r="A2848" s="2" t="s">
        <v>2856</v>
      </c>
      <c r="B2848" s="2">
        <v>1249.0</v>
      </c>
      <c r="C2848" s="2">
        <v>14675.0</v>
      </c>
      <c r="D2848" s="2">
        <v>5028.0</v>
      </c>
      <c r="E2848" s="3">
        <f t="shared" si="1"/>
        <v>0.3744972442</v>
      </c>
      <c r="F2848" s="2">
        <v>1805.0</v>
      </c>
      <c r="G2848" s="3">
        <f t="shared" si="2"/>
        <v>0.1344406376</v>
      </c>
      <c r="H2848" s="2">
        <v>3147.0</v>
      </c>
      <c r="I2848" s="3">
        <f t="shared" si="3"/>
        <v>0.2343959482</v>
      </c>
      <c r="J2848" s="2">
        <v>2645.0</v>
      </c>
      <c r="K2848" s="3">
        <f t="shared" si="4"/>
        <v>0.1970058096</v>
      </c>
      <c r="L2848" s="2">
        <v>1874.0</v>
      </c>
      <c r="M2848" s="3">
        <f t="shared" si="5"/>
        <v>0.5954877661</v>
      </c>
      <c r="N2848" s="2">
        <v>1.78461E7</v>
      </c>
      <c r="O2848" s="4">
        <f t="shared" si="6"/>
        <v>5670.829361</v>
      </c>
      <c r="P2848" s="2">
        <v>3.0</v>
      </c>
      <c r="Q2848" s="3">
        <f t="shared" si="7"/>
        <v>0.002401921537</v>
      </c>
      <c r="R2848" s="2">
        <v>1249.0</v>
      </c>
      <c r="S2848" s="5">
        <f t="shared" si="8"/>
        <v>1</v>
      </c>
    </row>
    <row r="2849">
      <c r="A2849" s="2" t="s">
        <v>2857</v>
      </c>
      <c r="B2849" s="2">
        <v>90.0</v>
      </c>
      <c r="C2849" s="2">
        <v>1057.0</v>
      </c>
      <c r="D2849" s="2">
        <v>156.0</v>
      </c>
      <c r="E2849" s="3">
        <f t="shared" si="1"/>
        <v>0.1613236815</v>
      </c>
      <c r="F2849" s="2">
        <v>130.0</v>
      </c>
      <c r="G2849" s="3">
        <f t="shared" si="2"/>
        <v>0.1344364012</v>
      </c>
      <c r="H2849" s="2">
        <v>183.0</v>
      </c>
      <c r="I2849" s="3">
        <f t="shared" si="3"/>
        <v>0.1892450879</v>
      </c>
      <c r="J2849" s="2">
        <v>210.0</v>
      </c>
      <c r="K2849" s="3">
        <f t="shared" si="4"/>
        <v>0.2171664943</v>
      </c>
      <c r="L2849" s="2">
        <v>100.0</v>
      </c>
      <c r="M2849" s="3">
        <f t="shared" si="5"/>
        <v>0.5464480874</v>
      </c>
      <c r="N2849" s="2">
        <v>1197100.0</v>
      </c>
      <c r="O2849" s="4">
        <f t="shared" si="6"/>
        <v>6541.530055</v>
      </c>
      <c r="P2849" s="2">
        <v>0.0</v>
      </c>
      <c r="Q2849" s="3">
        <f t="shared" si="7"/>
        <v>0</v>
      </c>
      <c r="R2849" s="2">
        <v>90.0</v>
      </c>
      <c r="S2849" s="5">
        <f t="shared" si="8"/>
        <v>1</v>
      </c>
    </row>
    <row r="2850">
      <c r="A2850" s="2" t="s">
        <v>2858</v>
      </c>
      <c r="B2850" s="2">
        <v>399.0</v>
      </c>
      <c r="C2850" s="2">
        <v>4669.0</v>
      </c>
      <c r="D2850" s="2">
        <v>1365.0</v>
      </c>
      <c r="E2850" s="3">
        <f t="shared" si="1"/>
        <v>0.3196721311</v>
      </c>
      <c r="F2850" s="2">
        <v>574.0</v>
      </c>
      <c r="G2850" s="3">
        <f t="shared" si="2"/>
        <v>0.1344262295</v>
      </c>
      <c r="H2850" s="2">
        <v>856.0</v>
      </c>
      <c r="I2850" s="3">
        <f t="shared" si="3"/>
        <v>0.2004683841</v>
      </c>
      <c r="J2850" s="2">
        <v>623.0</v>
      </c>
      <c r="K2850" s="3">
        <f t="shared" si="4"/>
        <v>0.1459016393</v>
      </c>
      <c r="L2850" s="2">
        <v>542.0</v>
      </c>
      <c r="M2850" s="3">
        <f t="shared" si="5"/>
        <v>0.6331775701</v>
      </c>
      <c r="N2850" s="2">
        <v>4689300.0</v>
      </c>
      <c r="O2850" s="4">
        <f t="shared" si="6"/>
        <v>5478.154206</v>
      </c>
      <c r="P2850" s="2">
        <v>2.0</v>
      </c>
      <c r="Q2850" s="3">
        <f t="shared" si="7"/>
        <v>0.005012531328</v>
      </c>
      <c r="R2850" s="2">
        <v>399.0</v>
      </c>
      <c r="S2850" s="5">
        <f t="shared" si="8"/>
        <v>1</v>
      </c>
    </row>
    <row r="2851">
      <c r="A2851" s="2" t="s">
        <v>2859</v>
      </c>
      <c r="B2851" s="2">
        <v>325.0</v>
      </c>
      <c r="C2851" s="2">
        <v>3814.0</v>
      </c>
      <c r="D2851" s="2">
        <v>1357.0</v>
      </c>
      <c r="E2851" s="3">
        <f t="shared" si="1"/>
        <v>0.3889366581</v>
      </c>
      <c r="F2851" s="2">
        <v>469.0</v>
      </c>
      <c r="G2851" s="3">
        <f t="shared" si="2"/>
        <v>0.1344224706</v>
      </c>
      <c r="H2851" s="2">
        <v>752.0</v>
      </c>
      <c r="I2851" s="3">
        <f t="shared" si="3"/>
        <v>0.2155345371</v>
      </c>
      <c r="J2851" s="2">
        <v>569.0</v>
      </c>
      <c r="K2851" s="3">
        <f t="shared" si="4"/>
        <v>0.1630839782</v>
      </c>
      <c r="L2851" s="2">
        <v>444.0</v>
      </c>
      <c r="M2851" s="3">
        <f t="shared" si="5"/>
        <v>0.5904255319</v>
      </c>
      <c r="N2851" s="2">
        <v>4011500.0</v>
      </c>
      <c r="O2851" s="4">
        <f t="shared" si="6"/>
        <v>5334.441489</v>
      </c>
      <c r="P2851" s="2">
        <v>0.0</v>
      </c>
      <c r="Q2851" s="3">
        <f t="shared" si="7"/>
        <v>0</v>
      </c>
      <c r="R2851" s="2">
        <v>322.0</v>
      </c>
      <c r="S2851" s="5">
        <f t="shared" si="8"/>
        <v>0.9907692308</v>
      </c>
    </row>
    <row r="2852">
      <c r="A2852" s="2" t="s">
        <v>2860</v>
      </c>
      <c r="B2852" s="2">
        <v>1400.0</v>
      </c>
      <c r="C2852" s="2">
        <v>16316.0</v>
      </c>
      <c r="D2852" s="2">
        <v>6439.0</v>
      </c>
      <c r="E2852" s="3">
        <f t="shared" si="1"/>
        <v>0.4316840976</v>
      </c>
      <c r="F2852" s="2">
        <v>2005.0</v>
      </c>
      <c r="G2852" s="3">
        <f t="shared" si="2"/>
        <v>0.1344194154</v>
      </c>
      <c r="H2852" s="2">
        <v>3337.0</v>
      </c>
      <c r="I2852" s="3">
        <f t="shared" si="3"/>
        <v>0.2237194958</v>
      </c>
      <c r="J2852" s="2">
        <v>2510.0</v>
      </c>
      <c r="K2852" s="3">
        <f t="shared" si="4"/>
        <v>0.1682756771</v>
      </c>
      <c r="L2852" s="2">
        <v>2024.0</v>
      </c>
      <c r="M2852" s="3">
        <f t="shared" si="5"/>
        <v>0.6065328139</v>
      </c>
      <c r="N2852" s="2">
        <v>1.81586E7</v>
      </c>
      <c r="O2852" s="4">
        <f t="shared" si="6"/>
        <v>5441.594246</v>
      </c>
      <c r="P2852" s="2">
        <v>2.0</v>
      </c>
      <c r="Q2852" s="3">
        <f t="shared" si="7"/>
        <v>0.001428571429</v>
      </c>
      <c r="R2852" s="2">
        <v>0.0</v>
      </c>
      <c r="S2852" s="5">
        <f t="shared" si="8"/>
        <v>0</v>
      </c>
    </row>
    <row r="2853">
      <c r="A2853" s="2" t="s">
        <v>2861</v>
      </c>
      <c r="B2853" s="2">
        <v>1098.0</v>
      </c>
      <c r="C2853" s="2">
        <v>12875.0</v>
      </c>
      <c r="D2853" s="2">
        <v>3978.0</v>
      </c>
      <c r="E2853" s="3">
        <f t="shared" si="1"/>
        <v>0.337777023</v>
      </c>
      <c r="F2853" s="2">
        <v>1583.0</v>
      </c>
      <c r="G2853" s="3">
        <f t="shared" si="2"/>
        <v>0.1344145368</v>
      </c>
      <c r="H2853" s="2">
        <v>2650.0</v>
      </c>
      <c r="I2853" s="3">
        <f t="shared" si="3"/>
        <v>0.2250148595</v>
      </c>
      <c r="J2853" s="2">
        <v>1995.0</v>
      </c>
      <c r="K2853" s="3">
        <f t="shared" si="4"/>
        <v>0.1693979791</v>
      </c>
      <c r="L2853" s="2">
        <v>1657.0</v>
      </c>
      <c r="M2853" s="3">
        <f t="shared" si="5"/>
        <v>0.6252830189</v>
      </c>
      <c r="N2853" s="2">
        <v>1.48086E7</v>
      </c>
      <c r="O2853" s="4">
        <f t="shared" si="6"/>
        <v>5588.150943</v>
      </c>
      <c r="P2853" s="2">
        <v>3.0</v>
      </c>
      <c r="Q2853" s="3">
        <f t="shared" si="7"/>
        <v>0.002732240437</v>
      </c>
      <c r="R2853" s="2">
        <v>1098.0</v>
      </c>
      <c r="S2853" s="5">
        <f t="shared" si="8"/>
        <v>1</v>
      </c>
    </row>
    <row r="2854">
      <c r="A2854" s="2" t="s">
        <v>2862</v>
      </c>
      <c r="B2854" s="2">
        <v>118.0</v>
      </c>
      <c r="C2854" s="2">
        <v>1353.0</v>
      </c>
      <c r="D2854" s="2">
        <v>450.0</v>
      </c>
      <c r="E2854" s="3">
        <f t="shared" si="1"/>
        <v>0.3643724696</v>
      </c>
      <c r="F2854" s="2">
        <v>166.0</v>
      </c>
      <c r="G2854" s="3">
        <f t="shared" si="2"/>
        <v>0.1344129555</v>
      </c>
      <c r="H2854" s="2">
        <v>252.0</v>
      </c>
      <c r="I2854" s="3">
        <f t="shared" si="3"/>
        <v>0.204048583</v>
      </c>
      <c r="J2854" s="2">
        <v>178.0</v>
      </c>
      <c r="K2854" s="3">
        <f t="shared" si="4"/>
        <v>0.1441295547</v>
      </c>
      <c r="L2854" s="2">
        <v>146.0</v>
      </c>
      <c r="M2854" s="3">
        <f t="shared" si="5"/>
        <v>0.5793650794</v>
      </c>
      <c r="N2854" s="2">
        <v>1290700.0</v>
      </c>
      <c r="O2854" s="4">
        <f t="shared" si="6"/>
        <v>5121.825397</v>
      </c>
      <c r="P2854" s="2">
        <v>0.0</v>
      </c>
      <c r="Q2854" s="3">
        <f t="shared" si="7"/>
        <v>0</v>
      </c>
      <c r="R2854" s="2">
        <v>118.0</v>
      </c>
      <c r="S2854" s="5">
        <f t="shared" si="8"/>
        <v>1</v>
      </c>
    </row>
    <row r="2855">
      <c r="A2855" s="2" t="s">
        <v>2863</v>
      </c>
      <c r="B2855" s="2">
        <v>417.0</v>
      </c>
      <c r="C2855" s="2">
        <v>4963.0</v>
      </c>
      <c r="D2855" s="2">
        <v>1686.0</v>
      </c>
      <c r="E2855" s="3">
        <f t="shared" si="1"/>
        <v>0.3708754949</v>
      </c>
      <c r="F2855" s="2">
        <v>611.0</v>
      </c>
      <c r="G2855" s="3">
        <f t="shared" si="2"/>
        <v>0.1344038715</v>
      </c>
      <c r="H2855" s="2">
        <v>951.0</v>
      </c>
      <c r="I2855" s="3">
        <f t="shared" si="3"/>
        <v>0.2091948966</v>
      </c>
      <c r="J2855" s="2">
        <v>824.0</v>
      </c>
      <c r="K2855" s="3">
        <f t="shared" si="4"/>
        <v>0.181258249</v>
      </c>
      <c r="L2855" s="2">
        <v>563.0</v>
      </c>
      <c r="M2855" s="3">
        <f t="shared" si="5"/>
        <v>0.5920084122</v>
      </c>
      <c r="N2855" s="2">
        <v>5320400.0</v>
      </c>
      <c r="O2855" s="4">
        <f t="shared" si="6"/>
        <v>5594.532072</v>
      </c>
      <c r="P2855" s="2">
        <v>0.0</v>
      </c>
      <c r="Q2855" s="3">
        <f t="shared" si="7"/>
        <v>0</v>
      </c>
      <c r="R2855" s="2">
        <v>417.0</v>
      </c>
      <c r="S2855" s="5">
        <f t="shared" si="8"/>
        <v>1</v>
      </c>
    </row>
    <row r="2856">
      <c r="A2856" s="2" t="s">
        <v>2864</v>
      </c>
      <c r="B2856" s="2">
        <v>137.0</v>
      </c>
      <c r="C2856" s="2">
        <v>1640.0</v>
      </c>
      <c r="D2856" s="2">
        <v>424.0</v>
      </c>
      <c r="E2856" s="3">
        <f t="shared" si="1"/>
        <v>0.2821024617</v>
      </c>
      <c r="F2856" s="2">
        <v>202.0</v>
      </c>
      <c r="G2856" s="3">
        <f t="shared" si="2"/>
        <v>0.1343978709</v>
      </c>
      <c r="H2856" s="2">
        <v>299.0</v>
      </c>
      <c r="I2856" s="3">
        <f t="shared" si="3"/>
        <v>0.1989354624</v>
      </c>
      <c r="J2856" s="2">
        <v>239.0</v>
      </c>
      <c r="K2856" s="3">
        <f t="shared" si="4"/>
        <v>0.1590153027</v>
      </c>
      <c r="L2856" s="2">
        <v>172.0</v>
      </c>
      <c r="M2856" s="3">
        <f t="shared" si="5"/>
        <v>0.5752508361</v>
      </c>
      <c r="N2856" s="2">
        <v>1733500.0</v>
      </c>
      <c r="O2856" s="4">
        <f t="shared" si="6"/>
        <v>5797.658863</v>
      </c>
      <c r="P2856" s="2">
        <v>0.0</v>
      </c>
      <c r="Q2856" s="3">
        <f t="shared" si="7"/>
        <v>0</v>
      </c>
      <c r="R2856" s="2">
        <v>137.0</v>
      </c>
      <c r="S2856" s="5">
        <f t="shared" si="8"/>
        <v>1</v>
      </c>
    </row>
    <row r="2857">
      <c r="A2857" s="2" t="s">
        <v>2865</v>
      </c>
      <c r="B2857" s="2">
        <v>147.0</v>
      </c>
      <c r="C2857" s="2">
        <v>1784.0</v>
      </c>
      <c r="D2857" s="2">
        <v>380.0</v>
      </c>
      <c r="E2857" s="3">
        <f t="shared" si="1"/>
        <v>0.2321319487</v>
      </c>
      <c r="F2857" s="2">
        <v>220.0</v>
      </c>
      <c r="G2857" s="3">
        <f t="shared" si="2"/>
        <v>0.1343921808</v>
      </c>
      <c r="H2857" s="2">
        <v>329.0</v>
      </c>
      <c r="I2857" s="3">
        <f t="shared" si="3"/>
        <v>0.2009773977</v>
      </c>
      <c r="J2857" s="2">
        <v>315.0</v>
      </c>
      <c r="K2857" s="3">
        <f t="shared" si="4"/>
        <v>0.192425168</v>
      </c>
      <c r="L2857" s="2">
        <v>208.0</v>
      </c>
      <c r="M2857" s="3">
        <f t="shared" si="5"/>
        <v>0.632218845</v>
      </c>
      <c r="N2857" s="2">
        <v>2003500.0</v>
      </c>
      <c r="O2857" s="4">
        <f t="shared" si="6"/>
        <v>6089.665653</v>
      </c>
      <c r="P2857" s="2">
        <v>0.0</v>
      </c>
      <c r="Q2857" s="3">
        <f t="shared" si="7"/>
        <v>0</v>
      </c>
      <c r="R2857" s="2">
        <v>147.0</v>
      </c>
      <c r="S2857" s="5">
        <f t="shared" si="8"/>
        <v>1</v>
      </c>
    </row>
    <row r="2858">
      <c r="A2858" s="2" t="s">
        <v>2866</v>
      </c>
      <c r="B2858" s="2">
        <v>25.0</v>
      </c>
      <c r="C2858" s="2">
        <v>278.0</v>
      </c>
      <c r="D2858" s="2">
        <v>97.0</v>
      </c>
      <c r="E2858" s="3">
        <f t="shared" si="1"/>
        <v>0.3833992095</v>
      </c>
      <c r="F2858" s="2">
        <v>34.0</v>
      </c>
      <c r="G2858" s="3">
        <f t="shared" si="2"/>
        <v>0.1343873518</v>
      </c>
      <c r="H2858" s="2">
        <v>33.0</v>
      </c>
      <c r="I2858" s="3">
        <f t="shared" si="3"/>
        <v>0.1304347826</v>
      </c>
      <c r="J2858" s="2">
        <v>41.0</v>
      </c>
      <c r="K2858" s="3">
        <f t="shared" si="4"/>
        <v>0.162055336</v>
      </c>
      <c r="L2858" s="2">
        <v>15.0</v>
      </c>
      <c r="M2858" s="3">
        <f t="shared" si="5"/>
        <v>0.4545454545</v>
      </c>
      <c r="N2858" s="2">
        <v>222200.0</v>
      </c>
      <c r="O2858" s="4">
        <f t="shared" si="6"/>
        <v>6733.333333</v>
      </c>
      <c r="P2858" s="2">
        <v>0.0</v>
      </c>
      <c r="Q2858" s="3">
        <f t="shared" si="7"/>
        <v>0</v>
      </c>
      <c r="R2858" s="2">
        <v>25.0</v>
      </c>
      <c r="S2858" s="5">
        <f t="shared" si="8"/>
        <v>1</v>
      </c>
    </row>
    <row r="2859">
      <c r="A2859" s="2" t="s">
        <v>2867</v>
      </c>
      <c r="B2859" s="2">
        <v>911.0</v>
      </c>
      <c r="C2859" s="2">
        <v>10689.0</v>
      </c>
      <c r="D2859" s="2">
        <v>3147.0</v>
      </c>
      <c r="E2859" s="3">
        <f t="shared" si="1"/>
        <v>0.3218449581</v>
      </c>
      <c r="F2859" s="2">
        <v>1314.0</v>
      </c>
      <c r="G2859" s="3">
        <f t="shared" si="2"/>
        <v>0.1343833095</v>
      </c>
      <c r="H2859" s="2">
        <v>2173.0</v>
      </c>
      <c r="I2859" s="3">
        <f t="shared" si="3"/>
        <v>0.2222335856</v>
      </c>
      <c r="J2859" s="2">
        <v>1414.0</v>
      </c>
      <c r="K2859" s="3">
        <f t="shared" si="4"/>
        <v>0.1446103498</v>
      </c>
      <c r="L2859" s="2">
        <v>1349.0</v>
      </c>
      <c r="M2859" s="3">
        <f t="shared" si="5"/>
        <v>0.6208007363</v>
      </c>
      <c r="N2859" s="2">
        <v>1.22759E7</v>
      </c>
      <c r="O2859" s="4">
        <f t="shared" si="6"/>
        <v>5649.2867</v>
      </c>
      <c r="P2859" s="2">
        <v>1.0</v>
      </c>
      <c r="Q2859" s="3">
        <f t="shared" si="7"/>
        <v>0.001097694841</v>
      </c>
      <c r="R2859" s="2">
        <v>911.0</v>
      </c>
      <c r="S2859" s="5">
        <f t="shared" si="8"/>
        <v>1</v>
      </c>
    </row>
    <row r="2860">
      <c r="A2860" s="2" t="s">
        <v>2868</v>
      </c>
      <c r="B2860" s="2">
        <v>177.0</v>
      </c>
      <c r="C2860" s="2">
        <v>2082.0</v>
      </c>
      <c r="D2860" s="2">
        <v>687.0</v>
      </c>
      <c r="E2860" s="3">
        <f t="shared" si="1"/>
        <v>0.3606299213</v>
      </c>
      <c r="F2860" s="2">
        <v>256.0</v>
      </c>
      <c r="G2860" s="3">
        <f t="shared" si="2"/>
        <v>0.1343832021</v>
      </c>
      <c r="H2860" s="2">
        <v>398.0</v>
      </c>
      <c r="I2860" s="3">
        <f t="shared" si="3"/>
        <v>0.2089238845</v>
      </c>
      <c r="J2860" s="2">
        <v>380.0</v>
      </c>
      <c r="K2860" s="3">
        <f t="shared" si="4"/>
        <v>0.1994750656</v>
      </c>
      <c r="L2860" s="2">
        <v>229.0</v>
      </c>
      <c r="M2860" s="3">
        <f t="shared" si="5"/>
        <v>0.5753768844</v>
      </c>
      <c r="N2860" s="2">
        <v>2252000.0</v>
      </c>
      <c r="O2860" s="4">
        <f t="shared" si="6"/>
        <v>5658.291457</v>
      </c>
      <c r="P2860" s="2">
        <v>1.0</v>
      </c>
      <c r="Q2860" s="3">
        <f t="shared" si="7"/>
        <v>0.005649717514</v>
      </c>
      <c r="R2860" s="2">
        <v>177.0</v>
      </c>
      <c r="S2860" s="5">
        <f t="shared" si="8"/>
        <v>1</v>
      </c>
    </row>
    <row r="2861">
      <c r="A2861" s="2" t="s">
        <v>2869</v>
      </c>
      <c r="B2861" s="2">
        <v>359.0</v>
      </c>
      <c r="C2861" s="2">
        <v>4117.0</v>
      </c>
      <c r="D2861" s="2">
        <v>1295.0</v>
      </c>
      <c r="E2861" s="3">
        <f t="shared" si="1"/>
        <v>0.3445981905</v>
      </c>
      <c r="F2861" s="2">
        <v>505.0</v>
      </c>
      <c r="G2861" s="3">
        <f t="shared" si="2"/>
        <v>0.1343799894</v>
      </c>
      <c r="H2861" s="2">
        <v>743.0</v>
      </c>
      <c r="I2861" s="3">
        <f t="shared" si="3"/>
        <v>0.1977115487</v>
      </c>
      <c r="J2861" s="2">
        <v>640.0</v>
      </c>
      <c r="K2861" s="3">
        <f t="shared" si="4"/>
        <v>0.1703033528</v>
      </c>
      <c r="L2861" s="2">
        <v>463.0</v>
      </c>
      <c r="M2861" s="3">
        <f t="shared" si="5"/>
        <v>0.6231493943</v>
      </c>
      <c r="N2861" s="2">
        <v>4449700.0</v>
      </c>
      <c r="O2861" s="4">
        <f t="shared" si="6"/>
        <v>5988.829071</v>
      </c>
      <c r="P2861" s="2">
        <v>3.0</v>
      </c>
      <c r="Q2861" s="3">
        <f t="shared" si="7"/>
        <v>0.008356545961</v>
      </c>
      <c r="R2861" s="2">
        <v>359.0</v>
      </c>
      <c r="S2861" s="5">
        <f t="shared" si="8"/>
        <v>1</v>
      </c>
    </row>
    <row r="2862">
      <c r="A2862" s="2" t="s">
        <v>2870</v>
      </c>
      <c r="B2862" s="2">
        <v>134.0</v>
      </c>
      <c r="C2862" s="2">
        <v>1600.0</v>
      </c>
      <c r="D2862" s="2">
        <v>578.0</v>
      </c>
      <c r="E2862" s="3">
        <f t="shared" si="1"/>
        <v>0.3942701228</v>
      </c>
      <c r="F2862" s="2">
        <v>197.0</v>
      </c>
      <c r="G2862" s="3">
        <f t="shared" si="2"/>
        <v>0.1343792633</v>
      </c>
      <c r="H2862" s="2">
        <v>321.0</v>
      </c>
      <c r="I2862" s="3">
        <f t="shared" si="3"/>
        <v>0.2189631651</v>
      </c>
      <c r="J2862" s="2">
        <v>242.0</v>
      </c>
      <c r="K2862" s="3">
        <f t="shared" si="4"/>
        <v>0.1650750341</v>
      </c>
      <c r="L2862" s="2">
        <v>193.0</v>
      </c>
      <c r="M2862" s="3">
        <f t="shared" si="5"/>
        <v>0.6012461059</v>
      </c>
      <c r="N2862" s="2">
        <v>1778300.0</v>
      </c>
      <c r="O2862" s="4">
        <f t="shared" si="6"/>
        <v>5539.875389</v>
      </c>
      <c r="P2862" s="2">
        <v>0.0</v>
      </c>
      <c r="Q2862" s="3">
        <f t="shared" si="7"/>
        <v>0</v>
      </c>
      <c r="R2862" s="2">
        <v>8.0</v>
      </c>
      <c r="S2862" s="5">
        <f t="shared" si="8"/>
        <v>0.05970149254</v>
      </c>
    </row>
    <row r="2863">
      <c r="A2863" s="2" t="s">
        <v>2871</v>
      </c>
      <c r="B2863" s="2">
        <v>635.0</v>
      </c>
      <c r="C2863" s="2">
        <v>7593.0</v>
      </c>
      <c r="D2863" s="2">
        <v>2854.0</v>
      </c>
      <c r="E2863" s="3">
        <f t="shared" si="1"/>
        <v>0.4101753377</v>
      </c>
      <c r="F2863" s="2">
        <v>935.0</v>
      </c>
      <c r="G2863" s="3">
        <f t="shared" si="2"/>
        <v>0.1343776947</v>
      </c>
      <c r="H2863" s="2">
        <v>1515.0</v>
      </c>
      <c r="I2863" s="3">
        <f t="shared" si="3"/>
        <v>0.2177349813</v>
      </c>
      <c r="J2863" s="2">
        <v>1319.0</v>
      </c>
      <c r="K2863" s="3">
        <f t="shared" si="4"/>
        <v>0.1895659672</v>
      </c>
      <c r="L2863" s="2">
        <v>888.0</v>
      </c>
      <c r="M2863" s="3">
        <f t="shared" si="5"/>
        <v>0.5861386139</v>
      </c>
      <c r="N2863" s="2">
        <v>8137200.0</v>
      </c>
      <c r="O2863" s="4">
        <f t="shared" si="6"/>
        <v>5371.089109</v>
      </c>
      <c r="P2863" s="2">
        <v>1.0</v>
      </c>
      <c r="Q2863" s="3">
        <f t="shared" si="7"/>
        <v>0.00157480315</v>
      </c>
      <c r="R2863" s="2">
        <v>635.0</v>
      </c>
      <c r="S2863" s="5">
        <f t="shared" si="8"/>
        <v>1</v>
      </c>
    </row>
    <row r="2864">
      <c r="A2864" s="2" t="s">
        <v>2872</v>
      </c>
      <c r="B2864" s="2">
        <v>297.0</v>
      </c>
      <c r="C2864" s="2">
        <v>3430.0</v>
      </c>
      <c r="D2864" s="2">
        <v>1112.0</v>
      </c>
      <c r="E2864" s="3">
        <f t="shared" si="1"/>
        <v>0.3549313757</v>
      </c>
      <c r="F2864" s="2">
        <v>421.0</v>
      </c>
      <c r="G2864" s="3">
        <f t="shared" si="2"/>
        <v>0.1343759974</v>
      </c>
      <c r="H2864" s="2">
        <v>652.0</v>
      </c>
      <c r="I2864" s="3">
        <f t="shared" si="3"/>
        <v>0.2081072455</v>
      </c>
      <c r="J2864" s="2">
        <v>486.0</v>
      </c>
      <c r="K2864" s="3">
        <f t="shared" si="4"/>
        <v>0.1551228854</v>
      </c>
      <c r="L2864" s="2">
        <v>391.0</v>
      </c>
      <c r="M2864" s="3">
        <f t="shared" si="5"/>
        <v>0.5996932515</v>
      </c>
      <c r="N2864" s="2">
        <v>3524100.0</v>
      </c>
      <c r="O2864" s="4">
        <f t="shared" si="6"/>
        <v>5405.06135</v>
      </c>
      <c r="P2864" s="2">
        <v>2.0</v>
      </c>
      <c r="Q2864" s="3">
        <f t="shared" si="7"/>
        <v>0.006734006734</v>
      </c>
      <c r="R2864" s="2">
        <v>297.0</v>
      </c>
      <c r="S2864" s="5">
        <f t="shared" si="8"/>
        <v>1</v>
      </c>
    </row>
    <row r="2865">
      <c r="A2865" s="2" t="s">
        <v>2873</v>
      </c>
      <c r="B2865" s="2">
        <v>423.0</v>
      </c>
      <c r="C2865" s="2">
        <v>4903.0</v>
      </c>
      <c r="D2865" s="2">
        <v>1479.0</v>
      </c>
      <c r="E2865" s="3">
        <f t="shared" si="1"/>
        <v>0.3301339286</v>
      </c>
      <c r="F2865" s="2">
        <v>602.0</v>
      </c>
      <c r="G2865" s="3">
        <f t="shared" si="2"/>
        <v>0.134375</v>
      </c>
      <c r="H2865" s="2">
        <v>919.0</v>
      </c>
      <c r="I2865" s="3">
        <f t="shared" si="3"/>
        <v>0.2051339286</v>
      </c>
      <c r="J2865" s="2">
        <v>849.0</v>
      </c>
      <c r="K2865" s="3">
        <f t="shared" si="4"/>
        <v>0.1895089286</v>
      </c>
      <c r="L2865" s="2">
        <v>535.0</v>
      </c>
      <c r="M2865" s="3">
        <f t="shared" si="5"/>
        <v>0.5821545158</v>
      </c>
      <c r="N2865" s="2">
        <v>5443100.0</v>
      </c>
      <c r="O2865" s="4">
        <f t="shared" si="6"/>
        <v>5922.850925</v>
      </c>
      <c r="P2865" s="2">
        <v>0.0</v>
      </c>
      <c r="Q2865" s="3">
        <f t="shared" si="7"/>
        <v>0</v>
      </c>
      <c r="R2865" s="2">
        <v>423.0</v>
      </c>
      <c r="S2865" s="5">
        <f t="shared" si="8"/>
        <v>1</v>
      </c>
    </row>
    <row r="2866">
      <c r="A2866" s="2" t="s">
        <v>2874</v>
      </c>
      <c r="B2866" s="2">
        <v>578.0</v>
      </c>
      <c r="C2866" s="2">
        <v>6755.0</v>
      </c>
      <c r="D2866" s="2">
        <v>1893.0</v>
      </c>
      <c r="E2866" s="3">
        <f t="shared" si="1"/>
        <v>0.3064594463</v>
      </c>
      <c r="F2866" s="2">
        <v>830.0</v>
      </c>
      <c r="G2866" s="3">
        <f t="shared" si="2"/>
        <v>0.134369435</v>
      </c>
      <c r="H2866" s="2">
        <v>1204.0</v>
      </c>
      <c r="I2866" s="3">
        <f t="shared" si="3"/>
        <v>0.1949166262</v>
      </c>
      <c r="J2866" s="2">
        <v>1056.0</v>
      </c>
      <c r="K2866" s="3">
        <f t="shared" si="4"/>
        <v>0.1709567751</v>
      </c>
      <c r="L2866" s="2">
        <v>732.0</v>
      </c>
      <c r="M2866" s="3">
        <f t="shared" si="5"/>
        <v>0.6079734219</v>
      </c>
      <c r="N2866" s="2">
        <v>7495300.0</v>
      </c>
      <c r="O2866" s="4">
        <f t="shared" si="6"/>
        <v>6225.332226</v>
      </c>
      <c r="P2866" s="2">
        <v>4.0</v>
      </c>
      <c r="Q2866" s="3">
        <f t="shared" si="7"/>
        <v>0.006920415225</v>
      </c>
      <c r="R2866" s="2">
        <v>578.0</v>
      </c>
      <c r="S2866" s="5">
        <f t="shared" si="8"/>
        <v>1</v>
      </c>
    </row>
    <row r="2867">
      <c r="A2867" s="2" t="s">
        <v>2875</v>
      </c>
      <c r="B2867" s="2">
        <v>1085.0</v>
      </c>
      <c r="C2867" s="2">
        <v>12606.0</v>
      </c>
      <c r="D2867" s="2">
        <v>4618.0</v>
      </c>
      <c r="E2867" s="3">
        <f t="shared" si="1"/>
        <v>0.400833261</v>
      </c>
      <c r="F2867" s="2">
        <v>1548.0</v>
      </c>
      <c r="G2867" s="3">
        <f t="shared" si="2"/>
        <v>0.1343633365</v>
      </c>
      <c r="H2867" s="2">
        <v>2434.0</v>
      </c>
      <c r="I2867" s="3">
        <f t="shared" si="3"/>
        <v>0.2112663831</v>
      </c>
      <c r="J2867" s="2">
        <v>2067.0</v>
      </c>
      <c r="K2867" s="3">
        <f t="shared" si="4"/>
        <v>0.1794115094</v>
      </c>
      <c r="L2867" s="2">
        <v>1402.0</v>
      </c>
      <c r="M2867" s="3">
        <f t="shared" si="5"/>
        <v>0.5760065735</v>
      </c>
      <c r="N2867" s="2">
        <v>1.30799E7</v>
      </c>
      <c r="O2867" s="4">
        <f t="shared" si="6"/>
        <v>5373.829088</v>
      </c>
      <c r="P2867" s="2">
        <v>3.0</v>
      </c>
      <c r="Q2867" s="3">
        <f t="shared" si="7"/>
        <v>0.002764976959</v>
      </c>
      <c r="R2867" s="2">
        <v>1085.0</v>
      </c>
      <c r="S2867" s="5">
        <f t="shared" si="8"/>
        <v>1</v>
      </c>
    </row>
    <row r="2868">
      <c r="A2868" s="2" t="s">
        <v>2876</v>
      </c>
      <c r="B2868" s="2">
        <v>242.0</v>
      </c>
      <c r="C2868" s="2">
        <v>2847.0</v>
      </c>
      <c r="D2868" s="2">
        <v>794.0</v>
      </c>
      <c r="E2868" s="3">
        <f t="shared" si="1"/>
        <v>0.3047984645</v>
      </c>
      <c r="F2868" s="2">
        <v>350.0</v>
      </c>
      <c r="G2868" s="3">
        <f t="shared" si="2"/>
        <v>0.1343570058</v>
      </c>
      <c r="H2868" s="2">
        <v>559.0</v>
      </c>
      <c r="I2868" s="3">
        <f t="shared" si="3"/>
        <v>0.2145873321</v>
      </c>
      <c r="J2868" s="2">
        <v>457.0</v>
      </c>
      <c r="K2868" s="3">
        <f t="shared" si="4"/>
        <v>0.1754318618</v>
      </c>
      <c r="L2868" s="2">
        <v>339.0</v>
      </c>
      <c r="M2868" s="3">
        <f t="shared" si="5"/>
        <v>0.6064400716</v>
      </c>
      <c r="N2868" s="2">
        <v>3304700.0</v>
      </c>
      <c r="O2868" s="4">
        <f t="shared" si="6"/>
        <v>5911.806798</v>
      </c>
      <c r="P2868" s="2">
        <v>0.0</v>
      </c>
      <c r="Q2868" s="3">
        <f t="shared" si="7"/>
        <v>0</v>
      </c>
      <c r="R2868" s="2">
        <v>242.0</v>
      </c>
      <c r="S2868" s="5">
        <f t="shared" si="8"/>
        <v>1</v>
      </c>
    </row>
    <row r="2869">
      <c r="A2869" s="2" t="s">
        <v>2877</v>
      </c>
      <c r="B2869" s="2">
        <v>376.0</v>
      </c>
      <c r="C2869" s="2">
        <v>4291.0</v>
      </c>
      <c r="D2869" s="2">
        <v>1372.0</v>
      </c>
      <c r="E2869" s="3">
        <f t="shared" si="1"/>
        <v>0.3504469987</v>
      </c>
      <c r="F2869" s="2">
        <v>526.0</v>
      </c>
      <c r="G2869" s="3">
        <f t="shared" si="2"/>
        <v>0.1343550447</v>
      </c>
      <c r="H2869" s="2">
        <v>912.0</v>
      </c>
      <c r="I2869" s="3">
        <f t="shared" si="3"/>
        <v>0.2329501916</v>
      </c>
      <c r="J2869" s="2">
        <v>758.0</v>
      </c>
      <c r="K2869" s="3">
        <f t="shared" si="4"/>
        <v>0.193614304</v>
      </c>
      <c r="L2869" s="2">
        <v>531.0</v>
      </c>
      <c r="M2869" s="3">
        <f t="shared" si="5"/>
        <v>0.5822368421</v>
      </c>
      <c r="N2869" s="2">
        <v>5205700.0</v>
      </c>
      <c r="O2869" s="4">
        <f t="shared" si="6"/>
        <v>5708.004386</v>
      </c>
      <c r="P2869" s="2">
        <v>2.0</v>
      </c>
      <c r="Q2869" s="3">
        <f t="shared" si="7"/>
        <v>0.005319148936</v>
      </c>
      <c r="R2869" s="2">
        <v>376.0</v>
      </c>
      <c r="S2869" s="5">
        <f t="shared" si="8"/>
        <v>1</v>
      </c>
    </row>
    <row r="2870">
      <c r="A2870" s="2" t="s">
        <v>2878</v>
      </c>
      <c r="B2870" s="2">
        <v>1584.0</v>
      </c>
      <c r="C2870" s="2">
        <v>18406.0</v>
      </c>
      <c r="D2870" s="2">
        <v>5996.0</v>
      </c>
      <c r="E2870" s="3">
        <f t="shared" si="1"/>
        <v>0.3564379979</v>
      </c>
      <c r="F2870" s="2">
        <v>2260.0</v>
      </c>
      <c r="G2870" s="3">
        <f t="shared" si="2"/>
        <v>0.1343478778</v>
      </c>
      <c r="H2870" s="2">
        <v>3574.0</v>
      </c>
      <c r="I2870" s="3">
        <f t="shared" si="3"/>
        <v>0.212459874</v>
      </c>
      <c r="J2870" s="2">
        <v>2921.0</v>
      </c>
      <c r="K2870" s="3">
        <f t="shared" si="4"/>
        <v>0.1736416597</v>
      </c>
      <c r="L2870" s="2">
        <v>2183.0</v>
      </c>
      <c r="M2870" s="3">
        <f t="shared" si="5"/>
        <v>0.6108002238</v>
      </c>
      <c r="N2870" s="2">
        <v>2.02672E7</v>
      </c>
      <c r="O2870" s="4">
        <f t="shared" si="6"/>
        <v>5670.733072</v>
      </c>
      <c r="P2870" s="2">
        <v>2.0</v>
      </c>
      <c r="Q2870" s="3">
        <f t="shared" si="7"/>
        <v>0.001262626263</v>
      </c>
      <c r="R2870" s="2">
        <v>1584.0</v>
      </c>
      <c r="S2870" s="5">
        <f t="shared" si="8"/>
        <v>1</v>
      </c>
    </row>
    <row r="2871">
      <c r="A2871" s="2" t="s">
        <v>2879</v>
      </c>
      <c r="B2871" s="2">
        <v>969.0</v>
      </c>
      <c r="C2871" s="2">
        <v>11405.0</v>
      </c>
      <c r="D2871" s="2">
        <v>3276.0</v>
      </c>
      <c r="E2871" s="3">
        <f t="shared" si="1"/>
        <v>0.3139133768</v>
      </c>
      <c r="F2871" s="2">
        <v>1402.0</v>
      </c>
      <c r="G2871" s="3">
        <f t="shared" si="2"/>
        <v>0.13434266</v>
      </c>
      <c r="H2871" s="2">
        <v>2031.0</v>
      </c>
      <c r="I2871" s="3">
        <f t="shared" si="3"/>
        <v>0.1946147949</v>
      </c>
      <c r="J2871" s="2">
        <v>1587.0</v>
      </c>
      <c r="K2871" s="3">
        <f t="shared" si="4"/>
        <v>0.1520697585</v>
      </c>
      <c r="L2871" s="2">
        <v>1211.0</v>
      </c>
      <c r="M2871" s="3">
        <f t="shared" si="5"/>
        <v>0.596258001</v>
      </c>
      <c r="N2871" s="2">
        <v>1.16542E7</v>
      </c>
      <c r="O2871" s="4">
        <f t="shared" si="6"/>
        <v>5738.158543</v>
      </c>
      <c r="P2871" s="2">
        <v>5.0</v>
      </c>
      <c r="Q2871" s="3">
        <f t="shared" si="7"/>
        <v>0.00515995872</v>
      </c>
      <c r="R2871" s="2">
        <v>969.0</v>
      </c>
      <c r="S2871" s="5">
        <f t="shared" si="8"/>
        <v>1</v>
      </c>
    </row>
    <row r="2872">
      <c r="A2872" s="2" t="s">
        <v>2880</v>
      </c>
      <c r="B2872" s="2">
        <v>558.0</v>
      </c>
      <c r="C2872" s="2">
        <v>6528.0</v>
      </c>
      <c r="D2872" s="2">
        <v>1977.0</v>
      </c>
      <c r="E2872" s="3">
        <f t="shared" si="1"/>
        <v>0.3311557789</v>
      </c>
      <c r="F2872" s="2">
        <v>802.0</v>
      </c>
      <c r="G2872" s="3">
        <f t="shared" si="2"/>
        <v>0.1343383585</v>
      </c>
      <c r="H2872" s="2">
        <v>1216.0</v>
      </c>
      <c r="I2872" s="3">
        <f t="shared" si="3"/>
        <v>0.2036850921</v>
      </c>
      <c r="J2872" s="2">
        <v>1066.0</v>
      </c>
      <c r="K2872" s="3">
        <f t="shared" si="4"/>
        <v>0.178559464</v>
      </c>
      <c r="L2872" s="2">
        <v>686.0</v>
      </c>
      <c r="M2872" s="3">
        <f t="shared" si="5"/>
        <v>0.5641447368</v>
      </c>
      <c r="N2872" s="2">
        <v>7433400.0</v>
      </c>
      <c r="O2872" s="4">
        <f t="shared" si="6"/>
        <v>6112.993421</v>
      </c>
      <c r="P2872" s="2">
        <v>3.0</v>
      </c>
      <c r="Q2872" s="3">
        <f t="shared" si="7"/>
        <v>0.005376344086</v>
      </c>
      <c r="R2872" s="2">
        <v>558.0</v>
      </c>
      <c r="S2872" s="5">
        <f t="shared" si="8"/>
        <v>1</v>
      </c>
    </row>
    <row r="2873">
      <c r="A2873" s="2" t="s">
        <v>2881</v>
      </c>
      <c r="B2873" s="2">
        <v>2197.0</v>
      </c>
      <c r="C2873" s="2">
        <v>25661.0</v>
      </c>
      <c r="D2873" s="2">
        <v>8287.0</v>
      </c>
      <c r="E2873" s="3">
        <f t="shared" si="1"/>
        <v>0.3531793386</v>
      </c>
      <c r="F2873" s="2">
        <v>3152.0</v>
      </c>
      <c r="G2873" s="3">
        <f t="shared" si="2"/>
        <v>0.134333447</v>
      </c>
      <c r="H2873" s="2">
        <v>5166.0</v>
      </c>
      <c r="I2873" s="3">
        <f t="shared" si="3"/>
        <v>0.2201670644</v>
      </c>
      <c r="J2873" s="2">
        <v>4364.0</v>
      </c>
      <c r="K2873" s="3">
        <f t="shared" si="4"/>
        <v>0.185987044</v>
      </c>
      <c r="L2873" s="2">
        <v>3112.0</v>
      </c>
      <c r="M2873" s="3">
        <f t="shared" si="5"/>
        <v>0.6024003097</v>
      </c>
      <c r="N2873" s="2">
        <v>2.92105E7</v>
      </c>
      <c r="O2873" s="4">
        <f t="shared" si="6"/>
        <v>5654.374758</v>
      </c>
      <c r="P2873" s="2">
        <v>4.0</v>
      </c>
      <c r="Q2873" s="3">
        <f t="shared" si="7"/>
        <v>0.001820664543</v>
      </c>
      <c r="R2873" s="2">
        <v>2190.0</v>
      </c>
      <c r="S2873" s="5">
        <f t="shared" si="8"/>
        <v>0.9968138371</v>
      </c>
    </row>
    <row r="2874">
      <c r="A2874" s="2" t="s">
        <v>2882</v>
      </c>
      <c r="B2874" s="2">
        <v>567.0</v>
      </c>
      <c r="C2874" s="2">
        <v>6627.0</v>
      </c>
      <c r="D2874" s="2">
        <v>2053.0</v>
      </c>
      <c r="E2874" s="3">
        <f t="shared" si="1"/>
        <v>0.3387788779</v>
      </c>
      <c r="F2874" s="2">
        <v>814.0</v>
      </c>
      <c r="G2874" s="3">
        <f t="shared" si="2"/>
        <v>0.1343234323</v>
      </c>
      <c r="H2874" s="2">
        <v>1308.0</v>
      </c>
      <c r="I2874" s="3">
        <f t="shared" si="3"/>
        <v>0.2158415842</v>
      </c>
      <c r="J2874" s="2">
        <v>1186.0</v>
      </c>
      <c r="K2874" s="3">
        <f t="shared" si="4"/>
        <v>0.195709571</v>
      </c>
      <c r="L2874" s="2">
        <v>777.0</v>
      </c>
      <c r="M2874" s="3">
        <f t="shared" si="5"/>
        <v>0.5940366972</v>
      </c>
      <c r="N2874" s="2">
        <v>7585900.0</v>
      </c>
      <c r="O2874" s="4">
        <f t="shared" si="6"/>
        <v>5799.617737</v>
      </c>
      <c r="P2874" s="2">
        <v>1.0</v>
      </c>
      <c r="Q2874" s="3">
        <f t="shared" si="7"/>
        <v>0.00176366843</v>
      </c>
      <c r="R2874" s="2">
        <v>0.0</v>
      </c>
      <c r="S2874" s="5">
        <f t="shared" si="8"/>
        <v>0</v>
      </c>
    </row>
    <row r="2875">
      <c r="A2875" s="2" t="s">
        <v>2883</v>
      </c>
      <c r="B2875" s="2">
        <v>363.0</v>
      </c>
      <c r="C2875" s="2">
        <v>4346.0</v>
      </c>
      <c r="D2875" s="2">
        <v>1321.0</v>
      </c>
      <c r="E2875" s="3">
        <f t="shared" si="1"/>
        <v>0.3316595531</v>
      </c>
      <c r="F2875" s="2">
        <v>535.0</v>
      </c>
      <c r="G2875" s="3">
        <f t="shared" si="2"/>
        <v>0.1343208637</v>
      </c>
      <c r="H2875" s="2">
        <v>801.0</v>
      </c>
      <c r="I2875" s="3">
        <f t="shared" si="3"/>
        <v>0.201104695</v>
      </c>
      <c r="J2875" s="2">
        <v>616.0</v>
      </c>
      <c r="K2875" s="3">
        <f t="shared" si="4"/>
        <v>0.1546572935</v>
      </c>
      <c r="L2875" s="2">
        <v>463.0</v>
      </c>
      <c r="M2875" s="3">
        <f t="shared" si="5"/>
        <v>0.5780274657</v>
      </c>
      <c r="N2875" s="2">
        <v>4518400.0</v>
      </c>
      <c r="O2875" s="4">
        <f t="shared" si="6"/>
        <v>5640.948814</v>
      </c>
      <c r="P2875" s="2">
        <v>1.0</v>
      </c>
      <c r="Q2875" s="3">
        <f t="shared" si="7"/>
        <v>0.002754820937</v>
      </c>
      <c r="R2875" s="2">
        <v>363.0</v>
      </c>
      <c r="S2875" s="5">
        <f t="shared" si="8"/>
        <v>1</v>
      </c>
    </row>
    <row r="2876">
      <c r="A2876" s="2" t="s">
        <v>2884</v>
      </c>
      <c r="B2876" s="2">
        <v>136.0</v>
      </c>
      <c r="C2876" s="2">
        <v>1625.0</v>
      </c>
      <c r="D2876" s="2">
        <v>435.0</v>
      </c>
      <c r="E2876" s="3">
        <f t="shared" si="1"/>
        <v>0.2921423774</v>
      </c>
      <c r="F2876" s="2">
        <v>200.0</v>
      </c>
      <c r="G2876" s="3">
        <f t="shared" si="2"/>
        <v>0.1343183345</v>
      </c>
      <c r="H2876" s="2">
        <v>257.0</v>
      </c>
      <c r="I2876" s="3">
        <f t="shared" si="3"/>
        <v>0.1725990598</v>
      </c>
      <c r="J2876" s="2">
        <v>186.0</v>
      </c>
      <c r="K2876" s="3">
        <f t="shared" si="4"/>
        <v>0.124916051</v>
      </c>
      <c r="L2876" s="2">
        <v>145.0</v>
      </c>
      <c r="M2876" s="3">
        <f t="shared" si="5"/>
        <v>0.5642023346</v>
      </c>
      <c r="N2876" s="2">
        <v>1533900.0</v>
      </c>
      <c r="O2876" s="4">
        <f t="shared" si="6"/>
        <v>5968.48249</v>
      </c>
      <c r="P2876" s="2">
        <v>1.0</v>
      </c>
      <c r="Q2876" s="3">
        <f t="shared" si="7"/>
        <v>0.007352941176</v>
      </c>
      <c r="R2876" s="2">
        <v>136.0</v>
      </c>
      <c r="S2876" s="5">
        <f t="shared" si="8"/>
        <v>1</v>
      </c>
    </row>
    <row r="2877">
      <c r="A2877" s="2" t="s">
        <v>2885</v>
      </c>
      <c r="B2877" s="2">
        <v>314.0</v>
      </c>
      <c r="C2877" s="2">
        <v>3657.0</v>
      </c>
      <c r="D2877" s="2">
        <v>1213.0</v>
      </c>
      <c r="E2877" s="3">
        <f t="shared" si="1"/>
        <v>0.3628477415</v>
      </c>
      <c r="F2877" s="2">
        <v>449.0</v>
      </c>
      <c r="G2877" s="3">
        <f t="shared" si="2"/>
        <v>0.1343104996</v>
      </c>
      <c r="H2877" s="2">
        <v>714.0</v>
      </c>
      <c r="I2877" s="3">
        <f t="shared" si="3"/>
        <v>0.2135806162</v>
      </c>
      <c r="J2877" s="2">
        <v>679.0</v>
      </c>
      <c r="K2877" s="3">
        <f t="shared" si="4"/>
        <v>0.2031109782</v>
      </c>
      <c r="L2877" s="2">
        <v>425.0</v>
      </c>
      <c r="M2877" s="3">
        <f t="shared" si="5"/>
        <v>0.5952380952</v>
      </c>
      <c r="N2877" s="2">
        <v>4157700.0</v>
      </c>
      <c r="O2877" s="4">
        <f t="shared" si="6"/>
        <v>5823.109244</v>
      </c>
      <c r="P2877" s="2">
        <v>1.0</v>
      </c>
      <c r="Q2877" s="3">
        <f t="shared" si="7"/>
        <v>0.003184713376</v>
      </c>
      <c r="R2877" s="2">
        <v>313.0</v>
      </c>
      <c r="S2877" s="5">
        <f t="shared" si="8"/>
        <v>0.9968152866</v>
      </c>
    </row>
    <row r="2878">
      <c r="A2878" s="2" t="s">
        <v>2886</v>
      </c>
      <c r="B2878" s="2">
        <v>67.0</v>
      </c>
      <c r="C2878" s="2">
        <v>752.0</v>
      </c>
      <c r="D2878" s="2">
        <v>202.0</v>
      </c>
      <c r="E2878" s="3">
        <f t="shared" si="1"/>
        <v>0.2948905109</v>
      </c>
      <c r="F2878" s="2">
        <v>92.0</v>
      </c>
      <c r="G2878" s="3">
        <f t="shared" si="2"/>
        <v>0.1343065693</v>
      </c>
      <c r="H2878" s="2">
        <v>134.0</v>
      </c>
      <c r="I2878" s="3">
        <f t="shared" si="3"/>
        <v>0.195620438</v>
      </c>
      <c r="J2878" s="2">
        <v>111.0</v>
      </c>
      <c r="K2878" s="3">
        <f t="shared" si="4"/>
        <v>0.1620437956</v>
      </c>
      <c r="L2878" s="2">
        <v>84.0</v>
      </c>
      <c r="M2878" s="3">
        <f t="shared" si="5"/>
        <v>0.6268656716</v>
      </c>
      <c r="N2878" s="2">
        <v>678000.0</v>
      </c>
      <c r="O2878" s="4">
        <f t="shared" si="6"/>
        <v>5059.701493</v>
      </c>
      <c r="P2878" s="2">
        <v>0.0</v>
      </c>
      <c r="Q2878" s="3">
        <f t="shared" si="7"/>
        <v>0</v>
      </c>
      <c r="R2878" s="2">
        <v>67.0</v>
      </c>
      <c r="S2878" s="5">
        <f t="shared" si="8"/>
        <v>1</v>
      </c>
    </row>
    <row r="2879">
      <c r="A2879" s="2" t="s">
        <v>2887</v>
      </c>
      <c r="B2879" s="2">
        <v>2134.0</v>
      </c>
      <c r="C2879" s="2">
        <v>25038.0</v>
      </c>
      <c r="D2879" s="2">
        <v>8121.0</v>
      </c>
      <c r="E2879" s="3">
        <f t="shared" si="1"/>
        <v>0.3545668879</v>
      </c>
      <c r="F2879" s="2">
        <v>3076.0</v>
      </c>
      <c r="G2879" s="3">
        <f t="shared" si="2"/>
        <v>0.1342996856</v>
      </c>
      <c r="H2879" s="2">
        <v>5118.0</v>
      </c>
      <c r="I2879" s="3">
        <f t="shared" si="3"/>
        <v>0.2234544184</v>
      </c>
      <c r="J2879" s="2">
        <v>4384.0</v>
      </c>
      <c r="K2879" s="3">
        <f t="shared" si="4"/>
        <v>0.1914076144</v>
      </c>
      <c r="L2879" s="2">
        <v>3091.0</v>
      </c>
      <c r="M2879" s="3">
        <f t="shared" si="5"/>
        <v>0.6039468542</v>
      </c>
      <c r="N2879" s="2">
        <v>2.76427E7</v>
      </c>
      <c r="O2879" s="4">
        <f t="shared" si="6"/>
        <v>5401.074639</v>
      </c>
      <c r="P2879" s="2">
        <v>3.0</v>
      </c>
      <c r="Q2879" s="3">
        <f t="shared" si="7"/>
        <v>0.001405810684</v>
      </c>
      <c r="R2879" s="2">
        <v>3.0</v>
      </c>
      <c r="S2879" s="5">
        <f t="shared" si="8"/>
        <v>0.001405810684</v>
      </c>
    </row>
    <row r="2880">
      <c r="A2880" s="2" t="s">
        <v>2888</v>
      </c>
      <c r="B2880" s="2">
        <v>241.0</v>
      </c>
      <c r="C2880" s="2">
        <v>2728.0</v>
      </c>
      <c r="D2880" s="2">
        <v>895.0</v>
      </c>
      <c r="E2880" s="3">
        <f t="shared" si="1"/>
        <v>0.3598713309</v>
      </c>
      <c r="F2880" s="2">
        <v>334.0</v>
      </c>
      <c r="G2880" s="3">
        <f t="shared" si="2"/>
        <v>0.1342983514</v>
      </c>
      <c r="H2880" s="2">
        <v>542.0</v>
      </c>
      <c r="I2880" s="3">
        <f t="shared" si="3"/>
        <v>0.2179332529</v>
      </c>
      <c r="J2880" s="2">
        <v>454.0</v>
      </c>
      <c r="K2880" s="3">
        <f t="shared" si="4"/>
        <v>0.1825492561</v>
      </c>
      <c r="L2880" s="2">
        <v>320.0</v>
      </c>
      <c r="M2880" s="3">
        <f t="shared" si="5"/>
        <v>0.5904059041</v>
      </c>
      <c r="N2880" s="2">
        <v>2933600.0</v>
      </c>
      <c r="O2880" s="4">
        <f t="shared" si="6"/>
        <v>5412.546125</v>
      </c>
      <c r="P2880" s="2">
        <v>0.0</v>
      </c>
      <c r="Q2880" s="3">
        <f t="shared" si="7"/>
        <v>0</v>
      </c>
      <c r="R2880" s="2">
        <v>70.0</v>
      </c>
      <c r="S2880" s="5">
        <f t="shared" si="8"/>
        <v>0.2904564315</v>
      </c>
    </row>
    <row r="2881">
      <c r="A2881" s="2" t="s">
        <v>2889</v>
      </c>
      <c r="B2881" s="2">
        <v>3300.0</v>
      </c>
      <c r="C2881" s="2">
        <v>38380.0</v>
      </c>
      <c r="D2881" s="2">
        <v>12078.0</v>
      </c>
      <c r="E2881" s="3">
        <f t="shared" si="1"/>
        <v>0.3442987457</v>
      </c>
      <c r="F2881" s="2">
        <v>4711.0</v>
      </c>
      <c r="G2881" s="3">
        <f t="shared" si="2"/>
        <v>0.1342930445</v>
      </c>
      <c r="H2881" s="2">
        <v>7819.0</v>
      </c>
      <c r="I2881" s="3">
        <f t="shared" si="3"/>
        <v>0.2228905359</v>
      </c>
      <c r="J2881" s="2">
        <v>5931.0</v>
      </c>
      <c r="K2881" s="3">
        <f t="shared" si="4"/>
        <v>0.1690706956</v>
      </c>
      <c r="L2881" s="2">
        <v>4712.0</v>
      </c>
      <c r="M2881" s="3">
        <f t="shared" si="5"/>
        <v>0.602634608</v>
      </c>
      <c r="N2881" s="2">
        <v>4.44782E7</v>
      </c>
      <c r="O2881" s="4">
        <f t="shared" si="6"/>
        <v>5688.476787</v>
      </c>
      <c r="P2881" s="2">
        <v>11.0</v>
      </c>
      <c r="Q2881" s="3">
        <f t="shared" si="7"/>
        <v>0.003333333333</v>
      </c>
      <c r="R2881" s="2">
        <v>3288.0</v>
      </c>
      <c r="S2881" s="5">
        <f t="shared" si="8"/>
        <v>0.9963636364</v>
      </c>
    </row>
    <row r="2882">
      <c r="A2882" s="2" t="s">
        <v>2890</v>
      </c>
      <c r="B2882" s="2">
        <v>220.0</v>
      </c>
      <c r="C2882" s="2">
        <v>2655.0</v>
      </c>
      <c r="D2882" s="2">
        <v>841.0</v>
      </c>
      <c r="E2882" s="3">
        <f t="shared" si="1"/>
        <v>0.3453798768</v>
      </c>
      <c r="F2882" s="2">
        <v>327.0</v>
      </c>
      <c r="G2882" s="3">
        <f t="shared" si="2"/>
        <v>0.1342915811</v>
      </c>
      <c r="H2882" s="2">
        <v>504.0</v>
      </c>
      <c r="I2882" s="3">
        <f t="shared" si="3"/>
        <v>0.2069815195</v>
      </c>
      <c r="J2882" s="2">
        <v>296.0</v>
      </c>
      <c r="K2882" s="3">
        <f t="shared" si="4"/>
        <v>0.1215605749</v>
      </c>
      <c r="L2882" s="2">
        <v>320.0</v>
      </c>
      <c r="M2882" s="3">
        <f t="shared" si="5"/>
        <v>0.6349206349</v>
      </c>
      <c r="N2882" s="2">
        <v>2683000.0</v>
      </c>
      <c r="O2882" s="4">
        <f t="shared" si="6"/>
        <v>5323.412698</v>
      </c>
      <c r="P2882" s="2">
        <v>0.0</v>
      </c>
      <c r="Q2882" s="3">
        <f t="shared" si="7"/>
        <v>0</v>
      </c>
      <c r="R2882" s="2">
        <v>220.0</v>
      </c>
      <c r="S2882" s="5">
        <f t="shared" si="8"/>
        <v>1</v>
      </c>
    </row>
    <row r="2883">
      <c r="A2883" s="2" t="s">
        <v>2891</v>
      </c>
      <c r="B2883" s="2">
        <v>195.0</v>
      </c>
      <c r="C2883" s="2">
        <v>2295.0</v>
      </c>
      <c r="D2883" s="2">
        <v>806.0</v>
      </c>
      <c r="E2883" s="3">
        <f t="shared" si="1"/>
        <v>0.3838095238</v>
      </c>
      <c r="F2883" s="2">
        <v>282.0</v>
      </c>
      <c r="G2883" s="3">
        <f t="shared" si="2"/>
        <v>0.1342857143</v>
      </c>
      <c r="H2883" s="2">
        <v>395.0</v>
      </c>
      <c r="I2883" s="3">
        <f t="shared" si="3"/>
        <v>0.1880952381</v>
      </c>
      <c r="J2883" s="2">
        <v>287.0</v>
      </c>
      <c r="K2883" s="3">
        <f t="shared" si="4"/>
        <v>0.1366666667</v>
      </c>
      <c r="L2883" s="2">
        <v>223.0</v>
      </c>
      <c r="M2883" s="3">
        <f t="shared" si="5"/>
        <v>0.564556962</v>
      </c>
      <c r="N2883" s="2">
        <v>2199500.0</v>
      </c>
      <c r="O2883" s="4">
        <f t="shared" si="6"/>
        <v>5568.35443</v>
      </c>
      <c r="P2883" s="2">
        <v>1.0</v>
      </c>
      <c r="Q2883" s="3">
        <f t="shared" si="7"/>
        <v>0.005128205128</v>
      </c>
      <c r="R2883" s="2">
        <v>161.0</v>
      </c>
      <c r="S2883" s="5">
        <f t="shared" si="8"/>
        <v>0.8256410256</v>
      </c>
    </row>
    <row r="2884">
      <c r="A2884" s="2" t="s">
        <v>2892</v>
      </c>
      <c r="B2884" s="2">
        <v>1503.0</v>
      </c>
      <c r="C2884" s="2">
        <v>17753.0</v>
      </c>
      <c r="D2884" s="2">
        <v>5691.0</v>
      </c>
      <c r="E2884" s="3">
        <f t="shared" si="1"/>
        <v>0.3502153846</v>
      </c>
      <c r="F2884" s="2">
        <v>2182.0</v>
      </c>
      <c r="G2884" s="3">
        <f t="shared" si="2"/>
        <v>0.1342769231</v>
      </c>
      <c r="H2884" s="2">
        <v>3471.0</v>
      </c>
      <c r="I2884" s="3">
        <f t="shared" si="3"/>
        <v>0.2136</v>
      </c>
      <c r="J2884" s="2">
        <v>2662.0</v>
      </c>
      <c r="K2884" s="3">
        <f t="shared" si="4"/>
        <v>0.1638153846</v>
      </c>
      <c r="L2884" s="2">
        <v>2045.0</v>
      </c>
      <c r="M2884" s="3">
        <f t="shared" si="5"/>
        <v>0.5891673869</v>
      </c>
      <c r="N2884" s="2">
        <v>2.02489E7</v>
      </c>
      <c r="O2884" s="4">
        <f t="shared" si="6"/>
        <v>5833.736675</v>
      </c>
      <c r="P2884" s="2">
        <v>3.0</v>
      </c>
      <c r="Q2884" s="3">
        <f t="shared" si="7"/>
        <v>0.001996007984</v>
      </c>
      <c r="R2884" s="2">
        <v>1503.0</v>
      </c>
      <c r="S2884" s="5">
        <f t="shared" si="8"/>
        <v>1</v>
      </c>
    </row>
    <row r="2885">
      <c r="A2885" s="2" t="s">
        <v>2893</v>
      </c>
      <c r="B2885" s="2">
        <v>49.0</v>
      </c>
      <c r="C2885" s="2">
        <v>548.0</v>
      </c>
      <c r="D2885" s="2">
        <v>137.0</v>
      </c>
      <c r="E2885" s="3">
        <f t="shared" si="1"/>
        <v>0.2745490982</v>
      </c>
      <c r="F2885" s="2">
        <v>67.0</v>
      </c>
      <c r="G2885" s="3">
        <f t="shared" si="2"/>
        <v>0.1342685371</v>
      </c>
      <c r="H2885" s="2">
        <v>82.0</v>
      </c>
      <c r="I2885" s="3">
        <f t="shared" si="3"/>
        <v>0.1643286573</v>
      </c>
      <c r="J2885" s="2">
        <v>88.0</v>
      </c>
      <c r="K2885" s="3">
        <f t="shared" si="4"/>
        <v>0.1763527054</v>
      </c>
      <c r="L2885" s="2">
        <v>49.0</v>
      </c>
      <c r="M2885" s="3">
        <f t="shared" si="5"/>
        <v>0.5975609756</v>
      </c>
      <c r="N2885" s="2">
        <v>421200.0</v>
      </c>
      <c r="O2885" s="4">
        <f t="shared" si="6"/>
        <v>5136.585366</v>
      </c>
      <c r="P2885" s="2">
        <v>0.0</v>
      </c>
      <c r="Q2885" s="3">
        <f t="shared" si="7"/>
        <v>0</v>
      </c>
      <c r="R2885" s="2">
        <v>49.0</v>
      </c>
      <c r="S2885" s="5">
        <f t="shared" si="8"/>
        <v>1</v>
      </c>
    </row>
    <row r="2886">
      <c r="A2886" s="2" t="s">
        <v>2894</v>
      </c>
      <c r="B2886" s="2">
        <v>86.0</v>
      </c>
      <c r="C2886" s="2">
        <v>1017.0</v>
      </c>
      <c r="D2886" s="2">
        <v>330.0</v>
      </c>
      <c r="E2886" s="3">
        <f t="shared" si="1"/>
        <v>0.3544575725</v>
      </c>
      <c r="F2886" s="2">
        <v>125.0</v>
      </c>
      <c r="G2886" s="3">
        <f t="shared" si="2"/>
        <v>0.134264232</v>
      </c>
      <c r="H2886" s="2">
        <v>189.0</v>
      </c>
      <c r="I2886" s="3">
        <f t="shared" si="3"/>
        <v>0.2030075188</v>
      </c>
      <c r="J2886" s="2">
        <v>161.0</v>
      </c>
      <c r="K2886" s="3">
        <f t="shared" si="4"/>
        <v>0.1729323308</v>
      </c>
      <c r="L2886" s="2">
        <v>116.0</v>
      </c>
      <c r="M2886" s="3">
        <f t="shared" si="5"/>
        <v>0.6137566138</v>
      </c>
      <c r="N2886" s="2">
        <v>1090500.0</v>
      </c>
      <c r="O2886" s="4">
        <f t="shared" si="6"/>
        <v>5769.84127</v>
      </c>
      <c r="P2886" s="2">
        <v>0.0</v>
      </c>
      <c r="Q2886" s="3">
        <f t="shared" si="7"/>
        <v>0</v>
      </c>
      <c r="R2886" s="2">
        <v>86.0</v>
      </c>
      <c r="S2886" s="5">
        <f t="shared" si="8"/>
        <v>1</v>
      </c>
    </row>
    <row r="2887">
      <c r="A2887" s="2" t="s">
        <v>2895</v>
      </c>
      <c r="B2887" s="2">
        <v>117.0</v>
      </c>
      <c r="C2887" s="2">
        <v>1361.0</v>
      </c>
      <c r="D2887" s="2">
        <v>393.0</v>
      </c>
      <c r="E2887" s="3">
        <f t="shared" si="1"/>
        <v>0.3159163987</v>
      </c>
      <c r="F2887" s="2">
        <v>167.0</v>
      </c>
      <c r="G2887" s="3">
        <f t="shared" si="2"/>
        <v>0.134244373</v>
      </c>
      <c r="H2887" s="2">
        <v>265.0</v>
      </c>
      <c r="I2887" s="3">
        <f t="shared" si="3"/>
        <v>0.213022508</v>
      </c>
      <c r="J2887" s="2">
        <v>227.0</v>
      </c>
      <c r="K2887" s="3">
        <f t="shared" si="4"/>
        <v>0.1824758842</v>
      </c>
      <c r="L2887" s="2">
        <v>153.0</v>
      </c>
      <c r="M2887" s="3">
        <f t="shared" si="5"/>
        <v>0.5773584906</v>
      </c>
      <c r="N2887" s="2">
        <v>1458200.0</v>
      </c>
      <c r="O2887" s="4">
        <f t="shared" si="6"/>
        <v>5502.641509</v>
      </c>
      <c r="P2887" s="2">
        <v>0.0</v>
      </c>
      <c r="Q2887" s="3">
        <f t="shared" si="7"/>
        <v>0</v>
      </c>
      <c r="R2887" s="2">
        <v>117.0</v>
      </c>
      <c r="S2887" s="5">
        <f t="shared" si="8"/>
        <v>1</v>
      </c>
    </row>
    <row r="2888">
      <c r="A2888" s="2" t="s">
        <v>2896</v>
      </c>
      <c r="B2888" s="2">
        <v>627.0</v>
      </c>
      <c r="C2888" s="2">
        <v>7324.0</v>
      </c>
      <c r="D2888" s="2">
        <v>2154.0</v>
      </c>
      <c r="E2888" s="3">
        <f t="shared" si="1"/>
        <v>0.3216365537</v>
      </c>
      <c r="F2888" s="2">
        <v>899.0</v>
      </c>
      <c r="G2888" s="3">
        <f t="shared" si="2"/>
        <v>0.1342392116</v>
      </c>
      <c r="H2888" s="2">
        <v>1344.0</v>
      </c>
      <c r="I2888" s="3">
        <f t="shared" si="3"/>
        <v>0.2006868747</v>
      </c>
      <c r="J2888" s="2">
        <v>1255.0</v>
      </c>
      <c r="K2888" s="3">
        <f t="shared" si="4"/>
        <v>0.1873973421</v>
      </c>
      <c r="L2888" s="2">
        <v>808.0</v>
      </c>
      <c r="M2888" s="3">
        <f t="shared" si="5"/>
        <v>0.6011904762</v>
      </c>
      <c r="N2888" s="2">
        <v>8142000.0</v>
      </c>
      <c r="O2888" s="4">
        <f t="shared" si="6"/>
        <v>6058.035714</v>
      </c>
      <c r="P2888" s="2">
        <v>2.0</v>
      </c>
      <c r="Q2888" s="3">
        <f t="shared" si="7"/>
        <v>0.003189792663</v>
      </c>
      <c r="R2888" s="2">
        <v>0.0</v>
      </c>
      <c r="S2888" s="5">
        <f t="shared" si="8"/>
        <v>0</v>
      </c>
    </row>
    <row r="2889">
      <c r="A2889" s="2" t="s">
        <v>2897</v>
      </c>
      <c r="B2889" s="2">
        <v>444.0</v>
      </c>
      <c r="C2889" s="2">
        <v>5100.0</v>
      </c>
      <c r="D2889" s="2">
        <v>2001.0</v>
      </c>
      <c r="E2889" s="3">
        <f t="shared" si="1"/>
        <v>0.4297680412</v>
      </c>
      <c r="F2889" s="2">
        <v>625.0</v>
      </c>
      <c r="G2889" s="3">
        <f t="shared" si="2"/>
        <v>0.1342353952</v>
      </c>
      <c r="H2889" s="2">
        <v>1038.0</v>
      </c>
      <c r="I2889" s="3">
        <f t="shared" si="3"/>
        <v>0.2229381443</v>
      </c>
      <c r="J2889" s="2">
        <v>920.0</v>
      </c>
      <c r="K2889" s="3">
        <f t="shared" si="4"/>
        <v>0.1975945017</v>
      </c>
      <c r="L2889" s="2">
        <v>600.0</v>
      </c>
      <c r="M2889" s="3">
        <f t="shared" si="5"/>
        <v>0.5780346821</v>
      </c>
      <c r="N2889" s="2">
        <v>5921500.0</v>
      </c>
      <c r="O2889" s="4">
        <f t="shared" si="6"/>
        <v>5704.720617</v>
      </c>
      <c r="P2889" s="2">
        <v>0.0</v>
      </c>
      <c r="Q2889" s="3">
        <f t="shared" si="7"/>
        <v>0</v>
      </c>
      <c r="R2889" s="2">
        <v>444.0</v>
      </c>
      <c r="S2889" s="5">
        <f t="shared" si="8"/>
        <v>1</v>
      </c>
    </row>
    <row r="2890">
      <c r="A2890" s="2" t="s">
        <v>2898</v>
      </c>
      <c r="B2890" s="2">
        <v>27.0</v>
      </c>
      <c r="C2890" s="2">
        <v>325.0</v>
      </c>
      <c r="D2890" s="2">
        <v>124.0</v>
      </c>
      <c r="E2890" s="3">
        <f t="shared" si="1"/>
        <v>0.4161073826</v>
      </c>
      <c r="F2890" s="2">
        <v>40.0</v>
      </c>
      <c r="G2890" s="3">
        <f t="shared" si="2"/>
        <v>0.1342281879</v>
      </c>
      <c r="H2890" s="2">
        <v>65.0</v>
      </c>
      <c r="I2890" s="3">
        <f t="shared" si="3"/>
        <v>0.2181208054</v>
      </c>
      <c r="J2890" s="2">
        <v>50.0</v>
      </c>
      <c r="K2890" s="3">
        <f t="shared" si="4"/>
        <v>0.1677852349</v>
      </c>
      <c r="L2890" s="2">
        <v>35.0</v>
      </c>
      <c r="M2890" s="3">
        <f t="shared" si="5"/>
        <v>0.5384615385</v>
      </c>
      <c r="N2890" s="2">
        <v>359900.0</v>
      </c>
      <c r="O2890" s="4">
        <f t="shared" si="6"/>
        <v>5536.923077</v>
      </c>
      <c r="P2890" s="2">
        <v>0.0</v>
      </c>
      <c r="Q2890" s="3">
        <f t="shared" si="7"/>
        <v>0</v>
      </c>
      <c r="R2890" s="2">
        <v>27.0</v>
      </c>
      <c r="S2890" s="5">
        <f t="shared" si="8"/>
        <v>1</v>
      </c>
    </row>
    <row r="2891">
      <c r="A2891" s="2" t="s">
        <v>2899</v>
      </c>
      <c r="B2891" s="2">
        <v>29.0</v>
      </c>
      <c r="C2891" s="2">
        <v>327.0</v>
      </c>
      <c r="D2891" s="2">
        <v>113.0</v>
      </c>
      <c r="E2891" s="3">
        <f t="shared" si="1"/>
        <v>0.3791946309</v>
      </c>
      <c r="F2891" s="2">
        <v>40.0</v>
      </c>
      <c r="G2891" s="3">
        <f t="shared" si="2"/>
        <v>0.1342281879</v>
      </c>
      <c r="H2891" s="2">
        <v>62.0</v>
      </c>
      <c r="I2891" s="3">
        <f t="shared" si="3"/>
        <v>0.2080536913</v>
      </c>
      <c r="J2891" s="2">
        <v>50.0</v>
      </c>
      <c r="K2891" s="3">
        <f t="shared" si="4"/>
        <v>0.1677852349</v>
      </c>
      <c r="L2891" s="2">
        <v>34.0</v>
      </c>
      <c r="M2891" s="3">
        <f t="shared" si="5"/>
        <v>0.5483870968</v>
      </c>
      <c r="N2891" s="2">
        <v>332000.0</v>
      </c>
      <c r="O2891" s="4">
        <f t="shared" si="6"/>
        <v>5354.83871</v>
      </c>
      <c r="P2891" s="2">
        <v>0.0</v>
      </c>
      <c r="Q2891" s="3">
        <f t="shared" si="7"/>
        <v>0</v>
      </c>
      <c r="R2891" s="2">
        <v>29.0</v>
      </c>
      <c r="S2891" s="5">
        <f t="shared" si="8"/>
        <v>1</v>
      </c>
    </row>
    <row r="2892">
      <c r="A2892" s="2" t="s">
        <v>2900</v>
      </c>
      <c r="B2892" s="2">
        <v>25.0</v>
      </c>
      <c r="C2892" s="2">
        <v>323.0</v>
      </c>
      <c r="D2892" s="2">
        <v>77.0</v>
      </c>
      <c r="E2892" s="3">
        <f t="shared" si="1"/>
        <v>0.2583892617</v>
      </c>
      <c r="F2892" s="2">
        <v>40.0</v>
      </c>
      <c r="G2892" s="3">
        <f t="shared" si="2"/>
        <v>0.1342281879</v>
      </c>
      <c r="H2892" s="2">
        <v>57.0</v>
      </c>
      <c r="I2892" s="3">
        <f t="shared" si="3"/>
        <v>0.1912751678</v>
      </c>
      <c r="J2892" s="2">
        <v>44.0</v>
      </c>
      <c r="K2892" s="3">
        <f t="shared" si="4"/>
        <v>0.1476510067</v>
      </c>
      <c r="L2892" s="2">
        <v>22.0</v>
      </c>
      <c r="M2892" s="3">
        <f t="shared" si="5"/>
        <v>0.3859649123</v>
      </c>
      <c r="N2892" s="2">
        <v>320100.0</v>
      </c>
      <c r="O2892" s="4">
        <f t="shared" si="6"/>
        <v>5615.789474</v>
      </c>
      <c r="P2892" s="2">
        <v>0.0</v>
      </c>
      <c r="Q2892" s="3">
        <f t="shared" si="7"/>
        <v>0</v>
      </c>
      <c r="R2892" s="2">
        <v>25.0</v>
      </c>
      <c r="S2892" s="5">
        <f t="shared" si="8"/>
        <v>1</v>
      </c>
    </row>
    <row r="2893">
      <c r="A2893" s="2" t="s">
        <v>2901</v>
      </c>
      <c r="B2893" s="2">
        <v>547.0</v>
      </c>
      <c r="C2893" s="2">
        <v>6500.0</v>
      </c>
      <c r="D2893" s="2">
        <v>2033.0</v>
      </c>
      <c r="E2893" s="3">
        <f t="shared" si="1"/>
        <v>0.3415084831</v>
      </c>
      <c r="F2893" s="2">
        <v>799.0</v>
      </c>
      <c r="G2893" s="3">
        <f t="shared" si="2"/>
        <v>0.1342180413</v>
      </c>
      <c r="H2893" s="2">
        <v>1186.0</v>
      </c>
      <c r="I2893" s="3">
        <f t="shared" si="3"/>
        <v>0.1992272804</v>
      </c>
      <c r="J2893" s="2">
        <v>944.0</v>
      </c>
      <c r="K2893" s="3">
        <f t="shared" si="4"/>
        <v>0.1585755081</v>
      </c>
      <c r="L2893" s="2">
        <v>698.0</v>
      </c>
      <c r="M2893" s="3">
        <f t="shared" si="5"/>
        <v>0.5885328836</v>
      </c>
      <c r="N2893" s="2">
        <v>6843900.0</v>
      </c>
      <c r="O2893" s="4">
        <f t="shared" si="6"/>
        <v>5770.573356</v>
      </c>
      <c r="P2893" s="2">
        <v>4.0</v>
      </c>
      <c r="Q2893" s="3">
        <f t="shared" si="7"/>
        <v>0.00731261426</v>
      </c>
      <c r="R2893" s="2">
        <v>117.0</v>
      </c>
      <c r="S2893" s="5">
        <f t="shared" si="8"/>
        <v>0.2138939671</v>
      </c>
    </row>
    <row r="2894">
      <c r="A2894" s="2" t="s">
        <v>2902</v>
      </c>
      <c r="B2894" s="2">
        <v>353.0</v>
      </c>
      <c r="C2894" s="2">
        <v>4116.0</v>
      </c>
      <c r="D2894" s="2">
        <v>1476.0</v>
      </c>
      <c r="E2894" s="3">
        <f t="shared" si="1"/>
        <v>0.3922402339</v>
      </c>
      <c r="F2894" s="2">
        <v>505.0</v>
      </c>
      <c r="G2894" s="3">
        <f t="shared" si="2"/>
        <v>0.134201435</v>
      </c>
      <c r="H2894" s="2">
        <v>850.0</v>
      </c>
      <c r="I2894" s="3">
        <f t="shared" si="3"/>
        <v>0.2258836035</v>
      </c>
      <c r="J2894" s="2">
        <v>617.0</v>
      </c>
      <c r="K2894" s="3">
        <f t="shared" si="4"/>
        <v>0.1639649216</v>
      </c>
      <c r="L2894" s="2">
        <v>532.0</v>
      </c>
      <c r="M2894" s="3">
        <f t="shared" si="5"/>
        <v>0.6258823529</v>
      </c>
      <c r="N2894" s="2">
        <v>4581500.0</v>
      </c>
      <c r="O2894" s="4">
        <f t="shared" si="6"/>
        <v>5390</v>
      </c>
      <c r="P2894" s="2">
        <v>0.0</v>
      </c>
      <c r="Q2894" s="3">
        <f t="shared" si="7"/>
        <v>0</v>
      </c>
      <c r="R2894" s="2">
        <v>109.0</v>
      </c>
      <c r="S2894" s="5">
        <f t="shared" si="8"/>
        <v>0.3087818697</v>
      </c>
    </row>
    <row r="2895">
      <c r="A2895" s="2" t="s">
        <v>2903</v>
      </c>
      <c r="B2895" s="2">
        <v>338.0</v>
      </c>
      <c r="C2895" s="2">
        <v>3938.0</v>
      </c>
      <c r="D2895" s="2">
        <v>1231.0</v>
      </c>
      <c r="E2895" s="3">
        <f t="shared" si="1"/>
        <v>0.3419444444</v>
      </c>
      <c r="F2895" s="2">
        <v>483.0</v>
      </c>
      <c r="G2895" s="3">
        <f t="shared" si="2"/>
        <v>0.1341666667</v>
      </c>
      <c r="H2895" s="2">
        <v>768.0</v>
      </c>
      <c r="I2895" s="3">
        <f t="shared" si="3"/>
        <v>0.2133333333</v>
      </c>
      <c r="J2895" s="2">
        <v>603.0</v>
      </c>
      <c r="K2895" s="3">
        <f t="shared" si="4"/>
        <v>0.1675</v>
      </c>
      <c r="L2895" s="2">
        <v>476.0</v>
      </c>
      <c r="M2895" s="3">
        <f t="shared" si="5"/>
        <v>0.6197916667</v>
      </c>
      <c r="N2895" s="2">
        <v>4323800.0</v>
      </c>
      <c r="O2895" s="4">
        <f t="shared" si="6"/>
        <v>5629.947917</v>
      </c>
      <c r="P2895" s="2">
        <v>0.0</v>
      </c>
      <c r="Q2895" s="3">
        <f t="shared" si="7"/>
        <v>0</v>
      </c>
      <c r="R2895" s="2">
        <v>338.0</v>
      </c>
      <c r="S2895" s="5">
        <f t="shared" si="8"/>
        <v>1</v>
      </c>
    </row>
    <row r="2896">
      <c r="A2896" s="2" t="s">
        <v>2904</v>
      </c>
      <c r="B2896" s="2">
        <v>169.0</v>
      </c>
      <c r="C2896" s="2">
        <v>2010.0</v>
      </c>
      <c r="D2896" s="2">
        <v>630.0</v>
      </c>
      <c r="E2896" s="3">
        <f t="shared" si="1"/>
        <v>0.3422053232</v>
      </c>
      <c r="F2896" s="2">
        <v>247.0</v>
      </c>
      <c r="G2896" s="3">
        <f t="shared" si="2"/>
        <v>0.134166214</v>
      </c>
      <c r="H2896" s="2">
        <v>353.0</v>
      </c>
      <c r="I2896" s="3">
        <f t="shared" si="3"/>
        <v>0.1917436176</v>
      </c>
      <c r="J2896" s="2">
        <v>288.0</v>
      </c>
      <c r="K2896" s="3">
        <f t="shared" si="4"/>
        <v>0.1564367192</v>
      </c>
      <c r="L2896" s="2">
        <v>212.0</v>
      </c>
      <c r="M2896" s="3">
        <f t="shared" si="5"/>
        <v>0.6005665722</v>
      </c>
      <c r="N2896" s="2">
        <v>1967800.0</v>
      </c>
      <c r="O2896" s="4">
        <f t="shared" si="6"/>
        <v>5574.504249</v>
      </c>
      <c r="P2896" s="2">
        <v>0.0</v>
      </c>
      <c r="Q2896" s="3">
        <f t="shared" si="7"/>
        <v>0</v>
      </c>
      <c r="R2896" s="2">
        <v>169.0</v>
      </c>
      <c r="S2896" s="5">
        <f t="shared" si="8"/>
        <v>1</v>
      </c>
    </row>
    <row r="2897">
      <c r="A2897" s="2" t="s">
        <v>2905</v>
      </c>
      <c r="B2897" s="2">
        <v>1498.0</v>
      </c>
      <c r="C2897" s="2">
        <v>17523.0</v>
      </c>
      <c r="D2897" s="2">
        <v>6283.0</v>
      </c>
      <c r="E2897" s="3">
        <f t="shared" si="1"/>
        <v>0.392074883</v>
      </c>
      <c r="F2897" s="2">
        <v>2150.0</v>
      </c>
      <c r="G2897" s="3">
        <f t="shared" si="2"/>
        <v>0.1341653666</v>
      </c>
      <c r="H2897" s="2">
        <v>3469.0</v>
      </c>
      <c r="I2897" s="3">
        <f t="shared" si="3"/>
        <v>0.216474259</v>
      </c>
      <c r="J2897" s="2">
        <v>2593.0</v>
      </c>
      <c r="K2897" s="3">
        <f t="shared" si="4"/>
        <v>0.1618096724</v>
      </c>
      <c r="L2897" s="2">
        <v>2099.0</v>
      </c>
      <c r="M2897" s="3">
        <f t="shared" si="5"/>
        <v>0.6050735082</v>
      </c>
      <c r="N2897" s="2">
        <v>1.93274E7</v>
      </c>
      <c r="O2897" s="4">
        <f t="shared" si="6"/>
        <v>5571.461516</v>
      </c>
      <c r="P2897" s="2">
        <v>5.0</v>
      </c>
      <c r="Q2897" s="3">
        <f t="shared" si="7"/>
        <v>0.003337783712</v>
      </c>
      <c r="R2897" s="2">
        <v>1498.0</v>
      </c>
      <c r="S2897" s="5">
        <f t="shared" si="8"/>
        <v>1</v>
      </c>
    </row>
    <row r="2898">
      <c r="A2898" s="2" t="s">
        <v>2906</v>
      </c>
      <c r="B2898" s="2">
        <v>592.0</v>
      </c>
      <c r="C2898" s="2">
        <v>6995.0</v>
      </c>
      <c r="D2898" s="2">
        <v>2277.0</v>
      </c>
      <c r="E2898" s="3">
        <f t="shared" si="1"/>
        <v>0.3556145557</v>
      </c>
      <c r="F2898" s="2">
        <v>859.0</v>
      </c>
      <c r="G2898" s="3">
        <f t="shared" si="2"/>
        <v>0.1341558644</v>
      </c>
      <c r="H2898" s="2">
        <v>1389.0</v>
      </c>
      <c r="I2898" s="3">
        <f t="shared" si="3"/>
        <v>0.2169295643</v>
      </c>
      <c r="J2898" s="2">
        <v>1229.0</v>
      </c>
      <c r="K2898" s="3">
        <f t="shared" si="4"/>
        <v>0.1919412775</v>
      </c>
      <c r="L2898" s="2">
        <v>823.0</v>
      </c>
      <c r="M2898" s="3">
        <f t="shared" si="5"/>
        <v>0.592512599</v>
      </c>
      <c r="N2898" s="2">
        <v>7900800.0</v>
      </c>
      <c r="O2898" s="4">
        <f t="shared" si="6"/>
        <v>5688.12095</v>
      </c>
      <c r="P2898" s="2">
        <v>4.0</v>
      </c>
      <c r="Q2898" s="3">
        <f t="shared" si="7"/>
        <v>0.006756756757</v>
      </c>
      <c r="R2898" s="2">
        <v>592.0</v>
      </c>
      <c r="S2898" s="5">
        <f t="shared" si="8"/>
        <v>1</v>
      </c>
    </row>
    <row r="2899">
      <c r="A2899" s="2" t="s">
        <v>2907</v>
      </c>
      <c r="B2899" s="2">
        <v>1428.0</v>
      </c>
      <c r="C2899" s="2">
        <v>16530.0</v>
      </c>
      <c r="D2899" s="2">
        <v>3957.0</v>
      </c>
      <c r="E2899" s="3">
        <f t="shared" si="1"/>
        <v>0.2620182757</v>
      </c>
      <c r="F2899" s="2">
        <v>2026.0</v>
      </c>
      <c r="G2899" s="3">
        <f t="shared" si="2"/>
        <v>0.1341544166</v>
      </c>
      <c r="H2899" s="2">
        <v>3170.0</v>
      </c>
      <c r="I2899" s="3">
        <f t="shared" si="3"/>
        <v>0.2099059727</v>
      </c>
      <c r="J2899" s="2">
        <v>2369.0</v>
      </c>
      <c r="K2899" s="3">
        <f t="shared" si="4"/>
        <v>0.1568666402</v>
      </c>
      <c r="L2899" s="2">
        <v>1935.0</v>
      </c>
      <c r="M2899" s="3">
        <f t="shared" si="5"/>
        <v>0.6104100946</v>
      </c>
      <c r="N2899" s="2">
        <v>1.84589E7</v>
      </c>
      <c r="O2899" s="4">
        <f t="shared" si="6"/>
        <v>5822.996845</v>
      </c>
      <c r="P2899" s="2">
        <v>2.0</v>
      </c>
      <c r="Q2899" s="3">
        <f t="shared" si="7"/>
        <v>0.001400560224</v>
      </c>
      <c r="R2899" s="2">
        <v>1428.0</v>
      </c>
      <c r="S2899" s="5">
        <f t="shared" si="8"/>
        <v>1</v>
      </c>
    </row>
    <row r="2900">
      <c r="A2900" s="2" t="s">
        <v>2908</v>
      </c>
      <c r="B2900" s="2">
        <v>539.0</v>
      </c>
      <c r="C2900" s="2">
        <v>6331.0</v>
      </c>
      <c r="D2900" s="2">
        <v>1805.0</v>
      </c>
      <c r="E2900" s="3">
        <f t="shared" si="1"/>
        <v>0.3116367403</v>
      </c>
      <c r="F2900" s="2">
        <v>777.0</v>
      </c>
      <c r="G2900" s="3">
        <f t="shared" si="2"/>
        <v>0.1341505525</v>
      </c>
      <c r="H2900" s="2">
        <v>1286.0</v>
      </c>
      <c r="I2900" s="3">
        <f t="shared" si="3"/>
        <v>0.2220303867</v>
      </c>
      <c r="J2900" s="2">
        <v>913.0</v>
      </c>
      <c r="K2900" s="3">
        <f t="shared" si="4"/>
        <v>0.1576312155</v>
      </c>
      <c r="L2900" s="2">
        <v>795.0</v>
      </c>
      <c r="M2900" s="3">
        <f t="shared" si="5"/>
        <v>0.6181959565</v>
      </c>
      <c r="N2900" s="2">
        <v>6999200.0</v>
      </c>
      <c r="O2900" s="4">
        <f t="shared" si="6"/>
        <v>5442.612753</v>
      </c>
      <c r="P2900" s="2">
        <v>0.0</v>
      </c>
      <c r="Q2900" s="3">
        <f t="shared" si="7"/>
        <v>0</v>
      </c>
      <c r="R2900" s="2">
        <v>539.0</v>
      </c>
      <c r="S2900" s="5">
        <f t="shared" si="8"/>
        <v>1</v>
      </c>
    </row>
    <row r="2901">
      <c r="A2901" s="2" t="s">
        <v>2909</v>
      </c>
      <c r="B2901" s="2">
        <v>37.0</v>
      </c>
      <c r="C2901" s="2">
        <v>447.0</v>
      </c>
      <c r="D2901" s="2">
        <v>141.0</v>
      </c>
      <c r="E2901" s="3">
        <f t="shared" si="1"/>
        <v>0.343902439</v>
      </c>
      <c r="F2901" s="2">
        <v>55.0</v>
      </c>
      <c r="G2901" s="3">
        <f t="shared" si="2"/>
        <v>0.1341463415</v>
      </c>
      <c r="H2901" s="2">
        <v>93.0</v>
      </c>
      <c r="I2901" s="3">
        <f t="shared" si="3"/>
        <v>0.2268292683</v>
      </c>
      <c r="J2901" s="2">
        <v>94.0</v>
      </c>
      <c r="K2901" s="3">
        <f t="shared" si="4"/>
        <v>0.2292682927</v>
      </c>
      <c r="L2901" s="2">
        <v>53.0</v>
      </c>
      <c r="M2901" s="3">
        <f t="shared" si="5"/>
        <v>0.5698924731</v>
      </c>
      <c r="N2901" s="2">
        <v>549200.0</v>
      </c>
      <c r="O2901" s="4">
        <f t="shared" si="6"/>
        <v>5905.376344</v>
      </c>
      <c r="P2901" s="2">
        <v>0.0</v>
      </c>
      <c r="Q2901" s="3">
        <f t="shared" si="7"/>
        <v>0</v>
      </c>
      <c r="R2901" s="2">
        <v>37.0</v>
      </c>
      <c r="S2901" s="5">
        <f t="shared" si="8"/>
        <v>1</v>
      </c>
    </row>
    <row r="2902">
      <c r="A2902" s="2" t="s">
        <v>2910</v>
      </c>
      <c r="B2902" s="2">
        <v>166.0</v>
      </c>
      <c r="C2902" s="2">
        <v>1970.0</v>
      </c>
      <c r="D2902" s="2">
        <v>635.0</v>
      </c>
      <c r="E2902" s="3">
        <f t="shared" si="1"/>
        <v>0.3519955654</v>
      </c>
      <c r="F2902" s="2">
        <v>242.0</v>
      </c>
      <c r="G2902" s="3">
        <f t="shared" si="2"/>
        <v>0.1341463415</v>
      </c>
      <c r="H2902" s="2">
        <v>388.0</v>
      </c>
      <c r="I2902" s="3">
        <f t="shared" si="3"/>
        <v>0.2150776053</v>
      </c>
      <c r="J2902" s="2">
        <v>251.0</v>
      </c>
      <c r="K2902" s="3">
        <f t="shared" si="4"/>
        <v>0.139135255</v>
      </c>
      <c r="L2902" s="2">
        <v>244.0</v>
      </c>
      <c r="M2902" s="3">
        <f t="shared" si="5"/>
        <v>0.6288659794</v>
      </c>
      <c r="N2902" s="2">
        <v>2035500.0</v>
      </c>
      <c r="O2902" s="4">
        <f t="shared" si="6"/>
        <v>5246.134021</v>
      </c>
      <c r="P2902" s="2">
        <v>1.0</v>
      </c>
      <c r="Q2902" s="3">
        <f t="shared" si="7"/>
        <v>0.006024096386</v>
      </c>
      <c r="R2902" s="2">
        <v>164.0</v>
      </c>
      <c r="S2902" s="5">
        <f t="shared" si="8"/>
        <v>0.9879518072</v>
      </c>
    </row>
    <row r="2903">
      <c r="A2903" s="2" t="s">
        <v>2911</v>
      </c>
      <c r="B2903" s="2">
        <v>344.0</v>
      </c>
      <c r="C2903" s="2">
        <v>4064.0</v>
      </c>
      <c r="D2903" s="2">
        <v>1210.0</v>
      </c>
      <c r="E2903" s="3">
        <f t="shared" si="1"/>
        <v>0.3252688172</v>
      </c>
      <c r="F2903" s="2">
        <v>499.0</v>
      </c>
      <c r="G2903" s="3">
        <f t="shared" si="2"/>
        <v>0.1341397849</v>
      </c>
      <c r="H2903" s="2">
        <v>801.0</v>
      </c>
      <c r="I2903" s="3">
        <f t="shared" si="3"/>
        <v>0.2153225806</v>
      </c>
      <c r="J2903" s="2">
        <v>640.0</v>
      </c>
      <c r="K2903" s="3">
        <f t="shared" si="4"/>
        <v>0.1720430108</v>
      </c>
      <c r="L2903" s="2">
        <v>486.0</v>
      </c>
      <c r="M2903" s="3">
        <f t="shared" si="5"/>
        <v>0.606741573</v>
      </c>
      <c r="N2903" s="2">
        <v>4604400.0</v>
      </c>
      <c r="O2903" s="4">
        <f t="shared" si="6"/>
        <v>5748.314607</v>
      </c>
      <c r="P2903" s="2">
        <v>0.0</v>
      </c>
      <c r="Q2903" s="3">
        <f t="shared" si="7"/>
        <v>0</v>
      </c>
      <c r="R2903" s="2">
        <v>344.0</v>
      </c>
      <c r="S2903" s="5">
        <f t="shared" si="8"/>
        <v>1</v>
      </c>
    </row>
    <row r="2904">
      <c r="A2904" s="2" t="s">
        <v>2912</v>
      </c>
      <c r="B2904" s="2">
        <v>190.0</v>
      </c>
      <c r="C2904" s="2">
        <v>2270.0</v>
      </c>
      <c r="D2904" s="2">
        <v>709.0</v>
      </c>
      <c r="E2904" s="3">
        <f t="shared" si="1"/>
        <v>0.3408653846</v>
      </c>
      <c r="F2904" s="2">
        <v>279.0</v>
      </c>
      <c r="G2904" s="3">
        <f t="shared" si="2"/>
        <v>0.1341346154</v>
      </c>
      <c r="H2904" s="2">
        <v>427.0</v>
      </c>
      <c r="I2904" s="3">
        <f t="shared" si="3"/>
        <v>0.2052884615</v>
      </c>
      <c r="J2904" s="2">
        <v>461.0</v>
      </c>
      <c r="K2904" s="3">
        <f t="shared" si="4"/>
        <v>0.2216346154</v>
      </c>
      <c r="L2904" s="2">
        <v>242.0</v>
      </c>
      <c r="M2904" s="3">
        <f t="shared" si="5"/>
        <v>0.5667447307</v>
      </c>
      <c r="N2904" s="2">
        <v>2491400.0</v>
      </c>
      <c r="O2904" s="4">
        <f t="shared" si="6"/>
        <v>5834.660422</v>
      </c>
      <c r="P2904" s="2">
        <v>0.0</v>
      </c>
      <c r="Q2904" s="3">
        <f t="shared" si="7"/>
        <v>0</v>
      </c>
      <c r="R2904" s="2">
        <v>190.0</v>
      </c>
      <c r="S2904" s="5">
        <f t="shared" si="8"/>
        <v>1</v>
      </c>
    </row>
    <row r="2905">
      <c r="A2905" s="2" t="s">
        <v>2913</v>
      </c>
      <c r="B2905" s="2">
        <v>98.0</v>
      </c>
      <c r="C2905" s="2">
        <v>1194.0</v>
      </c>
      <c r="D2905" s="2">
        <v>387.0</v>
      </c>
      <c r="E2905" s="3">
        <f t="shared" si="1"/>
        <v>0.3531021898</v>
      </c>
      <c r="F2905" s="2">
        <v>147.0</v>
      </c>
      <c r="G2905" s="3">
        <f t="shared" si="2"/>
        <v>0.1341240876</v>
      </c>
      <c r="H2905" s="2">
        <v>212.0</v>
      </c>
      <c r="I2905" s="3">
        <f t="shared" si="3"/>
        <v>0.1934306569</v>
      </c>
      <c r="J2905" s="2">
        <v>183.0</v>
      </c>
      <c r="K2905" s="3">
        <f t="shared" si="4"/>
        <v>0.1669708029</v>
      </c>
      <c r="L2905" s="2">
        <v>119.0</v>
      </c>
      <c r="M2905" s="3">
        <f t="shared" si="5"/>
        <v>0.5613207547</v>
      </c>
      <c r="N2905" s="2">
        <v>1094400.0</v>
      </c>
      <c r="O2905" s="4">
        <f t="shared" si="6"/>
        <v>5162.264151</v>
      </c>
      <c r="P2905" s="2">
        <v>0.0</v>
      </c>
      <c r="Q2905" s="3">
        <f t="shared" si="7"/>
        <v>0</v>
      </c>
      <c r="R2905" s="2">
        <v>98.0</v>
      </c>
      <c r="S2905" s="5">
        <f t="shared" si="8"/>
        <v>1</v>
      </c>
    </row>
    <row r="2906">
      <c r="A2906" s="2" t="s">
        <v>2914</v>
      </c>
      <c r="B2906" s="2">
        <v>547.0</v>
      </c>
      <c r="C2906" s="2">
        <v>6497.0</v>
      </c>
      <c r="D2906" s="2">
        <v>1612.0</v>
      </c>
      <c r="E2906" s="3">
        <f t="shared" si="1"/>
        <v>0.2709243697</v>
      </c>
      <c r="F2906" s="2">
        <v>798.0</v>
      </c>
      <c r="G2906" s="3">
        <f t="shared" si="2"/>
        <v>0.1341176471</v>
      </c>
      <c r="H2906" s="2">
        <v>1157.0</v>
      </c>
      <c r="I2906" s="3">
        <f t="shared" si="3"/>
        <v>0.1944537815</v>
      </c>
      <c r="J2906" s="2">
        <v>1067.0</v>
      </c>
      <c r="K2906" s="3">
        <f t="shared" si="4"/>
        <v>0.1793277311</v>
      </c>
      <c r="L2906" s="2">
        <v>701.0</v>
      </c>
      <c r="M2906" s="3">
        <f t="shared" si="5"/>
        <v>0.6058772688</v>
      </c>
      <c r="N2906" s="2">
        <v>6499500.0</v>
      </c>
      <c r="O2906" s="4">
        <f t="shared" si="6"/>
        <v>5617.545376</v>
      </c>
      <c r="P2906" s="2">
        <v>2.0</v>
      </c>
      <c r="Q2906" s="3">
        <f t="shared" si="7"/>
        <v>0.00365630713</v>
      </c>
      <c r="R2906" s="2">
        <v>547.0</v>
      </c>
      <c r="S2906" s="5">
        <f t="shared" si="8"/>
        <v>1</v>
      </c>
    </row>
    <row r="2907">
      <c r="A2907" s="2" t="s">
        <v>2915</v>
      </c>
      <c r="B2907" s="2">
        <v>199.0</v>
      </c>
      <c r="C2907" s="2">
        <v>2339.0</v>
      </c>
      <c r="D2907" s="2">
        <v>675.0</v>
      </c>
      <c r="E2907" s="3">
        <f t="shared" si="1"/>
        <v>0.3154205607</v>
      </c>
      <c r="F2907" s="2">
        <v>287.0</v>
      </c>
      <c r="G2907" s="3">
        <f t="shared" si="2"/>
        <v>0.1341121495</v>
      </c>
      <c r="H2907" s="2">
        <v>401.0</v>
      </c>
      <c r="I2907" s="3">
        <f t="shared" si="3"/>
        <v>0.1873831776</v>
      </c>
      <c r="J2907" s="2">
        <v>235.0</v>
      </c>
      <c r="K2907" s="3">
        <f t="shared" si="4"/>
        <v>0.1098130841</v>
      </c>
      <c r="L2907" s="2">
        <v>248.0</v>
      </c>
      <c r="M2907" s="3">
        <f t="shared" si="5"/>
        <v>0.6184538653</v>
      </c>
      <c r="N2907" s="2">
        <v>2316800.0</v>
      </c>
      <c r="O2907" s="4">
        <f t="shared" si="6"/>
        <v>5777.55611</v>
      </c>
      <c r="P2907" s="2">
        <v>1.0</v>
      </c>
      <c r="Q2907" s="3">
        <f t="shared" si="7"/>
        <v>0.005025125628</v>
      </c>
      <c r="R2907" s="2">
        <v>0.0</v>
      </c>
      <c r="S2907" s="5">
        <f t="shared" si="8"/>
        <v>0</v>
      </c>
    </row>
    <row r="2908">
      <c r="A2908" s="2" t="s">
        <v>2916</v>
      </c>
      <c r="B2908" s="2">
        <v>63.0</v>
      </c>
      <c r="C2908" s="2">
        <v>749.0</v>
      </c>
      <c r="D2908" s="2">
        <v>270.0</v>
      </c>
      <c r="E2908" s="3">
        <f t="shared" si="1"/>
        <v>0.3935860058</v>
      </c>
      <c r="F2908" s="2">
        <v>92.0</v>
      </c>
      <c r="G2908" s="3">
        <f t="shared" si="2"/>
        <v>0.1341107872</v>
      </c>
      <c r="H2908" s="2">
        <v>141.0</v>
      </c>
      <c r="I2908" s="3">
        <f t="shared" si="3"/>
        <v>0.2055393586</v>
      </c>
      <c r="J2908" s="2">
        <v>115.0</v>
      </c>
      <c r="K2908" s="3">
        <f t="shared" si="4"/>
        <v>0.167638484</v>
      </c>
      <c r="L2908" s="2">
        <v>84.0</v>
      </c>
      <c r="M2908" s="3">
        <f t="shared" si="5"/>
        <v>0.5957446809</v>
      </c>
      <c r="N2908" s="2">
        <v>841800.0</v>
      </c>
      <c r="O2908" s="4">
        <f t="shared" si="6"/>
        <v>5970.212766</v>
      </c>
      <c r="P2908" s="2">
        <v>1.0</v>
      </c>
      <c r="Q2908" s="3">
        <f t="shared" si="7"/>
        <v>0.01587301587</v>
      </c>
      <c r="R2908" s="2">
        <v>46.0</v>
      </c>
      <c r="S2908" s="5">
        <f t="shared" si="8"/>
        <v>0.7301587302</v>
      </c>
    </row>
    <row r="2909">
      <c r="A2909" s="2" t="s">
        <v>2917</v>
      </c>
      <c r="B2909" s="2">
        <v>113.0</v>
      </c>
      <c r="C2909" s="2">
        <v>1321.0</v>
      </c>
      <c r="D2909" s="2">
        <v>404.0</v>
      </c>
      <c r="E2909" s="3">
        <f t="shared" si="1"/>
        <v>0.3344370861</v>
      </c>
      <c r="F2909" s="2">
        <v>162.0</v>
      </c>
      <c r="G2909" s="3">
        <f t="shared" si="2"/>
        <v>0.1341059603</v>
      </c>
      <c r="H2909" s="2">
        <v>230.0</v>
      </c>
      <c r="I2909" s="3">
        <f t="shared" si="3"/>
        <v>0.190397351</v>
      </c>
      <c r="J2909" s="2">
        <v>219.0</v>
      </c>
      <c r="K2909" s="3">
        <f t="shared" si="4"/>
        <v>0.1812913907</v>
      </c>
      <c r="L2909" s="2">
        <v>134.0</v>
      </c>
      <c r="M2909" s="3">
        <f t="shared" si="5"/>
        <v>0.5826086957</v>
      </c>
      <c r="N2909" s="2">
        <v>1213300.0</v>
      </c>
      <c r="O2909" s="4">
        <f t="shared" si="6"/>
        <v>5275.217391</v>
      </c>
      <c r="P2909" s="2">
        <v>0.0</v>
      </c>
      <c r="Q2909" s="3">
        <f t="shared" si="7"/>
        <v>0</v>
      </c>
      <c r="R2909" s="2">
        <v>16.0</v>
      </c>
      <c r="S2909" s="5">
        <f t="shared" si="8"/>
        <v>0.1415929204</v>
      </c>
    </row>
    <row r="2910">
      <c r="A2910" s="2" t="s">
        <v>2918</v>
      </c>
      <c r="B2910" s="2">
        <v>227.0</v>
      </c>
      <c r="C2910" s="2">
        <v>2561.0</v>
      </c>
      <c r="D2910" s="2">
        <v>790.0</v>
      </c>
      <c r="E2910" s="3">
        <f t="shared" si="1"/>
        <v>0.3384747215</v>
      </c>
      <c r="F2910" s="2">
        <v>313.0</v>
      </c>
      <c r="G2910" s="3">
        <f t="shared" si="2"/>
        <v>0.1341045416</v>
      </c>
      <c r="H2910" s="2">
        <v>525.0</v>
      </c>
      <c r="I2910" s="3">
        <f t="shared" si="3"/>
        <v>0.2249357326</v>
      </c>
      <c r="J2910" s="2">
        <v>375.0</v>
      </c>
      <c r="K2910" s="3">
        <f t="shared" si="4"/>
        <v>0.1606683805</v>
      </c>
      <c r="L2910" s="2">
        <v>332.0</v>
      </c>
      <c r="M2910" s="3">
        <f t="shared" si="5"/>
        <v>0.6323809524</v>
      </c>
      <c r="N2910" s="2">
        <v>2866100.0</v>
      </c>
      <c r="O2910" s="4">
        <f t="shared" si="6"/>
        <v>5459.238095</v>
      </c>
      <c r="P2910" s="2">
        <v>0.0</v>
      </c>
      <c r="Q2910" s="3">
        <f t="shared" si="7"/>
        <v>0</v>
      </c>
      <c r="R2910" s="2">
        <v>3.0</v>
      </c>
      <c r="S2910" s="5">
        <f t="shared" si="8"/>
        <v>0.01321585903</v>
      </c>
    </row>
    <row r="2911">
      <c r="A2911" s="2" t="s">
        <v>2919</v>
      </c>
      <c r="B2911" s="2">
        <v>1240.0</v>
      </c>
      <c r="C2911" s="2">
        <v>14439.0</v>
      </c>
      <c r="D2911" s="2">
        <v>4557.0</v>
      </c>
      <c r="E2911" s="3">
        <f t="shared" si="1"/>
        <v>0.3452534283</v>
      </c>
      <c r="F2911" s="2">
        <v>1770.0</v>
      </c>
      <c r="G2911" s="3">
        <f t="shared" si="2"/>
        <v>0.1341010683</v>
      </c>
      <c r="H2911" s="2">
        <v>2758.0</v>
      </c>
      <c r="I2911" s="3">
        <f t="shared" si="3"/>
        <v>0.2089552239</v>
      </c>
      <c r="J2911" s="2">
        <v>2250.0</v>
      </c>
      <c r="K2911" s="3">
        <f t="shared" si="4"/>
        <v>0.1704674597</v>
      </c>
      <c r="L2911" s="2">
        <v>1669.0</v>
      </c>
      <c r="M2911" s="3">
        <f t="shared" si="5"/>
        <v>0.6051486584</v>
      </c>
      <c r="N2911" s="2">
        <v>1.54091E7</v>
      </c>
      <c r="O2911" s="4">
        <f t="shared" si="6"/>
        <v>5587.055838</v>
      </c>
      <c r="P2911" s="2">
        <v>0.0</v>
      </c>
      <c r="Q2911" s="3">
        <f t="shared" si="7"/>
        <v>0</v>
      </c>
      <c r="R2911" s="2">
        <v>1239.0</v>
      </c>
      <c r="S2911" s="5">
        <f t="shared" si="8"/>
        <v>0.9991935484</v>
      </c>
    </row>
    <row r="2912">
      <c r="A2912" s="2" t="s">
        <v>2920</v>
      </c>
      <c r="B2912" s="2">
        <v>315.0</v>
      </c>
      <c r="C2912" s="2">
        <v>3708.0</v>
      </c>
      <c r="D2912" s="2">
        <v>1210.0</v>
      </c>
      <c r="E2912" s="3">
        <f t="shared" si="1"/>
        <v>0.3566165635</v>
      </c>
      <c r="F2912" s="2">
        <v>455.0</v>
      </c>
      <c r="G2912" s="3">
        <f t="shared" si="2"/>
        <v>0.1340996169</v>
      </c>
      <c r="H2912" s="2">
        <v>734.0</v>
      </c>
      <c r="I2912" s="3">
        <f t="shared" si="3"/>
        <v>0.2163277336</v>
      </c>
      <c r="J2912" s="2">
        <v>628.0</v>
      </c>
      <c r="K2912" s="3">
        <f t="shared" si="4"/>
        <v>0.1850869437</v>
      </c>
      <c r="L2912" s="2">
        <v>444.0</v>
      </c>
      <c r="M2912" s="3">
        <f t="shared" si="5"/>
        <v>0.6049046322</v>
      </c>
      <c r="N2912" s="2">
        <v>3889300.0</v>
      </c>
      <c r="O2912" s="4">
        <f t="shared" si="6"/>
        <v>5298.773842</v>
      </c>
      <c r="P2912" s="2">
        <v>1.0</v>
      </c>
      <c r="Q2912" s="3">
        <f t="shared" si="7"/>
        <v>0.003174603175</v>
      </c>
      <c r="R2912" s="2">
        <v>84.0</v>
      </c>
      <c r="S2912" s="5">
        <f t="shared" si="8"/>
        <v>0.2666666667</v>
      </c>
    </row>
    <row r="2913">
      <c r="A2913" s="2" t="s">
        <v>2921</v>
      </c>
      <c r="B2913" s="2">
        <v>24.0</v>
      </c>
      <c r="C2913" s="2">
        <v>285.0</v>
      </c>
      <c r="D2913" s="2">
        <v>111.0</v>
      </c>
      <c r="E2913" s="3">
        <f t="shared" si="1"/>
        <v>0.4252873563</v>
      </c>
      <c r="F2913" s="2">
        <v>35.0</v>
      </c>
      <c r="G2913" s="3">
        <f t="shared" si="2"/>
        <v>0.1340996169</v>
      </c>
      <c r="H2913" s="2">
        <v>70.0</v>
      </c>
      <c r="I2913" s="3">
        <f t="shared" si="3"/>
        <v>0.2681992337</v>
      </c>
      <c r="J2913" s="2">
        <v>47.0</v>
      </c>
      <c r="K2913" s="3">
        <f t="shared" si="4"/>
        <v>0.1800766284</v>
      </c>
      <c r="L2913" s="2">
        <v>37.0</v>
      </c>
      <c r="M2913" s="3">
        <f t="shared" si="5"/>
        <v>0.5285714286</v>
      </c>
      <c r="N2913" s="2">
        <v>425300.0</v>
      </c>
      <c r="O2913" s="4">
        <f t="shared" si="6"/>
        <v>6075.714286</v>
      </c>
      <c r="P2913" s="2">
        <v>1.0</v>
      </c>
      <c r="Q2913" s="3">
        <f t="shared" si="7"/>
        <v>0.04166666667</v>
      </c>
      <c r="R2913" s="2">
        <v>24.0</v>
      </c>
      <c r="S2913" s="5">
        <f t="shared" si="8"/>
        <v>1</v>
      </c>
    </row>
    <row r="2914">
      <c r="A2914" s="2" t="s">
        <v>2922</v>
      </c>
      <c r="B2914" s="2">
        <v>1052.0</v>
      </c>
      <c r="C2914" s="2">
        <v>12275.0</v>
      </c>
      <c r="D2914" s="2">
        <v>4389.0</v>
      </c>
      <c r="E2914" s="3">
        <f t="shared" si="1"/>
        <v>0.3910719059</v>
      </c>
      <c r="F2914" s="2">
        <v>1505.0</v>
      </c>
      <c r="G2914" s="3">
        <f t="shared" si="2"/>
        <v>0.1340996169</v>
      </c>
      <c r="H2914" s="2">
        <v>2336.0</v>
      </c>
      <c r="I2914" s="3">
        <f t="shared" si="3"/>
        <v>0.20814399</v>
      </c>
      <c r="J2914" s="2">
        <v>1689.0</v>
      </c>
      <c r="K2914" s="3">
        <f t="shared" si="4"/>
        <v>0.1504945202</v>
      </c>
      <c r="L2914" s="2">
        <v>1406.0</v>
      </c>
      <c r="M2914" s="3">
        <f t="shared" si="5"/>
        <v>0.6018835616</v>
      </c>
      <c r="N2914" s="2">
        <v>1.29058E7</v>
      </c>
      <c r="O2914" s="4">
        <f t="shared" si="6"/>
        <v>5524.743151</v>
      </c>
      <c r="P2914" s="2">
        <v>2.0</v>
      </c>
      <c r="Q2914" s="3">
        <f t="shared" si="7"/>
        <v>0.001901140684</v>
      </c>
      <c r="R2914" s="2">
        <v>1052.0</v>
      </c>
      <c r="S2914" s="5">
        <f t="shared" si="8"/>
        <v>1</v>
      </c>
    </row>
    <row r="2915">
      <c r="A2915" s="2" t="s">
        <v>2923</v>
      </c>
      <c r="B2915" s="2">
        <v>245.0</v>
      </c>
      <c r="C2915" s="2">
        <v>2818.0</v>
      </c>
      <c r="D2915" s="2">
        <v>947.0</v>
      </c>
      <c r="E2915" s="3">
        <f t="shared" si="1"/>
        <v>0.3680528566</v>
      </c>
      <c r="F2915" s="2">
        <v>345.0</v>
      </c>
      <c r="G2915" s="3">
        <f t="shared" si="2"/>
        <v>0.134084726</v>
      </c>
      <c r="H2915" s="2">
        <v>582.0</v>
      </c>
      <c r="I2915" s="3">
        <f t="shared" si="3"/>
        <v>0.226195103</v>
      </c>
      <c r="J2915" s="2">
        <v>421.0</v>
      </c>
      <c r="K2915" s="3">
        <f t="shared" si="4"/>
        <v>0.1636222309</v>
      </c>
      <c r="L2915" s="2">
        <v>348.0</v>
      </c>
      <c r="M2915" s="3">
        <f t="shared" si="5"/>
        <v>0.5979381443</v>
      </c>
      <c r="N2915" s="2">
        <v>3234500.0</v>
      </c>
      <c r="O2915" s="4">
        <f t="shared" si="6"/>
        <v>5557.560137</v>
      </c>
      <c r="P2915" s="2">
        <v>0.0</v>
      </c>
      <c r="Q2915" s="3">
        <f t="shared" si="7"/>
        <v>0</v>
      </c>
      <c r="R2915" s="2">
        <v>0.0</v>
      </c>
      <c r="S2915" s="5">
        <f t="shared" si="8"/>
        <v>0</v>
      </c>
    </row>
    <row r="2916">
      <c r="A2916" s="2" t="s">
        <v>2924</v>
      </c>
      <c r="B2916" s="2">
        <v>34.0</v>
      </c>
      <c r="C2916" s="2">
        <v>392.0</v>
      </c>
      <c r="D2916" s="2">
        <v>125.0</v>
      </c>
      <c r="E2916" s="3">
        <f t="shared" si="1"/>
        <v>0.3491620112</v>
      </c>
      <c r="F2916" s="2">
        <v>48.0</v>
      </c>
      <c r="G2916" s="3">
        <f t="shared" si="2"/>
        <v>0.1340782123</v>
      </c>
      <c r="H2916" s="2">
        <v>80.0</v>
      </c>
      <c r="I2916" s="3">
        <f t="shared" si="3"/>
        <v>0.2234636872</v>
      </c>
      <c r="J2916" s="2">
        <v>77.0</v>
      </c>
      <c r="K2916" s="3">
        <f t="shared" si="4"/>
        <v>0.2150837989</v>
      </c>
      <c r="L2916" s="2">
        <v>47.0</v>
      </c>
      <c r="M2916" s="3">
        <f t="shared" si="5"/>
        <v>0.5875</v>
      </c>
      <c r="N2916" s="2">
        <v>501300.0</v>
      </c>
      <c r="O2916" s="4">
        <f t="shared" si="6"/>
        <v>6266.25</v>
      </c>
      <c r="P2916" s="2">
        <v>0.0</v>
      </c>
      <c r="Q2916" s="3">
        <f t="shared" si="7"/>
        <v>0</v>
      </c>
      <c r="R2916" s="2">
        <v>34.0</v>
      </c>
      <c r="S2916" s="5">
        <f t="shared" si="8"/>
        <v>1</v>
      </c>
    </row>
    <row r="2917">
      <c r="A2917" s="2" t="s">
        <v>2925</v>
      </c>
      <c r="B2917" s="2">
        <v>2813.0</v>
      </c>
      <c r="C2917" s="2">
        <v>32990.0</v>
      </c>
      <c r="D2917" s="2">
        <v>10049.0</v>
      </c>
      <c r="E2917" s="3">
        <f t="shared" si="1"/>
        <v>0.3330019551</v>
      </c>
      <c r="F2917" s="2">
        <v>4046.0</v>
      </c>
      <c r="G2917" s="3">
        <f t="shared" si="2"/>
        <v>0.1340756205</v>
      </c>
      <c r="H2917" s="2">
        <v>6247.0</v>
      </c>
      <c r="I2917" s="3">
        <f t="shared" si="3"/>
        <v>0.2070119628</v>
      </c>
      <c r="J2917" s="2">
        <v>5318.0</v>
      </c>
      <c r="K2917" s="3">
        <f t="shared" si="4"/>
        <v>0.1762269278</v>
      </c>
      <c r="L2917" s="2">
        <v>3746.0</v>
      </c>
      <c r="M2917" s="3">
        <f t="shared" si="5"/>
        <v>0.599647831</v>
      </c>
      <c r="N2917" s="2">
        <v>3.72101E7</v>
      </c>
      <c r="O2917" s="4">
        <f t="shared" si="6"/>
        <v>5956.475108</v>
      </c>
      <c r="P2917" s="2">
        <v>2.0</v>
      </c>
      <c r="Q2917" s="3">
        <f t="shared" si="7"/>
        <v>0.0007109847138</v>
      </c>
      <c r="R2917" s="2">
        <v>0.0</v>
      </c>
      <c r="S2917" s="5">
        <f t="shared" si="8"/>
        <v>0</v>
      </c>
    </row>
    <row r="2918">
      <c r="A2918" s="2" t="s">
        <v>2926</v>
      </c>
      <c r="B2918" s="2">
        <v>83.0</v>
      </c>
      <c r="C2918" s="2">
        <v>993.0</v>
      </c>
      <c r="D2918" s="2">
        <v>332.0</v>
      </c>
      <c r="E2918" s="3">
        <f t="shared" si="1"/>
        <v>0.3648351648</v>
      </c>
      <c r="F2918" s="2">
        <v>122.0</v>
      </c>
      <c r="G2918" s="3">
        <f t="shared" si="2"/>
        <v>0.1340659341</v>
      </c>
      <c r="H2918" s="2">
        <v>186.0</v>
      </c>
      <c r="I2918" s="3">
        <f t="shared" si="3"/>
        <v>0.2043956044</v>
      </c>
      <c r="J2918" s="2">
        <v>122.0</v>
      </c>
      <c r="K2918" s="3">
        <f t="shared" si="4"/>
        <v>0.1340659341</v>
      </c>
      <c r="L2918" s="2">
        <v>100.0</v>
      </c>
      <c r="M2918" s="3">
        <f t="shared" si="5"/>
        <v>0.5376344086</v>
      </c>
      <c r="N2918" s="2">
        <v>1039700.0</v>
      </c>
      <c r="O2918" s="4">
        <f t="shared" si="6"/>
        <v>5589.784946</v>
      </c>
      <c r="P2918" s="2">
        <v>0.0</v>
      </c>
      <c r="Q2918" s="3">
        <f t="shared" si="7"/>
        <v>0</v>
      </c>
      <c r="R2918" s="2">
        <v>83.0</v>
      </c>
      <c r="S2918" s="5">
        <f t="shared" si="8"/>
        <v>1</v>
      </c>
    </row>
    <row r="2919">
      <c r="A2919" s="2" t="s">
        <v>2927</v>
      </c>
      <c r="B2919" s="2">
        <v>45.0</v>
      </c>
      <c r="C2919" s="2">
        <v>515.0</v>
      </c>
      <c r="D2919" s="2">
        <v>155.0</v>
      </c>
      <c r="E2919" s="3">
        <f t="shared" si="1"/>
        <v>0.329787234</v>
      </c>
      <c r="F2919" s="2">
        <v>63.0</v>
      </c>
      <c r="G2919" s="3">
        <f t="shared" si="2"/>
        <v>0.1340425532</v>
      </c>
      <c r="H2919" s="2">
        <v>75.0</v>
      </c>
      <c r="I2919" s="3">
        <f t="shared" si="3"/>
        <v>0.1595744681</v>
      </c>
      <c r="J2919" s="2">
        <v>66.0</v>
      </c>
      <c r="K2919" s="3">
        <f t="shared" si="4"/>
        <v>0.1404255319</v>
      </c>
      <c r="L2919" s="2">
        <v>41.0</v>
      </c>
      <c r="M2919" s="3">
        <f t="shared" si="5"/>
        <v>0.5466666667</v>
      </c>
      <c r="N2919" s="2">
        <v>438500.0</v>
      </c>
      <c r="O2919" s="4">
        <f t="shared" si="6"/>
        <v>5846.666667</v>
      </c>
      <c r="P2919" s="2">
        <v>0.0</v>
      </c>
      <c r="Q2919" s="3">
        <f t="shared" si="7"/>
        <v>0</v>
      </c>
      <c r="R2919" s="2">
        <v>11.0</v>
      </c>
      <c r="S2919" s="5">
        <f t="shared" si="8"/>
        <v>0.2444444444</v>
      </c>
    </row>
    <row r="2920">
      <c r="A2920" s="2" t="s">
        <v>2928</v>
      </c>
      <c r="B2920" s="2">
        <v>423.0</v>
      </c>
      <c r="C2920" s="2">
        <v>4877.0</v>
      </c>
      <c r="D2920" s="2">
        <v>1563.0</v>
      </c>
      <c r="E2920" s="3">
        <f t="shared" si="1"/>
        <v>0.3509205209</v>
      </c>
      <c r="F2920" s="2">
        <v>597.0</v>
      </c>
      <c r="G2920" s="3">
        <f t="shared" si="2"/>
        <v>0.1340368208</v>
      </c>
      <c r="H2920" s="2">
        <v>885.0</v>
      </c>
      <c r="I2920" s="3">
        <f t="shared" si="3"/>
        <v>0.1986977997</v>
      </c>
      <c r="J2920" s="2">
        <v>866.0</v>
      </c>
      <c r="K2920" s="3">
        <f t="shared" si="4"/>
        <v>0.1944319713</v>
      </c>
      <c r="L2920" s="2">
        <v>537.0</v>
      </c>
      <c r="M2920" s="3">
        <f t="shared" si="5"/>
        <v>0.606779661</v>
      </c>
      <c r="N2920" s="2">
        <v>5421000.0</v>
      </c>
      <c r="O2920" s="4">
        <f t="shared" si="6"/>
        <v>6125.423729</v>
      </c>
      <c r="P2920" s="2">
        <v>2.0</v>
      </c>
      <c r="Q2920" s="3">
        <f t="shared" si="7"/>
        <v>0.004728132388</v>
      </c>
      <c r="R2920" s="2">
        <v>423.0</v>
      </c>
      <c r="S2920" s="5">
        <f t="shared" si="8"/>
        <v>1</v>
      </c>
    </row>
    <row r="2921">
      <c r="A2921" s="2" t="s">
        <v>2929</v>
      </c>
      <c r="B2921" s="2">
        <v>246.0</v>
      </c>
      <c r="C2921" s="2">
        <v>2902.0</v>
      </c>
      <c r="D2921" s="2">
        <v>872.0</v>
      </c>
      <c r="E2921" s="3">
        <f t="shared" si="1"/>
        <v>0.328313253</v>
      </c>
      <c r="F2921" s="2">
        <v>356.0</v>
      </c>
      <c r="G2921" s="3">
        <f t="shared" si="2"/>
        <v>0.1340361446</v>
      </c>
      <c r="H2921" s="2">
        <v>562.0</v>
      </c>
      <c r="I2921" s="3">
        <f t="shared" si="3"/>
        <v>0.2115963855</v>
      </c>
      <c r="J2921" s="2">
        <v>441.0</v>
      </c>
      <c r="K2921" s="3">
        <f t="shared" si="4"/>
        <v>0.1660391566</v>
      </c>
      <c r="L2921" s="2">
        <v>361.0</v>
      </c>
      <c r="M2921" s="3">
        <f t="shared" si="5"/>
        <v>0.6423487544</v>
      </c>
      <c r="N2921" s="2">
        <v>3130500.0</v>
      </c>
      <c r="O2921" s="4">
        <f t="shared" si="6"/>
        <v>5570.284698</v>
      </c>
      <c r="P2921" s="2">
        <v>0.0</v>
      </c>
      <c r="Q2921" s="3">
        <f t="shared" si="7"/>
        <v>0</v>
      </c>
      <c r="R2921" s="2">
        <v>246.0</v>
      </c>
      <c r="S2921" s="5">
        <f t="shared" si="8"/>
        <v>1</v>
      </c>
    </row>
    <row r="2922">
      <c r="A2922" s="2" t="s">
        <v>2930</v>
      </c>
      <c r="B2922" s="2">
        <v>238.0</v>
      </c>
      <c r="C2922" s="2">
        <v>2842.0</v>
      </c>
      <c r="D2922" s="2">
        <v>881.0</v>
      </c>
      <c r="E2922" s="3">
        <f t="shared" si="1"/>
        <v>0.3383256528</v>
      </c>
      <c r="F2922" s="2">
        <v>349.0</v>
      </c>
      <c r="G2922" s="3">
        <f t="shared" si="2"/>
        <v>0.1340245776</v>
      </c>
      <c r="H2922" s="2">
        <v>545.0</v>
      </c>
      <c r="I2922" s="3">
        <f t="shared" si="3"/>
        <v>0.2092933948</v>
      </c>
      <c r="J2922" s="2">
        <v>447.0</v>
      </c>
      <c r="K2922" s="3">
        <f t="shared" si="4"/>
        <v>0.1716589862</v>
      </c>
      <c r="L2922" s="2">
        <v>335.0</v>
      </c>
      <c r="M2922" s="3">
        <f t="shared" si="5"/>
        <v>0.6146788991</v>
      </c>
      <c r="N2922" s="2">
        <v>2759600.0</v>
      </c>
      <c r="O2922" s="4">
        <f t="shared" si="6"/>
        <v>5063.486239</v>
      </c>
      <c r="P2922" s="2">
        <v>1.0</v>
      </c>
      <c r="Q2922" s="3">
        <f t="shared" si="7"/>
        <v>0.004201680672</v>
      </c>
      <c r="R2922" s="2">
        <v>238.0</v>
      </c>
      <c r="S2922" s="5">
        <f t="shared" si="8"/>
        <v>1</v>
      </c>
    </row>
    <row r="2923">
      <c r="A2923" s="2" t="s">
        <v>2931</v>
      </c>
      <c r="B2923" s="2">
        <v>9.0</v>
      </c>
      <c r="C2923" s="2">
        <v>106.0</v>
      </c>
      <c r="D2923" s="2">
        <v>38.0</v>
      </c>
      <c r="E2923" s="3">
        <f t="shared" si="1"/>
        <v>0.3917525773</v>
      </c>
      <c r="F2923" s="2">
        <v>13.0</v>
      </c>
      <c r="G2923" s="3">
        <f t="shared" si="2"/>
        <v>0.1340206186</v>
      </c>
      <c r="H2923" s="2">
        <v>17.0</v>
      </c>
      <c r="I2923" s="3">
        <f t="shared" si="3"/>
        <v>0.175257732</v>
      </c>
      <c r="J2923" s="2">
        <v>17.0</v>
      </c>
      <c r="K2923" s="3">
        <f t="shared" si="4"/>
        <v>0.175257732</v>
      </c>
      <c r="L2923" s="2">
        <v>8.0</v>
      </c>
      <c r="M2923" s="3">
        <f t="shared" si="5"/>
        <v>0.4705882353</v>
      </c>
      <c r="N2923" s="2">
        <v>102400.0</v>
      </c>
      <c r="O2923" s="4">
        <f t="shared" si="6"/>
        <v>6023.529412</v>
      </c>
      <c r="P2923" s="2">
        <v>0.0</v>
      </c>
      <c r="Q2923" s="3">
        <f t="shared" si="7"/>
        <v>0</v>
      </c>
      <c r="R2923" s="2">
        <v>0.0</v>
      </c>
      <c r="S2923" s="5">
        <f t="shared" si="8"/>
        <v>0</v>
      </c>
    </row>
    <row r="2924">
      <c r="A2924" s="2" t="s">
        <v>2932</v>
      </c>
      <c r="B2924" s="2">
        <v>693.0</v>
      </c>
      <c r="C2924" s="2">
        <v>8177.0</v>
      </c>
      <c r="D2924" s="2">
        <v>2782.0</v>
      </c>
      <c r="E2924" s="3">
        <f t="shared" si="1"/>
        <v>0.3717263495</v>
      </c>
      <c r="F2924" s="2">
        <v>1003.0</v>
      </c>
      <c r="G2924" s="3">
        <f t="shared" si="2"/>
        <v>0.134019241</v>
      </c>
      <c r="H2924" s="2">
        <v>1555.0</v>
      </c>
      <c r="I2924" s="3">
        <f t="shared" si="3"/>
        <v>0.2077765901</v>
      </c>
      <c r="J2924" s="2">
        <v>1287.0</v>
      </c>
      <c r="K2924" s="3">
        <f t="shared" si="4"/>
        <v>0.1719668626</v>
      </c>
      <c r="L2924" s="2">
        <v>908.0</v>
      </c>
      <c r="M2924" s="3">
        <f t="shared" si="5"/>
        <v>0.5839228296</v>
      </c>
      <c r="N2924" s="2">
        <v>8863000.0</v>
      </c>
      <c r="O2924" s="4">
        <f t="shared" si="6"/>
        <v>5699.678457</v>
      </c>
      <c r="P2924" s="2">
        <v>1.0</v>
      </c>
      <c r="Q2924" s="3">
        <f t="shared" si="7"/>
        <v>0.001443001443</v>
      </c>
      <c r="R2924" s="2">
        <v>693.0</v>
      </c>
      <c r="S2924" s="5">
        <f t="shared" si="8"/>
        <v>1</v>
      </c>
    </row>
    <row r="2925">
      <c r="A2925" s="2" t="s">
        <v>2933</v>
      </c>
      <c r="B2925" s="2">
        <v>1337.0</v>
      </c>
      <c r="C2925" s="2">
        <v>15694.0</v>
      </c>
      <c r="D2925" s="2">
        <v>4878.0</v>
      </c>
      <c r="E2925" s="3">
        <f t="shared" si="1"/>
        <v>0.3397645748</v>
      </c>
      <c r="F2925" s="2">
        <v>1924.0</v>
      </c>
      <c r="G2925" s="3">
        <f t="shared" si="2"/>
        <v>0.1340112837</v>
      </c>
      <c r="H2925" s="2">
        <v>2978.0</v>
      </c>
      <c r="I2925" s="3">
        <f t="shared" si="3"/>
        <v>0.2074249495</v>
      </c>
      <c r="J2925" s="2">
        <v>2017.0</v>
      </c>
      <c r="K2925" s="3">
        <f t="shared" si="4"/>
        <v>0.1404889601</v>
      </c>
      <c r="L2925" s="2">
        <v>1767.0</v>
      </c>
      <c r="M2925" s="3">
        <f t="shared" si="5"/>
        <v>0.5933512424</v>
      </c>
      <c r="N2925" s="2">
        <v>1.70094E7</v>
      </c>
      <c r="O2925" s="4">
        <f t="shared" si="6"/>
        <v>5711.685695</v>
      </c>
      <c r="P2925" s="2">
        <v>6.0</v>
      </c>
      <c r="Q2925" s="3">
        <f t="shared" si="7"/>
        <v>0.004487658938</v>
      </c>
      <c r="R2925" s="2">
        <v>1337.0</v>
      </c>
      <c r="S2925" s="5">
        <f t="shared" si="8"/>
        <v>1</v>
      </c>
    </row>
    <row r="2926">
      <c r="A2926" s="2" t="s">
        <v>2934</v>
      </c>
      <c r="B2926" s="2">
        <v>1680.0</v>
      </c>
      <c r="C2926" s="2">
        <v>19582.0</v>
      </c>
      <c r="D2926" s="2">
        <v>5464.0</v>
      </c>
      <c r="E2926" s="3">
        <f t="shared" si="1"/>
        <v>0.3052172942</v>
      </c>
      <c r="F2926" s="2">
        <v>2399.0</v>
      </c>
      <c r="G2926" s="3">
        <f t="shared" si="2"/>
        <v>0.1340073735</v>
      </c>
      <c r="H2926" s="2">
        <v>3892.0</v>
      </c>
      <c r="I2926" s="3">
        <f t="shared" si="3"/>
        <v>0.2174058764</v>
      </c>
      <c r="J2926" s="2">
        <v>3119.0</v>
      </c>
      <c r="K2926" s="3">
        <f t="shared" si="4"/>
        <v>0.1742263434</v>
      </c>
      <c r="L2926" s="2">
        <v>2359.0</v>
      </c>
      <c r="M2926" s="3">
        <f t="shared" si="5"/>
        <v>0.6061151079</v>
      </c>
      <c r="N2926" s="2">
        <v>2.32701E7</v>
      </c>
      <c r="O2926" s="4">
        <f t="shared" si="6"/>
        <v>5978.956835</v>
      </c>
      <c r="P2926" s="2">
        <v>8.0</v>
      </c>
      <c r="Q2926" s="3">
        <f t="shared" si="7"/>
        <v>0.004761904762</v>
      </c>
      <c r="R2926" s="2">
        <v>1680.0</v>
      </c>
      <c r="S2926" s="5">
        <f t="shared" si="8"/>
        <v>1</v>
      </c>
    </row>
    <row r="2927">
      <c r="A2927" s="2" t="s">
        <v>2935</v>
      </c>
      <c r="B2927" s="2">
        <v>280.0</v>
      </c>
      <c r="C2927" s="2">
        <v>3280.0</v>
      </c>
      <c r="D2927" s="2">
        <v>1161.0</v>
      </c>
      <c r="E2927" s="3">
        <f t="shared" si="1"/>
        <v>0.387</v>
      </c>
      <c r="F2927" s="2">
        <v>402.0</v>
      </c>
      <c r="G2927" s="3">
        <f t="shared" si="2"/>
        <v>0.134</v>
      </c>
      <c r="H2927" s="2">
        <v>629.0</v>
      </c>
      <c r="I2927" s="3">
        <f t="shared" si="3"/>
        <v>0.2096666667</v>
      </c>
      <c r="J2927" s="2">
        <v>467.0</v>
      </c>
      <c r="K2927" s="3">
        <f t="shared" si="4"/>
        <v>0.1556666667</v>
      </c>
      <c r="L2927" s="2">
        <v>387.0</v>
      </c>
      <c r="M2927" s="3">
        <f t="shared" si="5"/>
        <v>0.6152623211</v>
      </c>
      <c r="N2927" s="2">
        <v>3431100.0</v>
      </c>
      <c r="O2927" s="4">
        <f t="shared" si="6"/>
        <v>5454.848967</v>
      </c>
      <c r="P2927" s="2">
        <v>1.0</v>
      </c>
      <c r="Q2927" s="3">
        <f t="shared" si="7"/>
        <v>0.003571428571</v>
      </c>
      <c r="R2927" s="2">
        <v>280.0</v>
      </c>
      <c r="S2927" s="5">
        <f t="shared" si="8"/>
        <v>1</v>
      </c>
    </row>
    <row r="2928">
      <c r="A2928" s="2" t="s">
        <v>2936</v>
      </c>
      <c r="B2928" s="2">
        <v>39.0</v>
      </c>
      <c r="C2928" s="2">
        <v>442.0</v>
      </c>
      <c r="D2928" s="2">
        <v>149.0</v>
      </c>
      <c r="E2928" s="3">
        <f t="shared" si="1"/>
        <v>0.3697270471</v>
      </c>
      <c r="F2928" s="2">
        <v>54.0</v>
      </c>
      <c r="G2928" s="3">
        <f t="shared" si="2"/>
        <v>0.1339950372</v>
      </c>
      <c r="H2928" s="2">
        <v>105.0</v>
      </c>
      <c r="I2928" s="3">
        <f t="shared" si="3"/>
        <v>0.2605459057</v>
      </c>
      <c r="J2928" s="2">
        <v>85.0</v>
      </c>
      <c r="K2928" s="3">
        <f t="shared" si="4"/>
        <v>0.2109181141</v>
      </c>
      <c r="L2928" s="2">
        <v>59.0</v>
      </c>
      <c r="M2928" s="3">
        <f t="shared" si="5"/>
        <v>0.5619047619</v>
      </c>
      <c r="N2928" s="2">
        <v>579800.0</v>
      </c>
      <c r="O2928" s="4">
        <f t="shared" si="6"/>
        <v>5521.904762</v>
      </c>
      <c r="P2928" s="2">
        <v>0.0</v>
      </c>
      <c r="Q2928" s="3">
        <f t="shared" si="7"/>
        <v>0</v>
      </c>
      <c r="R2928" s="2">
        <v>39.0</v>
      </c>
      <c r="S2928" s="5">
        <f t="shared" si="8"/>
        <v>1</v>
      </c>
    </row>
    <row r="2929">
      <c r="A2929" s="2" t="s">
        <v>2937</v>
      </c>
      <c r="B2929" s="2">
        <v>55.0</v>
      </c>
      <c r="C2929" s="2">
        <v>667.0</v>
      </c>
      <c r="D2929" s="2">
        <v>172.0</v>
      </c>
      <c r="E2929" s="3">
        <f t="shared" si="1"/>
        <v>0.2810457516</v>
      </c>
      <c r="F2929" s="2">
        <v>82.0</v>
      </c>
      <c r="G2929" s="3">
        <f t="shared" si="2"/>
        <v>0.1339869281</v>
      </c>
      <c r="H2929" s="2">
        <v>126.0</v>
      </c>
      <c r="I2929" s="3">
        <f t="shared" si="3"/>
        <v>0.2058823529</v>
      </c>
      <c r="J2929" s="2">
        <v>110.0</v>
      </c>
      <c r="K2929" s="3">
        <f t="shared" si="4"/>
        <v>0.1797385621</v>
      </c>
      <c r="L2929" s="2">
        <v>78.0</v>
      </c>
      <c r="M2929" s="3">
        <f t="shared" si="5"/>
        <v>0.619047619</v>
      </c>
      <c r="N2929" s="2">
        <v>766900.0</v>
      </c>
      <c r="O2929" s="4">
        <f t="shared" si="6"/>
        <v>6086.507937</v>
      </c>
      <c r="P2929" s="2">
        <v>1.0</v>
      </c>
      <c r="Q2929" s="3">
        <f t="shared" si="7"/>
        <v>0.01818181818</v>
      </c>
      <c r="R2929" s="2">
        <v>55.0</v>
      </c>
      <c r="S2929" s="5">
        <f t="shared" si="8"/>
        <v>1</v>
      </c>
    </row>
    <row r="2930">
      <c r="A2930" s="2" t="s">
        <v>2938</v>
      </c>
      <c r="B2930" s="2">
        <v>336.0</v>
      </c>
      <c r="C2930" s="2">
        <v>4008.0</v>
      </c>
      <c r="D2930" s="2">
        <v>1152.0</v>
      </c>
      <c r="E2930" s="3">
        <f t="shared" si="1"/>
        <v>0.3137254902</v>
      </c>
      <c r="F2930" s="2">
        <v>492.0</v>
      </c>
      <c r="G2930" s="3">
        <f t="shared" si="2"/>
        <v>0.1339869281</v>
      </c>
      <c r="H2930" s="2">
        <v>727.0</v>
      </c>
      <c r="I2930" s="3">
        <f t="shared" si="3"/>
        <v>0.1979847495</v>
      </c>
      <c r="J2930" s="2">
        <v>611.0</v>
      </c>
      <c r="K2930" s="3">
        <f t="shared" si="4"/>
        <v>0.1663943355</v>
      </c>
      <c r="L2930" s="2">
        <v>440.0</v>
      </c>
      <c r="M2930" s="3">
        <f t="shared" si="5"/>
        <v>0.6052269601</v>
      </c>
      <c r="N2930" s="2">
        <v>4372200.0</v>
      </c>
      <c r="O2930" s="4">
        <f t="shared" si="6"/>
        <v>6014.030261</v>
      </c>
      <c r="P2930" s="2">
        <v>0.0</v>
      </c>
      <c r="Q2930" s="3">
        <f t="shared" si="7"/>
        <v>0</v>
      </c>
      <c r="R2930" s="2">
        <v>0.0</v>
      </c>
      <c r="S2930" s="5">
        <f t="shared" si="8"/>
        <v>0</v>
      </c>
    </row>
    <row r="2931">
      <c r="A2931" s="2" t="s">
        <v>2939</v>
      </c>
      <c r="B2931" s="2">
        <v>322.0</v>
      </c>
      <c r="C2931" s="2">
        <v>3830.0</v>
      </c>
      <c r="D2931" s="2">
        <v>1331.0</v>
      </c>
      <c r="E2931" s="3">
        <f t="shared" si="1"/>
        <v>0.3794184721</v>
      </c>
      <c r="F2931" s="2">
        <v>470.0</v>
      </c>
      <c r="G2931" s="3">
        <f t="shared" si="2"/>
        <v>0.1339794755</v>
      </c>
      <c r="H2931" s="2">
        <v>695.0</v>
      </c>
      <c r="I2931" s="3">
        <f t="shared" si="3"/>
        <v>0.1981185861</v>
      </c>
      <c r="J2931" s="2">
        <v>704.0</v>
      </c>
      <c r="K2931" s="3">
        <f t="shared" si="4"/>
        <v>0.2006841505</v>
      </c>
      <c r="L2931" s="2">
        <v>414.0</v>
      </c>
      <c r="M2931" s="3">
        <f t="shared" si="5"/>
        <v>0.5956834532</v>
      </c>
      <c r="N2931" s="2">
        <v>3984600.0</v>
      </c>
      <c r="O2931" s="4">
        <f t="shared" si="6"/>
        <v>5733.23741</v>
      </c>
      <c r="P2931" s="2">
        <v>0.0</v>
      </c>
      <c r="Q2931" s="3">
        <f t="shared" si="7"/>
        <v>0</v>
      </c>
      <c r="R2931" s="2">
        <v>322.0</v>
      </c>
      <c r="S2931" s="5">
        <f t="shared" si="8"/>
        <v>1</v>
      </c>
    </row>
    <row r="2932">
      <c r="A2932" s="2" t="s">
        <v>2940</v>
      </c>
      <c r="B2932" s="2">
        <v>287.0</v>
      </c>
      <c r="C2932" s="2">
        <v>3392.0</v>
      </c>
      <c r="D2932" s="2">
        <v>978.0</v>
      </c>
      <c r="E2932" s="3">
        <f t="shared" si="1"/>
        <v>0.3149758454</v>
      </c>
      <c r="F2932" s="2">
        <v>416.0</v>
      </c>
      <c r="G2932" s="3">
        <f t="shared" si="2"/>
        <v>0.1339774557</v>
      </c>
      <c r="H2932" s="2">
        <v>635.0</v>
      </c>
      <c r="I2932" s="3">
        <f t="shared" si="3"/>
        <v>0.2045088567</v>
      </c>
      <c r="J2932" s="2">
        <v>532.0</v>
      </c>
      <c r="K2932" s="3">
        <f t="shared" si="4"/>
        <v>0.1713365539</v>
      </c>
      <c r="L2932" s="2">
        <v>359.0</v>
      </c>
      <c r="M2932" s="3">
        <f t="shared" si="5"/>
        <v>0.5653543307</v>
      </c>
      <c r="N2932" s="2">
        <v>3783600.0</v>
      </c>
      <c r="O2932" s="4">
        <f t="shared" si="6"/>
        <v>5958.425197</v>
      </c>
      <c r="P2932" s="2">
        <v>2.0</v>
      </c>
      <c r="Q2932" s="3">
        <f t="shared" si="7"/>
        <v>0.006968641115</v>
      </c>
      <c r="R2932" s="2">
        <v>287.0</v>
      </c>
      <c r="S2932" s="5">
        <f t="shared" si="8"/>
        <v>1</v>
      </c>
    </row>
    <row r="2933">
      <c r="A2933" s="2" t="s">
        <v>2941</v>
      </c>
      <c r="B2933" s="2">
        <v>738.0</v>
      </c>
      <c r="C2933" s="2">
        <v>8621.0</v>
      </c>
      <c r="D2933" s="2">
        <v>2772.0</v>
      </c>
      <c r="E2933" s="3">
        <f t="shared" si="1"/>
        <v>0.3516427756</v>
      </c>
      <c r="F2933" s="2">
        <v>1056.0</v>
      </c>
      <c r="G2933" s="3">
        <f t="shared" si="2"/>
        <v>0.1339591526</v>
      </c>
      <c r="H2933" s="2">
        <v>1799.0</v>
      </c>
      <c r="I2933" s="3">
        <f t="shared" si="3"/>
        <v>0.2282126094</v>
      </c>
      <c r="J2933" s="2">
        <v>1546.0</v>
      </c>
      <c r="K2933" s="3">
        <f t="shared" si="4"/>
        <v>0.1961182291</v>
      </c>
      <c r="L2933" s="2">
        <v>1057.0</v>
      </c>
      <c r="M2933" s="3">
        <f t="shared" si="5"/>
        <v>0.5875486381</v>
      </c>
      <c r="N2933" s="2">
        <v>9645100.0</v>
      </c>
      <c r="O2933" s="4">
        <f t="shared" si="6"/>
        <v>5361.367426</v>
      </c>
      <c r="P2933" s="2">
        <v>1.0</v>
      </c>
      <c r="Q2933" s="3">
        <f t="shared" si="7"/>
        <v>0.00135501355</v>
      </c>
      <c r="R2933" s="2">
        <v>738.0</v>
      </c>
      <c r="S2933" s="5">
        <f t="shared" si="8"/>
        <v>1</v>
      </c>
    </row>
    <row r="2934">
      <c r="A2934" s="2" t="s">
        <v>2942</v>
      </c>
      <c r="B2934" s="2">
        <v>43.0</v>
      </c>
      <c r="C2934" s="2">
        <v>476.0</v>
      </c>
      <c r="D2934" s="2">
        <v>159.0</v>
      </c>
      <c r="E2934" s="3">
        <f t="shared" si="1"/>
        <v>0.3672055427</v>
      </c>
      <c r="F2934" s="2">
        <v>58.0</v>
      </c>
      <c r="G2934" s="3">
        <f t="shared" si="2"/>
        <v>0.1339491917</v>
      </c>
      <c r="H2934" s="2">
        <v>95.0</v>
      </c>
      <c r="I2934" s="3">
        <f t="shared" si="3"/>
        <v>0.2193995381</v>
      </c>
      <c r="J2934" s="2">
        <v>67.0</v>
      </c>
      <c r="K2934" s="3">
        <f t="shared" si="4"/>
        <v>0.1547344111</v>
      </c>
      <c r="L2934" s="2">
        <v>51.0</v>
      </c>
      <c r="M2934" s="3">
        <f t="shared" si="5"/>
        <v>0.5368421053</v>
      </c>
      <c r="N2934" s="2">
        <v>502000.0</v>
      </c>
      <c r="O2934" s="4">
        <f t="shared" si="6"/>
        <v>5284.210526</v>
      </c>
      <c r="P2934" s="2">
        <v>0.0</v>
      </c>
      <c r="Q2934" s="3">
        <f t="shared" si="7"/>
        <v>0</v>
      </c>
      <c r="R2934" s="2">
        <v>43.0</v>
      </c>
      <c r="S2934" s="5">
        <f t="shared" si="8"/>
        <v>1</v>
      </c>
    </row>
    <row r="2935">
      <c r="A2935" s="2" t="s">
        <v>2943</v>
      </c>
      <c r="B2935" s="2">
        <v>1451.0</v>
      </c>
      <c r="C2935" s="2">
        <v>17017.0</v>
      </c>
      <c r="D2935" s="2">
        <v>6410.0</v>
      </c>
      <c r="E2935" s="3">
        <f t="shared" si="1"/>
        <v>0.4117949377</v>
      </c>
      <c r="F2935" s="2">
        <v>2085.0</v>
      </c>
      <c r="G2935" s="3">
        <f t="shared" si="2"/>
        <v>0.1339457793</v>
      </c>
      <c r="H2935" s="2">
        <v>3319.0</v>
      </c>
      <c r="I2935" s="3">
        <f t="shared" si="3"/>
        <v>0.213221123</v>
      </c>
      <c r="J2935" s="2">
        <v>2383.0</v>
      </c>
      <c r="K2935" s="3">
        <f t="shared" si="4"/>
        <v>0.1530900681</v>
      </c>
      <c r="L2935" s="2">
        <v>1978.0</v>
      </c>
      <c r="M2935" s="3">
        <f t="shared" si="5"/>
        <v>0.5959626393</v>
      </c>
      <c r="N2935" s="2">
        <v>1.83462E7</v>
      </c>
      <c r="O2935" s="4">
        <f t="shared" si="6"/>
        <v>5527.628804</v>
      </c>
      <c r="P2935" s="2">
        <v>3.0</v>
      </c>
      <c r="Q2935" s="3">
        <f t="shared" si="7"/>
        <v>0.002067539628</v>
      </c>
      <c r="R2935" s="2">
        <v>1451.0</v>
      </c>
      <c r="S2935" s="5">
        <f t="shared" si="8"/>
        <v>1</v>
      </c>
    </row>
    <row r="2936">
      <c r="A2936" s="2" t="s">
        <v>2944</v>
      </c>
      <c r="B2936" s="2">
        <v>4415.0</v>
      </c>
      <c r="C2936" s="2">
        <v>51116.0</v>
      </c>
      <c r="D2936" s="2">
        <v>16420.0</v>
      </c>
      <c r="E2936" s="3">
        <f t="shared" si="1"/>
        <v>0.3515984668</v>
      </c>
      <c r="F2936" s="2">
        <v>6255.0</v>
      </c>
      <c r="G2936" s="3">
        <f t="shared" si="2"/>
        <v>0.1339371748</v>
      </c>
      <c r="H2936" s="2">
        <v>10169.0</v>
      </c>
      <c r="I2936" s="3">
        <f t="shared" si="3"/>
        <v>0.2177469433</v>
      </c>
      <c r="J2936" s="2">
        <v>8409.0</v>
      </c>
      <c r="K2936" s="3">
        <f t="shared" si="4"/>
        <v>0.1800603841</v>
      </c>
      <c r="L2936" s="2">
        <v>6022.0</v>
      </c>
      <c r="M2936" s="3">
        <f t="shared" si="5"/>
        <v>0.5921919559</v>
      </c>
      <c r="N2936" s="2">
        <v>5.75078E7</v>
      </c>
      <c r="O2936" s="4">
        <f t="shared" si="6"/>
        <v>5655.207002</v>
      </c>
      <c r="P2936" s="2">
        <v>15.0</v>
      </c>
      <c r="Q2936" s="3">
        <f t="shared" si="7"/>
        <v>0.003397508494</v>
      </c>
      <c r="R2936" s="2">
        <v>4415.0</v>
      </c>
      <c r="S2936" s="5">
        <f t="shared" si="8"/>
        <v>1</v>
      </c>
    </row>
    <row r="2937">
      <c r="A2937" s="2" t="s">
        <v>2945</v>
      </c>
      <c r="B2937" s="2">
        <v>857.0</v>
      </c>
      <c r="C2937" s="2">
        <v>9996.0</v>
      </c>
      <c r="D2937" s="2">
        <v>3106.0</v>
      </c>
      <c r="E2937" s="3">
        <f t="shared" si="1"/>
        <v>0.3398621293</v>
      </c>
      <c r="F2937" s="2">
        <v>1224.0</v>
      </c>
      <c r="G2937" s="3">
        <f t="shared" si="2"/>
        <v>0.1339315024</v>
      </c>
      <c r="H2937" s="2">
        <v>1872.0</v>
      </c>
      <c r="I2937" s="3">
        <f t="shared" si="3"/>
        <v>0.2048364154</v>
      </c>
      <c r="J2937" s="2">
        <v>1604.0</v>
      </c>
      <c r="K2937" s="3">
        <f t="shared" si="4"/>
        <v>0.1755115439</v>
      </c>
      <c r="L2937" s="2">
        <v>1095.0</v>
      </c>
      <c r="M2937" s="3">
        <f t="shared" si="5"/>
        <v>0.5849358974</v>
      </c>
      <c r="N2937" s="2">
        <v>1.12284E7</v>
      </c>
      <c r="O2937" s="4">
        <f t="shared" si="6"/>
        <v>5998.076923</v>
      </c>
      <c r="P2937" s="2">
        <v>2.0</v>
      </c>
      <c r="Q2937" s="3">
        <f t="shared" si="7"/>
        <v>0.002333722287</v>
      </c>
      <c r="R2937" s="2">
        <v>725.0</v>
      </c>
      <c r="S2937" s="5">
        <f t="shared" si="8"/>
        <v>0.8459743291</v>
      </c>
    </row>
    <row r="2938">
      <c r="A2938" s="2" t="s">
        <v>2946</v>
      </c>
      <c r="B2938" s="2">
        <v>134.0</v>
      </c>
      <c r="C2938" s="2">
        <v>1590.0</v>
      </c>
      <c r="D2938" s="2">
        <v>454.0</v>
      </c>
      <c r="E2938" s="3">
        <f t="shared" si="1"/>
        <v>0.3118131868</v>
      </c>
      <c r="F2938" s="2">
        <v>195.0</v>
      </c>
      <c r="G2938" s="3">
        <f t="shared" si="2"/>
        <v>0.1339285714</v>
      </c>
      <c r="H2938" s="2">
        <v>326.0</v>
      </c>
      <c r="I2938" s="3">
        <f t="shared" si="3"/>
        <v>0.2239010989</v>
      </c>
      <c r="J2938" s="2">
        <v>330.0</v>
      </c>
      <c r="K2938" s="3">
        <f t="shared" si="4"/>
        <v>0.2266483516</v>
      </c>
      <c r="L2938" s="2">
        <v>187.0</v>
      </c>
      <c r="M2938" s="3">
        <f t="shared" si="5"/>
        <v>0.5736196319</v>
      </c>
      <c r="N2938" s="2">
        <v>1754100.0</v>
      </c>
      <c r="O2938" s="4">
        <f t="shared" si="6"/>
        <v>5380.674847</v>
      </c>
      <c r="P2938" s="2">
        <v>0.0</v>
      </c>
      <c r="Q2938" s="3">
        <f t="shared" si="7"/>
        <v>0</v>
      </c>
      <c r="R2938" s="2">
        <v>134.0</v>
      </c>
      <c r="S2938" s="5">
        <f t="shared" si="8"/>
        <v>1</v>
      </c>
    </row>
    <row r="2939">
      <c r="A2939" s="2" t="s">
        <v>2947</v>
      </c>
      <c r="B2939" s="2">
        <v>162.0</v>
      </c>
      <c r="C2939" s="2">
        <v>1842.0</v>
      </c>
      <c r="D2939" s="2">
        <v>555.0</v>
      </c>
      <c r="E2939" s="3">
        <f t="shared" si="1"/>
        <v>0.3303571429</v>
      </c>
      <c r="F2939" s="2">
        <v>225.0</v>
      </c>
      <c r="G2939" s="3">
        <f t="shared" si="2"/>
        <v>0.1339285714</v>
      </c>
      <c r="H2939" s="2">
        <v>309.0</v>
      </c>
      <c r="I2939" s="3">
        <f t="shared" si="3"/>
        <v>0.1839285714</v>
      </c>
      <c r="J2939" s="2">
        <v>321.0</v>
      </c>
      <c r="K2939" s="3">
        <f t="shared" si="4"/>
        <v>0.1910714286</v>
      </c>
      <c r="L2939" s="2">
        <v>184.0</v>
      </c>
      <c r="M2939" s="3">
        <f t="shared" si="5"/>
        <v>0.5954692557</v>
      </c>
      <c r="N2939" s="2">
        <v>1866300.0</v>
      </c>
      <c r="O2939" s="4">
        <f t="shared" si="6"/>
        <v>6039.805825</v>
      </c>
      <c r="P2939" s="2">
        <v>0.0</v>
      </c>
      <c r="Q2939" s="3">
        <f t="shared" si="7"/>
        <v>0</v>
      </c>
      <c r="R2939" s="2">
        <v>0.0</v>
      </c>
      <c r="S2939" s="5">
        <f t="shared" si="8"/>
        <v>0</v>
      </c>
    </row>
    <row r="2940">
      <c r="A2940" s="2" t="s">
        <v>2948</v>
      </c>
      <c r="B2940" s="2">
        <v>2213.0</v>
      </c>
      <c r="C2940" s="2">
        <v>26062.0</v>
      </c>
      <c r="D2940" s="2">
        <v>6762.0</v>
      </c>
      <c r="E2940" s="3">
        <f t="shared" si="1"/>
        <v>0.2835339008</v>
      </c>
      <c r="F2940" s="2">
        <v>3194.0</v>
      </c>
      <c r="G2940" s="3">
        <f t="shared" si="2"/>
        <v>0.1339259508</v>
      </c>
      <c r="H2940" s="2">
        <v>4940.0</v>
      </c>
      <c r="I2940" s="3">
        <f t="shared" si="3"/>
        <v>0.2071365676</v>
      </c>
      <c r="J2940" s="2">
        <v>4465.0</v>
      </c>
      <c r="K2940" s="3">
        <f t="shared" si="4"/>
        <v>0.1872195899</v>
      </c>
      <c r="L2940" s="2">
        <v>2939.0</v>
      </c>
      <c r="M2940" s="3">
        <f t="shared" si="5"/>
        <v>0.5949392713</v>
      </c>
      <c r="N2940" s="2">
        <v>2.94201E7</v>
      </c>
      <c r="O2940" s="4">
        <f t="shared" si="6"/>
        <v>5955.48583</v>
      </c>
      <c r="P2940" s="2">
        <v>7.0</v>
      </c>
      <c r="Q2940" s="3">
        <f t="shared" si="7"/>
        <v>0.003163126977</v>
      </c>
      <c r="R2940" s="2">
        <v>2213.0</v>
      </c>
      <c r="S2940" s="5">
        <f t="shared" si="8"/>
        <v>1</v>
      </c>
    </row>
    <row r="2941">
      <c r="A2941" s="2" t="s">
        <v>2949</v>
      </c>
      <c r="B2941" s="2">
        <v>534.0</v>
      </c>
      <c r="C2941" s="2">
        <v>6306.0</v>
      </c>
      <c r="D2941" s="2">
        <v>2158.0</v>
      </c>
      <c r="E2941" s="3">
        <f t="shared" si="1"/>
        <v>0.3738738739</v>
      </c>
      <c r="F2941" s="2">
        <v>773.0</v>
      </c>
      <c r="G2941" s="3">
        <f t="shared" si="2"/>
        <v>0.1339223839</v>
      </c>
      <c r="H2941" s="2">
        <v>1325.0</v>
      </c>
      <c r="I2941" s="3">
        <f t="shared" si="3"/>
        <v>0.2295564796</v>
      </c>
      <c r="J2941" s="2">
        <v>936.0</v>
      </c>
      <c r="K2941" s="3">
        <f t="shared" si="4"/>
        <v>0.1621621622</v>
      </c>
      <c r="L2941" s="2">
        <v>794.0</v>
      </c>
      <c r="M2941" s="3">
        <f t="shared" si="5"/>
        <v>0.599245283</v>
      </c>
      <c r="N2941" s="2">
        <v>7348600.0</v>
      </c>
      <c r="O2941" s="4">
        <f t="shared" si="6"/>
        <v>5546.113208</v>
      </c>
      <c r="P2941" s="2">
        <v>0.0</v>
      </c>
      <c r="Q2941" s="3">
        <f t="shared" si="7"/>
        <v>0</v>
      </c>
      <c r="R2941" s="2">
        <v>534.0</v>
      </c>
      <c r="S2941" s="5">
        <f t="shared" si="8"/>
        <v>1</v>
      </c>
    </row>
    <row r="2942">
      <c r="A2942" s="2" t="s">
        <v>2950</v>
      </c>
      <c r="B2942" s="2">
        <v>221.0</v>
      </c>
      <c r="C2942" s="2">
        <v>2603.0</v>
      </c>
      <c r="D2942" s="2">
        <v>942.0</v>
      </c>
      <c r="E2942" s="3">
        <f t="shared" si="1"/>
        <v>0.395465995</v>
      </c>
      <c r="F2942" s="2">
        <v>319.0</v>
      </c>
      <c r="G2942" s="3">
        <f t="shared" si="2"/>
        <v>0.1339210747</v>
      </c>
      <c r="H2942" s="2">
        <v>516.0</v>
      </c>
      <c r="I2942" s="3">
        <f t="shared" si="3"/>
        <v>0.2166246851</v>
      </c>
      <c r="J2942" s="2">
        <v>424.0</v>
      </c>
      <c r="K2942" s="3">
        <f t="shared" si="4"/>
        <v>0.1780016793</v>
      </c>
      <c r="L2942" s="2">
        <v>302.0</v>
      </c>
      <c r="M2942" s="3">
        <f t="shared" si="5"/>
        <v>0.5852713178</v>
      </c>
      <c r="N2942" s="2">
        <v>2845400.0</v>
      </c>
      <c r="O2942" s="4">
        <f t="shared" si="6"/>
        <v>5514.341085</v>
      </c>
      <c r="P2942" s="2">
        <v>0.0</v>
      </c>
      <c r="Q2942" s="3">
        <f t="shared" si="7"/>
        <v>0</v>
      </c>
      <c r="R2942" s="2">
        <v>221.0</v>
      </c>
      <c r="S2942" s="5">
        <f t="shared" si="8"/>
        <v>1</v>
      </c>
    </row>
    <row r="2943">
      <c r="A2943" s="2" t="s">
        <v>2951</v>
      </c>
      <c r="B2943" s="2">
        <v>62.0</v>
      </c>
      <c r="C2943" s="2">
        <v>749.0</v>
      </c>
      <c r="D2943" s="2">
        <v>251.0</v>
      </c>
      <c r="E2943" s="3">
        <f t="shared" si="1"/>
        <v>0.365356623</v>
      </c>
      <c r="F2943" s="2">
        <v>92.0</v>
      </c>
      <c r="G2943" s="3">
        <f t="shared" si="2"/>
        <v>0.133915575</v>
      </c>
      <c r="H2943" s="2">
        <v>153.0</v>
      </c>
      <c r="I2943" s="3">
        <f t="shared" si="3"/>
        <v>0.2227074236</v>
      </c>
      <c r="J2943" s="2">
        <v>109.0</v>
      </c>
      <c r="K2943" s="3">
        <f t="shared" si="4"/>
        <v>0.1586608443</v>
      </c>
      <c r="L2943" s="2">
        <v>102.0</v>
      </c>
      <c r="M2943" s="3">
        <f t="shared" si="5"/>
        <v>0.6666666667</v>
      </c>
      <c r="N2943" s="2">
        <v>792900.0</v>
      </c>
      <c r="O2943" s="4">
        <f t="shared" si="6"/>
        <v>5182.352941</v>
      </c>
      <c r="P2943" s="2">
        <v>0.0</v>
      </c>
      <c r="Q2943" s="3">
        <f t="shared" si="7"/>
        <v>0</v>
      </c>
      <c r="R2943" s="2">
        <v>62.0</v>
      </c>
      <c r="S2943" s="5">
        <f t="shared" si="8"/>
        <v>1</v>
      </c>
    </row>
    <row r="2944">
      <c r="A2944" s="2" t="s">
        <v>2952</v>
      </c>
      <c r="B2944" s="2">
        <v>273.0</v>
      </c>
      <c r="C2944" s="2">
        <v>3096.0</v>
      </c>
      <c r="D2944" s="2">
        <v>803.0</v>
      </c>
      <c r="E2944" s="3">
        <f t="shared" si="1"/>
        <v>0.2844491676</v>
      </c>
      <c r="F2944" s="2">
        <v>378.0</v>
      </c>
      <c r="G2944" s="3">
        <f t="shared" si="2"/>
        <v>0.1339001063</v>
      </c>
      <c r="H2944" s="2">
        <v>569.0</v>
      </c>
      <c r="I2944" s="3">
        <f t="shared" si="3"/>
        <v>0.2015586256</v>
      </c>
      <c r="J2944" s="2">
        <v>506.0</v>
      </c>
      <c r="K2944" s="3">
        <f t="shared" si="4"/>
        <v>0.1792419412</v>
      </c>
      <c r="L2944" s="2">
        <v>343.0</v>
      </c>
      <c r="M2944" s="3">
        <f t="shared" si="5"/>
        <v>0.6028119508</v>
      </c>
      <c r="N2944" s="2">
        <v>3572700.0</v>
      </c>
      <c r="O2944" s="4">
        <f t="shared" si="6"/>
        <v>6278.910369</v>
      </c>
      <c r="P2944" s="2">
        <v>0.0</v>
      </c>
      <c r="Q2944" s="3">
        <f t="shared" si="7"/>
        <v>0</v>
      </c>
      <c r="R2944" s="2">
        <v>273.0</v>
      </c>
      <c r="S2944" s="5">
        <f t="shared" si="8"/>
        <v>1</v>
      </c>
    </row>
    <row r="2945">
      <c r="A2945" s="2" t="s">
        <v>2953</v>
      </c>
      <c r="B2945" s="2">
        <v>113.0</v>
      </c>
      <c r="C2945" s="2">
        <v>1308.0</v>
      </c>
      <c r="D2945" s="2">
        <v>437.0</v>
      </c>
      <c r="E2945" s="3">
        <f t="shared" si="1"/>
        <v>0.3656903766</v>
      </c>
      <c r="F2945" s="2">
        <v>160.0</v>
      </c>
      <c r="G2945" s="3">
        <f t="shared" si="2"/>
        <v>0.1338912134</v>
      </c>
      <c r="H2945" s="2">
        <v>242.0</v>
      </c>
      <c r="I2945" s="3">
        <f t="shared" si="3"/>
        <v>0.2025104603</v>
      </c>
      <c r="J2945" s="2">
        <v>174.0</v>
      </c>
      <c r="K2945" s="3">
        <f t="shared" si="4"/>
        <v>0.1456066946</v>
      </c>
      <c r="L2945" s="2">
        <v>146.0</v>
      </c>
      <c r="M2945" s="3">
        <f t="shared" si="5"/>
        <v>0.6033057851</v>
      </c>
      <c r="N2945" s="2">
        <v>1217300.0</v>
      </c>
      <c r="O2945" s="4">
        <f t="shared" si="6"/>
        <v>5030.165289</v>
      </c>
      <c r="P2945" s="2">
        <v>0.0</v>
      </c>
      <c r="Q2945" s="3">
        <f t="shared" si="7"/>
        <v>0</v>
      </c>
      <c r="R2945" s="2">
        <v>0.0</v>
      </c>
      <c r="S2945" s="5">
        <f t="shared" si="8"/>
        <v>0</v>
      </c>
    </row>
    <row r="2946">
      <c r="A2946" s="2" t="s">
        <v>2954</v>
      </c>
      <c r="B2946" s="2">
        <v>242.0</v>
      </c>
      <c r="C2946" s="2">
        <v>2886.0</v>
      </c>
      <c r="D2946" s="2">
        <v>1041.0</v>
      </c>
      <c r="E2946" s="3">
        <f t="shared" si="1"/>
        <v>0.3937216339</v>
      </c>
      <c r="F2946" s="2">
        <v>354.0</v>
      </c>
      <c r="G2946" s="3">
        <f t="shared" si="2"/>
        <v>0.1338880484</v>
      </c>
      <c r="H2946" s="2">
        <v>559.0</v>
      </c>
      <c r="I2946" s="3">
        <f t="shared" si="3"/>
        <v>0.2114220877</v>
      </c>
      <c r="J2946" s="2">
        <v>504.0</v>
      </c>
      <c r="K2946" s="3">
        <f t="shared" si="4"/>
        <v>0.1906202723</v>
      </c>
      <c r="L2946" s="2">
        <v>335.0</v>
      </c>
      <c r="M2946" s="3">
        <f t="shared" si="5"/>
        <v>0.5992844365</v>
      </c>
      <c r="N2946" s="2">
        <v>3016600.0</v>
      </c>
      <c r="O2946" s="4">
        <f t="shared" si="6"/>
        <v>5396.422182</v>
      </c>
      <c r="P2946" s="2">
        <v>0.0</v>
      </c>
      <c r="Q2946" s="3">
        <f t="shared" si="7"/>
        <v>0</v>
      </c>
      <c r="R2946" s="2">
        <v>242.0</v>
      </c>
      <c r="S2946" s="5">
        <f t="shared" si="8"/>
        <v>1</v>
      </c>
    </row>
    <row r="2947">
      <c r="A2947" s="2" t="s">
        <v>2955</v>
      </c>
      <c r="B2947" s="2">
        <v>2509.0</v>
      </c>
      <c r="C2947" s="2">
        <v>29457.0</v>
      </c>
      <c r="D2947" s="2">
        <v>9976.0</v>
      </c>
      <c r="E2947" s="3">
        <f t="shared" si="1"/>
        <v>0.3701944486</v>
      </c>
      <c r="F2947" s="2">
        <v>3608.0</v>
      </c>
      <c r="G2947" s="3">
        <f t="shared" si="2"/>
        <v>0.133887487</v>
      </c>
      <c r="H2947" s="2">
        <v>5587.0</v>
      </c>
      <c r="I2947" s="3">
        <f t="shared" si="3"/>
        <v>0.2073252189</v>
      </c>
      <c r="J2947" s="2">
        <v>4833.0</v>
      </c>
      <c r="K2947" s="3">
        <f t="shared" si="4"/>
        <v>0.179345406</v>
      </c>
      <c r="L2947" s="2">
        <v>3346.0</v>
      </c>
      <c r="M2947" s="3">
        <f t="shared" si="5"/>
        <v>0.598890281</v>
      </c>
      <c r="N2947" s="2">
        <v>3.31464E7</v>
      </c>
      <c r="O2947" s="4">
        <f t="shared" si="6"/>
        <v>5932.772508</v>
      </c>
      <c r="P2947" s="2">
        <v>8.0</v>
      </c>
      <c r="Q2947" s="3">
        <f t="shared" si="7"/>
        <v>0.003188521323</v>
      </c>
      <c r="R2947" s="2">
        <v>2509.0</v>
      </c>
      <c r="S2947" s="5">
        <f t="shared" si="8"/>
        <v>1</v>
      </c>
    </row>
    <row r="2948">
      <c r="A2948" s="2" t="s">
        <v>2956</v>
      </c>
      <c r="B2948" s="2">
        <v>249.0</v>
      </c>
      <c r="C2948" s="2">
        <v>2908.0</v>
      </c>
      <c r="D2948" s="2">
        <v>911.0</v>
      </c>
      <c r="E2948" s="3">
        <f t="shared" si="1"/>
        <v>0.3426100038</v>
      </c>
      <c r="F2948" s="2">
        <v>356.0</v>
      </c>
      <c r="G2948" s="3">
        <f t="shared" si="2"/>
        <v>0.1338849191</v>
      </c>
      <c r="H2948" s="2">
        <v>555.0</v>
      </c>
      <c r="I2948" s="3">
        <f t="shared" si="3"/>
        <v>0.2087250846</v>
      </c>
      <c r="J2948" s="2">
        <v>478.0</v>
      </c>
      <c r="K2948" s="3">
        <f t="shared" si="4"/>
        <v>0.1797668296</v>
      </c>
      <c r="L2948" s="2">
        <v>327.0</v>
      </c>
      <c r="M2948" s="3">
        <f t="shared" si="5"/>
        <v>0.5891891892</v>
      </c>
      <c r="N2948" s="2">
        <v>3114600.0</v>
      </c>
      <c r="O2948" s="4">
        <f t="shared" si="6"/>
        <v>5611.891892</v>
      </c>
      <c r="P2948" s="2">
        <v>0.0</v>
      </c>
      <c r="Q2948" s="3">
        <f t="shared" si="7"/>
        <v>0</v>
      </c>
      <c r="R2948" s="2">
        <v>1.0</v>
      </c>
      <c r="S2948" s="5">
        <f t="shared" si="8"/>
        <v>0.004016064257</v>
      </c>
    </row>
    <row r="2949">
      <c r="A2949" s="2" t="s">
        <v>2957</v>
      </c>
      <c r="B2949" s="2">
        <v>186.0</v>
      </c>
      <c r="C2949" s="2">
        <v>2255.0</v>
      </c>
      <c r="D2949" s="2">
        <v>718.0</v>
      </c>
      <c r="E2949" s="3">
        <f t="shared" si="1"/>
        <v>0.3470275495</v>
      </c>
      <c r="F2949" s="2">
        <v>277.0</v>
      </c>
      <c r="G2949" s="3">
        <f t="shared" si="2"/>
        <v>0.133881102</v>
      </c>
      <c r="H2949" s="2">
        <v>385.0</v>
      </c>
      <c r="I2949" s="3">
        <f t="shared" si="3"/>
        <v>0.186080232</v>
      </c>
      <c r="J2949" s="2">
        <v>337.0</v>
      </c>
      <c r="K2949" s="3">
        <f t="shared" si="4"/>
        <v>0.1628806187</v>
      </c>
      <c r="L2949" s="2">
        <v>219.0</v>
      </c>
      <c r="M2949" s="3">
        <f t="shared" si="5"/>
        <v>0.5688311688</v>
      </c>
      <c r="N2949" s="2">
        <v>2109400.0</v>
      </c>
      <c r="O2949" s="4">
        <f t="shared" si="6"/>
        <v>5478.961039</v>
      </c>
      <c r="P2949" s="2">
        <v>0.0</v>
      </c>
      <c r="Q2949" s="3">
        <f t="shared" si="7"/>
        <v>0</v>
      </c>
      <c r="R2949" s="2">
        <v>186.0</v>
      </c>
      <c r="S2949" s="5">
        <f t="shared" si="8"/>
        <v>1</v>
      </c>
    </row>
    <row r="2950">
      <c r="A2950" s="2" t="s">
        <v>2958</v>
      </c>
      <c r="B2950" s="2">
        <v>228.0</v>
      </c>
      <c r="C2950" s="2">
        <v>2663.0</v>
      </c>
      <c r="D2950" s="2">
        <v>684.0</v>
      </c>
      <c r="E2950" s="3">
        <f t="shared" si="1"/>
        <v>0.2809034908</v>
      </c>
      <c r="F2950" s="2">
        <v>326.0</v>
      </c>
      <c r="G2950" s="3">
        <f t="shared" si="2"/>
        <v>0.1338809035</v>
      </c>
      <c r="H2950" s="2">
        <v>464.0</v>
      </c>
      <c r="I2950" s="3">
        <f t="shared" si="3"/>
        <v>0.1905544148</v>
      </c>
      <c r="J2950" s="2">
        <v>495.0</v>
      </c>
      <c r="K2950" s="3">
        <f t="shared" si="4"/>
        <v>0.2032854209</v>
      </c>
      <c r="L2950" s="2">
        <v>283.0</v>
      </c>
      <c r="M2950" s="3">
        <f t="shared" si="5"/>
        <v>0.6099137931</v>
      </c>
      <c r="N2950" s="2">
        <v>3013100.0</v>
      </c>
      <c r="O2950" s="4">
        <f t="shared" si="6"/>
        <v>6493.75</v>
      </c>
      <c r="P2950" s="2">
        <v>2.0</v>
      </c>
      <c r="Q2950" s="3">
        <f t="shared" si="7"/>
        <v>0.008771929825</v>
      </c>
      <c r="R2950" s="2">
        <v>228.0</v>
      </c>
      <c r="S2950" s="5">
        <f t="shared" si="8"/>
        <v>1</v>
      </c>
    </row>
    <row r="2951">
      <c r="A2951" s="2" t="s">
        <v>2959</v>
      </c>
      <c r="B2951" s="2">
        <v>149.0</v>
      </c>
      <c r="C2951" s="2">
        <v>1740.0</v>
      </c>
      <c r="D2951" s="2">
        <v>496.0</v>
      </c>
      <c r="E2951" s="3">
        <f t="shared" si="1"/>
        <v>0.3117536141</v>
      </c>
      <c r="F2951" s="2">
        <v>213.0</v>
      </c>
      <c r="G2951" s="3">
        <f t="shared" si="2"/>
        <v>0.1338780641</v>
      </c>
      <c r="H2951" s="2">
        <v>305.0</v>
      </c>
      <c r="I2951" s="3">
        <f t="shared" si="3"/>
        <v>0.1917033312</v>
      </c>
      <c r="J2951" s="2">
        <v>336.0</v>
      </c>
      <c r="K2951" s="3">
        <f t="shared" si="4"/>
        <v>0.2111879321</v>
      </c>
      <c r="L2951" s="2">
        <v>171.0</v>
      </c>
      <c r="M2951" s="3">
        <f t="shared" si="5"/>
        <v>0.5606557377</v>
      </c>
      <c r="N2951" s="2">
        <v>1868200.0</v>
      </c>
      <c r="O2951" s="4">
        <f t="shared" si="6"/>
        <v>6125.245902</v>
      </c>
      <c r="P2951" s="2">
        <v>1.0</v>
      </c>
      <c r="Q2951" s="3">
        <f t="shared" si="7"/>
        <v>0.006711409396</v>
      </c>
      <c r="R2951" s="2">
        <v>149.0</v>
      </c>
      <c r="S2951" s="5">
        <f t="shared" si="8"/>
        <v>1</v>
      </c>
    </row>
    <row r="2952">
      <c r="A2952" s="2" t="s">
        <v>2960</v>
      </c>
      <c r="B2952" s="2">
        <v>248.0</v>
      </c>
      <c r="C2952" s="2">
        <v>2967.0</v>
      </c>
      <c r="D2952" s="2">
        <v>1018.0</v>
      </c>
      <c r="E2952" s="3">
        <f t="shared" si="1"/>
        <v>0.3744023538</v>
      </c>
      <c r="F2952" s="2">
        <v>364.0</v>
      </c>
      <c r="G2952" s="3">
        <f t="shared" si="2"/>
        <v>0.1338727473</v>
      </c>
      <c r="H2952" s="2">
        <v>601.0</v>
      </c>
      <c r="I2952" s="3">
        <f t="shared" si="3"/>
        <v>0.221037146</v>
      </c>
      <c r="J2952" s="2">
        <v>491.0</v>
      </c>
      <c r="K2952" s="3">
        <f t="shared" si="4"/>
        <v>0.180581096</v>
      </c>
      <c r="L2952" s="2">
        <v>358.0</v>
      </c>
      <c r="M2952" s="3">
        <f t="shared" si="5"/>
        <v>0.5956738769</v>
      </c>
      <c r="N2952" s="2">
        <v>2980900.0</v>
      </c>
      <c r="O2952" s="4">
        <f t="shared" si="6"/>
        <v>4959.900166</v>
      </c>
      <c r="P2952" s="2">
        <v>0.0</v>
      </c>
      <c r="Q2952" s="3">
        <f t="shared" si="7"/>
        <v>0</v>
      </c>
      <c r="R2952" s="2">
        <v>248.0</v>
      </c>
      <c r="S2952" s="5">
        <f t="shared" si="8"/>
        <v>1</v>
      </c>
    </row>
    <row r="2953">
      <c r="A2953" s="2" t="s">
        <v>2961</v>
      </c>
      <c r="B2953" s="2">
        <v>1272.0</v>
      </c>
      <c r="C2953" s="2">
        <v>14935.0</v>
      </c>
      <c r="D2953" s="2">
        <v>4518.0</v>
      </c>
      <c r="E2953" s="3">
        <f t="shared" si="1"/>
        <v>0.3306740833</v>
      </c>
      <c r="F2953" s="2">
        <v>1829.0</v>
      </c>
      <c r="G2953" s="3">
        <f t="shared" si="2"/>
        <v>0.1338651833</v>
      </c>
      <c r="H2953" s="2">
        <v>2863.0</v>
      </c>
      <c r="I2953" s="3">
        <f t="shared" si="3"/>
        <v>0.209544024</v>
      </c>
      <c r="J2953" s="2">
        <v>2518.0</v>
      </c>
      <c r="K2953" s="3">
        <f t="shared" si="4"/>
        <v>0.184293347</v>
      </c>
      <c r="L2953" s="2">
        <v>1675.0</v>
      </c>
      <c r="M2953" s="3">
        <f t="shared" si="5"/>
        <v>0.5850506462</v>
      </c>
      <c r="N2953" s="2">
        <v>1.62786E7</v>
      </c>
      <c r="O2953" s="4">
        <f t="shared" si="6"/>
        <v>5685.853999</v>
      </c>
      <c r="P2953" s="2">
        <v>7.0</v>
      </c>
      <c r="Q2953" s="3">
        <f t="shared" si="7"/>
        <v>0.005503144654</v>
      </c>
      <c r="R2953" s="2">
        <v>1272.0</v>
      </c>
      <c r="S2953" s="5">
        <f t="shared" si="8"/>
        <v>1</v>
      </c>
    </row>
    <row r="2954">
      <c r="A2954" s="2" t="s">
        <v>2962</v>
      </c>
      <c r="B2954" s="2">
        <v>157.0</v>
      </c>
      <c r="C2954" s="2">
        <v>1793.0</v>
      </c>
      <c r="D2954" s="2">
        <v>507.0</v>
      </c>
      <c r="E2954" s="3">
        <f t="shared" si="1"/>
        <v>0.3099022005</v>
      </c>
      <c r="F2954" s="2">
        <v>219.0</v>
      </c>
      <c r="G2954" s="3">
        <f t="shared" si="2"/>
        <v>0.1338630807</v>
      </c>
      <c r="H2954" s="2">
        <v>325.0</v>
      </c>
      <c r="I2954" s="3">
        <f t="shared" si="3"/>
        <v>0.1986552567</v>
      </c>
      <c r="J2954" s="2">
        <v>229.0</v>
      </c>
      <c r="K2954" s="3">
        <f t="shared" si="4"/>
        <v>0.1399755501</v>
      </c>
      <c r="L2954" s="2">
        <v>198.0</v>
      </c>
      <c r="M2954" s="3">
        <f t="shared" si="5"/>
        <v>0.6092307692</v>
      </c>
      <c r="N2954" s="2">
        <v>1921100.0</v>
      </c>
      <c r="O2954" s="4">
        <f t="shared" si="6"/>
        <v>5911.076923</v>
      </c>
      <c r="P2954" s="2">
        <v>2.0</v>
      </c>
      <c r="Q2954" s="3">
        <f t="shared" si="7"/>
        <v>0.0127388535</v>
      </c>
      <c r="R2954" s="2">
        <v>0.0</v>
      </c>
      <c r="S2954" s="5">
        <f t="shared" si="8"/>
        <v>0</v>
      </c>
    </row>
    <row r="2955">
      <c r="A2955" s="2" t="s">
        <v>2963</v>
      </c>
      <c r="B2955" s="2">
        <v>380.0</v>
      </c>
      <c r="C2955" s="2">
        <v>4556.0</v>
      </c>
      <c r="D2955" s="2">
        <v>1236.0</v>
      </c>
      <c r="E2955" s="3">
        <f t="shared" si="1"/>
        <v>0.2959770115</v>
      </c>
      <c r="F2955" s="2">
        <v>559.0</v>
      </c>
      <c r="G2955" s="3">
        <f t="shared" si="2"/>
        <v>0.1338601533</v>
      </c>
      <c r="H2955" s="2">
        <v>871.0</v>
      </c>
      <c r="I2955" s="3">
        <f t="shared" si="3"/>
        <v>0.2085727969</v>
      </c>
      <c r="J2955" s="2">
        <v>729.0</v>
      </c>
      <c r="K2955" s="3">
        <f t="shared" si="4"/>
        <v>0.1745689655</v>
      </c>
      <c r="L2955" s="2">
        <v>508.0</v>
      </c>
      <c r="M2955" s="3">
        <f t="shared" si="5"/>
        <v>0.5832376579</v>
      </c>
      <c r="N2955" s="2">
        <v>4834000.0</v>
      </c>
      <c r="O2955" s="4">
        <f t="shared" si="6"/>
        <v>5549.942595</v>
      </c>
      <c r="P2955" s="2">
        <v>0.0</v>
      </c>
      <c r="Q2955" s="3">
        <f t="shared" si="7"/>
        <v>0</v>
      </c>
      <c r="R2955" s="2">
        <v>380.0</v>
      </c>
      <c r="S2955" s="5">
        <f t="shared" si="8"/>
        <v>1</v>
      </c>
    </row>
    <row r="2956">
      <c r="A2956" s="2" t="s">
        <v>2964</v>
      </c>
      <c r="B2956" s="2">
        <v>370.0</v>
      </c>
      <c r="C2956" s="2">
        <v>4322.0</v>
      </c>
      <c r="D2956" s="2">
        <v>1194.0</v>
      </c>
      <c r="E2956" s="3">
        <f t="shared" si="1"/>
        <v>0.3021255061</v>
      </c>
      <c r="F2956" s="2">
        <v>529.0</v>
      </c>
      <c r="G2956" s="3">
        <f t="shared" si="2"/>
        <v>0.1338562753</v>
      </c>
      <c r="H2956" s="2">
        <v>782.0</v>
      </c>
      <c r="I2956" s="3">
        <f t="shared" si="3"/>
        <v>0.1978744939</v>
      </c>
      <c r="J2956" s="2">
        <v>638.0</v>
      </c>
      <c r="K2956" s="3">
        <f t="shared" si="4"/>
        <v>0.161437247</v>
      </c>
      <c r="L2956" s="2">
        <v>439.0</v>
      </c>
      <c r="M2956" s="3">
        <f t="shared" si="5"/>
        <v>0.5613810742</v>
      </c>
      <c r="N2956" s="2">
        <v>4542600.0</v>
      </c>
      <c r="O2956" s="4">
        <f t="shared" si="6"/>
        <v>5808.951407</v>
      </c>
      <c r="P2956" s="2">
        <v>1.0</v>
      </c>
      <c r="Q2956" s="3">
        <f t="shared" si="7"/>
        <v>0.002702702703</v>
      </c>
      <c r="R2956" s="2">
        <v>267.0</v>
      </c>
      <c r="S2956" s="5">
        <f t="shared" si="8"/>
        <v>0.7216216216</v>
      </c>
    </row>
    <row r="2957">
      <c r="A2957" s="2" t="s">
        <v>2965</v>
      </c>
      <c r="B2957" s="2">
        <v>1073.0</v>
      </c>
      <c r="C2957" s="2">
        <v>12504.0</v>
      </c>
      <c r="D2957" s="2">
        <v>4034.0</v>
      </c>
      <c r="E2957" s="3">
        <f t="shared" si="1"/>
        <v>0.3529000087</v>
      </c>
      <c r="F2957" s="2">
        <v>1530.0</v>
      </c>
      <c r="G2957" s="3">
        <f t="shared" si="2"/>
        <v>0.1338465576</v>
      </c>
      <c r="H2957" s="2">
        <v>2485.0</v>
      </c>
      <c r="I2957" s="3">
        <f t="shared" si="3"/>
        <v>0.2173913043</v>
      </c>
      <c r="J2957" s="2">
        <v>2029.0</v>
      </c>
      <c r="K2957" s="3">
        <f t="shared" si="4"/>
        <v>0.1774997813</v>
      </c>
      <c r="L2957" s="2">
        <v>1450.0</v>
      </c>
      <c r="M2957" s="3">
        <f t="shared" si="5"/>
        <v>0.583501006</v>
      </c>
      <c r="N2957" s="2">
        <v>1.50007E7</v>
      </c>
      <c r="O2957" s="4">
        <f t="shared" si="6"/>
        <v>6036.498994</v>
      </c>
      <c r="P2957" s="2">
        <v>3.0</v>
      </c>
      <c r="Q2957" s="3">
        <f t="shared" si="7"/>
        <v>0.002795899348</v>
      </c>
      <c r="R2957" s="2">
        <v>1073.0</v>
      </c>
      <c r="S2957" s="5">
        <f t="shared" si="8"/>
        <v>1</v>
      </c>
    </row>
    <row r="2958">
      <c r="A2958" s="2" t="s">
        <v>2966</v>
      </c>
      <c r="B2958" s="2">
        <v>1377.0</v>
      </c>
      <c r="C2958" s="2">
        <v>16343.0</v>
      </c>
      <c r="D2958" s="2">
        <v>4892.0</v>
      </c>
      <c r="E2958" s="3">
        <f t="shared" si="1"/>
        <v>0.3268742483</v>
      </c>
      <c r="F2958" s="2">
        <v>2003.0</v>
      </c>
      <c r="G2958" s="3">
        <f t="shared" si="2"/>
        <v>0.1338366965</v>
      </c>
      <c r="H2958" s="2">
        <v>3085.0</v>
      </c>
      <c r="I2958" s="3">
        <f t="shared" si="3"/>
        <v>0.2061339035</v>
      </c>
      <c r="J2958" s="2">
        <v>2478.0</v>
      </c>
      <c r="K2958" s="3">
        <f t="shared" si="4"/>
        <v>0.165575304</v>
      </c>
      <c r="L2958" s="2">
        <v>1844.0</v>
      </c>
      <c r="M2958" s="3">
        <f t="shared" si="5"/>
        <v>0.5977309562</v>
      </c>
      <c r="N2958" s="2">
        <v>1.77122E7</v>
      </c>
      <c r="O2958" s="4">
        <f t="shared" si="6"/>
        <v>5741.393841</v>
      </c>
      <c r="P2958" s="2">
        <v>2.0</v>
      </c>
      <c r="Q2958" s="3">
        <f t="shared" si="7"/>
        <v>0.001452432825</v>
      </c>
      <c r="R2958" s="2">
        <v>1377.0</v>
      </c>
      <c r="S2958" s="5">
        <f t="shared" si="8"/>
        <v>1</v>
      </c>
    </row>
    <row r="2959">
      <c r="A2959" s="2" t="s">
        <v>2967</v>
      </c>
      <c r="B2959" s="2">
        <v>141.0</v>
      </c>
      <c r="C2959" s="2">
        <v>1598.0</v>
      </c>
      <c r="D2959" s="2">
        <v>516.0</v>
      </c>
      <c r="E2959" s="3">
        <f t="shared" si="1"/>
        <v>0.3541523679</v>
      </c>
      <c r="F2959" s="2">
        <v>195.0</v>
      </c>
      <c r="G2959" s="3">
        <f t="shared" si="2"/>
        <v>0.1338366507</v>
      </c>
      <c r="H2959" s="2">
        <v>289.0</v>
      </c>
      <c r="I2959" s="3">
        <f t="shared" si="3"/>
        <v>0.1983527797</v>
      </c>
      <c r="J2959" s="2">
        <v>213.0</v>
      </c>
      <c r="K2959" s="3">
        <f t="shared" si="4"/>
        <v>0.146190803</v>
      </c>
      <c r="L2959" s="2">
        <v>168.0</v>
      </c>
      <c r="M2959" s="3">
        <f t="shared" si="5"/>
        <v>0.5813148789</v>
      </c>
      <c r="N2959" s="2">
        <v>1682900.0</v>
      </c>
      <c r="O2959" s="4">
        <f t="shared" si="6"/>
        <v>5823.183391</v>
      </c>
      <c r="P2959" s="2">
        <v>1.0</v>
      </c>
      <c r="Q2959" s="3">
        <f t="shared" si="7"/>
        <v>0.007092198582</v>
      </c>
      <c r="R2959" s="2">
        <v>141.0</v>
      </c>
      <c r="S2959" s="5">
        <f t="shared" si="8"/>
        <v>1</v>
      </c>
    </row>
    <row r="2960">
      <c r="A2960" s="2" t="s">
        <v>2968</v>
      </c>
      <c r="B2960" s="2">
        <v>2696.0</v>
      </c>
      <c r="C2960" s="2">
        <v>31682.0</v>
      </c>
      <c r="D2960" s="2">
        <v>8455.0</v>
      </c>
      <c r="E2960" s="3">
        <f t="shared" si="1"/>
        <v>0.2916925412</v>
      </c>
      <c r="F2960" s="2">
        <v>3879.0</v>
      </c>
      <c r="G2960" s="3">
        <f t="shared" si="2"/>
        <v>0.133823225</v>
      </c>
      <c r="H2960" s="2">
        <v>5972.0</v>
      </c>
      <c r="I2960" s="3">
        <f t="shared" si="3"/>
        <v>0.2060304975</v>
      </c>
      <c r="J2960" s="2">
        <v>5434.0</v>
      </c>
      <c r="K2960" s="3">
        <f t="shared" si="4"/>
        <v>0.187469813</v>
      </c>
      <c r="L2960" s="2">
        <v>3555.0</v>
      </c>
      <c r="M2960" s="3">
        <f t="shared" si="5"/>
        <v>0.5952779638</v>
      </c>
      <c r="N2960" s="2">
        <v>3.61711E7</v>
      </c>
      <c r="O2960" s="4">
        <f t="shared" si="6"/>
        <v>6056.781648</v>
      </c>
      <c r="P2960" s="2">
        <v>9.0</v>
      </c>
      <c r="Q2960" s="3">
        <f t="shared" si="7"/>
        <v>0.003338278932</v>
      </c>
      <c r="R2960" s="2">
        <v>2696.0</v>
      </c>
      <c r="S2960" s="5">
        <f t="shared" si="8"/>
        <v>1</v>
      </c>
    </row>
    <row r="2961">
      <c r="A2961" s="2" t="s">
        <v>2969</v>
      </c>
      <c r="B2961" s="2">
        <v>441.0</v>
      </c>
      <c r="C2961" s="2">
        <v>5149.0</v>
      </c>
      <c r="D2961" s="2">
        <v>1547.0</v>
      </c>
      <c r="E2961" s="3">
        <f t="shared" si="1"/>
        <v>0.3285896347</v>
      </c>
      <c r="F2961" s="2">
        <v>630.0</v>
      </c>
      <c r="G2961" s="3">
        <f t="shared" si="2"/>
        <v>0.1338147833</v>
      </c>
      <c r="H2961" s="2">
        <v>943.0</v>
      </c>
      <c r="I2961" s="3">
        <f t="shared" si="3"/>
        <v>0.2002973662</v>
      </c>
      <c r="J2961" s="2">
        <v>910.0</v>
      </c>
      <c r="K2961" s="3">
        <f t="shared" si="4"/>
        <v>0.1932880204</v>
      </c>
      <c r="L2961" s="2">
        <v>570.0</v>
      </c>
      <c r="M2961" s="3">
        <f t="shared" si="5"/>
        <v>0.6044538706</v>
      </c>
      <c r="N2961" s="2">
        <v>5345300.0</v>
      </c>
      <c r="O2961" s="4">
        <f t="shared" si="6"/>
        <v>5668.398727</v>
      </c>
      <c r="P2961" s="2">
        <v>1.0</v>
      </c>
      <c r="Q2961" s="3">
        <f t="shared" si="7"/>
        <v>0.002267573696</v>
      </c>
      <c r="R2961" s="2">
        <v>441.0</v>
      </c>
      <c r="S2961" s="5">
        <f t="shared" si="8"/>
        <v>1</v>
      </c>
    </row>
    <row r="2962">
      <c r="A2962" s="2" t="s">
        <v>2970</v>
      </c>
      <c r="B2962" s="2">
        <v>79.0</v>
      </c>
      <c r="C2962" s="2">
        <v>916.0</v>
      </c>
      <c r="D2962" s="2">
        <v>253.0</v>
      </c>
      <c r="E2962" s="3">
        <f t="shared" si="1"/>
        <v>0.3022700119</v>
      </c>
      <c r="F2962" s="2">
        <v>112.0</v>
      </c>
      <c r="G2962" s="3">
        <f t="shared" si="2"/>
        <v>0.1338112306</v>
      </c>
      <c r="H2962" s="2">
        <v>182.0</v>
      </c>
      <c r="I2962" s="3">
        <f t="shared" si="3"/>
        <v>0.2174432497</v>
      </c>
      <c r="J2962" s="2">
        <v>144.0</v>
      </c>
      <c r="K2962" s="3">
        <f t="shared" si="4"/>
        <v>0.1720430108</v>
      </c>
      <c r="L2962" s="2">
        <v>103.0</v>
      </c>
      <c r="M2962" s="3">
        <f t="shared" si="5"/>
        <v>0.5659340659</v>
      </c>
      <c r="N2962" s="2">
        <v>1107500.0</v>
      </c>
      <c r="O2962" s="4">
        <f t="shared" si="6"/>
        <v>6085.164835</v>
      </c>
      <c r="P2962" s="2">
        <v>0.0</v>
      </c>
      <c r="Q2962" s="3">
        <f t="shared" si="7"/>
        <v>0</v>
      </c>
      <c r="R2962" s="2">
        <v>79.0</v>
      </c>
      <c r="S2962" s="5">
        <f t="shared" si="8"/>
        <v>1</v>
      </c>
    </row>
    <row r="2963">
      <c r="A2963" s="2" t="s">
        <v>2971</v>
      </c>
      <c r="B2963" s="2">
        <v>116.0</v>
      </c>
      <c r="C2963" s="2">
        <v>1379.0</v>
      </c>
      <c r="D2963" s="2">
        <v>377.0</v>
      </c>
      <c r="E2963" s="3">
        <f t="shared" si="1"/>
        <v>0.2984956453</v>
      </c>
      <c r="F2963" s="2">
        <v>169.0</v>
      </c>
      <c r="G2963" s="3">
        <f t="shared" si="2"/>
        <v>0.1338083927</v>
      </c>
      <c r="H2963" s="2">
        <v>229.0</v>
      </c>
      <c r="I2963" s="3">
        <f t="shared" si="3"/>
        <v>0.181314331</v>
      </c>
      <c r="J2963" s="2">
        <v>258.0</v>
      </c>
      <c r="K2963" s="3">
        <f t="shared" si="4"/>
        <v>0.2042755344</v>
      </c>
      <c r="L2963" s="2">
        <v>150.0</v>
      </c>
      <c r="M2963" s="3">
        <f t="shared" si="5"/>
        <v>0.6550218341</v>
      </c>
      <c r="N2963" s="2">
        <v>1462700.0</v>
      </c>
      <c r="O2963" s="4">
        <f t="shared" si="6"/>
        <v>6387.336245</v>
      </c>
      <c r="P2963" s="2">
        <v>0.0</v>
      </c>
      <c r="Q2963" s="3">
        <f t="shared" si="7"/>
        <v>0</v>
      </c>
      <c r="R2963" s="2">
        <v>116.0</v>
      </c>
      <c r="S2963" s="5">
        <f t="shared" si="8"/>
        <v>1</v>
      </c>
    </row>
    <row r="2964">
      <c r="A2964" s="2" t="s">
        <v>2972</v>
      </c>
      <c r="B2964" s="2">
        <v>6314.0</v>
      </c>
      <c r="C2964" s="2">
        <v>74340.0</v>
      </c>
      <c r="D2964" s="2">
        <v>25013.0</v>
      </c>
      <c r="E2964" s="3">
        <f t="shared" si="1"/>
        <v>0.367697645</v>
      </c>
      <c r="F2964" s="2">
        <v>9102.0</v>
      </c>
      <c r="G2964" s="3">
        <f t="shared" si="2"/>
        <v>0.1338017817</v>
      </c>
      <c r="H2964" s="2">
        <v>14557.0</v>
      </c>
      <c r="I2964" s="3">
        <f t="shared" si="3"/>
        <v>0.2139917091</v>
      </c>
      <c r="J2964" s="2">
        <v>9591.0</v>
      </c>
      <c r="K2964" s="3">
        <f t="shared" si="4"/>
        <v>0.1409902096</v>
      </c>
      <c r="L2964" s="2">
        <v>8830.0</v>
      </c>
      <c r="M2964" s="3">
        <f t="shared" si="5"/>
        <v>0.6065810263</v>
      </c>
      <c r="N2964" s="2">
        <v>7.93304E7</v>
      </c>
      <c r="O2964" s="4">
        <f t="shared" si="6"/>
        <v>5449.639349</v>
      </c>
      <c r="P2964" s="2">
        <v>17.0</v>
      </c>
      <c r="Q2964" s="3">
        <f t="shared" si="7"/>
        <v>0.002692429522</v>
      </c>
      <c r="R2964" s="2">
        <v>6314.0</v>
      </c>
      <c r="S2964" s="5">
        <f t="shared" si="8"/>
        <v>1</v>
      </c>
    </row>
    <row r="2965">
      <c r="A2965" s="2" t="s">
        <v>2973</v>
      </c>
      <c r="B2965" s="2">
        <v>3167.0</v>
      </c>
      <c r="C2965" s="2">
        <v>37473.0</v>
      </c>
      <c r="D2965" s="2">
        <v>13089.0</v>
      </c>
      <c r="E2965" s="3">
        <f t="shared" si="1"/>
        <v>0.3815367574</v>
      </c>
      <c r="F2965" s="2">
        <v>4590.0</v>
      </c>
      <c r="G2965" s="3">
        <f t="shared" si="2"/>
        <v>0.1337958375</v>
      </c>
      <c r="H2965" s="2">
        <v>7287.0</v>
      </c>
      <c r="I2965" s="3">
        <f t="shared" si="3"/>
        <v>0.212411823</v>
      </c>
      <c r="J2965" s="2">
        <v>6065.0</v>
      </c>
      <c r="K2965" s="3">
        <f t="shared" si="4"/>
        <v>0.1767912319</v>
      </c>
      <c r="L2965" s="2">
        <v>4309.0</v>
      </c>
      <c r="M2965" s="3">
        <f t="shared" si="5"/>
        <v>0.5913270207</v>
      </c>
      <c r="N2965" s="2">
        <v>4.24025E7</v>
      </c>
      <c r="O2965" s="4">
        <f t="shared" si="6"/>
        <v>5818.924111</v>
      </c>
      <c r="P2965" s="2">
        <v>6.0</v>
      </c>
      <c r="Q2965" s="3">
        <f t="shared" si="7"/>
        <v>0.001894537417</v>
      </c>
      <c r="R2965" s="2">
        <v>3167.0</v>
      </c>
      <c r="S2965" s="5">
        <f t="shared" si="8"/>
        <v>1</v>
      </c>
    </row>
    <row r="2966">
      <c r="A2966" s="2" t="s">
        <v>2974</v>
      </c>
      <c r="B2966" s="2">
        <v>714.0</v>
      </c>
      <c r="C2966" s="2">
        <v>8510.0</v>
      </c>
      <c r="D2966" s="2">
        <v>1931.0</v>
      </c>
      <c r="E2966" s="3">
        <f t="shared" si="1"/>
        <v>0.2476911237</v>
      </c>
      <c r="F2966" s="2">
        <v>1043.0</v>
      </c>
      <c r="G2966" s="3">
        <f t="shared" si="2"/>
        <v>0.1337865572</v>
      </c>
      <c r="H2966" s="2">
        <v>1502.0</v>
      </c>
      <c r="I2966" s="3">
        <f t="shared" si="3"/>
        <v>0.1926629041</v>
      </c>
      <c r="J2966" s="2">
        <v>1481.0</v>
      </c>
      <c r="K2966" s="3">
        <f t="shared" si="4"/>
        <v>0.189969215</v>
      </c>
      <c r="L2966" s="2">
        <v>878.0</v>
      </c>
      <c r="M2966" s="3">
        <f t="shared" si="5"/>
        <v>0.5845539281</v>
      </c>
      <c r="N2966" s="2">
        <v>9283900.0</v>
      </c>
      <c r="O2966" s="4">
        <f t="shared" si="6"/>
        <v>6181.0253</v>
      </c>
      <c r="P2966" s="2">
        <v>3.0</v>
      </c>
      <c r="Q2966" s="3">
        <f t="shared" si="7"/>
        <v>0.004201680672</v>
      </c>
      <c r="R2966" s="2">
        <v>714.0</v>
      </c>
      <c r="S2966" s="5">
        <f t="shared" si="8"/>
        <v>1</v>
      </c>
    </row>
    <row r="2967">
      <c r="A2967" s="2" t="s">
        <v>2975</v>
      </c>
      <c r="B2967" s="2">
        <v>126.0</v>
      </c>
      <c r="C2967" s="2">
        <v>1464.0</v>
      </c>
      <c r="D2967" s="2">
        <v>410.0</v>
      </c>
      <c r="E2967" s="3">
        <f t="shared" si="1"/>
        <v>0.3064275037</v>
      </c>
      <c r="F2967" s="2">
        <v>179.0</v>
      </c>
      <c r="G2967" s="3">
        <f t="shared" si="2"/>
        <v>0.1337817638</v>
      </c>
      <c r="H2967" s="2">
        <v>297.0</v>
      </c>
      <c r="I2967" s="3">
        <f t="shared" si="3"/>
        <v>0.2219730942</v>
      </c>
      <c r="J2967" s="2">
        <v>286.0</v>
      </c>
      <c r="K2967" s="3">
        <f t="shared" si="4"/>
        <v>0.2137518685</v>
      </c>
      <c r="L2967" s="2">
        <v>168.0</v>
      </c>
      <c r="M2967" s="3">
        <f t="shared" si="5"/>
        <v>0.5656565657</v>
      </c>
      <c r="N2967" s="2">
        <v>1613900.0</v>
      </c>
      <c r="O2967" s="4">
        <f t="shared" si="6"/>
        <v>5434.006734</v>
      </c>
      <c r="P2967" s="2">
        <v>0.0</v>
      </c>
      <c r="Q2967" s="3">
        <f t="shared" si="7"/>
        <v>0</v>
      </c>
      <c r="R2967" s="2">
        <v>126.0</v>
      </c>
      <c r="S2967" s="5">
        <f t="shared" si="8"/>
        <v>1</v>
      </c>
    </row>
    <row r="2968">
      <c r="A2968" s="2" t="s">
        <v>2976</v>
      </c>
      <c r="B2968" s="2">
        <v>27.0</v>
      </c>
      <c r="C2968" s="2">
        <v>326.0</v>
      </c>
      <c r="D2968" s="2">
        <v>91.0</v>
      </c>
      <c r="E2968" s="3">
        <f t="shared" si="1"/>
        <v>0.3043478261</v>
      </c>
      <c r="F2968" s="2">
        <v>40.0</v>
      </c>
      <c r="G2968" s="3">
        <f t="shared" si="2"/>
        <v>0.1337792642</v>
      </c>
      <c r="H2968" s="2">
        <v>57.0</v>
      </c>
      <c r="I2968" s="3">
        <f t="shared" si="3"/>
        <v>0.1906354515</v>
      </c>
      <c r="J2968" s="2">
        <v>39.0</v>
      </c>
      <c r="K2968" s="3">
        <f t="shared" si="4"/>
        <v>0.1304347826</v>
      </c>
      <c r="L2968" s="2">
        <v>33.0</v>
      </c>
      <c r="M2968" s="3">
        <f t="shared" si="5"/>
        <v>0.5789473684</v>
      </c>
      <c r="N2968" s="2">
        <v>267200.0</v>
      </c>
      <c r="O2968" s="4">
        <f t="shared" si="6"/>
        <v>4687.719298</v>
      </c>
      <c r="P2968" s="2">
        <v>0.0</v>
      </c>
      <c r="Q2968" s="3">
        <f t="shared" si="7"/>
        <v>0</v>
      </c>
      <c r="R2968" s="2">
        <v>27.0</v>
      </c>
      <c r="S2968" s="5">
        <f t="shared" si="8"/>
        <v>1</v>
      </c>
    </row>
    <row r="2969">
      <c r="A2969" s="2" t="s">
        <v>2977</v>
      </c>
      <c r="B2969" s="2">
        <v>1325.0</v>
      </c>
      <c r="C2969" s="2">
        <v>15730.0</v>
      </c>
      <c r="D2969" s="2">
        <v>4364.0</v>
      </c>
      <c r="E2969" s="3">
        <f t="shared" si="1"/>
        <v>0.3029503645</v>
      </c>
      <c r="F2969" s="2">
        <v>1927.0</v>
      </c>
      <c r="G2969" s="3">
        <f t="shared" si="2"/>
        <v>0.1337729955</v>
      </c>
      <c r="H2969" s="2">
        <v>2959.0</v>
      </c>
      <c r="I2969" s="3">
        <f t="shared" si="3"/>
        <v>0.2054147865</v>
      </c>
      <c r="J2969" s="2">
        <v>2521.0</v>
      </c>
      <c r="K2969" s="3">
        <f t="shared" si="4"/>
        <v>0.1750086775</v>
      </c>
      <c r="L2969" s="2">
        <v>1786.0</v>
      </c>
      <c r="M2969" s="3">
        <f t="shared" si="5"/>
        <v>0.6035822913</v>
      </c>
      <c r="N2969" s="2">
        <v>1.70888E7</v>
      </c>
      <c r="O2969" s="4">
        <f t="shared" si="6"/>
        <v>5775.194322</v>
      </c>
      <c r="P2969" s="2">
        <v>3.0</v>
      </c>
      <c r="Q2969" s="3">
        <f t="shared" si="7"/>
        <v>0.002264150943</v>
      </c>
      <c r="R2969" s="2">
        <v>1325.0</v>
      </c>
      <c r="S2969" s="5">
        <f t="shared" si="8"/>
        <v>1</v>
      </c>
    </row>
    <row r="2970">
      <c r="A2970" s="2" t="s">
        <v>2978</v>
      </c>
      <c r="B2970" s="2">
        <v>258.0</v>
      </c>
      <c r="C2970" s="2">
        <v>3069.0</v>
      </c>
      <c r="D2970" s="2">
        <v>983.0</v>
      </c>
      <c r="E2970" s="3">
        <f t="shared" si="1"/>
        <v>0.3496976165</v>
      </c>
      <c r="F2970" s="2">
        <v>376.0</v>
      </c>
      <c r="G2970" s="3">
        <f t="shared" si="2"/>
        <v>0.1337602277</v>
      </c>
      <c r="H2970" s="2">
        <v>645.0</v>
      </c>
      <c r="I2970" s="3">
        <f t="shared" si="3"/>
        <v>0.2294557097</v>
      </c>
      <c r="J2970" s="2">
        <v>538.0</v>
      </c>
      <c r="K2970" s="3">
        <f t="shared" si="4"/>
        <v>0.1913909641</v>
      </c>
      <c r="L2970" s="2">
        <v>394.0</v>
      </c>
      <c r="M2970" s="3">
        <f t="shared" si="5"/>
        <v>0.6108527132</v>
      </c>
      <c r="N2970" s="2">
        <v>3539200.0</v>
      </c>
      <c r="O2970" s="4">
        <f t="shared" si="6"/>
        <v>5487.131783</v>
      </c>
      <c r="P2970" s="2">
        <v>0.0</v>
      </c>
      <c r="Q2970" s="3">
        <f t="shared" si="7"/>
        <v>0</v>
      </c>
      <c r="R2970" s="2">
        <v>0.0</v>
      </c>
      <c r="S2970" s="5">
        <f t="shared" si="8"/>
        <v>0</v>
      </c>
    </row>
    <row r="2971">
      <c r="A2971" s="2" t="s">
        <v>2979</v>
      </c>
      <c r="B2971" s="2">
        <v>176.0</v>
      </c>
      <c r="C2971" s="2">
        <v>2060.0</v>
      </c>
      <c r="D2971" s="2">
        <v>655.0</v>
      </c>
      <c r="E2971" s="3">
        <f t="shared" si="1"/>
        <v>0.3476645435</v>
      </c>
      <c r="F2971" s="2">
        <v>252.0</v>
      </c>
      <c r="G2971" s="3">
        <f t="shared" si="2"/>
        <v>0.1337579618</v>
      </c>
      <c r="H2971" s="2">
        <v>407.0</v>
      </c>
      <c r="I2971" s="3">
        <f t="shared" si="3"/>
        <v>0.216029724</v>
      </c>
      <c r="J2971" s="2">
        <v>398.0</v>
      </c>
      <c r="K2971" s="3">
        <f t="shared" si="4"/>
        <v>0.2112526539</v>
      </c>
      <c r="L2971" s="2">
        <v>241.0</v>
      </c>
      <c r="M2971" s="3">
        <f t="shared" si="5"/>
        <v>0.5921375921</v>
      </c>
      <c r="N2971" s="2">
        <v>2415100.0</v>
      </c>
      <c r="O2971" s="4">
        <f t="shared" si="6"/>
        <v>5933.906634</v>
      </c>
      <c r="P2971" s="2">
        <v>1.0</v>
      </c>
      <c r="Q2971" s="3">
        <f t="shared" si="7"/>
        <v>0.005681818182</v>
      </c>
      <c r="R2971" s="2">
        <v>176.0</v>
      </c>
      <c r="S2971" s="5">
        <f t="shared" si="8"/>
        <v>1</v>
      </c>
    </row>
    <row r="2972">
      <c r="A2972" s="2" t="s">
        <v>2980</v>
      </c>
      <c r="B2972" s="2">
        <v>132.0</v>
      </c>
      <c r="C2972" s="2">
        <v>1545.0</v>
      </c>
      <c r="D2972" s="2">
        <v>551.0</v>
      </c>
      <c r="E2972" s="3">
        <f t="shared" si="1"/>
        <v>0.38995046</v>
      </c>
      <c r="F2972" s="2">
        <v>189.0</v>
      </c>
      <c r="G2972" s="3">
        <f t="shared" si="2"/>
        <v>0.1337579618</v>
      </c>
      <c r="H2972" s="2">
        <v>287.0</v>
      </c>
      <c r="I2972" s="3">
        <f t="shared" si="3"/>
        <v>0.203113942</v>
      </c>
      <c r="J2972" s="2">
        <v>211.0</v>
      </c>
      <c r="K2972" s="3">
        <f t="shared" si="4"/>
        <v>0.1493276716</v>
      </c>
      <c r="L2972" s="2">
        <v>168.0</v>
      </c>
      <c r="M2972" s="3">
        <f t="shared" si="5"/>
        <v>0.5853658537</v>
      </c>
      <c r="N2972" s="2">
        <v>1545800.0</v>
      </c>
      <c r="O2972" s="4">
        <f t="shared" si="6"/>
        <v>5386.062718</v>
      </c>
      <c r="P2972" s="2">
        <v>1.0</v>
      </c>
      <c r="Q2972" s="3">
        <f t="shared" si="7"/>
        <v>0.007575757576</v>
      </c>
      <c r="R2972" s="2">
        <v>132.0</v>
      </c>
      <c r="S2972" s="5">
        <f t="shared" si="8"/>
        <v>1</v>
      </c>
    </row>
    <row r="2973">
      <c r="A2973" s="2" t="s">
        <v>2981</v>
      </c>
      <c r="B2973" s="2">
        <v>178.0</v>
      </c>
      <c r="C2973" s="2">
        <v>2077.0</v>
      </c>
      <c r="D2973" s="2">
        <v>693.0</v>
      </c>
      <c r="E2973" s="3">
        <f t="shared" si="1"/>
        <v>0.36492891</v>
      </c>
      <c r="F2973" s="2">
        <v>254.0</v>
      </c>
      <c r="G2973" s="3">
        <f t="shared" si="2"/>
        <v>0.1337546077</v>
      </c>
      <c r="H2973" s="2">
        <v>421.0</v>
      </c>
      <c r="I2973" s="3">
        <f t="shared" si="3"/>
        <v>0.2216956293</v>
      </c>
      <c r="J2973" s="2">
        <v>373.0</v>
      </c>
      <c r="K2973" s="3">
        <f t="shared" si="4"/>
        <v>0.196419168</v>
      </c>
      <c r="L2973" s="2">
        <v>256.0</v>
      </c>
      <c r="M2973" s="3">
        <f t="shared" si="5"/>
        <v>0.6080760095</v>
      </c>
      <c r="N2973" s="2">
        <v>2513700.0</v>
      </c>
      <c r="O2973" s="4">
        <f t="shared" si="6"/>
        <v>5970.783848</v>
      </c>
      <c r="P2973" s="2">
        <v>0.0</v>
      </c>
      <c r="Q2973" s="3">
        <f t="shared" si="7"/>
        <v>0</v>
      </c>
      <c r="R2973" s="2">
        <v>178.0</v>
      </c>
      <c r="S2973" s="5">
        <f t="shared" si="8"/>
        <v>1</v>
      </c>
    </row>
    <row r="2974">
      <c r="A2974" s="2" t="s">
        <v>2982</v>
      </c>
      <c r="B2974" s="2">
        <v>793.0</v>
      </c>
      <c r="C2974" s="2">
        <v>9249.0</v>
      </c>
      <c r="D2974" s="2">
        <v>3115.0</v>
      </c>
      <c r="E2974" s="3">
        <f t="shared" si="1"/>
        <v>0.3683774834</v>
      </c>
      <c r="F2974" s="2">
        <v>1131.0</v>
      </c>
      <c r="G2974" s="3">
        <f t="shared" si="2"/>
        <v>0.1337511826</v>
      </c>
      <c r="H2974" s="2">
        <v>1710.0</v>
      </c>
      <c r="I2974" s="3">
        <f t="shared" si="3"/>
        <v>0.2022232734</v>
      </c>
      <c r="J2974" s="2">
        <v>1234.0</v>
      </c>
      <c r="K2974" s="3">
        <f t="shared" si="4"/>
        <v>0.1459318827</v>
      </c>
      <c r="L2974" s="2">
        <v>1034.0</v>
      </c>
      <c r="M2974" s="3">
        <f t="shared" si="5"/>
        <v>0.6046783626</v>
      </c>
      <c r="N2974" s="2">
        <v>9996800.0</v>
      </c>
      <c r="O2974" s="4">
        <f t="shared" si="6"/>
        <v>5846.081871</v>
      </c>
      <c r="P2974" s="2">
        <v>7.0</v>
      </c>
      <c r="Q2974" s="3">
        <f t="shared" si="7"/>
        <v>0.008827238335</v>
      </c>
      <c r="R2974" s="2">
        <v>793.0</v>
      </c>
      <c r="S2974" s="5">
        <f t="shared" si="8"/>
        <v>1</v>
      </c>
    </row>
    <row r="2975">
      <c r="A2975" s="2" t="s">
        <v>2983</v>
      </c>
      <c r="B2975" s="2">
        <v>1301.0</v>
      </c>
      <c r="C2975" s="2">
        <v>15149.0</v>
      </c>
      <c r="D2975" s="2">
        <v>5229.0</v>
      </c>
      <c r="E2975" s="3">
        <f t="shared" si="1"/>
        <v>0.3775996534</v>
      </c>
      <c r="F2975" s="2">
        <v>1852.0</v>
      </c>
      <c r="G2975" s="3">
        <f t="shared" si="2"/>
        <v>0.1337377239</v>
      </c>
      <c r="H2975" s="2">
        <v>3203.0</v>
      </c>
      <c r="I2975" s="3">
        <f t="shared" si="3"/>
        <v>0.2312969382</v>
      </c>
      <c r="J2975" s="2">
        <v>2600.0</v>
      </c>
      <c r="K2975" s="3">
        <f t="shared" si="4"/>
        <v>0.1877527441</v>
      </c>
      <c r="L2975" s="2">
        <v>1890.0</v>
      </c>
      <c r="M2975" s="3">
        <f t="shared" si="5"/>
        <v>0.5900718077</v>
      </c>
      <c r="N2975" s="2">
        <v>1.70633E7</v>
      </c>
      <c r="O2975" s="4">
        <f t="shared" si="6"/>
        <v>5327.286919</v>
      </c>
      <c r="P2975" s="2">
        <v>1.0</v>
      </c>
      <c r="Q2975" s="3">
        <f t="shared" si="7"/>
        <v>0.0007686395081</v>
      </c>
      <c r="R2975" s="2">
        <v>1301.0</v>
      </c>
      <c r="S2975" s="5">
        <f t="shared" si="8"/>
        <v>1</v>
      </c>
    </row>
    <row r="2976">
      <c r="A2976" s="2" t="s">
        <v>2984</v>
      </c>
      <c r="B2976" s="2">
        <v>93.0</v>
      </c>
      <c r="C2976" s="2">
        <v>1095.0</v>
      </c>
      <c r="D2976" s="2">
        <v>303.0</v>
      </c>
      <c r="E2976" s="3">
        <f t="shared" si="1"/>
        <v>0.3023952096</v>
      </c>
      <c r="F2976" s="2">
        <v>134.0</v>
      </c>
      <c r="G2976" s="3">
        <f t="shared" si="2"/>
        <v>0.1337325349</v>
      </c>
      <c r="H2976" s="2">
        <v>189.0</v>
      </c>
      <c r="I2976" s="3">
        <f t="shared" si="3"/>
        <v>0.1886227545</v>
      </c>
      <c r="J2976" s="2">
        <v>160.0</v>
      </c>
      <c r="K2976" s="3">
        <f t="shared" si="4"/>
        <v>0.1596806387</v>
      </c>
      <c r="L2976" s="2">
        <v>116.0</v>
      </c>
      <c r="M2976" s="3">
        <f t="shared" si="5"/>
        <v>0.6137566138</v>
      </c>
      <c r="N2976" s="2">
        <v>1163300.0</v>
      </c>
      <c r="O2976" s="4">
        <f t="shared" si="6"/>
        <v>6155.026455</v>
      </c>
      <c r="P2976" s="2">
        <v>1.0</v>
      </c>
      <c r="Q2976" s="3">
        <f t="shared" si="7"/>
        <v>0.01075268817</v>
      </c>
      <c r="R2976" s="2">
        <v>93.0</v>
      </c>
      <c r="S2976" s="5">
        <f t="shared" si="8"/>
        <v>1</v>
      </c>
    </row>
    <row r="2977">
      <c r="A2977" s="2" t="s">
        <v>2985</v>
      </c>
      <c r="B2977" s="2">
        <v>1370.0</v>
      </c>
      <c r="C2977" s="2">
        <v>15990.0</v>
      </c>
      <c r="D2977" s="2">
        <v>3409.0</v>
      </c>
      <c r="E2977" s="3">
        <f t="shared" si="1"/>
        <v>0.2331737346</v>
      </c>
      <c r="F2977" s="2">
        <v>1955.0</v>
      </c>
      <c r="G2977" s="3">
        <f t="shared" si="2"/>
        <v>0.1337209302</v>
      </c>
      <c r="H2977" s="2">
        <v>2944.0</v>
      </c>
      <c r="I2977" s="3">
        <f t="shared" si="3"/>
        <v>0.2013679891</v>
      </c>
      <c r="J2977" s="2">
        <v>2765.0</v>
      </c>
      <c r="K2977" s="3">
        <f t="shared" si="4"/>
        <v>0.189124487</v>
      </c>
      <c r="L2977" s="2">
        <v>1724.0</v>
      </c>
      <c r="M2977" s="3">
        <f t="shared" si="5"/>
        <v>0.5855978261</v>
      </c>
      <c r="N2977" s="2">
        <v>1.83238E7</v>
      </c>
      <c r="O2977" s="4">
        <f t="shared" si="6"/>
        <v>6224.116848</v>
      </c>
      <c r="P2977" s="2">
        <v>7.0</v>
      </c>
      <c r="Q2977" s="3">
        <f t="shared" si="7"/>
        <v>0.005109489051</v>
      </c>
      <c r="R2977" s="2">
        <v>1370.0</v>
      </c>
      <c r="S2977" s="5">
        <f t="shared" si="8"/>
        <v>1</v>
      </c>
    </row>
    <row r="2978">
      <c r="A2978" s="2" t="s">
        <v>2986</v>
      </c>
      <c r="B2978" s="2">
        <v>358.0</v>
      </c>
      <c r="C2978" s="2">
        <v>4172.0</v>
      </c>
      <c r="D2978" s="2">
        <v>1341.0</v>
      </c>
      <c r="E2978" s="3">
        <f t="shared" si="1"/>
        <v>0.3515993707</v>
      </c>
      <c r="F2978" s="2">
        <v>510.0</v>
      </c>
      <c r="G2978" s="3">
        <f t="shared" si="2"/>
        <v>0.1337178815</v>
      </c>
      <c r="H2978" s="2">
        <v>807.0</v>
      </c>
      <c r="I2978" s="3">
        <f t="shared" si="3"/>
        <v>0.2115888831</v>
      </c>
      <c r="J2978" s="2">
        <v>648.0</v>
      </c>
      <c r="K2978" s="3">
        <f t="shared" si="4"/>
        <v>0.1699003671</v>
      </c>
      <c r="L2978" s="2">
        <v>483.0</v>
      </c>
      <c r="M2978" s="3">
        <f t="shared" si="5"/>
        <v>0.5985130112</v>
      </c>
      <c r="N2978" s="2">
        <v>4339300.0</v>
      </c>
      <c r="O2978" s="4">
        <f t="shared" si="6"/>
        <v>5377.075589</v>
      </c>
      <c r="P2978" s="2">
        <v>0.0</v>
      </c>
      <c r="Q2978" s="3">
        <f t="shared" si="7"/>
        <v>0</v>
      </c>
      <c r="R2978" s="2">
        <v>358.0</v>
      </c>
      <c r="S2978" s="5">
        <f t="shared" si="8"/>
        <v>1</v>
      </c>
    </row>
    <row r="2979">
      <c r="A2979" s="2" t="s">
        <v>2987</v>
      </c>
      <c r="B2979" s="2">
        <v>304.0</v>
      </c>
      <c r="C2979" s="2">
        <v>3445.0</v>
      </c>
      <c r="D2979" s="2">
        <v>798.0</v>
      </c>
      <c r="E2979" s="3">
        <f t="shared" si="1"/>
        <v>0.2540592168</v>
      </c>
      <c r="F2979" s="2">
        <v>420.0</v>
      </c>
      <c r="G2979" s="3">
        <f t="shared" si="2"/>
        <v>0.1337153773</v>
      </c>
      <c r="H2979" s="2">
        <v>616.0</v>
      </c>
      <c r="I2979" s="3">
        <f t="shared" si="3"/>
        <v>0.1961158867</v>
      </c>
      <c r="J2979" s="2">
        <v>624.0</v>
      </c>
      <c r="K2979" s="3">
        <f t="shared" si="4"/>
        <v>0.1986628462</v>
      </c>
      <c r="L2979" s="2">
        <v>360.0</v>
      </c>
      <c r="M2979" s="3">
        <f t="shared" si="5"/>
        <v>0.5844155844</v>
      </c>
      <c r="N2979" s="2">
        <v>3621100.0</v>
      </c>
      <c r="O2979" s="4">
        <f t="shared" si="6"/>
        <v>5878.409091</v>
      </c>
      <c r="P2979" s="2">
        <v>0.0</v>
      </c>
      <c r="Q2979" s="3">
        <f t="shared" si="7"/>
        <v>0</v>
      </c>
      <c r="R2979" s="2">
        <v>304.0</v>
      </c>
      <c r="S2979" s="5">
        <f t="shared" si="8"/>
        <v>1</v>
      </c>
    </row>
    <row r="2980">
      <c r="A2980" s="2" t="s">
        <v>2988</v>
      </c>
      <c r="B2980" s="2">
        <v>449.0</v>
      </c>
      <c r="C2980" s="2">
        <v>5355.0</v>
      </c>
      <c r="D2980" s="2">
        <v>1983.0</v>
      </c>
      <c r="E2980" s="3">
        <f t="shared" si="1"/>
        <v>0.4041989401</v>
      </c>
      <c r="F2980" s="2">
        <v>656.0</v>
      </c>
      <c r="G2980" s="3">
        <f t="shared" si="2"/>
        <v>0.1337138198</v>
      </c>
      <c r="H2980" s="2">
        <v>1109.0</v>
      </c>
      <c r="I2980" s="3">
        <f t="shared" si="3"/>
        <v>0.226049735</v>
      </c>
      <c r="J2980" s="2">
        <v>782.0</v>
      </c>
      <c r="K2980" s="3">
        <f t="shared" si="4"/>
        <v>0.1593966572</v>
      </c>
      <c r="L2980" s="2">
        <v>664.0</v>
      </c>
      <c r="M2980" s="3">
        <f t="shared" si="5"/>
        <v>0.5987376014</v>
      </c>
      <c r="N2980" s="2">
        <v>5949300.0</v>
      </c>
      <c r="O2980" s="4">
        <f t="shared" si="6"/>
        <v>5364.562669</v>
      </c>
      <c r="P2980" s="2">
        <v>2.0</v>
      </c>
      <c r="Q2980" s="3">
        <f t="shared" si="7"/>
        <v>0.004454342984</v>
      </c>
      <c r="R2980" s="2">
        <v>449.0</v>
      </c>
      <c r="S2980" s="5">
        <f t="shared" si="8"/>
        <v>1</v>
      </c>
    </row>
    <row r="2981">
      <c r="A2981" s="2" t="s">
        <v>2989</v>
      </c>
      <c r="B2981" s="2">
        <v>1147.0</v>
      </c>
      <c r="C2981" s="2">
        <v>13450.0</v>
      </c>
      <c r="D2981" s="2">
        <v>4766.0</v>
      </c>
      <c r="E2981" s="3">
        <f t="shared" si="1"/>
        <v>0.3873851906</v>
      </c>
      <c r="F2981" s="2">
        <v>1645.0</v>
      </c>
      <c r="G2981" s="3">
        <f t="shared" si="2"/>
        <v>0.1337072259</v>
      </c>
      <c r="H2981" s="2">
        <v>2563.0</v>
      </c>
      <c r="I2981" s="3">
        <f t="shared" si="3"/>
        <v>0.2083231732</v>
      </c>
      <c r="J2981" s="2">
        <v>2190.0</v>
      </c>
      <c r="K2981" s="3">
        <f t="shared" si="4"/>
        <v>0.1780053645</v>
      </c>
      <c r="L2981" s="2">
        <v>1536.0</v>
      </c>
      <c r="M2981" s="3">
        <f t="shared" si="5"/>
        <v>0.599297698</v>
      </c>
      <c r="N2981" s="2">
        <v>1.41918E7</v>
      </c>
      <c r="O2981" s="4">
        <f t="shared" si="6"/>
        <v>5537.182989</v>
      </c>
      <c r="P2981" s="2">
        <v>2.0</v>
      </c>
      <c r="Q2981" s="3">
        <f t="shared" si="7"/>
        <v>0.001743679163</v>
      </c>
      <c r="R2981" s="2">
        <v>1147.0</v>
      </c>
      <c r="S2981" s="5">
        <f t="shared" si="8"/>
        <v>1</v>
      </c>
    </row>
    <row r="2982">
      <c r="A2982" s="2" t="s">
        <v>2990</v>
      </c>
      <c r="B2982" s="2">
        <v>52.0</v>
      </c>
      <c r="C2982" s="2">
        <v>598.0</v>
      </c>
      <c r="D2982" s="2">
        <v>138.0</v>
      </c>
      <c r="E2982" s="3">
        <f t="shared" si="1"/>
        <v>0.2527472527</v>
      </c>
      <c r="F2982" s="2">
        <v>73.0</v>
      </c>
      <c r="G2982" s="3">
        <f t="shared" si="2"/>
        <v>0.1336996337</v>
      </c>
      <c r="H2982" s="2">
        <v>98.0</v>
      </c>
      <c r="I2982" s="3">
        <f t="shared" si="3"/>
        <v>0.1794871795</v>
      </c>
      <c r="J2982" s="2">
        <v>78.0</v>
      </c>
      <c r="K2982" s="3">
        <f t="shared" si="4"/>
        <v>0.1428571429</v>
      </c>
      <c r="L2982" s="2">
        <v>55.0</v>
      </c>
      <c r="M2982" s="3">
        <f t="shared" si="5"/>
        <v>0.5612244898</v>
      </c>
      <c r="N2982" s="2">
        <v>550000.0</v>
      </c>
      <c r="O2982" s="4">
        <f t="shared" si="6"/>
        <v>5612.244898</v>
      </c>
      <c r="P2982" s="2">
        <v>0.0</v>
      </c>
      <c r="Q2982" s="3">
        <f t="shared" si="7"/>
        <v>0</v>
      </c>
      <c r="R2982" s="2">
        <v>52.0</v>
      </c>
      <c r="S2982" s="5">
        <f t="shared" si="8"/>
        <v>1</v>
      </c>
    </row>
    <row r="2983">
      <c r="A2983" s="2" t="s">
        <v>2991</v>
      </c>
      <c r="B2983" s="2">
        <v>35.0</v>
      </c>
      <c r="C2983" s="2">
        <v>409.0</v>
      </c>
      <c r="D2983" s="2">
        <v>139.0</v>
      </c>
      <c r="E2983" s="3">
        <f t="shared" si="1"/>
        <v>0.371657754</v>
      </c>
      <c r="F2983" s="2">
        <v>50.0</v>
      </c>
      <c r="G2983" s="3">
        <f t="shared" si="2"/>
        <v>0.1336898396</v>
      </c>
      <c r="H2983" s="2">
        <v>80.0</v>
      </c>
      <c r="I2983" s="3">
        <f t="shared" si="3"/>
        <v>0.2139037433</v>
      </c>
      <c r="J2983" s="2">
        <v>69.0</v>
      </c>
      <c r="K2983" s="3">
        <f t="shared" si="4"/>
        <v>0.1844919786</v>
      </c>
      <c r="L2983" s="2">
        <v>49.0</v>
      </c>
      <c r="M2983" s="3">
        <f t="shared" si="5"/>
        <v>0.6125</v>
      </c>
      <c r="N2983" s="2">
        <v>487100.0</v>
      </c>
      <c r="O2983" s="4">
        <f t="shared" si="6"/>
        <v>6088.75</v>
      </c>
      <c r="P2983" s="2">
        <v>0.0</v>
      </c>
      <c r="Q2983" s="3">
        <f t="shared" si="7"/>
        <v>0</v>
      </c>
      <c r="R2983" s="2">
        <v>29.0</v>
      </c>
      <c r="S2983" s="5">
        <f t="shared" si="8"/>
        <v>0.8285714286</v>
      </c>
    </row>
    <row r="2984">
      <c r="A2984" s="2" t="s">
        <v>2992</v>
      </c>
      <c r="B2984" s="2">
        <v>35.0</v>
      </c>
      <c r="C2984" s="2">
        <v>409.0</v>
      </c>
      <c r="D2984" s="2">
        <v>141.0</v>
      </c>
      <c r="E2984" s="3">
        <f t="shared" si="1"/>
        <v>0.3770053476</v>
      </c>
      <c r="F2984" s="2">
        <v>50.0</v>
      </c>
      <c r="G2984" s="3">
        <f t="shared" si="2"/>
        <v>0.1336898396</v>
      </c>
      <c r="H2984" s="2">
        <v>79.0</v>
      </c>
      <c r="I2984" s="3">
        <f t="shared" si="3"/>
        <v>0.2112299465</v>
      </c>
      <c r="J2984" s="2">
        <v>68.0</v>
      </c>
      <c r="K2984" s="3">
        <f t="shared" si="4"/>
        <v>0.1818181818</v>
      </c>
      <c r="L2984" s="2">
        <v>42.0</v>
      </c>
      <c r="M2984" s="3">
        <f t="shared" si="5"/>
        <v>0.5316455696</v>
      </c>
      <c r="N2984" s="2">
        <v>494100.0</v>
      </c>
      <c r="O2984" s="4">
        <f t="shared" si="6"/>
        <v>6254.43038</v>
      </c>
      <c r="P2984" s="2">
        <v>0.0</v>
      </c>
      <c r="Q2984" s="3">
        <f t="shared" si="7"/>
        <v>0</v>
      </c>
      <c r="R2984" s="2">
        <v>0.0</v>
      </c>
      <c r="S2984" s="5">
        <f t="shared" si="8"/>
        <v>0</v>
      </c>
    </row>
    <row r="2985">
      <c r="A2985" s="2" t="s">
        <v>2993</v>
      </c>
      <c r="B2985" s="2">
        <v>364.0</v>
      </c>
      <c r="C2985" s="2">
        <v>4209.0</v>
      </c>
      <c r="D2985" s="2">
        <v>1640.0</v>
      </c>
      <c r="E2985" s="3">
        <f t="shared" si="1"/>
        <v>0.4265279584</v>
      </c>
      <c r="F2985" s="2">
        <v>514.0</v>
      </c>
      <c r="G2985" s="3">
        <f t="shared" si="2"/>
        <v>0.133680104</v>
      </c>
      <c r="H2985" s="2">
        <v>819.0</v>
      </c>
      <c r="I2985" s="3">
        <f t="shared" si="3"/>
        <v>0.2130039012</v>
      </c>
      <c r="J2985" s="2">
        <v>617.0</v>
      </c>
      <c r="K2985" s="3">
        <f t="shared" si="4"/>
        <v>0.1604681404</v>
      </c>
      <c r="L2985" s="2">
        <v>498.0</v>
      </c>
      <c r="M2985" s="3">
        <f t="shared" si="5"/>
        <v>0.6080586081</v>
      </c>
      <c r="N2985" s="2">
        <v>4238900.0</v>
      </c>
      <c r="O2985" s="4">
        <f t="shared" si="6"/>
        <v>5175.702076</v>
      </c>
      <c r="P2985" s="2">
        <v>1.0</v>
      </c>
      <c r="Q2985" s="3">
        <f t="shared" si="7"/>
        <v>0.002747252747</v>
      </c>
      <c r="R2985" s="2">
        <v>168.0</v>
      </c>
      <c r="S2985" s="5">
        <f t="shared" si="8"/>
        <v>0.4615384615</v>
      </c>
    </row>
    <row r="2986">
      <c r="A2986" s="2" t="s">
        <v>2994</v>
      </c>
      <c r="B2986" s="2">
        <v>2489.0</v>
      </c>
      <c r="C2986" s="2">
        <v>29181.0</v>
      </c>
      <c r="D2986" s="2">
        <v>7319.0</v>
      </c>
      <c r="E2986" s="3">
        <f t="shared" si="1"/>
        <v>0.2742020081</v>
      </c>
      <c r="F2986" s="2">
        <v>3568.0</v>
      </c>
      <c r="G2986" s="3">
        <f t="shared" si="2"/>
        <v>0.1336730106</v>
      </c>
      <c r="H2986" s="2">
        <v>5566.0</v>
      </c>
      <c r="I2986" s="3">
        <f t="shared" si="3"/>
        <v>0.2085268994</v>
      </c>
      <c r="J2986" s="2">
        <v>4337.0</v>
      </c>
      <c r="K2986" s="3">
        <f t="shared" si="4"/>
        <v>0.162483141</v>
      </c>
      <c r="L2986" s="2">
        <v>3467.0</v>
      </c>
      <c r="M2986" s="3">
        <f t="shared" si="5"/>
        <v>0.6228889687</v>
      </c>
      <c r="N2986" s="2">
        <v>3.21947E7</v>
      </c>
      <c r="O2986" s="4">
        <f t="shared" si="6"/>
        <v>5784.171757</v>
      </c>
      <c r="P2986" s="2">
        <v>8.0</v>
      </c>
      <c r="Q2986" s="3">
        <f t="shared" si="7"/>
        <v>0.003214142226</v>
      </c>
      <c r="R2986" s="2">
        <v>2489.0</v>
      </c>
      <c r="S2986" s="5">
        <f t="shared" si="8"/>
        <v>1</v>
      </c>
    </row>
    <row r="2987">
      <c r="A2987" s="2" t="s">
        <v>2995</v>
      </c>
      <c r="B2987" s="2">
        <v>148.0</v>
      </c>
      <c r="C2987" s="2">
        <v>1719.0</v>
      </c>
      <c r="D2987" s="2">
        <v>620.0</v>
      </c>
      <c r="E2987" s="3">
        <f t="shared" si="1"/>
        <v>0.3946530872</v>
      </c>
      <c r="F2987" s="2">
        <v>210.0</v>
      </c>
      <c r="G2987" s="3">
        <f t="shared" si="2"/>
        <v>0.1336728199</v>
      </c>
      <c r="H2987" s="2">
        <v>364.0</v>
      </c>
      <c r="I2987" s="3">
        <f t="shared" si="3"/>
        <v>0.2316995544</v>
      </c>
      <c r="J2987" s="2">
        <v>302.0</v>
      </c>
      <c r="K2987" s="3">
        <f t="shared" si="4"/>
        <v>0.1922342457</v>
      </c>
      <c r="L2987" s="2">
        <v>208.0</v>
      </c>
      <c r="M2987" s="3">
        <f t="shared" si="5"/>
        <v>0.5714285714</v>
      </c>
      <c r="N2987" s="2">
        <v>1961600.0</v>
      </c>
      <c r="O2987" s="4">
        <f t="shared" si="6"/>
        <v>5389.010989</v>
      </c>
      <c r="P2987" s="2">
        <v>1.0</v>
      </c>
      <c r="Q2987" s="3">
        <f t="shared" si="7"/>
        <v>0.006756756757</v>
      </c>
      <c r="R2987" s="2">
        <v>148.0</v>
      </c>
      <c r="S2987" s="5">
        <f t="shared" si="8"/>
        <v>1</v>
      </c>
    </row>
    <row r="2988">
      <c r="A2988" s="2" t="s">
        <v>2996</v>
      </c>
      <c r="B2988" s="2">
        <v>225.0</v>
      </c>
      <c r="C2988" s="2">
        <v>2604.0</v>
      </c>
      <c r="D2988" s="2">
        <v>1117.0</v>
      </c>
      <c r="E2988" s="3">
        <f t="shared" si="1"/>
        <v>0.4695250105</v>
      </c>
      <c r="F2988" s="2">
        <v>318.0</v>
      </c>
      <c r="G2988" s="3">
        <f t="shared" si="2"/>
        <v>0.1336696091</v>
      </c>
      <c r="H2988" s="2">
        <v>506.0</v>
      </c>
      <c r="I2988" s="3">
        <f t="shared" si="3"/>
        <v>0.2126944094</v>
      </c>
      <c r="J2988" s="2">
        <v>405.0</v>
      </c>
      <c r="K2988" s="3">
        <f t="shared" si="4"/>
        <v>0.1702395965</v>
      </c>
      <c r="L2988" s="2">
        <v>298.0</v>
      </c>
      <c r="M2988" s="3">
        <f t="shared" si="5"/>
        <v>0.5889328063</v>
      </c>
      <c r="N2988" s="2">
        <v>2769800.0</v>
      </c>
      <c r="O2988" s="4">
        <f t="shared" si="6"/>
        <v>5473.913043</v>
      </c>
      <c r="P2988" s="2">
        <v>0.0</v>
      </c>
      <c r="Q2988" s="3">
        <f t="shared" si="7"/>
        <v>0</v>
      </c>
      <c r="R2988" s="2">
        <v>225.0</v>
      </c>
      <c r="S2988" s="5">
        <f t="shared" si="8"/>
        <v>1</v>
      </c>
    </row>
    <row r="2989">
      <c r="A2989" s="2" t="s">
        <v>2997</v>
      </c>
      <c r="B2989" s="2">
        <v>1655.0</v>
      </c>
      <c r="C2989" s="2">
        <v>19341.0</v>
      </c>
      <c r="D2989" s="2">
        <v>7418.0</v>
      </c>
      <c r="E2989" s="3">
        <f t="shared" si="1"/>
        <v>0.419427796</v>
      </c>
      <c r="F2989" s="2">
        <v>2364.0</v>
      </c>
      <c r="G2989" s="3">
        <f t="shared" si="2"/>
        <v>0.1336650458</v>
      </c>
      <c r="H2989" s="2">
        <v>3933.0</v>
      </c>
      <c r="I2989" s="3">
        <f t="shared" si="3"/>
        <v>0.222379283</v>
      </c>
      <c r="J2989" s="2">
        <v>3073.0</v>
      </c>
      <c r="K2989" s="3">
        <f t="shared" si="4"/>
        <v>0.1737532512</v>
      </c>
      <c r="L2989" s="2">
        <v>2357.0</v>
      </c>
      <c r="M2989" s="3">
        <f t="shared" si="5"/>
        <v>0.5992880753</v>
      </c>
      <c r="N2989" s="2">
        <v>2.18279E7</v>
      </c>
      <c r="O2989" s="4">
        <f t="shared" si="6"/>
        <v>5549.936435</v>
      </c>
      <c r="P2989" s="2">
        <v>5.0</v>
      </c>
      <c r="Q2989" s="3">
        <f t="shared" si="7"/>
        <v>0.003021148036</v>
      </c>
      <c r="R2989" s="2">
        <v>1655.0</v>
      </c>
      <c r="S2989" s="5">
        <f t="shared" si="8"/>
        <v>1</v>
      </c>
    </row>
    <row r="2990">
      <c r="A2990" s="2" t="s">
        <v>2998</v>
      </c>
      <c r="B2990" s="2">
        <v>18.0</v>
      </c>
      <c r="C2990" s="2">
        <v>220.0</v>
      </c>
      <c r="D2990" s="2">
        <v>71.0</v>
      </c>
      <c r="E2990" s="3">
        <f t="shared" si="1"/>
        <v>0.3514851485</v>
      </c>
      <c r="F2990" s="2">
        <v>27.0</v>
      </c>
      <c r="G2990" s="3">
        <f t="shared" si="2"/>
        <v>0.1336633663</v>
      </c>
      <c r="H2990" s="2">
        <v>47.0</v>
      </c>
      <c r="I2990" s="3">
        <f t="shared" si="3"/>
        <v>0.2326732673</v>
      </c>
      <c r="J2990" s="2">
        <v>36.0</v>
      </c>
      <c r="K2990" s="3">
        <f t="shared" si="4"/>
        <v>0.1782178218</v>
      </c>
      <c r="L2990" s="2">
        <v>33.0</v>
      </c>
      <c r="M2990" s="3">
        <f t="shared" si="5"/>
        <v>0.7021276596</v>
      </c>
      <c r="N2990" s="2">
        <v>229300.0</v>
      </c>
      <c r="O2990" s="4">
        <f t="shared" si="6"/>
        <v>4878.723404</v>
      </c>
      <c r="P2990" s="2">
        <v>0.0</v>
      </c>
      <c r="Q2990" s="3">
        <f t="shared" si="7"/>
        <v>0</v>
      </c>
      <c r="R2990" s="2">
        <v>18.0</v>
      </c>
      <c r="S2990" s="5">
        <f t="shared" si="8"/>
        <v>1</v>
      </c>
    </row>
    <row r="2991">
      <c r="A2991" s="2" t="s">
        <v>2999</v>
      </c>
      <c r="B2991" s="2">
        <v>116.0</v>
      </c>
      <c r="C2991" s="2">
        <v>1343.0</v>
      </c>
      <c r="D2991" s="2">
        <v>316.0</v>
      </c>
      <c r="E2991" s="3">
        <f t="shared" si="1"/>
        <v>0.2575387123</v>
      </c>
      <c r="F2991" s="2">
        <v>164.0</v>
      </c>
      <c r="G2991" s="3">
        <f t="shared" si="2"/>
        <v>0.1336593317</v>
      </c>
      <c r="H2991" s="2">
        <v>210.0</v>
      </c>
      <c r="I2991" s="3">
        <f t="shared" si="3"/>
        <v>0.1711491443</v>
      </c>
      <c r="J2991" s="2">
        <v>162.0</v>
      </c>
      <c r="K2991" s="3">
        <f t="shared" si="4"/>
        <v>0.1320293399</v>
      </c>
      <c r="L2991" s="2">
        <v>126.0</v>
      </c>
      <c r="M2991" s="3">
        <f t="shared" si="5"/>
        <v>0.6</v>
      </c>
      <c r="N2991" s="2">
        <v>1408700.0</v>
      </c>
      <c r="O2991" s="4">
        <f t="shared" si="6"/>
        <v>6708.095238</v>
      </c>
      <c r="P2991" s="2">
        <v>1.0</v>
      </c>
      <c r="Q2991" s="3">
        <f t="shared" si="7"/>
        <v>0.008620689655</v>
      </c>
      <c r="R2991" s="2">
        <v>116.0</v>
      </c>
      <c r="S2991" s="5">
        <f t="shared" si="8"/>
        <v>1</v>
      </c>
    </row>
    <row r="2992">
      <c r="A2992" s="2" t="s">
        <v>3000</v>
      </c>
      <c r="B2992" s="2">
        <v>95.0</v>
      </c>
      <c r="C2992" s="2">
        <v>1135.0</v>
      </c>
      <c r="D2992" s="2">
        <v>330.0</v>
      </c>
      <c r="E2992" s="3">
        <f t="shared" si="1"/>
        <v>0.3173076923</v>
      </c>
      <c r="F2992" s="2">
        <v>139.0</v>
      </c>
      <c r="G2992" s="3">
        <f t="shared" si="2"/>
        <v>0.1336538462</v>
      </c>
      <c r="H2992" s="2">
        <v>212.0</v>
      </c>
      <c r="I2992" s="3">
        <f t="shared" si="3"/>
        <v>0.2038461538</v>
      </c>
      <c r="J2992" s="2">
        <v>180.0</v>
      </c>
      <c r="K2992" s="3">
        <f t="shared" si="4"/>
        <v>0.1730769231</v>
      </c>
      <c r="L2992" s="2">
        <v>136.0</v>
      </c>
      <c r="M2992" s="3">
        <f t="shared" si="5"/>
        <v>0.641509434</v>
      </c>
      <c r="N2992" s="2">
        <v>1215000.0</v>
      </c>
      <c r="O2992" s="4">
        <f t="shared" si="6"/>
        <v>5731.132075</v>
      </c>
      <c r="P2992" s="2">
        <v>0.0</v>
      </c>
      <c r="Q2992" s="3">
        <f t="shared" si="7"/>
        <v>0</v>
      </c>
      <c r="R2992" s="2">
        <v>95.0</v>
      </c>
      <c r="S2992" s="5">
        <f t="shared" si="8"/>
        <v>1</v>
      </c>
    </row>
    <row r="2993">
      <c r="A2993" s="2" t="s">
        <v>3001</v>
      </c>
      <c r="B2993" s="2">
        <v>1306.0</v>
      </c>
      <c r="C2993" s="2">
        <v>15425.0</v>
      </c>
      <c r="D2993" s="2">
        <v>4733.0</v>
      </c>
      <c r="E2993" s="3">
        <f t="shared" si="1"/>
        <v>0.3352220412</v>
      </c>
      <c r="F2993" s="2">
        <v>1887.0</v>
      </c>
      <c r="G2993" s="3">
        <f t="shared" si="2"/>
        <v>0.1336496919</v>
      </c>
      <c r="H2993" s="2">
        <v>2993.0</v>
      </c>
      <c r="I2993" s="3">
        <f t="shared" si="3"/>
        <v>0.2119838515</v>
      </c>
      <c r="J2993" s="2">
        <v>2339.0</v>
      </c>
      <c r="K2993" s="3">
        <f t="shared" si="4"/>
        <v>0.1656632906</v>
      </c>
      <c r="L2993" s="2">
        <v>1785.0</v>
      </c>
      <c r="M2993" s="3">
        <f t="shared" si="5"/>
        <v>0.5963915804</v>
      </c>
      <c r="N2993" s="2">
        <v>1.69155E7</v>
      </c>
      <c r="O2993" s="4">
        <f t="shared" si="6"/>
        <v>5651.68727</v>
      </c>
      <c r="P2993" s="2">
        <v>2.0</v>
      </c>
      <c r="Q2993" s="3">
        <f t="shared" si="7"/>
        <v>0.001531393568</v>
      </c>
      <c r="R2993" s="2">
        <v>1240.0</v>
      </c>
      <c r="S2993" s="5">
        <f t="shared" si="8"/>
        <v>0.9494640123</v>
      </c>
    </row>
    <row r="2994">
      <c r="A2994" s="2" t="s">
        <v>3002</v>
      </c>
      <c r="B2994" s="2">
        <v>3670.0</v>
      </c>
      <c r="C2994" s="2">
        <v>42698.0</v>
      </c>
      <c r="D2994" s="2">
        <v>12729.0</v>
      </c>
      <c r="E2994" s="3">
        <f t="shared" si="1"/>
        <v>0.3261504561</v>
      </c>
      <c r="F2994" s="2">
        <v>5216.0</v>
      </c>
      <c r="G2994" s="3">
        <f t="shared" si="2"/>
        <v>0.1336476376</v>
      </c>
      <c r="H2994" s="2">
        <v>8589.0</v>
      </c>
      <c r="I2994" s="3">
        <f t="shared" si="3"/>
        <v>0.2200727683</v>
      </c>
      <c r="J2994" s="2">
        <v>7792.0</v>
      </c>
      <c r="K2994" s="3">
        <f t="shared" si="4"/>
        <v>0.1996515322</v>
      </c>
      <c r="L2994" s="2">
        <v>5179.0</v>
      </c>
      <c r="M2994" s="3">
        <f t="shared" si="5"/>
        <v>0.6029805565</v>
      </c>
      <c r="N2994" s="2">
        <v>4.92662E7</v>
      </c>
      <c r="O2994" s="4">
        <f t="shared" si="6"/>
        <v>5735.964606</v>
      </c>
      <c r="P2994" s="2">
        <v>15.0</v>
      </c>
      <c r="Q2994" s="3">
        <f t="shared" si="7"/>
        <v>0.00408719346</v>
      </c>
      <c r="R2994" s="2">
        <v>3670.0</v>
      </c>
      <c r="S2994" s="5">
        <f t="shared" si="8"/>
        <v>1</v>
      </c>
    </row>
    <row r="2995">
      <c r="A2995" s="2" t="s">
        <v>3003</v>
      </c>
      <c r="B2995" s="2">
        <v>1192.0</v>
      </c>
      <c r="C2995" s="2">
        <v>14002.0</v>
      </c>
      <c r="D2995" s="2">
        <v>4179.0</v>
      </c>
      <c r="E2995" s="3">
        <f t="shared" si="1"/>
        <v>0.3262295082</v>
      </c>
      <c r="F2995" s="2">
        <v>1712.0</v>
      </c>
      <c r="G2995" s="3">
        <f t="shared" si="2"/>
        <v>0.1336455894</v>
      </c>
      <c r="H2995" s="2">
        <v>2713.0</v>
      </c>
      <c r="I2995" s="3">
        <f t="shared" si="3"/>
        <v>0.2117876659</v>
      </c>
      <c r="J2995" s="2">
        <v>1949.0</v>
      </c>
      <c r="K2995" s="3">
        <f t="shared" si="4"/>
        <v>0.1521467603</v>
      </c>
      <c r="L2995" s="2">
        <v>1624.0</v>
      </c>
      <c r="M2995" s="3">
        <f t="shared" si="5"/>
        <v>0.5985993365</v>
      </c>
      <c r="N2995" s="2">
        <v>1.46616E7</v>
      </c>
      <c r="O2995" s="4">
        <f t="shared" si="6"/>
        <v>5404.20199</v>
      </c>
      <c r="P2995" s="2">
        <v>2.0</v>
      </c>
      <c r="Q2995" s="3">
        <f t="shared" si="7"/>
        <v>0.001677852349</v>
      </c>
      <c r="R2995" s="2">
        <v>1188.0</v>
      </c>
      <c r="S2995" s="5">
        <f t="shared" si="8"/>
        <v>0.9966442953</v>
      </c>
    </row>
    <row r="2996">
      <c r="A2996" s="2" t="s">
        <v>3004</v>
      </c>
      <c r="B2996" s="2">
        <v>1753.0</v>
      </c>
      <c r="C2996" s="2">
        <v>20445.0</v>
      </c>
      <c r="D2996" s="2">
        <v>5269.0</v>
      </c>
      <c r="E2996" s="3">
        <f t="shared" si="1"/>
        <v>0.2818852985</v>
      </c>
      <c r="F2996" s="2">
        <v>2498.0</v>
      </c>
      <c r="G2996" s="3">
        <f t="shared" si="2"/>
        <v>0.1336400599</v>
      </c>
      <c r="H2996" s="2">
        <v>3947.0</v>
      </c>
      <c r="I2996" s="3">
        <f t="shared" si="3"/>
        <v>0.2111598545</v>
      </c>
      <c r="J2996" s="2">
        <v>3296.0</v>
      </c>
      <c r="K2996" s="3">
        <f t="shared" si="4"/>
        <v>0.1763321207</v>
      </c>
      <c r="L2996" s="2">
        <v>2373.0</v>
      </c>
      <c r="M2996" s="3">
        <f t="shared" si="5"/>
        <v>0.6012161135</v>
      </c>
      <c r="N2996" s="2">
        <v>2.30867E7</v>
      </c>
      <c r="O2996" s="4">
        <f t="shared" si="6"/>
        <v>5849.17659</v>
      </c>
      <c r="P2996" s="2">
        <v>3.0</v>
      </c>
      <c r="Q2996" s="3">
        <f t="shared" si="7"/>
        <v>0.001711351968</v>
      </c>
      <c r="R2996" s="2">
        <v>1753.0</v>
      </c>
      <c r="S2996" s="5">
        <f t="shared" si="8"/>
        <v>1</v>
      </c>
    </row>
    <row r="2997">
      <c r="A2997" s="2" t="s">
        <v>3005</v>
      </c>
      <c r="B2997" s="2">
        <v>42.0</v>
      </c>
      <c r="C2997" s="2">
        <v>491.0</v>
      </c>
      <c r="D2997" s="2">
        <v>120.0</v>
      </c>
      <c r="E2997" s="3">
        <f t="shared" si="1"/>
        <v>0.2672605791</v>
      </c>
      <c r="F2997" s="2">
        <v>60.0</v>
      </c>
      <c r="G2997" s="3">
        <f t="shared" si="2"/>
        <v>0.1336302895</v>
      </c>
      <c r="H2997" s="2">
        <v>74.0</v>
      </c>
      <c r="I2997" s="3">
        <f t="shared" si="3"/>
        <v>0.1648106904</v>
      </c>
      <c r="J2997" s="2">
        <v>52.0</v>
      </c>
      <c r="K2997" s="3">
        <f t="shared" si="4"/>
        <v>0.1158129176</v>
      </c>
      <c r="L2997" s="2">
        <v>44.0</v>
      </c>
      <c r="M2997" s="3">
        <f t="shared" si="5"/>
        <v>0.5945945946</v>
      </c>
      <c r="N2997" s="2">
        <v>387100.0</v>
      </c>
      <c r="O2997" s="4">
        <f t="shared" si="6"/>
        <v>5231.081081</v>
      </c>
      <c r="P2997" s="2">
        <v>0.0</v>
      </c>
      <c r="Q2997" s="3">
        <f t="shared" si="7"/>
        <v>0</v>
      </c>
      <c r="R2997" s="2">
        <v>0.0</v>
      </c>
      <c r="S2997" s="5">
        <f t="shared" si="8"/>
        <v>0</v>
      </c>
    </row>
    <row r="2998">
      <c r="A2998" s="2" t="s">
        <v>3006</v>
      </c>
      <c r="B2998" s="2">
        <v>165.0</v>
      </c>
      <c r="C2998" s="2">
        <v>1991.0</v>
      </c>
      <c r="D2998" s="2">
        <v>702.0</v>
      </c>
      <c r="E2998" s="3">
        <f t="shared" si="1"/>
        <v>0.3844468784</v>
      </c>
      <c r="F2998" s="2">
        <v>244.0</v>
      </c>
      <c r="G2998" s="3">
        <f t="shared" si="2"/>
        <v>0.1336254107</v>
      </c>
      <c r="H2998" s="2">
        <v>376.0</v>
      </c>
      <c r="I2998" s="3">
        <f t="shared" si="3"/>
        <v>0.2059145674</v>
      </c>
      <c r="J2998" s="2">
        <v>345.0</v>
      </c>
      <c r="K2998" s="3">
        <f t="shared" si="4"/>
        <v>0.1889375685</v>
      </c>
      <c r="L2998" s="2">
        <v>213.0</v>
      </c>
      <c r="M2998" s="3">
        <f t="shared" si="5"/>
        <v>0.5664893617</v>
      </c>
      <c r="N2998" s="2">
        <v>2069000.0</v>
      </c>
      <c r="O2998" s="4">
        <f t="shared" si="6"/>
        <v>5502.659574</v>
      </c>
      <c r="P2998" s="2">
        <v>1.0</v>
      </c>
      <c r="Q2998" s="3">
        <f t="shared" si="7"/>
        <v>0.006060606061</v>
      </c>
      <c r="R2998" s="2">
        <v>165.0</v>
      </c>
      <c r="S2998" s="5">
        <f t="shared" si="8"/>
        <v>1</v>
      </c>
    </row>
    <row r="2999">
      <c r="A2999" s="2" t="s">
        <v>3007</v>
      </c>
      <c r="B2999" s="2">
        <v>162.0</v>
      </c>
      <c r="C2999" s="2">
        <v>1831.0</v>
      </c>
      <c r="D2999" s="2">
        <v>447.0</v>
      </c>
      <c r="E2999" s="3">
        <f t="shared" si="1"/>
        <v>0.2678250449</v>
      </c>
      <c r="F2999" s="2">
        <v>223.0</v>
      </c>
      <c r="G2999" s="3">
        <f t="shared" si="2"/>
        <v>0.1336129419</v>
      </c>
      <c r="H2999" s="2">
        <v>309.0</v>
      </c>
      <c r="I2999" s="3">
        <f t="shared" si="3"/>
        <v>0.1851408029</v>
      </c>
      <c r="J2999" s="2">
        <v>277.0</v>
      </c>
      <c r="K2999" s="3">
        <f t="shared" si="4"/>
        <v>0.1659676453</v>
      </c>
      <c r="L2999" s="2">
        <v>191.0</v>
      </c>
      <c r="M2999" s="3">
        <f t="shared" si="5"/>
        <v>0.6181229773</v>
      </c>
      <c r="N2999" s="2">
        <v>1817800.0</v>
      </c>
      <c r="O2999" s="4">
        <f t="shared" si="6"/>
        <v>5882.847896</v>
      </c>
      <c r="P2999" s="2">
        <v>0.0</v>
      </c>
      <c r="Q2999" s="3">
        <f t="shared" si="7"/>
        <v>0</v>
      </c>
      <c r="R2999" s="2">
        <v>62.0</v>
      </c>
      <c r="S2999" s="5">
        <f t="shared" si="8"/>
        <v>0.3827160494</v>
      </c>
    </row>
    <row r="3000">
      <c r="A3000" s="2" t="s">
        <v>3008</v>
      </c>
      <c r="B3000" s="2">
        <v>332.0</v>
      </c>
      <c r="C3000" s="2">
        <v>3962.0</v>
      </c>
      <c r="D3000" s="2">
        <v>1325.0</v>
      </c>
      <c r="E3000" s="3">
        <f t="shared" si="1"/>
        <v>0.3650137741</v>
      </c>
      <c r="F3000" s="2">
        <v>485.0</v>
      </c>
      <c r="G3000" s="3">
        <f t="shared" si="2"/>
        <v>0.1336088154</v>
      </c>
      <c r="H3000" s="2">
        <v>759.0</v>
      </c>
      <c r="I3000" s="3">
        <f t="shared" si="3"/>
        <v>0.2090909091</v>
      </c>
      <c r="J3000" s="2">
        <v>707.0</v>
      </c>
      <c r="K3000" s="3">
        <f t="shared" si="4"/>
        <v>0.1947658402</v>
      </c>
      <c r="L3000" s="2">
        <v>441.0</v>
      </c>
      <c r="M3000" s="3">
        <f t="shared" si="5"/>
        <v>0.581027668</v>
      </c>
      <c r="N3000" s="2">
        <v>4361400.0</v>
      </c>
      <c r="O3000" s="4">
        <f t="shared" si="6"/>
        <v>5746.245059</v>
      </c>
      <c r="P3000" s="2">
        <v>1.0</v>
      </c>
      <c r="Q3000" s="3">
        <f t="shared" si="7"/>
        <v>0.003012048193</v>
      </c>
      <c r="R3000" s="2">
        <v>1.0</v>
      </c>
      <c r="S3000" s="5">
        <f t="shared" si="8"/>
        <v>0.003012048193</v>
      </c>
    </row>
    <row r="3001">
      <c r="A3001" s="2" t="s">
        <v>3009</v>
      </c>
      <c r="B3001" s="2">
        <v>1537.0</v>
      </c>
      <c r="C3001" s="2">
        <v>18003.0</v>
      </c>
      <c r="D3001" s="2">
        <v>5225.0</v>
      </c>
      <c r="E3001" s="3">
        <f t="shared" si="1"/>
        <v>0.3173205393</v>
      </c>
      <c r="F3001" s="2">
        <v>2200.0</v>
      </c>
      <c r="G3001" s="3">
        <f t="shared" si="2"/>
        <v>0.1336086481</v>
      </c>
      <c r="H3001" s="2">
        <v>3458.0</v>
      </c>
      <c r="I3001" s="3">
        <f t="shared" si="3"/>
        <v>0.2100085024</v>
      </c>
      <c r="J3001" s="2">
        <v>3175.0</v>
      </c>
      <c r="K3001" s="3">
        <f t="shared" si="4"/>
        <v>0.1928215717</v>
      </c>
      <c r="L3001" s="2">
        <v>1999.0</v>
      </c>
      <c r="M3001" s="3">
        <f t="shared" si="5"/>
        <v>0.5780798149</v>
      </c>
      <c r="N3001" s="2">
        <v>1.95197E7</v>
      </c>
      <c r="O3001" s="4">
        <f t="shared" si="6"/>
        <v>5644.794679</v>
      </c>
      <c r="P3001" s="2">
        <v>1.0</v>
      </c>
      <c r="Q3001" s="3">
        <f t="shared" si="7"/>
        <v>0.0006506180872</v>
      </c>
      <c r="R3001" s="2">
        <v>1537.0</v>
      </c>
      <c r="S3001" s="5">
        <f t="shared" si="8"/>
        <v>1</v>
      </c>
    </row>
    <row r="3002">
      <c r="A3002" s="2" t="s">
        <v>3010</v>
      </c>
      <c r="B3002" s="2">
        <v>158.0</v>
      </c>
      <c r="C3002" s="2">
        <v>1857.0</v>
      </c>
      <c r="D3002" s="2">
        <v>603.0</v>
      </c>
      <c r="E3002" s="3">
        <f t="shared" si="1"/>
        <v>0.3549146557</v>
      </c>
      <c r="F3002" s="2">
        <v>227.0</v>
      </c>
      <c r="G3002" s="3">
        <f t="shared" si="2"/>
        <v>0.1336080047</v>
      </c>
      <c r="H3002" s="2">
        <v>307.0</v>
      </c>
      <c r="I3002" s="3">
        <f t="shared" si="3"/>
        <v>0.1806945262</v>
      </c>
      <c r="J3002" s="2">
        <v>282.0</v>
      </c>
      <c r="K3002" s="3">
        <f t="shared" si="4"/>
        <v>0.1659799882</v>
      </c>
      <c r="L3002" s="2">
        <v>195.0</v>
      </c>
      <c r="M3002" s="3">
        <f t="shared" si="5"/>
        <v>0.6351791531</v>
      </c>
      <c r="N3002" s="2">
        <v>1843300.0</v>
      </c>
      <c r="O3002" s="4">
        <f t="shared" si="6"/>
        <v>6004.234528</v>
      </c>
      <c r="P3002" s="2">
        <v>0.0</v>
      </c>
      <c r="Q3002" s="3">
        <f t="shared" si="7"/>
        <v>0</v>
      </c>
      <c r="R3002" s="2">
        <v>87.0</v>
      </c>
      <c r="S3002" s="5">
        <f t="shared" si="8"/>
        <v>0.5506329114</v>
      </c>
    </row>
    <row r="3003">
      <c r="A3003" s="2" t="s">
        <v>3011</v>
      </c>
      <c r="B3003" s="2">
        <v>234.0</v>
      </c>
      <c r="C3003" s="2">
        <v>2704.0</v>
      </c>
      <c r="D3003" s="2">
        <v>766.0</v>
      </c>
      <c r="E3003" s="3">
        <f t="shared" si="1"/>
        <v>0.3101214575</v>
      </c>
      <c r="F3003" s="2">
        <v>330.0</v>
      </c>
      <c r="G3003" s="3">
        <f t="shared" si="2"/>
        <v>0.1336032389</v>
      </c>
      <c r="H3003" s="2">
        <v>489.0</v>
      </c>
      <c r="I3003" s="3">
        <f t="shared" si="3"/>
        <v>0.1979757085</v>
      </c>
      <c r="J3003" s="2">
        <v>444.0</v>
      </c>
      <c r="K3003" s="3">
        <f t="shared" si="4"/>
        <v>0.179757085</v>
      </c>
      <c r="L3003" s="2">
        <v>304.0</v>
      </c>
      <c r="M3003" s="3">
        <f t="shared" si="5"/>
        <v>0.6216768916</v>
      </c>
      <c r="N3003" s="2">
        <v>2810100.0</v>
      </c>
      <c r="O3003" s="4">
        <f t="shared" si="6"/>
        <v>5746.625767</v>
      </c>
      <c r="P3003" s="2">
        <v>0.0</v>
      </c>
      <c r="Q3003" s="3">
        <f t="shared" si="7"/>
        <v>0</v>
      </c>
      <c r="R3003" s="2">
        <v>234.0</v>
      </c>
      <c r="S3003" s="5">
        <f t="shared" si="8"/>
        <v>1</v>
      </c>
    </row>
    <row r="3004">
      <c r="A3004" s="2" t="s">
        <v>3012</v>
      </c>
      <c r="B3004" s="2">
        <v>1018.0</v>
      </c>
      <c r="C3004" s="2">
        <v>11849.0</v>
      </c>
      <c r="D3004" s="2">
        <v>3578.0</v>
      </c>
      <c r="E3004" s="3">
        <f t="shared" si="1"/>
        <v>0.330348075</v>
      </c>
      <c r="F3004" s="2">
        <v>1447.0</v>
      </c>
      <c r="G3004" s="3">
        <f t="shared" si="2"/>
        <v>0.1335980057</v>
      </c>
      <c r="H3004" s="2">
        <v>2187.0</v>
      </c>
      <c r="I3004" s="3">
        <f t="shared" si="3"/>
        <v>0.2019204136</v>
      </c>
      <c r="J3004" s="2">
        <v>1879.0</v>
      </c>
      <c r="K3004" s="3">
        <f t="shared" si="4"/>
        <v>0.1734835195</v>
      </c>
      <c r="L3004" s="2">
        <v>1294.0</v>
      </c>
      <c r="M3004" s="3">
        <f t="shared" si="5"/>
        <v>0.5916780979</v>
      </c>
      <c r="N3004" s="2">
        <v>1.32698E7</v>
      </c>
      <c r="O3004" s="4">
        <f t="shared" si="6"/>
        <v>6067.581161</v>
      </c>
      <c r="P3004" s="2">
        <v>2.0</v>
      </c>
      <c r="Q3004" s="3">
        <f t="shared" si="7"/>
        <v>0.001964636542</v>
      </c>
      <c r="R3004" s="2">
        <v>991.0</v>
      </c>
      <c r="S3004" s="5">
        <f t="shared" si="8"/>
        <v>0.9734774067</v>
      </c>
    </row>
    <row r="3005">
      <c r="A3005" s="2" t="s">
        <v>3013</v>
      </c>
      <c r="B3005" s="2">
        <v>194.0</v>
      </c>
      <c r="C3005" s="2">
        <v>2260.0</v>
      </c>
      <c r="D3005" s="2">
        <v>768.0</v>
      </c>
      <c r="E3005" s="3">
        <f t="shared" si="1"/>
        <v>0.371732817</v>
      </c>
      <c r="F3005" s="2">
        <v>276.0</v>
      </c>
      <c r="G3005" s="3">
        <f t="shared" si="2"/>
        <v>0.1335914811</v>
      </c>
      <c r="H3005" s="2">
        <v>441.0</v>
      </c>
      <c r="I3005" s="3">
        <f t="shared" si="3"/>
        <v>0.2134559535</v>
      </c>
      <c r="J3005" s="2">
        <v>374.0</v>
      </c>
      <c r="K3005" s="3">
        <f t="shared" si="4"/>
        <v>0.1810261375</v>
      </c>
      <c r="L3005" s="2">
        <v>268.0</v>
      </c>
      <c r="M3005" s="3">
        <f t="shared" si="5"/>
        <v>0.6077097506</v>
      </c>
      <c r="N3005" s="2">
        <v>2501300.0</v>
      </c>
      <c r="O3005" s="4">
        <f t="shared" si="6"/>
        <v>5671.882086</v>
      </c>
      <c r="P3005" s="2">
        <v>0.0</v>
      </c>
      <c r="Q3005" s="3">
        <f t="shared" si="7"/>
        <v>0</v>
      </c>
      <c r="R3005" s="2">
        <v>0.0</v>
      </c>
      <c r="S3005" s="5">
        <f t="shared" si="8"/>
        <v>0</v>
      </c>
    </row>
    <row r="3006">
      <c r="A3006" s="2" t="s">
        <v>3014</v>
      </c>
      <c r="B3006" s="2">
        <v>1618.0</v>
      </c>
      <c r="C3006" s="2">
        <v>18829.0</v>
      </c>
      <c r="D3006" s="2">
        <v>7205.0</v>
      </c>
      <c r="E3006" s="3">
        <f t="shared" si="1"/>
        <v>0.4186276219</v>
      </c>
      <c r="F3006" s="2">
        <v>2299.0</v>
      </c>
      <c r="G3006" s="3">
        <f t="shared" si="2"/>
        <v>0.1335773633</v>
      </c>
      <c r="H3006" s="2">
        <v>3762.0</v>
      </c>
      <c r="I3006" s="3">
        <f t="shared" si="3"/>
        <v>0.21858114</v>
      </c>
      <c r="J3006" s="2">
        <v>3019.0</v>
      </c>
      <c r="K3006" s="3">
        <f t="shared" si="4"/>
        <v>0.1754110743</v>
      </c>
      <c r="L3006" s="2">
        <v>2249.0</v>
      </c>
      <c r="M3006" s="3">
        <f t="shared" si="5"/>
        <v>0.5978203083</v>
      </c>
      <c r="N3006" s="2">
        <v>2.08043E7</v>
      </c>
      <c r="O3006" s="4">
        <f t="shared" si="6"/>
        <v>5530.116959</v>
      </c>
      <c r="P3006" s="2">
        <v>2.0</v>
      </c>
      <c r="Q3006" s="3">
        <f t="shared" si="7"/>
        <v>0.001236093943</v>
      </c>
      <c r="R3006" s="2">
        <v>1618.0</v>
      </c>
      <c r="S3006" s="5">
        <f t="shared" si="8"/>
        <v>1</v>
      </c>
    </row>
    <row r="3007">
      <c r="A3007" s="2" t="s">
        <v>3015</v>
      </c>
      <c r="B3007" s="2">
        <v>56.0</v>
      </c>
      <c r="C3007" s="2">
        <v>670.0</v>
      </c>
      <c r="D3007" s="2">
        <v>223.0</v>
      </c>
      <c r="E3007" s="3">
        <f t="shared" si="1"/>
        <v>0.3631921824</v>
      </c>
      <c r="F3007" s="2">
        <v>82.0</v>
      </c>
      <c r="G3007" s="3">
        <f t="shared" si="2"/>
        <v>0.1335504886</v>
      </c>
      <c r="H3007" s="2">
        <v>129.0</v>
      </c>
      <c r="I3007" s="3">
        <f t="shared" si="3"/>
        <v>0.2100977199</v>
      </c>
      <c r="J3007" s="2">
        <v>80.0</v>
      </c>
      <c r="K3007" s="3">
        <f t="shared" si="4"/>
        <v>0.1302931596</v>
      </c>
      <c r="L3007" s="2">
        <v>68.0</v>
      </c>
      <c r="M3007" s="3">
        <f t="shared" si="5"/>
        <v>0.5271317829</v>
      </c>
      <c r="N3007" s="2">
        <v>726000.0</v>
      </c>
      <c r="O3007" s="4">
        <f t="shared" si="6"/>
        <v>5627.906977</v>
      </c>
      <c r="P3007" s="2">
        <v>0.0</v>
      </c>
      <c r="Q3007" s="3">
        <f t="shared" si="7"/>
        <v>0</v>
      </c>
      <c r="R3007" s="2">
        <v>56.0</v>
      </c>
      <c r="S3007" s="5">
        <f t="shared" si="8"/>
        <v>1</v>
      </c>
    </row>
    <row r="3008">
      <c r="A3008" s="2" t="s">
        <v>3016</v>
      </c>
      <c r="B3008" s="2">
        <v>293.0</v>
      </c>
      <c r="C3008" s="2">
        <v>3438.0</v>
      </c>
      <c r="D3008" s="2">
        <v>830.0</v>
      </c>
      <c r="E3008" s="3">
        <f t="shared" si="1"/>
        <v>0.2639109698</v>
      </c>
      <c r="F3008" s="2">
        <v>420.0</v>
      </c>
      <c r="G3008" s="3">
        <f t="shared" si="2"/>
        <v>0.13354531</v>
      </c>
      <c r="H3008" s="2">
        <v>654.0</v>
      </c>
      <c r="I3008" s="3">
        <f t="shared" si="3"/>
        <v>0.2079491256</v>
      </c>
      <c r="J3008" s="2">
        <v>513.0</v>
      </c>
      <c r="K3008" s="3">
        <f t="shared" si="4"/>
        <v>0.1631160572</v>
      </c>
      <c r="L3008" s="2">
        <v>408.0</v>
      </c>
      <c r="M3008" s="3">
        <f t="shared" si="5"/>
        <v>0.623853211</v>
      </c>
      <c r="N3008" s="2">
        <v>3663600.0</v>
      </c>
      <c r="O3008" s="4">
        <f t="shared" si="6"/>
        <v>5601.834862</v>
      </c>
      <c r="P3008" s="2">
        <v>0.0</v>
      </c>
      <c r="Q3008" s="3">
        <f t="shared" si="7"/>
        <v>0</v>
      </c>
      <c r="R3008" s="2">
        <v>293.0</v>
      </c>
      <c r="S3008" s="5">
        <f t="shared" si="8"/>
        <v>1</v>
      </c>
    </row>
    <row r="3009">
      <c r="A3009" s="2" t="s">
        <v>3017</v>
      </c>
      <c r="B3009" s="2">
        <v>711.0</v>
      </c>
      <c r="C3009" s="2">
        <v>8200.0</v>
      </c>
      <c r="D3009" s="2">
        <v>2667.0</v>
      </c>
      <c r="E3009" s="3">
        <f t="shared" si="1"/>
        <v>0.3561223127</v>
      </c>
      <c r="F3009" s="2">
        <v>1000.0</v>
      </c>
      <c r="G3009" s="3">
        <f t="shared" si="2"/>
        <v>0.1335291761</v>
      </c>
      <c r="H3009" s="2">
        <v>1582.0</v>
      </c>
      <c r="I3009" s="3">
        <f t="shared" si="3"/>
        <v>0.2112431566</v>
      </c>
      <c r="J3009" s="2">
        <v>1551.0</v>
      </c>
      <c r="K3009" s="3">
        <f t="shared" si="4"/>
        <v>0.2071037522</v>
      </c>
      <c r="L3009" s="2">
        <v>941.0</v>
      </c>
      <c r="M3009" s="3">
        <f t="shared" si="5"/>
        <v>0.5948166877</v>
      </c>
      <c r="N3009" s="2">
        <v>9693800.0</v>
      </c>
      <c r="O3009" s="4">
        <f t="shared" si="6"/>
        <v>6127.560051</v>
      </c>
      <c r="P3009" s="2">
        <v>1.0</v>
      </c>
      <c r="Q3009" s="3">
        <f t="shared" si="7"/>
        <v>0.001406469761</v>
      </c>
      <c r="R3009" s="2">
        <v>711.0</v>
      </c>
      <c r="S3009" s="5">
        <f t="shared" si="8"/>
        <v>1</v>
      </c>
    </row>
    <row r="3010">
      <c r="A3010" s="2" t="s">
        <v>3018</v>
      </c>
      <c r="B3010" s="2">
        <v>540.0</v>
      </c>
      <c r="C3010" s="2">
        <v>6389.0</v>
      </c>
      <c r="D3010" s="2">
        <v>1677.0</v>
      </c>
      <c r="E3010" s="3">
        <f t="shared" si="1"/>
        <v>0.2867156779</v>
      </c>
      <c r="F3010" s="2">
        <v>781.0</v>
      </c>
      <c r="G3010" s="3">
        <f t="shared" si="2"/>
        <v>0.1335270986</v>
      </c>
      <c r="H3010" s="2">
        <v>1271.0</v>
      </c>
      <c r="I3010" s="3">
        <f t="shared" si="3"/>
        <v>0.2173021029</v>
      </c>
      <c r="J3010" s="2">
        <v>1027.0</v>
      </c>
      <c r="K3010" s="3">
        <f t="shared" si="4"/>
        <v>0.1755855702</v>
      </c>
      <c r="L3010" s="2">
        <v>744.0</v>
      </c>
      <c r="M3010" s="3">
        <f t="shared" si="5"/>
        <v>0.5853658537</v>
      </c>
      <c r="N3010" s="2">
        <v>6998300.0</v>
      </c>
      <c r="O3010" s="4">
        <f t="shared" si="6"/>
        <v>5506.1369</v>
      </c>
      <c r="P3010" s="2">
        <v>5.0</v>
      </c>
      <c r="Q3010" s="3">
        <f t="shared" si="7"/>
        <v>0.009259259259</v>
      </c>
      <c r="R3010" s="2">
        <v>0.0</v>
      </c>
      <c r="S3010" s="5">
        <f t="shared" si="8"/>
        <v>0</v>
      </c>
    </row>
    <row r="3011">
      <c r="A3011" s="2" t="s">
        <v>3019</v>
      </c>
      <c r="B3011" s="2">
        <v>715.0</v>
      </c>
      <c r="C3011" s="2">
        <v>8354.0</v>
      </c>
      <c r="D3011" s="2">
        <v>2985.0</v>
      </c>
      <c r="E3011" s="3">
        <f t="shared" si="1"/>
        <v>0.3907579526</v>
      </c>
      <c r="F3011" s="2">
        <v>1020.0</v>
      </c>
      <c r="G3011" s="3">
        <f t="shared" si="2"/>
        <v>0.1335253305</v>
      </c>
      <c r="H3011" s="2">
        <v>1652.0</v>
      </c>
      <c r="I3011" s="3">
        <f t="shared" si="3"/>
        <v>0.2162586726</v>
      </c>
      <c r="J3011" s="2">
        <v>1308.0</v>
      </c>
      <c r="K3011" s="3">
        <f t="shared" si="4"/>
        <v>0.1712266003</v>
      </c>
      <c r="L3011" s="2">
        <v>991.0</v>
      </c>
      <c r="M3011" s="3">
        <f t="shared" si="5"/>
        <v>0.5998789346</v>
      </c>
      <c r="N3011" s="2">
        <v>9070200.0</v>
      </c>
      <c r="O3011" s="4">
        <f t="shared" si="6"/>
        <v>5490.435835</v>
      </c>
      <c r="P3011" s="2">
        <v>0.0</v>
      </c>
      <c r="Q3011" s="3">
        <f t="shared" si="7"/>
        <v>0</v>
      </c>
      <c r="R3011" s="2">
        <v>715.0</v>
      </c>
      <c r="S3011" s="5">
        <f t="shared" si="8"/>
        <v>1</v>
      </c>
    </row>
    <row r="3012">
      <c r="A3012" s="2" t="s">
        <v>3020</v>
      </c>
      <c r="B3012" s="2">
        <v>1249.0</v>
      </c>
      <c r="C3012" s="2">
        <v>14454.0</v>
      </c>
      <c r="D3012" s="2">
        <v>4580.0</v>
      </c>
      <c r="E3012" s="3">
        <f t="shared" si="1"/>
        <v>0.3468383188</v>
      </c>
      <c r="F3012" s="2">
        <v>1763.0</v>
      </c>
      <c r="G3012" s="3">
        <f t="shared" si="2"/>
        <v>0.1335100341</v>
      </c>
      <c r="H3012" s="2">
        <v>2816.0</v>
      </c>
      <c r="I3012" s="3">
        <f t="shared" si="3"/>
        <v>0.2132525559</v>
      </c>
      <c r="J3012" s="2">
        <v>2271.0</v>
      </c>
      <c r="K3012" s="3">
        <f t="shared" si="4"/>
        <v>0.1719803105</v>
      </c>
      <c r="L3012" s="2">
        <v>1700.0</v>
      </c>
      <c r="M3012" s="3">
        <f t="shared" si="5"/>
        <v>0.6036931818</v>
      </c>
      <c r="N3012" s="2">
        <v>1.6886E7</v>
      </c>
      <c r="O3012" s="4">
        <f t="shared" si="6"/>
        <v>5996.448864</v>
      </c>
      <c r="P3012" s="2">
        <v>4.0</v>
      </c>
      <c r="Q3012" s="3">
        <f t="shared" si="7"/>
        <v>0.00320256205</v>
      </c>
      <c r="R3012" s="2">
        <v>1249.0</v>
      </c>
      <c r="S3012" s="5">
        <f t="shared" si="8"/>
        <v>1</v>
      </c>
    </row>
    <row r="3013">
      <c r="A3013" s="2" t="s">
        <v>3021</v>
      </c>
      <c r="B3013" s="2">
        <v>76.0</v>
      </c>
      <c r="C3013" s="2">
        <v>870.0</v>
      </c>
      <c r="D3013" s="2">
        <v>269.0</v>
      </c>
      <c r="E3013" s="3">
        <f t="shared" si="1"/>
        <v>0.338790932</v>
      </c>
      <c r="F3013" s="2">
        <v>106.0</v>
      </c>
      <c r="G3013" s="3">
        <f t="shared" si="2"/>
        <v>0.1335012594</v>
      </c>
      <c r="H3013" s="2">
        <v>162.0</v>
      </c>
      <c r="I3013" s="3">
        <f t="shared" si="3"/>
        <v>0.2040302267</v>
      </c>
      <c r="J3013" s="2">
        <v>139.0</v>
      </c>
      <c r="K3013" s="3">
        <f t="shared" si="4"/>
        <v>0.1750629723</v>
      </c>
      <c r="L3013" s="2">
        <v>95.0</v>
      </c>
      <c r="M3013" s="3">
        <f t="shared" si="5"/>
        <v>0.5864197531</v>
      </c>
      <c r="N3013" s="2">
        <v>905900.0</v>
      </c>
      <c r="O3013" s="4">
        <f t="shared" si="6"/>
        <v>5591.975309</v>
      </c>
      <c r="P3013" s="2">
        <v>0.0</v>
      </c>
      <c r="Q3013" s="3">
        <f t="shared" si="7"/>
        <v>0</v>
      </c>
      <c r="R3013" s="2">
        <v>76.0</v>
      </c>
      <c r="S3013" s="5">
        <f t="shared" si="8"/>
        <v>1</v>
      </c>
    </row>
    <row r="3014">
      <c r="A3014" s="2" t="s">
        <v>3022</v>
      </c>
      <c r="B3014" s="2">
        <v>1611.0</v>
      </c>
      <c r="C3014" s="2">
        <v>18870.0</v>
      </c>
      <c r="D3014" s="2">
        <v>5998.0</v>
      </c>
      <c r="E3014" s="3">
        <f t="shared" si="1"/>
        <v>0.3475288255</v>
      </c>
      <c r="F3014" s="2">
        <v>2304.0</v>
      </c>
      <c r="G3014" s="3">
        <f t="shared" si="2"/>
        <v>0.1334955675</v>
      </c>
      <c r="H3014" s="2">
        <v>3722.0</v>
      </c>
      <c r="I3014" s="3">
        <f t="shared" si="3"/>
        <v>0.2156556</v>
      </c>
      <c r="J3014" s="2">
        <v>2819.0</v>
      </c>
      <c r="K3014" s="3">
        <f t="shared" si="4"/>
        <v>0.1633350716</v>
      </c>
      <c r="L3014" s="2">
        <v>2213.0</v>
      </c>
      <c r="M3014" s="3">
        <f t="shared" si="5"/>
        <v>0.5945728103</v>
      </c>
      <c r="N3014" s="2">
        <v>2.02048E7</v>
      </c>
      <c r="O3014" s="4">
        <f t="shared" si="6"/>
        <v>5428.479312</v>
      </c>
      <c r="P3014" s="2">
        <v>5.0</v>
      </c>
      <c r="Q3014" s="3">
        <f t="shared" si="7"/>
        <v>0.003103662322</v>
      </c>
      <c r="R3014" s="2">
        <v>1548.0</v>
      </c>
      <c r="S3014" s="5">
        <f t="shared" si="8"/>
        <v>0.9608938547</v>
      </c>
    </row>
    <row r="3015">
      <c r="A3015" s="2" t="s">
        <v>3023</v>
      </c>
      <c r="B3015" s="2">
        <v>1846.0</v>
      </c>
      <c r="C3015" s="2">
        <v>21607.0</v>
      </c>
      <c r="D3015" s="2">
        <v>6702.0</v>
      </c>
      <c r="E3015" s="3">
        <f t="shared" si="1"/>
        <v>0.3391528769</v>
      </c>
      <c r="F3015" s="2">
        <v>2638.0</v>
      </c>
      <c r="G3015" s="3">
        <f t="shared" si="2"/>
        <v>0.1334952685</v>
      </c>
      <c r="H3015" s="2">
        <v>4017.0</v>
      </c>
      <c r="I3015" s="3">
        <f t="shared" si="3"/>
        <v>0.2032791863</v>
      </c>
      <c r="J3015" s="2">
        <v>3280.0</v>
      </c>
      <c r="K3015" s="3">
        <f t="shared" si="4"/>
        <v>0.1659835029</v>
      </c>
      <c r="L3015" s="2">
        <v>2372.0</v>
      </c>
      <c r="M3015" s="3">
        <f t="shared" si="5"/>
        <v>0.5904904157</v>
      </c>
      <c r="N3015" s="2">
        <v>2.29629E7</v>
      </c>
      <c r="O3015" s="4">
        <f t="shared" si="6"/>
        <v>5716.430172</v>
      </c>
      <c r="P3015" s="2">
        <v>3.0</v>
      </c>
      <c r="Q3015" s="3">
        <f t="shared" si="7"/>
        <v>0.001625135428</v>
      </c>
      <c r="R3015" s="2">
        <v>1169.0</v>
      </c>
      <c r="S3015" s="5">
        <f t="shared" si="8"/>
        <v>0.6332611051</v>
      </c>
    </row>
    <row r="3016">
      <c r="A3016" s="2" t="s">
        <v>3024</v>
      </c>
      <c r="B3016" s="2">
        <v>2693.0</v>
      </c>
      <c r="C3016" s="2">
        <v>31294.0</v>
      </c>
      <c r="D3016" s="2">
        <v>10506.0</v>
      </c>
      <c r="E3016" s="3">
        <f t="shared" si="1"/>
        <v>0.3673298136</v>
      </c>
      <c r="F3016" s="2">
        <v>3818.0</v>
      </c>
      <c r="G3016" s="3">
        <f t="shared" si="2"/>
        <v>0.1334918359</v>
      </c>
      <c r="H3016" s="2">
        <v>6094.0</v>
      </c>
      <c r="I3016" s="3">
        <f t="shared" si="3"/>
        <v>0.2130694731</v>
      </c>
      <c r="J3016" s="2">
        <v>5175.0</v>
      </c>
      <c r="K3016" s="3">
        <f t="shared" si="4"/>
        <v>0.1809377295</v>
      </c>
      <c r="L3016" s="2">
        <v>3615.0</v>
      </c>
      <c r="M3016" s="3">
        <f t="shared" si="5"/>
        <v>0.5932064326</v>
      </c>
      <c r="N3016" s="2">
        <v>3.50704E7</v>
      </c>
      <c r="O3016" s="4">
        <f t="shared" si="6"/>
        <v>5754.906465</v>
      </c>
      <c r="P3016" s="2">
        <v>5.0</v>
      </c>
      <c r="Q3016" s="3">
        <f t="shared" si="7"/>
        <v>0.001856665429</v>
      </c>
      <c r="R3016" s="2">
        <v>2692.0</v>
      </c>
      <c r="S3016" s="5">
        <f t="shared" si="8"/>
        <v>0.9996286669</v>
      </c>
    </row>
    <row r="3017">
      <c r="A3017" s="2" t="s">
        <v>3025</v>
      </c>
      <c r="B3017" s="2">
        <v>88.0</v>
      </c>
      <c r="C3017" s="2">
        <v>1032.0</v>
      </c>
      <c r="D3017" s="2">
        <v>362.0</v>
      </c>
      <c r="E3017" s="3">
        <f t="shared" si="1"/>
        <v>0.3834745763</v>
      </c>
      <c r="F3017" s="2">
        <v>126.0</v>
      </c>
      <c r="G3017" s="3">
        <f t="shared" si="2"/>
        <v>0.1334745763</v>
      </c>
      <c r="H3017" s="2">
        <v>189.0</v>
      </c>
      <c r="I3017" s="3">
        <f t="shared" si="3"/>
        <v>0.2002118644</v>
      </c>
      <c r="J3017" s="2">
        <v>149.0</v>
      </c>
      <c r="K3017" s="3">
        <f t="shared" si="4"/>
        <v>0.1578389831</v>
      </c>
      <c r="L3017" s="2">
        <v>120.0</v>
      </c>
      <c r="M3017" s="3">
        <f t="shared" si="5"/>
        <v>0.6349206349</v>
      </c>
      <c r="N3017" s="2">
        <v>987600.0</v>
      </c>
      <c r="O3017" s="4">
        <f t="shared" si="6"/>
        <v>5225.396825</v>
      </c>
      <c r="P3017" s="2">
        <v>1.0</v>
      </c>
      <c r="Q3017" s="3">
        <f t="shared" si="7"/>
        <v>0.01136363636</v>
      </c>
      <c r="R3017" s="2">
        <v>84.0</v>
      </c>
      <c r="S3017" s="5">
        <f t="shared" si="8"/>
        <v>0.9545454545</v>
      </c>
    </row>
    <row r="3018">
      <c r="A3018" s="2" t="s">
        <v>3026</v>
      </c>
      <c r="B3018" s="2">
        <v>230.0</v>
      </c>
      <c r="C3018" s="2">
        <v>2695.0</v>
      </c>
      <c r="D3018" s="2">
        <v>973.0</v>
      </c>
      <c r="E3018" s="3">
        <f t="shared" si="1"/>
        <v>0.3947261663</v>
      </c>
      <c r="F3018" s="2">
        <v>329.0</v>
      </c>
      <c r="G3018" s="3">
        <f t="shared" si="2"/>
        <v>0.1334685598</v>
      </c>
      <c r="H3018" s="2">
        <v>509.0</v>
      </c>
      <c r="I3018" s="3">
        <f t="shared" si="3"/>
        <v>0.2064908722</v>
      </c>
      <c r="J3018" s="2">
        <v>433.0</v>
      </c>
      <c r="K3018" s="3">
        <f t="shared" si="4"/>
        <v>0.1756592292</v>
      </c>
      <c r="L3018" s="2">
        <v>304.0</v>
      </c>
      <c r="M3018" s="3">
        <f t="shared" si="5"/>
        <v>0.5972495088</v>
      </c>
      <c r="N3018" s="2">
        <v>2793000.0</v>
      </c>
      <c r="O3018" s="4">
        <f t="shared" si="6"/>
        <v>5487.229862</v>
      </c>
      <c r="P3018" s="2">
        <v>1.0</v>
      </c>
      <c r="Q3018" s="3">
        <f t="shared" si="7"/>
        <v>0.004347826087</v>
      </c>
      <c r="R3018" s="2">
        <v>108.0</v>
      </c>
      <c r="S3018" s="5">
        <f t="shared" si="8"/>
        <v>0.4695652174</v>
      </c>
    </row>
    <row r="3019">
      <c r="A3019" s="2" t="s">
        <v>3027</v>
      </c>
      <c r="B3019" s="2">
        <v>241.0</v>
      </c>
      <c r="C3019" s="2">
        <v>2751.0</v>
      </c>
      <c r="D3019" s="2">
        <v>1011.0</v>
      </c>
      <c r="E3019" s="3">
        <f t="shared" si="1"/>
        <v>0.4027888446</v>
      </c>
      <c r="F3019" s="2">
        <v>335.0</v>
      </c>
      <c r="G3019" s="3">
        <f t="shared" si="2"/>
        <v>0.1334661355</v>
      </c>
      <c r="H3019" s="2">
        <v>584.0</v>
      </c>
      <c r="I3019" s="3">
        <f t="shared" si="3"/>
        <v>0.2326693227</v>
      </c>
      <c r="J3019" s="2">
        <v>456.0</v>
      </c>
      <c r="K3019" s="3">
        <f t="shared" si="4"/>
        <v>0.1816733068</v>
      </c>
      <c r="L3019" s="2">
        <v>359.0</v>
      </c>
      <c r="M3019" s="3">
        <f t="shared" si="5"/>
        <v>0.6147260274</v>
      </c>
      <c r="N3019" s="2">
        <v>2928100.0</v>
      </c>
      <c r="O3019" s="4">
        <f t="shared" si="6"/>
        <v>5013.869863</v>
      </c>
      <c r="P3019" s="2">
        <v>0.0</v>
      </c>
      <c r="Q3019" s="3">
        <f t="shared" si="7"/>
        <v>0</v>
      </c>
      <c r="R3019" s="2">
        <v>241.0</v>
      </c>
      <c r="S3019" s="5">
        <f t="shared" si="8"/>
        <v>1</v>
      </c>
    </row>
    <row r="3020">
      <c r="A3020" s="2" t="s">
        <v>3028</v>
      </c>
      <c r="B3020" s="2">
        <v>507.0</v>
      </c>
      <c r="C3020" s="2">
        <v>5895.0</v>
      </c>
      <c r="D3020" s="2">
        <v>1827.0</v>
      </c>
      <c r="E3020" s="3">
        <f t="shared" si="1"/>
        <v>0.3390868597</v>
      </c>
      <c r="F3020" s="2">
        <v>719.0</v>
      </c>
      <c r="G3020" s="3">
        <f t="shared" si="2"/>
        <v>0.1334446919</v>
      </c>
      <c r="H3020" s="2">
        <v>1173.0</v>
      </c>
      <c r="I3020" s="3">
        <f t="shared" si="3"/>
        <v>0.2177060134</v>
      </c>
      <c r="J3020" s="2">
        <v>843.0</v>
      </c>
      <c r="K3020" s="3">
        <f t="shared" si="4"/>
        <v>0.1564587973</v>
      </c>
      <c r="L3020" s="2">
        <v>702.0</v>
      </c>
      <c r="M3020" s="3">
        <f t="shared" si="5"/>
        <v>0.5984654731</v>
      </c>
      <c r="N3020" s="2">
        <v>6758100.0</v>
      </c>
      <c r="O3020" s="4">
        <f t="shared" si="6"/>
        <v>5761.381074</v>
      </c>
      <c r="P3020" s="2">
        <v>2.0</v>
      </c>
      <c r="Q3020" s="3">
        <f t="shared" si="7"/>
        <v>0.003944773176</v>
      </c>
      <c r="R3020" s="2">
        <v>507.0</v>
      </c>
      <c r="S3020" s="5">
        <f t="shared" si="8"/>
        <v>1</v>
      </c>
    </row>
    <row r="3021">
      <c r="A3021" s="2" t="s">
        <v>3029</v>
      </c>
      <c r="B3021" s="2">
        <v>1198.0</v>
      </c>
      <c r="C3021" s="2">
        <v>13983.0</v>
      </c>
      <c r="D3021" s="2">
        <v>4274.0</v>
      </c>
      <c r="E3021" s="3">
        <f t="shared" si="1"/>
        <v>0.3342980055</v>
      </c>
      <c r="F3021" s="2">
        <v>1706.0</v>
      </c>
      <c r="G3021" s="3">
        <f t="shared" si="2"/>
        <v>0.1334376222</v>
      </c>
      <c r="H3021" s="2">
        <v>2680.0</v>
      </c>
      <c r="I3021" s="3">
        <f t="shared" si="3"/>
        <v>0.2096206492</v>
      </c>
      <c r="J3021" s="2">
        <v>2582.0</v>
      </c>
      <c r="K3021" s="3">
        <f t="shared" si="4"/>
        <v>0.2019554165</v>
      </c>
      <c r="L3021" s="2">
        <v>1563.0</v>
      </c>
      <c r="M3021" s="3">
        <f t="shared" si="5"/>
        <v>0.5832089552</v>
      </c>
      <c r="N3021" s="2">
        <v>1.54286E7</v>
      </c>
      <c r="O3021" s="4">
        <f t="shared" si="6"/>
        <v>5756.940299</v>
      </c>
      <c r="P3021" s="2">
        <v>3.0</v>
      </c>
      <c r="Q3021" s="3">
        <f t="shared" si="7"/>
        <v>0.002504173623</v>
      </c>
      <c r="R3021" s="2">
        <v>1198.0</v>
      </c>
      <c r="S3021" s="5">
        <f t="shared" si="8"/>
        <v>1</v>
      </c>
    </row>
    <row r="3022">
      <c r="A3022" s="2" t="s">
        <v>3030</v>
      </c>
      <c r="B3022" s="2">
        <v>524.0</v>
      </c>
      <c r="C3022" s="2">
        <v>6070.0</v>
      </c>
      <c r="D3022" s="2">
        <v>2128.0</v>
      </c>
      <c r="E3022" s="3">
        <f t="shared" si="1"/>
        <v>0.3836999639</v>
      </c>
      <c r="F3022" s="2">
        <v>740.0</v>
      </c>
      <c r="G3022" s="3">
        <f t="shared" si="2"/>
        <v>0.1334294987</v>
      </c>
      <c r="H3022" s="2">
        <v>1257.0</v>
      </c>
      <c r="I3022" s="3">
        <f t="shared" si="3"/>
        <v>0.2266498377</v>
      </c>
      <c r="J3022" s="2">
        <v>861.0</v>
      </c>
      <c r="K3022" s="3">
        <f t="shared" si="4"/>
        <v>0.1552470249</v>
      </c>
      <c r="L3022" s="2">
        <v>750.0</v>
      </c>
      <c r="M3022" s="3">
        <f t="shared" si="5"/>
        <v>0.5966587112</v>
      </c>
      <c r="N3022" s="2">
        <v>6619500.0</v>
      </c>
      <c r="O3022" s="4">
        <f t="shared" si="6"/>
        <v>5266.109785</v>
      </c>
      <c r="P3022" s="2">
        <v>2.0</v>
      </c>
      <c r="Q3022" s="3">
        <f t="shared" si="7"/>
        <v>0.003816793893</v>
      </c>
      <c r="R3022" s="2">
        <v>435.0</v>
      </c>
      <c r="S3022" s="5">
        <f t="shared" si="8"/>
        <v>0.8301526718</v>
      </c>
    </row>
    <row r="3023">
      <c r="A3023" s="2" t="s">
        <v>3031</v>
      </c>
      <c r="B3023" s="2">
        <v>134.0</v>
      </c>
      <c r="C3023" s="2">
        <v>1558.0</v>
      </c>
      <c r="D3023" s="2">
        <v>350.0</v>
      </c>
      <c r="E3023" s="3">
        <f t="shared" si="1"/>
        <v>0.2457865169</v>
      </c>
      <c r="F3023" s="2">
        <v>190.0</v>
      </c>
      <c r="G3023" s="3">
        <f t="shared" si="2"/>
        <v>0.1334269663</v>
      </c>
      <c r="H3023" s="2">
        <v>292.0</v>
      </c>
      <c r="I3023" s="3">
        <f t="shared" si="3"/>
        <v>0.2050561798</v>
      </c>
      <c r="J3023" s="2">
        <v>225.0</v>
      </c>
      <c r="K3023" s="3">
        <f t="shared" si="4"/>
        <v>0.158005618</v>
      </c>
      <c r="L3023" s="2">
        <v>161.0</v>
      </c>
      <c r="M3023" s="3">
        <f t="shared" si="5"/>
        <v>0.551369863</v>
      </c>
      <c r="N3023" s="2">
        <v>1931200.0</v>
      </c>
      <c r="O3023" s="4">
        <f t="shared" si="6"/>
        <v>6613.69863</v>
      </c>
      <c r="P3023" s="2">
        <v>0.0</v>
      </c>
      <c r="Q3023" s="3">
        <f t="shared" si="7"/>
        <v>0</v>
      </c>
      <c r="R3023" s="2">
        <v>134.0</v>
      </c>
      <c r="S3023" s="5">
        <f t="shared" si="8"/>
        <v>1</v>
      </c>
    </row>
    <row r="3024">
      <c r="A3024" s="2" t="s">
        <v>3032</v>
      </c>
      <c r="B3024" s="2">
        <v>3812.0</v>
      </c>
      <c r="C3024" s="2">
        <v>44486.0</v>
      </c>
      <c r="D3024" s="2">
        <v>14197.0</v>
      </c>
      <c r="E3024" s="3">
        <f t="shared" si="1"/>
        <v>0.3490436151</v>
      </c>
      <c r="F3024" s="2">
        <v>5427.0</v>
      </c>
      <c r="G3024" s="3">
        <f t="shared" si="2"/>
        <v>0.1334267591</v>
      </c>
      <c r="H3024" s="2">
        <v>8743.0</v>
      </c>
      <c r="I3024" s="3">
        <f t="shared" si="3"/>
        <v>0.2149530413</v>
      </c>
      <c r="J3024" s="2">
        <v>6948.0</v>
      </c>
      <c r="K3024" s="3">
        <f t="shared" si="4"/>
        <v>0.1708216551</v>
      </c>
      <c r="L3024" s="2">
        <v>5262.0</v>
      </c>
      <c r="M3024" s="3">
        <f t="shared" si="5"/>
        <v>0.6018529109</v>
      </c>
      <c r="N3024" s="2">
        <v>5.02881E7</v>
      </c>
      <c r="O3024" s="4">
        <f t="shared" si="6"/>
        <v>5751.812879</v>
      </c>
      <c r="P3024" s="2">
        <v>10.0</v>
      </c>
      <c r="Q3024" s="3">
        <f t="shared" si="7"/>
        <v>0.002623294858</v>
      </c>
      <c r="R3024" s="2">
        <v>3811.0</v>
      </c>
      <c r="S3024" s="5">
        <f t="shared" si="8"/>
        <v>0.9997376705</v>
      </c>
    </row>
    <row r="3025">
      <c r="A3025" s="2" t="s">
        <v>3033</v>
      </c>
      <c r="B3025" s="2">
        <v>733.0</v>
      </c>
      <c r="C3025" s="2">
        <v>8558.0</v>
      </c>
      <c r="D3025" s="2">
        <v>2676.0</v>
      </c>
      <c r="E3025" s="3">
        <f t="shared" si="1"/>
        <v>0.3419808307</v>
      </c>
      <c r="F3025" s="2">
        <v>1044.0</v>
      </c>
      <c r="G3025" s="3">
        <f t="shared" si="2"/>
        <v>0.1334185304</v>
      </c>
      <c r="H3025" s="2">
        <v>1755.0</v>
      </c>
      <c r="I3025" s="3">
        <f t="shared" si="3"/>
        <v>0.2242811502</v>
      </c>
      <c r="J3025" s="2">
        <v>1676.0</v>
      </c>
      <c r="K3025" s="3">
        <f t="shared" si="4"/>
        <v>0.2141853035</v>
      </c>
      <c r="L3025" s="2">
        <v>1058.0</v>
      </c>
      <c r="M3025" s="3">
        <f t="shared" si="5"/>
        <v>0.6028490028</v>
      </c>
      <c r="N3025" s="2">
        <v>9611800.0</v>
      </c>
      <c r="O3025" s="4">
        <f t="shared" si="6"/>
        <v>5476.809117</v>
      </c>
      <c r="P3025" s="2">
        <v>0.0</v>
      </c>
      <c r="Q3025" s="3">
        <f t="shared" si="7"/>
        <v>0</v>
      </c>
      <c r="R3025" s="2">
        <v>731.0</v>
      </c>
      <c r="S3025" s="5">
        <f t="shared" si="8"/>
        <v>0.997271487</v>
      </c>
    </row>
    <row r="3026">
      <c r="A3026" s="2" t="s">
        <v>3034</v>
      </c>
      <c r="B3026" s="2">
        <v>1142.0</v>
      </c>
      <c r="C3026" s="2">
        <v>13217.0</v>
      </c>
      <c r="D3026" s="2">
        <v>4113.0</v>
      </c>
      <c r="E3026" s="3">
        <f t="shared" si="1"/>
        <v>0.340621118</v>
      </c>
      <c r="F3026" s="2">
        <v>1611.0</v>
      </c>
      <c r="G3026" s="3">
        <f t="shared" si="2"/>
        <v>0.1334161491</v>
      </c>
      <c r="H3026" s="2">
        <v>2531.0</v>
      </c>
      <c r="I3026" s="3">
        <f t="shared" si="3"/>
        <v>0.2096066253</v>
      </c>
      <c r="J3026" s="2">
        <v>2143.0</v>
      </c>
      <c r="K3026" s="3">
        <f t="shared" si="4"/>
        <v>0.1774741201</v>
      </c>
      <c r="L3026" s="2">
        <v>1510.0</v>
      </c>
      <c r="M3026" s="3">
        <f t="shared" si="5"/>
        <v>0.5966021335</v>
      </c>
      <c r="N3026" s="2">
        <v>1.3779E7</v>
      </c>
      <c r="O3026" s="4">
        <f t="shared" si="6"/>
        <v>5444.093244</v>
      </c>
      <c r="P3026" s="2">
        <v>3.0</v>
      </c>
      <c r="Q3026" s="3">
        <f t="shared" si="7"/>
        <v>0.002626970228</v>
      </c>
      <c r="R3026" s="2">
        <v>1142.0</v>
      </c>
      <c r="S3026" s="5">
        <f t="shared" si="8"/>
        <v>1</v>
      </c>
    </row>
    <row r="3027">
      <c r="A3027" s="2" t="s">
        <v>3035</v>
      </c>
      <c r="B3027" s="2">
        <v>84.0</v>
      </c>
      <c r="C3027" s="2">
        <v>991.0</v>
      </c>
      <c r="D3027" s="2">
        <v>433.0</v>
      </c>
      <c r="E3027" s="3">
        <f t="shared" si="1"/>
        <v>0.4773980154</v>
      </c>
      <c r="F3027" s="2">
        <v>121.0</v>
      </c>
      <c r="G3027" s="3">
        <f t="shared" si="2"/>
        <v>0.1334068357</v>
      </c>
      <c r="H3027" s="2">
        <v>204.0</v>
      </c>
      <c r="I3027" s="3">
        <f t="shared" si="3"/>
        <v>0.2249173098</v>
      </c>
      <c r="J3027" s="2">
        <v>128.0</v>
      </c>
      <c r="K3027" s="3">
        <f t="shared" si="4"/>
        <v>0.1411245865</v>
      </c>
      <c r="L3027" s="2">
        <v>130.0</v>
      </c>
      <c r="M3027" s="3">
        <f t="shared" si="5"/>
        <v>0.637254902</v>
      </c>
      <c r="N3027" s="2">
        <v>1072300.0</v>
      </c>
      <c r="O3027" s="4">
        <f t="shared" si="6"/>
        <v>5256.372549</v>
      </c>
      <c r="P3027" s="2">
        <v>0.0</v>
      </c>
      <c r="Q3027" s="3">
        <f t="shared" si="7"/>
        <v>0</v>
      </c>
      <c r="R3027" s="2">
        <v>84.0</v>
      </c>
      <c r="S3027" s="5">
        <f t="shared" si="8"/>
        <v>1</v>
      </c>
    </row>
    <row r="3028">
      <c r="A3028" s="2" t="s">
        <v>3036</v>
      </c>
      <c r="B3028" s="2">
        <v>383.0</v>
      </c>
      <c r="C3028" s="2">
        <v>4491.0</v>
      </c>
      <c r="D3028" s="2">
        <v>1590.0</v>
      </c>
      <c r="E3028" s="3">
        <f t="shared" si="1"/>
        <v>0.3870496592</v>
      </c>
      <c r="F3028" s="2">
        <v>548.0</v>
      </c>
      <c r="G3028" s="3">
        <f t="shared" si="2"/>
        <v>0.1333982473</v>
      </c>
      <c r="H3028" s="2">
        <v>875.0</v>
      </c>
      <c r="I3028" s="3">
        <f t="shared" si="3"/>
        <v>0.2129990263</v>
      </c>
      <c r="J3028" s="2">
        <v>736.0</v>
      </c>
      <c r="K3028" s="3">
        <f t="shared" si="4"/>
        <v>0.1791626095</v>
      </c>
      <c r="L3028" s="2">
        <v>522.0</v>
      </c>
      <c r="M3028" s="3">
        <f t="shared" si="5"/>
        <v>0.5965714286</v>
      </c>
      <c r="N3028" s="2">
        <v>4764400.0</v>
      </c>
      <c r="O3028" s="4">
        <f t="shared" si="6"/>
        <v>5445.028571</v>
      </c>
      <c r="P3028" s="2">
        <v>0.0</v>
      </c>
      <c r="Q3028" s="3">
        <f t="shared" si="7"/>
        <v>0</v>
      </c>
      <c r="R3028" s="2">
        <v>373.0</v>
      </c>
      <c r="S3028" s="5">
        <f t="shared" si="8"/>
        <v>0.9738903394</v>
      </c>
    </row>
    <row r="3029">
      <c r="A3029" s="2" t="s">
        <v>3037</v>
      </c>
      <c r="B3029" s="2">
        <v>468.0</v>
      </c>
      <c r="C3029" s="2">
        <v>5514.0</v>
      </c>
      <c r="D3029" s="2">
        <v>1883.0</v>
      </c>
      <c r="E3029" s="3">
        <f t="shared" si="1"/>
        <v>0.3731668648</v>
      </c>
      <c r="F3029" s="2">
        <v>673.0</v>
      </c>
      <c r="G3029" s="3">
        <f t="shared" si="2"/>
        <v>0.1333729687</v>
      </c>
      <c r="H3029" s="2">
        <v>1055.0</v>
      </c>
      <c r="I3029" s="3">
        <f t="shared" si="3"/>
        <v>0.2090764962</v>
      </c>
      <c r="J3029" s="2">
        <v>885.0</v>
      </c>
      <c r="K3029" s="3">
        <f t="shared" si="4"/>
        <v>0.1753864447</v>
      </c>
      <c r="L3029" s="2">
        <v>617.0</v>
      </c>
      <c r="M3029" s="3">
        <f t="shared" si="5"/>
        <v>0.5848341232</v>
      </c>
      <c r="N3029" s="2">
        <v>5993600.0</v>
      </c>
      <c r="O3029" s="4">
        <f t="shared" si="6"/>
        <v>5681.137441</v>
      </c>
      <c r="P3029" s="2">
        <v>1.0</v>
      </c>
      <c r="Q3029" s="3">
        <f t="shared" si="7"/>
        <v>0.002136752137</v>
      </c>
      <c r="R3029" s="2">
        <v>468.0</v>
      </c>
      <c r="S3029" s="5">
        <f t="shared" si="8"/>
        <v>1</v>
      </c>
    </row>
    <row r="3030">
      <c r="A3030" s="2" t="s">
        <v>3038</v>
      </c>
      <c r="B3030" s="2">
        <v>2671.0</v>
      </c>
      <c r="C3030" s="2">
        <v>31253.0</v>
      </c>
      <c r="D3030" s="2">
        <v>8546.0</v>
      </c>
      <c r="E3030" s="3">
        <f t="shared" si="1"/>
        <v>0.2989993702</v>
      </c>
      <c r="F3030" s="2">
        <v>3812.0</v>
      </c>
      <c r="G3030" s="3">
        <f t="shared" si="2"/>
        <v>0.1333706529</v>
      </c>
      <c r="H3030" s="2">
        <v>6131.0</v>
      </c>
      <c r="I3030" s="3">
        <f t="shared" si="3"/>
        <v>0.2145056329</v>
      </c>
      <c r="J3030" s="2">
        <v>4928.0</v>
      </c>
      <c r="K3030" s="3">
        <f t="shared" si="4"/>
        <v>0.172416206</v>
      </c>
      <c r="L3030" s="2">
        <v>3635.0</v>
      </c>
      <c r="M3030" s="3">
        <f t="shared" si="5"/>
        <v>0.5928885989</v>
      </c>
      <c r="N3030" s="2">
        <v>3.46381E7</v>
      </c>
      <c r="O3030" s="4">
        <f t="shared" si="6"/>
        <v>5649.665634</v>
      </c>
      <c r="P3030" s="2">
        <v>4.0</v>
      </c>
      <c r="Q3030" s="3">
        <f t="shared" si="7"/>
        <v>0.001497566455</v>
      </c>
      <c r="R3030" s="2">
        <v>2671.0</v>
      </c>
      <c r="S3030" s="5">
        <f t="shared" si="8"/>
        <v>1</v>
      </c>
    </row>
    <row r="3031">
      <c r="A3031" s="2" t="s">
        <v>3039</v>
      </c>
      <c r="B3031" s="2">
        <v>2097.0</v>
      </c>
      <c r="C3031" s="2">
        <v>24880.0</v>
      </c>
      <c r="D3031" s="2">
        <v>8127.0</v>
      </c>
      <c r="E3031" s="3">
        <f t="shared" si="1"/>
        <v>0.3567133389</v>
      </c>
      <c r="F3031" s="2">
        <v>3038.0</v>
      </c>
      <c r="G3031" s="3">
        <f t="shared" si="2"/>
        <v>0.133345038</v>
      </c>
      <c r="H3031" s="2">
        <v>4818.0</v>
      </c>
      <c r="I3031" s="3">
        <f t="shared" si="3"/>
        <v>0.2114734671</v>
      </c>
      <c r="J3031" s="2">
        <v>2653.0</v>
      </c>
      <c r="K3031" s="3">
        <f t="shared" si="4"/>
        <v>0.1164464732</v>
      </c>
      <c r="L3031" s="2">
        <v>2972.0</v>
      </c>
      <c r="M3031" s="3">
        <f t="shared" si="5"/>
        <v>0.6168534662</v>
      </c>
      <c r="N3031" s="2">
        <v>2.65374E7</v>
      </c>
      <c r="O3031" s="4">
        <f t="shared" si="6"/>
        <v>5507.970112</v>
      </c>
      <c r="P3031" s="2">
        <v>1.0</v>
      </c>
      <c r="Q3031" s="3">
        <f t="shared" si="7"/>
        <v>0.0004768717215</v>
      </c>
      <c r="R3031" s="2">
        <v>2097.0</v>
      </c>
      <c r="S3031" s="5">
        <f t="shared" si="8"/>
        <v>1</v>
      </c>
    </row>
    <row r="3032">
      <c r="A3032" s="2" t="s">
        <v>3040</v>
      </c>
      <c r="B3032" s="2">
        <v>1299.0</v>
      </c>
      <c r="C3032" s="2">
        <v>15061.0</v>
      </c>
      <c r="D3032" s="2">
        <v>4884.0</v>
      </c>
      <c r="E3032" s="3">
        <f t="shared" si="1"/>
        <v>0.3548902776</v>
      </c>
      <c r="F3032" s="2">
        <v>1835.0</v>
      </c>
      <c r="G3032" s="3">
        <f t="shared" si="2"/>
        <v>0.1333381776</v>
      </c>
      <c r="H3032" s="2">
        <v>2855.0</v>
      </c>
      <c r="I3032" s="3">
        <f t="shared" si="3"/>
        <v>0.2074553117</v>
      </c>
      <c r="J3032" s="2">
        <v>2574.0</v>
      </c>
      <c r="K3032" s="3">
        <f t="shared" si="4"/>
        <v>0.1870367679</v>
      </c>
      <c r="L3032" s="2">
        <v>1687.0</v>
      </c>
      <c r="M3032" s="3">
        <f t="shared" si="5"/>
        <v>0.5908931699</v>
      </c>
      <c r="N3032" s="2">
        <v>1.63361E7</v>
      </c>
      <c r="O3032" s="4">
        <f t="shared" si="6"/>
        <v>5721.926445</v>
      </c>
      <c r="P3032" s="2">
        <v>2.0</v>
      </c>
      <c r="Q3032" s="3">
        <f t="shared" si="7"/>
        <v>0.001539645881</v>
      </c>
      <c r="R3032" s="2">
        <v>1299.0</v>
      </c>
      <c r="S3032" s="5">
        <f t="shared" si="8"/>
        <v>1</v>
      </c>
    </row>
    <row r="3033">
      <c r="A3033" s="2" t="s">
        <v>3041</v>
      </c>
      <c r="B3033" s="2">
        <v>1.0</v>
      </c>
      <c r="C3033" s="2">
        <v>16.0</v>
      </c>
      <c r="D3033" s="2">
        <v>5.0</v>
      </c>
      <c r="E3033" s="3">
        <f t="shared" si="1"/>
        <v>0.3333333333</v>
      </c>
      <c r="F3033" s="2">
        <v>2.0</v>
      </c>
      <c r="G3033" s="3">
        <f t="shared" si="2"/>
        <v>0.1333333333</v>
      </c>
      <c r="H3033" s="2">
        <v>4.0</v>
      </c>
      <c r="I3033" s="3">
        <f t="shared" si="3"/>
        <v>0.2666666667</v>
      </c>
      <c r="J3033" s="2">
        <v>6.0</v>
      </c>
      <c r="K3033" s="3">
        <f t="shared" si="4"/>
        <v>0.4</v>
      </c>
      <c r="L3033" s="2">
        <v>3.0</v>
      </c>
      <c r="M3033" s="3">
        <f t="shared" si="5"/>
        <v>0.75</v>
      </c>
      <c r="N3033" s="2">
        <v>25700.0</v>
      </c>
      <c r="O3033" s="4">
        <f t="shared" si="6"/>
        <v>6425</v>
      </c>
      <c r="P3033" s="2">
        <v>0.0</v>
      </c>
      <c r="Q3033" s="3">
        <f t="shared" si="7"/>
        <v>0</v>
      </c>
      <c r="R3033" s="2">
        <v>1.0</v>
      </c>
      <c r="S3033" s="5">
        <f t="shared" si="8"/>
        <v>1</v>
      </c>
    </row>
    <row r="3034">
      <c r="A3034" s="2" t="s">
        <v>3042</v>
      </c>
      <c r="B3034" s="2">
        <v>197.0</v>
      </c>
      <c r="C3034" s="2">
        <v>2297.0</v>
      </c>
      <c r="D3034" s="2">
        <v>707.0</v>
      </c>
      <c r="E3034" s="3">
        <f t="shared" si="1"/>
        <v>0.3366666667</v>
      </c>
      <c r="F3034" s="2">
        <v>280.0</v>
      </c>
      <c r="G3034" s="3">
        <f t="shared" si="2"/>
        <v>0.1333333333</v>
      </c>
      <c r="H3034" s="2">
        <v>432.0</v>
      </c>
      <c r="I3034" s="3">
        <f t="shared" si="3"/>
        <v>0.2057142857</v>
      </c>
      <c r="J3034" s="2">
        <v>422.0</v>
      </c>
      <c r="K3034" s="3">
        <f t="shared" si="4"/>
        <v>0.200952381</v>
      </c>
      <c r="L3034" s="2">
        <v>240.0</v>
      </c>
      <c r="M3034" s="3">
        <f t="shared" si="5"/>
        <v>0.5555555556</v>
      </c>
      <c r="N3034" s="2">
        <v>2547900.0</v>
      </c>
      <c r="O3034" s="4">
        <f t="shared" si="6"/>
        <v>5897.916667</v>
      </c>
      <c r="P3034" s="2">
        <v>0.0</v>
      </c>
      <c r="Q3034" s="3">
        <f t="shared" si="7"/>
        <v>0</v>
      </c>
      <c r="R3034" s="2">
        <v>197.0</v>
      </c>
      <c r="S3034" s="5">
        <f t="shared" si="8"/>
        <v>1</v>
      </c>
    </row>
    <row r="3035">
      <c r="A3035" s="2" t="s">
        <v>3043</v>
      </c>
      <c r="B3035" s="2">
        <v>76.0</v>
      </c>
      <c r="C3035" s="2">
        <v>901.0</v>
      </c>
      <c r="D3035" s="2">
        <v>283.0</v>
      </c>
      <c r="E3035" s="3">
        <f t="shared" si="1"/>
        <v>0.343030303</v>
      </c>
      <c r="F3035" s="2">
        <v>110.0</v>
      </c>
      <c r="G3035" s="3">
        <f t="shared" si="2"/>
        <v>0.1333333333</v>
      </c>
      <c r="H3035" s="2">
        <v>194.0</v>
      </c>
      <c r="I3035" s="3">
        <f t="shared" si="3"/>
        <v>0.2351515152</v>
      </c>
      <c r="J3035" s="2">
        <v>158.0</v>
      </c>
      <c r="K3035" s="3">
        <f t="shared" si="4"/>
        <v>0.1915151515</v>
      </c>
      <c r="L3035" s="2">
        <v>113.0</v>
      </c>
      <c r="M3035" s="3">
        <f t="shared" si="5"/>
        <v>0.5824742268</v>
      </c>
      <c r="N3035" s="2">
        <v>1072900.0</v>
      </c>
      <c r="O3035" s="4">
        <f t="shared" si="6"/>
        <v>5530.412371</v>
      </c>
      <c r="P3035" s="2">
        <v>0.0</v>
      </c>
      <c r="Q3035" s="3">
        <f t="shared" si="7"/>
        <v>0</v>
      </c>
      <c r="R3035" s="2">
        <v>0.0</v>
      </c>
      <c r="S3035" s="5">
        <f t="shared" si="8"/>
        <v>0</v>
      </c>
    </row>
    <row r="3036">
      <c r="A3036" s="2" t="s">
        <v>3044</v>
      </c>
      <c r="B3036" s="2">
        <v>102.0</v>
      </c>
      <c r="C3036" s="2">
        <v>1197.0</v>
      </c>
      <c r="D3036" s="2">
        <v>325.0</v>
      </c>
      <c r="E3036" s="3">
        <f t="shared" si="1"/>
        <v>0.296803653</v>
      </c>
      <c r="F3036" s="2">
        <v>146.0</v>
      </c>
      <c r="G3036" s="3">
        <f t="shared" si="2"/>
        <v>0.1333333333</v>
      </c>
      <c r="H3036" s="2">
        <v>261.0</v>
      </c>
      <c r="I3036" s="3">
        <f t="shared" si="3"/>
        <v>0.2383561644</v>
      </c>
      <c r="J3036" s="2">
        <v>206.0</v>
      </c>
      <c r="K3036" s="3">
        <f t="shared" si="4"/>
        <v>0.1881278539</v>
      </c>
      <c r="L3036" s="2">
        <v>158.0</v>
      </c>
      <c r="M3036" s="3">
        <f t="shared" si="5"/>
        <v>0.6053639847</v>
      </c>
      <c r="N3036" s="2">
        <v>1402000.0</v>
      </c>
      <c r="O3036" s="4">
        <f t="shared" si="6"/>
        <v>5371.64751</v>
      </c>
      <c r="P3036" s="2">
        <v>0.0</v>
      </c>
      <c r="Q3036" s="3">
        <f t="shared" si="7"/>
        <v>0</v>
      </c>
      <c r="R3036" s="2">
        <v>102.0</v>
      </c>
      <c r="S3036" s="5">
        <f t="shared" si="8"/>
        <v>1</v>
      </c>
    </row>
    <row r="3037">
      <c r="A3037" s="2" t="s">
        <v>3045</v>
      </c>
      <c r="B3037" s="2">
        <v>351.0</v>
      </c>
      <c r="C3037" s="2">
        <v>4101.0</v>
      </c>
      <c r="D3037" s="2">
        <v>1371.0</v>
      </c>
      <c r="E3037" s="3">
        <f t="shared" si="1"/>
        <v>0.3656</v>
      </c>
      <c r="F3037" s="2">
        <v>500.0</v>
      </c>
      <c r="G3037" s="3">
        <f t="shared" si="2"/>
        <v>0.1333333333</v>
      </c>
      <c r="H3037" s="2">
        <v>800.0</v>
      </c>
      <c r="I3037" s="3">
        <f t="shared" si="3"/>
        <v>0.2133333333</v>
      </c>
      <c r="J3037" s="2">
        <v>619.0</v>
      </c>
      <c r="K3037" s="3">
        <f t="shared" si="4"/>
        <v>0.1650666667</v>
      </c>
      <c r="L3037" s="2">
        <v>496.0</v>
      </c>
      <c r="M3037" s="3">
        <f t="shared" si="5"/>
        <v>0.62</v>
      </c>
      <c r="N3037" s="2">
        <v>4464100.0</v>
      </c>
      <c r="O3037" s="4">
        <f t="shared" si="6"/>
        <v>5580.125</v>
      </c>
      <c r="P3037" s="2">
        <v>0.0</v>
      </c>
      <c r="Q3037" s="3">
        <f t="shared" si="7"/>
        <v>0</v>
      </c>
      <c r="R3037" s="2">
        <v>351.0</v>
      </c>
      <c r="S3037" s="5">
        <f t="shared" si="8"/>
        <v>1</v>
      </c>
    </row>
    <row r="3038">
      <c r="A3038" s="2" t="s">
        <v>3046</v>
      </c>
      <c r="B3038" s="2">
        <v>195.0</v>
      </c>
      <c r="C3038" s="2">
        <v>2310.0</v>
      </c>
      <c r="D3038" s="2">
        <v>728.0</v>
      </c>
      <c r="E3038" s="3">
        <f t="shared" si="1"/>
        <v>0.3442080378</v>
      </c>
      <c r="F3038" s="2">
        <v>282.0</v>
      </c>
      <c r="G3038" s="3">
        <f t="shared" si="2"/>
        <v>0.1333333333</v>
      </c>
      <c r="H3038" s="2">
        <v>473.0</v>
      </c>
      <c r="I3038" s="3">
        <f t="shared" si="3"/>
        <v>0.2236406619</v>
      </c>
      <c r="J3038" s="2">
        <v>343.0</v>
      </c>
      <c r="K3038" s="3">
        <f t="shared" si="4"/>
        <v>0.1621749409</v>
      </c>
      <c r="L3038" s="2">
        <v>306.0</v>
      </c>
      <c r="M3038" s="3">
        <f t="shared" si="5"/>
        <v>0.6469344609</v>
      </c>
      <c r="N3038" s="2">
        <v>2557400.0</v>
      </c>
      <c r="O3038" s="4">
        <f t="shared" si="6"/>
        <v>5406.765328</v>
      </c>
      <c r="P3038" s="2">
        <v>0.0</v>
      </c>
      <c r="Q3038" s="3">
        <f t="shared" si="7"/>
        <v>0</v>
      </c>
      <c r="R3038" s="2">
        <v>195.0</v>
      </c>
      <c r="S3038" s="5">
        <f t="shared" si="8"/>
        <v>1</v>
      </c>
    </row>
    <row r="3039">
      <c r="A3039" s="2" t="s">
        <v>3047</v>
      </c>
      <c r="B3039" s="2">
        <v>20.0</v>
      </c>
      <c r="C3039" s="2">
        <v>215.0</v>
      </c>
      <c r="D3039" s="2">
        <v>77.0</v>
      </c>
      <c r="E3039" s="3">
        <f t="shared" si="1"/>
        <v>0.3948717949</v>
      </c>
      <c r="F3039" s="2">
        <v>26.0</v>
      </c>
      <c r="G3039" s="3">
        <f t="shared" si="2"/>
        <v>0.1333333333</v>
      </c>
      <c r="H3039" s="2">
        <v>41.0</v>
      </c>
      <c r="I3039" s="3">
        <f t="shared" si="3"/>
        <v>0.2102564103</v>
      </c>
      <c r="J3039" s="2">
        <v>28.0</v>
      </c>
      <c r="K3039" s="3">
        <f t="shared" si="4"/>
        <v>0.1435897436</v>
      </c>
      <c r="L3039" s="2">
        <v>22.0</v>
      </c>
      <c r="M3039" s="3">
        <f t="shared" si="5"/>
        <v>0.5365853659</v>
      </c>
      <c r="N3039" s="2">
        <v>213400.0</v>
      </c>
      <c r="O3039" s="4">
        <f t="shared" si="6"/>
        <v>5204.878049</v>
      </c>
      <c r="P3039" s="2">
        <v>0.0</v>
      </c>
      <c r="Q3039" s="3">
        <f t="shared" si="7"/>
        <v>0</v>
      </c>
      <c r="R3039" s="2">
        <v>20.0</v>
      </c>
      <c r="S3039" s="5">
        <f t="shared" si="8"/>
        <v>1</v>
      </c>
    </row>
    <row r="3040">
      <c r="A3040" s="2" t="s">
        <v>3048</v>
      </c>
      <c r="B3040" s="2">
        <v>702.0</v>
      </c>
      <c r="C3040" s="2">
        <v>8241.0</v>
      </c>
      <c r="D3040" s="2">
        <v>2662.0</v>
      </c>
      <c r="E3040" s="3">
        <f t="shared" si="1"/>
        <v>0.3530972277</v>
      </c>
      <c r="F3040" s="2">
        <v>1005.0</v>
      </c>
      <c r="G3040" s="3">
        <f t="shared" si="2"/>
        <v>0.1333068046</v>
      </c>
      <c r="H3040" s="2">
        <v>1690.0</v>
      </c>
      <c r="I3040" s="3">
        <f t="shared" si="3"/>
        <v>0.2241676615</v>
      </c>
      <c r="J3040" s="2">
        <v>1499.0</v>
      </c>
      <c r="K3040" s="3">
        <f t="shared" si="4"/>
        <v>0.1988327364</v>
      </c>
      <c r="L3040" s="2">
        <v>1014.0</v>
      </c>
      <c r="M3040" s="3">
        <f t="shared" si="5"/>
        <v>0.6</v>
      </c>
      <c r="N3040" s="2">
        <v>9494900.0</v>
      </c>
      <c r="O3040" s="4">
        <f t="shared" si="6"/>
        <v>5618.284024</v>
      </c>
      <c r="P3040" s="2">
        <v>1.0</v>
      </c>
      <c r="Q3040" s="3">
        <f t="shared" si="7"/>
        <v>0.001424501425</v>
      </c>
      <c r="R3040" s="2">
        <v>702.0</v>
      </c>
      <c r="S3040" s="5">
        <f t="shared" si="8"/>
        <v>1</v>
      </c>
    </row>
    <row r="3041">
      <c r="A3041" s="2" t="s">
        <v>3049</v>
      </c>
      <c r="B3041" s="2">
        <v>179.0</v>
      </c>
      <c r="C3041" s="2">
        <v>2107.0</v>
      </c>
      <c r="D3041" s="2">
        <v>574.0</v>
      </c>
      <c r="E3041" s="3">
        <f t="shared" si="1"/>
        <v>0.2977178423</v>
      </c>
      <c r="F3041" s="2">
        <v>257.0</v>
      </c>
      <c r="G3041" s="3">
        <f t="shared" si="2"/>
        <v>0.1332987552</v>
      </c>
      <c r="H3041" s="2">
        <v>333.0</v>
      </c>
      <c r="I3041" s="3">
        <f t="shared" si="3"/>
        <v>0.1727178423</v>
      </c>
      <c r="J3041" s="2">
        <v>262.0</v>
      </c>
      <c r="K3041" s="3">
        <f t="shared" si="4"/>
        <v>0.1358921162</v>
      </c>
      <c r="L3041" s="2">
        <v>213.0</v>
      </c>
      <c r="M3041" s="3">
        <f t="shared" si="5"/>
        <v>0.6396396396</v>
      </c>
      <c r="N3041" s="2">
        <v>1924000.0</v>
      </c>
      <c r="O3041" s="4">
        <f t="shared" si="6"/>
        <v>5777.777778</v>
      </c>
      <c r="P3041" s="2">
        <v>0.0</v>
      </c>
      <c r="Q3041" s="3">
        <f t="shared" si="7"/>
        <v>0</v>
      </c>
      <c r="R3041" s="2">
        <v>179.0</v>
      </c>
      <c r="S3041" s="5">
        <f t="shared" si="8"/>
        <v>1</v>
      </c>
    </row>
    <row r="3042">
      <c r="A3042" s="2" t="s">
        <v>3050</v>
      </c>
      <c r="B3042" s="2">
        <v>1288.0</v>
      </c>
      <c r="C3042" s="2">
        <v>14981.0</v>
      </c>
      <c r="D3042" s="2">
        <v>4833.0</v>
      </c>
      <c r="E3042" s="3">
        <f t="shared" si="1"/>
        <v>0.3529540641</v>
      </c>
      <c r="F3042" s="2">
        <v>1825.0</v>
      </c>
      <c r="G3042" s="3">
        <f t="shared" si="2"/>
        <v>0.133279778</v>
      </c>
      <c r="H3042" s="2">
        <v>3020.0</v>
      </c>
      <c r="I3042" s="3">
        <f t="shared" si="3"/>
        <v>0.2205506463</v>
      </c>
      <c r="J3042" s="2">
        <v>2695.0</v>
      </c>
      <c r="K3042" s="3">
        <f t="shared" si="4"/>
        <v>0.1968158913</v>
      </c>
      <c r="L3042" s="2">
        <v>1764.0</v>
      </c>
      <c r="M3042" s="3">
        <f t="shared" si="5"/>
        <v>0.5841059603</v>
      </c>
      <c r="N3042" s="2">
        <v>1.75113E7</v>
      </c>
      <c r="O3042" s="4">
        <f t="shared" si="6"/>
        <v>5798.443709</v>
      </c>
      <c r="P3042" s="2">
        <v>0.0</v>
      </c>
      <c r="Q3042" s="3">
        <f t="shared" si="7"/>
        <v>0</v>
      </c>
      <c r="R3042" s="2">
        <v>38.0</v>
      </c>
      <c r="S3042" s="5">
        <f t="shared" si="8"/>
        <v>0.02950310559</v>
      </c>
    </row>
    <row r="3043">
      <c r="A3043" s="2" t="s">
        <v>3051</v>
      </c>
      <c r="B3043" s="2">
        <v>559.0</v>
      </c>
      <c r="C3043" s="2">
        <v>6547.0</v>
      </c>
      <c r="D3043" s="2">
        <v>2245.0</v>
      </c>
      <c r="E3043" s="3">
        <f t="shared" si="1"/>
        <v>0.3749164997</v>
      </c>
      <c r="F3043" s="2">
        <v>798.0</v>
      </c>
      <c r="G3043" s="3">
        <f t="shared" si="2"/>
        <v>0.1332665331</v>
      </c>
      <c r="H3043" s="2">
        <v>1306.0</v>
      </c>
      <c r="I3043" s="3">
        <f t="shared" si="3"/>
        <v>0.2181028724</v>
      </c>
      <c r="J3043" s="2">
        <v>1061.0</v>
      </c>
      <c r="K3043" s="3">
        <f t="shared" si="4"/>
        <v>0.1771877088</v>
      </c>
      <c r="L3043" s="2">
        <v>794.0</v>
      </c>
      <c r="M3043" s="3">
        <f t="shared" si="5"/>
        <v>0.6079632466</v>
      </c>
      <c r="N3043" s="2">
        <v>7614000.0</v>
      </c>
      <c r="O3043" s="4">
        <f t="shared" si="6"/>
        <v>5830.015314</v>
      </c>
      <c r="P3043" s="2">
        <v>1.0</v>
      </c>
      <c r="Q3043" s="3">
        <f t="shared" si="7"/>
        <v>0.001788908766</v>
      </c>
      <c r="R3043" s="2">
        <v>0.0</v>
      </c>
      <c r="S3043" s="5">
        <f t="shared" si="8"/>
        <v>0</v>
      </c>
    </row>
    <row r="3044">
      <c r="A3044" s="2" t="s">
        <v>3052</v>
      </c>
      <c r="B3044" s="2">
        <v>1868.0</v>
      </c>
      <c r="C3044" s="2">
        <v>22084.0</v>
      </c>
      <c r="D3044" s="2">
        <v>4358.0</v>
      </c>
      <c r="E3044" s="3">
        <f t="shared" si="1"/>
        <v>0.2155718243</v>
      </c>
      <c r="F3044" s="2">
        <v>2694.0</v>
      </c>
      <c r="G3044" s="3">
        <f t="shared" si="2"/>
        <v>0.1332607835</v>
      </c>
      <c r="H3044" s="2">
        <v>3693.0</v>
      </c>
      <c r="I3044" s="3">
        <f t="shared" si="3"/>
        <v>0.1826770875</v>
      </c>
      <c r="J3044" s="2">
        <v>4113.0</v>
      </c>
      <c r="K3044" s="3">
        <f t="shared" si="4"/>
        <v>0.2034527107</v>
      </c>
      <c r="L3044" s="2">
        <v>2138.0</v>
      </c>
      <c r="M3044" s="3">
        <f t="shared" si="5"/>
        <v>0.5789331167</v>
      </c>
      <c r="N3044" s="2">
        <v>2.48317E7</v>
      </c>
      <c r="O3044" s="4">
        <f t="shared" si="6"/>
        <v>6723.991335</v>
      </c>
      <c r="P3044" s="2">
        <v>5.0</v>
      </c>
      <c r="Q3044" s="3">
        <f t="shared" si="7"/>
        <v>0.002676659529</v>
      </c>
      <c r="R3044" s="2">
        <v>63.0</v>
      </c>
      <c r="S3044" s="5">
        <f t="shared" si="8"/>
        <v>0.03372591006</v>
      </c>
    </row>
    <row r="3045">
      <c r="A3045" s="2" t="s">
        <v>3053</v>
      </c>
      <c r="B3045" s="2">
        <v>67.0</v>
      </c>
      <c r="C3045" s="2">
        <v>795.0</v>
      </c>
      <c r="D3045" s="2">
        <v>203.0</v>
      </c>
      <c r="E3045" s="3">
        <f t="shared" si="1"/>
        <v>0.2788461538</v>
      </c>
      <c r="F3045" s="2">
        <v>97.0</v>
      </c>
      <c r="G3045" s="3">
        <f t="shared" si="2"/>
        <v>0.1332417582</v>
      </c>
      <c r="H3045" s="2">
        <v>153.0</v>
      </c>
      <c r="I3045" s="3">
        <f t="shared" si="3"/>
        <v>0.2101648352</v>
      </c>
      <c r="J3045" s="2">
        <v>142.0</v>
      </c>
      <c r="K3045" s="3">
        <f t="shared" si="4"/>
        <v>0.1950549451</v>
      </c>
      <c r="L3045" s="2">
        <v>99.0</v>
      </c>
      <c r="M3045" s="3">
        <f t="shared" si="5"/>
        <v>0.6470588235</v>
      </c>
      <c r="N3045" s="2">
        <v>859100.0</v>
      </c>
      <c r="O3045" s="4">
        <f t="shared" si="6"/>
        <v>5615.03268</v>
      </c>
      <c r="P3045" s="2">
        <v>0.0</v>
      </c>
      <c r="Q3045" s="3">
        <f t="shared" si="7"/>
        <v>0</v>
      </c>
      <c r="R3045" s="2">
        <v>67.0</v>
      </c>
      <c r="S3045" s="5">
        <f t="shared" si="8"/>
        <v>1</v>
      </c>
    </row>
    <row r="3046">
      <c r="A3046" s="2" t="s">
        <v>3054</v>
      </c>
      <c r="B3046" s="2">
        <v>600.0</v>
      </c>
      <c r="C3046" s="2">
        <v>6942.0</v>
      </c>
      <c r="D3046" s="2">
        <v>2585.0</v>
      </c>
      <c r="E3046" s="3">
        <f t="shared" si="1"/>
        <v>0.4076001261</v>
      </c>
      <c r="F3046" s="2">
        <v>845.0</v>
      </c>
      <c r="G3046" s="3">
        <f t="shared" si="2"/>
        <v>0.133238726</v>
      </c>
      <c r="H3046" s="2">
        <v>1374.0</v>
      </c>
      <c r="I3046" s="3">
        <f t="shared" si="3"/>
        <v>0.2166508988</v>
      </c>
      <c r="J3046" s="2">
        <v>1186.0</v>
      </c>
      <c r="K3046" s="3">
        <f t="shared" si="4"/>
        <v>0.1870072532</v>
      </c>
      <c r="L3046" s="2">
        <v>815.0</v>
      </c>
      <c r="M3046" s="3">
        <f t="shared" si="5"/>
        <v>0.5931586608</v>
      </c>
      <c r="N3046" s="2">
        <v>7684500.0</v>
      </c>
      <c r="O3046" s="4">
        <f t="shared" si="6"/>
        <v>5592.79476</v>
      </c>
      <c r="P3046" s="2">
        <v>1.0</v>
      </c>
      <c r="Q3046" s="3">
        <f t="shared" si="7"/>
        <v>0.001666666667</v>
      </c>
      <c r="R3046" s="2">
        <v>600.0</v>
      </c>
      <c r="S3046" s="5">
        <f t="shared" si="8"/>
        <v>1</v>
      </c>
    </row>
    <row r="3047">
      <c r="A3047" s="2" t="s">
        <v>3055</v>
      </c>
      <c r="B3047" s="2">
        <v>127.0</v>
      </c>
      <c r="C3047" s="2">
        <v>1463.0</v>
      </c>
      <c r="D3047" s="2">
        <v>386.0</v>
      </c>
      <c r="E3047" s="3">
        <f t="shared" si="1"/>
        <v>0.2889221557</v>
      </c>
      <c r="F3047" s="2">
        <v>178.0</v>
      </c>
      <c r="G3047" s="3">
        <f t="shared" si="2"/>
        <v>0.1332335329</v>
      </c>
      <c r="H3047" s="2">
        <v>287.0</v>
      </c>
      <c r="I3047" s="3">
        <f t="shared" si="3"/>
        <v>0.2148203593</v>
      </c>
      <c r="J3047" s="2">
        <v>320.0</v>
      </c>
      <c r="K3047" s="3">
        <f t="shared" si="4"/>
        <v>0.2395209581</v>
      </c>
      <c r="L3047" s="2">
        <v>167.0</v>
      </c>
      <c r="M3047" s="3">
        <f t="shared" si="5"/>
        <v>0.5818815331</v>
      </c>
      <c r="N3047" s="2">
        <v>1731600.0</v>
      </c>
      <c r="O3047" s="4">
        <f t="shared" si="6"/>
        <v>6033.449477</v>
      </c>
      <c r="P3047" s="2">
        <v>0.0</v>
      </c>
      <c r="Q3047" s="3">
        <f t="shared" si="7"/>
        <v>0</v>
      </c>
      <c r="R3047" s="2">
        <v>127.0</v>
      </c>
      <c r="S3047" s="5">
        <f t="shared" si="8"/>
        <v>1</v>
      </c>
    </row>
    <row r="3048">
      <c r="A3048" s="2" t="s">
        <v>3056</v>
      </c>
      <c r="B3048" s="2">
        <v>159.0</v>
      </c>
      <c r="C3048" s="2">
        <v>1893.0</v>
      </c>
      <c r="D3048" s="2">
        <v>589.0</v>
      </c>
      <c r="E3048" s="3">
        <f t="shared" si="1"/>
        <v>0.3396770473</v>
      </c>
      <c r="F3048" s="2">
        <v>231.0</v>
      </c>
      <c r="G3048" s="3">
        <f t="shared" si="2"/>
        <v>0.1332179931</v>
      </c>
      <c r="H3048" s="2">
        <v>365.0</v>
      </c>
      <c r="I3048" s="3">
        <f t="shared" si="3"/>
        <v>0.2104959631</v>
      </c>
      <c r="J3048" s="2">
        <v>315.0</v>
      </c>
      <c r="K3048" s="3">
        <f t="shared" si="4"/>
        <v>0.1816608997</v>
      </c>
      <c r="L3048" s="2">
        <v>229.0</v>
      </c>
      <c r="M3048" s="3">
        <f t="shared" si="5"/>
        <v>0.6273972603</v>
      </c>
      <c r="N3048" s="2">
        <v>1992200.0</v>
      </c>
      <c r="O3048" s="4">
        <f t="shared" si="6"/>
        <v>5458.082192</v>
      </c>
      <c r="P3048" s="2">
        <v>0.0</v>
      </c>
      <c r="Q3048" s="3">
        <f t="shared" si="7"/>
        <v>0</v>
      </c>
      <c r="R3048" s="2">
        <v>159.0</v>
      </c>
      <c r="S3048" s="5">
        <f t="shared" si="8"/>
        <v>1</v>
      </c>
    </row>
    <row r="3049">
      <c r="A3049" s="2" t="s">
        <v>3057</v>
      </c>
      <c r="B3049" s="2">
        <v>54.0</v>
      </c>
      <c r="C3049" s="2">
        <v>617.0</v>
      </c>
      <c r="D3049" s="2">
        <v>169.0</v>
      </c>
      <c r="E3049" s="3">
        <f t="shared" si="1"/>
        <v>0.3001776199</v>
      </c>
      <c r="F3049" s="2">
        <v>75.0</v>
      </c>
      <c r="G3049" s="3">
        <f t="shared" si="2"/>
        <v>0.1332149201</v>
      </c>
      <c r="H3049" s="2">
        <v>128.0</v>
      </c>
      <c r="I3049" s="3">
        <f t="shared" si="3"/>
        <v>0.2273534636</v>
      </c>
      <c r="J3049" s="2">
        <v>106.0</v>
      </c>
      <c r="K3049" s="3">
        <f t="shared" si="4"/>
        <v>0.188277087</v>
      </c>
      <c r="L3049" s="2">
        <v>70.0</v>
      </c>
      <c r="M3049" s="3">
        <f t="shared" si="5"/>
        <v>0.546875</v>
      </c>
      <c r="N3049" s="2">
        <v>628400.0</v>
      </c>
      <c r="O3049" s="4">
        <f t="shared" si="6"/>
        <v>4909.375</v>
      </c>
      <c r="P3049" s="2">
        <v>0.0</v>
      </c>
      <c r="Q3049" s="3">
        <f t="shared" si="7"/>
        <v>0</v>
      </c>
      <c r="R3049" s="2">
        <v>53.0</v>
      </c>
      <c r="S3049" s="5">
        <f t="shared" si="8"/>
        <v>0.9814814815</v>
      </c>
    </row>
    <row r="3050">
      <c r="A3050" s="2" t="s">
        <v>3058</v>
      </c>
      <c r="B3050" s="2">
        <v>259.0</v>
      </c>
      <c r="C3050" s="2">
        <v>3029.0</v>
      </c>
      <c r="D3050" s="2">
        <v>922.0</v>
      </c>
      <c r="E3050" s="3">
        <f t="shared" si="1"/>
        <v>0.3328519856</v>
      </c>
      <c r="F3050" s="2">
        <v>369.0</v>
      </c>
      <c r="G3050" s="3">
        <f t="shared" si="2"/>
        <v>0.1332129964</v>
      </c>
      <c r="H3050" s="2">
        <v>600.0</v>
      </c>
      <c r="I3050" s="3">
        <f t="shared" si="3"/>
        <v>0.2166064982</v>
      </c>
      <c r="J3050" s="2">
        <v>498.0</v>
      </c>
      <c r="K3050" s="3">
        <f t="shared" si="4"/>
        <v>0.1797833935</v>
      </c>
      <c r="L3050" s="2">
        <v>357.0</v>
      </c>
      <c r="M3050" s="3">
        <f t="shared" si="5"/>
        <v>0.595</v>
      </c>
      <c r="N3050" s="2">
        <v>3156000.0</v>
      </c>
      <c r="O3050" s="4">
        <f t="shared" si="6"/>
        <v>5260</v>
      </c>
      <c r="P3050" s="2">
        <v>0.0</v>
      </c>
      <c r="Q3050" s="3">
        <f t="shared" si="7"/>
        <v>0</v>
      </c>
      <c r="R3050" s="2">
        <v>259.0</v>
      </c>
      <c r="S3050" s="5">
        <f t="shared" si="8"/>
        <v>1</v>
      </c>
    </row>
    <row r="3051">
      <c r="A3051" s="2" t="s">
        <v>3059</v>
      </c>
      <c r="B3051" s="2">
        <v>634.0</v>
      </c>
      <c r="C3051" s="2">
        <v>7383.0</v>
      </c>
      <c r="D3051" s="2">
        <v>2360.0</v>
      </c>
      <c r="E3051" s="3">
        <f t="shared" si="1"/>
        <v>0.3496814343</v>
      </c>
      <c r="F3051" s="2">
        <v>899.0</v>
      </c>
      <c r="G3051" s="3">
        <f t="shared" si="2"/>
        <v>0.1332049192</v>
      </c>
      <c r="H3051" s="2">
        <v>1438.0</v>
      </c>
      <c r="I3051" s="3">
        <f t="shared" si="3"/>
        <v>0.2130686028</v>
      </c>
      <c r="J3051" s="2">
        <v>1143.0</v>
      </c>
      <c r="K3051" s="3">
        <f t="shared" si="4"/>
        <v>0.1693584235</v>
      </c>
      <c r="L3051" s="2">
        <v>889.0</v>
      </c>
      <c r="M3051" s="3">
        <f t="shared" si="5"/>
        <v>0.6182197497</v>
      </c>
      <c r="N3051" s="2">
        <v>8619500.0</v>
      </c>
      <c r="O3051" s="4">
        <f t="shared" si="6"/>
        <v>5994.089013</v>
      </c>
      <c r="P3051" s="2">
        <v>0.0</v>
      </c>
      <c r="Q3051" s="3">
        <f t="shared" si="7"/>
        <v>0</v>
      </c>
      <c r="R3051" s="2">
        <v>634.0</v>
      </c>
      <c r="S3051" s="5">
        <f t="shared" si="8"/>
        <v>1</v>
      </c>
    </row>
    <row r="3052">
      <c r="A3052" s="2" t="s">
        <v>3060</v>
      </c>
      <c r="B3052" s="2">
        <v>2195.0</v>
      </c>
      <c r="C3052" s="2">
        <v>25853.0</v>
      </c>
      <c r="D3052" s="2">
        <v>8837.0</v>
      </c>
      <c r="E3052" s="3">
        <f t="shared" si="1"/>
        <v>0.3735311523</v>
      </c>
      <c r="F3052" s="2">
        <v>3151.0</v>
      </c>
      <c r="G3052" s="3">
        <f t="shared" si="2"/>
        <v>0.1331896187</v>
      </c>
      <c r="H3052" s="2">
        <v>5178.0</v>
      </c>
      <c r="I3052" s="3">
        <f t="shared" si="3"/>
        <v>0.2188688816</v>
      </c>
      <c r="J3052" s="2">
        <v>4244.0</v>
      </c>
      <c r="K3052" s="3">
        <f t="shared" si="4"/>
        <v>0.1793896356</v>
      </c>
      <c r="L3052" s="2">
        <v>3104.0</v>
      </c>
      <c r="M3052" s="3">
        <f t="shared" si="5"/>
        <v>0.5994592507</v>
      </c>
      <c r="N3052" s="2">
        <v>2.85106E7</v>
      </c>
      <c r="O3052" s="4">
        <f t="shared" si="6"/>
        <v>5506.102742</v>
      </c>
      <c r="P3052" s="2">
        <v>7.0</v>
      </c>
      <c r="Q3052" s="3">
        <f t="shared" si="7"/>
        <v>0.003189066059</v>
      </c>
      <c r="R3052" s="2">
        <v>2195.0</v>
      </c>
      <c r="S3052" s="5">
        <f t="shared" si="8"/>
        <v>1</v>
      </c>
    </row>
    <row r="3053">
      <c r="A3053" s="2" t="s">
        <v>3061</v>
      </c>
      <c r="B3053" s="2">
        <v>76.0</v>
      </c>
      <c r="C3053" s="2">
        <v>857.0</v>
      </c>
      <c r="D3053" s="2">
        <v>262.0</v>
      </c>
      <c r="E3053" s="3">
        <f t="shared" si="1"/>
        <v>0.3354673496</v>
      </c>
      <c r="F3053" s="2">
        <v>104.0</v>
      </c>
      <c r="G3053" s="3">
        <f t="shared" si="2"/>
        <v>0.133162612</v>
      </c>
      <c r="H3053" s="2">
        <v>171.0</v>
      </c>
      <c r="I3053" s="3">
        <f t="shared" si="3"/>
        <v>0.218950064</v>
      </c>
      <c r="J3053" s="2">
        <v>160.0</v>
      </c>
      <c r="K3053" s="3">
        <f t="shared" si="4"/>
        <v>0.204865557</v>
      </c>
      <c r="L3053" s="2">
        <v>105.0</v>
      </c>
      <c r="M3053" s="3">
        <f t="shared" si="5"/>
        <v>0.6140350877</v>
      </c>
      <c r="N3053" s="2">
        <v>953900.0</v>
      </c>
      <c r="O3053" s="4">
        <f t="shared" si="6"/>
        <v>5578.362573</v>
      </c>
      <c r="P3053" s="2">
        <v>0.0</v>
      </c>
      <c r="Q3053" s="3">
        <f t="shared" si="7"/>
        <v>0</v>
      </c>
      <c r="R3053" s="2">
        <v>0.0</v>
      </c>
      <c r="S3053" s="5">
        <f t="shared" si="8"/>
        <v>0</v>
      </c>
    </row>
    <row r="3054">
      <c r="A3054" s="2" t="s">
        <v>3062</v>
      </c>
      <c r="B3054" s="2">
        <v>1472.0</v>
      </c>
      <c r="C3054" s="2">
        <v>17408.0</v>
      </c>
      <c r="D3054" s="2">
        <v>4461.0</v>
      </c>
      <c r="E3054" s="3">
        <f t="shared" si="1"/>
        <v>0.2799322289</v>
      </c>
      <c r="F3054" s="2">
        <v>2122.0</v>
      </c>
      <c r="G3054" s="3">
        <f t="shared" si="2"/>
        <v>0.1331576305</v>
      </c>
      <c r="H3054" s="2">
        <v>3163.0</v>
      </c>
      <c r="I3054" s="3">
        <f t="shared" si="3"/>
        <v>0.1984814257</v>
      </c>
      <c r="J3054" s="2">
        <v>3367.0</v>
      </c>
      <c r="K3054" s="3">
        <f t="shared" si="4"/>
        <v>0.2112826305</v>
      </c>
      <c r="L3054" s="2">
        <v>1841.0</v>
      </c>
      <c r="M3054" s="3">
        <f t="shared" si="5"/>
        <v>0.5820423648</v>
      </c>
      <c r="N3054" s="2">
        <v>1.91867E7</v>
      </c>
      <c r="O3054" s="4">
        <f t="shared" si="6"/>
        <v>6065.981663</v>
      </c>
      <c r="P3054" s="2">
        <v>2.0</v>
      </c>
      <c r="Q3054" s="3">
        <f t="shared" si="7"/>
        <v>0.001358695652</v>
      </c>
      <c r="R3054" s="2">
        <v>19.0</v>
      </c>
      <c r="S3054" s="5">
        <f t="shared" si="8"/>
        <v>0.0129076087</v>
      </c>
    </row>
    <row r="3055">
      <c r="A3055" s="2" t="s">
        <v>3063</v>
      </c>
      <c r="B3055" s="2">
        <v>3397.0</v>
      </c>
      <c r="C3055" s="2">
        <v>39843.0</v>
      </c>
      <c r="D3055" s="2">
        <v>14193.0</v>
      </c>
      <c r="E3055" s="3">
        <f t="shared" si="1"/>
        <v>0.3894254514</v>
      </c>
      <c r="F3055" s="2">
        <v>4853.0</v>
      </c>
      <c r="G3055" s="3">
        <f t="shared" si="2"/>
        <v>0.1331559019</v>
      </c>
      <c r="H3055" s="2">
        <v>7861.0</v>
      </c>
      <c r="I3055" s="3">
        <f t="shared" si="3"/>
        <v>0.2156889645</v>
      </c>
      <c r="J3055" s="2">
        <v>6317.0</v>
      </c>
      <c r="K3055" s="3">
        <f t="shared" si="4"/>
        <v>0.1733249191</v>
      </c>
      <c r="L3055" s="2">
        <v>4635.0</v>
      </c>
      <c r="M3055" s="3">
        <f t="shared" si="5"/>
        <v>0.5896196413</v>
      </c>
      <c r="N3055" s="2">
        <v>4.48919E7</v>
      </c>
      <c r="O3055" s="4">
        <f t="shared" si="6"/>
        <v>5710.711105</v>
      </c>
      <c r="P3055" s="2">
        <v>6.0</v>
      </c>
      <c r="Q3055" s="3">
        <f t="shared" si="7"/>
        <v>0.001766264351</v>
      </c>
      <c r="R3055" s="2">
        <v>3397.0</v>
      </c>
      <c r="S3055" s="5">
        <f t="shared" si="8"/>
        <v>1</v>
      </c>
    </row>
    <row r="3056">
      <c r="A3056" s="2" t="s">
        <v>3064</v>
      </c>
      <c r="B3056" s="2">
        <v>224.0</v>
      </c>
      <c r="C3056" s="2">
        <v>2620.0</v>
      </c>
      <c r="D3056" s="2">
        <v>983.0</v>
      </c>
      <c r="E3056" s="3">
        <f t="shared" si="1"/>
        <v>0.4102671119</v>
      </c>
      <c r="F3056" s="2">
        <v>319.0</v>
      </c>
      <c r="G3056" s="3">
        <f t="shared" si="2"/>
        <v>0.1331385643</v>
      </c>
      <c r="H3056" s="2">
        <v>526.0</v>
      </c>
      <c r="I3056" s="3">
        <f t="shared" si="3"/>
        <v>0.2195325543</v>
      </c>
      <c r="J3056" s="2">
        <v>381.0</v>
      </c>
      <c r="K3056" s="3">
        <f t="shared" si="4"/>
        <v>0.159015025</v>
      </c>
      <c r="L3056" s="2">
        <v>306.0</v>
      </c>
      <c r="M3056" s="3">
        <f t="shared" si="5"/>
        <v>0.5817490494</v>
      </c>
      <c r="N3056" s="2">
        <v>2807200.0</v>
      </c>
      <c r="O3056" s="4">
        <f t="shared" si="6"/>
        <v>5336.882129</v>
      </c>
      <c r="P3056" s="2">
        <v>0.0</v>
      </c>
      <c r="Q3056" s="3">
        <f t="shared" si="7"/>
        <v>0</v>
      </c>
      <c r="R3056" s="2">
        <v>224.0</v>
      </c>
      <c r="S3056" s="5">
        <f t="shared" si="8"/>
        <v>1</v>
      </c>
    </row>
    <row r="3057">
      <c r="A3057" s="2" t="s">
        <v>3065</v>
      </c>
      <c r="B3057" s="2">
        <v>2115.0</v>
      </c>
      <c r="C3057" s="2">
        <v>24821.0</v>
      </c>
      <c r="D3057" s="2">
        <v>8273.0</v>
      </c>
      <c r="E3057" s="3">
        <f t="shared" si="1"/>
        <v>0.3643530344</v>
      </c>
      <c r="F3057" s="2">
        <v>3023.0</v>
      </c>
      <c r="G3057" s="3">
        <f t="shared" si="2"/>
        <v>0.1331366159</v>
      </c>
      <c r="H3057" s="2">
        <v>4897.0</v>
      </c>
      <c r="I3057" s="3">
        <f t="shared" si="3"/>
        <v>0.215669867</v>
      </c>
      <c r="J3057" s="2">
        <v>4083.0</v>
      </c>
      <c r="K3057" s="3">
        <f t="shared" si="4"/>
        <v>0.1798203118</v>
      </c>
      <c r="L3057" s="2">
        <v>2938.0</v>
      </c>
      <c r="M3057" s="3">
        <f t="shared" si="5"/>
        <v>0.5999591587</v>
      </c>
      <c r="N3057" s="2">
        <v>2.70114E7</v>
      </c>
      <c r="O3057" s="4">
        <f t="shared" si="6"/>
        <v>5515.907699</v>
      </c>
      <c r="P3057" s="2">
        <v>4.0</v>
      </c>
      <c r="Q3057" s="3">
        <f t="shared" si="7"/>
        <v>0.001891252955</v>
      </c>
      <c r="R3057" s="2">
        <v>2115.0</v>
      </c>
      <c r="S3057" s="5">
        <f t="shared" si="8"/>
        <v>1</v>
      </c>
    </row>
    <row r="3058">
      <c r="A3058" s="2" t="s">
        <v>3066</v>
      </c>
      <c r="B3058" s="2">
        <v>184.0</v>
      </c>
      <c r="C3058" s="2">
        <v>2152.0</v>
      </c>
      <c r="D3058" s="2">
        <v>584.0</v>
      </c>
      <c r="E3058" s="3">
        <f t="shared" si="1"/>
        <v>0.2967479675</v>
      </c>
      <c r="F3058" s="2">
        <v>262.0</v>
      </c>
      <c r="G3058" s="3">
        <f t="shared" si="2"/>
        <v>0.1331300813</v>
      </c>
      <c r="H3058" s="2">
        <v>397.0</v>
      </c>
      <c r="I3058" s="3">
        <f t="shared" si="3"/>
        <v>0.2017276423</v>
      </c>
      <c r="J3058" s="2">
        <v>373.0</v>
      </c>
      <c r="K3058" s="3">
        <f t="shared" si="4"/>
        <v>0.1895325203</v>
      </c>
      <c r="L3058" s="2">
        <v>224.0</v>
      </c>
      <c r="M3058" s="3">
        <f t="shared" si="5"/>
        <v>0.564231738</v>
      </c>
      <c r="N3058" s="2">
        <v>2237600.0</v>
      </c>
      <c r="O3058" s="4">
        <f t="shared" si="6"/>
        <v>5636.27204</v>
      </c>
      <c r="P3058" s="2">
        <v>0.0</v>
      </c>
      <c r="Q3058" s="3">
        <f t="shared" si="7"/>
        <v>0</v>
      </c>
      <c r="R3058" s="2">
        <v>184.0</v>
      </c>
      <c r="S3058" s="5">
        <f t="shared" si="8"/>
        <v>1</v>
      </c>
    </row>
    <row r="3059">
      <c r="A3059" s="2" t="s">
        <v>3067</v>
      </c>
      <c r="B3059" s="2">
        <v>5268.0</v>
      </c>
      <c r="C3059" s="2">
        <v>61660.0</v>
      </c>
      <c r="D3059" s="2">
        <v>16052.0</v>
      </c>
      <c r="E3059" s="3">
        <f t="shared" si="1"/>
        <v>0.284650305</v>
      </c>
      <c r="F3059" s="2">
        <v>7507.0</v>
      </c>
      <c r="G3059" s="3">
        <f t="shared" si="2"/>
        <v>0.1331217194</v>
      </c>
      <c r="H3059" s="2">
        <v>11543.0</v>
      </c>
      <c r="I3059" s="3">
        <f t="shared" si="3"/>
        <v>0.2046921549</v>
      </c>
      <c r="J3059" s="2">
        <v>10999.0</v>
      </c>
      <c r="K3059" s="3">
        <f t="shared" si="4"/>
        <v>0.1950453965</v>
      </c>
      <c r="L3059" s="2">
        <v>6738.0</v>
      </c>
      <c r="M3059" s="3">
        <f t="shared" si="5"/>
        <v>0.5837303994</v>
      </c>
      <c r="N3059" s="2">
        <v>7.08198E7</v>
      </c>
      <c r="O3059" s="4">
        <f t="shared" si="6"/>
        <v>6135.302781</v>
      </c>
      <c r="P3059" s="2">
        <v>9.0</v>
      </c>
      <c r="Q3059" s="3">
        <f t="shared" si="7"/>
        <v>0.001708428246</v>
      </c>
      <c r="R3059" s="2">
        <v>5268.0</v>
      </c>
      <c r="S3059" s="5">
        <f t="shared" si="8"/>
        <v>1</v>
      </c>
    </row>
    <row r="3060">
      <c r="A3060" s="2" t="s">
        <v>3068</v>
      </c>
      <c r="B3060" s="2">
        <v>225.0</v>
      </c>
      <c r="C3060" s="2">
        <v>2614.0</v>
      </c>
      <c r="D3060" s="2">
        <v>790.0</v>
      </c>
      <c r="E3060" s="3">
        <f t="shared" si="1"/>
        <v>0.3306822938</v>
      </c>
      <c r="F3060" s="2">
        <v>318.0</v>
      </c>
      <c r="G3060" s="3">
        <f t="shared" si="2"/>
        <v>0.1331100879</v>
      </c>
      <c r="H3060" s="2">
        <v>468.0</v>
      </c>
      <c r="I3060" s="3">
        <f t="shared" si="3"/>
        <v>0.1958978652</v>
      </c>
      <c r="J3060" s="2">
        <v>408.0</v>
      </c>
      <c r="K3060" s="3">
        <f t="shared" si="4"/>
        <v>0.1707827543</v>
      </c>
      <c r="L3060" s="2">
        <v>281.0</v>
      </c>
      <c r="M3060" s="3">
        <f t="shared" si="5"/>
        <v>0.6004273504</v>
      </c>
      <c r="N3060" s="2">
        <v>2698600.0</v>
      </c>
      <c r="O3060" s="4">
        <f t="shared" si="6"/>
        <v>5766.239316</v>
      </c>
      <c r="P3060" s="2">
        <v>0.0</v>
      </c>
      <c r="Q3060" s="3">
        <f t="shared" si="7"/>
        <v>0</v>
      </c>
      <c r="R3060" s="2">
        <v>225.0</v>
      </c>
      <c r="S3060" s="5">
        <f t="shared" si="8"/>
        <v>1</v>
      </c>
    </row>
    <row r="3061">
      <c r="A3061" s="2" t="s">
        <v>3069</v>
      </c>
      <c r="B3061" s="2">
        <v>401.0</v>
      </c>
      <c r="C3061" s="2">
        <v>4736.0</v>
      </c>
      <c r="D3061" s="2">
        <v>1595.0</v>
      </c>
      <c r="E3061" s="3">
        <f t="shared" si="1"/>
        <v>0.3679354095</v>
      </c>
      <c r="F3061" s="2">
        <v>577.0</v>
      </c>
      <c r="G3061" s="3">
        <f t="shared" si="2"/>
        <v>0.1331026528</v>
      </c>
      <c r="H3061" s="2">
        <v>898.0</v>
      </c>
      <c r="I3061" s="3">
        <f t="shared" si="3"/>
        <v>0.2071510957</v>
      </c>
      <c r="J3061" s="2">
        <v>721.0</v>
      </c>
      <c r="K3061" s="3">
        <f t="shared" si="4"/>
        <v>0.1663206459</v>
      </c>
      <c r="L3061" s="2">
        <v>494.0</v>
      </c>
      <c r="M3061" s="3">
        <f t="shared" si="5"/>
        <v>0.5501113586</v>
      </c>
      <c r="N3061" s="2">
        <v>5222000.0</v>
      </c>
      <c r="O3061" s="4">
        <f t="shared" si="6"/>
        <v>5815.144766</v>
      </c>
      <c r="P3061" s="2">
        <v>1.0</v>
      </c>
      <c r="Q3061" s="3">
        <f t="shared" si="7"/>
        <v>0.002493765586</v>
      </c>
      <c r="R3061" s="2">
        <v>401.0</v>
      </c>
      <c r="S3061" s="5">
        <f t="shared" si="8"/>
        <v>1</v>
      </c>
    </row>
    <row r="3062">
      <c r="A3062" s="2" t="s">
        <v>3070</v>
      </c>
      <c r="B3062" s="2">
        <v>481.0</v>
      </c>
      <c r="C3062" s="2">
        <v>5590.0</v>
      </c>
      <c r="D3062" s="2">
        <v>1903.0</v>
      </c>
      <c r="E3062" s="3">
        <f t="shared" si="1"/>
        <v>0.3724799374</v>
      </c>
      <c r="F3062" s="2">
        <v>680.0</v>
      </c>
      <c r="G3062" s="3">
        <f t="shared" si="2"/>
        <v>0.1330984537</v>
      </c>
      <c r="H3062" s="2">
        <v>1108.0</v>
      </c>
      <c r="I3062" s="3">
        <f t="shared" si="3"/>
        <v>0.2168721863</v>
      </c>
      <c r="J3062" s="2">
        <v>832.0</v>
      </c>
      <c r="K3062" s="3">
        <f t="shared" si="4"/>
        <v>0.1628498728</v>
      </c>
      <c r="L3062" s="2">
        <v>660.0</v>
      </c>
      <c r="M3062" s="3">
        <f t="shared" si="5"/>
        <v>0.59566787</v>
      </c>
      <c r="N3062" s="2">
        <v>6035900.0</v>
      </c>
      <c r="O3062" s="4">
        <f t="shared" si="6"/>
        <v>5447.563177</v>
      </c>
      <c r="P3062" s="2">
        <v>0.0</v>
      </c>
      <c r="Q3062" s="3">
        <f t="shared" si="7"/>
        <v>0</v>
      </c>
      <c r="R3062" s="2">
        <v>455.0</v>
      </c>
      <c r="S3062" s="5">
        <f t="shared" si="8"/>
        <v>0.9459459459</v>
      </c>
    </row>
    <row r="3063">
      <c r="A3063" s="2" t="s">
        <v>3071</v>
      </c>
      <c r="B3063" s="2">
        <v>2247.0</v>
      </c>
      <c r="C3063" s="2">
        <v>26410.0</v>
      </c>
      <c r="D3063" s="2">
        <v>8821.0</v>
      </c>
      <c r="E3063" s="3">
        <f t="shared" si="1"/>
        <v>0.3650622853</v>
      </c>
      <c r="F3063" s="2">
        <v>3216.0</v>
      </c>
      <c r="G3063" s="3">
        <f t="shared" si="2"/>
        <v>0.133096056</v>
      </c>
      <c r="H3063" s="2">
        <v>5142.0</v>
      </c>
      <c r="I3063" s="3">
        <f t="shared" si="3"/>
        <v>0.2128047014</v>
      </c>
      <c r="J3063" s="2">
        <v>3887.0</v>
      </c>
      <c r="K3063" s="3">
        <f t="shared" si="4"/>
        <v>0.1608657865</v>
      </c>
      <c r="L3063" s="2">
        <v>3080.0</v>
      </c>
      <c r="M3063" s="3">
        <f t="shared" si="5"/>
        <v>0.5989887203</v>
      </c>
      <c r="N3063" s="2">
        <v>2.88415E7</v>
      </c>
      <c r="O3063" s="4">
        <f t="shared" si="6"/>
        <v>5609.004278</v>
      </c>
      <c r="P3063" s="2">
        <v>4.0</v>
      </c>
      <c r="Q3063" s="3">
        <f t="shared" si="7"/>
        <v>0.001780151313</v>
      </c>
      <c r="R3063" s="2">
        <v>2247.0</v>
      </c>
      <c r="S3063" s="5">
        <f t="shared" si="8"/>
        <v>1</v>
      </c>
    </row>
    <row r="3064">
      <c r="A3064" s="2" t="s">
        <v>3072</v>
      </c>
      <c r="B3064" s="2">
        <v>2021.0</v>
      </c>
      <c r="C3064" s="2">
        <v>23562.0</v>
      </c>
      <c r="D3064" s="2">
        <v>7596.0</v>
      </c>
      <c r="E3064" s="3">
        <f t="shared" si="1"/>
        <v>0.3526298686</v>
      </c>
      <c r="F3064" s="2">
        <v>2867.0</v>
      </c>
      <c r="G3064" s="3">
        <f t="shared" si="2"/>
        <v>0.1330950281</v>
      </c>
      <c r="H3064" s="2">
        <v>4693.0</v>
      </c>
      <c r="I3064" s="3">
        <f t="shared" si="3"/>
        <v>0.2178636089</v>
      </c>
      <c r="J3064" s="2">
        <v>4288.0</v>
      </c>
      <c r="K3064" s="3">
        <f t="shared" si="4"/>
        <v>0.1990622534</v>
      </c>
      <c r="L3064" s="2">
        <v>2750.0</v>
      </c>
      <c r="M3064" s="3">
        <f t="shared" si="5"/>
        <v>0.5859791178</v>
      </c>
      <c r="N3064" s="2">
        <v>2.69952E7</v>
      </c>
      <c r="O3064" s="4">
        <f t="shared" si="6"/>
        <v>5752.226721</v>
      </c>
      <c r="P3064" s="2">
        <v>2.0</v>
      </c>
      <c r="Q3064" s="3">
        <f t="shared" si="7"/>
        <v>0.0009896091044</v>
      </c>
      <c r="R3064" s="2">
        <v>1902.0</v>
      </c>
      <c r="S3064" s="5">
        <f t="shared" si="8"/>
        <v>0.9411182583</v>
      </c>
    </row>
    <row r="3065">
      <c r="A3065" s="2" t="s">
        <v>3073</v>
      </c>
      <c r="B3065" s="2">
        <v>332.0</v>
      </c>
      <c r="C3065" s="2">
        <v>3894.0</v>
      </c>
      <c r="D3065" s="2">
        <v>1273.0</v>
      </c>
      <c r="E3065" s="3">
        <f t="shared" si="1"/>
        <v>0.3573834924</v>
      </c>
      <c r="F3065" s="2">
        <v>474.0</v>
      </c>
      <c r="G3065" s="3">
        <f t="shared" si="2"/>
        <v>0.1330713083</v>
      </c>
      <c r="H3065" s="2">
        <v>812.0</v>
      </c>
      <c r="I3065" s="3">
        <f t="shared" si="3"/>
        <v>0.2279618192</v>
      </c>
      <c r="J3065" s="2">
        <v>573.0</v>
      </c>
      <c r="K3065" s="3">
        <f t="shared" si="4"/>
        <v>0.1608646828</v>
      </c>
      <c r="L3065" s="2">
        <v>496.0</v>
      </c>
      <c r="M3065" s="3">
        <f t="shared" si="5"/>
        <v>0.6108374384</v>
      </c>
      <c r="N3065" s="2">
        <v>4342100.0</v>
      </c>
      <c r="O3065" s="4">
        <f t="shared" si="6"/>
        <v>5347.413793</v>
      </c>
      <c r="P3065" s="2">
        <v>0.0</v>
      </c>
      <c r="Q3065" s="3">
        <f t="shared" si="7"/>
        <v>0</v>
      </c>
      <c r="R3065" s="2">
        <v>332.0</v>
      </c>
      <c r="S3065" s="5">
        <f t="shared" si="8"/>
        <v>1</v>
      </c>
    </row>
    <row r="3066">
      <c r="A3066" s="2" t="s">
        <v>3074</v>
      </c>
      <c r="B3066" s="2">
        <v>736.0</v>
      </c>
      <c r="C3066" s="2">
        <v>8619.0</v>
      </c>
      <c r="D3066" s="2">
        <v>2582.0</v>
      </c>
      <c r="E3066" s="3">
        <f t="shared" si="1"/>
        <v>0.3275402765</v>
      </c>
      <c r="F3066" s="2">
        <v>1049.0</v>
      </c>
      <c r="G3066" s="3">
        <f t="shared" si="2"/>
        <v>0.1330711658</v>
      </c>
      <c r="H3066" s="2">
        <v>1607.0</v>
      </c>
      <c r="I3066" s="3">
        <f t="shared" si="3"/>
        <v>0.2038563998</v>
      </c>
      <c r="J3066" s="2">
        <v>1238.0</v>
      </c>
      <c r="K3066" s="3">
        <f t="shared" si="4"/>
        <v>0.1570468096</v>
      </c>
      <c r="L3066" s="2">
        <v>947.0</v>
      </c>
      <c r="M3066" s="3">
        <f t="shared" si="5"/>
        <v>0.5892968264</v>
      </c>
      <c r="N3066" s="2">
        <v>9172500.0</v>
      </c>
      <c r="O3066" s="4">
        <f t="shared" si="6"/>
        <v>5707.840697</v>
      </c>
      <c r="P3066" s="2">
        <v>1.0</v>
      </c>
      <c r="Q3066" s="3">
        <f t="shared" si="7"/>
        <v>0.001358695652</v>
      </c>
      <c r="R3066" s="2">
        <v>736.0</v>
      </c>
      <c r="S3066" s="5">
        <f t="shared" si="8"/>
        <v>1</v>
      </c>
    </row>
    <row r="3067">
      <c r="A3067" s="2" t="s">
        <v>3075</v>
      </c>
      <c r="B3067" s="2">
        <v>52.0</v>
      </c>
      <c r="C3067" s="2">
        <v>548.0</v>
      </c>
      <c r="D3067" s="2">
        <v>203.0</v>
      </c>
      <c r="E3067" s="3">
        <f t="shared" si="1"/>
        <v>0.4092741935</v>
      </c>
      <c r="F3067" s="2">
        <v>66.0</v>
      </c>
      <c r="G3067" s="3">
        <f t="shared" si="2"/>
        <v>0.1330645161</v>
      </c>
      <c r="H3067" s="2">
        <v>94.0</v>
      </c>
      <c r="I3067" s="3">
        <f t="shared" si="3"/>
        <v>0.189516129</v>
      </c>
      <c r="J3067" s="2">
        <v>63.0</v>
      </c>
      <c r="K3067" s="3">
        <f t="shared" si="4"/>
        <v>0.127016129</v>
      </c>
      <c r="L3067" s="2">
        <v>61.0</v>
      </c>
      <c r="M3067" s="3">
        <f t="shared" si="5"/>
        <v>0.6489361702</v>
      </c>
      <c r="N3067" s="2">
        <v>565100.0</v>
      </c>
      <c r="O3067" s="4">
        <f t="shared" si="6"/>
        <v>6011.702128</v>
      </c>
      <c r="P3067" s="2">
        <v>1.0</v>
      </c>
      <c r="Q3067" s="3">
        <f t="shared" si="7"/>
        <v>0.01923076923</v>
      </c>
      <c r="R3067" s="2">
        <v>52.0</v>
      </c>
      <c r="S3067" s="5">
        <f t="shared" si="8"/>
        <v>1</v>
      </c>
    </row>
    <row r="3068">
      <c r="A3068" s="2" t="s">
        <v>3076</v>
      </c>
      <c r="B3068" s="2">
        <v>89.0</v>
      </c>
      <c r="C3068" s="2">
        <v>1051.0</v>
      </c>
      <c r="D3068" s="2">
        <v>288.0</v>
      </c>
      <c r="E3068" s="3">
        <f t="shared" si="1"/>
        <v>0.2993762994</v>
      </c>
      <c r="F3068" s="2">
        <v>128.0</v>
      </c>
      <c r="G3068" s="3">
        <f t="shared" si="2"/>
        <v>0.1330561331</v>
      </c>
      <c r="H3068" s="2">
        <v>206.0</v>
      </c>
      <c r="I3068" s="3">
        <f t="shared" si="3"/>
        <v>0.2141372141</v>
      </c>
      <c r="J3068" s="2">
        <v>178.0</v>
      </c>
      <c r="K3068" s="3">
        <f t="shared" si="4"/>
        <v>0.185031185</v>
      </c>
      <c r="L3068" s="2">
        <v>112.0</v>
      </c>
      <c r="M3068" s="3">
        <f t="shared" si="5"/>
        <v>0.5436893204</v>
      </c>
      <c r="N3068" s="2">
        <v>1202200.0</v>
      </c>
      <c r="O3068" s="4">
        <f t="shared" si="6"/>
        <v>5835.92233</v>
      </c>
      <c r="P3068" s="2">
        <v>0.0</v>
      </c>
      <c r="Q3068" s="3">
        <f t="shared" si="7"/>
        <v>0</v>
      </c>
      <c r="R3068" s="2">
        <v>89.0</v>
      </c>
      <c r="S3068" s="5">
        <f t="shared" si="8"/>
        <v>1</v>
      </c>
    </row>
    <row r="3069">
      <c r="A3069" s="2" t="s">
        <v>3077</v>
      </c>
      <c r="B3069" s="2">
        <v>20.0</v>
      </c>
      <c r="C3069" s="2">
        <v>253.0</v>
      </c>
      <c r="D3069" s="2">
        <v>89.0</v>
      </c>
      <c r="E3069" s="3">
        <f t="shared" si="1"/>
        <v>0.3819742489</v>
      </c>
      <c r="F3069" s="2">
        <v>31.0</v>
      </c>
      <c r="G3069" s="3">
        <f t="shared" si="2"/>
        <v>0.1330472103</v>
      </c>
      <c r="H3069" s="2">
        <v>50.0</v>
      </c>
      <c r="I3069" s="3">
        <f t="shared" si="3"/>
        <v>0.2145922747</v>
      </c>
      <c r="J3069" s="2">
        <v>39.0</v>
      </c>
      <c r="K3069" s="3">
        <f t="shared" si="4"/>
        <v>0.1673819742</v>
      </c>
      <c r="L3069" s="2">
        <v>28.0</v>
      </c>
      <c r="M3069" s="3">
        <f t="shared" si="5"/>
        <v>0.56</v>
      </c>
      <c r="N3069" s="2">
        <v>297500.0</v>
      </c>
      <c r="O3069" s="4">
        <f t="shared" si="6"/>
        <v>5950</v>
      </c>
      <c r="P3069" s="2">
        <v>0.0</v>
      </c>
      <c r="Q3069" s="3">
        <f t="shared" si="7"/>
        <v>0</v>
      </c>
      <c r="R3069" s="2">
        <v>0.0</v>
      </c>
      <c r="S3069" s="5">
        <f t="shared" si="8"/>
        <v>0</v>
      </c>
    </row>
    <row r="3070">
      <c r="A3070" s="2" t="s">
        <v>3078</v>
      </c>
      <c r="B3070" s="2">
        <v>325.0</v>
      </c>
      <c r="C3070" s="2">
        <v>3805.0</v>
      </c>
      <c r="D3070" s="2">
        <v>1325.0</v>
      </c>
      <c r="E3070" s="3">
        <f t="shared" si="1"/>
        <v>0.3807471264</v>
      </c>
      <c r="F3070" s="2">
        <v>463.0</v>
      </c>
      <c r="G3070" s="3">
        <f t="shared" si="2"/>
        <v>0.133045977</v>
      </c>
      <c r="H3070" s="2">
        <v>721.0</v>
      </c>
      <c r="I3070" s="3">
        <f t="shared" si="3"/>
        <v>0.207183908</v>
      </c>
      <c r="J3070" s="2">
        <v>555.0</v>
      </c>
      <c r="K3070" s="3">
        <f t="shared" si="4"/>
        <v>0.1594827586</v>
      </c>
      <c r="L3070" s="2">
        <v>401.0</v>
      </c>
      <c r="M3070" s="3">
        <f t="shared" si="5"/>
        <v>0.5561719834</v>
      </c>
      <c r="N3070" s="2">
        <v>4001100.0</v>
      </c>
      <c r="O3070" s="4">
        <f t="shared" si="6"/>
        <v>5549.375867</v>
      </c>
      <c r="P3070" s="2">
        <v>1.0</v>
      </c>
      <c r="Q3070" s="3">
        <f t="shared" si="7"/>
        <v>0.003076923077</v>
      </c>
      <c r="R3070" s="2">
        <v>290.0</v>
      </c>
      <c r="S3070" s="5">
        <f t="shared" si="8"/>
        <v>0.8923076923</v>
      </c>
    </row>
    <row r="3071">
      <c r="A3071" s="2" t="s">
        <v>3079</v>
      </c>
      <c r="B3071" s="2">
        <v>276.0</v>
      </c>
      <c r="C3071" s="2">
        <v>3185.0</v>
      </c>
      <c r="D3071" s="2">
        <v>834.0</v>
      </c>
      <c r="E3071" s="3">
        <f t="shared" si="1"/>
        <v>0.2866964593</v>
      </c>
      <c r="F3071" s="2">
        <v>387.0</v>
      </c>
      <c r="G3071" s="3">
        <f t="shared" si="2"/>
        <v>0.1330354074</v>
      </c>
      <c r="H3071" s="2">
        <v>539.0</v>
      </c>
      <c r="I3071" s="3">
        <f t="shared" si="3"/>
        <v>0.1852870402</v>
      </c>
      <c r="J3071" s="2">
        <v>481.0</v>
      </c>
      <c r="K3071" s="3">
        <f t="shared" si="4"/>
        <v>0.1653489172</v>
      </c>
      <c r="L3071" s="2">
        <v>324.0</v>
      </c>
      <c r="M3071" s="3">
        <f t="shared" si="5"/>
        <v>0.6011131725</v>
      </c>
      <c r="N3071" s="2">
        <v>3087000.0</v>
      </c>
      <c r="O3071" s="4">
        <f t="shared" si="6"/>
        <v>5727.272727</v>
      </c>
      <c r="P3071" s="2">
        <v>0.0</v>
      </c>
      <c r="Q3071" s="3">
        <f t="shared" si="7"/>
        <v>0</v>
      </c>
      <c r="R3071" s="2">
        <v>25.0</v>
      </c>
      <c r="S3071" s="5">
        <f t="shared" si="8"/>
        <v>0.09057971014</v>
      </c>
    </row>
    <row r="3072">
      <c r="A3072" s="2" t="s">
        <v>3080</v>
      </c>
      <c r="B3072" s="2">
        <v>392.0</v>
      </c>
      <c r="C3072" s="2">
        <v>4624.0</v>
      </c>
      <c r="D3072" s="2">
        <v>1684.0</v>
      </c>
      <c r="E3072" s="3">
        <f t="shared" si="1"/>
        <v>0.3979206049</v>
      </c>
      <c r="F3072" s="2">
        <v>563.0</v>
      </c>
      <c r="G3072" s="3">
        <f t="shared" si="2"/>
        <v>0.1330340265</v>
      </c>
      <c r="H3072" s="2">
        <v>936.0</v>
      </c>
      <c r="I3072" s="3">
        <f t="shared" si="3"/>
        <v>0.2211720227</v>
      </c>
      <c r="J3072" s="2">
        <v>742.0</v>
      </c>
      <c r="K3072" s="3">
        <f t="shared" si="4"/>
        <v>0.1753308129</v>
      </c>
      <c r="L3072" s="2">
        <v>554.0</v>
      </c>
      <c r="M3072" s="3">
        <f t="shared" si="5"/>
        <v>0.5918803419</v>
      </c>
      <c r="N3072" s="2">
        <v>4916400.0</v>
      </c>
      <c r="O3072" s="4">
        <f t="shared" si="6"/>
        <v>5252.564103</v>
      </c>
      <c r="P3072" s="2">
        <v>0.0</v>
      </c>
      <c r="Q3072" s="3">
        <f t="shared" si="7"/>
        <v>0</v>
      </c>
      <c r="R3072" s="2">
        <v>392.0</v>
      </c>
      <c r="S3072" s="5">
        <f t="shared" si="8"/>
        <v>1</v>
      </c>
    </row>
    <row r="3073">
      <c r="A3073" s="2" t="s">
        <v>3081</v>
      </c>
      <c r="B3073" s="2">
        <v>171.0</v>
      </c>
      <c r="C3073" s="2">
        <v>1983.0</v>
      </c>
      <c r="D3073" s="2">
        <v>496.0</v>
      </c>
      <c r="E3073" s="3">
        <f t="shared" si="1"/>
        <v>0.2737306843</v>
      </c>
      <c r="F3073" s="2">
        <v>241.0</v>
      </c>
      <c r="G3073" s="3">
        <f t="shared" si="2"/>
        <v>0.1330022075</v>
      </c>
      <c r="H3073" s="2">
        <v>365.0</v>
      </c>
      <c r="I3073" s="3">
        <f t="shared" si="3"/>
        <v>0.2014348786</v>
      </c>
      <c r="J3073" s="2">
        <v>341.0</v>
      </c>
      <c r="K3073" s="3">
        <f t="shared" si="4"/>
        <v>0.1881898455</v>
      </c>
      <c r="L3073" s="2">
        <v>219.0</v>
      </c>
      <c r="M3073" s="3">
        <f t="shared" si="5"/>
        <v>0.6</v>
      </c>
      <c r="N3073" s="2">
        <v>2095900.0</v>
      </c>
      <c r="O3073" s="4">
        <f t="shared" si="6"/>
        <v>5742.191781</v>
      </c>
      <c r="P3073" s="2">
        <v>0.0</v>
      </c>
      <c r="Q3073" s="3">
        <f t="shared" si="7"/>
        <v>0</v>
      </c>
      <c r="R3073" s="2">
        <v>171.0</v>
      </c>
      <c r="S3073" s="5">
        <f t="shared" si="8"/>
        <v>1</v>
      </c>
    </row>
    <row r="3074">
      <c r="A3074" s="2" t="s">
        <v>3082</v>
      </c>
      <c r="B3074" s="2">
        <v>220.0</v>
      </c>
      <c r="C3074" s="2">
        <v>2596.0</v>
      </c>
      <c r="D3074" s="2">
        <v>912.0</v>
      </c>
      <c r="E3074" s="3">
        <f t="shared" si="1"/>
        <v>0.3838383838</v>
      </c>
      <c r="F3074" s="2">
        <v>316.0</v>
      </c>
      <c r="G3074" s="3">
        <f t="shared" si="2"/>
        <v>0.132996633</v>
      </c>
      <c r="H3074" s="2">
        <v>497.0</v>
      </c>
      <c r="I3074" s="3">
        <f t="shared" si="3"/>
        <v>0.2091750842</v>
      </c>
      <c r="J3074" s="2">
        <v>421.0</v>
      </c>
      <c r="K3074" s="3">
        <f t="shared" si="4"/>
        <v>0.1771885522</v>
      </c>
      <c r="L3074" s="2">
        <v>294.0</v>
      </c>
      <c r="M3074" s="3">
        <f t="shared" si="5"/>
        <v>0.5915492958</v>
      </c>
      <c r="N3074" s="2">
        <v>2900100.0</v>
      </c>
      <c r="O3074" s="4">
        <f t="shared" si="6"/>
        <v>5835.211268</v>
      </c>
      <c r="P3074" s="2">
        <v>0.0</v>
      </c>
      <c r="Q3074" s="3">
        <f t="shared" si="7"/>
        <v>0</v>
      </c>
      <c r="R3074" s="2">
        <v>220.0</v>
      </c>
      <c r="S3074" s="5">
        <f t="shared" si="8"/>
        <v>1</v>
      </c>
    </row>
    <row r="3075">
      <c r="A3075" s="2" t="s">
        <v>3083</v>
      </c>
      <c r="B3075" s="2">
        <v>4483.0</v>
      </c>
      <c r="C3075" s="2">
        <v>52771.0</v>
      </c>
      <c r="D3075" s="2">
        <v>16940.0</v>
      </c>
      <c r="E3075" s="3">
        <f t="shared" si="1"/>
        <v>0.3508117959</v>
      </c>
      <c r="F3075" s="2">
        <v>6422.0</v>
      </c>
      <c r="G3075" s="3">
        <f t="shared" si="2"/>
        <v>0.1329937044</v>
      </c>
      <c r="H3075" s="2">
        <v>9969.0</v>
      </c>
      <c r="I3075" s="3">
        <f t="shared" si="3"/>
        <v>0.2064488072</v>
      </c>
      <c r="J3075" s="2">
        <v>7942.0</v>
      </c>
      <c r="K3075" s="3">
        <f t="shared" si="4"/>
        <v>0.1644715043</v>
      </c>
      <c r="L3075" s="2">
        <v>5875.0</v>
      </c>
      <c r="M3075" s="3">
        <f t="shared" si="5"/>
        <v>0.5893269134</v>
      </c>
      <c r="N3075" s="2">
        <v>5.64449E7</v>
      </c>
      <c r="O3075" s="4">
        <f t="shared" si="6"/>
        <v>5662.042331</v>
      </c>
      <c r="P3075" s="2">
        <v>4.0</v>
      </c>
      <c r="Q3075" s="3">
        <f t="shared" si="7"/>
        <v>0.0008922596476</v>
      </c>
      <c r="R3075" s="2">
        <v>4064.0</v>
      </c>
      <c r="S3075" s="5">
        <f t="shared" si="8"/>
        <v>0.9065358019</v>
      </c>
    </row>
    <row r="3076">
      <c r="A3076" s="2" t="s">
        <v>3084</v>
      </c>
      <c r="B3076" s="2">
        <v>108.0</v>
      </c>
      <c r="C3076" s="2">
        <v>1266.0</v>
      </c>
      <c r="D3076" s="2">
        <v>322.0</v>
      </c>
      <c r="E3076" s="3">
        <f t="shared" si="1"/>
        <v>0.2780656304</v>
      </c>
      <c r="F3076" s="2">
        <v>154.0</v>
      </c>
      <c r="G3076" s="3">
        <f t="shared" si="2"/>
        <v>0.1329879102</v>
      </c>
      <c r="H3076" s="2">
        <v>217.0</v>
      </c>
      <c r="I3076" s="3">
        <f t="shared" si="3"/>
        <v>0.1873920553</v>
      </c>
      <c r="J3076" s="2">
        <v>188.0</v>
      </c>
      <c r="K3076" s="3">
        <f t="shared" si="4"/>
        <v>0.1623488774</v>
      </c>
      <c r="L3076" s="2">
        <v>130.0</v>
      </c>
      <c r="M3076" s="3">
        <f t="shared" si="5"/>
        <v>0.599078341</v>
      </c>
      <c r="N3076" s="2">
        <v>1177900.0</v>
      </c>
      <c r="O3076" s="4">
        <f t="shared" si="6"/>
        <v>5428.110599</v>
      </c>
      <c r="P3076" s="2">
        <v>1.0</v>
      </c>
      <c r="Q3076" s="3">
        <f t="shared" si="7"/>
        <v>0.009259259259</v>
      </c>
      <c r="R3076" s="2">
        <v>5.0</v>
      </c>
      <c r="S3076" s="5">
        <f t="shared" si="8"/>
        <v>0.0462962963</v>
      </c>
    </row>
    <row r="3077">
      <c r="A3077" s="2" t="s">
        <v>3085</v>
      </c>
      <c r="B3077" s="2">
        <v>162.0</v>
      </c>
      <c r="C3077" s="2">
        <v>1884.0</v>
      </c>
      <c r="D3077" s="2">
        <v>622.0</v>
      </c>
      <c r="E3077" s="3">
        <f t="shared" si="1"/>
        <v>0.3612078978</v>
      </c>
      <c r="F3077" s="2">
        <v>229.0</v>
      </c>
      <c r="G3077" s="3">
        <f t="shared" si="2"/>
        <v>0.1329849013</v>
      </c>
      <c r="H3077" s="2">
        <v>349.0</v>
      </c>
      <c r="I3077" s="3">
        <f t="shared" si="3"/>
        <v>0.2026713124</v>
      </c>
      <c r="J3077" s="2">
        <v>284.0</v>
      </c>
      <c r="K3077" s="3">
        <f t="shared" si="4"/>
        <v>0.1649245064</v>
      </c>
      <c r="L3077" s="2">
        <v>198.0</v>
      </c>
      <c r="M3077" s="3">
        <f t="shared" si="5"/>
        <v>0.5673352436</v>
      </c>
      <c r="N3077" s="2">
        <v>1961700.0</v>
      </c>
      <c r="O3077" s="4">
        <f t="shared" si="6"/>
        <v>5620.916905</v>
      </c>
      <c r="P3077" s="2">
        <v>0.0</v>
      </c>
      <c r="Q3077" s="3">
        <f t="shared" si="7"/>
        <v>0</v>
      </c>
      <c r="R3077" s="2">
        <v>162.0</v>
      </c>
      <c r="S3077" s="5">
        <f t="shared" si="8"/>
        <v>1</v>
      </c>
    </row>
    <row r="3078">
      <c r="A3078" s="2" t="s">
        <v>3086</v>
      </c>
      <c r="B3078" s="2">
        <v>651.0</v>
      </c>
      <c r="C3078" s="2">
        <v>7712.0</v>
      </c>
      <c r="D3078" s="2">
        <v>2391.0</v>
      </c>
      <c r="E3078" s="3">
        <f t="shared" si="1"/>
        <v>0.338620592</v>
      </c>
      <c r="F3078" s="2">
        <v>939.0</v>
      </c>
      <c r="G3078" s="3">
        <f t="shared" si="2"/>
        <v>0.1329839966</v>
      </c>
      <c r="H3078" s="2">
        <v>1524.0</v>
      </c>
      <c r="I3078" s="3">
        <f t="shared" si="3"/>
        <v>0.2158334514</v>
      </c>
      <c r="J3078" s="2">
        <v>1047.0</v>
      </c>
      <c r="K3078" s="3">
        <f t="shared" si="4"/>
        <v>0.1482792806</v>
      </c>
      <c r="L3078" s="2">
        <v>901.0</v>
      </c>
      <c r="M3078" s="3">
        <f t="shared" si="5"/>
        <v>0.5912073491</v>
      </c>
      <c r="N3078" s="2">
        <v>8449200.0</v>
      </c>
      <c r="O3078" s="4">
        <f t="shared" si="6"/>
        <v>5544.094488</v>
      </c>
      <c r="P3078" s="2">
        <v>2.0</v>
      </c>
      <c r="Q3078" s="3">
        <f t="shared" si="7"/>
        <v>0.003072196621</v>
      </c>
      <c r="R3078" s="2">
        <v>651.0</v>
      </c>
      <c r="S3078" s="5">
        <f t="shared" si="8"/>
        <v>1</v>
      </c>
    </row>
    <row r="3079">
      <c r="A3079" s="2" t="s">
        <v>3087</v>
      </c>
      <c r="B3079" s="2">
        <v>1357.0</v>
      </c>
      <c r="C3079" s="2">
        <v>15840.0</v>
      </c>
      <c r="D3079" s="2">
        <v>4675.0</v>
      </c>
      <c r="E3079" s="3">
        <f t="shared" si="1"/>
        <v>0.3227922392</v>
      </c>
      <c r="F3079" s="2">
        <v>1926.0</v>
      </c>
      <c r="G3079" s="3">
        <f t="shared" si="2"/>
        <v>0.1329834979</v>
      </c>
      <c r="H3079" s="2">
        <v>3018.0</v>
      </c>
      <c r="I3079" s="3">
        <f t="shared" si="3"/>
        <v>0.2083822412</v>
      </c>
      <c r="J3079" s="2">
        <v>2977.0</v>
      </c>
      <c r="K3079" s="3">
        <f t="shared" si="4"/>
        <v>0.205551336</v>
      </c>
      <c r="L3079" s="2">
        <v>1746.0</v>
      </c>
      <c r="M3079" s="3">
        <f t="shared" si="5"/>
        <v>0.578528827</v>
      </c>
      <c r="N3079" s="2">
        <v>1.77627E7</v>
      </c>
      <c r="O3079" s="4">
        <f t="shared" si="6"/>
        <v>5885.586481</v>
      </c>
      <c r="P3079" s="2">
        <v>5.0</v>
      </c>
      <c r="Q3079" s="3">
        <f t="shared" si="7"/>
        <v>0.003684598379</v>
      </c>
      <c r="R3079" s="2">
        <v>1357.0</v>
      </c>
      <c r="S3079" s="5">
        <f t="shared" si="8"/>
        <v>1</v>
      </c>
    </row>
    <row r="3080">
      <c r="A3080" s="2" t="s">
        <v>3088</v>
      </c>
      <c r="B3080" s="2">
        <v>244.0</v>
      </c>
      <c r="C3080" s="2">
        <v>2876.0</v>
      </c>
      <c r="D3080" s="2">
        <v>1086.0</v>
      </c>
      <c r="E3080" s="3">
        <f t="shared" si="1"/>
        <v>0.4126139818</v>
      </c>
      <c r="F3080" s="2">
        <v>350.0</v>
      </c>
      <c r="G3080" s="3">
        <f t="shared" si="2"/>
        <v>0.1329787234</v>
      </c>
      <c r="H3080" s="2">
        <v>562.0</v>
      </c>
      <c r="I3080" s="3">
        <f t="shared" si="3"/>
        <v>0.2135258359</v>
      </c>
      <c r="J3080" s="2">
        <v>437.0</v>
      </c>
      <c r="K3080" s="3">
        <f t="shared" si="4"/>
        <v>0.1660334347</v>
      </c>
      <c r="L3080" s="2">
        <v>328.0</v>
      </c>
      <c r="M3080" s="3">
        <f t="shared" si="5"/>
        <v>0.5836298932</v>
      </c>
      <c r="N3080" s="2">
        <v>3000500.0</v>
      </c>
      <c r="O3080" s="4">
        <f t="shared" si="6"/>
        <v>5338.967972</v>
      </c>
      <c r="P3080" s="2">
        <v>0.0</v>
      </c>
      <c r="Q3080" s="3">
        <f t="shared" si="7"/>
        <v>0</v>
      </c>
      <c r="R3080" s="2">
        <v>244.0</v>
      </c>
      <c r="S3080" s="5">
        <f t="shared" si="8"/>
        <v>1</v>
      </c>
    </row>
    <row r="3081">
      <c r="A3081" s="2" t="s">
        <v>3089</v>
      </c>
      <c r="B3081" s="2">
        <v>88.0</v>
      </c>
      <c r="C3081" s="2">
        <v>1028.0</v>
      </c>
      <c r="D3081" s="2">
        <v>351.0</v>
      </c>
      <c r="E3081" s="3">
        <f t="shared" si="1"/>
        <v>0.3734042553</v>
      </c>
      <c r="F3081" s="2">
        <v>125.0</v>
      </c>
      <c r="G3081" s="3">
        <f t="shared" si="2"/>
        <v>0.1329787234</v>
      </c>
      <c r="H3081" s="2">
        <v>173.0</v>
      </c>
      <c r="I3081" s="3">
        <f t="shared" si="3"/>
        <v>0.1840425532</v>
      </c>
      <c r="J3081" s="2">
        <v>137.0</v>
      </c>
      <c r="K3081" s="3">
        <f t="shared" si="4"/>
        <v>0.1457446809</v>
      </c>
      <c r="L3081" s="2">
        <v>111.0</v>
      </c>
      <c r="M3081" s="3">
        <f t="shared" si="5"/>
        <v>0.6416184971</v>
      </c>
      <c r="N3081" s="2">
        <v>1000100.0</v>
      </c>
      <c r="O3081" s="4">
        <f t="shared" si="6"/>
        <v>5780.924855</v>
      </c>
      <c r="P3081" s="2">
        <v>0.0</v>
      </c>
      <c r="Q3081" s="3">
        <f t="shared" si="7"/>
        <v>0</v>
      </c>
      <c r="R3081" s="2">
        <v>0.0</v>
      </c>
      <c r="S3081" s="5">
        <f t="shared" si="8"/>
        <v>0</v>
      </c>
    </row>
    <row r="3082">
      <c r="A3082" s="2" t="s">
        <v>3090</v>
      </c>
      <c r="B3082" s="2">
        <v>120.0</v>
      </c>
      <c r="C3082" s="2">
        <v>1406.0</v>
      </c>
      <c r="D3082" s="2">
        <v>343.0</v>
      </c>
      <c r="E3082" s="3">
        <f t="shared" si="1"/>
        <v>0.266718507</v>
      </c>
      <c r="F3082" s="2">
        <v>171.0</v>
      </c>
      <c r="G3082" s="3">
        <f t="shared" si="2"/>
        <v>0.132970451</v>
      </c>
      <c r="H3082" s="2">
        <v>242.0</v>
      </c>
      <c r="I3082" s="3">
        <f t="shared" si="3"/>
        <v>0.1881804044</v>
      </c>
      <c r="J3082" s="2">
        <v>217.0</v>
      </c>
      <c r="K3082" s="3">
        <f t="shared" si="4"/>
        <v>0.1687402799</v>
      </c>
      <c r="L3082" s="2">
        <v>140.0</v>
      </c>
      <c r="M3082" s="3">
        <f t="shared" si="5"/>
        <v>0.5785123967</v>
      </c>
      <c r="N3082" s="2">
        <v>1455000.0</v>
      </c>
      <c r="O3082" s="4">
        <f t="shared" si="6"/>
        <v>6012.396694</v>
      </c>
      <c r="P3082" s="2">
        <v>0.0</v>
      </c>
      <c r="Q3082" s="3">
        <f t="shared" si="7"/>
        <v>0</v>
      </c>
      <c r="R3082" s="2">
        <v>120.0</v>
      </c>
      <c r="S3082" s="5">
        <f t="shared" si="8"/>
        <v>1</v>
      </c>
    </row>
    <row r="3083">
      <c r="A3083" s="2" t="s">
        <v>3091</v>
      </c>
      <c r="B3083" s="2">
        <v>205.0</v>
      </c>
      <c r="C3083" s="2">
        <v>2401.0</v>
      </c>
      <c r="D3083" s="2">
        <v>778.0</v>
      </c>
      <c r="E3083" s="3">
        <f t="shared" si="1"/>
        <v>0.35428051</v>
      </c>
      <c r="F3083" s="2">
        <v>292.0</v>
      </c>
      <c r="G3083" s="3">
        <f t="shared" si="2"/>
        <v>0.1329690346</v>
      </c>
      <c r="H3083" s="2">
        <v>460.0</v>
      </c>
      <c r="I3083" s="3">
        <f t="shared" si="3"/>
        <v>0.2094717668</v>
      </c>
      <c r="J3083" s="2">
        <v>428.0</v>
      </c>
      <c r="K3083" s="3">
        <f t="shared" si="4"/>
        <v>0.1948998179</v>
      </c>
      <c r="L3083" s="2">
        <v>258.0</v>
      </c>
      <c r="M3083" s="3">
        <f t="shared" si="5"/>
        <v>0.5608695652</v>
      </c>
      <c r="N3083" s="2">
        <v>2705300.0</v>
      </c>
      <c r="O3083" s="4">
        <f t="shared" si="6"/>
        <v>5881.086957</v>
      </c>
      <c r="P3083" s="2">
        <v>0.0</v>
      </c>
      <c r="Q3083" s="3">
        <f t="shared" si="7"/>
        <v>0</v>
      </c>
      <c r="R3083" s="2">
        <v>205.0</v>
      </c>
      <c r="S3083" s="5">
        <f t="shared" si="8"/>
        <v>1</v>
      </c>
    </row>
    <row r="3084">
      <c r="A3084" s="2" t="s">
        <v>3092</v>
      </c>
      <c r="B3084" s="2">
        <v>17.0</v>
      </c>
      <c r="C3084" s="2">
        <v>190.0</v>
      </c>
      <c r="D3084" s="2">
        <v>73.0</v>
      </c>
      <c r="E3084" s="3">
        <f t="shared" si="1"/>
        <v>0.4219653179</v>
      </c>
      <c r="F3084" s="2">
        <v>23.0</v>
      </c>
      <c r="G3084" s="3">
        <f t="shared" si="2"/>
        <v>0.1329479769</v>
      </c>
      <c r="H3084" s="2">
        <v>41.0</v>
      </c>
      <c r="I3084" s="3">
        <f t="shared" si="3"/>
        <v>0.2369942197</v>
      </c>
      <c r="J3084" s="2">
        <v>25.0</v>
      </c>
      <c r="K3084" s="3">
        <f t="shared" si="4"/>
        <v>0.1445086705</v>
      </c>
      <c r="L3084" s="2">
        <v>19.0</v>
      </c>
      <c r="M3084" s="3">
        <f t="shared" si="5"/>
        <v>0.4634146341</v>
      </c>
      <c r="N3084" s="2">
        <v>252600.0</v>
      </c>
      <c r="O3084" s="4">
        <f t="shared" si="6"/>
        <v>6160.97561</v>
      </c>
      <c r="P3084" s="2">
        <v>0.0</v>
      </c>
      <c r="Q3084" s="3">
        <f t="shared" si="7"/>
        <v>0</v>
      </c>
      <c r="R3084" s="2">
        <v>17.0</v>
      </c>
      <c r="S3084" s="5">
        <f t="shared" si="8"/>
        <v>1</v>
      </c>
    </row>
    <row r="3085">
      <c r="A3085" s="2" t="s">
        <v>3093</v>
      </c>
      <c r="B3085" s="2">
        <v>654.0</v>
      </c>
      <c r="C3085" s="2">
        <v>7537.0</v>
      </c>
      <c r="D3085" s="2">
        <v>2394.0</v>
      </c>
      <c r="E3085" s="3">
        <f t="shared" si="1"/>
        <v>0.3478134534</v>
      </c>
      <c r="F3085" s="2">
        <v>915.0</v>
      </c>
      <c r="G3085" s="3">
        <f t="shared" si="2"/>
        <v>0.1329362197</v>
      </c>
      <c r="H3085" s="2">
        <v>1503.0</v>
      </c>
      <c r="I3085" s="3">
        <f t="shared" si="3"/>
        <v>0.2183640854</v>
      </c>
      <c r="J3085" s="2">
        <v>1299.0</v>
      </c>
      <c r="K3085" s="3">
        <f t="shared" si="4"/>
        <v>0.1887258463</v>
      </c>
      <c r="L3085" s="2">
        <v>903.0</v>
      </c>
      <c r="M3085" s="3">
        <f t="shared" si="5"/>
        <v>0.6007984032</v>
      </c>
      <c r="N3085" s="2">
        <v>8564600.0</v>
      </c>
      <c r="O3085" s="4">
        <f t="shared" si="6"/>
        <v>5698.33666</v>
      </c>
      <c r="P3085" s="2">
        <v>2.0</v>
      </c>
      <c r="Q3085" s="3">
        <f t="shared" si="7"/>
        <v>0.003058103976</v>
      </c>
      <c r="R3085" s="2">
        <v>654.0</v>
      </c>
      <c r="S3085" s="5">
        <f t="shared" si="8"/>
        <v>1</v>
      </c>
    </row>
    <row r="3086">
      <c r="A3086" s="2" t="s">
        <v>3094</v>
      </c>
      <c r="B3086" s="2">
        <v>167.0</v>
      </c>
      <c r="C3086" s="2">
        <v>1965.0</v>
      </c>
      <c r="D3086" s="2">
        <v>626.0</v>
      </c>
      <c r="E3086" s="3">
        <f t="shared" si="1"/>
        <v>0.3481646274</v>
      </c>
      <c r="F3086" s="2">
        <v>239.0</v>
      </c>
      <c r="G3086" s="3">
        <f t="shared" si="2"/>
        <v>0.1329254727</v>
      </c>
      <c r="H3086" s="2">
        <v>330.0</v>
      </c>
      <c r="I3086" s="3">
        <f t="shared" si="3"/>
        <v>0.1835372636</v>
      </c>
      <c r="J3086" s="2">
        <v>276.0</v>
      </c>
      <c r="K3086" s="3">
        <f t="shared" si="4"/>
        <v>0.1535038932</v>
      </c>
      <c r="L3086" s="2">
        <v>202.0</v>
      </c>
      <c r="M3086" s="3">
        <f t="shared" si="5"/>
        <v>0.6121212121</v>
      </c>
      <c r="N3086" s="2">
        <v>1830100.0</v>
      </c>
      <c r="O3086" s="4">
        <f t="shared" si="6"/>
        <v>5545.757576</v>
      </c>
      <c r="P3086" s="2">
        <v>0.0</v>
      </c>
      <c r="Q3086" s="3">
        <f t="shared" si="7"/>
        <v>0</v>
      </c>
      <c r="R3086" s="2">
        <v>167.0</v>
      </c>
      <c r="S3086" s="5">
        <f t="shared" si="8"/>
        <v>1</v>
      </c>
    </row>
    <row r="3087">
      <c r="A3087" s="2" t="s">
        <v>3095</v>
      </c>
      <c r="B3087" s="2">
        <v>219.0</v>
      </c>
      <c r="C3087" s="2">
        <v>2619.0</v>
      </c>
      <c r="D3087" s="2">
        <v>744.0</v>
      </c>
      <c r="E3087" s="3">
        <f t="shared" si="1"/>
        <v>0.31</v>
      </c>
      <c r="F3087" s="2">
        <v>319.0</v>
      </c>
      <c r="G3087" s="3">
        <f t="shared" si="2"/>
        <v>0.1329166667</v>
      </c>
      <c r="H3087" s="2">
        <v>457.0</v>
      </c>
      <c r="I3087" s="3">
        <f t="shared" si="3"/>
        <v>0.1904166667</v>
      </c>
      <c r="J3087" s="2">
        <v>388.0</v>
      </c>
      <c r="K3087" s="3">
        <f t="shared" si="4"/>
        <v>0.1616666667</v>
      </c>
      <c r="L3087" s="2">
        <v>267.0</v>
      </c>
      <c r="M3087" s="3">
        <f t="shared" si="5"/>
        <v>0.5842450766</v>
      </c>
      <c r="N3087" s="2">
        <v>2778600.0</v>
      </c>
      <c r="O3087" s="4">
        <f t="shared" si="6"/>
        <v>6080.087527</v>
      </c>
      <c r="P3087" s="2">
        <v>1.0</v>
      </c>
      <c r="Q3087" s="3">
        <f t="shared" si="7"/>
        <v>0.004566210046</v>
      </c>
      <c r="R3087" s="2">
        <v>219.0</v>
      </c>
      <c r="S3087" s="5">
        <f t="shared" si="8"/>
        <v>1</v>
      </c>
    </row>
    <row r="3088">
      <c r="A3088" s="2" t="s">
        <v>3096</v>
      </c>
      <c r="B3088" s="2">
        <v>136.0</v>
      </c>
      <c r="C3088" s="2">
        <v>1573.0</v>
      </c>
      <c r="D3088" s="2">
        <v>449.0</v>
      </c>
      <c r="E3088" s="3">
        <f t="shared" si="1"/>
        <v>0.3124565066</v>
      </c>
      <c r="F3088" s="2">
        <v>191.0</v>
      </c>
      <c r="G3088" s="3">
        <f t="shared" si="2"/>
        <v>0.1329157968</v>
      </c>
      <c r="H3088" s="2">
        <v>268.0</v>
      </c>
      <c r="I3088" s="3">
        <f t="shared" si="3"/>
        <v>0.1864996521</v>
      </c>
      <c r="J3088" s="2">
        <v>239.0</v>
      </c>
      <c r="K3088" s="3">
        <f t="shared" si="4"/>
        <v>0.1663187196</v>
      </c>
      <c r="L3088" s="2">
        <v>141.0</v>
      </c>
      <c r="M3088" s="3">
        <f t="shared" si="5"/>
        <v>0.526119403</v>
      </c>
      <c r="N3088" s="2">
        <v>1600300.0</v>
      </c>
      <c r="O3088" s="4">
        <f t="shared" si="6"/>
        <v>5971.268657</v>
      </c>
      <c r="P3088" s="2">
        <v>1.0</v>
      </c>
      <c r="Q3088" s="3">
        <f t="shared" si="7"/>
        <v>0.007352941176</v>
      </c>
      <c r="R3088" s="2">
        <v>136.0</v>
      </c>
      <c r="S3088" s="5">
        <f t="shared" si="8"/>
        <v>1</v>
      </c>
    </row>
    <row r="3089">
      <c r="A3089" s="2" t="s">
        <v>3097</v>
      </c>
      <c r="B3089" s="2">
        <v>147.0</v>
      </c>
      <c r="C3089" s="2">
        <v>1712.0</v>
      </c>
      <c r="D3089" s="2">
        <v>591.0</v>
      </c>
      <c r="E3089" s="3">
        <f t="shared" si="1"/>
        <v>0.3776357827</v>
      </c>
      <c r="F3089" s="2">
        <v>208.0</v>
      </c>
      <c r="G3089" s="3">
        <f t="shared" si="2"/>
        <v>0.1329073482</v>
      </c>
      <c r="H3089" s="2">
        <v>346.0</v>
      </c>
      <c r="I3089" s="3">
        <f t="shared" si="3"/>
        <v>0.221086262</v>
      </c>
      <c r="J3089" s="2">
        <v>228.0</v>
      </c>
      <c r="K3089" s="3">
        <f t="shared" si="4"/>
        <v>0.145686901</v>
      </c>
      <c r="L3089" s="2">
        <v>221.0</v>
      </c>
      <c r="M3089" s="3">
        <f t="shared" si="5"/>
        <v>0.6387283237</v>
      </c>
      <c r="N3089" s="2">
        <v>1817800.0</v>
      </c>
      <c r="O3089" s="4">
        <f t="shared" si="6"/>
        <v>5253.757225</v>
      </c>
      <c r="P3089" s="2">
        <v>0.0</v>
      </c>
      <c r="Q3089" s="3">
        <f t="shared" si="7"/>
        <v>0</v>
      </c>
      <c r="R3089" s="2">
        <v>147.0</v>
      </c>
      <c r="S3089" s="5">
        <f t="shared" si="8"/>
        <v>1</v>
      </c>
    </row>
    <row r="3090">
      <c r="A3090" s="2" t="s">
        <v>3098</v>
      </c>
      <c r="B3090" s="2">
        <v>305.0</v>
      </c>
      <c r="C3090" s="2">
        <v>3563.0</v>
      </c>
      <c r="D3090" s="2">
        <v>1054.0</v>
      </c>
      <c r="E3090" s="3">
        <f t="shared" si="1"/>
        <v>0.3235113567</v>
      </c>
      <c r="F3090" s="2">
        <v>433.0</v>
      </c>
      <c r="G3090" s="3">
        <f t="shared" si="2"/>
        <v>0.1329036219</v>
      </c>
      <c r="H3090" s="2">
        <v>649.0</v>
      </c>
      <c r="I3090" s="3">
        <f t="shared" si="3"/>
        <v>0.1992019644</v>
      </c>
      <c r="J3090" s="2">
        <v>650.0</v>
      </c>
      <c r="K3090" s="3">
        <f t="shared" si="4"/>
        <v>0.1995089012</v>
      </c>
      <c r="L3090" s="2">
        <v>400.0</v>
      </c>
      <c r="M3090" s="3">
        <f t="shared" si="5"/>
        <v>0.6163328197</v>
      </c>
      <c r="N3090" s="2">
        <v>4142100.0</v>
      </c>
      <c r="O3090" s="4">
        <f t="shared" si="6"/>
        <v>6382.280431</v>
      </c>
      <c r="P3090" s="2">
        <v>0.0</v>
      </c>
      <c r="Q3090" s="3">
        <f t="shared" si="7"/>
        <v>0</v>
      </c>
      <c r="R3090" s="2">
        <v>305.0</v>
      </c>
      <c r="S3090" s="5">
        <f t="shared" si="8"/>
        <v>1</v>
      </c>
    </row>
    <row r="3091">
      <c r="A3091" s="2" t="s">
        <v>3099</v>
      </c>
      <c r="B3091" s="2">
        <v>188.0</v>
      </c>
      <c r="C3091" s="2">
        <v>2197.0</v>
      </c>
      <c r="D3091" s="2">
        <v>881.0</v>
      </c>
      <c r="E3091" s="3">
        <f t="shared" si="1"/>
        <v>0.4385266302</v>
      </c>
      <c r="F3091" s="2">
        <v>267.0</v>
      </c>
      <c r="G3091" s="3">
        <f t="shared" si="2"/>
        <v>0.1329019413</v>
      </c>
      <c r="H3091" s="2">
        <v>482.0</v>
      </c>
      <c r="I3091" s="3">
        <f t="shared" si="3"/>
        <v>0.2399203584</v>
      </c>
      <c r="J3091" s="2">
        <v>377.0</v>
      </c>
      <c r="K3091" s="3">
        <f t="shared" si="4"/>
        <v>0.18765555</v>
      </c>
      <c r="L3091" s="2">
        <v>280.0</v>
      </c>
      <c r="M3091" s="3">
        <f t="shared" si="5"/>
        <v>0.5809128631</v>
      </c>
      <c r="N3091" s="2">
        <v>2620200.0</v>
      </c>
      <c r="O3091" s="4">
        <f t="shared" si="6"/>
        <v>5436.099585</v>
      </c>
      <c r="P3091" s="2">
        <v>2.0</v>
      </c>
      <c r="Q3091" s="3">
        <f t="shared" si="7"/>
        <v>0.01063829787</v>
      </c>
      <c r="R3091" s="2">
        <v>188.0</v>
      </c>
      <c r="S3091" s="5">
        <f t="shared" si="8"/>
        <v>1</v>
      </c>
    </row>
    <row r="3092">
      <c r="A3092" s="2" t="s">
        <v>3100</v>
      </c>
      <c r="B3092" s="2">
        <v>835.0</v>
      </c>
      <c r="C3092" s="2">
        <v>9812.0</v>
      </c>
      <c r="D3092" s="2">
        <v>3577.0</v>
      </c>
      <c r="E3092" s="3">
        <f t="shared" si="1"/>
        <v>0.3984627381</v>
      </c>
      <c r="F3092" s="2">
        <v>1193.0</v>
      </c>
      <c r="G3092" s="3">
        <f t="shared" si="2"/>
        <v>0.1328951766</v>
      </c>
      <c r="H3092" s="2">
        <v>1977.0</v>
      </c>
      <c r="I3092" s="3">
        <f t="shared" si="3"/>
        <v>0.2202294753</v>
      </c>
      <c r="J3092" s="2">
        <v>1594.0</v>
      </c>
      <c r="K3092" s="3">
        <f t="shared" si="4"/>
        <v>0.177564888</v>
      </c>
      <c r="L3092" s="2">
        <v>1178.0</v>
      </c>
      <c r="M3092" s="3">
        <f t="shared" si="5"/>
        <v>0.5958523015</v>
      </c>
      <c r="N3092" s="2">
        <v>1.09185E7</v>
      </c>
      <c r="O3092" s="4">
        <f t="shared" si="6"/>
        <v>5522.76176</v>
      </c>
      <c r="P3092" s="2">
        <v>2.0</v>
      </c>
      <c r="Q3092" s="3">
        <f t="shared" si="7"/>
        <v>0.002395209581</v>
      </c>
      <c r="R3092" s="2">
        <v>6.0</v>
      </c>
      <c r="S3092" s="5">
        <f t="shared" si="8"/>
        <v>0.007185628743</v>
      </c>
    </row>
    <row r="3093">
      <c r="A3093" s="2" t="s">
        <v>3101</v>
      </c>
      <c r="B3093" s="2">
        <v>1311.0</v>
      </c>
      <c r="C3093" s="2">
        <v>15360.0</v>
      </c>
      <c r="D3093" s="2">
        <v>5099.0</v>
      </c>
      <c r="E3093" s="3">
        <f t="shared" si="1"/>
        <v>0.3629439818</v>
      </c>
      <c r="F3093" s="2">
        <v>1867.0</v>
      </c>
      <c r="G3093" s="3">
        <f t="shared" si="2"/>
        <v>0.1328920208</v>
      </c>
      <c r="H3093" s="2">
        <v>3004.0</v>
      </c>
      <c r="I3093" s="3">
        <f t="shared" si="3"/>
        <v>0.2138230479</v>
      </c>
      <c r="J3093" s="2">
        <v>2382.0</v>
      </c>
      <c r="K3093" s="3">
        <f t="shared" si="4"/>
        <v>0.1695494341</v>
      </c>
      <c r="L3093" s="2">
        <v>1797.0</v>
      </c>
      <c r="M3093" s="3">
        <f t="shared" si="5"/>
        <v>0.5982023968</v>
      </c>
      <c r="N3093" s="2">
        <v>1.64265E7</v>
      </c>
      <c r="O3093" s="4">
        <f t="shared" si="6"/>
        <v>5468.209055</v>
      </c>
      <c r="P3093" s="2">
        <v>3.0</v>
      </c>
      <c r="Q3093" s="3">
        <f t="shared" si="7"/>
        <v>0.002288329519</v>
      </c>
      <c r="R3093" s="2">
        <v>92.0</v>
      </c>
      <c r="S3093" s="5">
        <f t="shared" si="8"/>
        <v>0.0701754386</v>
      </c>
    </row>
    <row r="3094">
      <c r="A3094" s="2" t="s">
        <v>3102</v>
      </c>
      <c r="B3094" s="2">
        <v>57.0</v>
      </c>
      <c r="C3094" s="2">
        <v>659.0</v>
      </c>
      <c r="D3094" s="2">
        <v>208.0</v>
      </c>
      <c r="E3094" s="3">
        <f t="shared" si="1"/>
        <v>0.3455149502</v>
      </c>
      <c r="F3094" s="2">
        <v>80.0</v>
      </c>
      <c r="G3094" s="3">
        <f t="shared" si="2"/>
        <v>0.1328903654</v>
      </c>
      <c r="H3094" s="2">
        <v>113.0</v>
      </c>
      <c r="I3094" s="3">
        <f t="shared" si="3"/>
        <v>0.1877076412</v>
      </c>
      <c r="J3094" s="2">
        <v>126.0</v>
      </c>
      <c r="K3094" s="3">
        <f t="shared" si="4"/>
        <v>0.2093023256</v>
      </c>
      <c r="L3094" s="2">
        <v>63.0</v>
      </c>
      <c r="M3094" s="3">
        <f t="shared" si="5"/>
        <v>0.5575221239</v>
      </c>
      <c r="N3094" s="2">
        <v>635300.0</v>
      </c>
      <c r="O3094" s="4">
        <f t="shared" si="6"/>
        <v>5622.123894</v>
      </c>
      <c r="P3094" s="2">
        <v>0.0</v>
      </c>
      <c r="Q3094" s="3">
        <f t="shared" si="7"/>
        <v>0</v>
      </c>
      <c r="R3094" s="2">
        <v>57.0</v>
      </c>
      <c r="S3094" s="5">
        <f t="shared" si="8"/>
        <v>1</v>
      </c>
    </row>
    <row r="3095">
      <c r="A3095" s="2" t="s">
        <v>3103</v>
      </c>
      <c r="B3095" s="2">
        <v>40.0</v>
      </c>
      <c r="C3095" s="2">
        <v>484.0</v>
      </c>
      <c r="D3095" s="2">
        <v>166.0</v>
      </c>
      <c r="E3095" s="3">
        <f t="shared" si="1"/>
        <v>0.3738738739</v>
      </c>
      <c r="F3095" s="2">
        <v>59.0</v>
      </c>
      <c r="G3095" s="3">
        <f t="shared" si="2"/>
        <v>0.1328828829</v>
      </c>
      <c r="H3095" s="2">
        <v>101.0</v>
      </c>
      <c r="I3095" s="3">
        <f t="shared" si="3"/>
        <v>0.2274774775</v>
      </c>
      <c r="J3095" s="2">
        <v>90.0</v>
      </c>
      <c r="K3095" s="3">
        <f t="shared" si="4"/>
        <v>0.2027027027</v>
      </c>
      <c r="L3095" s="2">
        <v>58.0</v>
      </c>
      <c r="M3095" s="3">
        <f t="shared" si="5"/>
        <v>0.5742574257</v>
      </c>
      <c r="N3095" s="2">
        <v>589500.0</v>
      </c>
      <c r="O3095" s="4">
        <f t="shared" si="6"/>
        <v>5836.633663</v>
      </c>
      <c r="P3095" s="2">
        <v>0.0</v>
      </c>
      <c r="Q3095" s="3">
        <f t="shared" si="7"/>
        <v>0</v>
      </c>
      <c r="R3095" s="2">
        <v>0.0</v>
      </c>
      <c r="S3095" s="5">
        <f t="shared" si="8"/>
        <v>0</v>
      </c>
    </row>
    <row r="3096">
      <c r="A3096" s="2" t="s">
        <v>3104</v>
      </c>
      <c r="B3096" s="2">
        <v>3687.0</v>
      </c>
      <c r="C3096" s="2">
        <v>42714.0</v>
      </c>
      <c r="D3096" s="2">
        <v>12139.0</v>
      </c>
      <c r="E3096" s="3">
        <f t="shared" si="1"/>
        <v>0.3110410741</v>
      </c>
      <c r="F3096" s="2">
        <v>5186.0</v>
      </c>
      <c r="G3096" s="3">
        <f t="shared" si="2"/>
        <v>0.1328823635</v>
      </c>
      <c r="H3096" s="2">
        <v>8364.0</v>
      </c>
      <c r="I3096" s="3">
        <f t="shared" si="3"/>
        <v>0.2143131678</v>
      </c>
      <c r="J3096" s="2">
        <v>7247.0</v>
      </c>
      <c r="K3096" s="3">
        <f t="shared" si="4"/>
        <v>0.1856919569</v>
      </c>
      <c r="L3096" s="2">
        <v>4943.0</v>
      </c>
      <c r="M3096" s="3">
        <f t="shared" si="5"/>
        <v>0.5909851746</v>
      </c>
      <c r="N3096" s="2">
        <v>4.87189E7</v>
      </c>
      <c r="O3096" s="4">
        <f t="shared" si="6"/>
        <v>5824.832616</v>
      </c>
      <c r="P3096" s="2">
        <v>12.0</v>
      </c>
      <c r="Q3096" s="3">
        <f t="shared" si="7"/>
        <v>0.0032546786</v>
      </c>
      <c r="R3096" s="2">
        <v>1095.0</v>
      </c>
      <c r="S3096" s="5">
        <f t="shared" si="8"/>
        <v>0.2969894223</v>
      </c>
    </row>
    <row r="3097">
      <c r="A3097" s="2" t="s">
        <v>3105</v>
      </c>
      <c r="B3097" s="2">
        <v>6057.0</v>
      </c>
      <c r="C3097" s="2">
        <v>70722.0</v>
      </c>
      <c r="D3097" s="2">
        <v>21853.0</v>
      </c>
      <c r="E3097" s="3">
        <f t="shared" si="1"/>
        <v>0.3379416995</v>
      </c>
      <c r="F3097" s="2">
        <v>8592.0</v>
      </c>
      <c r="G3097" s="3">
        <f t="shared" si="2"/>
        <v>0.1328694039</v>
      </c>
      <c r="H3097" s="2">
        <v>14511.0</v>
      </c>
      <c r="I3097" s="3">
        <f t="shared" si="3"/>
        <v>0.2244026908</v>
      </c>
      <c r="J3097" s="2">
        <v>9750.0</v>
      </c>
      <c r="K3097" s="3">
        <f t="shared" si="4"/>
        <v>0.1507770819</v>
      </c>
      <c r="L3097" s="2">
        <v>8855.0</v>
      </c>
      <c r="M3097" s="3">
        <f t="shared" si="5"/>
        <v>0.6102267246</v>
      </c>
      <c r="N3097" s="2">
        <v>7.7891E7</v>
      </c>
      <c r="O3097" s="4">
        <f t="shared" si="6"/>
        <v>5367.721039</v>
      </c>
      <c r="P3097" s="2">
        <v>5.0</v>
      </c>
      <c r="Q3097" s="3">
        <f t="shared" si="7"/>
        <v>0.0008254911672</v>
      </c>
      <c r="R3097" s="2">
        <v>6057.0</v>
      </c>
      <c r="S3097" s="5">
        <f t="shared" si="8"/>
        <v>1</v>
      </c>
    </row>
    <row r="3098">
      <c r="A3098" s="2" t="s">
        <v>3106</v>
      </c>
      <c r="B3098" s="2">
        <v>1609.0</v>
      </c>
      <c r="C3098" s="2">
        <v>18867.0</v>
      </c>
      <c r="D3098" s="2">
        <v>5236.0</v>
      </c>
      <c r="E3098" s="3">
        <f t="shared" si="1"/>
        <v>0.3033955267</v>
      </c>
      <c r="F3098" s="2">
        <v>2293.0</v>
      </c>
      <c r="G3098" s="3">
        <f t="shared" si="2"/>
        <v>0.1328659173</v>
      </c>
      <c r="H3098" s="2">
        <v>3712.0</v>
      </c>
      <c r="I3098" s="3">
        <f t="shared" si="3"/>
        <v>0.2150886545</v>
      </c>
      <c r="J3098" s="2">
        <v>3111.0</v>
      </c>
      <c r="K3098" s="3">
        <f t="shared" si="4"/>
        <v>0.1802642253</v>
      </c>
      <c r="L3098" s="2">
        <v>2281.0</v>
      </c>
      <c r="M3098" s="3">
        <f t="shared" si="5"/>
        <v>0.6144935345</v>
      </c>
      <c r="N3098" s="2">
        <v>1.97201E7</v>
      </c>
      <c r="O3098" s="4">
        <f t="shared" si="6"/>
        <v>5312.52694</v>
      </c>
      <c r="P3098" s="2">
        <v>3.0</v>
      </c>
      <c r="Q3098" s="3">
        <f t="shared" si="7"/>
        <v>0.001864512119</v>
      </c>
      <c r="R3098" s="2">
        <v>1233.0</v>
      </c>
      <c r="S3098" s="5">
        <f t="shared" si="8"/>
        <v>0.766314481</v>
      </c>
    </row>
    <row r="3099">
      <c r="A3099" s="2" t="s">
        <v>3107</v>
      </c>
      <c r="B3099" s="2">
        <v>221.0</v>
      </c>
      <c r="C3099" s="2">
        <v>2637.0</v>
      </c>
      <c r="D3099" s="2">
        <v>779.0</v>
      </c>
      <c r="E3099" s="3">
        <f t="shared" si="1"/>
        <v>0.3224337748</v>
      </c>
      <c r="F3099" s="2">
        <v>321.0</v>
      </c>
      <c r="G3099" s="3">
        <f t="shared" si="2"/>
        <v>0.1328642384</v>
      </c>
      <c r="H3099" s="2">
        <v>512.0</v>
      </c>
      <c r="I3099" s="3">
        <f t="shared" si="3"/>
        <v>0.2119205298</v>
      </c>
      <c r="J3099" s="2">
        <v>469.0</v>
      </c>
      <c r="K3099" s="3">
        <f t="shared" si="4"/>
        <v>0.1941225166</v>
      </c>
      <c r="L3099" s="2">
        <v>293.0</v>
      </c>
      <c r="M3099" s="3">
        <f t="shared" si="5"/>
        <v>0.572265625</v>
      </c>
      <c r="N3099" s="2">
        <v>3103000.0</v>
      </c>
      <c r="O3099" s="4">
        <f t="shared" si="6"/>
        <v>6060.546875</v>
      </c>
      <c r="P3099" s="2">
        <v>0.0</v>
      </c>
      <c r="Q3099" s="3">
        <f t="shared" si="7"/>
        <v>0</v>
      </c>
      <c r="R3099" s="2">
        <v>1.0</v>
      </c>
      <c r="S3099" s="5">
        <f t="shared" si="8"/>
        <v>0.004524886878</v>
      </c>
    </row>
    <row r="3100">
      <c r="A3100" s="2" t="s">
        <v>3108</v>
      </c>
      <c r="B3100" s="2">
        <v>656.0</v>
      </c>
      <c r="C3100" s="2">
        <v>7603.0</v>
      </c>
      <c r="D3100" s="2">
        <v>2472.0</v>
      </c>
      <c r="E3100" s="3">
        <f t="shared" si="1"/>
        <v>0.355837052</v>
      </c>
      <c r="F3100" s="2">
        <v>923.0</v>
      </c>
      <c r="G3100" s="3">
        <f t="shared" si="2"/>
        <v>0.1328631064</v>
      </c>
      <c r="H3100" s="2">
        <v>1541.0</v>
      </c>
      <c r="I3100" s="3">
        <f t="shared" si="3"/>
        <v>0.2218223694</v>
      </c>
      <c r="J3100" s="2">
        <v>1280.0</v>
      </c>
      <c r="K3100" s="3">
        <f t="shared" si="4"/>
        <v>0.1842521952</v>
      </c>
      <c r="L3100" s="2">
        <v>908.0</v>
      </c>
      <c r="M3100" s="3">
        <f t="shared" si="5"/>
        <v>0.5892277742</v>
      </c>
      <c r="N3100" s="2">
        <v>8966300.0</v>
      </c>
      <c r="O3100" s="4">
        <f t="shared" si="6"/>
        <v>5818.494484</v>
      </c>
      <c r="P3100" s="2">
        <v>2.0</v>
      </c>
      <c r="Q3100" s="3">
        <f t="shared" si="7"/>
        <v>0.003048780488</v>
      </c>
      <c r="R3100" s="2">
        <v>656.0</v>
      </c>
      <c r="S3100" s="5">
        <f t="shared" si="8"/>
        <v>1</v>
      </c>
    </row>
    <row r="3101">
      <c r="A3101" s="2" t="s">
        <v>3109</v>
      </c>
      <c r="B3101" s="2">
        <v>192.0</v>
      </c>
      <c r="C3101" s="2">
        <v>2277.0</v>
      </c>
      <c r="D3101" s="2">
        <v>434.0</v>
      </c>
      <c r="E3101" s="3">
        <f t="shared" si="1"/>
        <v>0.2081534772</v>
      </c>
      <c r="F3101" s="2">
        <v>277.0</v>
      </c>
      <c r="G3101" s="3">
        <f t="shared" si="2"/>
        <v>0.132853717</v>
      </c>
      <c r="H3101" s="2">
        <v>402.0</v>
      </c>
      <c r="I3101" s="3">
        <f t="shared" si="3"/>
        <v>0.1928057554</v>
      </c>
      <c r="J3101" s="2">
        <v>411.0</v>
      </c>
      <c r="K3101" s="3">
        <f t="shared" si="4"/>
        <v>0.1971223022</v>
      </c>
      <c r="L3101" s="2">
        <v>240.0</v>
      </c>
      <c r="M3101" s="3">
        <f t="shared" si="5"/>
        <v>0.5970149254</v>
      </c>
      <c r="N3101" s="2">
        <v>2565400.0</v>
      </c>
      <c r="O3101" s="4">
        <f t="shared" si="6"/>
        <v>6381.59204</v>
      </c>
      <c r="P3101" s="2">
        <v>1.0</v>
      </c>
      <c r="Q3101" s="3">
        <f t="shared" si="7"/>
        <v>0.005208333333</v>
      </c>
      <c r="R3101" s="2">
        <v>192.0</v>
      </c>
      <c r="S3101" s="5">
        <f t="shared" si="8"/>
        <v>1</v>
      </c>
    </row>
    <row r="3102">
      <c r="A3102" s="2" t="s">
        <v>3110</v>
      </c>
      <c r="B3102" s="2">
        <v>1498.0</v>
      </c>
      <c r="C3102" s="2">
        <v>17473.0</v>
      </c>
      <c r="D3102" s="2">
        <v>5717.0</v>
      </c>
      <c r="E3102" s="3">
        <f t="shared" si="1"/>
        <v>0.3578716745</v>
      </c>
      <c r="F3102" s="2">
        <v>2122.0</v>
      </c>
      <c r="G3102" s="3">
        <f t="shared" si="2"/>
        <v>0.1328325509</v>
      </c>
      <c r="H3102" s="2">
        <v>3550.0</v>
      </c>
      <c r="I3102" s="3">
        <f t="shared" si="3"/>
        <v>0.2222222222</v>
      </c>
      <c r="J3102" s="2">
        <v>2995.0</v>
      </c>
      <c r="K3102" s="3">
        <f t="shared" si="4"/>
        <v>0.1874804382</v>
      </c>
      <c r="L3102" s="2">
        <v>2113.0</v>
      </c>
      <c r="M3102" s="3">
        <f t="shared" si="5"/>
        <v>0.5952112676</v>
      </c>
      <c r="N3102" s="2">
        <v>1.95439E7</v>
      </c>
      <c r="O3102" s="4">
        <f t="shared" si="6"/>
        <v>5505.323944</v>
      </c>
      <c r="P3102" s="2">
        <v>3.0</v>
      </c>
      <c r="Q3102" s="3">
        <f t="shared" si="7"/>
        <v>0.002002670227</v>
      </c>
      <c r="R3102" s="2">
        <v>1498.0</v>
      </c>
      <c r="S3102" s="5">
        <f t="shared" si="8"/>
        <v>1</v>
      </c>
    </row>
    <row r="3103">
      <c r="A3103" s="2" t="s">
        <v>3111</v>
      </c>
      <c r="B3103" s="2">
        <v>441.0</v>
      </c>
      <c r="C3103" s="2">
        <v>5154.0</v>
      </c>
      <c r="D3103" s="2">
        <v>1479.0</v>
      </c>
      <c r="E3103" s="3">
        <f t="shared" si="1"/>
        <v>0.3138128581</v>
      </c>
      <c r="F3103" s="2">
        <v>626.0</v>
      </c>
      <c r="G3103" s="3">
        <f t="shared" si="2"/>
        <v>0.1328241035</v>
      </c>
      <c r="H3103" s="2">
        <v>1005.0</v>
      </c>
      <c r="I3103" s="3">
        <f t="shared" si="3"/>
        <v>0.2132399745</v>
      </c>
      <c r="J3103" s="2">
        <v>827.0</v>
      </c>
      <c r="K3103" s="3">
        <f t="shared" si="4"/>
        <v>0.1754720985</v>
      </c>
      <c r="L3103" s="2">
        <v>603.0</v>
      </c>
      <c r="M3103" s="3">
        <f t="shared" si="5"/>
        <v>0.6</v>
      </c>
      <c r="N3103" s="2">
        <v>5568500.0</v>
      </c>
      <c r="O3103" s="4">
        <f t="shared" si="6"/>
        <v>5540.79602</v>
      </c>
      <c r="P3103" s="2">
        <v>1.0</v>
      </c>
      <c r="Q3103" s="3">
        <f t="shared" si="7"/>
        <v>0.002267573696</v>
      </c>
      <c r="R3103" s="2">
        <v>204.0</v>
      </c>
      <c r="S3103" s="5">
        <f t="shared" si="8"/>
        <v>0.462585034</v>
      </c>
    </row>
    <row r="3104">
      <c r="A3104" s="2" t="s">
        <v>3112</v>
      </c>
      <c r="B3104" s="2">
        <v>173.0</v>
      </c>
      <c r="C3104" s="2">
        <v>1995.0</v>
      </c>
      <c r="D3104" s="2">
        <v>495.0</v>
      </c>
      <c r="E3104" s="3">
        <f t="shared" si="1"/>
        <v>0.2716794731</v>
      </c>
      <c r="F3104" s="2">
        <v>242.0</v>
      </c>
      <c r="G3104" s="3">
        <f t="shared" si="2"/>
        <v>0.1328210757</v>
      </c>
      <c r="H3104" s="2">
        <v>381.0</v>
      </c>
      <c r="I3104" s="3">
        <f t="shared" si="3"/>
        <v>0.2091108672</v>
      </c>
      <c r="J3104" s="2">
        <v>366.0</v>
      </c>
      <c r="K3104" s="3">
        <f t="shared" si="4"/>
        <v>0.2008781559</v>
      </c>
      <c r="L3104" s="2">
        <v>233.0</v>
      </c>
      <c r="M3104" s="3">
        <f t="shared" si="5"/>
        <v>0.6115485564</v>
      </c>
      <c r="N3104" s="2">
        <v>2388400.0</v>
      </c>
      <c r="O3104" s="4">
        <f t="shared" si="6"/>
        <v>6268.766404</v>
      </c>
      <c r="P3104" s="2">
        <v>0.0</v>
      </c>
      <c r="Q3104" s="3">
        <f t="shared" si="7"/>
        <v>0</v>
      </c>
      <c r="R3104" s="2">
        <v>173.0</v>
      </c>
      <c r="S3104" s="5">
        <f t="shared" si="8"/>
        <v>1</v>
      </c>
    </row>
    <row r="3105">
      <c r="A3105" s="2" t="s">
        <v>3113</v>
      </c>
      <c r="B3105" s="2">
        <v>401.0</v>
      </c>
      <c r="C3105" s="2">
        <v>4670.0</v>
      </c>
      <c r="D3105" s="2">
        <v>1479.0</v>
      </c>
      <c r="E3105" s="3">
        <f t="shared" si="1"/>
        <v>0.3464511595</v>
      </c>
      <c r="F3105" s="2">
        <v>567.0</v>
      </c>
      <c r="G3105" s="3">
        <f t="shared" si="2"/>
        <v>0.1328179902</v>
      </c>
      <c r="H3105" s="2">
        <v>900.0</v>
      </c>
      <c r="I3105" s="3">
        <f t="shared" si="3"/>
        <v>0.2108222066</v>
      </c>
      <c r="J3105" s="2">
        <v>861.0</v>
      </c>
      <c r="K3105" s="3">
        <f t="shared" si="4"/>
        <v>0.2016865777</v>
      </c>
      <c r="L3105" s="2">
        <v>518.0</v>
      </c>
      <c r="M3105" s="3">
        <f t="shared" si="5"/>
        <v>0.5755555556</v>
      </c>
      <c r="N3105" s="2">
        <v>5605200.0</v>
      </c>
      <c r="O3105" s="4">
        <f t="shared" si="6"/>
        <v>6228</v>
      </c>
      <c r="P3105" s="2">
        <v>0.0</v>
      </c>
      <c r="Q3105" s="3">
        <f t="shared" si="7"/>
        <v>0</v>
      </c>
      <c r="R3105" s="2">
        <v>401.0</v>
      </c>
      <c r="S3105" s="5">
        <f t="shared" si="8"/>
        <v>1</v>
      </c>
    </row>
    <row r="3106">
      <c r="A3106" s="2" t="s">
        <v>3114</v>
      </c>
      <c r="B3106" s="2">
        <v>122.0</v>
      </c>
      <c r="C3106" s="2">
        <v>1402.0</v>
      </c>
      <c r="D3106" s="2">
        <v>404.0</v>
      </c>
      <c r="E3106" s="3">
        <f t="shared" si="1"/>
        <v>0.315625</v>
      </c>
      <c r="F3106" s="2">
        <v>170.0</v>
      </c>
      <c r="G3106" s="3">
        <f t="shared" si="2"/>
        <v>0.1328125</v>
      </c>
      <c r="H3106" s="2">
        <v>275.0</v>
      </c>
      <c r="I3106" s="3">
        <f t="shared" si="3"/>
        <v>0.21484375</v>
      </c>
      <c r="J3106" s="2">
        <v>198.0</v>
      </c>
      <c r="K3106" s="3">
        <f t="shared" si="4"/>
        <v>0.1546875</v>
      </c>
      <c r="L3106" s="2">
        <v>178.0</v>
      </c>
      <c r="M3106" s="3">
        <f t="shared" si="5"/>
        <v>0.6472727273</v>
      </c>
      <c r="N3106" s="2">
        <v>1445600.0</v>
      </c>
      <c r="O3106" s="4">
        <f t="shared" si="6"/>
        <v>5256.727273</v>
      </c>
      <c r="P3106" s="2">
        <v>0.0</v>
      </c>
      <c r="Q3106" s="3">
        <f t="shared" si="7"/>
        <v>0</v>
      </c>
      <c r="R3106" s="2">
        <v>71.0</v>
      </c>
      <c r="S3106" s="5">
        <f t="shared" si="8"/>
        <v>0.5819672131</v>
      </c>
    </row>
    <row r="3107">
      <c r="A3107" s="2" t="s">
        <v>3115</v>
      </c>
      <c r="B3107" s="2">
        <v>1145.0</v>
      </c>
      <c r="C3107" s="2">
        <v>13541.0</v>
      </c>
      <c r="D3107" s="2">
        <v>5189.0</v>
      </c>
      <c r="E3107" s="3">
        <f t="shared" si="1"/>
        <v>0.4186027751</v>
      </c>
      <c r="F3107" s="2">
        <v>1646.0</v>
      </c>
      <c r="G3107" s="3">
        <f t="shared" si="2"/>
        <v>0.1327847693</v>
      </c>
      <c r="H3107" s="2">
        <v>2753.0</v>
      </c>
      <c r="I3107" s="3">
        <f t="shared" si="3"/>
        <v>0.2220877702</v>
      </c>
      <c r="J3107" s="2">
        <v>2242.0</v>
      </c>
      <c r="K3107" s="3">
        <f t="shared" si="4"/>
        <v>0.1808647951</v>
      </c>
      <c r="L3107" s="2">
        <v>1634.0</v>
      </c>
      <c r="M3107" s="3">
        <f t="shared" si="5"/>
        <v>0.5935343262</v>
      </c>
      <c r="N3107" s="2">
        <v>1.5533E7</v>
      </c>
      <c r="O3107" s="4">
        <f t="shared" si="6"/>
        <v>5642.2085</v>
      </c>
      <c r="P3107" s="2">
        <v>5.0</v>
      </c>
      <c r="Q3107" s="3">
        <f t="shared" si="7"/>
        <v>0.004366812227</v>
      </c>
      <c r="R3107" s="2">
        <v>56.0</v>
      </c>
      <c r="S3107" s="5">
        <f t="shared" si="8"/>
        <v>0.04890829694</v>
      </c>
    </row>
    <row r="3108">
      <c r="A3108" s="2" t="s">
        <v>3116</v>
      </c>
      <c r="B3108" s="2">
        <v>373.0</v>
      </c>
      <c r="C3108" s="2">
        <v>4440.0</v>
      </c>
      <c r="D3108" s="2">
        <v>1758.0</v>
      </c>
      <c r="E3108" s="3">
        <f t="shared" si="1"/>
        <v>0.4322596508</v>
      </c>
      <c r="F3108" s="2">
        <v>540.0</v>
      </c>
      <c r="G3108" s="3">
        <f t="shared" si="2"/>
        <v>0.132776002</v>
      </c>
      <c r="H3108" s="2">
        <v>888.0</v>
      </c>
      <c r="I3108" s="3">
        <f t="shared" si="3"/>
        <v>0.2183427588</v>
      </c>
      <c r="J3108" s="2">
        <v>659.0</v>
      </c>
      <c r="K3108" s="3">
        <f t="shared" si="4"/>
        <v>0.1620358987</v>
      </c>
      <c r="L3108" s="2">
        <v>513.0</v>
      </c>
      <c r="M3108" s="3">
        <f t="shared" si="5"/>
        <v>0.5777027027</v>
      </c>
      <c r="N3108" s="2">
        <v>4714100.0</v>
      </c>
      <c r="O3108" s="4">
        <f t="shared" si="6"/>
        <v>5308.671171</v>
      </c>
      <c r="P3108" s="2">
        <v>0.0</v>
      </c>
      <c r="Q3108" s="3">
        <f t="shared" si="7"/>
        <v>0</v>
      </c>
      <c r="R3108" s="2">
        <v>0.0</v>
      </c>
      <c r="S3108" s="5">
        <f t="shared" si="8"/>
        <v>0</v>
      </c>
    </row>
    <row r="3109">
      <c r="A3109" s="2" t="s">
        <v>3117</v>
      </c>
      <c r="B3109" s="2">
        <v>1119.0</v>
      </c>
      <c r="C3109" s="2">
        <v>12951.0</v>
      </c>
      <c r="D3109" s="2">
        <v>3740.0</v>
      </c>
      <c r="E3109" s="3">
        <f t="shared" si="1"/>
        <v>0.316091954</v>
      </c>
      <c r="F3109" s="2">
        <v>1571.0</v>
      </c>
      <c r="G3109" s="3">
        <f t="shared" si="2"/>
        <v>0.132775524</v>
      </c>
      <c r="H3109" s="2">
        <v>2491.0</v>
      </c>
      <c r="I3109" s="3">
        <f t="shared" si="3"/>
        <v>0.210530764</v>
      </c>
      <c r="J3109" s="2">
        <v>2480.0</v>
      </c>
      <c r="K3109" s="3">
        <f t="shared" si="4"/>
        <v>0.2096010818</v>
      </c>
      <c r="L3109" s="2">
        <v>1434.0</v>
      </c>
      <c r="M3109" s="3">
        <f t="shared" si="5"/>
        <v>0.5756724207</v>
      </c>
      <c r="N3109" s="2">
        <v>1.50806E7</v>
      </c>
      <c r="O3109" s="4">
        <f t="shared" si="6"/>
        <v>6054.034524</v>
      </c>
      <c r="P3109" s="2">
        <v>3.0</v>
      </c>
      <c r="Q3109" s="3">
        <f t="shared" si="7"/>
        <v>0.002680965147</v>
      </c>
      <c r="R3109" s="2">
        <v>1119.0</v>
      </c>
      <c r="S3109" s="5">
        <f t="shared" si="8"/>
        <v>1</v>
      </c>
    </row>
    <row r="3110">
      <c r="A3110" s="2" t="s">
        <v>3118</v>
      </c>
      <c r="B3110" s="2">
        <v>1342.0</v>
      </c>
      <c r="C3110" s="2">
        <v>15592.0</v>
      </c>
      <c r="D3110" s="2">
        <v>4192.0</v>
      </c>
      <c r="E3110" s="3">
        <f t="shared" si="1"/>
        <v>0.2941754386</v>
      </c>
      <c r="F3110" s="2">
        <v>1892.0</v>
      </c>
      <c r="G3110" s="3">
        <f t="shared" si="2"/>
        <v>0.1327719298</v>
      </c>
      <c r="H3110" s="2">
        <v>2988.0</v>
      </c>
      <c r="I3110" s="3">
        <f t="shared" si="3"/>
        <v>0.2096842105</v>
      </c>
      <c r="J3110" s="2">
        <v>2777.0</v>
      </c>
      <c r="K3110" s="3">
        <f t="shared" si="4"/>
        <v>0.194877193</v>
      </c>
      <c r="L3110" s="2">
        <v>1760.0</v>
      </c>
      <c r="M3110" s="3">
        <f t="shared" si="5"/>
        <v>0.5890227577</v>
      </c>
      <c r="N3110" s="2">
        <v>1.75249E7</v>
      </c>
      <c r="O3110" s="4">
        <f t="shared" si="6"/>
        <v>5865.093708</v>
      </c>
      <c r="P3110" s="2">
        <v>1.0</v>
      </c>
      <c r="Q3110" s="3">
        <f t="shared" si="7"/>
        <v>0.0007451564829</v>
      </c>
      <c r="R3110" s="2">
        <v>1131.0</v>
      </c>
      <c r="S3110" s="5">
        <f t="shared" si="8"/>
        <v>0.8427719821</v>
      </c>
    </row>
    <row r="3111">
      <c r="A3111" s="2" t="s">
        <v>3119</v>
      </c>
      <c r="B3111" s="2">
        <v>168.0</v>
      </c>
      <c r="C3111" s="2">
        <v>1938.0</v>
      </c>
      <c r="D3111" s="2">
        <v>596.0</v>
      </c>
      <c r="E3111" s="3">
        <f t="shared" si="1"/>
        <v>0.3367231638</v>
      </c>
      <c r="F3111" s="2">
        <v>235.0</v>
      </c>
      <c r="G3111" s="3">
        <f t="shared" si="2"/>
        <v>0.1327683616</v>
      </c>
      <c r="H3111" s="2">
        <v>384.0</v>
      </c>
      <c r="I3111" s="3">
        <f t="shared" si="3"/>
        <v>0.2169491525</v>
      </c>
      <c r="J3111" s="2">
        <v>304.0</v>
      </c>
      <c r="K3111" s="3">
        <f t="shared" si="4"/>
        <v>0.1717514124</v>
      </c>
      <c r="L3111" s="2">
        <v>248.0</v>
      </c>
      <c r="M3111" s="3">
        <f t="shared" si="5"/>
        <v>0.6458333333</v>
      </c>
      <c r="N3111" s="2">
        <v>2045000.0</v>
      </c>
      <c r="O3111" s="4">
        <f t="shared" si="6"/>
        <v>5325.520833</v>
      </c>
      <c r="P3111" s="2">
        <v>1.0</v>
      </c>
      <c r="Q3111" s="3">
        <f t="shared" si="7"/>
        <v>0.005952380952</v>
      </c>
      <c r="R3111" s="2">
        <v>0.0</v>
      </c>
      <c r="S3111" s="5">
        <f t="shared" si="8"/>
        <v>0</v>
      </c>
    </row>
    <row r="3112">
      <c r="A3112" s="2" t="s">
        <v>3120</v>
      </c>
      <c r="B3112" s="2">
        <v>579.0</v>
      </c>
      <c r="C3112" s="2">
        <v>6861.0</v>
      </c>
      <c r="D3112" s="2">
        <v>2048.0</v>
      </c>
      <c r="E3112" s="3">
        <f t="shared" si="1"/>
        <v>0.3260108246</v>
      </c>
      <c r="F3112" s="2">
        <v>834.0</v>
      </c>
      <c r="G3112" s="3">
        <f t="shared" si="2"/>
        <v>0.1327602674</v>
      </c>
      <c r="H3112" s="2">
        <v>1294.0</v>
      </c>
      <c r="I3112" s="3">
        <f t="shared" si="3"/>
        <v>0.205985355</v>
      </c>
      <c r="J3112" s="2">
        <v>1077.0</v>
      </c>
      <c r="K3112" s="3">
        <f t="shared" si="4"/>
        <v>0.1714422159</v>
      </c>
      <c r="L3112" s="2">
        <v>764.0</v>
      </c>
      <c r="M3112" s="3">
        <f t="shared" si="5"/>
        <v>0.5904173107</v>
      </c>
      <c r="N3112" s="2">
        <v>7725000.0</v>
      </c>
      <c r="O3112" s="4">
        <f t="shared" si="6"/>
        <v>5969.860896</v>
      </c>
      <c r="P3112" s="2">
        <v>1.0</v>
      </c>
      <c r="Q3112" s="3">
        <f t="shared" si="7"/>
        <v>0.001727115717</v>
      </c>
      <c r="R3112" s="2">
        <v>0.0</v>
      </c>
      <c r="S3112" s="5">
        <f t="shared" si="8"/>
        <v>0</v>
      </c>
    </row>
    <row r="3113">
      <c r="A3113" s="2" t="s">
        <v>3121</v>
      </c>
      <c r="B3113" s="2">
        <v>1885.0</v>
      </c>
      <c r="C3113" s="2">
        <v>21952.0</v>
      </c>
      <c r="D3113" s="2">
        <v>7141.0</v>
      </c>
      <c r="E3113" s="3">
        <f t="shared" si="1"/>
        <v>0.3558578761</v>
      </c>
      <c r="F3113" s="2">
        <v>2664.0</v>
      </c>
      <c r="G3113" s="3">
        <f t="shared" si="2"/>
        <v>0.1327552698</v>
      </c>
      <c r="H3113" s="2">
        <v>4381.0</v>
      </c>
      <c r="I3113" s="3">
        <f t="shared" si="3"/>
        <v>0.2183186326</v>
      </c>
      <c r="J3113" s="2">
        <v>2943.0</v>
      </c>
      <c r="K3113" s="3">
        <f t="shared" si="4"/>
        <v>0.1466586934</v>
      </c>
      <c r="L3113" s="2">
        <v>2667.0</v>
      </c>
      <c r="M3113" s="3">
        <f t="shared" si="5"/>
        <v>0.6087651221</v>
      </c>
      <c r="N3113" s="2">
        <v>2.40178E7</v>
      </c>
      <c r="O3113" s="4">
        <f t="shared" si="6"/>
        <v>5482.264323</v>
      </c>
      <c r="P3113" s="2">
        <v>1.0</v>
      </c>
      <c r="Q3113" s="3">
        <f t="shared" si="7"/>
        <v>0.0005305039788</v>
      </c>
      <c r="R3113" s="2">
        <v>0.0</v>
      </c>
      <c r="S3113" s="5">
        <f t="shared" si="8"/>
        <v>0</v>
      </c>
    </row>
    <row r="3114">
      <c r="A3114" s="2" t="s">
        <v>3122</v>
      </c>
      <c r="B3114" s="2">
        <v>827.0</v>
      </c>
      <c r="C3114" s="2">
        <v>9821.0</v>
      </c>
      <c r="D3114" s="2">
        <v>3651.0</v>
      </c>
      <c r="E3114" s="3">
        <f t="shared" si="1"/>
        <v>0.4059372915</v>
      </c>
      <c r="F3114" s="2">
        <v>1194.0</v>
      </c>
      <c r="G3114" s="3">
        <f t="shared" si="2"/>
        <v>0.1327551701</v>
      </c>
      <c r="H3114" s="2">
        <v>1912.0</v>
      </c>
      <c r="I3114" s="3">
        <f t="shared" si="3"/>
        <v>0.2125861686</v>
      </c>
      <c r="J3114" s="2">
        <v>1545.0</v>
      </c>
      <c r="K3114" s="3">
        <f t="shared" si="4"/>
        <v>0.1717811875</v>
      </c>
      <c r="L3114" s="2">
        <v>1173.0</v>
      </c>
      <c r="M3114" s="3">
        <f t="shared" si="5"/>
        <v>0.6134937238</v>
      </c>
      <c r="N3114" s="2">
        <v>1.11025E7</v>
      </c>
      <c r="O3114" s="4">
        <f t="shared" si="6"/>
        <v>5806.746862</v>
      </c>
      <c r="P3114" s="2">
        <v>3.0</v>
      </c>
      <c r="Q3114" s="3">
        <f t="shared" si="7"/>
        <v>0.003627569528</v>
      </c>
      <c r="R3114" s="2">
        <v>827.0</v>
      </c>
      <c r="S3114" s="5">
        <f t="shared" si="8"/>
        <v>1</v>
      </c>
    </row>
    <row r="3115">
      <c r="A3115" s="2" t="s">
        <v>3123</v>
      </c>
      <c r="B3115" s="2">
        <v>772.0</v>
      </c>
      <c r="C3115" s="2">
        <v>9171.0</v>
      </c>
      <c r="D3115" s="2">
        <v>3163.0</v>
      </c>
      <c r="E3115" s="3">
        <f t="shared" si="1"/>
        <v>0.3765924515</v>
      </c>
      <c r="F3115" s="2">
        <v>1115.0</v>
      </c>
      <c r="G3115" s="3">
        <f t="shared" si="2"/>
        <v>0.1327538993</v>
      </c>
      <c r="H3115" s="2">
        <v>1829.0</v>
      </c>
      <c r="I3115" s="3">
        <f t="shared" si="3"/>
        <v>0.2177640195</v>
      </c>
      <c r="J3115" s="2">
        <v>1526.0</v>
      </c>
      <c r="K3115" s="3">
        <f t="shared" si="4"/>
        <v>0.1816882962</v>
      </c>
      <c r="L3115" s="2">
        <v>1086.0</v>
      </c>
      <c r="M3115" s="3">
        <f t="shared" si="5"/>
        <v>0.5937670858</v>
      </c>
      <c r="N3115" s="2">
        <v>9974900.0</v>
      </c>
      <c r="O3115" s="4">
        <f t="shared" si="6"/>
        <v>5453.745216</v>
      </c>
      <c r="P3115" s="2">
        <v>1.0</v>
      </c>
      <c r="Q3115" s="3">
        <f t="shared" si="7"/>
        <v>0.001295336788</v>
      </c>
      <c r="R3115" s="2">
        <v>0.0</v>
      </c>
      <c r="S3115" s="5">
        <f t="shared" si="8"/>
        <v>0</v>
      </c>
    </row>
    <row r="3116">
      <c r="A3116" s="2" t="s">
        <v>3124</v>
      </c>
      <c r="B3116" s="2">
        <v>722.0</v>
      </c>
      <c r="C3116" s="2">
        <v>8398.0</v>
      </c>
      <c r="D3116" s="2">
        <v>2617.0</v>
      </c>
      <c r="E3116" s="3">
        <f t="shared" si="1"/>
        <v>0.3409327775</v>
      </c>
      <c r="F3116" s="2">
        <v>1019.0</v>
      </c>
      <c r="G3116" s="3">
        <f t="shared" si="2"/>
        <v>0.132751433</v>
      </c>
      <c r="H3116" s="2">
        <v>1583.0</v>
      </c>
      <c r="I3116" s="3">
        <f t="shared" si="3"/>
        <v>0.2062272017</v>
      </c>
      <c r="J3116" s="2">
        <v>1250.0</v>
      </c>
      <c r="K3116" s="3">
        <f t="shared" si="4"/>
        <v>0.1628452319</v>
      </c>
      <c r="L3116" s="2">
        <v>916.0</v>
      </c>
      <c r="M3116" s="3">
        <f t="shared" si="5"/>
        <v>0.5786481364</v>
      </c>
      <c r="N3116" s="2">
        <v>9009500.0</v>
      </c>
      <c r="O3116" s="4">
        <f t="shared" si="6"/>
        <v>5691.408718</v>
      </c>
      <c r="P3116" s="2">
        <v>3.0</v>
      </c>
      <c r="Q3116" s="3">
        <f t="shared" si="7"/>
        <v>0.004155124654</v>
      </c>
      <c r="R3116" s="2">
        <v>72.0</v>
      </c>
      <c r="S3116" s="5">
        <f t="shared" si="8"/>
        <v>0.09972299169</v>
      </c>
    </row>
    <row r="3117">
      <c r="A3117" s="2" t="s">
        <v>3125</v>
      </c>
      <c r="B3117" s="2">
        <v>1138.0</v>
      </c>
      <c r="C3117" s="2">
        <v>13281.0</v>
      </c>
      <c r="D3117" s="2">
        <v>4208.0</v>
      </c>
      <c r="E3117" s="3">
        <f t="shared" si="1"/>
        <v>0.3465370996</v>
      </c>
      <c r="F3117" s="2">
        <v>1612.0</v>
      </c>
      <c r="G3117" s="3">
        <f t="shared" si="2"/>
        <v>0.1327513794</v>
      </c>
      <c r="H3117" s="2">
        <v>2733.0</v>
      </c>
      <c r="I3117" s="3">
        <f t="shared" si="3"/>
        <v>0.2250679404</v>
      </c>
      <c r="J3117" s="2">
        <v>2004.0</v>
      </c>
      <c r="K3117" s="3">
        <f t="shared" si="4"/>
        <v>0.1650333525</v>
      </c>
      <c r="L3117" s="2">
        <v>1660.0</v>
      </c>
      <c r="M3117" s="3">
        <f t="shared" si="5"/>
        <v>0.6073911453</v>
      </c>
      <c r="N3117" s="2">
        <v>1.49856E7</v>
      </c>
      <c r="O3117" s="4">
        <f t="shared" si="6"/>
        <v>5483.205269</v>
      </c>
      <c r="P3117" s="2">
        <v>2.0</v>
      </c>
      <c r="Q3117" s="3">
        <f t="shared" si="7"/>
        <v>0.001757469244</v>
      </c>
      <c r="R3117" s="2">
        <v>1138.0</v>
      </c>
      <c r="S3117" s="5">
        <f t="shared" si="8"/>
        <v>1</v>
      </c>
    </row>
    <row r="3118">
      <c r="A3118" s="2" t="s">
        <v>3126</v>
      </c>
      <c r="B3118" s="2">
        <v>619.0</v>
      </c>
      <c r="C3118" s="2">
        <v>7361.0</v>
      </c>
      <c r="D3118" s="2">
        <v>1877.0</v>
      </c>
      <c r="E3118" s="3">
        <f t="shared" si="1"/>
        <v>0.2784040344</v>
      </c>
      <c r="F3118" s="2">
        <v>895.0</v>
      </c>
      <c r="G3118" s="3">
        <f t="shared" si="2"/>
        <v>0.1327499258</v>
      </c>
      <c r="H3118" s="2">
        <v>1335.0</v>
      </c>
      <c r="I3118" s="3">
        <f t="shared" si="3"/>
        <v>0.1980124592</v>
      </c>
      <c r="J3118" s="2">
        <v>1022.0</v>
      </c>
      <c r="K3118" s="3">
        <f t="shared" si="4"/>
        <v>0.1515870662</v>
      </c>
      <c r="L3118" s="2">
        <v>805.0</v>
      </c>
      <c r="M3118" s="3">
        <f t="shared" si="5"/>
        <v>0.6029962547</v>
      </c>
      <c r="N3118" s="2">
        <v>7769300.0</v>
      </c>
      <c r="O3118" s="4">
        <f t="shared" si="6"/>
        <v>5819.700375</v>
      </c>
      <c r="P3118" s="2">
        <v>2.0</v>
      </c>
      <c r="Q3118" s="3">
        <f t="shared" si="7"/>
        <v>0.003231017771</v>
      </c>
      <c r="R3118" s="2">
        <v>619.0</v>
      </c>
      <c r="S3118" s="5">
        <f t="shared" si="8"/>
        <v>1</v>
      </c>
    </row>
    <row r="3119">
      <c r="A3119" s="2" t="s">
        <v>3127</v>
      </c>
      <c r="B3119" s="2">
        <v>53.0</v>
      </c>
      <c r="C3119" s="2">
        <v>618.0</v>
      </c>
      <c r="D3119" s="2">
        <v>185.0</v>
      </c>
      <c r="E3119" s="3">
        <f t="shared" si="1"/>
        <v>0.3274336283</v>
      </c>
      <c r="F3119" s="2">
        <v>75.0</v>
      </c>
      <c r="G3119" s="3">
        <f t="shared" si="2"/>
        <v>0.1327433628</v>
      </c>
      <c r="H3119" s="2">
        <v>120.0</v>
      </c>
      <c r="I3119" s="3">
        <f t="shared" si="3"/>
        <v>0.2123893805</v>
      </c>
      <c r="J3119" s="2">
        <v>99.0</v>
      </c>
      <c r="K3119" s="3">
        <f t="shared" si="4"/>
        <v>0.1752212389</v>
      </c>
      <c r="L3119" s="2">
        <v>66.0</v>
      </c>
      <c r="M3119" s="3">
        <f t="shared" si="5"/>
        <v>0.55</v>
      </c>
      <c r="N3119" s="2">
        <v>762500.0</v>
      </c>
      <c r="O3119" s="4">
        <f t="shared" si="6"/>
        <v>6354.166667</v>
      </c>
      <c r="P3119" s="2">
        <v>0.0</v>
      </c>
      <c r="Q3119" s="3">
        <f t="shared" si="7"/>
        <v>0</v>
      </c>
      <c r="R3119" s="2">
        <v>53.0</v>
      </c>
      <c r="S3119" s="5">
        <f t="shared" si="8"/>
        <v>1</v>
      </c>
    </row>
    <row r="3120">
      <c r="A3120" s="2" t="s">
        <v>3128</v>
      </c>
      <c r="B3120" s="2">
        <v>724.0</v>
      </c>
      <c r="C3120" s="2">
        <v>8506.0</v>
      </c>
      <c r="D3120" s="2">
        <v>2564.0</v>
      </c>
      <c r="E3120" s="3">
        <f t="shared" si="1"/>
        <v>0.3294782832</v>
      </c>
      <c r="F3120" s="2">
        <v>1033.0</v>
      </c>
      <c r="G3120" s="3">
        <f t="shared" si="2"/>
        <v>0.1327422256</v>
      </c>
      <c r="H3120" s="2">
        <v>1660.0</v>
      </c>
      <c r="I3120" s="3">
        <f t="shared" si="3"/>
        <v>0.2133127731</v>
      </c>
      <c r="J3120" s="2">
        <v>1491.0</v>
      </c>
      <c r="K3120" s="3">
        <f t="shared" si="4"/>
        <v>0.1915959907</v>
      </c>
      <c r="L3120" s="2">
        <v>1006.0</v>
      </c>
      <c r="M3120" s="3">
        <f t="shared" si="5"/>
        <v>0.6060240964</v>
      </c>
      <c r="N3120" s="2">
        <v>9598200.0</v>
      </c>
      <c r="O3120" s="4">
        <f t="shared" si="6"/>
        <v>5782.048193</v>
      </c>
      <c r="P3120" s="2">
        <v>0.0</v>
      </c>
      <c r="Q3120" s="3">
        <f t="shared" si="7"/>
        <v>0</v>
      </c>
      <c r="R3120" s="2">
        <v>724.0</v>
      </c>
      <c r="S3120" s="5">
        <f t="shared" si="8"/>
        <v>1</v>
      </c>
    </row>
    <row r="3121">
      <c r="A3121" s="2" t="s">
        <v>3129</v>
      </c>
      <c r="B3121" s="2">
        <v>62.0</v>
      </c>
      <c r="C3121" s="2">
        <v>725.0</v>
      </c>
      <c r="D3121" s="2">
        <v>174.0</v>
      </c>
      <c r="E3121" s="3">
        <f t="shared" si="1"/>
        <v>0.2624434389</v>
      </c>
      <c r="F3121" s="2">
        <v>88.0</v>
      </c>
      <c r="G3121" s="3">
        <f t="shared" si="2"/>
        <v>0.1327300151</v>
      </c>
      <c r="H3121" s="2">
        <v>143.0</v>
      </c>
      <c r="I3121" s="3">
        <f t="shared" si="3"/>
        <v>0.2156862745</v>
      </c>
      <c r="J3121" s="2">
        <v>113.0</v>
      </c>
      <c r="K3121" s="3">
        <f t="shared" si="4"/>
        <v>0.1704374057</v>
      </c>
      <c r="L3121" s="2">
        <v>81.0</v>
      </c>
      <c r="M3121" s="3">
        <f t="shared" si="5"/>
        <v>0.5664335664</v>
      </c>
      <c r="N3121" s="2">
        <v>767500.0</v>
      </c>
      <c r="O3121" s="4">
        <f t="shared" si="6"/>
        <v>5367.132867</v>
      </c>
      <c r="P3121" s="2">
        <v>0.0</v>
      </c>
      <c r="Q3121" s="3">
        <f t="shared" si="7"/>
        <v>0</v>
      </c>
      <c r="R3121" s="2">
        <v>62.0</v>
      </c>
      <c r="S3121" s="5">
        <f t="shared" si="8"/>
        <v>1</v>
      </c>
    </row>
    <row r="3122">
      <c r="A3122" s="2" t="s">
        <v>3130</v>
      </c>
      <c r="B3122" s="2">
        <v>298.0</v>
      </c>
      <c r="C3122" s="2">
        <v>3500.0</v>
      </c>
      <c r="D3122" s="2">
        <v>1070.0</v>
      </c>
      <c r="E3122" s="3">
        <f t="shared" si="1"/>
        <v>0.3341661462</v>
      </c>
      <c r="F3122" s="2">
        <v>425.0</v>
      </c>
      <c r="G3122" s="3">
        <f t="shared" si="2"/>
        <v>0.132729544</v>
      </c>
      <c r="H3122" s="2">
        <v>681.0</v>
      </c>
      <c r="I3122" s="3">
        <f t="shared" si="3"/>
        <v>0.2126795753</v>
      </c>
      <c r="J3122" s="2">
        <v>627.0</v>
      </c>
      <c r="K3122" s="3">
        <f t="shared" si="4"/>
        <v>0.1958151156</v>
      </c>
      <c r="L3122" s="2">
        <v>410.0</v>
      </c>
      <c r="M3122" s="3">
        <f t="shared" si="5"/>
        <v>0.6020558003</v>
      </c>
      <c r="N3122" s="2">
        <v>3873600.0</v>
      </c>
      <c r="O3122" s="4">
        <f t="shared" si="6"/>
        <v>5688.105727</v>
      </c>
      <c r="P3122" s="2">
        <v>1.0</v>
      </c>
      <c r="Q3122" s="3">
        <f t="shared" si="7"/>
        <v>0.003355704698</v>
      </c>
      <c r="R3122" s="2">
        <v>298.0</v>
      </c>
      <c r="S3122" s="5">
        <f t="shared" si="8"/>
        <v>1</v>
      </c>
    </row>
    <row r="3123">
      <c r="A3123" s="2" t="s">
        <v>3131</v>
      </c>
      <c r="B3123" s="2">
        <v>165.0</v>
      </c>
      <c r="C3123" s="2">
        <v>1913.0</v>
      </c>
      <c r="D3123" s="2">
        <v>623.0</v>
      </c>
      <c r="E3123" s="3">
        <f t="shared" si="1"/>
        <v>0.3564073227</v>
      </c>
      <c r="F3123" s="2">
        <v>232.0</v>
      </c>
      <c r="G3123" s="3">
        <f t="shared" si="2"/>
        <v>0.1327231121</v>
      </c>
      <c r="H3123" s="2">
        <v>320.0</v>
      </c>
      <c r="I3123" s="3">
        <f t="shared" si="3"/>
        <v>0.1830663616</v>
      </c>
      <c r="J3123" s="2">
        <v>309.0</v>
      </c>
      <c r="K3123" s="3">
        <f t="shared" si="4"/>
        <v>0.1767734554</v>
      </c>
      <c r="L3123" s="2">
        <v>179.0</v>
      </c>
      <c r="M3123" s="3">
        <f t="shared" si="5"/>
        <v>0.559375</v>
      </c>
      <c r="N3123" s="2">
        <v>1735100.0</v>
      </c>
      <c r="O3123" s="4">
        <f t="shared" si="6"/>
        <v>5422.1875</v>
      </c>
      <c r="P3123" s="2">
        <v>1.0</v>
      </c>
      <c r="Q3123" s="3">
        <f t="shared" si="7"/>
        <v>0.006060606061</v>
      </c>
      <c r="R3123" s="2">
        <v>165.0</v>
      </c>
      <c r="S3123" s="5">
        <f t="shared" si="8"/>
        <v>1</v>
      </c>
    </row>
    <row r="3124">
      <c r="A3124" s="2" t="s">
        <v>3132</v>
      </c>
      <c r="B3124" s="2">
        <v>2488.0</v>
      </c>
      <c r="C3124" s="2">
        <v>29032.0</v>
      </c>
      <c r="D3124" s="2">
        <v>8744.0</v>
      </c>
      <c r="E3124" s="3">
        <f t="shared" si="1"/>
        <v>0.3294153104</v>
      </c>
      <c r="F3124" s="2">
        <v>3523.0</v>
      </c>
      <c r="G3124" s="3">
        <f t="shared" si="2"/>
        <v>0.1327230259</v>
      </c>
      <c r="H3124" s="2">
        <v>5925.0</v>
      </c>
      <c r="I3124" s="3">
        <f t="shared" si="3"/>
        <v>0.2232142857</v>
      </c>
      <c r="J3124" s="2">
        <v>4900.0</v>
      </c>
      <c r="K3124" s="3">
        <f t="shared" si="4"/>
        <v>0.1845991561</v>
      </c>
      <c r="L3124" s="2">
        <v>3505.0</v>
      </c>
      <c r="M3124" s="3">
        <f t="shared" si="5"/>
        <v>0.5915611814</v>
      </c>
      <c r="N3124" s="2">
        <v>3.35963E7</v>
      </c>
      <c r="O3124" s="4">
        <f t="shared" si="6"/>
        <v>5670.261603</v>
      </c>
      <c r="P3124" s="2">
        <v>5.0</v>
      </c>
      <c r="Q3124" s="3">
        <f t="shared" si="7"/>
        <v>0.002009646302</v>
      </c>
      <c r="R3124" s="2">
        <v>2486.0</v>
      </c>
      <c r="S3124" s="5">
        <f t="shared" si="8"/>
        <v>0.9991961415</v>
      </c>
    </row>
    <row r="3125">
      <c r="A3125" s="2" t="s">
        <v>3133</v>
      </c>
      <c r="B3125" s="2">
        <v>475.0</v>
      </c>
      <c r="C3125" s="2">
        <v>5561.0</v>
      </c>
      <c r="D3125" s="2">
        <v>1946.0</v>
      </c>
      <c r="E3125" s="3">
        <f t="shared" si="1"/>
        <v>0.382618954</v>
      </c>
      <c r="F3125" s="2">
        <v>675.0</v>
      </c>
      <c r="G3125" s="3">
        <f t="shared" si="2"/>
        <v>0.1327172631</v>
      </c>
      <c r="H3125" s="2">
        <v>1013.0</v>
      </c>
      <c r="I3125" s="3">
        <f t="shared" si="3"/>
        <v>0.1991742037</v>
      </c>
      <c r="J3125" s="2">
        <v>727.0</v>
      </c>
      <c r="K3125" s="3">
        <f t="shared" si="4"/>
        <v>0.1429414078</v>
      </c>
      <c r="L3125" s="2">
        <v>588.0</v>
      </c>
      <c r="M3125" s="3">
        <f t="shared" si="5"/>
        <v>0.5804540967</v>
      </c>
      <c r="N3125" s="2">
        <v>5840900.0</v>
      </c>
      <c r="O3125" s="4">
        <f t="shared" si="6"/>
        <v>5765.942744</v>
      </c>
      <c r="P3125" s="2">
        <v>0.0</v>
      </c>
      <c r="Q3125" s="3">
        <f t="shared" si="7"/>
        <v>0</v>
      </c>
      <c r="R3125" s="2">
        <v>475.0</v>
      </c>
      <c r="S3125" s="5">
        <f t="shared" si="8"/>
        <v>1</v>
      </c>
    </row>
    <row r="3126">
      <c r="A3126" s="2" t="s">
        <v>3134</v>
      </c>
      <c r="B3126" s="2">
        <v>417.0</v>
      </c>
      <c r="C3126" s="2">
        <v>4825.0</v>
      </c>
      <c r="D3126" s="2">
        <v>1636.0</v>
      </c>
      <c r="E3126" s="3">
        <f t="shared" si="1"/>
        <v>0.3711433757</v>
      </c>
      <c r="F3126" s="2">
        <v>585.0</v>
      </c>
      <c r="G3126" s="3">
        <f t="shared" si="2"/>
        <v>0.1327132486</v>
      </c>
      <c r="H3126" s="2">
        <v>926.0</v>
      </c>
      <c r="I3126" s="3">
        <f t="shared" si="3"/>
        <v>0.2100725953</v>
      </c>
      <c r="J3126" s="2">
        <v>861.0</v>
      </c>
      <c r="K3126" s="3">
        <f t="shared" si="4"/>
        <v>0.1953266788</v>
      </c>
      <c r="L3126" s="2">
        <v>577.0</v>
      </c>
      <c r="M3126" s="3">
        <f t="shared" si="5"/>
        <v>0.6231101512</v>
      </c>
      <c r="N3126" s="2">
        <v>5187300.0</v>
      </c>
      <c r="O3126" s="4">
        <f t="shared" si="6"/>
        <v>5601.835853</v>
      </c>
      <c r="P3126" s="2">
        <v>1.0</v>
      </c>
      <c r="Q3126" s="3">
        <f t="shared" si="7"/>
        <v>0.002398081535</v>
      </c>
      <c r="R3126" s="2">
        <v>417.0</v>
      </c>
      <c r="S3126" s="5">
        <f t="shared" si="8"/>
        <v>1</v>
      </c>
    </row>
    <row r="3127">
      <c r="A3127" s="2" t="s">
        <v>3135</v>
      </c>
      <c r="B3127" s="2">
        <v>120.0</v>
      </c>
      <c r="C3127" s="2">
        <v>1401.0</v>
      </c>
      <c r="D3127" s="2">
        <v>434.0</v>
      </c>
      <c r="E3127" s="3">
        <f t="shared" si="1"/>
        <v>0.3387978142</v>
      </c>
      <c r="F3127" s="2">
        <v>170.0</v>
      </c>
      <c r="G3127" s="3">
        <f t="shared" si="2"/>
        <v>0.1327088212</v>
      </c>
      <c r="H3127" s="2">
        <v>260.0</v>
      </c>
      <c r="I3127" s="3">
        <f t="shared" si="3"/>
        <v>0.2029664325</v>
      </c>
      <c r="J3127" s="2">
        <v>232.0</v>
      </c>
      <c r="K3127" s="3">
        <f t="shared" si="4"/>
        <v>0.181108509</v>
      </c>
      <c r="L3127" s="2">
        <v>159.0</v>
      </c>
      <c r="M3127" s="3">
        <f t="shared" si="5"/>
        <v>0.6115384615</v>
      </c>
      <c r="N3127" s="2">
        <v>1348500.0</v>
      </c>
      <c r="O3127" s="4">
        <f t="shared" si="6"/>
        <v>5186.538462</v>
      </c>
      <c r="P3127" s="2">
        <v>0.0</v>
      </c>
      <c r="Q3127" s="3">
        <f t="shared" si="7"/>
        <v>0</v>
      </c>
      <c r="R3127" s="2">
        <v>0.0</v>
      </c>
      <c r="S3127" s="5">
        <f t="shared" si="8"/>
        <v>0</v>
      </c>
    </row>
    <row r="3128">
      <c r="A3128" s="2" t="s">
        <v>3136</v>
      </c>
      <c r="B3128" s="2">
        <v>1090.0</v>
      </c>
      <c r="C3128" s="2">
        <v>12907.0</v>
      </c>
      <c r="D3128" s="2">
        <v>4274.0</v>
      </c>
      <c r="E3128" s="3">
        <f t="shared" si="1"/>
        <v>0.3616823221</v>
      </c>
      <c r="F3128" s="2">
        <v>1568.0</v>
      </c>
      <c r="G3128" s="3">
        <f t="shared" si="2"/>
        <v>0.1326901921</v>
      </c>
      <c r="H3128" s="2">
        <v>2473.0</v>
      </c>
      <c r="I3128" s="3">
        <f t="shared" si="3"/>
        <v>0.2092747736</v>
      </c>
      <c r="J3128" s="2">
        <v>1855.0</v>
      </c>
      <c r="K3128" s="3">
        <f t="shared" si="4"/>
        <v>0.1569772362</v>
      </c>
      <c r="L3128" s="2">
        <v>1469.0</v>
      </c>
      <c r="M3128" s="3">
        <f t="shared" si="5"/>
        <v>0.594015366</v>
      </c>
      <c r="N3128" s="2">
        <v>1.32631E7</v>
      </c>
      <c r="O3128" s="4">
        <f t="shared" si="6"/>
        <v>5363.162151</v>
      </c>
      <c r="P3128" s="2">
        <v>1.0</v>
      </c>
      <c r="Q3128" s="3">
        <f t="shared" si="7"/>
        <v>0.0009174311927</v>
      </c>
      <c r="R3128" s="2">
        <v>314.0</v>
      </c>
      <c r="S3128" s="5">
        <f t="shared" si="8"/>
        <v>0.2880733945</v>
      </c>
    </row>
    <row r="3129">
      <c r="A3129" s="2" t="s">
        <v>3137</v>
      </c>
      <c r="B3129" s="2">
        <v>1027.0</v>
      </c>
      <c r="C3129" s="2">
        <v>12083.0</v>
      </c>
      <c r="D3129" s="2">
        <v>4237.0</v>
      </c>
      <c r="E3129" s="3">
        <f t="shared" si="1"/>
        <v>0.3832308249</v>
      </c>
      <c r="F3129" s="2">
        <v>1467.0</v>
      </c>
      <c r="G3129" s="3">
        <f t="shared" si="2"/>
        <v>0.1326881331</v>
      </c>
      <c r="H3129" s="2">
        <v>2450.0</v>
      </c>
      <c r="I3129" s="3">
        <f t="shared" si="3"/>
        <v>0.2215991317</v>
      </c>
      <c r="J3129" s="2">
        <v>1795.0</v>
      </c>
      <c r="K3129" s="3">
        <f t="shared" si="4"/>
        <v>0.1623552822</v>
      </c>
      <c r="L3129" s="2">
        <v>1454.0</v>
      </c>
      <c r="M3129" s="3">
        <f t="shared" si="5"/>
        <v>0.5934693878</v>
      </c>
      <c r="N3129" s="2">
        <v>1.33449E7</v>
      </c>
      <c r="O3129" s="4">
        <f t="shared" si="6"/>
        <v>5446.897959</v>
      </c>
      <c r="P3129" s="2">
        <v>0.0</v>
      </c>
      <c r="Q3129" s="3">
        <f t="shared" si="7"/>
        <v>0</v>
      </c>
      <c r="R3129" s="2">
        <v>1022.0</v>
      </c>
      <c r="S3129" s="5">
        <f t="shared" si="8"/>
        <v>0.9951314508</v>
      </c>
    </row>
    <row r="3130">
      <c r="A3130" s="2" t="s">
        <v>3138</v>
      </c>
      <c r="B3130" s="2">
        <v>500.0</v>
      </c>
      <c r="C3130" s="2">
        <v>5897.0</v>
      </c>
      <c r="D3130" s="2">
        <v>1965.0</v>
      </c>
      <c r="E3130" s="3">
        <f t="shared" si="1"/>
        <v>0.3640911618</v>
      </c>
      <c r="F3130" s="2">
        <v>716.0</v>
      </c>
      <c r="G3130" s="3">
        <f t="shared" si="2"/>
        <v>0.1326662961</v>
      </c>
      <c r="H3130" s="2">
        <v>1157.0</v>
      </c>
      <c r="I3130" s="3">
        <f t="shared" si="3"/>
        <v>0.2143783583</v>
      </c>
      <c r="J3130" s="2">
        <v>871.0</v>
      </c>
      <c r="K3130" s="3">
        <f t="shared" si="4"/>
        <v>0.1613859552</v>
      </c>
      <c r="L3130" s="2">
        <v>686.0</v>
      </c>
      <c r="M3130" s="3">
        <f t="shared" si="5"/>
        <v>0.5929127053</v>
      </c>
      <c r="N3130" s="2">
        <v>6118300.0</v>
      </c>
      <c r="O3130" s="4">
        <f t="shared" si="6"/>
        <v>5288.072602</v>
      </c>
      <c r="P3130" s="2">
        <v>1.0</v>
      </c>
      <c r="Q3130" s="3">
        <f t="shared" si="7"/>
        <v>0.002</v>
      </c>
      <c r="R3130" s="2">
        <v>500.0</v>
      </c>
      <c r="S3130" s="5">
        <f t="shared" si="8"/>
        <v>1</v>
      </c>
    </row>
    <row r="3131">
      <c r="A3131" s="2" t="s">
        <v>3139</v>
      </c>
      <c r="B3131" s="2">
        <v>579.0</v>
      </c>
      <c r="C3131" s="2">
        <v>6858.0</v>
      </c>
      <c r="D3131" s="2">
        <v>2799.0</v>
      </c>
      <c r="E3131" s="3">
        <f t="shared" si="1"/>
        <v>0.4457716197</v>
      </c>
      <c r="F3131" s="2">
        <v>833.0</v>
      </c>
      <c r="G3131" s="3">
        <f t="shared" si="2"/>
        <v>0.132664437</v>
      </c>
      <c r="H3131" s="2">
        <v>1373.0</v>
      </c>
      <c r="I3131" s="3">
        <f t="shared" si="3"/>
        <v>0.2186653926</v>
      </c>
      <c r="J3131" s="2">
        <v>1024.0</v>
      </c>
      <c r="K3131" s="3">
        <f t="shared" si="4"/>
        <v>0.1630832935</v>
      </c>
      <c r="L3131" s="2">
        <v>823.0</v>
      </c>
      <c r="M3131" s="3">
        <f t="shared" si="5"/>
        <v>0.5994173343</v>
      </c>
      <c r="N3131" s="2">
        <v>7173000.0</v>
      </c>
      <c r="O3131" s="4">
        <f t="shared" si="6"/>
        <v>5224.326293</v>
      </c>
      <c r="P3131" s="2">
        <v>0.0</v>
      </c>
      <c r="Q3131" s="3">
        <f t="shared" si="7"/>
        <v>0</v>
      </c>
      <c r="R3131" s="2">
        <v>579.0</v>
      </c>
      <c r="S3131" s="5">
        <f t="shared" si="8"/>
        <v>1</v>
      </c>
    </row>
    <row r="3132">
      <c r="A3132" s="2" t="s">
        <v>3140</v>
      </c>
      <c r="B3132" s="2">
        <v>137.0</v>
      </c>
      <c r="C3132" s="2">
        <v>1622.0</v>
      </c>
      <c r="D3132" s="2">
        <v>511.0</v>
      </c>
      <c r="E3132" s="3">
        <f t="shared" si="1"/>
        <v>0.3441077441</v>
      </c>
      <c r="F3132" s="2">
        <v>197.0</v>
      </c>
      <c r="G3132" s="3">
        <f t="shared" si="2"/>
        <v>0.1326599327</v>
      </c>
      <c r="H3132" s="2">
        <v>289.0</v>
      </c>
      <c r="I3132" s="3">
        <f t="shared" si="3"/>
        <v>0.1946127946</v>
      </c>
      <c r="J3132" s="2">
        <v>266.0</v>
      </c>
      <c r="K3132" s="3">
        <f t="shared" si="4"/>
        <v>0.1791245791</v>
      </c>
      <c r="L3132" s="2">
        <v>165.0</v>
      </c>
      <c r="M3132" s="3">
        <f t="shared" si="5"/>
        <v>0.5709342561</v>
      </c>
      <c r="N3132" s="2">
        <v>1598600.0</v>
      </c>
      <c r="O3132" s="4">
        <f t="shared" si="6"/>
        <v>5531.487889</v>
      </c>
      <c r="P3132" s="2">
        <v>0.0</v>
      </c>
      <c r="Q3132" s="3">
        <f t="shared" si="7"/>
        <v>0</v>
      </c>
      <c r="R3132" s="2">
        <v>0.0</v>
      </c>
      <c r="S3132" s="5">
        <f t="shared" si="8"/>
        <v>0</v>
      </c>
    </row>
    <row r="3133">
      <c r="A3133" s="2" t="s">
        <v>3141</v>
      </c>
      <c r="B3133" s="2">
        <v>112.0</v>
      </c>
      <c r="C3133" s="2">
        <v>1288.0</v>
      </c>
      <c r="D3133" s="2">
        <v>405.0</v>
      </c>
      <c r="E3133" s="3">
        <f t="shared" si="1"/>
        <v>0.3443877551</v>
      </c>
      <c r="F3133" s="2">
        <v>156.0</v>
      </c>
      <c r="G3133" s="3">
        <f t="shared" si="2"/>
        <v>0.1326530612</v>
      </c>
      <c r="H3133" s="2">
        <v>271.0</v>
      </c>
      <c r="I3133" s="3">
        <f t="shared" si="3"/>
        <v>0.2304421769</v>
      </c>
      <c r="J3133" s="2">
        <v>202.0</v>
      </c>
      <c r="K3133" s="3">
        <f t="shared" si="4"/>
        <v>0.1717687075</v>
      </c>
      <c r="L3133" s="2">
        <v>164.0</v>
      </c>
      <c r="M3133" s="3">
        <f t="shared" si="5"/>
        <v>0.6051660517</v>
      </c>
      <c r="N3133" s="2">
        <v>1481000.0</v>
      </c>
      <c r="O3133" s="4">
        <f t="shared" si="6"/>
        <v>5464.944649</v>
      </c>
      <c r="P3133" s="2">
        <v>0.0</v>
      </c>
      <c r="Q3133" s="3">
        <f t="shared" si="7"/>
        <v>0</v>
      </c>
      <c r="R3133" s="2">
        <v>112.0</v>
      </c>
      <c r="S3133" s="5">
        <f t="shared" si="8"/>
        <v>1</v>
      </c>
    </row>
    <row r="3134">
      <c r="A3134" s="2" t="s">
        <v>3142</v>
      </c>
      <c r="B3134" s="2">
        <v>92.0</v>
      </c>
      <c r="C3134" s="2">
        <v>1072.0</v>
      </c>
      <c r="D3134" s="2">
        <v>362.0</v>
      </c>
      <c r="E3134" s="3">
        <f t="shared" si="1"/>
        <v>0.3693877551</v>
      </c>
      <c r="F3134" s="2">
        <v>130.0</v>
      </c>
      <c r="G3134" s="3">
        <f t="shared" si="2"/>
        <v>0.1326530612</v>
      </c>
      <c r="H3134" s="2">
        <v>173.0</v>
      </c>
      <c r="I3134" s="3">
        <f t="shared" si="3"/>
        <v>0.1765306122</v>
      </c>
      <c r="J3134" s="2">
        <v>129.0</v>
      </c>
      <c r="K3134" s="3">
        <f t="shared" si="4"/>
        <v>0.1316326531</v>
      </c>
      <c r="L3134" s="2">
        <v>102.0</v>
      </c>
      <c r="M3134" s="3">
        <f t="shared" si="5"/>
        <v>0.5895953757</v>
      </c>
      <c r="N3134" s="2">
        <v>938100.0</v>
      </c>
      <c r="O3134" s="4">
        <f t="shared" si="6"/>
        <v>5422.543353</v>
      </c>
      <c r="P3134" s="2">
        <v>0.0</v>
      </c>
      <c r="Q3134" s="3">
        <f t="shared" si="7"/>
        <v>0</v>
      </c>
      <c r="R3134" s="2">
        <v>88.0</v>
      </c>
      <c r="S3134" s="5">
        <f t="shared" si="8"/>
        <v>0.9565217391</v>
      </c>
    </row>
    <row r="3135">
      <c r="A3135" s="2" t="s">
        <v>3143</v>
      </c>
      <c r="B3135" s="2">
        <v>2048.0</v>
      </c>
      <c r="C3135" s="2">
        <v>23632.0</v>
      </c>
      <c r="D3135" s="2">
        <v>7249.0</v>
      </c>
      <c r="E3135" s="3">
        <f t="shared" si="1"/>
        <v>0.3358506301</v>
      </c>
      <c r="F3135" s="2">
        <v>2863.0</v>
      </c>
      <c r="G3135" s="3">
        <f t="shared" si="2"/>
        <v>0.1326445515</v>
      </c>
      <c r="H3135" s="2">
        <v>4530.0</v>
      </c>
      <c r="I3135" s="3">
        <f t="shared" si="3"/>
        <v>0.2098776872</v>
      </c>
      <c r="J3135" s="2">
        <v>3539.0</v>
      </c>
      <c r="K3135" s="3">
        <f t="shared" si="4"/>
        <v>0.1639640474</v>
      </c>
      <c r="L3135" s="2">
        <v>2691.0</v>
      </c>
      <c r="M3135" s="3">
        <f t="shared" si="5"/>
        <v>0.5940397351</v>
      </c>
      <c r="N3135" s="2">
        <v>2.58308E7</v>
      </c>
      <c r="O3135" s="4">
        <f t="shared" si="6"/>
        <v>5702.163355</v>
      </c>
      <c r="P3135" s="2">
        <v>3.0</v>
      </c>
      <c r="Q3135" s="3">
        <f t="shared" si="7"/>
        <v>0.00146484375</v>
      </c>
      <c r="R3135" s="2">
        <v>2048.0</v>
      </c>
      <c r="S3135" s="5">
        <f t="shared" si="8"/>
        <v>1</v>
      </c>
    </row>
    <row r="3136">
      <c r="A3136" s="2" t="s">
        <v>3144</v>
      </c>
      <c r="B3136" s="2">
        <v>111.0</v>
      </c>
      <c r="C3136" s="2">
        <v>1272.0</v>
      </c>
      <c r="D3136" s="2">
        <v>352.0</v>
      </c>
      <c r="E3136" s="3">
        <f t="shared" si="1"/>
        <v>0.3031869078</v>
      </c>
      <c r="F3136" s="2">
        <v>154.0</v>
      </c>
      <c r="G3136" s="3">
        <f t="shared" si="2"/>
        <v>0.1326442722</v>
      </c>
      <c r="H3136" s="2">
        <v>241.0</v>
      </c>
      <c r="I3136" s="3">
        <f t="shared" si="3"/>
        <v>0.2075796727</v>
      </c>
      <c r="J3136" s="2">
        <v>221.0</v>
      </c>
      <c r="K3136" s="3">
        <f t="shared" si="4"/>
        <v>0.1903531438</v>
      </c>
      <c r="L3136" s="2">
        <v>130.0</v>
      </c>
      <c r="M3136" s="3">
        <f t="shared" si="5"/>
        <v>0.5394190871</v>
      </c>
      <c r="N3136" s="2">
        <v>1523300.0</v>
      </c>
      <c r="O3136" s="4">
        <f t="shared" si="6"/>
        <v>6320.746888</v>
      </c>
      <c r="P3136" s="2">
        <v>2.0</v>
      </c>
      <c r="Q3136" s="3">
        <f t="shared" si="7"/>
        <v>0.01801801802</v>
      </c>
      <c r="R3136" s="2">
        <v>111.0</v>
      </c>
      <c r="S3136" s="5">
        <f t="shared" si="8"/>
        <v>1</v>
      </c>
    </row>
    <row r="3137">
      <c r="A3137" s="2" t="s">
        <v>3145</v>
      </c>
      <c r="B3137" s="2">
        <v>110.0</v>
      </c>
      <c r="C3137" s="2">
        <v>1256.0</v>
      </c>
      <c r="D3137" s="2">
        <v>454.0</v>
      </c>
      <c r="E3137" s="3">
        <f t="shared" si="1"/>
        <v>0.3961605585</v>
      </c>
      <c r="F3137" s="2">
        <v>152.0</v>
      </c>
      <c r="G3137" s="3">
        <f t="shared" si="2"/>
        <v>0.1326352531</v>
      </c>
      <c r="H3137" s="2">
        <v>253.0</v>
      </c>
      <c r="I3137" s="3">
        <f t="shared" si="3"/>
        <v>0.2207678883</v>
      </c>
      <c r="J3137" s="2">
        <v>197.0</v>
      </c>
      <c r="K3137" s="3">
        <f t="shared" si="4"/>
        <v>0.1719022688</v>
      </c>
      <c r="L3137" s="2">
        <v>170.0</v>
      </c>
      <c r="M3137" s="3">
        <f t="shared" si="5"/>
        <v>0.6719367589</v>
      </c>
      <c r="N3137" s="2">
        <v>1276200.0</v>
      </c>
      <c r="O3137" s="4">
        <f t="shared" si="6"/>
        <v>5044.268775</v>
      </c>
      <c r="P3137" s="2">
        <v>0.0</v>
      </c>
      <c r="Q3137" s="3">
        <f t="shared" si="7"/>
        <v>0</v>
      </c>
      <c r="R3137" s="2">
        <v>110.0</v>
      </c>
      <c r="S3137" s="5">
        <f t="shared" si="8"/>
        <v>1</v>
      </c>
    </row>
    <row r="3138">
      <c r="A3138" s="2" t="s">
        <v>3146</v>
      </c>
      <c r="B3138" s="2">
        <v>1598.0</v>
      </c>
      <c r="C3138" s="2">
        <v>18872.0</v>
      </c>
      <c r="D3138" s="2">
        <v>6924.0</v>
      </c>
      <c r="E3138" s="3">
        <f t="shared" si="1"/>
        <v>0.4008336228</v>
      </c>
      <c r="F3138" s="2">
        <v>2291.0</v>
      </c>
      <c r="G3138" s="3">
        <f t="shared" si="2"/>
        <v>0.1326270696</v>
      </c>
      <c r="H3138" s="2">
        <v>3785.0</v>
      </c>
      <c r="I3138" s="3">
        <f t="shared" si="3"/>
        <v>0.2191154336</v>
      </c>
      <c r="J3138" s="2">
        <v>2552.0</v>
      </c>
      <c r="K3138" s="3">
        <f t="shared" si="4"/>
        <v>0.1477364826</v>
      </c>
      <c r="L3138" s="2">
        <v>2281.0</v>
      </c>
      <c r="M3138" s="3">
        <f t="shared" si="5"/>
        <v>0.6026420079</v>
      </c>
      <c r="N3138" s="2">
        <v>2.00589E7</v>
      </c>
      <c r="O3138" s="4">
        <f t="shared" si="6"/>
        <v>5299.577279</v>
      </c>
      <c r="P3138" s="2">
        <v>1.0</v>
      </c>
      <c r="Q3138" s="3">
        <f t="shared" si="7"/>
        <v>0.0006257822278</v>
      </c>
      <c r="R3138" s="2">
        <v>1582.0</v>
      </c>
      <c r="S3138" s="5">
        <f t="shared" si="8"/>
        <v>0.9899874844</v>
      </c>
    </row>
    <row r="3139">
      <c r="A3139" s="2" t="s">
        <v>3147</v>
      </c>
      <c r="B3139" s="2">
        <v>288.0</v>
      </c>
      <c r="C3139" s="2">
        <v>3304.0</v>
      </c>
      <c r="D3139" s="2">
        <v>1168.0</v>
      </c>
      <c r="E3139" s="3">
        <f t="shared" si="1"/>
        <v>0.3872679045</v>
      </c>
      <c r="F3139" s="2">
        <v>400.0</v>
      </c>
      <c r="G3139" s="3">
        <f t="shared" si="2"/>
        <v>0.1326259947</v>
      </c>
      <c r="H3139" s="2">
        <v>618.0</v>
      </c>
      <c r="I3139" s="3">
        <f t="shared" si="3"/>
        <v>0.2049071618</v>
      </c>
      <c r="J3139" s="2">
        <v>433.0</v>
      </c>
      <c r="K3139" s="3">
        <f t="shared" si="4"/>
        <v>0.1435676393</v>
      </c>
      <c r="L3139" s="2">
        <v>396.0</v>
      </c>
      <c r="M3139" s="3">
        <f t="shared" si="5"/>
        <v>0.640776699</v>
      </c>
      <c r="N3139" s="2">
        <v>3354200.0</v>
      </c>
      <c r="O3139" s="4">
        <f t="shared" si="6"/>
        <v>5427.508091</v>
      </c>
      <c r="P3139" s="2">
        <v>0.0</v>
      </c>
      <c r="Q3139" s="3">
        <f t="shared" si="7"/>
        <v>0</v>
      </c>
      <c r="R3139" s="2">
        <v>288.0</v>
      </c>
      <c r="S3139" s="5">
        <f t="shared" si="8"/>
        <v>1</v>
      </c>
    </row>
    <row r="3140">
      <c r="A3140" s="2" t="s">
        <v>3148</v>
      </c>
      <c r="B3140" s="2">
        <v>68.0</v>
      </c>
      <c r="C3140" s="2">
        <v>807.0</v>
      </c>
      <c r="D3140" s="2">
        <v>229.0</v>
      </c>
      <c r="E3140" s="3">
        <f t="shared" si="1"/>
        <v>0.3098782138</v>
      </c>
      <c r="F3140" s="2">
        <v>98.0</v>
      </c>
      <c r="G3140" s="3">
        <f t="shared" si="2"/>
        <v>0.1326116373</v>
      </c>
      <c r="H3140" s="2">
        <v>149.0</v>
      </c>
      <c r="I3140" s="3">
        <f t="shared" si="3"/>
        <v>0.201623816</v>
      </c>
      <c r="J3140" s="2">
        <v>111.0</v>
      </c>
      <c r="K3140" s="3">
        <f t="shared" si="4"/>
        <v>0.150202977</v>
      </c>
      <c r="L3140" s="2">
        <v>86.0</v>
      </c>
      <c r="M3140" s="3">
        <f t="shared" si="5"/>
        <v>0.5771812081</v>
      </c>
      <c r="N3140" s="2">
        <v>787700.0</v>
      </c>
      <c r="O3140" s="4">
        <f t="shared" si="6"/>
        <v>5286.577181</v>
      </c>
      <c r="P3140" s="2">
        <v>0.0</v>
      </c>
      <c r="Q3140" s="3">
        <f t="shared" si="7"/>
        <v>0</v>
      </c>
      <c r="R3140" s="2">
        <v>7.0</v>
      </c>
      <c r="S3140" s="5">
        <f t="shared" si="8"/>
        <v>0.1029411765</v>
      </c>
    </row>
    <row r="3141">
      <c r="A3141" s="2" t="s">
        <v>3149</v>
      </c>
      <c r="B3141" s="2">
        <v>984.0</v>
      </c>
      <c r="C3141" s="2">
        <v>11700.0</v>
      </c>
      <c r="D3141" s="2">
        <v>3838.0</v>
      </c>
      <c r="E3141" s="3">
        <f t="shared" si="1"/>
        <v>0.3581560284</v>
      </c>
      <c r="F3141" s="2">
        <v>1421.0</v>
      </c>
      <c r="G3141" s="3">
        <f t="shared" si="2"/>
        <v>0.1326054498</v>
      </c>
      <c r="H3141" s="2">
        <v>2190.0</v>
      </c>
      <c r="I3141" s="3">
        <f t="shared" si="3"/>
        <v>0.2043673012</v>
      </c>
      <c r="J3141" s="2">
        <v>1727.0</v>
      </c>
      <c r="K3141" s="3">
        <f t="shared" si="4"/>
        <v>0.1611608809</v>
      </c>
      <c r="L3141" s="2">
        <v>1338.0</v>
      </c>
      <c r="M3141" s="3">
        <f t="shared" si="5"/>
        <v>0.6109589041</v>
      </c>
      <c r="N3141" s="2">
        <v>1.2285E7</v>
      </c>
      <c r="O3141" s="4">
        <f t="shared" si="6"/>
        <v>5609.589041</v>
      </c>
      <c r="P3141" s="2">
        <v>5.0</v>
      </c>
      <c r="Q3141" s="3">
        <f t="shared" si="7"/>
        <v>0.005081300813</v>
      </c>
      <c r="R3141" s="2">
        <v>984.0</v>
      </c>
      <c r="S3141" s="5">
        <f t="shared" si="8"/>
        <v>1</v>
      </c>
    </row>
    <row r="3142">
      <c r="A3142" s="2" t="s">
        <v>3150</v>
      </c>
      <c r="B3142" s="2">
        <v>725.0</v>
      </c>
      <c r="C3142" s="2">
        <v>8425.0</v>
      </c>
      <c r="D3142" s="2">
        <v>2658.0</v>
      </c>
      <c r="E3142" s="3">
        <f t="shared" si="1"/>
        <v>0.3451948052</v>
      </c>
      <c r="F3142" s="2">
        <v>1021.0</v>
      </c>
      <c r="G3142" s="3">
        <f t="shared" si="2"/>
        <v>0.1325974026</v>
      </c>
      <c r="H3142" s="2">
        <v>1648.0</v>
      </c>
      <c r="I3142" s="3">
        <f t="shared" si="3"/>
        <v>0.214025974</v>
      </c>
      <c r="J3142" s="2">
        <v>1310.0</v>
      </c>
      <c r="K3142" s="3">
        <f t="shared" si="4"/>
        <v>0.1701298701</v>
      </c>
      <c r="L3142" s="2">
        <v>977.0</v>
      </c>
      <c r="M3142" s="3">
        <f t="shared" si="5"/>
        <v>0.5928398058</v>
      </c>
      <c r="N3142" s="2">
        <v>8972200.0</v>
      </c>
      <c r="O3142" s="4">
        <f t="shared" si="6"/>
        <v>5444.296117</v>
      </c>
      <c r="P3142" s="2">
        <v>0.0</v>
      </c>
      <c r="Q3142" s="3">
        <f t="shared" si="7"/>
        <v>0</v>
      </c>
      <c r="R3142" s="2">
        <v>725.0</v>
      </c>
      <c r="S3142" s="5">
        <f t="shared" si="8"/>
        <v>1</v>
      </c>
    </row>
    <row r="3143">
      <c r="A3143" s="2" t="s">
        <v>3151</v>
      </c>
      <c r="B3143" s="2">
        <v>303.0</v>
      </c>
      <c r="C3143" s="2">
        <v>3561.0</v>
      </c>
      <c r="D3143" s="2">
        <v>1030.0</v>
      </c>
      <c r="E3143" s="3">
        <f t="shared" si="1"/>
        <v>0.3161448742</v>
      </c>
      <c r="F3143" s="2">
        <v>432.0</v>
      </c>
      <c r="G3143" s="3">
        <f t="shared" si="2"/>
        <v>0.1325966851</v>
      </c>
      <c r="H3143" s="2">
        <v>676.0</v>
      </c>
      <c r="I3143" s="3">
        <f t="shared" si="3"/>
        <v>0.2074892572</v>
      </c>
      <c r="J3143" s="2">
        <v>557.0</v>
      </c>
      <c r="K3143" s="3">
        <f t="shared" si="4"/>
        <v>0.1709637815</v>
      </c>
      <c r="L3143" s="2">
        <v>394.0</v>
      </c>
      <c r="M3143" s="3">
        <f t="shared" si="5"/>
        <v>0.5828402367</v>
      </c>
      <c r="N3143" s="2">
        <v>3865100.0</v>
      </c>
      <c r="O3143" s="4">
        <f t="shared" si="6"/>
        <v>5717.60355</v>
      </c>
      <c r="P3143" s="2">
        <v>2.0</v>
      </c>
      <c r="Q3143" s="3">
        <f t="shared" si="7"/>
        <v>0.006600660066</v>
      </c>
      <c r="R3143" s="2">
        <v>0.0</v>
      </c>
      <c r="S3143" s="5">
        <f t="shared" si="8"/>
        <v>0</v>
      </c>
    </row>
    <row r="3144">
      <c r="A3144" s="2" t="s">
        <v>3152</v>
      </c>
      <c r="B3144" s="2">
        <v>178.0</v>
      </c>
      <c r="C3144" s="2">
        <v>2071.0</v>
      </c>
      <c r="D3144" s="2">
        <v>671.0</v>
      </c>
      <c r="E3144" s="3">
        <f t="shared" si="1"/>
        <v>0.3544638141</v>
      </c>
      <c r="F3144" s="2">
        <v>251.0</v>
      </c>
      <c r="G3144" s="3">
        <f t="shared" si="2"/>
        <v>0.1325937665</v>
      </c>
      <c r="H3144" s="2">
        <v>386.0</v>
      </c>
      <c r="I3144" s="3">
        <f t="shared" si="3"/>
        <v>0.2039091389</v>
      </c>
      <c r="J3144" s="2">
        <v>300.0</v>
      </c>
      <c r="K3144" s="3">
        <f t="shared" si="4"/>
        <v>0.1584786054</v>
      </c>
      <c r="L3144" s="2">
        <v>234.0</v>
      </c>
      <c r="M3144" s="3">
        <f t="shared" si="5"/>
        <v>0.6062176166</v>
      </c>
      <c r="N3144" s="2">
        <v>2046700.0</v>
      </c>
      <c r="O3144" s="4">
        <f t="shared" si="6"/>
        <v>5302.331606</v>
      </c>
      <c r="P3144" s="2">
        <v>0.0</v>
      </c>
      <c r="Q3144" s="3">
        <f t="shared" si="7"/>
        <v>0</v>
      </c>
      <c r="R3144" s="2">
        <v>178.0</v>
      </c>
      <c r="S3144" s="5">
        <f t="shared" si="8"/>
        <v>1</v>
      </c>
    </row>
    <row r="3145">
      <c r="A3145" s="2" t="s">
        <v>3153</v>
      </c>
      <c r="B3145" s="2">
        <v>895.0</v>
      </c>
      <c r="C3145" s="2">
        <v>10526.0</v>
      </c>
      <c r="D3145" s="2">
        <v>3470.0</v>
      </c>
      <c r="E3145" s="3">
        <f t="shared" si="1"/>
        <v>0.3602948811</v>
      </c>
      <c r="F3145" s="2">
        <v>1277.0</v>
      </c>
      <c r="G3145" s="3">
        <f t="shared" si="2"/>
        <v>0.1325926695</v>
      </c>
      <c r="H3145" s="2">
        <v>2105.0</v>
      </c>
      <c r="I3145" s="3">
        <f t="shared" si="3"/>
        <v>0.2185650504</v>
      </c>
      <c r="J3145" s="2">
        <v>1604.0</v>
      </c>
      <c r="K3145" s="3">
        <f t="shared" si="4"/>
        <v>0.1665455301</v>
      </c>
      <c r="L3145" s="2">
        <v>1250.0</v>
      </c>
      <c r="M3145" s="3">
        <f t="shared" si="5"/>
        <v>0.593824228</v>
      </c>
      <c r="N3145" s="2">
        <v>1.15975E7</v>
      </c>
      <c r="O3145" s="4">
        <f t="shared" si="6"/>
        <v>5509.501188</v>
      </c>
      <c r="P3145" s="2">
        <v>1.0</v>
      </c>
      <c r="Q3145" s="3">
        <f t="shared" si="7"/>
        <v>0.001117318436</v>
      </c>
      <c r="R3145" s="2">
        <v>895.0</v>
      </c>
      <c r="S3145" s="5">
        <f t="shared" si="8"/>
        <v>1</v>
      </c>
    </row>
    <row r="3146">
      <c r="A3146" s="2" t="s">
        <v>3154</v>
      </c>
      <c r="B3146" s="2">
        <v>4228.0</v>
      </c>
      <c r="C3146" s="2">
        <v>49819.0</v>
      </c>
      <c r="D3146" s="2">
        <v>16894.0</v>
      </c>
      <c r="E3146" s="3">
        <f t="shared" si="1"/>
        <v>0.3705555921</v>
      </c>
      <c r="F3146" s="2">
        <v>6045.0</v>
      </c>
      <c r="G3146" s="3">
        <f t="shared" si="2"/>
        <v>0.1325919589</v>
      </c>
      <c r="H3146" s="2">
        <v>10010.0</v>
      </c>
      <c r="I3146" s="3">
        <f t="shared" si="3"/>
        <v>0.2195608782</v>
      </c>
      <c r="J3146" s="2">
        <v>8149.0</v>
      </c>
      <c r="K3146" s="3">
        <f t="shared" si="4"/>
        <v>0.1787414183</v>
      </c>
      <c r="L3146" s="2">
        <v>5985.0</v>
      </c>
      <c r="M3146" s="3">
        <f t="shared" si="5"/>
        <v>0.5979020979</v>
      </c>
      <c r="N3146" s="2">
        <v>5.4038E7</v>
      </c>
      <c r="O3146" s="4">
        <f t="shared" si="6"/>
        <v>5398.401598</v>
      </c>
      <c r="P3146" s="2">
        <v>4.0</v>
      </c>
      <c r="Q3146" s="3">
        <f t="shared" si="7"/>
        <v>0.0009460737938</v>
      </c>
      <c r="R3146" s="2">
        <v>4228.0</v>
      </c>
      <c r="S3146" s="5">
        <f t="shared" si="8"/>
        <v>1</v>
      </c>
    </row>
    <row r="3147">
      <c r="A3147" s="2" t="s">
        <v>3155</v>
      </c>
      <c r="B3147" s="2">
        <v>149.0</v>
      </c>
      <c r="C3147" s="2">
        <v>1763.0</v>
      </c>
      <c r="D3147" s="2">
        <v>696.0</v>
      </c>
      <c r="E3147" s="3">
        <f t="shared" si="1"/>
        <v>0.4312267658</v>
      </c>
      <c r="F3147" s="2">
        <v>214.0</v>
      </c>
      <c r="G3147" s="3">
        <f t="shared" si="2"/>
        <v>0.1325898389</v>
      </c>
      <c r="H3147" s="2">
        <v>328.0</v>
      </c>
      <c r="I3147" s="3">
        <f t="shared" si="3"/>
        <v>0.2032218092</v>
      </c>
      <c r="J3147" s="2">
        <v>213.0</v>
      </c>
      <c r="K3147" s="3">
        <f t="shared" si="4"/>
        <v>0.1319702602</v>
      </c>
      <c r="L3147" s="2">
        <v>206.0</v>
      </c>
      <c r="M3147" s="3">
        <f t="shared" si="5"/>
        <v>0.6280487805</v>
      </c>
      <c r="N3147" s="2">
        <v>1719800.0</v>
      </c>
      <c r="O3147" s="4">
        <f t="shared" si="6"/>
        <v>5243.292683</v>
      </c>
      <c r="P3147" s="2">
        <v>0.0</v>
      </c>
      <c r="Q3147" s="3">
        <f t="shared" si="7"/>
        <v>0</v>
      </c>
      <c r="R3147" s="2">
        <v>149.0</v>
      </c>
      <c r="S3147" s="5">
        <f t="shared" si="8"/>
        <v>1</v>
      </c>
    </row>
    <row r="3148">
      <c r="A3148" s="2" t="s">
        <v>3156</v>
      </c>
      <c r="B3148" s="2">
        <v>24.0</v>
      </c>
      <c r="C3148" s="2">
        <v>288.0</v>
      </c>
      <c r="D3148" s="2">
        <v>119.0</v>
      </c>
      <c r="E3148" s="3">
        <f t="shared" si="1"/>
        <v>0.4507575758</v>
      </c>
      <c r="F3148" s="2">
        <v>35.0</v>
      </c>
      <c r="G3148" s="3">
        <f t="shared" si="2"/>
        <v>0.1325757576</v>
      </c>
      <c r="H3148" s="2">
        <v>67.0</v>
      </c>
      <c r="I3148" s="3">
        <f t="shared" si="3"/>
        <v>0.2537878788</v>
      </c>
      <c r="J3148" s="2">
        <v>48.0</v>
      </c>
      <c r="K3148" s="3">
        <f t="shared" si="4"/>
        <v>0.1818181818</v>
      </c>
      <c r="L3148" s="2">
        <v>39.0</v>
      </c>
      <c r="M3148" s="3">
        <f t="shared" si="5"/>
        <v>0.5820895522</v>
      </c>
      <c r="N3148" s="2">
        <v>334800.0</v>
      </c>
      <c r="O3148" s="4">
        <f t="shared" si="6"/>
        <v>4997.014925</v>
      </c>
      <c r="P3148" s="2">
        <v>0.0</v>
      </c>
      <c r="Q3148" s="3">
        <f t="shared" si="7"/>
        <v>0</v>
      </c>
      <c r="R3148" s="2">
        <v>24.0</v>
      </c>
      <c r="S3148" s="5">
        <f t="shared" si="8"/>
        <v>1</v>
      </c>
    </row>
    <row r="3149">
      <c r="A3149" s="2" t="s">
        <v>3157</v>
      </c>
      <c r="B3149" s="2">
        <v>229.0</v>
      </c>
      <c r="C3149" s="2">
        <v>2673.0</v>
      </c>
      <c r="D3149" s="2">
        <v>738.0</v>
      </c>
      <c r="E3149" s="3">
        <f t="shared" si="1"/>
        <v>0.3019639935</v>
      </c>
      <c r="F3149" s="2">
        <v>324.0</v>
      </c>
      <c r="G3149" s="3">
        <f t="shared" si="2"/>
        <v>0.1325695581</v>
      </c>
      <c r="H3149" s="2">
        <v>486.0</v>
      </c>
      <c r="I3149" s="3">
        <f t="shared" si="3"/>
        <v>0.1988543372</v>
      </c>
      <c r="J3149" s="2">
        <v>447.0</v>
      </c>
      <c r="K3149" s="3">
        <f t="shared" si="4"/>
        <v>0.1828968903</v>
      </c>
      <c r="L3149" s="2">
        <v>281.0</v>
      </c>
      <c r="M3149" s="3">
        <f t="shared" si="5"/>
        <v>0.5781893004</v>
      </c>
      <c r="N3149" s="2">
        <v>3085000.0</v>
      </c>
      <c r="O3149" s="4">
        <f t="shared" si="6"/>
        <v>6347.736626</v>
      </c>
      <c r="P3149" s="2">
        <v>3.0</v>
      </c>
      <c r="Q3149" s="3">
        <f t="shared" si="7"/>
        <v>0.01310043668</v>
      </c>
      <c r="R3149" s="2">
        <v>229.0</v>
      </c>
      <c r="S3149" s="5">
        <f t="shared" si="8"/>
        <v>1</v>
      </c>
    </row>
    <row r="3150">
      <c r="A3150" s="2" t="s">
        <v>3158</v>
      </c>
      <c r="B3150" s="2">
        <v>514.0</v>
      </c>
      <c r="C3150" s="2">
        <v>5953.0</v>
      </c>
      <c r="D3150" s="2">
        <v>1746.0</v>
      </c>
      <c r="E3150" s="3">
        <f t="shared" si="1"/>
        <v>0.3210148924</v>
      </c>
      <c r="F3150" s="2">
        <v>721.0</v>
      </c>
      <c r="G3150" s="3">
        <f t="shared" si="2"/>
        <v>0.1325611326</v>
      </c>
      <c r="H3150" s="2">
        <v>1036.0</v>
      </c>
      <c r="I3150" s="3">
        <f t="shared" si="3"/>
        <v>0.1904761905</v>
      </c>
      <c r="J3150" s="2">
        <v>1004.0</v>
      </c>
      <c r="K3150" s="3">
        <f t="shared" si="4"/>
        <v>0.184592756</v>
      </c>
      <c r="L3150" s="2">
        <v>622.0</v>
      </c>
      <c r="M3150" s="3">
        <f t="shared" si="5"/>
        <v>0.6003861004</v>
      </c>
      <c r="N3150" s="2">
        <v>6262600.0</v>
      </c>
      <c r="O3150" s="4">
        <f t="shared" si="6"/>
        <v>6044.980695</v>
      </c>
      <c r="P3150" s="2">
        <v>1.0</v>
      </c>
      <c r="Q3150" s="3">
        <f t="shared" si="7"/>
        <v>0.001945525292</v>
      </c>
      <c r="R3150" s="2">
        <v>514.0</v>
      </c>
      <c r="S3150" s="5">
        <f t="shared" si="8"/>
        <v>1</v>
      </c>
    </row>
    <row r="3151">
      <c r="A3151" s="2" t="s">
        <v>3159</v>
      </c>
      <c r="B3151" s="2">
        <v>1976.0</v>
      </c>
      <c r="C3151" s="2">
        <v>23139.0</v>
      </c>
      <c r="D3151" s="2">
        <v>7401.0</v>
      </c>
      <c r="E3151" s="3">
        <f t="shared" si="1"/>
        <v>0.3497141237</v>
      </c>
      <c r="F3151" s="2">
        <v>2805.0</v>
      </c>
      <c r="G3151" s="3">
        <f t="shared" si="2"/>
        <v>0.1325426452</v>
      </c>
      <c r="H3151" s="2">
        <v>4688.0</v>
      </c>
      <c r="I3151" s="3">
        <f t="shared" si="3"/>
        <v>0.2215186883</v>
      </c>
      <c r="J3151" s="2">
        <v>3701.0</v>
      </c>
      <c r="K3151" s="3">
        <f t="shared" si="4"/>
        <v>0.174880688</v>
      </c>
      <c r="L3151" s="2">
        <v>2798.0</v>
      </c>
      <c r="M3151" s="3">
        <f t="shared" si="5"/>
        <v>0.5968430034</v>
      </c>
      <c r="N3151" s="2">
        <v>2.62572E7</v>
      </c>
      <c r="O3151" s="4">
        <f t="shared" si="6"/>
        <v>5600.938567</v>
      </c>
      <c r="P3151" s="2">
        <v>4.0</v>
      </c>
      <c r="Q3151" s="3">
        <f t="shared" si="7"/>
        <v>0.002024291498</v>
      </c>
      <c r="R3151" s="2">
        <v>1976.0</v>
      </c>
      <c r="S3151" s="5">
        <f t="shared" si="8"/>
        <v>1</v>
      </c>
    </row>
    <row r="3152">
      <c r="A3152" s="2" t="s">
        <v>3160</v>
      </c>
      <c r="B3152" s="2">
        <v>635.0</v>
      </c>
      <c r="C3152" s="2">
        <v>7350.0</v>
      </c>
      <c r="D3152" s="2">
        <v>2370.0</v>
      </c>
      <c r="E3152" s="3">
        <f t="shared" si="1"/>
        <v>0.3529411765</v>
      </c>
      <c r="F3152" s="2">
        <v>890.0</v>
      </c>
      <c r="G3152" s="3">
        <f t="shared" si="2"/>
        <v>0.1325390916</v>
      </c>
      <c r="H3152" s="2">
        <v>1426.0</v>
      </c>
      <c r="I3152" s="3">
        <f t="shared" si="3"/>
        <v>0.2123603872</v>
      </c>
      <c r="J3152" s="2">
        <v>996.0</v>
      </c>
      <c r="K3152" s="3">
        <f t="shared" si="4"/>
        <v>0.1483246463</v>
      </c>
      <c r="L3152" s="2">
        <v>861.0</v>
      </c>
      <c r="M3152" s="3">
        <f t="shared" si="5"/>
        <v>0.6037868163</v>
      </c>
      <c r="N3152" s="2">
        <v>7917100.0</v>
      </c>
      <c r="O3152" s="4">
        <f t="shared" si="6"/>
        <v>5551.963534</v>
      </c>
      <c r="P3152" s="2">
        <v>2.0</v>
      </c>
      <c r="Q3152" s="3">
        <f t="shared" si="7"/>
        <v>0.003149606299</v>
      </c>
      <c r="R3152" s="2">
        <v>138.0</v>
      </c>
      <c r="S3152" s="5">
        <f t="shared" si="8"/>
        <v>0.2173228346</v>
      </c>
    </row>
    <row r="3153">
      <c r="A3153" s="2" t="s">
        <v>3161</v>
      </c>
      <c r="B3153" s="2">
        <v>1086.0</v>
      </c>
      <c r="C3153" s="2">
        <v>12751.0</v>
      </c>
      <c r="D3153" s="2">
        <v>4236.0</v>
      </c>
      <c r="E3153" s="3">
        <f t="shared" si="1"/>
        <v>0.3631375911</v>
      </c>
      <c r="F3153" s="2">
        <v>1546.0</v>
      </c>
      <c r="G3153" s="3">
        <f t="shared" si="2"/>
        <v>0.132533219</v>
      </c>
      <c r="H3153" s="2">
        <v>2447.0</v>
      </c>
      <c r="I3153" s="3">
        <f t="shared" si="3"/>
        <v>0.2097728247</v>
      </c>
      <c r="J3153" s="2">
        <v>1940.0</v>
      </c>
      <c r="K3153" s="3">
        <f t="shared" si="4"/>
        <v>0.1663094728</v>
      </c>
      <c r="L3153" s="2">
        <v>1457.0</v>
      </c>
      <c r="M3153" s="3">
        <f t="shared" si="5"/>
        <v>0.5954229669</v>
      </c>
      <c r="N3153" s="2">
        <v>1.35064E7</v>
      </c>
      <c r="O3153" s="4">
        <f t="shared" si="6"/>
        <v>5519.57499</v>
      </c>
      <c r="P3153" s="2">
        <v>0.0</v>
      </c>
      <c r="Q3153" s="3">
        <f t="shared" si="7"/>
        <v>0</v>
      </c>
      <c r="R3153" s="2">
        <v>1086.0</v>
      </c>
      <c r="S3153" s="5">
        <f t="shared" si="8"/>
        <v>1</v>
      </c>
    </row>
    <row r="3154">
      <c r="A3154" s="2" t="s">
        <v>3162</v>
      </c>
      <c r="B3154" s="2">
        <v>421.0</v>
      </c>
      <c r="C3154" s="2">
        <v>5001.0</v>
      </c>
      <c r="D3154" s="2">
        <v>1951.0</v>
      </c>
      <c r="E3154" s="3">
        <f t="shared" si="1"/>
        <v>0.4259825328</v>
      </c>
      <c r="F3154" s="2">
        <v>607.0</v>
      </c>
      <c r="G3154" s="3">
        <f t="shared" si="2"/>
        <v>0.1325327511</v>
      </c>
      <c r="H3154" s="2">
        <v>1018.0</v>
      </c>
      <c r="I3154" s="3">
        <f t="shared" si="3"/>
        <v>0.2222707424</v>
      </c>
      <c r="J3154" s="2">
        <v>698.0</v>
      </c>
      <c r="K3154" s="3">
        <f t="shared" si="4"/>
        <v>0.1524017467</v>
      </c>
      <c r="L3154" s="2">
        <v>658.0</v>
      </c>
      <c r="M3154" s="3">
        <f t="shared" si="5"/>
        <v>0.6463654224</v>
      </c>
      <c r="N3154" s="2">
        <v>5272800.0</v>
      </c>
      <c r="O3154" s="4">
        <f t="shared" si="6"/>
        <v>5179.56778</v>
      </c>
      <c r="P3154" s="2">
        <v>1.0</v>
      </c>
      <c r="Q3154" s="3">
        <f t="shared" si="7"/>
        <v>0.002375296912</v>
      </c>
      <c r="R3154" s="2">
        <v>421.0</v>
      </c>
      <c r="S3154" s="5">
        <f t="shared" si="8"/>
        <v>1</v>
      </c>
    </row>
    <row r="3155">
      <c r="A3155" s="2" t="s">
        <v>3163</v>
      </c>
      <c r="B3155" s="2">
        <v>40.0</v>
      </c>
      <c r="C3155" s="2">
        <v>455.0</v>
      </c>
      <c r="D3155" s="2">
        <v>135.0</v>
      </c>
      <c r="E3155" s="3">
        <f t="shared" si="1"/>
        <v>0.3253012048</v>
      </c>
      <c r="F3155" s="2">
        <v>55.0</v>
      </c>
      <c r="G3155" s="3">
        <f t="shared" si="2"/>
        <v>0.1325301205</v>
      </c>
      <c r="H3155" s="2">
        <v>99.0</v>
      </c>
      <c r="I3155" s="3">
        <f t="shared" si="3"/>
        <v>0.2385542169</v>
      </c>
      <c r="J3155" s="2">
        <v>78.0</v>
      </c>
      <c r="K3155" s="3">
        <f t="shared" si="4"/>
        <v>0.1879518072</v>
      </c>
      <c r="L3155" s="2">
        <v>61.0</v>
      </c>
      <c r="M3155" s="3">
        <f t="shared" si="5"/>
        <v>0.6161616162</v>
      </c>
      <c r="N3155" s="2">
        <v>571100.0</v>
      </c>
      <c r="O3155" s="4">
        <f t="shared" si="6"/>
        <v>5768.686869</v>
      </c>
      <c r="P3155" s="2">
        <v>0.0</v>
      </c>
      <c r="Q3155" s="3">
        <f t="shared" si="7"/>
        <v>0</v>
      </c>
      <c r="R3155" s="2">
        <v>40.0</v>
      </c>
      <c r="S3155" s="5">
        <f t="shared" si="8"/>
        <v>1</v>
      </c>
    </row>
    <row r="3156">
      <c r="A3156" s="2">
        <v>1112.0</v>
      </c>
      <c r="B3156" s="2">
        <v>72.0</v>
      </c>
      <c r="C3156" s="2">
        <v>819.0</v>
      </c>
      <c r="D3156" s="2">
        <v>247.0</v>
      </c>
      <c r="E3156" s="3">
        <f t="shared" si="1"/>
        <v>0.3306559572</v>
      </c>
      <c r="F3156" s="2">
        <v>99.0</v>
      </c>
      <c r="G3156" s="3">
        <f t="shared" si="2"/>
        <v>0.1325301205</v>
      </c>
      <c r="H3156" s="2">
        <v>126.0</v>
      </c>
      <c r="I3156" s="3">
        <f t="shared" si="3"/>
        <v>0.1686746988</v>
      </c>
      <c r="J3156" s="2">
        <v>138.0</v>
      </c>
      <c r="K3156" s="3">
        <f t="shared" si="4"/>
        <v>0.1847389558</v>
      </c>
      <c r="L3156" s="2">
        <v>82.0</v>
      </c>
      <c r="M3156" s="3">
        <f t="shared" si="5"/>
        <v>0.6507936508</v>
      </c>
      <c r="N3156" s="2">
        <v>662700.0</v>
      </c>
      <c r="O3156" s="4">
        <f t="shared" si="6"/>
        <v>5259.52381</v>
      </c>
      <c r="P3156" s="2">
        <v>0.0</v>
      </c>
      <c r="Q3156" s="3">
        <f t="shared" si="7"/>
        <v>0</v>
      </c>
      <c r="R3156" s="2">
        <v>72.0</v>
      </c>
      <c r="S3156" s="5">
        <f t="shared" si="8"/>
        <v>1</v>
      </c>
    </row>
    <row r="3157">
      <c r="A3157" s="2" t="s">
        <v>3164</v>
      </c>
      <c r="B3157" s="2">
        <v>8.0</v>
      </c>
      <c r="C3157" s="2">
        <v>91.0</v>
      </c>
      <c r="D3157" s="2">
        <v>41.0</v>
      </c>
      <c r="E3157" s="3">
        <f t="shared" si="1"/>
        <v>0.4939759036</v>
      </c>
      <c r="F3157" s="2">
        <v>11.0</v>
      </c>
      <c r="G3157" s="3">
        <f t="shared" si="2"/>
        <v>0.1325301205</v>
      </c>
      <c r="H3157" s="2">
        <v>15.0</v>
      </c>
      <c r="I3157" s="3">
        <f t="shared" si="3"/>
        <v>0.1807228916</v>
      </c>
      <c r="J3157" s="2">
        <v>14.0</v>
      </c>
      <c r="K3157" s="3">
        <f t="shared" si="4"/>
        <v>0.1686746988</v>
      </c>
      <c r="L3157" s="2">
        <v>11.0</v>
      </c>
      <c r="M3157" s="3">
        <f t="shared" si="5"/>
        <v>0.7333333333</v>
      </c>
      <c r="N3157" s="2">
        <v>45700.0</v>
      </c>
      <c r="O3157" s="4">
        <f t="shared" si="6"/>
        <v>3046.666667</v>
      </c>
      <c r="P3157" s="2">
        <v>0.0</v>
      </c>
      <c r="Q3157" s="3">
        <f t="shared" si="7"/>
        <v>0</v>
      </c>
      <c r="R3157" s="2">
        <v>1.0</v>
      </c>
      <c r="S3157" s="5">
        <f t="shared" si="8"/>
        <v>0.125</v>
      </c>
    </row>
    <row r="3158">
      <c r="A3158" s="2" t="s">
        <v>3165</v>
      </c>
      <c r="B3158" s="2">
        <v>75.0</v>
      </c>
      <c r="C3158" s="2">
        <v>822.0</v>
      </c>
      <c r="D3158" s="2">
        <v>254.0</v>
      </c>
      <c r="E3158" s="3">
        <f t="shared" si="1"/>
        <v>0.3400267738</v>
      </c>
      <c r="F3158" s="2">
        <v>99.0</v>
      </c>
      <c r="G3158" s="3">
        <f t="shared" si="2"/>
        <v>0.1325301205</v>
      </c>
      <c r="H3158" s="2">
        <v>142.0</v>
      </c>
      <c r="I3158" s="3">
        <f t="shared" si="3"/>
        <v>0.1900937082</v>
      </c>
      <c r="J3158" s="2">
        <v>109.0</v>
      </c>
      <c r="K3158" s="3">
        <f t="shared" si="4"/>
        <v>0.1459170013</v>
      </c>
      <c r="L3158" s="2">
        <v>81.0</v>
      </c>
      <c r="M3158" s="3">
        <f t="shared" si="5"/>
        <v>0.5704225352</v>
      </c>
      <c r="N3158" s="2">
        <v>836600.0</v>
      </c>
      <c r="O3158" s="4">
        <f t="shared" si="6"/>
        <v>5891.549296</v>
      </c>
      <c r="P3158" s="2">
        <v>0.0</v>
      </c>
      <c r="Q3158" s="3">
        <f t="shared" si="7"/>
        <v>0</v>
      </c>
      <c r="R3158" s="2">
        <v>56.0</v>
      </c>
      <c r="S3158" s="5">
        <f t="shared" si="8"/>
        <v>0.7466666667</v>
      </c>
    </row>
    <row r="3159">
      <c r="A3159" s="2" t="s">
        <v>3166</v>
      </c>
      <c r="B3159" s="2">
        <v>480.0</v>
      </c>
      <c r="C3159" s="2">
        <v>5664.0</v>
      </c>
      <c r="D3159" s="2">
        <v>1883.0</v>
      </c>
      <c r="E3159" s="3">
        <f t="shared" si="1"/>
        <v>0.3632330247</v>
      </c>
      <c r="F3159" s="2">
        <v>687.0</v>
      </c>
      <c r="G3159" s="3">
        <f t="shared" si="2"/>
        <v>0.1325231481</v>
      </c>
      <c r="H3159" s="2">
        <v>1152.0</v>
      </c>
      <c r="I3159" s="3">
        <f t="shared" si="3"/>
        <v>0.2222222222</v>
      </c>
      <c r="J3159" s="2">
        <v>886.0</v>
      </c>
      <c r="K3159" s="3">
        <f t="shared" si="4"/>
        <v>0.1709104938</v>
      </c>
      <c r="L3159" s="2">
        <v>690.0</v>
      </c>
      <c r="M3159" s="3">
        <f t="shared" si="5"/>
        <v>0.5989583333</v>
      </c>
      <c r="N3159" s="2">
        <v>6417700.0</v>
      </c>
      <c r="O3159" s="4">
        <f t="shared" si="6"/>
        <v>5570.920139</v>
      </c>
      <c r="P3159" s="2">
        <v>0.0</v>
      </c>
      <c r="Q3159" s="3">
        <f t="shared" si="7"/>
        <v>0</v>
      </c>
      <c r="R3159" s="2">
        <v>480.0</v>
      </c>
      <c r="S3159" s="5">
        <f t="shared" si="8"/>
        <v>1</v>
      </c>
    </row>
    <row r="3160">
      <c r="A3160" s="2" t="s">
        <v>3167</v>
      </c>
      <c r="B3160" s="2">
        <v>484.0</v>
      </c>
      <c r="C3160" s="2">
        <v>5691.0</v>
      </c>
      <c r="D3160" s="2">
        <v>1590.0</v>
      </c>
      <c r="E3160" s="3">
        <f t="shared" si="1"/>
        <v>0.3053581717</v>
      </c>
      <c r="F3160" s="2">
        <v>690.0</v>
      </c>
      <c r="G3160" s="3">
        <f t="shared" si="2"/>
        <v>0.1325139236</v>
      </c>
      <c r="H3160" s="2">
        <v>1177.0</v>
      </c>
      <c r="I3160" s="3">
        <f t="shared" si="3"/>
        <v>0.2260418667</v>
      </c>
      <c r="J3160" s="2">
        <v>956.0</v>
      </c>
      <c r="K3160" s="3">
        <f t="shared" si="4"/>
        <v>0.1835990013</v>
      </c>
      <c r="L3160" s="2">
        <v>674.0</v>
      </c>
      <c r="M3160" s="3">
        <f t="shared" si="5"/>
        <v>0.572642311</v>
      </c>
      <c r="N3160" s="2">
        <v>6383600.0</v>
      </c>
      <c r="O3160" s="4">
        <f t="shared" si="6"/>
        <v>5423.619371</v>
      </c>
      <c r="P3160" s="2">
        <v>2.0</v>
      </c>
      <c r="Q3160" s="3">
        <f t="shared" si="7"/>
        <v>0.004132231405</v>
      </c>
      <c r="R3160" s="2">
        <v>484.0</v>
      </c>
      <c r="S3160" s="5">
        <f t="shared" si="8"/>
        <v>1</v>
      </c>
    </row>
    <row r="3161">
      <c r="A3161" s="2" t="s">
        <v>3168</v>
      </c>
      <c r="B3161" s="2">
        <v>196.0</v>
      </c>
      <c r="C3161" s="2">
        <v>2294.0</v>
      </c>
      <c r="D3161" s="2">
        <v>748.0</v>
      </c>
      <c r="E3161" s="3">
        <f t="shared" si="1"/>
        <v>0.3565300286</v>
      </c>
      <c r="F3161" s="2">
        <v>278.0</v>
      </c>
      <c r="G3161" s="3">
        <f t="shared" si="2"/>
        <v>0.1325071497</v>
      </c>
      <c r="H3161" s="2">
        <v>449.0</v>
      </c>
      <c r="I3161" s="3">
        <f t="shared" si="3"/>
        <v>0.214013346</v>
      </c>
      <c r="J3161" s="2">
        <v>398.0</v>
      </c>
      <c r="K3161" s="3">
        <f t="shared" si="4"/>
        <v>0.1897044805</v>
      </c>
      <c r="L3161" s="2">
        <v>266.0</v>
      </c>
      <c r="M3161" s="3">
        <f t="shared" si="5"/>
        <v>0.5924276169</v>
      </c>
      <c r="N3161" s="2">
        <v>2539800.0</v>
      </c>
      <c r="O3161" s="4">
        <f t="shared" si="6"/>
        <v>5656.570156</v>
      </c>
      <c r="P3161" s="2">
        <v>0.0</v>
      </c>
      <c r="Q3161" s="3">
        <f t="shared" si="7"/>
        <v>0</v>
      </c>
      <c r="R3161" s="2">
        <v>196.0</v>
      </c>
      <c r="S3161" s="5">
        <f t="shared" si="8"/>
        <v>1</v>
      </c>
    </row>
    <row r="3162">
      <c r="A3162" s="2" t="s">
        <v>3169</v>
      </c>
      <c r="B3162" s="2">
        <v>1423.0</v>
      </c>
      <c r="C3162" s="2">
        <v>16713.0</v>
      </c>
      <c r="D3162" s="2">
        <v>4841.0</v>
      </c>
      <c r="E3162" s="3">
        <f t="shared" si="1"/>
        <v>0.3166121648</v>
      </c>
      <c r="F3162" s="2">
        <v>2026.0</v>
      </c>
      <c r="G3162" s="3">
        <f t="shared" si="2"/>
        <v>0.1325049052</v>
      </c>
      <c r="H3162" s="2">
        <v>3264.0</v>
      </c>
      <c r="I3162" s="3">
        <f t="shared" si="3"/>
        <v>0.2134728581</v>
      </c>
      <c r="J3162" s="2">
        <v>2626.0</v>
      </c>
      <c r="K3162" s="3">
        <f t="shared" si="4"/>
        <v>0.1717462394</v>
      </c>
      <c r="L3162" s="2">
        <v>1944.0</v>
      </c>
      <c r="M3162" s="3">
        <f t="shared" si="5"/>
        <v>0.5955882353</v>
      </c>
      <c r="N3162" s="2">
        <v>1.86433E7</v>
      </c>
      <c r="O3162" s="4">
        <f t="shared" si="6"/>
        <v>5711.795343</v>
      </c>
      <c r="P3162" s="2">
        <v>5.0</v>
      </c>
      <c r="Q3162" s="3">
        <f t="shared" si="7"/>
        <v>0.003513703443</v>
      </c>
      <c r="R3162" s="2">
        <v>1423.0</v>
      </c>
      <c r="S3162" s="5">
        <f t="shared" si="8"/>
        <v>1</v>
      </c>
    </row>
    <row r="3163">
      <c r="A3163" s="2" t="s">
        <v>3170</v>
      </c>
      <c r="B3163" s="2">
        <v>1215.0</v>
      </c>
      <c r="C3163" s="2">
        <v>14392.0</v>
      </c>
      <c r="D3163" s="2">
        <v>5112.0</v>
      </c>
      <c r="E3163" s="3">
        <f t="shared" si="1"/>
        <v>0.3879486985</v>
      </c>
      <c r="F3163" s="2">
        <v>1746.0</v>
      </c>
      <c r="G3163" s="3">
        <f t="shared" si="2"/>
        <v>0.1325036048</v>
      </c>
      <c r="H3163" s="2">
        <v>2886.0</v>
      </c>
      <c r="I3163" s="3">
        <f t="shared" si="3"/>
        <v>0.2190179859</v>
      </c>
      <c r="J3163" s="2">
        <v>2690.0</v>
      </c>
      <c r="K3163" s="3">
        <f t="shared" si="4"/>
        <v>0.2041435835</v>
      </c>
      <c r="L3163" s="2">
        <v>1694.0</v>
      </c>
      <c r="M3163" s="3">
        <f t="shared" si="5"/>
        <v>0.586971587</v>
      </c>
      <c r="N3163" s="2">
        <v>1.61178E7</v>
      </c>
      <c r="O3163" s="4">
        <f t="shared" si="6"/>
        <v>5584.823285</v>
      </c>
      <c r="P3163" s="2">
        <v>0.0</v>
      </c>
      <c r="Q3163" s="3">
        <f t="shared" si="7"/>
        <v>0</v>
      </c>
      <c r="R3163" s="2">
        <v>1215.0</v>
      </c>
      <c r="S3163" s="5">
        <f t="shared" si="8"/>
        <v>1</v>
      </c>
    </row>
    <row r="3164">
      <c r="A3164" s="2" t="s">
        <v>3171</v>
      </c>
      <c r="B3164" s="2">
        <v>272.0</v>
      </c>
      <c r="C3164" s="2">
        <v>3155.0</v>
      </c>
      <c r="D3164" s="2">
        <v>672.0</v>
      </c>
      <c r="E3164" s="3">
        <f t="shared" si="1"/>
        <v>0.2330905307</v>
      </c>
      <c r="F3164" s="2">
        <v>382.0</v>
      </c>
      <c r="G3164" s="3">
        <f t="shared" si="2"/>
        <v>0.1325008672</v>
      </c>
      <c r="H3164" s="2">
        <v>549.0</v>
      </c>
      <c r="I3164" s="3">
        <f t="shared" si="3"/>
        <v>0.1904266389</v>
      </c>
      <c r="J3164" s="2">
        <v>512.0</v>
      </c>
      <c r="K3164" s="3">
        <f t="shared" si="4"/>
        <v>0.1775927853</v>
      </c>
      <c r="L3164" s="2">
        <v>325.0</v>
      </c>
      <c r="M3164" s="3">
        <f t="shared" si="5"/>
        <v>0.5919854281</v>
      </c>
      <c r="N3164" s="2">
        <v>3291400.0</v>
      </c>
      <c r="O3164" s="4">
        <f t="shared" si="6"/>
        <v>5995.264117</v>
      </c>
      <c r="P3164" s="2">
        <v>0.0</v>
      </c>
      <c r="Q3164" s="3">
        <f t="shared" si="7"/>
        <v>0</v>
      </c>
      <c r="R3164" s="2">
        <v>272.0</v>
      </c>
      <c r="S3164" s="5">
        <f t="shared" si="8"/>
        <v>1</v>
      </c>
    </row>
    <row r="3165">
      <c r="A3165" s="2" t="s">
        <v>3172</v>
      </c>
      <c r="B3165" s="2">
        <v>1587.0</v>
      </c>
      <c r="C3165" s="2">
        <v>18458.0</v>
      </c>
      <c r="D3165" s="2">
        <v>4928.0</v>
      </c>
      <c r="E3165" s="3">
        <f t="shared" si="1"/>
        <v>0.2920988679</v>
      </c>
      <c r="F3165" s="2">
        <v>2235.0</v>
      </c>
      <c r="G3165" s="3">
        <f t="shared" si="2"/>
        <v>0.1324758461</v>
      </c>
      <c r="H3165" s="2">
        <v>3746.0</v>
      </c>
      <c r="I3165" s="3">
        <f t="shared" si="3"/>
        <v>0.2220378164</v>
      </c>
      <c r="J3165" s="2">
        <v>3136.0</v>
      </c>
      <c r="K3165" s="3">
        <f t="shared" si="4"/>
        <v>0.1858810977</v>
      </c>
      <c r="L3165" s="2">
        <v>2205.0</v>
      </c>
      <c r="M3165" s="3">
        <f t="shared" si="5"/>
        <v>0.5886278697</v>
      </c>
      <c r="N3165" s="2">
        <v>2.14825E7</v>
      </c>
      <c r="O3165" s="4">
        <f t="shared" si="6"/>
        <v>5734.783769</v>
      </c>
      <c r="P3165" s="2">
        <v>3.0</v>
      </c>
      <c r="Q3165" s="3">
        <f t="shared" si="7"/>
        <v>0.001890359168</v>
      </c>
      <c r="R3165" s="2">
        <v>1587.0</v>
      </c>
      <c r="S3165" s="5">
        <f t="shared" si="8"/>
        <v>1</v>
      </c>
    </row>
    <row r="3166">
      <c r="A3166" s="2" t="s">
        <v>3173</v>
      </c>
      <c r="B3166" s="2">
        <v>123.0</v>
      </c>
      <c r="C3166" s="2">
        <v>1444.0</v>
      </c>
      <c r="D3166" s="2">
        <v>478.0</v>
      </c>
      <c r="E3166" s="3">
        <f t="shared" si="1"/>
        <v>0.3618470855</v>
      </c>
      <c r="F3166" s="2">
        <v>175.0</v>
      </c>
      <c r="G3166" s="3">
        <f t="shared" si="2"/>
        <v>0.1324753974</v>
      </c>
      <c r="H3166" s="2">
        <v>302.0</v>
      </c>
      <c r="I3166" s="3">
        <f t="shared" si="3"/>
        <v>0.2286146858</v>
      </c>
      <c r="J3166" s="2">
        <v>215.0</v>
      </c>
      <c r="K3166" s="3">
        <f t="shared" si="4"/>
        <v>0.1627554883</v>
      </c>
      <c r="L3166" s="2">
        <v>183.0</v>
      </c>
      <c r="M3166" s="3">
        <f t="shared" si="5"/>
        <v>0.6059602649</v>
      </c>
      <c r="N3166" s="2">
        <v>1609800.0</v>
      </c>
      <c r="O3166" s="4">
        <f t="shared" si="6"/>
        <v>5330.463576</v>
      </c>
      <c r="P3166" s="2">
        <v>0.0</v>
      </c>
      <c r="Q3166" s="3">
        <f t="shared" si="7"/>
        <v>0</v>
      </c>
      <c r="R3166" s="2">
        <v>123.0</v>
      </c>
      <c r="S3166" s="5">
        <f t="shared" si="8"/>
        <v>1</v>
      </c>
    </row>
    <row r="3167">
      <c r="A3167" s="2" t="s">
        <v>3174</v>
      </c>
      <c r="B3167" s="2">
        <v>1420.0</v>
      </c>
      <c r="C3167" s="2">
        <v>16638.0</v>
      </c>
      <c r="D3167" s="2">
        <v>5212.0</v>
      </c>
      <c r="E3167" s="3">
        <f t="shared" si="1"/>
        <v>0.3424891576</v>
      </c>
      <c r="F3167" s="2">
        <v>2016.0</v>
      </c>
      <c r="G3167" s="3">
        <f t="shared" si="2"/>
        <v>0.132474701</v>
      </c>
      <c r="H3167" s="2">
        <v>3128.0</v>
      </c>
      <c r="I3167" s="3">
        <f t="shared" si="3"/>
        <v>0.2055460639</v>
      </c>
      <c r="J3167" s="2">
        <v>2195.0</v>
      </c>
      <c r="K3167" s="3">
        <f t="shared" si="4"/>
        <v>0.1442370877</v>
      </c>
      <c r="L3167" s="2">
        <v>1880.0</v>
      </c>
      <c r="M3167" s="3">
        <f t="shared" si="5"/>
        <v>0.6010230179</v>
      </c>
      <c r="N3167" s="2">
        <v>1.84002E7</v>
      </c>
      <c r="O3167" s="4">
        <f t="shared" si="6"/>
        <v>5882.41688</v>
      </c>
      <c r="P3167" s="2">
        <v>4.0</v>
      </c>
      <c r="Q3167" s="3">
        <f t="shared" si="7"/>
        <v>0.002816901408</v>
      </c>
      <c r="R3167" s="2">
        <v>1420.0</v>
      </c>
      <c r="S3167" s="5">
        <f t="shared" si="8"/>
        <v>1</v>
      </c>
    </row>
    <row r="3168">
      <c r="A3168" s="2" t="s">
        <v>3175</v>
      </c>
      <c r="B3168" s="2">
        <v>1238.0</v>
      </c>
      <c r="C3168" s="2">
        <v>14509.0</v>
      </c>
      <c r="D3168" s="2">
        <v>4311.0</v>
      </c>
      <c r="E3168" s="3">
        <f t="shared" si="1"/>
        <v>0.324843644</v>
      </c>
      <c r="F3168" s="2">
        <v>1758.0</v>
      </c>
      <c r="G3168" s="3">
        <f t="shared" si="2"/>
        <v>0.1324692939</v>
      </c>
      <c r="H3168" s="2">
        <v>2820.0</v>
      </c>
      <c r="I3168" s="3">
        <f t="shared" si="3"/>
        <v>0.2124934067</v>
      </c>
      <c r="J3168" s="2">
        <v>2236.0</v>
      </c>
      <c r="K3168" s="3">
        <f t="shared" si="4"/>
        <v>0.1684876799</v>
      </c>
      <c r="L3168" s="2">
        <v>1663.0</v>
      </c>
      <c r="M3168" s="3">
        <f t="shared" si="5"/>
        <v>0.5897163121</v>
      </c>
      <c r="N3168" s="2">
        <v>1.59013E7</v>
      </c>
      <c r="O3168" s="4">
        <f t="shared" si="6"/>
        <v>5638.758865</v>
      </c>
      <c r="P3168" s="2">
        <v>1.0</v>
      </c>
      <c r="Q3168" s="3">
        <f t="shared" si="7"/>
        <v>0.0008077544426</v>
      </c>
      <c r="R3168" s="2">
        <v>1238.0</v>
      </c>
      <c r="S3168" s="5">
        <f t="shared" si="8"/>
        <v>1</v>
      </c>
    </row>
    <row r="3169">
      <c r="A3169" s="2" t="s">
        <v>3176</v>
      </c>
      <c r="B3169" s="2">
        <v>50.0</v>
      </c>
      <c r="C3169" s="2">
        <v>586.0</v>
      </c>
      <c r="D3169" s="2">
        <v>189.0</v>
      </c>
      <c r="E3169" s="3">
        <f t="shared" si="1"/>
        <v>0.3526119403</v>
      </c>
      <c r="F3169" s="2">
        <v>71.0</v>
      </c>
      <c r="G3169" s="3">
        <f t="shared" si="2"/>
        <v>0.1324626866</v>
      </c>
      <c r="H3169" s="2">
        <v>105.0</v>
      </c>
      <c r="I3169" s="3">
        <f t="shared" si="3"/>
        <v>0.1958955224</v>
      </c>
      <c r="J3169" s="2">
        <v>103.0</v>
      </c>
      <c r="K3169" s="3">
        <f t="shared" si="4"/>
        <v>0.1921641791</v>
      </c>
      <c r="L3169" s="2">
        <v>54.0</v>
      </c>
      <c r="M3169" s="3">
        <f t="shared" si="5"/>
        <v>0.5142857143</v>
      </c>
      <c r="N3169" s="2">
        <v>544800.0</v>
      </c>
      <c r="O3169" s="4">
        <f t="shared" si="6"/>
        <v>5188.571429</v>
      </c>
      <c r="P3169" s="2">
        <v>0.0</v>
      </c>
      <c r="Q3169" s="3">
        <f t="shared" si="7"/>
        <v>0</v>
      </c>
      <c r="R3169" s="2">
        <v>50.0</v>
      </c>
      <c r="S3169" s="5">
        <f t="shared" si="8"/>
        <v>1</v>
      </c>
    </row>
    <row r="3170">
      <c r="A3170" s="2" t="s">
        <v>3177</v>
      </c>
      <c r="B3170" s="2">
        <v>1000.0</v>
      </c>
      <c r="C3170" s="2">
        <v>11758.0</v>
      </c>
      <c r="D3170" s="2">
        <v>4014.0</v>
      </c>
      <c r="E3170" s="3">
        <f t="shared" si="1"/>
        <v>0.3731176799</v>
      </c>
      <c r="F3170" s="2">
        <v>1425.0</v>
      </c>
      <c r="G3170" s="3">
        <f t="shared" si="2"/>
        <v>0.132459565</v>
      </c>
      <c r="H3170" s="2">
        <v>2378.0</v>
      </c>
      <c r="I3170" s="3">
        <f t="shared" si="3"/>
        <v>0.2210448039</v>
      </c>
      <c r="J3170" s="2">
        <v>1925.0</v>
      </c>
      <c r="K3170" s="3">
        <f t="shared" si="4"/>
        <v>0.1789366053</v>
      </c>
      <c r="L3170" s="2">
        <v>1404.0</v>
      </c>
      <c r="M3170" s="3">
        <f t="shared" si="5"/>
        <v>0.590412111</v>
      </c>
      <c r="N3170" s="2">
        <v>1.323E7</v>
      </c>
      <c r="O3170" s="4">
        <f t="shared" si="6"/>
        <v>5563.498738</v>
      </c>
      <c r="P3170" s="2">
        <v>1.0</v>
      </c>
      <c r="Q3170" s="3">
        <f t="shared" si="7"/>
        <v>0.001</v>
      </c>
      <c r="R3170" s="2">
        <v>358.0</v>
      </c>
      <c r="S3170" s="5">
        <f t="shared" si="8"/>
        <v>0.358</v>
      </c>
    </row>
    <row r="3171">
      <c r="A3171" s="2" t="s">
        <v>3178</v>
      </c>
      <c r="B3171" s="2">
        <v>92.0</v>
      </c>
      <c r="C3171" s="2">
        <v>1081.0</v>
      </c>
      <c r="D3171" s="2">
        <v>377.0</v>
      </c>
      <c r="E3171" s="3">
        <f t="shared" si="1"/>
        <v>0.3811931244</v>
      </c>
      <c r="F3171" s="2">
        <v>131.0</v>
      </c>
      <c r="G3171" s="3">
        <f t="shared" si="2"/>
        <v>0.1324570273</v>
      </c>
      <c r="H3171" s="2">
        <v>201.0</v>
      </c>
      <c r="I3171" s="3">
        <f t="shared" si="3"/>
        <v>0.2032355915</v>
      </c>
      <c r="J3171" s="2">
        <v>159.0</v>
      </c>
      <c r="K3171" s="3">
        <f t="shared" si="4"/>
        <v>0.160768453</v>
      </c>
      <c r="L3171" s="2">
        <v>128.0</v>
      </c>
      <c r="M3171" s="3">
        <f t="shared" si="5"/>
        <v>0.6368159204</v>
      </c>
      <c r="N3171" s="2">
        <v>1145800.0</v>
      </c>
      <c r="O3171" s="4">
        <f t="shared" si="6"/>
        <v>5700.497512</v>
      </c>
      <c r="P3171" s="2">
        <v>0.0</v>
      </c>
      <c r="Q3171" s="3">
        <f t="shared" si="7"/>
        <v>0</v>
      </c>
      <c r="R3171" s="2">
        <v>0.0</v>
      </c>
      <c r="S3171" s="5">
        <f t="shared" si="8"/>
        <v>0</v>
      </c>
    </row>
    <row r="3172">
      <c r="A3172" s="2" t="s">
        <v>3179</v>
      </c>
      <c r="B3172" s="2">
        <v>357.0</v>
      </c>
      <c r="C3172" s="2">
        <v>4079.0</v>
      </c>
      <c r="D3172" s="2">
        <v>954.0</v>
      </c>
      <c r="E3172" s="3">
        <f t="shared" si="1"/>
        <v>0.2563138098</v>
      </c>
      <c r="F3172" s="2">
        <v>493.0</v>
      </c>
      <c r="G3172" s="3">
        <f t="shared" si="2"/>
        <v>0.132455669</v>
      </c>
      <c r="H3172" s="2">
        <v>781.0</v>
      </c>
      <c r="I3172" s="3">
        <f t="shared" si="3"/>
        <v>0.2098334229</v>
      </c>
      <c r="J3172" s="2">
        <v>688.0</v>
      </c>
      <c r="K3172" s="3">
        <f t="shared" si="4"/>
        <v>0.1848468565</v>
      </c>
      <c r="L3172" s="2">
        <v>460.0</v>
      </c>
      <c r="M3172" s="3">
        <f t="shared" si="5"/>
        <v>0.5889884763</v>
      </c>
      <c r="N3172" s="2">
        <v>4611500.0</v>
      </c>
      <c r="O3172" s="4">
        <f t="shared" si="6"/>
        <v>5904.609475</v>
      </c>
      <c r="P3172" s="2">
        <v>0.0</v>
      </c>
      <c r="Q3172" s="3">
        <f t="shared" si="7"/>
        <v>0</v>
      </c>
      <c r="R3172" s="2">
        <v>357.0</v>
      </c>
      <c r="S3172" s="5">
        <f t="shared" si="8"/>
        <v>1</v>
      </c>
    </row>
    <row r="3173">
      <c r="A3173" s="2" t="s">
        <v>3180</v>
      </c>
      <c r="B3173" s="2">
        <v>13.0</v>
      </c>
      <c r="C3173" s="2">
        <v>164.0</v>
      </c>
      <c r="D3173" s="2">
        <v>61.0</v>
      </c>
      <c r="E3173" s="3">
        <f t="shared" si="1"/>
        <v>0.4039735099</v>
      </c>
      <c r="F3173" s="2">
        <v>20.0</v>
      </c>
      <c r="G3173" s="3">
        <f t="shared" si="2"/>
        <v>0.1324503311</v>
      </c>
      <c r="H3173" s="2">
        <v>33.0</v>
      </c>
      <c r="I3173" s="3">
        <f t="shared" si="3"/>
        <v>0.2185430464</v>
      </c>
      <c r="J3173" s="2">
        <v>24.0</v>
      </c>
      <c r="K3173" s="3">
        <f t="shared" si="4"/>
        <v>0.1589403974</v>
      </c>
      <c r="L3173" s="2">
        <v>12.0</v>
      </c>
      <c r="M3173" s="3">
        <f t="shared" si="5"/>
        <v>0.3636363636</v>
      </c>
      <c r="N3173" s="2">
        <v>167600.0</v>
      </c>
      <c r="O3173" s="4">
        <f t="shared" si="6"/>
        <v>5078.787879</v>
      </c>
      <c r="P3173" s="2">
        <v>0.0</v>
      </c>
      <c r="Q3173" s="3">
        <f t="shared" si="7"/>
        <v>0</v>
      </c>
      <c r="R3173" s="2">
        <v>0.0</v>
      </c>
      <c r="S3173" s="5">
        <f t="shared" si="8"/>
        <v>0</v>
      </c>
    </row>
    <row r="3174">
      <c r="A3174" s="2" t="s">
        <v>3181</v>
      </c>
      <c r="B3174" s="2">
        <v>1005.0</v>
      </c>
      <c r="C3174" s="2">
        <v>11877.0</v>
      </c>
      <c r="D3174" s="2">
        <v>4654.0</v>
      </c>
      <c r="E3174" s="3">
        <f t="shared" si="1"/>
        <v>0.4280721118</v>
      </c>
      <c r="F3174" s="2">
        <v>1440.0</v>
      </c>
      <c r="G3174" s="3">
        <f t="shared" si="2"/>
        <v>0.1324503311</v>
      </c>
      <c r="H3174" s="2">
        <v>2414.0</v>
      </c>
      <c r="I3174" s="3">
        <f t="shared" si="3"/>
        <v>0.2220382634</v>
      </c>
      <c r="J3174" s="2">
        <v>1684.0</v>
      </c>
      <c r="K3174" s="3">
        <f t="shared" si="4"/>
        <v>0.1548933039</v>
      </c>
      <c r="L3174" s="2">
        <v>1472.0</v>
      </c>
      <c r="M3174" s="3">
        <f t="shared" si="5"/>
        <v>0.6097763049</v>
      </c>
      <c r="N3174" s="2">
        <v>1.26082E7</v>
      </c>
      <c r="O3174" s="4">
        <f t="shared" si="6"/>
        <v>5222.949461</v>
      </c>
      <c r="P3174" s="2">
        <v>0.0</v>
      </c>
      <c r="Q3174" s="3">
        <f t="shared" si="7"/>
        <v>0</v>
      </c>
      <c r="R3174" s="2">
        <v>1005.0</v>
      </c>
      <c r="S3174" s="5">
        <f t="shared" si="8"/>
        <v>1</v>
      </c>
    </row>
    <row r="3175">
      <c r="A3175" s="2" t="s">
        <v>3182</v>
      </c>
      <c r="B3175" s="2">
        <v>417.0</v>
      </c>
      <c r="C3175" s="2">
        <v>4917.0</v>
      </c>
      <c r="D3175" s="2">
        <v>1543.0</v>
      </c>
      <c r="E3175" s="3">
        <f t="shared" si="1"/>
        <v>0.3428888889</v>
      </c>
      <c r="F3175" s="2">
        <v>596.0</v>
      </c>
      <c r="G3175" s="3">
        <f t="shared" si="2"/>
        <v>0.1324444444</v>
      </c>
      <c r="H3175" s="2">
        <v>910.0</v>
      </c>
      <c r="I3175" s="3">
        <f t="shared" si="3"/>
        <v>0.2022222222</v>
      </c>
      <c r="J3175" s="2">
        <v>798.0</v>
      </c>
      <c r="K3175" s="3">
        <f t="shared" si="4"/>
        <v>0.1773333333</v>
      </c>
      <c r="L3175" s="2">
        <v>533.0</v>
      </c>
      <c r="M3175" s="3">
        <f t="shared" si="5"/>
        <v>0.5857142857</v>
      </c>
      <c r="N3175" s="2">
        <v>5159900.0</v>
      </c>
      <c r="O3175" s="4">
        <f t="shared" si="6"/>
        <v>5670.21978</v>
      </c>
      <c r="P3175" s="2">
        <v>1.0</v>
      </c>
      <c r="Q3175" s="3">
        <f t="shared" si="7"/>
        <v>0.002398081535</v>
      </c>
      <c r="R3175" s="2">
        <v>417.0</v>
      </c>
      <c r="S3175" s="5">
        <f t="shared" si="8"/>
        <v>1</v>
      </c>
    </row>
    <row r="3176">
      <c r="A3176" s="2" t="s">
        <v>3183</v>
      </c>
      <c r="B3176" s="2">
        <v>659.0</v>
      </c>
      <c r="C3176" s="2">
        <v>7628.0</v>
      </c>
      <c r="D3176" s="2">
        <v>2366.0</v>
      </c>
      <c r="E3176" s="3">
        <f t="shared" si="1"/>
        <v>0.3395035156</v>
      </c>
      <c r="F3176" s="2">
        <v>923.0</v>
      </c>
      <c r="G3176" s="3">
        <f t="shared" si="2"/>
        <v>0.1324436792</v>
      </c>
      <c r="H3176" s="2">
        <v>1434.0</v>
      </c>
      <c r="I3176" s="3">
        <f t="shared" si="3"/>
        <v>0.2057684029</v>
      </c>
      <c r="J3176" s="2">
        <v>1315.0</v>
      </c>
      <c r="K3176" s="3">
        <f t="shared" si="4"/>
        <v>0.1886927823</v>
      </c>
      <c r="L3176" s="2">
        <v>842.0</v>
      </c>
      <c r="M3176" s="3">
        <f t="shared" si="5"/>
        <v>0.5871687587</v>
      </c>
      <c r="N3176" s="2">
        <v>8178900.0</v>
      </c>
      <c r="O3176" s="4">
        <f t="shared" si="6"/>
        <v>5703.556485</v>
      </c>
      <c r="P3176" s="2">
        <v>0.0</v>
      </c>
      <c r="Q3176" s="3">
        <f t="shared" si="7"/>
        <v>0</v>
      </c>
      <c r="R3176" s="2">
        <v>3.0</v>
      </c>
      <c r="S3176" s="5">
        <f t="shared" si="8"/>
        <v>0.004552352049</v>
      </c>
    </row>
    <row r="3177">
      <c r="A3177" s="2" t="s">
        <v>3184</v>
      </c>
      <c r="B3177" s="2">
        <v>2429.0</v>
      </c>
      <c r="C3177" s="2">
        <v>28071.0</v>
      </c>
      <c r="D3177" s="2">
        <v>8375.0</v>
      </c>
      <c r="E3177" s="3">
        <f t="shared" si="1"/>
        <v>0.3266125887</v>
      </c>
      <c r="F3177" s="2">
        <v>3396.0</v>
      </c>
      <c r="G3177" s="3">
        <f t="shared" si="2"/>
        <v>0.1324389673</v>
      </c>
      <c r="H3177" s="2">
        <v>5543.0</v>
      </c>
      <c r="I3177" s="3">
        <f t="shared" si="3"/>
        <v>0.2161687856</v>
      </c>
      <c r="J3177" s="2">
        <v>4478.0</v>
      </c>
      <c r="K3177" s="3">
        <f t="shared" si="4"/>
        <v>0.1746353639</v>
      </c>
      <c r="L3177" s="2">
        <v>3371.0</v>
      </c>
      <c r="M3177" s="3">
        <f t="shared" si="5"/>
        <v>0.608154429</v>
      </c>
      <c r="N3177" s="2">
        <v>3.24717E7</v>
      </c>
      <c r="O3177" s="4">
        <f t="shared" si="6"/>
        <v>5858.145409</v>
      </c>
      <c r="P3177" s="2">
        <v>3.0</v>
      </c>
      <c r="Q3177" s="3">
        <f t="shared" si="7"/>
        <v>0.001235076163</v>
      </c>
      <c r="R3177" s="2">
        <v>2429.0</v>
      </c>
      <c r="S3177" s="5">
        <f t="shared" si="8"/>
        <v>1</v>
      </c>
    </row>
    <row r="3178">
      <c r="A3178" s="2" t="s">
        <v>3185</v>
      </c>
      <c r="B3178" s="2">
        <v>760.0</v>
      </c>
      <c r="C3178" s="2">
        <v>8847.0</v>
      </c>
      <c r="D3178" s="2">
        <v>2977.0</v>
      </c>
      <c r="E3178" s="3">
        <f t="shared" si="1"/>
        <v>0.3681216768</v>
      </c>
      <c r="F3178" s="2">
        <v>1071.0</v>
      </c>
      <c r="G3178" s="3">
        <f t="shared" si="2"/>
        <v>0.1324347719</v>
      </c>
      <c r="H3178" s="2">
        <v>1665.0</v>
      </c>
      <c r="I3178" s="3">
        <f t="shared" si="3"/>
        <v>0.2058859899</v>
      </c>
      <c r="J3178" s="2">
        <v>1395.0</v>
      </c>
      <c r="K3178" s="3">
        <f t="shared" si="4"/>
        <v>0.1724990726</v>
      </c>
      <c r="L3178" s="2">
        <v>1014.0</v>
      </c>
      <c r="M3178" s="3">
        <f t="shared" si="5"/>
        <v>0.609009009</v>
      </c>
      <c r="N3178" s="2">
        <v>9344600.0</v>
      </c>
      <c r="O3178" s="4">
        <f t="shared" si="6"/>
        <v>5612.372372</v>
      </c>
      <c r="P3178" s="2">
        <v>3.0</v>
      </c>
      <c r="Q3178" s="3">
        <f t="shared" si="7"/>
        <v>0.003947368421</v>
      </c>
      <c r="R3178" s="2">
        <v>760.0</v>
      </c>
      <c r="S3178" s="5">
        <f t="shared" si="8"/>
        <v>1</v>
      </c>
    </row>
    <row r="3179">
      <c r="A3179" s="2" t="s">
        <v>3186</v>
      </c>
      <c r="B3179" s="2">
        <v>1695.0</v>
      </c>
      <c r="C3179" s="2">
        <v>19931.0</v>
      </c>
      <c r="D3179" s="2">
        <v>5899.0</v>
      </c>
      <c r="E3179" s="3">
        <f t="shared" si="1"/>
        <v>0.3234810265</v>
      </c>
      <c r="F3179" s="2">
        <v>2415.0</v>
      </c>
      <c r="G3179" s="3">
        <f t="shared" si="2"/>
        <v>0.1324303575</v>
      </c>
      <c r="H3179" s="2">
        <v>3996.0</v>
      </c>
      <c r="I3179" s="3">
        <f t="shared" si="3"/>
        <v>0.2191270015</v>
      </c>
      <c r="J3179" s="2">
        <v>3763.0</v>
      </c>
      <c r="K3179" s="3">
        <f t="shared" si="4"/>
        <v>0.2063500768</v>
      </c>
      <c r="L3179" s="2">
        <v>2370.0</v>
      </c>
      <c r="M3179" s="3">
        <f t="shared" si="5"/>
        <v>0.5930930931</v>
      </c>
      <c r="N3179" s="2">
        <v>2.28761E7</v>
      </c>
      <c r="O3179" s="4">
        <f t="shared" si="6"/>
        <v>5724.74975</v>
      </c>
      <c r="P3179" s="2">
        <v>2.0</v>
      </c>
      <c r="Q3179" s="3">
        <f t="shared" si="7"/>
        <v>0.001179941003</v>
      </c>
      <c r="R3179" s="2">
        <v>1694.0</v>
      </c>
      <c r="S3179" s="5">
        <f t="shared" si="8"/>
        <v>0.9994100295</v>
      </c>
    </row>
    <row r="3180">
      <c r="A3180" s="2" t="s">
        <v>3187</v>
      </c>
      <c r="B3180" s="2">
        <v>86.0</v>
      </c>
      <c r="C3180" s="2">
        <v>1045.0</v>
      </c>
      <c r="D3180" s="2">
        <v>246.0</v>
      </c>
      <c r="E3180" s="3">
        <f t="shared" si="1"/>
        <v>0.2565172054</v>
      </c>
      <c r="F3180" s="2">
        <v>127.0</v>
      </c>
      <c r="G3180" s="3">
        <f t="shared" si="2"/>
        <v>0.1324296142</v>
      </c>
      <c r="H3180" s="2">
        <v>186.0</v>
      </c>
      <c r="I3180" s="3">
        <f t="shared" si="3"/>
        <v>0.1939520334</v>
      </c>
      <c r="J3180" s="2">
        <v>187.0</v>
      </c>
      <c r="K3180" s="3">
        <f t="shared" si="4"/>
        <v>0.1949947862</v>
      </c>
      <c r="L3180" s="2">
        <v>115.0</v>
      </c>
      <c r="M3180" s="3">
        <f t="shared" si="5"/>
        <v>0.6182795699</v>
      </c>
      <c r="N3180" s="2">
        <v>1125400.0</v>
      </c>
      <c r="O3180" s="4">
        <f t="shared" si="6"/>
        <v>6050.537634</v>
      </c>
      <c r="P3180" s="2">
        <v>0.0</v>
      </c>
      <c r="Q3180" s="3">
        <f t="shared" si="7"/>
        <v>0</v>
      </c>
      <c r="R3180" s="2">
        <v>86.0</v>
      </c>
      <c r="S3180" s="5">
        <f t="shared" si="8"/>
        <v>1</v>
      </c>
    </row>
    <row r="3181">
      <c r="A3181" s="2" t="s">
        <v>3188</v>
      </c>
      <c r="B3181" s="2">
        <v>1768.0</v>
      </c>
      <c r="C3181" s="2">
        <v>20563.0</v>
      </c>
      <c r="D3181" s="2">
        <v>7267.0</v>
      </c>
      <c r="E3181" s="3">
        <f t="shared" si="1"/>
        <v>0.3866453844</v>
      </c>
      <c r="F3181" s="2">
        <v>2489.0</v>
      </c>
      <c r="G3181" s="3">
        <f t="shared" si="2"/>
        <v>0.1324288375</v>
      </c>
      <c r="H3181" s="2">
        <v>3982.0</v>
      </c>
      <c r="I3181" s="3">
        <f t="shared" si="3"/>
        <v>0.2118648577</v>
      </c>
      <c r="J3181" s="2">
        <v>3090.0</v>
      </c>
      <c r="K3181" s="3">
        <f t="shared" si="4"/>
        <v>0.164405427</v>
      </c>
      <c r="L3181" s="2">
        <v>2324.0</v>
      </c>
      <c r="M3181" s="3">
        <f t="shared" si="5"/>
        <v>0.5836263184</v>
      </c>
      <c r="N3181" s="2">
        <v>2.22922E7</v>
      </c>
      <c r="O3181" s="4">
        <f t="shared" si="6"/>
        <v>5598.242089</v>
      </c>
      <c r="P3181" s="2">
        <v>3.0</v>
      </c>
      <c r="Q3181" s="3">
        <f t="shared" si="7"/>
        <v>0.001696832579</v>
      </c>
      <c r="R3181" s="2">
        <v>1752.0</v>
      </c>
      <c r="S3181" s="5">
        <f t="shared" si="8"/>
        <v>0.9909502262</v>
      </c>
    </row>
    <row r="3182">
      <c r="A3182" s="2" t="s">
        <v>3189</v>
      </c>
      <c r="B3182" s="2">
        <v>779.0</v>
      </c>
      <c r="C3182" s="2">
        <v>8943.0</v>
      </c>
      <c r="D3182" s="2">
        <v>2721.0</v>
      </c>
      <c r="E3182" s="3">
        <f t="shared" si="1"/>
        <v>0.3332925037</v>
      </c>
      <c r="F3182" s="2">
        <v>1081.0</v>
      </c>
      <c r="G3182" s="3">
        <f t="shared" si="2"/>
        <v>0.132410583</v>
      </c>
      <c r="H3182" s="2">
        <v>1867.0</v>
      </c>
      <c r="I3182" s="3">
        <f t="shared" si="3"/>
        <v>0.2286869182</v>
      </c>
      <c r="J3182" s="2">
        <v>1684.0</v>
      </c>
      <c r="K3182" s="3">
        <f t="shared" si="4"/>
        <v>0.2062714356</v>
      </c>
      <c r="L3182" s="2">
        <v>1063.0</v>
      </c>
      <c r="M3182" s="3">
        <f t="shared" si="5"/>
        <v>0.5693626138</v>
      </c>
      <c r="N3182" s="2">
        <v>1.05361E7</v>
      </c>
      <c r="O3182" s="4">
        <f t="shared" si="6"/>
        <v>5643.331548</v>
      </c>
      <c r="P3182" s="2">
        <v>1.0</v>
      </c>
      <c r="Q3182" s="3">
        <f t="shared" si="7"/>
        <v>0.001283697047</v>
      </c>
      <c r="R3182" s="2">
        <v>480.0</v>
      </c>
      <c r="S3182" s="5">
        <f t="shared" si="8"/>
        <v>0.6161745828</v>
      </c>
    </row>
    <row r="3183">
      <c r="A3183" s="2" t="s">
        <v>3190</v>
      </c>
      <c r="B3183" s="2">
        <v>885.0</v>
      </c>
      <c r="C3183" s="2">
        <v>10319.0</v>
      </c>
      <c r="D3183" s="2">
        <v>3916.0</v>
      </c>
      <c r="E3183" s="3">
        <f t="shared" si="1"/>
        <v>0.4150943396</v>
      </c>
      <c r="F3183" s="2">
        <v>1249.0</v>
      </c>
      <c r="G3183" s="3">
        <f t="shared" si="2"/>
        <v>0.1323934704</v>
      </c>
      <c r="H3183" s="2">
        <v>2034.0</v>
      </c>
      <c r="I3183" s="3">
        <f t="shared" si="3"/>
        <v>0.2156031376</v>
      </c>
      <c r="J3183" s="2">
        <v>1344.0</v>
      </c>
      <c r="K3183" s="3">
        <f t="shared" si="4"/>
        <v>0.1424634301</v>
      </c>
      <c r="L3183" s="2">
        <v>1250.0</v>
      </c>
      <c r="M3183" s="3">
        <f t="shared" si="5"/>
        <v>0.6145526057</v>
      </c>
      <c r="N3183" s="2">
        <v>1.09176E7</v>
      </c>
      <c r="O3183" s="4">
        <f t="shared" si="6"/>
        <v>5367.551622</v>
      </c>
      <c r="P3183" s="2">
        <v>4.0</v>
      </c>
      <c r="Q3183" s="3">
        <f t="shared" si="7"/>
        <v>0.004519774011</v>
      </c>
      <c r="R3183" s="2">
        <v>885.0</v>
      </c>
      <c r="S3183" s="5">
        <f t="shared" si="8"/>
        <v>1</v>
      </c>
    </row>
    <row r="3184">
      <c r="A3184" s="2" t="s">
        <v>3191</v>
      </c>
      <c r="B3184" s="2">
        <v>1916.0</v>
      </c>
      <c r="C3184" s="2">
        <v>22461.0</v>
      </c>
      <c r="D3184" s="2">
        <v>7462.0</v>
      </c>
      <c r="E3184" s="3">
        <f t="shared" si="1"/>
        <v>0.3632027257</v>
      </c>
      <c r="F3184" s="2">
        <v>2720.0</v>
      </c>
      <c r="G3184" s="3">
        <f t="shared" si="2"/>
        <v>0.1323923096</v>
      </c>
      <c r="H3184" s="2">
        <v>4426.0</v>
      </c>
      <c r="I3184" s="3">
        <f t="shared" si="3"/>
        <v>0.2154295449</v>
      </c>
      <c r="J3184" s="2">
        <v>3236.0</v>
      </c>
      <c r="K3184" s="3">
        <f t="shared" si="4"/>
        <v>0.1575079095</v>
      </c>
      <c r="L3184" s="2">
        <v>2645.0</v>
      </c>
      <c r="M3184" s="3">
        <f t="shared" si="5"/>
        <v>0.597605061</v>
      </c>
      <c r="N3184" s="2">
        <v>2.51028E7</v>
      </c>
      <c r="O3184" s="4">
        <f t="shared" si="6"/>
        <v>5671.66742</v>
      </c>
      <c r="P3184" s="2">
        <v>5.0</v>
      </c>
      <c r="Q3184" s="3">
        <f t="shared" si="7"/>
        <v>0.00260960334</v>
      </c>
      <c r="R3184" s="2">
        <v>0.0</v>
      </c>
      <c r="S3184" s="5">
        <f t="shared" si="8"/>
        <v>0</v>
      </c>
    </row>
    <row r="3185">
      <c r="A3185" s="2" t="s">
        <v>3192</v>
      </c>
      <c r="B3185" s="2">
        <v>124.0</v>
      </c>
      <c r="C3185" s="2">
        <v>1461.0</v>
      </c>
      <c r="D3185" s="2">
        <v>560.0</v>
      </c>
      <c r="E3185" s="3">
        <f t="shared" si="1"/>
        <v>0.4188481675</v>
      </c>
      <c r="F3185" s="2">
        <v>177.0</v>
      </c>
      <c r="G3185" s="3">
        <f t="shared" si="2"/>
        <v>0.1323859387</v>
      </c>
      <c r="H3185" s="2">
        <v>292.0</v>
      </c>
      <c r="I3185" s="3">
        <f t="shared" si="3"/>
        <v>0.2183994016</v>
      </c>
      <c r="J3185" s="2">
        <v>198.0</v>
      </c>
      <c r="K3185" s="3">
        <f t="shared" si="4"/>
        <v>0.148092745</v>
      </c>
      <c r="L3185" s="2">
        <v>180.0</v>
      </c>
      <c r="M3185" s="3">
        <f t="shared" si="5"/>
        <v>0.6164383562</v>
      </c>
      <c r="N3185" s="2">
        <v>1594700.0</v>
      </c>
      <c r="O3185" s="4">
        <f t="shared" si="6"/>
        <v>5461.30137</v>
      </c>
      <c r="P3185" s="2">
        <v>0.0</v>
      </c>
      <c r="Q3185" s="3">
        <f t="shared" si="7"/>
        <v>0</v>
      </c>
      <c r="R3185" s="2">
        <v>124.0</v>
      </c>
      <c r="S3185" s="5">
        <f t="shared" si="8"/>
        <v>1</v>
      </c>
    </row>
    <row r="3186">
      <c r="A3186" s="2" t="s">
        <v>3193</v>
      </c>
      <c r="B3186" s="2">
        <v>236.0</v>
      </c>
      <c r="C3186" s="2">
        <v>2759.0</v>
      </c>
      <c r="D3186" s="2">
        <v>1005.0</v>
      </c>
      <c r="E3186" s="3">
        <f t="shared" si="1"/>
        <v>0.3983353151</v>
      </c>
      <c r="F3186" s="2">
        <v>334.0</v>
      </c>
      <c r="G3186" s="3">
        <f t="shared" si="2"/>
        <v>0.1323820848</v>
      </c>
      <c r="H3186" s="2">
        <v>511.0</v>
      </c>
      <c r="I3186" s="3">
        <f t="shared" si="3"/>
        <v>0.2025366627</v>
      </c>
      <c r="J3186" s="2">
        <v>325.0</v>
      </c>
      <c r="K3186" s="3">
        <f t="shared" si="4"/>
        <v>0.1288149029</v>
      </c>
      <c r="L3186" s="2">
        <v>307.0</v>
      </c>
      <c r="M3186" s="3">
        <f t="shared" si="5"/>
        <v>0.6007827789</v>
      </c>
      <c r="N3186" s="2">
        <v>2829800.0</v>
      </c>
      <c r="O3186" s="4">
        <f t="shared" si="6"/>
        <v>5537.76908</v>
      </c>
      <c r="P3186" s="2">
        <v>0.0</v>
      </c>
      <c r="Q3186" s="3">
        <f t="shared" si="7"/>
        <v>0</v>
      </c>
      <c r="R3186" s="2">
        <v>236.0</v>
      </c>
      <c r="S3186" s="5">
        <f t="shared" si="8"/>
        <v>1</v>
      </c>
    </row>
    <row r="3187">
      <c r="A3187" s="2" t="s">
        <v>3194</v>
      </c>
      <c r="B3187" s="2">
        <v>101.0</v>
      </c>
      <c r="C3187" s="2">
        <v>1219.0</v>
      </c>
      <c r="D3187" s="2">
        <v>353.0</v>
      </c>
      <c r="E3187" s="3">
        <f t="shared" si="1"/>
        <v>0.3157423971</v>
      </c>
      <c r="F3187" s="2">
        <v>148.0</v>
      </c>
      <c r="G3187" s="3">
        <f t="shared" si="2"/>
        <v>0.1323792487</v>
      </c>
      <c r="H3187" s="2">
        <v>224.0</v>
      </c>
      <c r="I3187" s="3">
        <f t="shared" si="3"/>
        <v>0.2003577818</v>
      </c>
      <c r="J3187" s="2">
        <v>186.0</v>
      </c>
      <c r="K3187" s="3">
        <f t="shared" si="4"/>
        <v>0.1663685152</v>
      </c>
      <c r="L3187" s="2">
        <v>144.0</v>
      </c>
      <c r="M3187" s="3">
        <f t="shared" si="5"/>
        <v>0.6428571429</v>
      </c>
      <c r="N3187" s="2">
        <v>1217100.0</v>
      </c>
      <c r="O3187" s="4">
        <f t="shared" si="6"/>
        <v>5433.482143</v>
      </c>
      <c r="P3187" s="2">
        <v>0.0</v>
      </c>
      <c r="Q3187" s="3">
        <f t="shared" si="7"/>
        <v>0</v>
      </c>
      <c r="R3187" s="2">
        <v>101.0</v>
      </c>
      <c r="S3187" s="5">
        <f t="shared" si="8"/>
        <v>1</v>
      </c>
    </row>
    <row r="3188">
      <c r="A3188" s="2" t="s">
        <v>3195</v>
      </c>
      <c r="B3188" s="2">
        <v>772.0</v>
      </c>
      <c r="C3188" s="2">
        <v>9059.0</v>
      </c>
      <c r="D3188" s="2">
        <v>2443.0</v>
      </c>
      <c r="E3188" s="3">
        <f t="shared" si="1"/>
        <v>0.2947990829</v>
      </c>
      <c r="F3188" s="2">
        <v>1097.0</v>
      </c>
      <c r="G3188" s="3">
        <f t="shared" si="2"/>
        <v>0.1323760106</v>
      </c>
      <c r="H3188" s="2">
        <v>1751.0</v>
      </c>
      <c r="I3188" s="3">
        <f t="shared" si="3"/>
        <v>0.2112947991</v>
      </c>
      <c r="J3188" s="2">
        <v>1322.0</v>
      </c>
      <c r="K3188" s="3">
        <f t="shared" si="4"/>
        <v>0.15952697</v>
      </c>
      <c r="L3188" s="2">
        <v>1070.0</v>
      </c>
      <c r="M3188" s="3">
        <f t="shared" si="5"/>
        <v>0.6110793832</v>
      </c>
      <c r="N3188" s="2">
        <v>1.0029E7</v>
      </c>
      <c r="O3188" s="4">
        <f t="shared" si="6"/>
        <v>5727.584238</v>
      </c>
      <c r="P3188" s="2">
        <v>0.0</v>
      </c>
      <c r="Q3188" s="3">
        <f t="shared" si="7"/>
        <v>0</v>
      </c>
      <c r="R3188" s="2">
        <v>772.0</v>
      </c>
      <c r="S3188" s="5">
        <f t="shared" si="8"/>
        <v>1</v>
      </c>
    </row>
    <row r="3189">
      <c r="A3189" s="2" t="s">
        <v>3196</v>
      </c>
      <c r="B3189" s="2">
        <v>1408.0</v>
      </c>
      <c r="C3189" s="2">
        <v>16781.0</v>
      </c>
      <c r="D3189" s="2">
        <v>5946.0</v>
      </c>
      <c r="E3189" s="3">
        <f t="shared" si="1"/>
        <v>0.3867820204</v>
      </c>
      <c r="F3189" s="2">
        <v>2035.0</v>
      </c>
      <c r="G3189" s="3">
        <f t="shared" si="2"/>
        <v>0.1323749431</v>
      </c>
      <c r="H3189" s="2">
        <v>3397.0</v>
      </c>
      <c r="I3189" s="3">
        <f t="shared" si="3"/>
        <v>0.2209718337</v>
      </c>
      <c r="J3189" s="2">
        <v>2538.0</v>
      </c>
      <c r="K3189" s="3">
        <f t="shared" si="4"/>
        <v>0.1650946465</v>
      </c>
      <c r="L3189" s="2">
        <v>2110.0</v>
      </c>
      <c r="M3189" s="3">
        <f t="shared" si="5"/>
        <v>0.6211362967</v>
      </c>
      <c r="N3189" s="2">
        <v>1.84366E7</v>
      </c>
      <c r="O3189" s="4">
        <f t="shared" si="6"/>
        <v>5427.318222</v>
      </c>
      <c r="P3189" s="2">
        <v>5.0</v>
      </c>
      <c r="Q3189" s="3">
        <f t="shared" si="7"/>
        <v>0.003551136364</v>
      </c>
      <c r="R3189" s="2">
        <v>1408.0</v>
      </c>
      <c r="S3189" s="5">
        <f t="shared" si="8"/>
        <v>1</v>
      </c>
    </row>
    <row r="3190">
      <c r="A3190" s="2" t="s">
        <v>3197</v>
      </c>
      <c r="B3190" s="2">
        <v>406.0</v>
      </c>
      <c r="C3190" s="2">
        <v>4780.0</v>
      </c>
      <c r="D3190" s="2">
        <v>1664.0</v>
      </c>
      <c r="E3190" s="3">
        <f t="shared" si="1"/>
        <v>0.3804298125</v>
      </c>
      <c r="F3190" s="2">
        <v>579.0</v>
      </c>
      <c r="G3190" s="3">
        <f t="shared" si="2"/>
        <v>0.1323731139</v>
      </c>
      <c r="H3190" s="2">
        <v>914.0</v>
      </c>
      <c r="I3190" s="3">
        <f t="shared" si="3"/>
        <v>0.2089620485</v>
      </c>
      <c r="J3190" s="2">
        <v>742.0</v>
      </c>
      <c r="K3190" s="3">
        <f t="shared" si="4"/>
        <v>0.1696387746</v>
      </c>
      <c r="L3190" s="2">
        <v>526.0</v>
      </c>
      <c r="M3190" s="3">
        <f t="shared" si="5"/>
        <v>0.5754923414</v>
      </c>
      <c r="N3190" s="2">
        <v>5270500.0</v>
      </c>
      <c r="O3190" s="4">
        <f t="shared" si="6"/>
        <v>5766.411379</v>
      </c>
      <c r="P3190" s="2">
        <v>0.0</v>
      </c>
      <c r="Q3190" s="3">
        <f t="shared" si="7"/>
        <v>0</v>
      </c>
      <c r="R3190" s="2">
        <v>406.0</v>
      </c>
      <c r="S3190" s="5">
        <f t="shared" si="8"/>
        <v>1</v>
      </c>
    </row>
    <row r="3191">
      <c r="A3191" s="2" t="s">
        <v>3198</v>
      </c>
      <c r="B3191" s="2">
        <v>2052.0</v>
      </c>
      <c r="C3191" s="2">
        <v>23908.0</v>
      </c>
      <c r="D3191" s="2">
        <v>8368.0</v>
      </c>
      <c r="E3191" s="3">
        <f t="shared" si="1"/>
        <v>0.3828696925</v>
      </c>
      <c r="F3191" s="2">
        <v>2893.0</v>
      </c>
      <c r="G3191" s="3">
        <f t="shared" si="2"/>
        <v>0.1323663982</v>
      </c>
      <c r="H3191" s="2">
        <v>4965.0</v>
      </c>
      <c r="I3191" s="3">
        <f t="shared" si="3"/>
        <v>0.2271687408</v>
      </c>
      <c r="J3191" s="2">
        <v>4004.0</v>
      </c>
      <c r="K3191" s="3">
        <f t="shared" si="4"/>
        <v>0.1831991215</v>
      </c>
      <c r="L3191" s="2">
        <v>2981.0</v>
      </c>
      <c r="M3191" s="3">
        <f t="shared" si="5"/>
        <v>0.6004028197</v>
      </c>
      <c r="N3191" s="2">
        <v>2.80903E7</v>
      </c>
      <c r="O3191" s="4">
        <f t="shared" si="6"/>
        <v>5657.663646</v>
      </c>
      <c r="P3191" s="2">
        <v>5.0</v>
      </c>
      <c r="Q3191" s="3">
        <f t="shared" si="7"/>
        <v>0.002436647173</v>
      </c>
      <c r="R3191" s="2">
        <v>2052.0</v>
      </c>
      <c r="S3191" s="5">
        <f t="shared" si="8"/>
        <v>1</v>
      </c>
    </row>
    <row r="3192">
      <c r="A3192" s="2" t="s">
        <v>3199</v>
      </c>
      <c r="B3192" s="2">
        <v>1946.0</v>
      </c>
      <c r="C3192" s="2">
        <v>22889.0</v>
      </c>
      <c r="D3192" s="2">
        <v>7182.0</v>
      </c>
      <c r="E3192" s="3">
        <f t="shared" si="1"/>
        <v>0.3429308122</v>
      </c>
      <c r="F3192" s="2">
        <v>2772.0</v>
      </c>
      <c r="G3192" s="3">
        <f t="shared" si="2"/>
        <v>0.1323592609</v>
      </c>
      <c r="H3192" s="2">
        <v>4495.0</v>
      </c>
      <c r="I3192" s="3">
        <f t="shared" si="3"/>
        <v>0.2146301867</v>
      </c>
      <c r="J3192" s="2">
        <v>4057.0</v>
      </c>
      <c r="K3192" s="3">
        <f t="shared" si="4"/>
        <v>0.1937162775</v>
      </c>
      <c r="L3192" s="2">
        <v>2645.0</v>
      </c>
      <c r="M3192" s="3">
        <f t="shared" si="5"/>
        <v>0.5884315907</v>
      </c>
      <c r="N3192" s="2">
        <v>2.62505E7</v>
      </c>
      <c r="O3192" s="4">
        <f t="shared" si="6"/>
        <v>5839.933259</v>
      </c>
      <c r="P3192" s="2">
        <v>2.0</v>
      </c>
      <c r="Q3192" s="3">
        <f t="shared" si="7"/>
        <v>0.001027749229</v>
      </c>
      <c r="R3192" s="2">
        <v>1946.0</v>
      </c>
      <c r="S3192" s="5">
        <f t="shared" si="8"/>
        <v>1</v>
      </c>
    </row>
    <row r="3193">
      <c r="A3193" s="2" t="s">
        <v>3200</v>
      </c>
      <c r="B3193" s="2">
        <v>6.0</v>
      </c>
      <c r="C3193" s="2">
        <v>74.0</v>
      </c>
      <c r="D3193" s="2">
        <v>24.0</v>
      </c>
      <c r="E3193" s="3">
        <f t="shared" si="1"/>
        <v>0.3529411765</v>
      </c>
      <c r="F3193" s="2">
        <v>9.0</v>
      </c>
      <c r="G3193" s="3">
        <f t="shared" si="2"/>
        <v>0.1323529412</v>
      </c>
      <c r="H3193" s="2">
        <v>17.0</v>
      </c>
      <c r="I3193" s="3">
        <f t="shared" si="3"/>
        <v>0.25</v>
      </c>
      <c r="J3193" s="2">
        <v>15.0</v>
      </c>
      <c r="K3193" s="3">
        <f t="shared" si="4"/>
        <v>0.2205882353</v>
      </c>
      <c r="L3193" s="2">
        <v>13.0</v>
      </c>
      <c r="M3193" s="3">
        <f t="shared" si="5"/>
        <v>0.7647058824</v>
      </c>
      <c r="N3193" s="2">
        <v>62000.0</v>
      </c>
      <c r="O3193" s="4">
        <f t="shared" si="6"/>
        <v>3647.058824</v>
      </c>
      <c r="P3193" s="2">
        <v>0.0</v>
      </c>
      <c r="Q3193" s="3">
        <f t="shared" si="7"/>
        <v>0</v>
      </c>
      <c r="R3193" s="2">
        <v>0.0</v>
      </c>
      <c r="S3193" s="5">
        <f t="shared" si="8"/>
        <v>0</v>
      </c>
    </row>
    <row r="3194">
      <c r="A3194" s="2" t="s">
        <v>3201</v>
      </c>
      <c r="B3194" s="2">
        <v>7.0</v>
      </c>
      <c r="C3194" s="2">
        <v>75.0</v>
      </c>
      <c r="D3194" s="2">
        <v>24.0</v>
      </c>
      <c r="E3194" s="3">
        <f t="shared" si="1"/>
        <v>0.3529411765</v>
      </c>
      <c r="F3194" s="2">
        <v>9.0</v>
      </c>
      <c r="G3194" s="3">
        <f t="shared" si="2"/>
        <v>0.1323529412</v>
      </c>
      <c r="H3194" s="2">
        <v>16.0</v>
      </c>
      <c r="I3194" s="3">
        <f t="shared" si="3"/>
        <v>0.2352941176</v>
      </c>
      <c r="J3194" s="2">
        <v>13.0</v>
      </c>
      <c r="K3194" s="3">
        <f t="shared" si="4"/>
        <v>0.1911764706</v>
      </c>
      <c r="L3194" s="2">
        <v>7.0</v>
      </c>
      <c r="M3194" s="3">
        <f t="shared" si="5"/>
        <v>0.4375</v>
      </c>
      <c r="N3194" s="2">
        <v>83700.0</v>
      </c>
      <c r="O3194" s="4">
        <f t="shared" si="6"/>
        <v>5231.25</v>
      </c>
      <c r="P3194" s="2">
        <v>0.0</v>
      </c>
      <c r="Q3194" s="3">
        <f t="shared" si="7"/>
        <v>0</v>
      </c>
      <c r="R3194" s="2">
        <v>0.0</v>
      </c>
      <c r="S3194" s="5">
        <f t="shared" si="8"/>
        <v>0</v>
      </c>
    </row>
    <row r="3195">
      <c r="A3195" s="2" t="s">
        <v>3202</v>
      </c>
      <c r="B3195" s="2">
        <v>27.0</v>
      </c>
      <c r="C3195" s="2">
        <v>299.0</v>
      </c>
      <c r="D3195" s="2">
        <v>91.0</v>
      </c>
      <c r="E3195" s="3">
        <f t="shared" si="1"/>
        <v>0.3345588235</v>
      </c>
      <c r="F3195" s="2">
        <v>36.0</v>
      </c>
      <c r="G3195" s="3">
        <f t="shared" si="2"/>
        <v>0.1323529412</v>
      </c>
      <c r="H3195" s="2">
        <v>54.0</v>
      </c>
      <c r="I3195" s="3">
        <f t="shared" si="3"/>
        <v>0.1985294118</v>
      </c>
      <c r="J3195" s="2">
        <v>49.0</v>
      </c>
      <c r="K3195" s="3">
        <f t="shared" si="4"/>
        <v>0.1801470588</v>
      </c>
      <c r="L3195" s="2">
        <v>32.0</v>
      </c>
      <c r="M3195" s="3">
        <f t="shared" si="5"/>
        <v>0.5925925926</v>
      </c>
      <c r="N3195" s="2">
        <v>299300.0</v>
      </c>
      <c r="O3195" s="4">
        <f t="shared" si="6"/>
        <v>5542.592593</v>
      </c>
      <c r="P3195" s="2">
        <v>0.0</v>
      </c>
      <c r="Q3195" s="3">
        <f t="shared" si="7"/>
        <v>0</v>
      </c>
      <c r="R3195" s="2">
        <v>0.0</v>
      </c>
      <c r="S3195" s="5">
        <f t="shared" si="8"/>
        <v>0</v>
      </c>
    </row>
    <row r="3196">
      <c r="A3196" s="2" t="s">
        <v>3203</v>
      </c>
      <c r="B3196" s="2">
        <v>83.0</v>
      </c>
      <c r="C3196" s="2">
        <v>967.0</v>
      </c>
      <c r="D3196" s="2">
        <v>312.0</v>
      </c>
      <c r="E3196" s="3">
        <f t="shared" si="1"/>
        <v>0.3529411765</v>
      </c>
      <c r="F3196" s="2">
        <v>117.0</v>
      </c>
      <c r="G3196" s="3">
        <f t="shared" si="2"/>
        <v>0.1323529412</v>
      </c>
      <c r="H3196" s="2">
        <v>161.0</v>
      </c>
      <c r="I3196" s="3">
        <f t="shared" si="3"/>
        <v>0.1821266968</v>
      </c>
      <c r="J3196" s="2">
        <v>129.0</v>
      </c>
      <c r="K3196" s="3">
        <f t="shared" si="4"/>
        <v>0.1459276018</v>
      </c>
      <c r="L3196" s="2">
        <v>88.0</v>
      </c>
      <c r="M3196" s="3">
        <f t="shared" si="5"/>
        <v>0.5465838509</v>
      </c>
      <c r="N3196" s="2">
        <v>928100.0</v>
      </c>
      <c r="O3196" s="4">
        <f t="shared" si="6"/>
        <v>5764.596273</v>
      </c>
      <c r="P3196" s="2">
        <v>0.0</v>
      </c>
      <c r="Q3196" s="3">
        <f t="shared" si="7"/>
        <v>0</v>
      </c>
      <c r="R3196" s="2">
        <v>83.0</v>
      </c>
      <c r="S3196" s="5">
        <f t="shared" si="8"/>
        <v>1</v>
      </c>
    </row>
    <row r="3197">
      <c r="A3197" s="2" t="s">
        <v>3204</v>
      </c>
      <c r="B3197" s="2">
        <v>37.0</v>
      </c>
      <c r="C3197" s="2">
        <v>445.0</v>
      </c>
      <c r="D3197" s="2">
        <v>105.0</v>
      </c>
      <c r="E3197" s="3">
        <f t="shared" si="1"/>
        <v>0.2573529412</v>
      </c>
      <c r="F3197" s="2">
        <v>54.0</v>
      </c>
      <c r="G3197" s="3">
        <f t="shared" si="2"/>
        <v>0.1323529412</v>
      </c>
      <c r="H3197" s="2">
        <v>70.0</v>
      </c>
      <c r="I3197" s="3">
        <f t="shared" si="3"/>
        <v>0.1715686275</v>
      </c>
      <c r="J3197" s="2">
        <v>58.0</v>
      </c>
      <c r="K3197" s="3">
        <f t="shared" si="4"/>
        <v>0.1421568627</v>
      </c>
      <c r="L3197" s="2">
        <v>44.0</v>
      </c>
      <c r="M3197" s="3">
        <f t="shared" si="5"/>
        <v>0.6285714286</v>
      </c>
      <c r="N3197" s="2">
        <v>382100.0</v>
      </c>
      <c r="O3197" s="4">
        <f t="shared" si="6"/>
        <v>5458.571429</v>
      </c>
      <c r="P3197" s="2">
        <v>0.0</v>
      </c>
      <c r="Q3197" s="3">
        <f t="shared" si="7"/>
        <v>0</v>
      </c>
      <c r="R3197" s="2">
        <v>33.0</v>
      </c>
      <c r="S3197" s="5">
        <f t="shared" si="8"/>
        <v>0.8918918919</v>
      </c>
    </row>
    <row r="3198">
      <c r="A3198" s="2" t="s">
        <v>3205</v>
      </c>
      <c r="B3198" s="2">
        <v>221.0</v>
      </c>
      <c r="C3198" s="2">
        <v>2586.0</v>
      </c>
      <c r="D3198" s="2">
        <v>1058.0</v>
      </c>
      <c r="E3198" s="3">
        <f t="shared" si="1"/>
        <v>0.4473572939</v>
      </c>
      <c r="F3198" s="2">
        <v>313.0</v>
      </c>
      <c r="G3198" s="3">
        <f t="shared" si="2"/>
        <v>0.132346723</v>
      </c>
      <c r="H3198" s="2">
        <v>516.0</v>
      </c>
      <c r="I3198" s="3">
        <f t="shared" si="3"/>
        <v>0.2181818182</v>
      </c>
      <c r="J3198" s="2">
        <v>391.0</v>
      </c>
      <c r="K3198" s="3">
        <f t="shared" si="4"/>
        <v>0.1653276956</v>
      </c>
      <c r="L3198" s="2">
        <v>312.0</v>
      </c>
      <c r="M3198" s="3">
        <f t="shared" si="5"/>
        <v>0.6046511628</v>
      </c>
      <c r="N3198" s="2">
        <v>2942000.0</v>
      </c>
      <c r="O3198" s="4">
        <f t="shared" si="6"/>
        <v>5701.550388</v>
      </c>
      <c r="P3198" s="2">
        <v>1.0</v>
      </c>
      <c r="Q3198" s="3">
        <f t="shared" si="7"/>
        <v>0.004524886878</v>
      </c>
      <c r="R3198" s="2">
        <v>87.0</v>
      </c>
      <c r="S3198" s="5">
        <f t="shared" si="8"/>
        <v>0.3936651584</v>
      </c>
    </row>
    <row r="3199">
      <c r="A3199" s="2" t="s">
        <v>3206</v>
      </c>
      <c r="B3199" s="2">
        <v>399.0</v>
      </c>
      <c r="C3199" s="2">
        <v>4653.0</v>
      </c>
      <c r="D3199" s="2">
        <v>1759.0</v>
      </c>
      <c r="E3199" s="3">
        <f t="shared" si="1"/>
        <v>0.4134931829</v>
      </c>
      <c r="F3199" s="2">
        <v>563.0</v>
      </c>
      <c r="G3199" s="3">
        <f t="shared" si="2"/>
        <v>0.1323460273</v>
      </c>
      <c r="H3199" s="2">
        <v>870.0</v>
      </c>
      <c r="I3199" s="3">
        <f t="shared" si="3"/>
        <v>0.2045133992</v>
      </c>
      <c r="J3199" s="2">
        <v>626.0</v>
      </c>
      <c r="K3199" s="3">
        <f t="shared" si="4"/>
        <v>0.1471556182</v>
      </c>
      <c r="L3199" s="2">
        <v>526.0</v>
      </c>
      <c r="M3199" s="3">
        <f t="shared" si="5"/>
        <v>0.6045977011</v>
      </c>
      <c r="N3199" s="2">
        <v>5272300.0</v>
      </c>
      <c r="O3199" s="4">
        <f t="shared" si="6"/>
        <v>6060.114943</v>
      </c>
      <c r="P3199" s="2">
        <v>4.0</v>
      </c>
      <c r="Q3199" s="3">
        <f t="shared" si="7"/>
        <v>0.01002506266</v>
      </c>
      <c r="R3199" s="2">
        <v>399.0</v>
      </c>
      <c r="S3199" s="5">
        <f t="shared" si="8"/>
        <v>1</v>
      </c>
    </row>
    <row r="3200">
      <c r="A3200" s="2" t="s">
        <v>3207</v>
      </c>
      <c r="B3200" s="2">
        <v>143.0</v>
      </c>
      <c r="C3200" s="2">
        <v>1692.0</v>
      </c>
      <c r="D3200" s="2">
        <v>626.0</v>
      </c>
      <c r="E3200" s="3">
        <f t="shared" si="1"/>
        <v>0.4041316979</v>
      </c>
      <c r="F3200" s="2">
        <v>205.0</v>
      </c>
      <c r="G3200" s="3">
        <f t="shared" si="2"/>
        <v>0.1323434474</v>
      </c>
      <c r="H3200" s="2">
        <v>314.0</v>
      </c>
      <c r="I3200" s="3">
        <f t="shared" si="3"/>
        <v>0.2027114267</v>
      </c>
      <c r="J3200" s="2">
        <v>224.0</v>
      </c>
      <c r="K3200" s="3">
        <f t="shared" si="4"/>
        <v>0.1446094254</v>
      </c>
      <c r="L3200" s="2">
        <v>201.0</v>
      </c>
      <c r="M3200" s="3">
        <f t="shared" si="5"/>
        <v>0.6401273885</v>
      </c>
      <c r="N3200" s="2">
        <v>1563200.0</v>
      </c>
      <c r="O3200" s="4">
        <f t="shared" si="6"/>
        <v>4978.343949</v>
      </c>
      <c r="P3200" s="2">
        <v>0.0</v>
      </c>
      <c r="Q3200" s="3">
        <f t="shared" si="7"/>
        <v>0</v>
      </c>
      <c r="R3200" s="2">
        <v>143.0</v>
      </c>
      <c r="S3200" s="5">
        <f t="shared" si="8"/>
        <v>1</v>
      </c>
    </row>
    <row r="3201">
      <c r="A3201" s="2" t="s">
        <v>3208</v>
      </c>
      <c r="B3201" s="2">
        <v>659.0</v>
      </c>
      <c r="C3201" s="2">
        <v>7724.0</v>
      </c>
      <c r="D3201" s="2">
        <v>2427.0</v>
      </c>
      <c r="E3201" s="3">
        <f t="shared" si="1"/>
        <v>0.3435244161</v>
      </c>
      <c r="F3201" s="2">
        <v>935.0</v>
      </c>
      <c r="G3201" s="3">
        <f t="shared" si="2"/>
        <v>0.1323425336</v>
      </c>
      <c r="H3201" s="2">
        <v>1535.0</v>
      </c>
      <c r="I3201" s="3">
        <f t="shared" si="3"/>
        <v>0.2172682236</v>
      </c>
      <c r="J3201" s="2">
        <v>1142.0</v>
      </c>
      <c r="K3201" s="3">
        <f t="shared" si="4"/>
        <v>0.1616418967</v>
      </c>
      <c r="L3201" s="2">
        <v>906.0</v>
      </c>
      <c r="M3201" s="3">
        <f t="shared" si="5"/>
        <v>0.590228013</v>
      </c>
      <c r="N3201" s="2">
        <v>8662700.0</v>
      </c>
      <c r="O3201" s="4">
        <f t="shared" si="6"/>
        <v>5643.452769</v>
      </c>
      <c r="P3201" s="2">
        <v>0.0</v>
      </c>
      <c r="Q3201" s="3">
        <f t="shared" si="7"/>
        <v>0</v>
      </c>
      <c r="R3201" s="2">
        <v>659.0</v>
      </c>
      <c r="S3201" s="5">
        <f t="shared" si="8"/>
        <v>1</v>
      </c>
    </row>
    <row r="3202">
      <c r="A3202" s="2" t="s">
        <v>3209</v>
      </c>
      <c r="B3202" s="2">
        <v>225.0</v>
      </c>
      <c r="C3202" s="2">
        <v>2575.0</v>
      </c>
      <c r="D3202" s="2">
        <v>913.0</v>
      </c>
      <c r="E3202" s="3">
        <f t="shared" si="1"/>
        <v>0.3885106383</v>
      </c>
      <c r="F3202" s="2">
        <v>311.0</v>
      </c>
      <c r="G3202" s="3">
        <f t="shared" si="2"/>
        <v>0.1323404255</v>
      </c>
      <c r="H3202" s="2">
        <v>498.0</v>
      </c>
      <c r="I3202" s="3">
        <f t="shared" si="3"/>
        <v>0.2119148936</v>
      </c>
      <c r="J3202" s="2">
        <v>444.0</v>
      </c>
      <c r="K3202" s="3">
        <f t="shared" si="4"/>
        <v>0.1889361702</v>
      </c>
      <c r="L3202" s="2">
        <v>297.0</v>
      </c>
      <c r="M3202" s="3">
        <f t="shared" si="5"/>
        <v>0.5963855422</v>
      </c>
      <c r="N3202" s="2">
        <v>2766400.0</v>
      </c>
      <c r="O3202" s="4">
        <f t="shared" si="6"/>
        <v>5555.02008</v>
      </c>
      <c r="P3202" s="2">
        <v>0.0</v>
      </c>
      <c r="Q3202" s="3">
        <f t="shared" si="7"/>
        <v>0</v>
      </c>
      <c r="R3202" s="2">
        <v>38.0</v>
      </c>
      <c r="S3202" s="5">
        <f t="shared" si="8"/>
        <v>0.1688888889</v>
      </c>
    </row>
    <row r="3203">
      <c r="A3203" s="2" t="s">
        <v>3210</v>
      </c>
      <c r="B3203" s="2">
        <v>2470.0</v>
      </c>
      <c r="C3203" s="2">
        <v>28775.0</v>
      </c>
      <c r="D3203" s="2">
        <v>8209.0</v>
      </c>
      <c r="E3203" s="3">
        <f t="shared" si="1"/>
        <v>0.3120699487</v>
      </c>
      <c r="F3203" s="2">
        <v>3481.0</v>
      </c>
      <c r="G3203" s="3">
        <f t="shared" si="2"/>
        <v>0.1323322562</v>
      </c>
      <c r="H3203" s="2">
        <v>5366.0</v>
      </c>
      <c r="I3203" s="3">
        <f t="shared" si="3"/>
        <v>0.2039916366</v>
      </c>
      <c r="J3203" s="2">
        <v>4340.0</v>
      </c>
      <c r="K3203" s="3">
        <f t="shared" si="4"/>
        <v>0.1649876449</v>
      </c>
      <c r="L3203" s="2">
        <v>3234.0</v>
      </c>
      <c r="M3203" s="3">
        <f t="shared" si="5"/>
        <v>0.6026835632</v>
      </c>
      <c r="N3203" s="2">
        <v>3.12462E7</v>
      </c>
      <c r="O3203" s="4">
        <f t="shared" si="6"/>
        <v>5822.996646</v>
      </c>
      <c r="P3203" s="2">
        <v>3.0</v>
      </c>
      <c r="Q3203" s="3">
        <f t="shared" si="7"/>
        <v>0.001214574899</v>
      </c>
      <c r="R3203" s="2">
        <v>2470.0</v>
      </c>
      <c r="S3203" s="5">
        <f t="shared" si="8"/>
        <v>1</v>
      </c>
    </row>
    <row r="3204">
      <c r="A3204" s="2" t="s">
        <v>3211</v>
      </c>
      <c r="B3204" s="2">
        <v>409.0</v>
      </c>
      <c r="C3204" s="2">
        <v>4747.0</v>
      </c>
      <c r="D3204" s="2">
        <v>1730.0</v>
      </c>
      <c r="E3204" s="3">
        <f t="shared" si="1"/>
        <v>0.3988012909</v>
      </c>
      <c r="F3204" s="2">
        <v>574.0</v>
      </c>
      <c r="G3204" s="3">
        <f t="shared" si="2"/>
        <v>0.132319041</v>
      </c>
      <c r="H3204" s="2">
        <v>946.0</v>
      </c>
      <c r="I3204" s="3">
        <f t="shared" si="3"/>
        <v>0.2180728446</v>
      </c>
      <c r="J3204" s="2">
        <v>680.0</v>
      </c>
      <c r="K3204" s="3">
        <f t="shared" si="4"/>
        <v>0.1567542646</v>
      </c>
      <c r="L3204" s="2">
        <v>576.0</v>
      </c>
      <c r="M3204" s="3">
        <f t="shared" si="5"/>
        <v>0.6088794926</v>
      </c>
      <c r="N3204" s="2">
        <v>5143100.0</v>
      </c>
      <c r="O3204" s="4">
        <f t="shared" si="6"/>
        <v>5436.680761</v>
      </c>
      <c r="P3204" s="2">
        <v>3.0</v>
      </c>
      <c r="Q3204" s="3">
        <f t="shared" si="7"/>
        <v>0.007334963325</v>
      </c>
      <c r="R3204" s="2">
        <v>409.0</v>
      </c>
      <c r="S3204" s="5">
        <f t="shared" si="8"/>
        <v>1</v>
      </c>
    </row>
    <row r="3205">
      <c r="A3205" s="2" t="s">
        <v>3212</v>
      </c>
      <c r="B3205" s="2">
        <v>139.0</v>
      </c>
      <c r="C3205" s="2">
        <v>1628.0</v>
      </c>
      <c r="D3205" s="2">
        <v>742.0</v>
      </c>
      <c r="E3205" s="3">
        <f t="shared" si="1"/>
        <v>0.4983210208</v>
      </c>
      <c r="F3205" s="2">
        <v>197.0</v>
      </c>
      <c r="G3205" s="3">
        <f t="shared" si="2"/>
        <v>0.1323035594</v>
      </c>
      <c r="H3205" s="2">
        <v>330.0</v>
      </c>
      <c r="I3205" s="3">
        <f t="shared" si="3"/>
        <v>0.2216252518</v>
      </c>
      <c r="J3205" s="2">
        <v>208.0</v>
      </c>
      <c r="K3205" s="3">
        <f t="shared" si="4"/>
        <v>0.1396910678</v>
      </c>
      <c r="L3205" s="2">
        <v>201.0</v>
      </c>
      <c r="M3205" s="3">
        <f t="shared" si="5"/>
        <v>0.6090909091</v>
      </c>
      <c r="N3205" s="2">
        <v>1673200.0</v>
      </c>
      <c r="O3205" s="4">
        <f t="shared" si="6"/>
        <v>5070.30303</v>
      </c>
      <c r="P3205" s="2">
        <v>0.0</v>
      </c>
      <c r="Q3205" s="3">
        <f t="shared" si="7"/>
        <v>0</v>
      </c>
      <c r="R3205" s="2">
        <v>139.0</v>
      </c>
      <c r="S3205" s="5">
        <f t="shared" si="8"/>
        <v>1</v>
      </c>
    </row>
    <row r="3206">
      <c r="A3206" s="2" t="s">
        <v>3213</v>
      </c>
      <c r="B3206" s="2">
        <v>74.0</v>
      </c>
      <c r="C3206" s="2">
        <v>845.0</v>
      </c>
      <c r="D3206" s="2">
        <v>271.0</v>
      </c>
      <c r="E3206" s="3">
        <f t="shared" si="1"/>
        <v>0.3514915694</v>
      </c>
      <c r="F3206" s="2">
        <v>102.0</v>
      </c>
      <c r="G3206" s="3">
        <f t="shared" si="2"/>
        <v>0.1322957198</v>
      </c>
      <c r="H3206" s="2">
        <v>131.0</v>
      </c>
      <c r="I3206" s="3">
        <f t="shared" si="3"/>
        <v>0.1699092088</v>
      </c>
      <c r="J3206" s="2">
        <v>115.0</v>
      </c>
      <c r="K3206" s="3">
        <f t="shared" si="4"/>
        <v>0.149156939</v>
      </c>
      <c r="L3206" s="2">
        <v>77.0</v>
      </c>
      <c r="M3206" s="3">
        <f t="shared" si="5"/>
        <v>0.5877862595</v>
      </c>
      <c r="N3206" s="2">
        <v>767600.0</v>
      </c>
      <c r="O3206" s="4">
        <f t="shared" si="6"/>
        <v>5859.541985</v>
      </c>
      <c r="P3206" s="2">
        <v>0.0</v>
      </c>
      <c r="Q3206" s="3">
        <f t="shared" si="7"/>
        <v>0</v>
      </c>
      <c r="R3206" s="2">
        <v>0.0</v>
      </c>
      <c r="S3206" s="5">
        <f t="shared" si="8"/>
        <v>0</v>
      </c>
    </row>
    <row r="3207">
      <c r="A3207" s="2" t="s">
        <v>3214</v>
      </c>
      <c r="B3207" s="2">
        <v>1098.0</v>
      </c>
      <c r="C3207" s="2">
        <v>12905.0</v>
      </c>
      <c r="D3207" s="2">
        <v>3651.0</v>
      </c>
      <c r="E3207" s="3">
        <f t="shared" si="1"/>
        <v>0.3092233421</v>
      </c>
      <c r="F3207" s="2">
        <v>1562.0</v>
      </c>
      <c r="G3207" s="3">
        <f t="shared" si="2"/>
        <v>0.1322944016</v>
      </c>
      <c r="H3207" s="2">
        <v>2459.0</v>
      </c>
      <c r="I3207" s="3">
        <f t="shared" si="3"/>
        <v>0.2082662827</v>
      </c>
      <c r="J3207" s="2">
        <v>2402.0</v>
      </c>
      <c r="K3207" s="3">
        <f t="shared" si="4"/>
        <v>0.2034386381</v>
      </c>
      <c r="L3207" s="2">
        <v>1424.0</v>
      </c>
      <c r="M3207" s="3">
        <f t="shared" si="5"/>
        <v>0.579097194</v>
      </c>
      <c r="N3207" s="2">
        <v>1.49708E7</v>
      </c>
      <c r="O3207" s="4">
        <f t="shared" si="6"/>
        <v>6088.165921</v>
      </c>
      <c r="P3207" s="2">
        <v>4.0</v>
      </c>
      <c r="Q3207" s="3">
        <f t="shared" si="7"/>
        <v>0.00364298725</v>
      </c>
      <c r="R3207" s="2">
        <v>904.0</v>
      </c>
      <c r="S3207" s="5">
        <f t="shared" si="8"/>
        <v>0.8233151184</v>
      </c>
    </row>
    <row r="3208">
      <c r="A3208" s="2" t="s">
        <v>3215</v>
      </c>
      <c r="B3208" s="2">
        <v>2218.0</v>
      </c>
      <c r="C3208" s="2">
        <v>25651.0</v>
      </c>
      <c r="D3208" s="2">
        <v>7538.0</v>
      </c>
      <c r="E3208" s="3">
        <f t="shared" si="1"/>
        <v>0.3216830965</v>
      </c>
      <c r="F3208" s="2">
        <v>3100.0</v>
      </c>
      <c r="G3208" s="3">
        <f t="shared" si="2"/>
        <v>0.1322920667</v>
      </c>
      <c r="H3208" s="2">
        <v>5064.0</v>
      </c>
      <c r="I3208" s="3">
        <f t="shared" si="3"/>
        <v>0.2161054923</v>
      </c>
      <c r="J3208" s="2">
        <v>4131.0</v>
      </c>
      <c r="K3208" s="3">
        <f t="shared" si="4"/>
        <v>0.1762898477</v>
      </c>
      <c r="L3208" s="2">
        <v>3005.0</v>
      </c>
      <c r="M3208" s="3">
        <f t="shared" si="5"/>
        <v>0.5934044234</v>
      </c>
      <c r="N3208" s="2">
        <v>2.7773E7</v>
      </c>
      <c r="O3208" s="4">
        <f t="shared" si="6"/>
        <v>5484.399684</v>
      </c>
      <c r="P3208" s="2">
        <v>3.0</v>
      </c>
      <c r="Q3208" s="3">
        <f t="shared" si="7"/>
        <v>0.001352569883</v>
      </c>
      <c r="R3208" s="2">
        <v>2218.0</v>
      </c>
      <c r="S3208" s="5">
        <f t="shared" si="8"/>
        <v>1</v>
      </c>
    </row>
    <row r="3209">
      <c r="A3209" s="2" t="s">
        <v>3216</v>
      </c>
      <c r="B3209" s="2">
        <v>332.0</v>
      </c>
      <c r="C3209" s="2">
        <v>3900.0</v>
      </c>
      <c r="D3209" s="2">
        <v>1017.0</v>
      </c>
      <c r="E3209" s="3">
        <f t="shared" si="1"/>
        <v>0.2850336323</v>
      </c>
      <c r="F3209" s="2">
        <v>472.0</v>
      </c>
      <c r="G3209" s="3">
        <f t="shared" si="2"/>
        <v>0.1322869955</v>
      </c>
      <c r="H3209" s="2">
        <v>737.0</v>
      </c>
      <c r="I3209" s="3">
        <f t="shared" si="3"/>
        <v>0.206558296</v>
      </c>
      <c r="J3209" s="2">
        <v>713.0</v>
      </c>
      <c r="K3209" s="3">
        <f t="shared" si="4"/>
        <v>0.1998318386</v>
      </c>
      <c r="L3209" s="2">
        <v>440.0</v>
      </c>
      <c r="M3209" s="3">
        <f t="shared" si="5"/>
        <v>0.5970149254</v>
      </c>
      <c r="N3209" s="2">
        <v>4676000.0</v>
      </c>
      <c r="O3209" s="4">
        <f t="shared" si="6"/>
        <v>6344.640434</v>
      </c>
      <c r="P3209" s="2">
        <v>0.0</v>
      </c>
      <c r="Q3209" s="3">
        <f t="shared" si="7"/>
        <v>0</v>
      </c>
      <c r="R3209" s="2">
        <v>316.0</v>
      </c>
      <c r="S3209" s="5">
        <f t="shared" si="8"/>
        <v>0.9518072289</v>
      </c>
    </row>
    <row r="3210">
      <c r="A3210" s="2" t="s">
        <v>3217</v>
      </c>
      <c r="B3210" s="2">
        <v>190.0</v>
      </c>
      <c r="C3210" s="2">
        <v>2201.0</v>
      </c>
      <c r="D3210" s="2">
        <v>697.0</v>
      </c>
      <c r="E3210" s="3">
        <f t="shared" si="1"/>
        <v>0.3465937345</v>
      </c>
      <c r="F3210" s="2">
        <v>266.0</v>
      </c>
      <c r="G3210" s="3">
        <f t="shared" si="2"/>
        <v>0.1322725012</v>
      </c>
      <c r="H3210" s="2">
        <v>443.0</v>
      </c>
      <c r="I3210" s="3">
        <f t="shared" si="3"/>
        <v>0.2202884137</v>
      </c>
      <c r="J3210" s="2">
        <v>362.0</v>
      </c>
      <c r="K3210" s="3">
        <f t="shared" si="4"/>
        <v>0.1800099453</v>
      </c>
      <c r="L3210" s="2">
        <v>270.0</v>
      </c>
      <c r="M3210" s="3">
        <f t="shared" si="5"/>
        <v>0.6094808126</v>
      </c>
      <c r="N3210" s="2">
        <v>2405400.0</v>
      </c>
      <c r="O3210" s="4">
        <f t="shared" si="6"/>
        <v>5429.79684</v>
      </c>
      <c r="P3210" s="2">
        <v>0.0</v>
      </c>
      <c r="Q3210" s="3">
        <f t="shared" si="7"/>
        <v>0</v>
      </c>
      <c r="R3210" s="2">
        <v>190.0</v>
      </c>
      <c r="S3210" s="5">
        <f t="shared" si="8"/>
        <v>1</v>
      </c>
    </row>
    <row r="3211">
      <c r="A3211" s="2" t="s">
        <v>3218</v>
      </c>
      <c r="B3211" s="2">
        <v>595.0</v>
      </c>
      <c r="C3211" s="2">
        <v>6938.0</v>
      </c>
      <c r="D3211" s="2">
        <v>2266.0</v>
      </c>
      <c r="E3211" s="3">
        <f t="shared" si="1"/>
        <v>0.3572442062</v>
      </c>
      <c r="F3211" s="2">
        <v>839.0</v>
      </c>
      <c r="G3211" s="3">
        <f t="shared" si="2"/>
        <v>0.1322717957</v>
      </c>
      <c r="H3211" s="2">
        <v>1278.0</v>
      </c>
      <c r="I3211" s="3">
        <f t="shared" si="3"/>
        <v>0.2014819486</v>
      </c>
      <c r="J3211" s="2">
        <v>1078.0</v>
      </c>
      <c r="K3211" s="3">
        <f t="shared" si="4"/>
        <v>0.1699511272</v>
      </c>
      <c r="L3211" s="2">
        <v>742.0</v>
      </c>
      <c r="M3211" s="3">
        <f t="shared" si="5"/>
        <v>0.5805946792</v>
      </c>
      <c r="N3211" s="2">
        <v>7378300.0</v>
      </c>
      <c r="O3211" s="4">
        <f t="shared" si="6"/>
        <v>5773.317684</v>
      </c>
      <c r="P3211" s="2">
        <v>1.0</v>
      </c>
      <c r="Q3211" s="3">
        <f t="shared" si="7"/>
        <v>0.001680672269</v>
      </c>
      <c r="R3211" s="2">
        <v>595.0</v>
      </c>
      <c r="S3211" s="5">
        <f t="shared" si="8"/>
        <v>1</v>
      </c>
    </row>
    <row r="3212">
      <c r="A3212" s="2" t="s">
        <v>3219</v>
      </c>
      <c r="B3212" s="2">
        <v>510.0</v>
      </c>
      <c r="C3212" s="2">
        <v>5893.0</v>
      </c>
      <c r="D3212" s="2">
        <v>1653.0</v>
      </c>
      <c r="E3212" s="3">
        <f t="shared" si="1"/>
        <v>0.3070778376</v>
      </c>
      <c r="F3212" s="2">
        <v>712.0</v>
      </c>
      <c r="G3212" s="3">
        <f t="shared" si="2"/>
        <v>0.1322682519</v>
      </c>
      <c r="H3212" s="2">
        <v>1169.0</v>
      </c>
      <c r="I3212" s="3">
        <f t="shared" si="3"/>
        <v>0.2171651495</v>
      </c>
      <c r="J3212" s="2">
        <v>943.0</v>
      </c>
      <c r="K3212" s="3">
        <f t="shared" si="4"/>
        <v>0.1751811258</v>
      </c>
      <c r="L3212" s="2">
        <v>713.0</v>
      </c>
      <c r="M3212" s="3">
        <f t="shared" si="5"/>
        <v>0.6099230111</v>
      </c>
      <c r="N3212" s="2">
        <v>6339500.0</v>
      </c>
      <c r="O3212" s="4">
        <f t="shared" si="6"/>
        <v>5423.011121</v>
      </c>
      <c r="P3212" s="2">
        <v>0.0</v>
      </c>
      <c r="Q3212" s="3">
        <f t="shared" si="7"/>
        <v>0</v>
      </c>
      <c r="R3212" s="2">
        <v>510.0</v>
      </c>
      <c r="S3212" s="5">
        <f t="shared" si="8"/>
        <v>1</v>
      </c>
    </row>
    <row r="3213">
      <c r="A3213" s="2" t="s">
        <v>3220</v>
      </c>
      <c r="B3213" s="2">
        <v>3585.0</v>
      </c>
      <c r="C3213" s="2">
        <v>41894.0</v>
      </c>
      <c r="D3213" s="2">
        <v>12712.0</v>
      </c>
      <c r="E3213" s="3">
        <f t="shared" si="1"/>
        <v>0.33182803</v>
      </c>
      <c r="F3213" s="2">
        <v>5067.0</v>
      </c>
      <c r="G3213" s="3">
        <f t="shared" si="2"/>
        <v>0.1322665692</v>
      </c>
      <c r="H3213" s="2">
        <v>7923.0</v>
      </c>
      <c r="I3213" s="3">
        <f t="shared" si="3"/>
        <v>0.2068182411</v>
      </c>
      <c r="J3213" s="2">
        <v>6421.0</v>
      </c>
      <c r="K3213" s="3">
        <f t="shared" si="4"/>
        <v>0.1676107442</v>
      </c>
      <c r="L3213" s="2">
        <v>4717.0</v>
      </c>
      <c r="M3213" s="3">
        <f t="shared" si="5"/>
        <v>0.5953552947</v>
      </c>
      <c r="N3213" s="2">
        <v>4.76993E7</v>
      </c>
      <c r="O3213" s="4">
        <f t="shared" si="6"/>
        <v>6020.35845</v>
      </c>
      <c r="P3213" s="2">
        <v>6.0</v>
      </c>
      <c r="Q3213" s="3">
        <f t="shared" si="7"/>
        <v>0.001673640167</v>
      </c>
      <c r="R3213" s="2">
        <v>3585.0</v>
      </c>
      <c r="S3213" s="5">
        <f t="shared" si="8"/>
        <v>1</v>
      </c>
    </row>
    <row r="3214">
      <c r="A3214" s="2" t="s">
        <v>3221</v>
      </c>
      <c r="B3214" s="2">
        <v>115.0</v>
      </c>
      <c r="C3214" s="2">
        <v>1302.0</v>
      </c>
      <c r="D3214" s="2">
        <v>370.0</v>
      </c>
      <c r="E3214" s="3">
        <f t="shared" si="1"/>
        <v>0.3117101938</v>
      </c>
      <c r="F3214" s="2">
        <v>157.0</v>
      </c>
      <c r="G3214" s="3">
        <f t="shared" si="2"/>
        <v>0.1322662174</v>
      </c>
      <c r="H3214" s="2">
        <v>245.0</v>
      </c>
      <c r="I3214" s="3">
        <f t="shared" si="3"/>
        <v>0.2064026959</v>
      </c>
      <c r="J3214" s="2">
        <v>186.0</v>
      </c>
      <c r="K3214" s="3">
        <f t="shared" si="4"/>
        <v>0.1566975569</v>
      </c>
      <c r="L3214" s="2">
        <v>148.0</v>
      </c>
      <c r="M3214" s="3">
        <f t="shared" si="5"/>
        <v>0.6040816327</v>
      </c>
      <c r="N3214" s="2">
        <v>1412500.0</v>
      </c>
      <c r="O3214" s="4">
        <f t="shared" si="6"/>
        <v>5765.306122</v>
      </c>
      <c r="P3214" s="2">
        <v>0.0</v>
      </c>
      <c r="Q3214" s="3">
        <f t="shared" si="7"/>
        <v>0</v>
      </c>
      <c r="R3214" s="2">
        <v>115.0</v>
      </c>
      <c r="S3214" s="5">
        <f t="shared" si="8"/>
        <v>1</v>
      </c>
    </row>
    <row r="3215">
      <c r="A3215" s="2" t="s">
        <v>3222</v>
      </c>
      <c r="B3215" s="2">
        <v>1561.0</v>
      </c>
      <c r="C3215" s="2">
        <v>18414.0</v>
      </c>
      <c r="D3215" s="2">
        <v>6582.0</v>
      </c>
      <c r="E3215" s="3">
        <f t="shared" si="1"/>
        <v>0.3905536106</v>
      </c>
      <c r="F3215" s="2">
        <v>2229.0</v>
      </c>
      <c r="G3215" s="3">
        <f t="shared" si="2"/>
        <v>0.1322613185</v>
      </c>
      <c r="H3215" s="2">
        <v>3646.0</v>
      </c>
      <c r="I3215" s="3">
        <f t="shared" si="3"/>
        <v>0.2163413042</v>
      </c>
      <c r="J3215" s="2">
        <v>2945.0</v>
      </c>
      <c r="K3215" s="3">
        <f t="shared" si="4"/>
        <v>0.174746336</v>
      </c>
      <c r="L3215" s="2">
        <v>2200.0</v>
      </c>
      <c r="M3215" s="3">
        <f t="shared" si="5"/>
        <v>0.6034009874</v>
      </c>
      <c r="N3215" s="2">
        <v>2.00216E7</v>
      </c>
      <c r="O3215" s="4">
        <f t="shared" si="6"/>
        <v>5491.387822</v>
      </c>
      <c r="P3215" s="2">
        <v>2.0</v>
      </c>
      <c r="Q3215" s="3">
        <f t="shared" si="7"/>
        <v>0.001281229981</v>
      </c>
      <c r="R3215" s="2">
        <v>1561.0</v>
      </c>
      <c r="S3215" s="5">
        <f t="shared" si="8"/>
        <v>1</v>
      </c>
    </row>
    <row r="3216">
      <c r="A3216" s="2" t="s">
        <v>3223</v>
      </c>
      <c r="B3216" s="2">
        <v>27.0</v>
      </c>
      <c r="C3216" s="2">
        <v>337.0</v>
      </c>
      <c r="D3216" s="2">
        <v>114.0</v>
      </c>
      <c r="E3216" s="3">
        <f t="shared" si="1"/>
        <v>0.3677419355</v>
      </c>
      <c r="F3216" s="2">
        <v>41.0</v>
      </c>
      <c r="G3216" s="3">
        <f t="shared" si="2"/>
        <v>0.1322580645</v>
      </c>
      <c r="H3216" s="2">
        <v>57.0</v>
      </c>
      <c r="I3216" s="3">
        <f t="shared" si="3"/>
        <v>0.1838709677</v>
      </c>
      <c r="J3216" s="2">
        <v>59.0</v>
      </c>
      <c r="K3216" s="3">
        <f t="shared" si="4"/>
        <v>0.1903225806</v>
      </c>
      <c r="L3216" s="2">
        <v>28.0</v>
      </c>
      <c r="M3216" s="3">
        <f t="shared" si="5"/>
        <v>0.4912280702</v>
      </c>
      <c r="N3216" s="2">
        <v>274500.0</v>
      </c>
      <c r="O3216" s="4">
        <f t="shared" si="6"/>
        <v>4815.789474</v>
      </c>
      <c r="P3216" s="2">
        <v>0.0</v>
      </c>
      <c r="Q3216" s="3">
        <f t="shared" si="7"/>
        <v>0</v>
      </c>
      <c r="R3216" s="2">
        <v>27.0</v>
      </c>
      <c r="S3216" s="5">
        <f t="shared" si="8"/>
        <v>1</v>
      </c>
    </row>
    <row r="3217">
      <c r="A3217" s="2" t="s">
        <v>3224</v>
      </c>
      <c r="B3217" s="2">
        <v>685.0</v>
      </c>
      <c r="C3217" s="2">
        <v>8178.0</v>
      </c>
      <c r="D3217" s="2">
        <v>2702.0</v>
      </c>
      <c r="E3217" s="3">
        <f t="shared" si="1"/>
        <v>0.3606032297</v>
      </c>
      <c r="F3217" s="2">
        <v>991.0</v>
      </c>
      <c r="G3217" s="3">
        <f t="shared" si="2"/>
        <v>0.132256773</v>
      </c>
      <c r="H3217" s="2">
        <v>1588.0</v>
      </c>
      <c r="I3217" s="3">
        <f t="shared" si="3"/>
        <v>0.2119311357</v>
      </c>
      <c r="J3217" s="2">
        <v>1175.0</v>
      </c>
      <c r="K3217" s="3">
        <f t="shared" si="4"/>
        <v>0.1568130255</v>
      </c>
      <c r="L3217" s="2">
        <v>944.0</v>
      </c>
      <c r="M3217" s="3">
        <f t="shared" si="5"/>
        <v>0.5944584383</v>
      </c>
      <c r="N3217" s="2">
        <v>8777800.0</v>
      </c>
      <c r="O3217" s="4">
        <f t="shared" si="6"/>
        <v>5527.581864</v>
      </c>
      <c r="P3217" s="2">
        <v>3.0</v>
      </c>
      <c r="Q3217" s="3">
        <f t="shared" si="7"/>
        <v>0.004379562044</v>
      </c>
      <c r="R3217" s="2">
        <v>547.0</v>
      </c>
      <c r="S3217" s="5">
        <f t="shared" si="8"/>
        <v>0.798540146</v>
      </c>
    </row>
    <row r="3218">
      <c r="A3218" s="2" t="s">
        <v>3225</v>
      </c>
      <c r="B3218" s="2">
        <v>1378.0</v>
      </c>
      <c r="C3218" s="2">
        <v>16387.0</v>
      </c>
      <c r="D3218" s="2">
        <v>4901.0</v>
      </c>
      <c r="E3218" s="3">
        <f t="shared" si="1"/>
        <v>0.3265374109</v>
      </c>
      <c r="F3218" s="2">
        <v>1985.0</v>
      </c>
      <c r="G3218" s="3">
        <f t="shared" si="2"/>
        <v>0.1322539809</v>
      </c>
      <c r="H3218" s="2">
        <v>3131.0</v>
      </c>
      <c r="I3218" s="3">
        <f t="shared" si="3"/>
        <v>0.2086081684</v>
      </c>
      <c r="J3218" s="2">
        <v>2696.0</v>
      </c>
      <c r="K3218" s="3">
        <f t="shared" si="4"/>
        <v>0.179625558</v>
      </c>
      <c r="L3218" s="2">
        <v>1880.0</v>
      </c>
      <c r="M3218" s="3">
        <f t="shared" si="5"/>
        <v>0.6004471415</v>
      </c>
      <c r="N3218" s="2">
        <v>1.72813E7</v>
      </c>
      <c r="O3218" s="4">
        <f t="shared" si="6"/>
        <v>5519.418716</v>
      </c>
      <c r="P3218" s="2">
        <v>1.0</v>
      </c>
      <c r="Q3218" s="3">
        <f t="shared" si="7"/>
        <v>0.0007256894049</v>
      </c>
      <c r="R3218" s="2">
        <v>1351.0</v>
      </c>
      <c r="S3218" s="5">
        <f t="shared" si="8"/>
        <v>0.9804063861</v>
      </c>
    </row>
    <row r="3219">
      <c r="A3219" s="2" t="s">
        <v>3226</v>
      </c>
      <c r="B3219" s="2">
        <v>1049.0</v>
      </c>
      <c r="C3219" s="2">
        <v>12143.0</v>
      </c>
      <c r="D3219" s="2">
        <v>4451.0</v>
      </c>
      <c r="E3219" s="3">
        <f t="shared" si="1"/>
        <v>0.4012078601</v>
      </c>
      <c r="F3219" s="2">
        <v>1467.0</v>
      </c>
      <c r="G3219" s="3">
        <f t="shared" si="2"/>
        <v>0.1322336398</v>
      </c>
      <c r="H3219" s="2">
        <v>2453.0</v>
      </c>
      <c r="I3219" s="3">
        <f t="shared" si="3"/>
        <v>0.2211105102</v>
      </c>
      <c r="J3219" s="2">
        <v>1973.0</v>
      </c>
      <c r="K3219" s="3">
        <f t="shared" si="4"/>
        <v>0.1778438796</v>
      </c>
      <c r="L3219" s="2">
        <v>1451.0</v>
      </c>
      <c r="M3219" s="3">
        <f t="shared" si="5"/>
        <v>0.591520587</v>
      </c>
      <c r="N3219" s="2">
        <v>1.39694E7</v>
      </c>
      <c r="O3219" s="4">
        <f t="shared" si="6"/>
        <v>5694.822666</v>
      </c>
      <c r="P3219" s="2">
        <v>2.0</v>
      </c>
      <c r="Q3219" s="3">
        <f t="shared" si="7"/>
        <v>0.001906577693</v>
      </c>
      <c r="R3219" s="2">
        <v>0.0</v>
      </c>
      <c r="S3219" s="5">
        <f t="shared" si="8"/>
        <v>0</v>
      </c>
    </row>
    <row r="3220">
      <c r="A3220" s="2" t="s">
        <v>3227</v>
      </c>
      <c r="B3220" s="2">
        <v>89.0</v>
      </c>
      <c r="C3220" s="2">
        <v>1057.0</v>
      </c>
      <c r="D3220" s="2">
        <v>395.0</v>
      </c>
      <c r="E3220" s="3">
        <f t="shared" si="1"/>
        <v>0.4080578512</v>
      </c>
      <c r="F3220" s="2">
        <v>128.0</v>
      </c>
      <c r="G3220" s="3">
        <f t="shared" si="2"/>
        <v>0.132231405</v>
      </c>
      <c r="H3220" s="2">
        <v>206.0</v>
      </c>
      <c r="I3220" s="3">
        <f t="shared" si="3"/>
        <v>0.2128099174</v>
      </c>
      <c r="J3220" s="2">
        <v>171.0</v>
      </c>
      <c r="K3220" s="3">
        <f t="shared" si="4"/>
        <v>0.1766528926</v>
      </c>
      <c r="L3220" s="2">
        <v>115.0</v>
      </c>
      <c r="M3220" s="3">
        <f t="shared" si="5"/>
        <v>0.5582524272</v>
      </c>
      <c r="N3220" s="2">
        <v>1158600.0</v>
      </c>
      <c r="O3220" s="4">
        <f t="shared" si="6"/>
        <v>5624.271845</v>
      </c>
      <c r="P3220" s="2">
        <v>0.0</v>
      </c>
      <c r="Q3220" s="3">
        <f t="shared" si="7"/>
        <v>0</v>
      </c>
      <c r="R3220" s="2">
        <v>0.0</v>
      </c>
      <c r="S3220" s="5">
        <f t="shared" si="8"/>
        <v>0</v>
      </c>
    </row>
    <row r="3221">
      <c r="A3221" s="2" t="s">
        <v>3228</v>
      </c>
      <c r="B3221" s="2">
        <v>12.0</v>
      </c>
      <c r="C3221" s="2">
        <v>133.0</v>
      </c>
      <c r="D3221" s="2">
        <v>35.0</v>
      </c>
      <c r="E3221" s="3">
        <f t="shared" si="1"/>
        <v>0.2892561983</v>
      </c>
      <c r="F3221" s="2">
        <v>16.0</v>
      </c>
      <c r="G3221" s="3">
        <f t="shared" si="2"/>
        <v>0.132231405</v>
      </c>
      <c r="H3221" s="2">
        <v>22.0</v>
      </c>
      <c r="I3221" s="3">
        <f t="shared" si="3"/>
        <v>0.1818181818</v>
      </c>
      <c r="J3221" s="2">
        <v>18.0</v>
      </c>
      <c r="K3221" s="3">
        <f t="shared" si="4"/>
        <v>0.1487603306</v>
      </c>
      <c r="L3221" s="2">
        <v>15.0</v>
      </c>
      <c r="M3221" s="3">
        <f t="shared" si="5"/>
        <v>0.6818181818</v>
      </c>
      <c r="N3221" s="2">
        <v>112500.0</v>
      </c>
      <c r="O3221" s="4">
        <f t="shared" si="6"/>
        <v>5113.636364</v>
      </c>
      <c r="P3221" s="2">
        <v>0.0</v>
      </c>
      <c r="Q3221" s="3">
        <f t="shared" si="7"/>
        <v>0</v>
      </c>
      <c r="R3221" s="2">
        <v>0.0</v>
      </c>
      <c r="S3221" s="5">
        <f t="shared" si="8"/>
        <v>0</v>
      </c>
    </row>
    <row r="3222">
      <c r="A3222" s="2" t="s">
        <v>3229</v>
      </c>
      <c r="B3222" s="2">
        <v>242.0</v>
      </c>
      <c r="C3222" s="2">
        <v>2836.0</v>
      </c>
      <c r="D3222" s="2">
        <v>911.0</v>
      </c>
      <c r="E3222" s="3">
        <f t="shared" si="1"/>
        <v>0.3511950655</v>
      </c>
      <c r="F3222" s="2">
        <v>343.0</v>
      </c>
      <c r="G3222" s="3">
        <f t="shared" si="2"/>
        <v>0.132228219</v>
      </c>
      <c r="H3222" s="2">
        <v>553.0</v>
      </c>
      <c r="I3222" s="3">
        <f t="shared" si="3"/>
        <v>0.2131842714</v>
      </c>
      <c r="J3222" s="2">
        <v>403.0</v>
      </c>
      <c r="K3222" s="3">
        <f t="shared" si="4"/>
        <v>0.1553585197</v>
      </c>
      <c r="L3222" s="2">
        <v>318.0</v>
      </c>
      <c r="M3222" s="3">
        <f t="shared" si="5"/>
        <v>0.575045208</v>
      </c>
      <c r="N3222" s="2">
        <v>2944400.0</v>
      </c>
      <c r="O3222" s="4">
        <f t="shared" si="6"/>
        <v>5324.412297</v>
      </c>
      <c r="P3222" s="2">
        <v>0.0</v>
      </c>
      <c r="Q3222" s="3">
        <f t="shared" si="7"/>
        <v>0</v>
      </c>
      <c r="R3222" s="2">
        <v>242.0</v>
      </c>
      <c r="S3222" s="5">
        <f t="shared" si="8"/>
        <v>1</v>
      </c>
    </row>
    <row r="3223">
      <c r="A3223" s="2" t="s">
        <v>3230</v>
      </c>
      <c r="B3223" s="2">
        <v>202.0</v>
      </c>
      <c r="C3223" s="2">
        <v>2312.0</v>
      </c>
      <c r="D3223" s="2">
        <v>798.0</v>
      </c>
      <c r="E3223" s="3">
        <f t="shared" si="1"/>
        <v>0.3781990521</v>
      </c>
      <c r="F3223" s="2">
        <v>279.0</v>
      </c>
      <c r="G3223" s="3">
        <f t="shared" si="2"/>
        <v>0.1322274882</v>
      </c>
      <c r="H3223" s="2">
        <v>474.0</v>
      </c>
      <c r="I3223" s="3">
        <f t="shared" si="3"/>
        <v>0.2246445498</v>
      </c>
      <c r="J3223" s="2">
        <v>384.0</v>
      </c>
      <c r="K3223" s="3">
        <f t="shared" si="4"/>
        <v>0.1819905213</v>
      </c>
      <c r="L3223" s="2">
        <v>276.0</v>
      </c>
      <c r="M3223" s="3">
        <f t="shared" si="5"/>
        <v>0.582278481</v>
      </c>
      <c r="N3223" s="2">
        <v>2744100.0</v>
      </c>
      <c r="O3223" s="4">
        <f t="shared" si="6"/>
        <v>5789.240506</v>
      </c>
      <c r="P3223" s="2">
        <v>0.0</v>
      </c>
      <c r="Q3223" s="3">
        <f t="shared" si="7"/>
        <v>0</v>
      </c>
      <c r="R3223" s="2">
        <v>202.0</v>
      </c>
      <c r="S3223" s="5">
        <f t="shared" si="8"/>
        <v>1</v>
      </c>
    </row>
    <row r="3224">
      <c r="A3224" s="2" t="s">
        <v>3231</v>
      </c>
      <c r="B3224" s="2">
        <v>1022.0</v>
      </c>
      <c r="C3224" s="2">
        <v>11890.0</v>
      </c>
      <c r="D3224" s="2">
        <v>3290.0</v>
      </c>
      <c r="E3224" s="3">
        <f t="shared" si="1"/>
        <v>0.3027235922</v>
      </c>
      <c r="F3224" s="2">
        <v>1437.0</v>
      </c>
      <c r="G3224" s="3">
        <f t="shared" si="2"/>
        <v>0.1322230401</v>
      </c>
      <c r="H3224" s="2">
        <v>2354.0</v>
      </c>
      <c r="I3224" s="3">
        <f t="shared" si="3"/>
        <v>0.2165991903</v>
      </c>
      <c r="J3224" s="2">
        <v>2042.0</v>
      </c>
      <c r="K3224" s="3">
        <f t="shared" si="4"/>
        <v>0.1878910563</v>
      </c>
      <c r="L3224" s="2">
        <v>1381.0</v>
      </c>
      <c r="M3224" s="3">
        <f t="shared" si="5"/>
        <v>0.5866610025</v>
      </c>
      <c r="N3224" s="2">
        <v>1.35208E7</v>
      </c>
      <c r="O3224" s="4">
        <f t="shared" si="6"/>
        <v>5743.75531</v>
      </c>
      <c r="P3224" s="2">
        <v>6.0</v>
      </c>
      <c r="Q3224" s="3">
        <f t="shared" si="7"/>
        <v>0.005870841487</v>
      </c>
      <c r="R3224" s="2">
        <v>1022.0</v>
      </c>
      <c r="S3224" s="5">
        <f t="shared" si="8"/>
        <v>1</v>
      </c>
    </row>
    <row r="3225">
      <c r="A3225" s="2" t="s">
        <v>3232</v>
      </c>
      <c r="B3225" s="2">
        <v>73.0</v>
      </c>
      <c r="C3225" s="2">
        <v>852.0</v>
      </c>
      <c r="D3225" s="2">
        <v>284.0</v>
      </c>
      <c r="E3225" s="3">
        <f t="shared" si="1"/>
        <v>0.3645699615</v>
      </c>
      <c r="F3225" s="2">
        <v>103.0</v>
      </c>
      <c r="G3225" s="3">
        <f t="shared" si="2"/>
        <v>0.1322207959</v>
      </c>
      <c r="H3225" s="2">
        <v>172.0</v>
      </c>
      <c r="I3225" s="3">
        <f t="shared" si="3"/>
        <v>0.2207958922</v>
      </c>
      <c r="J3225" s="2">
        <v>106.0</v>
      </c>
      <c r="K3225" s="3">
        <f t="shared" si="4"/>
        <v>0.136071887</v>
      </c>
      <c r="L3225" s="2">
        <v>103.0</v>
      </c>
      <c r="M3225" s="3">
        <f t="shared" si="5"/>
        <v>0.5988372093</v>
      </c>
      <c r="N3225" s="2">
        <v>814800.0</v>
      </c>
      <c r="O3225" s="4">
        <f t="shared" si="6"/>
        <v>4737.209302</v>
      </c>
      <c r="P3225" s="2">
        <v>0.0</v>
      </c>
      <c r="Q3225" s="3">
        <f t="shared" si="7"/>
        <v>0</v>
      </c>
      <c r="R3225" s="2">
        <v>73.0</v>
      </c>
      <c r="S3225" s="5">
        <f t="shared" si="8"/>
        <v>1</v>
      </c>
    </row>
    <row r="3226">
      <c r="A3226" s="2" t="s">
        <v>3233</v>
      </c>
      <c r="B3226" s="2">
        <v>332.0</v>
      </c>
      <c r="C3226" s="2">
        <v>3864.0</v>
      </c>
      <c r="D3226" s="2">
        <v>972.0</v>
      </c>
      <c r="E3226" s="3">
        <f t="shared" si="1"/>
        <v>0.275198188</v>
      </c>
      <c r="F3226" s="2">
        <v>467.0</v>
      </c>
      <c r="G3226" s="3">
        <f t="shared" si="2"/>
        <v>0.1322197055</v>
      </c>
      <c r="H3226" s="2">
        <v>700.0</v>
      </c>
      <c r="I3226" s="3">
        <f t="shared" si="3"/>
        <v>0.1981879955</v>
      </c>
      <c r="J3226" s="2">
        <v>390.0</v>
      </c>
      <c r="K3226" s="3">
        <f t="shared" si="4"/>
        <v>0.110419026</v>
      </c>
      <c r="L3226" s="2">
        <v>417.0</v>
      </c>
      <c r="M3226" s="3">
        <f t="shared" si="5"/>
        <v>0.5957142857</v>
      </c>
      <c r="N3226" s="2">
        <v>3917000.0</v>
      </c>
      <c r="O3226" s="4">
        <f t="shared" si="6"/>
        <v>5595.714286</v>
      </c>
      <c r="P3226" s="2">
        <v>0.0</v>
      </c>
      <c r="Q3226" s="3">
        <f t="shared" si="7"/>
        <v>0</v>
      </c>
      <c r="R3226" s="2">
        <v>332.0</v>
      </c>
      <c r="S3226" s="5">
        <f t="shared" si="8"/>
        <v>1</v>
      </c>
    </row>
    <row r="3227">
      <c r="A3227" s="2" t="s">
        <v>3234</v>
      </c>
      <c r="B3227" s="2">
        <v>161.0</v>
      </c>
      <c r="C3227" s="2">
        <v>1878.0</v>
      </c>
      <c r="D3227" s="2">
        <v>733.0</v>
      </c>
      <c r="E3227" s="3">
        <f t="shared" si="1"/>
        <v>0.4269073966</v>
      </c>
      <c r="F3227" s="2">
        <v>227.0</v>
      </c>
      <c r="G3227" s="3">
        <f t="shared" si="2"/>
        <v>0.1322073384</v>
      </c>
      <c r="H3227" s="2">
        <v>355.0</v>
      </c>
      <c r="I3227" s="3">
        <f t="shared" si="3"/>
        <v>0.2067559697</v>
      </c>
      <c r="J3227" s="2">
        <v>264.0</v>
      </c>
      <c r="K3227" s="3">
        <f t="shared" si="4"/>
        <v>0.1537565521</v>
      </c>
      <c r="L3227" s="2">
        <v>239.0</v>
      </c>
      <c r="M3227" s="3">
        <f t="shared" si="5"/>
        <v>0.6732394366</v>
      </c>
      <c r="N3227" s="2">
        <v>1898900.0</v>
      </c>
      <c r="O3227" s="4">
        <f t="shared" si="6"/>
        <v>5349.014085</v>
      </c>
      <c r="P3227" s="2">
        <v>1.0</v>
      </c>
      <c r="Q3227" s="3">
        <f t="shared" si="7"/>
        <v>0.006211180124</v>
      </c>
      <c r="R3227" s="2">
        <v>161.0</v>
      </c>
      <c r="S3227" s="5">
        <f t="shared" si="8"/>
        <v>1</v>
      </c>
    </row>
    <row r="3228">
      <c r="A3228" s="2" t="s">
        <v>3235</v>
      </c>
      <c r="B3228" s="2">
        <v>210.0</v>
      </c>
      <c r="C3228" s="2">
        <v>2449.0</v>
      </c>
      <c r="D3228" s="2">
        <v>811.0</v>
      </c>
      <c r="E3228" s="3">
        <f t="shared" si="1"/>
        <v>0.3622152747</v>
      </c>
      <c r="F3228" s="2">
        <v>296.0</v>
      </c>
      <c r="G3228" s="3">
        <f t="shared" si="2"/>
        <v>0.1322018758</v>
      </c>
      <c r="H3228" s="2">
        <v>463.0</v>
      </c>
      <c r="I3228" s="3">
        <f t="shared" si="3"/>
        <v>0.206788745</v>
      </c>
      <c r="J3228" s="2">
        <v>399.0</v>
      </c>
      <c r="K3228" s="3">
        <f t="shared" si="4"/>
        <v>0.1782045556</v>
      </c>
      <c r="L3228" s="2">
        <v>280.0</v>
      </c>
      <c r="M3228" s="3">
        <f t="shared" si="5"/>
        <v>0.6047516199</v>
      </c>
      <c r="N3228" s="2">
        <v>2447000.0</v>
      </c>
      <c r="O3228" s="4">
        <f t="shared" si="6"/>
        <v>5285.097192</v>
      </c>
      <c r="P3228" s="2">
        <v>0.0</v>
      </c>
      <c r="Q3228" s="3">
        <f t="shared" si="7"/>
        <v>0</v>
      </c>
      <c r="R3228" s="2">
        <v>210.0</v>
      </c>
      <c r="S3228" s="5">
        <f t="shared" si="8"/>
        <v>1</v>
      </c>
    </row>
    <row r="3229">
      <c r="A3229" s="2" t="s">
        <v>3236</v>
      </c>
      <c r="B3229" s="2">
        <v>887.0</v>
      </c>
      <c r="C3229" s="2">
        <v>10297.0</v>
      </c>
      <c r="D3229" s="2">
        <v>3548.0</v>
      </c>
      <c r="E3229" s="3">
        <f t="shared" si="1"/>
        <v>0.3770456961</v>
      </c>
      <c r="F3229" s="2">
        <v>1244.0</v>
      </c>
      <c r="G3229" s="3">
        <f t="shared" si="2"/>
        <v>0.1321997875</v>
      </c>
      <c r="H3229" s="2">
        <v>2094.0</v>
      </c>
      <c r="I3229" s="3">
        <f t="shared" si="3"/>
        <v>0.2225292242</v>
      </c>
      <c r="J3229" s="2">
        <v>1521.0</v>
      </c>
      <c r="K3229" s="3">
        <f t="shared" si="4"/>
        <v>0.1616365569</v>
      </c>
      <c r="L3229" s="2">
        <v>1285.0</v>
      </c>
      <c r="M3229" s="3">
        <f t="shared" si="5"/>
        <v>0.6136580707</v>
      </c>
      <c r="N3229" s="2">
        <v>1.11902E7</v>
      </c>
      <c r="O3229" s="4">
        <f t="shared" si="6"/>
        <v>5343.935053</v>
      </c>
      <c r="P3229" s="2">
        <v>3.0</v>
      </c>
      <c r="Q3229" s="3">
        <f t="shared" si="7"/>
        <v>0.003382187148</v>
      </c>
      <c r="R3229" s="2">
        <v>887.0</v>
      </c>
      <c r="S3229" s="5">
        <f t="shared" si="8"/>
        <v>1</v>
      </c>
    </row>
    <row r="3230">
      <c r="A3230" s="2" t="s">
        <v>3237</v>
      </c>
      <c r="B3230" s="2">
        <v>2459.0</v>
      </c>
      <c r="C3230" s="2">
        <v>28535.0</v>
      </c>
      <c r="D3230" s="2">
        <v>8888.0</v>
      </c>
      <c r="E3230" s="3">
        <f t="shared" si="1"/>
        <v>0.3408498236</v>
      </c>
      <c r="F3230" s="2">
        <v>3447.0</v>
      </c>
      <c r="G3230" s="3">
        <f t="shared" si="2"/>
        <v>0.13219052</v>
      </c>
      <c r="H3230" s="2">
        <v>5717.0</v>
      </c>
      <c r="I3230" s="3">
        <f t="shared" si="3"/>
        <v>0.219243749</v>
      </c>
      <c r="J3230" s="2">
        <v>4043.0</v>
      </c>
      <c r="K3230" s="3">
        <f t="shared" si="4"/>
        <v>0.1550467863</v>
      </c>
      <c r="L3230" s="2">
        <v>3482.0</v>
      </c>
      <c r="M3230" s="3">
        <f t="shared" si="5"/>
        <v>0.6090606962</v>
      </c>
      <c r="N3230" s="2">
        <v>3.16243E7</v>
      </c>
      <c r="O3230" s="4">
        <f t="shared" si="6"/>
        <v>5531.624978</v>
      </c>
      <c r="P3230" s="2">
        <v>2.0</v>
      </c>
      <c r="Q3230" s="3">
        <f t="shared" si="7"/>
        <v>0.0008133387556</v>
      </c>
      <c r="R3230" s="2">
        <v>2459.0</v>
      </c>
      <c r="S3230" s="5">
        <f t="shared" si="8"/>
        <v>1</v>
      </c>
    </row>
    <row r="3231">
      <c r="A3231" s="2" t="s">
        <v>3238</v>
      </c>
      <c r="B3231" s="2">
        <v>410.0</v>
      </c>
      <c r="C3231" s="2">
        <v>4700.0</v>
      </c>
      <c r="D3231" s="2">
        <v>1454.0</v>
      </c>
      <c r="E3231" s="3">
        <f t="shared" si="1"/>
        <v>0.3389277389</v>
      </c>
      <c r="F3231" s="2">
        <v>567.0</v>
      </c>
      <c r="G3231" s="3">
        <f t="shared" si="2"/>
        <v>0.1321678322</v>
      </c>
      <c r="H3231" s="2">
        <v>850.0</v>
      </c>
      <c r="I3231" s="3">
        <f t="shared" si="3"/>
        <v>0.1981351981</v>
      </c>
      <c r="J3231" s="2">
        <v>695.0</v>
      </c>
      <c r="K3231" s="3">
        <f t="shared" si="4"/>
        <v>0.162004662</v>
      </c>
      <c r="L3231" s="2">
        <v>529.0</v>
      </c>
      <c r="M3231" s="3">
        <f t="shared" si="5"/>
        <v>0.6223529412</v>
      </c>
      <c r="N3231" s="2">
        <v>4779900.0</v>
      </c>
      <c r="O3231" s="4">
        <f t="shared" si="6"/>
        <v>5623.411765</v>
      </c>
      <c r="P3231" s="2">
        <v>1.0</v>
      </c>
      <c r="Q3231" s="3">
        <f t="shared" si="7"/>
        <v>0.00243902439</v>
      </c>
      <c r="R3231" s="2">
        <v>410.0</v>
      </c>
      <c r="S3231" s="5">
        <f t="shared" si="8"/>
        <v>1</v>
      </c>
    </row>
    <row r="3232">
      <c r="A3232" s="2" t="s">
        <v>3239</v>
      </c>
      <c r="B3232" s="2">
        <v>425.0</v>
      </c>
      <c r="C3232" s="2">
        <v>4995.0</v>
      </c>
      <c r="D3232" s="2">
        <v>1413.0</v>
      </c>
      <c r="E3232" s="3">
        <f t="shared" si="1"/>
        <v>0.309190372</v>
      </c>
      <c r="F3232" s="2">
        <v>604.0</v>
      </c>
      <c r="G3232" s="3">
        <f t="shared" si="2"/>
        <v>0.132166302</v>
      </c>
      <c r="H3232" s="2">
        <v>1006.0</v>
      </c>
      <c r="I3232" s="3">
        <f t="shared" si="3"/>
        <v>0.220131291</v>
      </c>
      <c r="J3232" s="2">
        <v>833.0</v>
      </c>
      <c r="K3232" s="3">
        <f t="shared" si="4"/>
        <v>0.1822757112</v>
      </c>
      <c r="L3232" s="2">
        <v>608.0</v>
      </c>
      <c r="M3232" s="3">
        <f t="shared" si="5"/>
        <v>0.6043737575</v>
      </c>
      <c r="N3232" s="2">
        <v>6158900.0</v>
      </c>
      <c r="O3232" s="4">
        <f t="shared" si="6"/>
        <v>6122.166998</v>
      </c>
      <c r="P3232" s="2">
        <v>2.0</v>
      </c>
      <c r="Q3232" s="3">
        <f t="shared" si="7"/>
        <v>0.004705882353</v>
      </c>
      <c r="R3232" s="2">
        <v>425.0</v>
      </c>
      <c r="S3232" s="5">
        <f t="shared" si="8"/>
        <v>1</v>
      </c>
    </row>
    <row r="3233">
      <c r="A3233" s="2" t="s">
        <v>3240</v>
      </c>
      <c r="B3233" s="2">
        <v>962.0</v>
      </c>
      <c r="C3233" s="2">
        <v>11185.0</v>
      </c>
      <c r="D3233" s="2">
        <v>3849.0</v>
      </c>
      <c r="E3233" s="3">
        <f t="shared" si="1"/>
        <v>0.3765039617</v>
      </c>
      <c r="F3233" s="2">
        <v>1351.0</v>
      </c>
      <c r="G3233" s="3">
        <f t="shared" si="2"/>
        <v>0.1321529884</v>
      </c>
      <c r="H3233" s="2">
        <v>2219.0</v>
      </c>
      <c r="I3233" s="3">
        <f t="shared" si="3"/>
        <v>0.2170595716</v>
      </c>
      <c r="J3233" s="2">
        <v>1549.0</v>
      </c>
      <c r="K3233" s="3">
        <f t="shared" si="4"/>
        <v>0.1515210799</v>
      </c>
      <c r="L3233" s="2">
        <v>1364.0</v>
      </c>
      <c r="M3233" s="3">
        <f t="shared" si="5"/>
        <v>0.6146913024</v>
      </c>
      <c r="N3233" s="2">
        <v>1.22664E7</v>
      </c>
      <c r="O3233" s="4">
        <f t="shared" si="6"/>
        <v>5527.895448</v>
      </c>
      <c r="P3233" s="2">
        <v>3.0</v>
      </c>
      <c r="Q3233" s="3">
        <f t="shared" si="7"/>
        <v>0.003118503119</v>
      </c>
      <c r="R3233" s="2">
        <v>962.0</v>
      </c>
      <c r="S3233" s="5">
        <f t="shared" si="8"/>
        <v>1</v>
      </c>
    </row>
    <row r="3234">
      <c r="A3234" s="2" t="s">
        <v>3241</v>
      </c>
      <c r="B3234" s="2">
        <v>73.0</v>
      </c>
      <c r="C3234" s="2">
        <v>807.0</v>
      </c>
      <c r="D3234" s="2">
        <v>290.0</v>
      </c>
      <c r="E3234" s="3">
        <f t="shared" si="1"/>
        <v>0.3950953678</v>
      </c>
      <c r="F3234" s="2">
        <v>97.0</v>
      </c>
      <c r="G3234" s="3">
        <f t="shared" si="2"/>
        <v>0.1321525886</v>
      </c>
      <c r="H3234" s="2">
        <v>173.0</v>
      </c>
      <c r="I3234" s="3">
        <f t="shared" si="3"/>
        <v>0.2356948229</v>
      </c>
      <c r="J3234" s="2">
        <v>156.0</v>
      </c>
      <c r="K3234" s="3">
        <f t="shared" si="4"/>
        <v>0.2125340599</v>
      </c>
      <c r="L3234" s="2">
        <v>103.0</v>
      </c>
      <c r="M3234" s="3">
        <f t="shared" si="5"/>
        <v>0.5953757225</v>
      </c>
      <c r="N3234" s="2">
        <v>1002100.0</v>
      </c>
      <c r="O3234" s="4">
        <f t="shared" si="6"/>
        <v>5792.485549</v>
      </c>
      <c r="P3234" s="2">
        <v>1.0</v>
      </c>
      <c r="Q3234" s="3">
        <f t="shared" si="7"/>
        <v>0.01369863014</v>
      </c>
      <c r="R3234" s="2">
        <v>0.0</v>
      </c>
      <c r="S3234" s="5">
        <f t="shared" si="8"/>
        <v>0</v>
      </c>
    </row>
    <row r="3235">
      <c r="A3235" s="2" t="s">
        <v>3242</v>
      </c>
      <c r="B3235" s="2">
        <v>115.0</v>
      </c>
      <c r="C3235" s="2">
        <v>1356.0</v>
      </c>
      <c r="D3235" s="2">
        <v>407.0</v>
      </c>
      <c r="E3235" s="3">
        <f t="shared" si="1"/>
        <v>0.3279613215</v>
      </c>
      <c r="F3235" s="2">
        <v>164.0</v>
      </c>
      <c r="G3235" s="3">
        <f t="shared" si="2"/>
        <v>0.1321514907</v>
      </c>
      <c r="H3235" s="2">
        <v>275.0</v>
      </c>
      <c r="I3235" s="3">
        <f t="shared" si="3"/>
        <v>0.2215954875</v>
      </c>
      <c r="J3235" s="2">
        <v>199.0</v>
      </c>
      <c r="K3235" s="3">
        <f t="shared" si="4"/>
        <v>0.1603545528</v>
      </c>
      <c r="L3235" s="2">
        <v>164.0</v>
      </c>
      <c r="M3235" s="3">
        <f t="shared" si="5"/>
        <v>0.5963636364</v>
      </c>
      <c r="N3235" s="2">
        <v>1278800.0</v>
      </c>
      <c r="O3235" s="4">
        <f t="shared" si="6"/>
        <v>4650.181818</v>
      </c>
      <c r="P3235" s="2">
        <v>0.0</v>
      </c>
      <c r="Q3235" s="3">
        <f t="shared" si="7"/>
        <v>0</v>
      </c>
      <c r="R3235" s="2">
        <v>115.0</v>
      </c>
      <c r="S3235" s="5">
        <f t="shared" si="8"/>
        <v>1</v>
      </c>
    </row>
    <row r="3236">
      <c r="A3236" s="2" t="s">
        <v>3243</v>
      </c>
      <c r="B3236" s="2">
        <v>241.0</v>
      </c>
      <c r="C3236" s="2">
        <v>2829.0</v>
      </c>
      <c r="D3236" s="2">
        <v>689.0</v>
      </c>
      <c r="E3236" s="3">
        <f t="shared" si="1"/>
        <v>0.2662287481</v>
      </c>
      <c r="F3236" s="2">
        <v>342.0</v>
      </c>
      <c r="G3236" s="3">
        <f t="shared" si="2"/>
        <v>0.1321483771</v>
      </c>
      <c r="H3236" s="2">
        <v>555.0</v>
      </c>
      <c r="I3236" s="3">
        <f t="shared" si="3"/>
        <v>0.2144513138</v>
      </c>
      <c r="J3236" s="2">
        <v>427.0</v>
      </c>
      <c r="K3236" s="3">
        <f t="shared" si="4"/>
        <v>0.164992272</v>
      </c>
      <c r="L3236" s="2">
        <v>337.0</v>
      </c>
      <c r="M3236" s="3">
        <f t="shared" si="5"/>
        <v>0.6072072072</v>
      </c>
      <c r="N3236" s="2">
        <v>3128100.0</v>
      </c>
      <c r="O3236" s="4">
        <f t="shared" si="6"/>
        <v>5636.216216</v>
      </c>
      <c r="P3236" s="2">
        <v>1.0</v>
      </c>
      <c r="Q3236" s="3">
        <f t="shared" si="7"/>
        <v>0.004149377593</v>
      </c>
      <c r="R3236" s="2">
        <v>241.0</v>
      </c>
      <c r="S3236" s="5">
        <f t="shared" si="8"/>
        <v>1</v>
      </c>
    </row>
    <row r="3237">
      <c r="A3237" s="2" t="s">
        <v>3244</v>
      </c>
      <c r="B3237" s="2">
        <v>304.0</v>
      </c>
      <c r="C3237" s="2">
        <v>3581.0</v>
      </c>
      <c r="D3237" s="2">
        <v>1040.0</v>
      </c>
      <c r="E3237" s="3">
        <f t="shared" si="1"/>
        <v>0.3173634422</v>
      </c>
      <c r="F3237" s="2">
        <v>433.0</v>
      </c>
      <c r="G3237" s="3">
        <f t="shared" si="2"/>
        <v>0.1321330485</v>
      </c>
      <c r="H3237" s="2">
        <v>638.0</v>
      </c>
      <c r="I3237" s="3">
        <f t="shared" si="3"/>
        <v>0.1946902655</v>
      </c>
      <c r="J3237" s="2">
        <v>519.0</v>
      </c>
      <c r="K3237" s="3">
        <f t="shared" si="4"/>
        <v>0.1583765639</v>
      </c>
      <c r="L3237" s="2">
        <v>361.0</v>
      </c>
      <c r="M3237" s="3">
        <f t="shared" si="5"/>
        <v>0.565830721</v>
      </c>
      <c r="N3237" s="2">
        <v>3742800.0</v>
      </c>
      <c r="O3237" s="4">
        <f t="shared" si="6"/>
        <v>5866.45768</v>
      </c>
      <c r="P3237" s="2">
        <v>0.0</v>
      </c>
      <c r="Q3237" s="3">
        <f t="shared" si="7"/>
        <v>0</v>
      </c>
      <c r="R3237" s="2">
        <v>304.0</v>
      </c>
      <c r="S3237" s="5">
        <f t="shared" si="8"/>
        <v>1</v>
      </c>
    </row>
    <row r="3238">
      <c r="A3238" s="2" t="s">
        <v>3245</v>
      </c>
      <c r="B3238" s="2">
        <v>1588.0</v>
      </c>
      <c r="C3238" s="2">
        <v>18663.0</v>
      </c>
      <c r="D3238" s="2">
        <v>6773.0</v>
      </c>
      <c r="E3238" s="3">
        <f t="shared" si="1"/>
        <v>0.3966617862</v>
      </c>
      <c r="F3238" s="2">
        <v>2256.0</v>
      </c>
      <c r="G3238" s="3">
        <f t="shared" si="2"/>
        <v>0.1321229868</v>
      </c>
      <c r="H3238" s="2">
        <v>3842.0</v>
      </c>
      <c r="I3238" s="3">
        <f t="shared" si="3"/>
        <v>0.2250073206</v>
      </c>
      <c r="J3238" s="2">
        <v>2728.0</v>
      </c>
      <c r="K3238" s="3">
        <f t="shared" si="4"/>
        <v>0.1597657394</v>
      </c>
      <c r="L3238" s="2">
        <v>2394.0</v>
      </c>
      <c r="M3238" s="3">
        <f t="shared" si="5"/>
        <v>0.623112962</v>
      </c>
      <c r="N3238" s="2">
        <v>2.08815E7</v>
      </c>
      <c r="O3238" s="4">
        <f t="shared" si="6"/>
        <v>5435.059865</v>
      </c>
      <c r="P3238" s="2">
        <v>2.0</v>
      </c>
      <c r="Q3238" s="3">
        <f t="shared" si="7"/>
        <v>0.001259445844</v>
      </c>
      <c r="R3238" s="2">
        <v>1588.0</v>
      </c>
      <c r="S3238" s="5">
        <f t="shared" si="8"/>
        <v>1</v>
      </c>
    </row>
    <row r="3239">
      <c r="A3239" s="2" t="s">
        <v>3246</v>
      </c>
      <c r="B3239" s="2">
        <v>199.0</v>
      </c>
      <c r="C3239" s="2">
        <v>2273.0</v>
      </c>
      <c r="D3239" s="2">
        <v>666.0</v>
      </c>
      <c r="E3239" s="3">
        <f t="shared" si="1"/>
        <v>0.3211186114</v>
      </c>
      <c r="F3239" s="2">
        <v>274.0</v>
      </c>
      <c r="G3239" s="3">
        <f t="shared" si="2"/>
        <v>0.1321118611</v>
      </c>
      <c r="H3239" s="2">
        <v>416.0</v>
      </c>
      <c r="I3239" s="3">
        <f t="shared" si="3"/>
        <v>0.2005785921</v>
      </c>
      <c r="J3239" s="2">
        <v>391.0</v>
      </c>
      <c r="K3239" s="3">
        <f t="shared" si="4"/>
        <v>0.1885245902</v>
      </c>
      <c r="L3239" s="2">
        <v>247.0</v>
      </c>
      <c r="M3239" s="3">
        <f t="shared" si="5"/>
        <v>0.59375</v>
      </c>
      <c r="N3239" s="2">
        <v>2643500.0</v>
      </c>
      <c r="O3239" s="4">
        <f t="shared" si="6"/>
        <v>6354.567308</v>
      </c>
      <c r="P3239" s="2">
        <v>3.0</v>
      </c>
      <c r="Q3239" s="3">
        <f t="shared" si="7"/>
        <v>0.01507537688</v>
      </c>
      <c r="R3239" s="2">
        <v>199.0</v>
      </c>
      <c r="S3239" s="5">
        <f t="shared" si="8"/>
        <v>1</v>
      </c>
    </row>
    <row r="3240">
      <c r="A3240" s="2" t="s">
        <v>3247</v>
      </c>
      <c r="B3240" s="2">
        <v>48.0</v>
      </c>
      <c r="C3240" s="2">
        <v>593.0</v>
      </c>
      <c r="D3240" s="2">
        <v>179.0</v>
      </c>
      <c r="E3240" s="3">
        <f t="shared" si="1"/>
        <v>0.328440367</v>
      </c>
      <c r="F3240" s="2">
        <v>72.0</v>
      </c>
      <c r="G3240" s="3">
        <f t="shared" si="2"/>
        <v>0.1321100917</v>
      </c>
      <c r="H3240" s="2">
        <v>104.0</v>
      </c>
      <c r="I3240" s="3">
        <f t="shared" si="3"/>
        <v>0.1908256881</v>
      </c>
      <c r="J3240" s="2">
        <v>94.0</v>
      </c>
      <c r="K3240" s="3">
        <f t="shared" si="4"/>
        <v>0.1724770642</v>
      </c>
      <c r="L3240" s="2">
        <v>56.0</v>
      </c>
      <c r="M3240" s="3">
        <f t="shared" si="5"/>
        <v>0.5384615385</v>
      </c>
      <c r="N3240" s="2">
        <v>505000.0</v>
      </c>
      <c r="O3240" s="4">
        <f t="shared" si="6"/>
        <v>4855.769231</v>
      </c>
      <c r="P3240" s="2">
        <v>0.0</v>
      </c>
      <c r="Q3240" s="3">
        <f t="shared" si="7"/>
        <v>0</v>
      </c>
      <c r="R3240" s="2">
        <v>48.0</v>
      </c>
      <c r="S3240" s="5">
        <f t="shared" si="8"/>
        <v>1</v>
      </c>
    </row>
    <row r="3241">
      <c r="A3241" s="2" t="s">
        <v>3248</v>
      </c>
      <c r="B3241" s="2">
        <v>1125.0</v>
      </c>
      <c r="C3241" s="2">
        <v>13138.0</v>
      </c>
      <c r="D3241" s="2">
        <v>3587.0</v>
      </c>
      <c r="E3241" s="3">
        <f t="shared" si="1"/>
        <v>0.2985931907</v>
      </c>
      <c r="F3241" s="2">
        <v>1587.0</v>
      </c>
      <c r="G3241" s="3">
        <f t="shared" si="2"/>
        <v>0.1321068842</v>
      </c>
      <c r="H3241" s="2">
        <v>2457.0</v>
      </c>
      <c r="I3241" s="3">
        <f t="shared" si="3"/>
        <v>0.2045284275</v>
      </c>
      <c r="J3241" s="2">
        <v>1979.0</v>
      </c>
      <c r="K3241" s="3">
        <f t="shared" si="4"/>
        <v>0.1647382003</v>
      </c>
      <c r="L3241" s="2">
        <v>1452.0</v>
      </c>
      <c r="M3241" s="3">
        <f t="shared" si="5"/>
        <v>0.590964591</v>
      </c>
      <c r="N3241" s="2">
        <v>1.44017E7</v>
      </c>
      <c r="O3241" s="4">
        <f t="shared" si="6"/>
        <v>5861.497761</v>
      </c>
      <c r="P3241" s="2">
        <v>0.0</v>
      </c>
      <c r="Q3241" s="3">
        <f t="shared" si="7"/>
        <v>0</v>
      </c>
      <c r="R3241" s="2">
        <v>0.0</v>
      </c>
      <c r="S3241" s="5">
        <f t="shared" si="8"/>
        <v>0</v>
      </c>
    </row>
    <row r="3242">
      <c r="A3242" s="2" t="s">
        <v>3249</v>
      </c>
      <c r="B3242" s="2">
        <v>586.0</v>
      </c>
      <c r="C3242" s="2">
        <v>6884.0</v>
      </c>
      <c r="D3242" s="2">
        <v>1935.0</v>
      </c>
      <c r="E3242" s="3">
        <f t="shared" si="1"/>
        <v>0.3072403938</v>
      </c>
      <c r="F3242" s="2">
        <v>832.0</v>
      </c>
      <c r="G3242" s="3">
        <f t="shared" si="2"/>
        <v>0.1321054303</v>
      </c>
      <c r="H3242" s="2">
        <v>1342.0</v>
      </c>
      <c r="I3242" s="3">
        <f t="shared" si="3"/>
        <v>0.2130835186</v>
      </c>
      <c r="J3242" s="2">
        <v>1238.0</v>
      </c>
      <c r="K3242" s="3">
        <f t="shared" si="4"/>
        <v>0.1965703398</v>
      </c>
      <c r="L3242" s="2">
        <v>801.0</v>
      </c>
      <c r="M3242" s="3">
        <f t="shared" si="5"/>
        <v>0.5968703428</v>
      </c>
      <c r="N3242" s="2">
        <v>7725700.0</v>
      </c>
      <c r="O3242" s="4">
        <f t="shared" si="6"/>
        <v>5756.85544</v>
      </c>
      <c r="P3242" s="2">
        <v>0.0</v>
      </c>
      <c r="Q3242" s="3">
        <f t="shared" si="7"/>
        <v>0</v>
      </c>
      <c r="R3242" s="2">
        <v>586.0</v>
      </c>
      <c r="S3242" s="5">
        <f t="shared" si="8"/>
        <v>1</v>
      </c>
    </row>
    <row r="3243">
      <c r="A3243" s="2" t="s">
        <v>3250</v>
      </c>
      <c r="B3243" s="2">
        <v>1324.0</v>
      </c>
      <c r="C3243" s="2">
        <v>15404.0</v>
      </c>
      <c r="D3243" s="2">
        <v>5061.0</v>
      </c>
      <c r="E3243" s="3">
        <f t="shared" si="1"/>
        <v>0.3594460227</v>
      </c>
      <c r="F3243" s="2">
        <v>1860.0</v>
      </c>
      <c r="G3243" s="3">
        <f t="shared" si="2"/>
        <v>0.1321022727</v>
      </c>
      <c r="H3243" s="2">
        <v>2969.0</v>
      </c>
      <c r="I3243" s="3">
        <f t="shared" si="3"/>
        <v>0.2108664773</v>
      </c>
      <c r="J3243" s="2">
        <v>2413.0</v>
      </c>
      <c r="K3243" s="3">
        <f t="shared" si="4"/>
        <v>0.1713778409</v>
      </c>
      <c r="L3243" s="2">
        <v>1804.0</v>
      </c>
      <c r="M3243" s="3">
        <f t="shared" si="5"/>
        <v>0.6076119906</v>
      </c>
      <c r="N3243" s="2">
        <v>1.65363E7</v>
      </c>
      <c r="O3243" s="4">
        <f t="shared" si="6"/>
        <v>5569.653082</v>
      </c>
      <c r="P3243" s="2">
        <v>3.0</v>
      </c>
      <c r="Q3243" s="3">
        <f t="shared" si="7"/>
        <v>0.002265861027</v>
      </c>
      <c r="R3243" s="2">
        <v>1324.0</v>
      </c>
      <c r="S3243" s="5">
        <f t="shared" si="8"/>
        <v>1</v>
      </c>
    </row>
    <row r="3244">
      <c r="A3244" s="2" t="s">
        <v>3251</v>
      </c>
      <c r="B3244" s="2">
        <v>2098.0</v>
      </c>
      <c r="C3244" s="2">
        <v>24437.0</v>
      </c>
      <c r="D3244" s="2">
        <v>7762.0</v>
      </c>
      <c r="E3244" s="3">
        <f t="shared" si="1"/>
        <v>0.3474640763</v>
      </c>
      <c r="F3244" s="2">
        <v>2951.0</v>
      </c>
      <c r="G3244" s="3">
        <f t="shared" si="2"/>
        <v>0.1321008102</v>
      </c>
      <c r="H3244" s="2">
        <v>4855.0</v>
      </c>
      <c r="I3244" s="3">
        <f t="shared" si="3"/>
        <v>0.2173329155</v>
      </c>
      <c r="J3244" s="2">
        <v>4316.0</v>
      </c>
      <c r="K3244" s="3">
        <f t="shared" si="4"/>
        <v>0.1932047093</v>
      </c>
      <c r="L3244" s="2">
        <v>2902.0</v>
      </c>
      <c r="M3244" s="3">
        <f t="shared" si="5"/>
        <v>0.5977342945</v>
      </c>
      <c r="N3244" s="2">
        <v>2.76089E7</v>
      </c>
      <c r="O3244" s="4">
        <f t="shared" si="6"/>
        <v>5686.69413</v>
      </c>
      <c r="P3244" s="2">
        <v>2.0</v>
      </c>
      <c r="Q3244" s="3">
        <f t="shared" si="7"/>
        <v>0.0009532888465</v>
      </c>
      <c r="R3244" s="2">
        <v>2098.0</v>
      </c>
      <c r="S3244" s="5">
        <f t="shared" si="8"/>
        <v>1</v>
      </c>
    </row>
    <row r="3245">
      <c r="A3245" s="2" t="s">
        <v>3252</v>
      </c>
      <c r="B3245" s="2">
        <v>497.0</v>
      </c>
      <c r="C3245" s="2">
        <v>5857.0</v>
      </c>
      <c r="D3245" s="2">
        <v>1989.0</v>
      </c>
      <c r="E3245" s="3">
        <f t="shared" si="1"/>
        <v>0.3710820896</v>
      </c>
      <c r="F3245" s="2">
        <v>708.0</v>
      </c>
      <c r="G3245" s="3">
        <f t="shared" si="2"/>
        <v>0.1320895522</v>
      </c>
      <c r="H3245" s="2">
        <v>1144.0</v>
      </c>
      <c r="I3245" s="3">
        <f t="shared" si="3"/>
        <v>0.2134328358</v>
      </c>
      <c r="J3245" s="2">
        <v>957.0</v>
      </c>
      <c r="K3245" s="3">
        <f t="shared" si="4"/>
        <v>0.1785447761</v>
      </c>
      <c r="L3245" s="2">
        <v>639.0</v>
      </c>
      <c r="M3245" s="3">
        <f t="shared" si="5"/>
        <v>0.5585664336</v>
      </c>
      <c r="N3245" s="2">
        <v>6514100.0</v>
      </c>
      <c r="O3245" s="4">
        <f t="shared" si="6"/>
        <v>5694.143357</v>
      </c>
      <c r="P3245" s="2">
        <v>1.0</v>
      </c>
      <c r="Q3245" s="3">
        <f t="shared" si="7"/>
        <v>0.002012072435</v>
      </c>
      <c r="R3245" s="2">
        <v>497.0</v>
      </c>
      <c r="S3245" s="5">
        <f t="shared" si="8"/>
        <v>1</v>
      </c>
    </row>
    <row r="3246">
      <c r="A3246" s="2" t="s">
        <v>3253</v>
      </c>
      <c r="B3246" s="2">
        <v>30.0</v>
      </c>
      <c r="C3246" s="2">
        <v>348.0</v>
      </c>
      <c r="D3246" s="2">
        <v>106.0</v>
      </c>
      <c r="E3246" s="3">
        <f t="shared" si="1"/>
        <v>0.3333333333</v>
      </c>
      <c r="F3246" s="2">
        <v>42.0</v>
      </c>
      <c r="G3246" s="3">
        <f t="shared" si="2"/>
        <v>0.1320754717</v>
      </c>
      <c r="H3246" s="2">
        <v>58.0</v>
      </c>
      <c r="I3246" s="3">
        <f t="shared" si="3"/>
        <v>0.1823899371</v>
      </c>
      <c r="J3246" s="2">
        <v>70.0</v>
      </c>
      <c r="K3246" s="3">
        <f t="shared" si="4"/>
        <v>0.2201257862</v>
      </c>
      <c r="L3246" s="2">
        <v>34.0</v>
      </c>
      <c r="M3246" s="3">
        <f t="shared" si="5"/>
        <v>0.5862068966</v>
      </c>
      <c r="N3246" s="2">
        <v>345100.0</v>
      </c>
      <c r="O3246" s="4">
        <f t="shared" si="6"/>
        <v>5950</v>
      </c>
      <c r="P3246" s="2">
        <v>0.0</v>
      </c>
      <c r="Q3246" s="3">
        <f t="shared" si="7"/>
        <v>0</v>
      </c>
      <c r="R3246" s="2">
        <v>30.0</v>
      </c>
      <c r="S3246" s="5">
        <f t="shared" si="8"/>
        <v>1</v>
      </c>
    </row>
    <row r="3247">
      <c r="A3247" s="2" t="s">
        <v>3254</v>
      </c>
      <c r="B3247" s="2">
        <v>644.0</v>
      </c>
      <c r="C3247" s="2">
        <v>7534.0</v>
      </c>
      <c r="D3247" s="2">
        <v>2526.0</v>
      </c>
      <c r="E3247" s="3">
        <f t="shared" si="1"/>
        <v>0.3666182874</v>
      </c>
      <c r="F3247" s="2">
        <v>910.0</v>
      </c>
      <c r="G3247" s="3">
        <f t="shared" si="2"/>
        <v>0.1320754717</v>
      </c>
      <c r="H3247" s="2">
        <v>1480.0</v>
      </c>
      <c r="I3247" s="3">
        <f t="shared" si="3"/>
        <v>0.2148040639</v>
      </c>
      <c r="J3247" s="2">
        <v>1336.0</v>
      </c>
      <c r="K3247" s="3">
        <f t="shared" si="4"/>
        <v>0.193904209</v>
      </c>
      <c r="L3247" s="2">
        <v>869.0</v>
      </c>
      <c r="M3247" s="3">
        <f t="shared" si="5"/>
        <v>0.5871621622</v>
      </c>
      <c r="N3247" s="2">
        <v>8345200.0</v>
      </c>
      <c r="O3247" s="4">
        <f t="shared" si="6"/>
        <v>5638.648649</v>
      </c>
      <c r="P3247" s="2">
        <v>0.0</v>
      </c>
      <c r="Q3247" s="3">
        <f t="shared" si="7"/>
        <v>0</v>
      </c>
      <c r="R3247" s="2">
        <v>644.0</v>
      </c>
      <c r="S3247" s="5">
        <f t="shared" si="8"/>
        <v>1</v>
      </c>
    </row>
    <row r="3248">
      <c r="A3248" s="2" t="s">
        <v>3255</v>
      </c>
      <c r="B3248" s="2">
        <v>26.0</v>
      </c>
      <c r="C3248" s="2">
        <v>291.0</v>
      </c>
      <c r="D3248" s="2">
        <v>93.0</v>
      </c>
      <c r="E3248" s="3">
        <f t="shared" si="1"/>
        <v>0.3509433962</v>
      </c>
      <c r="F3248" s="2">
        <v>35.0</v>
      </c>
      <c r="G3248" s="3">
        <f t="shared" si="2"/>
        <v>0.1320754717</v>
      </c>
      <c r="H3248" s="2">
        <v>55.0</v>
      </c>
      <c r="I3248" s="3">
        <f t="shared" si="3"/>
        <v>0.2075471698</v>
      </c>
      <c r="J3248" s="2">
        <v>49.0</v>
      </c>
      <c r="K3248" s="3">
        <f t="shared" si="4"/>
        <v>0.1849056604</v>
      </c>
      <c r="L3248" s="2">
        <v>30.0</v>
      </c>
      <c r="M3248" s="3">
        <f t="shared" si="5"/>
        <v>0.5454545455</v>
      </c>
      <c r="N3248" s="2">
        <v>333000.0</v>
      </c>
      <c r="O3248" s="4">
        <f t="shared" si="6"/>
        <v>6054.545455</v>
      </c>
      <c r="P3248" s="2">
        <v>1.0</v>
      </c>
      <c r="Q3248" s="3">
        <f t="shared" si="7"/>
        <v>0.03846153846</v>
      </c>
      <c r="R3248" s="2">
        <v>26.0</v>
      </c>
      <c r="S3248" s="5">
        <f t="shared" si="8"/>
        <v>1</v>
      </c>
    </row>
    <row r="3249">
      <c r="A3249" s="2" t="s">
        <v>3256</v>
      </c>
      <c r="B3249" s="2">
        <v>710.0</v>
      </c>
      <c r="C3249" s="2">
        <v>8289.0</v>
      </c>
      <c r="D3249" s="2">
        <v>2581.0</v>
      </c>
      <c r="E3249" s="3">
        <f t="shared" si="1"/>
        <v>0.3405462462</v>
      </c>
      <c r="F3249" s="2">
        <v>1001.0</v>
      </c>
      <c r="G3249" s="3">
        <f t="shared" si="2"/>
        <v>0.1320754717</v>
      </c>
      <c r="H3249" s="2">
        <v>1615.0</v>
      </c>
      <c r="I3249" s="3">
        <f t="shared" si="3"/>
        <v>0.213088798</v>
      </c>
      <c r="J3249" s="2">
        <v>1241.0</v>
      </c>
      <c r="K3249" s="3">
        <f t="shared" si="4"/>
        <v>0.1637419185</v>
      </c>
      <c r="L3249" s="2">
        <v>979.0</v>
      </c>
      <c r="M3249" s="3">
        <f t="shared" si="5"/>
        <v>0.6061919505</v>
      </c>
      <c r="N3249" s="2">
        <v>9359200.0</v>
      </c>
      <c r="O3249" s="4">
        <f t="shared" si="6"/>
        <v>5795.170279</v>
      </c>
      <c r="P3249" s="2">
        <v>0.0</v>
      </c>
      <c r="Q3249" s="3">
        <f t="shared" si="7"/>
        <v>0</v>
      </c>
      <c r="R3249" s="2">
        <v>710.0</v>
      </c>
      <c r="S3249" s="5">
        <f t="shared" si="8"/>
        <v>1</v>
      </c>
    </row>
    <row r="3250">
      <c r="A3250" s="2" t="s">
        <v>3257</v>
      </c>
      <c r="B3250" s="2">
        <v>26.0</v>
      </c>
      <c r="C3250" s="2">
        <v>291.0</v>
      </c>
      <c r="D3250" s="2">
        <v>68.0</v>
      </c>
      <c r="E3250" s="3">
        <f t="shared" si="1"/>
        <v>0.2566037736</v>
      </c>
      <c r="F3250" s="2">
        <v>35.0</v>
      </c>
      <c r="G3250" s="3">
        <f t="shared" si="2"/>
        <v>0.1320754717</v>
      </c>
      <c r="H3250" s="2">
        <v>50.0</v>
      </c>
      <c r="I3250" s="3">
        <f t="shared" si="3"/>
        <v>0.1886792453</v>
      </c>
      <c r="J3250" s="2">
        <v>38.0</v>
      </c>
      <c r="K3250" s="3">
        <f t="shared" si="4"/>
        <v>0.1433962264</v>
      </c>
      <c r="L3250" s="2">
        <v>28.0</v>
      </c>
      <c r="M3250" s="3">
        <f t="shared" si="5"/>
        <v>0.56</v>
      </c>
      <c r="N3250" s="2">
        <v>301700.0</v>
      </c>
      <c r="O3250" s="4">
        <f t="shared" si="6"/>
        <v>6034</v>
      </c>
      <c r="P3250" s="2">
        <v>0.0</v>
      </c>
      <c r="Q3250" s="3">
        <f t="shared" si="7"/>
        <v>0</v>
      </c>
      <c r="R3250" s="2">
        <v>0.0</v>
      </c>
      <c r="S3250" s="5">
        <f t="shared" si="8"/>
        <v>0</v>
      </c>
    </row>
    <row r="3251">
      <c r="A3251" s="2" t="s">
        <v>3258</v>
      </c>
      <c r="B3251" s="2">
        <v>202.0</v>
      </c>
      <c r="C3251" s="2">
        <v>2360.0</v>
      </c>
      <c r="D3251" s="2">
        <v>534.0</v>
      </c>
      <c r="E3251" s="3">
        <f t="shared" si="1"/>
        <v>0.2474513438</v>
      </c>
      <c r="F3251" s="2">
        <v>285.0</v>
      </c>
      <c r="G3251" s="3">
        <f t="shared" si="2"/>
        <v>0.1320667285</v>
      </c>
      <c r="H3251" s="2">
        <v>430.0</v>
      </c>
      <c r="I3251" s="3">
        <f t="shared" si="3"/>
        <v>0.1992585728</v>
      </c>
      <c r="J3251" s="2">
        <v>408.0</v>
      </c>
      <c r="K3251" s="3">
        <f t="shared" si="4"/>
        <v>0.1890639481</v>
      </c>
      <c r="L3251" s="2">
        <v>248.0</v>
      </c>
      <c r="M3251" s="3">
        <f t="shared" si="5"/>
        <v>0.576744186</v>
      </c>
      <c r="N3251" s="2">
        <v>2545500.0</v>
      </c>
      <c r="O3251" s="4">
        <f t="shared" si="6"/>
        <v>5919.767442</v>
      </c>
      <c r="P3251" s="2">
        <v>0.0</v>
      </c>
      <c r="Q3251" s="3">
        <f t="shared" si="7"/>
        <v>0</v>
      </c>
      <c r="R3251" s="2">
        <v>202.0</v>
      </c>
      <c r="S3251" s="5">
        <f t="shared" si="8"/>
        <v>1</v>
      </c>
    </row>
    <row r="3252">
      <c r="A3252" s="2" t="s">
        <v>3259</v>
      </c>
      <c r="B3252" s="2">
        <v>187.0</v>
      </c>
      <c r="C3252" s="2">
        <v>2133.0</v>
      </c>
      <c r="D3252" s="2">
        <v>721.0</v>
      </c>
      <c r="E3252" s="3">
        <f t="shared" si="1"/>
        <v>0.3705035971</v>
      </c>
      <c r="F3252" s="2">
        <v>257.0</v>
      </c>
      <c r="G3252" s="3">
        <f t="shared" si="2"/>
        <v>0.132065776</v>
      </c>
      <c r="H3252" s="2">
        <v>412.0</v>
      </c>
      <c r="I3252" s="3">
        <f t="shared" si="3"/>
        <v>0.2117163412</v>
      </c>
      <c r="J3252" s="2">
        <v>376.0</v>
      </c>
      <c r="K3252" s="3">
        <f t="shared" si="4"/>
        <v>0.1932168551</v>
      </c>
      <c r="L3252" s="2">
        <v>254.0</v>
      </c>
      <c r="M3252" s="3">
        <f t="shared" si="5"/>
        <v>0.6165048544</v>
      </c>
      <c r="N3252" s="2">
        <v>2228400.0</v>
      </c>
      <c r="O3252" s="4">
        <f t="shared" si="6"/>
        <v>5408.737864</v>
      </c>
      <c r="P3252" s="2">
        <v>0.0</v>
      </c>
      <c r="Q3252" s="3">
        <f t="shared" si="7"/>
        <v>0</v>
      </c>
      <c r="R3252" s="2">
        <v>187.0</v>
      </c>
      <c r="S3252" s="5">
        <f t="shared" si="8"/>
        <v>1</v>
      </c>
    </row>
    <row r="3253">
      <c r="A3253" s="2" t="s">
        <v>3260</v>
      </c>
      <c r="B3253" s="2">
        <v>1500.0</v>
      </c>
      <c r="C3253" s="2">
        <v>17689.0</v>
      </c>
      <c r="D3253" s="2">
        <v>6551.0</v>
      </c>
      <c r="E3253" s="3">
        <f t="shared" si="1"/>
        <v>0.4046574835</v>
      </c>
      <c r="F3253" s="2">
        <v>2138.0</v>
      </c>
      <c r="G3253" s="3">
        <f t="shared" si="2"/>
        <v>0.1320649824</v>
      </c>
      <c r="H3253" s="2">
        <v>3674.0</v>
      </c>
      <c r="I3253" s="3">
        <f t="shared" si="3"/>
        <v>0.2269442214</v>
      </c>
      <c r="J3253" s="2">
        <v>3090.0</v>
      </c>
      <c r="K3253" s="3">
        <f t="shared" si="4"/>
        <v>0.1908703441</v>
      </c>
      <c r="L3253" s="2">
        <v>2184.0</v>
      </c>
      <c r="M3253" s="3">
        <f t="shared" si="5"/>
        <v>0.5944474687</v>
      </c>
      <c r="N3253" s="2">
        <v>2.01951E7</v>
      </c>
      <c r="O3253" s="4">
        <f t="shared" si="6"/>
        <v>5496.761023</v>
      </c>
      <c r="P3253" s="2">
        <v>3.0</v>
      </c>
      <c r="Q3253" s="3">
        <f t="shared" si="7"/>
        <v>0.002</v>
      </c>
      <c r="R3253" s="2">
        <v>1496.0</v>
      </c>
      <c r="S3253" s="5">
        <f t="shared" si="8"/>
        <v>0.9973333333</v>
      </c>
    </row>
    <row r="3254">
      <c r="A3254" s="2" t="s">
        <v>3261</v>
      </c>
      <c r="B3254" s="2">
        <v>2226.0</v>
      </c>
      <c r="C3254" s="2">
        <v>26071.0</v>
      </c>
      <c r="D3254" s="2">
        <v>7198.0</v>
      </c>
      <c r="E3254" s="3">
        <f t="shared" si="1"/>
        <v>0.3018662193</v>
      </c>
      <c r="F3254" s="2">
        <v>3149.0</v>
      </c>
      <c r="G3254" s="3">
        <f t="shared" si="2"/>
        <v>0.1320612288</v>
      </c>
      <c r="H3254" s="2">
        <v>4834.0</v>
      </c>
      <c r="I3254" s="3">
        <f t="shared" si="3"/>
        <v>0.2027259384</v>
      </c>
      <c r="J3254" s="2">
        <v>3522.0</v>
      </c>
      <c r="K3254" s="3">
        <f t="shared" si="4"/>
        <v>0.1477039212</v>
      </c>
      <c r="L3254" s="2">
        <v>2911.0</v>
      </c>
      <c r="M3254" s="3">
        <f t="shared" si="5"/>
        <v>0.602192801</v>
      </c>
      <c r="N3254" s="2">
        <v>2.89529E7</v>
      </c>
      <c r="O3254" s="4">
        <f t="shared" si="6"/>
        <v>5989.429044</v>
      </c>
      <c r="P3254" s="2">
        <v>3.0</v>
      </c>
      <c r="Q3254" s="3">
        <f t="shared" si="7"/>
        <v>0.001347708895</v>
      </c>
      <c r="R3254" s="2">
        <v>2226.0</v>
      </c>
      <c r="S3254" s="5">
        <f t="shared" si="8"/>
        <v>1</v>
      </c>
    </row>
    <row r="3255">
      <c r="A3255" s="2" t="s">
        <v>3262</v>
      </c>
      <c r="B3255" s="2">
        <v>367.0</v>
      </c>
      <c r="C3255" s="2">
        <v>4244.0</v>
      </c>
      <c r="D3255" s="2">
        <v>1313.0</v>
      </c>
      <c r="E3255" s="3">
        <f t="shared" si="1"/>
        <v>0.3386639154</v>
      </c>
      <c r="F3255" s="2">
        <v>512.0</v>
      </c>
      <c r="G3255" s="3">
        <f t="shared" si="2"/>
        <v>0.1320608718</v>
      </c>
      <c r="H3255" s="2">
        <v>812.0</v>
      </c>
      <c r="I3255" s="3">
        <f t="shared" si="3"/>
        <v>0.2094402889</v>
      </c>
      <c r="J3255" s="2">
        <v>671.0</v>
      </c>
      <c r="K3255" s="3">
        <f t="shared" si="4"/>
        <v>0.1730719629</v>
      </c>
      <c r="L3255" s="2">
        <v>498.0</v>
      </c>
      <c r="M3255" s="3">
        <f t="shared" si="5"/>
        <v>0.6133004926</v>
      </c>
      <c r="N3255" s="2">
        <v>4635300.0</v>
      </c>
      <c r="O3255" s="4">
        <f t="shared" si="6"/>
        <v>5708.497537</v>
      </c>
      <c r="P3255" s="2">
        <v>1.0</v>
      </c>
      <c r="Q3255" s="3">
        <f t="shared" si="7"/>
        <v>0.00272479564</v>
      </c>
      <c r="R3255" s="2">
        <v>82.0</v>
      </c>
      <c r="S3255" s="5">
        <f t="shared" si="8"/>
        <v>0.2234332425</v>
      </c>
    </row>
    <row r="3256">
      <c r="A3256" s="2" t="s">
        <v>3263</v>
      </c>
      <c r="B3256" s="2">
        <v>59.0</v>
      </c>
      <c r="C3256" s="2">
        <v>680.0</v>
      </c>
      <c r="D3256" s="2">
        <v>251.0</v>
      </c>
      <c r="E3256" s="3">
        <f t="shared" si="1"/>
        <v>0.4041867955</v>
      </c>
      <c r="F3256" s="2">
        <v>82.0</v>
      </c>
      <c r="G3256" s="3">
        <f t="shared" si="2"/>
        <v>0.1320450886</v>
      </c>
      <c r="H3256" s="2">
        <v>130.0</v>
      </c>
      <c r="I3256" s="3">
        <f t="shared" si="3"/>
        <v>0.2093397746</v>
      </c>
      <c r="J3256" s="2">
        <v>96.0</v>
      </c>
      <c r="K3256" s="3">
        <f t="shared" si="4"/>
        <v>0.154589372</v>
      </c>
      <c r="L3256" s="2">
        <v>68.0</v>
      </c>
      <c r="M3256" s="3">
        <f t="shared" si="5"/>
        <v>0.5230769231</v>
      </c>
      <c r="N3256" s="2">
        <v>620300.0</v>
      </c>
      <c r="O3256" s="4">
        <f t="shared" si="6"/>
        <v>4771.538462</v>
      </c>
      <c r="P3256" s="2">
        <v>0.0</v>
      </c>
      <c r="Q3256" s="3">
        <f t="shared" si="7"/>
        <v>0</v>
      </c>
      <c r="R3256" s="2">
        <v>59.0</v>
      </c>
      <c r="S3256" s="5">
        <f t="shared" si="8"/>
        <v>1</v>
      </c>
    </row>
    <row r="3257">
      <c r="A3257" s="2" t="s">
        <v>3264</v>
      </c>
      <c r="B3257" s="2">
        <v>201.0</v>
      </c>
      <c r="C3257" s="2">
        <v>2420.0</v>
      </c>
      <c r="D3257" s="2">
        <v>712.0</v>
      </c>
      <c r="E3257" s="3">
        <f t="shared" si="1"/>
        <v>0.3208652546</v>
      </c>
      <c r="F3257" s="2">
        <v>293.0</v>
      </c>
      <c r="G3257" s="3">
        <f t="shared" si="2"/>
        <v>0.1320414601</v>
      </c>
      <c r="H3257" s="2">
        <v>495.0</v>
      </c>
      <c r="I3257" s="3">
        <f t="shared" si="3"/>
        <v>0.2230734565</v>
      </c>
      <c r="J3257" s="2">
        <v>415.0</v>
      </c>
      <c r="K3257" s="3">
        <f t="shared" si="4"/>
        <v>0.1870211807</v>
      </c>
      <c r="L3257" s="2">
        <v>272.0</v>
      </c>
      <c r="M3257" s="3">
        <f t="shared" si="5"/>
        <v>0.5494949495</v>
      </c>
      <c r="N3257" s="2">
        <v>2747200.0</v>
      </c>
      <c r="O3257" s="4">
        <f t="shared" si="6"/>
        <v>5549.89899</v>
      </c>
      <c r="P3257" s="2">
        <v>0.0</v>
      </c>
      <c r="Q3257" s="3">
        <f t="shared" si="7"/>
        <v>0</v>
      </c>
      <c r="R3257" s="2">
        <v>201.0</v>
      </c>
      <c r="S3257" s="5">
        <f t="shared" si="8"/>
        <v>1</v>
      </c>
    </row>
    <row r="3258">
      <c r="A3258" s="2" t="s">
        <v>3265</v>
      </c>
      <c r="B3258" s="2">
        <v>47.0</v>
      </c>
      <c r="C3258" s="2">
        <v>562.0</v>
      </c>
      <c r="D3258" s="2">
        <v>165.0</v>
      </c>
      <c r="E3258" s="3">
        <f t="shared" si="1"/>
        <v>0.3203883495</v>
      </c>
      <c r="F3258" s="2">
        <v>68.0</v>
      </c>
      <c r="G3258" s="3">
        <f t="shared" si="2"/>
        <v>0.132038835</v>
      </c>
      <c r="H3258" s="2">
        <v>91.0</v>
      </c>
      <c r="I3258" s="3">
        <f t="shared" si="3"/>
        <v>0.1766990291</v>
      </c>
      <c r="J3258" s="2">
        <v>70.0</v>
      </c>
      <c r="K3258" s="3">
        <f t="shared" si="4"/>
        <v>0.1359223301</v>
      </c>
      <c r="L3258" s="2">
        <v>60.0</v>
      </c>
      <c r="M3258" s="3">
        <f t="shared" si="5"/>
        <v>0.6593406593</v>
      </c>
      <c r="N3258" s="2">
        <v>558200.0</v>
      </c>
      <c r="O3258" s="4">
        <f t="shared" si="6"/>
        <v>6134.065934</v>
      </c>
      <c r="P3258" s="2">
        <v>0.0</v>
      </c>
      <c r="Q3258" s="3">
        <f t="shared" si="7"/>
        <v>0</v>
      </c>
      <c r="R3258" s="2">
        <v>47.0</v>
      </c>
      <c r="S3258" s="5">
        <f t="shared" si="8"/>
        <v>1</v>
      </c>
    </row>
    <row r="3259">
      <c r="A3259" s="2" t="s">
        <v>3266</v>
      </c>
      <c r="B3259" s="2">
        <v>305.0</v>
      </c>
      <c r="C3259" s="2">
        <v>3524.0</v>
      </c>
      <c r="D3259" s="2">
        <v>1180.0</v>
      </c>
      <c r="E3259" s="3">
        <f t="shared" si="1"/>
        <v>0.36657347</v>
      </c>
      <c r="F3259" s="2">
        <v>425.0</v>
      </c>
      <c r="G3259" s="3">
        <f t="shared" si="2"/>
        <v>0.1320285803</v>
      </c>
      <c r="H3259" s="2">
        <v>689.0</v>
      </c>
      <c r="I3259" s="3">
        <f t="shared" si="3"/>
        <v>0.2140416278</v>
      </c>
      <c r="J3259" s="2">
        <v>584.0</v>
      </c>
      <c r="K3259" s="3">
        <f t="shared" si="4"/>
        <v>0.1814228021</v>
      </c>
      <c r="L3259" s="2">
        <v>408.0</v>
      </c>
      <c r="M3259" s="3">
        <f t="shared" si="5"/>
        <v>0.5921625544</v>
      </c>
      <c r="N3259" s="2">
        <v>3721800.0</v>
      </c>
      <c r="O3259" s="4">
        <f t="shared" si="6"/>
        <v>5401.741655</v>
      </c>
      <c r="P3259" s="2">
        <v>0.0</v>
      </c>
      <c r="Q3259" s="3">
        <f t="shared" si="7"/>
        <v>0</v>
      </c>
      <c r="R3259" s="2">
        <v>305.0</v>
      </c>
      <c r="S3259" s="5">
        <f t="shared" si="8"/>
        <v>1</v>
      </c>
    </row>
    <row r="3260">
      <c r="A3260" s="2" t="s">
        <v>3267</v>
      </c>
      <c r="B3260" s="2">
        <v>337.0</v>
      </c>
      <c r="C3260" s="2">
        <v>3950.0</v>
      </c>
      <c r="D3260" s="2">
        <v>1161.0</v>
      </c>
      <c r="E3260" s="3">
        <f t="shared" si="1"/>
        <v>0.321339607</v>
      </c>
      <c r="F3260" s="2">
        <v>477.0</v>
      </c>
      <c r="G3260" s="3">
        <f t="shared" si="2"/>
        <v>0.1320232494</v>
      </c>
      <c r="H3260" s="2">
        <v>747.0</v>
      </c>
      <c r="I3260" s="3">
        <f t="shared" si="3"/>
        <v>0.2067533905</v>
      </c>
      <c r="J3260" s="2">
        <v>662.0</v>
      </c>
      <c r="K3260" s="3">
        <f t="shared" si="4"/>
        <v>0.183227235</v>
      </c>
      <c r="L3260" s="2">
        <v>466.0</v>
      </c>
      <c r="M3260" s="3">
        <f t="shared" si="5"/>
        <v>0.6238286479</v>
      </c>
      <c r="N3260" s="2">
        <v>4209100.0</v>
      </c>
      <c r="O3260" s="4">
        <f t="shared" si="6"/>
        <v>5634.672021</v>
      </c>
      <c r="P3260" s="2">
        <v>0.0</v>
      </c>
      <c r="Q3260" s="3">
        <f t="shared" si="7"/>
        <v>0</v>
      </c>
      <c r="R3260" s="2">
        <v>337.0</v>
      </c>
      <c r="S3260" s="5">
        <f t="shared" si="8"/>
        <v>1</v>
      </c>
    </row>
    <row r="3261">
      <c r="A3261" s="2" t="s">
        <v>3268</v>
      </c>
      <c r="B3261" s="2">
        <v>155.0</v>
      </c>
      <c r="C3261" s="2">
        <v>1882.0</v>
      </c>
      <c r="D3261" s="2">
        <v>671.0</v>
      </c>
      <c r="E3261" s="3">
        <f t="shared" si="1"/>
        <v>0.3885350318</v>
      </c>
      <c r="F3261" s="2">
        <v>228.0</v>
      </c>
      <c r="G3261" s="3">
        <f t="shared" si="2"/>
        <v>0.1320208454</v>
      </c>
      <c r="H3261" s="2">
        <v>325.0</v>
      </c>
      <c r="I3261" s="3">
        <f t="shared" si="3"/>
        <v>0.1881876086</v>
      </c>
      <c r="J3261" s="2">
        <v>255.0</v>
      </c>
      <c r="K3261" s="3">
        <f t="shared" si="4"/>
        <v>0.1476548929</v>
      </c>
      <c r="L3261" s="2">
        <v>196.0</v>
      </c>
      <c r="M3261" s="3">
        <f t="shared" si="5"/>
        <v>0.6030769231</v>
      </c>
      <c r="N3261" s="2">
        <v>1619500.0</v>
      </c>
      <c r="O3261" s="4">
        <f t="shared" si="6"/>
        <v>4983.076923</v>
      </c>
      <c r="P3261" s="2">
        <v>0.0</v>
      </c>
      <c r="Q3261" s="3">
        <f t="shared" si="7"/>
        <v>0</v>
      </c>
      <c r="R3261" s="2">
        <v>0.0</v>
      </c>
      <c r="S3261" s="5">
        <f t="shared" si="8"/>
        <v>0</v>
      </c>
    </row>
    <row r="3262">
      <c r="A3262" s="2" t="s">
        <v>3269</v>
      </c>
      <c r="B3262" s="2">
        <v>202.0</v>
      </c>
      <c r="C3262" s="2">
        <v>2323.0</v>
      </c>
      <c r="D3262" s="2">
        <v>640.0</v>
      </c>
      <c r="E3262" s="3">
        <f t="shared" si="1"/>
        <v>0.3017444602</v>
      </c>
      <c r="F3262" s="2">
        <v>280.0</v>
      </c>
      <c r="G3262" s="3">
        <f t="shared" si="2"/>
        <v>0.1320132013</v>
      </c>
      <c r="H3262" s="2">
        <v>447.0</v>
      </c>
      <c r="I3262" s="3">
        <f t="shared" si="3"/>
        <v>0.2107496464</v>
      </c>
      <c r="J3262" s="2">
        <v>409.0</v>
      </c>
      <c r="K3262" s="3">
        <f t="shared" si="4"/>
        <v>0.1928335691</v>
      </c>
      <c r="L3262" s="2">
        <v>277.0</v>
      </c>
      <c r="M3262" s="3">
        <f t="shared" si="5"/>
        <v>0.6196868009</v>
      </c>
      <c r="N3262" s="2">
        <v>2652300.0</v>
      </c>
      <c r="O3262" s="4">
        <f t="shared" si="6"/>
        <v>5933.557047</v>
      </c>
      <c r="P3262" s="2">
        <v>1.0</v>
      </c>
      <c r="Q3262" s="3">
        <f t="shared" si="7"/>
        <v>0.00495049505</v>
      </c>
      <c r="R3262" s="2">
        <v>202.0</v>
      </c>
      <c r="S3262" s="5">
        <f t="shared" si="8"/>
        <v>1</v>
      </c>
    </row>
    <row r="3263">
      <c r="A3263" s="2" t="s">
        <v>3270</v>
      </c>
      <c r="B3263" s="2">
        <v>2374.0</v>
      </c>
      <c r="C3263" s="2">
        <v>27713.0</v>
      </c>
      <c r="D3263" s="2">
        <v>9071.0</v>
      </c>
      <c r="E3263" s="3">
        <f t="shared" si="1"/>
        <v>0.3579857137</v>
      </c>
      <c r="F3263" s="2">
        <v>3345.0</v>
      </c>
      <c r="G3263" s="3">
        <f t="shared" si="2"/>
        <v>0.1320099451</v>
      </c>
      <c r="H3263" s="2">
        <v>5418.0</v>
      </c>
      <c r="I3263" s="3">
        <f t="shared" si="3"/>
        <v>0.2138205928</v>
      </c>
      <c r="J3263" s="2">
        <v>4306.0</v>
      </c>
      <c r="K3263" s="3">
        <f t="shared" si="4"/>
        <v>0.1699356723</v>
      </c>
      <c r="L3263" s="2">
        <v>3219.0</v>
      </c>
      <c r="M3263" s="3">
        <f t="shared" si="5"/>
        <v>0.5941306755</v>
      </c>
      <c r="N3263" s="2">
        <v>2.96051E7</v>
      </c>
      <c r="O3263" s="4">
        <f t="shared" si="6"/>
        <v>5464.211886</v>
      </c>
      <c r="P3263" s="2">
        <v>3.0</v>
      </c>
      <c r="Q3263" s="3">
        <f t="shared" si="7"/>
        <v>0.001263689975</v>
      </c>
      <c r="R3263" s="2">
        <v>2374.0</v>
      </c>
      <c r="S3263" s="5">
        <f t="shared" si="8"/>
        <v>1</v>
      </c>
    </row>
    <row r="3264">
      <c r="A3264" s="2" t="s">
        <v>3271</v>
      </c>
      <c r="B3264" s="2">
        <v>54.0</v>
      </c>
      <c r="C3264" s="2">
        <v>607.0</v>
      </c>
      <c r="D3264" s="2">
        <v>158.0</v>
      </c>
      <c r="E3264" s="3">
        <f t="shared" si="1"/>
        <v>0.2857142857</v>
      </c>
      <c r="F3264" s="2">
        <v>73.0</v>
      </c>
      <c r="G3264" s="3">
        <f t="shared" si="2"/>
        <v>0.1320072333</v>
      </c>
      <c r="H3264" s="2">
        <v>122.0</v>
      </c>
      <c r="I3264" s="3">
        <f t="shared" si="3"/>
        <v>0.2206148282</v>
      </c>
      <c r="J3264" s="2">
        <v>103.0</v>
      </c>
      <c r="K3264" s="3">
        <f t="shared" si="4"/>
        <v>0.1862567812</v>
      </c>
      <c r="L3264" s="2">
        <v>68.0</v>
      </c>
      <c r="M3264" s="3">
        <f t="shared" si="5"/>
        <v>0.5573770492</v>
      </c>
      <c r="N3264" s="2">
        <v>780700.0</v>
      </c>
      <c r="O3264" s="4">
        <f t="shared" si="6"/>
        <v>6399.180328</v>
      </c>
      <c r="P3264" s="2">
        <v>0.0</v>
      </c>
      <c r="Q3264" s="3">
        <f t="shared" si="7"/>
        <v>0</v>
      </c>
      <c r="R3264" s="2">
        <v>54.0</v>
      </c>
      <c r="S3264" s="5">
        <f t="shared" si="8"/>
        <v>1</v>
      </c>
    </row>
    <row r="3265">
      <c r="A3265" s="2" t="s">
        <v>3272</v>
      </c>
      <c r="B3265" s="2">
        <v>198.0</v>
      </c>
      <c r="C3265" s="2">
        <v>2304.0</v>
      </c>
      <c r="D3265" s="2">
        <v>757.0</v>
      </c>
      <c r="E3265" s="3">
        <f t="shared" si="1"/>
        <v>0.3594491928</v>
      </c>
      <c r="F3265" s="2">
        <v>278.0</v>
      </c>
      <c r="G3265" s="3">
        <f t="shared" si="2"/>
        <v>0.1320037987</v>
      </c>
      <c r="H3265" s="2">
        <v>426.0</v>
      </c>
      <c r="I3265" s="3">
        <f t="shared" si="3"/>
        <v>0.2022792023</v>
      </c>
      <c r="J3265" s="2">
        <v>338.0</v>
      </c>
      <c r="K3265" s="3">
        <f t="shared" si="4"/>
        <v>0.1604938272</v>
      </c>
      <c r="L3265" s="2">
        <v>245.0</v>
      </c>
      <c r="M3265" s="3">
        <f t="shared" si="5"/>
        <v>0.5751173709</v>
      </c>
      <c r="N3265" s="2">
        <v>2381200.0</v>
      </c>
      <c r="O3265" s="4">
        <f t="shared" si="6"/>
        <v>5589.671362</v>
      </c>
      <c r="P3265" s="2">
        <v>1.0</v>
      </c>
      <c r="Q3265" s="3">
        <f t="shared" si="7"/>
        <v>0.005050505051</v>
      </c>
      <c r="R3265" s="2">
        <v>198.0</v>
      </c>
      <c r="S3265" s="5">
        <f t="shared" si="8"/>
        <v>1</v>
      </c>
    </row>
    <row r="3266">
      <c r="A3266" s="2" t="s">
        <v>3273</v>
      </c>
      <c r="B3266" s="2">
        <v>586.0</v>
      </c>
      <c r="C3266" s="2">
        <v>6738.0</v>
      </c>
      <c r="D3266" s="2">
        <v>2177.0</v>
      </c>
      <c r="E3266" s="3">
        <f t="shared" si="1"/>
        <v>0.3538686606</v>
      </c>
      <c r="F3266" s="2">
        <v>812.0</v>
      </c>
      <c r="G3266" s="3">
        <f t="shared" si="2"/>
        <v>0.1319895969</v>
      </c>
      <c r="H3266" s="2">
        <v>1331.0</v>
      </c>
      <c r="I3266" s="3">
        <f t="shared" si="3"/>
        <v>0.2163524057</v>
      </c>
      <c r="J3266" s="2">
        <v>1112.0</v>
      </c>
      <c r="K3266" s="3">
        <f t="shared" si="4"/>
        <v>0.1807542263</v>
      </c>
      <c r="L3266" s="2">
        <v>791.0</v>
      </c>
      <c r="M3266" s="3">
        <f t="shared" si="5"/>
        <v>0.5942900075</v>
      </c>
      <c r="N3266" s="2">
        <v>7970600.0</v>
      </c>
      <c r="O3266" s="4">
        <f t="shared" si="6"/>
        <v>5988.429752</v>
      </c>
      <c r="P3266" s="2">
        <v>2.0</v>
      </c>
      <c r="Q3266" s="3">
        <f t="shared" si="7"/>
        <v>0.003412969283</v>
      </c>
      <c r="R3266" s="2">
        <v>68.0</v>
      </c>
      <c r="S3266" s="5">
        <f t="shared" si="8"/>
        <v>0.1160409556</v>
      </c>
    </row>
    <row r="3267">
      <c r="A3267" s="2" t="s">
        <v>3274</v>
      </c>
      <c r="B3267" s="2">
        <v>75.0</v>
      </c>
      <c r="C3267" s="2">
        <v>916.0</v>
      </c>
      <c r="D3267" s="2">
        <v>301.0</v>
      </c>
      <c r="E3267" s="3">
        <f t="shared" si="1"/>
        <v>0.3579072533</v>
      </c>
      <c r="F3267" s="2">
        <v>111.0</v>
      </c>
      <c r="G3267" s="3">
        <f t="shared" si="2"/>
        <v>0.1319857313</v>
      </c>
      <c r="H3267" s="2">
        <v>158.0</v>
      </c>
      <c r="I3267" s="3">
        <f t="shared" si="3"/>
        <v>0.1878715815</v>
      </c>
      <c r="J3267" s="2">
        <v>129.0</v>
      </c>
      <c r="K3267" s="3">
        <f t="shared" si="4"/>
        <v>0.1533888228</v>
      </c>
      <c r="L3267" s="2">
        <v>101.0</v>
      </c>
      <c r="M3267" s="3">
        <f t="shared" si="5"/>
        <v>0.6392405063</v>
      </c>
      <c r="N3267" s="2">
        <v>771300.0</v>
      </c>
      <c r="O3267" s="4">
        <f t="shared" si="6"/>
        <v>4881.64557</v>
      </c>
      <c r="P3267" s="2">
        <v>0.0</v>
      </c>
      <c r="Q3267" s="3">
        <f t="shared" si="7"/>
        <v>0</v>
      </c>
      <c r="R3267" s="2">
        <v>75.0</v>
      </c>
      <c r="S3267" s="5">
        <f t="shared" si="8"/>
        <v>1</v>
      </c>
    </row>
    <row r="3268">
      <c r="A3268" s="2" t="s">
        <v>3275</v>
      </c>
      <c r="B3268" s="2">
        <v>2355.0</v>
      </c>
      <c r="C3268" s="2">
        <v>27359.0</v>
      </c>
      <c r="D3268" s="2">
        <v>9444.0</v>
      </c>
      <c r="E3268" s="3">
        <f t="shared" si="1"/>
        <v>0.3776995681</v>
      </c>
      <c r="F3268" s="2">
        <v>3300.0</v>
      </c>
      <c r="G3268" s="3">
        <f t="shared" si="2"/>
        <v>0.1319788834</v>
      </c>
      <c r="H3268" s="2">
        <v>5402.0</v>
      </c>
      <c r="I3268" s="3">
        <f t="shared" si="3"/>
        <v>0.2160454327</v>
      </c>
      <c r="J3268" s="2">
        <v>3660.0</v>
      </c>
      <c r="K3268" s="3">
        <f t="shared" si="4"/>
        <v>0.1463765797</v>
      </c>
      <c r="L3268" s="2">
        <v>3268.0</v>
      </c>
      <c r="M3268" s="3">
        <f t="shared" si="5"/>
        <v>0.6049611255</v>
      </c>
      <c r="N3268" s="2">
        <v>2.96244E7</v>
      </c>
      <c r="O3268" s="4">
        <f t="shared" si="6"/>
        <v>5483.9689</v>
      </c>
      <c r="P3268" s="2">
        <v>3.0</v>
      </c>
      <c r="Q3268" s="3">
        <f t="shared" si="7"/>
        <v>0.00127388535</v>
      </c>
      <c r="R3268" s="2">
        <v>2327.0</v>
      </c>
      <c r="S3268" s="5">
        <f t="shared" si="8"/>
        <v>0.9881104034</v>
      </c>
    </row>
    <row r="3269">
      <c r="A3269" s="2" t="s">
        <v>3276</v>
      </c>
      <c r="B3269" s="2">
        <v>2148.0</v>
      </c>
      <c r="C3269" s="2">
        <v>25138.0</v>
      </c>
      <c r="D3269" s="2">
        <v>9774.0</v>
      </c>
      <c r="E3269" s="3">
        <f t="shared" si="1"/>
        <v>0.4251413658</v>
      </c>
      <c r="F3269" s="2">
        <v>3034.0</v>
      </c>
      <c r="G3269" s="3">
        <f t="shared" si="2"/>
        <v>0.1319704219</v>
      </c>
      <c r="H3269" s="2">
        <v>5112.0</v>
      </c>
      <c r="I3269" s="3">
        <f t="shared" si="3"/>
        <v>0.2223575468</v>
      </c>
      <c r="J3269" s="2">
        <v>3758.0</v>
      </c>
      <c r="K3269" s="3">
        <f t="shared" si="4"/>
        <v>0.1634623749</v>
      </c>
      <c r="L3269" s="2">
        <v>3102.0</v>
      </c>
      <c r="M3269" s="3">
        <f t="shared" si="5"/>
        <v>0.6068075117</v>
      </c>
      <c r="N3269" s="2">
        <v>2.77394E7</v>
      </c>
      <c r="O3269" s="4">
        <f t="shared" si="6"/>
        <v>5426.330203</v>
      </c>
      <c r="P3269" s="2">
        <v>3.0</v>
      </c>
      <c r="Q3269" s="3">
        <f t="shared" si="7"/>
        <v>0.001396648045</v>
      </c>
      <c r="R3269" s="2">
        <v>1449.0</v>
      </c>
      <c r="S3269" s="5">
        <f t="shared" si="8"/>
        <v>0.6745810056</v>
      </c>
    </row>
    <row r="3270">
      <c r="A3270" s="2" t="s">
        <v>3277</v>
      </c>
      <c r="B3270" s="2">
        <v>186.0</v>
      </c>
      <c r="C3270" s="2">
        <v>2126.0</v>
      </c>
      <c r="D3270" s="2">
        <v>615.0</v>
      </c>
      <c r="E3270" s="3">
        <f t="shared" si="1"/>
        <v>0.3170103093</v>
      </c>
      <c r="F3270" s="2">
        <v>256.0</v>
      </c>
      <c r="G3270" s="3">
        <f t="shared" si="2"/>
        <v>0.1319587629</v>
      </c>
      <c r="H3270" s="2">
        <v>385.0</v>
      </c>
      <c r="I3270" s="3">
        <f t="shared" si="3"/>
        <v>0.1984536082</v>
      </c>
      <c r="J3270" s="2">
        <v>363.0</v>
      </c>
      <c r="K3270" s="3">
        <f t="shared" si="4"/>
        <v>0.1871134021</v>
      </c>
      <c r="L3270" s="2">
        <v>217.0</v>
      </c>
      <c r="M3270" s="3">
        <f t="shared" si="5"/>
        <v>0.5636363636</v>
      </c>
      <c r="N3270" s="2">
        <v>2300900.0</v>
      </c>
      <c r="O3270" s="4">
        <f t="shared" si="6"/>
        <v>5976.363636</v>
      </c>
      <c r="P3270" s="2">
        <v>0.0</v>
      </c>
      <c r="Q3270" s="3">
        <f t="shared" si="7"/>
        <v>0</v>
      </c>
      <c r="R3270" s="2">
        <v>186.0</v>
      </c>
      <c r="S3270" s="5">
        <f t="shared" si="8"/>
        <v>1</v>
      </c>
    </row>
    <row r="3271">
      <c r="A3271" s="2" t="s">
        <v>3278</v>
      </c>
      <c r="B3271" s="2">
        <v>426.0</v>
      </c>
      <c r="C3271" s="2">
        <v>5011.0</v>
      </c>
      <c r="D3271" s="2">
        <v>1674.0</v>
      </c>
      <c r="E3271" s="3">
        <f t="shared" si="1"/>
        <v>0.3651035987</v>
      </c>
      <c r="F3271" s="2">
        <v>605.0</v>
      </c>
      <c r="G3271" s="3">
        <f t="shared" si="2"/>
        <v>0.1319520174</v>
      </c>
      <c r="H3271" s="2">
        <v>958.0</v>
      </c>
      <c r="I3271" s="3">
        <f t="shared" si="3"/>
        <v>0.2089422028</v>
      </c>
      <c r="J3271" s="2">
        <v>791.0</v>
      </c>
      <c r="K3271" s="3">
        <f t="shared" si="4"/>
        <v>0.172519084</v>
      </c>
      <c r="L3271" s="2">
        <v>585.0</v>
      </c>
      <c r="M3271" s="3">
        <f t="shared" si="5"/>
        <v>0.6106471816</v>
      </c>
      <c r="N3271" s="2">
        <v>5355800.0</v>
      </c>
      <c r="O3271" s="4">
        <f t="shared" si="6"/>
        <v>5590.605428</v>
      </c>
      <c r="P3271" s="2">
        <v>0.0</v>
      </c>
      <c r="Q3271" s="3">
        <f t="shared" si="7"/>
        <v>0</v>
      </c>
      <c r="R3271" s="2">
        <v>0.0</v>
      </c>
      <c r="S3271" s="5">
        <f t="shared" si="8"/>
        <v>0</v>
      </c>
    </row>
    <row r="3272">
      <c r="A3272" s="2" t="s">
        <v>3279</v>
      </c>
      <c r="B3272" s="2">
        <v>1307.0</v>
      </c>
      <c r="C3272" s="2">
        <v>15374.0</v>
      </c>
      <c r="D3272" s="2">
        <v>4178.0</v>
      </c>
      <c r="E3272" s="3">
        <f t="shared" si="1"/>
        <v>0.2970071799</v>
      </c>
      <c r="F3272" s="2">
        <v>1856.0</v>
      </c>
      <c r="G3272" s="3">
        <f t="shared" si="2"/>
        <v>0.1319400014</v>
      </c>
      <c r="H3272" s="2">
        <v>2922.0</v>
      </c>
      <c r="I3272" s="3">
        <f t="shared" si="3"/>
        <v>0.2077201962</v>
      </c>
      <c r="J3272" s="2">
        <v>2331.0</v>
      </c>
      <c r="K3272" s="3">
        <f t="shared" si="4"/>
        <v>0.1657069738</v>
      </c>
      <c r="L3272" s="2">
        <v>1752.0</v>
      </c>
      <c r="M3272" s="3">
        <f t="shared" si="5"/>
        <v>0.5995893224</v>
      </c>
      <c r="N3272" s="2">
        <v>1.79279E7</v>
      </c>
      <c r="O3272" s="4">
        <f t="shared" si="6"/>
        <v>6135.489391</v>
      </c>
      <c r="P3272" s="2">
        <v>6.0</v>
      </c>
      <c r="Q3272" s="3">
        <f t="shared" si="7"/>
        <v>0.004590665647</v>
      </c>
      <c r="R3272" s="2">
        <v>1307.0</v>
      </c>
      <c r="S3272" s="5">
        <f t="shared" si="8"/>
        <v>1</v>
      </c>
    </row>
    <row r="3273">
      <c r="A3273" s="2" t="s">
        <v>3280</v>
      </c>
      <c r="B3273" s="2">
        <v>142.0</v>
      </c>
      <c r="C3273" s="2">
        <v>1673.0</v>
      </c>
      <c r="D3273" s="2">
        <v>535.0</v>
      </c>
      <c r="E3273" s="3">
        <f t="shared" si="1"/>
        <v>0.3494448073</v>
      </c>
      <c r="F3273" s="2">
        <v>202.0</v>
      </c>
      <c r="G3273" s="3">
        <f t="shared" si="2"/>
        <v>0.1319399086</v>
      </c>
      <c r="H3273" s="2">
        <v>313.0</v>
      </c>
      <c r="I3273" s="3">
        <f t="shared" si="3"/>
        <v>0.2044415415</v>
      </c>
      <c r="J3273" s="2">
        <v>244.0</v>
      </c>
      <c r="K3273" s="3">
        <f t="shared" si="4"/>
        <v>0.1593729589</v>
      </c>
      <c r="L3273" s="2">
        <v>190.0</v>
      </c>
      <c r="M3273" s="3">
        <f t="shared" si="5"/>
        <v>0.607028754</v>
      </c>
      <c r="N3273" s="2">
        <v>1668500.0</v>
      </c>
      <c r="O3273" s="4">
        <f t="shared" si="6"/>
        <v>5330.670927</v>
      </c>
      <c r="P3273" s="2">
        <v>0.0</v>
      </c>
      <c r="Q3273" s="3">
        <f t="shared" si="7"/>
        <v>0</v>
      </c>
      <c r="R3273" s="2">
        <v>142.0</v>
      </c>
      <c r="S3273" s="5">
        <f t="shared" si="8"/>
        <v>1</v>
      </c>
    </row>
    <row r="3274">
      <c r="A3274" s="2" t="s">
        <v>3281</v>
      </c>
      <c r="B3274" s="2">
        <v>193.0</v>
      </c>
      <c r="C3274" s="2">
        <v>2247.0</v>
      </c>
      <c r="D3274" s="2">
        <v>668.0</v>
      </c>
      <c r="E3274" s="3">
        <f t="shared" si="1"/>
        <v>0.3252190847</v>
      </c>
      <c r="F3274" s="2">
        <v>271.0</v>
      </c>
      <c r="G3274" s="3">
        <f t="shared" si="2"/>
        <v>0.1319376826</v>
      </c>
      <c r="H3274" s="2">
        <v>434.0</v>
      </c>
      <c r="I3274" s="3">
        <f t="shared" si="3"/>
        <v>0.2112950341</v>
      </c>
      <c r="J3274" s="2">
        <v>380.0</v>
      </c>
      <c r="K3274" s="3">
        <f t="shared" si="4"/>
        <v>0.1850048685</v>
      </c>
      <c r="L3274" s="2">
        <v>266.0</v>
      </c>
      <c r="M3274" s="3">
        <f t="shared" si="5"/>
        <v>0.6129032258</v>
      </c>
      <c r="N3274" s="2">
        <v>2561800.0</v>
      </c>
      <c r="O3274" s="4">
        <f t="shared" si="6"/>
        <v>5902.764977</v>
      </c>
      <c r="P3274" s="2">
        <v>2.0</v>
      </c>
      <c r="Q3274" s="3">
        <f t="shared" si="7"/>
        <v>0.0103626943</v>
      </c>
      <c r="R3274" s="2">
        <v>193.0</v>
      </c>
      <c r="S3274" s="5">
        <f t="shared" si="8"/>
        <v>1</v>
      </c>
    </row>
    <row r="3275">
      <c r="A3275" s="2" t="s">
        <v>3282</v>
      </c>
      <c r="B3275" s="2">
        <v>2141.0</v>
      </c>
      <c r="C3275" s="2">
        <v>25258.0</v>
      </c>
      <c r="D3275" s="2">
        <v>9715.0</v>
      </c>
      <c r="E3275" s="3">
        <f t="shared" si="1"/>
        <v>0.4202534931</v>
      </c>
      <c r="F3275" s="2">
        <v>3050.0</v>
      </c>
      <c r="G3275" s="3">
        <f t="shared" si="2"/>
        <v>0.1319375351</v>
      </c>
      <c r="H3275" s="2">
        <v>5251.0</v>
      </c>
      <c r="I3275" s="3">
        <f t="shared" si="3"/>
        <v>0.2271488515</v>
      </c>
      <c r="J3275" s="2">
        <v>3653.0</v>
      </c>
      <c r="K3275" s="3">
        <f t="shared" si="4"/>
        <v>0.1580222347</v>
      </c>
      <c r="L3275" s="2">
        <v>3186.0</v>
      </c>
      <c r="M3275" s="3">
        <f t="shared" si="5"/>
        <v>0.606741573</v>
      </c>
      <c r="N3275" s="2">
        <v>2.84001E7</v>
      </c>
      <c r="O3275" s="4">
        <f t="shared" si="6"/>
        <v>5408.512664</v>
      </c>
      <c r="P3275" s="2">
        <v>2.0</v>
      </c>
      <c r="Q3275" s="3">
        <f t="shared" si="7"/>
        <v>0.0009341429239</v>
      </c>
      <c r="R3275" s="2">
        <v>2141.0</v>
      </c>
      <c r="S3275" s="5">
        <f t="shared" si="8"/>
        <v>1</v>
      </c>
    </row>
    <row r="3276">
      <c r="A3276" s="2" t="s">
        <v>3283</v>
      </c>
      <c r="B3276" s="2">
        <v>459.0</v>
      </c>
      <c r="C3276" s="2">
        <v>5409.0</v>
      </c>
      <c r="D3276" s="2">
        <v>1752.0</v>
      </c>
      <c r="E3276" s="3">
        <f t="shared" si="1"/>
        <v>0.3539393939</v>
      </c>
      <c r="F3276" s="2">
        <v>653.0</v>
      </c>
      <c r="G3276" s="3">
        <f t="shared" si="2"/>
        <v>0.1319191919</v>
      </c>
      <c r="H3276" s="2">
        <v>1034.0</v>
      </c>
      <c r="I3276" s="3">
        <f t="shared" si="3"/>
        <v>0.2088888889</v>
      </c>
      <c r="J3276" s="2">
        <v>806.0</v>
      </c>
      <c r="K3276" s="3">
        <f t="shared" si="4"/>
        <v>0.1628282828</v>
      </c>
      <c r="L3276" s="2">
        <v>646.0</v>
      </c>
      <c r="M3276" s="3">
        <f t="shared" si="5"/>
        <v>0.6247582205</v>
      </c>
      <c r="N3276" s="2">
        <v>5793200.0</v>
      </c>
      <c r="O3276" s="4">
        <f t="shared" si="6"/>
        <v>5602.70793</v>
      </c>
      <c r="P3276" s="2">
        <v>1.0</v>
      </c>
      <c r="Q3276" s="3">
        <f t="shared" si="7"/>
        <v>0.002178649237</v>
      </c>
      <c r="R3276" s="2">
        <v>459.0</v>
      </c>
      <c r="S3276" s="5">
        <f t="shared" si="8"/>
        <v>1</v>
      </c>
    </row>
    <row r="3277">
      <c r="A3277" s="2" t="s">
        <v>3284</v>
      </c>
      <c r="B3277" s="2">
        <v>23.0</v>
      </c>
      <c r="C3277" s="2">
        <v>258.0</v>
      </c>
      <c r="D3277" s="2">
        <v>79.0</v>
      </c>
      <c r="E3277" s="3">
        <f t="shared" si="1"/>
        <v>0.3361702128</v>
      </c>
      <c r="F3277" s="2">
        <v>31.0</v>
      </c>
      <c r="G3277" s="3">
        <f t="shared" si="2"/>
        <v>0.1319148936</v>
      </c>
      <c r="H3277" s="2">
        <v>50.0</v>
      </c>
      <c r="I3277" s="3">
        <f t="shared" si="3"/>
        <v>0.2127659574</v>
      </c>
      <c r="J3277" s="2">
        <v>39.0</v>
      </c>
      <c r="K3277" s="3">
        <f t="shared" si="4"/>
        <v>0.1659574468</v>
      </c>
      <c r="L3277" s="2">
        <v>34.0</v>
      </c>
      <c r="M3277" s="3">
        <f t="shared" si="5"/>
        <v>0.68</v>
      </c>
      <c r="N3277" s="2">
        <v>237600.0</v>
      </c>
      <c r="O3277" s="4">
        <f t="shared" si="6"/>
        <v>4752</v>
      </c>
      <c r="P3277" s="2">
        <v>0.0</v>
      </c>
      <c r="Q3277" s="3">
        <f t="shared" si="7"/>
        <v>0</v>
      </c>
      <c r="R3277" s="2">
        <v>0.0</v>
      </c>
      <c r="S3277" s="5">
        <f t="shared" si="8"/>
        <v>0</v>
      </c>
    </row>
    <row r="3278">
      <c r="A3278" s="2" t="s">
        <v>3285</v>
      </c>
      <c r="B3278" s="2">
        <v>839.0</v>
      </c>
      <c r="C3278" s="2">
        <v>9686.0</v>
      </c>
      <c r="D3278" s="2">
        <v>2610.0</v>
      </c>
      <c r="E3278" s="3">
        <f t="shared" si="1"/>
        <v>0.2950152594</v>
      </c>
      <c r="F3278" s="2">
        <v>1167.0</v>
      </c>
      <c r="G3278" s="3">
        <f t="shared" si="2"/>
        <v>0.1319091217</v>
      </c>
      <c r="H3278" s="2">
        <v>1938.0</v>
      </c>
      <c r="I3278" s="3">
        <f t="shared" si="3"/>
        <v>0.2190573076</v>
      </c>
      <c r="J3278" s="2">
        <v>1460.0</v>
      </c>
      <c r="K3278" s="3">
        <f t="shared" si="4"/>
        <v>0.165027693</v>
      </c>
      <c r="L3278" s="2">
        <v>1222.0</v>
      </c>
      <c r="M3278" s="3">
        <f t="shared" si="5"/>
        <v>0.6305469556</v>
      </c>
      <c r="N3278" s="2">
        <v>1.09886E7</v>
      </c>
      <c r="O3278" s="4">
        <f t="shared" si="6"/>
        <v>5670.072239</v>
      </c>
      <c r="P3278" s="2">
        <v>3.0</v>
      </c>
      <c r="Q3278" s="3">
        <f t="shared" si="7"/>
        <v>0.00357568534</v>
      </c>
      <c r="R3278" s="2">
        <v>839.0</v>
      </c>
      <c r="S3278" s="5">
        <f t="shared" si="8"/>
        <v>1</v>
      </c>
    </row>
    <row r="3279">
      <c r="A3279" s="2" t="s">
        <v>3286</v>
      </c>
      <c r="B3279" s="2">
        <v>1709.0</v>
      </c>
      <c r="C3279" s="2">
        <v>19767.0</v>
      </c>
      <c r="D3279" s="2">
        <v>6069.0</v>
      </c>
      <c r="E3279" s="3">
        <f t="shared" si="1"/>
        <v>0.3360837302</v>
      </c>
      <c r="F3279" s="2">
        <v>2382.0</v>
      </c>
      <c r="G3279" s="3">
        <f t="shared" si="2"/>
        <v>0.1319082955</v>
      </c>
      <c r="H3279" s="2">
        <v>3763.0</v>
      </c>
      <c r="I3279" s="3">
        <f t="shared" si="3"/>
        <v>0.2083840957</v>
      </c>
      <c r="J3279" s="2">
        <v>3466.0</v>
      </c>
      <c r="K3279" s="3">
        <f t="shared" si="4"/>
        <v>0.1919370916</v>
      </c>
      <c r="L3279" s="2">
        <v>2198.0</v>
      </c>
      <c r="M3279" s="3">
        <f t="shared" si="5"/>
        <v>0.5841084241</v>
      </c>
      <c r="N3279" s="2">
        <v>2.19064E7</v>
      </c>
      <c r="O3279" s="4">
        <f t="shared" si="6"/>
        <v>5821.525379</v>
      </c>
      <c r="P3279" s="2">
        <v>1.0</v>
      </c>
      <c r="Q3279" s="3">
        <f t="shared" si="7"/>
        <v>0.0005851375073</v>
      </c>
      <c r="R3279" s="2">
        <v>1709.0</v>
      </c>
      <c r="S3279" s="5">
        <f t="shared" si="8"/>
        <v>1</v>
      </c>
    </row>
    <row r="3280">
      <c r="A3280" s="2" t="s">
        <v>3287</v>
      </c>
      <c r="B3280" s="2">
        <v>2347.0</v>
      </c>
      <c r="C3280" s="2">
        <v>27304.0</v>
      </c>
      <c r="D3280" s="2">
        <v>7076.0</v>
      </c>
      <c r="E3280" s="3">
        <f t="shared" si="1"/>
        <v>0.2835276676</v>
      </c>
      <c r="F3280" s="2">
        <v>3292.0</v>
      </c>
      <c r="G3280" s="3">
        <f t="shared" si="2"/>
        <v>0.1319068798</v>
      </c>
      <c r="H3280" s="2">
        <v>5255.0</v>
      </c>
      <c r="I3280" s="3">
        <f t="shared" si="3"/>
        <v>0.2105621669</v>
      </c>
      <c r="J3280" s="2">
        <v>5220.0</v>
      </c>
      <c r="K3280" s="3">
        <f t="shared" si="4"/>
        <v>0.2091597548</v>
      </c>
      <c r="L3280" s="2">
        <v>3051.0</v>
      </c>
      <c r="M3280" s="3">
        <f t="shared" si="5"/>
        <v>0.5805899144</v>
      </c>
      <c r="N3280" s="2">
        <v>3.2155E7</v>
      </c>
      <c r="O3280" s="4">
        <f t="shared" si="6"/>
        <v>6118.934348</v>
      </c>
      <c r="P3280" s="2">
        <v>8.0</v>
      </c>
      <c r="Q3280" s="3">
        <f t="shared" si="7"/>
        <v>0.003408606732</v>
      </c>
      <c r="R3280" s="2">
        <v>2347.0</v>
      </c>
      <c r="S3280" s="5">
        <f t="shared" si="8"/>
        <v>1</v>
      </c>
    </row>
    <row r="3281">
      <c r="A3281" s="2" t="s">
        <v>3288</v>
      </c>
      <c r="B3281" s="2">
        <v>62.0</v>
      </c>
      <c r="C3281" s="2">
        <v>714.0</v>
      </c>
      <c r="D3281" s="2">
        <v>210.0</v>
      </c>
      <c r="E3281" s="3">
        <f t="shared" si="1"/>
        <v>0.3220858896</v>
      </c>
      <c r="F3281" s="2">
        <v>86.0</v>
      </c>
      <c r="G3281" s="3">
        <f t="shared" si="2"/>
        <v>0.1319018405</v>
      </c>
      <c r="H3281" s="2">
        <v>136.0</v>
      </c>
      <c r="I3281" s="3">
        <f t="shared" si="3"/>
        <v>0.2085889571</v>
      </c>
      <c r="J3281" s="2">
        <v>106.0</v>
      </c>
      <c r="K3281" s="3">
        <f t="shared" si="4"/>
        <v>0.1625766871</v>
      </c>
      <c r="L3281" s="2">
        <v>82.0</v>
      </c>
      <c r="M3281" s="3">
        <f t="shared" si="5"/>
        <v>0.6029411765</v>
      </c>
      <c r="N3281" s="2">
        <v>732700.0</v>
      </c>
      <c r="O3281" s="4">
        <f t="shared" si="6"/>
        <v>5387.5</v>
      </c>
      <c r="P3281" s="2">
        <v>0.0</v>
      </c>
      <c r="Q3281" s="3">
        <f t="shared" si="7"/>
        <v>0</v>
      </c>
      <c r="R3281" s="2">
        <v>0.0</v>
      </c>
      <c r="S3281" s="5">
        <f t="shared" si="8"/>
        <v>0</v>
      </c>
    </row>
    <row r="3282">
      <c r="A3282" s="2" t="s">
        <v>3289</v>
      </c>
      <c r="B3282" s="2">
        <v>152.0</v>
      </c>
      <c r="C3282" s="2">
        <v>1782.0</v>
      </c>
      <c r="D3282" s="2">
        <v>504.0</v>
      </c>
      <c r="E3282" s="3">
        <f t="shared" si="1"/>
        <v>0.309202454</v>
      </c>
      <c r="F3282" s="2">
        <v>215.0</v>
      </c>
      <c r="G3282" s="3">
        <f t="shared" si="2"/>
        <v>0.1319018405</v>
      </c>
      <c r="H3282" s="2">
        <v>322.0</v>
      </c>
      <c r="I3282" s="3">
        <f t="shared" si="3"/>
        <v>0.1975460123</v>
      </c>
      <c r="J3282" s="2">
        <v>262.0</v>
      </c>
      <c r="K3282" s="3">
        <f t="shared" si="4"/>
        <v>0.1607361963</v>
      </c>
      <c r="L3282" s="2">
        <v>208.0</v>
      </c>
      <c r="M3282" s="3">
        <f t="shared" si="5"/>
        <v>0.6459627329</v>
      </c>
      <c r="N3282" s="2">
        <v>1747200.0</v>
      </c>
      <c r="O3282" s="4">
        <f t="shared" si="6"/>
        <v>5426.086957</v>
      </c>
      <c r="P3282" s="2">
        <v>0.0</v>
      </c>
      <c r="Q3282" s="3">
        <f t="shared" si="7"/>
        <v>0</v>
      </c>
      <c r="R3282" s="2">
        <v>152.0</v>
      </c>
      <c r="S3282" s="5">
        <f t="shared" si="8"/>
        <v>1</v>
      </c>
    </row>
    <row r="3283">
      <c r="A3283" s="2" t="s">
        <v>3290</v>
      </c>
      <c r="B3283" s="2">
        <v>358.0</v>
      </c>
      <c r="C3283" s="2">
        <v>4316.0</v>
      </c>
      <c r="D3283" s="2">
        <v>1462.0</v>
      </c>
      <c r="E3283" s="3">
        <f t="shared" si="1"/>
        <v>0.369378474</v>
      </c>
      <c r="F3283" s="2">
        <v>522.0</v>
      </c>
      <c r="G3283" s="3">
        <f t="shared" si="2"/>
        <v>0.1318847903</v>
      </c>
      <c r="H3283" s="2">
        <v>843.0</v>
      </c>
      <c r="I3283" s="3">
        <f t="shared" si="3"/>
        <v>0.2129863567</v>
      </c>
      <c r="J3283" s="2">
        <v>658.0</v>
      </c>
      <c r="K3283" s="3">
        <f t="shared" si="4"/>
        <v>0.1662455786</v>
      </c>
      <c r="L3283" s="2">
        <v>502.0</v>
      </c>
      <c r="M3283" s="3">
        <f t="shared" si="5"/>
        <v>0.5954922894</v>
      </c>
      <c r="N3283" s="2">
        <v>4484000.0</v>
      </c>
      <c r="O3283" s="4">
        <f t="shared" si="6"/>
        <v>5319.098458</v>
      </c>
      <c r="P3283" s="2">
        <v>1.0</v>
      </c>
      <c r="Q3283" s="3">
        <f t="shared" si="7"/>
        <v>0.002793296089</v>
      </c>
      <c r="R3283" s="2">
        <v>358.0</v>
      </c>
      <c r="S3283" s="5">
        <f t="shared" si="8"/>
        <v>1</v>
      </c>
    </row>
    <row r="3284">
      <c r="A3284" s="2" t="s">
        <v>3291</v>
      </c>
      <c r="B3284" s="2">
        <v>451.0</v>
      </c>
      <c r="C3284" s="2">
        <v>5304.0</v>
      </c>
      <c r="D3284" s="2">
        <v>1746.0</v>
      </c>
      <c r="E3284" s="3">
        <f t="shared" si="1"/>
        <v>0.3597774572</v>
      </c>
      <c r="F3284" s="2">
        <v>640.0</v>
      </c>
      <c r="G3284" s="3">
        <f t="shared" si="2"/>
        <v>0.1318771894</v>
      </c>
      <c r="H3284" s="2">
        <v>981.0</v>
      </c>
      <c r="I3284" s="3">
        <f t="shared" si="3"/>
        <v>0.2021430043</v>
      </c>
      <c r="J3284" s="2">
        <v>904.0</v>
      </c>
      <c r="K3284" s="3">
        <f t="shared" si="4"/>
        <v>0.18627653</v>
      </c>
      <c r="L3284" s="2">
        <v>578.0</v>
      </c>
      <c r="M3284" s="3">
        <f t="shared" si="5"/>
        <v>0.5891946993</v>
      </c>
      <c r="N3284" s="2">
        <v>5417200.0</v>
      </c>
      <c r="O3284" s="4">
        <f t="shared" si="6"/>
        <v>5522.120285</v>
      </c>
      <c r="P3284" s="2">
        <v>1.0</v>
      </c>
      <c r="Q3284" s="3">
        <f t="shared" si="7"/>
        <v>0.0022172949</v>
      </c>
      <c r="R3284" s="2">
        <v>451.0</v>
      </c>
      <c r="S3284" s="5">
        <f t="shared" si="8"/>
        <v>1</v>
      </c>
    </row>
    <row r="3285">
      <c r="A3285" s="2" t="s">
        <v>3292</v>
      </c>
      <c r="B3285" s="2">
        <v>1804.0</v>
      </c>
      <c r="C3285" s="2">
        <v>21005.0</v>
      </c>
      <c r="D3285" s="2">
        <v>7333.0</v>
      </c>
      <c r="E3285" s="3">
        <f t="shared" si="1"/>
        <v>0.3819071923</v>
      </c>
      <c r="F3285" s="2">
        <v>2532.0</v>
      </c>
      <c r="G3285" s="3">
        <f t="shared" si="2"/>
        <v>0.1318681319</v>
      </c>
      <c r="H3285" s="2">
        <v>4221.0</v>
      </c>
      <c r="I3285" s="3">
        <f t="shared" si="3"/>
        <v>0.2198323004</v>
      </c>
      <c r="J3285" s="2">
        <v>3416.0</v>
      </c>
      <c r="K3285" s="3">
        <f t="shared" si="4"/>
        <v>0.1779074007</v>
      </c>
      <c r="L3285" s="2">
        <v>2460.0</v>
      </c>
      <c r="M3285" s="3">
        <f t="shared" si="5"/>
        <v>0.5828002843</v>
      </c>
      <c r="N3285" s="2">
        <v>2.29436E7</v>
      </c>
      <c r="O3285" s="4">
        <f t="shared" si="6"/>
        <v>5435.583985</v>
      </c>
      <c r="P3285" s="2">
        <v>4.0</v>
      </c>
      <c r="Q3285" s="3">
        <f t="shared" si="7"/>
        <v>0.0022172949</v>
      </c>
      <c r="R3285" s="2">
        <v>1804.0</v>
      </c>
      <c r="S3285" s="5">
        <f t="shared" si="8"/>
        <v>1</v>
      </c>
    </row>
    <row r="3286">
      <c r="A3286" s="2" t="s">
        <v>3293</v>
      </c>
      <c r="B3286" s="2">
        <v>9.0</v>
      </c>
      <c r="C3286" s="2">
        <v>100.0</v>
      </c>
      <c r="D3286" s="2">
        <v>25.0</v>
      </c>
      <c r="E3286" s="3">
        <f t="shared" si="1"/>
        <v>0.2747252747</v>
      </c>
      <c r="F3286" s="2">
        <v>12.0</v>
      </c>
      <c r="G3286" s="3">
        <f t="shared" si="2"/>
        <v>0.1318681319</v>
      </c>
      <c r="H3286" s="2">
        <v>18.0</v>
      </c>
      <c r="I3286" s="3">
        <f t="shared" si="3"/>
        <v>0.1978021978</v>
      </c>
      <c r="J3286" s="2">
        <v>14.0</v>
      </c>
      <c r="K3286" s="3">
        <f t="shared" si="4"/>
        <v>0.1538461538</v>
      </c>
      <c r="L3286" s="2">
        <v>12.0</v>
      </c>
      <c r="M3286" s="3">
        <f t="shared" si="5"/>
        <v>0.6666666667</v>
      </c>
      <c r="N3286" s="2">
        <v>91700.0</v>
      </c>
      <c r="O3286" s="4">
        <f t="shared" si="6"/>
        <v>5094.444444</v>
      </c>
      <c r="P3286" s="2">
        <v>0.0</v>
      </c>
      <c r="Q3286" s="3">
        <f t="shared" si="7"/>
        <v>0</v>
      </c>
      <c r="R3286" s="2">
        <v>9.0</v>
      </c>
      <c r="S3286" s="5">
        <f t="shared" si="8"/>
        <v>1</v>
      </c>
    </row>
    <row r="3287">
      <c r="A3287" s="2" t="s">
        <v>3294</v>
      </c>
      <c r="B3287" s="2">
        <v>8.0</v>
      </c>
      <c r="C3287" s="2">
        <v>99.0</v>
      </c>
      <c r="D3287" s="2">
        <v>39.0</v>
      </c>
      <c r="E3287" s="3">
        <f t="shared" si="1"/>
        <v>0.4285714286</v>
      </c>
      <c r="F3287" s="2">
        <v>12.0</v>
      </c>
      <c r="G3287" s="3">
        <f t="shared" si="2"/>
        <v>0.1318681319</v>
      </c>
      <c r="H3287" s="2">
        <v>13.0</v>
      </c>
      <c r="I3287" s="3">
        <f t="shared" si="3"/>
        <v>0.1428571429</v>
      </c>
      <c r="J3287" s="2">
        <v>11.0</v>
      </c>
      <c r="K3287" s="3">
        <f t="shared" si="4"/>
        <v>0.1208791209</v>
      </c>
      <c r="L3287" s="2">
        <v>7.0</v>
      </c>
      <c r="M3287" s="3">
        <f t="shared" si="5"/>
        <v>0.5384615385</v>
      </c>
      <c r="N3287" s="2">
        <v>41300.0</v>
      </c>
      <c r="O3287" s="4">
        <f t="shared" si="6"/>
        <v>3176.923077</v>
      </c>
      <c r="P3287" s="2">
        <v>0.0</v>
      </c>
      <c r="Q3287" s="3">
        <f t="shared" si="7"/>
        <v>0</v>
      </c>
      <c r="R3287" s="2">
        <v>8.0</v>
      </c>
      <c r="S3287" s="5">
        <f t="shared" si="8"/>
        <v>1</v>
      </c>
    </row>
    <row r="3288">
      <c r="A3288" s="2" t="s">
        <v>3295</v>
      </c>
      <c r="B3288" s="2">
        <v>309.0</v>
      </c>
      <c r="C3288" s="2">
        <v>3623.0</v>
      </c>
      <c r="D3288" s="2">
        <v>1331.0</v>
      </c>
      <c r="E3288" s="3">
        <f t="shared" si="1"/>
        <v>0.4016294508</v>
      </c>
      <c r="F3288" s="2">
        <v>437.0</v>
      </c>
      <c r="G3288" s="3">
        <f t="shared" si="2"/>
        <v>0.1318648159</v>
      </c>
      <c r="H3288" s="2">
        <v>737.0</v>
      </c>
      <c r="I3288" s="3">
        <f t="shared" si="3"/>
        <v>0.2223898612</v>
      </c>
      <c r="J3288" s="2">
        <v>543.0</v>
      </c>
      <c r="K3288" s="3">
        <f t="shared" si="4"/>
        <v>0.1638503319</v>
      </c>
      <c r="L3288" s="2">
        <v>425.0</v>
      </c>
      <c r="M3288" s="3">
        <f t="shared" si="5"/>
        <v>0.5766621438</v>
      </c>
      <c r="N3288" s="2">
        <v>4214800.0</v>
      </c>
      <c r="O3288" s="4">
        <f t="shared" si="6"/>
        <v>5718.860244</v>
      </c>
      <c r="P3288" s="2">
        <v>2.0</v>
      </c>
      <c r="Q3288" s="3">
        <f t="shared" si="7"/>
        <v>0.006472491909</v>
      </c>
      <c r="R3288" s="2">
        <v>305.0</v>
      </c>
      <c r="S3288" s="5">
        <f t="shared" si="8"/>
        <v>0.9870550162</v>
      </c>
    </row>
    <row r="3289">
      <c r="A3289" s="2" t="s">
        <v>3296</v>
      </c>
      <c r="B3289" s="2">
        <v>714.0</v>
      </c>
      <c r="C3289" s="2">
        <v>8442.0</v>
      </c>
      <c r="D3289" s="2">
        <v>2937.0</v>
      </c>
      <c r="E3289" s="3">
        <f t="shared" si="1"/>
        <v>0.3800465839</v>
      </c>
      <c r="F3289" s="2">
        <v>1019.0</v>
      </c>
      <c r="G3289" s="3">
        <f t="shared" si="2"/>
        <v>0.1318581781</v>
      </c>
      <c r="H3289" s="2">
        <v>1638.0</v>
      </c>
      <c r="I3289" s="3">
        <f t="shared" si="3"/>
        <v>0.2119565217</v>
      </c>
      <c r="J3289" s="2">
        <v>1045.0</v>
      </c>
      <c r="K3289" s="3">
        <f t="shared" si="4"/>
        <v>0.1352225673</v>
      </c>
      <c r="L3289" s="2">
        <v>1001.0</v>
      </c>
      <c r="M3289" s="3">
        <f t="shared" si="5"/>
        <v>0.6111111111</v>
      </c>
      <c r="N3289" s="2">
        <v>8478900.0</v>
      </c>
      <c r="O3289" s="4">
        <f t="shared" si="6"/>
        <v>5176.373626</v>
      </c>
      <c r="P3289" s="2">
        <v>1.0</v>
      </c>
      <c r="Q3289" s="3">
        <f t="shared" si="7"/>
        <v>0.001400560224</v>
      </c>
      <c r="R3289" s="2">
        <v>714.0</v>
      </c>
      <c r="S3289" s="5">
        <f t="shared" si="8"/>
        <v>1</v>
      </c>
    </row>
    <row r="3290">
      <c r="A3290" s="2" t="s">
        <v>3297</v>
      </c>
      <c r="B3290" s="2">
        <v>256.0</v>
      </c>
      <c r="C3290" s="2">
        <v>3070.0</v>
      </c>
      <c r="D3290" s="2">
        <v>885.0</v>
      </c>
      <c r="E3290" s="3">
        <f t="shared" si="1"/>
        <v>0.3144989339</v>
      </c>
      <c r="F3290" s="2">
        <v>371.0</v>
      </c>
      <c r="G3290" s="3">
        <f t="shared" si="2"/>
        <v>0.131840796</v>
      </c>
      <c r="H3290" s="2">
        <v>575.0</v>
      </c>
      <c r="I3290" s="3">
        <f t="shared" si="3"/>
        <v>0.2043354655</v>
      </c>
      <c r="J3290" s="2">
        <v>580.0</v>
      </c>
      <c r="K3290" s="3">
        <f t="shared" si="4"/>
        <v>0.2061122957</v>
      </c>
      <c r="L3290" s="2">
        <v>335.0</v>
      </c>
      <c r="M3290" s="3">
        <f t="shared" si="5"/>
        <v>0.5826086957</v>
      </c>
      <c r="N3290" s="2">
        <v>3317200.0</v>
      </c>
      <c r="O3290" s="4">
        <f t="shared" si="6"/>
        <v>5769.043478</v>
      </c>
      <c r="P3290" s="2">
        <v>0.0</v>
      </c>
      <c r="Q3290" s="3">
        <f t="shared" si="7"/>
        <v>0</v>
      </c>
      <c r="R3290" s="2">
        <v>256.0</v>
      </c>
      <c r="S3290" s="5">
        <f t="shared" si="8"/>
        <v>1</v>
      </c>
    </row>
    <row r="3291">
      <c r="A3291" s="2" t="s">
        <v>3298</v>
      </c>
      <c r="B3291" s="2">
        <v>116.0</v>
      </c>
      <c r="C3291" s="2">
        <v>1360.0</v>
      </c>
      <c r="D3291" s="2">
        <v>440.0</v>
      </c>
      <c r="E3291" s="3">
        <f t="shared" si="1"/>
        <v>0.3536977492</v>
      </c>
      <c r="F3291" s="2">
        <v>164.0</v>
      </c>
      <c r="G3291" s="3">
        <f t="shared" si="2"/>
        <v>0.1318327974</v>
      </c>
      <c r="H3291" s="2">
        <v>276.0</v>
      </c>
      <c r="I3291" s="3">
        <f t="shared" si="3"/>
        <v>0.2218649518</v>
      </c>
      <c r="J3291" s="2">
        <v>204.0</v>
      </c>
      <c r="K3291" s="3">
        <f t="shared" si="4"/>
        <v>0.1639871383</v>
      </c>
      <c r="L3291" s="2">
        <v>149.0</v>
      </c>
      <c r="M3291" s="3">
        <f t="shared" si="5"/>
        <v>0.5398550725</v>
      </c>
      <c r="N3291" s="2">
        <v>1485400.0</v>
      </c>
      <c r="O3291" s="4">
        <f t="shared" si="6"/>
        <v>5381.884058</v>
      </c>
      <c r="P3291" s="2">
        <v>0.0</v>
      </c>
      <c r="Q3291" s="3">
        <f t="shared" si="7"/>
        <v>0</v>
      </c>
      <c r="R3291" s="2">
        <v>116.0</v>
      </c>
      <c r="S3291" s="5">
        <f t="shared" si="8"/>
        <v>1</v>
      </c>
    </row>
    <row r="3292">
      <c r="A3292" s="2" t="s">
        <v>3299</v>
      </c>
      <c r="B3292" s="2">
        <v>816.0</v>
      </c>
      <c r="C3292" s="2">
        <v>9502.0</v>
      </c>
      <c r="D3292" s="2">
        <v>2924.0</v>
      </c>
      <c r="E3292" s="3">
        <f t="shared" si="1"/>
        <v>0.3366336634</v>
      </c>
      <c r="F3292" s="2">
        <v>1145.0</v>
      </c>
      <c r="G3292" s="3">
        <f t="shared" si="2"/>
        <v>0.1318213217</v>
      </c>
      <c r="H3292" s="2">
        <v>1830.0</v>
      </c>
      <c r="I3292" s="3">
        <f t="shared" si="3"/>
        <v>0.2106838591</v>
      </c>
      <c r="J3292" s="2">
        <v>1580.0</v>
      </c>
      <c r="K3292" s="3">
        <f t="shared" si="4"/>
        <v>0.1819019111</v>
      </c>
      <c r="L3292" s="2">
        <v>1066.0</v>
      </c>
      <c r="M3292" s="3">
        <f t="shared" si="5"/>
        <v>0.5825136612</v>
      </c>
      <c r="N3292" s="2">
        <v>1.01633E7</v>
      </c>
      <c r="O3292" s="4">
        <f t="shared" si="6"/>
        <v>5553.715847</v>
      </c>
      <c r="P3292" s="2">
        <v>5.0</v>
      </c>
      <c r="Q3292" s="3">
        <f t="shared" si="7"/>
        <v>0.00612745098</v>
      </c>
      <c r="R3292" s="2">
        <v>816.0</v>
      </c>
      <c r="S3292" s="5">
        <f t="shared" si="8"/>
        <v>1</v>
      </c>
    </row>
    <row r="3293">
      <c r="A3293" s="2" t="s">
        <v>3300</v>
      </c>
      <c r="B3293" s="2">
        <v>1079.0</v>
      </c>
      <c r="C3293" s="2">
        <v>12610.0</v>
      </c>
      <c r="D3293" s="2">
        <v>4390.0</v>
      </c>
      <c r="E3293" s="3">
        <f t="shared" si="1"/>
        <v>0.380712861</v>
      </c>
      <c r="F3293" s="2">
        <v>1520.0</v>
      </c>
      <c r="G3293" s="3">
        <f t="shared" si="2"/>
        <v>0.131818576</v>
      </c>
      <c r="H3293" s="2">
        <v>2471.0</v>
      </c>
      <c r="I3293" s="3">
        <f t="shared" si="3"/>
        <v>0.2142919088</v>
      </c>
      <c r="J3293" s="2">
        <v>1991.0</v>
      </c>
      <c r="K3293" s="3">
        <f t="shared" si="4"/>
        <v>0.17266499</v>
      </c>
      <c r="L3293" s="2">
        <v>1489.0</v>
      </c>
      <c r="M3293" s="3">
        <f t="shared" si="5"/>
        <v>0.6025900445</v>
      </c>
      <c r="N3293" s="2">
        <v>1.41372E7</v>
      </c>
      <c r="O3293" s="4">
        <f t="shared" si="6"/>
        <v>5721.246459</v>
      </c>
      <c r="P3293" s="2">
        <v>2.0</v>
      </c>
      <c r="Q3293" s="3">
        <f t="shared" si="7"/>
        <v>0.001853568119</v>
      </c>
      <c r="R3293" s="2">
        <v>0.0</v>
      </c>
      <c r="S3293" s="5">
        <f t="shared" si="8"/>
        <v>0</v>
      </c>
    </row>
    <row r="3294">
      <c r="A3294" s="2" t="s">
        <v>3301</v>
      </c>
      <c r="B3294" s="2">
        <v>43.0</v>
      </c>
      <c r="C3294" s="2">
        <v>483.0</v>
      </c>
      <c r="D3294" s="2">
        <v>171.0</v>
      </c>
      <c r="E3294" s="3">
        <f t="shared" si="1"/>
        <v>0.3886363636</v>
      </c>
      <c r="F3294" s="2">
        <v>58.0</v>
      </c>
      <c r="G3294" s="3">
        <f t="shared" si="2"/>
        <v>0.1318181818</v>
      </c>
      <c r="H3294" s="2">
        <v>99.0</v>
      </c>
      <c r="I3294" s="3">
        <f t="shared" si="3"/>
        <v>0.225</v>
      </c>
      <c r="J3294" s="2">
        <v>91.0</v>
      </c>
      <c r="K3294" s="3">
        <f t="shared" si="4"/>
        <v>0.2068181818</v>
      </c>
      <c r="L3294" s="2">
        <v>64.0</v>
      </c>
      <c r="M3294" s="3">
        <f t="shared" si="5"/>
        <v>0.6464646465</v>
      </c>
      <c r="N3294" s="2">
        <v>536800.0</v>
      </c>
      <c r="O3294" s="4">
        <f t="shared" si="6"/>
        <v>5422.222222</v>
      </c>
      <c r="P3294" s="2">
        <v>0.0</v>
      </c>
      <c r="Q3294" s="3">
        <f t="shared" si="7"/>
        <v>0</v>
      </c>
      <c r="R3294" s="2">
        <v>43.0</v>
      </c>
      <c r="S3294" s="5">
        <f t="shared" si="8"/>
        <v>1</v>
      </c>
    </row>
    <row r="3295">
      <c r="A3295" s="2" t="s">
        <v>3302</v>
      </c>
      <c r="B3295" s="2">
        <v>1802.0</v>
      </c>
      <c r="C3295" s="2">
        <v>21291.0</v>
      </c>
      <c r="D3295" s="2">
        <v>7401.0</v>
      </c>
      <c r="E3295" s="3">
        <f t="shared" si="1"/>
        <v>0.379752681</v>
      </c>
      <c r="F3295" s="2">
        <v>2569.0</v>
      </c>
      <c r="G3295" s="3">
        <f t="shared" si="2"/>
        <v>0.1318179486</v>
      </c>
      <c r="H3295" s="2">
        <v>4307.0</v>
      </c>
      <c r="I3295" s="3">
        <f t="shared" si="3"/>
        <v>0.2209964595</v>
      </c>
      <c r="J3295" s="2">
        <v>3212.0</v>
      </c>
      <c r="K3295" s="3">
        <f t="shared" si="4"/>
        <v>0.164810919</v>
      </c>
      <c r="L3295" s="2">
        <v>2564.0</v>
      </c>
      <c r="M3295" s="3">
        <f t="shared" si="5"/>
        <v>0.5953099605</v>
      </c>
      <c r="N3295" s="2">
        <v>2.38368E7</v>
      </c>
      <c r="O3295" s="4">
        <f t="shared" si="6"/>
        <v>5534.432319</v>
      </c>
      <c r="P3295" s="2">
        <v>1.0</v>
      </c>
      <c r="Q3295" s="3">
        <f t="shared" si="7"/>
        <v>0.0005549389567</v>
      </c>
      <c r="R3295" s="2">
        <v>1802.0</v>
      </c>
      <c r="S3295" s="5">
        <f t="shared" si="8"/>
        <v>1</v>
      </c>
    </row>
    <row r="3296">
      <c r="A3296" s="2" t="s">
        <v>3303</v>
      </c>
      <c r="B3296" s="2">
        <v>76.0</v>
      </c>
      <c r="C3296" s="2">
        <v>903.0</v>
      </c>
      <c r="D3296" s="2">
        <v>308.0</v>
      </c>
      <c r="E3296" s="3">
        <f t="shared" si="1"/>
        <v>0.3724304716</v>
      </c>
      <c r="F3296" s="2">
        <v>109.0</v>
      </c>
      <c r="G3296" s="3">
        <f t="shared" si="2"/>
        <v>0.1318016929</v>
      </c>
      <c r="H3296" s="2">
        <v>161.0</v>
      </c>
      <c r="I3296" s="3">
        <f t="shared" si="3"/>
        <v>0.1946795647</v>
      </c>
      <c r="J3296" s="2">
        <v>129.0</v>
      </c>
      <c r="K3296" s="3">
        <f t="shared" si="4"/>
        <v>0.1559854897</v>
      </c>
      <c r="L3296" s="2">
        <v>101.0</v>
      </c>
      <c r="M3296" s="3">
        <f t="shared" si="5"/>
        <v>0.6273291925</v>
      </c>
      <c r="N3296" s="2">
        <v>860300.0</v>
      </c>
      <c r="O3296" s="4">
        <f t="shared" si="6"/>
        <v>5343.478261</v>
      </c>
      <c r="P3296" s="2">
        <v>1.0</v>
      </c>
      <c r="Q3296" s="3">
        <f t="shared" si="7"/>
        <v>0.01315789474</v>
      </c>
      <c r="R3296" s="2">
        <v>76.0</v>
      </c>
      <c r="S3296" s="5">
        <f t="shared" si="8"/>
        <v>1</v>
      </c>
    </row>
    <row r="3297">
      <c r="A3297" s="2" t="s">
        <v>3304</v>
      </c>
      <c r="B3297" s="2">
        <v>531.0</v>
      </c>
      <c r="C3297" s="2">
        <v>6214.0</v>
      </c>
      <c r="D3297" s="2">
        <v>2084.0</v>
      </c>
      <c r="E3297" s="3">
        <f t="shared" si="1"/>
        <v>0.3667077248</v>
      </c>
      <c r="F3297" s="2">
        <v>749.0</v>
      </c>
      <c r="G3297" s="3">
        <f t="shared" si="2"/>
        <v>0.1317965863</v>
      </c>
      <c r="H3297" s="2">
        <v>1205.0</v>
      </c>
      <c r="I3297" s="3">
        <f t="shared" si="3"/>
        <v>0.2120358965</v>
      </c>
      <c r="J3297" s="2">
        <v>1068.0</v>
      </c>
      <c r="K3297" s="3">
        <f t="shared" si="4"/>
        <v>0.1879289108</v>
      </c>
      <c r="L3297" s="2">
        <v>699.0</v>
      </c>
      <c r="M3297" s="3">
        <f t="shared" si="5"/>
        <v>0.5800829876</v>
      </c>
      <c r="N3297" s="2">
        <v>7160100.0</v>
      </c>
      <c r="O3297" s="4">
        <f t="shared" si="6"/>
        <v>5941.991701</v>
      </c>
      <c r="P3297" s="2">
        <v>1.0</v>
      </c>
      <c r="Q3297" s="3">
        <f t="shared" si="7"/>
        <v>0.001883239171</v>
      </c>
      <c r="R3297" s="2">
        <v>531.0</v>
      </c>
      <c r="S3297" s="5">
        <f t="shared" si="8"/>
        <v>1</v>
      </c>
    </row>
    <row r="3298">
      <c r="A3298" s="2" t="s">
        <v>3305</v>
      </c>
      <c r="B3298" s="2">
        <v>119.0</v>
      </c>
      <c r="C3298" s="2">
        <v>1394.0</v>
      </c>
      <c r="D3298" s="2">
        <v>489.0</v>
      </c>
      <c r="E3298" s="3">
        <f t="shared" si="1"/>
        <v>0.3835294118</v>
      </c>
      <c r="F3298" s="2">
        <v>168.0</v>
      </c>
      <c r="G3298" s="3">
        <f t="shared" si="2"/>
        <v>0.1317647059</v>
      </c>
      <c r="H3298" s="2">
        <v>258.0</v>
      </c>
      <c r="I3298" s="3">
        <f t="shared" si="3"/>
        <v>0.2023529412</v>
      </c>
      <c r="J3298" s="2">
        <v>196.0</v>
      </c>
      <c r="K3298" s="3">
        <f t="shared" si="4"/>
        <v>0.1537254902</v>
      </c>
      <c r="L3298" s="2">
        <v>149.0</v>
      </c>
      <c r="M3298" s="3">
        <f t="shared" si="5"/>
        <v>0.5775193798</v>
      </c>
      <c r="N3298" s="2">
        <v>1249300.0</v>
      </c>
      <c r="O3298" s="4">
        <f t="shared" si="6"/>
        <v>4842.248062</v>
      </c>
      <c r="P3298" s="2">
        <v>0.0</v>
      </c>
      <c r="Q3298" s="3">
        <f t="shared" si="7"/>
        <v>0</v>
      </c>
      <c r="R3298" s="2">
        <v>119.0</v>
      </c>
      <c r="S3298" s="5">
        <f t="shared" si="8"/>
        <v>1</v>
      </c>
    </row>
    <row r="3299">
      <c r="A3299" s="2" t="s">
        <v>3306</v>
      </c>
      <c r="B3299" s="2">
        <v>349.0</v>
      </c>
      <c r="C3299" s="2">
        <v>4121.0</v>
      </c>
      <c r="D3299" s="2">
        <v>1352.0</v>
      </c>
      <c r="E3299" s="3">
        <f t="shared" si="1"/>
        <v>0.3584305408</v>
      </c>
      <c r="F3299" s="2">
        <v>497.0</v>
      </c>
      <c r="G3299" s="3">
        <f t="shared" si="2"/>
        <v>0.1317603393</v>
      </c>
      <c r="H3299" s="2">
        <v>802.0</v>
      </c>
      <c r="I3299" s="3">
        <f t="shared" si="3"/>
        <v>0.2126193001</v>
      </c>
      <c r="J3299" s="2">
        <v>661.0</v>
      </c>
      <c r="K3299" s="3">
        <f t="shared" si="4"/>
        <v>0.1752386002</v>
      </c>
      <c r="L3299" s="2">
        <v>527.0</v>
      </c>
      <c r="M3299" s="3">
        <f t="shared" si="5"/>
        <v>0.6571072319</v>
      </c>
      <c r="N3299" s="2">
        <v>4383900.0</v>
      </c>
      <c r="O3299" s="4">
        <f t="shared" si="6"/>
        <v>5466.209476</v>
      </c>
      <c r="P3299" s="2">
        <v>0.0</v>
      </c>
      <c r="Q3299" s="3">
        <f t="shared" si="7"/>
        <v>0</v>
      </c>
      <c r="R3299" s="2">
        <v>342.0</v>
      </c>
      <c r="S3299" s="5">
        <f t="shared" si="8"/>
        <v>0.9799426934</v>
      </c>
    </row>
    <row r="3300">
      <c r="A3300" s="2" t="s">
        <v>3307</v>
      </c>
      <c r="B3300" s="2">
        <v>102.0</v>
      </c>
      <c r="C3300" s="2">
        <v>1233.0</v>
      </c>
      <c r="D3300" s="2">
        <v>427.0</v>
      </c>
      <c r="E3300" s="3">
        <f t="shared" si="1"/>
        <v>0.3775419982</v>
      </c>
      <c r="F3300" s="2">
        <v>149.0</v>
      </c>
      <c r="G3300" s="3">
        <f t="shared" si="2"/>
        <v>0.1317418214</v>
      </c>
      <c r="H3300" s="2">
        <v>237.0</v>
      </c>
      <c r="I3300" s="3">
        <f t="shared" si="3"/>
        <v>0.2095490716</v>
      </c>
      <c r="J3300" s="2">
        <v>170.0</v>
      </c>
      <c r="K3300" s="3">
        <f t="shared" si="4"/>
        <v>0.1503094607</v>
      </c>
      <c r="L3300" s="2">
        <v>149.0</v>
      </c>
      <c r="M3300" s="3">
        <f t="shared" si="5"/>
        <v>0.6286919831</v>
      </c>
      <c r="N3300" s="2">
        <v>1372600.0</v>
      </c>
      <c r="O3300" s="4">
        <f t="shared" si="6"/>
        <v>5791.561181</v>
      </c>
      <c r="P3300" s="2">
        <v>0.0</v>
      </c>
      <c r="Q3300" s="3">
        <f t="shared" si="7"/>
        <v>0</v>
      </c>
      <c r="R3300" s="2">
        <v>62.0</v>
      </c>
      <c r="S3300" s="5">
        <f t="shared" si="8"/>
        <v>0.6078431373</v>
      </c>
    </row>
    <row r="3301">
      <c r="A3301" s="2" t="s">
        <v>3308</v>
      </c>
      <c r="B3301" s="2">
        <v>396.0</v>
      </c>
      <c r="C3301" s="2">
        <v>4609.0</v>
      </c>
      <c r="D3301" s="2">
        <v>1572.0</v>
      </c>
      <c r="E3301" s="3">
        <f t="shared" si="1"/>
        <v>0.3731307857</v>
      </c>
      <c r="F3301" s="2">
        <v>555.0</v>
      </c>
      <c r="G3301" s="3">
        <f t="shared" si="2"/>
        <v>0.1317351056</v>
      </c>
      <c r="H3301" s="2">
        <v>835.0</v>
      </c>
      <c r="I3301" s="3">
        <f t="shared" si="3"/>
        <v>0.1981960598</v>
      </c>
      <c r="J3301" s="2">
        <v>690.0</v>
      </c>
      <c r="K3301" s="3">
        <f t="shared" si="4"/>
        <v>0.16377878</v>
      </c>
      <c r="L3301" s="2">
        <v>471.0</v>
      </c>
      <c r="M3301" s="3">
        <f t="shared" si="5"/>
        <v>0.5640718563</v>
      </c>
      <c r="N3301" s="2">
        <v>4686900.0</v>
      </c>
      <c r="O3301" s="4">
        <f t="shared" si="6"/>
        <v>5613.053892</v>
      </c>
      <c r="P3301" s="2">
        <v>1.0</v>
      </c>
      <c r="Q3301" s="3">
        <f t="shared" si="7"/>
        <v>0.002525252525</v>
      </c>
      <c r="R3301" s="2">
        <v>396.0</v>
      </c>
      <c r="S3301" s="5">
        <f t="shared" si="8"/>
        <v>1</v>
      </c>
    </row>
    <row r="3302">
      <c r="A3302" s="2" t="s">
        <v>3309</v>
      </c>
      <c r="B3302" s="2">
        <v>242.0</v>
      </c>
      <c r="C3302" s="2">
        <v>2785.0</v>
      </c>
      <c r="D3302" s="2">
        <v>1020.0</v>
      </c>
      <c r="E3302" s="3">
        <f t="shared" si="1"/>
        <v>0.4011010617</v>
      </c>
      <c r="F3302" s="2">
        <v>335.0</v>
      </c>
      <c r="G3302" s="3">
        <f t="shared" si="2"/>
        <v>0.1317341722</v>
      </c>
      <c r="H3302" s="2">
        <v>519.0</v>
      </c>
      <c r="I3302" s="3">
        <f t="shared" si="3"/>
        <v>0.2040896579</v>
      </c>
      <c r="J3302" s="2">
        <v>381.0</v>
      </c>
      <c r="K3302" s="3">
        <f t="shared" si="4"/>
        <v>0.1498230436</v>
      </c>
      <c r="L3302" s="2">
        <v>336.0</v>
      </c>
      <c r="M3302" s="3">
        <f t="shared" si="5"/>
        <v>0.6473988439</v>
      </c>
      <c r="N3302" s="2">
        <v>2796800.0</v>
      </c>
      <c r="O3302" s="4">
        <f t="shared" si="6"/>
        <v>5388.824663</v>
      </c>
      <c r="P3302" s="2">
        <v>2.0</v>
      </c>
      <c r="Q3302" s="3">
        <f t="shared" si="7"/>
        <v>0.00826446281</v>
      </c>
      <c r="R3302" s="2">
        <v>238.0</v>
      </c>
      <c r="S3302" s="5">
        <f t="shared" si="8"/>
        <v>0.9834710744</v>
      </c>
    </row>
    <row r="3303">
      <c r="A3303" s="2" t="s">
        <v>3310</v>
      </c>
      <c r="B3303" s="2">
        <v>2346.0</v>
      </c>
      <c r="C3303" s="2">
        <v>27359.0</v>
      </c>
      <c r="D3303" s="2">
        <v>9509.0</v>
      </c>
      <c r="E3303" s="3">
        <f t="shared" si="1"/>
        <v>0.3801623156</v>
      </c>
      <c r="F3303" s="2">
        <v>3295.0</v>
      </c>
      <c r="G3303" s="3">
        <f t="shared" si="2"/>
        <v>0.1317314996</v>
      </c>
      <c r="H3303" s="2">
        <v>5545.0</v>
      </c>
      <c r="I3303" s="3">
        <f t="shared" si="3"/>
        <v>0.2216847239</v>
      </c>
      <c r="J3303" s="2">
        <v>4683.0</v>
      </c>
      <c r="K3303" s="3">
        <f t="shared" si="4"/>
        <v>0.1872226442</v>
      </c>
      <c r="L3303" s="2">
        <v>3237.0</v>
      </c>
      <c r="M3303" s="3">
        <f t="shared" si="5"/>
        <v>0.5837691614</v>
      </c>
      <c r="N3303" s="2">
        <v>3.05352E7</v>
      </c>
      <c r="O3303" s="4">
        <f t="shared" si="6"/>
        <v>5506.798918</v>
      </c>
      <c r="P3303" s="2">
        <v>1.0</v>
      </c>
      <c r="Q3303" s="3">
        <f t="shared" si="7"/>
        <v>0.0004262574595</v>
      </c>
      <c r="R3303" s="2">
        <v>2345.0</v>
      </c>
      <c r="S3303" s="5">
        <f t="shared" si="8"/>
        <v>0.9995737425</v>
      </c>
    </row>
    <row r="3304">
      <c r="A3304" s="2" t="s">
        <v>3311</v>
      </c>
      <c r="B3304" s="2">
        <v>148.0</v>
      </c>
      <c r="C3304" s="2">
        <v>1727.0</v>
      </c>
      <c r="D3304" s="2">
        <v>639.0</v>
      </c>
      <c r="E3304" s="3">
        <f t="shared" si="1"/>
        <v>0.4046865104</v>
      </c>
      <c r="F3304" s="2">
        <v>208.0</v>
      </c>
      <c r="G3304" s="3">
        <f t="shared" si="2"/>
        <v>0.1317289424</v>
      </c>
      <c r="H3304" s="2">
        <v>330.0</v>
      </c>
      <c r="I3304" s="3">
        <f t="shared" si="3"/>
        <v>0.2089930336</v>
      </c>
      <c r="J3304" s="2">
        <v>251.0</v>
      </c>
      <c r="K3304" s="3">
        <f t="shared" si="4"/>
        <v>0.158961368</v>
      </c>
      <c r="L3304" s="2">
        <v>197.0</v>
      </c>
      <c r="M3304" s="3">
        <f t="shared" si="5"/>
        <v>0.596969697</v>
      </c>
      <c r="N3304" s="2">
        <v>1716300.0</v>
      </c>
      <c r="O3304" s="4">
        <f t="shared" si="6"/>
        <v>5200.909091</v>
      </c>
      <c r="P3304" s="2">
        <v>0.0</v>
      </c>
      <c r="Q3304" s="3">
        <f t="shared" si="7"/>
        <v>0</v>
      </c>
      <c r="R3304" s="2">
        <v>148.0</v>
      </c>
      <c r="S3304" s="5">
        <f t="shared" si="8"/>
        <v>1</v>
      </c>
    </row>
    <row r="3305">
      <c r="A3305" s="2" t="s">
        <v>3312</v>
      </c>
      <c r="B3305" s="2">
        <v>66.0</v>
      </c>
      <c r="C3305" s="2">
        <v>772.0</v>
      </c>
      <c r="D3305" s="2">
        <v>269.0</v>
      </c>
      <c r="E3305" s="3">
        <f t="shared" si="1"/>
        <v>0.38101983</v>
      </c>
      <c r="F3305" s="2">
        <v>93.0</v>
      </c>
      <c r="G3305" s="3">
        <f t="shared" si="2"/>
        <v>0.1317280453</v>
      </c>
      <c r="H3305" s="2">
        <v>138.0</v>
      </c>
      <c r="I3305" s="3">
        <f t="shared" si="3"/>
        <v>0.1954674221</v>
      </c>
      <c r="J3305" s="2">
        <v>122.0</v>
      </c>
      <c r="K3305" s="3">
        <f t="shared" si="4"/>
        <v>0.1728045326</v>
      </c>
      <c r="L3305" s="2">
        <v>80.0</v>
      </c>
      <c r="M3305" s="3">
        <f t="shared" si="5"/>
        <v>0.5797101449</v>
      </c>
      <c r="N3305" s="2">
        <v>766400.0</v>
      </c>
      <c r="O3305" s="4">
        <f t="shared" si="6"/>
        <v>5553.623188</v>
      </c>
      <c r="P3305" s="2">
        <v>0.0</v>
      </c>
      <c r="Q3305" s="3">
        <f t="shared" si="7"/>
        <v>0</v>
      </c>
      <c r="R3305" s="2">
        <v>66.0</v>
      </c>
      <c r="S3305" s="5">
        <f t="shared" si="8"/>
        <v>1</v>
      </c>
    </row>
    <row r="3306">
      <c r="A3306" s="2" t="s">
        <v>3313</v>
      </c>
      <c r="B3306" s="2">
        <v>185.0</v>
      </c>
      <c r="C3306" s="2">
        <v>2174.0</v>
      </c>
      <c r="D3306" s="2">
        <v>766.0</v>
      </c>
      <c r="E3306" s="3">
        <f t="shared" si="1"/>
        <v>0.3851181498</v>
      </c>
      <c r="F3306" s="2">
        <v>262.0</v>
      </c>
      <c r="G3306" s="3">
        <f t="shared" si="2"/>
        <v>0.1317244847</v>
      </c>
      <c r="H3306" s="2">
        <v>439.0</v>
      </c>
      <c r="I3306" s="3">
        <f t="shared" si="3"/>
        <v>0.2207139266</v>
      </c>
      <c r="J3306" s="2">
        <v>349.0</v>
      </c>
      <c r="K3306" s="3">
        <f t="shared" si="4"/>
        <v>0.1754650578</v>
      </c>
      <c r="L3306" s="2">
        <v>245.0</v>
      </c>
      <c r="M3306" s="3">
        <f t="shared" si="5"/>
        <v>0.5580865604</v>
      </c>
      <c r="N3306" s="2">
        <v>2349100.0</v>
      </c>
      <c r="O3306" s="4">
        <f t="shared" si="6"/>
        <v>5351.025057</v>
      </c>
      <c r="P3306" s="2">
        <v>0.0</v>
      </c>
      <c r="Q3306" s="3">
        <f t="shared" si="7"/>
        <v>0</v>
      </c>
      <c r="R3306" s="2">
        <v>1.0</v>
      </c>
      <c r="S3306" s="5">
        <f t="shared" si="8"/>
        <v>0.005405405405</v>
      </c>
    </row>
    <row r="3307">
      <c r="A3307" s="2" t="s">
        <v>3314</v>
      </c>
      <c r="B3307" s="2">
        <v>531.0</v>
      </c>
      <c r="C3307" s="2">
        <v>6248.0</v>
      </c>
      <c r="D3307" s="2">
        <v>2005.0</v>
      </c>
      <c r="E3307" s="3">
        <f t="shared" si="1"/>
        <v>0.3507084135</v>
      </c>
      <c r="F3307" s="2">
        <v>753.0</v>
      </c>
      <c r="G3307" s="3">
        <f t="shared" si="2"/>
        <v>0.1317124366</v>
      </c>
      <c r="H3307" s="2">
        <v>1191.0</v>
      </c>
      <c r="I3307" s="3">
        <f t="shared" si="3"/>
        <v>0.2083260451</v>
      </c>
      <c r="J3307" s="2">
        <v>1077.0</v>
      </c>
      <c r="K3307" s="3">
        <f t="shared" si="4"/>
        <v>0.1883855169</v>
      </c>
      <c r="L3307" s="2">
        <v>713.0</v>
      </c>
      <c r="M3307" s="3">
        <f t="shared" si="5"/>
        <v>0.5986565911</v>
      </c>
      <c r="N3307" s="2">
        <v>6559400.0</v>
      </c>
      <c r="O3307" s="4">
        <f t="shared" si="6"/>
        <v>5507.472712</v>
      </c>
      <c r="P3307" s="2">
        <v>0.0</v>
      </c>
      <c r="Q3307" s="3">
        <f t="shared" si="7"/>
        <v>0</v>
      </c>
      <c r="R3307" s="2">
        <v>441.0</v>
      </c>
      <c r="S3307" s="5">
        <f t="shared" si="8"/>
        <v>0.8305084746</v>
      </c>
    </row>
    <row r="3308">
      <c r="A3308" s="2" t="s">
        <v>3315</v>
      </c>
      <c r="B3308" s="2">
        <v>19.0</v>
      </c>
      <c r="C3308" s="2">
        <v>224.0</v>
      </c>
      <c r="D3308" s="2">
        <v>64.0</v>
      </c>
      <c r="E3308" s="3">
        <f t="shared" si="1"/>
        <v>0.312195122</v>
      </c>
      <c r="F3308" s="2">
        <v>27.0</v>
      </c>
      <c r="G3308" s="3">
        <f t="shared" si="2"/>
        <v>0.1317073171</v>
      </c>
      <c r="H3308" s="2">
        <v>39.0</v>
      </c>
      <c r="I3308" s="3">
        <f t="shared" si="3"/>
        <v>0.1902439024</v>
      </c>
      <c r="J3308" s="2">
        <v>27.0</v>
      </c>
      <c r="K3308" s="3">
        <f t="shared" si="4"/>
        <v>0.1317073171</v>
      </c>
      <c r="L3308" s="2">
        <v>22.0</v>
      </c>
      <c r="M3308" s="3">
        <f t="shared" si="5"/>
        <v>0.5641025641</v>
      </c>
      <c r="N3308" s="2">
        <v>229900.0</v>
      </c>
      <c r="O3308" s="4">
        <f t="shared" si="6"/>
        <v>5894.871795</v>
      </c>
      <c r="P3308" s="2">
        <v>0.0</v>
      </c>
      <c r="Q3308" s="3">
        <f t="shared" si="7"/>
        <v>0</v>
      </c>
      <c r="R3308" s="2">
        <v>19.0</v>
      </c>
      <c r="S3308" s="5">
        <f t="shared" si="8"/>
        <v>1</v>
      </c>
    </row>
    <row r="3309">
      <c r="A3309" s="2" t="s">
        <v>3316</v>
      </c>
      <c r="B3309" s="2">
        <v>203.0</v>
      </c>
      <c r="C3309" s="2">
        <v>2367.0</v>
      </c>
      <c r="D3309" s="2">
        <v>832.0</v>
      </c>
      <c r="E3309" s="3">
        <f t="shared" si="1"/>
        <v>0.3844731978</v>
      </c>
      <c r="F3309" s="2">
        <v>285.0</v>
      </c>
      <c r="G3309" s="3">
        <f t="shared" si="2"/>
        <v>0.1317005545</v>
      </c>
      <c r="H3309" s="2">
        <v>449.0</v>
      </c>
      <c r="I3309" s="3">
        <f t="shared" si="3"/>
        <v>0.2074861368</v>
      </c>
      <c r="J3309" s="2">
        <v>333.0</v>
      </c>
      <c r="K3309" s="3">
        <f t="shared" si="4"/>
        <v>0.1538817006</v>
      </c>
      <c r="L3309" s="2">
        <v>295.0</v>
      </c>
      <c r="M3309" s="3">
        <f t="shared" si="5"/>
        <v>0.6570155902</v>
      </c>
      <c r="N3309" s="2">
        <v>2471600.0</v>
      </c>
      <c r="O3309" s="4">
        <f t="shared" si="6"/>
        <v>5504.67706</v>
      </c>
      <c r="P3309" s="2">
        <v>0.0</v>
      </c>
      <c r="Q3309" s="3">
        <f t="shared" si="7"/>
        <v>0</v>
      </c>
      <c r="R3309" s="2">
        <v>203.0</v>
      </c>
      <c r="S3309" s="5">
        <f t="shared" si="8"/>
        <v>1</v>
      </c>
    </row>
    <row r="3310">
      <c r="A3310" s="2" t="s">
        <v>3317</v>
      </c>
      <c r="B3310" s="2">
        <v>22.0</v>
      </c>
      <c r="C3310" s="2">
        <v>265.0</v>
      </c>
      <c r="D3310" s="2">
        <v>82.0</v>
      </c>
      <c r="E3310" s="3">
        <f t="shared" si="1"/>
        <v>0.3374485597</v>
      </c>
      <c r="F3310" s="2">
        <v>32.0</v>
      </c>
      <c r="G3310" s="3">
        <f t="shared" si="2"/>
        <v>0.1316872428</v>
      </c>
      <c r="H3310" s="2">
        <v>48.0</v>
      </c>
      <c r="I3310" s="3">
        <f t="shared" si="3"/>
        <v>0.1975308642</v>
      </c>
      <c r="J3310" s="2">
        <v>31.0</v>
      </c>
      <c r="K3310" s="3">
        <f t="shared" si="4"/>
        <v>0.1275720165</v>
      </c>
      <c r="L3310" s="2">
        <v>25.0</v>
      </c>
      <c r="M3310" s="3">
        <f t="shared" si="5"/>
        <v>0.5208333333</v>
      </c>
      <c r="N3310" s="2">
        <v>251900.0</v>
      </c>
      <c r="O3310" s="4">
        <f t="shared" si="6"/>
        <v>5247.916667</v>
      </c>
      <c r="P3310" s="2">
        <v>0.0</v>
      </c>
      <c r="Q3310" s="3">
        <f t="shared" si="7"/>
        <v>0</v>
      </c>
      <c r="R3310" s="2">
        <v>1.0</v>
      </c>
      <c r="S3310" s="5">
        <f t="shared" si="8"/>
        <v>0.04545454545</v>
      </c>
    </row>
    <row r="3311">
      <c r="A3311" s="2" t="s">
        <v>3318</v>
      </c>
      <c r="B3311" s="2">
        <v>498.0</v>
      </c>
      <c r="C3311" s="2">
        <v>5996.0</v>
      </c>
      <c r="D3311" s="2">
        <v>1911.0</v>
      </c>
      <c r="E3311" s="3">
        <f t="shared" si="1"/>
        <v>0.3475809385</v>
      </c>
      <c r="F3311" s="2">
        <v>724.0</v>
      </c>
      <c r="G3311" s="3">
        <f t="shared" si="2"/>
        <v>0.1316842488</v>
      </c>
      <c r="H3311" s="2">
        <v>1170.0</v>
      </c>
      <c r="I3311" s="3">
        <f t="shared" si="3"/>
        <v>0.2128046562</v>
      </c>
      <c r="J3311" s="2">
        <v>817.0</v>
      </c>
      <c r="K3311" s="3">
        <f t="shared" si="4"/>
        <v>0.1485994907</v>
      </c>
      <c r="L3311" s="2">
        <v>662.0</v>
      </c>
      <c r="M3311" s="3">
        <f t="shared" si="5"/>
        <v>0.5658119658</v>
      </c>
      <c r="N3311" s="2">
        <v>6333800.0</v>
      </c>
      <c r="O3311" s="4">
        <f t="shared" si="6"/>
        <v>5413.504274</v>
      </c>
      <c r="P3311" s="2">
        <v>1.0</v>
      </c>
      <c r="Q3311" s="3">
        <f t="shared" si="7"/>
        <v>0.002008032129</v>
      </c>
      <c r="R3311" s="2">
        <v>498.0</v>
      </c>
      <c r="S3311" s="5">
        <f t="shared" si="8"/>
        <v>1</v>
      </c>
    </row>
    <row r="3312">
      <c r="A3312" s="2" t="s">
        <v>3319</v>
      </c>
      <c r="B3312" s="2">
        <v>161.0</v>
      </c>
      <c r="C3312" s="2">
        <v>1938.0</v>
      </c>
      <c r="D3312" s="2">
        <v>498.0</v>
      </c>
      <c r="E3312" s="3">
        <f t="shared" si="1"/>
        <v>0.2802476083</v>
      </c>
      <c r="F3312" s="2">
        <v>234.0</v>
      </c>
      <c r="G3312" s="3">
        <f t="shared" si="2"/>
        <v>0.1316826111</v>
      </c>
      <c r="H3312" s="2">
        <v>352.0</v>
      </c>
      <c r="I3312" s="3">
        <f t="shared" si="3"/>
        <v>0.1980866629</v>
      </c>
      <c r="J3312" s="2">
        <v>254.0</v>
      </c>
      <c r="K3312" s="3">
        <f t="shared" si="4"/>
        <v>0.1429375352</v>
      </c>
      <c r="L3312" s="2">
        <v>221.0</v>
      </c>
      <c r="M3312" s="3">
        <f t="shared" si="5"/>
        <v>0.6278409091</v>
      </c>
      <c r="N3312" s="2">
        <v>2029300.0</v>
      </c>
      <c r="O3312" s="4">
        <f t="shared" si="6"/>
        <v>5765.056818</v>
      </c>
      <c r="P3312" s="2">
        <v>0.0</v>
      </c>
      <c r="Q3312" s="3">
        <f t="shared" si="7"/>
        <v>0</v>
      </c>
      <c r="R3312" s="2">
        <v>161.0</v>
      </c>
      <c r="S3312" s="5">
        <f t="shared" si="8"/>
        <v>1</v>
      </c>
    </row>
    <row r="3313">
      <c r="A3313" s="2" t="s">
        <v>3320</v>
      </c>
      <c r="B3313" s="2">
        <v>1110.0</v>
      </c>
      <c r="C3313" s="2">
        <v>13063.0</v>
      </c>
      <c r="D3313" s="2">
        <v>4341.0</v>
      </c>
      <c r="E3313" s="3">
        <f t="shared" si="1"/>
        <v>0.3631724253</v>
      </c>
      <c r="F3313" s="2">
        <v>1574.0</v>
      </c>
      <c r="G3313" s="3">
        <f t="shared" si="2"/>
        <v>0.1316824228</v>
      </c>
      <c r="H3313" s="2">
        <v>2565.0</v>
      </c>
      <c r="I3313" s="3">
        <f t="shared" si="3"/>
        <v>0.2145904794</v>
      </c>
      <c r="J3313" s="2">
        <v>2106.0</v>
      </c>
      <c r="K3313" s="3">
        <f t="shared" si="4"/>
        <v>0.1761900778</v>
      </c>
      <c r="L3313" s="2">
        <v>1561.0</v>
      </c>
      <c r="M3313" s="3">
        <f t="shared" si="5"/>
        <v>0.6085769981</v>
      </c>
      <c r="N3313" s="2">
        <v>1.34936E7</v>
      </c>
      <c r="O3313" s="4">
        <f t="shared" si="6"/>
        <v>5260.662768</v>
      </c>
      <c r="P3313" s="2">
        <v>1.0</v>
      </c>
      <c r="Q3313" s="3">
        <f t="shared" si="7"/>
        <v>0.0009009009009</v>
      </c>
      <c r="R3313" s="2">
        <v>1110.0</v>
      </c>
      <c r="S3313" s="5">
        <f t="shared" si="8"/>
        <v>1</v>
      </c>
    </row>
    <row r="3314">
      <c r="A3314" s="2" t="s">
        <v>3321</v>
      </c>
      <c r="B3314" s="2">
        <v>52.0</v>
      </c>
      <c r="C3314" s="2">
        <v>576.0</v>
      </c>
      <c r="D3314" s="2">
        <v>183.0</v>
      </c>
      <c r="E3314" s="3">
        <f t="shared" si="1"/>
        <v>0.3492366412</v>
      </c>
      <c r="F3314" s="2">
        <v>69.0</v>
      </c>
      <c r="G3314" s="3">
        <f t="shared" si="2"/>
        <v>0.1316793893</v>
      </c>
      <c r="H3314" s="2">
        <v>107.0</v>
      </c>
      <c r="I3314" s="3">
        <f t="shared" si="3"/>
        <v>0.2041984733</v>
      </c>
      <c r="J3314" s="2">
        <v>87.0</v>
      </c>
      <c r="K3314" s="3">
        <f t="shared" si="4"/>
        <v>0.1660305344</v>
      </c>
      <c r="L3314" s="2">
        <v>62.0</v>
      </c>
      <c r="M3314" s="3">
        <f t="shared" si="5"/>
        <v>0.5794392523</v>
      </c>
      <c r="N3314" s="2">
        <v>648500.0</v>
      </c>
      <c r="O3314" s="4">
        <f t="shared" si="6"/>
        <v>6060.747664</v>
      </c>
      <c r="P3314" s="2">
        <v>1.0</v>
      </c>
      <c r="Q3314" s="3">
        <f t="shared" si="7"/>
        <v>0.01923076923</v>
      </c>
      <c r="R3314" s="2">
        <v>1.0</v>
      </c>
      <c r="S3314" s="5">
        <f t="shared" si="8"/>
        <v>0.01923076923</v>
      </c>
    </row>
    <row r="3315">
      <c r="A3315" s="2" t="s">
        <v>3322</v>
      </c>
      <c r="B3315" s="2">
        <v>262.0</v>
      </c>
      <c r="C3315" s="2">
        <v>3057.0</v>
      </c>
      <c r="D3315" s="2">
        <v>980.0</v>
      </c>
      <c r="E3315" s="3">
        <f t="shared" si="1"/>
        <v>0.3506261181</v>
      </c>
      <c r="F3315" s="2">
        <v>368.0</v>
      </c>
      <c r="G3315" s="3">
        <f t="shared" si="2"/>
        <v>0.1316636852</v>
      </c>
      <c r="H3315" s="2">
        <v>607.0</v>
      </c>
      <c r="I3315" s="3">
        <f t="shared" si="3"/>
        <v>0.2171735242</v>
      </c>
      <c r="J3315" s="2">
        <v>472.0</v>
      </c>
      <c r="K3315" s="3">
        <f t="shared" si="4"/>
        <v>0.1688729875</v>
      </c>
      <c r="L3315" s="2">
        <v>373.0</v>
      </c>
      <c r="M3315" s="3">
        <f t="shared" si="5"/>
        <v>0.6144975288</v>
      </c>
      <c r="N3315" s="2">
        <v>3284300.0</v>
      </c>
      <c r="O3315" s="4">
        <f t="shared" si="6"/>
        <v>5410.708402</v>
      </c>
      <c r="P3315" s="2">
        <v>0.0</v>
      </c>
      <c r="Q3315" s="3">
        <f t="shared" si="7"/>
        <v>0</v>
      </c>
      <c r="R3315" s="2">
        <v>0.0</v>
      </c>
      <c r="S3315" s="5">
        <f t="shared" si="8"/>
        <v>0</v>
      </c>
    </row>
    <row r="3316">
      <c r="A3316" s="2" t="s">
        <v>3323</v>
      </c>
      <c r="B3316" s="2">
        <v>2585.0</v>
      </c>
      <c r="C3316" s="2">
        <v>30361.0</v>
      </c>
      <c r="D3316" s="2">
        <v>8703.0</v>
      </c>
      <c r="E3316" s="3">
        <f t="shared" si="1"/>
        <v>0.313328053</v>
      </c>
      <c r="F3316" s="2">
        <v>3657.0</v>
      </c>
      <c r="G3316" s="3">
        <f t="shared" si="2"/>
        <v>0.1316604263</v>
      </c>
      <c r="H3316" s="2">
        <v>5935.0</v>
      </c>
      <c r="I3316" s="3">
        <f t="shared" si="3"/>
        <v>0.2136736751</v>
      </c>
      <c r="J3316" s="2">
        <v>4662.0</v>
      </c>
      <c r="K3316" s="3">
        <f t="shared" si="4"/>
        <v>0.1678427419</v>
      </c>
      <c r="L3316" s="2">
        <v>3555.0</v>
      </c>
      <c r="M3316" s="3">
        <f t="shared" si="5"/>
        <v>0.598989048</v>
      </c>
      <c r="N3316" s="2">
        <v>3.44853E7</v>
      </c>
      <c r="O3316" s="4">
        <f t="shared" si="6"/>
        <v>5810.497051</v>
      </c>
      <c r="P3316" s="2">
        <v>8.0</v>
      </c>
      <c r="Q3316" s="3">
        <f t="shared" si="7"/>
        <v>0.003094777563</v>
      </c>
      <c r="R3316" s="2">
        <v>2585.0</v>
      </c>
      <c r="S3316" s="5">
        <f t="shared" si="8"/>
        <v>1</v>
      </c>
    </row>
    <row r="3317">
      <c r="A3317" s="2" t="s">
        <v>3324</v>
      </c>
      <c r="B3317" s="2">
        <v>2821.0</v>
      </c>
      <c r="C3317" s="2">
        <v>33091.0</v>
      </c>
      <c r="D3317" s="2">
        <v>9783.0</v>
      </c>
      <c r="E3317" s="3">
        <f t="shared" si="1"/>
        <v>0.3231912785</v>
      </c>
      <c r="F3317" s="2">
        <v>3985.0</v>
      </c>
      <c r="G3317" s="3">
        <f t="shared" si="2"/>
        <v>0.1316484969</v>
      </c>
      <c r="H3317" s="2">
        <v>6469.0</v>
      </c>
      <c r="I3317" s="3">
        <f t="shared" si="3"/>
        <v>0.2137099438</v>
      </c>
      <c r="J3317" s="2">
        <v>5490.0</v>
      </c>
      <c r="K3317" s="3">
        <f t="shared" si="4"/>
        <v>0.1813676908</v>
      </c>
      <c r="L3317" s="2">
        <v>3823.0</v>
      </c>
      <c r="M3317" s="3">
        <f t="shared" si="5"/>
        <v>0.5909723296</v>
      </c>
      <c r="N3317" s="2">
        <v>3.63543E7</v>
      </c>
      <c r="O3317" s="4">
        <f t="shared" si="6"/>
        <v>5619.771217</v>
      </c>
      <c r="P3317" s="2">
        <v>5.0</v>
      </c>
      <c r="Q3317" s="3">
        <f t="shared" si="7"/>
        <v>0.001772421127</v>
      </c>
      <c r="R3317" s="2">
        <v>2821.0</v>
      </c>
      <c r="S3317" s="5">
        <f t="shared" si="8"/>
        <v>1</v>
      </c>
    </row>
    <row r="3318">
      <c r="A3318" s="2" t="s">
        <v>3325</v>
      </c>
      <c r="B3318" s="2">
        <v>351.0</v>
      </c>
      <c r="C3318" s="2">
        <v>4081.0</v>
      </c>
      <c r="D3318" s="2">
        <v>1240.0</v>
      </c>
      <c r="E3318" s="3">
        <f t="shared" si="1"/>
        <v>0.3324396783</v>
      </c>
      <c r="F3318" s="2">
        <v>491.0</v>
      </c>
      <c r="G3318" s="3">
        <f t="shared" si="2"/>
        <v>0.1316353887</v>
      </c>
      <c r="H3318" s="2">
        <v>738.0</v>
      </c>
      <c r="I3318" s="3">
        <f t="shared" si="3"/>
        <v>0.1978552279</v>
      </c>
      <c r="J3318" s="2">
        <v>593.0</v>
      </c>
      <c r="K3318" s="3">
        <f t="shared" si="4"/>
        <v>0.1589812332</v>
      </c>
      <c r="L3318" s="2">
        <v>437.0</v>
      </c>
      <c r="M3318" s="3">
        <f t="shared" si="5"/>
        <v>0.5921409214</v>
      </c>
      <c r="N3318" s="2">
        <v>4029100.0</v>
      </c>
      <c r="O3318" s="4">
        <f t="shared" si="6"/>
        <v>5459.485095</v>
      </c>
      <c r="P3318" s="2">
        <v>0.0</v>
      </c>
      <c r="Q3318" s="3">
        <f t="shared" si="7"/>
        <v>0</v>
      </c>
      <c r="R3318" s="2">
        <v>154.0</v>
      </c>
      <c r="S3318" s="5">
        <f t="shared" si="8"/>
        <v>0.4387464387</v>
      </c>
    </row>
    <row r="3319">
      <c r="A3319" s="2" t="s">
        <v>3326</v>
      </c>
      <c r="B3319" s="2">
        <v>2273.0</v>
      </c>
      <c r="C3319" s="2">
        <v>26727.0</v>
      </c>
      <c r="D3319" s="2">
        <v>8807.0</v>
      </c>
      <c r="E3319" s="3">
        <f t="shared" si="1"/>
        <v>0.3601455795</v>
      </c>
      <c r="F3319" s="2">
        <v>3219.0</v>
      </c>
      <c r="G3319" s="3">
        <f t="shared" si="2"/>
        <v>0.1316349064</v>
      </c>
      <c r="H3319" s="2">
        <v>5430.0</v>
      </c>
      <c r="I3319" s="3">
        <f t="shared" si="3"/>
        <v>0.2220495624</v>
      </c>
      <c r="J3319" s="2">
        <v>3690.0</v>
      </c>
      <c r="K3319" s="3">
        <f t="shared" si="4"/>
        <v>0.150895559</v>
      </c>
      <c r="L3319" s="2">
        <v>3346.0</v>
      </c>
      <c r="M3319" s="3">
        <f t="shared" si="5"/>
        <v>0.6162062615</v>
      </c>
      <c r="N3319" s="2">
        <v>2.9251E7</v>
      </c>
      <c r="O3319" s="4">
        <f t="shared" si="6"/>
        <v>5386.924494</v>
      </c>
      <c r="P3319" s="2">
        <v>4.0</v>
      </c>
      <c r="Q3319" s="3">
        <f t="shared" si="7"/>
        <v>0.001759788825</v>
      </c>
      <c r="R3319" s="2">
        <v>2273.0</v>
      </c>
      <c r="S3319" s="5">
        <f t="shared" si="8"/>
        <v>1</v>
      </c>
    </row>
    <row r="3320">
      <c r="A3320" s="2" t="s">
        <v>3327</v>
      </c>
      <c r="B3320" s="2">
        <v>143.0</v>
      </c>
      <c r="C3320" s="2">
        <v>1670.0</v>
      </c>
      <c r="D3320" s="2">
        <v>652.0</v>
      </c>
      <c r="E3320" s="3">
        <f t="shared" si="1"/>
        <v>0.4269810085</v>
      </c>
      <c r="F3320" s="2">
        <v>201.0</v>
      </c>
      <c r="G3320" s="3">
        <f t="shared" si="2"/>
        <v>0.1316306483</v>
      </c>
      <c r="H3320" s="2">
        <v>328.0</v>
      </c>
      <c r="I3320" s="3">
        <f t="shared" si="3"/>
        <v>0.214800262</v>
      </c>
      <c r="J3320" s="2">
        <v>269.0</v>
      </c>
      <c r="K3320" s="3">
        <f t="shared" si="4"/>
        <v>0.17616241</v>
      </c>
      <c r="L3320" s="2">
        <v>191.0</v>
      </c>
      <c r="M3320" s="3">
        <f t="shared" si="5"/>
        <v>0.5823170732</v>
      </c>
      <c r="N3320" s="2">
        <v>1939600.0</v>
      </c>
      <c r="O3320" s="4">
        <f t="shared" si="6"/>
        <v>5913.414634</v>
      </c>
      <c r="P3320" s="2">
        <v>1.0</v>
      </c>
      <c r="Q3320" s="3">
        <f t="shared" si="7"/>
        <v>0.006993006993</v>
      </c>
      <c r="R3320" s="2">
        <v>143.0</v>
      </c>
      <c r="S3320" s="5">
        <f t="shared" si="8"/>
        <v>1</v>
      </c>
    </row>
    <row r="3321">
      <c r="A3321" s="2" t="s">
        <v>3328</v>
      </c>
      <c r="B3321" s="2">
        <v>94.0</v>
      </c>
      <c r="C3321" s="2">
        <v>1150.0</v>
      </c>
      <c r="D3321" s="2">
        <v>329.0</v>
      </c>
      <c r="E3321" s="3">
        <f t="shared" si="1"/>
        <v>0.3115530303</v>
      </c>
      <c r="F3321" s="2">
        <v>139.0</v>
      </c>
      <c r="G3321" s="3">
        <f t="shared" si="2"/>
        <v>0.1316287879</v>
      </c>
      <c r="H3321" s="2">
        <v>188.0</v>
      </c>
      <c r="I3321" s="3">
        <f t="shared" si="3"/>
        <v>0.178030303</v>
      </c>
      <c r="J3321" s="2">
        <v>174.0</v>
      </c>
      <c r="K3321" s="3">
        <f t="shared" si="4"/>
        <v>0.1647727273</v>
      </c>
      <c r="L3321" s="2">
        <v>102.0</v>
      </c>
      <c r="M3321" s="3">
        <f t="shared" si="5"/>
        <v>0.5425531915</v>
      </c>
      <c r="N3321" s="2">
        <v>1052100.0</v>
      </c>
      <c r="O3321" s="4">
        <f t="shared" si="6"/>
        <v>5596.276596</v>
      </c>
      <c r="P3321" s="2">
        <v>0.0</v>
      </c>
      <c r="Q3321" s="3">
        <f t="shared" si="7"/>
        <v>0</v>
      </c>
      <c r="R3321" s="2">
        <v>1.0</v>
      </c>
      <c r="S3321" s="5">
        <f t="shared" si="8"/>
        <v>0.01063829787</v>
      </c>
    </row>
    <row r="3322">
      <c r="A3322" s="2" t="s">
        <v>3329</v>
      </c>
      <c r="B3322" s="2">
        <v>160.0</v>
      </c>
      <c r="C3322" s="2">
        <v>1877.0</v>
      </c>
      <c r="D3322" s="2">
        <v>673.0</v>
      </c>
      <c r="E3322" s="3">
        <f t="shared" si="1"/>
        <v>0.3919627257</v>
      </c>
      <c r="F3322" s="2">
        <v>226.0</v>
      </c>
      <c r="G3322" s="3">
        <f t="shared" si="2"/>
        <v>0.1316249272</v>
      </c>
      <c r="H3322" s="2">
        <v>354.0</v>
      </c>
      <c r="I3322" s="3">
        <f t="shared" si="3"/>
        <v>0.2061735585</v>
      </c>
      <c r="J3322" s="2">
        <v>232.0</v>
      </c>
      <c r="K3322" s="3">
        <f t="shared" si="4"/>
        <v>0.1351193943</v>
      </c>
      <c r="L3322" s="2">
        <v>214.0</v>
      </c>
      <c r="M3322" s="3">
        <f t="shared" si="5"/>
        <v>0.604519774</v>
      </c>
      <c r="N3322" s="2">
        <v>1962600.0</v>
      </c>
      <c r="O3322" s="4">
        <f t="shared" si="6"/>
        <v>5544.067797</v>
      </c>
      <c r="P3322" s="2">
        <v>0.0</v>
      </c>
      <c r="Q3322" s="3">
        <f t="shared" si="7"/>
        <v>0</v>
      </c>
      <c r="R3322" s="2">
        <v>160.0</v>
      </c>
      <c r="S3322" s="5">
        <f t="shared" si="8"/>
        <v>1</v>
      </c>
    </row>
    <row r="3323">
      <c r="A3323" s="2" t="s">
        <v>3330</v>
      </c>
      <c r="B3323" s="2">
        <v>114.0</v>
      </c>
      <c r="C3323" s="2">
        <v>1322.0</v>
      </c>
      <c r="D3323" s="2">
        <v>427.0</v>
      </c>
      <c r="E3323" s="3">
        <f t="shared" si="1"/>
        <v>0.3534768212</v>
      </c>
      <c r="F3323" s="2">
        <v>159.0</v>
      </c>
      <c r="G3323" s="3">
        <f t="shared" si="2"/>
        <v>0.1316225166</v>
      </c>
      <c r="H3323" s="2">
        <v>247.0</v>
      </c>
      <c r="I3323" s="3">
        <f t="shared" si="3"/>
        <v>0.2044701987</v>
      </c>
      <c r="J3323" s="2">
        <v>193.0</v>
      </c>
      <c r="K3323" s="3">
        <f t="shared" si="4"/>
        <v>0.1597682119</v>
      </c>
      <c r="L3323" s="2">
        <v>152.0</v>
      </c>
      <c r="M3323" s="3">
        <f t="shared" si="5"/>
        <v>0.6153846154</v>
      </c>
      <c r="N3323" s="2">
        <v>1303000.0</v>
      </c>
      <c r="O3323" s="4">
        <f t="shared" si="6"/>
        <v>5275.303644</v>
      </c>
      <c r="P3323" s="2">
        <v>0.0</v>
      </c>
      <c r="Q3323" s="3">
        <f t="shared" si="7"/>
        <v>0</v>
      </c>
      <c r="R3323" s="2">
        <v>0.0</v>
      </c>
      <c r="S3323" s="5">
        <f t="shared" si="8"/>
        <v>0</v>
      </c>
    </row>
    <row r="3324">
      <c r="A3324" s="2" t="s">
        <v>3331</v>
      </c>
      <c r="B3324" s="2">
        <v>373.0</v>
      </c>
      <c r="C3324" s="2">
        <v>4453.0</v>
      </c>
      <c r="D3324" s="2">
        <v>1422.0</v>
      </c>
      <c r="E3324" s="3">
        <f t="shared" si="1"/>
        <v>0.3485294118</v>
      </c>
      <c r="F3324" s="2">
        <v>537.0</v>
      </c>
      <c r="G3324" s="3">
        <f t="shared" si="2"/>
        <v>0.1316176471</v>
      </c>
      <c r="H3324" s="2">
        <v>893.0</v>
      </c>
      <c r="I3324" s="3">
        <f t="shared" si="3"/>
        <v>0.218872549</v>
      </c>
      <c r="J3324" s="2">
        <v>635.0</v>
      </c>
      <c r="K3324" s="3">
        <f t="shared" si="4"/>
        <v>0.1556372549</v>
      </c>
      <c r="L3324" s="2">
        <v>537.0</v>
      </c>
      <c r="M3324" s="3">
        <f t="shared" si="5"/>
        <v>0.601343785</v>
      </c>
      <c r="N3324" s="2">
        <v>4790500.0</v>
      </c>
      <c r="O3324" s="4">
        <f t="shared" si="6"/>
        <v>5364.50168</v>
      </c>
      <c r="P3324" s="2">
        <v>0.0</v>
      </c>
      <c r="Q3324" s="3">
        <f t="shared" si="7"/>
        <v>0</v>
      </c>
      <c r="R3324" s="2">
        <v>54.0</v>
      </c>
      <c r="S3324" s="5">
        <f t="shared" si="8"/>
        <v>0.144772118</v>
      </c>
    </row>
    <row r="3325">
      <c r="A3325" s="2" t="s">
        <v>3332</v>
      </c>
      <c r="B3325" s="2">
        <v>1548.0</v>
      </c>
      <c r="C3325" s="2">
        <v>18248.0</v>
      </c>
      <c r="D3325" s="2">
        <v>6397.0</v>
      </c>
      <c r="E3325" s="3">
        <f t="shared" si="1"/>
        <v>0.3830538922</v>
      </c>
      <c r="F3325" s="2">
        <v>2198.0</v>
      </c>
      <c r="G3325" s="3">
        <f t="shared" si="2"/>
        <v>0.1316167665</v>
      </c>
      <c r="H3325" s="2">
        <v>3620.0</v>
      </c>
      <c r="I3325" s="3">
        <f t="shared" si="3"/>
        <v>0.2167664671</v>
      </c>
      <c r="J3325" s="2">
        <v>2791.0</v>
      </c>
      <c r="K3325" s="3">
        <f t="shared" si="4"/>
        <v>0.1671257485</v>
      </c>
      <c r="L3325" s="2">
        <v>2129.0</v>
      </c>
      <c r="M3325" s="3">
        <f t="shared" si="5"/>
        <v>0.588121547</v>
      </c>
      <c r="N3325" s="2">
        <v>2.03604E7</v>
      </c>
      <c r="O3325" s="4">
        <f t="shared" si="6"/>
        <v>5624.41989</v>
      </c>
      <c r="P3325" s="2">
        <v>1.0</v>
      </c>
      <c r="Q3325" s="3">
        <f t="shared" si="7"/>
        <v>0.000645994832</v>
      </c>
      <c r="R3325" s="2">
        <v>1548.0</v>
      </c>
      <c r="S3325" s="5">
        <f t="shared" si="8"/>
        <v>1</v>
      </c>
    </row>
    <row r="3326">
      <c r="A3326" s="2" t="s">
        <v>3333</v>
      </c>
      <c r="B3326" s="2">
        <v>1027.0</v>
      </c>
      <c r="C3326" s="2">
        <v>11953.0</v>
      </c>
      <c r="D3326" s="2">
        <v>3093.0</v>
      </c>
      <c r="E3326" s="3">
        <f t="shared" si="1"/>
        <v>0.2830862164</v>
      </c>
      <c r="F3326" s="2">
        <v>1438.0</v>
      </c>
      <c r="G3326" s="3">
        <f t="shared" si="2"/>
        <v>0.131612667</v>
      </c>
      <c r="H3326" s="2">
        <v>2134.0</v>
      </c>
      <c r="I3326" s="3">
        <f t="shared" si="3"/>
        <v>0.1953139301</v>
      </c>
      <c r="J3326" s="2">
        <v>1917.0</v>
      </c>
      <c r="K3326" s="3">
        <f t="shared" si="4"/>
        <v>0.1754530478</v>
      </c>
      <c r="L3326" s="2">
        <v>1244.0</v>
      </c>
      <c r="M3326" s="3">
        <f t="shared" si="5"/>
        <v>0.5829428304</v>
      </c>
      <c r="N3326" s="2">
        <v>1.31798E7</v>
      </c>
      <c r="O3326" s="4">
        <f t="shared" si="6"/>
        <v>6176.101218</v>
      </c>
      <c r="P3326" s="2">
        <v>1.0</v>
      </c>
      <c r="Q3326" s="3">
        <f t="shared" si="7"/>
        <v>0.0009737098345</v>
      </c>
      <c r="R3326" s="2">
        <v>0.0</v>
      </c>
      <c r="S3326" s="5">
        <f t="shared" si="8"/>
        <v>0</v>
      </c>
    </row>
    <row r="3327">
      <c r="A3327" s="2" t="s">
        <v>3334</v>
      </c>
      <c r="B3327" s="2">
        <v>451.0</v>
      </c>
      <c r="C3327" s="2">
        <v>5329.0</v>
      </c>
      <c r="D3327" s="2">
        <v>1889.0</v>
      </c>
      <c r="E3327" s="3">
        <f t="shared" si="1"/>
        <v>0.3872488725</v>
      </c>
      <c r="F3327" s="2">
        <v>642.0</v>
      </c>
      <c r="G3327" s="3">
        <f t="shared" si="2"/>
        <v>0.1316113161</v>
      </c>
      <c r="H3327" s="2">
        <v>993.0</v>
      </c>
      <c r="I3327" s="3">
        <f t="shared" si="3"/>
        <v>0.2035670357</v>
      </c>
      <c r="J3327" s="2">
        <v>869.0</v>
      </c>
      <c r="K3327" s="3">
        <f t="shared" si="4"/>
        <v>0.1781467815</v>
      </c>
      <c r="L3327" s="2">
        <v>589.0</v>
      </c>
      <c r="M3327" s="3">
        <f t="shared" si="5"/>
        <v>0.5931520645</v>
      </c>
      <c r="N3327" s="2">
        <v>5624300.0</v>
      </c>
      <c r="O3327" s="4">
        <f t="shared" si="6"/>
        <v>5663.947633</v>
      </c>
      <c r="P3327" s="2">
        <v>0.0</v>
      </c>
      <c r="Q3327" s="3">
        <f t="shared" si="7"/>
        <v>0</v>
      </c>
      <c r="R3327" s="2">
        <v>242.0</v>
      </c>
      <c r="S3327" s="5">
        <f t="shared" si="8"/>
        <v>0.5365853659</v>
      </c>
    </row>
    <row r="3328">
      <c r="A3328" s="2" t="s">
        <v>3335</v>
      </c>
      <c r="B3328" s="2">
        <v>658.0</v>
      </c>
      <c r="C3328" s="2">
        <v>7740.0</v>
      </c>
      <c r="D3328" s="2">
        <v>2710.0</v>
      </c>
      <c r="E3328" s="3">
        <f t="shared" si="1"/>
        <v>0.3826602655</v>
      </c>
      <c r="F3328" s="2">
        <v>932.0</v>
      </c>
      <c r="G3328" s="3">
        <f t="shared" si="2"/>
        <v>0.1316012426</v>
      </c>
      <c r="H3328" s="2">
        <v>1549.0</v>
      </c>
      <c r="I3328" s="3">
        <f t="shared" si="3"/>
        <v>0.2187235244</v>
      </c>
      <c r="J3328" s="2">
        <v>1142.0</v>
      </c>
      <c r="K3328" s="3">
        <f t="shared" si="4"/>
        <v>0.1612538831</v>
      </c>
      <c r="L3328" s="2">
        <v>931.0</v>
      </c>
      <c r="M3328" s="3">
        <f t="shared" si="5"/>
        <v>0.6010329245</v>
      </c>
      <c r="N3328" s="2">
        <v>8377800.0</v>
      </c>
      <c r="O3328" s="4">
        <f t="shared" si="6"/>
        <v>5408.521627</v>
      </c>
      <c r="P3328" s="2">
        <v>0.0</v>
      </c>
      <c r="Q3328" s="3">
        <f t="shared" si="7"/>
        <v>0</v>
      </c>
      <c r="R3328" s="2">
        <v>658.0</v>
      </c>
      <c r="S3328" s="5">
        <f t="shared" si="8"/>
        <v>1</v>
      </c>
    </row>
    <row r="3329">
      <c r="A3329" s="2" t="s">
        <v>3336</v>
      </c>
      <c r="B3329" s="2">
        <v>145.0</v>
      </c>
      <c r="C3329" s="2">
        <v>1680.0</v>
      </c>
      <c r="D3329" s="2">
        <v>507.0</v>
      </c>
      <c r="E3329" s="3">
        <f t="shared" si="1"/>
        <v>0.3302931596</v>
      </c>
      <c r="F3329" s="2">
        <v>202.0</v>
      </c>
      <c r="G3329" s="3">
        <f t="shared" si="2"/>
        <v>0.1315960912</v>
      </c>
      <c r="H3329" s="2">
        <v>274.0</v>
      </c>
      <c r="I3329" s="3">
        <f t="shared" si="3"/>
        <v>0.1785016287</v>
      </c>
      <c r="J3329" s="2">
        <v>234.0</v>
      </c>
      <c r="K3329" s="3">
        <f t="shared" si="4"/>
        <v>0.1524429967</v>
      </c>
      <c r="L3329" s="2">
        <v>156.0</v>
      </c>
      <c r="M3329" s="3">
        <f t="shared" si="5"/>
        <v>0.5693430657</v>
      </c>
      <c r="N3329" s="2">
        <v>1660400.0</v>
      </c>
      <c r="O3329" s="4">
        <f t="shared" si="6"/>
        <v>6059.854015</v>
      </c>
      <c r="P3329" s="2">
        <v>0.0</v>
      </c>
      <c r="Q3329" s="3">
        <f t="shared" si="7"/>
        <v>0</v>
      </c>
      <c r="R3329" s="2">
        <v>145.0</v>
      </c>
      <c r="S3329" s="5">
        <f t="shared" si="8"/>
        <v>1</v>
      </c>
    </row>
    <row r="3330">
      <c r="A3330" s="2" t="s">
        <v>3337</v>
      </c>
      <c r="B3330" s="2">
        <v>206.0</v>
      </c>
      <c r="C3330" s="2">
        <v>2349.0</v>
      </c>
      <c r="D3330" s="2">
        <v>556.0</v>
      </c>
      <c r="E3330" s="3">
        <f t="shared" si="1"/>
        <v>0.25944937</v>
      </c>
      <c r="F3330" s="2">
        <v>282.0</v>
      </c>
      <c r="G3330" s="3">
        <f t="shared" si="2"/>
        <v>0.1315912273</v>
      </c>
      <c r="H3330" s="2">
        <v>420.0</v>
      </c>
      <c r="I3330" s="3">
        <f t="shared" si="3"/>
        <v>0.1959869342</v>
      </c>
      <c r="J3330" s="2">
        <v>373.0</v>
      </c>
      <c r="K3330" s="3">
        <f t="shared" si="4"/>
        <v>0.174055063</v>
      </c>
      <c r="L3330" s="2">
        <v>261.0</v>
      </c>
      <c r="M3330" s="3">
        <f t="shared" si="5"/>
        <v>0.6214285714</v>
      </c>
      <c r="N3330" s="2">
        <v>2566800.0</v>
      </c>
      <c r="O3330" s="4">
        <f t="shared" si="6"/>
        <v>6111.428571</v>
      </c>
      <c r="P3330" s="2">
        <v>3.0</v>
      </c>
      <c r="Q3330" s="3">
        <f t="shared" si="7"/>
        <v>0.0145631068</v>
      </c>
      <c r="R3330" s="2">
        <v>0.0</v>
      </c>
      <c r="S3330" s="5">
        <f t="shared" si="8"/>
        <v>0</v>
      </c>
    </row>
    <row r="3331">
      <c r="A3331" s="2" t="s">
        <v>3338</v>
      </c>
      <c r="B3331" s="2">
        <v>1519.0</v>
      </c>
      <c r="C3331" s="2">
        <v>17660.0</v>
      </c>
      <c r="D3331" s="2">
        <v>4885.0</v>
      </c>
      <c r="E3331" s="3">
        <f t="shared" si="1"/>
        <v>0.3026454371</v>
      </c>
      <c r="F3331" s="2">
        <v>2124.0</v>
      </c>
      <c r="G3331" s="3">
        <f t="shared" si="2"/>
        <v>0.13159036</v>
      </c>
      <c r="H3331" s="2">
        <v>3305.0</v>
      </c>
      <c r="I3331" s="3">
        <f t="shared" si="3"/>
        <v>0.2047580695</v>
      </c>
      <c r="J3331" s="2">
        <v>2971.0</v>
      </c>
      <c r="K3331" s="3">
        <f t="shared" si="4"/>
        <v>0.1840654235</v>
      </c>
      <c r="L3331" s="2">
        <v>1949.0</v>
      </c>
      <c r="M3331" s="3">
        <f t="shared" si="5"/>
        <v>0.5897125567</v>
      </c>
      <c r="N3331" s="2">
        <v>2.00451E7</v>
      </c>
      <c r="O3331" s="4">
        <f t="shared" si="6"/>
        <v>6065.083207</v>
      </c>
      <c r="P3331" s="2">
        <v>4.0</v>
      </c>
      <c r="Q3331" s="3">
        <f t="shared" si="7"/>
        <v>0.002633311389</v>
      </c>
      <c r="R3331" s="2">
        <v>684.0</v>
      </c>
      <c r="S3331" s="5">
        <f t="shared" si="8"/>
        <v>0.4502962475</v>
      </c>
    </row>
    <row r="3332">
      <c r="A3332" s="2" t="s">
        <v>3339</v>
      </c>
      <c r="B3332" s="2">
        <v>1483.0</v>
      </c>
      <c r="C3332" s="2">
        <v>17161.0</v>
      </c>
      <c r="D3332" s="2">
        <v>5280.0</v>
      </c>
      <c r="E3332" s="3">
        <f t="shared" si="1"/>
        <v>0.3367776502</v>
      </c>
      <c r="F3332" s="2">
        <v>2063.0</v>
      </c>
      <c r="G3332" s="3">
        <f t="shared" si="2"/>
        <v>0.1315856614</v>
      </c>
      <c r="H3332" s="2">
        <v>3308.0</v>
      </c>
      <c r="I3332" s="3">
        <f t="shared" si="3"/>
        <v>0.2109963005</v>
      </c>
      <c r="J3332" s="2">
        <v>3004.0</v>
      </c>
      <c r="K3332" s="3">
        <f t="shared" si="4"/>
        <v>0.1916060722</v>
      </c>
      <c r="L3332" s="2">
        <v>1991.0</v>
      </c>
      <c r="M3332" s="3">
        <f t="shared" si="5"/>
        <v>0.6018742443</v>
      </c>
      <c r="N3332" s="2">
        <v>1.98425E7</v>
      </c>
      <c r="O3332" s="4">
        <f t="shared" si="6"/>
        <v>5998.337364</v>
      </c>
      <c r="P3332" s="2">
        <v>1.0</v>
      </c>
      <c r="Q3332" s="3">
        <f t="shared" si="7"/>
        <v>0.0006743088334</v>
      </c>
      <c r="R3332" s="2">
        <v>0.0</v>
      </c>
      <c r="S3332" s="5">
        <f t="shared" si="8"/>
        <v>0</v>
      </c>
    </row>
    <row r="3333">
      <c r="A3333" s="2" t="s">
        <v>3340</v>
      </c>
      <c r="B3333" s="2">
        <v>370.0</v>
      </c>
      <c r="C3333" s="2">
        <v>4307.0</v>
      </c>
      <c r="D3333" s="2">
        <v>1352.0</v>
      </c>
      <c r="E3333" s="3">
        <f t="shared" si="1"/>
        <v>0.3434086868</v>
      </c>
      <c r="F3333" s="2">
        <v>518.0</v>
      </c>
      <c r="G3333" s="3">
        <f t="shared" si="2"/>
        <v>0.1315722631</v>
      </c>
      <c r="H3333" s="2">
        <v>836.0</v>
      </c>
      <c r="I3333" s="3">
        <f t="shared" si="3"/>
        <v>0.2123444247</v>
      </c>
      <c r="J3333" s="2">
        <v>755.0</v>
      </c>
      <c r="K3333" s="3">
        <f t="shared" si="4"/>
        <v>0.1917703835</v>
      </c>
      <c r="L3333" s="2">
        <v>505.0</v>
      </c>
      <c r="M3333" s="3">
        <f t="shared" si="5"/>
        <v>0.6040669856</v>
      </c>
      <c r="N3333" s="2">
        <v>4927600.0</v>
      </c>
      <c r="O3333" s="4">
        <f t="shared" si="6"/>
        <v>5894.258373</v>
      </c>
      <c r="P3333" s="2">
        <v>0.0</v>
      </c>
      <c r="Q3333" s="3">
        <f t="shared" si="7"/>
        <v>0</v>
      </c>
      <c r="R3333" s="2">
        <v>325.0</v>
      </c>
      <c r="S3333" s="5">
        <f t="shared" si="8"/>
        <v>0.8783783784</v>
      </c>
    </row>
    <row r="3334">
      <c r="A3334" s="2" t="s">
        <v>3341</v>
      </c>
      <c r="B3334" s="2">
        <v>400.0</v>
      </c>
      <c r="C3334" s="2">
        <v>4664.0</v>
      </c>
      <c r="D3334" s="2">
        <v>1695.0</v>
      </c>
      <c r="E3334" s="3">
        <f t="shared" si="1"/>
        <v>0.3975140713</v>
      </c>
      <c r="F3334" s="2">
        <v>561.0</v>
      </c>
      <c r="G3334" s="3">
        <f t="shared" si="2"/>
        <v>0.1315666041</v>
      </c>
      <c r="H3334" s="2">
        <v>873.0</v>
      </c>
      <c r="I3334" s="3">
        <f t="shared" si="3"/>
        <v>0.2047373358</v>
      </c>
      <c r="J3334" s="2">
        <v>782.0</v>
      </c>
      <c r="K3334" s="3">
        <f t="shared" si="4"/>
        <v>0.1833958724</v>
      </c>
      <c r="L3334" s="2">
        <v>518.0</v>
      </c>
      <c r="M3334" s="3">
        <f t="shared" si="5"/>
        <v>0.5933562428</v>
      </c>
      <c r="N3334" s="2">
        <v>4789700.0</v>
      </c>
      <c r="O3334" s="4">
        <f t="shared" si="6"/>
        <v>5486.483391</v>
      </c>
      <c r="P3334" s="2">
        <v>0.0</v>
      </c>
      <c r="Q3334" s="3">
        <f t="shared" si="7"/>
        <v>0</v>
      </c>
      <c r="R3334" s="2">
        <v>400.0</v>
      </c>
      <c r="S3334" s="5">
        <f t="shared" si="8"/>
        <v>1</v>
      </c>
    </row>
    <row r="3335">
      <c r="A3335" s="2" t="s">
        <v>3342</v>
      </c>
      <c r="B3335" s="2">
        <v>181.0</v>
      </c>
      <c r="C3335" s="2">
        <v>2180.0</v>
      </c>
      <c r="D3335" s="2">
        <v>847.0</v>
      </c>
      <c r="E3335" s="3">
        <f t="shared" si="1"/>
        <v>0.4237118559</v>
      </c>
      <c r="F3335" s="2">
        <v>263.0</v>
      </c>
      <c r="G3335" s="3">
        <f t="shared" si="2"/>
        <v>0.1315657829</v>
      </c>
      <c r="H3335" s="2">
        <v>416.0</v>
      </c>
      <c r="I3335" s="3">
        <f t="shared" si="3"/>
        <v>0.208104052</v>
      </c>
      <c r="J3335" s="2">
        <v>289.0</v>
      </c>
      <c r="K3335" s="3">
        <f t="shared" si="4"/>
        <v>0.1445722861</v>
      </c>
      <c r="L3335" s="2">
        <v>241.0</v>
      </c>
      <c r="M3335" s="3">
        <f t="shared" si="5"/>
        <v>0.5793269231</v>
      </c>
      <c r="N3335" s="2">
        <v>2186900.0</v>
      </c>
      <c r="O3335" s="4">
        <f t="shared" si="6"/>
        <v>5256.971154</v>
      </c>
      <c r="P3335" s="2">
        <v>0.0</v>
      </c>
      <c r="Q3335" s="3">
        <f t="shared" si="7"/>
        <v>0</v>
      </c>
      <c r="R3335" s="2">
        <v>0.0</v>
      </c>
      <c r="S3335" s="5">
        <f t="shared" si="8"/>
        <v>0</v>
      </c>
    </row>
    <row r="3336">
      <c r="A3336" s="2" t="s">
        <v>3343</v>
      </c>
      <c r="B3336" s="2">
        <v>1805.0</v>
      </c>
      <c r="C3336" s="2">
        <v>20983.0</v>
      </c>
      <c r="D3336" s="2">
        <v>7261.0</v>
      </c>
      <c r="E3336" s="3">
        <f t="shared" si="1"/>
        <v>0.3786109083</v>
      </c>
      <c r="F3336" s="2">
        <v>2523.0</v>
      </c>
      <c r="G3336" s="3">
        <f t="shared" si="2"/>
        <v>0.1315569924</v>
      </c>
      <c r="H3336" s="2">
        <v>4121.0</v>
      </c>
      <c r="I3336" s="3">
        <f t="shared" si="3"/>
        <v>0.2148816352</v>
      </c>
      <c r="J3336" s="2">
        <v>3111.0</v>
      </c>
      <c r="K3336" s="3">
        <f t="shared" si="4"/>
        <v>0.1622171238</v>
      </c>
      <c r="L3336" s="2">
        <v>2427.0</v>
      </c>
      <c r="M3336" s="3">
        <f t="shared" si="5"/>
        <v>0.5889347246</v>
      </c>
      <c r="N3336" s="2">
        <v>2.33388E7</v>
      </c>
      <c r="O3336" s="4">
        <f t="shared" si="6"/>
        <v>5663.382674</v>
      </c>
      <c r="P3336" s="2">
        <v>5.0</v>
      </c>
      <c r="Q3336" s="3">
        <f t="shared" si="7"/>
        <v>0.002770083102</v>
      </c>
      <c r="R3336" s="2">
        <v>1805.0</v>
      </c>
      <c r="S3336" s="5">
        <f t="shared" si="8"/>
        <v>1</v>
      </c>
    </row>
    <row r="3337">
      <c r="A3337" s="2" t="s">
        <v>3344</v>
      </c>
      <c r="B3337" s="2">
        <v>160.0</v>
      </c>
      <c r="C3337" s="2">
        <v>1954.0</v>
      </c>
      <c r="D3337" s="2">
        <v>652.0</v>
      </c>
      <c r="E3337" s="3">
        <f t="shared" si="1"/>
        <v>0.3634336678</v>
      </c>
      <c r="F3337" s="2">
        <v>236.0</v>
      </c>
      <c r="G3337" s="3">
        <f t="shared" si="2"/>
        <v>0.1315496098</v>
      </c>
      <c r="H3337" s="2">
        <v>377.0</v>
      </c>
      <c r="I3337" s="3">
        <f t="shared" si="3"/>
        <v>0.2101449275</v>
      </c>
      <c r="J3337" s="2">
        <v>255.0</v>
      </c>
      <c r="K3337" s="3">
        <f t="shared" si="4"/>
        <v>0.1421404682</v>
      </c>
      <c r="L3337" s="2">
        <v>237.0</v>
      </c>
      <c r="M3337" s="3">
        <f t="shared" si="5"/>
        <v>0.6286472149</v>
      </c>
      <c r="N3337" s="2">
        <v>2049700.0</v>
      </c>
      <c r="O3337" s="4">
        <f t="shared" si="6"/>
        <v>5436.870027</v>
      </c>
      <c r="P3337" s="2">
        <v>0.0</v>
      </c>
      <c r="Q3337" s="3">
        <f t="shared" si="7"/>
        <v>0</v>
      </c>
      <c r="R3337" s="2">
        <v>160.0</v>
      </c>
      <c r="S3337" s="5">
        <f t="shared" si="8"/>
        <v>1</v>
      </c>
    </row>
    <row r="3338">
      <c r="A3338" s="2" t="s">
        <v>3345</v>
      </c>
      <c r="B3338" s="2">
        <v>1034.0</v>
      </c>
      <c r="C3338" s="2">
        <v>12065.0</v>
      </c>
      <c r="D3338" s="2">
        <v>3825.0</v>
      </c>
      <c r="E3338" s="3">
        <f t="shared" si="1"/>
        <v>0.346750068</v>
      </c>
      <c r="F3338" s="2">
        <v>1451.0</v>
      </c>
      <c r="G3338" s="3">
        <f t="shared" si="2"/>
        <v>0.1315383918</v>
      </c>
      <c r="H3338" s="2">
        <v>2547.0</v>
      </c>
      <c r="I3338" s="3">
        <f t="shared" si="3"/>
        <v>0.2308947512</v>
      </c>
      <c r="J3338" s="2">
        <v>2128.0</v>
      </c>
      <c r="K3338" s="3">
        <f t="shared" si="4"/>
        <v>0.1929108875</v>
      </c>
      <c r="L3338" s="2">
        <v>1492.0</v>
      </c>
      <c r="M3338" s="3">
        <f t="shared" si="5"/>
        <v>0.5857872006</v>
      </c>
      <c r="N3338" s="2">
        <v>1.44189E7</v>
      </c>
      <c r="O3338" s="4">
        <f t="shared" si="6"/>
        <v>5661.130742</v>
      </c>
      <c r="P3338" s="2">
        <v>0.0</v>
      </c>
      <c r="Q3338" s="3">
        <f t="shared" si="7"/>
        <v>0</v>
      </c>
      <c r="R3338" s="2">
        <v>1031.0</v>
      </c>
      <c r="S3338" s="5">
        <f t="shared" si="8"/>
        <v>0.997098646</v>
      </c>
    </row>
    <row r="3339">
      <c r="A3339" s="2" t="s">
        <v>3346</v>
      </c>
      <c r="B3339" s="2">
        <v>461.0</v>
      </c>
      <c r="C3339" s="2">
        <v>5471.0</v>
      </c>
      <c r="D3339" s="2">
        <v>1609.0</v>
      </c>
      <c r="E3339" s="3">
        <f t="shared" si="1"/>
        <v>0.3211576846</v>
      </c>
      <c r="F3339" s="2">
        <v>659.0</v>
      </c>
      <c r="G3339" s="3">
        <f t="shared" si="2"/>
        <v>0.1315369261</v>
      </c>
      <c r="H3339" s="2">
        <v>1059.0</v>
      </c>
      <c r="I3339" s="3">
        <f t="shared" si="3"/>
        <v>0.2113772455</v>
      </c>
      <c r="J3339" s="2">
        <v>792.0</v>
      </c>
      <c r="K3339" s="3">
        <f t="shared" si="4"/>
        <v>0.1580838323</v>
      </c>
      <c r="L3339" s="2">
        <v>639.0</v>
      </c>
      <c r="M3339" s="3">
        <f t="shared" si="5"/>
        <v>0.6033994334</v>
      </c>
      <c r="N3339" s="2">
        <v>6309800.0</v>
      </c>
      <c r="O3339" s="4">
        <f t="shared" si="6"/>
        <v>5958.262512</v>
      </c>
      <c r="P3339" s="2">
        <v>2.0</v>
      </c>
      <c r="Q3339" s="3">
        <f t="shared" si="7"/>
        <v>0.004338394794</v>
      </c>
      <c r="R3339" s="2">
        <v>461.0</v>
      </c>
      <c r="S3339" s="5">
        <f t="shared" si="8"/>
        <v>1</v>
      </c>
    </row>
    <row r="3340">
      <c r="A3340" s="2" t="s">
        <v>3347</v>
      </c>
      <c r="B3340" s="2">
        <v>1632.0</v>
      </c>
      <c r="C3340" s="2">
        <v>19088.0</v>
      </c>
      <c r="D3340" s="2">
        <v>7601.0</v>
      </c>
      <c r="E3340" s="3">
        <f t="shared" si="1"/>
        <v>0.4354376719</v>
      </c>
      <c r="F3340" s="2">
        <v>2296.0</v>
      </c>
      <c r="G3340" s="3">
        <f t="shared" si="2"/>
        <v>0.1315307058</v>
      </c>
      <c r="H3340" s="2">
        <v>3417.0</v>
      </c>
      <c r="I3340" s="3">
        <f t="shared" si="3"/>
        <v>0.1957493126</v>
      </c>
      <c r="J3340" s="2">
        <v>2119.0</v>
      </c>
      <c r="K3340" s="3">
        <f t="shared" si="4"/>
        <v>0.1213909258</v>
      </c>
      <c r="L3340" s="2">
        <v>2106.0</v>
      </c>
      <c r="M3340" s="3">
        <f t="shared" si="5"/>
        <v>0.6163301141</v>
      </c>
      <c r="N3340" s="2">
        <v>2.04613E7</v>
      </c>
      <c r="O3340" s="4">
        <f t="shared" si="6"/>
        <v>5988.088967</v>
      </c>
      <c r="P3340" s="2">
        <v>6.0</v>
      </c>
      <c r="Q3340" s="3">
        <f t="shared" si="7"/>
        <v>0.003676470588</v>
      </c>
      <c r="R3340" s="2">
        <v>1632.0</v>
      </c>
      <c r="S3340" s="5">
        <f t="shared" si="8"/>
        <v>1</v>
      </c>
    </row>
    <row r="3341">
      <c r="A3341" s="2" t="s">
        <v>3348</v>
      </c>
      <c r="B3341" s="2">
        <v>267.0</v>
      </c>
      <c r="C3341" s="2">
        <v>3179.0</v>
      </c>
      <c r="D3341" s="2">
        <v>1133.0</v>
      </c>
      <c r="E3341" s="3">
        <f t="shared" si="1"/>
        <v>0.3890796703</v>
      </c>
      <c r="F3341" s="2">
        <v>383.0</v>
      </c>
      <c r="G3341" s="3">
        <f t="shared" si="2"/>
        <v>0.1315247253</v>
      </c>
      <c r="H3341" s="2">
        <v>575.0</v>
      </c>
      <c r="I3341" s="3">
        <f t="shared" si="3"/>
        <v>0.1974587912</v>
      </c>
      <c r="J3341" s="2">
        <v>488.0</v>
      </c>
      <c r="K3341" s="3">
        <f t="shared" si="4"/>
        <v>0.1675824176</v>
      </c>
      <c r="L3341" s="2">
        <v>370.0</v>
      </c>
      <c r="M3341" s="3">
        <f t="shared" si="5"/>
        <v>0.6434782609</v>
      </c>
      <c r="N3341" s="2">
        <v>3221700.0</v>
      </c>
      <c r="O3341" s="4">
        <f t="shared" si="6"/>
        <v>5602.956522</v>
      </c>
      <c r="P3341" s="2">
        <v>0.0</v>
      </c>
      <c r="Q3341" s="3">
        <f t="shared" si="7"/>
        <v>0</v>
      </c>
      <c r="R3341" s="2">
        <v>267.0</v>
      </c>
      <c r="S3341" s="5">
        <f t="shared" si="8"/>
        <v>1</v>
      </c>
    </row>
    <row r="3342">
      <c r="A3342" s="2" t="s">
        <v>3349</v>
      </c>
      <c r="B3342" s="2">
        <v>1873.0</v>
      </c>
      <c r="C3342" s="2">
        <v>21598.0</v>
      </c>
      <c r="D3342" s="2">
        <v>7958.0</v>
      </c>
      <c r="E3342" s="3">
        <f t="shared" si="1"/>
        <v>0.4034474018</v>
      </c>
      <c r="F3342" s="2">
        <v>2594.0</v>
      </c>
      <c r="G3342" s="3">
        <f t="shared" si="2"/>
        <v>0.1315082383</v>
      </c>
      <c r="H3342" s="2">
        <v>4394.0</v>
      </c>
      <c r="I3342" s="3">
        <f t="shared" si="3"/>
        <v>0.2227629911</v>
      </c>
      <c r="J3342" s="2">
        <v>3649.0</v>
      </c>
      <c r="K3342" s="3">
        <f t="shared" si="4"/>
        <v>0.1849936629</v>
      </c>
      <c r="L3342" s="2">
        <v>2615.0</v>
      </c>
      <c r="M3342" s="3">
        <f t="shared" si="5"/>
        <v>0.5951297223</v>
      </c>
      <c r="N3342" s="2">
        <v>2.52729E7</v>
      </c>
      <c r="O3342" s="4">
        <f t="shared" si="6"/>
        <v>5751.684115</v>
      </c>
      <c r="P3342" s="2">
        <v>4.0</v>
      </c>
      <c r="Q3342" s="3">
        <f t="shared" si="7"/>
        <v>0.002135611319</v>
      </c>
      <c r="R3342" s="2">
        <v>1873.0</v>
      </c>
      <c r="S3342" s="5">
        <f t="shared" si="8"/>
        <v>1</v>
      </c>
    </row>
    <row r="3343">
      <c r="A3343" s="2" t="s">
        <v>3350</v>
      </c>
      <c r="B3343" s="2">
        <v>310.0</v>
      </c>
      <c r="C3343" s="2">
        <v>3595.0</v>
      </c>
      <c r="D3343" s="2">
        <v>1205.0</v>
      </c>
      <c r="E3343" s="3">
        <f t="shared" si="1"/>
        <v>0.3668188737</v>
      </c>
      <c r="F3343" s="2">
        <v>432.0</v>
      </c>
      <c r="G3343" s="3">
        <f t="shared" si="2"/>
        <v>0.1315068493</v>
      </c>
      <c r="H3343" s="2">
        <v>696.0</v>
      </c>
      <c r="I3343" s="3">
        <f t="shared" si="3"/>
        <v>0.2118721461</v>
      </c>
      <c r="J3343" s="2">
        <v>516.0</v>
      </c>
      <c r="K3343" s="3">
        <f t="shared" si="4"/>
        <v>0.1570776256</v>
      </c>
      <c r="L3343" s="2">
        <v>403.0</v>
      </c>
      <c r="M3343" s="3">
        <f t="shared" si="5"/>
        <v>0.5790229885</v>
      </c>
      <c r="N3343" s="2">
        <v>3783800.0</v>
      </c>
      <c r="O3343" s="4">
        <f t="shared" si="6"/>
        <v>5436.494253</v>
      </c>
      <c r="P3343" s="2">
        <v>1.0</v>
      </c>
      <c r="Q3343" s="3">
        <f t="shared" si="7"/>
        <v>0.003225806452</v>
      </c>
      <c r="R3343" s="2">
        <v>310.0</v>
      </c>
      <c r="S3343" s="5">
        <f t="shared" si="8"/>
        <v>1</v>
      </c>
    </row>
    <row r="3344">
      <c r="A3344" s="2" t="s">
        <v>3351</v>
      </c>
      <c r="B3344" s="2">
        <v>5760.0</v>
      </c>
      <c r="C3344" s="2">
        <v>67180.0</v>
      </c>
      <c r="D3344" s="2">
        <v>22053.0</v>
      </c>
      <c r="E3344" s="3">
        <f t="shared" si="1"/>
        <v>0.3590524259</v>
      </c>
      <c r="F3344" s="2">
        <v>8077.0</v>
      </c>
      <c r="G3344" s="3">
        <f t="shared" si="2"/>
        <v>0.131504396</v>
      </c>
      <c r="H3344" s="2">
        <v>13464.0</v>
      </c>
      <c r="I3344" s="3">
        <f t="shared" si="3"/>
        <v>0.2192119831</v>
      </c>
      <c r="J3344" s="2">
        <v>11755.0</v>
      </c>
      <c r="K3344" s="3">
        <f t="shared" si="4"/>
        <v>0.1913871703</v>
      </c>
      <c r="L3344" s="2">
        <v>7989.0</v>
      </c>
      <c r="M3344" s="3">
        <f t="shared" si="5"/>
        <v>0.5933600713</v>
      </c>
      <c r="N3344" s="2">
        <v>7.71477E7</v>
      </c>
      <c r="O3344" s="4">
        <f t="shared" si="6"/>
        <v>5729.924242</v>
      </c>
      <c r="P3344" s="2">
        <v>9.0</v>
      </c>
      <c r="Q3344" s="3">
        <f t="shared" si="7"/>
        <v>0.0015625</v>
      </c>
      <c r="R3344" s="2">
        <v>5760.0</v>
      </c>
      <c r="S3344" s="5">
        <f t="shared" si="8"/>
        <v>1</v>
      </c>
    </row>
    <row r="3345">
      <c r="A3345" s="2" t="s">
        <v>3352</v>
      </c>
      <c r="B3345" s="2">
        <v>125.0</v>
      </c>
      <c r="C3345" s="2">
        <v>1456.0</v>
      </c>
      <c r="D3345" s="2">
        <v>403.0</v>
      </c>
      <c r="E3345" s="3">
        <f t="shared" si="1"/>
        <v>0.3027798648</v>
      </c>
      <c r="F3345" s="2">
        <v>175.0</v>
      </c>
      <c r="G3345" s="3">
        <f t="shared" si="2"/>
        <v>0.1314800902</v>
      </c>
      <c r="H3345" s="2">
        <v>268.0</v>
      </c>
      <c r="I3345" s="3">
        <f t="shared" si="3"/>
        <v>0.2013523666</v>
      </c>
      <c r="J3345" s="2">
        <v>210.0</v>
      </c>
      <c r="K3345" s="3">
        <f t="shared" si="4"/>
        <v>0.1577761082</v>
      </c>
      <c r="L3345" s="2">
        <v>170.0</v>
      </c>
      <c r="M3345" s="3">
        <f t="shared" si="5"/>
        <v>0.6343283582</v>
      </c>
      <c r="N3345" s="2">
        <v>1465300.0</v>
      </c>
      <c r="O3345" s="4">
        <f t="shared" si="6"/>
        <v>5467.537313</v>
      </c>
      <c r="P3345" s="2">
        <v>1.0</v>
      </c>
      <c r="Q3345" s="3">
        <f t="shared" si="7"/>
        <v>0.008</v>
      </c>
      <c r="R3345" s="2">
        <v>125.0</v>
      </c>
      <c r="S3345" s="5">
        <f t="shared" si="8"/>
        <v>1</v>
      </c>
    </row>
    <row r="3346">
      <c r="A3346" s="2" t="s">
        <v>3353</v>
      </c>
      <c r="B3346" s="2">
        <v>2328.0</v>
      </c>
      <c r="C3346" s="2">
        <v>27087.0</v>
      </c>
      <c r="D3346" s="2">
        <v>8683.0</v>
      </c>
      <c r="E3346" s="3">
        <f t="shared" si="1"/>
        <v>0.3507007553</v>
      </c>
      <c r="F3346" s="2">
        <v>3255.0</v>
      </c>
      <c r="G3346" s="3">
        <f t="shared" si="2"/>
        <v>0.1314673452</v>
      </c>
      <c r="H3346" s="2">
        <v>5149.0</v>
      </c>
      <c r="I3346" s="3">
        <f t="shared" si="3"/>
        <v>0.2079647805</v>
      </c>
      <c r="J3346" s="2">
        <v>4348.0</v>
      </c>
      <c r="K3346" s="3">
        <f t="shared" si="4"/>
        <v>0.1756129084</v>
      </c>
      <c r="L3346" s="2">
        <v>3107.0</v>
      </c>
      <c r="M3346" s="3">
        <f t="shared" si="5"/>
        <v>0.6034181394</v>
      </c>
      <c r="N3346" s="2">
        <v>2.98712E7</v>
      </c>
      <c r="O3346" s="4">
        <f t="shared" si="6"/>
        <v>5801.359487</v>
      </c>
      <c r="P3346" s="2">
        <v>3.0</v>
      </c>
      <c r="Q3346" s="3">
        <f t="shared" si="7"/>
        <v>0.001288659794</v>
      </c>
      <c r="R3346" s="2">
        <v>2328.0</v>
      </c>
      <c r="S3346" s="5">
        <f t="shared" si="8"/>
        <v>1</v>
      </c>
    </row>
    <row r="3347">
      <c r="A3347" s="2" t="s">
        <v>3354</v>
      </c>
      <c r="B3347" s="2">
        <v>3094.0</v>
      </c>
      <c r="C3347" s="2">
        <v>36389.0</v>
      </c>
      <c r="D3347" s="2">
        <v>12600.0</v>
      </c>
      <c r="E3347" s="3">
        <f t="shared" si="1"/>
        <v>0.3784352005</v>
      </c>
      <c r="F3347" s="2">
        <v>4377.0</v>
      </c>
      <c r="G3347" s="3">
        <f t="shared" si="2"/>
        <v>0.1314611804</v>
      </c>
      <c r="H3347" s="2">
        <v>7281.0</v>
      </c>
      <c r="I3347" s="3">
        <f t="shared" si="3"/>
        <v>0.2186814837</v>
      </c>
      <c r="J3347" s="2">
        <v>5611.0</v>
      </c>
      <c r="K3347" s="3">
        <f t="shared" si="4"/>
        <v>0.1685238024</v>
      </c>
      <c r="L3347" s="2">
        <v>4352.0</v>
      </c>
      <c r="M3347" s="3">
        <f t="shared" si="5"/>
        <v>0.5977200934</v>
      </c>
      <c r="N3347" s="2">
        <v>3.99678E7</v>
      </c>
      <c r="O3347" s="4">
        <f t="shared" si="6"/>
        <v>5489.328389</v>
      </c>
      <c r="P3347" s="2">
        <v>2.0</v>
      </c>
      <c r="Q3347" s="3">
        <f t="shared" si="7"/>
        <v>0.0006464124111</v>
      </c>
      <c r="R3347" s="2">
        <v>3094.0</v>
      </c>
      <c r="S3347" s="5">
        <f t="shared" si="8"/>
        <v>1</v>
      </c>
    </row>
    <row r="3348">
      <c r="A3348" s="2" t="s">
        <v>3355</v>
      </c>
      <c r="B3348" s="2">
        <v>84.0</v>
      </c>
      <c r="C3348" s="2">
        <v>974.0</v>
      </c>
      <c r="D3348" s="2">
        <v>302.0</v>
      </c>
      <c r="E3348" s="3">
        <f t="shared" si="1"/>
        <v>0.3393258427</v>
      </c>
      <c r="F3348" s="2">
        <v>117.0</v>
      </c>
      <c r="G3348" s="3">
        <f t="shared" si="2"/>
        <v>0.1314606742</v>
      </c>
      <c r="H3348" s="2">
        <v>174.0</v>
      </c>
      <c r="I3348" s="3">
        <f t="shared" si="3"/>
        <v>0.195505618</v>
      </c>
      <c r="J3348" s="2">
        <v>149.0</v>
      </c>
      <c r="K3348" s="3">
        <f t="shared" si="4"/>
        <v>0.1674157303</v>
      </c>
      <c r="L3348" s="2">
        <v>100.0</v>
      </c>
      <c r="M3348" s="3">
        <f t="shared" si="5"/>
        <v>0.5747126437</v>
      </c>
      <c r="N3348" s="2">
        <v>1038200.0</v>
      </c>
      <c r="O3348" s="4">
        <f t="shared" si="6"/>
        <v>5966.666667</v>
      </c>
      <c r="P3348" s="2">
        <v>0.0</v>
      </c>
      <c r="Q3348" s="3">
        <f t="shared" si="7"/>
        <v>0</v>
      </c>
      <c r="R3348" s="2">
        <v>84.0</v>
      </c>
      <c r="S3348" s="5">
        <f t="shared" si="8"/>
        <v>1</v>
      </c>
    </row>
    <row r="3349">
      <c r="A3349" s="2" t="s">
        <v>3356</v>
      </c>
      <c r="B3349" s="2">
        <v>58.0</v>
      </c>
      <c r="C3349" s="2">
        <v>697.0</v>
      </c>
      <c r="D3349" s="2">
        <v>218.0</v>
      </c>
      <c r="E3349" s="3">
        <f t="shared" si="1"/>
        <v>0.3411580595</v>
      </c>
      <c r="F3349" s="2">
        <v>84.0</v>
      </c>
      <c r="G3349" s="3">
        <f t="shared" si="2"/>
        <v>0.1314553991</v>
      </c>
      <c r="H3349" s="2">
        <v>108.0</v>
      </c>
      <c r="I3349" s="3">
        <f t="shared" si="3"/>
        <v>0.1690140845</v>
      </c>
      <c r="J3349" s="2">
        <v>82.0</v>
      </c>
      <c r="K3349" s="3">
        <f t="shared" si="4"/>
        <v>0.1283255086</v>
      </c>
      <c r="L3349" s="2">
        <v>64.0</v>
      </c>
      <c r="M3349" s="3">
        <f t="shared" si="5"/>
        <v>0.5925925926</v>
      </c>
      <c r="N3349" s="2">
        <v>596100.0</v>
      </c>
      <c r="O3349" s="4">
        <f t="shared" si="6"/>
        <v>5519.444444</v>
      </c>
      <c r="P3349" s="2">
        <v>0.0</v>
      </c>
      <c r="Q3349" s="3">
        <f t="shared" si="7"/>
        <v>0</v>
      </c>
      <c r="R3349" s="2">
        <v>58.0</v>
      </c>
      <c r="S3349" s="5">
        <f t="shared" si="8"/>
        <v>1</v>
      </c>
    </row>
    <row r="3350">
      <c r="A3350" s="2" t="s">
        <v>3357</v>
      </c>
      <c r="B3350" s="2">
        <v>452.0</v>
      </c>
      <c r="C3350" s="2">
        <v>5245.0</v>
      </c>
      <c r="D3350" s="2">
        <v>1277.0</v>
      </c>
      <c r="E3350" s="3">
        <f t="shared" si="1"/>
        <v>0.2664302107</v>
      </c>
      <c r="F3350" s="2">
        <v>630.0</v>
      </c>
      <c r="G3350" s="3">
        <f t="shared" si="2"/>
        <v>0.1314416858</v>
      </c>
      <c r="H3350" s="2">
        <v>1006.0</v>
      </c>
      <c r="I3350" s="3">
        <f t="shared" si="3"/>
        <v>0.2098894221</v>
      </c>
      <c r="J3350" s="2">
        <v>1018.0</v>
      </c>
      <c r="K3350" s="3">
        <f t="shared" si="4"/>
        <v>0.2123930732</v>
      </c>
      <c r="L3350" s="2">
        <v>572.0</v>
      </c>
      <c r="M3350" s="3">
        <f t="shared" si="5"/>
        <v>0.5685884692</v>
      </c>
      <c r="N3350" s="2">
        <v>6318100.0</v>
      </c>
      <c r="O3350" s="4">
        <f t="shared" si="6"/>
        <v>6280.417495</v>
      </c>
      <c r="P3350" s="2">
        <v>1.0</v>
      </c>
      <c r="Q3350" s="3">
        <f t="shared" si="7"/>
        <v>0.002212389381</v>
      </c>
      <c r="R3350" s="2">
        <v>452.0</v>
      </c>
      <c r="S3350" s="5">
        <f t="shared" si="8"/>
        <v>1</v>
      </c>
    </row>
    <row r="3351">
      <c r="A3351" s="2" t="s">
        <v>3358</v>
      </c>
      <c r="B3351" s="2">
        <v>120.0</v>
      </c>
      <c r="C3351" s="2">
        <v>1345.0</v>
      </c>
      <c r="D3351" s="2">
        <v>433.0</v>
      </c>
      <c r="E3351" s="3">
        <f t="shared" si="1"/>
        <v>0.3534693878</v>
      </c>
      <c r="F3351" s="2">
        <v>161.0</v>
      </c>
      <c r="G3351" s="3">
        <f t="shared" si="2"/>
        <v>0.1314285714</v>
      </c>
      <c r="H3351" s="2">
        <v>263.0</v>
      </c>
      <c r="I3351" s="3">
        <f t="shared" si="3"/>
        <v>0.2146938776</v>
      </c>
      <c r="J3351" s="2">
        <v>226.0</v>
      </c>
      <c r="K3351" s="3">
        <f t="shared" si="4"/>
        <v>0.1844897959</v>
      </c>
      <c r="L3351" s="2">
        <v>153.0</v>
      </c>
      <c r="M3351" s="3">
        <f t="shared" si="5"/>
        <v>0.5817490494</v>
      </c>
      <c r="N3351" s="2">
        <v>1572900.0</v>
      </c>
      <c r="O3351" s="4">
        <f t="shared" si="6"/>
        <v>5980.608365</v>
      </c>
      <c r="P3351" s="2">
        <v>1.0</v>
      </c>
      <c r="Q3351" s="3">
        <f t="shared" si="7"/>
        <v>0.008333333333</v>
      </c>
      <c r="R3351" s="2">
        <v>120.0</v>
      </c>
      <c r="S3351" s="5">
        <f t="shared" si="8"/>
        <v>1</v>
      </c>
    </row>
    <row r="3352">
      <c r="A3352" s="2" t="s">
        <v>3359</v>
      </c>
      <c r="B3352" s="2">
        <v>111.0</v>
      </c>
      <c r="C3352" s="2">
        <v>1298.0</v>
      </c>
      <c r="D3352" s="2">
        <v>313.0</v>
      </c>
      <c r="E3352" s="3">
        <f t="shared" si="1"/>
        <v>0.2636899747</v>
      </c>
      <c r="F3352" s="2">
        <v>156.0</v>
      </c>
      <c r="G3352" s="3">
        <f t="shared" si="2"/>
        <v>0.1314237574</v>
      </c>
      <c r="H3352" s="2">
        <v>236.0</v>
      </c>
      <c r="I3352" s="3">
        <f t="shared" si="3"/>
        <v>0.198820556</v>
      </c>
      <c r="J3352" s="2">
        <v>197.0</v>
      </c>
      <c r="K3352" s="3">
        <f t="shared" si="4"/>
        <v>0.1659646167</v>
      </c>
      <c r="L3352" s="2">
        <v>140.0</v>
      </c>
      <c r="M3352" s="3">
        <f t="shared" si="5"/>
        <v>0.593220339</v>
      </c>
      <c r="N3352" s="2">
        <v>1306800.0</v>
      </c>
      <c r="O3352" s="4">
        <f t="shared" si="6"/>
        <v>5537.288136</v>
      </c>
      <c r="P3352" s="2">
        <v>0.0</v>
      </c>
      <c r="Q3352" s="3">
        <f t="shared" si="7"/>
        <v>0</v>
      </c>
      <c r="R3352" s="2">
        <v>111.0</v>
      </c>
      <c r="S3352" s="5">
        <f t="shared" si="8"/>
        <v>1</v>
      </c>
    </row>
    <row r="3353">
      <c r="A3353" s="2" t="s">
        <v>3360</v>
      </c>
      <c r="B3353" s="2">
        <v>968.0</v>
      </c>
      <c r="C3353" s="2">
        <v>11317.0</v>
      </c>
      <c r="D3353" s="2">
        <v>4180.0</v>
      </c>
      <c r="E3353" s="3">
        <f t="shared" si="1"/>
        <v>0.4039037588</v>
      </c>
      <c r="F3353" s="2">
        <v>1360.0</v>
      </c>
      <c r="G3353" s="3">
        <f t="shared" si="2"/>
        <v>0.1314136632</v>
      </c>
      <c r="H3353" s="2">
        <v>2279.0</v>
      </c>
      <c r="I3353" s="3">
        <f t="shared" si="3"/>
        <v>0.2202145135</v>
      </c>
      <c r="J3353" s="2">
        <v>2062.0</v>
      </c>
      <c r="K3353" s="3">
        <f t="shared" si="4"/>
        <v>0.199246304</v>
      </c>
      <c r="L3353" s="2">
        <v>1377.0</v>
      </c>
      <c r="M3353" s="3">
        <f t="shared" si="5"/>
        <v>0.6042123738</v>
      </c>
      <c r="N3353" s="2">
        <v>1.34763E7</v>
      </c>
      <c r="O3353" s="4">
        <f t="shared" si="6"/>
        <v>5913.251426</v>
      </c>
      <c r="P3353" s="2">
        <v>1.0</v>
      </c>
      <c r="Q3353" s="3">
        <f t="shared" si="7"/>
        <v>0.001033057851</v>
      </c>
      <c r="R3353" s="2">
        <v>657.0</v>
      </c>
      <c r="S3353" s="5">
        <f t="shared" si="8"/>
        <v>0.6787190083</v>
      </c>
    </row>
    <row r="3354">
      <c r="A3354" s="2" t="s">
        <v>3361</v>
      </c>
      <c r="B3354" s="2">
        <v>700.0</v>
      </c>
      <c r="C3354" s="2">
        <v>8089.0</v>
      </c>
      <c r="D3354" s="2">
        <v>2249.0</v>
      </c>
      <c r="E3354" s="3">
        <f t="shared" si="1"/>
        <v>0.3043713628</v>
      </c>
      <c r="F3354" s="2">
        <v>971.0</v>
      </c>
      <c r="G3354" s="3">
        <f t="shared" si="2"/>
        <v>0.1314115577</v>
      </c>
      <c r="H3354" s="2">
        <v>1520.0</v>
      </c>
      <c r="I3354" s="3">
        <f t="shared" si="3"/>
        <v>0.2057111923</v>
      </c>
      <c r="J3354" s="2">
        <v>1388.0</v>
      </c>
      <c r="K3354" s="3">
        <f t="shared" si="4"/>
        <v>0.1878467993</v>
      </c>
      <c r="L3354" s="2">
        <v>892.0</v>
      </c>
      <c r="M3354" s="3">
        <f t="shared" si="5"/>
        <v>0.5868421053</v>
      </c>
      <c r="N3354" s="2">
        <v>8960800.0</v>
      </c>
      <c r="O3354" s="4">
        <f t="shared" si="6"/>
        <v>5895.263158</v>
      </c>
      <c r="P3354" s="2">
        <v>2.0</v>
      </c>
      <c r="Q3354" s="3">
        <f t="shared" si="7"/>
        <v>0.002857142857</v>
      </c>
      <c r="R3354" s="2">
        <v>700.0</v>
      </c>
      <c r="S3354" s="5">
        <f t="shared" si="8"/>
        <v>1</v>
      </c>
    </row>
    <row r="3355">
      <c r="A3355" s="2" t="s">
        <v>3362</v>
      </c>
      <c r="B3355" s="2">
        <v>28.0</v>
      </c>
      <c r="C3355" s="2">
        <v>340.0</v>
      </c>
      <c r="D3355" s="2">
        <v>141.0</v>
      </c>
      <c r="E3355" s="3">
        <f t="shared" si="1"/>
        <v>0.4519230769</v>
      </c>
      <c r="F3355" s="2">
        <v>41.0</v>
      </c>
      <c r="G3355" s="3">
        <f t="shared" si="2"/>
        <v>0.1314102564</v>
      </c>
      <c r="H3355" s="2">
        <v>69.0</v>
      </c>
      <c r="I3355" s="3">
        <f t="shared" si="3"/>
        <v>0.2211538462</v>
      </c>
      <c r="J3355" s="2">
        <v>47.0</v>
      </c>
      <c r="K3355" s="3">
        <f t="shared" si="4"/>
        <v>0.1506410256</v>
      </c>
      <c r="L3355" s="2">
        <v>41.0</v>
      </c>
      <c r="M3355" s="3">
        <f t="shared" si="5"/>
        <v>0.5942028986</v>
      </c>
      <c r="N3355" s="2">
        <v>394000.0</v>
      </c>
      <c r="O3355" s="4">
        <f t="shared" si="6"/>
        <v>5710.144928</v>
      </c>
      <c r="P3355" s="2">
        <v>0.0</v>
      </c>
      <c r="Q3355" s="3">
        <f t="shared" si="7"/>
        <v>0</v>
      </c>
      <c r="R3355" s="2">
        <v>28.0</v>
      </c>
      <c r="S3355" s="5">
        <f t="shared" si="8"/>
        <v>1</v>
      </c>
    </row>
    <row r="3356">
      <c r="A3356" s="2" t="s">
        <v>3363</v>
      </c>
      <c r="B3356" s="2">
        <v>678.0</v>
      </c>
      <c r="C3356" s="2">
        <v>7991.0</v>
      </c>
      <c r="D3356" s="2">
        <v>2327.0</v>
      </c>
      <c r="E3356" s="3">
        <f t="shared" si="1"/>
        <v>0.3182004649</v>
      </c>
      <c r="F3356" s="2">
        <v>961.0</v>
      </c>
      <c r="G3356" s="3">
        <f t="shared" si="2"/>
        <v>0.1314098181</v>
      </c>
      <c r="H3356" s="2">
        <v>1513.0</v>
      </c>
      <c r="I3356" s="3">
        <f t="shared" si="3"/>
        <v>0.2068918365</v>
      </c>
      <c r="J3356" s="2">
        <v>1203.0</v>
      </c>
      <c r="K3356" s="3">
        <f t="shared" si="4"/>
        <v>0.1645015725</v>
      </c>
      <c r="L3356" s="2">
        <v>902.0</v>
      </c>
      <c r="M3356" s="3">
        <f t="shared" si="5"/>
        <v>0.5961665565</v>
      </c>
      <c r="N3356" s="2">
        <v>8596100.0</v>
      </c>
      <c r="O3356" s="4">
        <f t="shared" si="6"/>
        <v>5681.493721</v>
      </c>
      <c r="P3356" s="2">
        <v>0.0</v>
      </c>
      <c r="Q3356" s="3">
        <f t="shared" si="7"/>
        <v>0</v>
      </c>
      <c r="R3356" s="2">
        <v>225.0</v>
      </c>
      <c r="S3356" s="5">
        <f t="shared" si="8"/>
        <v>0.3318584071</v>
      </c>
    </row>
    <row r="3357">
      <c r="A3357" s="2" t="s">
        <v>3364</v>
      </c>
      <c r="B3357" s="2">
        <v>326.0</v>
      </c>
      <c r="C3357" s="2">
        <v>3720.0</v>
      </c>
      <c r="D3357" s="2">
        <v>1117.0</v>
      </c>
      <c r="E3357" s="3">
        <f t="shared" si="1"/>
        <v>0.3291101945</v>
      </c>
      <c r="F3357" s="2">
        <v>446.0</v>
      </c>
      <c r="G3357" s="3">
        <f t="shared" si="2"/>
        <v>0.1314083677</v>
      </c>
      <c r="H3357" s="2">
        <v>715.0</v>
      </c>
      <c r="I3357" s="3">
        <f t="shared" si="3"/>
        <v>0.210665881</v>
      </c>
      <c r="J3357" s="2">
        <v>637.0</v>
      </c>
      <c r="K3357" s="3">
        <f t="shared" si="4"/>
        <v>0.1876841485</v>
      </c>
      <c r="L3357" s="2">
        <v>425.0</v>
      </c>
      <c r="M3357" s="3">
        <f t="shared" si="5"/>
        <v>0.5944055944</v>
      </c>
      <c r="N3357" s="2">
        <v>4141300.0</v>
      </c>
      <c r="O3357" s="4">
        <f t="shared" si="6"/>
        <v>5792.027972</v>
      </c>
      <c r="P3357" s="2">
        <v>0.0</v>
      </c>
      <c r="Q3357" s="3">
        <f t="shared" si="7"/>
        <v>0</v>
      </c>
      <c r="R3357" s="2">
        <v>326.0</v>
      </c>
      <c r="S3357" s="5">
        <f t="shared" si="8"/>
        <v>1</v>
      </c>
    </row>
    <row r="3358">
      <c r="A3358" s="2" t="s">
        <v>3365</v>
      </c>
      <c r="B3358" s="2">
        <v>1264.0</v>
      </c>
      <c r="C3358" s="2">
        <v>14764.0</v>
      </c>
      <c r="D3358" s="2">
        <v>4258.0</v>
      </c>
      <c r="E3358" s="3">
        <f t="shared" si="1"/>
        <v>0.3154074074</v>
      </c>
      <c r="F3358" s="2">
        <v>1774.0</v>
      </c>
      <c r="G3358" s="3">
        <f t="shared" si="2"/>
        <v>0.1314074074</v>
      </c>
      <c r="H3358" s="2">
        <v>2818.0</v>
      </c>
      <c r="I3358" s="3">
        <f t="shared" si="3"/>
        <v>0.2087407407</v>
      </c>
      <c r="J3358" s="2">
        <v>2197.0</v>
      </c>
      <c r="K3358" s="3">
        <f t="shared" si="4"/>
        <v>0.1627407407</v>
      </c>
      <c r="L3358" s="2">
        <v>1690.0</v>
      </c>
      <c r="M3358" s="3">
        <f t="shared" si="5"/>
        <v>0.5997161107</v>
      </c>
      <c r="N3358" s="2">
        <v>1.64927E7</v>
      </c>
      <c r="O3358" s="4">
        <f t="shared" si="6"/>
        <v>5852.625976</v>
      </c>
      <c r="P3358" s="2">
        <v>2.0</v>
      </c>
      <c r="Q3358" s="3">
        <f t="shared" si="7"/>
        <v>0.001582278481</v>
      </c>
      <c r="R3358" s="2">
        <v>984.0</v>
      </c>
      <c r="S3358" s="5">
        <f t="shared" si="8"/>
        <v>0.7784810127</v>
      </c>
    </row>
    <row r="3359">
      <c r="A3359" s="2" t="s">
        <v>3366</v>
      </c>
      <c r="B3359" s="2">
        <v>101.0</v>
      </c>
      <c r="C3359" s="2">
        <v>1174.0</v>
      </c>
      <c r="D3359" s="2">
        <v>406.0</v>
      </c>
      <c r="E3359" s="3">
        <f t="shared" si="1"/>
        <v>0.3783783784</v>
      </c>
      <c r="F3359" s="2">
        <v>141.0</v>
      </c>
      <c r="G3359" s="3">
        <f t="shared" si="2"/>
        <v>0.1314072693</v>
      </c>
      <c r="H3359" s="2">
        <v>208.0</v>
      </c>
      <c r="I3359" s="3">
        <f t="shared" si="3"/>
        <v>0.1938490214</v>
      </c>
      <c r="J3359" s="2">
        <v>161.0</v>
      </c>
      <c r="K3359" s="3">
        <f t="shared" si="4"/>
        <v>0.1500465983</v>
      </c>
      <c r="L3359" s="2">
        <v>109.0</v>
      </c>
      <c r="M3359" s="3">
        <f t="shared" si="5"/>
        <v>0.5240384615</v>
      </c>
      <c r="N3359" s="2">
        <v>1142000.0</v>
      </c>
      <c r="O3359" s="4">
        <f t="shared" si="6"/>
        <v>5490.384615</v>
      </c>
      <c r="P3359" s="2">
        <v>0.0</v>
      </c>
      <c r="Q3359" s="3">
        <f t="shared" si="7"/>
        <v>0</v>
      </c>
      <c r="R3359" s="2">
        <v>101.0</v>
      </c>
      <c r="S3359" s="5">
        <f t="shared" si="8"/>
        <v>1</v>
      </c>
    </row>
    <row r="3360">
      <c r="A3360" s="2" t="s">
        <v>3367</v>
      </c>
      <c r="B3360" s="2">
        <v>878.0</v>
      </c>
      <c r="C3360" s="2">
        <v>10322.0</v>
      </c>
      <c r="D3360" s="2">
        <v>3219.0</v>
      </c>
      <c r="E3360" s="3">
        <f t="shared" si="1"/>
        <v>0.3408513342</v>
      </c>
      <c r="F3360" s="2">
        <v>1241.0</v>
      </c>
      <c r="G3360" s="3">
        <f t="shared" si="2"/>
        <v>0.1314061838</v>
      </c>
      <c r="H3360" s="2">
        <v>2014.0</v>
      </c>
      <c r="I3360" s="3">
        <f t="shared" si="3"/>
        <v>0.2132570945</v>
      </c>
      <c r="J3360" s="2">
        <v>1570.0</v>
      </c>
      <c r="K3360" s="3">
        <f t="shared" si="4"/>
        <v>0.1662431173</v>
      </c>
      <c r="L3360" s="2">
        <v>1233.0</v>
      </c>
      <c r="M3360" s="3">
        <f t="shared" si="5"/>
        <v>0.6122144985</v>
      </c>
      <c r="N3360" s="2">
        <v>1.13742E7</v>
      </c>
      <c r="O3360" s="4">
        <f t="shared" si="6"/>
        <v>5647.567031</v>
      </c>
      <c r="P3360" s="2">
        <v>5.0</v>
      </c>
      <c r="Q3360" s="3">
        <f t="shared" si="7"/>
        <v>0.00569476082</v>
      </c>
      <c r="R3360" s="2">
        <v>0.0</v>
      </c>
      <c r="S3360" s="5">
        <f t="shared" si="8"/>
        <v>0</v>
      </c>
    </row>
    <row r="3361">
      <c r="A3361" s="2" t="s">
        <v>3368</v>
      </c>
      <c r="B3361" s="2">
        <v>1220.0</v>
      </c>
      <c r="C3361" s="2">
        <v>14294.0</v>
      </c>
      <c r="D3361" s="2">
        <v>4661.0</v>
      </c>
      <c r="E3361" s="3">
        <f t="shared" si="1"/>
        <v>0.356509102</v>
      </c>
      <c r="F3361" s="2">
        <v>1718.0</v>
      </c>
      <c r="G3361" s="3">
        <f t="shared" si="2"/>
        <v>0.1314058437</v>
      </c>
      <c r="H3361" s="2">
        <v>2761.0</v>
      </c>
      <c r="I3361" s="3">
        <f t="shared" si="3"/>
        <v>0.2111824996</v>
      </c>
      <c r="J3361" s="2">
        <v>2303.0</v>
      </c>
      <c r="K3361" s="3">
        <f t="shared" si="4"/>
        <v>0.1761511397</v>
      </c>
      <c r="L3361" s="2">
        <v>1721.0</v>
      </c>
      <c r="M3361" s="3">
        <f t="shared" si="5"/>
        <v>0.6233248823</v>
      </c>
      <c r="N3361" s="2">
        <v>1.57501E7</v>
      </c>
      <c r="O3361" s="4">
        <f t="shared" si="6"/>
        <v>5704.491126</v>
      </c>
      <c r="P3361" s="2">
        <v>6.0</v>
      </c>
      <c r="Q3361" s="3">
        <f t="shared" si="7"/>
        <v>0.004918032787</v>
      </c>
      <c r="R3361" s="2">
        <v>1111.0</v>
      </c>
      <c r="S3361" s="5">
        <f t="shared" si="8"/>
        <v>0.9106557377</v>
      </c>
    </row>
    <row r="3362">
      <c r="A3362" s="2" t="s">
        <v>3369</v>
      </c>
      <c r="B3362" s="2">
        <v>67.0</v>
      </c>
      <c r="C3362" s="2">
        <v>790.0</v>
      </c>
      <c r="D3362" s="2">
        <v>282.0</v>
      </c>
      <c r="E3362" s="3">
        <f t="shared" si="1"/>
        <v>0.3900414938</v>
      </c>
      <c r="F3362" s="2">
        <v>95.0</v>
      </c>
      <c r="G3362" s="3">
        <f t="shared" si="2"/>
        <v>0.1313969571</v>
      </c>
      <c r="H3362" s="2">
        <v>146.0</v>
      </c>
      <c r="I3362" s="3">
        <f t="shared" si="3"/>
        <v>0.2019363762</v>
      </c>
      <c r="J3362" s="2">
        <v>111.0</v>
      </c>
      <c r="K3362" s="3">
        <f t="shared" si="4"/>
        <v>0.153526971</v>
      </c>
      <c r="L3362" s="2">
        <v>91.0</v>
      </c>
      <c r="M3362" s="3">
        <f t="shared" si="5"/>
        <v>0.6232876712</v>
      </c>
      <c r="N3362" s="2">
        <v>825000.0</v>
      </c>
      <c r="O3362" s="4">
        <f t="shared" si="6"/>
        <v>5650.684932</v>
      </c>
      <c r="P3362" s="2">
        <v>0.0</v>
      </c>
      <c r="Q3362" s="3">
        <f t="shared" si="7"/>
        <v>0</v>
      </c>
      <c r="R3362" s="2">
        <v>67.0</v>
      </c>
      <c r="S3362" s="5">
        <f t="shared" si="8"/>
        <v>1</v>
      </c>
    </row>
    <row r="3363">
      <c r="A3363" s="2" t="s">
        <v>3370</v>
      </c>
      <c r="B3363" s="2">
        <v>1580.0</v>
      </c>
      <c r="C3363" s="2">
        <v>18187.0</v>
      </c>
      <c r="D3363" s="2">
        <v>5838.0</v>
      </c>
      <c r="E3363" s="3">
        <f t="shared" si="1"/>
        <v>0.3515385079</v>
      </c>
      <c r="F3363" s="2">
        <v>2182.0</v>
      </c>
      <c r="G3363" s="3">
        <f t="shared" si="2"/>
        <v>0.1313903776</v>
      </c>
      <c r="H3363" s="2">
        <v>3633.0</v>
      </c>
      <c r="I3363" s="3">
        <f t="shared" si="3"/>
        <v>0.2187631722</v>
      </c>
      <c r="J3363" s="2">
        <v>3114.0</v>
      </c>
      <c r="K3363" s="3">
        <f t="shared" si="4"/>
        <v>0.1875112904</v>
      </c>
      <c r="L3363" s="2">
        <v>2146.0</v>
      </c>
      <c r="M3363" s="3">
        <f t="shared" si="5"/>
        <v>0.5906963942</v>
      </c>
      <c r="N3363" s="2">
        <v>2.11392E7</v>
      </c>
      <c r="O3363" s="4">
        <f t="shared" si="6"/>
        <v>5818.662263</v>
      </c>
      <c r="P3363" s="2">
        <v>7.0</v>
      </c>
      <c r="Q3363" s="3">
        <f t="shared" si="7"/>
        <v>0.004430379747</v>
      </c>
      <c r="R3363" s="2">
        <v>546.0</v>
      </c>
      <c r="S3363" s="5">
        <f t="shared" si="8"/>
        <v>0.3455696203</v>
      </c>
    </row>
    <row r="3364">
      <c r="A3364" s="2" t="s">
        <v>3371</v>
      </c>
      <c r="B3364" s="2">
        <v>825.0</v>
      </c>
      <c r="C3364" s="2">
        <v>9768.0</v>
      </c>
      <c r="D3364" s="2">
        <v>3464.0</v>
      </c>
      <c r="E3364" s="3">
        <f t="shared" si="1"/>
        <v>0.3873420552</v>
      </c>
      <c r="F3364" s="2">
        <v>1175.0</v>
      </c>
      <c r="G3364" s="3">
        <f t="shared" si="2"/>
        <v>0.1313876775</v>
      </c>
      <c r="H3364" s="2">
        <v>1913.0</v>
      </c>
      <c r="I3364" s="3">
        <f t="shared" si="3"/>
        <v>0.2139103209</v>
      </c>
      <c r="J3364" s="2">
        <v>1418.0</v>
      </c>
      <c r="K3364" s="3">
        <f t="shared" si="4"/>
        <v>0.1585597674</v>
      </c>
      <c r="L3364" s="2">
        <v>1101.0</v>
      </c>
      <c r="M3364" s="3">
        <f t="shared" si="5"/>
        <v>0.5755358076</v>
      </c>
      <c r="N3364" s="2">
        <v>1.02196E7</v>
      </c>
      <c r="O3364" s="4">
        <f t="shared" si="6"/>
        <v>5342.18505</v>
      </c>
      <c r="P3364" s="2">
        <v>3.0</v>
      </c>
      <c r="Q3364" s="3">
        <f t="shared" si="7"/>
        <v>0.003636363636</v>
      </c>
      <c r="R3364" s="2">
        <v>825.0</v>
      </c>
      <c r="S3364" s="5">
        <f t="shared" si="8"/>
        <v>1</v>
      </c>
    </row>
    <row r="3365">
      <c r="A3365" s="2" t="s">
        <v>3372</v>
      </c>
      <c r="B3365" s="2">
        <v>12.0</v>
      </c>
      <c r="C3365" s="2">
        <v>149.0</v>
      </c>
      <c r="D3365" s="2">
        <v>55.0</v>
      </c>
      <c r="E3365" s="3">
        <f t="shared" si="1"/>
        <v>0.401459854</v>
      </c>
      <c r="F3365" s="2">
        <v>18.0</v>
      </c>
      <c r="G3365" s="3">
        <f t="shared" si="2"/>
        <v>0.1313868613</v>
      </c>
      <c r="H3365" s="2">
        <v>32.0</v>
      </c>
      <c r="I3365" s="3">
        <f t="shared" si="3"/>
        <v>0.2335766423</v>
      </c>
      <c r="J3365" s="2">
        <v>31.0</v>
      </c>
      <c r="K3365" s="3">
        <f t="shared" si="4"/>
        <v>0.2262773723</v>
      </c>
      <c r="L3365" s="2">
        <v>15.0</v>
      </c>
      <c r="M3365" s="3">
        <f t="shared" si="5"/>
        <v>0.46875</v>
      </c>
      <c r="N3365" s="2">
        <v>189600.0</v>
      </c>
      <c r="O3365" s="4">
        <f t="shared" si="6"/>
        <v>5925</v>
      </c>
      <c r="P3365" s="2">
        <v>0.0</v>
      </c>
      <c r="Q3365" s="3">
        <f t="shared" si="7"/>
        <v>0</v>
      </c>
      <c r="R3365" s="2">
        <v>12.0</v>
      </c>
      <c r="S3365" s="5">
        <f t="shared" si="8"/>
        <v>1</v>
      </c>
    </row>
    <row r="3366">
      <c r="A3366" s="2" t="s">
        <v>3373</v>
      </c>
      <c r="B3366" s="2">
        <v>2255.0</v>
      </c>
      <c r="C3366" s="2">
        <v>26422.0</v>
      </c>
      <c r="D3366" s="2">
        <v>8701.0</v>
      </c>
      <c r="E3366" s="3">
        <f t="shared" si="1"/>
        <v>0.3600364133</v>
      </c>
      <c r="F3366" s="2">
        <v>3175.0</v>
      </c>
      <c r="G3366" s="3">
        <f t="shared" si="2"/>
        <v>0.1313774982</v>
      </c>
      <c r="H3366" s="2">
        <v>5318.0</v>
      </c>
      <c r="I3366" s="3">
        <f t="shared" si="3"/>
        <v>0.2200521372</v>
      </c>
      <c r="J3366" s="2">
        <v>4269.0</v>
      </c>
      <c r="K3366" s="3">
        <f t="shared" si="4"/>
        <v>0.1766458394</v>
      </c>
      <c r="L3366" s="2">
        <v>3134.0</v>
      </c>
      <c r="M3366" s="3">
        <f t="shared" si="5"/>
        <v>0.589319293</v>
      </c>
      <c r="N3366" s="2">
        <v>3.05036E7</v>
      </c>
      <c r="O3366" s="4">
        <f t="shared" si="6"/>
        <v>5735.915758</v>
      </c>
      <c r="P3366" s="2">
        <v>11.0</v>
      </c>
      <c r="Q3366" s="3">
        <f t="shared" si="7"/>
        <v>0.00487804878</v>
      </c>
      <c r="R3366" s="2">
        <v>2255.0</v>
      </c>
      <c r="S3366" s="5">
        <f t="shared" si="8"/>
        <v>1</v>
      </c>
    </row>
    <row r="3367">
      <c r="A3367" s="2" t="s">
        <v>3374</v>
      </c>
      <c r="B3367" s="2">
        <v>1007.0</v>
      </c>
      <c r="C3367" s="2">
        <v>11816.0</v>
      </c>
      <c r="D3367" s="2">
        <v>3743.0</v>
      </c>
      <c r="E3367" s="3">
        <f t="shared" si="1"/>
        <v>0.3462855028</v>
      </c>
      <c r="F3367" s="2">
        <v>1420.0</v>
      </c>
      <c r="G3367" s="3">
        <f t="shared" si="2"/>
        <v>0.1313720048</v>
      </c>
      <c r="H3367" s="2">
        <v>2463.0</v>
      </c>
      <c r="I3367" s="3">
        <f t="shared" si="3"/>
        <v>0.2278656675</v>
      </c>
      <c r="J3367" s="2">
        <v>1990.0</v>
      </c>
      <c r="K3367" s="3">
        <f t="shared" si="4"/>
        <v>0.1841058377</v>
      </c>
      <c r="L3367" s="2">
        <v>1470.0</v>
      </c>
      <c r="M3367" s="3">
        <f t="shared" si="5"/>
        <v>0.5968331303</v>
      </c>
      <c r="N3367" s="2">
        <v>1.38494E7</v>
      </c>
      <c r="O3367" s="4">
        <f t="shared" si="6"/>
        <v>5622.980106</v>
      </c>
      <c r="P3367" s="2">
        <v>0.0</v>
      </c>
      <c r="Q3367" s="3">
        <f t="shared" si="7"/>
        <v>0</v>
      </c>
      <c r="R3367" s="2">
        <v>1007.0</v>
      </c>
      <c r="S3367" s="5">
        <f t="shared" si="8"/>
        <v>1</v>
      </c>
    </row>
    <row r="3368">
      <c r="A3368" s="2" t="s">
        <v>3375</v>
      </c>
      <c r="B3368" s="2">
        <v>263.0</v>
      </c>
      <c r="C3368" s="2">
        <v>3049.0</v>
      </c>
      <c r="D3368" s="2">
        <v>765.0</v>
      </c>
      <c r="E3368" s="3">
        <f t="shared" si="1"/>
        <v>0.2745872218</v>
      </c>
      <c r="F3368" s="2">
        <v>366.0</v>
      </c>
      <c r="G3368" s="3">
        <f t="shared" si="2"/>
        <v>0.1313711414</v>
      </c>
      <c r="H3368" s="2">
        <v>615.0</v>
      </c>
      <c r="I3368" s="3">
        <f t="shared" si="3"/>
        <v>0.2207465901</v>
      </c>
      <c r="J3368" s="2">
        <v>592.0</v>
      </c>
      <c r="K3368" s="3">
        <f t="shared" si="4"/>
        <v>0.2124910266</v>
      </c>
      <c r="L3368" s="2">
        <v>361.0</v>
      </c>
      <c r="M3368" s="3">
        <f t="shared" si="5"/>
        <v>0.5869918699</v>
      </c>
      <c r="N3368" s="2">
        <v>3676000.0</v>
      </c>
      <c r="O3368" s="4">
        <f t="shared" si="6"/>
        <v>5977.235772</v>
      </c>
      <c r="P3368" s="2">
        <v>3.0</v>
      </c>
      <c r="Q3368" s="3">
        <f t="shared" si="7"/>
        <v>0.01140684411</v>
      </c>
      <c r="R3368" s="2">
        <v>263.0</v>
      </c>
      <c r="S3368" s="5">
        <f t="shared" si="8"/>
        <v>1</v>
      </c>
    </row>
    <row r="3369">
      <c r="A3369" s="2">
        <v>4160.0</v>
      </c>
      <c r="B3369" s="2">
        <v>619.0</v>
      </c>
      <c r="C3369" s="2">
        <v>7257.0</v>
      </c>
      <c r="D3369" s="2">
        <v>2144.0</v>
      </c>
      <c r="E3369" s="3">
        <f t="shared" si="1"/>
        <v>0.3229888521</v>
      </c>
      <c r="F3369" s="2">
        <v>872.0</v>
      </c>
      <c r="G3369" s="3">
        <f t="shared" si="2"/>
        <v>0.1313648689</v>
      </c>
      <c r="H3369" s="2">
        <v>1396.0</v>
      </c>
      <c r="I3369" s="3">
        <f t="shared" si="3"/>
        <v>0.2103043085</v>
      </c>
      <c r="J3369" s="2">
        <v>1099.0</v>
      </c>
      <c r="K3369" s="3">
        <f t="shared" si="4"/>
        <v>0.1655619162</v>
      </c>
      <c r="L3369" s="2">
        <v>845.0</v>
      </c>
      <c r="M3369" s="3">
        <f t="shared" si="5"/>
        <v>0.6053008596</v>
      </c>
      <c r="N3369" s="2">
        <v>7664300.0</v>
      </c>
      <c r="O3369" s="4">
        <f t="shared" si="6"/>
        <v>5490.186246</v>
      </c>
      <c r="P3369" s="2">
        <v>2.0</v>
      </c>
      <c r="Q3369" s="3">
        <f t="shared" si="7"/>
        <v>0.003231017771</v>
      </c>
      <c r="R3369" s="2">
        <v>168.0</v>
      </c>
      <c r="S3369" s="5">
        <f t="shared" si="8"/>
        <v>0.2714054927</v>
      </c>
    </row>
    <row r="3370">
      <c r="A3370" s="2" t="s">
        <v>3376</v>
      </c>
      <c r="B3370" s="2">
        <v>1877.0</v>
      </c>
      <c r="C3370" s="2">
        <v>21845.0</v>
      </c>
      <c r="D3370" s="2">
        <v>5499.0</v>
      </c>
      <c r="E3370" s="3">
        <f t="shared" si="1"/>
        <v>0.275390625</v>
      </c>
      <c r="F3370" s="2">
        <v>2623.0</v>
      </c>
      <c r="G3370" s="3">
        <f t="shared" si="2"/>
        <v>0.1313601763</v>
      </c>
      <c r="H3370" s="2">
        <v>4260.0</v>
      </c>
      <c r="I3370" s="3">
        <f t="shared" si="3"/>
        <v>0.2133413462</v>
      </c>
      <c r="J3370" s="2">
        <v>3736.0</v>
      </c>
      <c r="K3370" s="3">
        <f t="shared" si="4"/>
        <v>0.187099359</v>
      </c>
      <c r="L3370" s="2">
        <v>2572.0</v>
      </c>
      <c r="M3370" s="3">
        <f t="shared" si="5"/>
        <v>0.6037558685</v>
      </c>
      <c r="N3370" s="2">
        <v>2.4626E7</v>
      </c>
      <c r="O3370" s="4">
        <f t="shared" si="6"/>
        <v>5780.751174</v>
      </c>
      <c r="P3370" s="2">
        <v>2.0</v>
      </c>
      <c r="Q3370" s="3">
        <f t="shared" si="7"/>
        <v>0.001065530101</v>
      </c>
      <c r="R3370" s="2">
        <v>1760.0</v>
      </c>
      <c r="S3370" s="5">
        <f t="shared" si="8"/>
        <v>0.9376664891</v>
      </c>
    </row>
    <row r="3371">
      <c r="A3371" s="2" t="s">
        <v>3377</v>
      </c>
      <c r="B3371" s="2">
        <v>187.0</v>
      </c>
      <c r="C3371" s="2">
        <v>2212.0</v>
      </c>
      <c r="D3371" s="2">
        <v>617.0</v>
      </c>
      <c r="E3371" s="3">
        <f t="shared" si="1"/>
        <v>0.304691358</v>
      </c>
      <c r="F3371" s="2">
        <v>266.0</v>
      </c>
      <c r="G3371" s="3">
        <f t="shared" si="2"/>
        <v>0.1313580247</v>
      </c>
      <c r="H3371" s="2">
        <v>387.0</v>
      </c>
      <c r="I3371" s="3">
        <f t="shared" si="3"/>
        <v>0.1911111111</v>
      </c>
      <c r="J3371" s="2">
        <v>373.0</v>
      </c>
      <c r="K3371" s="3">
        <f t="shared" si="4"/>
        <v>0.1841975309</v>
      </c>
      <c r="L3371" s="2">
        <v>232.0</v>
      </c>
      <c r="M3371" s="3">
        <f t="shared" si="5"/>
        <v>0.5994832041</v>
      </c>
      <c r="N3371" s="2">
        <v>2358300.0</v>
      </c>
      <c r="O3371" s="4">
        <f t="shared" si="6"/>
        <v>6093.79845</v>
      </c>
      <c r="P3371" s="2">
        <v>1.0</v>
      </c>
      <c r="Q3371" s="3">
        <f t="shared" si="7"/>
        <v>0.005347593583</v>
      </c>
      <c r="R3371" s="2">
        <v>187.0</v>
      </c>
      <c r="S3371" s="5">
        <f t="shared" si="8"/>
        <v>1</v>
      </c>
    </row>
    <row r="3372">
      <c r="A3372" s="2" t="s">
        <v>3378</v>
      </c>
      <c r="B3372" s="2">
        <v>1233.0</v>
      </c>
      <c r="C3372" s="2">
        <v>14426.0</v>
      </c>
      <c r="D3372" s="2">
        <v>4773.0</v>
      </c>
      <c r="E3372" s="3">
        <f t="shared" si="1"/>
        <v>0.3617827636</v>
      </c>
      <c r="F3372" s="2">
        <v>1733.0</v>
      </c>
      <c r="G3372" s="3">
        <f t="shared" si="2"/>
        <v>0.1313575381</v>
      </c>
      <c r="H3372" s="2">
        <v>2594.0</v>
      </c>
      <c r="I3372" s="3">
        <f t="shared" si="3"/>
        <v>0.1966194194</v>
      </c>
      <c r="J3372" s="2">
        <v>2223.0</v>
      </c>
      <c r="K3372" s="3">
        <f t="shared" si="4"/>
        <v>0.1684984461</v>
      </c>
      <c r="L3372" s="2">
        <v>1575.0</v>
      </c>
      <c r="M3372" s="3">
        <f t="shared" si="5"/>
        <v>0.6071703932</v>
      </c>
      <c r="N3372" s="2">
        <v>1.60832E7</v>
      </c>
      <c r="O3372" s="4">
        <f t="shared" si="6"/>
        <v>6200.154202</v>
      </c>
      <c r="P3372" s="2">
        <v>3.0</v>
      </c>
      <c r="Q3372" s="3">
        <f t="shared" si="7"/>
        <v>0.002433090024</v>
      </c>
      <c r="R3372" s="2">
        <v>1233.0</v>
      </c>
      <c r="S3372" s="5">
        <f t="shared" si="8"/>
        <v>1</v>
      </c>
    </row>
    <row r="3373">
      <c r="A3373" s="2" t="s">
        <v>3379</v>
      </c>
      <c r="B3373" s="2">
        <v>1037.0</v>
      </c>
      <c r="C3373" s="2">
        <v>12122.0</v>
      </c>
      <c r="D3373" s="2">
        <v>3795.0</v>
      </c>
      <c r="E3373" s="3">
        <f t="shared" si="1"/>
        <v>0.3423545332</v>
      </c>
      <c r="F3373" s="2">
        <v>1456.0</v>
      </c>
      <c r="G3373" s="3">
        <f t="shared" si="2"/>
        <v>0.1313486694</v>
      </c>
      <c r="H3373" s="2">
        <v>2451.0</v>
      </c>
      <c r="I3373" s="3">
        <f t="shared" si="3"/>
        <v>0.2211096076</v>
      </c>
      <c r="J3373" s="2">
        <v>1993.0</v>
      </c>
      <c r="K3373" s="3">
        <f t="shared" si="4"/>
        <v>0.1797925124</v>
      </c>
      <c r="L3373" s="2">
        <v>1406.0</v>
      </c>
      <c r="M3373" s="3">
        <f t="shared" si="5"/>
        <v>0.5736434109</v>
      </c>
      <c r="N3373" s="2">
        <v>1.42503E7</v>
      </c>
      <c r="O3373" s="4">
        <f t="shared" si="6"/>
        <v>5814.075887</v>
      </c>
      <c r="P3373" s="2">
        <v>1.0</v>
      </c>
      <c r="Q3373" s="3">
        <f t="shared" si="7"/>
        <v>0.0009643201543</v>
      </c>
      <c r="R3373" s="2">
        <v>1037.0</v>
      </c>
      <c r="S3373" s="5">
        <f t="shared" si="8"/>
        <v>1</v>
      </c>
    </row>
    <row r="3374">
      <c r="A3374" s="2" t="s">
        <v>3380</v>
      </c>
      <c r="B3374" s="2">
        <v>798.0</v>
      </c>
      <c r="C3374" s="2">
        <v>9188.0</v>
      </c>
      <c r="D3374" s="2">
        <v>3129.0</v>
      </c>
      <c r="E3374" s="3">
        <f t="shared" si="1"/>
        <v>0.3729439809</v>
      </c>
      <c r="F3374" s="2">
        <v>1102.0</v>
      </c>
      <c r="G3374" s="3">
        <f t="shared" si="2"/>
        <v>0.1313468415</v>
      </c>
      <c r="H3374" s="2">
        <v>1870.0</v>
      </c>
      <c r="I3374" s="3">
        <f t="shared" si="3"/>
        <v>0.2228843862</v>
      </c>
      <c r="J3374" s="2">
        <v>1471.0</v>
      </c>
      <c r="K3374" s="3">
        <f t="shared" si="4"/>
        <v>0.1753277712</v>
      </c>
      <c r="L3374" s="2">
        <v>1095.0</v>
      </c>
      <c r="M3374" s="3">
        <f t="shared" si="5"/>
        <v>0.5855614973</v>
      </c>
      <c r="N3374" s="2">
        <v>1.05171E7</v>
      </c>
      <c r="O3374" s="4">
        <f t="shared" si="6"/>
        <v>5624.117647</v>
      </c>
      <c r="P3374" s="2">
        <v>0.0</v>
      </c>
      <c r="Q3374" s="3">
        <f t="shared" si="7"/>
        <v>0</v>
      </c>
      <c r="R3374" s="2">
        <v>0.0</v>
      </c>
      <c r="S3374" s="5">
        <f t="shared" si="8"/>
        <v>0</v>
      </c>
    </row>
    <row r="3375">
      <c r="A3375" s="2" t="s">
        <v>3381</v>
      </c>
      <c r="B3375" s="2">
        <v>3183.0</v>
      </c>
      <c r="C3375" s="2">
        <v>37071.0</v>
      </c>
      <c r="D3375" s="2">
        <v>11601.0</v>
      </c>
      <c r="E3375" s="3">
        <f t="shared" si="1"/>
        <v>0.3423335694</v>
      </c>
      <c r="F3375" s="2">
        <v>4451.0</v>
      </c>
      <c r="G3375" s="3">
        <f t="shared" si="2"/>
        <v>0.1313444287</v>
      </c>
      <c r="H3375" s="2">
        <v>7148.0</v>
      </c>
      <c r="I3375" s="3">
        <f t="shared" si="3"/>
        <v>0.2109301228</v>
      </c>
      <c r="J3375" s="2">
        <v>6074.0</v>
      </c>
      <c r="K3375" s="3">
        <f t="shared" si="4"/>
        <v>0.1792374882</v>
      </c>
      <c r="L3375" s="2">
        <v>4202.0</v>
      </c>
      <c r="M3375" s="3">
        <f t="shared" si="5"/>
        <v>0.5878567431</v>
      </c>
      <c r="N3375" s="2">
        <v>4.11068E7</v>
      </c>
      <c r="O3375" s="4">
        <f t="shared" si="6"/>
        <v>5750.811416</v>
      </c>
      <c r="P3375" s="2">
        <v>2.0</v>
      </c>
      <c r="Q3375" s="3">
        <f t="shared" si="7"/>
        <v>0.0006283380459</v>
      </c>
      <c r="R3375" s="2">
        <v>3183.0</v>
      </c>
      <c r="S3375" s="5">
        <f t="shared" si="8"/>
        <v>1</v>
      </c>
    </row>
    <row r="3376">
      <c r="A3376" s="2" t="s">
        <v>3382</v>
      </c>
      <c r="B3376" s="2">
        <v>903.0</v>
      </c>
      <c r="C3376" s="2">
        <v>10725.0</v>
      </c>
      <c r="D3376" s="2">
        <v>4299.0</v>
      </c>
      <c r="E3376" s="3">
        <f t="shared" si="1"/>
        <v>0.437690898</v>
      </c>
      <c r="F3376" s="2">
        <v>1290.0</v>
      </c>
      <c r="G3376" s="3">
        <f t="shared" si="2"/>
        <v>0.1313378131</v>
      </c>
      <c r="H3376" s="2">
        <v>2122.0</v>
      </c>
      <c r="I3376" s="3">
        <f t="shared" si="3"/>
        <v>0.2160456119</v>
      </c>
      <c r="J3376" s="2">
        <v>1483.0</v>
      </c>
      <c r="K3376" s="3">
        <f t="shared" si="4"/>
        <v>0.1509875789</v>
      </c>
      <c r="L3376" s="2">
        <v>1272.0</v>
      </c>
      <c r="M3376" s="3">
        <f t="shared" si="5"/>
        <v>0.5994344958</v>
      </c>
      <c r="N3376" s="2">
        <v>1.1114E7</v>
      </c>
      <c r="O3376" s="4">
        <f t="shared" si="6"/>
        <v>5237.511781</v>
      </c>
      <c r="P3376" s="2">
        <v>3.0</v>
      </c>
      <c r="Q3376" s="3">
        <f t="shared" si="7"/>
        <v>0.003322259136</v>
      </c>
      <c r="R3376" s="2">
        <v>903.0</v>
      </c>
      <c r="S3376" s="5">
        <f t="shared" si="8"/>
        <v>1</v>
      </c>
    </row>
    <row r="3377">
      <c r="A3377" s="2" t="s">
        <v>3383</v>
      </c>
      <c r="B3377" s="2">
        <v>129.0</v>
      </c>
      <c r="C3377" s="2">
        <v>1530.0</v>
      </c>
      <c r="D3377" s="2">
        <v>578.0</v>
      </c>
      <c r="E3377" s="3">
        <f t="shared" si="1"/>
        <v>0.4125624554</v>
      </c>
      <c r="F3377" s="2">
        <v>184.0</v>
      </c>
      <c r="G3377" s="3">
        <f t="shared" si="2"/>
        <v>0.1313347609</v>
      </c>
      <c r="H3377" s="2">
        <v>301.0</v>
      </c>
      <c r="I3377" s="3">
        <f t="shared" si="3"/>
        <v>0.2148465382</v>
      </c>
      <c r="J3377" s="2">
        <v>203.0</v>
      </c>
      <c r="K3377" s="3">
        <f t="shared" si="4"/>
        <v>0.1448965025</v>
      </c>
      <c r="L3377" s="2">
        <v>186.0</v>
      </c>
      <c r="M3377" s="3">
        <f t="shared" si="5"/>
        <v>0.6179401993</v>
      </c>
      <c r="N3377" s="2">
        <v>1515600.0</v>
      </c>
      <c r="O3377" s="4">
        <f t="shared" si="6"/>
        <v>5035.215947</v>
      </c>
      <c r="P3377" s="2">
        <v>0.0</v>
      </c>
      <c r="Q3377" s="3">
        <f t="shared" si="7"/>
        <v>0</v>
      </c>
      <c r="R3377" s="2">
        <v>129.0</v>
      </c>
      <c r="S3377" s="5">
        <f t="shared" si="8"/>
        <v>1</v>
      </c>
    </row>
    <row r="3378">
      <c r="A3378" s="2" t="s">
        <v>3384</v>
      </c>
      <c r="B3378" s="2">
        <v>83.0</v>
      </c>
      <c r="C3378" s="2">
        <v>1012.0</v>
      </c>
      <c r="D3378" s="2">
        <v>387.0</v>
      </c>
      <c r="E3378" s="3">
        <f t="shared" si="1"/>
        <v>0.4165769645</v>
      </c>
      <c r="F3378" s="2">
        <v>122.0</v>
      </c>
      <c r="G3378" s="3">
        <f t="shared" si="2"/>
        <v>0.1313240043</v>
      </c>
      <c r="H3378" s="2">
        <v>199.0</v>
      </c>
      <c r="I3378" s="3">
        <f t="shared" si="3"/>
        <v>0.2142088267</v>
      </c>
      <c r="J3378" s="2">
        <v>137.0</v>
      </c>
      <c r="K3378" s="3">
        <f t="shared" si="4"/>
        <v>0.1474703983</v>
      </c>
      <c r="L3378" s="2">
        <v>113.0</v>
      </c>
      <c r="M3378" s="3">
        <f t="shared" si="5"/>
        <v>0.567839196</v>
      </c>
      <c r="N3378" s="2">
        <v>1040700.0</v>
      </c>
      <c r="O3378" s="4">
        <f t="shared" si="6"/>
        <v>5229.648241</v>
      </c>
      <c r="P3378" s="2">
        <v>0.0</v>
      </c>
      <c r="Q3378" s="3">
        <f t="shared" si="7"/>
        <v>0</v>
      </c>
      <c r="R3378" s="2">
        <v>83.0</v>
      </c>
      <c r="S3378" s="5">
        <f t="shared" si="8"/>
        <v>1</v>
      </c>
    </row>
    <row r="3379">
      <c r="A3379" s="2" t="s">
        <v>3385</v>
      </c>
      <c r="B3379" s="2">
        <v>543.0</v>
      </c>
      <c r="C3379" s="2">
        <v>6513.0</v>
      </c>
      <c r="D3379" s="2">
        <v>1998.0</v>
      </c>
      <c r="E3379" s="3">
        <f t="shared" si="1"/>
        <v>0.3346733668</v>
      </c>
      <c r="F3379" s="2">
        <v>784.0</v>
      </c>
      <c r="G3379" s="3">
        <f t="shared" si="2"/>
        <v>0.1313232831</v>
      </c>
      <c r="H3379" s="2">
        <v>1212.0</v>
      </c>
      <c r="I3379" s="3">
        <f t="shared" si="3"/>
        <v>0.2030150754</v>
      </c>
      <c r="J3379" s="2">
        <v>1068.0</v>
      </c>
      <c r="K3379" s="3">
        <f t="shared" si="4"/>
        <v>0.1788944724</v>
      </c>
      <c r="L3379" s="2">
        <v>704.0</v>
      </c>
      <c r="M3379" s="3">
        <f t="shared" si="5"/>
        <v>0.5808580858</v>
      </c>
      <c r="N3379" s="2">
        <v>6795200.0</v>
      </c>
      <c r="O3379" s="4">
        <f t="shared" si="6"/>
        <v>5606.60066</v>
      </c>
      <c r="P3379" s="2">
        <v>1.0</v>
      </c>
      <c r="Q3379" s="3">
        <f t="shared" si="7"/>
        <v>0.001841620626</v>
      </c>
      <c r="R3379" s="2">
        <v>543.0</v>
      </c>
      <c r="S3379" s="5">
        <f t="shared" si="8"/>
        <v>1</v>
      </c>
    </row>
    <row r="3380">
      <c r="A3380" s="2" t="s">
        <v>3386</v>
      </c>
      <c r="B3380" s="2">
        <v>706.0</v>
      </c>
      <c r="C3380" s="2">
        <v>8291.0</v>
      </c>
      <c r="D3380" s="2">
        <v>3023.0</v>
      </c>
      <c r="E3380" s="3">
        <f t="shared" si="1"/>
        <v>0.3985497693</v>
      </c>
      <c r="F3380" s="2">
        <v>996.0</v>
      </c>
      <c r="G3380" s="3">
        <f t="shared" si="2"/>
        <v>0.1313117996</v>
      </c>
      <c r="H3380" s="2">
        <v>1639.0</v>
      </c>
      <c r="I3380" s="3">
        <f t="shared" si="3"/>
        <v>0.2160843771</v>
      </c>
      <c r="J3380" s="2">
        <v>1179.0</v>
      </c>
      <c r="K3380" s="3">
        <f t="shared" si="4"/>
        <v>0.1554383652</v>
      </c>
      <c r="L3380" s="2">
        <v>991.0</v>
      </c>
      <c r="M3380" s="3">
        <f t="shared" si="5"/>
        <v>0.6046369738</v>
      </c>
      <c r="N3380" s="2">
        <v>9388100.0</v>
      </c>
      <c r="O3380" s="4">
        <f t="shared" si="6"/>
        <v>5727.943868</v>
      </c>
      <c r="P3380" s="2">
        <v>4.0</v>
      </c>
      <c r="Q3380" s="3">
        <f t="shared" si="7"/>
        <v>0.00566572238</v>
      </c>
      <c r="R3380" s="2">
        <v>706.0</v>
      </c>
      <c r="S3380" s="5">
        <f t="shared" si="8"/>
        <v>1</v>
      </c>
    </row>
    <row r="3381">
      <c r="A3381" s="2" t="s">
        <v>3387</v>
      </c>
      <c r="B3381" s="2">
        <v>71.0</v>
      </c>
      <c r="C3381" s="2">
        <v>825.0</v>
      </c>
      <c r="D3381" s="2">
        <v>317.0</v>
      </c>
      <c r="E3381" s="3">
        <f t="shared" si="1"/>
        <v>0.4204244032</v>
      </c>
      <c r="F3381" s="2">
        <v>99.0</v>
      </c>
      <c r="G3381" s="3">
        <f t="shared" si="2"/>
        <v>0.1312997347</v>
      </c>
      <c r="H3381" s="2">
        <v>143.0</v>
      </c>
      <c r="I3381" s="3">
        <f t="shared" si="3"/>
        <v>0.1896551724</v>
      </c>
      <c r="J3381" s="2">
        <v>118.0</v>
      </c>
      <c r="K3381" s="3">
        <f t="shared" si="4"/>
        <v>0.1564986737</v>
      </c>
      <c r="L3381" s="2">
        <v>87.0</v>
      </c>
      <c r="M3381" s="3">
        <f t="shared" si="5"/>
        <v>0.6083916084</v>
      </c>
      <c r="N3381" s="2">
        <v>796200.0</v>
      </c>
      <c r="O3381" s="4">
        <f t="shared" si="6"/>
        <v>5567.832168</v>
      </c>
      <c r="P3381" s="2">
        <v>0.0</v>
      </c>
      <c r="Q3381" s="3">
        <f t="shared" si="7"/>
        <v>0</v>
      </c>
      <c r="R3381" s="2">
        <v>0.0</v>
      </c>
      <c r="S3381" s="5">
        <f t="shared" si="8"/>
        <v>0</v>
      </c>
    </row>
    <row r="3382">
      <c r="A3382" s="2" t="s">
        <v>3388</v>
      </c>
      <c r="B3382" s="2">
        <v>4386.0</v>
      </c>
      <c r="C3382" s="2">
        <v>51289.0</v>
      </c>
      <c r="D3382" s="2">
        <v>11030.0</v>
      </c>
      <c r="E3382" s="3">
        <f t="shared" si="1"/>
        <v>0.2351661941</v>
      </c>
      <c r="F3382" s="2">
        <v>6158.0</v>
      </c>
      <c r="G3382" s="3">
        <f t="shared" si="2"/>
        <v>0.1312922414</v>
      </c>
      <c r="H3382" s="2">
        <v>9758.0</v>
      </c>
      <c r="I3382" s="3">
        <f t="shared" si="3"/>
        <v>0.2080463936</v>
      </c>
      <c r="J3382" s="2">
        <v>7690.0</v>
      </c>
      <c r="K3382" s="3">
        <f t="shared" si="4"/>
        <v>0.1639553973</v>
      </c>
      <c r="L3382" s="2">
        <v>5858.0</v>
      </c>
      <c r="M3382" s="3">
        <f t="shared" si="5"/>
        <v>0.6003279361</v>
      </c>
      <c r="N3382" s="2">
        <v>5.71444E7</v>
      </c>
      <c r="O3382" s="4">
        <f t="shared" si="6"/>
        <v>5856.159049</v>
      </c>
      <c r="P3382" s="2">
        <v>9.0</v>
      </c>
      <c r="Q3382" s="3">
        <f t="shared" si="7"/>
        <v>0.002051983584</v>
      </c>
      <c r="R3382" s="2">
        <v>4386.0</v>
      </c>
      <c r="S3382" s="5">
        <f t="shared" si="8"/>
        <v>1</v>
      </c>
    </row>
    <row r="3383">
      <c r="A3383" s="2" t="s">
        <v>3389</v>
      </c>
      <c r="B3383" s="2">
        <v>42.0</v>
      </c>
      <c r="C3383" s="2">
        <v>499.0</v>
      </c>
      <c r="D3383" s="2">
        <v>170.0</v>
      </c>
      <c r="E3383" s="3">
        <f t="shared" si="1"/>
        <v>0.3719912473</v>
      </c>
      <c r="F3383" s="2">
        <v>60.0</v>
      </c>
      <c r="G3383" s="3">
        <f t="shared" si="2"/>
        <v>0.1312910284</v>
      </c>
      <c r="H3383" s="2">
        <v>107.0</v>
      </c>
      <c r="I3383" s="3">
        <f t="shared" si="3"/>
        <v>0.2341356674</v>
      </c>
      <c r="J3383" s="2">
        <v>95.0</v>
      </c>
      <c r="K3383" s="3">
        <f t="shared" si="4"/>
        <v>0.2078774617</v>
      </c>
      <c r="L3383" s="2">
        <v>56.0</v>
      </c>
      <c r="M3383" s="3">
        <f t="shared" si="5"/>
        <v>0.523364486</v>
      </c>
      <c r="N3383" s="2">
        <v>551400.0</v>
      </c>
      <c r="O3383" s="4">
        <f t="shared" si="6"/>
        <v>5153.271028</v>
      </c>
      <c r="P3383" s="2">
        <v>0.0</v>
      </c>
      <c r="Q3383" s="3">
        <f t="shared" si="7"/>
        <v>0</v>
      </c>
      <c r="R3383" s="2">
        <v>42.0</v>
      </c>
      <c r="S3383" s="5">
        <f t="shared" si="8"/>
        <v>1</v>
      </c>
    </row>
    <row r="3384">
      <c r="A3384" s="2" t="s">
        <v>3390</v>
      </c>
      <c r="B3384" s="2">
        <v>45.0</v>
      </c>
      <c r="C3384" s="2">
        <v>502.0</v>
      </c>
      <c r="D3384" s="2">
        <v>151.0</v>
      </c>
      <c r="E3384" s="3">
        <f t="shared" si="1"/>
        <v>0.3304157549</v>
      </c>
      <c r="F3384" s="2">
        <v>60.0</v>
      </c>
      <c r="G3384" s="3">
        <f t="shared" si="2"/>
        <v>0.1312910284</v>
      </c>
      <c r="H3384" s="2">
        <v>88.0</v>
      </c>
      <c r="I3384" s="3">
        <f t="shared" si="3"/>
        <v>0.1925601751</v>
      </c>
      <c r="J3384" s="2">
        <v>93.0</v>
      </c>
      <c r="K3384" s="3">
        <f t="shared" si="4"/>
        <v>0.2035010941</v>
      </c>
      <c r="L3384" s="2">
        <v>50.0</v>
      </c>
      <c r="M3384" s="3">
        <f t="shared" si="5"/>
        <v>0.5681818182</v>
      </c>
      <c r="N3384" s="2">
        <v>520600.0</v>
      </c>
      <c r="O3384" s="4">
        <f t="shared" si="6"/>
        <v>5915.909091</v>
      </c>
      <c r="P3384" s="2">
        <v>0.0</v>
      </c>
      <c r="Q3384" s="3">
        <f t="shared" si="7"/>
        <v>0</v>
      </c>
      <c r="R3384" s="2">
        <v>1.0</v>
      </c>
      <c r="S3384" s="5">
        <f t="shared" si="8"/>
        <v>0.02222222222</v>
      </c>
    </row>
    <row r="3385">
      <c r="A3385" s="2" t="s">
        <v>3391</v>
      </c>
      <c r="B3385" s="2">
        <v>399.0</v>
      </c>
      <c r="C3385" s="2">
        <v>4695.0</v>
      </c>
      <c r="D3385" s="2">
        <v>1655.0</v>
      </c>
      <c r="E3385" s="3">
        <f t="shared" si="1"/>
        <v>0.3852420857</v>
      </c>
      <c r="F3385" s="2">
        <v>564.0</v>
      </c>
      <c r="G3385" s="3">
        <f t="shared" si="2"/>
        <v>0.1312849162</v>
      </c>
      <c r="H3385" s="2">
        <v>893.0</v>
      </c>
      <c r="I3385" s="3">
        <f t="shared" si="3"/>
        <v>0.207867784</v>
      </c>
      <c r="J3385" s="2">
        <v>763.0</v>
      </c>
      <c r="K3385" s="3">
        <f t="shared" si="4"/>
        <v>0.1776070764</v>
      </c>
      <c r="L3385" s="2">
        <v>532.0</v>
      </c>
      <c r="M3385" s="3">
        <f t="shared" si="5"/>
        <v>0.5957446809</v>
      </c>
      <c r="N3385" s="2">
        <v>5350600.0</v>
      </c>
      <c r="O3385" s="4">
        <f t="shared" si="6"/>
        <v>5991.713326</v>
      </c>
      <c r="P3385" s="2">
        <v>0.0</v>
      </c>
      <c r="Q3385" s="3">
        <f t="shared" si="7"/>
        <v>0</v>
      </c>
      <c r="R3385" s="2">
        <v>160.0</v>
      </c>
      <c r="S3385" s="5">
        <f t="shared" si="8"/>
        <v>0.4010025063</v>
      </c>
    </row>
    <row r="3386">
      <c r="A3386" s="2" t="s">
        <v>3392</v>
      </c>
      <c r="B3386" s="2">
        <v>271.0</v>
      </c>
      <c r="C3386" s="2">
        <v>3097.0</v>
      </c>
      <c r="D3386" s="2">
        <v>956.0</v>
      </c>
      <c r="E3386" s="3">
        <f t="shared" si="1"/>
        <v>0.3382873319</v>
      </c>
      <c r="F3386" s="2">
        <v>371.0</v>
      </c>
      <c r="G3386" s="3">
        <f t="shared" si="2"/>
        <v>0.1312809625</v>
      </c>
      <c r="H3386" s="2">
        <v>552.0</v>
      </c>
      <c r="I3386" s="3">
        <f t="shared" si="3"/>
        <v>0.195329087</v>
      </c>
      <c r="J3386" s="2">
        <v>499.0</v>
      </c>
      <c r="K3386" s="3">
        <f t="shared" si="4"/>
        <v>0.1765746638</v>
      </c>
      <c r="L3386" s="2">
        <v>329.0</v>
      </c>
      <c r="M3386" s="3">
        <f t="shared" si="5"/>
        <v>0.5960144928</v>
      </c>
      <c r="N3386" s="2">
        <v>3326600.0</v>
      </c>
      <c r="O3386" s="4">
        <f t="shared" si="6"/>
        <v>6026.449275</v>
      </c>
      <c r="P3386" s="2">
        <v>1.0</v>
      </c>
      <c r="Q3386" s="3">
        <f t="shared" si="7"/>
        <v>0.0036900369</v>
      </c>
      <c r="R3386" s="2">
        <v>271.0</v>
      </c>
      <c r="S3386" s="5">
        <f t="shared" si="8"/>
        <v>1</v>
      </c>
    </row>
    <row r="3387">
      <c r="A3387" s="2" t="s">
        <v>3393</v>
      </c>
      <c r="B3387" s="2">
        <v>832.0</v>
      </c>
      <c r="C3387" s="2">
        <v>9752.0</v>
      </c>
      <c r="D3387" s="2">
        <v>3389.0</v>
      </c>
      <c r="E3387" s="3">
        <f t="shared" si="1"/>
        <v>0.3799327354</v>
      </c>
      <c r="F3387" s="2">
        <v>1171.0</v>
      </c>
      <c r="G3387" s="3">
        <f t="shared" si="2"/>
        <v>0.1312780269</v>
      </c>
      <c r="H3387" s="2">
        <v>1864.0</v>
      </c>
      <c r="I3387" s="3">
        <f t="shared" si="3"/>
        <v>0.2089686099</v>
      </c>
      <c r="J3387" s="2">
        <v>1492.0</v>
      </c>
      <c r="K3387" s="3">
        <f t="shared" si="4"/>
        <v>0.167264574</v>
      </c>
      <c r="L3387" s="2">
        <v>1114.0</v>
      </c>
      <c r="M3387" s="3">
        <f t="shared" si="5"/>
        <v>0.597639485</v>
      </c>
      <c r="N3387" s="2">
        <v>1.07208E7</v>
      </c>
      <c r="O3387" s="4">
        <f t="shared" si="6"/>
        <v>5751.502146</v>
      </c>
      <c r="P3387" s="2">
        <v>3.0</v>
      </c>
      <c r="Q3387" s="3">
        <f t="shared" si="7"/>
        <v>0.003605769231</v>
      </c>
      <c r="R3387" s="2">
        <v>494.0</v>
      </c>
      <c r="S3387" s="5">
        <f t="shared" si="8"/>
        <v>0.59375</v>
      </c>
    </row>
    <row r="3388">
      <c r="A3388" s="2" t="s">
        <v>3394</v>
      </c>
      <c r="B3388" s="2">
        <v>1338.0</v>
      </c>
      <c r="C3388" s="2">
        <v>15743.0</v>
      </c>
      <c r="D3388" s="2">
        <v>5515.0</v>
      </c>
      <c r="E3388" s="3">
        <f t="shared" si="1"/>
        <v>0.382853176</v>
      </c>
      <c r="F3388" s="2">
        <v>1891.0</v>
      </c>
      <c r="G3388" s="3">
        <f t="shared" si="2"/>
        <v>0.1312738632</v>
      </c>
      <c r="H3388" s="2">
        <v>3322.0</v>
      </c>
      <c r="I3388" s="3">
        <f t="shared" si="3"/>
        <v>0.23061437</v>
      </c>
      <c r="J3388" s="2">
        <v>2493.0</v>
      </c>
      <c r="K3388" s="3">
        <f t="shared" si="4"/>
        <v>0.173064908</v>
      </c>
      <c r="L3388" s="2">
        <v>2017.0</v>
      </c>
      <c r="M3388" s="3">
        <f t="shared" si="5"/>
        <v>0.6071643588</v>
      </c>
      <c r="N3388" s="2">
        <v>1.74406E7</v>
      </c>
      <c r="O3388" s="4">
        <f t="shared" si="6"/>
        <v>5250.030102</v>
      </c>
      <c r="P3388" s="2">
        <v>3.0</v>
      </c>
      <c r="Q3388" s="3">
        <f t="shared" si="7"/>
        <v>0.002242152466</v>
      </c>
      <c r="R3388" s="2">
        <v>222.0</v>
      </c>
      <c r="S3388" s="5">
        <f t="shared" si="8"/>
        <v>0.1659192825</v>
      </c>
    </row>
    <row r="3389">
      <c r="A3389" s="2" t="s">
        <v>3395</v>
      </c>
      <c r="B3389" s="2">
        <v>700.0</v>
      </c>
      <c r="C3389" s="2">
        <v>8333.0</v>
      </c>
      <c r="D3389" s="2">
        <v>2616.0</v>
      </c>
      <c r="E3389" s="3">
        <f t="shared" si="1"/>
        <v>0.3427223896</v>
      </c>
      <c r="F3389" s="2">
        <v>1002.0</v>
      </c>
      <c r="G3389" s="3">
        <f t="shared" si="2"/>
        <v>0.131272108</v>
      </c>
      <c r="H3389" s="2">
        <v>1558.0</v>
      </c>
      <c r="I3389" s="3">
        <f t="shared" si="3"/>
        <v>0.2041137168</v>
      </c>
      <c r="J3389" s="2">
        <v>1078.0</v>
      </c>
      <c r="K3389" s="3">
        <f t="shared" si="4"/>
        <v>0.1412288746</v>
      </c>
      <c r="L3389" s="2">
        <v>929.0</v>
      </c>
      <c r="M3389" s="3">
        <f t="shared" si="5"/>
        <v>0.5962772786</v>
      </c>
      <c r="N3389" s="2">
        <v>8820500.0</v>
      </c>
      <c r="O3389" s="4">
        <f t="shared" si="6"/>
        <v>5661.424904</v>
      </c>
      <c r="P3389" s="2">
        <v>2.0</v>
      </c>
      <c r="Q3389" s="3">
        <f t="shared" si="7"/>
        <v>0.002857142857</v>
      </c>
      <c r="R3389" s="2">
        <v>700.0</v>
      </c>
      <c r="S3389" s="5">
        <f t="shared" si="8"/>
        <v>1</v>
      </c>
    </row>
    <row r="3390">
      <c r="A3390" s="2" t="s">
        <v>3396</v>
      </c>
      <c r="B3390" s="2">
        <v>38.0</v>
      </c>
      <c r="C3390" s="2">
        <v>457.0</v>
      </c>
      <c r="D3390" s="2">
        <v>141.0</v>
      </c>
      <c r="E3390" s="3">
        <f t="shared" si="1"/>
        <v>0.3365155131</v>
      </c>
      <c r="F3390" s="2">
        <v>55.0</v>
      </c>
      <c r="G3390" s="3">
        <f t="shared" si="2"/>
        <v>0.1312649165</v>
      </c>
      <c r="H3390" s="2">
        <v>88.0</v>
      </c>
      <c r="I3390" s="3">
        <f t="shared" si="3"/>
        <v>0.2100238663</v>
      </c>
      <c r="J3390" s="2">
        <v>79.0</v>
      </c>
      <c r="K3390" s="3">
        <f t="shared" si="4"/>
        <v>0.1885441527</v>
      </c>
      <c r="L3390" s="2">
        <v>55.0</v>
      </c>
      <c r="M3390" s="3">
        <f t="shared" si="5"/>
        <v>0.625</v>
      </c>
      <c r="N3390" s="2">
        <v>439800.0</v>
      </c>
      <c r="O3390" s="4">
        <f t="shared" si="6"/>
        <v>4997.727273</v>
      </c>
      <c r="P3390" s="2">
        <v>0.0</v>
      </c>
      <c r="Q3390" s="3">
        <f t="shared" si="7"/>
        <v>0</v>
      </c>
      <c r="R3390" s="2">
        <v>0.0</v>
      </c>
      <c r="S3390" s="5">
        <f t="shared" si="8"/>
        <v>0</v>
      </c>
    </row>
    <row r="3391">
      <c r="A3391" s="2" t="s">
        <v>3397</v>
      </c>
      <c r="B3391" s="2">
        <v>1103.0</v>
      </c>
      <c r="C3391" s="2">
        <v>13034.0</v>
      </c>
      <c r="D3391" s="2">
        <v>4306.0</v>
      </c>
      <c r="E3391" s="3">
        <f t="shared" si="1"/>
        <v>0.3609085575</v>
      </c>
      <c r="F3391" s="2">
        <v>1566.0</v>
      </c>
      <c r="G3391" s="3">
        <f t="shared" si="2"/>
        <v>0.1312547146</v>
      </c>
      <c r="H3391" s="2">
        <v>2443.0</v>
      </c>
      <c r="I3391" s="3">
        <f t="shared" si="3"/>
        <v>0.2047607074</v>
      </c>
      <c r="J3391" s="2">
        <v>2110.0</v>
      </c>
      <c r="K3391" s="3">
        <f t="shared" si="4"/>
        <v>0.1768502221</v>
      </c>
      <c r="L3391" s="2">
        <v>1416.0</v>
      </c>
      <c r="M3391" s="3">
        <f t="shared" si="5"/>
        <v>0.5796152272</v>
      </c>
      <c r="N3391" s="2">
        <v>1.36892E7</v>
      </c>
      <c r="O3391" s="4">
        <f t="shared" si="6"/>
        <v>5603.438395</v>
      </c>
      <c r="P3391" s="2">
        <v>5.0</v>
      </c>
      <c r="Q3391" s="3">
        <f t="shared" si="7"/>
        <v>0.004533091568</v>
      </c>
      <c r="R3391" s="2">
        <v>0.0</v>
      </c>
      <c r="S3391" s="5">
        <f t="shared" si="8"/>
        <v>0</v>
      </c>
    </row>
    <row r="3392">
      <c r="A3392" s="2" t="s">
        <v>3398</v>
      </c>
      <c r="B3392" s="2">
        <v>16.0</v>
      </c>
      <c r="C3392" s="2">
        <v>176.0</v>
      </c>
      <c r="D3392" s="2">
        <v>58.0</v>
      </c>
      <c r="E3392" s="3">
        <f t="shared" si="1"/>
        <v>0.3625</v>
      </c>
      <c r="F3392" s="2">
        <v>21.0</v>
      </c>
      <c r="G3392" s="3">
        <f t="shared" si="2"/>
        <v>0.13125</v>
      </c>
      <c r="H3392" s="2">
        <v>32.0</v>
      </c>
      <c r="I3392" s="3">
        <f t="shared" si="3"/>
        <v>0.2</v>
      </c>
      <c r="J3392" s="2">
        <v>25.0</v>
      </c>
      <c r="K3392" s="3">
        <f t="shared" si="4"/>
        <v>0.15625</v>
      </c>
      <c r="L3392" s="2">
        <v>19.0</v>
      </c>
      <c r="M3392" s="3">
        <f t="shared" si="5"/>
        <v>0.59375</v>
      </c>
      <c r="N3392" s="2">
        <v>152800.0</v>
      </c>
      <c r="O3392" s="4">
        <f t="shared" si="6"/>
        <v>4775</v>
      </c>
      <c r="P3392" s="2">
        <v>0.0</v>
      </c>
      <c r="Q3392" s="3">
        <f t="shared" si="7"/>
        <v>0</v>
      </c>
      <c r="R3392" s="2">
        <v>16.0</v>
      </c>
      <c r="S3392" s="5">
        <f t="shared" si="8"/>
        <v>1</v>
      </c>
    </row>
    <row r="3393">
      <c r="A3393" s="2" t="s">
        <v>3399</v>
      </c>
      <c r="B3393" s="2">
        <v>629.0</v>
      </c>
      <c r="C3393" s="2">
        <v>7464.0</v>
      </c>
      <c r="D3393" s="2">
        <v>2248.0</v>
      </c>
      <c r="E3393" s="3">
        <f t="shared" si="1"/>
        <v>0.3288953914</v>
      </c>
      <c r="F3393" s="2">
        <v>897.0</v>
      </c>
      <c r="G3393" s="3">
        <f t="shared" si="2"/>
        <v>0.1312362838</v>
      </c>
      <c r="H3393" s="2">
        <v>1420.0</v>
      </c>
      <c r="I3393" s="3">
        <f t="shared" si="3"/>
        <v>0.2077542063</v>
      </c>
      <c r="J3393" s="2">
        <v>1189.0</v>
      </c>
      <c r="K3393" s="3">
        <f t="shared" si="4"/>
        <v>0.1739575713</v>
      </c>
      <c r="L3393" s="2">
        <v>832.0</v>
      </c>
      <c r="M3393" s="3">
        <f t="shared" si="5"/>
        <v>0.585915493</v>
      </c>
      <c r="N3393" s="2">
        <v>8149300.0</v>
      </c>
      <c r="O3393" s="4">
        <f t="shared" si="6"/>
        <v>5738.943662</v>
      </c>
      <c r="P3393" s="2">
        <v>3.0</v>
      </c>
      <c r="Q3393" s="3">
        <f t="shared" si="7"/>
        <v>0.004769475358</v>
      </c>
      <c r="R3393" s="2">
        <v>629.0</v>
      </c>
      <c r="S3393" s="5">
        <f t="shared" si="8"/>
        <v>1</v>
      </c>
    </row>
    <row r="3394">
      <c r="A3394" s="2" t="s">
        <v>3400</v>
      </c>
      <c r="B3394" s="2">
        <v>35.0</v>
      </c>
      <c r="C3394" s="2">
        <v>416.0</v>
      </c>
      <c r="D3394" s="2">
        <v>85.0</v>
      </c>
      <c r="E3394" s="3">
        <f t="shared" si="1"/>
        <v>0.2230971129</v>
      </c>
      <c r="F3394" s="2">
        <v>50.0</v>
      </c>
      <c r="G3394" s="3">
        <f t="shared" si="2"/>
        <v>0.1312335958</v>
      </c>
      <c r="H3394" s="2">
        <v>79.0</v>
      </c>
      <c r="I3394" s="3">
        <f t="shared" si="3"/>
        <v>0.2073490814</v>
      </c>
      <c r="J3394" s="2">
        <v>99.0</v>
      </c>
      <c r="K3394" s="3">
        <f t="shared" si="4"/>
        <v>0.2598425197</v>
      </c>
      <c r="L3394" s="2">
        <v>44.0</v>
      </c>
      <c r="M3394" s="3">
        <f t="shared" si="5"/>
        <v>0.5569620253</v>
      </c>
      <c r="N3394" s="2">
        <v>446200.0</v>
      </c>
      <c r="O3394" s="4">
        <f t="shared" si="6"/>
        <v>5648.101266</v>
      </c>
      <c r="P3394" s="2">
        <v>0.0</v>
      </c>
      <c r="Q3394" s="3">
        <f t="shared" si="7"/>
        <v>0</v>
      </c>
      <c r="R3394" s="2">
        <v>35.0</v>
      </c>
      <c r="S3394" s="5">
        <f t="shared" si="8"/>
        <v>1</v>
      </c>
    </row>
    <row r="3395">
      <c r="A3395" s="2" t="s">
        <v>3401</v>
      </c>
      <c r="B3395" s="2">
        <v>36.0</v>
      </c>
      <c r="C3395" s="2">
        <v>417.0</v>
      </c>
      <c r="D3395" s="2">
        <v>138.0</v>
      </c>
      <c r="E3395" s="3">
        <f t="shared" si="1"/>
        <v>0.3622047244</v>
      </c>
      <c r="F3395" s="2">
        <v>50.0</v>
      </c>
      <c r="G3395" s="3">
        <f t="shared" si="2"/>
        <v>0.1312335958</v>
      </c>
      <c r="H3395" s="2">
        <v>79.0</v>
      </c>
      <c r="I3395" s="3">
        <f t="shared" si="3"/>
        <v>0.2073490814</v>
      </c>
      <c r="J3395" s="2">
        <v>65.0</v>
      </c>
      <c r="K3395" s="3">
        <f t="shared" si="4"/>
        <v>0.1706036745</v>
      </c>
      <c r="L3395" s="2">
        <v>53.0</v>
      </c>
      <c r="M3395" s="3">
        <f t="shared" si="5"/>
        <v>0.6708860759</v>
      </c>
      <c r="N3395" s="2">
        <v>427700.0</v>
      </c>
      <c r="O3395" s="4">
        <f t="shared" si="6"/>
        <v>5413.924051</v>
      </c>
      <c r="P3395" s="2">
        <v>0.0</v>
      </c>
      <c r="Q3395" s="3">
        <f t="shared" si="7"/>
        <v>0</v>
      </c>
      <c r="R3395" s="2">
        <v>36.0</v>
      </c>
      <c r="S3395" s="5">
        <f t="shared" si="8"/>
        <v>1</v>
      </c>
    </row>
    <row r="3396">
      <c r="A3396" s="2" t="s">
        <v>3402</v>
      </c>
      <c r="B3396" s="2">
        <v>197.0</v>
      </c>
      <c r="C3396" s="2">
        <v>2323.0</v>
      </c>
      <c r="D3396" s="2">
        <v>850.0</v>
      </c>
      <c r="E3396" s="3">
        <f t="shared" si="1"/>
        <v>0.3998118532</v>
      </c>
      <c r="F3396" s="2">
        <v>279.0</v>
      </c>
      <c r="G3396" s="3">
        <f t="shared" si="2"/>
        <v>0.1312323612</v>
      </c>
      <c r="H3396" s="2">
        <v>447.0</v>
      </c>
      <c r="I3396" s="3">
        <f t="shared" si="3"/>
        <v>0.2102539981</v>
      </c>
      <c r="J3396" s="2">
        <v>394.0</v>
      </c>
      <c r="K3396" s="3">
        <f t="shared" si="4"/>
        <v>0.1853245532</v>
      </c>
      <c r="L3396" s="2">
        <v>274.0</v>
      </c>
      <c r="M3396" s="3">
        <f t="shared" si="5"/>
        <v>0.6129753915</v>
      </c>
      <c r="N3396" s="2">
        <v>2420500.0</v>
      </c>
      <c r="O3396" s="4">
        <f t="shared" si="6"/>
        <v>5414.988814</v>
      </c>
      <c r="P3396" s="2">
        <v>0.0</v>
      </c>
      <c r="Q3396" s="3">
        <f t="shared" si="7"/>
        <v>0</v>
      </c>
      <c r="R3396" s="2">
        <v>14.0</v>
      </c>
      <c r="S3396" s="5">
        <f t="shared" si="8"/>
        <v>0.07106598985</v>
      </c>
    </row>
    <row r="3397">
      <c r="A3397" s="2" t="s">
        <v>3403</v>
      </c>
      <c r="B3397" s="2">
        <v>195.0</v>
      </c>
      <c r="C3397" s="2">
        <v>2321.0</v>
      </c>
      <c r="D3397" s="2">
        <v>880.0</v>
      </c>
      <c r="E3397" s="3">
        <f t="shared" si="1"/>
        <v>0.4139228598</v>
      </c>
      <c r="F3397" s="2">
        <v>279.0</v>
      </c>
      <c r="G3397" s="3">
        <f t="shared" si="2"/>
        <v>0.1312323612</v>
      </c>
      <c r="H3397" s="2">
        <v>458.0</v>
      </c>
      <c r="I3397" s="3">
        <f t="shared" si="3"/>
        <v>0.2154280339</v>
      </c>
      <c r="J3397" s="2">
        <v>354.0</v>
      </c>
      <c r="K3397" s="3">
        <f t="shared" si="4"/>
        <v>0.1665098777</v>
      </c>
      <c r="L3397" s="2">
        <v>266.0</v>
      </c>
      <c r="M3397" s="3">
        <f t="shared" si="5"/>
        <v>0.5807860262</v>
      </c>
      <c r="N3397" s="2">
        <v>2418100.0</v>
      </c>
      <c r="O3397" s="4">
        <f t="shared" si="6"/>
        <v>5279.694323</v>
      </c>
      <c r="P3397" s="2">
        <v>0.0</v>
      </c>
      <c r="Q3397" s="3">
        <f t="shared" si="7"/>
        <v>0</v>
      </c>
      <c r="R3397" s="2">
        <v>195.0</v>
      </c>
      <c r="S3397" s="5">
        <f t="shared" si="8"/>
        <v>1</v>
      </c>
    </row>
    <row r="3398">
      <c r="A3398" s="2" t="s">
        <v>3404</v>
      </c>
      <c r="B3398" s="2">
        <v>1410.0</v>
      </c>
      <c r="C3398" s="2">
        <v>16521.0</v>
      </c>
      <c r="D3398" s="2">
        <v>4729.0</v>
      </c>
      <c r="E3398" s="3">
        <f t="shared" si="1"/>
        <v>0.3129508305</v>
      </c>
      <c r="F3398" s="2">
        <v>1983.0</v>
      </c>
      <c r="G3398" s="3">
        <f t="shared" si="2"/>
        <v>0.1312289061</v>
      </c>
      <c r="H3398" s="2">
        <v>3147.0</v>
      </c>
      <c r="I3398" s="3">
        <f t="shared" si="3"/>
        <v>0.2082588843</v>
      </c>
      <c r="J3398" s="2">
        <v>2612.0</v>
      </c>
      <c r="K3398" s="3">
        <f t="shared" si="4"/>
        <v>0.1728542122</v>
      </c>
      <c r="L3398" s="2">
        <v>1850.0</v>
      </c>
      <c r="M3398" s="3">
        <f t="shared" si="5"/>
        <v>0.5878614554</v>
      </c>
      <c r="N3398" s="2">
        <v>1.81665E7</v>
      </c>
      <c r="O3398" s="4">
        <f t="shared" si="6"/>
        <v>5772.64061</v>
      </c>
      <c r="P3398" s="2">
        <v>4.0</v>
      </c>
      <c r="Q3398" s="3">
        <f t="shared" si="7"/>
        <v>0.002836879433</v>
      </c>
      <c r="R3398" s="2">
        <v>1410.0</v>
      </c>
      <c r="S3398" s="5">
        <f t="shared" si="8"/>
        <v>1</v>
      </c>
    </row>
    <row r="3399">
      <c r="A3399" s="2" t="s">
        <v>3405</v>
      </c>
      <c r="B3399" s="2">
        <v>448.0</v>
      </c>
      <c r="C3399" s="2">
        <v>5287.0</v>
      </c>
      <c r="D3399" s="2">
        <v>1674.0</v>
      </c>
      <c r="E3399" s="3">
        <f t="shared" si="1"/>
        <v>0.3459392436</v>
      </c>
      <c r="F3399" s="2">
        <v>635.0</v>
      </c>
      <c r="G3399" s="3">
        <f t="shared" si="2"/>
        <v>0.1312254598</v>
      </c>
      <c r="H3399" s="2">
        <v>1032.0</v>
      </c>
      <c r="I3399" s="3">
        <f t="shared" si="3"/>
        <v>0.213267204</v>
      </c>
      <c r="J3399" s="2">
        <v>909.0</v>
      </c>
      <c r="K3399" s="3">
        <f t="shared" si="4"/>
        <v>0.1878487291</v>
      </c>
      <c r="L3399" s="2">
        <v>593.0</v>
      </c>
      <c r="M3399" s="3">
        <f t="shared" si="5"/>
        <v>0.5746124031</v>
      </c>
      <c r="N3399" s="2">
        <v>5388300.0</v>
      </c>
      <c r="O3399" s="4">
        <f t="shared" si="6"/>
        <v>5221.22093</v>
      </c>
      <c r="P3399" s="2">
        <v>3.0</v>
      </c>
      <c r="Q3399" s="3">
        <f t="shared" si="7"/>
        <v>0.006696428571</v>
      </c>
      <c r="R3399" s="2">
        <v>447.0</v>
      </c>
      <c r="S3399" s="5">
        <f t="shared" si="8"/>
        <v>0.9977678571</v>
      </c>
    </row>
    <row r="3400">
      <c r="A3400" s="2" t="s">
        <v>3406</v>
      </c>
      <c r="B3400" s="2">
        <v>527.0</v>
      </c>
      <c r="C3400" s="2">
        <v>6174.0</v>
      </c>
      <c r="D3400" s="2">
        <v>1429.0</v>
      </c>
      <c r="E3400" s="3">
        <f t="shared" si="1"/>
        <v>0.2530547193</v>
      </c>
      <c r="F3400" s="2">
        <v>741.0</v>
      </c>
      <c r="G3400" s="3">
        <f t="shared" si="2"/>
        <v>0.1312201169</v>
      </c>
      <c r="H3400" s="2">
        <v>1203.0</v>
      </c>
      <c r="I3400" s="3">
        <f t="shared" si="3"/>
        <v>0.2130334691</v>
      </c>
      <c r="J3400" s="2">
        <v>884.0</v>
      </c>
      <c r="K3400" s="3">
        <f t="shared" si="4"/>
        <v>0.1565432973</v>
      </c>
      <c r="L3400" s="2">
        <v>764.0</v>
      </c>
      <c r="M3400" s="3">
        <f t="shared" si="5"/>
        <v>0.6350789692</v>
      </c>
      <c r="N3400" s="2">
        <v>6873500.0</v>
      </c>
      <c r="O3400" s="4">
        <f t="shared" si="6"/>
        <v>5713.632585</v>
      </c>
      <c r="P3400" s="2">
        <v>3.0</v>
      </c>
      <c r="Q3400" s="3">
        <f t="shared" si="7"/>
        <v>0.00569259962</v>
      </c>
      <c r="R3400" s="2">
        <v>527.0</v>
      </c>
      <c r="S3400" s="5">
        <f t="shared" si="8"/>
        <v>1</v>
      </c>
    </row>
    <row r="3401">
      <c r="A3401" s="2" t="s">
        <v>3407</v>
      </c>
      <c r="B3401" s="2">
        <v>282.0</v>
      </c>
      <c r="C3401" s="2">
        <v>3277.0</v>
      </c>
      <c r="D3401" s="2">
        <v>1021.0</v>
      </c>
      <c r="E3401" s="3">
        <f t="shared" si="1"/>
        <v>0.3409015025</v>
      </c>
      <c r="F3401" s="2">
        <v>393.0</v>
      </c>
      <c r="G3401" s="3">
        <f t="shared" si="2"/>
        <v>0.1312186978</v>
      </c>
      <c r="H3401" s="2">
        <v>632.0</v>
      </c>
      <c r="I3401" s="3">
        <f t="shared" si="3"/>
        <v>0.2110183639</v>
      </c>
      <c r="J3401" s="2">
        <v>584.0</v>
      </c>
      <c r="K3401" s="3">
        <f t="shared" si="4"/>
        <v>0.1949916528</v>
      </c>
      <c r="L3401" s="2">
        <v>378.0</v>
      </c>
      <c r="M3401" s="3">
        <f t="shared" si="5"/>
        <v>0.5981012658</v>
      </c>
      <c r="N3401" s="2">
        <v>3813400.0</v>
      </c>
      <c r="O3401" s="4">
        <f t="shared" si="6"/>
        <v>6033.860759</v>
      </c>
      <c r="P3401" s="2">
        <v>1.0</v>
      </c>
      <c r="Q3401" s="3">
        <f t="shared" si="7"/>
        <v>0.003546099291</v>
      </c>
      <c r="R3401" s="2">
        <v>282.0</v>
      </c>
      <c r="S3401" s="5">
        <f t="shared" si="8"/>
        <v>1</v>
      </c>
    </row>
    <row r="3402">
      <c r="A3402" s="2" t="s">
        <v>3408</v>
      </c>
      <c r="B3402" s="2">
        <v>5689.0</v>
      </c>
      <c r="C3402" s="2">
        <v>66992.0</v>
      </c>
      <c r="D3402" s="2">
        <v>25664.0</v>
      </c>
      <c r="E3402" s="3">
        <f t="shared" si="1"/>
        <v>0.4186418283</v>
      </c>
      <c r="F3402" s="2">
        <v>8044.0</v>
      </c>
      <c r="G3402" s="3">
        <f t="shared" si="2"/>
        <v>0.1312170693</v>
      </c>
      <c r="H3402" s="2">
        <v>13185.0</v>
      </c>
      <c r="I3402" s="3">
        <f t="shared" si="3"/>
        <v>0.2150791968</v>
      </c>
      <c r="J3402" s="2">
        <v>9793.0</v>
      </c>
      <c r="K3402" s="3">
        <f t="shared" si="4"/>
        <v>0.1597474838</v>
      </c>
      <c r="L3402" s="2">
        <v>7889.0</v>
      </c>
      <c r="M3402" s="3">
        <f t="shared" si="5"/>
        <v>0.5983314372</v>
      </c>
      <c r="N3402" s="2">
        <v>7.44913E7</v>
      </c>
      <c r="O3402" s="4">
        <f t="shared" si="6"/>
        <v>5649.700417</v>
      </c>
      <c r="P3402" s="2">
        <v>8.0</v>
      </c>
      <c r="Q3402" s="3">
        <f t="shared" si="7"/>
        <v>0.001406222535</v>
      </c>
      <c r="R3402" s="2">
        <v>5689.0</v>
      </c>
      <c r="S3402" s="5">
        <f t="shared" si="8"/>
        <v>1</v>
      </c>
    </row>
    <row r="3403">
      <c r="A3403" s="2" t="s">
        <v>3409</v>
      </c>
      <c r="B3403" s="2">
        <v>171.0</v>
      </c>
      <c r="C3403" s="2">
        <v>2023.0</v>
      </c>
      <c r="D3403" s="2">
        <v>715.0</v>
      </c>
      <c r="E3403" s="3">
        <f t="shared" si="1"/>
        <v>0.3860691145</v>
      </c>
      <c r="F3403" s="2">
        <v>243.0</v>
      </c>
      <c r="G3403" s="3">
        <f t="shared" si="2"/>
        <v>0.1312095032</v>
      </c>
      <c r="H3403" s="2">
        <v>378.0</v>
      </c>
      <c r="I3403" s="3">
        <f t="shared" si="3"/>
        <v>0.2041036717</v>
      </c>
      <c r="J3403" s="2">
        <v>296.0</v>
      </c>
      <c r="K3403" s="3">
        <f t="shared" si="4"/>
        <v>0.1598272138</v>
      </c>
      <c r="L3403" s="2">
        <v>227.0</v>
      </c>
      <c r="M3403" s="3">
        <f t="shared" si="5"/>
        <v>0.6005291005</v>
      </c>
      <c r="N3403" s="2">
        <v>2048200.0</v>
      </c>
      <c r="O3403" s="4">
        <f t="shared" si="6"/>
        <v>5418.518519</v>
      </c>
      <c r="P3403" s="2">
        <v>0.0</v>
      </c>
      <c r="Q3403" s="3">
        <f t="shared" si="7"/>
        <v>0</v>
      </c>
      <c r="R3403" s="2">
        <v>73.0</v>
      </c>
      <c r="S3403" s="5">
        <f t="shared" si="8"/>
        <v>0.4269005848</v>
      </c>
    </row>
    <row r="3404">
      <c r="A3404" s="2" t="s">
        <v>3410</v>
      </c>
      <c r="B3404" s="2">
        <v>465.0</v>
      </c>
      <c r="C3404" s="2">
        <v>5419.0</v>
      </c>
      <c r="D3404" s="2">
        <v>1818.0</v>
      </c>
      <c r="E3404" s="3">
        <f t="shared" si="1"/>
        <v>0.3669761809</v>
      </c>
      <c r="F3404" s="2">
        <v>650.0</v>
      </c>
      <c r="G3404" s="3">
        <f t="shared" si="2"/>
        <v>0.1312071054</v>
      </c>
      <c r="H3404" s="2">
        <v>1025.0</v>
      </c>
      <c r="I3404" s="3">
        <f t="shared" si="3"/>
        <v>0.2069035123</v>
      </c>
      <c r="J3404" s="2">
        <v>837.0</v>
      </c>
      <c r="K3404" s="3">
        <f t="shared" si="4"/>
        <v>0.1689543803</v>
      </c>
      <c r="L3404" s="2">
        <v>590.0</v>
      </c>
      <c r="M3404" s="3">
        <f t="shared" si="5"/>
        <v>0.5756097561</v>
      </c>
      <c r="N3404" s="2">
        <v>5525100.0</v>
      </c>
      <c r="O3404" s="4">
        <f t="shared" si="6"/>
        <v>5390.341463</v>
      </c>
      <c r="P3404" s="2">
        <v>1.0</v>
      </c>
      <c r="Q3404" s="3">
        <f t="shared" si="7"/>
        <v>0.002150537634</v>
      </c>
      <c r="R3404" s="2">
        <v>465.0</v>
      </c>
      <c r="S3404" s="5">
        <f t="shared" si="8"/>
        <v>1</v>
      </c>
    </row>
    <row r="3405">
      <c r="A3405" s="2" t="s">
        <v>3411</v>
      </c>
      <c r="B3405" s="2">
        <v>26.0</v>
      </c>
      <c r="C3405" s="2">
        <v>308.0</v>
      </c>
      <c r="D3405" s="2">
        <v>93.0</v>
      </c>
      <c r="E3405" s="3">
        <f t="shared" si="1"/>
        <v>0.329787234</v>
      </c>
      <c r="F3405" s="2">
        <v>37.0</v>
      </c>
      <c r="G3405" s="3">
        <f t="shared" si="2"/>
        <v>0.1312056738</v>
      </c>
      <c r="H3405" s="2">
        <v>59.0</v>
      </c>
      <c r="I3405" s="3">
        <f t="shared" si="3"/>
        <v>0.2092198582</v>
      </c>
      <c r="J3405" s="2">
        <v>51.0</v>
      </c>
      <c r="K3405" s="3">
        <f t="shared" si="4"/>
        <v>0.1808510638</v>
      </c>
      <c r="L3405" s="2">
        <v>36.0</v>
      </c>
      <c r="M3405" s="3">
        <f t="shared" si="5"/>
        <v>0.6101694915</v>
      </c>
      <c r="N3405" s="2">
        <v>298700.0</v>
      </c>
      <c r="O3405" s="4">
        <f t="shared" si="6"/>
        <v>5062.711864</v>
      </c>
      <c r="P3405" s="2">
        <v>0.0</v>
      </c>
      <c r="Q3405" s="3">
        <f t="shared" si="7"/>
        <v>0</v>
      </c>
      <c r="R3405" s="2">
        <v>26.0</v>
      </c>
      <c r="S3405" s="5">
        <f t="shared" si="8"/>
        <v>1</v>
      </c>
    </row>
    <row r="3406">
      <c r="A3406" s="2" t="s">
        <v>3412</v>
      </c>
      <c r="B3406" s="2">
        <v>1427.0</v>
      </c>
      <c r="C3406" s="2">
        <v>16663.0</v>
      </c>
      <c r="D3406" s="2">
        <v>5377.0</v>
      </c>
      <c r="E3406" s="3">
        <f t="shared" si="1"/>
        <v>0.3529141507</v>
      </c>
      <c r="F3406" s="2">
        <v>1999.0</v>
      </c>
      <c r="G3406" s="3">
        <f t="shared" si="2"/>
        <v>0.1312024153</v>
      </c>
      <c r="H3406" s="2">
        <v>3201.0</v>
      </c>
      <c r="I3406" s="3">
        <f t="shared" si="3"/>
        <v>0.210094513</v>
      </c>
      <c r="J3406" s="2">
        <v>2456.0</v>
      </c>
      <c r="K3406" s="3">
        <f t="shared" si="4"/>
        <v>0.1611971646</v>
      </c>
      <c r="L3406" s="2">
        <v>1905.0</v>
      </c>
      <c r="M3406" s="3">
        <f t="shared" si="5"/>
        <v>0.595126523</v>
      </c>
      <c r="N3406" s="2">
        <v>1.83037E7</v>
      </c>
      <c r="O3406" s="4">
        <f t="shared" si="6"/>
        <v>5718.119338</v>
      </c>
      <c r="P3406" s="2">
        <v>0.0</v>
      </c>
      <c r="Q3406" s="3">
        <f t="shared" si="7"/>
        <v>0</v>
      </c>
      <c r="R3406" s="2">
        <v>1427.0</v>
      </c>
      <c r="S3406" s="5">
        <f t="shared" si="8"/>
        <v>1</v>
      </c>
    </row>
    <row r="3407">
      <c r="A3407" s="2" t="s">
        <v>3413</v>
      </c>
      <c r="B3407" s="2">
        <v>29.0</v>
      </c>
      <c r="C3407" s="2">
        <v>372.0</v>
      </c>
      <c r="D3407" s="2">
        <v>130.0</v>
      </c>
      <c r="E3407" s="3">
        <f t="shared" si="1"/>
        <v>0.3790087464</v>
      </c>
      <c r="F3407" s="2">
        <v>45.0</v>
      </c>
      <c r="G3407" s="3">
        <f t="shared" si="2"/>
        <v>0.1311953353</v>
      </c>
      <c r="H3407" s="2">
        <v>59.0</v>
      </c>
      <c r="I3407" s="3">
        <f t="shared" si="3"/>
        <v>0.1720116618</v>
      </c>
      <c r="J3407" s="2">
        <v>37.0</v>
      </c>
      <c r="K3407" s="3">
        <f t="shared" si="4"/>
        <v>0.1078717201</v>
      </c>
      <c r="L3407" s="2">
        <v>35.0</v>
      </c>
      <c r="M3407" s="3">
        <f t="shared" si="5"/>
        <v>0.593220339</v>
      </c>
      <c r="N3407" s="2">
        <v>335900.0</v>
      </c>
      <c r="O3407" s="4">
        <f t="shared" si="6"/>
        <v>5693.220339</v>
      </c>
      <c r="P3407" s="2">
        <v>0.0</v>
      </c>
      <c r="Q3407" s="3">
        <f t="shared" si="7"/>
        <v>0</v>
      </c>
      <c r="R3407" s="2">
        <v>4.0</v>
      </c>
      <c r="S3407" s="5">
        <f t="shared" si="8"/>
        <v>0.1379310345</v>
      </c>
    </row>
    <row r="3408">
      <c r="A3408" s="2" t="s">
        <v>3414</v>
      </c>
      <c r="B3408" s="2">
        <v>508.0</v>
      </c>
      <c r="C3408" s="2">
        <v>5882.0</v>
      </c>
      <c r="D3408" s="2">
        <v>1772.0</v>
      </c>
      <c r="E3408" s="3">
        <f t="shared" si="1"/>
        <v>0.3297357648</v>
      </c>
      <c r="F3408" s="2">
        <v>705.0</v>
      </c>
      <c r="G3408" s="3">
        <f t="shared" si="2"/>
        <v>0.1311871976</v>
      </c>
      <c r="H3408" s="2">
        <v>1091.0</v>
      </c>
      <c r="I3408" s="3">
        <f t="shared" si="3"/>
        <v>0.2030145143</v>
      </c>
      <c r="J3408" s="2">
        <v>939.0</v>
      </c>
      <c r="K3408" s="3">
        <f t="shared" si="4"/>
        <v>0.1747301824</v>
      </c>
      <c r="L3408" s="2">
        <v>643.0</v>
      </c>
      <c r="M3408" s="3">
        <f t="shared" si="5"/>
        <v>0.5893675527</v>
      </c>
      <c r="N3408" s="2">
        <v>6566800.0</v>
      </c>
      <c r="O3408" s="4">
        <f t="shared" si="6"/>
        <v>6019.065078</v>
      </c>
      <c r="P3408" s="2">
        <v>3.0</v>
      </c>
      <c r="Q3408" s="3">
        <f t="shared" si="7"/>
        <v>0.005905511811</v>
      </c>
      <c r="R3408" s="2">
        <v>508.0</v>
      </c>
      <c r="S3408" s="5">
        <f t="shared" si="8"/>
        <v>1</v>
      </c>
    </row>
    <row r="3409">
      <c r="A3409" s="2" t="s">
        <v>3415</v>
      </c>
      <c r="B3409" s="2">
        <v>155.0</v>
      </c>
      <c r="C3409" s="2">
        <v>1832.0</v>
      </c>
      <c r="D3409" s="2">
        <v>637.0</v>
      </c>
      <c r="E3409" s="3">
        <f t="shared" si="1"/>
        <v>0.3798449612</v>
      </c>
      <c r="F3409" s="2">
        <v>220.0</v>
      </c>
      <c r="G3409" s="3">
        <f t="shared" si="2"/>
        <v>0.1311866428</v>
      </c>
      <c r="H3409" s="2">
        <v>369.0</v>
      </c>
      <c r="I3409" s="3">
        <f t="shared" si="3"/>
        <v>0.2200357782</v>
      </c>
      <c r="J3409" s="2">
        <v>277.0</v>
      </c>
      <c r="K3409" s="3">
        <f t="shared" si="4"/>
        <v>0.1651759094</v>
      </c>
      <c r="L3409" s="2">
        <v>212.0</v>
      </c>
      <c r="M3409" s="3">
        <f t="shared" si="5"/>
        <v>0.5745257453</v>
      </c>
      <c r="N3409" s="2">
        <v>2100500.0</v>
      </c>
      <c r="O3409" s="4">
        <f t="shared" si="6"/>
        <v>5692.411924</v>
      </c>
      <c r="P3409" s="2">
        <v>0.0</v>
      </c>
      <c r="Q3409" s="3">
        <f t="shared" si="7"/>
        <v>0</v>
      </c>
      <c r="R3409" s="2">
        <v>155.0</v>
      </c>
      <c r="S3409" s="5">
        <f t="shared" si="8"/>
        <v>1</v>
      </c>
    </row>
    <row r="3410">
      <c r="A3410" s="2" t="s">
        <v>3416</v>
      </c>
      <c r="B3410" s="2">
        <v>587.0</v>
      </c>
      <c r="C3410" s="2">
        <v>6792.0</v>
      </c>
      <c r="D3410" s="2">
        <v>1888.0</v>
      </c>
      <c r="E3410" s="3">
        <f t="shared" si="1"/>
        <v>0.3042707494</v>
      </c>
      <c r="F3410" s="2">
        <v>814.0</v>
      </c>
      <c r="G3410" s="3">
        <f t="shared" si="2"/>
        <v>0.1311845286</v>
      </c>
      <c r="H3410" s="2">
        <v>1189.0</v>
      </c>
      <c r="I3410" s="3">
        <f t="shared" si="3"/>
        <v>0.1916196616</v>
      </c>
      <c r="J3410" s="2">
        <v>1061.0</v>
      </c>
      <c r="K3410" s="3">
        <f t="shared" si="4"/>
        <v>0.1709911362</v>
      </c>
      <c r="L3410" s="2">
        <v>714.0</v>
      </c>
      <c r="M3410" s="3">
        <f t="shared" si="5"/>
        <v>0.6005046257</v>
      </c>
      <c r="N3410" s="2">
        <v>6963900.0</v>
      </c>
      <c r="O3410" s="4">
        <f t="shared" si="6"/>
        <v>5856.938604</v>
      </c>
      <c r="P3410" s="2">
        <v>0.0</v>
      </c>
      <c r="Q3410" s="3">
        <f t="shared" si="7"/>
        <v>0</v>
      </c>
      <c r="R3410" s="2">
        <v>0.0</v>
      </c>
      <c r="S3410" s="5">
        <f t="shared" si="8"/>
        <v>0</v>
      </c>
    </row>
    <row r="3411">
      <c r="A3411" s="2" t="s">
        <v>3417</v>
      </c>
      <c r="B3411" s="2">
        <v>255.0</v>
      </c>
      <c r="C3411" s="2">
        <v>2946.0</v>
      </c>
      <c r="D3411" s="2">
        <v>932.0</v>
      </c>
      <c r="E3411" s="3">
        <f t="shared" si="1"/>
        <v>0.3463396507</v>
      </c>
      <c r="F3411" s="2">
        <v>353.0</v>
      </c>
      <c r="G3411" s="3">
        <f t="shared" si="2"/>
        <v>0.1311780007</v>
      </c>
      <c r="H3411" s="2">
        <v>532.0</v>
      </c>
      <c r="I3411" s="3">
        <f t="shared" si="3"/>
        <v>0.1976960238</v>
      </c>
      <c r="J3411" s="2">
        <v>459.0</v>
      </c>
      <c r="K3411" s="3">
        <f t="shared" si="4"/>
        <v>0.1705685619</v>
      </c>
      <c r="L3411" s="2">
        <v>316.0</v>
      </c>
      <c r="M3411" s="3">
        <f t="shared" si="5"/>
        <v>0.5939849624</v>
      </c>
      <c r="N3411" s="2">
        <v>2938600.0</v>
      </c>
      <c r="O3411" s="4">
        <f t="shared" si="6"/>
        <v>5523.684211</v>
      </c>
      <c r="P3411" s="2">
        <v>0.0</v>
      </c>
      <c r="Q3411" s="3">
        <f t="shared" si="7"/>
        <v>0</v>
      </c>
      <c r="R3411" s="2">
        <v>255.0</v>
      </c>
      <c r="S3411" s="5">
        <f t="shared" si="8"/>
        <v>1</v>
      </c>
    </row>
    <row r="3412">
      <c r="A3412" s="2" t="s">
        <v>3418</v>
      </c>
      <c r="B3412" s="2">
        <v>166.0</v>
      </c>
      <c r="C3412" s="2">
        <v>1927.0</v>
      </c>
      <c r="D3412" s="2">
        <v>708.0</v>
      </c>
      <c r="E3412" s="3">
        <f t="shared" si="1"/>
        <v>0.402044293</v>
      </c>
      <c r="F3412" s="2">
        <v>231.0</v>
      </c>
      <c r="G3412" s="3">
        <f t="shared" si="2"/>
        <v>0.1311754685</v>
      </c>
      <c r="H3412" s="2">
        <v>381.0</v>
      </c>
      <c r="I3412" s="3">
        <f t="shared" si="3"/>
        <v>0.2163543441</v>
      </c>
      <c r="J3412" s="2">
        <v>350.0</v>
      </c>
      <c r="K3412" s="3">
        <f t="shared" si="4"/>
        <v>0.1987507098</v>
      </c>
      <c r="L3412" s="2">
        <v>230.0</v>
      </c>
      <c r="M3412" s="3">
        <f t="shared" si="5"/>
        <v>0.6036745407</v>
      </c>
      <c r="N3412" s="2">
        <v>1917300.0</v>
      </c>
      <c r="O3412" s="4">
        <f t="shared" si="6"/>
        <v>5032.283465</v>
      </c>
      <c r="P3412" s="2">
        <v>0.0</v>
      </c>
      <c r="Q3412" s="3">
        <f t="shared" si="7"/>
        <v>0</v>
      </c>
      <c r="R3412" s="2">
        <v>166.0</v>
      </c>
      <c r="S3412" s="5">
        <f t="shared" si="8"/>
        <v>1</v>
      </c>
    </row>
    <row r="3413">
      <c r="A3413" s="2" t="s">
        <v>3419</v>
      </c>
      <c r="B3413" s="2">
        <v>187.0</v>
      </c>
      <c r="C3413" s="2">
        <v>2131.0</v>
      </c>
      <c r="D3413" s="2">
        <v>734.0</v>
      </c>
      <c r="E3413" s="3">
        <f t="shared" si="1"/>
        <v>0.3775720165</v>
      </c>
      <c r="F3413" s="2">
        <v>255.0</v>
      </c>
      <c r="G3413" s="3">
        <f t="shared" si="2"/>
        <v>0.1311728395</v>
      </c>
      <c r="H3413" s="2">
        <v>439.0</v>
      </c>
      <c r="I3413" s="3">
        <f t="shared" si="3"/>
        <v>0.2258230453</v>
      </c>
      <c r="J3413" s="2">
        <v>373.0</v>
      </c>
      <c r="K3413" s="3">
        <f t="shared" si="4"/>
        <v>0.191872428</v>
      </c>
      <c r="L3413" s="2">
        <v>257.0</v>
      </c>
      <c r="M3413" s="3">
        <f t="shared" si="5"/>
        <v>0.5854214123</v>
      </c>
      <c r="N3413" s="2">
        <v>2328400.0</v>
      </c>
      <c r="O3413" s="4">
        <f t="shared" si="6"/>
        <v>5303.872437</v>
      </c>
      <c r="P3413" s="2">
        <v>0.0</v>
      </c>
      <c r="Q3413" s="3">
        <f t="shared" si="7"/>
        <v>0</v>
      </c>
      <c r="R3413" s="2">
        <v>187.0</v>
      </c>
      <c r="S3413" s="5">
        <f t="shared" si="8"/>
        <v>1</v>
      </c>
    </row>
    <row r="3414">
      <c r="A3414" s="2" t="s">
        <v>3420</v>
      </c>
      <c r="B3414" s="2">
        <v>908.0</v>
      </c>
      <c r="C3414" s="2">
        <v>10514.0</v>
      </c>
      <c r="D3414" s="2">
        <v>3540.0</v>
      </c>
      <c r="E3414" s="3">
        <f t="shared" si="1"/>
        <v>0.3685196752</v>
      </c>
      <c r="F3414" s="2">
        <v>1260.0</v>
      </c>
      <c r="G3414" s="3">
        <f t="shared" si="2"/>
        <v>0.13116802</v>
      </c>
      <c r="H3414" s="2">
        <v>2094.0</v>
      </c>
      <c r="I3414" s="3">
        <f t="shared" si="3"/>
        <v>0.217988757</v>
      </c>
      <c r="J3414" s="2">
        <v>1689.0</v>
      </c>
      <c r="K3414" s="3">
        <f t="shared" si="4"/>
        <v>0.1758276077</v>
      </c>
      <c r="L3414" s="2">
        <v>1279.0</v>
      </c>
      <c r="M3414" s="3">
        <f t="shared" si="5"/>
        <v>0.6107927412</v>
      </c>
      <c r="N3414" s="2">
        <v>1.19165E7</v>
      </c>
      <c r="O3414" s="4">
        <f t="shared" si="6"/>
        <v>5690.78319</v>
      </c>
      <c r="P3414" s="2">
        <v>0.0</v>
      </c>
      <c r="Q3414" s="3">
        <f t="shared" si="7"/>
        <v>0</v>
      </c>
      <c r="R3414" s="2">
        <v>908.0</v>
      </c>
      <c r="S3414" s="5">
        <f t="shared" si="8"/>
        <v>1</v>
      </c>
    </row>
    <row r="3415">
      <c r="A3415" s="2" t="s">
        <v>3421</v>
      </c>
      <c r="B3415" s="2">
        <v>988.0</v>
      </c>
      <c r="C3415" s="2">
        <v>11616.0</v>
      </c>
      <c r="D3415" s="2">
        <v>4123.0</v>
      </c>
      <c r="E3415" s="3">
        <f t="shared" si="1"/>
        <v>0.3879375235</v>
      </c>
      <c r="F3415" s="2">
        <v>1394.0</v>
      </c>
      <c r="G3415" s="3">
        <f t="shared" si="2"/>
        <v>0.1311629658</v>
      </c>
      <c r="H3415" s="2">
        <v>2493.0</v>
      </c>
      <c r="I3415" s="3">
        <f t="shared" si="3"/>
        <v>0.2345690629</v>
      </c>
      <c r="J3415" s="2">
        <v>1926.0</v>
      </c>
      <c r="K3415" s="3">
        <f t="shared" si="4"/>
        <v>0.1812194204</v>
      </c>
      <c r="L3415" s="2">
        <v>1527.0</v>
      </c>
      <c r="M3415" s="3">
        <f t="shared" si="5"/>
        <v>0.6125150421</v>
      </c>
      <c r="N3415" s="2">
        <v>1.36545E7</v>
      </c>
      <c r="O3415" s="4">
        <f t="shared" si="6"/>
        <v>5477.135981</v>
      </c>
      <c r="P3415" s="2">
        <v>2.0</v>
      </c>
      <c r="Q3415" s="3">
        <f t="shared" si="7"/>
        <v>0.002024291498</v>
      </c>
      <c r="R3415" s="2">
        <v>988.0</v>
      </c>
      <c r="S3415" s="5">
        <f t="shared" si="8"/>
        <v>1</v>
      </c>
    </row>
    <row r="3416">
      <c r="A3416" s="2" t="s">
        <v>3422</v>
      </c>
      <c r="B3416" s="2">
        <v>124.0</v>
      </c>
      <c r="C3416" s="2">
        <v>1443.0</v>
      </c>
      <c r="D3416" s="2">
        <v>423.0</v>
      </c>
      <c r="E3416" s="3">
        <f t="shared" si="1"/>
        <v>0.3206974981</v>
      </c>
      <c r="F3416" s="2">
        <v>173.0</v>
      </c>
      <c r="G3416" s="3">
        <f t="shared" si="2"/>
        <v>0.1311599697</v>
      </c>
      <c r="H3416" s="2">
        <v>269.0</v>
      </c>
      <c r="I3416" s="3">
        <f t="shared" si="3"/>
        <v>0.2039423806</v>
      </c>
      <c r="J3416" s="2">
        <v>245.0</v>
      </c>
      <c r="K3416" s="3">
        <f t="shared" si="4"/>
        <v>0.1857467779</v>
      </c>
      <c r="L3416" s="2">
        <v>163.0</v>
      </c>
      <c r="M3416" s="3">
        <f t="shared" si="5"/>
        <v>0.6059479554</v>
      </c>
      <c r="N3416" s="2">
        <v>1634100.0</v>
      </c>
      <c r="O3416" s="4">
        <f t="shared" si="6"/>
        <v>6074.72119</v>
      </c>
      <c r="P3416" s="2">
        <v>0.0</v>
      </c>
      <c r="Q3416" s="3">
        <f t="shared" si="7"/>
        <v>0</v>
      </c>
      <c r="R3416" s="2">
        <v>0.0</v>
      </c>
      <c r="S3416" s="5">
        <f t="shared" si="8"/>
        <v>0</v>
      </c>
    </row>
    <row r="3417">
      <c r="A3417" s="2" t="s">
        <v>3423</v>
      </c>
      <c r="B3417" s="2">
        <v>1835.0</v>
      </c>
      <c r="C3417" s="2">
        <v>21529.0</v>
      </c>
      <c r="D3417" s="2">
        <v>6795.0</v>
      </c>
      <c r="E3417" s="3">
        <f t="shared" si="1"/>
        <v>0.3450289428</v>
      </c>
      <c r="F3417" s="2">
        <v>2583.0</v>
      </c>
      <c r="G3417" s="3">
        <f t="shared" si="2"/>
        <v>0.1311566975</v>
      </c>
      <c r="H3417" s="2">
        <v>4127.0</v>
      </c>
      <c r="I3417" s="3">
        <f t="shared" si="3"/>
        <v>0.20955621</v>
      </c>
      <c r="J3417" s="2">
        <v>3609.0</v>
      </c>
      <c r="K3417" s="3">
        <f t="shared" si="4"/>
        <v>0.1832537829</v>
      </c>
      <c r="L3417" s="2">
        <v>2479.0</v>
      </c>
      <c r="M3417" s="3">
        <f t="shared" si="5"/>
        <v>0.6006784589</v>
      </c>
      <c r="N3417" s="2">
        <v>2.39136E7</v>
      </c>
      <c r="O3417" s="4">
        <f t="shared" si="6"/>
        <v>5794.426945</v>
      </c>
      <c r="P3417" s="2">
        <v>5.0</v>
      </c>
      <c r="Q3417" s="3">
        <f t="shared" si="7"/>
        <v>0.00272479564</v>
      </c>
      <c r="R3417" s="2">
        <v>0.0</v>
      </c>
      <c r="S3417" s="5">
        <f t="shared" si="8"/>
        <v>0</v>
      </c>
    </row>
    <row r="3418">
      <c r="A3418" s="2" t="s">
        <v>3424</v>
      </c>
      <c r="B3418" s="2">
        <v>302.0</v>
      </c>
      <c r="C3418" s="2">
        <v>3512.0</v>
      </c>
      <c r="D3418" s="2">
        <v>1194.0</v>
      </c>
      <c r="E3418" s="3">
        <f t="shared" si="1"/>
        <v>0.3719626168</v>
      </c>
      <c r="F3418" s="2">
        <v>421.0</v>
      </c>
      <c r="G3418" s="3">
        <f t="shared" si="2"/>
        <v>0.131152648</v>
      </c>
      <c r="H3418" s="2">
        <v>653.0</v>
      </c>
      <c r="I3418" s="3">
        <f t="shared" si="3"/>
        <v>0.2034267913</v>
      </c>
      <c r="J3418" s="2">
        <v>553.0</v>
      </c>
      <c r="K3418" s="3">
        <f t="shared" si="4"/>
        <v>0.1722741433</v>
      </c>
      <c r="L3418" s="2">
        <v>414.0</v>
      </c>
      <c r="M3418" s="3">
        <f t="shared" si="5"/>
        <v>0.6339969372</v>
      </c>
      <c r="N3418" s="2">
        <v>3729400.0</v>
      </c>
      <c r="O3418" s="4">
        <f t="shared" si="6"/>
        <v>5711.179173</v>
      </c>
      <c r="P3418" s="2">
        <v>1.0</v>
      </c>
      <c r="Q3418" s="3">
        <f t="shared" si="7"/>
        <v>0.003311258278</v>
      </c>
      <c r="R3418" s="2">
        <v>0.0</v>
      </c>
      <c r="S3418" s="5">
        <f t="shared" si="8"/>
        <v>0</v>
      </c>
    </row>
    <row r="3419">
      <c r="A3419" s="2" t="s">
        <v>3425</v>
      </c>
      <c r="B3419" s="2">
        <v>1010.0</v>
      </c>
      <c r="C3419" s="2">
        <v>11883.0</v>
      </c>
      <c r="D3419" s="2">
        <v>3507.0</v>
      </c>
      <c r="E3419" s="3">
        <f t="shared" si="1"/>
        <v>0.3225420767</v>
      </c>
      <c r="F3419" s="2">
        <v>1426.0</v>
      </c>
      <c r="G3419" s="3">
        <f t="shared" si="2"/>
        <v>0.1311505564</v>
      </c>
      <c r="H3419" s="2">
        <v>2382.0</v>
      </c>
      <c r="I3419" s="3">
        <f t="shared" si="3"/>
        <v>0.2190747724</v>
      </c>
      <c r="J3419" s="2">
        <v>2144.0</v>
      </c>
      <c r="K3419" s="3">
        <f t="shared" si="4"/>
        <v>0.1971856893</v>
      </c>
      <c r="L3419" s="2">
        <v>1451.0</v>
      </c>
      <c r="M3419" s="3">
        <f t="shared" si="5"/>
        <v>0.6091519731</v>
      </c>
      <c r="N3419" s="2">
        <v>1.31493E7</v>
      </c>
      <c r="O3419" s="4">
        <f t="shared" si="6"/>
        <v>5520.277078</v>
      </c>
      <c r="P3419" s="2">
        <v>2.0</v>
      </c>
      <c r="Q3419" s="3">
        <f t="shared" si="7"/>
        <v>0.00198019802</v>
      </c>
      <c r="R3419" s="2">
        <v>1010.0</v>
      </c>
      <c r="S3419" s="5">
        <f t="shared" si="8"/>
        <v>1</v>
      </c>
    </row>
    <row r="3420">
      <c r="A3420" s="2" t="s">
        <v>3426</v>
      </c>
      <c r="B3420" s="2">
        <v>134.0</v>
      </c>
      <c r="C3420" s="2">
        <v>1499.0</v>
      </c>
      <c r="D3420" s="2">
        <v>334.0</v>
      </c>
      <c r="E3420" s="3">
        <f t="shared" si="1"/>
        <v>0.2446886447</v>
      </c>
      <c r="F3420" s="2">
        <v>179.0</v>
      </c>
      <c r="G3420" s="3">
        <f t="shared" si="2"/>
        <v>0.1311355311</v>
      </c>
      <c r="H3420" s="2">
        <v>296.0</v>
      </c>
      <c r="I3420" s="3">
        <f t="shared" si="3"/>
        <v>0.2168498168</v>
      </c>
      <c r="J3420" s="2">
        <v>321.0</v>
      </c>
      <c r="K3420" s="3">
        <f t="shared" si="4"/>
        <v>0.2351648352</v>
      </c>
      <c r="L3420" s="2">
        <v>176.0</v>
      </c>
      <c r="M3420" s="3">
        <f t="shared" si="5"/>
        <v>0.5945945946</v>
      </c>
      <c r="N3420" s="2">
        <v>1632000.0</v>
      </c>
      <c r="O3420" s="4">
        <f t="shared" si="6"/>
        <v>5513.513514</v>
      </c>
      <c r="P3420" s="2">
        <v>0.0</v>
      </c>
      <c r="Q3420" s="3">
        <f t="shared" si="7"/>
        <v>0</v>
      </c>
      <c r="R3420" s="2">
        <v>134.0</v>
      </c>
      <c r="S3420" s="5">
        <f t="shared" si="8"/>
        <v>1</v>
      </c>
    </row>
    <row r="3421">
      <c r="A3421" s="2" t="s">
        <v>3427</v>
      </c>
      <c r="B3421" s="2">
        <v>477.0</v>
      </c>
      <c r="C3421" s="2">
        <v>5472.0</v>
      </c>
      <c r="D3421" s="2">
        <v>1821.0</v>
      </c>
      <c r="E3421" s="3">
        <f t="shared" si="1"/>
        <v>0.3645645646</v>
      </c>
      <c r="F3421" s="2">
        <v>655.0</v>
      </c>
      <c r="G3421" s="3">
        <f t="shared" si="2"/>
        <v>0.1311311311</v>
      </c>
      <c r="H3421" s="2">
        <v>1136.0</v>
      </c>
      <c r="I3421" s="3">
        <f t="shared" si="3"/>
        <v>0.2274274274</v>
      </c>
      <c r="J3421" s="2">
        <v>930.0</v>
      </c>
      <c r="K3421" s="3">
        <f t="shared" si="4"/>
        <v>0.1861861862</v>
      </c>
      <c r="L3421" s="2">
        <v>700.0</v>
      </c>
      <c r="M3421" s="3">
        <f t="shared" si="5"/>
        <v>0.6161971831</v>
      </c>
      <c r="N3421" s="2">
        <v>6151900.0</v>
      </c>
      <c r="O3421" s="4">
        <f t="shared" si="6"/>
        <v>5415.40493</v>
      </c>
      <c r="P3421" s="2">
        <v>1.0</v>
      </c>
      <c r="Q3421" s="3">
        <f t="shared" si="7"/>
        <v>0.002096436059</v>
      </c>
      <c r="R3421" s="2">
        <v>477.0</v>
      </c>
      <c r="S3421" s="5">
        <f t="shared" si="8"/>
        <v>1</v>
      </c>
    </row>
    <row r="3422">
      <c r="A3422" s="2" t="s">
        <v>3428</v>
      </c>
      <c r="B3422" s="2">
        <v>668.0</v>
      </c>
      <c r="C3422" s="2">
        <v>7860.0</v>
      </c>
      <c r="D3422" s="2">
        <v>2583.0</v>
      </c>
      <c r="E3422" s="3">
        <f t="shared" si="1"/>
        <v>0.3591490545</v>
      </c>
      <c r="F3422" s="2">
        <v>943.0</v>
      </c>
      <c r="G3422" s="3">
        <f t="shared" si="2"/>
        <v>0.1311179088</v>
      </c>
      <c r="H3422" s="2">
        <v>1574.0</v>
      </c>
      <c r="I3422" s="3">
        <f t="shared" si="3"/>
        <v>0.2188542825</v>
      </c>
      <c r="J3422" s="2">
        <v>1370.0</v>
      </c>
      <c r="K3422" s="3">
        <f t="shared" si="4"/>
        <v>0.1904894327</v>
      </c>
      <c r="L3422" s="2">
        <v>929.0</v>
      </c>
      <c r="M3422" s="3">
        <f t="shared" si="5"/>
        <v>0.5902160102</v>
      </c>
      <c r="N3422" s="2">
        <v>8590600.0</v>
      </c>
      <c r="O3422" s="4">
        <f t="shared" si="6"/>
        <v>5457.814485</v>
      </c>
      <c r="P3422" s="2">
        <v>1.0</v>
      </c>
      <c r="Q3422" s="3">
        <f t="shared" si="7"/>
        <v>0.001497005988</v>
      </c>
      <c r="R3422" s="2">
        <v>612.0</v>
      </c>
      <c r="S3422" s="5">
        <f t="shared" si="8"/>
        <v>0.9161676647</v>
      </c>
    </row>
    <row r="3423">
      <c r="A3423" s="2" t="s">
        <v>3429</v>
      </c>
      <c r="B3423" s="2">
        <v>1077.0</v>
      </c>
      <c r="C3423" s="2">
        <v>12533.0</v>
      </c>
      <c r="D3423" s="2">
        <v>3915.0</v>
      </c>
      <c r="E3423" s="3">
        <f t="shared" si="1"/>
        <v>0.3417423184</v>
      </c>
      <c r="F3423" s="2">
        <v>1502.0</v>
      </c>
      <c r="G3423" s="3">
        <f t="shared" si="2"/>
        <v>0.1311103352</v>
      </c>
      <c r="H3423" s="2">
        <v>2378.0</v>
      </c>
      <c r="I3423" s="3">
        <f t="shared" si="3"/>
        <v>0.2075768156</v>
      </c>
      <c r="J3423" s="2">
        <v>2366.0</v>
      </c>
      <c r="K3423" s="3">
        <f t="shared" si="4"/>
        <v>0.2065293296</v>
      </c>
      <c r="L3423" s="2">
        <v>1377.0</v>
      </c>
      <c r="M3423" s="3">
        <f t="shared" si="5"/>
        <v>0.579058032</v>
      </c>
      <c r="N3423" s="2">
        <v>1.34921E7</v>
      </c>
      <c r="O3423" s="4">
        <f t="shared" si="6"/>
        <v>5673.71741</v>
      </c>
      <c r="P3423" s="2">
        <v>2.0</v>
      </c>
      <c r="Q3423" s="3">
        <f t="shared" si="7"/>
        <v>0.001857010214</v>
      </c>
      <c r="R3423" s="2">
        <v>1077.0</v>
      </c>
      <c r="S3423" s="5">
        <f t="shared" si="8"/>
        <v>1</v>
      </c>
    </row>
    <row r="3424">
      <c r="A3424" s="2" t="s">
        <v>3430</v>
      </c>
      <c r="B3424" s="2">
        <v>351.0</v>
      </c>
      <c r="C3424" s="2">
        <v>4096.0</v>
      </c>
      <c r="D3424" s="2">
        <v>860.0</v>
      </c>
      <c r="E3424" s="3">
        <f t="shared" si="1"/>
        <v>0.2296395194</v>
      </c>
      <c r="F3424" s="2">
        <v>491.0</v>
      </c>
      <c r="G3424" s="3">
        <f t="shared" si="2"/>
        <v>0.1311081442</v>
      </c>
      <c r="H3424" s="2">
        <v>722.0</v>
      </c>
      <c r="I3424" s="3">
        <f t="shared" si="3"/>
        <v>0.1927903872</v>
      </c>
      <c r="J3424" s="2">
        <v>620.0</v>
      </c>
      <c r="K3424" s="3">
        <f t="shared" si="4"/>
        <v>0.1655540721</v>
      </c>
      <c r="L3424" s="2">
        <v>421.0</v>
      </c>
      <c r="M3424" s="3">
        <f t="shared" si="5"/>
        <v>0.5831024931</v>
      </c>
      <c r="N3424" s="2">
        <v>4417700.0</v>
      </c>
      <c r="O3424" s="4">
        <f t="shared" si="6"/>
        <v>6118.698061</v>
      </c>
      <c r="P3424" s="2">
        <v>0.0</v>
      </c>
      <c r="Q3424" s="3">
        <f t="shared" si="7"/>
        <v>0</v>
      </c>
      <c r="R3424" s="2">
        <v>351.0</v>
      </c>
      <c r="S3424" s="5">
        <f t="shared" si="8"/>
        <v>1</v>
      </c>
    </row>
    <row r="3425">
      <c r="A3425" s="2" t="s">
        <v>3431</v>
      </c>
      <c r="B3425" s="2">
        <v>311.0</v>
      </c>
      <c r="C3425" s="2">
        <v>3629.0</v>
      </c>
      <c r="D3425" s="2">
        <v>1049.0</v>
      </c>
      <c r="E3425" s="3">
        <f t="shared" si="1"/>
        <v>0.3161543098</v>
      </c>
      <c r="F3425" s="2">
        <v>435.0</v>
      </c>
      <c r="G3425" s="3">
        <f t="shared" si="2"/>
        <v>0.1311030741</v>
      </c>
      <c r="H3425" s="2">
        <v>750.0</v>
      </c>
      <c r="I3425" s="3">
        <f t="shared" si="3"/>
        <v>0.226039783</v>
      </c>
      <c r="J3425" s="2">
        <v>575.0</v>
      </c>
      <c r="K3425" s="3">
        <f t="shared" si="4"/>
        <v>0.173297167</v>
      </c>
      <c r="L3425" s="2">
        <v>447.0</v>
      </c>
      <c r="M3425" s="3">
        <f t="shared" si="5"/>
        <v>0.596</v>
      </c>
      <c r="N3425" s="2">
        <v>4129200.0</v>
      </c>
      <c r="O3425" s="4">
        <f t="shared" si="6"/>
        <v>5505.6</v>
      </c>
      <c r="P3425" s="2">
        <v>0.0</v>
      </c>
      <c r="Q3425" s="3">
        <f t="shared" si="7"/>
        <v>0</v>
      </c>
      <c r="R3425" s="2">
        <v>311.0</v>
      </c>
      <c r="S3425" s="5">
        <f t="shared" si="8"/>
        <v>1</v>
      </c>
    </row>
    <row r="3426">
      <c r="A3426" s="2" t="s">
        <v>3432</v>
      </c>
      <c r="B3426" s="2">
        <v>650.0</v>
      </c>
      <c r="C3426" s="2">
        <v>7614.0</v>
      </c>
      <c r="D3426" s="2">
        <v>2296.0</v>
      </c>
      <c r="E3426" s="3">
        <f t="shared" si="1"/>
        <v>0.3296955773</v>
      </c>
      <c r="F3426" s="2">
        <v>913.0</v>
      </c>
      <c r="G3426" s="3">
        <f t="shared" si="2"/>
        <v>0.1311028145</v>
      </c>
      <c r="H3426" s="2">
        <v>1406.0</v>
      </c>
      <c r="I3426" s="3">
        <f t="shared" si="3"/>
        <v>0.2018954624</v>
      </c>
      <c r="J3426" s="2">
        <v>1338.0</v>
      </c>
      <c r="K3426" s="3">
        <f t="shared" si="4"/>
        <v>0.1921309592</v>
      </c>
      <c r="L3426" s="2">
        <v>845.0</v>
      </c>
      <c r="M3426" s="3">
        <f t="shared" si="5"/>
        <v>0.6009957326</v>
      </c>
      <c r="N3426" s="2">
        <v>8408000.0</v>
      </c>
      <c r="O3426" s="4">
        <f t="shared" si="6"/>
        <v>5980.085349</v>
      </c>
      <c r="P3426" s="2">
        <v>2.0</v>
      </c>
      <c r="Q3426" s="3">
        <f t="shared" si="7"/>
        <v>0.003076923077</v>
      </c>
      <c r="R3426" s="2">
        <v>650.0</v>
      </c>
      <c r="S3426" s="5">
        <f t="shared" si="8"/>
        <v>1</v>
      </c>
    </row>
    <row r="3427">
      <c r="A3427" s="2" t="s">
        <v>3433</v>
      </c>
      <c r="B3427" s="2">
        <v>402.0</v>
      </c>
      <c r="C3427" s="2">
        <v>4704.0</v>
      </c>
      <c r="D3427" s="2">
        <v>1164.0</v>
      </c>
      <c r="E3427" s="3">
        <f t="shared" si="1"/>
        <v>0.2705718271</v>
      </c>
      <c r="F3427" s="2">
        <v>564.0</v>
      </c>
      <c r="G3427" s="3">
        <f t="shared" si="2"/>
        <v>0.1311018131</v>
      </c>
      <c r="H3427" s="2">
        <v>842.0</v>
      </c>
      <c r="I3427" s="3">
        <f t="shared" si="3"/>
        <v>0.1957229196</v>
      </c>
      <c r="J3427" s="2">
        <v>868.0</v>
      </c>
      <c r="K3427" s="3">
        <f t="shared" si="4"/>
        <v>0.2017666202</v>
      </c>
      <c r="L3427" s="2">
        <v>493.0</v>
      </c>
      <c r="M3427" s="3">
        <f t="shared" si="5"/>
        <v>0.5855106888</v>
      </c>
      <c r="N3427" s="2">
        <v>5148500.0</v>
      </c>
      <c r="O3427" s="4">
        <f t="shared" si="6"/>
        <v>6114.608076</v>
      </c>
      <c r="P3427" s="2">
        <v>1.0</v>
      </c>
      <c r="Q3427" s="3">
        <f t="shared" si="7"/>
        <v>0.002487562189</v>
      </c>
      <c r="R3427" s="2">
        <v>402.0</v>
      </c>
      <c r="S3427" s="5">
        <f t="shared" si="8"/>
        <v>1</v>
      </c>
    </row>
    <row r="3428">
      <c r="A3428" s="2" t="s">
        <v>3434</v>
      </c>
      <c r="B3428" s="2">
        <v>421.0</v>
      </c>
      <c r="C3428" s="2">
        <v>4830.0</v>
      </c>
      <c r="D3428" s="2">
        <v>1512.0</v>
      </c>
      <c r="E3428" s="3">
        <f t="shared" si="1"/>
        <v>0.3429349059</v>
      </c>
      <c r="F3428" s="2">
        <v>578.0</v>
      </c>
      <c r="G3428" s="3">
        <f t="shared" si="2"/>
        <v>0.1310954865</v>
      </c>
      <c r="H3428" s="2">
        <v>930.0</v>
      </c>
      <c r="I3428" s="3">
        <f t="shared" si="3"/>
        <v>0.2109321842</v>
      </c>
      <c r="J3428" s="2">
        <v>772.0</v>
      </c>
      <c r="K3428" s="3">
        <f t="shared" si="4"/>
        <v>0.1750963937</v>
      </c>
      <c r="L3428" s="2">
        <v>534.0</v>
      </c>
      <c r="M3428" s="3">
        <f t="shared" si="5"/>
        <v>0.5741935484</v>
      </c>
      <c r="N3428" s="2">
        <v>5275000.0</v>
      </c>
      <c r="O3428" s="4">
        <f t="shared" si="6"/>
        <v>5672.043011</v>
      </c>
      <c r="P3428" s="2">
        <v>0.0</v>
      </c>
      <c r="Q3428" s="3">
        <f t="shared" si="7"/>
        <v>0</v>
      </c>
      <c r="R3428" s="2">
        <v>421.0</v>
      </c>
      <c r="S3428" s="5">
        <f t="shared" si="8"/>
        <v>1</v>
      </c>
    </row>
    <row r="3429">
      <c r="A3429" s="2" t="s">
        <v>3435</v>
      </c>
      <c r="B3429" s="2">
        <v>105.0</v>
      </c>
      <c r="C3429" s="2">
        <v>1234.0</v>
      </c>
      <c r="D3429" s="2">
        <v>329.0</v>
      </c>
      <c r="E3429" s="3">
        <f t="shared" si="1"/>
        <v>0.291408326</v>
      </c>
      <c r="F3429" s="2">
        <v>148.0</v>
      </c>
      <c r="G3429" s="3">
        <f t="shared" si="2"/>
        <v>0.1310894597</v>
      </c>
      <c r="H3429" s="2">
        <v>194.0</v>
      </c>
      <c r="I3429" s="3">
        <f t="shared" si="3"/>
        <v>0.171833481</v>
      </c>
      <c r="J3429" s="2">
        <v>119.0</v>
      </c>
      <c r="K3429" s="3">
        <f t="shared" si="4"/>
        <v>0.1054030115</v>
      </c>
      <c r="L3429" s="2">
        <v>126.0</v>
      </c>
      <c r="M3429" s="3">
        <f t="shared" si="5"/>
        <v>0.6494845361</v>
      </c>
      <c r="N3429" s="2">
        <v>1066800.0</v>
      </c>
      <c r="O3429" s="4">
        <f t="shared" si="6"/>
        <v>5498.969072</v>
      </c>
      <c r="P3429" s="2">
        <v>0.0</v>
      </c>
      <c r="Q3429" s="3">
        <f t="shared" si="7"/>
        <v>0</v>
      </c>
      <c r="R3429" s="2">
        <v>105.0</v>
      </c>
      <c r="S3429" s="5">
        <f t="shared" si="8"/>
        <v>1</v>
      </c>
    </row>
    <row r="3430">
      <c r="A3430" s="2" t="s">
        <v>3436</v>
      </c>
      <c r="B3430" s="2">
        <v>49.0</v>
      </c>
      <c r="C3430" s="2">
        <v>583.0</v>
      </c>
      <c r="D3430" s="2">
        <v>193.0</v>
      </c>
      <c r="E3430" s="3">
        <f t="shared" si="1"/>
        <v>0.361423221</v>
      </c>
      <c r="F3430" s="2">
        <v>70.0</v>
      </c>
      <c r="G3430" s="3">
        <f t="shared" si="2"/>
        <v>0.1310861423</v>
      </c>
      <c r="H3430" s="2">
        <v>107.0</v>
      </c>
      <c r="I3430" s="3">
        <f t="shared" si="3"/>
        <v>0.2003745318</v>
      </c>
      <c r="J3430" s="2">
        <v>90.0</v>
      </c>
      <c r="K3430" s="3">
        <f t="shared" si="4"/>
        <v>0.1685393258</v>
      </c>
      <c r="L3430" s="2">
        <v>64.0</v>
      </c>
      <c r="M3430" s="3">
        <f t="shared" si="5"/>
        <v>0.5981308411</v>
      </c>
      <c r="N3430" s="2">
        <v>641600.0</v>
      </c>
      <c r="O3430" s="4">
        <f t="shared" si="6"/>
        <v>5996.261682</v>
      </c>
      <c r="P3430" s="2">
        <v>0.0</v>
      </c>
      <c r="Q3430" s="3">
        <f t="shared" si="7"/>
        <v>0</v>
      </c>
      <c r="R3430" s="2">
        <v>49.0</v>
      </c>
      <c r="S3430" s="5">
        <f t="shared" si="8"/>
        <v>1</v>
      </c>
    </row>
    <row r="3431">
      <c r="A3431" s="2" t="s">
        <v>3437</v>
      </c>
      <c r="B3431" s="2">
        <v>922.0</v>
      </c>
      <c r="C3431" s="2">
        <v>10870.0</v>
      </c>
      <c r="D3431" s="2">
        <v>3098.0</v>
      </c>
      <c r="E3431" s="3">
        <f t="shared" si="1"/>
        <v>0.3114193808</v>
      </c>
      <c r="F3431" s="2">
        <v>1304.0</v>
      </c>
      <c r="G3431" s="3">
        <f t="shared" si="2"/>
        <v>0.1310816244</v>
      </c>
      <c r="H3431" s="2">
        <v>2228.0</v>
      </c>
      <c r="I3431" s="3">
        <f t="shared" si="3"/>
        <v>0.223964616</v>
      </c>
      <c r="J3431" s="2">
        <v>1796.0</v>
      </c>
      <c r="K3431" s="3">
        <f t="shared" si="4"/>
        <v>0.1805388018</v>
      </c>
      <c r="L3431" s="2">
        <v>1387.0</v>
      </c>
      <c r="M3431" s="3">
        <f t="shared" si="5"/>
        <v>0.6225314183</v>
      </c>
      <c r="N3431" s="2">
        <v>1.28905E7</v>
      </c>
      <c r="O3431" s="4">
        <f t="shared" si="6"/>
        <v>5785.682226</v>
      </c>
      <c r="P3431" s="2">
        <v>5.0</v>
      </c>
      <c r="Q3431" s="3">
        <f t="shared" si="7"/>
        <v>0.005422993492</v>
      </c>
      <c r="R3431" s="2">
        <v>922.0</v>
      </c>
      <c r="S3431" s="5">
        <f t="shared" si="8"/>
        <v>1</v>
      </c>
    </row>
    <row r="3432">
      <c r="A3432" s="2" t="s">
        <v>3438</v>
      </c>
      <c r="B3432" s="2">
        <v>527.0</v>
      </c>
      <c r="C3432" s="2">
        <v>6287.0</v>
      </c>
      <c r="D3432" s="2">
        <v>2027.0</v>
      </c>
      <c r="E3432" s="3">
        <f t="shared" si="1"/>
        <v>0.3519097222</v>
      </c>
      <c r="F3432" s="2">
        <v>755.0</v>
      </c>
      <c r="G3432" s="3">
        <f t="shared" si="2"/>
        <v>0.1310763889</v>
      </c>
      <c r="H3432" s="2">
        <v>1221.0</v>
      </c>
      <c r="I3432" s="3">
        <f t="shared" si="3"/>
        <v>0.2119791667</v>
      </c>
      <c r="J3432" s="2">
        <v>1046.0</v>
      </c>
      <c r="K3432" s="3">
        <f t="shared" si="4"/>
        <v>0.1815972222</v>
      </c>
      <c r="L3432" s="2">
        <v>746.0</v>
      </c>
      <c r="M3432" s="3">
        <f t="shared" si="5"/>
        <v>0.610974611</v>
      </c>
      <c r="N3432" s="2">
        <v>6658500.0</v>
      </c>
      <c r="O3432" s="4">
        <f t="shared" si="6"/>
        <v>5453.316953</v>
      </c>
      <c r="P3432" s="2">
        <v>2.0</v>
      </c>
      <c r="Q3432" s="3">
        <f t="shared" si="7"/>
        <v>0.003795066414</v>
      </c>
      <c r="R3432" s="2">
        <v>527.0</v>
      </c>
      <c r="S3432" s="5">
        <f t="shared" si="8"/>
        <v>1</v>
      </c>
    </row>
    <row r="3433">
      <c r="A3433" s="2" t="s">
        <v>3439</v>
      </c>
      <c r="B3433" s="2">
        <v>142.0</v>
      </c>
      <c r="C3433" s="2">
        <v>1706.0</v>
      </c>
      <c r="D3433" s="2">
        <v>518.0</v>
      </c>
      <c r="E3433" s="3">
        <f t="shared" si="1"/>
        <v>0.331202046</v>
      </c>
      <c r="F3433" s="2">
        <v>205.0</v>
      </c>
      <c r="G3433" s="3">
        <f t="shared" si="2"/>
        <v>0.1310741688</v>
      </c>
      <c r="H3433" s="2">
        <v>300.0</v>
      </c>
      <c r="I3433" s="3">
        <f t="shared" si="3"/>
        <v>0.1918158568</v>
      </c>
      <c r="J3433" s="2">
        <v>300.0</v>
      </c>
      <c r="K3433" s="3">
        <f t="shared" si="4"/>
        <v>0.1918158568</v>
      </c>
      <c r="L3433" s="2">
        <v>178.0</v>
      </c>
      <c r="M3433" s="3">
        <f t="shared" si="5"/>
        <v>0.5933333333</v>
      </c>
      <c r="N3433" s="2">
        <v>1673200.0</v>
      </c>
      <c r="O3433" s="4">
        <f t="shared" si="6"/>
        <v>5577.333333</v>
      </c>
      <c r="P3433" s="2">
        <v>0.0</v>
      </c>
      <c r="Q3433" s="3">
        <f t="shared" si="7"/>
        <v>0</v>
      </c>
      <c r="R3433" s="2">
        <v>137.0</v>
      </c>
      <c r="S3433" s="5">
        <f t="shared" si="8"/>
        <v>0.9647887324</v>
      </c>
    </row>
    <row r="3434">
      <c r="A3434" s="2" t="s">
        <v>3440</v>
      </c>
      <c r="B3434" s="2">
        <v>771.0</v>
      </c>
      <c r="C3434" s="2">
        <v>8904.0</v>
      </c>
      <c r="D3434" s="2">
        <v>3261.0</v>
      </c>
      <c r="E3434" s="3">
        <f t="shared" si="1"/>
        <v>0.4009590557</v>
      </c>
      <c r="F3434" s="2">
        <v>1066.0</v>
      </c>
      <c r="G3434" s="3">
        <f t="shared" si="2"/>
        <v>0.1310709455</v>
      </c>
      <c r="H3434" s="2">
        <v>1906.0</v>
      </c>
      <c r="I3434" s="3">
        <f t="shared" si="3"/>
        <v>0.234353867</v>
      </c>
      <c r="J3434" s="2">
        <v>1406.0</v>
      </c>
      <c r="K3434" s="3">
        <f t="shared" si="4"/>
        <v>0.1728759375</v>
      </c>
      <c r="L3434" s="2">
        <v>1145.0</v>
      </c>
      <c r="M3434" s="3">
        <f t="shared" si="5"/>
        <v>0.6007345226</v>
      </c>
      <c r="N3434" s="2">
        <v>1.00266E7</v>
      </c>
      <c r="O3434" s="4">
        <f t="shared" si="6"/>
        <v>5260.545645</v>
      </c>
      <c r="P3434" s="2">
        <v>0.0</v>
      </c>
      <c r="Q3434" s="3">
        <f t="shared" si="7"/>
        <v>0</v>
      </c>
      <c r="R3434" s="2">
        <v>761.0</v>
      </c>
      <c r="S3434" s="5">
        <f t="shared" si="8"/>
        <v>0.9870298314</v>
      </c>
    </row>
    <row r="3435">
      <c r="A3435" s="2" t="s">
        <v>3441</v>
      </c>
      <c r="B3435" s="2">
        <v>157.0</v>
      </c>
      <c r="C3435" s="2">
        <v>1912.0</v>
      </c>
      <c r="D3435" s="2">
        <v>628.0</v>
      </c>
      <c r="E3435" s="3">
        <f t="shared" si="1"/>
        <v>0.3578347578</v>
      </c>
      <c r="F3435" s="2">
        <v>230.0</v>
      </c>
      <c r="G3435" s="3">
        <f t="shared" si="2"/>
        <v>0.1310541311</v>
      </c>
      <c r="H3435" s="2">
        <v>371.0</v>
      </c>
      <c r="I3435" s="3">
        <f t="shared" si="3"/>
        <v>0.2113960114</v>
      </c>
      <c r="J3435" s="2">
        <v>312.0</v>
      </c>
      <c r="K3435" s="3">
        <f t="shared" si="4"/>
        <v>0.1777777778</v>
      </c>
      <c r="L3435" s="2">
        <v>217.0</v>
      </c>
      <c r="M3435" s="3">
        <f t="shared" si="5"/>
        <v>0.5849056604</v>
      </c>
      <c r="N3435" s="2">
        <v>1960000.0</v>
      </c>
      <c r="O3435" s="4">
        <f t="shared" si="6"/>
        <v>5283.018868</v>
      </c>
      <c r="P3435" s="2">
        <v>0.0</v>
      </c>
      <c r="Q3435" s="3">
        <f t="shared" si="7"/>
        <v>0</v>
      </c>
      <c r="R3435" s="2">
        <v>157.0</v>
      </c>
      <c r="S3435" s="5">
        <f t="shared" si="8"/>
        <v>1</v>
      </c>
    </row>
    <row r="3436">
      <c r="A3436" s="2" t="s">
        <v>3442</v>
      </c>
      <c r="B3436" s="2">
        <v>1173.0</v>
      </c>
      <c r="C3436" s="2">
        <v>13779.0</v>
      </c>
      <c r="D3436" s="2">
        <v>4304.0</v>
      </c>
      <c r="E3436" s="3">
        <f t="shared" si="1"/>
        <v>0.3414247184</v>
      </c>
      <c r="F3436" s="2">
        <v>1652.0</v>
      </c>
      <c r="G3436" s="3">
        <f t="shared" si="2"/>
        <v>0.131048707</v>
      </c>
      <c r="H3436" s="2">
        <v>2611.0</v>
      </c>
      <c r="I3436" s="3">
        <f t="shared" si="3"/>
        <v>0.2071235919</v>
      </c>
      <c r="J3436" s="2">
        <v>2045.0</v>
      </c>
      <c r="K3436" s="3">
        <f t="shared" si="4"/>
        <v>0.1622243376</v>
      </c>
      <c r="L3436" s="2">
        <v>1515.0</v>
      </c>
      <c r="M3436" s="3">
        <f t="shared" si="5"/>
        <v>0.5802374569</v>
      </c>
      <c r="N3436" s="2">
        <v>1.51253E7</v>
      </c>
      <c r="O3436" s="4">
        <f t="shared" si="6"/>
        <v>5792.914592</v>
      </c>
      <c r="P3436" s="2">
        <v>6.0</v>
      </c>
      <c r="Q3436" s="3">
        <f t="shared" si="7"/>
        <v>0.005115089514</v>
      </c>
      <c r="R3436" s="2">
        <v>419.0</v>
      </c>
      <c r="S3436" s="5">
        <f t="shared" si="8"/>
        <v>0.3572037511</v>
      </c>
    </row>
    <row r="3437">
      <c r="A3437" s="2" t="s">
        <v>3443</v>
      </c>
      <c r="B3437" s="2">
        <v>197.0</v>
      </c>
      <c r="C3437" s="2">
        <v>2288.0</v>
      </c>
      <c r="D3437" s="2">
        <v>517.0</v>
      </c>
      <c r="E3437" s="3">
        <f t="shared" si="1"/>
        <v>0.2472501196</v>
      </c>
      <c r="F3437" s="2">
        <v>274.0</v>
      </c>
      <c r="G3437" s="3">
        <f t="shared" si="2"/>
        <v>0.131037781</v>
      </c>
      <c r="H3437" s="2">
        <v>379.0</v>
      </c>
      <c r="I3437" s="3">
        <f t="shared" si="3"/>
        <v>0.181252989</v>
      </c>
      <c r="J3437" s="2">
        <v>285.0</v>
      </c>
      <c r="K3437" s="3">
        <f t="shared" si="4"/>
        <v>0.1362984218</v>
      </c>
      <c r="L3437" s="2">
        <v>221.0</v>
      </c>
      <c r="M3437" s="3">
        <f t="shared" si="5"/>
        <v>0.5831134565</v>
      </c>
      <c r="N3437" s="2">
        <v>2451100.0</v>
      </c>
      <c r="O3437" s="4">
        <f t="shared" si="6"/>
        <v>6467.282322</v>
      </c>
      <c r="P3437" s="2">
        <v>1.0</v>
      </c>
      <c r="Q3437" s="3">
        <f t="shared" si="7"/>
        <v>0.005076142132</v>
      </c>
      <c r="R3437" s="2">
        <v>0.0</v>
      </c>
      <c r="S3437" s="5">
        <f t="shared" si="8"/>
        <v>0</v>
      </c>
    </row>
    <row r="3438">
      <c r="A3438" s="2" t="s">
        <v>3444</v>
      </c>
      <c r="B3438" s="2">
        <v>970.0</v>
      </c>
      <c r="C3438" s="2">
        <v>11242.0</v>
      </c>
      <c r="D3438" s="2">
        <v>3350.0</v>
      </c>
      <c r="E3438" s="3">
        <f t="shared" si="1"/>
        <v>0.3261292835</v>
      </c>
      <c r="F3438" s="2">
        <v>1346.0</v>
      </c>
      <c r="G3438" s="3">
        <f t="shared" si="2"/>
        <v>0.1310358255</v>
      </c>
      <c r="H3438" s="2">
        <v>2091.0</v>
      </c>
      <c r="I3438" s="3">
        <f t="shared" si="3"/>
        <v>0.2035630841</v>
      </c>
      <c r="J3438" s="2">
        <v>2007.0</v>
      </c>
      <c r="K3438" s="3">
        <f t="shared" si="4"/>
        <v>0.195385514</v>
      </c>
      <c r="L3438" s="2">
        <v>1269.0</v>
      </c>
      <c r="M3438" s="3">
        <f t="shared" si="5"/>
        <v>0.6068866571</v>
      </c>
      <c r="N3438" s="2">
        <v>1.21593E7</v>
      </c>
      <c r="O3438" s="4">
        <f t="shared" si="6"/>
        <v>5815.064562</v>
      </c>
      <c r="P3438" s="2">
        <v>0.0</v>
      </c>
      <c r="Q3438" s="3">
        <f t="shared" si="7"/>
        <v>0</v>
      </c>
      <c r="R3438" s="2">
        <v>1.0</v>
      </c>
      <c r="S3438" s="5">
        <f t="shared" si="8"/>
        <v>0.001030927835</v>
      </c>
    </row>
    <row r="3439">
      <c r="A3439" s="2" t="s">
        <v>3445</v>
      </c>
      <c r="B3439" s="2">
        <v>27.0</v>
      </c>
      <c r="C3439" s="2">
        <v>317.0</v>
      </c>
      <c r="D3439" s="2">
        <v>125.0</v>
      </c>
      <c r="E3439" s="3">
        <f t="shared" si="1"/>
        <v>0.4310344828</v>
      </c>
      <c r="F3439" s="2">
        <v>38.0</v>
      </c>
      <c r="G3439" s="3">
        <f t="shared" si="2"/>
        <v>0.1310344828</v>
      </c>
      <c r="H3439" s="2">
        <v>77.0</v>
      </c>
      <c r="I3439" s="3">
        <f t="shared" si="3"/>
        <v>0.2655172414</v>
      </c>
      <c r="J3439" s="2">
        <v>46.0</v>
      </c>
      <c r="K3439" s="3">
        <f t="shared" si="4"/>
        <v>0.1586206897</v>
      </c>
      <c r="L3439" s="2">
        <v>37.0</v>
      </c>
      <c r="M3439" s="3">
        <f t="shared" si="5"/>
        <v>0.4805194805</v>
      </c>
      <c r="N3439" s="2">
        <v>474000.0</v>
      </c>
      <c r="O3439" s="4">
        <f t="shared" si="6"/>
        <v>6155.844156</v>
      </c>
      <c r="P3439" s="2">
        <v>0.0</v>
      </c>
      <c r="Q3439" s="3">
        <f t="shared" si="7"/>
        <v>0</v>
      </c>
      <c r="R3439" s="2">
        <v>0.0</v>
      </c>
      <c r="S3439" s="5">
        <f t="shared" si="8"/>
        <v>0</v>
      </c>
    </row>
    <row r="3440">
      <c r="A3440" s="2" t="s">
        <v>3446</v>
      </c>
      <c r="B3440" s="2">
        <v>279.0</v>
      </c>
      <c r="C3440" s="2">
        <v>3263.0</v>
      </c>
      <c r="D3440" s="2">
        <v>1058.0</v>
      </c>
      <c r="E3440" s="3">
        <f t="shared" si="1"/>
        <v>0.3545576408</v>
      </c>
      <c r="F3440" s="2">
        <v>391.0</v>
      </c>
      <c r="G3440" s="3">
        <f t="shared" si="2"/>
        <v>0.1310321716</v>
      </c>
      <c r="H3440" s="2">
        <v>595.0</v>
      </c>
      <c r="I3440" s="3">
        <f t="shared" si="3"/>
        <v>0.1993967828</v>
      </c>
      <c r="J3440" s="2">
        <v>465.0</v>
      </c>
      <c r="K3440" s="3">
        <f t="shared" si="4"/>
        <v>0.1558310992</v>
      </c>
      <c r="L3440" s="2">
        <v>358.0</v>
      </c>
      <c r="M3440" s="3">
        <f t="shared" si="5"/>
        <v>0.6016806723</v>
      </c>
      <c r="N3440" s="2">
        <v>3253600.0</v>
      </c>
      <c r="O3440" s="4">
        <f t="shared" si="6"/>
        <v>5468.235294</v>
      </c>
      <c r="P3440" s="2">
        <v>0.0</v>
      </c>
      <c r="Q3440" s="3">
        <f t="shared" si="7"/>
        <v>0</v>
      </c>
      <c r="R3440" s="2">
        <v>279.0</v>
      </c>
      <c r="S3440" s="5">
        <f t="shared" si="8"/>
        <v>1</v>
      </c>
    </row>
    <row r="3441">
      <c r="A3441" s="2" t="s">
        <v>3447</v>
      </c>
      <c r="B3441" s="2">
        <v>109.0</v>
      </c>
      <c r="C3441" s="2">
        <v>1292.0</v>
      </c>
      <c r="D3441" s="2">
        <v>425.0</v>
      </c>
      <c r="E3441" s="3">
        <f t="shared" si="1"/>
        <v>0.3592561285</v>
      </c>
      <c r="F3441" s="2">
        <v>155.0</v>
      </c>
      <c r="G3441" s="3">
        <f t="shared" si="2"/>
        <v>0.1310228233</v>
      </c>
      <c r="H3441" s="2">
        <v>239.0</v>
      </c>
      <c r="I3441" s="3">
        <f t="shared" si="3"/>
        <v>0.2020287405</v>
      </c>
      <c r="J3441" s="2">
        <v>179.0</v>
      </c>
      <c r="K3441" s="3">
        <f t="shared" si="4"/>
        <v>0.1513102282</v>
      </c>
      <c r="L3441" s="2">
        <v>150.0</v>
      </c>
      <c r="M3441" s="3">
        <f t="shared" si="5"/>
        <v>0.6276150628</v>
      </c>
      <c r="N3441" s="2">
        <v>1250000.0</v>
      </c>
      <c r="O3441" s="4">
        <f t="shared" si="6"/>
        <v>5230.125523</v>
      </c>
      <c r="P3441" s="2">
        <v>0.0</v>
      </c>
      <c r="Q3441" s="3">
        <f t="shared" si="7"/>
        <v>0</v>
      </c>
      <c r="R3441" s="2">
        <v>0.0</v>
      </c>
      <c r="S3441" s="5">
        <f t="shared" si="8"/>
        <v>0</v>
      </c>
    </row>
    <row r="3442">
      <c r="A3442" s="2" t="s">
        <v>3448</v>
      </c>
      <c r="B3442" s="2">
        <v>529.0</v>
      </c>
      <c r="C3442" s="2">
        <v>6238.0</v>
      </c>
      <c r="D3442" s="2">
        <v>2393.0</v>
      </c>
      <c r="E3442" s="3">
        <f t="shared" si="1"/>
        <v>0.4191627255</v>
      </c>
      <c r="F3442" s="2">
        <v>748.0</v>
      </c>
      <c r="G3442" s="3">
        <f t="shared" si="2"/>
        <v>0.1310211946</v>
      </c>
      <c r="H3442" s="2">
        <v>1320.0</v>
      </c>
      <c r="I3442" s="3">
        <f t="shared" si="3"/>
        <v>0.2312138728</v>
      </c>
      <c r="J3442" s="2">
        <v>886.0</v>
      </c>
      <c r="K3442" s="3">
        <f t="shared" si="4"/>
        <v>0.155193554</v>
      </c>
      <c r="L3442" s="2">
        <v>796.0</v>
      </c>
      <c r="M3442" s="3">
        <f t="shared" si="5"/>
        <v>0.603030303</v>
      </c>
      <c r="N3442" s="2">
        <v>7291600.0</v>
      </c>
      <c r="O3442" s="4">
        <f t="shared" si="6"/>
        <v>5523.939394</v>
      </c>
      <c r="P3442" s="2">
        <v>1.0</v>
      </c>
      <c r="Q3442" s="3">
        <f t="shared" si="7"/>
        <v>0.001890359168</v>
      </c>
      <c r="R3442" s="2">
        <v>529.0</v>
      </c>
      <c r="S3442" s="5">
        <f t="shared" si="8"/>
        <v>1</v>
      </c>
    </row>
    <row r="3443">
      <c r="A3443" s="2" t="s">
        <v>3449</v>
      </c>
      <c r="B3443" s="2">
        <v>82.0</v>
      </c>
      <c r="C3443" s="2">
        <v>937.0</v>
      </c>
      <c r="D3443" s="2">
        <v>293.0</v>
      </c>
      <c r="E3443" s="3">
        <f t="shared" si="1"/>
        <v>0.3426900585</v>
      </c>
      <c r="F3443" s="2">
        <v>112.0</v>
      </c>
      <c r="G3443" s="3">
        <f t="shared" si="2"/>
        <v>0.130994152</v>
      </c>
      <c r="H3443" s="2">
        <v>197.0</v>
      </c>
      <c r="I3443" s="3">
        <f t="shared" si="3"/>
        <v>0.2304093567</v>
      </c>
      <c r="J3443" s="2">
        <v>160.0</v>
      </c>
      <c r="K3443" s="3">
        <f t="shared" si="4"/>
        <v>0.1871345029</v>
      </c>
      <c r="L3443" s="2">
        <v>116.0</v>
      </c>
      <c r="M3443" s="3">
        <f t="shared" si="5"/>
        <v>0.5888324873</v>
      </c>
      <c r="N3443" s="2">
        <v>986800.0</v>
      </c>
      <c r="O3443" s="4">
        <f t="shared" si="6"/>
        <v>5009.137056</v>
      </c>
      <c r="P3443" s="2">
        <v>0.0</v>
      </c>
      <c r="Q3443" s="3">
        <f t="shared" si="7"/>
        <v>0</v>
      </c>
      <c r="R3443" s="2">
        <v>0.0</v>
      </c>
      <c r="S3443" s="5">
        <f t="shared" si="8"/>
        <v>0</v>
      </c>
    </row>
    <row r="3444">
      <c r="A3444" s="2" t="s">
        <v>3450</v>
      </c>
      <c r="B3444" s="2">
        <v>499.0</v>
      </c>
      <c r="C3444" s="2">
        <v>5965.0</v>
      </c>
      <c r="D3444" s="2">
        <v>2153.0</v>
      </c>
      <c r="E3444" s="3">
        <f t="shared" si="1"/>
        <v>0.3938894987</v>
      </c>
      <c r="F3444" s="2">
        <v>716.0</v>
      </c>
      <c r="G3444" s="3">
        <f t="shared" si="2"/>
        <v>0.1309915843</v>
      </c>
      <c r="H3444" s="2">
        <v>1138.0</v>
      </c>
      <c r="I3444" s="3">
        <f t="shared" si="3"/>
        <v>0.2081961215</v>
      </c>
      <c r="J3444" s="2">
        <v>747.0</v>
      </c>
      <c r="K3444" s="3">
        <f t="shared" si="4"/>
        <v>0.1366630077</v>
      </c>
      <c r="L3444" s="2">
        <v>713.0</v>
      </c>
      <c r="M3444" s="3">
        <f t="shared" si="5"/>
        <v>0.6265377856</v>
      </c>
      <c r="N3444" s="2">
        <v>6443500.0</v>
      </c>
      <c r="O3444" s="4">
        <f t="shared" si="6"/>
        <v>5662.126538</v>
      </c>
      <c r="P3444" s="2">
        <v>0.0</v>
      </c>
      <c r="Q3444" s="3">
        <f t="shared" si="7"/>
        <v>0</v>
      </c>
      <c r="R3444" s="2">
        <v>499.0</v>
      </c>
      <c r="S3444" s="5">
        <f t="shared" si="8"/>
        <v>1</v>
      </c>
    </row>
    <row r="3445">
      <c r="A3445" s="2" t="s">
        <v>3451</v>
      </c>
      <c r="B3445" s="2">
        <v>164.0</v>
      </c>
      <c r="C3445" s="2">
        <v>1897.0</v>
      </c>
      <c r="D3445" s="2">
        <v>656.0</v>
      </c>
      <c r="E3445" s="3">
        <f t="shared" si="1"/>
        <v>0.3785343335</v>
      </c>
      <c r="F3445" s="2">
        <v>227.0</v>
      </c>
      <c r="G3445" s="3">
        <f t="shared" si="2"/>
        <v>0.1309867282</v>
      </c>
      <c r="H3445" s="2">
        <v>368.0</v>
      </c>
      <c r="I3445" s="3">
        <f t="shared" si="3"/>
        <v>0.2123485286</v>
      </c>
      <c r="J3445" s="2">
        <v>317.0</v>
      </c>
      <c r="K3445" s="3">
        <f t="shared" si="4"/>
        <v>0.1829197923</v>
      </c>
      <c r="L3445" s="2">
        <v>210.0</v>
      </c>
      <c r="M3445" s="3">
        <f t="shared" si="5"/>
        <v>0.5706521739</v>
      </c>
      <c r="N3445" s="2">
        <v>1940100.0</v>
      </c>
      <c r="O3445" s="4">
        <f t="shared" si="6"/>
        <v>5272.01087</v>
      </c>
      <c r="P3445" s="2">
        <v>0.0</v>
      </c>
      <c r="Q3445" s="3">
        <f t="shared" si="7"/>
        <v>0</v>
      </c>
      <c r="R3445" s="2">
        <v>0.0</v>
      </c>
      <c r="S3445" s="5">
        <f t="shared" si="8"/>
        <v>0</v>
      </c>
    </row>
    <row r="3446">
      <c r="A3446" s="2" t="s">
        <v>3452</v>
      </c>
      <c r="B3446" s="2">
        <v>1035.0</v>
      </c>
      <c r="C3446" s="2">
        <v>12175.0</v>
      </c>
      <c r="D3446" s="2">
        <v>4220.0</v>
      </c>
      <c r="E3446" s="3">
        <f t="shared" si="1"/>
        <v>0.3788150808</v>
      </c>
      <c r="F3446" s="2">
        <v>1459.0</v>
      </c>
      <c r="G3446" s="3">
        <f t="shared" si="2"/>
        <v>0.1309694794</v>
      </c>
      <c r="H3446" s="2">
        <v>2365.0</v>
      </c>
      <c r="I3446" s="3">
        <f t="shared" si="3"/>
        <v>0.2122980251</v>
      </c>
      <c r="J3446" s="2">
        <v>2103.0</v>
      </c>
      <c r="K3446" s="3">
        <f t="shared" si="4"/>
        <v>0.1887791741</v>
      </c>
      <c r="L3446" s="2">
        <v>1350.0</v>
      </c>
      <c r="M3446" s="3">
        <f t="shared" si="5"/>
        <v>0.5708245243</v>
      </c>
      <c r="N3446" s="2">
        <v>1.29807E7</v>
      </c>
      <c r="O3446" s="4">
        <f t="shared" si="6"/>
        <v>5488.668076</v>
      </c>
      <c r="P3446" s="2">
        <v>3.0</v>
      </c>
      <c r="Q3446" s="3">
        <f t="shared" si="7"/>
        <v>0.002898550725</v>
      </c>
      <c r="R3446" s="2">
        <v>1035.0</v>
      </c>
      <c r="S3446" s="5">
        <f t="shared" si="8"/>
        <v>1</v>
      </c>
    </row>
    <row r="3447">
      <c r="A3447" s="2" t="s">
        <v>3453</v>
      </c>
      <c r="B3447" s="2">
        <v>212.0</v>
      </c>
      <c r="C3447" s="2">
        <v>2495.0</v>
      </c>
      <c r="D3447" s="2">
        <v>793.0</v>
      </c>
      <c r="E3447" s="3">
        <f t="shared" si="1"/>
        <v>0.3473499781</v>
      </c>
      <c r="F3447" s="2">
        <v>299.0</v>
      </c>
      <c r="G3447" s="3">
        <f t="shared" si="2"/>
        <v>0.1309680245</v>
      </c>
      <c r="H3447" s="2">
        <v>446.0</v>
      </c>
      <c r="I3447" s="3">
        <f t="shared" si="3"/>
        <v>0.1953569864</v>
      </c>
      <c r="J3447" s="2">
        <v>336.0</v>
      </c>
      <c r="K3447" s="3">
        <f t="shared" si="4"/>
        <v>0.14717477</v>
      </c>
      <c r="L3447" s="2">
        <v>268.0</v>
      </c>
      <c r="M3447" s="3">
        <f t="shared" si="5"/>
        <v>0.600896861</v>
      </c>
      <c r="N3447" s="2">
        <v>2444900.0</v>
      </c>
      <c r="O3447" s="4">
        <f t="shared" si="6"/>
        <v>5481.838565</v>
      </c>
      <c r="P3447" s="2">
        <v>0.0</v>
      </c>
      <c r="Q3447" s="3">
        <f t="shared" si="7"/>
        <v>0</v>
      </c>
      <c r="R3447" s="2">
        <v>212.0</v>
      </c>
      <c r="S3447" s="5">
        <f t="shared" si="8"/>
        <v>1</v>
      </c>
    </row>
    <row r="3448">
      <c r="A3448" s="2" t="s">
        <v>3454</v>
      </c>
      <c r="B3448" s="2">
        <v>306.0</v>
      </c>
      <c r="C3448" s="2">
        <v>3643.0</v>
      </c>
      <c r="D3448" s="2">
        <v>1081.0</v>
      </c>
      <c r="E3448" s="3">
        <f t="shared" si="1"/>
        <v>0.323943662</v>
      </c>
      <c r="F3448" s="2">
        <v>437.0</v>
      </c>
      <c r="G3448" s="3">
        <f t="shared" si="2"/>
        <v>0.1309559485</v>
      </c>
      <c r="H3448" s="2">
        <v>680.0</v>
      </c>
      <c r="I3448" s="3">
        <f t="shared" si="3"/>
        <v>0.2037758466</v>
      </c>
      <c r="J3448" s="2">
        <v>482.0</v>
      </c>
      <c r="K3448" s="3">
        <f t="shared" si="4"/>
        <v>0.1444411148</v>
      </c>
      <c r="L3448" s="2">
        <v>400.0</v>
      </c>
      <c r="M3448" s="3">
        <f t="shared" si="5"/>
        <v>0.5882352941</v>
      </c>
      <c r="N3448" s="2">
        <v>3756800.0</v>
      </c>
      <c r="O3448" s="4">
        <f t="shared" si="6"/>
        <v>5524.705882</v>
      </c>
      <c r="P3448" s="2">
        <v>0.0</v>
      </c>
      <c r="Q3448" s="3">
        <f t="shared" si="7"/>
        <v>0</v>
      </c>
      <c r="R3448" s="2">
        <v>306.0</v>
      </c>
      <c r="S3448" s="5">
        <f t="shared" si="8"/>
        <v>1</v>
      </c>
    </row>
    <row r="3449">
      <c r="A3449" s="2" t="s">
        <v>3455</v>
      </c>
      <c r="B3449" s="2">
        <v>7.0</v>
      </c>
      <c r="C3449" s="2">
        <v>91.0</v>
      </c>
      <c r="D3449" s="2">
        <v>35.0</v>
      </c>
      <c r="E3449" s="3">
        <f t="shared" si="1"/>
        <v>0.4166666667</v>
      </c>
      <c r="F3449" s="2">
        <v>11.0</v>
      </c>
      <c r="G3449" s="3">
        <f t="shared" si="2"/>
        <v>0.130952381</v>
      </c>
      <c r="H3449" s="2">
        <v>18.0</v>
      </c>
      <c r="I3449" s="3">
        <f t="shared" si="3"/>
        <v>0.2142857143</v>
      </c>
      <c r="J3449" s="2">
        <v>13.0</v>
      </c>
      <c r="K3449" s="3">
        <f t="shared" si="4"/>
        <v>0.1547619048</v>
      </c>
      <c r="L3449" s="2">
        <v>9.0</v>
      </c>
      <c r="M3449" s="3">
        <f t="shared" si="5"/>
        <v>0.5</v>
      </c>
      <c r="N3449" s="2">
        <v>105800.0</v>
      </c>
      <c r="O3449" s="4">
        <f t="shared" si="6"/>
        <v>5877.777778</v>
      </c>
      <c r="P3449" s="2">
        <v>0.0</v>
      </c>
      <c r="Q3449" s="3">
        <f t="shared" si="7"/>
        <v>0</v>
      </c>
      <c r="R3449" s="2">
        <v>7.0</v>
      </c>
      <c r="S3449" s="5">
        <f t="shared" si="8"/>
        <v>1</v>
      </c>
    </row>
    <row r="3450">
      <c r="A3450" s="2" t="s">
        <v>3456</v>
      </c>
      <c r="B3450" s="2">
        <v>620.0</v>
      </c>
      <c r="C3450" s="2">
        <v>7302.0</v>
      </c>
      <c r="D3450" s="2">
        <v>2459.0</v>
      </c>
      <c r="E3450" s="3">
        <f t="shared" si="1"/>
        <v>0.3680035917</v>
      </c>
      <c r="F3450" s="2">
        <v>875.0</v>
      </c>
      <c r="G3450" s="3">
        <f t="shared" si="2"/>
        <v>0.1309488177</v>
      </c>
      <c r="H3450" s="2">
        <v>1482.0</v>
      </c>
      <c r="I3450" s="3">
        <f t="shared" si="3"/>
        <v>0.2217898833</v>
      </c>
      <c r="J3450" s="2">
        <v>1207.0</v>
      </c>
      <c r="K3450" s="3">
        <f t="shared" si="4"/>
        <v>0.1806345406</v>
      </c>
      <c r="L3450" s="2">
        <v>904.0</v>
      </c>
      <c r="M3450" s="3">
        <f t="shared" si="5"/>
        <v>0.6099865047</v>
      </c>
      <c r="N3450" s="2">
        <v>8065600.0</v>
      </c>
      <c r="O3450" s="4">
        <f t="shared" si="6"/>
        <v>5442.375169</v>
      </c>
      <c r="P3450" s="2">
        <v>0.0</v>
      </c>
      <c r="Q3450" s="3">
        <f t="shared" si="7"/>
        <v>0</v>
      </c>
      <c r="R3450" s="2">
        <v>0.0</v>
      </c>
      <c r="S3450" s="5">
        <f t="shared" si="8"/>
        <v>0</v>
      </c>
    </row>
    <row r="3451">
      <c r="A3451" s="2" t="s">
        <v>3457</v>
      </c>
      <c r="B3451" s="2">
        <v>604.0</v>
      </c>
      <c r="C3451" s="2">
        <v>7248.0</v>
      </c>
      <c r="D3451" s="2">
        <v>2275.0</v>
      </c>
      <c r="E3451" s="3">
        <f t="shared" si="1"/>
        <v>0.3424142083</v>
      </c>
      <c r="F3451" s="2">
        <v>870.0</v>
      </c>
      <c r="G3451" s="3">
        <f t="shared" si="2"/>
        <v>0.1309452137</v>
      </c>
      <c r="H3451" s="2">
        <v>1361.0</v>
      </c>
      <c r="I3451" s="3">
        <f t="shared" si="3"/>
        <v>0.204846478</v>
      </c>
      <c r="J3451" s="2">
        <v>1100.0</v>
      </c>
      <c r="K3451" s="3">
        <f t="shared" si="4"/>
        <v>0.1655629139</v>
      </c>
      <c r="L3451" s="2">
        <v>799.0</v>
      </c>
      <c r="M3451" s="3">
        <f t="shared" si="5"/>
        <v>0.5870683321</v>
      </c>
      <c r="N3451" s="2">
        <v>7567800.0</v>
      </c>
      <c r="O3451" s="4">
        <f t="shared" si="6"/>
        <v>5560.470242</v>
      </c>
      <c r="P3451" s="2">
        <v>1.0</v>
      </c>
      <c r="Q3451" s="3">
        <f t="shared" si="7"/>
        <v>0.001655629139</v>
      </c>
      <c r="R3451" s="2">
        <v>542.0</v>
      </c>
      <c r="S3451" s="5">
        <f t="shared" si="8"/>
        <v>0.8973509934</v>
      </c>
    </row>
    <row r="3452">
      <c r="A3452" s="2" t="s">
        <v>3458</v>
      </c>
      <c r="B3452" s="2">
        <v>965.0</v>
      </c>
      <c r="C3452" s="2">
        <v>11191.0</v>
      </c>
      <c r="D3452" s="2">
        <v>2882.0</v>
      </c>
      <c r="E3452" s="3">
        <f t="shared" si="1"/>
        <v>0.2818306278</v>
      </c>
      <c r="F3452" s="2">
        <v>1339.0</v>
      </c>
      <c r="G3452" s="3">
        <f t="shared" si="2"/>
        <v>0.1309407393</v>
      </c>
      <c r="H3452" s="2">
        <v>1951.0</v>
      </c>
      <c r="I3452" s="3">
        <f t="shared" si="3"/>
        <v>0.190788187</v>
      </c>
      <c r="J3452" s="2">
        <v>1807.0</v>
      </c>
      <c r="K3452" s="3">
        <f t="shared" si="4"/>
        <v>0.1767064346</v>
      </c>
      <c r="L3452" s="2">
        <v>1170.0</v>
      </c>
      <c r="M3452" s="3">
        <f t="shared" si="5"/>
        <v>0.5996924654</v>
      </c>
      <c r="N3452" s="2">
        <v>1.19465E7</v>
      </c>
      <c r="O3452" s="4">
        <f t="shared" si="6"/>
        <v>6123.270118</v>
      </c>
      <c r="P3452" s="2">
        <v>2.0</v>
      </c>
      <c r="Q3452" s="3">
        <f t="shared" si="7"/>
        <v>0.00207253886</v>
      </c>
      <c r="R3452" s="2">
        <v>965.0</v>
      </c>
      <c r="S3452" s="5">
        <f t="shared" si="8"/>
        <v>1</v>
      </c>
    </row>
    <row r="3453">
      <c r="A3453" s="2" t="s">
        <v>3459</v>
      </c>
      <c r="B3453" s="2">
        <v>234.0</v>
      </c>
      <c r="C3453" s="2">
        <v>2785.0</v>
      </c>
      <c r="D3453" s="2">
        <v>1025.0</v>
      </c>
      <c r="E3453" s="3">
        <f t="shared" si="1"/>
        <v>0.4018032144</v>
      </c>
      <c r="F3453" s="2">
        <v>334.0</v>
      </c>
      <c r="G3453" s="3">
        <f t="shared" si="2"/>
        <v>0.1309290474</v>
      </c>
      <c r="H3453" s="2">
        <v>516.0</v>
      </c>
      <c r="I3453" s="3">
        <f t="shared" si="3"/>
        <v>0.2022736182</v>
      </c>
      <c r="J3453" s="2">
        <v>424.0</v>
      </c>
      <c r="K3453" s="3">
        <f t="shared" si="4"/>
        <v>0.1662093297</v>
      </c>
      <c r="L3453" s="2">
        <v>310.0</v>
      </c>
      <c r="M3453" s="3">
        <f t="shared" si="5"/>
        <v>0.6007751938</v>
      </c>
      <c r="N3453" s="2">
        <v>2777800.0</v>
      </c>
      <c r="O3453" s="4">
        <f t="shared" si="6"/>
        <v>5383.333333</v>
      </c>
      <c r="P3453" s="2">
        <v>0.0</v>
      </c>
      <c r="Q3453" s="3">
        <f t="shared" si="7"/>
        <v>0</v>
      </c>
      <c r="R3453" s="2">
        <v>0.0</v>
      </c>
      <c r="S3453" s="5">
        <f t="shared" si="8"/>
        <v>0</v>
      </c>
    </row>
    <row r="3454">
      <c r="A3454" s="2" t="s">
        <v>3460</v>
      </c>
      <c r="B3454" s="2">
        <v>272.0</v>
      </c>
      <c r="C3454" s="2">
        <v>3205.0</v>
      </c>
      <c r="D3454" s="2">
        <v>1010.0</v>
      </c>
      <c r="E3454" s="3">
        <f t="shared" si="1"/>
        <v>0.3443573133</v>
      </c>
      <c r="F3454" s="2">
        <v>384.0</v>
      </c>
      <c r="G3454" s="3">
        <f t="shared" si="2"/>
        <v>0.1309239686</v>
      </c>
      <c r="H3454" s="2">
        <v>626.0</v>
      </c>
      <c r="I3454" s="3">
        <f t="shared" si="3"/>
        <v>0.2134333447</v>
      </c>
      <c r="J3454" s="2">
        <v>569.0</v>
      </c>
      <c r="K3454" s="3">
        <f t="shared" si="4"/>
        <v>0.1939993181</v>
      </c>
      <c r="L3454" s="2">
        <v>356.0</v>
      </c>
      <c r="M3454" s="3">
        <f t="shared" si="5"/>
        <v>0.5686900958</v>
      </c>
      <c r="N3454" s="2">
        <v>3601000.0</v>
      </c>
      <c r="O3454" s="4">
        <f t="shared" si="6"/>
        <v>5752.396166</v>
      </c>
      <c r="P3454" s="2">
        <v>0.0</v>
      </c>
      <c r="Q3454" s="3">
        <f t="shared" si="7"/>
        <v>0</v>
      </c>
      <c r="R3454" s="2">
        <v>237.0</v>
      </c>
      <c r="S3454" s="5">
        <f t="shared" si="8"/>
        <v>0.8713235294</v>
      </c>
    </row>
    <row r="3455">
      <c r="A3455" s="2" t="s">
        <v>3461</v>
      </c>
      <c r="B3455" s="2">
        <v>432.0</v>
      </c>
      <c r="C3455" s="2">
        <v>5076.0</v>
      </c>
      <c r="D3455" s="2">
        <v>1504.0</v>
      </c>
      <c r="E3455" s="3">
        <f t="shared" si="1"/>
        <v>0.3238587425</v>
      </c>
      <c r="F3455" s="2">
        <v>608.0</v>
      </c>
      <c r="G3455" s="3">
        <f t="shared" si="2"/>
        <v>0.1309216193</v>
      </c>
      <c r="H3455" s="2">
        <v>992.0</v>
      </c>
      <c r="I3455" s="3">
        <f t="shared" si="3"/>
        <v>0.2136089578</v>
      </c>
      <c r="J3455" s="2">
        <v>763.0</v>
      </c>
      <c r="K3455" s="3">
        <f t="shared" si="4"/>
        <v>0.1642980189</v>
      </c>
      <c r="L3455" s="2">
        <v>598.0</v>
      </c>
      <c r="M3455" s="3">
        <f t="shared" si="5"/>
        <v>0.6028225806</v>
      </c>
      <c r="N3455" s="2">
        <v>5557400.0</v>
      </c>
      <c r="O3455" s="4">
        <f t="shared" si="6"/>
        <v>5602.217742</v>
      </c>
      <c r="P3455" s="2">
        <v>2.0</v>
      </c>
      <c r="Q3455" s="3">
        <f t="shared" si="7"/>
        <v>0.00462962963</v>
      </c>
      <c r="R3455" s="2">
        <v>432.0</v>
      </c>
      <c r="S3455" s="5">
        <f t="shared" si="8"/>
        <v>1</v>
      </c>
    </row>
    <row r="3456">
      <c r="A3456" s="2" t="s">
        <v>3462</v>
      </c>
      <c r="B3456" s="2">
        <v>175.0</v>
      </c>
      <c r="C3456" s="2">
        <v>2077.0</v>
      </c>
      <c r="D3456" s="2">
        <v>742.0</v>
      </c>
      <c r="E3456" s="3">
        <f t="shared" si="1"/>
        <v>0.3901156677</v>
      </c>
      <c r="F3456" s="2">
        <v>249.0</v>
      </c>
      <c r="G3456" s="3">
        <f t="shared" si="2"/>
        <v>0.1309148265</v>
      </c>
      <c r="H3456" s="2">
        <v>420.0</v>
      </c>
      <c r="I3456" s="3">
        <f t="shared" si="3"/>
        <v>0.2208201893</v>
      </c>
      <c r="J3456" s="2">
        <v>313.0</v>
      </c>
      <c r="K3456" s="3">
        <f t="shared" si="4"/>
        <v>0.1645636172</v>
      </c>
      <c r="L3456" s="2">
        <v>255.0</v>
      </c>
      <c r="M3456" s="3">
        <f t="shared" si="5"/>
        <v>0.6071428571</v>
      </c>
      <c r="N3456" s="2">
        <v>2190600.0</v>
      </c>
      <c r="O3456" s="4">
        <f t="shared" si="6"/>
        <v>5215.714286</v>
      </c>
      <c r="P3456" s="2">
        <v>1.0</v>
      </c>
      <c r="Q3456" s="3">
        <f t="shared" si="7"/>
        <v>0.005714285714</v>
      </c>
      <c r="R3456" s="2">
        <v>167.0</v>
      </c>
      <c r="S3456" s="5">
        <f t="shared" si="8"/>
        <v>0.9542857143</v>
      </c>
    </row>
    <row r="3457">
      <c r="A3457" s="2" t="s">
        <v>3463</v>
      </c>
      <c r="B3457" s="2">
        <v>2160.0</v>
      </c>
      <c r="C3457" s="2">
        <v>24855.0</v>
      </c>
      <c r="D3457" s="2">
        <v>7826.0</v>
      </c>
      <c r="E3457" s="3">
        <f t="shared" si="1"/>
        <v>0.3448336638</v>
      </c>
      <c r="F3457" s="2">
        <v>2971.0</v>
      </c>
      <c r="G3457" s="3">
        <f t="shared" si="2"/>
        <v>0.130909892</v>
      </c>
      <c r="H3457" s="2">
        <v>4783.0</v>
      </c>
      <c r="I3457" s="3">
        <f t="shared" si="3"/>
        <v>0.2107512668</v>
      </c>
      <c r="J3457" s="2">
        <v>4324.0</v>
      </c>
      <c r="K3457" s="3">
        <f t="shared" si="4"/>
        <v>0.1905265477</v>
      </c>
      <c r="L3457" s="2">
        <v>2903.0</v>
      </c>
      <c r="M3457" s="3">
        <f t="shared" si="5"/>
        <v>0.6069412503</v>
      </c>
      <c r="N3457" s="2">
        <v>2.72809E7</v>
      </c>
      <c r="O3457" s="4">
        <f t="shared" si="6"/>
        <v>5703.721514</v>
      </c>
      <c r="P3457" s="2">
        <v>2.0</v>
      </c>
      <c r="Q3457" s="3">
        <f t="shared" si="7"/>
        <v>0.0009259259259</v>
      </c>
      <c r="R3457" s="2">
        <v>1941.0</v>
      </c>
      <c r="S3457" s="5">
        <f t="shared" si="8"/>
        <v>0.8986111111</v>
      </c>
    </row>
    <row r="3458">
      <c r="A3458" s="2" t="s">
        <v>3464</v>
      </c>
      <c r="B3458" s="2">
        <v>844.0</v>
      </c>
      <c r="C3458" s="2">
        <v>9904.0</v>
      </c>
      <c r="D3458" s="2">
        <v>2757.0</v>
      </c>
      <c r="E3458" s="3">
        <f t="shared" si="1"/>
        <v>0.3043046358</v>
      </c>
      <c r="F3458" s="2">
        <v>1186.0</v>
      </c>
      <c r="G3458" s="3">
        <f t="shared" si="2"/>
        <v>0.1309050773</v>
      </c>
      <c r="H3458" s="2">
        <v>1843.0</v>
      </c>
      <c r="I3458" s="3">
        <f t="shared" si="3"/>
        <v>0.2034216336</v>
      </c>
      <c r="J3458" s="2">
        <v>1295.0</v>
      </c>
      <c r="K3458" s="3">
        <f t="shared" si="4"/>
        <v>0.1429359823</v>
      </c>
      <c r="L3458" s="2">
        <v>1073.0</v>
      </c>
      <c r="M3458" s="3">
        <f t="shared" si="5"/>
        <v>0.58220293</v>
      </c>
      <c r="N3458" s="2">
        <v>1.03962E7</v>
      </c>
      <c r="O3458" s="4">
        <f t="shared" si="6"/>
        <v>5640.911557</v>
      </c>
      <c r="P3458" s="2">
        <v>2.0</v>
      </c>
      <c r="Q3458" s="3">
        <f t="shared" si="7"/>
        <v>0.002369668246</v>
      </c>
      <c r="R3458" s="2">
        <v>844.0</v>
      </c>
      <c r="S3458" s="5">
        <f t="shared" si="8"/>
        <v>1</v>
      </c>
    </row>
    <row r="3459">
      <c r="A3459" s="2" t="s">
        <v>3465</v>
      </c>
      <c r="B3459" s="2">
        <v>129.0</v>
      </c>
      <c r="C3459" s="2">
        <v>1527.0</v>
      </c>
      <c r="D3459" s="2">
        <v>556.0</v>
      </c>
      <c r="E3459" s="3">
        <f t="shared" si="1"/>
        <v>0.3977110157</v>
      </c>
      <c r="F3459" s="2">
        <v>183.0</v>
      </c>
      <c r="G3459" s="3">
        <f t="shared" si="2"/>
        <v>0.1309012876</v>
      </c>
      <c r="H3459" s="2">
        <v>344.0</v>
      </c>
      <c r="I3459" s="3">
        <f t="shared" si="3"/>
        <v>0.2460658083</v>
      </c>
      <c r="J3459" s="2">
        <v>247.0</v>
      </c>
      <c r="K3459" s="3">
        <f t="shared" si="4"/>
        <v>0.1766809728</v>
      </c>
      <c r="L3459" s="2">
        <v>212.0</v>
      </c>
      <c r="M3459" s="3">
        <f t="shared" si="5"/>
        <v>0.6162790698</v>
      </c>
      <c r="N3459" s="2">
        <v>1722300.0</v>
      </c>
      <c r="O3459" s="4">
        <f t="shared" si="6"/>
        <v>5006.686047</v>
      </c>
      <c r="P3459" s="2">
        <v>0.0</v>
      </c>
      <c r="Q3459" s="3">
        <f t="shared" si="7"/>
        <v>0</v>
      </c>
      <c r="R3459" s="2">
        <v>129.0</v>
      </c>
      <c r="S3459" s="5">
        <f t="shared" si="8"/>
        <v>1</v>
      </c>
    </row>
    <row r="3460">
      <c r="A3460" s="2" t="s">
        <v>3466</v>
      </c>
      <c r="B3460" s="2">
        <v>762.0</v>
      </c>
      <c r="C3460" s="2">
        <v>9120.0</v>
      </c>
      <c r="D3460" s="2">
        <v>2956.0</v>
      </c>
      <c r="E3460" s="3">
        <f t="shared" si="1"/>
        <v>0.3536731275</v>
      </c>
      <c r="F3460" s="2">
        <v>1094.0</v>
      </c>
      <c r="G3460" s="3">
        <f t="shared" si="2"/>
        <v>0.130892558</v>
      </c>
      <c r="H3460" s="2">
        <v>1843.0</v>
      </c>
      <c r="I3460" s="3">
        <f t="shared" si="3"/>
        <v>0.2205072984</v>
      </c>
      <c r="J3460" s="2">
        <v>1474.0</v>
      </c>
      <c r="K3460" s="3">
        <f t="shared" si="4"/>
        <v>0.1763579804</v>
      </c>
      <c r="L3460" s="2">
        <v>1075.0</v>
      </c>
      <c r="M3460" s="3">
        <f t="shared" si="5"/>
        <v>0.5832881172</v>
      </c>
      <c r="N3460" s="2">
        <v>1.06223E7</v>
      </c>
      <c r="O3460" s="4">
        <f t="shared" si="6"/>
        <v>5763.59197</v>
      </c>
      <c r="P3460" s="2">
        <v>0.0</v>
      </c>
      <c r="Q3460" s="3">
        <f t="shared" si="7"/>
        <v>0</v>
      </c>
      <c r="R3460" s="2">
        <v>762.0</v>
      </c>
      <c r="S3460" s="5">
        <f t="shared" si="8"/>
        <v>1</v>
      </c>
    </row>
    <row r="3461">
      <c r="A3461" s="2" t="s">
        <v>3467</v>
      </c>
      <c r="B3461" s="2">
        <v>778.0</v>
      </c>
      <c r="C3461" s="2">
        <v>9266.0</v>
      </c>
      <c r="D3461" s="2">
        <v>2552.0</v>
      </c>
      <c r="E3461" s="3">
        <f t="shared" si="1"/>
        <v>0.3006597549</v>
      </c>
      <c r="F3461" s="2">
        <v>1111.0</v>
      </c>
      <c r="G3461" s="3">
        <f t="shared" si="2"/>
        <v>0.1308906692</v>
      </c>
      <c r="H3461" s="2">
        <v>1751.0</v>
      </c>
      <c r="I3461" s="3">
        <f t="shared" si="3"/>
        <v>0.2062912347</v>
      </c>
      <c r="J3461" s="2">
        <v>1496.0</v>
      </c>
      <c r="K3461" s="3">
        <f t="shared" si="4"/>
        <v>0.1762488219</v>
      </c>
      <c r="L3461" s="2">
        <v>1033.0</v>
      </c>
      <c r="M3461" s="3">
        <f t="shared" si="5"/>
        <v>0.5899486008</v>
      </c>
      <c r="N3461" s="2">
        <v>1.05071E7</v>
      </c>
      <c r="O3461" s="4">
        <f t="shared" si="6"/>
        <v>6000.628212</v>
      </c>
      <c r="P3461" s="2">
        <v>4.0</v>
      </c>
      <c r="Q3461" s="3">
        <f t="shared" si="7"/>
        <v>0.005141388175</v>
      </c>
      <c r="R3461" s="2">
        <v>778.0</v>
      </c>
      <c r="S3461" s="5">
        <f t="shared" si="8"/>
        <v>1</v>
      </c>
    </row>
    <row r="3462">
      <c r="A3462" s="2" t="s">
        <v>3468</v>
      </c>
      <c r="B3462" s="2">
        <v>19.0</v>
      </c>
      <c r="C3462" s="2">
        <v>210.0</v>
      </c>
      <c r="D3462" s="2">
        <v>56.0</v>
      </c>
      <c r="E3462" s="3">
        <f t="shared" si="1"/>
        <v>0.2931937173</v>
      </c>
      <c r="F3462" s="2">
        <v>25.0</v>
      </c>
      <c r="G3462" s="3">
        <f t="shared" si="2"/>
        <v>0.1308900524</v>
      </c>
      <c r="H3462" s="2">
        <v>32.0</v>
      </c>
      <c r="I3462" s="3">
        <f t="shared" si="3"/>
        <v>0.167539267</v>
      </c>
      <c r="J3462" s="2">
        <v>28.0</v>
      </c>
      <c r="K3462" s="3">
        <f t="shared" si="4"/>
        <v>0.1465968586</v>
      </c>
      <c r="L3462" s="2">
        <v>16.0</v>
      </c>
      <c r="M3462" s="3">
        <f t="shared" si="5"/>
        <v>0.5</v>
      </c>
      <c r="N3462" s="2">
        <v>138800.0</v>
      </c>
      <c r="O3462" s="4">
        <f t="shared" si="6"/>
        <v>4337.5</v>
      </c>
      <c r="P3462" s="2">
        <v>0.0</v>
      </c>
      <c r="Q3462" s="3">
        <f t="shared" si="7"/>
        <v>0</v>
      </c>
      <c r="R3462" s="2">
        <v>19.0</v>
      </c>
      <c r="S3462" s="5">
        <f t="shared" si="8"/>
        <v>1</v>
      </c>
    </row>
    <row r="3463">
      <c r="A3463" s="2" t="s">
        <v>3469</v>
      </c>
      <c r="B3463" s="2">
        <v>587.0</v>
      </c>
      <c r="C3463" s="2">
        <v>6829.0</v>
      </c>
      <c r="D3463" s="2">
        <v>1959.0</v>
      </c>
      <c r="E3463" s="3">
        <f t="shared" si="1"/>
        <v>0.3138417174</v>
      </c>
      <c r="F3463" s="2">
        <v>817.0</v>
      </c>
      <c r="G3463" s="3">
        <f t="shared" si="2"/>
        <v>0.130887536</v>
      </c>
      <c r="H3463" s="2">
        <v>1266.0</v>
      </c>
      <c r="I3463" s="3">
        <f t="shared" si="3"/>
        <v>0.2028196091</v>
      </c>
      <c r="J3463" s="2">
        <v>1104.0</v>
      </c>
      <c r="K3463" s="3">
        <f t="shared" si="4"/>
        <v>0.176866389</v>
      </c>
      <c r="L3463" s="2">
        <v>754.0</v>
      </c>
      <c r="M3463" s="3">
        <f t="shared" si="5"/>
        <v>0.5955766193</v>
      </c>
      <c r="N3463" s="2">
        <v>7368400.0</v>
      </c>
      <c r="O3463" s="4">
        <f t="shared" si="6"/>
        <v>5820.221169</v>
      </c>
      <c r="P3463" s="2">
        <v>0.0</v>
      </c>
      <c r="Q3463" s="3">
        <f t="shared" si="7"/>
        <v>0</v>
      </c>
      <c r="R3463" s="2">
        <v>587.0</v>
      </c>
      <c r="S3463" s="5">
        <f t="shared" si="8"/>
        <v>1</v>
      </c>
    </row>
    <row r="3464">
      <c r="A3464" s="2" t="s">
        <v>3470</v>
      </c>
      <c r="B3464" s="2">
        <v>64.0</v>
      </c>
      <c r="C3464" s="2">
        <v>744.0</v>
      </c>
      <c r="D3464" s="2">
        <v>248.0</v>
      </c>
      <c r="E3464" s="3">
        <f t="shared" si="1"/>
        <v>0.3647058824</v>
      </c>
      <c r="F3464" s="2">
        <v>89.0</v>
      </c>
      <c r="G3464" s="3">
        <f t="shared" si="2"/>
        <v>0.1308823529</v>
      </c>
      <c r="H3464" s="2">
        <v>130.0</v>
      </c>
      <c r="I3464" s="3">
        <f t="shared" si="3"/>
        <v>0.1911764706</v>
      </c>
      <c r="J3464" s="2">
        <v>98.0</v>
      </c>
      <c r="K3464" s="3">
        <f t="shared" si="4"/>
        <v>0.1441176471</v>
      </c>
      <c r="L3464" s="2">
        <v>74.0</v>
      </c>
      <c r="M3464" s="3">
        <f t="shared" si="5"/>
        <v>0.5692307692</v>
      </c>
      <c r="N3464" s="2">
        <v>659000.0</v>
      </c>
      <c r="O3464" s="4">
        <f t="shared" si="6"/>
        <v>5069.230769</v>
      </c>
      <c r="P3464" s="2">
        <v>1.0</v>
      </c>
      <c r="Q3464" s="3">
        <f t="shared" si="7"/>
        <v>0.015625</v>
      </c>
      <c r="R3464" s="2">
        <v>64.0</v>
      </c>
      <c r="S3464" s="5">
        <f t="shared" si="8"/>
        <v>1</v>
      </c>
    </row>
    <row r="3465">
      <c r="A3465" s="2" t="s">
        <v>3471</v>
      </c>
      <c r="B3465" s="2">
        <v>211.0</v>
      </c>
      <c r="C3465" s="2">
        <v>2488.0</v>
      </c>
      <c r="D3465" s="2">
        <v>919.0</v>
      </c>
      <c r="E3465" s="3">
        <f t="shared" si="1"/>
        <v>0.4036012297</v>
      </c>
      <c r="F3465" s="2">
        <v>298.0</v>
      </c>
      <c r="G3465" s="3">
        <f t="shared" si="2"/>
        <v>0.130873957</v>
      </c>
      <c r="H3465" s="2">
        <v>521.0</v>
      </c>
      <c r="I3465" s="3">
        <f t="shared" si="3"/>
        <v>0.2288098375</v>
      </c>
      <c r="J3465" s="2">
        <v>376.0</v>
      </c>
      <c r="K3465" s="3">
        <f t="shared" si="4"/>
        <v>0.1651295564</v>
      </c>
      <c r="L3465" s="2">
        <v>322.0</v>
      </c>
      <c r="M3465" s="3">
        <f t="shared" si="5"/>
        <v>0.6180422265</v>
      </c>
      <c r="N3465" s="2">
        <v>2578700.0</v>
      </c>
      <c r="O3465" s="4">
        <f t="shared" si="6"/>
        <v>4949.520154</v>
      </c>
      <c r="P3465" s="2">
        <v>0.0</v>
      </c>
      <c r="Q3465" s="3">
        <f t="shared" si="7"/>
        <v>0</v>
      </c>
      <c r="R3465" s="2">
        <v>205.0</v>
      </c>
      <c r="S3465" s="5">
        <f t="shared" si="8"/>
        <v>0.971563981</v>
      </c>
    </row>
    <row r="3466">
      <c r="A3466" s="2" t="s">
        <v>3472</v>
      </c>
      <c r="B3466" s="2">
        <v>119.0</v>
      </c>
      <c r="C3466" s="2">
        <v>1418.0</v>
      </c>
      <c r="D3466" s="2">
        <v>486.0</v>
      </c>
      <c r="E3466" s="3">
        <f t="shared" si="1"/>
        <v>0.3741339492</v>
      </c>
      <c r="F3466" s="2">
        <v>170.0</v>
      </c>
      <c r="G3466" s="3">
        <f t="shared" si="2"/>
        <v>0.1308698999</v>
      </c>
      <c r="H3466" s="2">
        <v>222.0</v>
      </c>
      <c r="I3466" s="3">
        <f t="shared" si="3"/>
        <v>0.1709006928</v>
      </c>
      <c r="J3466" s="2">
        <v>182.0</v>
      </c>
      <c r="K3466" s="3">
        <f t="shared" si="4"/>
        <v>0.1401077752</v>
      </c>
      <c r="L3466" s="2">
        <v>124.0</v>
      </c>
      <c r="M3466" s="3">
        <f t="shared" si="5"/>
        <v>0.5585585586</v>
      </c>
      <c r="N3466" s="2">
        <v>1115500.0</v>
      </c>
      <c r="O3466" s="4">
        <f t="shared" si="6"/>
        <v>5024.774775</v>
      </c>
      <c r="P3466" s="2">
        <v>0.0</v>
      </c>
      <c r="Q3466" s="3">
        <f t="shared" si="7"/>
        <v>0</v>
      </c>
      <c r="R3466" s="2">
        <v>119.0</v>
      </c>
      <c r="S3466" s="5">
        <f t="shared" si="8"/>
        <v>1</v>
      </c>
    </row>
    <row r="3467">
      <c r="A3467" s="2" t="s">
        <v>3473</v>
      </c>
      <c r="B3467" s="2">
        <v>451.0</v>
      </c>
      <c r="C3467" s="2">
        <v>5281.0</v>
      </c>
      <c r="D3467" s="2">
        <v>1471.0</v>
      </c>
      <c r="E3467" s="3">
        <f t="shared" si="1"/>
        <v>0.3045548654</v>
      </c>
      <c r="F3467" s="2">
        <v>632.0</v>
      </c>
      <c r="G3467" s="3">
        <f t="shared" si="2"/>
        <v>0.1308488613</v>
      </c>
      <c r="H3467" s="2">
        <v>1007.0</v>
      </c>
      <c r="I3467" s="3">
        <f t="shared" si="3"/>
        <v>0.2084886128</v>
      </c>
      <c r="J3467" s="2">
        <v>778.0</v>
      </c>
      <c r="K3467" s="3">
        <f t="shared" si="4"/>
        <v>0.1610766046</v>
      </c>
      <c r="L3467" s="2">
        <v>598.0</v>
      </c>
      <c r="M3467" s="3">
        <f t="shared" si="5"/>
        <v>0.5938430983</v>
      </c>
      <c r="N3467" s="2">
        <v>6167200.0</v>
      </c>
      <c r="O3467" s="4">
        <f t="shared" si="6"/>
        <v>6124.329692</v>
      </c>
      <c r="P3467" s="2">
        <v>1.0</v>
      </c>
      <c r="Q3467" s="3">
        <f t="shared" si="7"/>
        <v>0.0022172949</v>
      </c>
      <c r="R3467" s="2">
        <v>0.0</v>
      </c>
      <c r="S3467" s="5">
        <f t="shared" si="8"/>
        <v>0</v>
      </c>
    </row>
    <row r="3468">
      <c r="A3468" s="2" t="s">
        <v>3474</v>
      </c>
      <c r="B3468" s="2">
        <v>1338.0</v>
      </c>
      <c r="C3468" s="2">
        <v>15821.0</v>
      </c>
      <c r="D3468" s="2">
        <v>4521.0</v>
      </c>
      <c r="E3468" s="3">
        <f t="shared" si="1"/>
        <v>0.3121590831</v>
      </c>
      <c r="F3468" s="2">
        <v>1895.0</v>
      </c>
      <c r="G3468" s="3">
        <f t="shared" si="2"/>
        <v>0.1308430574</v>
      </c>
      <c r="H3468" s="2">
        <v>2798.0</v>
      </c>
      <c r="I3468" s="3">
        <f t="shared" si="3"/>
        <v>0.1931920182</v>
      </c>
      <c r="J3468" s="2">
        <v>2225.0</v>
      </c>
      <c r="K3468" s="3">
        <f t="shared" si="4"/>
        <v>0.1536283919</v>
      </c>
      <c r="L3468" s="2">
        <v>1652.0</v>
      </c>
      <c r="M3468" s="3">
        <f t="shared" si="5"/>
        <v>0.5904217298</v>
      </c>
      <c r="N3468" s="2">
        <v>1.69391E7</v>
      </c>
      <c r="O3468" s="4">
        <f t="shared" si="6"/>
        <v>6054.002859</v>
      </c>
      <c r="P3468" s="2">
        <v>5.0</v>
      </c>
      <c r="Q3468" s="3">
        <f t="shared" si="7"/>
        <v>0.003736920777</v>
      </c>
      <c r="R3468" s="2">
        <v>0.0</v>
      </c>
      <c r="S3468" s="5">
        <f t="shared" si="8"/>
        <v>0</v>
      </c>
    </row>
    <row r="3469">
      <c r="A3469" s="2" t="s">
        <v>3475</v>
      </c>
      <c r="B3469" s="2">
        <v>181.0</v>
      </c>
      <c r="C3469" s="2">
        <v>2069.0</v>
      </c>
      <c r="D3469" s="2">
        <v>652.0</v>
      </c>
      <c r="E3469" s="3">
        <f t="shared" si="1"/>
        <v>0.3453389831</v>
      </c>
      <c r="F3469" s="2">
        <v>247.0</v>
      </c>
      <c r="G3469" s="3">
        <f t="shared" si="2"/>
        <v>0.1308262712</v>
      </c>
      <c r="H3469" s="2">
        <v>391.0</v>
      </c>
      <c r="I3469" s="3">
        <f t="shared" si="3"/>
        <v>0.2070974576</v>
      </c>
      <c r="J3469" s="2">
        <v>312.0</v>
      </c>
      <c r="K3469" s="3">
        <f t="shared" si="4"/>
        <v>0.1652542373</v>
      </c>
      <c r="L3469" s="2">
        <v>241.0</v>
      </c>
      <c r="M3469" s="3">
        <f t="shared" si="5"/>
        <v>0.6163682864</v>
      </c>
      <c r="N3469" s="2">
        <v>2182800.0</v>
      </c>
      <c r="O3469" s="4">
        <f t="shared" si="6"/>
        <v>5582.608696</v>
      </c>
      <c r="P3469" s="2">
        <v>0.0</v>
      </c>
      <c r="Q3469" s="3">
        <f t="shared" si="7"/>
        <v>0</v>
      </c>
      <c r="R3469" s="2">
        <v>181.0</v>
      </c>
      <c r="S3469" s="5">
        <f t="shared" si="8"/>
        <v>1</v>
      </c>
    </row>
    <row r="3470">
      <c r="A3470" s="2" t="s">
        <v>3476</v>
      </c>
      <c r="B3470" s="2">
        <v>1330.0</v>
      </c>
      <c r="C3470" s="2">
        <v>15578.0</v>
      </c>
      <c r="D3470" s="2">
        <v>5544.0</v>
      </c>
      <c r="E3470" s="3">
        <f t="shared" si="1"/>
        <v>0.3891072431</v>
      </c>
      <c r="F3470" s="2">
        <v>1864.0</v>
      </c>
      <c r="G3470" s="3">
        <f t="shared" si="2"/>
        <v>0.130825379</v>
      </c>
      <c r="H3470" s="2">
        <v>3186.0</v>
      </c>
      <c r="I3470" s="3">
        <f t="shared" si="3"/>
        <v>0.2236103313</v>
      </c>
      <c r="J3470" s="2">
        <v>2701.0</v>
      </c>
      <c r="K3470" s="3">
        <f t="shared" si="4"/>
        <v>0.189570466</v>
      </c>
      <c r="L3470" s="2">
        <v>1891.0</v>
      </c>
      <c r="M3470" s="3">
        <f t="shared" si="5"/>
        <v>0.5935342122</v>
      </c>
      <c r="N3470" s="2">
        <v>1.68043E7</v>
      </c>
      <c r="O3470" s="4">
        <f t="shared" si="6"/>
        <v>5274.419335</v>
      </c>
      <c r="P3470" s="2">
        <v>1.0</v>
      </c>
      <c r="Q3470" s="3">
        <f t="shared" si="7"/>
        <v>0.0007518796992</v>
      </c>
      <c r="R3470" s="2">
        <v>1330.0</v>
      </c>
      <c r="S3470" s="5">
        <f t="shared" si="8"/>
        <v>1</v>
      </c>
    </row>
    <row r="3471">
      <c r="A3471" s="2" t="s">
        <v>3477</v>
      </c>
      <c r="B3471" s="2">
        <v>1118.0</v>
      </c>
      <c r="C3471" s="2">
        <v>12890.0</v>
      </c>
      <c r="D3471" s="2">
        <v>3872.0</v>
      </c>
      <c r="E3471" s="3">
        <f t="shared" si="1"/>
        <v>0.328916072</v>
      </c>
      <c r="F3471" s="2">
        <v>1540.0</v>
      </c>
      <c r="G3471" s="3">
        <f t="shared" si="2"/>
        <v>0.1308188923</v>
      </c>
      <c r="H3471" s="2">
        <v>2490.0</v>
      </c>
      <c r="I3471" s="3">
        <f t="shared" si="3"/>
        <v>0.2115188583</v>
      </c>
      <c r="J3471" s="2">
        <v>2062.0</v>
      </c>
      <c r="K3471" s="3">
        <f t="shared" si="4"/>
        <v>0.1751613999</v>
      </c>
      <c r="L3471" s="2">
        <v>1520.0</v>
      </c>
      <c r="M3471" s="3">
        <f t="shared" si="5"/>
        <v>0.6104417671</v>
      </c>
      <c r="N3471" s="2">
        <v>1.40604E7</v>
      </c>
      <c r="O3471" s="4">
        <f t="shared" si="6"/>
        <v>5646.746988</v>
      </c>
      <c r="P3471" s="2">
        <v>2.0</v>
      </c>
      <c r="Q3471" s="3">
        <f t="shared" si="7"/>
        <v>0.001788908766</v>
      </c>
      <c r="R3471" s="2">
        <v>1118.0</v>
      </c>
      <c r="S3471" s="5">
        <f t="shared" si="8"/>
        <v>1</v>
      </c>
    </row>
    <row r="3472">
      <c r="A3472" s="2" t="s">
        <v>3478</v>
      </c>
      <c r="B3472" s="2">
        <v>973.0</v>
      </c>
      <c r="C3472" s="2">
        <v>11568.0</v>
      </c>
      <c r="D3472" s="2">
        <v>4127.0</v>
      </c>
      <c r="E3472" s="3">
        <f t="shared" si="1"/>
        <v>0.3895233601</v>
      </c>
      <c r="F3472" s="2">
        <v>1386.0</v>
      </c>
      <c r="G3472" s="3">
        <f t="shared" si="2"/>
        <v>0.1308164228</v>
      </c>
      <c r="H3472" s="2">
        <v>2201.0</v>
      </c>
      <c r="I3472" s="3">
        <f t="shared" si="3"/>
        <v>0.2077394998</v>
      </c>
      <c r="J3472" s="2">
        <v>1687.0</v>
      </c>
      <c r="K3472" s="3">
        <f t="shared" si="4"/>
        <v>0.15922605</v>
      </c>
      <c r="L3472" s="2">
        <v>1286.0</v>
      </c>
      <c r="M3472" s="3">
        <f t="shared" si="5"/>
        <v>0.5842798728</v>
      </c>
      <c r="N3472" s="2">
        <v>1.25726E7</v>
      </c>
      <c r="O3472" s="4">
        <f t="shared" si="6"/>
        <v>5712.221717</v>
      </c>
      <c r="P3472" s="2">
        <v>3.0</v>
      </c>
      <c r="Q3472" s="3">
        <f t="shared" si="7"/>
        <v>0.003083247688</v>
      </c>
      <c r="R3472" s="2">
        <v>134.0</v>
      </c>
      <c r="S3472" s="5">
        <f t="shared" si="8"/>
        <v>0.1377183967</v>
      </c>
    </row>
    <row r="3473">
      <c r="A3473" s="2" t="s">
        <v>3479</v>
      </c>
      <c r="B3473" s="2">
        <v>64.0</v>
      </c>
      <c r="C3473" s="2">
        <v>752.0</v>
      </c>
      <c r="D3473" s="2">
        <v>210.0</v>
      </c>
      <c r="E3473" s="3">
        <f t="shared" si="1"/>
        <v>0.3052325581</v>
      </c>
      <c r="F3473" s="2">
        <v>90.0</v>
      </c>
      <c r="G3473" s="3">
        <f t="shared" si="2"/>
        <v>0.1308139535</v>
      </c>
      <c r="H3473" s="2">
        <v>140.0</v>
      </c>
      <c r="I3473" s="3">
        <f t="shared" si="3"/>
        <v>0.2034883721</v>
      </c>
      <c r="J3473" s="2">
        <v>125.0</v>
      </c>
      <c r="K3473" s="3">
        <f t="shared" si="4"/>
        <v>0.1816860465</v>
      </c>
      <c r="L3473" s="2">
        <v>74.0</v>
      </c>
      <c r="M3473" s="3">
        <f t="shared" si="5"/>
        <v>0.5285714286</v>
      </c>
      <c r="N3473" s="2">
        <v>794000.0</v>
      </c>
      <c r="O3473" s="4">
        <f t="shared" si="6"/>
        <v>5671.428571</v>
      </c>
      <c r="P3473" s="2">
        <v>0.0</v>
      </c>
      <c r="Q3473" s="3">
        <f t="shared" si="7"/>
        <v>0</v>
      </c>
      <c r="R3473" s="2">
        <v>64.0</v>
      </c>
      <c r="S3473" s="5">
        <f t="shared" si="8"/>
        <v>1</v>
      </c>
    </row>
    <row r="3474">
      <c r="A3474" s="2" t="s">
        <v>3480</v>
      </c>
      <c r="B3474" s="2">
        <v>373.0</v>
      </c>
      <c r="C3474" s="2">
        <v>4356.0</v>
      </c>
      <c r="D3474" s="2">
        <v>1311.0</v>
      </c>
      <c r="E3474" s="3">
        <f t="shared" si="1"/>
        <v>0.3291488828</v>
      </c>
      <c r="F3474" s="2">
        <v>521.0</v>
      </c>
      <c r="G3474" s="3">
        <f t="shared" si="2"/>
        <v>0.1308059252</v>
      </c>
      <c r="H3474" s="2">
        <v>788.0</v>
      </c>
      <c r="I3474" s="3">
        <f t="shared" si="3"/>
        <v>0.1978408235</v>
      </c>
      <c r="J3474" s="2">
        <v>607.0</v>
      </c>
      <c r="K3474" s="3">
        <f t="shared" si="4"/>
        <v>0.1523976902</v>
      </c>
      <c r="L3474" s="2">
        <v>480.0</v>
      </c>
      <c r="M3474" s="3">
        <f t="shared" si="5"/>
        <v>0.6091370558</v>
      </c>
      <c r="N3474" s="2">
        <v>4881400.0</v>
      </c>
      <c r="O3474" s="4">
        <f t="shared" si="6"/>
        <v>6194.670051</v>
      </c>
      <c r="P3474" s="2">
        <v>1.0</v>
      </c>
      <c r="Q3474" s="3">
        <f t="shared" si="7"/>
        <v>0.002680965147</v>
      </c>
      <c r="R3474" s="2">
        <v>373.0</v>
      </c>
      <c r="S3474" s="5">
        <f t="shared" si="8"/>
        <v>1</v>
      </c>
    </row>
    <row r="3475">
      <c r="A3475" s="2" t="s">
        <v>3481</v>
      </c>
      <c r="B3475" s="2">
        <v>418.0</v>
      </c>
      <c r="C3475" s="2">
        <v>4875.0</v>
      </c>
      <c r="D3475" s="2">
        <v>1735.0</v>
      </c>
      <c r="E3475" s="3">
        <f t="shared" si="1"/>
        <v>0.3892752973</v>
      </c>
      <c r="F3475" s="2">
        <v>583.0</v>
      </c>
      <c r="G3475" s="3">
        <f t="shared" si="2"/>
        <v>0.1308054745</v>
      </c>
      <c r="H3475" s="2">
        <v>915.0</v>
      </c>
      <c r="I3475" s="3">
        <f t="shared" si="3"/>
        <v>0.2052950415</v>
      </c>
      <c r="J3475" s="2">
        <v>813.0</v>
      </c>
      <c r="K3475" s="3">
        <f t="shared" si="4"/>
        <v>0.1824096926</v>
      </c>
      <c r="L3475" s="2">
        <v>565.0</v>
      </c>
      <c r="M3475" s="3">
        <f t="shared" si="5"/>
        <v>0.6174863388</v>
      </c>
      <c r="N3475" s="2">
        <v>5024900.0</v>
      </c>
      <c r="O3475" s="4">
        <f t="shared" si="6"/>
        <v>5491.693989</v>
      </c>
      <c r="P3475" s="2">
        <v>1.0</v>
      </c>
      <c r="Q3475" s="3">
        <f t="shared" si="7"/>
        <v>0.002392344498</v>
      </c>
      <c r="R3475" s="2">
        <v>418.0</v>
      </c>
      <c r="S3475" s="5">
        <f t="shared" si="8"/>
        <v>1</v>
      </c>
    </row>
    <row r="3476">
      <c r="A3476" s="2" t="s">
        <v>3482</v>
      </c>
      <c r="B3476" s="2">
        <v>58.0</v>
      </c>
      <c r="C3476" s="2">
        <v>662.0</v>
      </c>
      <c r="D3476" s="2">
        <v>192.0</v>
      </c>
      <c r="E3476" s="3">
        <f t="shared" si="1"/>
        <v>0.3178807947</v>
      </c>
      <c r="F3476" s="2">
        <v>79.0</v>
      </c>
      <c r="G3476" s="3">
        <f t="shared" si="2"/>
        <v>0.130794702</v>
      </c>
      <c r="H3476" s="2">
        <v>125.0</v>
      </c>
      <c r="I3476" s="3">
        <f t="shared" si="3"/>
        <v>0.2069536424</v>
      </c>
      <c r="J3476" s="2">
        <v>115.0</v>
      </c>
      <c r="K3476" s="3">
        <f t="shared" si="4"/>
        <v>0.190397351</v>
      </c>
      <c r="L3476" s="2">
        <v>70.0</v>
      </c>
      <c r="M3476" s="3">
        <f t="shared" si="5"/>
        <v>0.56</v>
      </c>
      <c r="N3476" s="2">
        <v>808500.0</v>
      </c>
      <c r="O3476" s="4">
        <f t="shared" si="6"/>
        <v>6468</v>
      </c>
      <c r="P3476" s="2">
        <v>0.0</v>
      </c>
      <c r="Q3476" s="3">
        <f t="shared" si="7"/>
        <v>0</v>
      </c>
      <c r="R3476" s="2">
        <v>0.0</v>
      </c>
      <c r="S3476" s="5">
        <f t="shared" si="8"/>
        <v>0</v>
      </c>
    </row>
    <row r="3477">
      <c r="A3477" s="2" t="s">
        <v>3483</v>
      </c>
      <c r="B3477" s="2">
        <v>793.0</v>
      </c>
      <c r="C3477" s="2">
        <v>9379.0</v>
      </c>
      <c r="D3477" s="2">
        <v>3092.0</v>
      </c>
      <c r="E3477" s="3">
        <f t="shared" si="1"/>
        <v>0.3601211274</v>
      </c>
      <c r="F3477" s="2">
        <v>1123.0</v>
      </c>
      <c r="G3477" s="3">
        <f t="shared" si="2"/>
        <v>0.1307943163</v>
      </c>
      <c r="H3477" s="2">
        <v>1658.0</v>
      </c>
      <c r="I3477" s="3">
        <f t="shared" si="3"/>
        <v>0.1931050547</v>
      </c>
      <c r="J3477" s="2">
        <v>978.0</v>
      </c>
      <c r="K3477" s="3">
        <f t="shared" si="4"/>
        <v>0.1139063592</v>
      </c>
      <c r="L3477" s="2">
        <v>1030.0</v>
      </c>
      <c r="M3477" s="3">
        <f t="shared" si="5"/>
        <v>0.6212303981</v>
      </c>
      <c r="N3477" s="2">
        <v>9104100.0</v>
      </c>
      <c r="O3477" s="4">
        <f t="shared" si="6"/>
        <v>5491.013269</v>
      </c>
      <c r="P3477" s="2">
        <v>2.0</v>
      </c>
      <c r="Q3477" s="3">
        <f t="shared" si="7"/>
        <v>0.002522068096</v>
      </c>
      <c r="R3477" s="2">
        <v>793.0</v>
      </c>
      <c r="S3477" s="5">
        <f t="shared" si="8"/>
        <v>1</v>
      </c>
    </row>
    <row r="3478">
      <c r="A3478" s="2" t="s">
        <v>3484</v>
      </c>
      <c r="B3478" s="2">
        <v>145.0</v>
      </c>
      <c r="C3478" s="2">
        <v>1743.0</v>
      </c>
      <c r="D3478" s="2">
        <v>603.0</v>
      </c>
      <c r="E3478" s="3">
        <f t="shared" si="1"/>
        <v>0.3773466834</v>
      </c>
      <c r="F3478" s="2">
        <v>209.0</v>
      </c>
      <c r="G3478" s="3">
        <f t="shared" si="2"/>
        <v>0.1307884856</v>
      </c>
      <c r="H3478" s="2">
        <v>317.0</v>
      </c>
      <c r="I3478" s="3">
        <f t="shared" si="3"/>
        <v>0.1983729662</v>
      </c>
      <c r="J3478" s="2">
        <v>297.0</v>
      </c>
      <c r="K3478" s="3">
        <f t="shared" si="4"/>
        <v>0.1858573217</v>
      </c>
      <c r="L3478" s="2">
        <v>187.0</v>
      </c>
      <c r="M3478" s="3">
        <f t="shared" si="5"/>
        <v>0.5899053628</v>
      </c>
      <c r="N3478" s="2">
        <v>1692400.0</v>
      </c>
      <c r="O3478" s="4">
        <f t="shared" si="6"/>
        <v>5338.801262</v>
      </c>
      <c r="P3478" s="2">
        <v>1.0</v>
      </c>
      <c r="Q3478" s="3">
        <f t="shared" si="7"/>
        <v>0.006896551724</v>
      </c>
      <c r="R3478" s="2">
        <v>145.0</v>
      </c>
      <c r="S3478" s="5">
        <f t="shared" si="8"/>
        <v>1</v>
      </c>
    </row>
    <row r="3479">
      <c r="A3479" s="2" t="s">
        <v>3485</v>
      </c>
      <c r="B3479" s="2">
        <v>361.0</v>
      </c>
      <c r="C3479" s="2">
        <v>4337.0</v>
      </c>
      <c r="D3479" s="2">
        <v>1355.0</v>
      </c>
      <c r="E3479" s="3">
        <f t="shared" si="1"/>
        <v>0.3407947686</v>
      </c>
      <c r="F3479" s="2">
        <v>520.0</v>
      </c>
      <c r="G3479" s="3">
        <f t="shared" si="2"/>
        <v>0.1307847082</v>
      </c>
      <c r="H3479" s="2">
        <v>739.0</v>
      </c>
      <c r="I3479" s="3">
        <f t="shared" si="3"/>
        <v>0.1858651911</v>
      </c>
      <c r="J3479" s="2">
        <v>602.0</v>
      </c>
      <c r="K3479" s="3">
        <f t="shared" si="4"/>
        <v>0.1514084507</v>
      </c>
      <c r="L3479" s="2">
        <v>432.0</v>
      </c>
      <c r="M3479" s="3">
        <f t="shared" si="5"/>
        <v>0.5845737483</v>
      </c>
      <c r="N3479" s="2">
        <v>4109500.0</v>
      </c>
      <c r="O3479" s="4">
        <f t="shared" si="6"/>
        <v>5560.893099</v>
      </c>
      <c r="P3479" s="2">
        <v>0.0</v>
      </c>
      <c r="Q3479" s="3">
        <f t="shared" si="7"/>
        <v>0</v>
      </c>
      <c r="R3479" s="2">
        <v>292.0</v>
      </c>
      <c r="S3479" s="5">
        <f t="shared" si="8"/>
        <v>0.8088642659</v>
      </c>
    </row>
    <row r="3480">
      <c r="A3480" s="2" t="s">
        <v>3486</v>
      </c>
      <c r="B3480" s="2">
        <v>2586.0</v>
      </c>
      <c r="C3480" s="2">
        <v>30518.0</v>
      </c>
      <c r="D3480" s="2">
        <v>10156.0</v>
      </c>
      <c r="E3480" s="3">
        <f t="shared" si="1"/>
        <v>0.3635973077</v>
      </c>
      <c r="F3480" s="2">
        <v>3653.0</v>
      </c>
      <c r="G3480" s="3">
        <f t="shared" si="2"/>
        <v>0.1307818989</v>
      </c>
      <c r="H3480" s="2">
        <v>5945.0</v>
      </c>
      <c r="I3480" s="3">
        <f t="shared" si="3"/>
        <v>0.2128383216</v>
      </c>
      <c r="J3480" s="2">
        <v>4723.0</v>
      </c>
      <c r="K3480" s="3">
        <f t="shared" si="4"/>
        <v>0.1690892167</v>
      </c>
      <c r="L3480" s="2">
        <v>3541.0</v>
      </c>
      <c r="M3480" s="3">
        <f t="shared" si="5"/>
        <v>0.595626577</v>
      </c>
      <c r="N3480" s="2">
        <v>3.37884E7</v>
      </c>
      <c r="O3480" s="4">
        <f t="shared" si="6"/>
        <v>5683.498738</v>
      </c>
      <c r="P3480" s="2">
        <v>8.0</v>
      </c>
      <c r="Q3480" s="3">
        <f t="shared" si="7"/>
        <v>0.00309358082</v>
      </c>
      <c r="R3480" s="2">
        <v>0.0</v>
      </c>
      <c r="S3480" s="5">
        <f t="shared" si="8"/>
        <v>0</v>
      </c>
    </row>
    <row r="3481">
      <c r="A3481" s="2" t="s">
        <v>3487</v>
      </c>
      <c r="B3481" s="2">
        <v>666.0</v>
      </c>
      <c r="C3481" s="2">
        <v>7823.0</v>
      </c>
      <c r="D3481" s="2">
        <v>2620.0</v>
      </c>
      <c r="E3481" s="3">
        <f t="shared" si="1"/>
        <v>0.3660751712</v>
      </c>
      <c r="F3481" s="2">
        <v>936.0</v>
      </c>
      <c r="G3481" s="3">
        <f t="shared" si="2"/>
        <v>0.1307810535</v>
      </c>
      <c r="H3481" s="2">
        <v>1631.0</v>
      </c>
      <c r="I3481" s="3">
        <f t="shared" si="3"/>
        <v>0.2278887802</v>
      </c>
      <c r="J3481" s="2">
        <v>1247.0</v>
      </c>
      <c r="K3481" s="3">
        <f t="shared" si="4"/>
        <v>0.1742350147</v>
      </c>
      <c r="L3481" s="2">
        <v>1025.0</v>
      </c>
      <c r="M3481" s="3">
        <f t="shared" si="5"/>
        <v>0.6284488044</v>
      </c>
      <c r="N3481" s="2">
        <v>8814400.0</v>
      </c>
      <c r="O3481" s="4">
        <f t="shared" si="6"/>
        <v>5404.291845</v>
      </c>
      <c r="P3481" s="2">
        <v>0.0</v>
      </c>
      <c r="Q3481" s="3">
        <f t="shared" si="7"/>
        <v>0</v>
      </c>
      <c r="R3481" s="2">
        <v>616.0</v>
      </c>
      <c r="S3481" s="5">
        <f t="shared" si="8"/>
        <v>0.9249249249</v>
      </c>
    </row>
    <row r="3482">
      <c r="A3482" s="2" t="s">
        <v>3488</v>
      </c>
      <c r="B3482" s="2">
        <v>1026.0</v>
      </c>
      <c r="C3482" s="2">
        <v>11976.0</v>
      </c>
      <c r="D3482" s="2">
        <v>3587.0</v>
      </c>
      <c r="E3482" s="3">
        <f t="shared" si="1"/>
        <v>0.3275799087</v>
      </c>
      <c r="F3482" s="2">
        <v>1432.0</v>
      </c>
      <c r="G3482" s="3">
        <f t="shared" si="2"/>
        <v>0.1307762557</v>
      </c>
      <c r="H3482" s="2">
        <v>2224.0</v>
      </c>
      <c r="I3482" s="3">
        <f t="shared" si="3"/>
        <v>0.2031050228</v>
      </c>
      <c r="J3482" s="2">
        <v>2100.0</v>
      </c>
      <c r="K3482" s="3">
        <f t="shared" si="4"/>
        <v>0.1917808219</v>
      </c>
      <c r="L3482" s="2">
        <v>1312.0</v>
      </c>
      <c r="M3482" s="3">
        <f t="shared" si="5"/>
        <v>0.5899280576</v>
      </c>
      <c r="N3482" s="2">
        <v>1.3062E7</v>
      </c>
      <c r="O3482" s="4">
        <f t="shared" si="6"/>
        <v>5873.201439</v>
      </c>
      <c r="P3482" s="2">
        <v>1.0</v>
      </c>
      <c r="Q3482" s="3">
        <f t="shared" si="7"/>
        <v>0.0009746588694</v>
      </c>
      <c r="R3482" s="2">
        <v>495.0</v>
      </c>
      <c r="S3482" s="5">
        <f t="shared" si="8"/>
        <v>0.4824561404</v>
      </c>
    </row>
    <row r="3483">
      <c r="A3483" s="2" t="s">
        <v>3489</v>
      </c>
      <c r="B3483" s="2">
        <v>247.0</v>
      </c>
      <c r="C3483" s="2">
        <v>2954.0</v>
      </c>
      <c r="D3483" s="2">
        <v>1234.0</v>
      </c>
      <c r="E3483" s="3">
        <f t="shared" si="1"/>
        <v>0.4558551902</v>
      </c>
      <c r="F3483" s="2">
        <v>354.0</v>
      </c>
      <c r="G3483" s="3">
        <f t="shared" si="2"/>
        <v>0.1307720724</v>
      </c>
      <c r="H3483" s="2">
        <v>547.0</v>
      </c>
      <c r="I3483" s="3">
        <f t="shared" si="3"/>
        <v>0.2020687107</v>
      </c>
      <c r="J3483" s="2">
        <v>353.0</v>
      </c>
      <c r="K3483" s="3">
        <f t="shared" si="4"/>
        <v>0.1304026598</v>
      </c>
      <c r="L3483" s="2">
        <v>329.0</v>
      </c>
      <c r="M3483" s="3">
        <f t="shared" si="5"/>
        <v>0.6014625229</v>
      </c>
      <c r="N3483" s="2">
        <v>2994900.0</v>
      </c>
      <c r="O3483" s="4">
        <f t="shared" si="6"/>
        <v>5475.137112</v>
      </c>
      <c r="P3483" s="2">
        <v>0.0</v>
      </c>
      <c r="Q3483" s="3">
        <f t="shared" si="7"/>
        <v>0</v>
      </c>
      <c r="R3483" s="2">
        <v>247.0</v>
      </c>
      <c r="S3483" s="5">
        <f t="shared" si="8"/>
        <v>1</v>
      </c>
    </row>
    <row r="3484">
      <c r="A3484" s="2" t="s">
        <v>3490</v>
      </c>
      <c r="B3484" s="2">
        <v>11.0</v>
      </c>
      <c r="C3484" s="2">
        <v>141.0</v>
      </c>
      <c r="D3484" s="2">
        <v>41.0</v>
      </c>
      <c r="E3484" s="3">
        <f t="shared" si="1"/>
        <v>0.3153846154</v>
      </c>
      <c r="F3484" s="2">
        <v>17.0</v>
      </c>
      <c r="G3484" s="3">
        <f t="shared" si="2"/>
        <v>0.1307692308</v>
      </c>
      <c r="H3484" s="2">
        <v>24.0</v>
      </c>
      <c r="I3484" s="3">
        <f t="shared" si="3"/>
        <v>0.1846153846</v>
      </c>
      <c r="J3484" s="2">
        <v>26.0</v>
      </c>
      <c r="K3484" s="3">
        <f t="shared" si="4"/>
        <v>0.2</v>
      </c>
      <c r="L3484" s="2">
        <v>14.0</v>
      </c>
      <c r="M3484" s="3">
        <f t="shared" si="5"/>
        <v>0.5833333333</v>
      </c>
      <c r="N3484" s="2">
        <v>110700.0</v>
      </c>
      <c r="O3484" s="4">
        <f t="shared" si="6"/>
        <v>4612.5</v>
      </c>
      <c r="P3484" s="2">
        <v>0.0</v>
      </c>
      <c r="Q3484" s="3">
        <f t="shared" si="7"/>
        <v>0</v>
      </c>
      <c r="R3484" s="2">
        <v>11.0</v>
      </c>
      <c r="S3484" s="5">
        <f t="shared" si="8"/>
        <v>1</v>
      </c>
    </row>
    <row r="3485">
      <c r="A3485" s="2" t="s">
        <v>3491</v>
      </c>
      <c r="B3485" s="2">
        <v>1065.0</v>
      </c>
      <c r="C3485" s="2">
        <v>12314.0</v>
      </c>
      <c r="D3485" s="2">
        <v>2882.0</v>
      </c>
      <c r="E3485" s="3">
        <f t="shared" si="1"/>
        <v>0.2562005512</v>
      </c>
      <c r="F3485" s="2">
        <v>1471.0</v>
      </c>
      <c r="G3485" s="3">
        <f t="shared" si="2"/>
        <v>0.1307671793</v>
      </c>
      <c r="H3485" s="2">
        <v>2266.0</v>
      </c>
      <c r="I3485" s="3">
        <f t="shared" si="3"/>
        <v>0.201440128</v>
      </c>
      <c r="J3485" s="2">
        <v>1928.0</v>
      </c>
      <c r="K3485" s="3">
        <f t="shared" si="4"/>
        <v>0.1713930127</v>
      </c>
      <c r="L3485" s="2">
        <v>1314.0</v>
      </c>
      <c r="M3485" s="3">
        <f t="shared" si="5"/>
        <v>0.5798764342</v>
      </c>
      <c r="N3485" s="2">
        <v>1.37094E7</v>
      </c>
      <c r="O3485" s="4">
        <f t="shared" si="6"/>
        <v>6050.044131</v>
      </c>
      <c r="P3485" s="2">
        <v>3.0</v>
      </c>
      <c r="Q3485" s="3">
        <f t="shared" si="7"/>
        <v>0.002816901408</v>
      </c>
      <c r="R3485" s="2">
        <v>1065.0</v>
      </c>
      <c r="S3485" s="5">
        <f t="shared" si="8"/>
        <v>1</v>
      </c>
    </row>
    <row r="3486">
      <c r="A3486" s="2" t="s">
        <v>3492</v>
      </c>
      <c r="B3486" s="2">
        <v>421.0</v>
      </c>
      <c r="C3486" s="2">
        <v>4933.0</v>
      </c>
      <c r="D3486" s="2">
        <v>1498.0</v>
      </c>
      <c r="E3486" s="3">
        <f t="shared" si="1"/>
        <v>0.3320035461</v>
      </c>
      <c r="F3486" s="2">
        <v>590.0</v>
      </c>
      <c r="G3486" s="3">
        <f t="shared" si="2"/>
        <v>0.1307624113</v>
      </c>
      <c r="H3486" s="2">
        <v>968.0</v>
      </c>
      <c r="I3486" s="3">
        <f t="shared" si="3"/>
        <v>0.2145390071</v>
      </c>
      <c r="J3486" s="2">
        <v>769.0</v>
      </c>
      <c r="K3486" s="3">
        <f t="shared" si="4"/>
        <v>0.1704343972</v>
      </c>
      <c r="L3486" s="2">
        <v>596.0</v>
      </c>
      <c r="M3486" s="3">
        <f t="shared" si="5"/>
        <v>0.6157024793</v>
      </c>
      <c r="N3486" s="2">
        <v>5483700.0</v>
      </c>
      <c r="O3486" s="4">
        <f t="shared" si="6"/>
        <v>5664.979339</v>
      </c>
      <c r="P3486" s="2">
        <v>0.0</v>
      </c>
      <c r="Q3486" s="3">
        <f t="shared" si="7"/>
        <v>0</v>
      </c>
      <c r="R3486" s="2">
        <v>420.0</v>
      </c>
      <c r="S3486" s="5">
        <f t="shared" si="8"/>
        <v>0.9976247031</v>
      </c>
    </row>
    <row r="3487">
      <c r="A3487" s="2" t="s">
        <v>3493</v>
      </c>
      <c r="B3487" s="2">
        <v>561.0</v>
      </c>
      <c r="C3487" s="2">
        <v>6549.0</v>
      </c>
      <c r="D3487" s="2">
        <v>2202.0</v>
      </c>
      <c r="E3487" s="3">
        <f t="shared" si="1"/>
        <v>0.3677354709</v>
      </c>
      <c r="F3487" s="2">
        <v>783.0</v>
      </c>
      <c r="G3487" s="3">
        <f t="shared" si="2"/>
        <v>0.130761523</v>
      </c>
      <c r="H3487" s="2">
        <v>1240.0</v>
      </c>
      <c r="I3487" s="3">
        <f t="shared" si="3"/>
        <v>0.2070808283</v>
      </c>
      <c r="J3487" s="2">
        <v>977.0</v>
      </c>
      <c r="K3487" s="3">
        <f t="shared" si="4"/>
        <v>0.1631596526</v>
      </c>
      <c r="L3487" s="2">
        <v>749.0</v>
      </c>
      <c r="M3487" s="3">
        <f t="shared" si="5"/>
        <v>0.6040322581</v>
      </c>
      <c r="N3487" s="2">
        <v>6992300.0</v>
      </c>
      <c r="O3487" s="4">
        <f t="shared" si="6"/>
        <v>5638.951613</v>
      </c>
      <c r="P3487" s="2">
        <v>1.0</v>
      </c>
      <c r="Q3487" s="3">
        <f t="shared" si="7"/>
        <v>0.001782531194</v>
      </c>
      <c r="R3487" s="2">
        <v>561.0</v>
      </c>
      <c r="S3487" s="5">
        <f t="shared" si="8"/>
        <v>1</v>
      </c>
    </row>
    <row r="3488">
      <c r="A3488" s="2" t="s">
        <v>3494</v>
      </c>
      <c r="B3488" s="2">
        <v>125.0</v>
      </c>
      <c r="C3488" s="2">
        <v>1471.0</v>
      </c>
      <c r="D3488" s="2">
        <v>484.0</v>
      </c>
      <c r="E3488" s="3">
        <f t="shared" si="1"/>
        <v>0.3595839525</v>
      </c>
      <c r="F3488" s="2">
        <v>176.0</v>
      </c>
      <c r="G3488" s="3">
        <f t="shared" si="2"/>
        <v>0.1307578009</v>
      </c>
      <c r="H3488" s="2">
        <v>277.0</v>
      </c>
      <c r="I3488" s="3">
        <f t="shared" si="3"/>
        <v>0.205794948</v>
      </c>
      <c r="J3488" s="2">
        <v>189.0</v>
      </c>
      <c r="K3488" s="3">
        <f t="shared" si="4"/>
        <v>0.1404160475</v>
      </c>
      <c r="L3488" s="2">
        <v>175.0</v>
      </c>
      <c r="M3488" s="3">
        <f t="shared" si="5"/>
        <v>0.6317689531</v>
      </c>
      <c r="N3488" s="2">
        <v>1531600.0</v>
      </c>
      <c r="O3488" s="4">
        <f t="shared" si="6"/>
        <v>5529.241877</v>
      </c>
      <c r="P3488" s="2">
        <v>1.0</v>
      </c>
      <c r="Q3488" s="3">
        <f t="shared" si="7"/>
        <v>0.008</v>
      </c>
      <c r="R3488" s="2">
        <v>125.0</v>
      </c>
      <c r="S3488" s="5">
        <f t="shared" si="8"/>
        <v>1</v>
      </c>
    </row>
    <row r="3489">
      <c r="A3489" s="2" t="s">
        <v>3495</v>
      </c>
      <c r="B3489" s="2">
        <v>2461.0</v>
      </c>
      <c r="C3489" s="2">
        <v>28725.0</v>
      </c>
      <c r="D3489" s="2">
        <v>9449.0</v>
      </c>
      <c r="E3489" s="3">
        <f t="shared" si="1"/>
        <v>0.3597700274</v>
      </c>
      <c r="F3489" s="2">
        <v>3434.0</v>
      </c>
      <c r="G3489" s="3">
        <f t="shared" si="2"/>
        <v>0.1307493147</v>
      </c>
      <c r="H3489" s="2">
        <v>5889.0</v>
      </c>
      <c r="I3489" s="3">
        <f t="shared" si="3"/>
        <v>0.2242232714</v>
      </c>
      <c r="J3489" s="2">
        <v>3649.0</v>
      </c>
      <c r="K3489" s="3">
        <f t="shared" si="4"/>
        <v>0.1389354249</v>
      </c>
      <c r="L3489" s="2">
        <v>3561.0</v>
      </c>
      <c r="M3489" s="3">
        <f t="shared" si="5"/>
        <v>0.604686704</v>
      </c>
      <c r="N3489" s="2">
        <v>3.22017E7</v>
      </c>
      <c r="O3489" s="4">
        <f t="shared" si="6"/>
        <v>5468.110036</v>
      </c>
      <c r="P3489" s="2">
        <v>7.0</v>
      </c>
      <c r="Q3489" s="3">
        <f t="shared" si="7"/>
        <v>0.002844372206</v>
      </c>
      <c r="R3489" s="2">
        <v>2461.0</v>
      </c>
      <c r="S3489" s="5">
        <f t="shared" si="8"/>
        <v>1</v>
      </c>
    </row>
    <row r="3490">
      <c r="A3490" s="2" t="s">
        <v>3496</v>
      </c>
      <c r="B3490" s="2">
        <v>226.0</v>
      </c>
      <c r="C3490" s="2">
        <v>2643.0</v>
      </c>
      <c r="D3490" s="2">
        <v>832.0</v>
      </c>
      <c r="E3490" s="3">
        <f t="shared" si="1"/>
        <v>0.3442283823</v>
      </c>
      <c r="F3490" s="2">
        <v>316.0</v>
      </c>
      <c r="G3490" s="3">
        <f t="shared" si="2"/>
        <v>0.1307405875</v>
      </c>
      <c r="H3490" s="2">
        <v>460.0</v>
      </c>
      <c r="I3490" s="3">
        <f t="shared" si="3"/>
        <v>0.1903185767</v>
      </c>
      <c r="J3490" s="2">
        <v>400.0</v>
      </c>
      <c r="K3490" s="3">
        <f t="shared" si="4"/>
        <v>0.1654944146</v>
      </c>
      <c r="L3490" s="2">
        <v>283.0</v>
      </c>
      <c r="M3490" s="3">
        <f t="shared" si="5"/>
        <v>0.6152173913</v>
      </c>
      <c r="N3490" s="2">
        <v>2556000.0</v>
      </c>
      <c r="O3490" s="4">
        <f t="shared" si="6"/>
        <v>5556.521739</v>
      </c>
      <c r="P3490" s="2">
        <v>0.0</v>
      </c>
      <c r="Q3490" s="3">
        <f t="shared" si="7"/>
        <v>0</v>
      </c>
      <c r="R3490" s="2">
        <v>226.0</v>
      </c>
      <c r="S3490" s="5">
        <f t="shared" si="8"/>
        <v>1</v>
      </c>
    </row>
    <row r="3491">
      <c r="A3491" s="2" t="s">
        <v>3497</v>
      </c>
      <c r="B3491" s="2">
        <v>978.0</v>
      </c>
      <c r="C3491" s="2">
        <v>11519.0</v>
      </c>
      <c r="D3491" s="2">
        <v>3680.0</v>
      </c>
      <c r="E3491" s="3">
        <f t="shared" si="1"/>
        <v>0.3491129874</v>
      </c>
      <c r="F3491" s="2">
        <v>1378.0</v>
      </c>
      <c r="G3491" s="3">
        <f t="shared" si="2"/>
        <v>0.1307276349</v>
      </c>
      <c r="H3491" s="2">
        <v>2305.0</v>
      </c>
      <c r="I3491" s="3">
        <f t="shared" si="3"/>
        <v>0.2186699554</v>
      </c>
      <c r="J3491" s="2">
        <v>1926.0</v>
      </c>
      <c r="K3491" s="3">
        <f t="shared" si="4"/>
        <v>0.1827151124</v>
      </c>
      <c r="L3491" s="2">
        <v>1354.0</v>
      </c>
      <c r="M3491" s="3">
        <f t="shared" si="5"/>
        <v>0.5874186551</v>
      </c>
      <c r="N3491" s="2">
        <v>1.26872E7</v>
      </c>
      <c r="O3491" s="4">
        <f t="shared" si="6"/>
        <v>5504.208243</v>
      </c>
      <c r="P3491" s="2">
        <v>0.0</v>
      </c>
      <c r="Q3491" s="3">
        <f t="shared" si="7"/>
        <v>0</v>
      </c>
      <c r="R3491" s="2">
        <v>975.0</v>
      </c>
      <c r="S3491" s="5">
        <f t="shared" si="8"/>
        <v>0.9969325153</v>
      </c>
    </row>
    <row r="3492">
      <c r="A3492" s="2" t="s">
        <v>3498</v>
      </c>
      <c r="B3492" s="2">
        <v>323.0</v>
      </c>
      <c r="C3492" s="2">
        <v>3750.0</v>
      </c>
      <c r="D3492" s="2">
        <v>963.0</v>
      </c>
      <c r="E3492" s="3">
        <f t="shared" si="1"/>
        <v>0.2810037934</v>
      </c>
      <c r="F3492" s="2">
        <v>448.0</v>
      </c>
      <c r="G3492" s="3">
        <f t="shared" si="2"/>
        <v>0.130726583</v>
      </c>
      <c r="H3492" s="2">
        <v>689.0</v>
      </c>
      <c r="I3492" s="3">
        <f t="shared" si="3"/>
        <v>0.2010504815</v>
      </c>
      <c r="J3492" s="2">
        <v>600.0</v>
      </c>
      <c r="K3492" s="3">
        <f t="shared" si="4"/>
        <v>0.1750802451</v>
      </c>
      <c r="L3492" s="2">
        <v>414.0</v>
      </c>
      <c r="M3492" s="3">
        <f t="shared" si="5"/>
        <v>0.6008708273</v>
      </c>
      <c r="N3492" s="2">
        <v>4426600.0</v>
      </c>
      <c r="O3492" s="4">
        <f t="shared" si="6"/>
        <v>6424.67344</v>
      </c>
      <c r="P3492" s="2">
        <v>0.0</v>
      </c>
      <c r="Q3492" s="3">
        <f t="shared" si="7"/>
        <v>0</v>
      </c>
      <c r="R3492" s="2">
        <v>0.0</v>
      </c>
      <c r="S3492" s="5">
        <f t="shared" si="8"/>
        <v>0</v>
      </c>
    </row>
    <row r="3493">
      <c r="A3493" s="2" t="s">
        <v>3499</v>
      </c>
      <c r="B3493" s="2">
        <v>199.0</v>
      </c>
      <c r="C3493" s="2">
        <v>2295.0</v>
      </c>
      <c r="D3493" s="2">
        <v>412.0</v>
      </c>
      <c r="E3493" s="3">
        <f t="shared" si="1"/>
        <v>0.1965648855</v>
      </c>
      <c r="F3493" s="2">
        <v>274.0</v>
      </c>
      <c r="G3493" s="3">
        <f t="shared" si="2"/>
        <v>0.1307251908</v>
      </c>
      <c r="H3493" s="2">
        <v>391.0</v>
      </c>
      <c r="I3493" s="3">
        <f t="shared" si="3"/>
        <v>0.1865458015</v>
      </c>
      <c r="J3493" s="2">
        <v>363.0</v>
      </c>
      <c r="K3493" s="3">
        <f t="shared" si="4"/>
        <v>0.1731870229</v>
      </c>
      <c r="L3493" s="2">
        <v>230.0</v>
      </c>
      <c r="M3493" s="3">
        <f t="shared" si="5"/>
        <v>0.5882352941</v>
      </c>
      <c r="N3493" s="2">
        <v>2343900.0</v>
      </c>
      <c r="O3493" s="4">
        <f t="shared" si="6"/>
        <v>5994.629156</v>
      </c>
      <c r="P3493" s="2">
        <v>0.0</v>
      </c>
      <c r="Q3493" s="3">
        <f t="shared" si="7"/>
        <v>0</v>
      </c>
      <c r="R3493" s="2">
        <v>199.0</v>
      </c>
      <c r="S3493" s="5">
        <f t="shared" si="8"/>
        <v>1</v>
      </c>
    </row>
    <row r="3494">
      <c r="A3494" s="2" t="s">
        <v>3500</v>
      </c>
      <c r="B3494" s="2">
        <v>2844.0</v>
      </c>
      <c r="C3494" s="2">
        <v>33703.0</v>
      </c>
      <c r="D3494" s="2">
        <v>13296.0</v>
      </c>
      <c r="E3494" s="3">
        <f t="shared" si="1"/>
        <v>0.4308629573</v>
      </c>
      <c r="F3494" s="2">
        <v>4034.0</v>
      </c>
      <c r="G3494" s="3">
        <f t="shared" si="2"/>
        <v>0.1307236139</v>
      </c>
      <c r="H3494" s="2">
        <v>6958.0</v>
      </c>
      <c r="I3494" s="3">
        <f t="shared" si="3"/>
        <v>0.2254771704</v>
      </c>
      <c r="J3494" s="2">
        <v>5323.0</v>
      </c>
      <c r="K3494" s="3">
        <f t="shared" si="4"/>
        <v>0.172494248</v>
      </c>
      <c r="L3494" s="2">
        <v>4101.0</v>
      </c>
      <c r="M3494" s="3">
        <f t="shared" si="5"/>
        <v>0.5893935039</v>
      </c>
      <c r="N3494" s="2">
        <v>3.48113E7</v>
      </c>
      <c r="O3494" s="4">
        <f t="shared" si="6"/>
        <v>5003.061224</v>
      </c>
      <c r="P3494" s="2">
        <v>2.0</v>
      </c>
      <c r="Q3494" s="3">
        <f t="shared" si="7"/>
        <v>0.0007032348805</v>
      </c>
      <c r="R3494" s="2">
        <v>1439.0</v>
      </c>
      <c r="S3494" s="5">
        <f t="shared" si="8"/>
        <v>0.5059774965</v>
      </c>
    </row>
    <row r="3495">
      <c r="A3495" s="2" t="s">
        <v>3501</v>
      </c>
      <c r="B3495" s="2">
        <v>541.0</v>
      </c>
      <c r="C3495" s="2">
        <v>6416.0</v>
      </c>
      <c r="D3495" s="2">
        <v>2542.0</v>
      </c>
      <c r="E3495" s="3">
        <f t="shared" si="1"/>
        <v>0.4326808511</v>
      </c>
      <c r="F3495" s="2">
        <v>768.0</v>
      </c>
      <c r="G3495" s="3">
        <f t="shared" si="2"/>
        <v>0.1307234043</v>
      </c>
      <c r="H3495" s="2">
        <v>1278.0</v>
      </c>
      <c r="I3495" s="3">
        <f t="shared" si="3"/>
        <v>0.2175319149</v>
      </c>
      <c r="J3495" s="2">
        <v>1038.0</v>
      </c>
      <c r="K3495" s="3">
        <f t="shared" si="4"/>
        <v>0.1766808511</v>
      </c>
      <c r="L3495" s="2">
        <v>774.0</v>
      </c>
      <c r="M3495" s="3">
        <f t="shared" si="5"/>
        <v>0.6056338028</v>
      </c>
      <c r="N3495" s="2">
        <v>7208000.0</v>
      </c>
      <c r="O3495" s="4">
        <f t="shared" si="6"/>
        <v>5640.062598</v>
      </c>
      <c r="P3495" s="2">
        <v>0.0</v>
      </c>
      <c r="Q3495" s="3">
        <f t="shared" si="7"/>
        <v>0</v>
      </c>
      <c r="R3495" s="2">
        <v>541.0</v>
      </c>
      <c r="S3495" s="5">
        <f t="shared" si="8"/>
        <v>1</v>
      </c>
    </row>
    <row r="3496">
      <c r="A3496" s="2" t="s">
        <v>3502</v>
      </c>
      <c r="B3496" s="2">
        <v>752.0</v>
      </c>
      <c r="C3496" s="2">
        <v>8854.0</v>
      </c>
      <c r="D3496" s="2">
        <v>3112.0</v>
      </c>
      <c r="E3496" s="3">
        <f t="shared" si="1"/>
        <v>0.3841026907</v>
      </c>
      <c r="F3496" s="2">
        <v>1059.0</v>
      </c>
      <c r="G3496" s="3">
        <f t="shared" si="2"/>
        <v>0.130708467</v>
      </c>
      <c r="H3496" s="2">
        <v>1686.0</v>
      </c>
      <c r="I3496" s="3">
        <f t="shared" si="3"/>
        <v>0.2080967662</v>
      </c>
      <c r="J3496" s="2">
        <v>1387.0</v>
      </c>
      <c r="K3496" s="3">
        <f t="shared" si="4"/>
        <v>0.1711922982</v>
      </c>
      <c r="L3496" s="2">
        <v>984.0</v>
      </c>
      <c r="M3496" s="3">
        <f t="shared" si="5"/>
        <v>0.5836298932</v>
      </c>
      <c r="N3496" s="2">
        <v>9529700.0</v>
      </c>
      <c r="O3496" s="4">
        <f t="shared" si="6"/>
        <v>5652.253855</v>
      </c>
      <c r="P3496" s="2">
        <v>1.0</v>
      </c>
      <c r="Q3496" s="3">
        <f t="shared" si="7"/>
        <v>0.001329787234</v>
      </c>
      <c r="R3496" s="2">
        <v>701.0</v>
      </c>
      <c r="S3496" s="5">
        <f t="shared" si="8"/>
        <v>0.9321808511</v>
      </c>
    </row>
    <row r="3497">
      <c r="A3497" s="2" t="s">
        <v>3503</v>
      </c>
      <c r="B3497" s="2">
        <v>194.0</v>
      </c>
      <c r="C3497" s="2">
        <v>2298.0</v>
      </c>
      <c r="D3497" s="2">
        <v>755.0</v>
      </c>
      <c r="E3497" s="3">
        <f t="shared" si="1"/>
        <v>0.3588403042</v>
      </c>
      <c r="F3497" s="2">
        <v>275.0</v>
      </c>
      <c r="G3497" s="3">
        <f t="shared" si="2"/>
        <v>0.1307034221</v>
      </c>
      <c r="H3497" s="2">
        <v>468.0</v>
      </c>
      <c r="I3497" s="3">
        <f t="shared" si="3"/>
        <v>0.2224334601</v>
      </c>
      <c r="J3497" s="2">
        <v>440.0</v>
      </c>
      <c r="K3497" s="3">
        <f t="shared" si="4"/>
        <v>0.2091254753</v>
      </c>
      <c r="L3497" s="2">
        <v>268.0</v>
      </c>
      <c r="M3497" s="3">
        <f t="shared" si="5"/>
        <v>0.5726495726</v>
      </c>
      <c r="N3497" s="2">
        <v>2554300.0</v>
      </c>
      <c r="O3497" s="4">
        <f t="shared" si="6"/>
        <v>5457.905983</v>
      </c>
      <c r="P3497" s="2">
        <v>1.0</v>
      </c>
      <c r="Q3497" s="3">
        <f t="shared" si="7"/>
        <v>0.005154639175</v>
      </c>
      <c r="R3497" s="2">
        <v>180.0</v>
      </c>
      <c r="S3497" s="5">
        <f t="shared" si="8"/>
        <v>0.9278350515</v>
      </c>
    </row>
    <row r="3498">
      <c r="A3498" s="2" t="s">
        <v>3504</v>
      </c>
      <c r="B3498" s="2">
        <v>416.0</v>
      </c>
      <c r="C3498" s="2">
        <v>5022.0</v>
      </c>
      <c r="D3498" s="2">
        <v>1520.0</v>
      </c>
      <c r="E3498" s="3">
        <f t="shared" si="1"/>
        <v>0.3300043422</v>
      </c>
      <c r="F3498" s="2">
        <v>602.0</v>
      </c>
      <c r="G3498" s="3">
        <f t="shared" si="2"/>
        <v>0.1306990881</v>
      </c>
      <c r="H3498" s="2">
        <v>962.0</v>
      </c>
      <c r="I3498" s="3">
        <f t="shared" si="3"/>
        <v>0.2088580113</v>
      </c>
      <c r="J3498" s="2">
        <v>790.0</v>
      </c>
      <c r="K3498" s="3">
        <f t="shared" si="4"/>
        <v>0.1715154147</v>
      </c>
      <c r="L3498" s="2">
        <v>549.0</v>
      </c>
      <c r="M3498" s="3">
        <f t="shared" si="5"/>
        <v>0.5706860707</v>
      </c>
      <c r="N3498" s="2">
        <v>5174700.0</v>
      </c>
      <c r="O3498" s="4">
        <f t="shared" si="6"/>
        <v>5379.106029</v>
      </c>
      <c r="P3498" s="2">
        <v>0.0</v>
      </c>
      <c r="Q3498" s="3">
        <f t="shared" si="7"/>
        <v>0</v>
      </c>
      <c r="R3498" s="2">
        <v>416.0</v>
      </c>
      <c r="S3498" s="5">
        <f t="shared" si="8"/>
        <v>1</v>
      </c>
    </row>
    <row r="3499">
      <c r="A3499" s="2" t="s">
        <v>3505</v>
      </c>
      <c r="B3499" s="2">
        <v>554.0</v>
      </c>
      <c r="C3499" s="2">
        <v>6354.0</v>
      </c>
      <c r="D3499" s="2">
        <v>2110.0</v>
      </c>
      <c r="E3499" s="3">
        <f t="shared" si="1"/>
        <v>0.3637931034</v>
      </c>
      <c r="F3499" s="2">
        <v>758.0</v>
      </c>
      <c r="G3499" s="3">
        <f t="shared" si="2"/>
        <v>0.1306896552</v>
      </c>
      <c r="H3499" s="2">
        <v>1254.0</v>
      </c>
      <c r="I3499" s="3">
        <f t="shared" si="3"/>
        <v>0.2162068966</v>
      </c>
      <c r="J3499" s="2">
        <v>1177.0</v>
      </c>
      <c r="K3499" s="3">
        <f t="shared" si="4"/>
        <v>0.2029310345</v>
      </c>
      <c r="L3499" s="2">
        <v>703.0</v>
      </c>
      <c r="M3499" s="3">
        <f t="shared" si="5"/>
        <v>0.5606060606</v>
      </c>
      <c r="N3499" s="2">
        <v>7587500.0</v>
      </c>
      <c r="O3499" s="4">
        <f t="shared" si="6"/>
        <v>6050.637959</v>
      </c>
      <c r="P3499" s="2">
        <v>1.0</v>
      </c>
      <c r="Q3499" s="3">
        <f t="shared" si="7"/>
        <v>0.001805054152</v>
      </c>
      <c r="R3499" s="2">
        <v>554.0</v>
      </c>
      <c r="S3499" s="5">
        <f t="shared" si="8"/>
        <v>1</v>
      </c>
    </row>
    <row r="3500">
      <c r="A3500" s="2" t="s">
        <v>3506</v>
      </c>
      <c r="B3500" s="2">
        <v>235.0</v>
      </c>
      <c r="C3500" s="2">
        <v>2806.0</v>
      </c>
      <c r="D3500" s="2">
        <v>849.0</v>
      </c>
      <c r="E3500" s="3">
        <f t="shared" si="1"/>
        <v>0.3302217036</v>
      </c>
      <c r="F3500" s="2">
        <v>336.0</v>
      </c>
      <c r="G3500" s="3">
        <f t="shared" si="2"/>
        <v>0.1306884481</v>
      </c>
      <c r="H3500" s="2">
        <v>493.0</v>
      </c>
      <c r="I3500" s="3">
        <f t="shared" si="3"/>
        <v>0.1917541813</v>
      </c>
      <c r="J3500" s="2">
        <v>308.0</v>
      </c>
      <c r="K3500" s="3">
        <f t="shared" si="4"/>
        <v>0.1197977441</v>
      </c>
      <c r="L3500" s="2">
        <v>320.0</v>
      </c>
      <c r="M3500" s="3">
        <f t="shared" si="5"/>
        <v>0.6490872211</v>
      </c>
      <c r="N3500" s="2">
        <v>2666500.0</v>
      </c>
      <c r="O3500" s="4">
        <f t="shared" si="6"/>
        <v>5408.72211</v>
      </c>
      <c r="P3500" s="2">
        <v>0.0</v>
      </c>
      <c r="Q3500" s="3">
        <f t="shared" si="7"/>
        <v>0</v>
      </c>
      <c r="R3500" s="2">
        <v>235.0</v>
      </c>
      <c r="S3500" s="5">
        <f t="shared" si="8"/>
        <v>1</v>
      </c>
    </row>
    <row r="3501">
      <c r="A3501" s="2" t="s">
        <v>3507</v>
      </c>
      <c r="B3501" s="2">
        <v>991.0</v>
      </c>
      <c r="C3501" s="2">
        <v>11559.0</v>
      </c>
      <c r="D3501" s="2">
        <v>3827.0</v>
      </c>
      <c r="E3501" s="3">
        <f t="shared" si="1"/>
        <v>0.3621309614</v>
      </c>
      <c r="F3501" s="2">
        <v>1381.0</v>
      </c>
      <c r="G3501" s="3">
        <f t="shared" si="2"/>
        <v>0.130677517</v>
      </c>
      <c r="H3501" s="2">
        <v>2302.0</v>
      </c>
      <c r="I3501" s="3">
        <f t="shared" si="3"/>
        <v>0.2178274035</v>
      </c>
      <c r="J3501" s="2">
        <v>1699.0</v>
      </c>
      <c r="K3501" s="3">
        <f t="shared" si="4"/>
        <v>0.1607683573</v>
      </c>
      <c r="L3501" s="2">
        <v>1396.0</v>
      </c>
      <c r="M3501" s="3">
        <f t="shared" si="5"/>
        <v>0.606429192</v>
      </c>
      <c r="N3501" s="2">
        <v>1.30002E7</v>
      </c>
      <c r="O3501" s="4">
        <f t="shared" si="6"/>
        <v>5647.35013</v>
      </c>
      <c r="P3501" s="2">
        <v>3.0</v>
      </c>
      <c r="Q3501" s="3">
        <f t="shared" si="7"/>
        <v>0.003027245207</v>
      </c>
      <c r="R3501" s="2">
        <v>391.0</v>
      </c>
      <c r="S3501" s="5">
        <f t="shared" si="8"/>
        <v>0.3945509586</v>
      </c>
    </row>
    <row r="3502">
      <c r="A3502" s="2" t="s">
        <v>3508</v>
      </c>
      <c r="B3502" s="2">
        <v>387.0</v>
      </c>
      <c r="C3502" s="2">
        <v>4550.0</v>
      </c>
      <c r="D3502" s="2">
        <v>1612.0</v>
      </c>
      <c r="E3502" s="3">
        <f t="shared" si="1"/>
        <v>0.3872207543</v>
      </c>
      <c r="F3502" s="2">
        <v>544.0</v>
      </c>
      <c r="G3502" s="3">
        <f t="shared" si="2"/>
        <v>0.130674994</v>
      </c>
      <c r="H3502" s="2">
        <v>868.0</v>
      </c>
      <c r="I3502" s="3">
        <f t="shared" si="3"/>
        <v>0.2085034831</v>
      </c>
      <c r="J3502" s="2">
        <v>629.0</v>
      </c>
      <c r="K3502" s="3">
        <f t="shared" si="4"/>
        <v>0.1510929618</v>
      </c>
      <c r="L3502" s="2">
        <v>511.0</v>
      </c>
      <c r="M3502" s="3">
        <f t="shared" si="5"/>
        <v>0.5887096774</v>
      </c>
      <c r="N3502" s="2">
        <v>4669700.0</v>
      </c>
      <c r="O3502" s="4">
        <f t="shared" si="6"/>
        <v>5379.83871</v>
      </c>
      <c r="P3502" s="2">
        <v>0.0</v>
      </c>
      <c r="Q3502" s="3">
        <f t="shared" si="7"/>
        <v>0</v>
      </c>
      <c r="R3502" s="2">
        <v>387.0</v>
      </c>
      <c r="S3502" s="5">
        <f t="shared" si="8"/>
        <v>1</v>
      </c>
    </row>
    <row r="3503">
      <c r="A3503" s="2" t="s">
        <v>3509</v>
      </c>
      <c r="B3503" s="2">
        <v>374.0</v>
      </c>
      <c r="C3503" s="2">
        <v>4430.0</v>
      </c>
      <c r="D3503" s="2">
        <v>1420.0</v>
      </c>
      <c r="E3503" s="3">
        <f t="shared" si="1"/>
        <v>0.3500986193</v>
      </c>
      <c r="F3503" s="2">
        <v>530.0</v>
      </c>
      <c r="G3503" s="3">
        <f t="shared" si="2"/>
        <v>0.1306706114</v>
      </c>
      <c r="H3503" s="2">
        <v>863.0</v>
      </c>
      <c r="I3503" s="3">
        <f t="shared" si="3"/>
        <v>0.2127712032</v>
      </c>
      <c r="J3503" s="2">
        <v>760.0</v>
      </c>
      <c r="K3503" s="3">
        <f t="shared" si="4"/>
        <v>0.1873767258</v>
      </c>
      <c r="L3503" s="2">
        <v>522.0</v>
      </c>
      <c r="M3503" s="3">
        <f t="shared" si="5"/>
        <v>0.6048667439</v>
      </c>
      <c r="N3503" s="2">
        <v>4974200.0</v>
      </c>
      <c r="O3503" s="4">
        <f t="shared" si="6"/>
        <v>5763.847045</v>
      </c>
      <c r="P3503" s="2">
        <v>1.0</v>
      </c>
      <c r="Q3503" s="3">
        <f t="shared" si="7"/>
        <v>0.002673796791</v>
      </c>
      <c r="R3503" s="2">
        <v>374.0</v>
      </c>
      <c r="S3503" s="5">
        <f t="shared" si="8"/>
        <v>1</v>
      </c>
    </row>
    <row r="3504">
      <c r="A3504" s="2" t="s">
        <v>3510</v>
      </c>
      <c r="B3504" s="2">
        <v>1059.0</v>
      </c>
      <c r="C3504" s="2">
        <v>12416.0</v>
      </c>
      <c r="D3504" s="2">
        <v>4643.0</v>
      </c>
      <c r="E3504" s="3">
        <f t="shared" si="1"/>
        <v>0.4088227525</v>
      </c>
      <c r="F3504" s="2">
        <v>1484.0</v>
      </c>
      <c r="G3504" s="3">
        <f t="shared" si="2"/>
        <v>0.1306683103</v>
      </c>
      <c r="H3504" s="2">
        <v>2398.0</v>
      </c>
      <c r="I3504" s="3">
        <f t="shared" si="3"/>
        <v>0.21114731</v>
      </c>
      <c r="J3504" s="2">
        <v>1735.0</v>
      </c>
      <c r="K3504" s="3">
        <f t="shared" si="4"/>
        <v>0.1527692172</v>
      </c>
      <c r="L3504" s="2">
        <v>1496.0</v>
      </c>
      <c r="M3504" s="3">
        <f t="shared" si="5"/>
        <v>0.623853211</v>
      </c>
      <c r="N3504" s="2">
        <v>1.24368E7</v>
      </c>
      <c r="O3504" s="4">
        <f t="shared" si="6"/>
        <v>5186.321935</v>
      </c>
      <c r="P3504" s="2">
        <v>1.0</v>
      </c>
      <c r="Q3504" s="3">
        <f t="shared" si="7"/>
        <v>0.0009442870633</v>
      </c>
      <c r="R3504" s="2">
        <v>851.0</v>
      </c>
      <c r="S3504" s="5">
        <f t="shared" si="8"/>
        <v>0.8035882908</v>
      </c>
    </row>
    <row r="3505">
      <c r="A3505" s="2" t="s">
        <v>3511</v>
      </c>
      <c r="B3505" s="2">
        <v>631.0</v>
      </c>
      <c r="C3505" s="2">
        <v>7381.0</v>
      </c>
      <c r="D3505" s="2">
        <v>2584.0</v>
      </c>
      <c r="E3505" s="3">
        <f t="shared" si="1"/>
        <v>0.3828148148</v>
      </c>
      <c r="F3505" s="2">
        <v>882.0</v>
      </c>
      <c r="G3505" s="3">
        <f t="shared" si="2"/>
        <v>0.1306666667</v>
      </c>
      <c r="H3505" s="2">
        <v>1450.0</v>
      </c>
      <c r="I3505" s="3">
        <f t="shared" si="3"/>
        <v>0.2148148148</v>
      </c>
      <c r="J3505" s="2">
        <v>1210.0</v>
      </c>
      <c r="K3505" s="3">
        <f t="shared" si="4"/>
        <v>0.1792592593</v>
      </c>
      <c r="L3505" s="2">
        <v>883.0</v>
      </c>
      <c r="M3505" s="3">
        <f t="shared" si="5"/>
        <v>0.6089655172</v>
      </c>
      <c r="N3505" s="2">
        <v>8082300.0</v>
      </c>
      <c r="O3505" s="4">
        <f t="shared" si="6"/>
        <v>5574</v>
      </c>
      <c r="P3505" s="2">
        <v>1.0</v>
      </c>
      <c r="Q3505" s="3">
        <f t="shared" si="7"/>
        <v>0.001584786054</v>
      </c>
      <c r="R3505" s="2">
        <v>631.0</v>
      </c>
      <c r="S3505" s="5">
        <f t="shared" si="8"/>
        <v>1</v>
      </c>
    </row>
    <row r="3506">
      <c r="A3506" s="2" t="s">
        <v>3512</v>
      </c>
      <c r="B3506" s="2">
        <v>766.0</v>
      </c>
      <c r="C3506" s="2">
        <v>8940.0</v>
      </c>
      <c r="D3506" s="2">
        <v>2512.0</v>
      </c>
      <c r="E3506" s="3">
        <f t="shared" si="1"/>
        <v>0.3073158796</v>
      </c>
      <c r="F3506" s="2">
        <v>1068.0</v>
      </c>
      <c r="G3506" s="3">
        <f t="shared" si="2"/>
        <v>0.1306581845</v>
      </c>
      <c r="H3506" s="2">
        <v>1691.0</v>
      </c>
      <c r="I3506" s="3">
        <f t="shared" si="3"/>
        <v>0.2068754588</v>
      </c>
      <c r="J3506" s="2">
        <v>1506.0</v>
      </c>
      <c r="K3506" s="3">
        <f t="shared" si="4"/>
        <v>0.1842427208</v>
      </c>
      <c r="L3506" s="2">
        <v>1001.0</v>
      </c>
      <c r="M3506" s="3">
        <f t="shared" si="5"/>
        <v>0.5919574216</v>
      </c>
      <c r="N3506" s="2">
        <v>9827700.0</v>
      </c>
      <c r="O3506" s="4">
        <f t="shared" si="6"/>
        <v>5811.768185</v>
      </c>
      <c r="P3506" s="2">
        <v>0.0</v>
      </c>
      <c r="Q3506" s="3">
        <f t="shared" si="7"/>
        <v>0</v>
      </c>
      <c r="R3506" s="2">
        <v>764.0</v>
      </c>
      <c r="S3506" s="5">
        <f t="shared" si="8"/>
        <v>0.9973890339</v>
      </c>
    </row>
    <row r="3507">
      <c r="A3507" s="2" t="s">
        <v>3513</v>
      </c>
      <c r="B3507" s="2">
        <v>36.0</v>
      </c>
      <c r="C3507" s="2">
        <v>434.0</v>
      </c>
      <c r="D3507" s="2">
        <v>141.0</v>
      </c>
      <c r="E3507" s="3">
        <f t="shared" si="1"/>
        <v>0.3542713568</v>
      </c>
      <c r="F3507" s="2">
        <v>52.0</v>
      </c>
      <c r="G3507" s="3">
        <f t="shared" si="2"/>
        <v>0.1306532663</v>
      </c>
      <c r="H3507" s="2">
        <v>64.0</v>
      </c>
      <c r="I3507" s="3">
        <f t="shared" si="3"/>
        <v>0.1608040201</v>
      </c>
      <c r="J3507" s="2">
        <v>67.0</v>
      </c>
      <c r="K3507" s="3">
        <f t="shared" si="4"/>
        <v>0.1683417085</v>
      </c>
      <c r="L3507" s="2">
        <v>36.0</v>
      </c>
      <c r="M3507" s="3">
        <f t="shared" si="5"/>
        <v>0.5625</v>
      </c>
      <c r="N3507" s="2">
        <v>380100.0</v>
      </c>
      <c r="O3507" s="4">
        <f t="shared" si="6"/>
        <v>5939.0625</v>
      </c>
      <c r="P3507" s="2">
        <v>0.0</v>
      </c>
      <c r="Q3507" s="3">
        <f t="shared" si="7"/>
        <v>0</v>
      </c>
      <c r="R3507" s="2">
        <v>36.0</v>
      </c>
      <c r="S3507" s="5">
        <f t="shared" si="8"/>
        <v>1</v>
      </c>
    </row>
    <row r="3508">
      <c r="A3508" s="2" t="s">
        <v>3514</v>
      </c>
      <c r="B3508" s="2">
        <v>59.0</v>
      </c>
      <c r="C3508" s="2">
        <v>656.0</v>
      </c>
      <c r="D3508" s="2">
        <v>242.0</v>
      </c>
      <c r="E3508" s="3">
        <f t="shared" si="1"/>
        <v>0.405360134</v>
      </c>
      <c r="F3508" s="2">
        <v>78.0</v>
      </c>
      <c r="G3508" s="3">
        <f t="shared" si="2"/>
        <v>0.1306532663</v>
      </c>
      <c r="H3508" s="2">
        <v>136.0</v>
      </c>
      <c r="I3508" s="3">
        <f t="shared" si="3"/>
        <v>0.2278056951</v>
      </c>
      <c r="J3508" s="2">
        <v>95.0</v>
      </c>
      <c r="K3508" s="3">
        <f t="shared" si="4"/>
        <v>0.1591289782</v>
      </c>
      <c r="L3508" s="2">
        <v>81.0</v>
      </c>
      <c r="M3508" s="3">
        <f t="shared" si="5"/>
        <v>0.5955882353</v>
      </c>
      <c r="N3508" s="2">
        <v>715700.0</v>
      </c>
      <c r="O3508" s="4">
        <f t="shared" si="6"/>
        <v>5262.5</v>
      </c>
      <c r="P3508" s="2">
        <v>0.0</v>
      </c>
      <c r="Q3508" s="3">
        <f t="shared" si="7"/>
        <v>0</v>
      </c>
      <c r="R3508" s="2">
        <v>0.0</v>
      </c>
      <c r="S3508" s="5">
        <f t="shared" si="8"/>
        <v>0</v>
      </c>
    </row>
    <row r="3509">
      <c r="A3509" s="2" t="s">
        <v>3515</v>
      </c>
      <c r="B3509" s="2">
        <v>568.0</v>
      </c>
      <c r="C3509" s="2">
        <v>6592.0</v>
      </c>
      <c r="D3509" s="2">
        <v>1843.0</v>
      </c>
      <c r="E3509" s="3">
        <f t="shared" si="1"/>
        <v>0.3059428951</v>
      </c>
      <c r="F3509" s="2">
        <v>787.0</v>
      </c>
      <c r="G3509" s="3">
        <f t="shared" si="2"/>
        <v>0.1306440903</v>
      </c>
      <c r="H3509" s="2">
        <v>1227.0</v>
      </c>
      <c r="I3509" s="3">
        <f t="shared" si="3"/>
        <v>0.203685259</v>
      </c>
      <c r="J3509" s="2">
        <v>925.0</v>
      </c>
      <c r="K3509" s="3">
        <f t="shared" si="4"/>
        <v>0.1535524568</v>
      </c>
      <c r="L3509" s="2">
        <v>731.0</v>
      </c>
      <c r="M3509" s="3">
        <f t="shared" si="5"/>
        <v>0.5957620212</v>
      </c>
      <c r="N3509" s="2">
        <v>7080900.0</v>
      </c>
      <c r="O3509" s="4">
        <f t="shared" si="6"/>
        <v>5770.904645</v>
      </c>
      <c r="P3509" s="2">
        <v>2.0</v>
      </c>
      <c r="Q3509" s="3">
        <f t="shared" si="7"/>
        <v>0.003521126761</v>
      </c>
      <c r="R3509" s="2">
        <v>568.0</v>
      </c>
      <c r="S3509" s="5">
        <f t="shared" si="8"/>
        <v>1</v>
      </c>
    </row>
    <row r="3510">
      <c r="A3510" s="2" t="s">
        <v>3516</v>
      </c>
      <c r="B3510" s="2">
        <v>38.0</v>
      </c>
      <c r="C3510" s="2">
        <v>459.0</v>
      </c>
      <c r="D3510" s="2">
        <v>108.0</v>
      </c>
      <c r="E3510" s="3">
        <f t="shared" si="1"/>
        <v>0.2565320665</v>
      </c>
      <c r="F3510" s="2">
        <v>55.0</v>
      </c>
      <c r="G3510" s="3">
        <f t="shared" si="2"/>
        <v>0.1306413302</v>
      </c>
      <c r="H3510" s="2">
        <v>87.0</v>
      </c>
      <c r="I3510" s="3">
        <f t="shared" si="3"/>
        <v>0.2066508314</v>
      </c>
      <c r="J3510" s="2">
        <v>68.0</v>
      </c>
      <c r="K3510" s="3">
        <f t="shared" si="4"/>
        <v>0.16152019</v>
      </c>
      <c r="L3510" s="2">
        <v>53.0</v>
      </c>
      <c r="M3510" s="3">
        <f t="shared" si="5"/>
        <v>0.6091954023</v>
      </c>
      <c r="N3510" s="2">
        <v>585200.0</v>
      </c>
      <c r="O3510" s="4">
        <f t="shared" si="6"/>
        <v>6726.436782</v>
      </c>
      <c r="P3510" s="2">
        <v>0.0</v>
      </c>
      <c r="Q3510" s="3">
        <f t="shared" si="7"/>
        <v>0</v>
      </c>
      <c r="R3510" s="2">
        <v>38.0</v>
      </c>
      <c r="S3510" s="5">
        <f t="shared" si="8"/>
        <v>1</v>
      </c>
    </row>
    <row r="3511">
      <c r="A3511" s="2" t="s">
        <v>3517</v>
      </c>
      <c r="B3511" s="2">
        <v>453.0</v>
      </c>
      <c r="C3511" s="2">
        <v>5107.0</v>
      </c>
      <c r="D3511" s="2">
        <v>1771.0</v>
      </c>
      <c r="E3511" s="3">
        <f t="shared" si="1"/>
        <v>0.3805328749</v>
      </c>
      <c r="F3511" s="2">
        <v>608.0</v>
      </c>
      <c r="G3511" s="3">
        <f t="shared" si="2"/>
        <v>0.1306403094</v>
      </c>
      <c r="H3511" s="2">
        <v>997.0</v>
      </c>
      <c r="I3511" s="3">
        <f t="shared" si="3"/>
        <v>0.2142243232</v>
      </c>
      <c r="J3511" s="2">
        <v>712.0</v>
      </c>
      <c r="K3511" s="3">
        <f t="shared" si="4"/>
        <v>0.1529866781</v>
      </c>
      <c r="L3511" s="2">
        <v>592.0</v>
      </c>
      <c r="M3511" s="3">
        <f t="shared" si="5"/>
        <v>0.593781344</v>
      </c>
      <c r="N3511" s="2">
        <v>5501000.0</v>
      </c>
      <c r="O3511" s="4">
        <f t="shared" si="6"/>
        <v>5517.552658</v>
      </c>
      <c r="P3511" s="2">
        <v>0.0</v>
      </c>
      <c r="Q3511" s="3">
        <f t="shared" si="7"/>
        <v>0</v>
      </c>
      <c r="R3511" s="2">
        <v>453.0</v>
      </c>
      <c r="S3511" s="5">
        <f t="shared" si="8"/>
        <v>1</v>
      </c>
    </row>
    <row r="3512">
      <c r="A3512" s="2" t="s">
        <v>3518</v>
      </c>
      <c r="B3512" s="2">
        <v>819.0</v>
      </c>
      <c r="C3512" s="2">
        <v>9569.0</v>
      </c>
      <c r="D3512" s="2">
        <v>2964.0</v>
      </c>
      <c r="E3512" s="3">
        <f t="shared" si="1"/>
        <v>0.3387428571</v>
      </c>
      <c r="F3512" s="2">
        <v>1143.0</v>
      </c>
      <c r="G3512" s="3">
        <f t="shared" si="2"/>
        <v>0.1306285714</v>
      </c>
      <c r="H3512" s="2">
        <v>1793.0</v>
      </c>
      <c r="I3512" s="3">
        <f t="shared" si="3"/>
        <v>0.2049142857</v>
      </c>
      <c r="J3512" s="2">
        <v>1449.0</v>
      </c>
      <c r="K3512" s="3">
        <f t="shared" si="4"/>
        <v>0.1656</v>
      </c>
      <c r="L3512" s="2">
        <v>1085.0</v>
      </c>
      <c r="M3512" s="3">
        <f t="shared" si="5"/>
        <v>0.6051310653</v>
      </c>
      <c r="N3512" s="2">
        <v>1.02981E7</v>
      </c>
      <c r="O3512" s="4">
        <f t="shared" si="6"/>
        <v>5743.50251</v>
      </c>
      <c r="P3512" s="2">
        <v>1.0</v>
      </c>
      <c r="Q3512" s="3">
        <f t="shared" si="7"/>
        <v>0.001221001221</v>
      </c>
      <c r="R3512" s="2">
        <v>819.0</v>
      </c>
      <c r="S3512" s="5">
        <f t="shared" si="8"/>
        <v>1</v>
      </c>
    </row>
    <row r="3513">
      <c r="A3513" s="2" t="s">
        <v>3519</v>
      </c>
      <c r="B3513" s="2">
        <v>805.0</v>
      </c>
      <c r="C3513" s="2">
        <v>9356.0</v>
      </c>
      <c r="D3513" s="2">
        <v>3294.0</v>
      </c>
      <c r="E3513" s="3">
        <f t="shared" si="1"/>
        <v>0.3852181031</v>
      </c>
      <c r="F3513" s="2">
        <v>1117.0</v>
      </c>
      <c r="G3513" s="3">
        <f t="shared" si="2"/>
        <v>0.1306279967</v>
      </c>
      <c r="H3513" s="2">
        <v>1896.0</v>
      </c>
      <c r="I3513" s="3">
        <f t="shared" si="3"/>
        <v>0.2217284528</v>
      </c>
      <c r="J3513" s="2">
        <v>1488.0</v>
      </c>
      <c r="K3513" s="3">
        <f t="shared" si="4"/>
        <v>0.1740147351</v>
      </c>
      <c r="L3513" s="2">
        <v>1158.0</v>
      </c>
      <c r="M3513" s="3">
        <f t="shared" si="5"/>
        <v>0.6107594937</v>
      </c>
      <c r="N3513" s="2">
        <v>1.05801E7</v>
      </c>
      <c r="O3513" s="4">
        <f t="shared" si="6"/>
        <v>5580.221519</v>
      </c>
      <c r="P3513" s="2">
        <v>2.0</v>
      </c>
      <c r="Q3513" s="3">
        <f t="shared" si="7"/>
        <v>0.00248447205</v>
      </c>
      <c r="R3513" s="2">
        <v>805.0</v>
      </c>
      <c r="S3513" s="5">
        <f t="shared" si="8"/>
        <v>1</v>
      </c>
    </row>
    <row r="3514">
      <c r="A3514" s="2" t="s">
        <v>3520</v>
      </c>
      <c r="B3514" s="2">
        <v>1064.0</v>
      </c>
      <c r="C3514" s="2">
        <v>12547.0</v>
      </c>
      <c r="D3514" s="2">
        <v>3722.0</v>
      </c>
      <c r="E3514" s="3">
        <f t="shared" si="1"/>
        <v>0.3241313246</v>
      </c>
      <c r="F3514" s="2">
        <v>1500.0</v>
      </c>
      <c r="G3514" s="3">
        <f t="shared" si="2"/>
        <v>0.1306278847</v>
      </c>
      <c r="H3514" s="2">
        <v>2662.0</v>
      </c>
      <c r="I3514" s="3">
        <f t="shared" si="3"/>
        <v>0.2318209527</v>
      </c>
      <c r="J3514" s="2">
        <v>1883.0</v>
      </c>
      <c r="K3514" s="3">
        <f t="shared" si="4"/>
        <v>0.1639815379</v>
      </c>
      <c r="L3514" s="2">
        <v>1581.0</v>
      </c>
      <c r="M3514" s="3">
        <f t="shared" si="5"/>
        <v>0.5939143501</v>
      </c>
      <c r="N3514" s="2">
        <v>1.53117E7</v>
      </c>
      <c r="O3514" s="4">
        <f t="shared" si="6"/>
        <v>5751.953418</v>
      </c>
      <c r="P3514" s="2">
        <v>3.0</v>
      </c>
      <c r="Q3514" s="3">
        <f t="shared" si="7"/>
        <v>0.002819548872</v>
      </c>
      <c r="R3514" s="2">
        <v>1064.0</v>
      </c>
      <c r="S3514" s="5">
        <f t="shared" si="8"/>
        <v>1</v>
      </c>
    </row>
    <row r="3515">
      <c r="A3515" s="2" t="s">
        <v>3521</v>
      </c>
      <c r="B3515" s="2">
        <v>2065.0</v>
      </c>
      <c r="C3515" s="2">
        <v>23990.0</v>
      </c>
      <c r="D3515" s="2">
        <v>7810.0</v>
      </c>
      <c r="E3515" s="3">
        <f t="shared" si="1"/>
        <v>0.3562143672</v>
      </c>
      <c r="F3515" s="2">
        <v>2864.0</v>
      </c>
      <c r="G3515" s="3">
        <f t="shared" si="2"/>
        <v>0.130627138</v>
      </c>
      <c r="H3515" s="2">
        <v>4707.0</v>
      </c>
      <c r="I3515" s="3">
        <f t="shared" si="3"/>
        <v>0.214686431</v>
      </c>
      <c r="J3515" s="2">
        <v>4200.0</v>
      </c>
      <c r="K3515" s="3">
        <f t="shared" si="4"/>
        <v>0.1915621437</v>
      </c>
      <c r="L3515" s="2">
        <v>2746.0</v>
      </c>
      <c r="M3515" s="3">
        <f t="shared" si="5"/>
        <v>0.5833864457</v>
      </c>
      <c r="N3515" s="2">
        <v>2.67587E7</v>
      </c>
      <c r="O3515" s="4">
        <f t="shared" si="6"/>
        <v>5684.873593</v>
      </c>
      <c r="P3515" s="2">
        <v>3.0</v>
      </c>
      <c r="Q3515" s="3">
        <f t="shared" si="7"/>
        <v>0.001452784504</v>
      </c>
      <c r="R3515" s="2">
        <v>2065.0</v>
      </c>
      <c r="S3515" s="5">
        <f t="shared" si="8"/>
        <v>1</v>
      </c>
    </row>
    <row r="3516">
      <c r="A3516" s="2" t="s">
        <v>3522</v>
      </c>
      <c r="B3516" s="2">
        <v>297.0</v>
      </c>
      <c r="C3516" s="2">
        <v>3474.0</v>
      </c>
      <c r="D3516" s="2">
        <v>889.0</v>
      </c>
      <c r="E3516" s="3">
        <f t="shared" si="1"/>
        <v>0.2798237331</v>
      </c>
      <c r="F3516" s="2">
        <v>415.0</v>
      </c>
      <c r="G3516" s="3">
        <f t="shared" si="2"/>
        <v>0.1306263771</v>
      </c>
      <c r="H3516" s="2">
        <v>608.0</v>
      </c>
      <c r="I3516" s="3">
        <f t="shared" si="3"/>
        <v>0.1913755115</v>
      </c>
      <c r="J3516" s="2">
        <v>612.0</v>
      </c>
      <c r="K3516" s="3">
        <f t="shared" si="4"/>
        <v>0.1926345609</v>
      </c>
      <c r="L3516" s="2">
        <v>340.0</v>
      </c>
      <c r="M3516" s="3">
        <f t="shared" si="5"/>
        <v>0.5592105263</v>
      </c>
      <c r="N3516" s="2">
        <v>3620200.0</v>
      </c>
      <c r="O3516" s="4">
        <f t="shared" si="6"/>
        <v>5954.276316</v>
      </c>
      <c r="P3516" s="2">
        <v>1.0</v>
      </c>
      <c r="Q3516" s="3">
        <f t="shared" si="7"/>
        <v>0.003367003367</v>
      </c>
      <c r="R3516" s="2">
        <v>297.0</v>
      </c>
      <c r="S3516" s="5">
        <f t="shared" si="8"/>
        <v>1</v>
      </c>
    </row>
    <row r="3517">
      <c r="A3517" s="2" t="s">
        <v>3523</v>
      </c>
      <c r="B3517" s="2">
        <v>746.0</v>
      </c>
      <c r="C3517" s="2">
        <v>8670.0</v>
      </c>
      <c r="D3517" s="2">
        <v>2419.0</v>
      </c>
      <c r="E3517" s="3">
        <f t="shared" si="1"/>
        <v>0.3052751136</v>
      </c>
      <c r="F3517" s="2">
        <v>1035.0</v>
      </c>
      <c r="G3517" s="3">
        <f t="shared" si="2"/>
        <v>0.1306158506</v>
      </c>
      <c r="H3517" s="2">
        <v>1589.0</v>
      </c>
      <c r="I3517" s="3">
        <f t="shared" si="3"/>
        <v>0.2005300353</v>
      </c>
      <c r="J3517" s="2">
        <v>1478.0</v>
      </c>
      <c r="K3517" s="3">
        <f t="shared" si="4"/>
        <v>0.1865219586</v>
      </c>
      <c r="L3517" s="2">
        <v>939.0</v>
      </c>
      <c r="M3517" s="3">
        <f t="shared" si="5"/>
        <v>0.5909376967</v>
      </c>
      <c r="N3517" s="2">
        <v>9514200.0</v>
      </c>
      <c r="O3517" s="4">
        <f t="shared" si="6"/>
        <v>5987.539333</v>
      </c>
      <c r="P3517" s="2">
        <v>1.0</v>
      </c>
      <c r="Q3517" s="3">
        <f t="shared" si="7"/>
        <v>0.001340482574</v>
      </c>
      <c r="R3517" s="2">
        <v>178.0</v>
      </c>
      <c r="S3517" s="5">
        <f t="shared" si="8"/>
        <v>0.2386058981</v>
      </c>
    </row>
    <row r="3518">
      <c r="A3518" s="2" t="s">
        <v>3524</v>
      </c>
      <c r="B3518" s="2">
        <v>23.0</v>
      </c>
      <c r="C3518" s="2">
        <v>268.0</v>
      </c>
      <c r="D3518" s="2">
        <v>99.0</v>
      </c>
      <c r="E3518" s="3">
        <f t="shared" si="1"/>
        <v>0.4040816327</v>
      </c>
      <c r="F3518" s="2">
        <v>32.0</v>
      </c>
      <c r="G3518" s="3">
        <f t="shared" si="2"/>
        <v>0.1306122449</v>
      </c>
      <c r="H3518" s="2">
        <v>53.0</v>
      </c>
      <c r="I3518" s="3">
        <f t="shared" si="3"/>
        <v>0.2163265306</v>
      </c>
      <c r="J3518" s="2">
        <v>31.0</v>
      </c>
      <c r="K3518" s="3">
        <f t="shared" si="4"/>
        <v>0.1265306122</v>
      </c>
      <c r="L3518" s="2">
        <v>33.0</v>
      </c>
      <c r="M3518" s="3">
        <f t="shared" si="5"/>
        <v>0.6226415094</v>
      </c>
      <c r="N3518" s="2">
        <v>270900.0</v>
      </c>
      <c r="O3518" s="4">
        <f t="shared" si="6"/>
        <v>5111.320755</v>
      </c>
      <c r="P3518" s="2">
        <v>0.0</v>
      </c>
      <c r="Q3518" s="3">
        <f t="shared" si="7"/>
        <v>0</v>
      </c>
      <c r="R3518" s="2">
        <v>0.0</v>
      </c>
      <c r="S3518" s="5">
        <f t="shared" si="8"/>
        <v>0</v>
      </c>
    </row>
    <row r="3519">
      <c r="A3519" s="2" t="s">
        <v>3525</v>
      </c>
      <c r="B3519" s="2">
        <v>931.0</v>
      </c>
      <c r="C3519" s="2">
        <v>10999.0</v>
      </c>
      <c r="D3519" s="2">
        <v>3523.0</v>
      </c>
      <c r="E3519" s="3">
        <f t="shared" si="1"/>
        <v>0.3499205403</v>
      </c>
      <c r="F3519" s="2">
        <v>1315.0</v>
      </c>
      <c r="G3519" s="3">
        <f t="shared" si="2"/>
        <v>0.1306118395</v>
      </c>
      <c r="H3519" s="2">
        <v>2093.0</v>
      </c>
      <c r="I3519" s="3">
        <f t="shared" si="3"/>
        <v>0.2078863727</v>
      </c>
      <c r="J3519" s="2">
        <v>1571.0</v>
      </c>
      <c r="K3519" s="3">
        <f t="shared" si="4"/>
        <v>0.1560389352</v>
      </c>
      <c r="L3519" s="2">
        <v>1199.0</v>
      </c>
      <c r="M3519" s="3">
        <f t="shared" si="5"/>
        <v>0.5728619207</v>
      </c>
      <c r="N3519" s="2">
        <v>1.21835E7</v>
      </c>
      <c r="O3519" s="4">
        <f t="shared" si="6"/>
        <v>5821.070234</v>
      </c>
      <c r="P3519" s="2">
        <v>0.0</v>
      </c>
      <c r="Q3519" s="3">
        <f t="shared" si="7"/>
        <v>0</v>
      </c>
      <c r="R3519" s="2">
        <v>261.0</v>
      </c>
      <c r="S3519" s="5">
        <f t="shared" si="8"/>
        <v>0.2803437164</v>
      </c>
    </row>
    <row r="3520">
      <c r="A3520" s="2" t="s">
        <v>3526</v>
      </c>
      <c r="B3520" s="2">
        <v>1430.0</v>
      </c>
      <c r="C3520" s="2">
        <v>16475.0</v>
      </c>
      <c r="D3520" s="2">
        <v>4287.0</v>
      </c>
      <c r="E3520" s="3">
        <f t="shared" si="1"/>
        <v>0.2849451645</v>
      </c>
      <c r="F3520" s="2">
        <v>1965.0</v>
      </c>
      <c r="G3520" s="3">
        <f t="shared" si="2"/>
        <v>0.1306081755</v>
      </c>
      <c r="H3520" s="2">
        <v>3206.0</v>
      </c>
      <c r="I3520" s="3">
        <f t="shared" si="3"/>
        <v>0.2130940512</v>
      </c>
      <c r="J3520" s="2">
        <v>3204.0</v>
      </c>
      <c r="K3520" s="3">
        <f t="shared" si="4"/>
        <v>0.2129611167</v>
      </c>
      <c r="L3520" s="2">
        <v>1885.0</v>
      </c>
      <c r="M3520" s="3">
        <f t="shared" si="5"/>
        <v>0.5879600749</v>
      </c>
      <c r="N3520" s="2">
        <v>1.89517E7</v>
      </c>
      <c r="O3520" s="4">
        <f t="shared" si="6"/>
        <v>5911.32252</v>
      </c>
      <c r="P3520" s="2">
        <v>0.0</v>
      </c>
      <c r="Q3520" s="3">
        <f t="shared" si="7"/>
        <v>0</v>
      </c>
      <c r="R3520" s="2">
        <v>0.0</v>
      </c>
      <c r="S3520" s="5">
        <f t="shared" si="8"/>
        <v>0</v>
      </c>
    </row>
    <row r="3521">
      <c r="A3521" s="2" t="s">
        <v>3527</v>
      </c>
      <c r="B3521" s="2">
        <v>235.0</v>
      </c>
      <c r="C3521" s="2">
        <v>2808.0</v>
      </c>
      <c r="D3521" s="2">
        <v>857.0</v>
      </c>
      <c r="E3521" s="3">
        <f t="shared" si="1"/>
        <v>0.3330742324</v>
      </c>
      <c r="F3521" s="2">
        <v>336.0</v>
      </c>
      <c r="G3521" s="3">
        <f t="shared" si="2"/>
        <v>0.1305868636</v>
      </c>
      <c r="H3521" s="2">
        <v>514.0</v>
      </c>
      <c r="I3521" s="3">
        <f t="shared" si="3"/>
        <v>0.1997668092</v>
      </c>
      <c r="J3521" s="2">
        <v>454.0</v>
      </c>
      <c r="K3521" s="3">
        <f t="shared" si="4"/>
        <v>0.1764477264</v>
      </c>
      <c r="L3521" s="2">
        <v>311.0</v>
      </c>
      <c r="M3521" s="3">
        <f t="shared" si="5"/>
        <v>0.6050583658</v>
      </c>
      <c r="N3521" s="2">
        <v>2912600.0</v>
      </c>
      <c r="O3521" s="4">
        <f t="shared" si="6"/>
        <v>5666.536965</v>
      </c>
      <c r="P3521" s="2">
        <v>0.0</v>
      </c>
      <c r="Q3521" s="3">
        <f t="shared" si="7"/>
        <v>0</v>
      </c>
      <c r="R3521" s="2">
        <v>235.0</v>
      </c>
      <c r="S3521" s="5">
        <f t="shared" si="8"/>
        <v>1</v>
      </c>
    </row>
    <row r="3522">
      <c r="A3522" s="2" t="s">
        <v>3528</v>
      </c>
      <c r="B3522" s="2">
        <v>264.0</v>
      </c>
      <c r="C3522" s="2">
        <v>3128.0</v>
      </c>
      <c r="D3522" s="2">
        <v>813.0</v>
      </c>
      <c r="E3522" s="3">
        <f t="shared" si="1"/>
        <v>0.2838687151</v>
      </c>
      <c r="F3522" s="2">
        <v>374.0</v>
      </c>
      <c r="G3522" s="3">
        <f t="shared" si="2"/>
        <v>0.1305865922</v>
      </c>
      <c r="H3522" s="2">
        <v>516.0</v>
      </c>
      <c r="I3522" s="3">
        <f t="shared" si="3"/>
        <v>0.1801675978</v>
      </c>
      <c r="J3522" s="2">
        <v>443.0</v>
      </c>
      <c r="K3522" s="3">
        <f t="shared" si="4"/>
        <v>0.1546787709</v>
      </c>
      <c r="L3522" s="2">
        <v>310.0</v>
      </c>
      <c r="M3522" s="3">
        <f t="shared" si="5"/>
        <v>0.6007751938</v>
      </c>
      <c r="N3522" s="2">
        <v>2934100.0</v>
      </c>
      <c r="O3522" s="4">
        <f t="shared" si="6"/>
        <v>5686.24031</v>
      </c>
      <c r="P3522" s="2">
        <v>0.0</v>
      </c>
      <c r="Q3522" s="3">
        <f t="shared" si="7"/>
        <v>0</v>
      </c>
      <c r="R3522" s="2">
        <v>262.0</v>
      </c>
      <c r="S3522" s="5">
        <f t="shared" si="8"/>
        <v>0.9924242424</v>
      </c>
    </row>
    <row r="3523">
      <c r="A3523" s="2" t="s">
        <v>3529</v>
      </c>
      <c r="B3523" s="2">
        <v>564.0</v>
      </c>
      <c r="C3523" s="2">
        <v>6545.0</v>
      </c>
      <c r="D3523" s="2">
        <v>2343.0</v>
      </c>
      <c r="E3523" s="3">
        <f t="shared" si="1"/>
        <v>0.3917405116</v>
      </c>
      <c r="F3523" s="2">
        <v>781.0</v>
      </c>
      <c r="G3523" s="3">
        <f t="shared" si="2"/>
        <v>0.1305801705</v>
      </c>
      <c r="H3523" s="2">
        <v>1248.0</v>
      </c>
      <c r="I3523" s="3">
        <f t="shared" si="3"/>
        <v>0.2086607591</v>
      </c>
      <c r="J3523" s="2">
        <v>962.0</v>
      </c>
      <c r="K3523" s="3">
        <f t="shared" si="4"/>
        <v>0.1608426685</v>
      </c>
      <c r="L3523" s="2">
        <v>761.0</v>
      </c>
      <c r="M3523" s="3">
        <f t="shared" si="5"/>
        <v>0.609775641</v>
      </c>
      <c r="N3523" s="2">
        <v>6968500.0</v>
      </c>
      <c r="O3523" s="4">
        <f t="shared" si="6"/>
        <v>5583.733974</v>
      </c>
      <c r="P3523" s="2">
        <v>1.0</v>
      </c>
      <c r="Q3523" s="3">
        <f t="shared" si="7"/>
        <v>0.001773049645</v>
      </c>
      <c r="R3523" s="2">
        <v>0.0</v>
      </c>
      <c r="S3523" s="5">
        <f t="shared" si="8"/>
        <v>0</v>
      </c>
    </row>
    <row r="3524">
      <c r="A3524" s="2" t="s">
        <v>3530</v>
      </c>
      <c r="B3524" s="2">
        <v>57.0</v>
      </c>
      <c r="C3524" s="2">
        <v>685.0</v>
      </c>
      <c r="D3524" s="2">
        <v>180.0</v>
      </c>
      <c r="E3524" s="3">
        <f t="shared" si="1"/>
        <v>0.2866242038</v>
      </c>
      <c r="F3524" s="2">
        <v>82.0</v>
      </c>
      <c r="G3524" s="3">
        <f t="shared" si="2"/>
        <v>0.1305732484</v>
      </c>
      <c r="H3524" s="2">
        <v>96.0</v>
      </c>
      <c r="I3524" s="3">
        <f t="shared" si="3"/>
        <v>0.152866242</v>
      </c>
      <c r="J3524" s="2">
        <v>117.0</v>
      </c>
      <c r="K3524" s="3">
        <f t="shared" si="4"/>
        <v>0.1863057325</v>
      </c>
      <c r="L3524" s="2">
        <v>60.0</v>
      </c>
      <c r="M3524" s="3">
        <f t="shared" si="5"/>
        <v>0.625</v>
      </c>
      <c r="N3524" s="2">
        <v>573400.0</v>
      </c>
      <c r="O3524" s="4">
        <f t="shared" si="6"/>
        <v>5972.916667</v>
      </c>
      <c r="P3524" s="2">
        <v>1.0</v>
      </c>
      <c r="Q3524" s="3">
        <f t="shared" si="7"/>
        <v>0.01754385965</v>
      </c>
      <c r="R3524" s="2">
        <v>57.0</v>
      </c>
      <c r="S3524" s="5">
        <f t="shared" si="8"/>
        <v>1</v>
      </c>
    </row>
    <row r="3525">
      <c r="A3525" s="2" t="s">
        <v>3531</v>
      </c>
      <c r="B3525" s="2">
        <v>150.0</v>
      </c>
      <c r="C3525" s="2">
        <v>1743.0</v>
      </c>
      <c r="D3525" s="2">
        <v>520.0</v>
      </c>
      <c r="E3525" s="3">
        <f t="shared" si="1"/>
        <v>0.326428123</v>
      </c>
      <c r="F3525" s="2">
        <v>208.0</v>
      </c>
      <c r="G3525" s="3">
        <f t="shared" si="2"/>
        <v>0.1305712492</v>
      </c>
      <c r="H3525" s="2">
        <v>325.0</v>
      </c>
      <c r="I3525" s="3">
        <f t="shared" si="3"/>
        <v>0.2040175769</v>
      </c>
      <c r="J3525" s="2">
        <v>289.0</v>
      </c>
      <c r="K3525" s="3">
        <f t="shared" si="4"/>
        <v>0.1814187068</v>
      </c>
      <c r="L3525" s="2">
        <v>182.0</v>
      </c>
      <c r="M3525" s="3">
        <f t="shared" si="5"/>
        <v>0.56</v>
      </c>
      <c r="N3525" s="2">
        <v>1833900.0</v>
      </c>
      <c r="O3525" s="4">
        <f t="shared" si="6"/>
        <v>5642.769231</v>
      </c>
      <c r="P3525" s="2">
        <v>1.0</v>
      </c>
      <c r="Q3525" s="3">
        <f t="shared" si="7"/>
        <v>0.006666666667</v>
      </c>
      <c r="R3525" s="2">
        <v>150.0</v>
      </c>
      <c r="S3525" s="5">
        <f t="shared" si="8"/>
        <v>1</v>
      </c>
    </row>
    <row r="3526">
      <c r="A3526" s="2" t="s">
        <v>3532</v>
      </c>
      <c r="B3526" s="2">
        <v>701.0</v>
      </c>
      <c r="C3526" s="2">
        <v>8130.0</v>
      </c>
      <c r="D3526" s="2">
        <v>2322.0</v>
      </c>
      <c r="E3526" s="3">
        <f t="shared" si="1"/>
        <v>0.3125588908</v>
      </c>
      <c r="F3526" s="2">
        <v>970.0</v>
      </c>
      <c r="G3526" s="3">
        <f t="shared" si="2"/>
        <v>0.1305693902</v>
      </c>
      <c r="H3526" s="2">
        <v>1578.0</v>
      </c>
      <c r="I3526" s="3">
        <f t="shared" si="3"/>
        <v>0.2124108225</v>
      </c>
      <c r="J3526" s="2">
        <v>1337.0</v>
      </c>
      <c r="K3526" s="3">
        <f t="shared" si="4"/>
        <v>0.1799703863</v>
      </c>
      <c r="L3526" s="2">
        <v>954.0</v>
      </c>
      <c r="M3526" s="3">
        <f t="shared" si="5"/>
        <v>0.6045627376</v>
      </c>
      <c r="N3526" s="2">
        <v>9066000.0</v>
      </c>
      <c r="O3526" s="4">
        <f t="shared" si="6"/>
        <v>5745.247148</v>
      </c>
      <c r="P3526" s="2">
        <v>1.0</v>
      </c>
      <c r="Q3526" s="3">
        <f t="shared" si="7"/>
        <v>0.001426533524</v>
      </c>
      <c r="R3526" s="2">
        <v>701.0</v>
      </c>
      <c r="S3526" s="5">
        <f t="shared" si="8"/>
        <v>1</v>
      </c>
    </row>
    <row r="3527">
      <c r="A3527" s="2" t="s">
        <v>3533</v>
      </c>
      <c r="B3527" s="2">
        <v>59.0</v>
      </c>
      <c r="C3527" s="2">
        <v>710.0</v>
      </c>
      <c r="D3527" s="2">
        <v>191.0</v>
      </c>
      <c r="E3527" s="3">
        <f t="shared" si="1"/>
        <v>0.2933947773</v>
      </c>
      <c r="F3527" s="2">
        <v>85.0</v>
      </c>
      <c r="G3527" s="3">
        <f t="shared" si="2"/>
        <v>0.1305683564</v>
      </c>
      <c r="H3527" s="2">
        <v>132.0</v>
      </c>
      <c r="I3527" s="3">
        <f t="shared" si="3"/>
        <v>0.202764977</v>
      </c>
      <c r="J3527" s="2">
        <v>111.0</v>
      </c>
      <c r="K3527" s="3">
        <f t="shared" si="4"/>
        <v>0.1705069124</v>
      </c>
      <c r="L3527" s="2">
        <v>74.0</v>
      </c>
      <c r="M3527" s="3">
        <f t="shared" si="5"/>
        <v>0.5606060606</v>
      </c>
      <c r="N3527" s="2">
        <v>774600.0</v>
      </c>
      <c r="O3527" s="4">
        <f t="shared" si="6"/>
        <v>5868.181818</v>
      </c>
      <c r="P3527" s="2">
        <v>0.0</v>
      </c>
      <c r="Q3527" s="3">
        <f t="shared" si="7"/>
        <v>0</v>
      </c>
      <c r="R3527" s="2">
        <v>59.0</v>
      </c>
      <c r="S3527" s="5">
        <f t="shared" si="8"/>
        <v>1</v>
      </c>
    </row>
    <row r="3528">
      <c r="A3528" s="2" t="s">
        <v>3534</v>
      </c>
      <c r="B3528" s="2">
        <v>372.0</v>
      </c>
      <c r="C3528" s="2">
        <v>4324.0</v>
      </c>
      <c r="D3528" s="2">
        <v>1139.0</v>
      </c>
      <c r="E3528" s="3">
        <f t="shared" si="1"/>
        <v>0.288208502</v>
      </c>
      <c r="F3528" s="2">
        <v>516.0</v>
      </c>
      <c r="G3528" s="3">
        <f t="shared" si="2"/>
        <v>0.1305668016</v>
      </c>
      <c r="H3528" s="2">
        <v>810.0</v>
      </c>
      <c r="I3528" s="3">
        <f t="shared" si="3"/>
        <v>0.2049595142</v>
      </c>
      <c r="J3528" s="2">
        <v>635.0</v>
      </c>
      <c r="K3528" s="3">
        <f t="shared" si="4"/>
        <v>0.1606781377</v>
      </c>
      <c r="L3528" s="2">
        <v>500.0</v>
      </c>
      <c r="M3528" s="3">
        <f t="shared" si="5"/>
        <v>0.6172839506</v>
      </c>
      <c r="N3528" s="2">
        <v>4800000.0</v>
      </c>
      <c r="O3528" s="4">
        <f t="shared" si="6"/>
        <v>5925.925926</v>
      </c>
      <c r="P3528" s="2">
        <v>1.0</v>
      </c>
      <c r="Q3528" s="3">
        <f t="shared" si="7"/>
        <v>0.002688172043</v>
      </c>
      <c r="R3528" s="2">
        <v>372.0</v>
      </c>
      <c r="S3528" s="5">
        <f t="shared" si="8"/>
        <v>1</v>
      </c>
    </row>
    <row r="3529">
      <c r="A3529" s="2" t="s">
        <v>3535</v>
      </c>
      <c r="B3529" s="2">
        <v>63.0</v>
      </c>
      <c r="C3529" s="2">
        <v>737.0</v>
      </c>
      <c r="D3529" s="2">
        <v>129.0</v>
      </c>
      <c r="E3529" s="3">
        <f t="shared" si="1"/>
        <v>0.1913946588</v>
      </c>
      <c r="F3529" s="2">
        <v>88.0</v>
      </c>
      <c r="G3529" s="3">
        <f t="shared" si="2"/>
        <v>0.1305637982</v>
      </c>
      <c r="H3529" s="2">
        <v>118.0</v>
      </c>
      <c r="I3529" s="3">
        <f t="shared" si="3"/>
        <v>0.175074184</v>
      </c>
      <c r="J3529" s="2">
        <v>132.0</v>
      </c>
      <c r="K3529" s="3">
        <f t="shared" si="4"/>
        <v>0.1958456973</v>
      </c>
      <c r="L3529" s="2">
        <v>74.0</v>
      </c>
      <c r="M3529" s="3">
        <f t="shared" si="5"/>
        <v>0.6271186441</v>
      </c>
      <c r="N3529" s="2">
        <v>775000.0</v>
      </c>
      <c r="O3529" s="4">
        <f t="shared" si="6"/>
        <v>6567.79661</v>
      </c>
      <c r="P3529" s="2">
        <v>0.0</v>
      </c>
      <c r="Q3529" s="3">
        <f t="shared" si="7"/>
        <v>0</v>
      </c>
      <c r="R3529" s="2">
        <v>0.0</v>
      </c>
      <c r="S3529" s="5">
        <f t="shared" si="8"/>
        <v>0</v>
      </c>
    </row>
    <row r="3530">
      <c r="A3530" s="2" t="s">
        <v>3536</v>
      </c>
      <c r="B3530" s="2">
        <v>4759.0</v>
      </c>
      <c r="C3530" s="2">
        <v>55488.0</v>
      </c>
      <c r="D3530" s="2">
        <v>15961.0</v>
      </c>
      <c r="E3530" s="3">
        <f t="shared" si="1"/>
        <v>0.3146326559</v>
      </c>
      <c r="F3530" s="2">
        <v>6623.0</v>
      </c>
      <c r="G3530" s="3">
        <f t="shared" si="2"/>
        <v>0.1305564864</v>
      </c>
      <c r="H3530" s="2">
        <v>10702.0</v>
      </c>
      <c r="I3530" s="3">
        <f t="shared" si="3"/>
        <v>0.2109641428</v>
      </c>
      <c r="J3530" s="2">
        <v>8906.0</v>
      </c>
      <c r="K3530" s="3">
        <f t="shared" si="4"/>
        <v>0.1755603304</v>
      </c>
      <c r="L3530" s="2">
        <v>6387.0</v>
      </c>
      <c r="M3530" s="3">
        <f t="shared" si="5"/>
        <v>0.5968043356</v>
      </c>
      <c r="N3530" s="2">
        <v>6.23134E7</v>
      </c>
      <c r="O3530" s="4">
        <f t="shared" si="6"/>
        <v>5822.593908</v>
      </c>
      <c r="P3530" s="2">
        <v>10.0</v>
      </c>
      <c r="Q3530" s="3">
        <f t="shared" si="7"/>
        <v>0.002101281782</v>
      </c>
      <c r="R3530" s="2">
        <v>4759.0</v>
      </c>
      <c r="S3530" s="5">
        <f t="shared" si="8"/>
        <v>1</v>
      </c>
    </row>
    <row r="3531">
      <c r="A3531" s="2" t="s">
        <v>3537</v>
      </c>
      <c r="B3531" s="2">
        <v>68.0</v>
      </c>
      <c r="C3531" s="2">
        <v>788.0</v>
      </c>
      <c r="D3531" s="2">
        <v>266.0</v>
      </c>
      <c r="E3531" s="3">
        <f t="shared" si="1"/>
        <v>0.3694444444</v>
      </c>
      <c r="F3531" s="2">
        <v>94.0</v>
      </c>
      <c r="G3531" s="3">
        <f t="shared" si="2"/>
        <v>0.1305555556</v>
      </c>
      <c r="H3531" s="2">
        <v>147.0</v>
      </c>
      <c r="I3531" s="3">
        <f t="shared" si="3"/>
        <v>0.2041666667</v>
      </c>
      <c r="J3531" s="2">
        <v>108.0</v>
      </c>
      <c r="K3531" s="3">
        <f t="shared" si="4"/>
        <v>0.15</v>
      </c>
      <c r="L3531" s="2">
        <v>88.0</v>
      </c>
      <c r="M3531" s="3">
        <f t="shared" si="5"/>
        <v>0.5986394558</v>
      </c>
      <c r="N3531" s="2">
        <v>776900.0</v>
      </c>
      <c r="O3531" s="4">
        <f t="shared" si="6"/>
        <v>5285.034014</v>
      </c>
      <c r="P3531" s="2">
        <v>0.0</v>
      </c>
      <c r="Q3531" s="3">
        <f t="shared" si="7"/>
        <v>0</v>
      </c>
      <c r="R3531" s="2">
        <v>68.0</v>
      </c>
      <c r="S3531" s="5">
        <f t="shared" si="8"/>
        <v>1</v>
      </c>
    </row>
    <row r="3532">
      <c r="A3532" s="2" t="s">
        <v>3538</v>
      </c>
      <c r="B3532" s="2">
        <v>1870.0</v>
      </c>
      <c r="C3532" s="2">
        <v>21887.0</v>
      </c>
      <c r="D3532" s="2">
        <v>6104.0</v>
      </c>
      <c r="E3532" s="3">
        <f t="shared" si="1"/>
        <v>0.3049408003</v>
      </c>
      <c r="F3532" s="2">
        <v>2613.0</v>
      </c>
      <c r="G3532" s="3">
        <f t="shared" si="2"/>
        <v>0.1305390418</v>
      </c>
      <c r="H3532" s="2">
        <v>4110.0</v>
      </c>
      <c r="I3532" s="3">
        <f t="shared" si="3"/>
        <v>0.2053254733</v>
      </c>
      <c r="J3532" s="2">
        <v>3171.0</v>
      </c>
      <c r="K3532" s="3">
        <f t="shared" si="4"/>
        <v>0.158415347</v>
      </c>
      <c r="L3532" s="2">
        <v>2457.0</v>
      </c>
      <c r="M3532" s="3">
        <f t="shared" si="5"/>
        <v>0.597810219</v>
      </c>
      <c r="N3532" s="2">
        <v>2.53786E7</v>
      </c>
      <c r="O3532" s="4">
        <f t="shared" si="6"/>
        <v>6174.841849</v>
      </c>
      <c r="P3532" s="2">
        <v>15.0</v>
      </c>
      <c r="Q3532" s="3">
        <f t="shared" si="7"/>
        <v>0.008021390374</v>
      </c>
      <c r="R3532" s="2">
        <v>1870.0</v>
      </c>
      <c r="S3532" s="5">
        <f t="shared" si="8"/>
        <v>1</v>
      </c>
    </row>
    <row r="3533">
      <c r="A3533" s="2" t="s">
        <v>3539</v>
      </c>
      <c r="B3533" s="2">
        <v>124.0</v>
      </c>
      <c r="C3533" s="2">
        <v>1411.0</v>
      </c>
      <c r="D3533" s="2">
        <v>363.0</v>
      </c>
      <c r="E3533" s="3">
        <f t="shared" si="1"/>
        <v>0.2820512821</v>
      </c>
      <c r="F3533" s="2">
        <v>168.0</v>
      </c>
      <c r="G3533" s="3">
        <f t="shared" si="2"/>
        <v>0.1305361305</v>
      </c>
      <c r="H3533" s="2">
        <v>265.0</v>
      </c>
      <c r="I3533" s="3">
        <f t="shared" si="3"/>
        <v>0.2059052059</v>
      </c>
      <c r="J3533" s="2">
        <v>226.0</v>
      </c>
      <c r="K3533" s="3">
        <f t="shared" si="4"/>
        <v>0.1756021756</v>
      </c>
      <c r="L3533" s="2">
        <v>164.0</v>
      </c>
      <c r="M3533" s="3">
        <f t="shared" si="5"/>
        <v>0.6188679245</v>
      </c>
      <c r="N3533" s="2">
        <v>1486300.0</v>
      </c>
      <c r="O3533" s="4">
        <f t="shared" si="6"/>
        <v>5608.679245</v>
      </c>
      <c r="P3533" s="2">
        <v>0.0</v>
      </c>
      <c r="Q3533" s="3">
        <f t="shared" si="7"/>
        <v>0</v>
      </c>
      <c r="R3533" s="2">
        <v>124.0</v>
      </c>
      <c r="S3533" s="5">
        <f t="shared" si="8"/>
        <v>1</v>
      </c>
    </row>
    <row r="3534">
      <c r="A3534" s="2" t="s">
        <v>3540</v>
      </c>
      <c r="B3534" s="2">
        <v>42.0</v>
      </c>
      <c r="C3534" s="2">
        <v>471.0</v>
      </c>
      <c r="D3534" s="2">
        <v>162.0</v>
      </c>
      <c r="E3534" s="3">
        <f t="shared" si="1"/>
        <v>0.3776223776</v>
      </c>
      <c r="F3534" s="2">
        <v>56.0</v>
      </c>
      <c r="G3534" s="3">
        <f t="shared" si="2"/>
        <v>0.1305361305</v>
      </c>
      <c r="H3534" s="2">
        <v>90.0</v>
      </c>
      <c r="I3534" s="3">
        <f t="shared" si="3"/>
        <v>0.2097902098</v>
      </c>
      <c r="J3534" s="2">
        <v>56.0</v>
      </c>
      <c r="K3534" s="3">
        <f t="shared" si="4"/>
        <v>0.1305361305</v>
      </c>
      <c r="L3534" s="2">
        <v>53.0</v>
      </c>
      <c r="M3534" s="3">
        <f t="shared" si="5"/>
        <v>0.5888888889</v>
      </c>
      <c r="N3534" s="2">
        <v>416900.0</v>
      </c>
      <c r="O3534" s="4">
        <f t="shared" si="6"/>
        <v>4632.222222</v>
      </c>
      <c r="P3534" s="2">
        <v>0.0</v>
      </c>
      <c r="Q3534" s="3">
        <f t="shared" si="7"/>
        <v>0</v>
      </c>
      <c r="R3534" s="2">
        <v>42.0</v>
      </c>
      <c r="S3534" s="5">
        <f t="shared" si="8"/>
        <v>1</v>
      </c>
    </row>
    <row r="3535">
      <c r="A3535" s="2" t="s">
        <v>3541</v>
      </c>
      <c r="B3535" s="2">
        <v>782.0</v>
      </c>
      <c r="C3535" s="2">
        <v>9301.0</v>
      </c>
      <c r="D3535" s="2">
        <v>2894.0</v>
      </c>
      <c r="E3535" s="3">
        <f t="shared" si="1"/>
        <v>0.3397112337</v>
      </c>
      <c r="F3535" s="2">
        <v>1112.0</v>
      </c>
      <c r="G3535" s="3">
        <f t="shared" si="2"/>
        <v>0.1305317526</v>
      </c>
      <c r="H3535" s="2">
        <v>1769.0</v>
      </c>
      <c r="I3535" s="3">
        <f t="shared" si="3"/>
        <v>0.2076534805</v>
      </c>
      <c r="J3535" s="2">
        <v>1292.0</v>
      </c>
      <c r="K3535" s="3">
        <f t="shared" si="4"/>
        <v>0.1516609931</v>
      </c>
      <c r="L3535" s="2">
        <v>1099.0</v>
      </c>
      <c r="M3535" s="3">
        <f t="shared" si="5"/>
        <v>0.6212549463</v>
      </c>
      <c r="N3535" s="2">
        <v>9406400.0</v>
      </c>
      <c r="O3535" s="4">
        <f t="shared" si="6"/>
        <v>5317.354438</v>
      </c>
      <c r="P3535" s="2">
        <v>1.0</v>
      </c>
      <c r="Q3535" s="3">
        <f t="shared" si="7"/>
        <v>0.001278772379</v>
      </c>
      <c r="R3535" s="2">
        <v>782.0</v>
      </c>
      <c r="S3535" s="5">
        <f t="shared" si="8"/>
        <v>1</v>
      </c>
    </row>
    <row r="3536">
      <c r="A3536" s="2" t="s">
        <v>3542</v>
      </c>
      <c r="B3536" s="2">
        <v>53.0</v>
      </c>
      <c r="C3536" s="2">
        <v>620.0</v>
      </c>
      <c r="D3536" s="2">
        <v>191.0</v>
      </c>
      <c r="E3536" s="3">
        <f t="shared" si="1"/>
        <v>0.3368606702</v>
      </c>
      <c r="F3536" s="2">
        <v>74.0</v>
      </c>
      <c r="G3536" s="3">
        <f t="shared" si="2"/>
        <v>0.1305114638</v>
      </c>
      <c r="H3536" s="2">
        <v>110.0</v>
      </c>
      <c r="I3536" s="3">
        <f t="shared" si="3"/>
        <v>0.1940035273</v>
      </c>
      <c r="J3536" s="2">
        <v>96.0</v>
      </c>
      <c r="K3536" s="3">
        <f t="shared" si="4"/>
        <v>0.1693121693</v>
      </c>
      <c r="L3536" s="2">
        <v>64.0</v>
      </c>
      <c r="M3536" s="3">
        <f t="shared" si="5"/>
        <v>0.5818181818</v>
      </c>
      <c r="N3536" s="2">
        <v>635800.0</v>
      </c>
      <c r="O3536" s="4">
        <f t="shared" si="6"/>
        <v>5780</v>
      </c>
      <c r="P3536" s="2">
        <v>0.0</v>
      </c>
      <c r="Q3536" s="3">
        <f t="shared" si="7"/>
        <v>0</v>
      </c>
      <c r="R3536" s="2">
        <v>53.0</v>
      </c>
      <c r="S3536" s="5">
        <f t="shared" si="8"/>
        <v>1</v>
      </c>
    </row>
    <row r="3537">
      <c r="A3537" s="2" t="s">
        <v>3543</v>
      </c>
      <c r="B3537" s="2">
        <v>460.0</v>
      </c>
      <c r="C3537" s="2">
        <v>5372.0</v>
      </c>
      <c r="D3537" s="2">
        <v>1578.0</v>
      </c>
      <c r="E3537" s="3">
        <f t="shared" si="1"/>
        <v>0.3212540717</v>
      </c>
      <c r="F3537" s="2">
        <v>641.0</v>
      </c>
      <c r="G3537" s="3">
        <f t="shared" si="2"/>
        <v>0.1304967427</v>
      </c>
      <c r="H3537" s="2">
        <v>1049.0</v>
      </c>
      <c r="I3537" s="3">
        <f t="shared" si="3"/>
        <v>0.2135586319</v>
      </c>
      <c r="J3537" s="2">
        <v>898.0</v>
      </c>
      <c r="K3537" s="3">
        <f t="shared" si="4"/>
        <v>0.1828175896</v>
      </c>
      <c r="L3537" s="2">
        <v>630.0</v>
      </c>
      <c r="M3537" s="3">
        <f t="shared" si="5"/>
        <v>0.6005719733</v>
      </c>
      <c r="N3537" s="2">
        <v>5806600.0</v>
      </c>
      <c r="O3537" s="4">
        <f t="shared" si="6"/>
        <v>5535.367016</v>
      </c>
      <c r="P3537" s="2">
        <v>0.0</v>
      </c>
      <c r="Q3537" s="3">
        <f t="shared" si="7"/>
        <v>0</v>
      </c>
      <c r="R3537" s="2">
        <v>460.0</v>
      </c>
      <c r="S3537" s="5">
        <f t="shared" si="8"/>
        <v>1</v>
      </c>
    </row>
    <row r="3538">
      <c r="A3538" s="2" t="s">
        <v>3544</v>
      </c>
      <c r="B3538" s="2">
        <v>1419.0</v>
      </c>
      <c r="C3538" s="2">
        <v>16822.0</v>
      </c>
      <c r="D3538" s="2">
        <v>7139.0</v>
      </c>
      <c r="E3538" s="3">
        <f t="shared" si="1"/>
        <v>0.46348114</v>
      </c>
      <c r="F3538" s="2">
        <v>2010.0</v>
      </c>
      <c r="G3538" s="3">
        <f t="shared" si="2"/>
        <v>0.1304940596</v>
      </c>
      <c r="H3538" s="2">
        <v>3518.0</v>
      </c>
      <c r="I3538" s="3">
        <f t="shared" si="3"/>
        <v>0.2283970655</v>
      </c>
      <c r="J3538" s="2">
        <v>2885.0</v>
      </c>
      <c r="K3538" s="3">
        <f t="shared" si="4"/>
        <v>0.1873011751</v>
      </c>
      <c r="L3538" s="2">
        <v>2097.0</v>
      </c>
      <c r="M3538" s="3">
        <f t="shared" si="5"/>
        <v>0.5960773167</v>
      </c>
      <c r="N3538" s="2">
        <v>1.80426E7</v>
      </c>
      <c r="O3538" s="4">
        <f t="shared" si="6"/>
        <v>5128.652644</v>
      </c>
      <c r="P3538" s="2">
        <v>5.0</v>
      </c>
      <c r="Q3538" s="3">
        <f t="shared" si="7"/>
        <v>0.003523608175</v>
      </c>
      <c r="R3538" s="2">
        <v>1417.0</v>
      </c>
      <c r="S3538" s="5">
        <f t="shared" si="8"/>
        <v>0.9985905567</v>
      </c>
    </row>
    <row r="3539">
      <c r="A3539" s="2" t="s">
        <v>3545</v>
      </c>
      <c r="B3539" s="2">
        <v>109.0</v>
      </c>
      <c r="C3539" s="2">
        <v>1274.0</v>
      </c>
      <c r="D3539" s="2">
        <v>408.0</v>
      </c>
      <c r="E3539" s="3">
        <f t="shared" si="1"/>
        <v>0.3502145923</v>
      </c>
      <c r="F3539" s="2">
        <v>152.0</v>
      </c>
      <c r="G3539" s="3">
        <f t="shared" si="2"/>
        <v>0.130472103</v>
      </c>
      <c r="H3539" s="2">
        <v>252.0</v>
      </c>
      <c r="I3539" s="3">
        <f t="shared" si="3"/>
        <v>0.2163090129</v>
      </c>
      <c r="J3539" s="2">
        <v>210.0</v>
      </c>
      <c r="K3539" s="3">
        <f t="shared" si="4"/>
        <v>0.1802575107</v>
      </c>
      <c r="L3539" s="2">
        <v>156.0</v>
      </c>
      <c r="M3539" s="3">
        <f t="shared" si="5"/>
        <v>0.619047619</v>
      </c>
      <c r="N3539" s="2">
        <v>1392300.0</v>
      </c>
      <c r="O3539" s="4">
        <f t="shared" si="6"/>
        <v>5525</v>
      </c>
      <c r="P3539" s="2">
        <v>0.0</v>
      </c>
      <c r="Q3539" s="3">
        <f t="shared" si="7"/>
        <v>0</v>
      </c>
      <c r="R3539" s="2">
        <v>109.0</v>
      </c>
      <c r="S3539" s="5">
        <f t="shared" si="8"/>
        <v>1</v>
      </c>
    </row>
    <row r="3540">
      <c r="A3540" s="2" t="s">
        <v>3546</v>
      </c>
      <c r="B3540" s="2">
        <v>616.0</v>
      </c>
      <c r="C3540" s="2">
        <v>7139.0</v>
      </c>
      <c r="D3540" s="2">
        <v>2207.0</v>
      </c>
      <c r="E3540" s="3">
        <f t="shared" si="1"/>
        <v>0.338341254</v>
      </c>
      <c r="F3540" s="2">
        <v>851.0</v>
      </c>
      <c r="G3540" s="3">
        <f t="shared" si="2"/>
        <v>0.1304614441</v>
      </c>
      <c r="H3540" s="2">
        <v>1366.0</v>
      </c>
      <c r="I3540" s="3">
        <f t="shared" si="3"/>
        <v>0.2094128468</v>
      </c>
      <c r="J3540" s="2">
        <v>1140.0</v>
      </c>
      <c r="K3540" s="3">
        <f t="shared" si="4"/>
        <v>0.1747662119</v>
      </c>
      <c r="L3540" s="2">
        <v>824.0</v>
      </c>
      <c r="M3540" s="3">
        <f t="shared" si="5"/>
        <v>0.6032210835</v>
      </c>
      <c r="N3540" s="2">
        <v>7703000.0</v>
      </c>
      <c r="O3540" s="4">
        <f t="shared" si="6"/>
        <v>5639.09224</v>
      </c>
      <c r="P3540" s="2">
        <v>0.0</v>
      </c>
      <c r="Q3540" s="3">
        <f t="shared" si="7"/>
        <v>0</v>
      </c>
      <c r="R3540" s="2">
        <v>604.0</v>
      </c>
      <c r="S3540" s="5">
        <f t="shared" si="8"/>
        <v>0.9805194805</v>
      </c>
    </row>
    <row r="3541">
      <c r="A3541" s="2" t="s">
        <v>3547</v>
      </c>
      <c r="B3541" s="2">
        <v>641.0</v>
      </c>
      <c r="C3541" s="2">
        <v>7440.0</v>
      </c>
      <c r="D3541" s="2">
        <v>2201.0</v>
      </c>
      <c r="E3541" s="3">
        <f t="shared" si="1"/>
        <v>0.3237240771</v>
      </c>
      <c r="F3541" s="2">
        <v>887.0</v>
      </c>
      <c r="G3541" s="3">
        <f t="shared" si="2"/>
        <v>0.1304603618</v>
      </c>
      <c r="H3541" s="2">
        <v>1361.0</v>
      </c>
      <c r="I3541" s="3">
        <f t="shared" si="3"/>
        <v>0.2001764965</v>
      </c>
      <c r="J3541" s="2">
        <v>1157.0</v>
      </c>
      <c r="K3541" s="3">
        <f t="shared" si="4"/>
        <v>0.1701720841</v>
      </c>
      <c r="L3541" s="2">
        <v>793.0</v>
      </c>
      <c r="M3541" s="3">
        <f t="shared" si="5"/>
        <v>0.582659809</v>
      </c>
      <c r="N3541" s="2">
        <v>8566300.0</v>
      </c>
      <c r="O3541" s="4">
        <f t="shared" si="6"/>
        <v>6294.121969</v>
      </c>
      <c r="P3541" s="2">
        <v>2.0</v>
      </c>
      <c r="Q3541" s="3">
        <f t="shared" si="7"/>
        <v>0.003120124805</v>
      </c>
      <c r="R3541" s="2">
        <v>641.0</v>
      </c>
      <c r="S3541" s="5">
        <f t="shared" si="8"/>
        <v>1</v>
      </c>
    </row>
    <row r="3542">
      <c r="A3542" s="2" t="s">
        <v>3548</v>
      </c>
      <c r="B3542" s="2">
        <v>1293.0</v>
      </c>
      <c r="C3542" s="2">
        <v>15321.0</v>
      </c>
      <c r="D3542" s="2">
        <v>4748.0</v>
      </c>
      <c r="E3542" s="3">
        <f t="shared" si="1"/>
        <v>0.3384659253</v>
      </c>
      <c r="F3542" s="2">
        <v>1830.0</v>
      </c>
      <c r="G3542" s="3">
        <f t="shared" si="2"/>
        <v>0.130453379</v>
      </c>
      <c r="H3542" s="2">
        <v>2884.0</v>
      </c>
      <c r="I3542" s="3">
        <f t="shared" si="3"/>
        <v>0.2055888224</v>
      </c>
      <c r="J3542" s="2">
        <v>1978.0</v>
      </c>
      <c r="K3542" s="3">
        <f t="shared" si="4"/>
        <v>0.1410037069</v>
      </c>
      <c r="L3542" s="2">
        <v>1702.0</v>
      </c>
      <c r="M3542" s="3">
        <f t="shared" si="5"/>
        <v>0.5901525659</v>
      </c>
      <c r="N3542" s="2">
        <v>1.62855E7</v>
      </c>
      <c r="O3542" s="4">
        <f t="shared" si="6"/>
        <v>5646.84466</v>
      </c>
      <c r="P3542" s="2">
        <v>2.0</v>
      </c>
      <c r="Q3542" s="3">
        <f t="shared" si="7"/>
        <v>0.00154679041</v>
      </c>
      <c r="R3542" s="2">
        <v>1293.0</v>
      </c>
      <c r="S3542" s="5">
        <f t="shared" si="8"/>
        <v>1</v>
      </c>
    </row>
    <row r="3543">
      <c r="A3543" s="2" t="s">
        <v>3549</v>
      </c>
      <c r="B3543" s="2">
        <v>1463.0</v>
      </c>
      <c r="C3543" s="2">
        <v>17032.0</v>
      </c>
      <c r="D3543" s="2">
        <v>6053.0</v>
      </c>
      <c r="E3543" s="3">
        <f t="shared" si="1"/>
        <v>0.3887854069</v>
      </c>
      <c r="F3543" s="2">
        <v>2031.0</v>
      </c>
      <c r="G3543" s="3">
        <f t="shared" si="2"/>
        <v>0.1304515383</v>
      </c>
      <c r="H3543" s="2">
        <v>3378.0</v>
      </c>
      <c r="I3543" s="3">
        <f t="shared" si="3"/>
        <v>0.2169696191</v>
      </c>
      <c r="J3543" s="2">
        <v>2214.0</v>
      </c>
      <c r="K3543" s="3">
        <f t="shared" si="4"/>
        <v>0.1422056651</v>
      </c>
      <c r="L3543" s="2">
        <v>2070.0</v>
      </c>
      <c r="M3543" s="3">
        <f t="shared" si="5"/>
        <v>0.6127886323</v>
      </c>
      <c r="N3543" s="2">
        <v>1.80881E7</v>
      </c>
      <c r="O3543" s="4">
        <f t="shared" si="6"/>
        <v>5354.677324</v>
      </c>
      <c r="P3543" s="2">
        <v>4.0</v>
      </c>
      <c r="Q3543" s="3">
        <f t="shared" si="7"/>
        <v>0.002734107997</v>
      </c>
      <c r="R3543" s="2">
        <v>1463.0</v>
      </c>
      <c r="S3543" s="5">
        <f t="shared" si="8"/>
        <v>1</v>
      </c>
    </row>
    <row r="3544">
      <c r="A3544" s="2" t="s">
        <v>3550</v>
      </c>
      <c r="B3544" s="2">
        <v>1029.0</v>
      </c>
      <c r="C3544" s="2">
        <v>12037.0</v>
      </c>
      <c r="D3544" s="2">
        <v>4186.0</v>
      </c>
      <c r="E3544" s="3">
        <f t="shared" si="1"/>
        <v>0.3802688953</v>
      </c>
      <c r="F3544" s="2">
        <v>1436.0</v>
      </c>
      <c r="G3544" s="3">
        <f t="shared" si="2"/>
        <v>0.1304505814</v>
      </c>
      <c r="H3544" s="2">
        <v>2425.0</v>
      </c>
      <c r="I3544" s="3">
        <f t="shared" si="3"/>
        <v>0.2202943314</v>
      </c>
      <c r="J3544" s="2">
        <v>1783.0</v>
      </c>
      <c r="K3544" s="3">
        <f t="shared" si="4"/>
        <v>0.1619731105</v>
      </c>
      <c r="L3544" s="2">
        <v>1436.0</v>
      </c>
      <c r="M3544" s="3">
        <f t="shared" si="5"/>
        <v>0.5921649485</v>
      </c>
      <c r="N3544" s="2">
        <v>1.40784E7</v>
      </c>
      <c r="O3544" s="4">
        <f t="shared" si="6"/>
        <v>5805.525773</v>
      </c>
      <c r="P3544" s="2">
        <v>2.0</v>
      </c>
      <c r="Q3544" s="3">
        <f t="shared" si="7"/>
        <v>0.001943634597</v>
      </c>
      <c r="R3544" s="2">
        <v>1029.0</v>
      </c>
      <c r="S3544" s="5">
        <f t="shared" si="8"/>
        <v>1</v>
      </c>
    </row>
    <row r="3545">
      <c r="A3545" s="2" t="s">
        <v>3551</v>
      </c>
      <c r="B3545" s="2">
        <v>319.0</v>
      </c>
      <c r="C3545" s="2">
        <v>3715.0</v>
      </c>
      <c r="D3545" s="2">
        <v>1166.0</v>
      </c>
      <c r="E3545" s="3">
        <f t="shared" si="1"/>
        <v>0.3433451119</v>
      </c>
      <c r="F3545" s="2">
        <v>443.0</v>
      </c>
      <c r="G3545" s="3">
        <f t="shared" si="2"/>
        <v>0.1304475854</v>
      </c>
      <c r="H3545" s="2">
        <v>677.0</v>
      </c>
      <c r="I3545" s="3">
        <f t="shared" si="3"/>
        <v>0.199352179</v>
      </c>
      <c r="J3545" s="2">
        <v>509.0</v>
      </c>
      <c r="K3545" s="3">
        <f t="shared" si="4"/>
        <v>0.1498822144</v>
      </c>
      <c r="L3545" s="2">
        <v>413.0</v>
      </c>
      <c r="M3545" s="3">
        <f t="shared" si="5"/>
        <v>0.6100443131</v>
      </c>
      <c r="N3545" s="2">
        <v>3793500.0</v>
      </c>
      <c r="O3545" s="4">
        <f t="shared" si="6"/>
        <v>5603.397341</v>
      </c>
      <c r="P3545" s="2">
        <v>0.0</v>
      </c>
      <c r="Q3545" s="3">
        <f t="shared" si="7"/>
        <v>0</v>
      </c>
      <c r="R3545" s="2">
        <v>211.0</v>
      </c>
      <c r="S3545" s="5">
        <f t="shared" si="8"/>
        <v>0.6614420063</v>
      </c>
    </row>
    <row r="3546">
      <c r="A3546" s="2" t="s">
        <v>3552</v>
      </c>
      <c r="B3546" s="2">
        <v>565.0</v>
      </c>
      <c r="C3546" s="2">
        <v>6537.0</v>
      </c>
      <c r="D3546" s="2">
        <v>1898.0</v>
      </c>
      <c r="E3546" s="3">
        <f t="shared" si="1"/>
        <v>0.3178164769</v>
      </c>
      <c r="F3546" s="2">
        <v>779.0</v>
      </c>
      <c r="G3546" s="3">
        <f t="shared" si="2"/>
        <v>0.130442063</v>
      </c>
      <c r="H3546" s="2">
        <v>1310.0</v>
      </c>
      <c r="I3546" s="3">
        <f t="shared" si="3"/>
        <v>0.2193569993</v>
      </c>
      <c r="J3546" s="2">
        <v>920.0</v>
      </c>
      <c r="K3546" s="3">
        <f t="shared" si="4"/>
        <v>0.1540522438</v>
      </c>
      <c r="L3546" s="2">
        <v>823.0</v>
      </c>
      <c r="M3546" s="3">
        <f t="shared" si="5"/>
        <v>0.6282442748</v>
      </c>
      <c r="N3546" s="2">
        <v>7270100.0</v>
      </c>
      <c r="O3546" s="4">
        <f t="shared" si="6"/>
        <v>5549.694656</v>
      </c>
      <c r="P3546" s="2">
        <v>3.0</v>
      </c>
      <c r="Q3546" s="3">
        <f t="shared" si="7"/>
        <v>0.005309734513</v>
      </c>
      <c r="R3546" s="2">
        <v>565.0</v>
      </c>
      <c r="S3546" s="5">
        <f t="shared" si="8"/>
        <v>1</v>
      </c>
    </row>
    <row r="3547">
      <c r="A3547" s="2" t="s">
        <v>3553</v>
      </c>
      <c r="B3547" s="2">
        <v>587.0</v>
      </c>
      <c r="C3547" s="2">
        <v>6927.0</v>
      </c>
      <c r="D3547" s="2">
        <v>2329.0</v>
      </c>
      <c r="E3547" s="3">
        <f t="shared" si="1"/>
        <v>0.3673501577</v>
      </c>
      <c r="F3547" s="2">
        <v>827.0</v>
      </c>
      <c r="G3547" s="3">
        <f t="shared" si="2"/>
        <v>0.1304416404</v>
      </c>
      <c r="H3547" s="2">
        <v>1342.0</v>
      </c>
      <c r="I3547" s="3">
        <f t="shared" si="3"/>
        <v>0.2116719243</v>
      </c>
      <c r="J3547" s="2">
        <v>1077.0</v>
      </c>
      <c r="K3547" s="3">
        <f t="shared" si="4"/>
        <v>0.169873817</v>
      </c>
      <c r="L3547" s="2">
        <v>798.0</v>
      </c>
      <c r="M3547" s="3">
        <f t="shared" si="5"/>
        <v>0.5946348733</v>
      </c>
      <c r="N3547" s="2">
        <v>7785500.0</v>
      </c>
      <c r="O3547" s="4">
        <f t="shared" si="6"/>
        <v>5801.415797</v>
      </c>
      <c r="P3547" s="2">
        <v>2.0</v>
      </c>
      <c r="Q3547" s="3">
        <f t="shared" si="7"/>
        <v>0.003407155026</v>
      </c>
      <c r="R3547" s="2">
        <v>587.0</v>
      </c>
      <c r="S3547" s="5">
        <f t="shared" si="8"/>
        <v>1</v>
      </c>
    </row>
    <row r="3548">
      <c r="A3548" s="2" t="s">
        <v>3554</v>
      </c>
      <c r="B3548" s="2">
        <v>1313.0</v>
      </c>
      <c r="C3548" s="2">
        <v>15350.0</v>
      </c>
      <c r="D3548" s="2">
        <v>4336.0</v>
      </c>
      <c r="E3548" s="3">
        <f t="shared" si="1"/>
        <v>0.3088979127</v>
      </c>
      <c r="F3548" s="2">
        <v>1831.0</v>
      </c>
      <c r="G3548" s="3">
        <f t="shared" si="2"/>
        <v>0.1304409774</v>
      </c>
      <c r="H3548" s="2">
        <v>2874.0</v>
      </c>
      <c r="I3548" s="3">
        <f t="shared" si="3"/>
        <v>0.2047446035</v>
      </c>
      <c r="J3548" s="2">
        <v>2675.0</v>
      </c>
      <c r="K3548" s="3">
        <f t="shared" si="4"/>
        <v>0.1905677851</v>
      </c>
      <c r="L3548" s="2">
        <v>1729.0</v>
      </c>
      <c r="M3548" s="3">
        <f t="shared" si="5"/>
        <v>0.6016005567</v>
      </c>
      <c r="N3548" s="2">
        <v>1.70367E7</v>
      </c>
      <c r="O3548" s="4">
        <f t="shared" si="6"/>
        <v>5927.870564</v>
      </c>
      <c r="P3548" s="2">
        <v>3.0</v>
      </c>
      <c r="Q3548" s="3">
        <f t="shared" si="7"/>
        <v>0.002284843869</v>
      </c>
      <c r="R3548" s="2">
        <v>1313.0</v>
      </c>
      <c r="S3548" s="5">
        <f t="shared" si="8"/>
        <v>1</v>
      </c>
    </row>
    <row r="3549">
      <c r="A3549" s="2" t="s">
        <v>3555</v>
      </c>
      <c r="B3549" s="2">
        <v>24.0</v>
      </c>
      <c r="C3549" s="2">
        <v>277.0</v>
      </c>
      <c r="D3549" s="2">
        <v>71.0</v>
      </c>
      <c r="E3549" s="3">
        <f t="shared" si="1"/>
        <v>0.2806324111</v>
      </c>
      <c r="F3549" s="2">
        <v>33.0</v>
      </c>
      <c r="G3549" s="3">
        <f t="shared" si="2"/>
        <v>0.1304347826</v>
      </c>
      <c r="H3549" s="2">
        <v>56.0</v>
      </c>
      <c r="I3549" s="3">
        <f t="shared" si="3"/>
        <v>0.2213438735</v>
      </c>
      <c r="J3549" s="2">
        <v>47.0</v>
      </c>
      <c r="K3549" s="3">
        <f t="shared" si="4"/>
        <v>0.185770751</v>
      </c>
      <c r="L3549" s="2">
        <v>32.0</v>
      </c>
      <c r="M3549" s="3">
        <f t="shared" si="5"/>
        <v>0.5714285714</v>
      </c>
      <c r="N3549" s="2">
        <v>317400.0</v>
      </c>
      <c r="O3549" s="4">
        <f t="shared" si="6"/>
        <v>5667.857143</v>
      </c>
      <c r="P3549" s="2">
        <v>0.0</v>
      </c>
      <c r="Q3549" s="3">
        <f t="shared" si="7"/>
        <v>0</v>
      </c>
      <c r="R3549" s="2">
        <v>24.0</v>
      </c>
      <c r="S3549" s="5">
        <f t="shared" si="8"/>
        <v>1</v>
      </c>
    </row>
    <row r="3550">
      <c r="A3550" s="2" t="s">
        <v>3556</v>
      </c>
      <c r="B3550" s="2">
        <v>87.0</v>
      </c>
      <c r="C3550" s="2">
        <v>1007.0</v>
      </c>
      <c r="D3550" s="2">
        <v>347.0</v>
      </c>
      <c r="E3550" s="3">
        <f t="shared" si="1"/>
        <v>0.377173913</v>
      </c>
      <c r="F3550" s="2">
        <v>120.0</v>
      </c>
      <c r="G3550" s="3">
        <f t="shared" si="2"/>
        <v>0.1304347826</v>
      </c>
      <c r="H3550" s="2">
        <v>189.0</v>
      </c>
      <c r="I3550" s="3">
        <f t="shared" si="3"/>
        <v>0.2054347826</v>
      </c>
      <c r="J3550" s="2">
        <v>167.0</v>
      </c>
      <c r="K3550" s="3">
        <f t="shared" si="4"/>
        <v>0.1815217391</v>
      </c>
      <c r="L3550" s="2">
        <v>114.0</v>
      </c>
      <c r="M3550" s="3">
        <f t="shared" si="5"/>
        <v>0.6031746032</v>
      </c>
      <c r="N3550" s="2">
        <v>1067500.0</v>
      </c>
      <c r="O3550" s="4">
        <f t="shared" si="6"/>
        <v>5648.148148</v>
      </c>
      <c r="P3550" s="2">
        <v>0.0</v>
      </c>
      <c r="Q3550" s="3">
        <f t="shared" si="7"/>
        <v>0</v>
      </c>
      <c r="R3550" s="2">
        <v>0.0</v>
      </c>
      <c r="S3550" s="5">
        <f t="shared" si="8"/>
        <v>0</v>
      </c>
    </row>
    <row r="3551">
      <c r="A3551" s="2" t="s">
        <v>3557</v>
      </c>
      <c r="B3551" s="2">
        <v>42.0</v>
      </c>
      <c r="C3551" s="2">
        <v>479.0</v>
      </c>
      <c r="D3551" s="2">
        <v>139.0</v>
      </c>
      <c r="E3551" s="3">
        <f t="shared" si="1"/>
        <v>0.3180778032</v>
      </c>
      <c r="F3551" s="2">
        <v>57.0</v>
      </c>
      <c r="G3551" s="3">
        <f t="shared" si="2"/>
        <v>0.1304347826</v>
      </c>
      <c r="H3551" s="2">
        <v>86.0</v>
      </c>
      <c r="I3551" s="3">
        <f t="shared" si="3"/>
        <v>0.1967963387</v>
      </c>
      <c r="J3551" s="2">
        <v>71.0</v>
      </c>
      <c r="K3551" s="3">
        <f t="shared" si="4"/>
        <v>0.1624713959</v>
      </c>
      <c r="L3551" s="2">
        <v>41.0</v>
      </c>
      <c r="M3551" s="3">
        <f t="shared" si="5"/>
        <v>0.476744186</v>
      </c>
      <c r="N3551" s="2">
        <v>458700.0</v>
      </c>
      <c r="O3551" s="4">
        <f t="shared" si="6"/>
        <v>5333.72093</v>
      </c>
      <c r="P3551" s="2">
        <v>0.0</v>
      </c>
      <c r="Q3551" s="3">
        <f t="shared" si="7"/>
        <v>0</v>
      </c>
      <c r="R3551" s="2">
        <v>0.0</v>
      </c>
      <c r="S3551" s="5">
        <f t="shared" si="8"/>
        <v>0</v>
      </c>
    </row>
    <row r="3552">
      <c r="A3552" s="2" t="s">
        <v>3558</v>
      </c>
      <c r="B3552" s="2">
        <v>1952.0</v>
      </c>
      <c r="C3552" s="2">
        <v>23112.0</v>
      </c>
      <c r="D3552" s="2">
        <v>8237.0</v>
      </c>
      <c r="E3552" s="3">
        <f t="shared" si="1"/>
        <v>0.3892722117</v>
      </c>
      <c r="F3552" s="2">
        <v>2760.0</v>
      </c>
      <c r="G3552" s="3">
        <f t="shared" si="2"/>
        <v>0.1304347826</v>
      </c>
      <c r="H3552" s="2">
        <v>4499.0</v>
      </c>
      <c r="I3552" s="3">
        <f t="shared" si="3"/>
        <v>0.2126181474</v>
      </c>
      <c r="J3552" s="2">
        <v>3386.0</v>
      </c>
      <c r="K3552" s="3">
        <f t="shared" si="4"/>
        <v>0.1600189036</v>
      </c>
      <c r="L3552" s="2">
        <v>2749.0</v>
      </c>
      <c r="M3552" s="3">
        <f t="shared" si="5"/>
        <v>0.6110246721</v>
      </c>
      <c r="N3552" s="2">
        <v>2.33154E7</v>
      </c>
      <c r="O3552" s="4">
        <f t="shared" si="6"/>
        <v>5182.351634</v>
      </c>
      <c r="P3552" s="2">
        <v>2.0</v>
      </c>
      <c r="Q3552" s="3">
        <f t="shared" si="7"/>
        <v>0.001024590164</v>
      </c>
      <c r="R3552" s="2">
        <v>1952.0</v>
      </c>
      <c r="S3552" s="5">
        <f t="shared" si="8"/>
        <v>1</v>
      </c>
    </row>
    <row r="3553">
      <c r="A3553" s="2" t="s">
        <v>3559</v>
      </c>
      <c r="B3553" s="2">
        <v>124.0</v>
      </c>
      <c r="C3553" s="2">
        <v>1435.0</v>
      </c>
      <c r="D3553" s="2">
        <v>485.0</v>
      </c>
      <c r="E3553" s="3">
        <f t="shared" si="1"/>
        <v>0.3699466056</v>
      </c>
      <c r="F3553" s="2">
        <v>171.0</v>
      </c>
      <c r="G3553" s="3">
        <f t="shared" si="2"/>
        <v>0.1304347826</v>
      </c>
      <c r="H3553" s="2">
        <v>269.0</v>
      </c>
      <c r="I3553" s="3">
        <f t="shared" si="3"/>
        <v>0.2051868802</v>
      </c>
      <c r="J3553" s="2">
        <v>202.0</v>
      </c>
      <c r="K3553" s="3">
        <f t="shared" si="4"/>
        <v>0.1540808543</v>
      </c>
      <c r="L3553" s="2">
        <v>156.0</v>
      </c>
      <c r="M3553" s="3">
        <f t="shared" si="5"/>
        <v>0.5799256506</v>
      </c>
      <c r="N3553" s="2">
        <v>1505200.0</v>
      </c>
      <c r="O3553" s="4">
        <f t="shared" si="6"/>
        <v>5595.539033</v>
      </c>
      <c r="P3553" s="2">
        <v>0.0</v>
      </c>
      <c r="Q3553" s="3">
        <f t="shared" si="7"/>
        <v>0</v>
      </c>
      <c r="R3553" s="2">
        <v>124.0</v>
      </c>
      <c r="S3553" s="5">
        <f t="shared" si="8"/>
        <v>1</v>
      </c>
    </row>
    <row r="3554">
      <c r="A3554" s="2" t="s">
        <v>3560</v>
      </c>
      <c r="B3554" s="2">
        <v>1865.0</v>
      </c>
      <c r="C3554" s="2">
        <v>21722.0</v>
      </c>
      <c r="D3554" s="2">
        <v>7085.0</v>
      </c>
      <c r="E3554" s="3">
        <f t="shared" si="1"/>
        <v>0.3568011281</v>
      </c>
      <c r="F3554" s="2">
        <v>2590.0</v>
      </c>
      <c r="G3554" s="3">
        <f t="shared" si="2"/>
        <v>0.130432593</v>
      </c>
      <c r="H3554" s="2">
        <v>4582.0</v>
      </c>
      <c r="I3554" s="3">
        <f t="shared" si="3"/>
        <v>0.2307498615</v>
      </c>
      <c r="J3554" s="2">
        <v>3205.0</v>
      </c>
      <c r="K3554" s="3">
        <f t="shared" si="4"/>
        <v>0.1614040389</v>
      </c>
      <c r="L3554" s="2">
        <v>2706.0</v>
      </c>
      <c r="M3554" s="3">
        <f t="shared" si="5"/>
        <v>0.5905718027</v>
      </c>
      <c r="N3554" s="2">
        <v>2.49965E7</v>
      </c>
      <c r="O3554" s="4">
        <f t="shared" si="6"/>
        <v>5455.368835</v>
      </c>
      <c r="P3554" s="2">
        <v>6.0</v>
      </c>
      <c r="Q3554" s="3">
        <f t="shared" si="7"/>
        <v>0.003217158177</v>
      </c>
      <c r="R3554" s="2">
        <v>1865.0</v>
      </c>
      <c r="S3554" s="5">
        <f t="shared" si="8"/>
        <v>1</v>
      </c>
    </row>
    <row r="3555">
      <c r="A3555" s="2" t="s">
        <v>3561</v>
      </c>
      <c r="B3555" s="2">
        <v>438.0</v>
      </c>
      <c r="C3555" s="2">
        <v>5230.0</v>
      </c>
      <c r="D3555" s="2">
        <v>1537.0</v>
      </c>
      <c r="E3555" s="3">
        <f t="shared" si="1"/>
        <v>0.3207429048</v>
      </c>
      <c r="F3555" s="2">
        <v>625.0</v>
      </c>
      <c r="G3555" s="3">
        <f t="shared" si="2"/>
        <v>0.1304257095</v>
      </c>
      <c r="H3555" s="2">
        <v>948.0</v>
      </c>
      <c r="I3555" s="3">
        <f t="shared" si="3"/>
        <v>0.1978297162</v>
      </c>
      <c r="J3555" s="2">
        <v>796.0</v>
      </c>
      <c r="K3555" s="3">
        <f t="shared" si="4"/>
        <v>0.1661101836</v>
      </c>
      <c r="L3555" s="2">
        <v>564.0</v>
      </c>
      <c r="M3555" s="3">
        <f t="shared" si="5"/>
        <v>0.5949367089</v>
      </c>
      <c r="N3555" s="2">
        <v>5250900.0</v>
      </c>
      <c r="O3555" s="4">
        <f t="shared" si="6"/>
        <v>5538.924051</v>
      </c>
      <c r="P3555" s="2">
        <v>0.0</v>
      </c>
      <c r="Q3555" s="3">
        <f t="shared" si="7"/>
        <v>0</v>
      </c>
      <c r="R3555" s="2">
        <v>438.0</v>
      </c>
      <c r="S3555" s="5">
        <f t="shared" si="8"/>
        <v>1</v>
      </c>
    </row>
    <row r="3556">
      <c r="A3556" s="2" t="s">
        <v>3562</v>
      </c>
      <c r="B3556" s="2">
        <v>2978.0</v>
      </c>
      <c r="C3556" s="2">
        <v>34675.0</v>
      </c>
      <c r="D3556" s="2">
        <v>9599.0</v>
      </c>
      <c r="E3556" s="3">
        <f t="shared" si="1"/>
        <v>0.3028362306</v>
      </c>
      <c r="F3556" s="2">
        <v>4134.0</v>
      </c>
      <c r="G3556" s="3">
        <f t="shared" si="2"/>
        <v>0.1304224375</v>
      </c>
      <c r="H3556" s="2">
        <v>6621.0</v>
      </c>
      <c r="I3556" s="3">
        <f t="shared" si="3"/>
        <v>0.2088841215</v>
      </c>
      <c r="J3556" s="2">
        <v>6624.0</v>
      </c>
      <c r="K3556" s="3">
        <f t="shared" si="4"/>
        <v>0.2089787677</v>
      </c>
      <c r="L3556" s="2">
        <v>3922.0</v>
      </c>
      <c r="M3556" s="3">
        <f t="shared" si="5"/>
        <v>0.5923576499</v>
      </c>
      <c r="N3556" s="2">
        <v>3.97839E7</v>
      </c>
      <c r="O3556" s="4">
        <f t="shared" si="6"/>
        <v>6008.744903</v>
      </c>
      <c r="P3556" s="2">
        <v>5.0</v>
      </c>
      <c r="Q3556" s="3">
        <f t="shared" si="7"/>
        <v>0.001678979181</v>
      </c>
      <c r="R3556" s="2">
        <v>2974.0</v>
      </c>
      <c r="S3556" s="5">
        <f t="shared" si="8"/>
        <v>0.9986568167</v>
      </c>
    </row>
    <row r="3557">
      <c r="A3557" s="2" t="s">
        <v>3563</v>
      </c>
      <c r="B3557" s="2">
        <v>178.0</v>
      </c>
      <c r="C3557" s="2">
        <v>2141.0</v>
      </c>
      <c r="D3557" s="2">
        <v>749.0</v>
      </c>
      <c r="E3557" s="3">
        <f t="shared" si="1"/>
        <v>0.3815588385</v>
      </c>
      <c r="F3557" s="2">
        <v>256.0</v>
      </c>
      <c r="G3557" s="3">
        <f t="shared" si="2"/>
        <v>0.1304126337</v>
      </c>
      <c r="H3557" s="2">
        <v>393.0</v>
      </c>
      <c r="I3557" s="3">
        <f t="shared" si="3"/>
        <v>0.2002037697</v>
      </c>
      <c r="J3557" s="2">
        <v>257.0</v>
      </c>
      <c r="K3557" s="3">
        <f t="shared" si="4"/>
        <v>0.1309220581</v>
      </c>
      <c r="L3557" s="2">
        <v>238.0</v>
      </c>
      <c r="M3557" s="3">
        <f t="shared" si="5"/>
        <v>0.6055979644</v>
      </c>
      <c r="N3557" s="2">
        <v>2050100.0</v>
      </c>
      <c r="O3557" s="4">
        <f t="shared" si="6"/>
        <v>5216.53944</v>
      </c>
      <c r="P3557" s="2">
        <v>0.0</v>
      </c>
      <c r="Q3557" s="3">
        <f t="shared" si="7"/>
        <v>0</v>
      </c>
      <c r="R3557" s="2">
        <v>97.0</v>
      </c>
      <c r="S3557" s="5">
        <f t="shared" si="8"/>
        <v>0.5449438202</v>
      </c>
    </row>
    <row r="3558">
      <c r="A3558" s="2" t="s">
        <v>3564</v>
      </c>
      <c r="B3558" s="2">
        <v>132.0</v>
      </c>
      <c r="C3558" s="2">
        <v>1520.0</v>
      </c>
      <c r="D3558" s="2">
        <v>278.0</v>
      </c>
      <c r="E3558" s="3">
        <f t="shared" si="1"/>
        <v>0.2002881844</v>
      </c>
      <c r="F3558" s="2">
        <v>181.0</v>
      </c>
      <c r="G3558" s="3">
        <f t="shared" si="2"/>
        <v>0.1304034582</v>
      </c>
      <c r="H3558" s="2">
        <v>263.0</v>
      </c>
      <c r="I3558" s="3">
        <f t="shared" si="3"/>
        <v>0.189481268</v>
      </c>
      <c r="J3558" s="2">
        <v>319.0</v>
      </c>
      <c r="K3558" s="3">
        <f t="shared" si="4"/>
        <v>0.2298270893</v>
      </c>
      <c r="L3558" s="2">
        <v>159.0</v>
      </c>
      <c r="M3558" s="3">
        <f t="shared" si="5"/>
        <v>0.6045627376</v>
      </c>
      <c r="N3558" s="2">
        <v>1576200.0</v>
      </c>
      <c r="O3558" s="4">
        <f t="shared" si="6"/>
        <v>5993.155894</v>
      </c>
      <c r="P3558" s="2">
        <v>0.0</v>
      </c>
      <c r="Q3558" s="3">
        <f t="shared" si="7"/>
        <v>0</v>
      </c>
      <c r="R3558" s="2">
        <v>0.0</v>
      </c>
      <c r="S3558" s="5">
        <f t="shared" si="8"/>
        <v>0</v>
      </c>
    </row>
    <row r="3559">
      <c r="A3559" s="2" t="s">
        <v>3565</v>
      </c>
      <c r="B3559" s="2">
        <v>231.0</v>
      </c>
      <c r="C3559" s="2">
        <v>2662.0</v>
      </c>
      <c r="D3559" s="2">
        <v>1056.0</v>
      </c>
      <c r="E3559" s="3">
        <f t="shared" si="1"/>
        <v>0.4343891403</v>
      </c>
      <c r="F3559" s="2">
        <v>317.0</v>
      </c>
      <c r="G3559" s="3">
        <f t="shared" si="2"/>
        <v>0.1303990128</v>
      </c>
      <c r="H3559" s="2">
        <v>504.0</v>
      </c>
      <c r="I3559" s="3">
        <f t="shared" si="3"/>
        <v>0.2073220897</v>
      </c>
      <c r="J3559" s="2">
        <v>379.0</v>
      </c>
      <c r="K3559" s="3">
        <f t="shared" si="4"/>
        <v>0.1559029206</v>
      </c>
      <c r="L3559" s="2">
        <v>299.0</v>
      </c>
      <c r="M3559" s="3">
        <f t="shared" si="5"/>
        <v>0.5932539683</v>
      </c>
      <c r="N3559" s="2">
        <v>2743400.0</v>
      </c>
      <c r="O3559" s="4">
        <f t="shared" si="6"/>
        <v>5443.253968</v>
      </c>
      <c r="P3559" s="2">
        <v>0.0</v>
      </c>
      <c r="Q3559" s="3">
        <f t="shared" si="7"/>
        <v>0</v>
      </c>
      <c r="R3559" s="2">
        <v>0.0</v>
      </c>
      <c r="S3559" s="5">
        <f t="shared" si="8"/>
        <v>0</v>
      </c>
    </row>
    <row r="3560">
      <c r="A3560" s="2" t="s">
        <v>3566</v>
      </c>
      <c r="B3560" s="2">
        <v>217.0</v>
      </c>
      <c r="C3560" s="2">
        <v>2510.0</v>
      </c>
      <c r="D3560" s="2">
        <v>823.0</v>
      </c>
      <c r="E3560" s="3">
        <f t="shared" si="1"/>
        <v>0.3589184474</v>
      </c>
      <c r="F3560" s="2">
        <v>299.0</v>
      </c>
      <c r="G3560" s="3">
        <f t="shared" si="2"/>
        <v>0.13039686</v>
      </c>
      <c r="H3560" s="2">
        <v>494.0</v>
      </c>
      <c r="I3560" s="3">
        <f t="shared" si="3"/>
        <v>0.2154382904</v>
      </c>
      <c r="J3560" s="2">
        <v>381.0</v>
      </c>
      <c r="K3560" s="3">
        <f t="shared" si="4"/>
        <v>0.1661578718</v>
      </c>
      <c r="L3560" s="2">
        <v>292.0</v>
      </c>
      <c r="M3560" s="3">
        <f t="shared" si="5"/>
        <v>0.5910931174</v>
      </c>
      <c r="N3560" s="2">
        <v>2769600.0</v>
      </c>
      <c r="O3560" s="4">
        <f t="shared" si="6"/>
        <v>5606.477733</v>
      </c>
      <c r="P3560" s="2">
        <v>0.0</v>
      </c>
      <c r="Q3560" s="3">
        <f t="shared" si="7"/>
        <v>0</v>
      </c>
      <c r="R3560" s="2">
        <v>0.0</v>
      </c>
      <c r="S3560" s="5">
        <f t="shared" si="8"/>
        <v>0</v>
      </c>
    </row>
    <row r="3561">
      <c r="A3561" s="2" t="s">
        <v>3567</v>
      </c>
      <c r="B3561" s="2">
        <v>195.0</v>
      </c>
      <c r="C3561" s="2">
        <v>2258.0</v>
      </c>
      <c r="D3561" s="2">
        <v>757.0</v>
      </c>
      <c r="E3561" s="3">
        <f t="shared" si="1"/>
        <v>0.3669413476</v>
      </c>
      <c r="F3561" s="2">
        <v>269.0</v>
      </c>
      <c r="G3561" s="3">
        <f t="shared" si="2"/>
        <v>0.1303926321</v>
      </c>
      <c r="H3561" s="2">
        <v>441.0</v>
      </c>
      <c r="I3561" s="3">
        <f t="shared" si="3"/>
        <v>0.2137663597</v>
      </c>
      <c r="J3561" s="2">
        <v>297.0</v>
      </c>
      <c r="K3561" s="3">
        <f t="shared" si="4"/>
        <v>0.1439650994</v>
      </c>
      <c r="L3561" s="2">
        <v>263.0</v>
      </c>
      <c r="M3561" s="3">
        <f t="shared" si="5"/>
        <v>0.5963718821</v>
      </c>
      <c r="N3561" s="2">
        <v>2494200.0</v>
      </c>
      <c r="O3561" s="4">
        <f t="shared" si="6"/>
        <v>5655.782313</v>
      </c>
      <c r="P3561" s="2">
        <v>1.0</v>
      </c>
      <c r="Q3561" s="3">
        <f t="shared" si="7"/>
        <v>0.005128205128</v>
      </c>
      <c r="R3561" s="2">
        <v>161.0</v>
      </c>
      <c r="S3561" s="5">
        <f t="shared" si="8"/>
        <v>0.8256410256</v>
      </c>
    </row>
    <row r="3562">
      <c r="A3562" s="2" t="s">
        <v>3568</v>
      </c>
      <c r="B3562" s="2">
        <v>962.0</v>
      </c>
      <c r="C3562" s="2">
        <v>11308.0</v>
      </c>
      <c r="D3562" s="2">
        <v>3848.0</v>
      </c>
      <c r="E3562" s="3">
        <f t="shared" si="1"/>
        <v>0.3719311811</v>
      </c>
      <c r="F3562" s="2">
        <v>1349.0</v>
      </c>
      <c r="G3562" s="3">
        <f t="shared" si="2"/>
        <v>0.130388556</v>
      </c>
      <c r="H3562" s="2">
        <v>2282.0</v>
      </c>
      <c r="I3562" s="3">
        <f t="shared" si="3"/>
        <v>0.2205683356</v>
      </c>
      <c r="J3562" s="2">
        <v>2025.0</v>
      </c>
      <c r="K3562" s="3">
        <f t="shared" si="4"/>
        <v>0.1957278175</v>
      </c>
      <c r="L3562" s="2">
        <v>1321.0</v>
      </c>
      <c r="M3562" s="3">
        <f t="shared" si="5"/>
        <v>0.578878177</v>
      </c>
      <c r="N3562" s="2">
        <v>1.28669E7</v>
      </c>
      <c r="O3562" s="4">
        <f t="shared" si="6"/>
        <v>5638.431201</v>
      </c>
      <c r="P3562" s="2">
        <v>1.0</v>
      </c>
      <c r="Q3562" s="3">
        <f t="shared" si="7"/>
        <v>0.00103950104</v>
      </c>
      <c r="R3562" s="2">
        <v>962.0</v>
      </c>
      <c r="S3562" s="5">
        <f t="shared" si="8"/>
        <v>1</v>
      </c>
    </row>
    <row r="3563">
      <c r="A3563" s="2" t="s">
        <v>3569</v>
      </c>
      <c r="B3563" s="2">
        <v>828.0</v>
      </c>
      <c r="C3563" s="2">
        <v>9740.0</v>
      </c>
      <c r="D3563" s="2">
        <v>4054.0</v>
      </c>
      <c r="E3563" s="3">
        <f t="shared" si="1"/>
        <v>0.4548922801</v>
      </c>
      <c r="F3563" s="2">
        <v>1162.0</v>
      </c>
      <c r="G3563" s="3">
        <f t="shared" si="2"/>
        <v>0.1303859964</v>
      </c>
      <c r="H3563" s="2">
        <v>1960.0</v>
      </c>
      <c r="I3563" s="3">
        <f t="shared" si="3"/>
        <v>0.2199281867</v>
      </c>
      <c r="J3563" s="2">
        <v>1615.0</v>
      </c>
      <c r="K3563" s="3">
        <f t="shared" si="4"/>
        <v>0.1812163375</v>
      </c>
      <c r="L3563" s="2">
        <v>1179.0</v>
      </c>
      <c r="M3563" s="3">
        <f t="shared" si="5"/>
        <v>0.6015306122</v>
      </c>
      <c r="N3563" s="2">
        <v>1.02549E7</v>
      </c>
      <c r="O3563" s="4">
        <f t="shared" si="6"/>
        <v>5232.091837</v>
      </c>
      <c r="P3563" s="2">
        <v>0.0</v>
      </c>
      <c r="Q3563" s="3">
        <f t="shared" si="7"/>
        <v>0</v>
      </c>
      <c r="R3563" s="2">
        <v>828.0</v>
      </c>
      <c r="S3563" s="5">
        <f t="shared" si="8"/>
        <v>1</v>
      </c>
    </row>
    <row r="3564">
      <c r="A3564" s="2" t="s">
        <v>3570</v>
      </c>
      <c r="B3564" s="2">
        <v>638.0</v>
      </c>
      <c r="C3564" s="2">
        <v>7311.0</v>
      </c>
      <c r="D3564" s="2">
        <v>2067.0</v>
      </c>
      <c r="E3564" s="3">
        <f t="shared" si="1"/>
        <v>0.3097557321</v>
      </c>
      <c r="F3564" s="2">
        <v>870.0</v>
      </c>
      <c r="G3564" s="3">
        <f t="shared" si="2"/>
        <v>0.1303761427</v>
      </c>
      <c r="H3564" s="2">
        <v>1372.0</v>
      </c>
      <c r="I3564" s="3">
        <f t="shared" si="3"/>
        <v>0.2056046756</v>
      </c>
      <c r="J3564" s="2">
        <v>1176.0</v>
      </c>
      <c r="K3564" s="3">
        <f t="shared" si="4"/>
        <v>0.176232579</v>
      </c>
      <c r="L3564" s="2">
        <v>831.0</v>
      </c>
      <c r="M3564" s="3">
        <f t="shared" si="5"/>
        <v>0.6056851312</v>
      </c>
      <c r="N3564" s="2">
        <v>8189900.0</v>
      </c>
      <c r="O3564" s="4">
        <f t="shared" si="6"/>
        <v>5969.314869</v>
      </c>
      <c r="P3564" s="2">
        <v>2.0</v>
      </c>
      <c r="Q3564" s="3">
        <f t="shared" si="7"/>
        <v>0.003134796238</v>
      </c>
      <c r="R3564" s="2">
        <v>0.0</v>
      </c>
      <c r="S3564" s="5">
        <f t="shared" si="8"/>
        <v>0</v>
      </c>
    </row>
    <row r="3565">
      <c r="A3565" s="2" t="s">
        <v>3571</v>
      </c>
      <c r="B3565" s="2">
        <v>128.0</v>
      </c>
      <c r="C3565" s="2">
        <v>1501.0</v>
      </c>
      <c r="D3565" s="2">
        <v>418.0</v>
      </c>
      <c r="E3565" s="3">
        <f t="shared" si="1"/>
        <v>0.3044428259</v>
      </c>
      <c r="F3565" s="2">
        <v>179.0</v>
      </c>
      <c r="G3565" s="3">
        <f t="shared" si="2"/>
        <v>0.1303714494</v>
      </c>
      <c r="H3565" s="2">
        <v>283.0</v>
      </c>
      <c r="I3565" s="3">
        <f t="shared" si="3"/>
        <v>0.2061179898</v>
      </c>
      <c r="J3565" s="2">
        <v>272.0</v>
      </c>
      <c r="K3565" s="3">
        <f t="shared" si="4"/>
        <v>0.1981063365</v>
      </c>
      <c r="L3565" s="2">
        <v>172.0</v>
      </c>
      <c r="M3565" s="3">
        <f t="shared" si="5"/>
        <v>0.6077738516</v>
      </c>
      <c r="N3565" s="2">
        <v>1652100.0</v>
      </c>
      <c r="O3565" s="4">
        <f t="shared" si="6"/>
        <v>5837.809187</v>
      </c>
      <c r="P3565" s="2">
        <v>0.0</v>
      </c>
      <c r="Q3565" s="3">
        <f t="shared" si="7"/>
        <v>0</v>
      </c>
      <c r="R3565" s="2">
        <v>128.0</v>
      </c>
      <c r="S3565" s="5">
        <f t="shared" si="8"/>
        <v>1</v>
      </c>
    </row>
    <row r="3566">
      <c r="A3566" s="2" t="s">
        <v>3572</v>
      </c>
      <c r="B3566" s="2">
        <v>3385.0</v>
      </c>
      <c r="C3566" s="2">
        <v>39845.0</v>
      </c>
      <c r="D3566" s="2">
        <v>14521.0</v>
      </c>
      <c r="E3566" s="3">
        <f t="shared" si="1"/>
        <v>0.398272079</v>
      </c>
      <c r="F3566" s="2">
        <v>4753.0</v>
      </c>
      <c r="G3566" s="3">
        <f t="shared" si="2"/>
        <v>0.1303620406</v>
      </c>
      <c r="H3566" s="2">
        <v>8174.0</v>
      </c>
      <c r="I3566" s="3">
        <f t="shared" si="3"/>
        <v>0.2241908941</v>
      </c>
      <c r="J3566" s="2">
        <v>6623.0</v>
      </c>
      <c r="K3566" s="3">
        <f t="shared" si="4"/>
        <v>0.1816511245</v>
      </c>
      <c r="L3566" s="2">
        <v>4848.0</v>
      </c>
      <c r="M3566" s="3">
        <f t="shared" si="5"/>
        <v>0.5931000734</v>
      </c>
      <c r="N3566" s="2">
        <v>4.3906E7</v>
      </c>
      <c r="O3566" s="4">
        <f t="shared" si="6"/>
        <v>5371.421581</v>
      </c>
      <c r="P3566" s="2">
        <v>4.0</v>
      </c>
      <c r="Q3566" s="3">
        <f t="shared" si="7"/>
        <v>0.0011816839</v>
      </c>
      <c r="R3566" s="2">
        <v>30.0</v>
      </c>
      <c r="S3566" s="5">
        <f t="shared" si="8"/>
        <v>0.008862629247</v>
      </c>
    </row>
    <row r="3567">
      <c r="A3567" s="2" t="s">
        <v>3573</v>
      </c>
      <c r="B3567" s="2">
        <v>1639.0</v>
      </c>
      <c r="C3567" s="2">
        <v>19198.0</v>
      </c>
      <c r="D3567" s="2">
        <v>6961.0</v>
      </c>
      <c r="E3567" s="3">
        <f t="shared" si="1"/>
        <v>0.3964348767</v>
      </c>
      <c r="F3567" s="2">
        <v>2289.0</v>
      </c>
      <c r="G3567" s="3">
        <f t="shared" si="2"/>
        <v>0.1303604989</v>
      </c>
      <c r="H3567" s="2">
        <v>3808.0</v>
      </c>
      <c r="I3567" s="3">
        <f t="shared" si="3"/>
        <v>0.2168688422</v>
      </c>
      <c r="J3567" s="2">
        <v>2818.0</v>
      </c>
      <c r="K3567" s="3">
        <f t="shared" si="4"/>
        <v>0.1604874993</v>
      </c>
      <c r="L3567" s="2">
        <v>2299.0</v>
      </c>
      <c r="M3567" s="3">
        <f t="shared" si="5"/>
        <v>0.6037289916</v>
      </c>
      <c r="N3567" s="2">
        <v>2.0431E7</v>
      </c>
      <c r="O3567" s="4">
        <f t="shared" si="6"/>
        <v>5365.283613</v>
      </c>
      <c r="P3567" s="2">
        <v>5.0</v>
      </c>
      <c r="Q3567" s="3">
        <f t="shared" si="7"/>
        <v>0.003050640635</v>
      </c>
      <c r="R3567" s="2">
        <v>1639.0</v>
      </c>
      <c r="S3567" s="5">
        <f t="shared" si="8"/>
        <v>1</v>
      </c>
    </row>
    <row r="3568">
      <c r="A3568" s="2" t="s">
        <v>3574</v>
      </c>
      <c r="B3568" s="2">
        <v>692.0</v>
      </c>
      <c r="C3568" s="2">
        <v>8164.0</v>
      </c>
      <c r="D3568" s="2">
        <v>1889.0</v>
      </c>
      <c r="E3568" s="3">
        <f t="shared" si="1"/>
        <v>0.2528104925</v>
      </c>
      <c r="F3568" s="2">
        <v>974.0</v>
      </c>
      <c r="G3568" s="3">
        <f t="shared" si="2"/>
        <v>0.1303533191</v>
      </c>
      <c r="H3568" s="2">
        <v>1469.0</v>
      </c>
      <c r="I3568" s="3">
        <f t="shared" si="3"/>
        <v>0.1966006424</v>
      </c>
      <c r="J3568" s="2">
        <v>1468.0</v>
      </c>
      <c r="K3568" s="3">
        <f t="shared" si="4"/>
        <v>0.1964668094</v>
      </c>
      <c r="L3568" s="2">
        <v>833.0</v>
      </c>
      <c r="M3568" s="3">
        <f t="shared" si="5"/>
        <v>0.5670524166</v>
      </c>
      <c r="N3568" s="2">
        <v>8612200.0</v>
      </c>
      <c r="O3568" s="4">
        <f t="shared" si="6"/>
        <v>5862.627638</v>
      </c>
      <c r="P3568" s="2">
        <v>4.0</v>
      </c>
      <c r="Q3568" s="3">
        <f t="shared" si="7"/>
        <v>0.005780346821</v>
      </c>
      <c r="R3568" s="2">
        <v>692.0</v>
      </c>
      <c r="S3568" s="5">
        <f t="shared" si="8"/>
        <v>1</v>
      </c>
    </row>
    <row r="3569">
      <c r="A3569" s="2" t="s">
        <v>3575</v>
      </c>
      <c r="B3569" s="2">
        <v>39.0</v>
      </c>
      <c r="C3569" s="2">
        <v>484.0</v>
      </c>
      <c r="D3569" s="2">
        <v>132.0</v>
      </c>
      <c r="E3569" s="3">
        <f t="shared" si="1"/>
        <v>0.2966292135</v>
      </c>
      <c r="F3569" s="2">
        <v>58.0</v>
      </c>
      <c r="G3569" s="3">
        <f t="shared" si="2"/>
        <v>0.1303370787</v>
      </c>
      <c r="H3569" s="2">
        <v>102.0</v>
      </c>
      <c r="I3569" s="3">
        <f t="shared" si="3"/>
        <v>0.2292134831</v>
      </c>
      <c r="J3569" s="2">
        <v>87.0</v>
      </c>
      <c r="K3569" s="3">
        <f t="shared" si="4"/>
        <v>0.195505618</v>
      </c>
      <c r="L3569" s="2">
        <v>63.0</v>
      </c>
      <c r="M3569" s="3">
        <f t="shared" si="5"/>
        <v>0.6176470588</v>
      </c>
      <c r="N3569" s="2">
        <v>571700.0</v>
      </c>
      <c r="O3569" s="4">
        <f t="shared" si="6"/>
        <v>5604.901961</v>
      </c>
      <c r="P3569" s="2">
        <v>0.0</v>
      </c>
      <c r="Q3569" s="3">
        <f t="shared" si="7"/>
        <v>0</v>
      </c>
      <c r="R3569" s="2">
        <v>39.0</v>
      </c>
      <c r="S3569" s="5">
        <f t="shared" si="8"/>
        <v>1</v>
      </c>
    </row>
    <row r="3570">
      <c r="A3570" s="2" t="s">
        <v>3576</v>
      </c>
      <c r="B3570" s="2">
        <v>307.0</v>
      </c>
      <c r="C3570" s="2">
        <v>3637.0</v>
      </c>
      <c r="D3570" s="2">
        <v>1211.0</v>
      </c>
      <c r="E3570" s="3">
        <f t="shared" si="1"/>
        <v>0.3636636637</v>
      </c>
      <c r="F3570" s="2">
        <v>434.0</v>
      </c>
      <c r="G3570" s="3">
        <f t="shared" si="2"/>
        <v>0.1303303303</v>
      </c>
      <c r="H3570" s="2">
        <v>659.0</v>
      </c>
      <c r="I3570" s="3">
        <f t="shared" si="3"/>
        <v>0.1978978979</v>
      </c>
      <c r="J3570" s="2">
        <v>560.0</v>
      </c>
      <c r="K3570" s="3">
        <f t="shared" si="4"/>
        <v>0.1681681682</v>
      </c>
      <c r="L3570" s="2">
        <v>365.0</v>
      </c>
      <c r="M3570" s="3">
        <f t="shared" si="5"/>
        <v>0.5538694992</v>
      </c>
      <c r="N3570" s="2">
        <v>3496900.0</v>
      </c>
      <c r="O3570" s="4">
        <f t="shared" si="6"/>
        <v>5306.373293</v>
      </c>
      <c r="P3570" s="2">
        <v>0.0</v>
      </c>
      <c r="Q3570" s="3">
        <f t="shared" si="7"/>
        <v>0</v>
      </c>
      <c r="R3570" s="2">
        <v>307.0</v>
      </c>
      <c r="S3570" s="5">
        <f t="shared" si="8"/>
        <v>1</v>
      </c>
    </row>
    <row r="3571">
      <c r="A3571" s="2" t="s">
        <v>3577</v>
      </c>
      <c r="B3571" s="2">
        <v>150.0</v>
      </c>
      <c r="C3571" s="2">
        <v>1769.0</v>
      </c>
      <c r="D3571" s="2">
        <v>583.0</v>
      </c>
      <c r="E3571" s="3">
        <f t="shared" si="1"/>
        <v>0.3600988264</v>
      </c>
      <c r="F3571" s="2">
        <v>211.0</v>
      </c>
      <c r="G3571" s="3">
        <f t="shared" si="2"/>
        <v>0.1303273626</v>
      </c>
      <c r="H3571" s="2">
        <v>344.0</v>
      </c>
      <c r="I3571" s="3">
        <f t="shared" si="3"/>
        <v>0.2124768376</v>
      </c>
      <c r="J3571" s="2">
        <v>266.0</v>
      </c>
      <c r="K3571" s="3">
        <f t="shared" si="4"/>
        <v>0.16429895</v>
      </c>
      <c r="L3571" s="2">
        <v>217.0</v>
      </c>
      <c r="M3571" s="3">
        <f t="shared" si="5"/>
        <v>0.6308139535</v>
      </c>
      <c r="N3571" s="2">
        <v>1906000.0</v>
      </c>
      <c r="O3571" s="4">
        <f t="shared" si="6"/>
        <v>5540.697674</v>
      </c>
      <c r="P3571" s="2">
        <v>0.0</v>
      </c>
      <c r="Q3571" s="3">
        <f t="shared" si="7"/>
        <v>0</v>
      </c>
      <c r="R3571" s="2">
        <v>0.0</v>
      </c>
      <c r="S3571" s="5">
        <f t="shared" si="8"/>
        <v>0</v>
      </c>
    </row>
    <row r="3572">
      <c r="A3572" s="2" t="s">
        <v>3578</v>
      </c>
      <c r="B3572" s="2">
        <v>1805.0</v>
      </c>
      <c r="C3572" s="2">
        <v>21395.0</v>
      </c>
      <c r="D3572" s="2">
        <v>6343.0</v>
      </c>
      <c r="E3572" s="3">
        <f t="shared" si="1"/>
        <v>0.3237876468</v>
      </c>
      <c r="F3572" s="2">
        <v>2553.0</v>
      </c>
      <c r="G3572" s="3">
        <f t="shared" si="2"/>
        <v>0.1303215926</v>
      </c>
      <c r="H3572" s="2">
        <v>4190.0</v>
      </c>
      <c r="I3572" s="3">
        <f t="shared" si="3"/>
        <v>0.213884635</v>
      </c>
      <c r="J3572" s="2">
        <v>3134.0</v>
      </c>
      <c r="K3572" s="3">
        <f t="shared" si="4"/>
        <v>0.1599795814</v>
      </c>
      <c r="L3572" s="2">
        <v>2577.0</v>
      </c>
      <c r="M3572" s="3">
        <f t="shared" si="5"/>
        <v>0.6150357995</v>
      </c>
      <c r="N3572" s="2">
        <v>2.35181E7</v>
      </c>
      <c r="O3572" s="4">
        <f t="shared" si="6"/>
        <v>5612.911695</v>
      </c>
      <c r="P3572" s="2">
        <v>4.0</v>
      </c>
      <c r="Q3572" s="3">
        <f t="shared" si="7"/>
        <v>0.002216066482</v>
      </c>
      <c r="R3572" s="2">
        <v>1805.0</v>
      </c>
      <c r="S3572" s="5">
        <f t="shared" si="8"/>
        <v>1</v>
      </c>
    </row>
    <row r="3573">
      <c r="A3573" s="2" t="s">
        <v>3579</v>
      </c>
      <c r="B3573" s="2">
        <v>180.0</v>
      </c>
      <c r="C3573" s="2">
        <v>2060.0</v>
      </c>
      <c r="D3573" s="2">
        <v>714.0</v>
      </c>
      <c r="E3573" s="3">
        <f t="shared" si="1"/>
        <v>0.379787234</v>
      </c>
      <c r="F3573" s="2">
        <v>245.0</v>
      </c>
      <c r="G3573" s="3">
        <f t="shared" si="2"/>
        <v>0.1303191489</v>
      </c>
      <c r="H3573" s="2">
        <v>397.0</v>
      </c>
      <c r="I3573" s="3">
        <f t="shared" si="3"/>
        <v>0.2111702128</v>
      </c>
      <c r="J3573" s="2">
        <v>335.0</v>
      </c>
      <c r="K3573" s="3">
        <f t="shared" si="4"/>
        <v>0.1781914894</v>
      </c>
      <c r="L3573" s="2">
        <v>222.0</v>
      </c>
      <c r="M3573" s="3">
        <f t="shared" si="5"/>
        <v>0.5591939547</v>
      </c>
      <c r="N3573" s="2">
        <v>2083800.0</v>
      </c>
      <c r="O3573" s="4">
        <f t="shared" si="6"/>
        <v>5248.866499</v>
      </c>
      <c r="P3573" s="2">
        <v>2.0</v>
      </c>
      <c r="Q3573" s="3">
        <f t="shared" si="7"/>
        <v>0.01111111111</v>
      </c>
      <c r="R3573" s="2">
        <v>180.0</v>
      </c>
      <c r="S3573" s="5">
        <f t="shared" si="8"/>
        <v>1</v>
      </c>
    </row>
    <row r="3574">
      <c r="A3574" s="2" t="s">
        <v>3580</v>
      </c>
      <c r="B3574" s="2">
        <v>69.0</v>
      </c>
      <c r="C3574" s="2">
        <v>821.0</v>
      </c>
      <c r="D3574" s="2">
        <v>258.0</v>
      </c>
      <c r="E3574" s="3">
        <f t="shared" si="1"/>
        <v>0.3430851064</v>
      </c>
      <c r="F3574" s="2">
        <v>98.0</v>
      </c>
      <c r="G3574" s="3">
        <f t="shared" si="2"/>
        <v>0.1303191489</v>
      </c>
      <c r="H3574" s="2">
        <v>161.0</v>
      </c>
      <c r="I3574" s="3">
        <f t="shared" si="3"/>
        <v>0.2140957447</v>
      </c>
      <c r="J3574" s="2">
        <v>125.0</v>
      </c>
      <c r="K3574" s="3">
        <f t="shared" si="4"/>
        <v>0.1662234043</v>
      </c>
      <c r="L3574" s="2">
        <v>101.0</v>
      </c>
      <c r="M3574" s="3">
        <f t="shared" si="5"/>
        <v>0.6273291925</v>
      </c>
      <c r="N3574" s="2">
        <v>843700.0</v>
      </c>
      <c r="O3574" s="4">
        <f t="shared" si="6"/>
        <v>5240.372671</v>
      </c>
      <c r="P3574" s="2">
        <v>0.0</v>
      </c>
      <c r="Q3574" s="3">
        <f t="shared" si="7"/>
        <v>0</v>
      </c>
      <c r="R3574" s="2">
        <v>69.0</v>
      </c>
      <c r="S3574" s="5">
        <f t="shared" si="8"/>
        <v>1</v>
      </c>
    </row>
    <row r="3575">
      <c r="A3575" s="2" t="s">
        <v>3581</v>
      </c>
      <c r="B3575" s="2">
        <v>1203.0</v>
      </c>
      <c r="C3575" s="2">
        <v>14064.0</v>
      </c>
      <c r="D3575" s="2">
        <v>4125.0</v>
      </c>
      <c r="E3575" s="3">
        <f t="shared" si="1"/>
        <v>0.3207371122</v>
      </c>
      <c r="F3575" s="2">
        <v>1676.0</v>
      </c>
      <c r="G3575" s="3">
        <f t="shared" si="2"/>
        <v>0.1303164606</v>
      </c>
      <c r="H3575" s="2">
        <v>2530.0</v>
      </c>
      <c r="I3575" s="3">
        <f t="shared" si="3"/>
        <v>0.1967187621</v>
      </c>
      <c r="J3575" s="2">
        <v>2057.0</v>
      </c>
      <c r="K3575" s="3">
        <f t="shared" si="4"/>
        <v>0.1599409066</v>
      </c>
      <c r="L3575" s="2">
        <v>1541.0</v>
      </c>
      <c r="M3575" s="3">
        <f t="shared" si="5"/>
        <v>0.6090909091</v>
      </c>
      <c r="N3575" s="2">
        <v>1.5804E7</v>
      </c>
      <c r="O3575" s="4">
        <f t="shared" si="6"/>
        <v>6246.640316</v>
      </c>
      <c r="P3575" s="2">
        <v>2.0</v>
      </c>
      <c r="Q3575" s="3">
        <f t="shared" si="7"/>
        <v>0.001662510391</v>
      </c>
      <c r="R3575" s="2">
        <v>1203.0</v>
      </c>
      <c r="S3575" s="5">
        <f t="shared" si="8"/>
        <v>1</v>
      </c>
    </row>
    <row r="3576">
      <c r="A3576" s="2" t="s">
        <v>3582</v>
      </c>
      <c r="B3576" s="2">
        <v>223.0</v>
      </c>
      <c r="C3576" s="2">
        <v>2671.0</v>
      </c>
      <c r="D3576" s="2">
        <v>927.0</v>
      </c>
      <c r="E3576" s="3">
        <f t="shared" si="1"/>
        <v>0.3786764706</v>
      </c>
      <c r="F3576" s="2">
        <v>319.0</v>
      </c>
      <c r="G3576" s="3">
        <f t="shared" si="2"/>
        <v>0.1303104575</v>
      </c>
      <c r="H3576" s="2">
        <v>529.0</v>
      </c>
      <c r="I3576" s="3">
        <f t="shared" si="3"/>
        <v>0.2160947712</v>
      </c>
      <c r="J3576" s="2">
        <v>411.0</v>
      </c>
      <c r="K3576" s="3">
        <f t="shared" si="4"/>
        <v>0.1678921569</v>
      </c>
      <c r="L3576" s="2">
        <v>303.0</v>
      </c>
      <c r="M3576" s="3">
        <f t="shared" si="5"/>
        <v>0.572778828</v>
      </c>
      <c r="N3576" s="2">
        <v>2963600.0</v>
      </c>
      <c r="O3576" s="4">
        <f t="shared" si="6"/>
        <v>5602.268431</v>
      </c>
      <c r="P3576" s="2">
        <v>3.0</v>
      </c>
      <c r="Q3576" s="3">
        <f t="shared" si="7"/>
        <v>0.0134529148</v>
      </c>
      <c r="R3576" s="2">
        <v>223.0</v>
      </c>
      <c r="S3576" s="5">
        <f t="shared" si="8"/>
        <v>1</v>
      </c>
    </row>
    <row r="3577">
      <c r="A3577" s="2" t="s">
        <v>3583</v>
      </c>
      <c r="B3577" s="2">
        <v>93.0</v>
      </c>
      <c r="C3577" s="2">
        <v>1129.0</v>
      </c>
      <c r="D3577" s="2">
        <v>252.0</v>
      </c>
      <c r="E3577" s="3">
        <f t="shared" si="1"/>
        <v>0.2432432432</v>
      </c>
      <c r="F3577" s="2">
        <v>135.0</v>
      </c>
      <c r="G3577" s="3">
        <f t="shared" si="2"/>
        <v>0.1303088803</v>
      </c>
      <c r="H3577" s="2">
        <v>168.0</v>
      </c>
      <c r="I3577" s="3">
        <f t="shared" si="3"/>
        <v>0.1621621622</v>
      </c>
      <c r="J3577" s="2">
        <v>203.0</v>
      </c>
      <c r="K3577" s="3">
        <f t="shared" si="4"/>
        <v>0.1959459459</v>
      </c>
      <c r="L3577" s="2">
        <v>85.0</v>
      </c>
      <c r="M3577" s="3">
        <f t="shared" si="5"/>
        <v>0.505952381</v>
      </c>
      <c r="N3577" s="2">
        <v>1179300.0</v>
      </c>
      <c r="O3577" s="4">
        <f t="shared" si="6"/>
        <v>7019.642857</v>
      </c>
      <c r="P3577" s="2">
        <v>0.0</v>
      </c>
      <c r="Q3577" s="3">
        <f t="shared" si="7"/>
        <v>0</v>
      </c>
      <c r="R3577" s="2">
        <v>93.0</v>
      </c>
      <c r="S3577" s="5">
        <f t="shared" si="8"/>
        <v>1</v>
      </c>
    </row>
    <row r="3578">
      <c r="A3578" s="2" t="s">
        <v>3584</v>
      </c>
      <c r="B3578" s="2">
        <v>183.0</v>
      </c>
      <c r="C3578" s="2">
        <v>2163.0</v>
      </c>
      <c r="D3578" s="2">
        <v>634.0</v>
      </c>
      <c r="E3578" s="3">
        <f t="shared" si="1"/>
        <v>0.3202020202</v>
      </c>
      <c r="F3578" s="2">
        <v>258.0</v>
      </c>
      <c r="G3578" s="3">
        <f t="shared" si="2"/>
        <v>0.1303030303</v>
      </c>
      <c r="H3578" s="2">
        <v>400.0</v>
      </c>
      <c r="I3578" s="3">
        <f t="shared" si="3"/>
        <v>0.202020202</v>
      </c>
      <c r="J3578" s="2">
        <v>344.0</v>
      </c>
      <c r="K3578" s="3">
        <f t="shared" si="4"/>
        <v>0.1737373737</v>
      </c>
      <c r="L3578" s="2">
        <v>236.0</v>
      </c>
      <c r="M3578" s="3">
        <f t="shared" si="5"/>
        <v>0.59</v>
      </c>
      <c r="N3578" s="2">
        <v>2110600.0</v>
      </c>
      <c r="O3578" s="4">
        <f t="shared" si="6"/>
        <v>5276.5</v>
      </c>
      <c r="P3578" s="2">
        <v>0.0</v>
      </c>
      <c r="Q3578" s="3">
        <f t="shared" si="7"/>
        <v>0</v>
      </c>
      <c r="R3578" s="2">
        <v>183.0</v>
      </c>
      <c r="S3578" s="5">
        <f t="shared" si="8"/>
        <v>1</v>
      </c>
    </row>
    <row r="3579">
      <c r="A3579" s="2" t="s">
        <v>3585</v>
      </c>
      <c r="B3579" s="2">
        <v>432.0</v>
      </c>
      <c r="C3579" s="2">
        <v>5083.0</v>
      </c>
      <c r="D3579" s="2">
        <v>1169.0</v>
      </c>
      <c r="E3579" s="3">
        <f t="shared" si="1"/>
        <v>0.251343797</v>
      </c>
      <c r="F3579" s="2">
        <v>606.0</v>
      </c>
      <c r="G3579" s="3">
        <f t="shared" si="2"/>
        <v>0.1302945603</v>
      </c>
      <c r="H3579" s="2">
        <v>928.0</v>
      </c>
      <c r="I3579" s="3">
        <f t="shared" si="3"/>
        <v>0.1995269834</v>
      </c>
      <c r="J3579" s="2">
        <v>695.0</v>
      </c>
      <c r="K3579" s="3">
        <f t="shared" si="4"/>
        <v>0.1494302301</v>
      </c>
      <c r="L3579" s="2">
        <v>575.0</v>
      </c>
      <c r="M3579" s="3">
        <f t="shared" si="5"/>
        <v>0.619612069</v>
      </c>
      <c r="N3579" s="2">
        <v>5122800.0</v>
      </c>
      <c r="O3579" s="4">
        <f t="shared" si="6"/>
        <v>5520.258621</v>
      </c>
      <c r="P3579" s="2">
        <v>1.0</v>
      </c>
      <c r="Q3579" s="3">
        <f t="shared" si="7"/>
        <v>0.002314814815</v>
      </c>
      <c r="R3579" s="2">
        <v>432.0</v>
      </c>
      <c r="S3579" s="5">
        <f t="shared" si="8"/>
        <v>1</v>
      </c>
    </row>
    <row r="3580">
      <c r="A3580" s="2" t="s">
        <v>3586</v>
      </c>
      <c r="B3580" s="2">
        <v>1407.0</v>
      </c>
      <c r="C3580" s="2">
        <v>16450.0</v>
      </c>
      <c r="D3580" s="2">
        <v>5153.0</v>
      </c>
      <c r="E3580" s="3">
        <f t="shared" si="1"/>
        <v>0.3425513528</v>
      </c>
      <c r="F3580" s="2">
        <v>1960.0</v>
      </c>
      <c r="G3580" s="3">
        <f t="shared" si="2"/>
        <v>0.1302931596</v>
      </c>
      <c r="H3580" s="2">
        <v>3043.0</v>
      </c>
      <c r="I3580" s="3">
        <f t="shared" si="3"/>
        <v>0.2022867779</v>
      </c>
      <c r="J3580" s="2">
        <v>2573.0</v>
      </c>
      <c r="K3580" s="3">
        <f t="shared" si="4"/>
        <v>0.17104301</v>
      </c>
      <c r="L3580" s="2">
        <v>1777.0</v>
      </c>
      <c r="M3580" s="3">
        <f t="shared" si="5"/>
        <v>0.5839631942</v>
      </c>
      <c r="N3580" s="2">
        <v>1.84934E7</v>
      </c>
      <c r="O3580" s="4">
        <f t="shared" si="6"/>
        <v>6077.357871</v>
      </c>
      <c r="P3580" s="2">
        <v>1.0</v>
      </c>
      <c r="Q3580" s="3">
        <f t="shared" si="7"/>
        <v>0.000710732054</v>
      </c>
      <c r="R3580" s="2">
        <v>1384.0</v>
      </c>
      <c r="S3580" s="5">
        <f t="shared" si="8"/>
        <v>0.9836531628</v>
      </c>
    </row>
    <row r="3581">
      <c r="A3581" s="2" t="s">
        <v>3587</v>
      </c>
      <c r="B3581" s="2">
        <v>133.0</v>
      </c>
      <c r="C3581" s="2">
        <v>1599.0</v>
      </c>
      <c r="D3581" s="2">
        <v>531.0</v>
      </c>
      <c r="E3581" s="3">
        <f t="shared" si="1"/>
        <v>0.3622100955</v>
      </c>
      <c r="F3581" s="2">
        <v>191.0</v>
      </c>
      <c r="G3581" s="3">
        <f t="shared" si="2"/>
        <v>0.1302864939</v>
      </c>
      <c r="H3581" s="2">
        <v>313.0</v>
      </c>
      <c r="I3581" s="3">
        <f t="shared" si="3"/>
        <v>0.2135061392</v>
      </c>
      <c r="J3581" s="2">
        <v>249.0</v>
      </c>
      <c r="K3581" s="3">
        <f t="shared" si="4"/>
        <v>0.1698499318</v>
      </c>
      <c r="L3581" s="2">
        <v>185.0</v>
      </c>
      <c r="M3581" s="3">
        <f t="shared" si="5"/>
        <v>0.5910543131</v>
      </c>
      <c r="N3581" s="2">
        <v>1700700.0</v>
      </c>
      <c r="O3581" s="4">
        <f t="shared" si="6"/>
        <v>5433.546326</v>
      </c>
      <c r="P3581" s="2">
        <v>0.0</v>
      </c>
      <c r="Q3581" s="3">
        <f t="shared" si="7"/>
        <v>0</v>
      </c>
      <c r="R3581" s="2">
        <v>0.0</v>
      </c>
      <c r="S3581" s="5">
        <f t="shared" si="8"/>
        <v>0</v>
      </c>
    </row>
    <row r="3582">
      <c r="A3582" s="2" t="s">
        <v>3588</v>
      </c>
      <c r="B3582" s="2">
        <v>274.0</v>
      </c>
      <c r="C3582" s="2">
        <v>3237.0</v>
      </c>
      <c r="D3582" s="2">
        <v>1119.0</v>
      </c>
      <c r="E3582" s="3">
        <f t="shared" si="1"/>
        <v>0.3776577793</v>
      </c>
      <c r="F3582" s="2">
        <v>386.0</v>
      </c>
      <c r="G3582" s="3">
        <f t="shared" si="2"/>
        <v>0.1302733716</v>
      </c>
      <c r="H3582" s="2">
        <v>615.0</v>
      </c>
      <c r="I3582" s="3">
        <f t="shared" si="3"/>
        <v>0.2075599055</v>
      </c>
      <c r="J3582" s="2">
        <v>517.0</v>
      </c>
      <c r="K3582" s="3">
        <f t="shared" si="4"/>
        <v>0.1744853189</v>
      </c>
      <c r="L3582" s="2">
        <v>331.0</v>
      </c>
      <c r="M3582" s="3">
        <f t="shared" si="5"/>
        <v>0.5382113821</v>
      </c>
      <c r="N3582" s="2">
        <v>3472700.0</v>
      </c>
      <c r="O3582" s="4">
        <f t="shared" si="6"/>
        <v>5646.666667</v>
      </c>
      <c r="P3582" s="2">
        <v>2.0</v>
      </c>
      <c r="Q3582" s="3">
        <f t="shared" si="7"/>
        <v>0.007299270073</v>
      </c>
      <c r="R3582" s="2">
        <v>274.0</v>
      </c>
      <c r="S3582" s="5">
        <f t="shared" si="8"/>
        <v>1</v>
      </c>
    </row>
    <row r="3583">
      <c r="A3583" s="2" t="s">
        <v>3589</v>
      </c>
      <c r="B3583" s="2">
        <v>181.0</v>
      </c>
      <c r="C3583" s="2">
        <v>2054.0</v>
      </c>
      <c r="D3583" s="2">
        <v>663.0</v>
      </c>
      <c r="E3583" s="3">
        <f t="shared" si="1"/>
        <v>0.3539775761</v>
      </c>
      <c r="F3583" s="2">
        <v>244.0</v>
      </c>
      <c r="G3583" s="3">
        <f t="shared" si="2"/>
        <v>0.1302722904</v>
      </c>
      <c r="H3583" s="2">
        <v>397.0</v>
      </c>
      <c r="I3583" s="3">
        <f t="shared" si="3"/>
        <v>0.2119594234</v>
      </c>
      <c r="J3583" s="2">
        <v>312.0</v>
      </c>
      <c r="K3583" s="3">
        <f t="shared" si="4"/>
        <v>0.1665776829</v>
      </c>
      <c r="L3583" s="2">
        <v>212.0</v>
      </c>
      <c r="M3583" s="3">
        <f t="shared" si="5"/>
        <v>0.5340050378</v>
      </c>
      <c r="N3583" s="2">
        <v>2394600.0</v>
      </c>
      <c r="O3583" s="4">
        <f t="shared" si="6"/>
        <v>6031.738035</v>
      </c>
      <c r="P3583" s="2">
        <v>1.0</v>
      </c>
      <c r="Q3583" s="3">
        <f t="shared" si="7"/>
        <v>0.005524861878</v>
      </c>
      <c r="R3583" s="2">
        <v>181.0</v>
      </c>
      <c r="S3583" s="5">
        <f t="shared" si="8"/>
        <v>1</v>
      </c>
    </row>
    <row r="3584">
      <c r="A3584" s="2" t="s">
        <v>3590</v>
      </c>
      <c r="B3584" s="2">
        <v>100.0</v>
      </c>
      <c r="C3584" s="2">
        <v>1098.0</v>
      </c>
      <c r="D3584" s="2">
        <v>393.0</v>
      </c>
      <c r="E3584" s="3">
        <f t="shared" si="1"/>
        <v>0.3937875752</v>
      </c>
      <c r="F3584" s="2">
        <v>130.0</v>
      </c>
      <c r="G3584" s="3">
        <f t="shared" si="2"/>
        <v>0.130260521</v>
      </c>
      <c r="H3584" s="2">
        <v>191.0</v>
      </c>
      <c r="I3584" s="3">
        <f t="shared" si="3"/>
        <v>0.1913827655</v>
      </c>
      <c r="J3584" s="2">
        <v>172.0</v>
      </c>
      <c r="K3584" s="3">
        <f t="shared" si="4"/>
        <v>0.1723446894</v>
      </c>
      <c r="L3584" s="2">
        <v>116.0</v>
      </c>
      <c r="M3584" s="3">
        <f t="shared" si="5"/>
        <v>0.6073298429</v>
      </c>
      <c r="N3584" s="2">
        <v>1075100.0</v>
      </c>
      <c r="O3584" s="4">
        <f t="shared" si="6"/>
        <v>5628.795812</v>
      </c>
      <c r="P3584" s="2">
        <v>0.0</v>
      </c>
      <c r="Q3584" s="3">
        <f t="shared" si="7"/>
        <v>0</v>
      </c>
      <c r="R3584" s="2">
        <v>3.0</v>
      </c>
      <c r="S3584" s="5">
        <f t="shared" si="8"/>
        <v>0.03</v>
      </c>
    </row>
    <row r="3585">
      <c r="A3585" s="2" t="s">
        <v>3591</v>
      </c>
      <c r="B3585" s="2">
        <v>345.0</v>
      </c>
      <c r="C3585" s="2">
        <v>4076.0</v>
      </c>
      <c r="D3585" s="2">
        <v>1342.0</v>
      </c>
      <c r="E3585" s="3">
        <f t="shared" si="1"/>
        <v>0.3596890914</v>
      </c>
      <c r="F3585" s="2">
        <v>486.0</v>
      </c>
      <c r="G3585" s="3">
        <f t="shared" si="2"/>
        <v>0.1302599839</v>
      </c>
      <c r="H3585" s="2">
        <v>720.0</v>
      </c>
      <c r="I3585" s="3">
        <f t="shared" si="3"/>
        <v>0.192977754</v>
      </c>
      <c r="J3585" s="2">
        <v>633.0</v>
      </c>
      <c r="K3585" s="3">
        <f t="shared" si="4"/>
        <v>0.1696596087</v>
      </c>
      <c r="L3585" s="2">
        <v>429.0</v>
      </c>
      <c r="M3585" s="3">
        <f t="shared" si="5"/>
        <v>0.5958333333</v>
      </c>
      <c r="N3585" s="2">
        <v>3819800.0</v>
      </c>
      <c r="O3585" s="4">
        <f t="shared" si="6"/>
        <v>5305.277778</v>
      </c>
      <c r="P3585" s="2">
        <v>0.0</v>
      </c>
      <c r="Q3585" s="3">
        <f t="shared" si="7"/>
        <v>0</v>
      </c>
      <c r="R3585" s="2">
        <v>6.0</v>
      </c>
      <c r="S3585" s="5">
        <f t="shared" si="8"/>
        <v>0.01739130435</v>
      </c>
    </row>
    <row r="3586">
      <c r="A3586" s="2" t="s">
        <v>3592</v>
      </c>
      <c r="B3586" s="2">
        <v>41.0</v>
      </c>
      <c r="C3586" s="2">
        <v>494.0</v>
      </c>
      <c r="D3586" s="2">
        <v>134.0</v>
      </c>
      <c r="E3586" s="3">
        <f t="shared" si="1"/>
        <v>0.2958057395</v>
      </c>
      <c r="F3586" s="2">
        <v>59.0</v>
      </c>
      <c r="G3586" s="3">
        <f t="shared" si="2"/>
        <v>0.1302428256</v>
      </c>
      <c r="H3586" s="2">
        <v>86.0</v>
      </c>
      <c r="I3586" s="3">
        <f t="shared" si="3"/>
        <v>0.1898454746</v>
      </c>
      <c r="J3586" s="2">
        <v>84.0</v>
      </c>
      <c r="K3586" s="3">
        <f t="shared" si="4"/>
        <v>0.1854304636</v>
      </c>
      <c r="L3586" s="2">
        <v>52.0</v>
      </c>
      <c r="M3586" s="3">
        <f t="shared" si="5"/>
        <v>0.6046511628</v>
      </c>
      <c r="N3586" s="2">
        <v>522000.0</v>
      </c>
      <c r="O3586" s="4">
        <f t="shared" si="6"/>
        <v>6069.767442</v>
      </c>
      <c r="P3586" s="2">
        <v>1.0</v>
      </c>
      <c r="Q3586" s="3">
        <f t="shared" si="7"/>
        <v>0.0243902439</v>
      </c>
      <c r="R3586" s="2">
        <v>0.0</v>
      </c>
      <c r="S3586" s="5">
        <f t="shared" si="8"/>
        <v>0</v>
      </c>
    </row>
    <row r="3587">
      <c r="A3587" s="2" t="s">
        <v>3593</v>
      </c>
      <c r="B3587" s="2">
        <v>122.0</v>
      </c>
      <c r="C3587" s="2">
        <v>1435.0</v>
      </c>
      <c r="D3587" s="2">
        <v>499.0</v>
      </c>
      <c r="E3587" s="3">
        <f t="shared" si="1"/>
        <v>0.3800456969</v>
      </c>
      <c r="F3587" s="2">
        <v>171.0</v>
      </c>
      <c r="G3587" s="3">
        <f t="shared" si="2"/>
        <v>0.1302361005</v>
      </c>
      <c r="H3587" s="2">
        <v>291.0</v>
      </c>
      <c r="I3587" s="3">
        <f t="shared" si="3"/>
        <v>0.2216298553</v>
      </c>
      <c r="J3587" s="2">
        <v>236.0</v>
      </c>
      <c r="K3587" s="3">
        <f t="shared" si="4"/>
        <v>0.179741051</v>
      </c>
      <c r="L3587" s="2">
        <v>185.0</v>
      </c>
      <c r="M3587" s="3">
        <f t="shared" si="5"/>
        <v>0.6357388316</v>
      </c>
      <c r="N3587" s="2">
        <v>1392200.0</v>
      </c>
      <c r="O3587" s="4">
        <f t="shared" si="6"/>
        <v>4784.19244</v>
      </c>
      <c r="P3587" s="2">
        <v>0.0</v>
      </c>
      <c r="Q3587" s="3">
        <f t="shared" si="7"/>
        <v>0</v>
      </c>
      <c r="R3587" s="2">
        <v>0.0</v>
      </c>
      <c r="S3587" s="5">
        <f t="shared" si="8"/>
        <v>0</v>
      </c>
    </row>
    <row r="3588">
      <c r="A3588" s="2" t="s">
        <v>3594</v>
      </c>
      <c r="B3588" s="2">
        <v>313.0</v>
      </c>
      <c r="C3588" s="2">
        <v>3615.0</v>
      </c>
      <c r="D3588" s="2">
        <v>1143.0</v>
      </c>
      <c r="E3588" s="3">
        <f t="shared" si="1"/>
        <v>0.3461538462</v>
      </c>
      <c r="F3588" s="2">
        <v>430.0</v>
      </c>
      <c r="G3588" s="3">
        <f t="shared" si="2"/>
        <v>0.1302241066</v>
      </c>
      <c r="H3588" s="2">
        <v>712.0</v>
      </c>
      <c r="I3588" s="3">
        <f t="shared" si="3"/>
        <v>0.2156268928</v>
      </c>
      <c r="J3588" s="2">
        <v>579.0</v>
      </c>
      <c r="K3588" s="3">
        <f t="shared" si="4"/>
        <v>0.1753482738</v>
      </c>
      <c r="L3588" s="2">
        <v>408.0</v>
      </c>
      <c r="M3588" s="3">
        <f t="shared" si="5"/>
        <v>0.5730337079</v>
      </c>
      <c r="N3588" s="2">
        <v>3827000.0</v>
      </c>
      <c r="O3588" s="4">
        <f t="shared" si="6"/>
        <v>5375</v>
      </c>
      <c r="P3588" s="2">
        <v>0.0</v>
      </c>
      <c r="Q3588" s="3">
        <f t="shared" si="7"/>
        <v>0</v>
      </c>
      <c r="R3588" s="2">
        <v>313.0</v>
      </c>
      <c r="S3588" s="5">
        <f t="shared" si="8"/>
        <v>1</v>
      </c>
    </row>
    <row r="3589">
      <c r="A3589" s="2" t="s">
        <v>3595</v>
      </c>
      <c r="B3589" s="2">
        <v>2413.0</v>
      </c>
      <c r="C3589" s="2">
        <v>27992.0</v>
      </c>
      <c r="D3589" s="2">
        <v>8488.0</v>
      </c>
      <c r="E3589" s="3">
        <f t="shared" si="1"/>
        <v>0.3318347082</v>
      </c>
      <c r="F3589" s="2">
        <v>3331.0</v>
      </c>
      <c r="G3589" s="3">
        <f t="shared" si="2"/>
        <v>0.1302240119</v>
      </c>
      <c r="H3589" s="2">
        <v>5505.0</v>
      </c>
      <c r="I3589" s="3">
        <f t="shared" si="3"/>
        <v>0.2152156066</v>
      </c>
      <c r="J3589" s="2">
        <v>3506.0</v>
      </c>
      <c r="K3589" s="3">
        <f t="shared" si="4"/>
        <v>0.1370655616</v>
      </c>
      <c r="L3589" s="2">
        <v>3384.0</v>
      </c>
      <c r="M3589" s="3">
        <f t="shared" si="5"/>
        <v>0.6147138965</v>
      </c>
      <c r="N3589" s="2">
        <v>3.14806E7</v>
      </c>
      <c r="O3589" s="4">
        <f t="shared" si="6"/>
        <v>5718.546776</v>
      </c>
      <c r="P3589" s="2">
        <v>3.0</v>
      </c>
      <c r="Q3589" s="3">
        <f t="shared" si="7"/>
        <v>0.001243265644</v>
      </c>
      <c r="R3589" s="2">
        <v>2413.0</v>
      </c>
      <c r="S3589" s="5">
        <f t="shared" si="8"/>
        <v>1</v>
      </c>
    </row>
    <row r="3590">
      <c r="A3590" s="2" t="s">
        <v>3596</v>
      </c>
      <c r="B3590" s="2">
        <v>77.0</v>
      </c>
      <c r="C3590" s="2">
        <v>891.0</v>
      </c>
      <c r="D3590" s="2">
        <v>238.0</v>
      </c>
      <c r="E3590" s="3">
        <f t="shared" si="1"/>
        <v>0.2923832924</v>
      </c>
      <c r="F3590" s="2">
        <v>106.0</v>
      </c>
      <c r="G3590" s="3">
        <f t="shared" si="2"/>
        <v>0.1302211302</v>
      </c>
      <c r="H3590" s="2">
        <v>147.0</v>
      </c>
      <c r="I3590" s="3">
        <f t="shared" si="3"/>
        <v>0.1805896806</v>
      </c>
      <c r="J3590" s="2">
        <v>104.0</v>
      </c>
      <c r="K3590" s="3">
        <f t="shared" si="4"/>
        <v>0.1277641278</v>
      </c>
      <c r="L3590" s="2">
        <v>95.0</v>
      </c>
      <c r="M3590" s="3">
        <f t="shared" si="5"/>
        <v>0.6462585034</v>
      </c>
      <c r="N3590" s="2">
        <v>816900.0</v>
      </c>
      <c r="O3590" s="4">
        <f t="shared" si="6"/>
        <v>5557.142857</v>
      </c>
      <c r="P3590" s="2">
        <v>0.0</v>
      </c>
      <c r="Q3590" s="3">
        <f t="shared" si="7"/>
        <v>0</v>
      </c>
      <c r="R3590" s="2">
        <v>1.0</v>
      </c>
      <c r="S3590" s="5">
        <f t="shared" si="8"/>
        <v>0.01298701299</v>
      </c>
    </row>
    <row r="3591">
      <c r="A3591" s="2" t="s">
        <v>3597</v>
      </c>
      <c r="B3591" s="2">
        <v>531.0</v>
      </c>
      <c r="C3591" s="2">
        <v>6360.0</v>
      </c>
      <c r="D3591" s="2">
        <v>2327.0</v>
      </c>
      <c r="E3591" s="3">
        <f t="shared" si="1"/>
        <v>0.3992108423</v>
      </c>
      <c r="F3591" s="2">
        <v>759.0</v>
      </c>
      <c r="G3591" s="3">
        <f t="shared" si="2"/>
        <v>0.1302110139</v>
      </c>
      <c r="H3591" s="2">
        <v>1189.0</v>
      </c>
      <c r="I3591" s="3">
        <f t="shared" si="3"/>
        <v>0.2039800995</v>
      </c>
      <c r="J3591" s="2">
        <v>884.0</v>
      </c>
      <c r="K3591" s="3">
        <f t="shared" si="4"/>
        <v>0.1516555155</v>
      </c>
      <c r="L3591" s="2">
        <v>700.0</v>
      </c>
      <c r="M3591" s="3">
        <f t="shared" si="5"/>
        <v>0.5887300252</v>
      </c>
      <c r="N3591" s="2">
        <v>6423200.0</v>
      </c>
      <c r="O3591" s="4">
        <f t="shared" si="6"/>
        <v>5402.186712</v>
      </c>
      <c r="P3591" s="2">
        <v>2.0</v>
      </c>
      <c r="Q3591" s="3">
        <f t="shared" si="7"/>
        <v>0.003766478343</v>
      </c>
      <c r="R3591" s="2">
        <v>90.0</v>
      </c>
      <c r="S3591" s="5">
        <f t="shared" si="8"/>
        <v>0.1694915254</v>
      </c>
    </row>
    <row r="3592">
      <c r="A3592" s="2" t="s">
        <v>3598</v>
      </c>
      <c r="B3592" s="2">
        <v>19.0</v>
      </c>
      <c r="C3592" s="2">
        <v>211.0</v>
      </c>
      <c r="D3592" s="2">
        <v>62.0</v>
      </c>
      <c r="E3592" s="3">
        <f t="shared" si="1"/>
        <v>0.3229166667</v>
      </c>
      <c r="F3592" s="2">
        <v>25.0</v>
      </c>
      <c r="G3592" s="3">
        <f t="shared" si="2"/>
        <v>0.1302083333</v>
      </c>
      <c r="H3592" s="2">
        <v>38.0</v>
      </c>
      <c r="I3592" s="3">
        <f t="shared" si="3"/>
        <v>0.1979166667</v>
      </c>
      <c r="J3592" s="2">
        <v>36.0</v>
      </c>
      <c r="K3592" s="3">
        <f t="shared" si="4"/>
        <v>0.1875</v>
      </c>
      <c r="L3592" s="2">
        <v>25.0</v>
      </c>
      <c r="M3592" s="3">
        <f t="shared" si="5"/>
        <v>0.6578947368</v>
      </c>
      <c r="N3592" s="2">
        <v>243000.0</v>
      </c>
      <c r="O3592" s="4">
        <f t="shared" si="6"/>
        <v>6394.736842</v>
      </c>
      <c r="P3592" s="2">
        <v>1.0</v>
      </c>
      <c r="Q3592" s="3">
        <f t="shared" si="7"/>
        <v>0.05263157895</v>
      </c>
      <c r="R3592" s="2">
        <v>19.0</v>
      </c>
      <c r="S3592" s="5">
        <f t="shared" si="8"/>
        <v>1</v>
      </c>
    </row>
    <row r="3593">
      <c r="A3593" s="2" t="s">
        <v>3599</v>
      </c>
      <c r="B3593" s="2">
        <v>376.0</v>
      </c>
      <c r="C3593" s="2">
        <v>4393.0</v>
      </c>
      <c r="D3593" s="2">
        <v>1571.0</v>
      </c>
      <c r="E3593" s="3">
        <f t="shared" si="1"/>
        <v>0.3910878765</v>
      </c>
      <c r="F3593" s="2">
        <v>523.0</v>
      </c>
      <c r="G3593" s="3">
        <f t="shared" si="2"/>
        <v>0.1301966642</v>
      </c>
      <c r="H3593" s="2">
        <v>877.0</v>
      </c>
      <c r="I3593" s="3">
        <f t="shared" si="3"/>
        <v>0.2183221309</v>
      </c>
      <c r="J3593" s="2">
        <v>744.0</v>
      </c>
      <c r="K3593" s="3">
        <f t="shared" si="4"/>
        <v>0.1852128454</v>
      </c>
      <c r="L3593" s="2">
        <v>502.0</v>
      </c>
      <c r="M3593" s="3">
        <f t="shared" si="5"/>
        <v>0.5724059293</v>
      </c>
      <c r="N3593" s="2">
        <v>4869500.0</v>
      </c>
      <c r="O3593" s="4">
        <f t="shared" si="6"/>
        <v>5552.451539</v>
      </c>
      <c r="P3593" s="2">
        <v>0.0</v>
      </c>
      <c r="Q3593" s="3">
        <f t="shared" si="7"/>
        <v>0</v>
      </c>
      <c r="R3593" s="2">
        <v>0.0</v>
      </c>
      <c r="S3593" s="5">
        <f t="shared" si="8"/>
        <v>0</v>
      </c>
    </row>
    <row r="3594">
      <c r="A3594" s="2" t="s">
        <v>3600</v>
      </c>
      <c r="B3594" s="2">
        <v>156.0</v>
      </c>
      <c r="C3594" s="2">
        <v>1892.0</v>
      </c>
      <c r="D3594" s="2">
        <v>621.0</v>
      </c>
      <c r="E3594" s="3">
        <f t="shared" si="1"/>
        <v>0.357718894</v>
      </c>
      <c r="F3594" s="2">
        <v>226.0</v>
      </c>
      <c r="G3594" s="3">
        <f t="shared" si="2"/>
        <v>0.1301843318</v>
      </c>
      <c r="H3594" s="2">
        <v>347.0</v>
      </c>
      <c r="I3594" s="3">
        <f t="shared" si="3"/>
        <v>0.1998847926</v>
      </c>
      <c r="J3594" s="2">
        <v>296.0</v>
      </c>
      <c r="K3594" s="3">
        <f t="shared" si="4"/>
        <v>0.1705069124</v>
      </c>
      <c r="L3594" s="2">
        <v>204.0</v>
      </c>
      <c r="M3594" s="3">
        <f t="shared" si="5"/>
        <v>0.5878962536</v>
      </c>
      <c r="N3594" s="2">
        <v>1914800.0</v>
      </c>
      <c r="O3594" s="4">
        <f t="shared" si="6"/>
        <v>5518.15562</v>
      </c>
      <c r="P3594" s="2">
        <v>1.0</v>
      </c>
      <c r="Q3594" s="3">
        <f t="shared" si="7"/>
        <v>0.00641025641</v>
      </c>
      <c r="R3594" s="2">
        <v>156.0</v>
      </c>
      <c r="S3594" s="5">
        <f t="shared" si="8"/>
        <v>1</v>
      </c>
    </row>
    <row r="3595">
      <c r="A3595" s="2" t="s">
        <v>3601</v>
      </c>
      <c r="B3595" s="2">
        <v>1008.0</v>
      </c>
      <c r="C3595" s="2">
        <v>11762.0</v>
      </c>
      <c r="D3595" s="2">
        <v>3973.0</v>
      </c>
      <c r="E3595" s="3">
        <f t="shared" si="1"/>
        <v>0.3694439278</v>
      </c>
      <c r="F3595" s="2">
        <v>1400.0</v>
      </c>
      <c r="G3595" s="3">
        <f t="shared" si="2"/>
        <v>0.1301841175</v>
      </c>
      <c r="H3595" s="2">
        <v>2296.0</v>
      </c>
      <c r="I3595" s="3">
        <f t="shared" si="3"/>
        <v>0.2135019528</v>
      </c>
      <c r="J3595" s="2">
        <v>1952.0</v>
      </c>
      <c r="K3595" s="3">
        <f t="shared" si="4"/>
        <v>0.1815138553</v>
      </c>
      <c r="L3595" s="2">
        <v>1364.0</v>
      </c>
      <c r="M3595" s="3">
        <f t="shared" si="5"/>
        <v>0.5940766551</v>
      </c>
      <c r="N3595" s="2">
        <v>1.28158E7</v>
      </c>
      <c r="O3595" s="4">
        <f t="shared" si="6"/>
        <v>5581.794425</v>
      </c>
      <c r="P3595" s="2">
        <v>3.0</v>
      </c>
      <c r="Q3595" s="3">
        <f t="shared" si="7"/>
        <v>0.002976190476</v>
      </c>
      <c r="R3595" s="2">
        <v>1008.0</v>
      </c>
      <c r="S3595" s="5">
        <f t="shared" si="8"/>
        <v>1</v>
      </c>
    </row>
    <row r="3596">
      <c r="A3596" s="2" t="s">
        <v>3602</v>
      </c>
      <c r="B3596" s="2">
        <v>16.0</v>
      </c>
      <c r="C3596" s="2">
        <v>185.0</v>
      </c>
      <c r="D3596" s="2">
        <v>54.0</v>
      </c>
      <c r="E3596" s="3">
        <f t="shared" si="1"/>
        <v>0.3195266272</v>
      </c>
      <c r="F3596" s="2">
        <v>22.0</v>
      </c>
      <c r="G3596" s="3">
        <f t="shared" si="2"/>
        <v>0.1301775148</v>
      </c>
      <c r="H3596" s="2">
        <v>33.0</v>
      </c>
      <c r="I3596" s="3">
        <f t="shared" si="3"/>
        <v>0.1952662722</v>
      </c>
      <c r="J3596" s="2">
        <v>25.0</v>
      </c>
      <c r="K3596" s="3">
        <f t="shared" si="4"/>
        <v>0.1479289941</v>
      </c>
      <c r="L3596" s="2">
        <v>22.0</v>
      </c>
      <c r="M3596" s="3">
        <f t="shared" si="5"/>
        <v>0.6666666667</v>
      </c>
      <c r="N3596" s="2">
        <v>190900.0</v>
      </c>
      <c r="O3596" s="4">
        <f t="shared" si="6"/>
        <v>5784.848485</v>
      </c>
      <c r="P3596" s="2">
        <v>0.0</v>
      </c>
      <c r="Q3596" s="3">
        <f t="shared" si="7"/>
        <v>0</v>
      </c>
      <c r="R3596" s="2">
        <v>0.0</v>
      </c>
      <c r="S3596" s="5">
        <f t="shared" si="8"/>
        <v>0</v>
      </c>
    </row>
    <row r="3597">
      <c r="A3597" s="2" t="s">
        <v>3603</v>
      </c>
      <c r="B3597" s="2">
        <v>863.0</v>
      </c>
      <c r="C3597" s="2">
        <v>10044.0</v>
      </c>
      <c r="D3597" s="2">
        <v>3002.0</v>
      </c>
      <c r="E3597" s="3">
        <f t="shared" si="1"/>
        <v>0.3269796318</v>
      </c>
      <c r="F3597" s="2">
        <v>1195.0</v>
      </c>
      <c r="G3597" s="3">
        <f t="shared" si="2"/>
        <v>0.1301601133</v>
      </c>
      <c r="H3597" s="2">
        <v>1882.0</v>
      </c>
      <c r="I3597" s="3">
        <f t="shared" si="3"/>
        <v>0.2049885633</v>
      </c>
      <c r="J3597" s="2">
        <v>1922.0</v>
      </c>
      <c r="K3597" s="3">
        <f t="shared" si="4"/>
        <v>0.2093453872</v>
      </c>
      <c r="L3597" s="2">
        <v>1134.0</v>
      </c>
      <c r="M3597" s="3">
        <f t="shared" si="5"/>
        <v>0.6025504782</v>
      </c>
      <c r="N3597" s="2">
        <v>1.076E7</v>
      </c>
      <c r="O3597" s="4">
        <f t="shared" si="6"/>
        <v>5717.321998</v>
      </c>
      <c r="P3597" s="2">
        <v>1.0</v>
      </c>
      <c r="Q3597" s="3">
        <f t="shared" si="7"/>
        <v>0.001158748552</v>
      </c>
      <c r="R3597" s="2">
        <v>451.0</v>
      </c>
      <c r="S3597" s="5">
        <f t="shared" si="8"/>
        <v>0.5225955968</v>
      </c>
    </row>
    <row r="3598">
      <c r="A3598" s="2" t="s">
        <v>3604</v>
      </c>
      <c r="B3598" s="2">
        <v>2104.0</v>
      </c>
      <c r="C3598" s="2">
        <v>24915.0</v>
      </c>
      <c r="D3598" s="2">
        <v>7626.0</v>
      </c>
      <c r="E3598" s="3">
        <f t="shared" si="1"/>
        <v>0.3343123931</v>
      </c>
      <c r="F3598" s="2">
        <v>2969.0</v>
      </c>
      <c r="G3598" s="3">
        <f t="shared" si="2"/>
        <v>0.1301565034</v>
      </c>
      <c r="H3598" s="2">
        <v>4741.0</v>
      </c>
      <c r="I3598" s="3">
        <f t="shared" si="3"/>
        <v>0.2078383236</v>
      </c>
      <c r="J3598" s="2">
        <v>2837.0</v>
      </c>
      <c r="K3598" s="3">
        <f t="shared" si="4"/>
        <v>0.1243698216</v>
      </c>
      <c r="L3598" s="2">
        <v>2927.0</v>
      </c>
      <c r="M3598" s="3">
        <f t="shared" si="5"/>
        <v>0.6173802995</v>
      </c>
      <c r="N3598" s="2">
        <v>2.59916E7</v>
      </c>
      <c r="O3598" s="4">
        <f t="shared" si="6"/>
        <v>5482.303312</v>
      </c>
      <c r="P3598" s="2">
        <v>6.0</v>
      </c>
      <c r="Q3598" s="3">
        <f t="shared" si="7"/>
        <v>0.002851711027</v>
      </c>
      <c r="R3598" s="2">
        <v>2104.0</v>
      </c>
      <c r="S3598" s="5">
        <f t="shared" si="8"/>
        <v>1</v>
      </c>
    </row>
    <row r="3599">
      <c r="A3599" s="2" t="s">
        <v>3605</v>
      </c>
      <c r="B3599" s="2">
        <v>239.0</v>
      </c>
      <c r="C3599" s="2">
        <v>2859.0</v>
      </c>
      <c r="D3599" s="2">
        <v>857.0</v>
      </c>
      <c r="E3599" s="3">
        <f t="shared" si="1"/>
        <v>0.3270992366</v>
      </c>
      <c r="F3599" s="2">
        <v>341.0</v>
      </c>
      <c r="G3599" s="3">
        <f t="shared" si="2"/>
        <v>0.1301526718</v>
      </c>
      <c r="H3599" s="2">
        <v>520.0</v>
      </c>
      <c r="I3599" s="3">
        <f t="shared" si="3"/>
        <v>0.1984732824</v>
      </c>
      <c r="J3599" s="2">
        <v>356.0</v>
      </c>
      <c r="K3599" s="3">
        <f t="shared" si="4"/>
        <v>0.1358778626</v>
      </c>
      <c r="L3599" s="2">
        <v>287.0</v>
      </c>
      <c r="M3599" s="3">
        <f t="shared" si="5"/>
        <v>0.5519230769</v>
      </c>
      <c r="N3599" s="2">
        <v>2922800.0</v>
      </c>
      <c r="O3599" s="4">
        <f t="shared" si="6"/>
        <v>5620.769231</v>
      </c>
      <c r="P3599" s="2">
        <v>0.0</v>
      </c>
      <c r="Q3599" s="3">
        <f t="shared" si="7"/>
        <v>0</v>
      </c>
      <c r="R3599" s="2">
        <v>181.0</v>
      </c>
      <c r="S3599" s="5">
        <f t="shared" si="8"/>
        <v>0.7573221757</v>
      </c>
    </row>
    <row r="3600">
      <c r="A3600" s="2" t="s">
        <v>3606</v>
      </c>
      <c r="B3600" s="2">
        <v>45.0</v>
      </c>
      <c r="C3600" s="2">
        <v>506.0</v>
      </c>
      <c r="D3600" s="2">
        <v>175.0</v>
      </c>
      <c r="E3600" s="3">
        <f t="shared" si="1"/>
        <v>0.3796095445</v>
      </c>
      <c r="F3600" s="2">
        <v>60.0</v>
      </c>
      <c r="G3600" s="3">
        <f t="shared" si="2"/>
        <v>0.1301518438</v>
      </c>
      <c r="H3600" s="2">
        <v>101.0</v>
      </c>
      <c r="I3600" s="3">
        <f t="shared" si="3"/>
        <v>0.2190889371</v>
      </c>
      <c r="J3600" s="2">
        <v>87.0</v>
      </c>
      <c r="K3600" s="3">
        <f t="shared" si="4"/>
        <v>0.1887201735</v>
      </c>
      <c r="L3600" s="2">
        <v>64.0</v>
      </c>
      <c r="M3600" s="3">
        <f t="shared" si="5"/>
        <v>0.6336633663</v>
      </c>
      <c r="N3600" s="2">
        <v>526100.0</v>
      </c>
      <c r="O3600" s="4">
        <f t="shared" si="6"/>
        <v>5208.910891</v>
      </c>
      <c r="P3600" s="2">
        <v>0.0</v>
      </c>
      <c r="Q3600" s="3">
        <f t="shared" si="7"/>
        <v>0</v>
      </c>
      <c r="R3600" s="2">
        <v>38.0</v>
      </c>
      <c r="S3600" s="5">
        <f t="shared" si="8"/>
        <v>0.8444444444</v>
      </c>
    </row>
    <row r="3601">
      <c r="A3601" s="2" t="s">
        <v>3607</v>
      </c>
      <c r="B3601" s="2">
        <v>285.0</v>
      </c>
      <c r="C3601" s="2">
        <v>3297.0</v>
      </c>
      <c r="D3601" s="2">
        <v>1072.0</v>
      </c>
      <c r="E3601" s="3">
        <f t="shared" si="1"/>
        <v>0.3559096946</v>
      </c>
      <c r="F3601" s="2">
        <v>392.0</v>
      </c>
      <c r="G3601" s="3">
        <f t="shared" si="2"/>
        <v>0.1301460823</v>
      </c>
      <c r="H3601" s="2">
        <v>651.0</v>
      </c>
      <c r="I3601" s="3">
        <f t="shared" si="3"/>
        <v>0.2161354582</v>
      </c>
      <c r="J3601" s="2">
        <v>561.0</v>
      </c>
      <c r="K3601" s="3">
        <f t="shared" si="4"/>
        <v>0.1862549801</v>
      </c>
      <c r="L3601" s="2">
        <v>395.0</v>
      </c>
      <c r="M3601" s="3">
        <f t="shared" si="5"/>
        <v>0.6067588326</v>
      </c>
      <c r="N3601" s="2">
        <v>3581200.0</v>
      </c>
      <c r="O3601" s="4">
        <f t="shared" si="6"/>
        <v>5501.075269</v>
      </c>
      <c r="P3601" s="2">
        <v>0.0</v>
      </c>
      <c r="Q3601" s="3">
        <f t="shared" si="7"/>
        <v>0</v>
      </c>
      <c r="R3601" s="2">
        <v>285.0</v>
      </c>
      <c r="S3601" s="5">
        <f t="shared" si="8"/>
        <v>1</v>
      </c>
    </row>
    <row r="3602">
      <c r="A3602" s="2" t="s">
        <v>3608</v>
      </c>
      <c r="B3602" s="2">
        <v>353.0</v>
      </c>
      <c r="C3602" s="2">
        <v>4172.0</v>
      </c>
      <c r="D3602" s="2">
        <v>1381.0</v>
      </c>
      <c r="E3602" s="3">
        <f t="shared" si="1"/>
        <v>0.3616129877</v>
      </c>
      <c r="F3602" s="2">
        <v>497.0</v>
      </c>
      <c r="G3602" s="3">
        <f t="shared" si="2"/>
        <v>0.1301387798</v>
      </c>
      <c r="H3602" s="2">
        <v>832.0</v>
      </c>
      <c r="I3602" s="3">
        <f t="shared" si="3"/>
        <v>0.217858078</v>
      </c>
      <c r="J3602" s="2">
        <v>547.0</v>
      </c>
      <c r="K3602" s="3">
        <f t="shared" si="4"/>
        <v>0.1432312124</v>
      </c>
      <c r="L3602" s="2">
        <v>499.0</v>
      </c>
      <c r="M3602" s="3">
        <f t="shared" si="5"/>
        <v>0.5997596154</v>
      </c>
      <c r="N3602" s="2">
        <v>4559800.0</v>
      </c>
      <c r="O3602" s="4">
        <f t="shared" si="6"/>
        <v>5480.528846</v>
      </c>
      <c r="P3602" s="2">
        <v>3.0</v>
      </c>
      <c r="Q3602" s="3">
        <f t="shared" si="7"/>
        <v>0.008498583569</v>
      </c>
      <c r="R3602" s="2">
        <v>353.0</v>
      </c>
      <c r="S3602" s="5">
        <f t="shared" si="8"/>
        <v>1</v>
      </c>
    </row>
    <row r="3603">
      <c r="A3603" s="2" t="s">
        <v>3609</v>
      </c>
      <c r="B3603" s="2">
        <v>25.0</v>
      </c>
      <c r="C3603" s="2">
        <v>317.0</v>
      </c>
      <c r="D3603" s="2">
        <v>72.0</v>
      </c>
      <c r="E3603" s="3">
        <f t="shared" si="1"/>
        <v>0.2465753425</v>
      </c>
      <c r="F3603" s="2">
        <v>38.0</v>
      </c>
      <c r="G3603" s="3">
        <f t="shared" si="2"/>
        <v>0.1301369863</v>
      </c>
      <c r="H3603" s="2">
        <v>55.0</v>
      </c>
      <c r="I3603" s="3">
        <f t="shared" si="3"/>
        <v>0.1883561644</v>
      </c>
      <c r="J3603" s="2">
        <v>67.0</v>
      </c>
      <c r="K3603" s="3">
        <f t="shared" si="4"/>
        <v>0.2294520548</v>
      </c>
      <c r="L3603" s="2">
        <v>30.0</v>
      </c>
      <c r="M3603" s="3">
        <f t="shared" si="5"/>
        <v>0.5454545455</v>
      </c>
      <c r="N3603" s="2">
        <v>319300.0</v>
      </c>
      <c r="O3603" s="4">
        <f t="shared" si="6"/>
        <v>5805.454545</v>
      </c>
      <c r="P3603" s="2">
        <v>0.0</v>
      </c>
      <c r="Q3603" s="3">
        <f t="shared" si="7"/>
        <v>0</v>
      </c>
      <c r="R3603" s="2">
        <v>25.0</v>
      </c>
      <c r="S3603" s="5">
        <f t="shared" si="8"/>
        <v>1</v>
      </c>
    </row>
    <row r="3604">
      <c r="A3604" s="2" t="s">
        <v>3610</v>
      </c>
      <c r="B3604" s="2">
        <v>172.0</v>
      </c>
      <c r="C3604" s="2">
        <v>2047.0</v>
      </c>
      <c r="D3604" s="2">
        <v>510.0</v>
      </c>
      <c r="E3604" s="3">
        <f t="shared" si="1"/>
        <v>0.272</v>
      </c>
      <c r="F3604" s="2">
        <v>244.0</v>
      </c>
      <c r="G3604" s="3">
        <f t="shared" si="2"/>
        <v>0.1301333333</v>
      </c>
      <c r="H3604" s="2">
        <v>358.0</v>
      </c>
      <c r="I3604" s="3">
        <f t="shared" si="3"/>
        <v>0.1909333333</v>
      </c>
      <c r="J3604" s="2">
        <v>314.0</v>
      </c>
      <c r="K3604" s="3">
        <f t="shared" si="4"/>
        <v>0.1674666667</v>
      </c>
      <c r="L3604" s="2">
        <v>218.0</v>
      </c>
      <c r="M3604" s="3">
        <f t="shared" si="5"/>
        <v>0.6089385475</v>
      </c>
      <c r="N3604" s="2">
        <v>2009400.0</v>
      </c>
      <c r="O3604" s="4">
        <f t="shared" si="6"/>
        <v>5612.849162</v>
      </c>
      <c r="P3604" s="2">
        <v>0.0</v>
      </c>
      <c r="Q3604" s="3">
        <f t="shared" si="7"/>
        <v>0</v>
      </c>
      <c r="R3604" s="2">
        <v>172.0</v>
      </c>
      <c r="S3604" s="5">
        <f t="shared" si="8"/>
        <v>1</v>
      </c>
    </row>
    <row r="3605">
      <c r="A3605" s="2" t="s">
        <v>3611</v>
      </c>
      <c r="B3605" s="2">
        <v>352.0</v>
      </c>
      <c r="C3605" s="2">
        <v>4079.0</v>
      </c>
      <c r="D3605" s="2">
        <v>1341.0</v>
      </c>
      <c r="E3605" s="3">
        <f t="shared" si="1"/>
        <v>0.3598068151</v>
      </c>
      <c r="F3605" s="2">
        <v>485.0</v>
      </c>
      <c r="G3605" s="3">
        <f t="shared" si="2"/>
        <v>0.130131473</v>
      </c>
      <c r="H3605" s="2">
        <v>724.0</v>
      </c>
      <c r="I3605" s="3">
        <f t="shared" si="3"/>
        <v>0.1942581164</v>
      </c>
      <c r="J3605" s="2">
        <v>544.0</v>
      </c>
      <c r="K3605" s="3">
        <f t="shared" si="4"/>
        <v>0.1459618997</v>
      </c>
      <c r="L3605" s="2">
        <v>443.0</v>
      </c>
      <c r="M3605" s="3">
        <f t="shared" si="5"/>
        <v>0.611878453</v>
      </c>
      <c r="N3605" s="2">
        <v>3996200.0</v>
      </c>
      <c r="O3605" s="4">
        <f t="shared" si="6"/>
        <v>5519.61326</v>
      </c>
      <c r="P3605" s="2">
        <v>0.0</v>
      </c>
      <c r="Q3605" s="3">
        <f t="shared" si="7"/>
        <v>0</v>
      </c>
      <c r="R3605" s="2">
        <v>352.0</v>
      </c>
      <c r="S3605" s="5">
        <f t="shared" si="8"/>
        <v>1</v>
      </c>
    </row>
    <row r="3606">
      <c r="A3606" s="2" t="s">
        <v>3612</v>
      </c>
      <c r="B3606" s="2">
        <v>561.0</v>
      </c>
      <c r="C3606" s="2">
        <v>6609.0</v>
      </c>
      <c r="D3606" s="2">
        <v>2012.0</v>
      </c>
      <c r="E3606" s="3">
        <f t="shared" si="1"/>
        <v>0.3326719577</v>
      </c>
      <c r="F3606" s="2">
        <v>787.0</v>
      </c>
      <c r="G3606" s="3">
        <f t="shared" si="2"/>
        <v>0.1301256614</v>
      </c>
      <c r="H3606" s="2">
        <v>1293.0</v>
      </c>
      <c r="I3606" s="3">
        <f t="shared" si="3"/>
        <v>0.2137896825</v>
      </c>
      <c r="J3606" s="2">
        <v>1169.0</v>
      </c>
      <c r="K3606" s="3">
        <f t="shared" si="4"/>
        <v>0.193287037</v>
      </c>
      <c r="L3606" s="2">
        <v>782.0</v>
      </c>
      <c r="M3606" s="3">
        <f t="shared" si="5"/>
        <v>0.6047950503</v>
      </c>
      <c r="N3606" s="2">
        <v>7304500.0</v>
      </c>
      <c r="O3606" s="4">
        <f t="shared" si="6"/>
        <v>5649.265275</v>
      </c>
      <c r="P3606" s="2">
        <v>0.0</v>
      </c>
      <c r="Q3606" s="3">
        <f t="shared" si="7"/>
        <v>0</v>
      </c>
      <c r="R3606" s="2">
        <v>561.0</v>
      </c>
      <c r="S3606" s="5">
        <f t="shared" si="8"/>
        <v>1</v>
      </c>
    </row>
    <row r="3607">
      <c r="A3607" s="2" t="s">
        <v>3613</v>
      </c>
      <c r="B3607" s="2">
        <v>417.0</v>
      </c>
      <c r="C3607" s="2">
        <v>4905.0</v>
      </c>
      <c r="D3607" s="2">
        <v>1249.0</v>
      </c>
      <c r="E3607" s="3">
        <f t="shared" si="1"/>
        <v>0.2782976827</v>
      </c>
      <c r="F3607" s="2">
        <v>584.0</v>
      </c>
      <c r="G3607" s="3">
        <f t="shared" si="2"/>
        <v>0.1301247772</v>
      </c>
      <c r="H3607" s="2">
        <v>915.0</v>
      </c>
      <c r="I3607" s="3">
        <f t="shared" si="3"/>
        <v>0.2038770053</v>
      </c>
      <c r="J3607" s="2">
        <v>786.0</v>
      </c>
      <c r="K3607" s="3">
        <f t="shared" si="4"/>
        <v>0.1751336898</v>
      </c>
      <c r="L3607" s="2">
        <v>545.0</v>
      </c>
      <c r="M3607" s="3">
        <f t="shared" si="5"/>
        <v>0.5956284153</v>
      </c>
      <c r="N3607" s="2">
        <v>5513800.0</v>
      </c>
      <c r="O3607" s="4">
        <f t="shared" si="6"/>
        <v>6026.010929</v>
      </c>
      <c r="P3607" s="2">
        <v>1.0</v>
      </c>
      <c r="Q3607" s="3">
        <f t="shared" si="7"/>
        <v>0.002398081535</v>
      </c>
      <c r="R3607" s="2">
        <v>417.0</v>
      </c>
      <c r="S3607" s="5">
        <f t="shared" si="8"/>
        <v>1</v>
      </c>
    </row>
    <row r="3608">
      <c r="A3608" s="2" t="s">
        <v>3614</v>
      </c>
      <c r="B3608" s="2">
        <v>39.0</v>
      </c>
      <c r="C3608" s="2">
        <v>454.0</v>
      </c>
      <c r="D3608" s="2">
        <v>128.0</v>
      </c>
      <c r="E3608" s="3">
        <f t="shared" si="1"/>
        <v>0.3084337349</v>
      </c>
      <c r="F3608" s="2">
        <v>54.0</v>
      </c>
      <c r="G3608" s="3">
        <f t="shared" si="2"/>
        <v>0.1301204819</v>
      </c>
      <c r="H3608" s="2">
        <v>60.0</v>
      </c>
      <c r="I3608" s="3">
        <f t="shared" si="3"/>
        <v>0.1445783133</v>
      </c>
      <c r="J3608" s="2">
        <v>72.0</v>
      </c>
      <c r="K3608" s="3">
        <f t="shared" si="4"/>
        <v>0.1734939759</v>
      </c>
      <c r="L3608" s="2">
        <v>33.0</v>
      </c>
      <c r="M3608" s="3">
        <f t="shared" si="5"/>
        <v>0.55</v>
      </c>
      <c r="N3608" s="2">
        <v>383700.0</v>
      </c>
      <c r="O3608" s="4">
        <f t="shared" si="6"/>
        <v>6395</v>
      </c>
      <c r="P3608" s="2">
        <v>1.0</v>
      </c>
      <c r="Q3608" s="3">
        <f t="shared" si="7"/>
        <v>0.02564102564</v>
      </c>
      <c r="R3608" s="2">
        <v>39.0</v>
      </c>
      <c r="S3608" s="5">
        <f t="shared" si="8"/>
        <v>1</v>
      </c>
    </row>
    <row r="3609">
      <c r="A3609" s="2" t="s">
        <v>3615</v>
      </c>
      <c r="B3609" s="2">
        <v>81.0</v>
      </c>
      <c r="C3609" s="2">
        <v>911.0</v>
      </c>
      <c r="D3609" s="2">
        <v>286.0</v>
      </c>
      <c r="E3609" s="3">
        <f t="shared" si="1"/>
        <v>0.3445783133</v>
      </c>
      <c r="F3609" s="2">
        <v>108.0</v>
      </c>
      <c r="G3609" s="3">
        <f t="shared" si="2"/>
        <v>0.1301204819</v>
      </c>
      <c r="H3609" s="2">
        <v>164.0</v>
      </c>
      <c r="I3609" s="3">
        <f t="shared" si="3"/>
        <v>0.1975903614</v>
      </c>
      <c r="J3609" s="2">
        <v>125.0</v>
      </c>
      <c r="K3609" s="3">
        <f t="shared" si="4"/>
        <v>0.1506024096</v>
      </c>
      <c r="L3609" s="2">
        <v>87.0</v>
      </c>
      <c r="M3609" s="3">
        <f t="shared" si="5"/>
        <v>0.5304878049</v>
      </c>
      <c r="N3609" s="2">
        <v>865500.0</v>
      </c>
      <c r="O3609" s="4">
        <f t="shared" si="6"/>
        <v>5277.439024</v>
      </c>
      <c r="P3609" s="2">
        <v>0.0</v>
      </c>
      <c r="Q3609" s="3">
        <f t="shared" si="7"/>
        <v>0</v>
      </c>
      <c r="R3609" s="2">
        <v>81.0</v>
      </c>
      <c r="S3609" s="5">
        <f t="shared" si="8"/>
        <v>1</v>
      </c>
    </row>
    <row r="3610">
      <c r="A3610" s="2" t="s">
        <v>3616</v>
      </c>
      <c r="B3610" s="2">
        <v>2546.0</v>
      </c>
      <c r="C3610" s="2">
        <v>30006.0</v>
      </c>
      <c r="D3610" s="2">
        <v>10524.0</v>
      </c>
      <c r="E3610" s="3">
        <f t="shared" si="1"/>
        <v>0.3832483613</v>
      </c>
      <c r="F3610" s="2">
        <v>3573.0</v>
      </c>
      <c r="G3610" s="3">
        <f t="shared" si="2"/>
        <v>0.1301165331</v>
      </c>
      <c r="H3610" s="2">
        <v>5838.0</v>
      </c>
      <c r="I3610" s="3">
        <f t="shared" si="3"/>
        <v>0.2126001457</v>
      </c>
      <c r="J3610" s="2">
        <v>4342.0</v>
      </c>
      <c r="K3610" s="3">
        <f t="shared" si="4"/>
        <v>0.1581209031</v>
      </c>
      <c r="L3610" s="2">
        <v>3476.0</v>
      </c>
      <c r="M3610" s="3">
        <f t="shared" si="5"/>
        <v>0.5954093868</v>
      </c>
      <c r="N3610" s="2">
        <v>3.11438E7</v>
      </c>
      <c r="O3610" s="4">
        <f t="shared" si="6"/>
        <v>5334.669407</v>
      </c>
      <c r="P3610" s="2">
        <v>8.0</v>
      </c>
      <c r="Q3610" s="3">
        <f t="shared" si="7"/>
        <v>0.003142183818</v>
      </c>
      <c r="R3610" s="2">
        <v>2546.0</v>
      </c>
      <c r="S3610" s="5">
        <f t="shared" si="8"/>
        <v>1</v>
      </c>
    </row>
    <row r="3611">
      <c r="A3611" s="2" t="s">
        <v>3617</v>
      </c>
      <c r="B3611" s="2">
        <v>1185.0</v>
      </c>
      <c r="C3611" s="2">
        <v>14043.0</v>
      </c>
      <c r="D3611" s="2">
        <v>4950.0</v>
      </c>
      <c r="E3611" s="3">
        <f t="shared" si="1"/>
        <v>0.384974335</v>
      </c>
      <c r="F3611" s="2">
        <v>1673.0</v>
      </c>
      <c r="G3611" s="3">
        <f t="shared" si="2"/>
        <v>0.130113548</v>
      </c>
      <c r="H3611" s="2">
        <v>2848.0</v>
      </c>
      <c r="I3611" s="3">
        <f t="shared" si="3"/>
        <v>0.2214963447</v>
      </c>
      <c r="J3611" s="2">
        <v>2119.0</v>
      </c>
      <c r="K3611" s="3">
        <f t="shared" si="4"/>
        <v>0.1648001244</v>
      </c>
      <c r="L3611" s="2">
        <v>1709.0</v>
      </c>
      <c r="M3611" s="3">
        <f t="shared" si="5"/>
        <v>0.6000702247</v>
      </c>
      <c r="N3611" s="2">
        <v>1.49137E7</v>
      </c>
      <c r="O3611" s="4">
        <f t="shared" si="6"/>
        <v>5236.551966</v>
      </c>
      <c r="P3611" s="2">
        <v>0.0</v>
      </c>
      <c r="Q3611" s="3">
        <f t="shared" si="7"/>
        <v>0</v>
      </c>
      <c r="R3611" s="2">
        <v>1185.0</v>
      </c>
      <c r="S3611" s="5">
        <f t="shared" si="8"/>
        <v>1</v>
      </c>
    </row>
    <row r="3612">
      <c r="A3612" s="2" t="s">
        <v>3618</v>
      </c>
      <c r="B3612" s="2">
        <v>463.0</v>
      </c>
      <c r="C3612" s="2">
        <v>5436.0</v>
      </c>
      <c r="D3612" s="2">
        <v>1364.0</v>
      </c>
      <c r="E3612" s="3">
        <f t="shared" si="1"/>
        <v>0.274281118</v>
      </c>
      <c r="F3612" s="2">
        <v>647.0</v>
      </c>
      <c r="G3612" s="3">
        <f t="shared" si="2"/>
        <v>0.1301025538</v>
      </c>
      <c r="H3612" s="2">
        <v>971.0</v>
      </c>
      <c r="I3612" s="3">
        <f t="shared" si="3"/>
        <v>0.1952543736</v>
      </c>
      <c r="J3612" s="2">
        <v>856.0</v>
      </c>
      <c r="K3612" s="3">
        <f t="shared" si="4"/>
        <v>0.1721294993</v>
      </c>
      <c r="L3612" s="2">
        <v>565.0</v>
      </c>
      <c r="M3612" s="3">
        <f t="shared" si="5"/>
        <v>0.5818743563</v>
      </c>
      <c r="N3612" s="2">
        <v>5853000.0</v>
      </c>
      <c r="O3612" s="4">
        <f t="shared" si="6"/>
        <v>6027.806385</v>
      </c>
      <c r="P3612" s="2">
        <v>3.0</v>
      </c>
      <c r="Q3612" s="3">
        <f t="shared" si="7"/>
        <v>0.006479481641</v>
      </c>
      <c r="R3612" s="2">
        <v>463.0</v>
      </c>
      <c r="S3612" s="5">
        <f t="shared" si="8"/>
        <v>1</v>
      </c>
    </row>
    <row r="3613">
      <c r="A3613" s="2" t="s">
        <v>3619</v>
      </c>
      <c r="B3613" s="2">
        <v>568.0</v>
      </c>
      <c r="C3613" s="2">
        <v>6687.0</v>
      </c>
      <c r="D3613" s="2">
        <v>2024.0</v>
      </c>
      <c r="E3613" s="3">
        <f t="shared" si="1"/>
        <v>0.3307730021</v>
      </c>
      <c r="F3613" s="2">
        <v>796.0</v>
      </c>
      <c r="G3613" s="3">
        <f t="shared" si="2"/>
        <v>0.1300866155</v>
      </c>
      <c r="H3613" s="2">
        <v>1233.0</v>
      </c>
      <c r="I3613" s="3">
        <f t="shared" si="3"/>
        <v>0.2015035136</v>
      </c>
      <c r="J3613" s="2">
        <v>1033.0</v>
      </c>
      <c r="K3613" s="3">
        <f t="shared" si="4"/>
        <v>0.1688184344</v>
      </c>
      <c r="L3613" s="2">
        <v>758.0</v>
      </c>
      <c r="M3613" s="3">
        <f t="shared" si="5"/>
        <v>0.6147607461</v>
      </c>
      <c r="N3613" s="2">
        <v>7207900.0</v>
      </c>
      <c r="O3613" s="4">
        <f t="shared" si="6"/>
        <v>5845.823195</v>
      </c>
      <c r="P3613" s="2">
        <v>3.0</v>
      </c>
      <c r="Q3613" s="3">
        <f t="shared" si="7"/>
        <v>0.005281690141</v>
      </c>
      <c r="R3613" s="2">
        <v>568.0</v>
      </c>
      <c r="S3613" s="5">
        <f t="shared" si="8"/>
        <v>1</v>
      </c>
    </row>
    <row r="3614">
      <c r="A3614" s="2" t="s">
        <v>3620</v>
      </c>
      <c r="B3614" s="2">
        <v>1486.0</v>
      </c>
      <c r="C3614" s="2">
        <v>17214.0</v>
      </c>
      <c r="D3614" s="2">
        <v>4839.0</v>
      </c>
      <c r="E3614" s="3">
        <f t="shared" si="1"/>
        <v>0.3076678535</v>
      </c>
      <c r="F3614" s="2">
        <v>2046.0</v>
      </c>
      <c r="G3614" s="3">
        <f t="shared" si="2"/>
        <v>0.13008647</v>
      </c>
      <c r="H3614" s="2">
        <v>3270.0</v>
      </c>
      <c r="I3614" s="3">
        <f t="shared" si="3"/>
        <v>0.2079094608</v>
      </c>
      <c r="J3614" s="2">
        <v>3168.0</v>
      </c>
      <c r="K3614" s="3">
        <f t="shared" si="4"/>
        <v>0.2014242116</v>
      </c>
      <c r="L3614" s="2">
        <v>1917.0</v>
      </c>
      <c r="M3614" s="3">
        <f t="shared" si="5"/>
        <v>0.5862385321</v>
      </c>
      <c r="N3614" s="2">
        <v>1.99948E7</v>
      </c>
      <c r="O3614" s="4">
        <f t="shared" si="6"/>
        <v>6114.617737</v>
      </c>
      <c r="P3614" s="2">
        <v>1.0</v>
      </c>
      <c r="Q3614" s="3">
        <f t="shared" si="7"/>
        <v>0.0006729475101</v>
      </c>
      <c r="R3614" s="2">
        <v>1486.0</v>
      </c>
      <c r="S3614" s="5">
        <f t="shared" si="8"/>
        <v>1</v>
      </c>
    </row>
    <row r="3615">
      <c r="A3615" s="2" t="s">
        <v>3621</v>
      </c>
      <c r="B3615" s="2">
        <v>601.0</v>
      </c>
      <c r="C3615" s="2">
        <v>7066.0</v>
      </c>
      <c r="D3615" s="2">
        <v>2006.0</v>
      </c>
      <c r="E3615" s="3">
        <f t="shared" si="1"/>
        <v>0.3102861562</v>
      </c>
      <c r="F3615" s="2">
        <v>841.0</v>
      </c>
      <c r="G3615" s="3">
        <f t="shared" si="2"/>
        <v>0.1300850735</v>
      </c>
      <c r="H3615" s="2">
        <v>1338.0</v>
      </c>
      <c r="I3615" s="3">
        <f t="shared" si="3"/>
        <v>0.2069605568</v>
      </c>
      <c r="J3615" s="2">
        <v>957.0</v>
      </c>
      <c r="K3615" s="3">
        <f t="shared" si="4"/>
        <v>0.1480278422</v>
      </c>
      <c r="L3615" s="2">
        <v>832.0</v>
      </c>
      <c r="M3615" s="3">
        <f t="shared" si="5"/>
        <v>0.6218236173</v>
      </c>
      <c r="N3615" s="2">
        <v>7872900.0</v>
      </c>
      <c r="O3615" s="4">
        <f t="shared" si="6"/>
        <v>5884.080717</v>
      </c>
      <c r="P3615" s="2">
        <v>1.0</v>
      </c>
      <c r="Q3615" s="3">
        <f t="shared" si="7"/>
        <v>0.001663893511</v>
      </c>
      <c r="R3615" s="2">
        <v>601.0</v>
      </c>
      <c r="S3615" s="5">
        <f t="shared" si="8"/>
        <v>1</v>
      </c>
    </row>
    <row r="3616">
      <c r="A3616" s="2" t="s">
        <v>3622</v>
      </c>
      <c r="B3616" s="2">
        <v>67.0</v>
      </c>
      <c r="C3616" s="2">
        <v>805.0</v>
      </c>
      <c r="D3616" s="2">
        <v>309.0</v>
      </c>
      <c r="E3616" s="3">
        <f t="shared" si="1"/>
        <v>0.418699187</v>
      </c>
      <c r="F3616" s="2">
        <v>96.0</v>
      </c>
      <c r="G3616" s="3">
        <f t="shared" si="2"/>
        <v>0.1300813008</v>
      </c>
      <c r="H3616" s="2">
        <v>168.0</v>
      </c>
      <c r="I3616" s="3">
        <f t="shared" si="3"/>
        <v>0.2276422764</v>
      </c>
      <c r="J3616" s="2">
        <v>125.0</v>
      </c>
      <c r="K3616" s="3">
        <f t="shared" si="4"/>
        <v>0.1693766938</v>
      </c>
      <c r="L3616" s="2">
        <v>102.0</v>
      </c>
      <c r="M3616" s="3">
        <f t="shared" si="5"/>
        <v>0.6071428571</v>
      </c>
      <c r="N3616" s="2">
        <v>862500.0</v>
      </c>
      <c r="O3616" s="4">
        <f t="shared" si="6"/>
        <v>5133.928571</v>
      </c>
      <c r="P3616" s="2">
        <v>1.0</v>
      </c>
      <c r="Q3616" s="3">
        <f t="shared" si="7"/>
        <v>0.01492537313</v>
      </c>
      <c r="R3616" s="2">
        <v>67.0</v>
      </c>
      <c r="S3616" s="5">
        <f t="shared" si="8"/>
        <v>1</v>
      </c>
    </row>
    <row r="3617">
      <c r="A3617" s="2" t="s">
        <v>3623</v>
      </c>
      <c r="B3617" s="2">
        <v>239.0</v>
      </c>
      <c r="C3617" s="2">
        <v>2876.0</v>
      </c>
      <c r="D3617" s="2">
        <v>858.0</v>
      </c>
      <c r="E3617" s="3">
        <f t="shared" si="1"/>
        <v>0.3253697383</v>
      </c>
      <c r="F3617" s="2">
        <v>343.0</v>
      </c>
      <c r="G3617" s="3">
        <f t="shared" si="2"/>
        <v>0.1300720516</v>
      </c>
      <c r="H3617" s="2">
        <v>535.0</v>
      </c>
      <c r="I3617" s="3">
        <f t="shared" si="3"/>
        <v>0.202882063</v>
      </c>
      <c r="J3617" s="2">
        <v>478.0</v>
      </c>
      <c r="K3617" s="3">
        <f t="shared" si="4"/>
        <v>0.1812665908</v>
      </c>
      <c r="L3617" s="2">
        <v>318.0</v>
      </c>
      <c r="M3617" s="3">
        <f t="shared" si="5"/>
        <v>0.5943925234</v>
      </c>
      <c r="N3617" s="2">
        <v>2993000.0</v>
      </c>
      <c r="O3617" s="4">
        <f t="shared" si="6"/>
        <v>5594.392523</v>
      </c>
      <c r="P3617" s="2">
        <v>0.0</v>
      </c>
      <c r="Q3617" s="3">
        <f t="shared" si="7"/>
        <v>0</v>
      </c>
      <c r="R3617" s="2">
        <v>239.0</v>
      </c>
      <c r="S3617" s="5">
        <f t="shared" si="8"/>
        <v>1</v>
      </c>
    </row>
    <row r="3618">
      <c r="A3618" s="2" t="s">
        <v>3624</v>
      </c>
      <c r="B3618" s="2">
        <v>218.0</v>
      </c>
      <c r="C3618" s="2">
        <v>2586.0</v>
      </c>
      <c r="D3618" s="2">
        <v>899.0</v>
      </c>
      <c r="E3618" s="3">
        <f t="shared" si="1"/>
        <v>0.3796452703</v>
      </c>
      <c r="F3618" s="2">
        <v>308.0</v>
      </c>
      <c r="G3618" s="3">
        <f t="shared" si="2"/>
        <v>0.1300675676</v>
      </c>
      <c r="H3618" s="2">
        <v>525.0</v>
      </c>
      <c r="I3618" s="3">
        <f t="shared" si="3"/>
        <v>0.2217060811</v>
      </c>
      <c r="J3618" s="2">
        <v>367.0</v>
      </c>
      <c r="K3618" s="3">
        <f t="shared" si="4"/>
        <v>0.1549831081</v>
      </c>
      <c r="L3618" s="2">
        <v>300.0</v>
      </c>
      <c r="M3618" s="3">
        <f t="shared" si="5"/>
        <v>0.5714285714</v>
      </c>
      <c r="N3618" s="2">
        <v>2810100.0</v>
      </c>
      <c r="O3618" s="4">
        <f t="shared" si="6"/>
        <v>5352.571429</v>
      </c>
      <c r="P3618" s="2">
        <v>0.0</v>
      </c>
      <c r="Q3618" s="3">
        <f t="shared" si="7"/>
        <v>0</v>
      </c>
      <c r="R3618" s="2">
        <v>218.0</v>
      </c>
      <c r="S3618" s="5">
        <f t="shared" si="8"/>
        <v>1</v>
      </c>
    </row>
    <row r="3619">
      <c r="A3619" s="2" t="s">
        <v>3625</v>
      </c>
      <c r="B3619" s="2">
        <v>188.0</v>
      </c>
      <c r="C3619" s="2">
        <v>2164.0</v>
      </c>
      <c r="D3619" s="2">
        <v>581.0</v>
      </c>
      <c r="E3619" s="3">
        <f t="shared" si="1"/>
        <v>0.2940283401</v>
      </c>
      <c r="F3619" s="2">
        <v>257.0</v>
      </c>
      <c r="G3619" s="3">
        <f t="shared" si="2"/>
        <v>0.1300607287</v>
      </c>
      <c r="H3619" s="2">
        <v>396.0</v>
      </c>
      <c r="I3619" s="3">
        <f t="shared" si="3"/>
        <v>0.2004048583</v>
      </c>
      <c r="J3619" s="2">
        <v>438.0</v>
      </c>
      <c r="K3619" s="3">
        <f t="shared" si="4"/>
        <v>0.221659919</v>
      </c>
      <c r="L3619" s="2">
        <v>225.0</v>
      </c>
      <c r="M3619" s="3">
        <f t="shared" si="5"/>
        <v>0.5681818182</v>
      </c>
      <c r="N3619" s="2">
        <v>2234800.0</v>
      </c>
      <c r="O3619" s="4">
        <f t="shared" si="6"/>
        <v>5643.434343</v>
      </c>
      <c r="P3619" s="2">
        <v>1.0</v>
      </c>
      <c r="Q3619" s="3">
        <f t="shared" si="7"/>
        <v>0.005319148936</v>
      </c>
      <c r="R3619" s="2">
        <v>188.0</v>
      </c>
      <c r="S3619" s="5">
        <f t="shared" si="8"/>
        <v>1</v>
      </c>
    </row>
    <row r="3620">
      <c r="A3620" s="2" t="s">
        <v>3626</v>
      </c>
      <c r="B3620" s="2">
        <v>524.0</v>
      </c>
      <c r="C3620" s="2">
        <v>6122.0</v>
      </c>
      <c r="D3620" s="2">
        <v>2263.0</v>
      </c>
      <c r="E3620" s="3">
        <f t="shared" si="1"/>
        <v>0.4042515184</v>
      </c>
      <c r="F3620" s="2">
        <v>728.0</v>
      </c>
      <c r="G3620" s="3">
        <f t="shared" si="2"/>
        <v>0.1300464452</v>
      </c>
      <c r="H3620" s="2">
        <v>1206.0</v>
      </c>
      <c r="I3620" s="3">
        <f t="shared" si="3"/>
        <v>0.2154340836</v>
      </c>
      <c r="J3620" s="2">
        <v>970.0</v>
      </c>
      <c r="K3620" s="3">
        <f t="shared" si="4"/>
        <v>0.1732761701</v>
      </c>
      <c r="L3620" s="2">
        <v>717.0</v>
      </c>
      <c r="M3620" s="3">
        <f t="shared" si="5"/>
        <v>0.5945273632</v>
      </c>
      <c r="N3620" s="2">
        <v>6620900.0</v>
      </c>
      <c r="O3620" s="4">
        <f t="shared" si="6"/>
        <v>5489.966833</v>
      </c>
      <c r="P3620" s="2">
        <v>1.0</v>
      </c>
      <c r="Q3620" s="3">
        <f t="shared" si="7"/>
        <v>0.001908396947</v>
      </c>
      <c r="R3620" s="2">
        <v>522.0</v>
      </c>
      <c r="S3620" s="5">
        <f t="shared" si="8"/>
        <v>0.9961832061</v>
      </c>
    </row>
    <row r="3621">
      <c r="A3621" s="2" t="s">
        <v>3627</v>
      </c>
      <c r="B3621" s="2">
        <v>107.0</v>
      </c>
      <c r="C3621" s="2">
        <v>1222.0</v>
      </c>
      <c r="D3621" s="2">
        <v>413.0</v>
      </c>
      <c r="E3621" s="3">
        <f t="shared" si="1"/>
        <v>0.3704035874</v>
      </c>
      <c r="F3621" s="2">
        <v>145.0</v>
      </c>
      <c r="G3621" s="3">
        <f t="shared" si="2"/>
        <v>0.130044843</v>
      </c>
      <c r="H3621" s="2">
        <v>251.0</v>
      </c>
      <c r="I3621" s="3">
        <f t="shared" si="3"/>
        <v>0.2251121076</v>
      </c>
      <c r="J3621" s="2">
        <v>206.0</v>
      </c>
      <c r="K3621" s="3">
        <f t="shared" si="4"/>
        <v>0.1847533632</v>
      </c>
      <c r="L3621" s="2">
        <v>145.0</v>
      </c>
      <c r="M3621" s="3">
        <f t="shared" si="5"/>
        <v>0.577689243</v>
      </c>
      <c r="N3621" s="2">
        <v>1363100.0</v>
      </c>
      <c r="O3621" s="4">
        <f t="shared" si="6"/>
        <v>5430.677291</v>
      </c>
      <c r="P3621" s="2">
        <v>0.0</v>
      </c>
      <c r="Q3621" s="3">
        <f t="shared" si="7"/>
        <v>0</v>
      </c>
      <c r="R3621" s="2">
        <v>22.0</v>
      </c>
      <c r="S3621" s="5">
        <f t="shared" si="8"/>
        <v>0.2056074766</v>
      </c>
    </row>
    <row r="3622">
      <c r="A3622" s="2" t="s">
        <v>3628</v>
      </c>
      <c r="B3622" s="2">
        <v>114.0</v>
      </c>
      <c r="C3622" s="2">
        <v>1329.0</v>
      </c>
      <c r="D3622" s="2">
        <v>523.0</v>
      </c>
      <c r="E3622" s="3">
        <f t="shared" si="1"/>
        <v>0.4304526749</v>
      </c>
      <c r="F3622" s="2">
        <v>158.0</v>
      </c>
      <c r="G3622" s="3">
        <f t="shared" si="2"/>
        <v>0.1300411523</v>
      </c>
      <c r="H3622" s="2">
        <v>227.0</v>
      </c>
      <c r="I3622" s="3">
        <f t="shared" si="3"/>
        <v>0.1868312757</v>
      </c>
      <c r="J3622" s="2">
        <v>162.0</v>
      </c>
      <c r="K3622" s="3">
        <f t="shared" si="4"/>
        <v>0.1333333333</v>
      </c>
      <c r="L3622" s="2">
        <v>153.0</v>
      </c>
      <c r="M3622" s="3">
        <f t="shared" si="5"/>
        <v>0.6740088106</v>
      </c>
      <c r="N3622" s="2">
        <v>1196700.0</v>
      </c>
      <c r="O3622" s="4">
        <f t="shared" si="6"/>
        <v>5271.806167</v>
      </c>
      <c r="P3622" s="2">
        <v>0.0</v>
      </c>
      <c r="Q3622" s="3">
        <f t="shared" si="7"/>
        <v>0</v>
      </c>
      <c r="R3622" s="2">
        <v>114.0</v>
      </c>
      <c r="S3622" s="5">
        <f t="shared" si="8"/>
        <v>1</v>
      </c>
    </row>
    <row r="3623">
      <c r="A3623" s="2" t="s">
        <v>3629</v>
      </c>
      <c r="B3623" s="2">
        <v>438.0</v>
      </c>
      <c r="C3623" s="2">
        <v>5029.0</v>
      </c>
      <c r="D3623" s="2">
        <v>1945.0</v>
      </c>
      <c r="E3623" s="3">
        <f t="shared" si="1"/>
        <v>0.4236549771</v>
      </c>
      <c r="F3623" s="2">
        <v>597.0</v>
      </c>
      <c r="G3623" s="3">
        <f t="shared" si="2"/>
        <v>0.130037029</v>
      </c>
      <c r="H3623" s="2">
        <v>1058.0</v>
      </c>
      <c r="I3623" s="3">
        <f t="shared" si="3"/>
        <v>0.2304508822</v>
      </c>
      <c r="J3623" s="2">
        <v>809.0</v>
      </c>
      <c r="K3623" s="3">
        <f t="shared" si="4"/>
        <v>0.1762143324</v>
      </c>
      <c r="L3623" s="2">
        <v>628.0</v>
      </c>
      <c r="M3623" s="3">
        <f t="shared" si="5"/>
        <v>0.5935727788</v>
      </c>
      <c r="N3623" s="2">
        <v>5747900.0</v>
      </c>
      <c r="O3623" s="4">
        <f t="shared" si="6"/>
        <v>5432.797732</v>
      </c>
      <c r="P3623" s="2">
        <v>3.0</v>
      </c>
      <c r="Q3623" s="3">
        <f t="shared" si="7"/>
        <v>0.006849315068</v>
      </c>
      <c r="R3623" s="2">
        <v>0.0</v>
      </c>
      <c r="S3623" s="5">
        <f t="shared" si="8"/>
        <v>0</v>
      </c>
    </row>
    <row r="3624">
      <c r="A3624" s="2" t="s">
        <v>3630</v>
      </c>
      <c r="B3624" s="2">
        <v>536.0</v>
      </c>
      <c r="C3624" s="2">
        <v>6258.0</v>
      </c>
      <c r="D3624" s="2">
        <v>1550.0</v>
      </c>
      <c r="E3624" s="3">
        <f t="shared" si="1"/>
        <v>0.2708843062</v>
      </c>
      <c r="F3624" s="2">
        <v>744.0</v>
      </c>
      <c r="G3624" s="3">
        <f t="shared" si="2"/>
        <v>0.130024467</v>
      </c>
      <c r="H3624" s="2">
        <v>1151.0</v>
      </c>
      <c r="I3624" s="3">
        <f t="shared" si="3"/>
        <v>0.2011534429</v>
      </c>
      <c r="J3624" s="2">
        <v>1087.0</v>
      </c>
      <c r="K3624" s="3">
        <f t="shared" si="4"/>
        <v>0.1899685425</v>
      </c>
      <c r="L3624" s="2">
        <v>669.0</v>
      </c>
      <c r="M3624" s="3">
        <f t="shared" si="5"/>
        <v>0.5812337098</v>
      </c>
      <c r="N3624" s="2">
        <v>7201500.0</v>
      </c>
      <c r="O3624" s="4">
        <f t="shared" si="6"/>
        <v>6256.733275</v>
      </c>
      <c r="P3624" s="2">
        <v>1.0</v>
      </c>
      <c r="Q3624" s="3">
        <f t="shared" si="7"/>
        <v>0.001865671642</v>
      </c>
      <c r="R3624" s="2">
        <v>0.0</v>
      </c>
      <c r="S3624" s="5">
        <f t="shared" si="8"/>
        <v>0</v>
      </c>
    </row>
    <row r="3625">
      <c r="A3625" s="2" t="s">
        <v>3631</v>
      </c>
      <c r="B3625" s="2">
        <v>273.0</v>
      </c>
      <c r="C3625" s="2">
        <v>3188.0</v>
      </c>
      <c r="D3625" s="2">
        <v>970.0</v>
      </c>
      <c r="E3625" s="3">
        <f t="shared" si="1"/>
        <v>0.332761578</v>
      </c>
      <c r="F3625" s="2">
        <v>379.0</v>
      </c>
      <c r="G3625" s="3">
        <f t="shared" si="2"/>
        <v>0.1300171527</v>
      </c>
      <c r="H3625" s="2">
        <v>628.0</v>
      </c>
      <c r="I3625" s="3">
        <f t="shared" si="3"/>
        <v>0.2154373928</v>
      </c>
      <c r="J3625" s="2">
        <v>566.0</v>
      </c>
      <c r="K3625" s="3">
        <f t="shared" si="4"/>
        <v>0.1941680961</v>
      </c>
      <c r="L3625" s="2">
        <v>369.0</v>
      </c>
      <c r="M3625" s="3">
        <f t="shared" si="5"/>
        <v>0.5875796178</v>
      </c>
      <c r="N3625" s="2">
        <v>3852400.0</v>
      </c>
      <c r="O3625" s="4">
        <f t="shared" si="6"/>
        <v>6134.394904</v>
      </c>
      <c r="P3625" s="2">
        <v>0.0</v>
      </c>
      <c r="Q3625" s="3">
        <f t="shared" si="7"/>
        <v>0</v>
      </c>
      <c r="R3625" s="2">
        <v>273.0</v>
      </c>
      <c r="S3625" s="5">
        <f t="shared" si="8"/>
        <v>1</v>
      </c>
    </row>
    <row r="3626">
      <c r="A3626" s="2" t="s">
        <v>3632</v>
      </c>
      <c r="B3626" s="2">
        <v>241.0</v>
      </c>
      <c r="C3626" s="2">
        <v>2833.0</v>
      </c>
      <c r="D3626" s="2">
        <v>838.0</v>
      </c>
      <c r="E3626" s="3">
        <f t="shared" si="1"/>
        <v>0.3233024691</v>
      </c>
      <c r="F3626" s="2">
        <v>337.0</v>
      </c>
      <c r="G3626" s="3">
        <f t="shared" si="2"/>
        <v>0.1300154321</v>
      </c>
      <c r="H3626" s="2">
        <v>536.0</v>
      </c>
      <c r="I3626" s="3">
        <f t="shared" si="3"/>
        <v>0.2067901235</v>
      </c>
      <c r="J3626" s="2">
        <v>411.0</v>
      </c>
      <c r="K3626" s="3">
        <f t="shared" si="4"/>
        <v>0.1585648148</v>
      </c>
      <c r="L3626" s="2">
        <v>318.0</v>
      </c>
      <c r="M3626" s="3">
        <f t="shared" si="5"/>
        <v>0.5932835821</v>
      </c>
      <c r="N3626" s="2">
        <v>2941300.0</v>
      </c>
      <c r="O3626" s="4">
        <f t="shared" si="6"/>
        <v>5487.5</v>
      </c>
      <c r="P3626" s="2">
        <v>0.0</v>
      </c>
      <c r="Q3626" s="3">
        <f t="shared" si="7"/>
        <v>0</v>
      </c>
      <c r="R3626" s="2">
        <v>27.0</v>
      </c>
      <c r="S3626" s="5">
        <f t="shared" si="8"/>
        <v>0.112033195</v>
      </c>
    </row>
    <row r="3627">
      <c r="A3627" s="2" t="s">
        <v>3633</v>
      </c>
      <c r="B3627" s="2">
        <v>197.0</v>
      </c>
      <c r="C3627" s="2">
        <v>2266.0</v>
      </c>
      <c r="D3627" s="2">
        <v>790.0</v>
      </c>
      <c r="E3627" s="3">
        <f t="shared" si="1"/>
        <v>0.3818269696</v>
      </c>
      <c r="F3627" s="2">
        <v>269.0</v>
      </c>
      <c r="G3627" s="3">
        <f t="shared" si="2"/>
        <v>0.1300144998</v>
      </c>
      <c r="H3627" s="2">
        <v>433.0</v>
      </c>
      <c r="I3627" s="3">
        <f t="shared" si="3"/>
        <v>0.2092798453</v>
      </c>
      <c r="J3627" s="2">
        <v>357.0</v>
      </c>
      <c r="K3627" s="3">
        <f t="shared" si="4"/>
        <v>0.1725471242</v>
      </c>
      <c r="L3627" s="2">
        <v>270.0</v>
      </c>
      <c r="M3627" s="3">
        <f t="shared" si="5"/>
        <v>0.623556582</v>
      </c>
      <c r="N3627" s="2">
        <v>2313800.0</v>
      </c>
      <c r="O3627" s="4">
        <f t="shared" si="6"/>
        <v>5343.648961</v>
      </c>
      <c r="P3627" s="2">
        <v>0.0</v>
      </c>
      <c r="Q3627" s="3">
        <f t="shared" si="7"/>
        <v>0</v>
      </c>
      <c r="R3627" s="2">
        <v>0.0</v>
      </c>
      <c r="S3627" s="5">
        <f t="shared" si="8"/>
        <v>0</v>
      </c>
    </row>
    <row r="3628">
      <c r="A3628" s="2" t="s">
        <v>3634</v>
      </c>
      <c r="B3628" s="2">
        <v>1013.0</v>
      </c>
      <c r="C3628" s="2">
        <v>12058.0</v>
      </c>
      <c r="D3628" s="2">
        <v>4411.0</v>
      </c>
      <c r="E3628" s="3">
        <f t="shared" si="1"/>
        <v>0.3993662291</v>
      </c>
      <c r="F3628" s="2">
        <v>1436.0</v>
      </c>
      <c r="G3628" s="3">
        <f t="shared" si="2"/>
        <v>0.1300135808</v>
      </c>
      <c r="H3628" s="2">
        <v>2503.0</v>
      </c>
      <c r="I3628" s="3">
        <f t="shared" si="3"/>
        <v>0.2266183794</v>
      </c>
      <c r="J3628" s="2">
        <v>1896.0</v>
      </c>
      <c r="K3628" s="3">
        <f t="shared" si="4"/>
        <v>0.1716613852</v>
      </c>
      <c r="L3628" s="2">
        <v>1446.0</v>
      </c>
      <c r="M3628" s="3">
        <f t="shared" si="5"/>
        <v>0.5777067519</v>
      </c>
      <c r="N3628" s="2">
        <v>1.27337E7</v>
      </c>
      <c r="O3628" s="4">
        <f t="shared" si="6"/>
        <v>5087.37515</v>
      </c>
      <c r="P3628" s="2">
        <v>1.0</v>
      </c>
      <c r="Q3628" s="3">
        <f t="shared" si="7"/>
        <v>0.0009871668312</v>
      </c>
      <c r="R3628" s="2">
        <v>1013.0</v>
      </c>
      <c r="S3628" s="5">
        <f t="shared" si="8"/>
        <v>1</v>
      </c>
    </row>
    <row r="3629">
      <c r="A3629" s="2" t="s">
        <v>3635</v>
      </c>
      <c r="B3629" s="2">
        <v>447.0</v>
      </c>
      <c r="C3629" s="2">
        <v>5239.0</v>
      </c>
      <c r="D3629" s="2">
        <v>1797.0</v>
      </c>
      <c r="E3629" s="3">
        <f t="shared" si="1"/>
        <v>0.375</v>
      </c>
      <c r="F3629" s="2">
        <v>623.0</v>
      </c>
      <c r="G3629" s="3">
        <f t="shared" si="2"/>
        <v>0.1300083472</v>
      </c>
      <c r="H3629" s="2">
        <v>1080.0</v>
      </c>
      <c r="I3629" s="3">
        <f t="shared" si="3"/>
        <v>0.225375626</v>
      </c>
      <c r="J3629" s="2">
        <v>796.0</v>
      </c>
      <c r="K3629" s="3">
        <f t="shared" si="4"/>
        <v>0.1661101836</v>
      </c>
      <c r="L3629" s="2">
        <v>664.0</v>
      </c>
      <c r="M3629" s="3">
        <f t="shared" si="5"/>
        <v>0.6148148148</v>
      </c>
      <c r="N3629" s="2">
        <v>5872700.0</v>
      </c>
      <c r="O3629" s="4">
        <f t="shared" si="6"/>
        <v>5437.685185</v>
      </c>
      <c r="P3629" s="2">
        <v>0.0</v>
      </c>
      <c r="Q3629" s="3">
        <f t="shared" si="7"/>
        <v>0</v>
      </c>
      <c r="R3629" s="2">
        <v>447.0</v>
      </c>
      <c r="S3629" s="5">
        <f t="shared" si="8"/>
        <v>1</v>
      </c>
    </row>
    <row r="3630">
      <c r="A3630" s="2" t="s">
        <v>3636</v>
      </c>
      <c r="B3630" s="2">
        <v>517.0</v>
      </c>
      <c r="C3630" s="2">
        <v>6040.0</v>
      </c>
      <c r="D3630" s="2">
        <v>1651.0</v>
      </c>
      <c r="E3630" s="3">
        <f t="shared" si="1"/>
        <v>0.29893174</v>
      </c>
      <c r="F3630" s="2">
        <v>718.0</v>
      </c>
      <c r="G3630" s="3">
        <f t="shared" si="2"/>
        <v>0.1300018106</v>
      </c>
      <c r="H3630" s="2">
        <v>1101.0</v>
      </c>
      <c r="I3630" s="3">
        <f t="shared" si="3"/>
        <v>0.1993481803</v>
      </c>
      <c r="J3630" s="2">
        <v>953.0</v>
      </c>
      <c r="K3630" s="3">
        <f t="shared" si="4"/>
        <v>0.1725511497</v>
      </c>
      <c r="L3630" s="2">
        <v>640.0</v>
      </c>
      <c r="M3630" s="3">
        <f t="shared" si="5"/>
        <v>0.5812897366</v>
      </c>
      <c r="N3630" s="2">
        <v>6616200.0</v>
      </c>
      <c r="O3630" s="4">
        <f t="shared" si="6"/>
        <v>6009.264305</v>
      </c>
      <c r="P3630" s="2">
        <v>1.0</v>
      </c>
      <c r="Q3630" s="3">
        <f t="shared" si="7"/>
        <v>0.001934235977</v>
      </c>
      <c r="R3630" s="2">
        <v>430.0</v>
      </c>
      <c r="S3630" s="5">
        <f t="shared" si="8"/>
        <v>0.83172147</v>
      </c>
    </row>
    <row r="3631">
      <c r="A3631" s="2" t="s">
        <v>3637</v>
      </c>
      <c r="B3631" s="2">
        <v>1993.0</v>
      </c>
      <c r="C3631" s="2">
        <v>23525.0</v>
      </c>
      <c r="D3631" s="2">
        <v>8413.0</v>
      </c>
      <c r="E3631" s="3">
        <f t="shared" si="1"/>
        <v>0.3907207877</v>
      </c>
      <c r="F3631" s="2">
        <v>2799.0</v>
      </c>
      <c r="G3631" s="3">
        <f t="shared" si="2"/>
        <v>0.1299925692</v>
      </c>
      <c r="H3631" s="2">
        <v>4673.0</v>
      </c>
      <c r="I3631" s="3">
        <f t="shared" si="3"/>
        <v>0.217025822</v>
      </c>
      <c r="J3631" s="2">
        <v>3465.0</v>
      </c>
      <c r="K3631" s="3">
        <f t="shared" si="4"/>
        <v>0.160923277</v>
      </c>
      <c r="L3631" s="2">
        <v>2857.0</v>
      </c>
      <c r="M3631" s="3">
        <f t="shared" si="5"/>
        <v>0.6113845495</v>
      </c>
      <c r="N3631" s="2">
        <v>2.54219E7</v>
      </c>
      <c r="O3631" s="4">
        <f t="shared" si="6"/>
        <v>5440.166916</v>
      </c>
      <c r="P3631" s="2">
        <v>3.0</v>
      </c>
      <c r="Q3631" s="3">
        <f t="shared" si="7"/>
        <v>0.00150526844</v>
      </c>
      <c r="R3631" s="2">
        <v>1993.0</v>
      </c>
      <c r="S3631" s="5">
        <f t="shared" si="8"/>
        <v>1</v>
      </c>
    </row>
    <row r="3632">
      <c r="A3632" s="2" t="s">
        <v>3638</v>
      </c>
      <c r="B3632" s="2">
        <v>2021.0</v>
      </c>
      <c r="C3632" s="2">
        <v>24061.0</v>
      </c>
      <c r="D3632" s="2">
        <v>7789.0</v>
      </c>
      <c r="E3632" s="3">
        <f t="shared" si="1"/>
        <v>0.3534029038</v>
      </c>
      <c r="F3632" s="2">
        <v>2865.0</v>
      </c>
      <c r="G3632" s="3">
        <f t="shared" si="2"/>
        <v>0.1299909256</v>
      </c>
      <c r="H3632" s="2">
        <v>4817.0</v>
      </c>
      <c r="I3632" s="3">
        <f t="shared" si="3"/>
        <v>0.2185571688</v>
      </c>
      <c r="J3632" s="2">
        <v>3814.0</v>
      </c>
      <c r="K3632" s="3">
        <f t="shared" si="4"/>
        <v>0.1730490018</v>
      </c>
      <c r="L3632" s="2">
        <v>2919.0</v>
      </c>
      <c r="M3632" s="3">
        <f t="shared" si="5"/>
        <v>0.605978825</v>
      </c>
      <c r="N3632" s="2">
        <v>2.56095E7</v>
      </c>
      <c r="O3632" s="4">
        <f t="shared" si="6"/>
        <v>5316.483288</v>
      </c>
      <c r="P3632" s="2">
        <v>5.0</v>
      </c>
      <c r="Q3632" s="3">
        <f t="shared" si="7"/>
        <v>0.002474022761</v>
      </c>
      <c r="R3632" s="2">
        <v>2021.0</v>
      </c>
      <c r="S3632" s="5">
        <f t="shared" si="8"/>
        <v>1</v>
      </c>
    </row>
    <row r="3633">
      <c r="A3633" s="2" t="s">
        <v>3639</v>
      </c>
      <c r="B3633" s="2">
        <v>529.0</v>
      </c>
      <c r="C3633" s="2">
        <v>6122.0</v>
      </c>
      <c r="D3633" s="2">
        <v>2084.0</v>
      </c>
      <c r="E3633" s="3">
        <f t="shared" si="1"/>
        <v>0.3726086179</v>
      </c>
      <c r="F3633" s="2">
        <v>727.0</v>
      </c>
      <c r="G3633" s="3">
        <f t="shared" si="2"/>
        <v>0.1299839085</v>
      </c>
      <c r="H3633" s="2">
        <v>1137.0</v>
      </c>
      <c r="I3633" s="3">
        <f t="shared" si="3"/>
        <v>0.2032898266</v>
      </c>
      <c r="J3633" s="2">
        <v>900.0</v>
      </c>
      <c r="K3633" s="3">
        <f t="shared" si="4"/>
        <v>0.16091543</v>
      </c>
      <c r="L3633" s="2">
        <v>693.0</v>
      </c>
      <c r="M3633" s="3">
        <f t="shared" si="5"/>
        <v>0.6094986807</v>
      </c>
      <c r="N3633" s="2">
        <v>6985000.0</v>
      </c>
      <c r="O3633" s="4">
        <f t="shared" si="6"/>
        <v>6143.359719</v>
      </c>
      <c r="P3633" s="2">
        <v>2.0</v>
      </c>
      <c r="Q3633" s="3">
        <f t="shared" si="7"/>
        <v>0.003780718336</v>
      </c>
      <c r="R3633" s="2">
        <v>529.0</v>
      </c>
      <c r="S3633" s="5">
        <f t="shared" si="8"/>
        <v>1</v>
      </c>
    </row>
    <row r="3634">
      <c r="A3634" s="2" t="s">
        <v>3640</v>
      </c>
      <c r="B3634" s="2">
        <v>223.0</v>
      </c>
      <c r="C3634" s="2">
        <v>2608.0</v>
      </c>
      <c r="D3634" s="2">
        <v>785.0</v>
      </c>
      <c r="E3634" s="3">
        <f t="shared" si="1"/>
        <v>0.3291404612</v>
      </c>
      <c r="F3634" s="2">
        <v>310.0</v>
      </c>
      <c r="G3634" s="3">
        <f t="shared" si="2"/>
        <v>0.1299790356</v>
      </c>
      <c r="H3634" s="2">
        <v>530.0</v>
      </c>
      <c r="I3634" s="3">
        <f t="shared" si="3"/>
        <v>0.2222222222</v>
      </c>
      <c r="J3634" s="2">
        <v>465.0</v>
      </c>
      <c r="K3634" s="3">
        <f t="shared" si="4"/>
        <v>0.1949685535</v>
      </c>
      <c r="L3634" s="2">
        <v>313.0</v>
      </c>
      <c r="M3634" s="3">
        <f t="shared" si="5"/>
        <v>0.5905660377</v>
      </c>
      <c r="N3634" s="2">
        <v>3139000.0</v>
      </c>
      <c r="O3634" s="4">
        <f t="shared" si="6"/>
        <v>5922.641509</v>
      </c>
      <c r="P3634" s="2">
        <v>0.0</v>
      </c>
      <c r="Q3634" s="3">
        <f t="shared" si="7"/>
        <v>0</v>
      </c>
      <c r="R3634" s="2">
        <v>87.0</v>
      </c>
      <c r="S3634" s="5">
        <f t="shared" si="8"/>
        <v>0.3901345291</v>
      </c>
    </row>
    <row r="3635">
      <c r="A3635" s="2" t="s">
        <v>3641</v>
      </c>
      <c r="B3635" s="2">
        <v>567.0</v>
      </c>
      <c r="C3635" s="2">
        <v>6684.0</v>
      </c>
      <c r="D3635" s="2">
        <v>1992.0</v>
      </c>
      <c r="E3635" s="3">
        <f t="shared" si="1"/>
        <v>0.3256498283</v>
      </c>
      <c r="F3635" s="2">
        <v>795.0</v>
      </c>
      <c r="G3635" s="3">
        <f t="shared" si="2"/>
        <v>0.1299656694</v>
      </c>
      <c r="H3635" s="2">
        <v>1203.0</v>
      </c>
      <c r="I3635" s="3">
        <f t="shared" si="3"/>
        <v>0.1966650319</v>
      </c>
      <c r="J3635" s="2">
        <v>988.0</v>
      </c>
      <c r="K3635" s="3">
        <f t="shared" si="4"/>
        <v>0.1615170835</v>
      </c>
      <c r="L3635" s="2">
        <v>696.0</v>
      </c>
      <c r="M3635" s="3">
        <f t="shared" si="5"/>
        <v>0.578553616</v>
      </c>
      <c r="N3635" s="2">
        <v>7217100.0</v>
      </c>
      <c r="O3635" s="4">
        <f t="shared" si="6"/>
        <v>5999.25187</v>
      </c>
      <c r="P3635" s="2">
        <v>2.0</v>
      </c>
      <c r="Q3635" s="3">
        <f t="shared" si="7"/>
        <v>0.003527336861</v>
      </c>
      <c r="R3635" s="2">
        <v>181.0</v>
      </c>
      <c r="S3635" s="5">
        <f t="shared" si="8"/>
        <v>0.3192239859</v>
      </c>
    </row>
    <row r="3636">
      <c r="A3636" s="2" t="s">
        <v>3642</v>
      </c>
      <c r="B3636" s="2">
        <v>4340.0</v>
      </c>
      <c r="C3636" s="2">
        <v>50670.0</v>
      </c>
      <c r="D3636" s="2">
        <v>16171.0</v>
      </c>
      <c r="E3636" s="3">
        <f t="shared" si="1"/>
        <v>0.3490394992</v>
      </c>
      <c r="F3636" s="2">
        <v>6021.0</v>
      </c>
      <c r="G3636" s="3">
        <f t="shared" si="2"/>
        <v>0.1299589899</v>
      </c>
      <c r="H3636" s="2">
        <v>9820.0</v>
      </c>
      <c r="I3636" s="3">
        <f t="shared" si="3"/>
        <v>0.2119576948</v>
      </c>
      <c r="J3636" s="2">
        <v>8313.0</v>
      </c>
      <c r="K3636" s="3">
        <f t="shared" si="4"/>
        <v>0.1794301748</v>
      </c>
      <c r="L3636" s="2">
        <v>5830.0</v>
      </c>
      <c r="M3636" s="3">
        <f t="shared" si="5"/>
        <v>0.5936863544</v>
      </c>
      <c r="N3636" s="2">
        <v>5.56124E7</v>
      </c>
      <c r="O3636" s="4">
        <f t="shared" si="6"/>
        <v>5663.177189</v>
      </c>
      <c r="P3636" s="2">
        <v>8.0</v>
      </c>
      <c r="Q3636" s="3">
        <f t="shared" si="7"/>
        <v>0.001843317972</v>
      </c>
      <c r="R3636" s="2">
        <v>4340.0</v>
      </c>
      <c r="S3636" s="5">
        <f t="shared" si="8"/>
        <v>1</v>
      </c>
    </row>
    <row r="3637">
      <c r="A3637" s="2" t="s">
        <v>3643</v>
      </c>
      <c r="B3637" s="2">
        <v>483.0</v>
      </c>
      <c r="C3637" s="2">
        <v>5654.0</v>
      </c>
      <c r="D3637" s="2">
        <v>1587.0</v>
      </c>
      <c r="E3637" s="3">
        <f t="shared" si="1"/>
        <v>0.3069038871</v>
      </c>
      <c r="F3637" s="2">
        <v>672.0</v>
      </c>
      <c r="G3637" s="3">
        <f t="shared" si="2"/>
        <v>0.1299555212</v>
      </c>
      <c r="H3637" s="2">
        <v>1117.0</v>
      </c>
      <c r="I3637" s="3">
        <f t="shared" si="3"/>
        <v>0.2160123767</v>
      </c>
      <c r="J3637" s="2">
        <v>907.0</v>
      </c>
      <c r="K3637" s="3">
        <f t="shared" si="4"/>
        <v>0.1754012763</v>
      </c>
      <c r="L3637" s="2">
        <v>662.0</v>
      </c>
      <c r="M3637" s="3">
        <f t="shared" si="5"/>
        <v>0.5926589078</v>
      </c>
      <c r="N3637" s="2">
        <v>6433900.0</v>
      </c>
      <c r="O3637" s="4">
        <f t="shared" si="6"/>
        <v>5759.982095</v>
      </c>
      <c r="P3637" s="2">
        <v>1.0</v>
      </c>
      <c r="Q3637" s="3">
        <f t="shared" si="7"/>
        <v>0.002070393375</v>
      </c>
      <c r="R3637" s="2">
        <v>483.0</v>
      </c>
      <c r="S3637" s="5">
        <f t="shared" si="8"/>
        <v>1</v>
      </c>
    </row>
    <row r="3638">
      <c r="A3638" s="2" t="s">
        <v>3644</v>
      </c>
      <c r="B3638" s="2">
        <v>117.0</v>
      </c>
      <c r="C3638" s="2">
        <v>1379.0</v>
      </c>
      <c r="D3638" s="2">
        <v>455.0</v>
      </c>
      <c r="E3638" s="3">
        <f t="shared" si="1"/>
        <v>0.3605388273</v>
      </c>
      <c r="F3638" s="2">
        <v>164.0</v>
      </c>
      <c r="G3638" s="3">
        <f t="shared" si="2"/>
        <v>0.1299524564</v>
      </c>
      <c r="H3638" s="2">
        <v>269.0</v>
      </c>
      <c r="I3638" s="3">
        <f t="shared" si="3"/>
        <v>0.2131537242</v>
      </c>
      <c r="J3638" s="2">
        <v>263.0</v>
      </c>
      <c r="K3638" s="3">
        <f t="shared" si="4"/>
        <v>0.2083993661</v>
      </c>
      <c r="L3638" s="2">
        <v>161.0</v>
      </c>
      <c r="M3638" s="3">
        <f t="shared" si="5"/>
        <v>0.5985130112</v>
      </c>
      <c r="N3638" s="2">
        <v>1436200.0</v>
      </c>
      <c r="O3638" s="4">
        <f t="shared" si="6"/>
        <v>5339.033457</v>
      </c>
      <c r="P3638" s="2">
        <v>2.0</v>
      </c>
      <c r="Q3638" s="3">
        <f t="shared" si="7"/>
        <v>0.01709401709</v>
      </c>
      <c r="R3638" s="2">
        <v>117.0</v>
      </c>
      <c r="S3638" s="5">
        <f t="shared" si="8"/>
        <v>1</v>
      </c>
    </row>
    <row r="3639">
      <c r="A3639" s="2" t="s">
        <v>3645</v>
      </c>
      <c r="B3639" s="2">
        <v>510.0</v>
      </c>
      <c r="C3639" s="2">
        <v>5912.0</v>
      </c>
      <c r="D3639" s="2">
        <v>1805.0</v>
      </c>
      <c r="E3639" s="3">
        <f t="shared" si="1"/>
        <v>0.3341355054</v>
      </c>
      <c r="F3639" s="2">
        <v>702.0</v>
      </c>
      <c r="G3639" s="3">
        <f t="shared" si="2"/>
        <v>0.1299518697</v>
      </c>
      <c r="H3639" s="2">
        <v>1142.0</v>
      </c>
      <c r="I3639" s="3">
        <f t="shared" si="3"/>
        <v>0.211403184</v>
      </c>
      <c r="J3639" s="2">
        <v>858.0</v>
      </c>
      <c r="K3639" s="3">
        <f t="shared" si="4"/>
        <v>0.1588300629</v>
      </c>
      <c r="L3639" s="2">
        <v>677.0</v>
      </c>
      <c r="M3639" s="3">
        <f t="shared" si="5"/>
        <v>0.5928196147</v>
      </c>
      <c r="N3639" s="2">
        <v>6233600.0</v>
      </c>
      <c r="O3639" s="4">
        <f t="shared" si="6"/>
        <v>5458.49387</v>
      </c>
      <c r="P3639" s="2">
        <v>0.0</v>
      </c>
      <c r="Q3639" s="3">
        <f t="shared" si="7"/>
        <v>0</v>
      </c>
      <c r="R3639" s="2">
        <v>510.0</v>
      </c>
      <c r="S3639" s="5">
        <f t="shared" si="8"/>
        <v>1</v>
      </c>
    </row>
    <row r="3640">
      <c r="A3640" s="2" t="s">
        <v>3646</v>
      </c>
      <c r="B3640" s="2">
        <v>354.0</v>
      </c>
      <c r="C3640" s="2">
        <v>4194.0</v>
      </c>
      <c r="D3640" s="2">
        <v>1546.0</v>
      </c>
      <c r="E3640" s="3">
        <f t="shared" si="1"/>
        <v>0.4026041667</v>
      </c>
      <c r="F3640" s="2">
        <v>499.0</v>
      </c>
      <c r="G3640" s="3">
        <f t="shared" si="2"/>
        <v>0.1299479167</v>
      </c>
      <c r="H3640" s="2">
        <v>867.0</v>
      </c>
      <c r="I3640" s="3">
        <f t="shared" si="3"/>
        <v>0.22578125</v>
      </c>
      <c r="J3640" s="2">
        <v>638.0</v>
      </c>
      <c r="K3640" s="3">
        <f t="shared" si="4"/>
        <v>0.1661458333</v>
      </c>
      <c r="L3640" s="2">
        <v>517.0</v>
      </c>
      <c r="M3640" s="3">
        <f t="shared" si="5"/>
        <v>0.5963091119</v>
      </c>
      <c r="N3640" s="2">
        <v>4591900.0</v>
      </c>
      <c r="O3640" s="4">
        <f t="shared" si="6"/>
        <v>5296.309112</v>
      </c>
      <c r="P3640" s="2">
        <v>0.0</v>
      </c>
      <c r="Q3640" s="3">
        <f t="shared" si="7"/>
        <v>0</v>
      </c>
      <c r="R3640" s="2">
        <v>354.0</v>
      </c>
      <c r="S3640" s="5">
        <f t="shared" si="8"/>
        <v>1</v>
      </c>
    </row>
    <row r="3641">
      <c r="A3641" s="2" t="s">
        <v>3647</v>
      </c>
      <c r="B3641" s="2">
        <v>16.0</v>
      </c>
      <c r="C3641" s="2">
        <v>193.0</v>
      </c>
      <c r="D3641" s="2">
        <v>62.0</v>
      </c>
      <c r="E3641" s="3">
        <f t="shared" si="1"/>
        <v>0.3502824859</v>
      </c>
      <c r="F3641" s="2">
        <v>23.0</v>
      </c>
      <c r="G3641" s="3">
        <f t="shared" si="2"/>
        <v>0.1299435028</v>
      </c>
      <c r="H3641" s="2">
        <v>23.0</v>
      </c>
      <c r="I3641" s="3">
        <f t="shared" si="3"/>
        <v>0.1299435028</v>
      </c>
      <c r="J3641" s="2">
        <v>28.0</v>
      </c>
      <c r="K3641" s="3">
        <f t="shared" si="4"/>
        <v>0.1581920904</v>
      </c>
      <c r="L3641" s="2">
        <v>14.0</v>
      </c>
      <c r="M3641" s="3">
        <f t="shared" si="5"/>
        <v>0.6086956522</v>
      </c>
      <c r="N3641" s="2">
        <v>95200.0</v>
      </c>
      <c r="O3641" s="4">
        <f t="shared" si="6"/>
        <v>4139.130435</v>
      </c>
      <c r="P3641" s="2">
        <v>0.0</v>
      </c>
      <c r="Q3641" s="3">
        <f t="shared" si="7"/>
        <v>0</v>
      </c>
      <c r="R3641" s="2">
        <v>16.0</v>
      </c>
      <c r="S3641" s="5">
        <f t="shared" si="8"/>
        <v>1</v>
      </c>
    </row>
    <row r="3642">
      <c r="A3642" s="2" t="s">
        <v>3648</v>
      </c>
      <c r="B3642" s="2">
        <v>170.0</v>
      </c>
      <c r="C3642" s="2">
        <v>2017.0</v>
      </c>
      <c r="D3642" s="2">
        <v>618.0</v>
      </c>
      <c r="E3642" s="3">
        <f t="shared" si="1"/>
        <v>0.3345966432</v>
      </c>
      <c r="F3642" s="2">
        <v>240.0</v>
      </c>
      <c r="G3642" s="3">
        <f t="shared" si="2"/>
        <v>0.129940444</v>
      </c>
      <c r="H3642" s="2">
        <v>431.0</v>
      </c>
      <c r="I3642" s="3">
        <f t="shared" si="3"/>
        <v>0.2333513806</v>
      </c>
      <c r="J3642" s="2">
        <v>451.0</v>
      </c>
      <c r="K3642" s="3">
        <f t="shared" si="4"/>
        <v>0.2441797509</v>
      </c>
      <c r="L3642" s="2">
        <v>262.0</v>
      </c>
      <c r="M3642" s="3">
        <f t="shared" si="5"/>
        <v>0.6078886311</v>
      </c>
      <c r="N3642" s="2">
        <v>2406400.0</v>
      </c>
      <c r="O3642" s="4">
        <f t="shared" si="6"/>
        <v>5583.294664</v>
      </c>
      <c r="P3642" s="2">
        <v>0.0</v>
      </c>
      <c r="Q3642" s="3">
        <f t="shared" si="7"/>
        <v>0</v>
      </c>
      <c r="R3642" s="2">
        <v>0.0</v>
      </c>
      <c r="S3642" s="5">
        <f t="shared" si="8"/>
        <v>0</v>
      </c>
    </row>
    <row r="3643">
      <c r="A3643" s="2" t="s">
        <v>3649</v>
      </c>
      <c r="B3643" s="2">
        <v>155.0</v>
      </c>
      <c r="C3643" s="2">
        <v>1825.0</v>
      </c>
      <c r="D3643" s="2">
        <v>513.0</v>
      </c>
      <c r="E3643" s="3">
        <f t="shared" si="1"/>
        <v>0.3071856287</v>
      </c>
      <c r="F3643" s="2">
        <v>217.0</v>
      </c>
      <c r="G3643" s="3">
        <f t="shared" si="2"/>
        <v>0.1299401198</v>
      </c>
      <c r="H3643" s="2">
        <v>315.0</v>
      </c>
      <c r="I3643" s="3">
        <f t="shared" si="3"/>
        <v>0.1886227545</v>
      </c>
      <c r="J3643" s="2">
        <v>234.0</v>
      </c>
      <c r="K3643" s="3">
        <f t="shared" si="4"/>
        <v>0.1401197605</v>
      </c>
      <c r="L3643" s="2">
        <v>188.0</v>
      </c>
      <c r="M3643" s="3">
        <f t="shared" si="5"/>
        <v>0.5968253968</v>
      </c>
      <c r="N3643" s="2">
        <v>1818800.0</v>
      </c>
      <c r="O3643" s="4">
        <f t="shared" si="6"/>
        <v>5773.968254</v>
      </c>
      <c r="P3643" s="2">
        <v>0.0</v>
      </c>
      <c r="Q3643" s="3">
        <f t="shared" si="7"/>
        <v>0</v>
      </c>
      <c r="R3643" s="2">
        <v>155.0</v>
      </c>
      <c r="S3643" s="5">
        <f t="shared" si="8"/>
        <v>1</v>
      </c>
    </row>
    <row r="3644">
      <c r="A3644" s="2" t="s">
        <v>3650</v>
      </c>
      <c r="B3644" s="2">
        <v>1025.0</v>
      </c>
      <c r="C3644" s="2">
        <v>12146.0</v>
      </c>
      <c r="D3644" s="2">
        <v>4164.0</v>
      </c>
      <c r="E3644" s="3">
        <f t="shared" si="1"/>
        <v>0.3744267602</v>
      </c>
      <c r="F3644" s="2">
        <v>1445.0</v>
      </c>
      <c r="G3644" s="3">
        <f t="shared" si="2"/>
        <v>0.1299343584</v>
      </c>
      <c r="H3644" s="2">
        <v>2369.0</v>
      </c>
      <c r="I3644" s="3">
        <f t="shared" si="3"/>
        <v>0.2130204118</v>
      </c>
      <c r="J3644" s="2">
        <v>1728.0</v>
      </c>
      <c r="K3644" s="3">
        <f t="shared" si="4"/>
        <v>0.1553817103</v>
      </c>
      <c r="L3644" s="2">
        <v>1441.0</v>
      </c>
      <c r="M3644" s="3">
        <f t="shared" si="5"/>
        <v>0.6082735331</v>
      </c>
      <c r="N3644" s="2">
        <v>1.26843E7</v>
      </c>
      <c r="O3644" s="4">
        <f t="shared" si="6"/>
        <v>5354.284508</v>
      </c>
      <c r="P3644" s="2">
        <v>0.0</v>
      </c>
      <c r="Q3644" s="3">
        <f t="shared" si="7"/>
        <v>0</v>
      </c>
      <c r="R3644" s="2">
        <v>1025.0</v>
      </c>
      <c r="S3644" s="5">
        <f t="shared" si="8"/>
        <v>1</v>
      </c>
    </row>
    <row r="3645">
      <c r="A3645" s="2" t="s">
        <v>3651</v>
      </c>
      <c r="B3645" s="2">
        <v>871.0</v>
      </c>
      <c r="C3645" s="2">
        <v>10315.0</v>
      </c>
      <c r="D3645" s="2">
        <v>3409.0</v>
      </c>
      <c r="E3645" s="3">
        <f t="shared" si="1"/>
        <v>0.360969928</v>
      </c>
      <c r="F3645" s="2">
        <v>1227.0</v>
      </c>
      <c r="G3645" s="3">
        <f t="shared" si="2"/>
        <v>0.1299237611</v>
      </c>
      <c r="H3645" s="2">
        <v>2091.0</v>
      </c>
      <c r="I3645" s="3">
        <f t="shared" si="3"/>
        <v>0.2214104193</v>
      </c>
      <c r="J3645" s="2">
        <v>1569.0</v>
      </c>
      <c r="K3645" s="3">
        <f t="shared" si="4"/>
        <v>0.16613723</v>
      </c>
      <c r="L3645" s="2">
        <v>1252.0</v>
      </c>
      <c r="M3645" s="3">
        <f t="shared" si="5"/>
        <v>0.5987565758</v>
      </c>
      <c r="N3645" s="2">
        <v>1.18616E7</v>
      </c>
      <c r="O3645" s="4">
        <f t="shared" si="6"/>
        <v>5672.692492</v>
      </c>
      <c r="P3645" s="2">
        <v>4.0</v>
      </c>
      <c r="Q3645" s="3">
        <f t="shared" si="7"/>
        <v>0.004592422503</v>
      </c>
      <c r="R3645" s="2">
        <v>871.0</v>
      </c>
      <c r="S3645" s="5">
        <f t="shared" si="8"/>
        <v>1</v>
      </c>
    </row>
    <row r="3646">
      <c r="A3646" s="2" t="s">
        <v>3652</v>
      </c>
      <c r="B3646" s="2">
        <v>25.0</v>
      </c>
      <c r="C3646" s="2">
        <v>279.0</v>
      </c>
      <c r="D3646" s="2">
        <v>90.0</v>
      </c>
      <c r="E3646" s="3">
        <f t="shared" si="1"/>
        <v>0.3543307087</v>
      </c>
      <c r="F3646" s="2">
        <v>33.0</v>
      </c>
      <c r="G3646" s="3">
        <f t="shared" si="2"/>
        <v>0.1299212598</v>
      </c>
      <c r="H3646" s="2">
        <v>48.0</v>
      </c>
      <c r="I3646" s="3">
        <f t="shared" si="3"/>
        <v>0.188976378</v>
      </c>
      <c r="J3646" s="2">
        <v>43.0</v>
      </c>
      <c r="K3646" s="3">
        <f t="shared" si="4"/>
        <v>0.1692913386</v>
      </c>
      <c r="L3646" s="2">
        <v>32.0</v>
      </c>
      <c r="M3646" s="3">
        <f t="shared" si="5"/>
        <v>0.6666666667</v>
      </c>
      <c r="N3646" s="2">
        <v>306000.0</v>
      </c>
      <c r="O3646" s="4">
        <f t="shared" si="6"/>
        <v>6375</v>
      </c>
      <c r="P3646" s="2">
        <v>0.0</v>
      </c>
      <c r="Q3646" s="3">
        <f t="shared" si="7"/>
        <v>0</v>
      </c>
      <c r="R3646" s="2">
        <v>25.0</v>
      </c>
      <c r="S3646" s="5">
        <f t="shared" si="8"/>
        <v>1</v>
      </c>
    </row>
    <row r="3647">
      <c r="A3647" s="2" t="s">
        <v>3653</v>
      </c>
      <c r="B3647" s="2">
        <v>181.0</v>
      </c>
      <c r="C3647" s="2">
        <v>2067.0</v>
      </c>
      <c r="D3647" s="2">
        <v>678.0</v>
      </c>
      <c r="E3647" s="3">
        <f t="shared" si="1"/>
        <v>0.3594909862</v>
      </c>
      <c r="F3647" s="2">
        <v>245.0</v>
      </c>
      <c r="G3647" s="3">
        <f t="shared" si="2"/>
        <v>0.1299045599</v>
      </c>
      <c r="H3647" s="2">
        <v>415.0</v>
      </c>
      <c r="I3647" s="3">
        <f t="shared" si="3"/>
        <v>0.2200424178</v>
      </c>
      <c r="J3647" s="2">
        <v>274.0</v>
      </c>
      <c r="K3647" s="3">
        <f t="shared" si="4"/>
        <v>0.145281018</v>
      </c>
      <c r="L3647" s="2">
        <v>244.0</v>
      </c>
      <c r="M3647" s="3">
        <f t="shared" si="5"/>
        <v>0.5879518072</v>
      </c>
      <c r="N3647" s="2">
        <v>2364700.0</v>
      </c>
      <c r="O3647" s="4">
        <f t="shared" si="6"/>
        <v>5698.072289</v>
      </c>
      <c r="P3647" s="2">
        <v>2.0</v>
      </c>
      <c r="Q3647" s="3">
        <f t="shared" si="7"/>
        <v>0.01104972376</v>
      </c>
      <c r="R3647" s="2">
        <v>181.0</v>
      </c>
      <c r="S3647" s="5">
        <f t="shared" si="8"/>
        <v>1</v>
      </c>
    </row>
    <row r="3648">
      <c r="A3648" s="2" t="s">
        <v>3654</v>
      </c>
      <c r="B3648" s="2">
        <v>596.0</v>
      </c>
      <c r="C3648" s="2">
        <v>7070.0</v>
      </c>
      <c r="D3648" s="2">
        <v>2295.0</v>
      </c>
      <c r="E3648" s="3">
        <f t="shared" si="1"/>
        <v>0.3544949027</v>
      </c>
      <c r="F3648" s="2">
        <v>841.0</v>
      </c>
      <c r="G3648" s="3">
        <f t="shared" si="2"/>
        <v>0.1299042323</v>
      </c>
      <c r="H3648" s="2">
        <v>1405.0</v>
      </c>
      <c r="I3648" s="3">
        <f t="shared" si="3"/>
        <v>0.2170219339</v>
      </c>
      <c r="J3648" s="2">
        <v>1148.0</v>
      </c>
      <c r="K3648" s="3">
        <f t="shared" si="4"/>
        <v>0.1773246833</v>
      </c>
      <c r="L3648" s="2">
        <v>826.0</v>
      </c>
      <c r="M3648" s="3">
        <f t="shared" si="5"/>
        <v>0.5879003559</v>
      </c>
      <c r="N3648" s="2">
        <v>7774400.0</v>
      </c>
      <c r="O3648" s="4">
        <f t="shared" si="6"/>
        <v>5533.380783</v>
      </c>
      <c r="P3648" s="2">
        <v>1.0</v>
      </c>
      <c r="Q3648" s="3">
        <f t="shared" si="7"/>
        <v>0.001677852349</v>
      </c>
      <c r="R3648" s="2">
        <v>0.0</v>
      </c>
      <c r="S3648" s="5">
        <f t="shared" si="8"/>
        <v>0</v>
      </c>
    </row>
    <row r="3649">
      <c r="A3649" s="2" t="s">
        <v>3655</v>
      </c>
      <c r="B3649" s="2">
        <v>2323.0</v>
      </c>
      <c r="C3649" s="2">
        <v>27280.0</v>
      </c>
      <c r="D3649" s="2">
        <v>8448.0</v>
      </c>
      <c r="E3649" s="3">
        <f t="shared" si="1"/>
        <v>0.3385022238</v>
      </c>
      <c r="F3649" s="2">
        <v>3242.0</v>
      </c>
      <c r="G3649" s="3">
        <f t="shared" si="2"/>
        <v>0.1299034339</v>
      </c>
      <c r="H3649" s="2">
        <v>5440.0</v>
      </c>
      <c r="I3649" s="3">
        <f t="shared" si="3"/>
        <v>0.2179749169</v>
      </c>
      <c r="J3649" s="2">
        <v>4154.0</v>
      </c>
      <c r="K3649" s="3">
        <f t="shared" si="4"/>
        <v>0.1664462876</v>
      </c>
      <c r="L3649" s="2">
        <v>3276.0</v>
      </c>
      <c r="M3649" s="3">
        <f t="shared" si="5"/>
        <v>0.6022058824</v>
      </c>
      <c r="N3649" s="2">
        <v>2.92786E7</v>
      </c>
      <c r="O3649" s="4">
        <f t="shared" si="6"/>
        <v>5382.095588</v>
      </c>
      <c r="P3649" s="2">
        <v>4.0</v>
      </c>
      <c r="Q3649" s="3">
        <f t="shared" si="7"/>
        <v>0.001721911322</v>
      </c>
      <c r="R3649" s="2">
        <v>163.0</v>
      </c>
      <c r="S3649" s="5">
        <f t="shared" si="8"/>
        <v>0.07016788635</v>
      </c>
    </row>
    <row r="3650">
      <c r="A3650" s="2" t="s">
        <v>3656</v>
      </c>
      <c r="B3650" s="2">
        <v>298.0</v>
      </c>
      <c r="C3650" s="2">
        <v>3562.0</v>
      </c>
      <c r="D3650" s="2">
        <v>1110.0</v>
      </c>
      <c r="E3650" s="3">
        <f t="shared" si="1"/>
        <v>0.3400735294</v>
      </c>
      <c r="F3650" s="2">
        <v>424.0</v>
      </c>
      <c r="G3650" s="3">
        <f t="shared" si="2"/>
        <v>0.1299019608</v>
      </c>
      <c r="H3650" s="2">
        <v>658.0</v>
      </c>
      <c r="I3650" s="3">
        <f t="shared" si="3"/>
        <v>0.2015931373</v>
      </c>
      <c r="J3650" s="2">
        <v>521.0</v>
      </c>
      <c r="K3650" s="3">
        <f t="shared" si="4"/>
        <v>0.159620098</v>
      </c>
      <c r="L3650" s="2">
        <v>383.0</v>
      </c>
      <c r="M3650" s="3">
        <f t="shared" si="5"/>
        <v>0.5820668693</v>
      </c>
      <c r="N3650" s="2">
        <v>3849900.0</v>
      </c>
      <c r="O3650" s="4">
        <f t="shared" si="6"/>
        <v>5850.911854</v>
      </c>
      <c r="P3650" s="2">
        <v>2.0</v>
      </c>
      <c r="Q3650" s="3">
        <f t="shared" si="7"/>
        <v>0.006711409396</v>
      </c>
      <c r="R3650" s="2">
        <v>298.0</v>
      </c>
      <c r="S3650" s="5">
        <f t="shared" si="8"/>
        <v>1</v>
      </c>
    </row>
    <row r="3651">
      <c r="A3651" s="2" t="s">
        <v>3657</v>
      </c>
      <c r="B3651" s="2">
        <v>1498.0</v>
      </c>
      <c r="C3651" s="2">
        <v>17680.0</v>
      </c>
      <c r="D3651" s="2">
        <v>5864.0</v>
      </c>
      <c r="E3651" s="3">
        <f t="shared" si="1"/>
        <v>0.3623779508</v>
      </c>
      <c r="F3651" s="2">
        <v>2102.0</v>
      </c>
      <c r="G3651" s="3">
        <f t="shared" si="2"/>
        <v>0.1298974169</v>
      </c>
      <c r="H3651" s="2">
        <v>3398.0</v>
      </c>
      <c r="I3651" s="3">
        <f t="shared" si="3"/>
        <v>0.2099864046</v>
      </c>
      <c r="J3651" s="2">
        <v>2542.0</v>
      </c>
      <c r="K3651" s="3">
        <f t="shared" si="4"/>
        <v>0.1570881226</v>
      </c>
      <c r="L3651" s="2">
        <v>2007.0</v>
      </c>
      <c r="M3651" s="3">
        <f t="shared" si="5"/>
        <v>0.5906415539</v>
      </c>
      <c r="N3651" s="2">
        <v>1.92922E7</v>
      </c>
      <c r="O3651" s="4">
        <f t="shared" si="6"/>
        <v>5677.516186</v>
      </c>
      <c r="P3651" s="2">
        <v>3.0</v>
      </c>
      <c r="Q3651" s="3">
        <f t="shared" si="7"/>
        <v>0.002002670227</v>
      </c>
      <c r="R3651" s="2">
        <v>1463.0</v>
      </c>
      <c r="S3651" s="5">
        <f t="shared" si="8"/>
        <v>0.976635514</v>
      </c>
    </row>
    <row r="3652">
      <c r="A3652" s="2" t="s">
        <v>3658</v>
      </c>
      <c r="B3652" s="2">
        <v>63.0</v>
      </c>
      <c r="C3652" s="2">
        <v>779.0</v>
      </c>
      <c r="D3652" s="2">
        <v>281.0</v>
      </c>
      <c r="E3652" s="3">
        <f t="shared" si="1"/>
        <v>0.3924581006</v>
      </c>
      <c r="F3652" s="2">
        <v>93.0</v>
      </c>
      <c r="G3652" s="3">
        <f t="shared" si="2"/>
        <v>0.1298882682</v>
      </c>
      <c r="H3652" s="2">
        <v>129.0</v>
      </c>
      <c r="I3652" s="3">
        <f t="shared" si="3"/>
        <v>0.1801675978</v>
      </c>
      <c r="J3652" s="2">
        <v>104.0</v>
      </c>
      <c r="K3652" s="3">
        <f t="shared" si="4"/>
        <v>0.1452513966</v>
      </c>
      <c r="L3652" s="2">
        <v>78.0</v>
      </c>
      <c r="M3652" s="3">
        <f t="shared" si="5"/>
        <v>0.6046511628</v>
      </c>
      <c r="N3652" s="2">
        <v>754300.0</v>
      </c>
      <c r="O3652" s="4">
        <f t="shared" si="6"/>
        <v>5847.286822</v>
      </c>
      <c r="P3652" s="2">
        <v>1.0</v>
      </c>
      <c r="Q3652" s="3">
        <f t="shared" si="7"/>
        <v>0.01587301587</v>
      </c>
      <c r="R3652" s="2">
        <v>63.0</v>
      </c>
      <c r="S3652" s="5">
        <f t="shared" si="8"/>
        <v>1</v>
      </c>
    </row>
    <row r="3653">
      <c r="A3653" s="2" t="s">
        <v>3659</v>
      </c>
      <c r="B3653" s="2">
        <v>78.0</v>
      </c>
      <c r="C3653" s="2">
        <v>871.0</v>
      </c>
      <c r="D3653" s="2">
        <v>284.0</v>
      </c>
      <c r="E3653" s="3">
        <f t="shared" si="1"/>
        <v>0.3581336696</v>
      </c>
      <c r="F3653" s="2">
        <v>103.0</v>
      </c>
      <c r="G3653" s="3">
        <f t="shared" si="2"/>
        <v>0.1298865069</v>
      </c>
      <c r="H3653" s="2">
        <v>160.0</v>
      </c>
      <c r="I3653" s="3">
        <f t="shared" si="3"/>
        <v>0.2017654477</v>
      </c>
      <c r="J3653" s="2">
        <v>144.0</v>
      </c>
      <c r="K3653" s="3">
        <f t="shared" si="4"/>
        <v>0.1815889029</v>
      </c>
      <c r="L3653" s="2">
        <v>99.0</v>
      </c>
      <c r="M3653" s="3">
        <f t="shared" si="5"/>
        <v>0.61875</v>
      </c>
      <c r="N3653" s="2">
        <v>879400.0</v>
      </c>
      <c r="O3653" s="4">
        <f t="shared" si="6"/>
        <v>5496.25</v>
      </c>
      <c r="P3653" s="2">
        <v>0.0</v>
      </c>
      <c r="Q3653" s="3">
        <f t="shared" si="7"/>
        <v>0</v>
      </c>
      <c r="R3653" s="2">
        <v>78.0</v>
      </c>
      <c r="S3653" s="5">
        <f t="shared" si="8"/>
        <v>1</v>
      </c>
    </row>
    <row r="3654">
      <c r="A3654" s="2" t="s">
        <v>3660</v>
      </c>
      <c r="B3654" s="2">
        <v>335.0</v>
      </c>
      <c r="C3654" s="2">
        <v>4000.0</v>
      </c>
      <c r="D3654" s="2">
        <v>1477.0</v>
      </c>
      <c r="E3654" s="3">
        <f t="shared" si="1"/>
        <v>0.4030013643</v>
      </c>
      <c r="F3654" s="2">
        <v>476.0</v>
      </c>
      <c r="G3654" s="3">
        <f t="shared" si="2"/>
        <v>0.1298772169</v>
      </c>
      <c r="H3654" s="2">
        <v>793.0</v>
      </c>
      <c r="I3654" s="3">
        <f t="shared" si="3"/>
        <v>0.2163710778</v>
      </c>
      <c r="J3654" s="2">
        <v>580.0</v>
      </c>
      <c r="K3654" s="3">
        <f t="shared" si="4"/>
        <v>0.1582537517</v>
      </c>
      <c r="L3654" s="2">
        <v>462.0</v>
      </c>
      <c r="M3654" s="3">
        <f t="shared" si="5"/>
        <v>0.5825977301</v>
      </c>
      <c r="N3654" s="2">
        <v>4386200.0</v>
      </c>
      <c r="O3654" s="4">
        <f t="shared" si="6"/>
        <v>5531.147541</v>
      </c>
      <c r="P3654" s="2">
        <v>1.0</v>
      </c>
      <c r="Q3654" s="3">
        <f t="shared" si="7"/>
        <v>0.002985074627</v>
      </c>
      <c r="R3654" s="2">
        <v>0.0</v>
      </c>
      <c r="S3654" s="5">
        <f t="shared" si="8"/>
        <v>0</v>
      </c>
    </row>
    <row r="3655">
      <c r="A3655" s="2" t="s">
        <v>3661</v>
      </c>
      <c r="B3655" s="2">
        <v>157.0</v>
      </c>
      <c r="C3655" s="2">
        <v>1851.0</v>
      </c>
      <c r="D3655" s="2">
        <v>594.0</v>
      </c>
      <c r="E3655" s="3">
        <f t="shared" si="1"/>
        <v>0.3506493506</v>
      </c>
      <c r="F3655" s="2">
        <v>220.0</v>
      </c>
      <c r="G3655" s="3">
        <f t="shared" si="2"/>
        <v>0.1298701299</v>
      </c>
      <c r="H3655" s="2">
        <v>319.0</v>
      </c>
      <c r="I3655" s="3">
        <f t="shared" si="3"/>
        <v>0.1883116883</v>
      </c>
      <c r="J3655" s="2">
        <v>284.0</v>
      </c>
      <c r="K3655" s="3">
        <f t="shared" si="4"/>
        <v>0.1676505313</v>
      </c>
      <c r="L3655" s="2">
        <v>172.0</v>
      </c>
      <c r="M3655" s="3">
        <f t="shared" si="5"/>
        <v>0.539184953</v>
      </c>
      <c r="N3655" s="2">
        <v>1695400.0</v>
      </c>
      <c r="O3655" s="4">
        <f t="shared" si="6"/>
        <v>5314.733542</v>
      </c>
      <c r="P3655" s="2">
        <v>0.0</v>
      </c>
      <c r="Q3655" s="3">
        <f t="shared" si="7"/>
        <v>0</v>
      </c>
      <c r="R3655" s="2">
        <v>157.0</v>
      </c>
      <c r="S3655" s="5">
        <f t="shared" si="8"/>
        <v>1</v>
      </c>
    </row>
    <row r="3656">
      <c r="A3656" s="2" t="s">
        <v>3662</v>
      </c>
      <c r="B3656" s="2">
        <v>61.0</v>
      </c>
      <c r="C3656" s="2">
        <v>754.0</v>
      </c>
      <c r="D3656" s="2">
        <v>197.0</v>
      </c>
      <c r="E3656" s="3">
        <f t="shared" si="1"/>
        <v>0.2842712843</v>
      </c>
      <c r="F3656" s="2">
        <v>90.0</v>
      </c>
      <c r="G3656" s="3">
        <f t="shared" si="2"/>
        <v>0.1298701299</v>
      </c>
      <c r="H3656" s="2">
        <v>127.0</v>
      </c>
      <c r="I3656" s="3">
        <f t="shared" si="3"/>
        <v>0.1832611833</v>
      </c>
      <c r="J3656" s="2">
        <v>97.0</v>
      </c>
      <c r="K3656" s="3">
        <f t="shared" si="4"/>
        <v>0.13997114</v>
      </c>
      <c r="L3656" s="2">
        <v>73.0</v>
      </c>
      <c r="M3656" s="3">
        <f t="shared" si="5"/>
        <v>0.5748031496</v>
      </c>
      <c r="N3656" s="2">
        <v>741700.0</v>
      </c>
      <c r="O3656" s="4">
        <f t="shared" si="6"/>
        <v>5840.15748</v>
      </c>
      <c r="P3656" s="2">
        <v>0.0</v>
      </c>
      <c r="Q3656" s="3">
        <f t="shared" si="7"/>
        <v>0</v>
      </c>
      <c r="R3656" s="2">
        <v>61.0</v>
      </c>
      <c r="S3656" s="5">
        <f t="shared" si="8"/>
        <v>1</v>
      </c>
    </row>
    <row r="3657">
      <c r="A3657" s="2" t="s">
        <v>3663</v>
      </c>
      <c r="B3657" s="2">
        <v>716.0</v>
      </c>
      <c r="C3657" s="2">
        <v>8470.0</v>
      </c>
      <c r="D3657" s="2">
        <v>3125.0</v>
      </c>
      <c r="E3657" s="3">
        <f t="shared" si="1"/>
        <v>0.4030177973</v>
      </c>
      <c r="F3657" s="2">
        <v>1007.0</v>
      </c>
      <c r="G3657" s="3">
        <f t="shared" si="2"/>
        <v>0.129868455</v>
      </c>
      <c r="H3657" s="2">
        <v>1758.0</v>
      </c>
      <c r="I3657" s="3">
        <f t="shared" si="3"/>
        <v>0.226721692</v>
      </c>
      <c r="J3657" s="2">
        <v>1310.0</v>
      </c>
      <c r="K3657" s="3">
        <f t="shared" si="4"/>
        <v>0.1689450606</v>
      </c>
      <c r="L3657" s="2">
        <v>1046.0</v>
      </c>
      <c r="M3657" s="3">
        <f t="shared" si="5"/>
        <v>0.5949943117</v>
      </c>
      <c r="N3657" s="2">
        <v>9366500.0</v>
      </c>
      <c r="O3657" s="4">
        <f t="shared" si="6"/>
        <v>5327.929465</v>
      </c>
      <c r="P3657" s="2">
        <v>2.0</v>
      </c>
      <c r="Q3657" s="3">
        <f t="shared" si="7"/>
        <v>0.002793296089</v>
      </c>
      <c r="R3657" s="2">
        <v>0.0</v>
      </c>
      <c r="S3657" s="5">
        <f t="shared" si="8"/>
        <v>0</v>
      </c>
    </row>
    <row r="3658">
      <c r="A3658" s="2" t="s">
        <v>3664</v>
      </c>
      <c r="B3658" s="2">
        <v>1462.0</v>
      </c>
      <c r="C3658" s="2">
        <v>17101.0</v>
      </c>
      <c r="D3658" s="2">
        <v>6217.0</v>
      </c>
      <c r="E3658" s="3">
        <f t="shared" si="1"/>
        <v>0.3975318115</v>
      </c>
      <c r="F3658" s="2">
        <v>2031.0</v>
      </c>
      <c r="G3658" s="3">
        <f t="shared" si="2"/>
        <v>0.1298676386</v>
      </c>
      <c r="H3658" s="2">
        <v>3274.0</v>
      </c>
      <c r="I3658" s="3">
        <f t="shared" si="3"/>
        <v>0.2093484238</v>
      </c>
      <c r="J3658" s="2">
        <v>2440.0</v>
      </c>
      <c r="K3658" s="3">
        <f t="shared" si="4"/>
        <v>0.1560202059</v>
      </c>
      <c r="L3658" s="2">
        <v>1917.0</v>
      </c>
      <c r="M3658" s="3">
        <f t="shared" si="5"/>
        <v>0.5855222969</v>
      </c>
      <c r="N3658" s="2">
        <v>1.82379E7</v>
      </c>
      <c r="O3658" s="4">
        <f t="shared" si="6"/>
        <v>5570.525351</v>
      </c>
      <c r="P3658" s="2">
        <v>4.0</v>
      </c>
      <c r="Q3658" s="3">
        <f t="shared" si="7"/>
        <v>0.002735978112</v>
      </c>
      <c r="R3658" s="2">
        <v>0.0</v>
      </c>
      <c r="S3658" s="5">
        <f t="shared" si="8"/>
        <v>0</v>
      </c>
    </row>
    <row r="3659">
      <c r="A3659" s="2" t="s">
        <v>3665</v>
      </c>
      <c r="B3659" s="2">
        <v>128.0</v>
      </c>
      <c r="C3659" s="2">
        <v>1491.0</v>
      </c>
      <c r="D3659" s="2">
        <v>498.0</v>
      </c>
      <c r="E3659" s="3">
        <f t="shared" si="1"/>
        <v>0.3653705062</v>
      </c>
      <c r="F3659" s="2">
        <v>177.0</v>
      </c>
      <c r="G3659" s="3">
        <f t="shared" si="2"/>
        <v>0.1298606016</v>
      </c>
      <c r="H3659" s="2">
        <v>286.0</v>
      </c>
      <c r="I3659" s="3">
        <f t="shared" si="3"/>
        <v>0.2098312546</v>
      </c>
      <c r="J3659" s="2">
        <v>223.0</v>
      </c>
      <c r="K3659" s="3">
        <f t="shared" si="4"/>
        <v>0.1636096845</v>
      </c>
      <c r="L3659" s="2">
        <v>153.0</v>
      </c>
      <c r="M3659" s="3">
        <f t="shared" si="5"/>
        <v>0.534965035</v>
      </c>
      <c r="N3659" s="2">
        <v>1590300.0</v>
      </c>
      <c r="O3659" s="4">
        <f t="shared" si="6"/>
        <v>5560.48951</v>
      </c>
      <c r="P3659" s="2">
        <v>0.0</v>
      </c>
      <c r="Q3659" s="3">
        <f t="shared" si="7"/>
        <v>0</v>
      </c>
      <c r="R3659" s="2">
        <v>83.0</v>
      </c>
      <c r="S3659" s="5">
        <f t="shared" si="8"/>
        <v>0.6484375</v>
      </c>
    </row>
    <row r="3660">
      <c r="A3660" s="2" t="s">
        <v>3666</v>
      </c>
      <c r="B3660" s="2">
        <v>3087.0</v>
      </c>
      <c r="C3660" s="2">
        <v>36292.0</v>
      </c>
      <c r="D3660" s="2">
        <v>12495.0</v>
      </c>
      <c r="E3660" s="3">
        <f t="shared" si="1"/>
        <v>0.3762987502</v>
      </c>
      <c r="F3660" s="2">
        <v>4312.0</v>
      </c>
      <c r="G3660" s="3">
        <f t="shared" si="2"/>
        <v>0.1298599608</v>
      </c>
      <c r="H3660" s="2">
        <v>6966.0</v>
      </c>
      <c r="I3660" s="3">
        <f t="shared" si="3"/>
        <v>0.2097876826</v>
      </c>
      <c r="J3660" s="2">
        <v>5390.0</v>
      </c>
      <c r="K3660" s="3">
        <f t="shared" si="4"/>
        <v>0.1623249511</v>
      </c>
      <c r="L3660" s="2">
        <v>4068.0</v>
      </c>
      <c r="M3660" s="3">
        <f t="shared" si="5"/>
        <v>0.5839793282</v>
      </c>
      <c r="N3660" s="2">
        <v>3.81619E7</v>
      </c>
      <c r="O3660" s="4">
        <f t="shared" si="6"/>
        <v>5478.308929</v>
      </c>
      <c r="P3660" s="2">
        <v>5.0</v>
      </c>
      <c r="Q3660" s="3">
        <f t="shared" si="7"/>
        <v>0.001619695497</v>
      </c>
      <c r="R3660" s="2">
        <v>1552.0</v>
      </c>
      <c r="S3660" s="5">
        <f t="shared" si="8"/>
        <v>0.5027534823</v>
      </c>
    </row>
    <row r="3661">
      <c r="A3661" s="2" t="s">
        <v>3667</v>
      </c>
      <c r="B3661" s="2">
        <v>80.0</v>
      </c>
      <c r="C3661" s="2">
        <v>904.0</v>
      </c>
      <c r="D3661" s="2">
        <v>272.0</v>
      </c>
      <c r="E3661" s="3">
        <f t="shared" si="1"/>
        <v>0.3300970874</v>
      </c>
      <c r="F3661" s="2">
        <v>107.0</v>
      </c>
      <c r="G3661" s="3">
        <f t="shared" si="2"/>
        <v>0.1298543689</v>
      </c>
      <c r="H3661" s="2">
        <v>163.0</v>
      </c>
      <c r="I3661" s="3">
        <f t="shared" si="3"/>
        <v>0.197815534</v>
      </c>
      <c r="J3661" s="2">
        <v>138.0</v>
      </c>
      <c r="K3661" s="3">
        <f t="shared" si="4"/>
        <v>0.1674757282</v>
      </c>
      <c r="L3661" s="2">
        <v>87.0</v>
      </c>
      <c r="M3661" s="3">
        <f t="shared" si="5"/>
        <v>0.5337423313</v>
      </c>
      <c r="N3661" s="2">
        <v>925600.0</v>
      </c>
      <c r="O3661" s="4">
        <f t="shared" si="6"/>
        <v>5678.527607</v>
      </c>
      <c r="P3661" s="2">
        <v>0.0</v>
      </c>
      <c r="Q3661" s="3">
        <f t="shared" si="7"/>
        <v>0</v>
      </c>
      <c r="R3661" s="2">
        <v>1.0</v>
      </c>
      <c r="S3661" s="5">
        <f t="shared" si="8"/>
        <v>0.0125</v>
      </c>
    </row>
    <row r="3662">
      <c r="A3662" s="2" t="s">
        <v>3668</v>
      </c>
      <c r="B3662" s="2">
        <v>56.0</v>
      </c>
      <c r="C3662" s="2">
        <v>649.0</v>
      </c>
      <c r="D3662" s="2">
        <v>240.0</v>
      </c>
      <c r="E3662" s="3">
        <f t="shared" si="1"/>
        <v>0.4047217538</v>
      </c>
      <c r="F3662" s="2">
        <v>77.0</v>
      </c>
      <c r="G3662" s="3">
        <f t="shared" si="2"/>
        <v>0.1298482293</v>
      </c>
      <c r="H3662" s="2">
        <v>103.0</v>
      </c>
      <c r="I3662" s="3">
        <f t="shared" si="3"/>
        <v>0.173693086</v>
      </c>
      <c r="J3662" s="2">
        <v>89.0</v>
      </c>
      <c r="K3662" s="3">
        <f t="shared" si="4"/>
        <v>0.150084317</v>
      </c>
      <c r="L3662" s="2">
        <v>67.0</v>
      </c>
      <c r="M3662" s="3">
        <f t="shared" si="5"/>
        <v>0.6504854369</v>
      </c>
      <c r="N3662" s="2">
        <v>503600.0</v>
      </c>
      <c r="O3662" s="4">
        <f t="shared" si="6"/>
        <v>4889.320388</v>
      </c>
      <c r="P3662" s="2">
        <v>0.0</v>
      </c>
      <c r="Q3662" s="3">
        <f t="shared" si="7"/>
        <v>0</v>
      </c>
      <c r="R3662" s="2">
        <v>56.0</v>
      </c>
      <c r="S3662" s="5">
        <f t="shared" si="8"/>
        <v>1</v>
      </c>
    </row>
    <row r="3663">
      <c r="A3663" s="2" t="s">
        <v>3669</v>
      </c>
      <c r="B3663" s="2">
        <v>204.0</v>
      </c>
      <c r="C3663" s="2">
        <v>2345.0</v>
      </c>
      <c r="D3663" s="2">
        <v>718.0</v>
      </c>
      <c r="E3663" s="3">
        <f t="shared" si="1"/>
        <v>0.3353573097</v>
      </c>
      <c r="F3663" s="2">
        <v>278.0</v>
      </c>
      <c r="G3663" s="3">
        <f t="shared" si="2"/>
        <v>0.1298458664</v>
      </c>
      <c r="H3663" s="2">
        <v>418.0</v>
      </c>
      <c r="I3663" s="3">
        <f t="shared" si="3"/>
        <v>0.1952358711</v>
      </c>
      <c r="J3663" s="2">
        <v>393.0</v>
      </c>
      <c r="K3663" s="3">
        <f t="shared" si="4"/>
        <v>0.1835590845</v>
      </c>
      <c r="L3663" s="2">
        <v>238.0</v>
      </c>
      <c r="M3663" s="3">
        <f t="shared" si="5"/>
        <v>0.5693779904</v>
      </c>
      <c r="N3663" s="2">
        <v>2451400.0</v>
      </c>
      <c r="O3663" s="4">
        <f t="shared" si="6"/>
        <v>5864.593301</v>
      </c>
      <c r="P3663" s="2">
        <v>1.0</v>
      </c>
      <c r="Q3663" s="3">
        <f t="shared" si="7"/>
        <v>0.004901960784</v>
      </c>
      <c r="R3663" s="2">
        <v>204.0</v>
      </c>
      <c r="S3663" s="5">
        <f t="shared" si="8"/>
        <v>1</v>
      </c>
    </row>
    <row r="3664">
      <c r="A3664" s="2" t="s">
        <v>3670</v>
      </c>
      <c r="B3664" s="2">
        <v>129.0</v>
      </c>
      <c r="C3664" s="2">
        <v>1523.0</v>
      </c>
      <c r="D3664" s="2">
        <v>398.0</v>
      </c>
      <c r="E3664" s="3">
        <f t="shared" si="1"/>
        <v>0.2855093257</v>
      </c>
      <c r="F3664" s="2">
        <v>181.0</v>
      </c>
      <c r="G3664" s="3">
        <f t="shared" si="2"/>
        <v>0.1298421808</v>
      </c>
      <c r="H3664" s="2">
        <v>279.0</v>
      </c>
      <c r="I3664" s="3">
        <f t="shared" si="3"/>
        <v>0.200143472</v>
      </c>
      <c r="J3664" s="2">
        <v>232.0</v>
      </c>
      <c r="K3664" s="3">
        <f t="shared" si="4"/>
        <v>0.1664275466</v>
      </c>
      <c r="L3664" s="2">
        <v>174.0</v>
      </c>
      <c r="M3664" s="3">
        <f t="shared" si="5"/>
        <v>0.623655914</v>
      </c>
      <c r="N3664" s="2">
        <v>1524900.0</v>
      </c>
      <c r="O3664" s="4">
        <f t="shared" si="6"/>
        <v>5465.591398</v>
      </c>
      <c r="P3664" s="2">
        <v>0.0</v>
      </c>
      <c r="Q3664" s="3">
        <f t="shared" si="7"/>
        <v>0</v>
      </c>
      <c r="R3664" s="2">
        <v>129.0</v>
      </c>
      <c r="S3664" s="5">
        <f t="shared" si="8"/>
        <v>1</v>
      </c>
    </row>
    <row r="3665">
      <c r="A3665" s="2" t="s">
        <v>3671</v>
      </c>
      <c r="B3665" s="2">
        <v>415.0</v>
      </c>
      <c r="C3665" s="2">
        <v>4805.0</v>
      </c>
      <c r="D3665" s="2">
        <v>1679.0</v>
      </c>
      <c r="E3665" s="3">
        <f t="shared" si="1"/>
        <v>0.3824601367</v>
      </c>
      <c r="F3665" s="2">
        <v>570.0</v>
      </c>
      <c r="G3665" s="3">
        <f t="shared" si="2"/>
        <v>0.1298405467</v>
      </c>
      <c r="H3665" s="2">
        <v>939.0</v>
      </c>
      <c r="I3665" s="3">
        <f t="shared" si="3"/>
        <v>0.2138952164</v>
      </c>
      <c r="J3665" s="2">
        <v>941.0</v>
      </c>
      <c r="K3665" s="3">
        <f t="shared" si="4"/>
        <v>0.2143507973</v>
      </c>
      <c r="L3665" s="2">
        <v>568.0</v>
      </c>
      <c r="M3665" s="3">
        <f t="shared" si="5"/>
        <v>0.6048988285</v>
      </c>
      <c r="N3665" s="2">
        <v>5520200.0</v>
      </c>
      <c r="O3665" s="4">
        <f t="shared" si="6"/>
        <v>5878.807242</v>
      </c>
      <c r="P3665" s="2">
        <v>1.0</v>
      </c>
      <c r="Q3665" s="3">
        <f t="shared" si="7"/>
        <v>0.002409638554</v>
      </c>
      <c r="R3665" s="2">
        <v>0.0</v>
      </c>
      <c r="S3665" s="5">
        <f t="shared" si="8"/>
        <v>0</v>
      </c>
    </row>
    <row r="3666">
      <c r="A3666" s="2" t="s">
        <v>3672</v>
      </c>
      <c r="B3666" s="2">
        <v>489.0</v>
      </c>
      <c r="C3666" s="2">
        <v>5765.0</v>
      </c>
      <c r="D3666" s="2">
        <v>1933.0</v>
      </c>
      <c r="E3666" s="3">
        <f t="shared" si="1"/>
        <v>0.3663760425</v>
      </c>
      <c r="F3666" s="2">
        <v>685.0</v>
      </c>
      <c r="G3666" s="3">
        <f t="shared" si="2"/>
        <v>0.129833207</v>
      </c>
      <c r="H3666" s="2">
        <v>1166.0</v>
      </c>
      <c r="I3666" s="3">
        <f t="shared" si="3"/>
        <v>0.2210007582</v>
      </c>
      <c r="J3666" s="2">
        <v>1126.0</v>
      </c>
      <c r="K3666" s="3">
        <f t="shared" si="4"/>
        <v>0.213419257</v>
      </c>
      <c r="L3666" s="2">
        <v>688.0</v>
      </c>
      <c r="M3666" s="3">
        <f t="shared" si="5"/>
        <v>0.590051458</v>
      </c>
      <c r="N3666" s="2">
        <v>6210100.0</v>
      </c>
      <c r="O3666" s="4">
        <f t="shared" si="6"/>
        <v>5325.986278</v>
      </c>
      <c r="P3666" s="2">
        <v>1.0</v>
      </c>
      <c r="Q3666" s="3">
        <f t="shared" si="7"/>
        <v>0.002044989775</v>
      </c>
      <c r="R3666" s="2">
        <v>358.0</v>
      </c>
      <c r="S3666" s="5">
        <f t="shared" si="8"/>
        <v>0.7321063395</v>
      </c>
    </row>
    <row r="3667">
      <c r="A3667" s="2" t="s">
        <v>3673</v>
      </c>
      <c r="B3667" s="2">
        <v>173.0</v>
      </c>
      <c r="C3667" s="2">
        <v>2068.0</v>
      </c>
      <c r="D3667" s="2">
        <v>534.0</v>
      </c>
      <c r="E3667" s="3">
        <f t="shared" si="1"/>
        <v>0.2817941953</v>
      </c>
      <c r="F3667" s="2">
        <v>246.0</v>
      </c>
      <c r="G3667" s="3">
        <f t="shared" si="2"/>
        <v>0.1298153034</v>
      </c>
      <c r="H3667" s="2">
        <v>373.0</v>
      </c>
      <c r="I3667" s="3">
        <f t="shared" si="3"/>
        <v>0.1968337731</v>
      </c>
      <c r="J3667" s="2">
        <v>268.0</v>
      </c>
      <c r="K3667" s="3">
        <f t="shared" si="4"/>
        <v>0.1414248021</v>
      </c>
      <c r="L3667" s="2">
        <v>215.0</v>
      </c>
      <c r="M3667" s="3">
        <f t="shared" si="5"/>
        <v>0.5764075067</v>
      </c>
      <c r="N3667" s="2">
        <v>2096900.0</v>
      </c>
      <c r="O3667" s="4">
        <f t="shared" si="6"/>
        <v>5621.715818</v>
      </c>
      <c r="P3667" s="2">
        <v>1.0</v>
      </c>
      <c r="Q3667" s="3">
        <f t="shared" si="7"/>
        <v>0.005780346821</v>
      </c>
      <c r="R3667" s="2">
        <v>173.0</v>
      </c>
      <c r="S3667" s="5">
        <f t="shared" si="8"/>
        <v>1</v>
      </c>
    </row>
    <row r="3668">
      <c r="A3668" s="2" t="s">
        <v>3674</v>
      </c>
      <c r="B3668" s="2">
        <v>123.0</v>
      </c>
      <c r="C3668" s="2">
        <v>1448.0</v>
      </c>
      <c r="D3668" s="2">
        <v>399.0</v>
      </c>
      <c r="E3668" s="3">
        <f t="shared" si="1"/>
        <v>0.3011320755</v>
      </c>
      <c r="F3668" s="2">
        <v>172.0</v>
      </c>
      <c r="G3668" s="3">
        <f t="shared" si="2"/>
        <v>0.1298113208</v>
      </c>
      <c r="H3668" s="2">
        <v>248.0</v>
      </c>
      <c r="I3668" s="3">
        <f t="shared" si="3"/>
        <v>0.1871698113</v>
      </c>
      <c r="J3668" s="2">
        <v>240.0</v>
      </c>
      <c r="K3668" s="3">
        <f t="shared" si="4"/>
        <v>0.1811320755</v>
      </c>
      <c r="L3668" s="2">
        <v>146.0</v>
      </c>
      <c r="M3668" s="3">
        <f t="shared" si="5"/>
        <v>0.5887096774</v>
      </c>
      <c r="N3668" s="2">
        <v>1365200.0</v>
      </c>
      <c r="O3668" s="4">
        <f t="shared" si="6"/>
        <v>5504.83871</v>
      </c>
      <c r="P3668" s="2">
        <v>0.0</v>
      </c>
      <c r="Q3668" s="3">
        <f t="shared" si="7"/>
        <v>0</v>
      </c>
      <c r="R3668" s="2">
        <v>123.0</v>
      </c>
      <c r="S3668" s="5">
        <f t="shared" si="8"/>
        <v>1</v>
      </c>
    </row>
    <row r="3669">
      <c r="A3669" s="2" t="s">
        <v>3675</v>
      </c>
      <c r="B3669" s="2">
        <v>101.0</v>
      </c>
      <c r="C3669" s="2">
        <v>1141.0</v>
      </c>
      <c r="D3669" s="2">
        <v>328.0</v>
      </c>
      <c r="E3669" s="3">
        <f t="shared" si="1"/>
        <v>0.3153846154</v>
      </c>
      <c r="F3669" s="2">
        <v>135.0</v>
      </c>
      <c r="G3669" s="3">
        <f t="shared" si="2"/>
        <v>0.1298076923</v>
      </c>
      <c r="H3669" s="2">
        <v>207.0</v>
      </c>
      <c r="I3669" s="3">
        <f t="shared" si="3"/>
        <v>0.1990384615</v>
      </c>
      <c r="J3669" s="2">
        <v>178.0</v>
      </c>
      <c r="K3669" s="3">
        <f t="shared" si="4"/>
        <v>0.1711538462</v>
      </c>
      <c r="L3669" s="2">
        <v>116.0</v>
      </c>
      <c r="M3669" s="3">
        <f t="shared" si="5"/>
        <v>0.5603864734</v>
      </c>
      <c r="N3669" s="2">
        <v>1072700.0</v>
      </c>
      <c r="O3669" s="4">
        <f t="shared" si="6"/>
        <v>5182.125604</v>
      </c>
      <c r="P3669" s="2">
        <v>0.0</v>
      </c>
      <c r="Q3669" s="3">
        <f t="shared" si="7"/>
        <v>0</v>
      </c>
      <c r="R3669" s="2">
        <v>0.0</v>
      </c>
      <c r="S3669" s="5">
        <f t="shared" si="8"/>
        <v>0</v>
      </c>
    </row>
    <row r="3670">
      <c r="A3670" s="2" t="s">
        <v>3676</v>
      </c>
      <c r="B3670" s="2">
        <v>155.0</v>
      </c>
      <c r="C3670" s="2">
        <v>1819.0</v>
      </c>
      <c r="D3670" s="2">
        <v>699.0</v>
      </c>
      <c r="E3670" s="3">
        <f t="shared" si="1"/>
        <v>0.4200721154</v>
      </c>
      <c r="F3670" s="2">
        <v>216.0</v>
      </c>
      <c r="G3670" s="3">
        <f t="shared" si="2"/>
        <v>0.1298076923</v>
      </c>
      <c r="H3670" s="2">
        <v>359.0</v>
      </c>
      <c r="I3670" s="3">
        <f t="shared" si="3"/>
        <v>0.2157451923</v>
      </c>
      <c r="J3670" s="2">
        <v>269.0</v>
      </c>
      <c r="K3670" s="3">
        <f t="shared" si="4"/>
        <v>0.1616586538</v>
      </c>
      <c r="L3670" s="2">
        <v>211.0</v>
      </c>
      <c r="M3670" s="3">
        <f t="shared" si="5"/>
        <v>0.5877437326</v>
      </c>
      <c r="N3670" s="2">
        <v>2002500.0</v>
      </c>
      <c r="O3670" s="4">
        <f t="shared" si="6"/>
        <v>5577.994429</v>
      </c>
      <c r="P3670" s="2">
        <v>1.0</v>
      </c>
      <c r="Q3670" s="3">
        <f t="shared" si="7"/>
        <v>0.006451612903</v>
      </c>
      <c r="R3670" s="2">
        <v>155.0</v>
      </c>
      <c r="S3670" s="5">
        <f t="shared" si="8"/>
        <v>1</v>
      </c>
    </row>
    <row r="3671">
      <c r="A3671" s="2" t="s">
        <v>3677</v>
      </c>
      <c r="B3671" s="2">
        <v>686.0</v>
      </c>
      <c r="C3671" s="2">
        <v>8051.0</v>
      </c>
      <c r="D3671" s="2">
        <v>2860.0</v>
      </c>
      <c r="E3671" s="3">
        <f t="shared" si="1"/>
        <v>0.38832315</v>
      </c>
      <c r="F3671" s="2">
        <v>956.0</v>
      </c>
      <c r="G3671" s="3">
        <f t="shared" si="2"/>
        <v>0.1298031229</v>
      </c>
      <c r="H3671" s="2">
        <v>1542.0</v>
      </c>
      <c r="I3671" s="3">
        <f t="shared" si="3"/>
        <v>0.2093686354</v>
      </c>
      <c r="J3671" s="2">
        <v>912.0</v>
      </c>
      <c r="K3671" s="3">
        <f t="shared" si="4"/>
        <v>0.1238289206</v>
      </c>
      <c r="L3671" s="2">
        <v>943.0</v>
      </c>
      <c r="M3671" s="3">
        <f t="shared" si="5"/>
        <v>0.6115434501</v>
      </c>
      <c r="N3671" s="2">
        <v>8276300.0</v>
      </c>
      <c r="O3671" s="4">
        <f t="shared" si="6"/>
        <v>5367.250324</v>
      </c>
      <c r="P3671" s="2">
        <v>2.0</v>
      </c>
      <c r="Q3671" s="3">
        <f t="shared" si="7"/>
        <v>0.002915451895</v>
      </c>
      <c r="R3671" s="2">
        <v>686.0</v>
      </c>
      <c r="S3671" s="5">
        <f t="shared" si="8"/>
        <v>1</v>
      </c>
    </row>
    <row r="3672">
      <c r="A3672" s="2" t="s">
        <v>3678</v>
      </c>
      <c r="B3672" s="2">
        <v>2264.0</v>
      </c>
      <c r="C3672" s="2">
        <v>26517.0</v>
      </c>
      <c r="D3672" s="2">
        <v>5612.0</v>
      </c>
      <c r="E3672" s="3">
        <f t="shared" si="1"/>
        <v>0.2313940543</v>
      </c>
      <c r="F3672" s="2">
        <v>3148.0</v>
      </c>
      <c r="G3672" s="3">
        <f t="shared" si="2"/>
        <v>0.1297983755</v>
      </c>
      <c r="H3672" s="2">
        <v>4570.0</v>
      </c>
      <c r="I3672" s="3">
        <f t="shared" si="3"/>
        <v>0.1884302973</v>
      </c>
      <c r="J3672" s="2">
        <v>4346.0</v>
      </c>
      <c r="K3672" s="3">
        <f t="shared" si="4"/>
        <v>0.1791943265</v>
      </c>
      <c r="L3672" s="2">
        <v>2628.0</v>
      </c>
      <c r="M3672" s="3">
        <f t="shared" si="5"/>
        <v>0.5750547046</v>
      </c>
      <c r="N3672" s="2">
        <v>2.98424E7</v>
      </c>
      <c r="O3672" s="4">
        <f t="shared" si="6"/>
        <v>6530.065646</v>
      </c>
      <c r="P3672" s="2">
        <v>6.0</v>
      </c>
      <c r="Q3672" s="3">
        <f t="shared" si="7"/>
        <v>0.002650176678</v>
      </c>
      <c r="R3672" s="2">
        <v>2264.0</v>
      </c>
      <c r="S3672" s="5">
        <f t="shared" si="8"/>
        <v>1</v>
      </c>
    </row>
    <row r="3673">
      <c r="A3673" s="2" t="s">
        <v>3679</v>
      </c>
      <c r="B3673" s="2">
        <v>284.0</v>
      </c>
      <c r="C3673" s="2">
        <v>3358.0</v>
      </c>
      <c r="D3673" s="2">
        <v>1200.0</v>
      </c>
      <c r="E3673" s="3">
        <f t="shared" si="1"/>
        <v>0.3903708523</v>
      </c>
      <c r="F3673" s="2">
        <v>399.0</v>
      </c>
      <c r="G3673" s="3">
        <f t="shared" si="2"/>
        <v>0.1297983084</v>
      </c>
      <c r="H3673" s="2">
        <v>652.0</v>
      </c>
      <c r="I3673" s="3">
        <f t="shared" si="3"/>
        <v>0.2121014964</v>
      </c>
      <c r="J3673" s="2">
        <v>432.0</v>
      </c>
      <c r="K3673" s="3">
        <f t="shared" si="4"/>
        <v>0.1405335068</v>
      </c>
      <c r="L3673" s="2">
        <v>420.0</v>
      </c>
      <c r="M3673" s="3">
        <f t="shared" si="5"/>
        <v>0.6441717791</v>
      </c>
      <c r="N3673" s="2">
        <v>3570500.0</v>
      </c>
      <c r="O3673" s="4">
        <f t="shared" si="6"/>
        <v>5476.226994</v>
      </c>
      <c r="P3673" s="2">
        <v>0.0</v>
      </c>
      <c r="Q3673" s="3">
        <f t="shared" si="7"/>
        <v>0</v>
      </c>
      <c r="R3673" s="2">
        <v>284.0</v>
      </c>
      <c r="S3673" s="5">
        <f t="shared" si="8"/>
        <v>1</v>
      </c>
    </row>
    <row r="3674">
      <c r="A3674" s="2" t="s">
        <v>3680</v>
      </c>
      <c r="B3674" s="2">
        <v>793.0</v>
      </c>
      <c r="C3674" s="2">
        <v>9291.0</v>
      </c>
      <c r="D3674" s="2">
        <v>2843.0</v>
      </c>
      <c r="E3674" s="3">
        <f t="shared" si="1"/>
        <v>0.3345493057</v>
      </c>
      <c r="F3674" s="2">
        <v>1103.0</v>
      </c>
      <c r="G3674" s="3">
        <f t="shared" si="2"/>
        <v>0.1297952459</v>
      </c>
      <c r="H3674" s="2">
        <v>1835.0</v>
      </c>
      <c r="I3674" s="3">
        <f t="shared" si="3"/>
        <v>0.2159331607</v>
      </c>
      <c r="J3674" s="2">
        <v>1583.0</v>
      </c>
      <c r="K3674" s="3">
        <f t="shared" si="4"/>
        <v>0.1862791245</v>
      </c>
      <c r="L3674" s="2">
        <v>1098.0</v>
      </c>
      <c r="M3674" s="3">
        <f t="shared" si="5"/>
        <v>0.5983651226</v>
      </c>
      <c r="N3674" s="2">
        <v>1.03572E7</v>
      </c>
      <c r="O3674" s="4">
        <f t="shared" si="6"/>
        <v>5644.250681</v>
      </c>
      <c r="P3674" s="2">
        <v>1.0</v>
      </c>
      <c r="Q3674" s="3">
        <f t="shared" si="7"/>
        <v>0.001261034048</v>
      </c>
      <c r="R3674" s="2">
        <v>787.0</v>
      </c>
      <c r="S3674" s="5">
        <f t="shared" si="8"/>
        <v>0.9924337957</v>
      </c>
    </row>
    <row r="3675">
      <c r="A3675" s="2" t="s">
        <v>3681</v>
      </c>
      <c r="B3675" s="2">
        <v>32.0</v>
      </c>
      <c r="C3675" s="2">
        <v>371.0</v>
      </c>
      <c r="D3675" s="2">
        <v>116.0</v>
      </c>
      <c r="E3675" s="3">
        <f t="shared" si="1"/>
        <v>0.3421828909</v>
      </c>
      <c r="F3675" s="2">
        <v>44.0</v>
      </c>
      <c r="G3675" s="3">
        <f t="shared" si="2"/>
        <v>0.1297935103</v>
      </c>
      <c r="H3675" s="2">
        <v>65.0</v>
      </c>
      <c r="I3675" s="3">
        <f t="shared" si="3"/>
        <v>0.191740413</v>
      </c>
      <c r="J3675" s="2">
        <v>56.0</v>
      </c>
      <c r="K3675" s="3">
        <f t="shared" si="4"/>
        <v>0.1651917404</v>
      </c>
      <c r="L3675" s="2">
        <v>41.0</v>
      </c>
      <c r="M3675" s="3">
        <f t="shared" si="5"/>
        <v>0.6307692308</v>
      </c>
      <c r="N3675" s="2">
        <v>347600.0</v>
      </c>
      <c r="O3675" s="4">
        <f t="shared" si="6"/>
        <v>5347.692308</v>
      </c>
      <c r="P3675" s="2">
        <v>0.0</v>
      </c>
      <c r="Q3675" s="3">
        <f t="shared" si="7"/>
        <v>0</v>
      </c>
      <c r="R3675" s="2">
        <v>32.0</v>
      </c>
      <c r="S3675" s="5">
        <f t="shared" si="8"/>
        <v>1</v>
      </c>
    </row>
    <row r="3676">
      <c r="A3676" s="2" t="s">
        <v>3682</v>
      </c>
      <c r="B3676" s="2">
        <v>63.0</v>
      </c>
      <c r="C3676" s="2">
        <v>741.0</v>
      </c>
      <c r="D3676" s="2">
        <v>209.0</v>
      </c>
      <c r="E3676" s="3">
        <f t="shared" si="1"/>
        <v>0.308259587</v>
      </c>
      <c r="F3676" s="2">
        <v>88.0</v>
      </c>
      <c r="G3676" s="3">
        <f t="shared" si="2"/>
        <v>0.1297935103</v>
      </c>
      <c r="H3676" s="2">
        <v>132.0</v>
      </c>
      <c r="I3676" s="3">
        <f t="shared" si="3"/>
        <v>0.1946902655</v>
      </c>
      <c r="J3676" s="2">
        <v>76.0</v>
      </c>
      <c r="K3676" s="3">
        <f t="shared" si="4"/>
        <v>0.1120943953</v>
      </c>
      <c r="L3676" s="2">
        <v>78.0</v>
      </c>
      <c r="M3676" s="3">
        <f t="shared" si="5"/>
        <v>0.5909090909</v>
      </c>
      <c r="N3676" s="2">
        <v>711600.0</v>
      </c>
      <c r="O3676" s="4">
        <f t="shared" si="6"/>
        <v>5390.909091</v>
      </c>
      <c r="P3676" s="2">
        <v>0.0</v>
      </c>
      <c r="Q3676" s="3">
        <f t="shared" si="7"/>
        <v>0</v>
      </c>
      <c r="R3676" s="2">
        <v>63.0</v>
      </c>
      <c r="S3676" s="5">
        <f t="shared" si="8"/>
        <v>1</v>
      </c>
    </row>
    <row r="3677">
      <c r="A3677" s="2" t="s">
        <v>3683</v>
      </c>
      <c r="B3677" s="2">
        <v>134.0</v>
      </c>
      <c r="C3677" s="2">
        <v>1598.0</v>
      </c>
      <c r="D3677" s="2">
        <v>556.0</v>
      </c>
      <c r="E3677" s="3">
        <f t="shared" si="1"/>
        <v>0.3797814208</v>
      </c>
      <c r="F3677" s="2">
        <v>190.0</v>
      </c>
      <c r="G3677" s="3">
        <f t="shared" si="2"/>
        <v>0.1297814208</v>
      </c>
      <c r="H3677" s="2">
        <v>313.0</v>
      </c>
      <c r="I3677" s="3">
        <f t="shared" si="3"/>
        <v>0.2137978142</v>
      </c>
      <c r="J3677" s="2">
        <v>280.0</v>
      </c>
      <c r="K3677" s="3">
        <f t="shared" si="4"/>
        <v>0.1912568306</v>
      </c>
      <c r="L3677" s="2">
        <v>197.0</v>
      </c>
      <c r="M3677" s="3">
        <f t="shared" si="5"/>
        <v>0.6293929712</v>
      </c>
      <c r="N3677" s="2">
        <v>1824400.0</v>
      </c>
      <c r="O3677" s="4">
        <f t="shared" si="6"/>
        <v>5828.753994</v>
      </c>
      <c r="P3677" s="2">
        <v>2.0</v>
      </c>
      <c r="Q3677" s="3">
        <f t="shared" si="7"/>
        <v>0.01492537313</v>
      </c>
      <c r="R3677" s="2">
        <v>134.0</v>
      </c>
      <c r="S3677" s="5">
        <f t="shared" si="8"/>
        <v>1</v>
      </c>
    </row>
    <row r="3678">
      <c r="A3678" s="2" t="s">
        <v>3684</v>
      </c>
      <c r="B3678" s="2">
        <v>66.0</v>
      </c>
      <c r="C3678" s="2">
        <v>798.0</v>
      </c>
      <c r="D3678" s="2">
        <v>222.0</v>
      </c>
      <c r="E3678" s="3">
        <f t="shared" si="1"/>
        <v>0.3032786885</v>
      </c>
      <c r="F3678" s="2">
        <v>95.0</v>
      </c>
      <c r="G3678" s="3">
        <f t="shared" si="2"/>
        <v>0.1297814208</v>
      </c>
      <c r="H3678" s="2">
        <v>128.0</v>
      </c>
      <c r="I3678" s="3">
        <f t="shared" si="3"/>
        <v>0.174863388</v>
      </c>
      <c r="J3678" s="2">
        <v>116.0</v>
      </c>
      <c r="K3678" s="3">
        <f t="shared" si="4"/>
        <v>0.1584699454</v>
      </c>
      <c r="L3678" s="2">
        <v>77.0</v>
      </c>
      <c r="M3678" s="3">
        <f t="shared" si="5"/>
        <v>0.6015625</v>
      </c>
      <c r="N3678" s="2">
        <v>731000.0</v>
      </c>
      <c r="O3678" s="4">
        <f t="shared" si="6"/>
        <v>5710.9375</v>
      </c>
      <c r="P3678" s="2">
        <v>1.0</v>
      </c>
      <c r="Q3678" s="3">
        <f t="shared" si="7"/>
        <v>0.01515151515</v>
      </c>
      <c r="R3678" s="2">
        <v>66.0</v>
      </c>
      <c r="S3678" s="5">
        <f t="shared" si="8"/>
        <v>1</v>
      </c>
    </row>
    <row r="3679">
      <c r="A3679" s="2" t="s">
        <v>3685</v>
      </c>
      <c r="B3679" s="2">
        <v>2360.0</v>
      </c>
      <c r="C3679" s="2">
        <v>27326.0</v>
      </c>
      <c r="D3679" s="2">
        <v>8075.0</v>
      </c>
      <c r="E3679" s="3">
        <f t="shared" si="1"/>
        <v>0.3234398782</v>
      </c>
      <c r="F3679" s="2">
        <v>3240.0</v>
      </c>
      <c r="G3679" s="3">
        <f t="shared" si="2"/>
        <v>0.129776496</v>
      </c>
      <c r="H3679" s="2">
        <v>5415.0</v>
      </c>
      <c r="I3679" s="3">
        <f t="shared" si="3"/>
        <v>0.2168949772</v>
      </c>
      <c r="J3679" s="2">
        <v>4563.0</v>
      </c>
      <c r="K3679" s="3">
        <f t="shared" si="4"/>
        <v>0.1827685652</v>
      </c>
      <c r="L3679" s="2">
        <v>3191.0</v>
      </c>
      <c r="M3679" s="3">
        <f t="shared" si="5"/>
        <v>0.589289012</v>
      </c>
      <c r="N3679" s="2">
        <v>3.08795E7</v>
      </c>
      <c r="O3679" s="4">
        <f t="shared" si="6"/>
        <v>5702.585411</v>
      </c>
      <c r="P3679" s="2">
        <v>6.0</v>
      </c>
      <c r="Q3679" s="3">
        <f t="shared" si="7"/>
        <v>0.002542372881</v>
      </c>
      <c r="R3679" s="2">
        <v>2360.0</v>
      </c>
      <c r="S3679" s="5">
        <f t="shared" si="8"/>
        <v>1</v>
      </c>
    </row>
    <row r="3680">
      <c r="A3680" s="2" t="s">
        <v>3686</v>
      </c>
      <c r="B3680" s="2">
        <v>60.0</v>
      </c>
      <c r="C3680" s="2">
        <v>715.0</v>
      </c>
      <c r="D3680" s="2">
        <v>198.0</v>
      </c>
      <c r="E3680" s="3">
        <f t="shared" si="1"/>
        <v>0.3022900763</v>
      </c>
      <c r="F3680" s="2">
        <v>85.0</v>
      </c>
      <c r="G3680" s="3">
        <f t="shared" si="2"/>
        <v>0.1297709924</v>
      </c>
      <c r="H3680" s="2">
        <v>123.0</v>
      </c>
      <c r="I3680" s="3">
        <f t="shared" si="3"/>
        <v>0.1877862595</v>
      </c>
      <c r="J3680" s="2">
        <v>121.0</v>
      </c>
      <c r="K3680" s="3">
        <f t="shared" si="4"/>
        <v>0.1847328244</v>
      </c>
      <c r="L3680" s="2">
        <v>76.0</v>
      </c>
      <c r="M3680" s="3">
        <f t="shared" si="5"/>
        <v>0.6178861789</v>
      </c>
      <c r="N3680" s="2">
        <v>667000.0</v>
      </c>
      <c r="O3680" s="4">
        <f t="shared" si="6"/>
        <v>5422.764228</v>
      </c>
      <c r="P3680" s="2">
        <v>0.0</v>
      </c>
      <c r="Q3680" s="3">
        <f t="shared" si="7"/>
        <v>0</v>
      </c>
      <c r="R3680" s="2">
        <v>6.0</v>
      </c>
      <c r="S3680" s="5">
        <f t="shared" si="8"/>
        <v>0.1</v>
      </c>
    </row>
    <row r="3681">
      <c r="A3681" s="2" t="s">
        <v>3687</v>
      </c>
      <c r="B3681" s="2">
        <v>1137.0</v>
      </c>
      <c r="C3681" s="2">
        <v>13189.0</v>
      </c>
      <c r="D3681" s="2">
        <v>4654.0</v>
      </c>
      <c r="E3681" s="3">
        <f t="shared" si="1"/>
        <v>0.3861599734</v>
      </c>
      <c r="F3681" s="2">
        <v>1564.0</v>
      </c>
      <c r="G3681" s="3">
        <f t="shared" si="2"/>
        <v>0.1297709924</v>
      </c>
      <c r="H3681" s="2">
        <v>2531.0</v>
      </c>
      <c r="I3681" s="3">
        <f t="shared" si="3"/>
        <v>0.2100066379</v>
      </c>
      <c r="J3681" s="2">
        <v>1996.0</v>
      </c>
      <c r="K3681" s="3">
        <f t="shared" si="4"/>
        <v>0.1656156654</v>
      </c>
      <c r="L3681" s="2">
        <v>1529.0</v>
      </c>
      <c r="M3681" s="3">
        <f t="shared" si="5"/>
        <v>0.6041090478</v>
      </c>
      <c r="N3681" s="2">
        <v>1.37608E7</v>
      </c>
      <c r="O3681" s="4">
        <f t="shared" si="6"/>
        <v>5436.90241</v>
      </c>
      <c r="P3681" s="2">
        <v>2.0</v>
      </c>
      <c r="Q3681" s="3">
        <f t="shared" si="7"/>
        <v>0.001759014952</v>
      </c>
      <c r="R3681" s="2">
        <v>1137.0</v>
      </c>
      <c r="S3681" s="5">
        <f t="shared" si="8"/>
        <v>1</v>
      </c>
    </row>
    <row r="3682">
      <c r="A3682" s="2" t="s">
        <v>3688</v>
      </c>
      <c r="B3682" s="2">
        <v>419.0</v>
      </c>
      <c r="C3682" s="2">
        <v>4881.0</v>
      </c>
      <c r="D3682" s="2">
        <v>1649.0</v>
      </c>
      <c r="E3682" s="3">
        <f t="shared" si="1"/>
        <v>0.3695652174</v>
      </c>
      <c r="F3682" s="2">
        <v>579.0</v>
      </c>
      <c r="G3682" s="3">
        <f t="shared" si="2"/>
        <v>0.1297624384</v>
      </c>
      <c r="H3682" s="2">
        <v>932.0</v>
      </c>
      <c r="I3682" s="3">
        <f t="shared" si="3"/>
        <v>0.208874944</v>
      </c>
      <c r="J3682" s="2">
        <v>729.0</v>
      </c>
      <c r="K3682" s="3">
        <f t="shared" si="4"/>
        <v>0.1633796504</v>
      </c>
      <c r="L3682" s="2">
        <v>568.0</v>
      </c>
      <c r="M3682" s="3">
        <f t="shared" si="5"/>
        <v>0.6094420601</v>
      </c>
      <c r="N3682" s="2">
        <v>5595300.0</v>
      </c>
      <c r="O3682" s="4">
        <f t="shared" si="6"/>
        <v>6003.540773</v>
      </c>
      <c r="P3682" s="2">
        <v>2.0</v>
      </c>
      <c r="Q3682" s="3">
        <f t="shared" si="7"/>
        <v>0.00477326969</v>
      </c>
      <c r="R3682" s="2">
        <v>419.0</v>
      </c>
      <c r="S3682" s="5">
        <f t="shared" si="8"/>
        <v>1</v>
      </c>
    </row>
    <row r="3683">
      <c r="A3683" s="2" t="s">
        <v>3689</v>
      </c>
      <c r="B3683" s="2">
        <v>2227.0</v>
      </c>
      <c r="C3683" s="2">
        <v>25886.0</v>
      </c>
      <c r="D3683" s="2">
        <v>8667.0</v>
      </c>
      <c r="E3683" s="3">
        <f t="shared" si="1"/>
        <v>0.3663299379</v>
      </c>
      <c r="F3683" s="2">
        <v>3070.0</v>
      </c>
      <c r="G3683" s="3">
        <f t="shared" si="2"/>
        <v>0.1297603449</v>
      </c>
      <c r="H3683" s="2">
        <v>4955.0</v>
      </c>
      <c r="I3683" s="3">
        <f t="shared" si="3"/>
        <v>0.209434042</v>
      </c>
      <c r="J3683" s="2">
        <v>4198.0</v>
      </c>
      <c r="K3683" s="3">
        <f t="shared" si="4"/>
        <v>0.1774377615</v>
      </c>
      <c r="L3683" s="2">
        <v>2993.0</v>
      </c>
      <c r="M3683" s="3">
        <f t="shared" si="5"/>
        <v>0.6040363269</v>
      </c>
      <c r="N3683" s="2">
        <v>2.74688E7</v>
      </c>
      <c r="O3683" s="4">
        <f t="shared" si="6"/>
        <v>5543.652876</v>
      </c>
      <c r="P3683" s="2">
        <v>4.0</v>
      </c>
      <c r="Q3683" s="3">
        <f t="shared" si="7"/>
        <v>0.001796138303</v>
      </c>
      <c r="R3683" s="2">
        <v>2227.0</v>
      </c>
      <c r="S3683" s="5">
        <f t="shared" si="8"/>
        <v>1</v>
      </c>
    </row>
    <row r="3684">
      <c r="A3684" s="2" t="s">
        <v>3690</v>
      </c>
      <c r="B3684" s="2">
        <v>328.0</v>
      </c>
      <c r="C3684" s="2">
        <v>3850.0</v>
      </c>
      <c r="D3684" s="2">
        <v>1129.0</v>
      </c>
      <c r="E3684" s="3">
        <f t="shared" si="1"/>
        <v>0.320556502</v>
      </c>
      <c r="F3684" s="2">
        <v>457.0</v>
      </c>
      <c r="G3684" s="3">
        <f t="shared" si="2"/>
        <v>0.1297558206</v>
      </c>
      <c r="H3684" s="2">
        <v>732.0</v>
      </c>
      <c r="I3684" s="3">
        <f t="shared" si="3"/>
        <v>0.2078364566</v>
      </c>
      <c r="J3684" s="2">
        <v>642.0</v>
      </c>
      <c r="K3684" s="3">
        <f t="shared" si="4"/>
        <v>0.1822827939</v>
      </c>
      <c r="L3684" s="2">
        <v>433.0</v>
      </c>
      <c r="M3684" s="3">
        <f t="shared" si="5"/>
        <v>0.5915300546</v>
      </c>
      <c r="N3684" s="2">
        <v>4281700.0</v>
      </c>
      <c r="O3684" s="4">
        <f t="shared" si="6"/>
        <v>5849.31694</v>
      </c>
      <c r="P3684" s="2">
        <v>2.0</v>
      </c>
      <c r="Q3684" s="3">
        <f t="shared" si="7"/>
        <v>0.006097560976</v>
      </c>
      <c r="R3684" s="2">
        <v>328.0</v>
      </c>
      <c r="S3684" s="5">
        <f t="shared" si="8"/>
        <v>1</v>
      </c>
    </row>
    <row r="3685">
      <c r="A3685" s="2" t="s">
        <v>3691</v>
      </c>
      <c r="B3685" s="2">
        <v>1345.0</v>
      </c>
      <c r="C3685" s="2">
        <v>15780.0</v>
      </c>
      <c r="D3685" s="2">
        <v>4777.0</v>
      </c>
      <c r="E3685" s="3">
        <f t="shared" si="1"/>
        <v>0.3309317631</v>
      </c>
      <c r="F3685" s="2">
        <v>1873.0</v>
      </c>
      <c r="G3685" s="3">
        <f t="shared" si="2"/>
        <v>0.12975407</v>
      </c>
      <c r="H3685" s="2">
        <v>3154.0</v>
      </c>
      <c r="I3685" s="3">
        <f t="shared" si="3"/>
        <v>0.2184967094</v>
      </c>
      <c r="J3685" s="2">
        <v>2215.0</v>
      </c>
      <c r="K3685" s="3">
        <f t="shared" si="4"/>
        <v>0.1534464842</v>
      </c>
      <c r="L3685" s="2">
        <v>1956.0</v>
      </c>
      <c r="M3685" s="3">
        <f t="shared" si="5"/>
        <v>0.62016487</v>
      </c>
      <c r="N3685" s="2">
        <v>1.75224E7</v>
      </c>
      <c r="O3685" s="4">
        <f t="shared" si="6"/>
        <v>5555.611921</v>
      </c>
      <c r="P3685" s="2">
        <v>1.0</v>
      </c>
      <c r="Q3685" s="3">
        <f t="shared" si="7"/>
        <v>0.0007434944238</v>
      </c>
      <c r="R3685" s="2">
        <v>1308.0</v>
      </c>
      <c r="S3685" s="5">
        <f t="shared" si="8"/>
        <v>0.9724907063</v>
      </c>
    </row>
    <row r="3686">
      <c r="A3686" s="2" t="s">
        <v>3692</v>
      </c>
      <c r="B3686" s="2">
        <v>227.0</v>
      </c>
      <c r="C3686" s="2">
        <v>2647.0</v>
      </c>
      <c r="D3686" s="2">
        <v>824.0</v>
      </c>
      <c r="E3686" s="3">
        <f t="shared" si="1"/>
        <v>0.3404958678</v>
      </c>
      <c r="F3686" s="2">
        <v>314.0</v>
      </c>
      <c r="G3686" s="3">
        <f t="shared" si="2"/>
        <v>0.1297520661</v>
      </c>
      <c r="H3686" s="2">
        <v>484.0</v>
      </c>
      <c r="I3686" s="3">
        <f t="shared" si="3"/>
        <v>0.2</v>
      </c>
      <c r="J3686" s="2">
        <v>453.0</v>
      </c>
      <c r="K3686" s="3">
        <f t="shared" si="4"/>
        <v>0.1871900826</v>
      </c>
      <c r="L3686" s="2">
        <v>296.0</v>
      </c>
      <c r="M3686" s="3">
        <f t="shared" si="5"/>
        <v>0.6115702479</v>
      </c>
      <c r="N3686" s="2">
        <v>2673900.0</v>
      </c>
      <c r="O3686" s="4">
        <f t="shared" si="6"/>
        <v>5524.586777</v>
      </c>
      <c r="P3686" s="2">
        <v>0.0</v>
      </c>
      <c r="Q3686" s="3">
        <f t="shared" si="7"/>
        <v>0</v>
      </c>
      <c r="R3686" s="2">
        <v>0.0</v>
      </c>
      <c r="S3686" s="5">
        <f t="shared" si="8"/>
        <v>0</v>
      </c>
    </row>
    <row r="3687">
      <c r="A3687" s="2" t="s">
        <v>3693</v>
      </c>
      <c r="B3687" s="2">
        <v>29.0</v>
      </c>
      <c r="C3687" s="2">
        <v>345.0</v>
      </c>
      <c r="D3687" s="2">
        <v>133.0</v>
      </c>
      <c r="E3687" s="3">
        <f t="shared" si="1"/>
        <v>0.4208860759</v>
      </c>
      <c r="F3687" s="2">
        <v>41.0</v>
      </c>
      <c r="G3687" s="3">
        <f t="shared" si="2"/>
        <v>0.1297468354</v>
      </c>
      <c r="H3687" s="2">
        <v>65.0</v>
      </c>
      <c r="I3687" s="3">
        <f t="shared" si="3"/>
        <v>0.2056962025</v>
      </c>
      <c r="J3687" s="2">
        <v>47.0</v>
      </c>
      <c r="K3687" s="3">
        <f t="shared" si="4"/>
        <v>0.1487341772</v>
      </c>
      <c r="L3687" s="2">
        <v>43.0</v>
      </c>
      <c r="M3687" s="3">
        <f t="shared" si="5"/>
        <v>0.6615384615</v>
      </c>
      <c r="N3687" s="2">
        <v>340100.0</v>
      </c>
      <c r="O3687" s="4">
        <f t="shared" si="6"/>
        <v>5232.307692</v>
      </c>
      <c r="P3687" s="2">
        <v>1.0</v>
      </c>
      <c r="Q3687" s="3">
        <f t="shared" si="7"/>
        <v>0.03448275862</v>
      </c>
      <c r="R3687" s="2">
        <v>0.0</v>
      </c>
      <c r="S3687" s="5">
        <f t="shared" si="8"/>
        <v>0</v>
      </c>
    </row>
    <row r="3688">
      <c r="A3688" s="2" t="s">
        <v>3694</v>
      </c>
      <c r="B3688" s="2">
        <v>2211.0</v>
      </c>
      <c r="C3688" s="2">
        <v>26066.0</v>
      </c>
      <c r="D3688" s="2">
        <v>8344.0</v>
      </c>
      <c r="E3688" s="3">
        <f t="shared" si="1"/>
        <v>0.3497799204</v>
      </c>
      <c r="F3688" s="2">
        <v>3095.0</v>
      </c>
      <c r="G3688" s="3">
        <f t="shared" si="2"/>
        <v>0.1297421924</v>
      </c>
      <c r="H3688" s="2">
        <v>5168.0</v>
      </c>
      <c r="I3688" s="3">
        <f t="shared" si="3"/>
        <v>0.2166422134</v>
      </c>
      <c r="J3688" s="2">
        <v>3919.0</v>
      </c>
      <c r="K3688" s="3">
        <f t="shared" si="4"/>
        <v>0.1642842171</v>
      </c>
      <c r="L3688" s="2">
        <v>3134.0</v>
      </c>
      <c r="M3688" s="3">
        <f t="shared" si="5"/>
        <v>0.6064241486</v>
      </c>
      <c r="N3688" s="2">
        <v>2.84368E7</v>
      </c>
      <c r="O3688" s="4">
        <f t="shared" si="6"/>
        <v>5502.47678</v>
      </c>
      <c r="P3688" s="2">
        <v>3.0</v>
      </c>
      <c r="Q3688" s="3">
        <f t="shared" si="7"/>
        <v>0.001356852103</v>
      </c>
      <c r="R3688" s="2">
        <v>2211.0</v>
      </c>
      <c r="S3688" s="5">
        <f t="shared" si="8"/>
        <v>1</v>
      </c>
    </row>
    <row r="3689">
      <c r="A3689" s="2" t="s">
        <v>3695</v>
      </c>
      <c r="B3689" s="2">
        <v>154.0</v>
      </c>
      <c r="C3689" s="2">
        <v>1842.0</v>
      </c>
      <c r="D3689" s="2">
        <v>616.0</v>
      </c>
      <c r="E3689" s="3">
        <f t="shared" si="1"/>
        <v>0.36492891</v>
      </c>
      <c r="F3689" s="2">
        <v>219.0</v>
      </c>
      <c r="G3689" s="3">
        <f t="shared" si="2"/>
        <v>0.1297393365</v>
      </c>
      <c r="H3689" s="2">
        <v>368.0</v>
      </c>
      <c r="I3689" s="3">
        <f t="shared" si="3"/>
        <v>0.2180094787</v>
      </c>
      <c r="J3689" s="2">
        <v>304.0</v>
      </c>
      <c r="K3689" s="3">
        <f t="shared" si="4"/>
        <v>0.1800947867</v>
      </c>
      <c r="L3689" s="2">
        <v>221.0</v>
      </c>
      <c r="M3689" s="3">
        <f t="shared" si="5"/>
        <v>0.6005434783</v>
      </c>
      <c r="N3689" s="2">
        <v>1887400.0</v>
      </c>
      <c r="O3689" s="4">
        <f t="shared" si="6"/>
        <v>5128.804348</v>
      </c>
      <c r="P3689" s="2">
        <v>0.0</v>
      </c>
      <c r="Q3689" s="3">
        <f t="shared" si="7"/>
        <v>0</v>
      </c>
      <c r="R3689" s="2">
        <v>154.0</v>
      </c>
      <c r="S3689" s="5">
        <f t="shared" si="8"/>
        <v>1</v>
      </c>
    </row>
    <row r="3690">
      <c r="A3690" s="2" t="s">
        <v>3696</v>
      </c>
      <c r="B3690" s="2">
        <v>223.0</v>
      </c>
      <c r="C3690" s="2">
        <v>2597.0</v>
      </c>
      <c r="D3690" s="2">
        <v>897.0</v>
      </c>
      <c r="E3690" s="3">
        <f t="shared" si="1"/>
        <v>0.3778433024</v>
      </c>
      <c r="F3690" s="2">
        <v>308.0</v>
      </c>
      <c r="G3690" s="3">
        <f t="shared" si="2"/>
        <v>0.1297388374</v>
      </c>
      <c r="H3690" s="2">
        <v>500.0</v>
      </c>
      <c r="I3690" s="3">
        <f t="shared" si="3"/>
        <v>0.2106149958</v>
      </c>
      <c r="J3690" s="2">
        <v>376.0</v>
      </c>
      <c r="K3690" s="3">
        <f t="shared" si="4"/>
        <v>0.1583824768</v>
      </c>
      <c r="L3690" s="2">
        <v>290.0</v>
      </c>
      <c r="M3690" s="3">
        <f t="shared" si="5"/>
        <v>0.58</v>
      </c>
      <c r="N3690" s="2">
        <v>2754000.0</v>
      </c>
      <c r="O3690" s="4">
        <f t="shared" si="6"/>
        <v>5508</v>
      </c>
      <c r="P3690" s="2">
        <v>1.0</v>
      </c>
      <c r="Q3690" s="3">
        <f t="shared" si="7"/>
        <v>0.004484304933</v>
      </c>
      <c r="R3690" s="2">
        <v>0.0</v>
      </c>
      <c r="S3690" s="5">
        <f t="shared" si="8"/>
        <v>0</v>
      </c>
    </row>
    <row r="3691">
      <c r="A3691" s="2" t="s">
        <v>3697</v>
      </c>
      <c r="B3691" s="2">
        <v>368.0</v>
      </c>
      <c r="C3691" s="2">
        <v>4307.0</v>
      </c>
      <c r="D3691" s="2">
        <v>1355.0</v>
      </c>
      <c r="E3691" s="3">
        <f t="shared" si="1"/>
        <v>0.3439959381</v>
      </c>
      <c r="F3691" s="2">
        <v>511.0</v>
      </c>
      <c r="G3691" s="3">
        <f t="shared" si="2"/>
        <v>0.1297283575</v>
      </c>
      <c r="H3691" s="2">
        <v>860.0</v>
      </c>
      <c r="I3691" s="3">
        <f t="shared" si="3"/>
        <v>0.2183295253</v>
      </c>
      <c r="J3691" s="2">
        <v>729.0</v>
      </c>
      <c r="K3691" s="3">
        <f t="shared" si="4"/>
        <v>0.1850723534</v>
      </c>
      <c r="L3691" s="2">
        <v>507.0</v>
      </c>
      <c r="M3691" s="3">
        <f t="shared" si="5"/>
        <v>0.5895348837</v>
      </c>
      <c r="N3691" s="2">
        <v>4838700.0</v>
      </c>
      <c r="O3691" s="4">
        <f t="shared" si="6"/>
        <v>5626.395349</v>
      </c>
      <c r="P3691" s="2">
        <v>2.0</v>
      </c>
      <c r="Q3691" s="3">
        <f t="shared" si="7"/>
        <v>0.005434782609</v>
      </c>
      <c r="R3691" s="2">
        <v>39.0</v>
      </c>
      <c r="S3691" s="5">
        <f t="shared" si="8"/>
        <v>0.1059782609</v>
      </c>
    </row>
    <row r="3692">
      <c r="A3692" s="2" t="s">
        <v>3698</v>
      </c>
      <c r="B3692" s="2">
        <v>73.0</v>
      </c>
      <c r="C3692" s="2">
        <v>867.0</v>
      </c>
      <c r="D3692" s="2">
        <v>268.0</v>
      </c>
      <c r="E3692" s="3">
        <f t="shared" si="1"/>
        <v>0.3375314861</v>
      </c>
      <c r="F3692" s="2">
        <v>103.0</v>
      </c>
      <c r="G3692" s="3">
        <f t="shared" si="2"/>
        <v>0.1297229219</v>
      </c>
      <c r="H3692" s="2">
        <v>165.0</v>
      </c>
      <c r="I3692" s="3">
        <f t="shared" si="3"/>
        <v>0.2078085642</v>
      </c>
      <c r="J3692" s="2">
        <v>117.0</v>
      </c>
      <c r="K3692" s="3">
        <f t="shared" si="4"/>
        <v>0.1473551637</v>
      </c>
      <c r="L3692" s="2">
        <v>105.0</v>
      </c>
      <c r="M3692" s="3">
        <f t="shared" si="5"/>
        <v>0.6363636364</v>
      </c>
      <c r="N3692" s="2">
        <v>880900.0</v>
      </c>
      <c r="O3692" s="4">
        <f t="shared" si="6"/>
        <v>5338.787879</v>
      </c>
      <c r="P3692" s="2">
        <v>0.0</v>
      </c>
      <c r="Q3692" s="3">
        <f t="shared" si="7"/>
        <v>0</v>
      </c>
      <c r="R3692" s="2">
        <v>73.0</v>
      </c>
      <c r="S3692" s="5">
        <f t="shared" si="8"/>
        <v>1</v>
      </c>
    </row>
    <row r="3693">
      <c r="A3693" s="2" t="s">
        <v>3699</v>
      </c>
      <c r="B3693" s="2">
        <v>796.0</v>
      </c>
      <c r="C3693" s="2">
        <v>9453.0</v>
      </c>
      <c r="D3693" s="2">
        <v>3182.0</v>
      </c>
      <c r="E3693" s="3">
        <f t="shared" si="1"/>
        <v>0.3675638212</v>
      </c>
      <c r="F3693" s="2">
        <v>1123.0</v>
      </c>
      <c r="G3693" s="3">
        <f t="shared" si="2"/>
        <v>0.1297216126</v>
      </c>
      <c r="H3693" s="2">
        <v>1758.0</v>
      </c>
      <c r="I3693" s="3">
        <f t="shared" si="3"/>
        <v>0.203072658</v>
      </c>
      <c r="J3693" s="2">
        <v>1369.0</v>
      </c>
      <c r="K3693" s="3">
        <f t="shared" si="4"/>
        <v>0.1581379231</v>
      </c>
      <c r="L3693" s="2">
        <v>1025.0</v>
      </c>
      <c r="M3693" s="3">
        <f t="shared" si="5"/>
        <v>0.5830489192</v>
      </c>
      <c r="N3693" s="2">
        <v>9844100.0</v>
      </c>
      <c r="O3693" s="4">
        <f t="shared" si="6"/>
        <v>5599.60182</v>
      </c>
      <c r="P3693" s="2">
        <v>3.0</v>
      </c>
      <c r="Q3693" s="3">
        <f t="shared" si="7"/>
        <v>0.003768844221</v>
      </c>
      <c r="R3693" s="2">
        <v>796.0</v>
      </c>
      <c r="S3693" s="5">
        <f t="shared" si="8"/>
        <v>1</v>
      </c>
    </row>
    <row r="3694">
      <c r="A3694" s="2" t="s">
        <v>3700</v>
      </c>
      <c r="B3694" s="2">
        <v>1576.0</v>
      </c>
      <c r="C3694" s="2">
        <v>18551.0</v>
      </c>
      <c r="D3694" s="2">
        <v>5590.0</v>
      </c>
      <c r="E3694" s="3">
        <f t="shared" si="1"/>
        <v>0.3293078056</v>
      </c>
      <c r="F3694" s="2">
        <v>2202.0</v>
      </c>
      <c r="G3694" s="3">
        <f t="shared" si="2"/>
        <v>0.1297201767</v>
      </c>
      <c r="H3694" s="2">
        <v>3452.0</v>
      </c>
      <c r="I3694" s="3">
        <f t="shared" si="3"/>
        <v>0.2033578792</v>
      </c>
      <c r="J3694" s="2">
        <v>2787.0</v>
      </c>
      <c r="K3694" s="3">
        <f t="shared" si="4"/>
        <v>0.1641826215</v>
      </c>
      <c r="L3694" s="2">
        <v>2127.0</v>
      </c>
      <c r="M3694" s="3">
        <f t="shared" si="5"/>
        <v>0.6161645423</v>
      </c>
      <c r="N3694" s="2">
        <v>2.01995E7</v>
      </c>
      <c r="O3694" s="4">
        <f t="shared" si="6"/>
        <v>5851.535342</v>
      </c>
      <c r="P3694" s="2">
        <v>1.0</v>
      </c>
      <c r="Q3694" s="3">
        <f t="shared" si="7"/>
        <v>0.0006345177665</v>
      </c>
      <c r="R3694" s="2">
        <v>1566.0</v>
      </c>
      <c r="S3694" s="5">
        <f t="shared" si="8"/>
        <v>0.9936548223</v>
      </c>
    </row>
    <row r="3695">
      <c r="A3695" s="2" t="s">
        <v>3701</v>
      </c>
      <c r="B3695" s="2">
        <v>94.0</v>
      </c>
      <c r="C3695" s="2">
        <v>1127.0</v>
      </c>
      <c r="D3695" s="2">
        <v>432.0</v>
      </c>
      <c r="E3695" s="3">
        <f t="shared" si="1"/>
        <v>0.4181994192</v>
      </c>
      <c r="F3695" s="2">
        <v>134.0</v>
      </c>
      <c r="G3695" s="3">
        <f t="shared" si="2"/>
        <v>0.1297192643</v>
      </c>
      <c r="H3695" s="2">
        <v>193.0</v>
      </c>
      <c r="I3695" s="3">
        <f t="shared" si="3"/>
        <v>0.1868344627</v>
      </c>
      <c r="J3695" s="2">
        <v>142.0</v>
      </c>
      <c r="K3695" s="3">
        <f t="shared" si="4"/>
        <v>0.137463698</v>
      </c>
      <c r="L3695" s="2">
        <v>123.0</v>
      </c>
      <c r="M3695" s="3">
        <f t="shared" si="5"/>
        <v>0.6373056995</v>
      </c>
      <c r="N3695" s="2">
        <v>929600.0</v>
      </c>
      <c r="O3695" s="4">
        <f t="shared" si="6"/>
        <v>4816.580311</v>
      </c>
      <c r="P3695" s="2">
        <v>0.0</v>
      </c>
      <c r="Q3695" s="3">
        <f t="shared" si="7"/>
        <v>0</v>
      </c>
      <c r="R3695" s="2">
        <v>25.0</v>
      </c>
      <c r="S3695" s="5">
        <f t="shared" si="8"/>
        <v>0.2659574468</v>
      </c>
    </row>
    <row r="3696">
      <c r="A3696" s="2" t="s">
        <v>3702</v>
      </c>
      <c r="B3696" s="2">
        <v>600.0</v>
      </c>
      <c r="C3696" s="2">
        <v>7045.0</v>
      </c>
      <c r="D3696" s="2">
        <v>2284.0</v>
      </c>
      <c r="E3696" s="3">
        <f t="shared" si="1"/>
        <v>0.3543832428</v>
      </c>
      <c r="F3696" s="2">
        <v>836.0</v>
      </c>
      <c r="G3696" s="3">
        <f t="shared" si="2"/>
        <v>0.1297129558</v>
      </c>
      <c r="H3696" s="2">
        <v>1388.0</v>
      </c>
      <c r="I3696" s="3">
        <f t="shared" si="3"/>
        <v>0.2153607448</v>
      </c>
      <c r="J3696" s="2">
        <v>1032.0</v>
      </c>
      <c r="K3696" s="3">
        <f t="shared" si="4"/>
        <v>0.1601241272</v>
      </c>
      <c r="L3696" s="2">
        <v>829.0</v>
      </c>
      <c r="M3696" s="3">
        <f t="shared" si="5"/>
        <v>0.5972622478</v>
      </c>
      <c r="N3696" s="2">
        <v>7881400.0</v>
      </c>
      <c r="O3696" s="4">
        <f t="shared" si="6"/>
        <v>5678.242075</v>
      </c>
      <c r="P3696" s="2">
        <v>3.0</v>
      </c>
      <c r="Q3696" s="3">
        <f t="shared" si="7"/>
        <v>0.005</v>
      </c>
      <c r="R3696" s="2">
        <v>600.0</v>
      </c>
      <c r="S3696" s="5">
        <f t="shared" si="8"/>
        <v>1</v>
      </c>
    </row>
    <row r="3697">
      <c r="A3697" s="2" t="s">
        <v>3703</v>
      </c>
      <c r="B3697" s="2">
        <v>180.0</v>
      </c>
      <c r="C3697" s="2">
        <v>2146.0</v>
      </c>
      <c r="D3697" s="2">
        <v>620.0</v>
      </c>
      <c r="E3697" s="3">
        <f t="shared" si="1"/>
        <v>0.3153611394</v>
      </c>
      <c r="F3697" s="2">
        <v>255.0</v>
      </c>
      <c r="G3697" s="3">
        <f t="shared" si="2"/>
        <v>0.1297049847</v>
      </c>
      <c r="H3697" s="2">
        <v>440.0</v>
      </c>
      <c r="I3697" s="3">
        <f t="shared" si="3"/>
        <v>0.2238046796</v>
      </c>
      <c r="J3697" s="2">
        <v>346.0</v>
      </c>
      <c r="K3697" s="3">
        <f t="shared" si="4"/>
        <v>0.1759918616</v>
      </c>
      <c r="L3697" s="2">
        <v>265.0</v>
      </c>
      <c r="M3697" s="3">
        <f t="shared" si="5"/>
        <v>0.6022727273</v>
      </c>
      <c r="N3697" s="2">
        <v>2429000.0</v>
      </c>
      <c r="O3697" s="4">
        <f t="shared" si="6"/>
        <v>5520.454545</v>
      </c>
      <c r="P3697" s="2">
        <v>0.0</v>
      </c>
      <c r="Q3697" s="3">
        <f t="shared" si="7"/>
        <v>0</v>
      </c>
      <c r="R3697" s="2">
        <v>104.0</v>
      </c>
      <c r="S3697" s="5">
        <f t="shared" si="8"/>
        <v>0.5777777778</v>
      </c>
    </row>
    <row r="3698">
      <c r="A3698" s="2" t="s">
        <v>3704</v>
      </c>
      <c r="B3698" s="2">
        <v>1118.0</v>
      </c>
      <c r="C3698" s="2">
        <v>12992.0</v>
      </c>
      <c r="D3698" s="2">
        <v>3691.0</v>
      </c>
      <c r="E3698" s="3">
        <f t="shared" si="1"/>
        <v>0.3108472292</v>
      </c>
      <c r="F3698" s="2">
        <v>1540.0</v>
      </c>
      <c r="G3698" s="3">
        <f t="shared" si="2"/>
        <v>0.1296951322</v>
      </c>
      <c r="H3698" s="2">
        <v>2434.0</v>
      </c>
      <c r="I3698" s="3">
        <f t="shared" si="3"/>
        <v>0.204985683</v>
      </c>
      <c r="J3698" s="2">
        <v>2086.0</v>
      </c>
      <c r="K3698" s="3">
        <f t="shared" si="4"/>
        <v>0.1756779518</v>
      </c>
      <c r="L3698" s="2">
        <v>1479.0</v>
      </c>
      <c r="M3698" s="3">
        <f t="shared" si="5"/>
        <v>0.607641742</v>
      </c>
      <c r="N3698" s="2">
        <v>1.46318E7</v>
      </c>
      <c r="O3698" s="4">
        <f t="shared" si="6"/>
        <v>6011.421528</v>
      </c>
      <c r="P3698" s="2">
        <v>4.0</v>
      </c>
      <c r="Q3698" s="3">
        <f t="shared" si="7"/>
        <v>0.003577817531</v>
      </c>
      <c r="R3698" s="2">
        <v>1118.0</v>
      </c>
      <c r="S3698" s="5">
        <f t="shared" si="8"/>
        <v>1</v>
      </c>
    </row>
    <row r="3699">
      <c r="A3699" s="2" t="s">
        <v>3705</v>
      </c>
      <c r="B3699" s="2">
        <v>587.0</v>
      </c>
      <c r="C3699" s="2">
        <v>6902.0</v>
      </c>
      <c r="D3699" s="2">
        <v>2155.0</v>
      </c>
      <c r="E3699" s="3">
        <f t="shared" si="1"/>
        <v>0.3412509897</v>
      </c>
      <c r="F3699" s="2">
        <v>819.0</v>
      </c>
      <c r="G3699" s="3">
        <f t="shared" si="2"/>
        <v>0.1296912114</v>
      </c>
      <c r="H3699" s="2">
        <v>1199.0</v>
      </c>
      <c r="I3699" s="3">
        <f t="shared" si="3"/>
        <v>0.1898653998</v>
      </c>
      <c r="J3699" s="2">
        <v>888.0</v>
      </c>
      <c r="K3699" s="3">
        <f t="shared" si="4"/>
        <v>0.1406175772</v>
      </c>
      <c r="L3699" s="2">
        <v>738.0</v>
      </c>
      <c r="M3699" s="3">
        <f t="shared" si="5"/>
        <v>0.6155129274</v>
      </c>
      <c r="N3699" s="2">
        <v>6535800.0</v>
      </c>
      <c r="O3699" s="4">
        <f t="shared" si="6"/>
        <v>5451.042535</v>
      </c>
      <c r="P3699" s="2">
        <v>0.0</v>
      </c>
      <c r="Q3699" s="3">
        <f t="shared" si="7"/>
        <v>0</v>
      </c>
      <c r="R3699" s="2">
        <v>587.0</v>
      </c>
      <c r="S3699" s="5">
        <f t="shared" si="8"/>
        <v>1</v>
      </c>
    </row>
    <row r="3700">
      <c r="A3700" s="2" t="s">
        <v>3706</v>
      </c>
      <c r="B3700" s="2">
        <v>228.0</v>
      </c>
      <c r="C3700" s="2">
        <v>2680.0</v>
      </c>
      <c r="D3700" s="2">
        <v>775.0</v>
      </c>
      <c r="E3700" s="3">
        <f t="shared" si="1"/>
        <v>0.3160685155</v>
      </c>
      <c r="F3700" s="2">
        <v>318.0</v>
      </c>
      <c r="G3700" s="3">
        <f t="shared" si="2"/>
        <v>0.1296900489</v>
      </c>
      <c r="H3700" s="2">
        <v>483.0</v>
      </c>
      <c r="I3700" s="3">
        <f t="shared" si="3"/>
        <v>0.1969820555</v>
      </c>
      <c r="J3700" s="2">
        <v>463.0</v>
      </c>
      <c r="K3700" s="3">
        <f t="shared" si="4"/>
        <v>0.1888254486</v>
      </c>
      <c r="L3700" s="2">
        <v>266.0</v>
      </c>
      <c r="M3700" s="3">
        <f t="shared" si="5"/>
        <v>0.5507246377</v>
      </c>
      <c r="N3700" s="2">
        <v>2970700.0</v>
      </c>
      <c r="O3700" s="4">
        <f t="shared" si="6"/>
        <v>6150.517598</v>
      </c>
      <c r="P3700" s="2">
        <v>0.0</v>
      </c>
      <c r="Q3700" s="3">
        <f t="shared" si="7"/>
        <v>0</v>
      </c>
      <c r="R3700" s="2">
        <v>228.0</v>
      </c>
      <c r="S3700" s="5">
        <f t="shared" si="8"/>
        <v>1</v>
      </c>
    </row>
    <row r="3701">
      <c r="A3701" s="2" t="s">
        <v>3707</v>
      </c>
      <c r="B3701" s="2">
        <v>94.0</v>
      </c>
      <c r="C3701" s="2">
        <v>1135.0</v>
      </c>
      <c r="D3701" s="2">
        <v>303.0</v>
      </c>
      <c r="E3701" s="3">
        <f t="shared" si="1"/>
        <v>0.2910662824</v>
      </c>
      <c r="F3701" s="2">
        <v>135.0</v>
      </c>
      <c r="G3701" s="3">
        <f t="shared" si="2"/>
        <v>0.1296829971</v>
      </c>
      <c r="H3701" s="2">
        <v>196.0</v>
      </c>
      <c r="I3701" s="3">
        <f t="shared" si="3"/>
        <v>0.1882804995</v>
      </c>
      <c r="J3701" s="2">
        <v>176.0</v>
      </c>
      <c r="K3701" s="3">
        <f t="shared" si="4"/>
        <v>0.1690682037</v>
      </c>
      <c r="L3701" s="2">
        <v>106.0</v>
      </c>
      <c r="M3701" s="3">
        <f t="shared" si="5"/>
        <v>0.5408163265</v>
      </c>
      <c r="N3701" s="2">
        <v>1094200.0</v>
      </c>
      <c r="O3701" s="4">
        <f t="shared" si="6"/>
        <v>5582.653061</v>
      </c>
      <c r="P3701" s="2">
        <v>0.0</v>
      </c>
      <c r="Q3701" s="3">
        <f t="shared" si="7"/>
        <v>0</v>
      </c>
      <c r="R3701" s="2">
        <v>0.0</v>
      </c>
      <c r="S3701" s="5">
        <f t="shared" si="8"/>
        <v>0</v>
      </c>
    </row>
    <row r="3702">
      <c r="A3702" s="2" t="s">
        <v>3708</v>
      </c>
      <c r="B3702" s="2">
        <v>82.0</v>
      </c>
      <c r="C3702" s="2">
        <v>938.0</v>
      </c>
      <c r="D3702" s="2">
        <v>369.0</v>
      </c>
      <c r="E3702" s="3">
        <f t="shared" si="1"/>
        <v>0.4310747664</v>
      </c>
      <c r="F3702" s="2">
        <v>111.0</v>
      </c>
      <c r="G3702" s="3">
        <f t="shared" si="2"/>
        <v>0.1296728972</v>
      </c>
      <c r="H3702" s="2">
        <v>168.0</v>
      </c>
      <c r="I3702" s="3">
        <f t="shared" si="3"/>
        <v>0.1962616822</v>
      </c>
      <c r="J3702" s="2">
        <v>129.0</v>
      </c>
      <c r="K3702" s="3">
        <f t="shared" si="4"/>
        <v>0.1507009346</v>
      </c>
      <c r="L3702" s="2">
        <v>101.0</v>
      </c>
      <c r="M3702" s="3">
        <f t="shared" si="5"/>
        <v>0.6011904762</v>
      </c>
      <c r="N3702" s="2">
        <v>857800.0</v>
      </c>
      <c r="O3702" s="4">
        <f t="shared" si="6"/>
        <v>5105.952381</v>
      </c>
      <c r="P3702" s="2">
        <v>0.0</v>
      </c>
      <c r="Q3702" s="3">
        <f t="shared" si="7"/>
        <v>0</v>
      </c>
      <c r="R3702" s="2">
        <v>82.0</v>
      </c>
      <c r="S3702" s="5">
        <f t="shared" si="8"/>
        <v>1</v>
      </c>
    </row>
    <row r="3703">
      <c r="A3703" s="2" t="s">
        <v>3709</v>
      </c>
      <c r="B3703" s="2">
        <v>2853.0</v>
      </c>
      <c r="C3703" s="2">
        <v>33376.0</v>
      </c>
      <c r="D3703" s="2">
        <v>9774.0</v>
      </c>
      <c r="E3703" s="3">
        <f t="shared" si="1"/>
        <v>0.3202175409</v>
      </c>
      <c r="F3703" s="2">
        <v>3958.0</v>
      </c>
      <c r="G3703" s="3">
        <f t="shared" si="2"/>
        <v>0.1296727058</v>
      </c>
      <c r="H3703" s="2">
        <v>6258.0</v>
      </c>
      <c r="I3703" s="3">
        <f t="shared" si="3"/>
        <v>0.2050257183</v>
      </c>
      <c r="J3703" s="2">
        <v>4964.0</v>
      </c>
      <c r="K3703" s="3">
        <f t="shared" si="4"/>
        <v>0.1626314582</v>
      </c>
      <c r="L3703" s="2">
        <v>3669.0</v>
      </c>
      <c r="M3703" s="3">
        <f t="shared" si="5"/>
        <v>0.5862895494</v>
      </c>
      <c r="N3703" s="2">
        <v>3.64896E7</v>
      </c>
      <c r="O3703" s="4">
        <f t="shared" si="6"/>
        <v>5830.872483</v>
      </c>
      <c r="P3703" s="2">
        <v>8.0</v>
      </c>
      <c r="Q3703" s="3">
        <f t="shared" si="7"/>
        <v>0.002804065896</v>
      </c>
      <c r="R3703" s="2">
        <v>2847.0</v>
      </c>
      <c r="S3703" s="5">
        <f t="shared" si="8"/>
        <v>0.9978969506</v>
      </c>
    </row>
    <row r="3704">
      <c r="A3704" s="2" t="s">
        <v>3710</v>
      </c>
      <c r="B3704" s="2">
        <v>400.0</v>
      </c>
      <c r="C3704" s="2">
        <v>4734.0</v>
      </c>
      <c r="D3704" s="2">
        <v>1621.0</v>
      </c>
      <c r="E3704" s="3">
        <f t="shared" si="1"/>
        <v>0.3740193816</v>
      </c>
      <c r="F3704" s="2">
        <v>562.0</v>
      </c>
      <c r="G3704" s="3">
        <f t="shared" si="2"/>
        <v>0.1296723581</v>
      </c>
      <c r="H3704" s="2">
        <v>903.0</v>
      </c>
      <c r="I3704" s="3">
        <f t="shared" si="3"/>
        <v>0.2083525611</v>
      </c>
      <c r="J3704" s="2">
        <v>746.0</v>
      </c>
      <c r="K3704" s="3">
        <f t="shared" si="4"/>
        <v>0.172127365</v>
      </c>
      <c r="L3704" s="2">
        <v>547.0</v>
      </c>
      <c r="M3704" s="3">
        <f t="shared" si="5"/>
        <v>0.6057585825</v>
      </c>
      <c r="N3704" s="2">
        <v>4837900.0</v>
      </c>
      <c r="O3704" s="4">
        <f t="shared" si="6"/>
        <v>5357.585825</v>
      </c>
      <c r="P3704" s="2">
        <v>1.0</v>
      </c>
      <c r="Q3704" s="3">
        <f t="shared" si="7"/>
        <v>0.0025</v>
      </c>
      <c r="R3704" s="2">
        <v>400.0</v>
      </c>
      <c r="S3704" s="5">
        <f t="shared" si="8"/>
        <v>1</v>
      </c>
    </row>
    <row r="3705">
      <c r="A3705" s="2" t="s">
        <v>3711</v>
      </c>
      <c r="B3705" s="2">
        <v>390.0</v>
      </c>
      <c r="C3705" s="2">
        <v>4547.0</v>
      </c>
      <c r="D3705" s="2">
        <v>1477.0</v>
      </c>
      <c r="E3705" s="3">
        <f t="shared" si="1"/>
        <v>0.355304306</v>
      </c>
      <c r="F3705" s="2">
        <v>539.0</v>
      </c>
      <c r="G3705" s="3">
        <f t="shared" si="2"/>
        <v>0.1296608131</v>
      </c>
      <c r="H3705" s="2">
        <v>878.0</v>
      </c>
      <c r="I3705" s="3">
        <f t="shared" si="3"/>
        <v>0.2112100072</v>
      </c>
      <c r="J3705" s="2">
        <v>788.0</v>
      </c>
      <c r="K3705" s="3">
        <f t="shared" si="4"/>
        <v>0.1895597787</v>
      </c>
      <c r="L3705" s="2">
        <v>516.0</v>
      </c>
      <c r="M3705" s="3">
        <f t="shared" si="5"/>
        <v>0.5876993166</v>
      </c>
      <c r="N3705" s="2">
        <v>4841900.0</v>
      </c>
      <c r="O3705" s="4">
        <f t="shared" si="6"/>
        <v>5514.692483</v>
      </c>
      <c r="P3705" s="2">
        <v>0.0</v>
      </c>
      <c r="Q3705" s="3">
        <f t="shared" si="7"/>
        <v>0</v>
      </c>
      <c r="R3705" s="2">
        <v>390.0</v>
      </c>
      <c r="S3705" s="5">
        <f t="shared" si="8"/>
        <v>1</v>
      </c>
    </row>
    <row r="3706">
      <c r="A3706" s="2" t="s">
        <v>3712</v>
      </c>
      <c r="B3706" s="2">
        <v>247.0</v>
      </c>
      <c r="C3706" s="2">
        <v>2877.0</v>
      </c>
      <c r="D3706" s="2">
        <v>1116.0</v>
      </c>
      <c r="E3706" s="3">
        <f t="shared" si="1"/>
        <v>0.4243346008</v>
      </c>
      <c r="F3706" s="2">
        <v>341.0</v>
      </c>
      <c r="G3706" s="3">
        <f t="shared" si="2"/>
        <v>0.1296577947</v>
      </c>
      <c r="H3706" s="2">
        <v>520.0</v>
      </c>
      <c r="I3706" s="3">
        <f t="shared" si="3"/>
        <v>0.1977186312</v>
      </c>
      <c r="J3706" s="2">
        <v>419.0</v>
      </c>
      <c r="K3706" s="3">
        <f t="shared" si="4"/>
        <v>0.1593155894</v>
      </c>
      <c r="L3706" s="2">
        <v>311.0</v>
      </c>
      <c r="M3706" s="3">
        <f t="shared" si="5"/>
        <v>0.5980769231</v>
      </c>
      <c r="N3706" s="2">
        <v>2766700.0</v>
      </c>
      <c r="O3706" s="4">
        <f t="shared" si="6"/>
        <v>5320.576923</v>
      </c>
      <c r="P3706" s="2">
        <v>0.0</v>
      </c>
      <c r="Q3706" s="3">
        <f t="shared" si="7"/>
        <v>0</v>
      </c>
      <c r="R3706" s="2">
        <v>247.0</v>
      </c>
      <c r="S3706" s="5">
        <f t="shared" si="8"/>
        <v>1</v>
      </c>
    </row>
    <row r="3707">
      <c r="A3707" s="2" t="s">
        <v>3713</v>
      </c>
      <c r="B3707" s="2">
        <v>207.0</v>
      </c>
      <c r="C3707" s="2">
        <v>2390.0</v>
      </c>
      <c r="D3707" s="2">
        <v>646.0</v>
      </c>
      <c r="E3707" s="3">
        <f t="shared" si="1"/>
        <v>0.2959230417</v>
      </c>
      <c r="F3707" s="2">
        <v>283.0</v>
      </c>
      <c r="G3707" s="3">
        <f t="shared" si="2"/>
        <v>0.1296381127</v>
      </c>
      <c r="H3707" s="2">
        <v>451.0</v>
      </c>
      <c r="I3707" s="3">
        <f t="shared" si="3"/>
        <v>0.2065964269</v>
      </c>
      <c r="J3707" s="2">
        <v>396.0</v>
      </c>
      <c r="K3707" s="3">
        <f t="shared" si="4"/>
        <v>0.1814017407</v>
      </c>
      <c r="L3707" s="2">
        <v>255.0</v>
      </c>
      <c r="M3707" s="3">
        <f t="shared" si="5"/>
        <v>0.5654101996</v>
      </c>
      <c r="N3707" s="2">
        <v>2784100.0</v>
      </c>
      <c r="O3707" s="4">
        <f t="shared" si="6"/>
        <v>6173.170732</v>
      </c>
      <c r="P3707" s="2">
        <v>0.0</v>
      </c>
      <c r="Q3707" s="3">
        <f t="shared" si="7"/>
        <v>0</v>
      </c>
      <c r="R3707" s="2">
        <v>207.0</v>
      </c>
      <c r="S3707" s="5">
        <f t="shared" si="8"/>
        <v>1</v>
      </c>
    </row>
    <row r="3708">
      <c r="A3708" s="2" t="s">
        <v>3714</v>
      </c>
      <c r="B3708" s="2">
        <v>1081.0</v>
      </c>
      <c r="C3708" s="2">
        <v>12598.0</v>
      </c>
      <c r="D3708" s="2">
        <v>3357.0</v>
      </c>
      <c r="E3708" s="3">
        <f t="shared" si="1"/>
        <v>0.2914821568</v>
      </c>
      <c r="F3708" s="2">
        <v>1493.0</v>
      </c>
      <c r="G3708" s="3">
        <f t="shared" si="2"/>
        <v>0.1296344534</v>
      </c>
      <c r="H3708" s="2">
        <v>2336.0</v>
      </c>
      <c r="I3708" s="3">
        <f t="shared" si="3"/>
        <v>0.2028305982</v>
      </c>
      <c r="J3708" s="2">
        <v>1877.0</v>
      </c>
      <c r="K3708" s="3">
        <f t="shared" si="4"/>
        <v>0.1629764696</v>
      </c>
      <c r="L3708" s="2">
        <v>1386.0</v>
      </c>
      <c r="M3708" s="3">
        <f t="shared" si="5"/>
        <v>0.5933219178</v>
      </c>
      <c r="N3708" s="2">
        <v>1.39872E7</v>
      </c>
      <c r="O3708" s="4">
        <f t="shared" si="6"/>
        <v>5987.671233</v>
      </c>
      <c r="P3708" s="2">
        <v>2.0</v>
      </c>
      <c r="Q3708" s="3">
        <f t="shared" si="7"/>
        <v>0.00185013876</v>
      </c>
      <c r="R3708" s="2">
        <v>1081.0</v>
      </c>
      <c r="S3708" s="5">
        <f t="shared" si="8"/>
        <v>1</v>
      </c>
    </row>
    <row r="3709">
      <c r="A3709" s="2" t="s">
        <v>3715</v>
      </c>
      <c r="B3709" s="2">
        <v>16.0</v>
      </c>
      <c r="C3709" s="2">
        <v>178.0</v>
      </c>
      <c r="D3709" s="2">
        <v>69.0</v>
      </c>
      <c r="E3709" s="3">
        <f t="shared" si="1"/>
        <v>0.4259259259</v>
      </c>
      <c r="F3709" s="2">
        <v>21.0</v>
      </c>
      <c r="G3709" s="3">
        <f t="shared" si="2"/>
        <v>0.1296296296</v>
      </c>
      <c r="H3709" s="2">
        <v>32.0</v>
      </c>
      <c r="I3709" s="3">
        <f t="shared" si="3"/>
        <v>0.1975308642</v>
      </c>
      <c r="J3709" s="2">
        <v>30.0</v>
      </c>
      <c r="K3709" s="3">
        <f t="shared" si="4"/>
        <v>0.1851851852</v>
      </c>
      <c r="L3709" s="2">
        <v>24.0</v>
      </c>
      <c r="M3709" s="3">
        <f t="shared" si="5"/>
        <v>0.75</v>
      </c>
      <c r="N3709" s="2">
        <v>170000.0</v>
      </c>
      <c r="O3709" s="4">
        <f t="shared" si="6"/>
        <v>5312.5</v>
      </c>
      <c r="P3709" s="2">
        <v>0.0</v>
      </c>
      <c r="Q3709" s="3">
        <f t="shared" si="7"/>
        <v>0</v>
      </c>
      <c r="R3709" s="2">
        <v>16.0</v>
      </c>
      <c r="S3709" s="5">
        <f t="shared" si="8"/>
        <v>1</v>
      </c>
    </row>
    <row r="3710">
      <c r="A3710" s="2" t="s">
        <v>3716</v>
      </c>
      <c r="B3710" s="2">
        <v>5.0</v>
      </c>
      <c r="C3710" s="2">
        <v>59.0</v>
      </c>
      <c r="D3710" s="2">
        <v>19.0</v>
      </c>
      <c r="E3710" s="3">
        <f t="shared" si="1"/>
        <v>0.3518518519</v>
      </c>
      <c r="F3710" s="2">
        <v>7.0</v>
      </c>
      <c r="G3710" s="3">
        <f t="shared" si="2"/>
        <v>0.1296296296</v>
      </c>
      <c r="H3710" s="2">
        <v>11.0</v>
      </c>
      <c r="I3710" s="3">
        <f t="shared" si="3"/>
        <v>0.2037037037</v>
      </c>
      <c r="J3710" s="2">
        <v>9.0</v>
      </c>
      <c r="K3710" s="3">
        <f t="shared" si="4"/>
        <v>0.1666666667</v>
      </c>
      <c r="L3710" s="2">
        <v>7.0</v>
      </c>
      <c r="M3710" s="3">
        <f t="shared" si="5"/>
        <v>0.6363636364</v>
      </c>
      <c r="N3710" s="2">
        <v>70500.0</v>
      </c>
      <c r="O3710" s="4">
        <f t="shared" si="6"/>
        <v>6409.090909</v>
      </c>
      <c r="P3710" s="2">
        <v>0.0</v>
      </c>
      <c r="Q3710" s="3">
        <f t="shared" si="7"/>
        <v>0</v>
      </c>
      <c r="R3710" s="2">
        <v>0.0</v>
      </c>
      <c r="S3710" s="5">
        <f t="shared" si="8"/>
        <v>0</v>
      </c>
    </row>
    <row r="3711">
      <c r="A3711" s="2" t="s">
        <v>3717</v>
      </c>
      <c r="B3711" s="2">
        <v>63.0</v>
      </c>
      <c r="C3711" s="2">
        <v>711.0</v>
      </c>
      <c r="D3711" s="2">
        <v>236.0</v>
      </c>
      <c r="E3711" s="3">
        <f t="shared" si="1"/>
        <v>0.3641975309</v>
      </c>
      <c r="F3711" s="2">
        <v>84.0</v>
      </c>
      <c r="G3711" s="3">
        <f t="shared" si="2"/>
        <v>0.1296296296</v>
      </c>
      <c r="H3711" s="2">
        <v>131.0</v>
      </c>
      <c r="I3711" s="3">
        <f t="shared" si="3"/>
        <v>0.2021604938</v>
      </c>
      <c r="J3711" s="2">
        <v>98.0</v>
      </c>
      <c r="K3711" s="3">
        <f t="shared" si="4"/>
        <v>0.1512345679</v>
      </c>
      <c r="L3711" s="2">
        <v>84.0</v>
      </c>
      <c r="M3711" s="3">
        <f t="shared" si="5"/>
        <v>0.641221374</v>
      </c>
      <c r="N3711" s="2">
        <v>749900.0</v>
      </c>
      <c r="O3711" s="4">
        <f t="shared" si="6"/>
        <v>5724.427481</v>
      </c>
      <c r="P3711" s="2">
        <v>0.0</v>
      </c>
      <c r="Q3711" s="3">
        <f t="shared" si="7"/>
        <v>0</v>
      </c>
      <c r="R3711" s="2">
        <v>63.0</v>
      </c>
      <c r="S3711" s="5">
        <f t="shared" si="8"/>
        <v>1</v>
      </c>
    </row>
    <row r="3712">
      <c r="A3712" s="2" t="s">
        <v>3718</v>
      </c>
      <c r="B3712" s="2">
        <v>5287.0</v>
      </c>
      <c r="C3712" s="2">
        <v>61587.0</v>
      </c>
      <c r="D3712" s="2">
        <v>21611.0</v>
      </c>
      <c r="E3712" s="3">
        <f t="shared" si="1"/>
        <v>0.3838543517</v>
      </c>
      <c r="F3712" s="2">
        <v>7298.0</v>
      </c>
      <c r="G3712" s="3">
        <f t="shared" si="2"/>
        <v>0.1296269982</v>
      </c>
      <c r="H3712" s="2">
        <v>12754.0</v>
      </c>
      <c r="I3712" s="3">
        <f t="shared" si="3"/>
        <v>0.2265364121</v>
      </c>
      <c r="J3712" s="2">
        <v>8413.0</v>
      </c>
      <c r="K3712" s="3">
        <f t="shared" si="4"/>
        <v>0.1494316163</v>
      </c>
      <c r="L3712" s="2">
        <v>7782.0</v>
      </c>
      <c r="M3712" s="3">
        <f t="shared" si="5"/>
        <v>0.610161518</v>
      </c>
      <c r="N3712" s="2">
        <v>7.07224E7</v>
      </c>
      <c r="O3712" s="4">
        <f t="shared" si="6"/>
        <v>5545.115258</v>
      </c>
      <c r="P3712" s="2">
        <v>14.0</v>
      </c>
      <c r="Q3712" s="3">
        <f t="shared" si="7"/>
        <v>0.002648004539</v>
      </c>
      <c r="R3712" s="2">
        <v>5287.0</v>
      </c>
      <c r="S3712" s="5">
        <f t="shared" si="8"/>
        <v>1</v>
      </c>
    </row>
    <row r="3713">
      <c r="A3713" s="2" t="s">
        <v>3719</v>
      </c>
      <c r="B3713" s="2">
        <v>850.0</v>
      </c>
      <c r="C3713" s="2">
        <v>9884.0</v>
      </c>
      <c r="D3713" s="2">
        <v>3008.0</v>
      </c>
      <c r="E3713" s="3">
        <f t="shared" si="1"/>
        <v>0.3329643569</v>
      </c>
      <c r="F3713" s="2">
        <v>1171.0</v>
      </c>
      <c r="G3713" s="3">
        <f t="shared" si="2"/>
        <v>0.1296214302</v>
      </c>
      <c r="H3713" s="2">
        <v>1858.0</v>
      </c>
      <c r="I3713" s="3">
        <f t="shared" si="3"/>
        <v>0.2056674784</v>
      </c>
      <c r="J3713" s="2">
        <v>1590.0</v>
      </c>
      <c r="K3713" s="3">
        <f t="shared" si="4"/>
        <v>0.1760017711</v>
      </c>
      <c r="L3713" s="2">
        <v>1092.0</v>
      </c>
      <c r="M3713" s="3">
        <f t="shared" si="5"/>
        <v>0.5877287406</v>
      </c>
      <c r="N3713" s="2">
        <v>1.06092E7</v>
      </c>
      <c r="O3713" s="4">
        <f t="shared" si="6"/>
        <v>5710.010764</v>
      </c>
      <c r="P3713" s="2">
        <v>3.0</v>
      </c>
      <c r="Q3713" s="3">
        <f t="shared" si="7"/>
        <v>0.003529411765</v>
      </c>
      <c r="R3713" s="2">
        <v>648.0</v>
      </c>
      <c r="S3713" s="5">
        <f t="shared" si="8"/>
        <v>0.7623529412</v>
      </c>
    </row>
    <row r="3714">
      <c r="A3714" s="2">
        <v>22148.0</v>
      </c>
      <c r="B3714" s="2">
        <v>438.0</v>
      </c>
      <c r="C3714" s="2">
        <v>5121.0</v>
      </c>
      <c r="D3714" s="2">
        <v>1629.0</v>
      </c>
      <c r="E3714" s="3">
        <f t="shared" si="1"/>
        <v>0.3478539398</v>
      </c>
      <c r="F3714" s="2">
        <v>607.0</v>
      </c>
      <c r="G3714" s="3">
        <f t="shared" si="2"/>
        <v>0.1296177664</v>
      </c>
      <c r="H3714" s="2">
        <v>1045.0</v>
      </c>
      <c r="I3714" s="3">
        <f t="shared" si="3"/>
        <v>0.223147555</v>
      </c>
      <c r="J3714" s="2">
        <v>885.0</v>
      </c>
      <c r="K3714" s="3">
        <f t="shared" si="4"/>
        <v>0.1889814222</v>
      </c>
      <c r="L3714" s="2">
        <v>639.0</v>
      </c>
      <c r="M3714" s="3">
        <f t="shared" si="5"/>
        <v>0.6114832536</v>
      </c>
      <c r="N3714" s="2">
        <v>5868900.0</v>
      </c>
      <c r="O3714" s="4">
        <f t="shared" si="6"/>
        <v>5616.172249</v>
      </c>
      <c r="P3714" s="2">
        <v>1.0</v>
      </c>
      <c r="Q3714" s="3">
        <f t="shared" si="7"/>
        <v>0.002283105023</v>
      </c>
      <c r="R3714" s="2">
        <v>438.0</v>
      </c>
      <c r="S3714" s="5">
        <f t="shared" si="8"/>
        <v>1</v>
      </c>
    </row>
    <row r="3715">
      <c r="A3715" s="2" t="s">
        <v>3720</v>
      </c>
      <c r="B3715" s="2">
        <v>167.0</v>
      </c>
      <c r="C3715" s="2">
        <v>1957.0</v>
      </c>
      <c r="D3715" s="2">
        <v>610.0</v>
      </c>
      <c r="E3715" s="3">
        <f t="shared" si="1"/>
        <v>0.3407821229</v>
      </c>
      <c r="F3715" s="2">
        <v>232.0</v>
      </c>
      <c r="G3715" s="3">
        <f t="shared" si="2"/>
        <v>0.1296089385</v>
      </c>
      <c r="H3715" s="2">
        <v>352.0</v>
      </c>
      <c r="I3715" s="3">
        <f t="shared" si="3"/>
        <v>0.1966480447</v>
      </c>
      <c r="J3715" s="2">
        <v>283.0</v>
      </c>
      <c r="K3715" s="3">
        <f t="shared" si="4"/>
        <v>0.1581005587</v>
      </c>
      <c r="L3715" s="2">
        <v>217.0</v>
      </c>
      <c r="M3715" s="3">
        <f t="shared" si="5"/>
        <v>0.6164772727</v>
      </c>
      <c r="N3715" s="2">
        <v>1900200.0</v>
      </c>
      <c r="O3715" s="4">
        <f t="shared" si="6"/>
        <v>5398.295455</v>
      </c>
      <c r="P3715" s="2">
        <v>0.0</v>
      </c>
      <c r="Q3715" s="3">
        <f t="shared" si="7"/>
        <v>0</v>
      </c>
      <c r="R3715" s="2">
        <v>167.0</v>
      </c>
      <c r="S3715" s="5">
        <f t="shared" si="8"/>
        <v>1</v>
      </c>
    </row>
    <row r="3716">
      <c r="A3716" s="2" t="s">
        <v>3721</v>
      </c>
      <c r="B3716" s="2">
        <v>572.0</v>
      </c>
      <c r="C3716" s="2">
        <v>6737.0</v>
      </c>
      <c r="D3716" s="2">
        <v>2234.0</v>
      </c>
      <c r="E3716" s="3">
        <f t="shared" si="1"/>
        <v>0.3623682076</v>
      </c>
      <c r="F3716" s="2">
        <v>799.0</v>
      </c>
      <c r="G3716" s="3">
        <f t="shared" si="2"/>
        <v>0.1296025953</v>
      </c>
      <c r="H3716" s="2">
        <v>1345.0</v>
      </c>
      <c r="I3716" s="3">
        <f t="shared" si="3"/>
        <v>0.2181670722</v>
      </c>
      <c r="J3716" s="2">
        <v>1089.0</v>
      </c>
      <c r="K3716" s="3">
        <f t="shared" si="4"/>
        <v>0.1766423358</v>
      </c>
      <c r="L3716" s="2">
        <v>782.0</v>
      </c>
      <c r="M3716" s="3">
        <f t="shared" si="5"/>
        <v>0.5814126394</v>
      </c>
      <c r="N3716" s="2">
        <v>7257800.0</v>
      </c>
      <c r="O3716" s="4">
        <f t="shared" si="6"/>
        <v>5396.133829</v>
      </c>
      <c r="P3716" s="2">
        <v>0.0</v>
      </c>
      <c r="Q3716" s="3">
        <f t="shared" si="7"/>
        <v>0</v>
      </c>
      <c r="R3716" s="2">
        <v>572.0</v>
      </c>
      <c r="S3716" s="5">
        <f t="shared" si="8"/>
        <v>1</v>
      </c>
    </row>
    <row r="3717">
      <c r="A3717" s="2" t="s">
        <v>3722</v>
      </c>
      <c r="B3717" s="2">
        <v>1451.0</v>
      </c>
      <c r="C3717" s="2">
        <v>16999.0</v>
      </c>
      <c r="D3717" s="2">
        <v>4952.0</v>
      </c>
      <c r="E3717" s="3">
        <f t="shared" si="1"/>
        <v>0.318497556</v>
      </c>
      <c r="F3717" s="2">
        <v>2015.0</v>
      </c>
      <c r="G3717" s="3">
        <f t="shared" si="2"/>
        <v>0.1295986622</v>
      </c>
      <c r="H3717" s="2">
        <v>3403.0</v>
      </c>
      <c r="I3717" s="3">
        <f t="shared" si="3"/>
        <v>0.2188705943</v>
      </c>
      <c r="J3717" s="2">
        <v>3345.0</v>
      </c>
      <c r="K3717" s="3">
        <f t="shared" si="4"/>
        <v>0.215140211</v>
      </c>
      <c r="L3717" s="2">
        <v>1979.0</v>
      </c>
      <c r="M3717" s="3">
        <f t="shared" si="5"/>
        <v>0.581545695</v>
      </c>
      <c r="N3717" s="2">
        <v>1.97686E7</v>
      </c>
      <c r="O3717" s="4">
        <f t="shared" si="6"/>
        <v>5809.168381</v>
      </c>
      <c r="P3717" s="2">
        <v>1.0</v>
      </c>
      <c r="Q3717" s="3">
        <f t="shared" si="7"/>
        <v>0.0006891798759</v>
      </c>
      <c r="R3717" s="2">
        <v>1451.0</v>
      </c>
      <c r="S3717" s="5">
        <f t="shared" si="8"/>
        <v>1</v>
      </c>
    </row>
    <row r="3718">
      <c r="A3718" s="2" t="s">
        <v>3723</v>
      </c>
      <c r="B3718" s="2">
        <v>513.0</v>
      </c>
      <c r="C3718" s="2">
        <v>6115.0</v>
      </c>
      <c r="D3718" s="2">
        <v>2022.0</v>
      </c>
      <c r="E3718" s="3">
        <f t="shared" si="1"/>
        <v>0.3609425205</v>
      </c>
      <c r="F3718" s="2">
        <v>726.0</v>
      </c>
      <c r="G3718" s="3">
        <f t="shared" si="2"/>
        <v>0.1295965727</v>
      </c>
      <c r="H3718" s="2">
        <v>1184.0</v>
      </c>
      <c r="I3718" s="3">
        <f t="shared" si="3"/>
        <v>0.2113530882</v>
      </c>
      <c r="J3718" s="2">
        <v>966.0</v>
      </c>
      <c r="K3718" s="3">
        <f t="shared" si="4"/>
        <v>0.1724384149</v>
      </c>
      <c r="L3718" s="2">
        <v>722.0</v>
      </c>
      <c r="M3718" s="3">
        <f t="shared" si="5"/>
        <v>0.6097972973</v>
      </c>
      <c r="N3718" s="2">
        <v>6655500.0</v>
      </c>
      <c r="O3718" s="4">
        <f t="shared" si="6"/>
        <v>5621.199324</v>
      </c>
      <c r="P3718" s="2">
        <v>1.0</v>
      </c>
      <c r="Q3718" s="3">
        <f t="shared" si="7"/>
        <v>0.001949317739</v>
      </c>
      <c r="R3718" s="2">
        <v>513.0</v>
      </c>
      <c r="S3718" s="5">
        <f t="shared" si="8"/>
        <v>1</v>
      </c>
    </row>
    <row r="3719">
      <c r="A3719" s="2" t="s">
        <v>3724</v>
      </c>
      <c r="B3719" s="2">
        <v>650.0</v>
      </c>
      <c r="C3719" s="2">
        <v>7688.0</v>
      </c>
      <c r="D3719" s="2">
        <v>2535.0</v>
      </c>
      <c r="E3719" s="3">
        <f t="shared" si="1"/>
        <v>0.3601875533</v>
      </c>
      <c r="F3719" s="2">
        <v>912.0</v>
      </c>
      <c r="G3719" s="3">
        <f t="shared" si="2"/>
        <v>0.1295822677</v>
      </c>
      <c r="H3719" s="2">
        <v>1415.0</v>
      </c>
      <c r="I3719" s="3">
        <f t="shared" si="3"/>
        <v>0.2010514351</v>
      </c>
      <c r="J3719" s="2">
        <v>1218.0</v>
      </c>
      <c r="K3719" s="3">
        <f t="shared" si="4"/>
        <v>0.1730605286</v>
      </c>
      <c r="L3719" s="2">
        <v>823.0</v>
      </c>
      <c r="M3719" s="3">
        <f t="shared" si="5"/>
        <v>0.5816254417</v>
      </c>
      <c r="N3719" s="2">
        <v>8308100.0</v>
      </c>
      <c r="O3719" s="4">
        <f t="shared" si="6"/>
        <v>5871.448763</v>
      </c>
      <c r="P3719" s="2">
        <v>3.0</v>
      </c>
      <c r="Q3719" s="3">
        <f t="shared" si="7"/>
        <v>0.004615384615</v>
      </c>
      <c r="R3719" s="2">
        <v>650.0</v>
      </c>
      <c r="S3719" s="5">
        <f t="shared" si="8"/>
        <v>1</v>
      </c>
    </row>
    <row r="3720">
      <c r="A3720" s="2" t="s">
        <v>3725</v>
      </c>
      <c r="B3720" s="2">
        <v>269.0</v>
      </c>
      <c r="C3720" s="2">
        <v>3140.0</v>
      </c>
      <c r="D3720" s="2">
        <v>1102.0</v>
      </c>
      <c r="E3720" s="3">
        <f t="shared" si="1"/>
        <v>0.3838383838</v>
      </c>
      <c r="F3720" s="2">
        <v>372.0</v>
      </c>
      <c r="G3720" s="3">
        <f t="shared" si="2"/>
        <v>0.1295715778</v>
      </c>
      <c r="H3720" s="2">
        <v>593.0</v>
      </c>
      <c r="I3720" s="3">
        <f t="shared" si="3"/>
        <v>0.206548241</v>
      </c>
      <c r="J3720" s="2">
        <v>368.0</v>
      </c>
      <c r="K3720" s="3">
        <f t="shared" si="4"/>
        <v>0.1281783351</v>
      </c>
      <c r="L3720" s="2">
        <v>368.0</v>
      </c>
      <c r="M3720" s="3">
        <f t="shared" si="5"/>
        <v>0.6205733558</v>
      </c>
      <c r="N3720" s="2">
        <v>3078900.0</v>
      </c>
      <c r="O3720" s="4">
        <f t="shared" si="6"/>
        <v>5192.074199</v>
      </c>
      <c r="P3720" s="2">
        <v>0.0</v>
      </c>
      <c r="Q3720" s="3">
        <f t="shared" si="7"/>
        <v>0</v>
      </c>
      <c r="R3720" s="2">
        <v>269.0</v>
      </c>
      <c r="S3720" s="5">
        <f t="shared" si="8"/>
        <v>1</v>
      </c>
    </row>
    <row r="3721">
      <c r="A3721" s="2" t="s">
        <v>3726</v>
      </c>
      <c r="B3721" s="2">
        <v>1225.0</v>
      </c>
      <c r="C3721" s="2">
        <v>14401.0</v>
      </c>
      <c r="D3721" s="2">
        <v>5289.0</v>
      </c>
      <c r="E3721" s="3">
        <f t="shared" si="1"/>
        <v>0.4014116576</v>
      </c>
      <c r="F3721" s="2">
        <v>1707.0</v>
      </c>
      <c r="G3721" s="3">
        <f t="shared" si="2"/>
        <v>0.1295537341</v>
      </c>
      <c r="H3721" s="2">
        <v>2758.0</v>
      </c>
      <c r="I3721" s="3">
        <f t="shared" si="3"/>
        <v>0.2093199757</v>
      </c>
      <c r="J3721" s="2">
        <v>2284.0</v>
      </c>
      <c r="K3721" s="3">
        <f t="shared" si="4"/>
        <v>0.1733454766</v>
      </c>
      <c r="L3721" s="2">
        <v>1619.0</v>
      </c>
      <c r="M3721" s="3">
        <f t="shared" si="5"/>
        <v>0.5870195794</v>
      </c>
      <c r="N3721" s="2">
        <v>1.53206E7</v>
      </c>
      <c r="O3721" s="4">
        <f t="shared" si="6"/>
        <v>5554.967368</v>
      </c>
      <c r="P3721" s="2">
        <v>2.0</v>
      </c>
      <c r="Q3721" s="3">
        <f t="shared" si="7"/>
        <v>0.001632653061</v>
      </c>
      <c r="R3721" s="2">
        <v>1225.0</v>
      </c>
      <c r="S3721" s="5">
        <f t="shared" si="8"/>
        <v>1</v>
      </c>
    </row>
    <row r="3722">
      <c r="A3722" s="2" t="s">
        <v>3727</v>
      </c>
      <c r="B3722" s="2">
        <v>315.0</v>
      </c>
      <c r="C3722" s="2">
        <v>3665.0</v>
      </c>
      <c r="D3722" s="2">
        <v>1054.0</v>
      </c>
      <c r="E3722" s="3">
        <f t="shared" si="1"/>
        <v>0.3146268657</v>
      </c>
      <c r="F3722" s="2">
        <v>434.0</v>
      </c>
      <c r="G3722" s="3">
        <f t="shared" si="2"/>
        <v>0.1295522388</v>
      </c>
      <c r="H3722" s="2">
        <v>675.0</v>
      </c>
      <c r="I3722" s="3">
        <f t="shared" si="3"/>
        <v>0.2014925373</v>
      </c>
      <c r="J3722" s="2">
        <v>589.0</v>
      </c>
      <c r="K3722" s="3">
        <f t="shared" si="4"/>
        <v>0.1758208955</v>
      </c>
      <c r="L3722" s="2">
        <v>406.0</v>
      </c>
      <c r="M3722" s="3">
        <f t="shared" si="5"/>
        <v>0.6014814815</v>
      </c>
      <c r="N3722" s="2">
        <v>3728500.0</v>
      </c>
      <c r="O3722" s="4">
        <f t="shared" si="6"/>
        <v>5523.703704</v>
      </c>
      <c r="P3722" s="2">
        <v>1.0</v>
      </c>
      <c r="Q3722" s="3">
        <f t="shared" si="7"/>
        <v>0.003174603175</v>
      </c>
      <c r="R3722" s="2">
        <v>310.0</v>
      </c>
      <c r="S3722" s="5">
        <f t="shared" si="8"/>
        <v>0.9841269841</v>
      </c>
    </row>
    <row r="3723">
      <c r="A3723" s="2" t="s">
        <v>3728</v>
      </c>
      <c r="B3723" s="2">
        <v>127.0</v>
      </c>
      <c r="C3723" s="2">
        <v>1501.0</v>
      </c>
      <c r="D3723" s="2">
        <v>455.0</v>
      </c>
      <c r="E3723" s="3">
        <f t="shared" si="1"/>
        <v>0.3311499272</v>
      </c>
      <c r="F3723" s="2">
        <v>178.0</v>
      </c>
      <c r="G3723" s="3">
        <f t="shared" si="2"/>
        <v>0.1295487627</v>
      </c>
      <c r="H3723" s="2">
        <v>276.0</v>
      </c>
      <c r="I3723" s="3">
        <f t="shared" si="3"/>
        <v>0.2008733624</v>
      </c>
      <c r="J3723" s="2">
        <v>273.0</v>
      </c>
      <c r="K3723" s="3">
        <f t="shared" si="4"/>
        <v>0.1986899563</v>
      </c>
      <c r="L3723" s="2">
        <v>161.0</v>
      </c>
      <c r="M3723" s="3">
        <f t="shared" si="5"/>
        <v>0.5833333333</v>
      </c>
      <c r="N3723" s="2">
        <v>1670500.0</v>
      </c>
      <c r="O3723" s="4">
        <f t="shared" si="6"/>
        <v>6052.536232</v>
      </c>
      <c r="P3723" s="2">
        <v>0.0</v>
      </c>
      <c r="Q3723" s="3">
        <f t="shared" si="7"/>
        <v>0</v>
      </c>
      <c r="R3723" s="2">
        <v>127.0</v>
      </c>
      <c r="S3723" s="5">
        <f t="shared" si="8"/>
        <v>1</v>
      </c>
    </row>
    <row r="3724">
      <c r="A3724" s="2" t="s">
        <v>3729</v>
      </c>
      <c r="B3724" s="2">
        <v>293.0</v>
      </c>
      <c r="C3724" s="2">
        <v>3512.0</v>
      </c>
      <c r="D3724" s="2">
        <v>897.0</v>
      </c>
      <c r="E3724" s="3">
        <f t="shared" si="1"/>
        <v>0.2786579683</v>
      </c>
      <c r="F3724" s="2">
        <v>417.0</v>
      </c>
      <c r="G3724" s="3">
        <f t="shared" si="2"/>
        <v>0.1295433364</v>
      </c>
      <c r="H3724" s="2">
        <v>728.0</v>
      </c>
      <c r="I3724" s="3">
        <f t="shared" si="3"/>
        <v>0.2261571917</v>
      </c>
      <c r="J3724" s="2">
        <v>550.0</v>
      </c>
      <c r="K3724" s="3">
        <f t="shared" si="4"/>
        <v>0.1708605157</v>
      </c>
      <c r="L3724" s="2">
        <v>428.0</v>
      </c>
      <c r="M3724" s="3">
        <f t="shared" si="5"/>
        <v>0.5879120879</v>
      </c>
      <c r="N3724" s="2">
        <v>4080200.0</v>
      </c>
      <c r="O3724" s="4">
        <f t="shared" si="6"/>
        <v>5604.67033</v>
      </c>
      <c r="P3724" s="2">
        <v>2.0</v>
      </c>
      <c r="Q3724" s="3">
        <f t="shared" si="7"/>
        <v>0.006825938567</v>
      </c>
      <c r="R3724" s="2">
        <v>0.0</v>
      </c>
      <c r="S3724" s="5">
        <f t="shared" si="8"/>
        <v>0</v>
      </c>
    </row>
    <row r="3725">
      <c r="A3725" s="2" t="s">
        <v>3730</v>
      </c>
      <c r="B3725" s="2">
        <v>57.0</v>
      </c>
      <c r="C3725" s="2">
        <v>636.0</v>
      </c>
      <c r="D3725" s="2">
        <v>199.0</v>
      </c>
      <c r="E3725" s="3">
        <f t="shared" si="1"/>
        <v>0.3436960276</v>
      </c>
      <c r="F3725" s="2">
        <v>75.0</v>
      </c>
      <c r="G3725" s="3">
        <f t="shared" si="2"/>
        <v>0.1295336788</v>
      </c>
      <c r="H3725" s="2">
        <v>120.0</v>
      </c>
      <c r="I3725" s="3">
        <f t="shared" si="3"/>
        <v>0.207253886</v>
      </c>
      <c r="J3725" s="2">
        <v>109.0</v>
      </c>
      <c r="K3725" s="3">
        <f t="shared" si="4"/>
        <v>0.1882556131</v>
      </c>
      <c r="L3725" s="2">
        <v>64.0</v>
      </c>
      <c r="M3725" s="3">
        <f t="shared" si="5"/>
        <v>0.5333333333</v>
      </c>
      <c r="N3725" s="2">
        <v>722300.0</v>
      </c>
      <c r="O3725" s="4">
        <f t="shared" si="6"/>
        <v>6019.166667</v>
      </c>
      <c r="P3725" s="2">
        <v>0.0</v>
      </c>
      <c r="Q3725" s="3">
        <f t="shared" si="7"/>
        <v>0</v>
      </c>
      <c r="R3725" s="2">
        <v>57.0</v>
      </c>
      <c r="S3725" s="5">
        <f t="shared" si="8"/>
        <v>1</v>
      </c>
    </row>
    <row r="3726">
      <c r="A3726" s="2" t="s">
        <v>3731</v>
      </c>
      <c r="B3726" s="2">
        <v>72.0</v>
      </c>
      <c r="C3726" s="2">
        <v>844.0</v>
      </c>
      <c r="D3726" s="2">
        <v>228.0</v>
      </c>
      <c r="E3726" s="3">
        <f t="shared" si="1"/>
        <v>0.2953367876</v>
      </c>
      <c r="F3726" s="2">
        <v>100.0</v>
      </c>
      <c r="G3726" s="3">
        <f t="shared" si="2"/>
        <v>0.1295336788</v>
      </c>
      <c r="H3726" s="2">
        <v>161.0</v>
      </c>
      <c r="I3726" s="3">
        <f t="shared" si="3"/>
        <v>0.2085492228</v>
      </c>
      <c r="J3726" s="2">
        <v>145.0</v>
      </c>
      <c r="K3726" s="3">
        <f t="shared" si="4"/>
        <v>0.1878238342</v>
      </c>
      <c r="L3726" s="2">
        <v>105.0</v>
      </c>
      <c r="M3726" s="3">
        <f t="shared" si="5"/>
        <v>0.652173913</v>
      </c>
      <c r="N3726" s="2">
        <v>869500.0</v>
      </c>
      <c r="O3726" s="4">
        <f t="shared" si="6"/>
        <v>5400.621118</v>
      </c>
      <c r="P3726" s="2">
        <v>0.0</v>
      </c>
      <c r="Q3726" s="3">
        <f t="shared" si="7"/>
        <v>0</v>
      </c>
      <c r="R3726" s="2">
        <v>72.0</v>
      </c>
      <c r="S3726" s="5">
        <f t="shared" si="8"/>
        <v>1</v>
      </c>
    </row>
    <row r="3727">
      <c r="A3727" s="2" t="s">
        <v>3732</v>
      </c>
      <c r="B3727" s="2">
        <v>808.0</v>
      </c>
      <c r="C3727" s="2">
        <v>9493.0</v>
      </c>
      <c r="D3727" s="2">
        <v>2745.0</v>
      </c>
      <c r="E3727" s="3">
        <f t="shared" si="1"/>
        <v>0.3160621762</v>
      </c>
      <c r="F3727" s="2">
        <v>1125.0</v>
      </c>
      <c r="G3727" s="3">
        <f t="shared" si="2"/>
        <v>0.1295336788</v>
      </c>
      <c r="H3727" s="2">
        <v>1761.0</v>
      </c>
      <c r="I3727" s="3">
        <f t="shared" si="3"/>
        <v>0.2027633851</v>
      </c>
      <c r="J3727" s="2">
        <v>1631.0</v>
      </c>
      <c r="K3727" s="3">
        <f t="shared" si="4"/>
        <v>0.1877950489</v>
      </c>
      <c r="L3727" s="2">
        <v>1025.0</v>
      </c>
      <c r="M3727" s="3">
        <f t="shared" si="5"/>
        <v>0.5820556502</v>
      </c>
      <c r="N3727" s="2">
        <v>9964100.0</v>
      </c>
      <c r="O3727" s="4">
        <f t="shared" si="6"/>
        <v>5658.205565</v>
      </c>
      <c r="P3727" s="2">
        <v>1.0</v>
      </c>
      <c r="Q3727" s="3">
        <f t="shared" si="7"/>
        <v>0.001237623762</v>
      </c>
      <c r="R3727" s="2">
        <v>808.0</v>
      </c>
      <c r="S3727" s="5">
        <f t="shared" si="8"/>
        <v>1</v>
      </c>
    </row>
    <row r="3728">
      <c r="A3728" s="2" t="s">
        <v>3733</v>
      </c>
      <c r="B3728" s="2">
        <v>3931.0</v>
      </c>
      <c r="C3728" s="2">
        <v>46168.0</v>
      </c>
      <c r="D3728" s="2">
        <v>17415.0</v>
      </c>
      <c r="E3728" s="3">
        <f t="shared" si="1"/>
        <v>0.4123162156</v>
      </c>
      <c r="F3728" s="2">
        <v>5471.0</v>
      </c>
      <c r="G3728" s="3">
        <f t="shared" si="2"/>
        <v>0.1295309799</v>
      </c>
      <c r="H3728" s="2">
        <v>9239.0</v>
      </c>
      <c r="I3728" s="3">
        <f t="shared" si="3"/>
        <v>0.2187418614</v>
      </c>
      <c r="J3728" s="2">
        <v>5642.0</v>
      </c>
      <c r="K3728" s="3">
        <f t="shared" si="4"/>
        <v>0.1335795629</v>
      </c>
      <c r="L3728" s="2">
        <v>5590.0</v>
      </c>
      <c r="M3728" s="3">
        <f t="shared" si="5"/>
        <v>0.6050438359</v>
      </c>
      <c r="N3728" s="2">
        <v>5.16119E7</v>
      </c>
      <c r="O3728" s="4">
        <f t="shared" si="6"/>
        <v>5586.308042</v>
      </c>
      <c r="P3728" s="2">
        <v>14.0</v>
      </c>
      <c r="Q3728" s="3">
        <f t="shared" si="7"/>
        <v>0.003561434749</v>
      </c>
      <c r="R3728" s="2">
        <v>3931.0</v>
      </c>
      <c r="S3728" s="5">
        <f t="shared" si="8"/>
        <v>1</v>
      </c>
    </row>
    <row r="3729">
      <c r="A3729" s="2" t="s">
        <v>3734</v>
      </c>
      <c r="B3729" s="2">
        <v>479.0</v>
      </c>
      <c r="C3729" s="2">
        <v>5544.0</v>
      </c>
      <c r="D3729" s="2">
        <v>1714.0</v>
      </c>
      <c r="E3729" s="3">
        <f t="shared" si="1"/>
        <v>0.3384007897</v>
      </c>
      <c r="F3729" s="2">
        <v>656.0</v>
      </c>
      <c r="G3729" s="3">
        <f t="shared" si="2"/>
        <v>0.1295162883</v>
      </c>
      <c r="H3729" s="2">
        <v>1098.0</v>
      </c>
      <c r="I3729" s="3">
        <f t="shared" si="3"/>
        <v>0.2167818361</v>
      </c>
      <c r="J3729" s="2">
        <v>928.0</v>
      </c>
      <c r="K3729" s="3">
        <f t="shared" si="4"/>
        <v>0.1832181639</v>
      </c>
      <c r="L3729" s="2">
        <v>668.0</v>
      </c>
      <c r="M3729" s="3">
        <f t="shared" si="5"/>
        <v>0.6083788707</v>
      </c>
      <c r="N3729" s="2">
        <v>6215000.0</v>
      </c>
      <c r="O3729" s="4">
        <f t="shared" si="6"/>
        <v>5660.291439</v>
      </c>
      <c r="P3729" s="2">
        <v>1.0</v>
      </c>
      <c r="Q3729" s="3">
        <f t="shared" si="7"/>
        <v>0.002087682672</v>
      </c>
      <c r="R3729" s="2">
        <v>119.0</v>
      </c>
      <c r="S3729" s="5">
        <f t="shared" si="8"/>
        <v>0.248434238</v>
      </c>
    </row>
    <row r="3730">
      <c r="A3730" s="2" t="s">
        <v>3735</v>
      </c>
      <c r="B3730" s="2">
        <v>1395.0</v>
      </c>
      <c r="C3730" s="2">
        <v>16135.0</v>
      </c>
      <c r="D3730" s="2">
        <v>4967.0</v>
      </c>
      <c r="E3730" s="3">
        <f t="shared" si="1"/>
        <v>0.3369742198</v>
      </c>
      <c r="F3730" s="2">
        <v>1909.0</v>
      </c>
      <c r="G3730" s="3">
        <f t="shared" si="2"/>
        <v>0.1295115332</v>
      </c>
      <c r="H3730" s="2">
        <v>3129.0</v>
      </c>
      <c r="I3730" s="3">
        <f t="shared" si="3"/>
        <v>0.2122795115</v>
      </c>
      <c r="J3730" s="2">
        <v>2502.0</v>
      </c>
      <c r="K3730" s="3">
        <f t="shared" si="4"/>
        <v>0.1697421981</v>
      </c>
      <c r="L3730" s="2">
        <v>1856.0</v>
      </c>
      <c r="M3730" s="3">
        <f t="shared" si="5"/>
        <v>0.5931607542</v>
      </c>
      <c r="N3730" s="2">
        <v>1.75611E7</v>
      </c>
      <c r="O3730" s="4">
        <f t="shared" si="6"/>
        <v>5612.368169</v>
      </c>
      <c r="P3730" s="2">
        <v>8.0</v>
      </c>
      <c r="Q3730" s="3">
        <f t="shared" si="7"/>
        <v>0.005734767025</v>
      </c>
      <c r="R3730" s="2">
        <v>1395.0</v>
      </c>
      <c r="S3730" s="5">
        <f t="shared" si="8"/>
        <v>1</v>
      </c>
    </row>
    <row r="3731">
      <c r="A3731" s="2" t="s">
        <v>3736</v>
      </c>
      <c r="B3731" s="2">
        <v>607.0</v>
      </c>
      <c r="C3731" s="2">
        <v>7093.0</v>
      </c>
      <c r="D3731" s="2">
        <v>2438.0</v>
      </c>
      <c r="E3731" s="3">
        <f t="shared" si="1"/>
        <v>0.3758865248</v>
      </c>
      <c r="F3731" s="2">
        <v>840.0</v>
      </c>
      <c r="G3731" s="3">
        <f t="shared" si="2"/>
        <v>0.1295097132</v>
      </c>
      <c r="H3731" s="2">
        <v>1350.0</v>
      </c>
      <c r="I3731" s="3">
        <f t="shared" si="3"/>
        <v>0.2081406105</v>
      </c>
      <c r="J3731" s="2">
        <v>1067.0</v>
      </c>
      <c r="K3731" s="3">
        <f t="shared" si="4"/>
        <v>0.1645081714</v>
      </c>
      <c r="L3731" s="2">
        <v>835.0</v>
      </c>
      <c r="M3731" s="3">
        <f t="shared" si="5"/>
        <v>0.6185185185</v>
      </c>
      <c r="N3731" s="2">
        <v>6931100.0</v>
      </c>
      <c r="O3731" s="4">
        <f t="shared" si="6"/>
        <v>5134.148148</v>
      </c>
      <c r="P3731" s="2">
        <v>0.0</v>
      </c>
      <c r="Q3731" s="3">
        <f t="shared" si="7"/>
        <v>0</v>
      </c>
      <c r="R3731" s="2">
        <v>607.0</v>
      </c>
      <c r="S3731" s="5">
        <f t="shared" si="8"/>
        <v>1</v>
      </c>
    </row>
    <row r="3732">
      <c r="A3732" s="2" t="s">
        <v>3737</v>
      </c>
      <c r="B3732" s="2">
        <v>637.0</v>
      </c>
      <c r="C3732" s="2">
        <v>7463.0</v>
      </c>
      <c r="D3732" s="2">
        <v>2838.0</v>
      </c>
      <c r="E3732" s="3">
        <f t="shared" si="1"/>
        <v>0.4157632581</v>
      </c>
      <c r="F3732" s="2">
        <v>884.0</v>
      </c>
      <c r="G3732" s="3">
        <f t="shared" si="2"/>
        <v>0.1295048345</v>
      </c>
      <c r="H3732" s="2">
        <v>1430.0</v>
      </c>
      <c r="I3732" s="3">
        <f t="shared" si="3"/>
        <v>0.2094931146</v>
      </c>
      <c r="J3732" s="2">
        <v>1093.0</v>
      </c>
      <c r="K3732" s="3">
        <f t="shared" si="4"/>
        <v>0.1601230589</v>
      </c>
      <c r="L3732" s="2">
        <v>838.0</v>
      </c>
      <c r="M3732" s="3">
        <f t="shared" si="5"/>
        <v>0.586013986</v>
      </c>
      <c r="N3732" s="2">
        <v>7893400.0</v>
      </c>
      <c r="O3732" s="4">
        <f t="shared" si="6"/>
        <v>5519.86014</v>
      </c>
      <c r="P3732" s="2">
        <v>1.0</v>
      </c>
      <c r="Q3732" s="3">
        <f t="shared" si="7"/>
        <v>0.001569858713</v>
      </c>
      <c r="R3732" s="2">
        <v>637.0</v>
      </c>
      <c r="S3732" s="5">
        <f t="shared" si="8"/>
        <v>1</v>
      </c>
    </row>
    <row r="3733">
      <c r="A3733" s="2" t="s">
        <v>3738</v>
      </c>
      <c r="B3733" s="2">
        <v>537.0</v>
      </c>
      <c r="C3733" s="2">
        <v>6282.0</v>
      </c>
      <c r="D3733" s="2">
        <v>2028.0</v>
      </c>
      <c r="E3733" s="3">
        <f t="shared" si="1"/>
        <v>0.353002611</v>
      </c>
      <c r="F3733" s="2">
        <v>744.0</v>
      </c>
      <c r="G3733" s="3">
        <f t="shared" si="2"/>
        <v>0.1295039164</v>
      </c>
      <c r="H3733" s="2">
        <v>1201.0</v>
      </c>
      <c r="I3733" s="3">
        <f t="shared" si="3"/>
        <v>0.209051349</v>
      </c>
      <c r="J3733" s="2">
        <v>1035.0</v>
      </c>
      <c r="K3733" s="3">
        <f t="shared" si="4"/>
        <v>0.180156658</v>
      </c>
      <c r="L3733" s="2">
        <v>749.0</v>
      </c>
      <c r="M3733" s="3">
        <f t="shared" si="5"/>
        <v>0.6236469609</v>
      </c>
      <c r="N3733" s="2">
        <v>6901800.0</v>
      </c>
      <c r="O3733" s="4">
        <f t="shared" si="6"/>
        <v>5746.711074</v>
      </c>
      <c r="P3733" s="2">
        <v>0.0</v>
      </c>
      <c r="Q3733" s="3">
        <f t="shared" si="7"/>
        <v>0</v>
      </c>
      <c r="R3733" s="2">
        <v>537.0</v>
      </c>
      <c r="S3733" s="5">
        <f t="shared" si="8"/>
        <v>1</v>
      </c>
    </row>
    <row r="3734">
      <c r="A3734" s="2" t="s">
        <v>3739</v>
      </c>
      <c r="B3734" s="2">
        <v>1480.0</v>
      </c>
      <c r="C3734" s="2">
        <v>17480.0</v>
      </c>
      <c r="D3734" s="2">
        <v>6243.0</v>
      </c>
      <c r="E3734" s="3">
        <f t="shared" si="1"/>
        <v>0.3901875</v>
      </c>
      <c r="F3734" s="2">
        <v>2072.0</v>
      </c>
      <c r="G3734" s="3">
        <f t="shared" si="2"/>
        <v>0.1295</v>
      </c>
      <c r="H3734" s="2">
        <v>3390.0</v>
      </c>
      <c r="I3734" s="3">
        <f t="shared" si="3"/>
        <v>0.211875</v>
      </c>
      <c r="J3734" s="2">
        <v>2711.0</v>
      </c>
      <c r="K3734" s="3">
        <f t="shared" si="4"/>
        <v>0.1694375</v>
      </c>
      <c r="L3734" s="2">
        <v>2007.0</v>
      </c>
      <c r="M3734" s="3">
        <f t="shared" si="5"/>
        <v>0.5920353982</v>
      </c>
      <c r="N3734" s="2">
        <v>1.87999E7</v>
      </c>
      <c r="O3734" s="4">
        <f t="shared" si="6"/>
        <v>5545.693215</v>
      </c>
      <c r="P3734" s="2">
        <v>4.0</v>
      </c>
      <c r="Q3734" s="3">
        <f t="shared" si="7"/>
        <v>0.002702702703</v>
      </c>
      <c r="R3734" s="2">
        <v>916.0</v>
      </c>
      <c r="S3734" s="5">
        <f t="shared" si="8"/>
        <v>0.6189189189</v>
      </c>
    </row>
    <row r="3735">
      <c r="A3735" s="2" t="s">
        <v>3740</v>
      </c>
      <c r="B3735" s="2">
        <v>2044.0</v>
      </c>
      <c r="C3735" s="2">
        <v>23798.0</v>
      </c>
      <c r="D3735" s="2">
        <v>7066.0</v>
      </c>
      <c r="E3735" s="3">
        <f t="shared" si="1"/>
        <v>0.3248138273</v>
      </c>
      <c r="F3735" s="2">
        <v>2817.0</v>
      </c>
      <c r="G3735" s="3">
        <f t="shared" si="2"/>
        <v>0.1294934265</v>
      </c>
      <c r="H3735" s="2">
        <v>4520.0</v>
      </c>
      <c r="I3735" s="3">
        <f t="shared" si="3"/>
        <v>0.2077778799</v>
      </c>
      <c r="J3735" s="2">
        <v>4035.0</v>
      </c>
      <c r="K3735" s="3">
        <f t="shared" si="4"/>
        <v>0.1854831295</v>
      </c>
      <c r="L3735" s="2">
        <v>2728.0</v>
      </c>
      <c r="M3735" s="3">
        <f t="shared" si="5"/>
        <v>0.603539823</v>
      </c>
      <c r="N3735" s="2">
        <v>2.65221E7</v>
      </c>
      <c r="O3735" s="4">
        <f t="shared" si="6"/>
        <v>5867.721239</v>
      </c>
      <c r="P3735" s="2">
        <v>3.0</v>
      </c>
      <c r="Q3735" s="3">
        <f t="shared" si="7"/>
        <v>0.001467710372</v>
      </c>
      <c r="R3735" s="2">
        <v>1758.0</v>
      </c>
      <c r="S3735" s="5">
        <f t="shared" si="8"/>
        <v>0.8600782779</v>
      </c>
    </row>
    <row r="3736">
      <c r="A3736" s="2" t="s">
        <v>3741</v>
      </c>
      <c r="B3736" s="2">
        <v>706.0</v>
      </c>
      <c r="C3736" s="2">
        <v>8174.0</v>
      </c>
      <c r="D3736" s="2">
        <v>2800.0</v>
      </c>
      <c r="E3736" s="3">
        <f t="shared" si="1"/>
        <v>0.3749330477</v>
      </c>
      <c r="F3736" s="2">
        <v>967.0</v>
      </c>
      <c r="G3736" s="3">
        <f t="shared" si="2"/>
        <v>0.1294858061</v>
      </c>
      <c r="H3736" s="2">
        <v>1672.0</v>
      </c>
      <c r="I3736" s="3">
        <f t="shared" si="3"/>
        <v>0.2238885913</v>
      </c>
      <c r="J3736" s="2">
        <v>1277.0</v>
      </c>
      <c r="K3736" s="3">
        <f t="shared" si="4"/>
        <v>0.1709962507</v>
      </c>
      <c r="L3736" s="2">
        <v>1012.0</v>
      </c>
      <c r="M3736" s="3">
        <f t="shared" si="5"/>
        <v>0.6052631579</v>
      </c>
      <c r="N3736" s="2">
        <v>9401100.0</v>
      </c>
      <c r="O3736" s="4">
        <f t="shared" si="6"/>
        <v>5622.667464</v>
      </c>
      <c r="P3736" s="2">
        <v>1.0</v>
      </c>
      <c r="Q3736" s="3">
        <f t="shared" si="7"/>
        <v>0.001416430595</v>
      </c>
      <c r="R3736" s="2">
        <v>0.0</v>
      </c>
      <c r="S3736" s="5">
        <f t="shared" si="8"/>
        <v>0</v>
      </c>
    </row>
    <row r="3737">
      <c r="A3737" s="2" t="s">
        <v>3742</v>
      </c>
      <c r="B3737" s="2">
        <v>3201.0</v>
      </c>
      <c r="C3737" s="2">
        <v>37360.0</v>
      </c>
      <c r="D3737" s="2">
        <v>11977.0</v>
      </c>
      <c r="E3737" s="3">
        <f t="shared" si="1"/>
        <v>0.3506250183</v>
      </c>
      <c r="F3737" s="2">
        <v>4423.0</v>
      </c>
      <c r="G3737" s="3">
        <f t="shared" si="2"/>
        <v>0.1294827132</v>
      </c>
      <c r="H3737" s="2">
        <v>7307.0</v>
      </c>
      <c r="I3737" s="3">
        <f t="shared" si="3"/>
        <v>0.2139114143</v>
      </c>
      <c r="J3737" s="2">
        <v>5425.0</v>
      </c>
      <c r="K3737" s="3">
        <f t="shared" si="4"/>
        <v>0.1588161246</v>
      </c>
      <c r="L3737" s="2">
        <v>4400.0</v>
      </c>
      <c r="M3737" s="3">
        <f t="shared" si="5"/>
        <v>0.6021623101</v>
      </c>
      <c r="N3737" s="2">
        <v>4.11575E7</v>
      </c>
      <c r="O3737" s="4">
        <f t="shared" si="6"/>
        <v>5632.612563</v>
      </c>
      <c r="P3737" s="2">
        <v>10.0</v>
      </c>
      <c r="Q3737" s="3">
        <f t="shared" si="7"/>
        <v>0.003124023743</v>
      </c>
      <c r="R3737" s="2">
        <v>13.0</v>
      </c>
      <c r="S3737" s="5">
        <f t="shared" si="8"/>
        <v>0.004061230865</v>
      </c>
    </row>
    <row r="3738">
      <c r="A3738" s="2" t="s">
        <v>3743</v>
      </c>
      <c r="B3738" s="2">
        <v>629.0</v>
      </c>
      <c r="C3738" s="2">
        <v>7449.0</v>
      </c>
      <c r="D3738" s="2">
        <v>2343.0</v>
      </c>
      <c r="E3738" s="3">
        <f t="shared" si="1"/>
        <v>0.3435483871</v>
      </c>
      <c r="F3738" s="2">
        <v>883.0</v>
      </c>
      <c r="G3738" s="3">
        <f t="shared" si="2"/>
        <v>0.1294721408</v>
      </c>
      <c r="H3738" s="2">
        <v>1380.0</v>
      </c>
      <c r="I3738" s="3">
        <f t="shared" si="3"/>
        <v>0.2023460411</v>
      </c>
      <c r="J3738" s="2">
        <v>1275.0</v>
      </c>
      <c r="K3738" s="3">
        <f t="shared" si="4"/>
        <v>0.1869501466</v>
      </c>
      <c r="L3738" s="2">
        <v>813.0</v>
      </c>
      <c r="M3738" s="3">
        <f t="shared" si="5"/>
        <v>0.5891304348</v>
      </c>
      <c r="N3738" s="2">
        <v>7937600.0</v>
      </c>
      <c r="O3738" s="4">
        <f t="shared" si="6"/>
        <v>5751.884058</v>
      </c>
      <c r="P3738" s="2">
        <v>0.0</v>
      </c>
      <c r="Q3738" s="3">
        <f t="shared" si="7"/>
        <v>0</v>
      </c>
      <c r="R3738" s="2">
        <v>629.0</v>
      </c>
      <c r="S3738" s="5">
        <f t="shared" si="8"/>
        <v>1</v>
      </c>
    </row>
    <row r="3739">
      <c r="A3739" s="2" t="s">
        <v>3744</v>
      </c>
      <c r="B3739" s="2">
        <v>2648.0</v>
      </c>
      <c r="C3739" s="2">
        <v>30917.0</v>
      </c>
      <c r="D3739" s="2">
        <v>9188.0</v>
      </c>
      <c r="E3739" s="3">
        <f t="shared" si="1"/>
        <v>0.3250203403</v>
      </c>
      <c r="F3739" s="2">
        <v>3660.0</v>
      </c>
      <c r="G3739" s="3">
        <f t="shared" si="2"/>
        <v>0.1294704447</v>
      </c>
      <c r="H3739" s="2">
        <v>6029.0</v>
      </c>
      <c r="I3739" s="3">
        <f t="shared" si="3"/>
        <v>0.2132724893</v>
      </c>
      <c r="J3739" s="2">
        <v>5148.0</v>
      </c>
      <c r="K3739" s="3">
        <f t="shared" si="4"/>
        <v>0.182107609</v>
      </c>
      <c r="L3739" s="2">
        <v>3571.0</v>
      </c>
      <c r="M3739" s="3">
        <f t="shared" si="5"/>
        <v>0.5923038647</v>
      </c>
      <c r="N3739" s="2">
        <v>3.45459E7</v>
      </c>
      <c r="O3739" s="4">
        <f t="shared" si="6"/>
        <v>5729.955216</v>
      </c>
      <c r="P3739" s="2">
        <v>6.0</v>
      </c>
      <c r="Q3739" s="3">
        <f t="shared" si="7"/>
        <v>0.002265861027</v>
      </c>
      <c r="R3739" s="2">
        <v>2610.0</v>
      </c>
      <c r="S3739" s="5">
        <f t="shared" si="8"/>
        <v>0.9856495468</v>
      </c>
    </row>
    <row r="3740">
      <c r="A3740" s="2" t="s">
        <v>3745</v>
      </c>
      <c r="B3740" s="2">
        <v>269.0</v>
      </c>
      <c r="C3740" s="2">
        <v>3235.0</v>
      </c>
      <c r="D3740" s="2">
        <v>1038.0</v>
      </c>
      <c r="E3740" s="3">
        <f t="shared" si="1"/>
        <v>0.3499662846</v>
      </c>
      <c r="F3740" s="2">
        <v>384.0</v>
      </c>
      <c r="G3740" s="3">
        <f t="shared" si="2"/>
        <v>0.129467296</v>
      </c>
      <c r="H3740" s="2">
        <v>605.0</v>
      </c>
      <c r="I3740" s="3">
        <f t="shared" si="3"/>
        <v>0.2039784221</v>
      </c>
      <c r="J3740" s="2">
        <v>444.0</v>
      </c>
      <c r="K3740" s="3">
        <f t="shared" si="4"/>
        <v>0.149696561</v>
      </c>
      <c r="L3740" s="2">
        <v>354.0</v>
      </c>
      <c r="M3740" s="3">
        <f t="shared" si="5"/>
        <v>0.5851239669</v>
      </c>
      <c r="N3740" s="2">
        <v>3221100.0</v>
      </c>
      <c r="O3740" s="4">
        <f t="shared" si="6"/>
        <v>5324.132231</v>
      </c>
      <c r="P3740" s="2">
        <v>1.0</v>
      </c>
      <c r="Q3740" s="3">
        <f t="shared" si="7"/>
        <v>0.003717472119</v>
      </c>
      <c r="R3740" s="2">
        <v>269.0</v>
      </c>
      <c r="S3740" s="5">
        <f t="shared" si="8"/>
        <v>1</v>
      </c>
    </row>
    <row r="3741">
      <c r="A3741" s="2" t="s">
        <v>3746</v>
      </c>
      <c r="B3741" s="2">
        <v>63.0</v>
      </c>
      <c r="C3741" s="2">
        <v>735.0</v>
      </c>
      <c r="D3741" s="2">
        <v>273.0</v>
      </c>
      <c r="E3741" s="3">
        <f t="shared" si="1"/>
        <v>0.40625</v>
      </c>
      <c r="F3741" s="2">
        <v>87.0</v>
      </c>
      <c r="G3741" s="3">
        <f t="shared" si="2"/>
        <v>0.1294642857</v>
      </c>
      <c r="H3741" s="2">
        <v>125.0</v>
      </c>
      <c r="I3741" s="3">
        <f t="shared" si="3"/>
        <v>0.1860119048</v>
      </c>
      <c r="J3741" s="2">
        <v>110.0</v>
      </c>
      <c r="K3741" s="3">
        <f t="shared" si="4"/>
        <v>0.1636904762</v>
      </c>
      <c r="L3741" s="2">
        <v>82.0</v>
      </c>
      <c r="M3741" s="3">
        <f t="shared" si="5"/>
        <v>0.656</v>
      </c>
      <c r="N3741" s="2">
        <v>657200.0</v>
      </c>
      <c r="O3741" s="4">
        <f t="shared" si="6"/>
        <v>5257.6</v>
      </c>
      <c r="P3741" s="2">
        <v>0.0</v>
      </c>
      <c r="Q3741" s="3">
        <f t="shared" si="7"/>
        <v>0</v>
      </c>
      <c r="R3741" s="2">
        <v>63.0</v>
      </c>
      <c r="S3741" s="5">
        <f t="shared" si="8"/>
        <v>1</v>
      </c>
    </row>
    <row r="3742">
      <c r="A3742" s="2" t="s">
        <v>3747</v>
      </c>
      <c r="B3742" s="2">
        <v>381.0</v>
      </c>
      <c r="C3742" s="2">
        <v>4475.0</v>
      </c>
      <c r="D3742" s="2">
        <v>1531.0</v>
      </c>
      <c r="E3742" s="3">
        <f t="shared" si="1"/>
        <v>0.3739618955</v>
      </c>
      <c r="F3742" s="2">
        <v>530.0</v>
      </c>
      <c r="G3742" s="3">
        <f t="shared" si="2"/>
        <v>0.129457743</v>
      </c>
      <c r="H3742" s="2">
        <v>897.0</v>
      </c>
      <c r="I3742" s="3">
        <f t="shared" si="3"/>
        <v>0.2191011236</v>
      </c>
      <c r="J3742" s="2">
        <v>767.0</v>
      </c>
      <c r="K3742" s="3">
        <f t="shared" si="4"/>
        <v>0.1873473376</v>
      </c>
      <c r="L3742" s="2">
        <v>496.0</v>
      </c>
      <c r="M3742" s="3">
        <f t="shared" si="5"/>
        <v>0.5529542921</v>
      </c>
      <c r="N3742" s="2">
        <v>4975600.0</v>
      </c>
      <c r="O3742" s="4">
        <f t="shared" si="6"/>
        <v>5546.934225</v>
      </c>
      <c r="P3742" s="2">
        <v>0.0</v>
      </c>
      <c r="Q3742" s="3">
        <f t="shared" si="7"/>
        <v>0</v>
      </c>
      <c r="R3742" s="2">
        <v>381.0</v>
      </c>
      <c r="S3742" s="5">
        <f t="shared" si="8"/>
        <v>1</v>
      </c>
    </row>
    <row r="3743">
      <c r="A3743" s="2" t="s">
        <v>3748</v>
      </c>
      <c r="B3743" s="2">
        <v>169.0</v>
      </c>
      <c r="C3743" s="2">
        <v>2023.0</v>
      </c>
      <c r="D3743" s="2">
        <v>831.0</v>
      </c>
      <c r="E3743" s="3">
        <f t="shared" si="1"/>
        <v>0.4482200647</v>
      </c>
      <c r="F3743" s="2">
        <v>240.0</v>
      </c>
      <c r="G3743" s="3">
        <f t="shared" si="2"/>
        <v>0.1294498382</v>
      </c>
      <c r="H3743" s="2">
        <v>408.0</v>
      </c>
      <c r="I3743" s="3">
        <f t="shared" si="3"/>
        <v>0.2200647249</v>
      </c>
      <c r="J3743" s="2">
        <v>312.0</v>
      </c>
      <c r="K3743" s="3">
        <f t="shared" si="4"/>
        <v>0.1682847896</v>
      </c>
      <c r="L3743" s="2">
        <v>243.0</v>
      </c>
      <c r="M3743" s="3">
        <f t="shared" si="5"/>
        <v>0.5955882353</v>
      </c>
      <c r="N3743" s="2">
        <v>2255800.0</v>
      </c>
      <c r="O3743" s="4">
        <f t="shared" si="6"/>
        <v>5528.921569</v>
      </c>
      <c r="P3743" s="2">
        <v>1.0</v>
      </c>
      <c r="Q3743" s="3">
        <f t="shared" si="7"/>
        <v>0.005917159763</v>
      </c>
      <c r="R3743" s="2">
        <v>141.0</v>
      </c>
      <c r="S3743" s="5">
        <f t="shared" si="8"/>
        <v>0.8343195266</v>
      </c>
    </row>
    <row r="3744">
      <c r="A3744" s="2" t="s">
        <v>3749</v>
      </c>
      <c r="B3744" s="2">
        <v>160.0</v>
      </c>
      <c r="C3744" s="2">
        <v>1906.0</v>
      </c>
      <c r="D3744" s="2">
        <v>506.0</v>
      </c>
      <c r="E3744" s="3">
        <f t="shared" si="1"/>
        <v>0.2898052692</v>
      </c>
      <c r="F3744" s="2">
        <v>226.0</v>
      </c>
      <c r="G3744" s="3">
        <f t="shared" si="2"/>
        <v>0.1294387171</v>
      </c>
      <c r="H3744" s="2">
        <v>328.0</v>
      </c>
      <c r="I3744" s="3">
        <f t="shared" si="3"/>
        <v>0.1878579611</v>
      </c>
      <c r="J3744" s="2">
        <v>304.0</v>
      </c>
      <c r="K3744" s="3">
        <f t="shared" si="4"/>
        <v>0.1741122566</v>
      </c>
      <c r="L3744" s="2">
        <v>188.0</v>
      </c>
      <c r="M3744" s="3">
        <f t="shared" si="5"/>
        <v>0.5731707317</v>
      </c>
      <c r="N3744" s="2">
        <v>1963900.0</v>
      </c>
      <c r="O3744" s="4">
        <f t="shared" si="6"/>
        <v>5987.5</v>
      </c>
      <c r="P3744" s="2">
        <v>0.0</v>
      </c>
      <c r="Q3744" s="3">
        <f t="shared" si="7"/>
        <v>0</v>
      </c>
      <c r="R3744" s="2">
        <v>160.0</v>
      </c>
      <c r="S3744" s="5">
        <f t="shared" si="8"/>
        <v>1</v>
      </c>
    </row>
    <row r="3745">
      <c r="A3745" s="2" t="s">
        <v>3750</v>
      </c>
      <c r="B3745" s="2">
        <v>2178.0</v>
      </c>
      <c r="C3745" s="2">
        <v>25595.0</v>
      </c>
      <c r="D3745" s="2">
        <v>8138.0</v>
      </c>
      <c r="E3745" s="3">
        <f t="shared" si="1"/>
        <v>0.3475253021</v>
      </c>
      <c r="F3745" s="2">
        <v>3031.0</v>
      </c>
      <c r="G3745" s="3">
        <f t="shared" si="2"/>
        <v>0.1294358799</v>
      </c>
      <c r="H3745" s="2">
        <v>4895.0</v>
      </c>
      <c r="I3745" s="3">
        <f t="shared" si="3"/>
        <v>0.2090361703</v>
      </c>
      <c r="J3745" s="2">
        <v>3745.0</v>
      </c>
      <c r="K3745" s="3">
        <f t="shared" si="4"/>
        <v>0.1599265491</v>
      </c>
      <c r="L3745" s="2">
        <v>2886.0</v>
      </c>
      <c r="M3745" s="3">
        <f t="shared" si="5"/>
        <v>0.5895812053</v>
      </c>
      <c r="N3745" s="2">
        <v>2.7353E7</v>
      </c>
      <c r="O3745" s="4">
        <f t="shared" si="6"/>
        <v>5587.946885</v>
      </c>
      <c r="P3745" s="2">
        <v>5.0</v>
      </c>
      <c r="Q3745" s="3">
        <f t="shared" si="7"/>
        <v>0.002295684114</v>
      </c>
      <c r="R3745" s="2">
        <v>2178.0</v>
      </c>
      <c r="S3745" s="5">
        <f t="shared" si="8"/>
        <v>1</v>
      </c>
    </row>
    <row r="3746">
      <c r="A3746" s="2" t="s">
        <v>3751</v>
      </c>
      <c r="B3746" s="2">
        <v>172.0</v>
      </c>
      <c r="C3746" s="2">
        <v>2011.0</v>
      </c>
      <c r="D3746" s="2">
        <v>486.0</v>
      </c>
      <c r="E3746" s="3">
        <f t="shared" si="1"/>
        <v>0.264274062</v>
      </c>
      <c r="F3746" s="2">
        <v>238.0</v>
      </c>
      <c r="G3746" s="3">
        <f t="shared" si="2"/>
        <v>0.129418162</v>
      </c>
      <c r="H3746" s="2">
        <v>370.0</v>
      </c>
      <c r="I3746" s="3">
        <f t="shared" si="3"/>
        <v>0.2011963023</v>
      </c>
      <c r="J3746" s="2">
        <v>329.0</v>
      </c>
      <c r="K3746" s="3">
        <f t="shared" si="4"/>
        <v>0.1789015769</v>
      </c>
      <c r="L3746" s="2">
        <v>218.0</v>
      </c>
      <c r="M3746" s="3">
        <f t="shared" si="5"/>
        <v>0.5891891892</v>
      </c>
      <c r="N3746" s="2">
        <v>2119100.0</v>
      </c>
      <c r="O3746" s="4">
        <f t="shared" si="6"/>
        <v>5727.297297</v>
      </c>
      <c r="P3746" s="2">
        <v>0.0</v>
      </c>
      <c r="Q3746" s="3">
        <f t="shared" si="7"/>
        <v>0</v>
      </c>
      <c r="R3746" s="2">
        <v>172.0</v>
      </c>
      <c r="S3746" s="5">
        <f t="shared" si="8"/>
        <v>1</v>
      </c>
    </row>
    <row r="3747">
      <c r="A3747" s="2" t="s">
        <v>3752</v>
      </c>
      <c r="B3747" s="2">
        <v>8.0</v>
      </c>
      <c r="C3747" s="2">
        <v>93.0</v>
      </c>
      <c r="D3747" s="2">
        <v>33.0</v>
      </c>
      <c r="E3747" s="3">
        <f t="shared" si="1"/>
        <v>0.3882352941</v>
      </c>
      <c r="F3747" s="2">
        <v>11.0</v>
      </c>
      <c r="G3747" s="3">
        <f t="shared" si="2"/>
        <v>0.1294117647</v>
      </c>
      <c r="H3747" s="2">
        <v>21.0</v>
      </c>
      <c r="I3747" s="3">
        <f t="shared" si="3"/>
        <v>0.2470588235</v>
      </c>
      <c r="J3747" s="2">
        <v>22.0</v>
      </c>
      <c r="K3747" s="3">
        <f t="shared" si="4"/>
        <v>0.2588235294</v>
      </c>
      <c r="L3747" s="2">
        <v>16.0</v>
      </c>
      <c r="M3747" s="3">
        <f t="shared" si="5"/>
        <v>0.7619047619</v>
      </c>
      <c r="N3747" s="2">
        <v>128000.0</v>
      </c>
      <c r="O3747" s="4">
        <f t="shared" si="6"/>
        <v>6095.238095</v>
      </c>
      <c r="P3747" s="2">
        <v>0.0</v>
      </c>
      <c r="Q3747" s="3">
        <f t="shared" si="7"/>
        <v>0</v>
      </c>
      <c r="R3747" s="2">
        <v>0.0</v>
      </c>
      <c r="S3747" s="5">
        <f t="shared" si="8"/>
        <v>0</v>
      </c>
    </row>
    <row r="3748">
      <c r="A3748" s="2" t="s">
        <v>3753</v>
      </c>
      <c r="B3748" s="2">
        <v>2994.0</v>
      </c>
      <c r="C3748" s="2">
        <v>35039.0</v>
      </c>
      <c r="D3748" s="2">
        <v>9964.0</v>
      </c>
      <c r="E3748" s="3">
        <f t="shared" si="1"/>
        <v>0.3109377438</v>
      </c>
      <c r="F3748" s="2">
        <v>4147.0</v>
      </c>
      <c r="G3748" s="3">
        <f t="shared" si="2"/>
        <v>0.1294117647</v>
      </c>
      <c r="H3748" s="2">
        <v>6516.0</v>
      </c>
      <c r="I3748" s="3">
        <f t="shared" si="3"/>
        <v>0.2033390545</v>
      </c>
      <c r="J3748" s="2">
        <v>6120.0</v>
      </c>
      <c r="K3748" s="3">
        <f t="shared" si="4"/>
        <v>0.1909814324</v>
      </c>
      <c r="L3748" s="2">
        <v>3819.0</v>
      </c>
      <c r="M3748" s="3">
        <f t="shared" si="5"/>
        <v>0.5860957643</v>
      </c>
      <c r="N3748" s="2">
        <v>3.87307E7</v>
      </c>
      <c r="O3748" s="4">
        <f t="shared" si="6"/>
        <v>5943.937999</v>
      </c>
      <c r="P3748" s="2">
        <v>8.0</v>
      </c>
      <c r="Q3748" s="3">
        <f t="shared" si="7"/>
        <v>0.002672010688</v>
      </c>
      <c r="R3748" s="2">
        <v>2958.0</v>
      </c>
      <c r="S3748" s="5">
        <f t="shared" si="8"/>
        <v>0.9879759519</v>
      </c>
    </row>
    <row r="3749">
      <c r="A3749" s="2" t="s">
        <v>3754</v>
      </c>
      <c r="B3749" s="2">
        <v>841.0</v>
      </c>
      <c r="C3749" s="2">
        <v>9944.0</v>
      </c>
      <c r="D3749" s="2">
        <v>3428.0</v>
      </c>
      <c r="E3749" s="3">
        <f t="shared" si="1"/>
        <v>0.3765791497</v>
      </c>
      <c r="F3749" s="2">
        <v>1178.0</v>
      </c>
      <c r="G3749" s="3">
        <f t="shared" si="2"/>
        <v>0.1294078875</v>
      </c>
      <c r="H3749" s="2">
        <v>1967.0</v>
      </c>
      <c r="I3749" s="3">
        <f t="shared" si="3"/>
        <v>0.2160826101</v>
      </c>
      <c r="J3749" s="2">
        <v>1600.0</v>
      </c>
      <c r="K3749" s="3">
        <f t="shared" si="4"/>
        <v>0.1757662309</v>
      </c>
      <c r="L3749" s="2">
        <v>1202.0</v>
      </c>
      <c r="M3749" s="3">
        <f t="shared" si="5"/>
        <v>0.6110828673</v>
      </c>
      <c r="N3749" s="2">
        <v>1.04072E7</v>
      </c>
      <c r="O3749" s="4">
        <f t="shared" si="6"/>
        <v>5290.899847</v>
      </c>
      <c r="P3749" s="2">
        <v>0.0</v>
      </c>
      <c r="Q3749" s="3">
        <f t="shared" si="7"/>
        <v>0</v>
      </c>
      <c r="R3749" s="2">
        <v>841.0</v>
      </c>
      <c r="S3749" s="5">
        <f t="shared" si="8"/>
        <v>1</v>
      </c>
    </row>
    <row r="3750">
      <c r="A3750" s="2" t="s">
        <v>3755</v>
      </c>
      <c r="B3750" s="2">
        <v>606.0</v>
      </c>
      <c r="C3750" s="2">
        <v>7059.0</v>
      </c>
      <c r="D3750" s="2">
        <v>1368.0</v>
      </c>
      <c r="E3750" s="3">
        <f t="shared" si="1"/>
        <v>0.2119944212</v>
      </c>
      <c r="F3750" s="2">
        <v>835.0</v>
      </c>
      <c r="G3750" s="3">
        <f t="shared" si="2"/>
        <v>0.1293971796</v>
      </c>
      <c r="H3750" s="2">
        <v>1120.0</v>
      </c>
      <c r="I3750" s="3">
        <f t="shared" si="3"/>
        <v>0.173562684</v>
      </c>
      <c r="J3750" s="2">
        <v>1114.0</v>
      </c>
      <c r="K3750" s="3">
        <f t="shared" si="4"/>
        <v>0.1726328839</v>
      </c>
      <c r="L3750" s="2">
        <v>652.0</v>
      </c>
      <c r="M3750" s="3">
        <f t="shared" si="5"/>
        <v>0.5821428571</v>
      </c>
      <c r="N3750" s="2">
        <v>7736500.0</v>
      </c>
      <c r="O3750" s="4">
        <f t="shared" si="6"/>
        <v>6907.589286</v>
      </c>
      <c r="P3750" s="2">
        <v>1.0</v>
      </c>
      <c r="Q3750" s="3">
        <f t="shared" si="7"/>
        <v>0.001650165017</v>
      </c>
      <c r="R3750" s="2">
        <v>0.0</v>
      </c>
      <c r="S3750" s="5">
        <f t="shared" si="8"/>
        <v>0</v>
      </c>
    </row>
    <row r="3751">
      <c r="A3751" s="2" t="s">
        <v>3756</v>
      </c>
      <c r="B3751" s="2">
        <v>347.0</v>
      </c>
      <c r="C3751" s="2">
        <v>4065.0</v>
      </c>
      <c r="D3751" s="2">
        <v>1352.0</v>
      </c>
      <c r="E3751" s="3">
        <f t="shared" si="1"/>
        <v>0.3636363636</v>
      </c>
      <c r="F3751" s="2">
        <v>481.0</v>
      </c>
      <c r="G3751" s="3">
        <f t="shared" si="2"/>
        <v>0.1293706294</v>
      </c>
      <c r="H3751" s="2">
        <v>825.0</v>
      </c>
      <c r="I3751" s="3">
        <f t="shared" si="3"/>
        <v>0.2218934911</v>
      </c>
      <c r="J3751" s="2">
        <v>735.0</v>
      </c>
      <c r="K3751" s="3">
        <f t="shared" si="4"/>
        <v>0.1976869285</v>
      </c>
      <c r="L3751" s="2">
        <v>505.0</v>
      </c>
      <c r="M3751" s="3">
        <f t="shared" si="5"/>
        <v>0.6121212121</v>
      </c>
      <c r="N3751" s="2">
        <v>4678800.0</v>
      </c>
      <c r="O3751" s="4">
        <f t="shared" si="6"/>
        <v>5671.272727</v>
      </c>
      <c r="P3751" s="2">
        <v>0.0</v>
      </c>
      <c r="Q3751" s="3">
        <f t="shared" si="7"/>
        <v>0</v>
      </c>
      <c r="R3751" s="2">
        <v>347.0</v>
      </c>
      <c r="S3751" s="5">
        <f t="shared" si="8"/>
        <v>1</v>
      </c>
    </row>
    <row r="3752">
      <c r="A3752" s="2" t="s">
        <v>3757</v>
      </c>
      <c r="B3752" s="2">
        <v>6678.0</v>
      </c>
      <c r="C3752" s="2">
        <v>79021.0</v>
      </c>
      <c r="D3752" s="2">
        <v>22293.0</v>
      </c>
      <c r="E3752" s="3">
        <f t="shared" si="1"/>
        <v>0.3081569744</v>
      </c>
      <c r="F3752" s="2">
        <v>9359.0</v>
      </c>
      <c r="G3752" s="3">
        <f t="shared" si="2"/>
        <v>0.1293698077</v>
      </c>
      <c r="H3752" s="2">
        <v>14954.0</v>
      </c>
      <c r="I3752" s="3">
        <f t="shared" si="3"/>
        <v>0.2067097024</v>
      </c>
      <c r="J3752" s="2">
        <v>11011.0</v>
      </c>
      <c r="K3752" s="3">
        <f t="shared" si="4"/>
        <v>0.1522054656</v>
      </c>
      <c r="L3752" s="2">
        <v>9008.0</v>
      </c>
      <c r="M3752" s="3">
        <f t="shared" si="5"/>
        <v>0.6023806339</v>
      </c>
      <c r="N3752" s="2">
        <v>8.68482E7</v>
      </c>
      <c r="O3752" s="4">
        <f t="shared" si="6"/>
        <v>5807.69025</v>
      </c>
      <c r="P3752" s="2">
        <v>18.0</v>
      </c>
      <c r="Q3752" s="3">
        <f t="shared" si="7"/>
        <v>0.00269541779</v>
      </c>
      <c r="R3752" s="2">
        <v>6678.0</v>
      </c>
      <c r="S3752" s="5">
        <f t="shared" si="8"/>
        <v>1</v>
      </c>
    </row>
    <row r="3753">
      <c r="A3753" s="2" t="s">
        <v>3758</v>
      </c>
      <c r="B3753" s="2">
        <v>210.0</v>
      </c>
      <c r="C3753" s="2">
        <v>2444.0</v>
      </c>
      <c r="D3753" s="2">
        <v>666.0</v>
      </c>
      <c r="E3753" s="3">
        <f t="shared" si="1"/>
        <v>0.2981199642</v>
      </c>
      <c r="F3753" s="2">
        <v>289.0</v>
      </c>
      <c r="G3753" s="3">
        <f t="shared" si="2"/>
        <v>0.1293643688</v>
      </c>
      <c r="H3753" s="2">
        <v>433.0</v>
      </c>
      <c r="I3753" s="3">
        <f t="shared" si="3"/>
        <v>0.1938227395</v>
      </c>
      <c r="J3753" s="2">
        <v>413.0</v>
      </c>
      <c r="K3753" s="3">
        <f t="shared" si="4"/>
        <v>0.184870188</v>
      </c>
      <c r="L3753" s="2">
        <v>252.0</v>
      </c>
      <c r="M3753" s="3">
        <f t="shared" si="5"/>
        <v>0.5819861432</v>
      </c>
      <c r="N3753" s="2">
        <v>2706700.0</v>
      </c>
      <c r="O3753" s="4">
        <f t="shared" si="6"/>
        <v>6251.039261</v>
      </c>
      <c r="P3753" s="2">
        <v>0.0</v>
      </c>
      <c r="Q3753" s="3">
        <f t="shared" si="7"/>
        <v>0</v>
      </c>
      <c r="R3753" s="2">
        <v>210.0</v>
      </c>
      <c r="S3753" s="5">
        <f t="shared" si="8"/>
        <v>1</v>
      </c>
    </row>
    <row r="3754">
      <c r="A3754" s="2" t="s">
        <v>3759</v>
      </c>
      <c r="B3754" s="2">
        <v>61.0</v>
      </c>
      <c r="C3754" s="2">
        <v>749.0</v>
      </c>
      <c r="D3754" s="2">
        <v>221.0</v>
      </c>
      <c r="E3754" s="3">
        <f t="shared" si="1"/>
        <v>0.3212209302</v>
      </c>
      <c r="F3754" s="2">
        <v>89.0</v>
      </c>
      <c r="G3754" s="3">
        <f t="shared" si="2"/>
        <v>0.1293604651</v>
      </c>
      <c r="H3754" s="2">
        <v>145.0</v>
      </c>
      <c r="I3754" s="3">
        <f t="shared" si="3"/>
        <v>0.210755814</v>
      </c>
      <c r="J3754" s="2">
        <v>124.0</v>
      </c>
      <c r="K3754" s="3">
        <f t="shared" si="4"/>
        <v>0.1802325581</v>
      </c>
      <c r="L3754" s="2">
        <v>85.0</v>
      </c>
      <c r="M3754" s="3">
        <f t="shared" si="5"/>
        <v>0.5862068966</v>
      </c>
      <c r="N3754" s="2">
        <v>823200.0</v>
      </c>
      <c r="O3754" s="4">
        <f t="shared" si="6"/>
        <v>5677.241379</v>
      </c>
      <c r="P3754" s="2">
        <v>0.0</v>
      </c>
      <c r="Q3754" s="3">
        <f t="shared" si="7"/>
        <v>0</v>
      </c>
      <c r="R3754" s="2">
        <v>61.0</v>
      </c>
      <c r="S3754" s="5">
        <f t="shared" si="8"/>
        <v>1</v>
      </c>
    </row>
    <row r="3755">
      <c r="A3755" s="2" t="s">
        <v>3760</v>
      </c>
      <c r="B3755" s="2">
        <v>36.0</v>
      </c>
      <c r="C3755" s="2">
        <v>438.0</v>
      </c>
      <c r="D3755" s="2">
        <v>111.0</v>
      </c>
      <c r="E3755" s="3">
        <f t="shared" si="1"/>
        <v>0.276119403</v>
      </c>
      <c r="F3755" s="2">
        <v>52.0</v>
      </c>
      <c r="G3755" s="3">
        <f t="shared" si="2"/>
        <v>0.1293532338</v>
      </c>
      <c r="H3755" s="2">
        <v>71.0</v>
      </c>
      <c r="I3755" s="3">
        <f t="shared" si="3"/>
        <v>0.1766169154</v>
      </c>
      <c r="J3755" s="2">
        <v>69.0</v>
      </c>
      <c r="K3755" s="3">
        <f t="shared" si="4"/>
        <v>0.171641791</v>
      </c>
      <c r="L3755" s="2">
        <v>47.0</v>
      </c>
      <c r="M3755" s="3">
        <f t="shared" si="5"/>
        <v>0.661971831</v>
      </c>
      <c r="N3755" s="2">
        <v>406500.0</v>
      </c>
      <c r="O3755" s="4">
        <f t="shared" si="6"/>
        <v>5725.352113</v>
      </c>
      <c r="P3755" s="2">
        <v>0.0</v>
      </c>
      <c r="Q3755" s="3">
        <f t="shared" si="7"/>
        <v>0</v>
      </c>
      <c r="R3755" s="2">
        <v>36.0</v>
      </c>
      <c r="S3755" s="5">
        <f t="shared" si="8"/>
        <v>1</v>
      </c>
    </row>
    <row r="3756">
      <c r="A3756" s="2" t="s">
        <v>3761</v>
      </c>
      <c r="B3756" s="2">
        <v>18.0</v>
      </c>
      <c r="C3756" s="2">
        <v>219.0</v>
      </c>
      <c r="D3756" s="2">
        <v>99.0</v>
      </c>
      <c r="E3756" s="3">
        <f t="shared" si="1"/>
        <v>0.4925373134</v>
      </c>
      <c r="F3756" s="2">
        <v>26.0</v>
      </c>
      <c r="G3756" s="3">
        <f t="shared" si="2"/>
        <v>0.1293532338</v>
      </c>
      <c r="H3756" s="2">
        <v>46.0</v>
      </c>
      <c r="I3756" s="3">
        <f t="shared" si="3"/>
        <v>0.2288557214</v>
      </c>
      <c r="J3756" s="2">
        <v>20.0</v>
      </c>
      <c r="K3756" s="3">
        <f t="shared" si="4"/>
        <v>0.09950248756</v>
      </c>
      <c r="L3756" s="2">
        <v>29.0</v>
      </c>
      <c r="M3756" s="3">
        <f t="shared" si="5"/>
        <v>0.6304347826</v>
      </c>
      <c r="N3756" s="2">
        <v>245500.0</v>
      </c>
      <c r="O3756" s="4">
        <f t="shared" si="6"/>
        <v>5336.956522</v>
      </c>
      <c r="P3756" s="2">
        <v>0.0</v>
      </c>
      <c r="Q3756" s="3">
        <f t="shared" si="7"/>
        <v>0</v>
      </c>
      <c r="R3756" s="2">
        <v>18.0</v>
      </c>
      <c r="S3756" s="5">
        <f t="shared" si="8"/>
        <v>1</v>
      </c>
    </row>
    <row r="3757">
      <c r="A3757" s="2" t="s">
        <v>3762</v>
      </c>
      <c r="B3757" s="2">
        <v>2226.0</v>
      </c>
      <c r="C3757" s="2">
        <v>26176.0</v>
      </c>
      <c r="D3757" s="2">
        <v>5364.0</v>
      </c>
      <c r="E3757" s="3">
        <f t="shared" si="1"/>
        <v>0.2239665971</v>
      </c>
      <c r="F3757" s="2">
        <v>3098.0</v>
      </c>
      <c r="G3757" s="3">
        <f t="shared" si="2"/>
        <v>0.1293528184</v>
      </c>
      <c r="H3757" s="2">
        <v>4949.0</v>
      </c>
      <c r="I3757" s="3">
        <f t="shared" si="3"/>
        <v>0.2066388309</v>
      </c>
      <c r="J3757" s="2">
        <v>4184.0</v>
      </c>
      <c r="K3757" s="3">
        <f t="shared" si="4"/>
        <v>0.174697286</v>
      </c>
      <c r="L3757" s="2">
        <v>2951.0</v>
      </c>
      <c r="M3757" s="3">
        <f t="shared" si="5"/>
        <v>0.5962820772</v>
      </c>
      <c r="N3757" s="2">
        <v>2.97142E7</v>
      </c>
      <c r="O3757" s="4">
        <f t="shared" si="6"/>
        <v>6004.081633</v>
      </c>
      <c r="P3757" s="2">
        <v>2.0</v>
      </c>
      <c r="Q3757" s="3">
        <f t="shared" si="7"/>
        <v>0.0008984725966</v>
      </c>
      <c r="R3757" s="2">
        <v>2226.0</v>
      </c>
      <c r="S3757" s="5">
        <f t="shared" si="8"/>
        <v>1</v>
      </c>
    </row>
    <row r="3758">
      <c r="A3758" s="2" t="s">
        <v>3763</v>
      </c>
      <c r="B3758" s="2">
        <v>876.0</v>
      </c>
      <c r="C3758" s="2">
        <v>10238.0</v>
      </c>
      <c r="D3758" s="2">
        <v>3342.0</v>
      </c>
      <c r="E3758" s="3">
        <f t="shared" si="1"/>
        <v>0.3569750053</v>
      </c>
      <c r="F3758" s="2">
        <v>1211.0</v>
      </c>
      <c r="G3758" s="3">
        <f t="shared" si="2"/>
        <v>0.1293527024</v>
      </c>
      <c r="H3758" s="2">
        <v>2050.0</v>
      </c>
      <c r="I3758" s="3">
        <f t="shared" si="3"/>
        <v>0.2189703055</v>
      </c>
      <c r="J3758" s="2">
        <v>1846.0</v>
      </c>
      <c r="K3758" s="3">
        <f t="shared" si="4"/>
        <v>0.1971800897</v>
      </c>
      <c r="L3758" s="2">
        <v>1223.0</v>
      </c>
      <c r="M3758" s="3">
        <f t="shared" si="5"/>
        <v>0.5965853659</v>
      </c>
      <c r="N3758" s="2">
        <v>1.15505E7</v>
      </c>
      <c r="O3758" s="4">
        <f t="shared" si="6"/>
        <v>5634.390244</v>
      </c>
      <c r="P3758" s="2">
        <v>0.0</v>
      </c>
      <c r="Q3758" s="3">
        <f t="shared" si="7"/>
        <v>0</v>
      </c>
      <c r="R3758" s="2">
        <v>876.0</v>
      </c>
      <c r="S3758" s="5">
        <f t="shared" si="8"/>
        <v>1</v>
      </c>
    </row>
    <row r="3759">
      <c r="A3759" s="2" t="s">
        <v>3764</v>
      </c>
      <c r="B3759" s="2">
        <v>47.0</v>
      </c>
      <c r="C3759" s="2">
        <v>565.0</v>
      </c>
      <c r="D3759" s="2">
        <v>192.0</v>
      </c>
      <c r="E3759" s="3">
        <f t="shared" si="1"/>
        <v>0.3706563707</v>
      </c>
      <c r="F3759" s="2">
        <v>67.0</v>
      </c>
      <c r="G3759" s="3">
        <f t="shared" si="2"/>
        <v>0.1293436293</v>
      </c>
      <c r="H3759" s="2">
        <v>112.0</v>
      </c>
      <c r="I3759" s="3">
        <f t="shared" si="3"/>
        <v>0.2162162162</v>
      </c>
      <c r="J3759" s="2">
        <v>67.0</v>
      </c>
      <c r="K3759" s="3">
        <f t="shared" si="4"/>
        <v>0.1293436293</v>
      </c>
      <c r="L3759" s="2">
        <v>74.0</v>
      </c>
      <c r="M3759" s="3">
        <f t="shared" si="5"/>
        <v>0.6607142857</v>
      </c>
      <c r="N3759" s="2">
        <v>607700.0</v>
      </c>
      <c r="O3759" s="4">
        <f t="shared" si="6"/>
        <v>5425.892857</v>
      </c>
      <c r="P3759" s="2">
        <v>0.0</v>
      </c>
      <c r="Q3759" s="3">
        <f t="shared" si="7"/>
        <v>0</v>
      </c>
      <c r="R3759" s="2">
        <v>0.0</v>
      </c>
      <c r="S3759" s="5">
        <f t="shared" si="8"/>
        <v>0</v>
      </c>
    </row>
    <row r="3760">
      <c r="A3760" s="2" t="s">
        <v>3765</v>
      </c>
      <c r="B3760" s="2">
        <v>631.0</v>
      </c>
      <c r="C3760" s="2">
        <v>7412.0</v>
      </c>
      <c r="D3760" s="2">
        <v>1832.0</v>
      </c>
      <c r="E3760" s="3">
        <f t="shared" si="1"/>
        <v>0.2701666421</v>
      </c>
      <c r="F3760" s="2">
        <v>877.0</v>
      </c>
      <c r="G3760" s="3">
        <f t="shared" si="2"/>
        <v>0.1293319569</v>
      </c>
      <c r="H3760" s="2">
        <v>1402.0</v>
      </c>
      <c r="I3760" s="3">
        <f t="shared" si="3"/>
        <v>0.2067541661</v>
      </c>
      <c r="J3760" s="2">
        <v>1290.0</v>
      </c>
      <c r="K3760" s="3">
        <f t="shared" si="4"/>
        <v>0.1902374281</v>
      </c>
      <c r="L3760" s="2">
        <v>842.0</v>
      </c>
      <c r="M3760" s="3">
        <f t="shared" si="5"/>
        <v>0.6005706134</v>
      </c>
      <c r="N3760" s="2">
        <v>8283200.0</v>
      </c>
      <c r="O3760" s="4">
        <f t="shared" si="6"/>
        <v>5908.131241</v>
      </c>
      <c r="P3760" s="2">
        <v>4.0</v>
      </c>
      <c r="Q3760" s="3">
        <f t="shared" si="7"/>
        <v>0.006339144216</v>
      </c>
      <c r="R3760" s="2">
        <v>631.0</v>
      </c>
      <c r="S3760" s="5">
        <f t="shared" si="8"/>
        <v>1</v>
      </c>
    </row>
    <row r="3761">
      <c r="A3761" s="2" t="s">
        <v>3766</v>
      </c>
      <c r="B3761" s="2">
        <v>528.0</v>
      </c>
      <c r="C3761" s="2">
        <v>6242.0</v>
      </c>
      <c r="D3761" s="2">
        <v>2026.0</v>
      </c>
      <c r="E3761" s="3">
        <f t="shared" si="1"/>
        <v>0.3545677284</v>
      </c>
      <c r="F3761" s="2">
        <v>739.0</v>
      </c>
      <c r="G3761" s="3">
        <f t="shared" si="2"/>
        <v>0.1293314666</v>
      </c>
      <c r="H3761" s="2">
        <v>1231.0</v>
      </c>
      <c r="I3761" s="3">
        <f t="shared" si="3"/>
        <v>0.2154357718</v>
      </c>
      <c r="J3761" s="2">
        <v>888.0</v>
      </c>
      <c r="K3761" s="3">
        <f t="shared" si="4"/>
        <v>0.1554077704</v>
      </c>
      <c r="L3761" s="2">
        <v>745.0</v>
      </c>
      <c r="M3761" s="3">
        <f t="shared" si="5"/>
        <v>0.6051990252</v>
      </c>
      <c r="N3761" s="2">
        <v>6886400.0</v>
      </c>
      <c r="O3761" s="4">
        <f t="shared" si="6"/>
        <v>5594.151097</v>
      </c>
      <c r="P3761" s="2">
        <v>3.0</v>
      </c>
      <c r="Q3761" s="3">
        <f t="shared" si="7"/>
        <v>0.005681818182</v>
      </c>
      <c r="R3761" s="2">
        <v>373.0</v>
      </c>
      <c r="S3761" s="5">
        <f t="shared" si="8"/>
        <v>0.7064393939</v>
      </c>
    </row>
    <row r="3762">
      <c r="A3762" s="2" t="s">
        <v>3767</v>
      </c>
      <c r="B3762" s="2">
        <v>419.0</v>
      </c>
      <c r="C3762" s="2">
        <v>4950.0</v>
      </c>
      <c r="D3762" s="2">
        <v>1687.0</v>
      </c>
      <c r="E3762" s="3">
        <f t="shared" si="1"/>
        <v>0.3723239903</v>
      </c>
      <c r="F3762" s="2">
        <v>586.0</v>
      </c>
      <c r="G3762" s="3">
        <f t="shared" si="2"/>
        <v>0.1293312734</v>
      </c>
      <c r="H3762" s="2">
        <v>935.0</v>
      </c>
      <c r="I3762" s="3">
        <f t="shared" si="3"/>
        <v>0.2063562128</v>
      </c>
      <c r="J3762" s="2">
        <v>700.0</v>
      </c>
      <c r="K3762" s="3">
        <f t="shared" si="4"/>
        <v>0.1544912823</v>
      </c>
      <c r="L3762" s="2">
        <v>562.0</v>
      </c>
      <c r="M3762" s="3">
        <f t="shared" si="5"/>
        <v>0.6010695187</v>
      </c>
      <c r="N3762" s="2">
        <v>4864300.0</v>
      </c>
      <c r="O3762" s="4">
        <f t="shared" si="6"/>
        <v>5202.459893</v>
      </c>
      <c r="P3762" s="2">
        <v>0.0</v>
      </c>
      <c r="Q3762" s="3">
        <f t="shared" si="7"/>
        <v>0</v>
      </c>
      <c r="R3762" s="2">
        <v>419.0</v>
      </c>
      <c r="S3762" s="5">
        <f t="shared" si="8"/>
        <v>1</v>
      </c>
    </row>
    <row r="3763">
      <c r="A3763" s="2" t="s">
        <v>3768</v>
      </c>
      <c r="B3763" s="2">
        <v>454.0</v>
      </c>
      <c r="C3763" s="2">
        <v>5217.0</v>
      </c>
      <c r="D3763" s="2">
        <v>1462.0</v>
      </c>
      <c r="E3763" s="3">
        <f t="shared" si="1"/>
        <v>0.3069494016</v>
      </c>
      <c r="F3763" s="2">
        <v>616.0</v>
      </c>
      <c r="G3763" s="3">
        <f t="shared" si="2"/>
        <v>0.129330254</v>
      </c>
      <c r="H3763" s="2">
        <v>1017.0</v>
      </c>
      <c r="I3763" s="3">
        <f t="shared" si="3"/>
        <v>0.2135208902</v>
      </c>
      <c r="J3763" s="2">
        <v>771.0</v>
      </c>
      <c r="K3763" s="3">
        <f t="shared" si="4"/>
        <v>0.1618727693</v>
      </c>
      <c r="L3763" s="2">
        <v>604.0</v>
      </c>
      <c r="M3763" s="3">
        <f t="shared" si="5"/>
        <v>0.5939036382</v>
      </c>
      <c r="N3763" s="2">
        <v>5788900.0</v>
      </c>
      <c r="O3763" s="4">
        <f t="shared" si="6"/>
        <v>5692.133727</v>
      </c>
      <c r="P3763" s="2">
        <v>2.0</v>
      </c>
      <c r="Q3763" s="3">
        <f t="shared" si="7"/>
        <v>0.004405286344</v>
      </c>
      <c r="R3763" s="2">
        <v>0.0</v>
      </c>
      <c r="S3763" s="5">
        <f t="shared" si="8"/>
        <v>0</v>
      </c>
    </row>
    <row r="3764">
      <c r="A3764" s="2" t="s">
        <v>3769</v>
      </c>
      <c r="B3764" s="2">
        <v>1345.0</v>
      </c>
      <c r="C3764" s="2">
        <v>15743.0</v>
      </c>
      <c r="D3764" s="2">
        <v>5281.0</v>
      </c>
      <c r="E3764" s="3">
        <f t="shared" si="1"/>
        <v>0.3667870538</v>
      </c>
      <c r="F3764" s="2">
        <v>1862.0</v>
      </c>
      <c r="G3764" s="3">
        <f t="shared" si="2"/>
        <v>0.1293235172</v>
      </c>
      <c r="H3764" s="2">
        <v>2881.0</v>
      </c>
      <c r="I3764" s="3">
        <f t="shared" si="3"/>
        <v>0.2000972357</v>
      </c>
      <c r="J3764" s="2">
        <v>2642.0</v>
      </c>
      <c r="K3764" s="3">
        <f t="shared" si="4"/>
        <v>0.183497708</v>
      </c>
      <c r="L3764" s="2">
        <v>1702.0</v>
      </c>
      <c r="M3764" s="3">
        <f t="shared" si="5"/>
        <v>0.5907670948</v>
      </c>
      <c r="N3764" s="2">
        <v>1.73455E7</v>
      </c>
      <c r="O3764" s="4">
        <f t="shared" si="6"/>
        <v>6020.652551</v>
      </c>
      <c r="P3764" s="2">
        <v>4.0</v>
      </c>
      <c r="Q3764" s="3">
        <f t="shared" si="7"/>
        <v>0.002973977695</v>
      </c>
      <c r="R3764" s="2">
        <v>1345.0</v>
      </c>
      <c r="S3764" s="5">
        <f t="shared" si="8"/>
        <v>1</v>
      </c>
    </row>
    <row r="3765">
      <c r="A3765" s="2" t="s">
        <v>3770</v>
      </c>
      <c r="B3765" s="2">
        <v>1237.0</v>
      </c>
      <c r="C3765" s="2">
        <v>14352.0</v>
      </c>
      <c r="D3765" s="2">
        <v>5041.0</v>
      </c>
      <c r="E3765" s="3">
        <f t="shared" si="1"/>
        <v>0.3843690431</v>
      </c>
      <c r="F3765" s="2">
        <v>1696.0</v>
      </c>
      <c r="G3765" s="3">
        <f t="shared" si="2"/>
        <v>0.1293175753</v>
      </c>
      <c r="H3765" s="2">
        <v>2940.0</v>
      </c>
      <c r="I3765" s="3">
        <f t="shared" si="3"/>
        <v>0.2241707968</v>
      </c>
      <c r="J3765" s="2">
        <v>2090.0</v>
      </c>
      <c r="K3765" s="3">
        <f t="shared" si="4"/>
        <v>0.159359512</v>
      </c>
      <c r="L3765" s="2">
        <v>1737.0</v>
      </c>
      <c r="M3765" s="3">
        <f t="shared" si="5"/>
        <v>0.5908163265</v>
      </c>
      <c r="N3765" s="2">
        <v>1.64146E7</v>
      </c>
      <c r="O3765" s="4">
        <f t="shared" si="6"/>
        <v>5583.197279</v>
      </c>
      <c r="P3765" s="2">
        <v>4.0</v>
      </c>
      <c r="Q3765" s="3">
        <f t="shared" si="7"/>
        <v>0.003233629749</v>
      </c>
      <c r="R3765" s="2">
        <v>207.0</v>
      </c>
      <c r="S3765" s="5">
        <f t="shared" si="8"/>
        <v>0.1673403395</v>
      </c>
    </row>
    <row r="3766">
      <c r="A3766" s="2" t="s">
        <v>3771</v>
      </c>
      <c r="B3766" s="2">
        <v>202.0</v>
      </c>
      <c r="C3766" s="2">
        <v>2375.0</v>
      </c>
      <c r="D3766" s="2">
        <v>661.0</v>
      </c>
      <c r="E3766" s="3">
        <f t="shared" si="1"/>
        <v>0.3041877589</v>
      </c>
      <c r="F3766" s="2">
        <v>281.0</v>
      </c>
      <c r="G3766" s="3">
        <f t="shared" si="2"/>
        <v>0.129314312</v>
      </c>
      <c r="H3766" s="2">
        <v>446.0</v>
      </c>
      <c r="I3766" s="3">
        <f t="shared" si="3"/>
        <v>0.2052462034</v>
      </c>
      <c r="J3766" s="2">
        <v>388.0</v>
      </c>
      <c r="K3766" s="3">
        <f t="shared" si="4"/>
        <v>0.1785549931</v>
      </c>
      <c r="L3766" s="2">
        <v>272.0</v>
      </c>
      <c r="M3766" s="3">
        <f t="shared" si="5"/>
        <v>0.6098654709</v>
      </c>
      <c r="N3766" s="2">
        <v>2413100.0</v>
      </c>
      <c r="O3766" s="4">
        <f t="shared" si="6"/>
        <v>5410.538117</v>
      </c>
      <c r="P3766" s="2">
        <v>0.0</v>
      </c>
      <c r="Q3766" s="3">
        <f t="shared" si="7"/>
        <v>0</v>
      </c>
      <c r="R3766" s="2">
        <v>202.0</v>
      </c>
      <c r="S3766" s="5">
        <f t="shared" si="8"/>
        <v>1</v>
      </c>
    </row>
    <row r="3767">
      <c r="A3767" s="2" t="s">
        <v>3772</v>
      </c>
      <c r="B3767" s="2">
        <v>10.0</v>
      </c>
      <c r="C3767" s="2">
        <v>126.0</v>
      </c>
      <c r="D3767" s="2">
        <v>37.0</v>
      </c>
      <c r="E3767" s="3">
        <f t="shared" si="1"/>
        <v>0.3189655172</v>
      </c>
      <c r="F3767" s="2">
        <v>15.0</v>
      </c>
      <c r="G3767" s="3">
        <f t="shared" si="2"/>
        <v>0.1293103448</v>
      </c>
      <c r="H3767" s="2">
        <v>17.0</v>
      </c>
      <c r="I3767" s="3">
        <f t="shared" si="3"/>
        <v>0.1465517241</v>
      </c>
      <c r="J3767" s="2">
        <v>21.0</v>
      </c>
      <c r="K3767" s="3">
        <f t="shared" si="4"/>
        <v>0.1810344828</v>
      </c>
      <c r="L3767" s="2">
        <v>10.0</v>
      </c>
      <c r="M3767" s="3">
        <f t="shared" si="5"/>
        <v>0.5882352941</v>
      </c>
      <c r="N3767" s="2">
        <v>103600.0</v>
      </c>
      <c r="O3767" s="4">
        <f t="shared" si="6"/>
        <v>6094.117647</v>
      </c>
      <c r="P3767" s="2">
        <v>0.0</v>
      </c>
      <c r="Q3767" s="3">
        <f t="shared" si="7"/>
        <v>0</v>
      </c>
      <c r="R3767" s="2">
        <v>0.0</v>
      </c>
      <c r="S3767" s="5">
        <f t="shared" si="8"/>
        <v>0</v>
      </c>
    </row>
    <row r="3768">
      <c r="A3768" s="2" t="s">
        <v>3773</v>
      </c>
      <c r="B3768" s="2">
        <v>63.0</v>
      </c>
      <c r="C3768" s="2">
        <v>759.0</v>
      </c>
      <c r="D3768" s="2">
        <v>254.0</v>
      </c>
      <c r="E3768" s="3">
        <f t="shared" si="1"/>
        <v>0.3649425287</v>
      </c>
      <c r="F3768" s="2">
        <v>90.0</v>
      </c>
      <c r="G3768" s="3">
        <f t="shared" si="2"/>
        <v>0.1293103448</v>
      </c>
      <c r="H3768" s="2">
        <v>127.0</v>
      </c>
      <c r="I3768" s="3">
        <f t="shared" si="3"/>
        <v>0.1824712644</v>
      </c>
      <c r="J3768" s="2">
        <v>105.0</v>
      </c>
      <c r="K3768" s="3">
        <f t="shared" si="4"/>
        <v>0.150862069</v>
      </c>
      <c r="L3768" s="2">
        <v>70.0</v>
      </c>
      <c r="M3768" s="3">
        <f t="shared" si="5"/>
        <v>0.5511811024</v>
      </c>
      <c r="N3768" s="2">
        <v>756700.0</v>
      </c>
      <c r="O3768" s="4">
        <f t="shared" si="6"/>
        <v>5958.267717</v>
      </c>
      <c r="P3768" s="2">
        <v>0.0</v>
      </c>
      <c r="Q3768" s="3">
        <f t="shared" si="7"/>
        <v>0</v>
      </c>
      <c r="R3768" s="2">
        <v>39.0</v>
      </c>
      <c r="S3768" s="5">
        <f t="shared" si="8"/>
        <v>0.619047619</v>
      </c>
    </row>
    <row r="3769">
      <c r="A3769" s="2" t="s">
        <v>3774</v>
      </c>
      <c r="B3769" s="2">
        <v>44.0</v>
      </c>
      <c r="C3769" s="2">
        <v>539.0</v>
      </c>
      <c r="D3769" s="2">
        <v>198.0</v>
      </c>
      <c r="E3769" s="3">
        <f t="shared" si="1"/>
        <v>0.4</v>
      </c>
      <c r="F3769" s="2">
        <v>64.0</v>
      </c>
      <c r="G3769" s="3">
        <f t="shared" si="2"/>
        <v>0.1292929293</v>
      </c>
      <c r="H3769" s="2">
        <v>113.0</v>
      </c>
      <c r="I3769" s="3">
        <f t="shared" si="3"/>
        <v>0.2282828283</v>
      </c>
      <c r="J3769" s="2">
        <v>73.0</v>
      </c>
      <c r="K3769" s="3">
        <f t="shared" si="4"/>
        <v>0.1474747475</v>
      </c>
      <c r="L3769" s="2">
        <v>65.0</v>
      </c>
      <c r="M3769" s="3">
        <f t="shared" si="5"/>
        <v>0.5752212389</v>
      </c>
      <c r="N3769" s="2">
        <v>604800.0</v>
      </c>
      <c r="O3769" s="4">
        <f t="shared" si="6"/>
        <v>5352.212389</v>
      </c>
      <c r="P3769" s="2">
        <v>0.0</v>
      </c>
      <c r="Q3769" s="3">
        <f t="shared" si="7"/>
        <v>0</v>
      </c>
      <c r="R3769" s="2">
        <v>44.0</v>
      </c>
      <c r="S3769" s="5">
        <f t="shared" si="8"/>
        <v>1</v>
      </c>
    </row>
    <row r="3770">
      <c r="A3770" s="2" t="s">
        <v>3775</v>
      </c>
      <c r="B3770" s="2">
        <v>1653.0</v>
      </c>
      <c r="C3770" s="2">
        <v>19234.0</v>
      </c>
      <c r="D3770" s="2">
        <v>6646.0</v>
      </c>
      <c r="E3770" s="3">
        <f t="shared" si="1"/>
        <v>0.378021728</v>
      </c>
      <c r="F3770" s="2">
        <v>2273.0</v>
      </c>
      <c r="G3770" s="3">
        <f t="shared" si="2"/>
        <v>0.1292872988</v>
      </c>
      <c r="H3770" s="2">
        <v>3772.0</v>
      </c>
      <c r="I3770" s="3">
        <f t="shared" si="3"/>
        <v>0.2145497981</v>
      </c>
      <c r="J3770" s="2">
        <v>3190.0</v>
      </c>
      <c r="K3770" s="3">
        <f t="shared" si="4"/>
        <v>0.1814458791</v>
      </c>
      <c r="L3770" s="2">
        <v>2258.0</v>
      </c>
      <c r="M3770" s="3">
        <f t="shared" si="5"/>
        <v>0.598621421</v>
      </c>
      <c r="N3770" s="2">
        <v>2.16864E7</v>
      </c>
      <c r="O3770" s="4">
        <f t="shared" si="6"/>
        <v>5749.31071</v>
      </c>
      <c r="P3770" s="2">
        <v>5.0</v>
      </c>
      <c r="Q3770" s="3">
        <f t="shared" si="7"/>
        <v>0.003024803388</v>
      </c>
      <c r="R3770" s="2">
        <v>1653.0</v>
      </c>
      <c r="S3770" s="5">
        <f t="shared" si="8"/>
        <v>1</v>
      </c>
    </row>
    <row r="3771">
      <c r="A3771" s="2" t="s">
        <v>3776</v>
      </c>
      <c r="B3771" s="2">
        <v>581.0</v>
      </c>
      <c r="C3771" s="2">
        <v>6970.0</v>
      </c>
      <c r="D3771" s="2">
        <v>2560.0</v>
      </c>
      <c r="E3771" s="3">
        <f t="shared" si="1"/>
        <v>0.4006886837</v>
      </c>
      <c r="F3771" s="2">
        <v>826.0</v>
      </c>
      <c r="G3771" s="3">
        <f t="shared" si="2"/>
        <v>0.1292847081</v>
      </c>
      <c r="H3771" s="2">
        <v>1346.0</v>
      </c>
      <c r="I3771" s="3">
        <f t="shared" si="3"/>
        <v>0.210674597</v>
      </c>
      <c r="J3771" s="2">
        <v>835.0</v>
      </c>
      <c r="K3771" s="3">
        <f t="shared" si="4"/>
        <v>0.1306933792</v>
      </c>
      <c r="L3771" s="2">
        <v>844.0</v>
      </c>
      <c r="M3771" s="3">
        <f t="shared" si="5"/>
        <v>0.6270430906</v>
      </c>
      <c r="N3771" s="2">
        <v>7205000.0</v>
      </c>
      <c r="O3771" s="4">
        <f t="shared" si="6"/>
        <v>5352.897474</v>
      </c>
      <c r="P3771" s="2">
        <v>1.0</v>
      </c>
      <c r="Q3771" s="3">
        <f t="shared" si="7"/>
        <v>0.001721170396</v>
      </c>
      <c r="R3771" s="2">
        <v>581.0</v>
      </c>
      <c r="S3771" s="5">
        <f t="shared" si="8"/>
        <v>1</v>
      </c>
    </row>
    <row r="3772">
      <c r="A3772" s="2" t="s">
        <v>3777</v>
      </c>
      <c r="B3772" s="2">
        <v>84.0</v>
      </c>
      <c r="C3772" s="2">
        <v>989.0</v>
      </c>
      <c r="D3772" s="2">
        <v>388.0</v>
      </c>
      <c r="E3772" s="3">
        <f t="shared" si="1"/>
        <v>0.4287292818</v>
      </c>
      <c r="F3772" s="2">
        <v>117.0</v>
      </c>
      <c r="G3772" s="3">
        <f t="shared" si="2"/>
        <v>0.129281768</v>
      </c>
      <c r="H3772" s="2">
        <v>192.0</v>
      </c>
      <c r="I3772" s="3">
        <f t="shared" si="3"/>
        <v>0.2121546961</v>
      </c>
      <c r="J3772" s="2">
        <v>126.0</v>
      </c>
      <c r="K3772" s="3">
        <f t="shared" si="4"/>
        <v>0.1392265193</v>
      </c>
      <c r="L3772" s="2">
        <v>139.0</v>
      </c>
      <c r="M3772" s="3">
        <f t="shared" si="5"/>
        <v>0.7239583333</v>
      </c>
      <c r="N3772" s="2">
        <v>920400.0</v>
      </c>
      <c r="O3772" s="4">
        <f t="shared" si="6"/>
        <v>4793.75</v>
      </c>
      <c r="P3772" s="2">
        <v>0.0</v>
      </c>
      <c r="Q3772" s="3">
        <f t="shared" si="7"/>
        <v>0</v>
      </c>
      <c r="R3772" s="2">
        <v>84.0</v>
      </c>
      <c r="S3772" s="5">
        <f t="shared" si="8"/>
        <v>1</v>
      </c>
    </row>
    <row r="3773">
      <c r="A3773" s="2" t="s">
        <v>3778</v>
      </c>
      <c r="B3773" s="2">
        <v>392.0</v>
      </c>
      <c r="C3773" s="2">
        <v>4562.0</v>
      </c>
      <c r="D3773" s="2">
        <v>1565.0</v>
      </c>
      <c r="E3773" s="3">
        <f t="shared" si="1"/>
        <v>0.3752997602</v>
      </c>
      <c r="F3773" s="2">
        <v>539.0</v>
      </c>
      <c r="G3773" s="3">
        <f t="shared" si="2"/>
        <v>0.1292565947</v>
      </c>
      <c r="H3773" s="2">
        <v>894.0</v>
      </c>
      <c r="I3773" s="3">
        <f t="shared" si="3"/>
        <v>0.2143884892</v>
      </c>
      <c r="J3773" s="2">
        <v>748.0</v>
      </c>
      <c r="K3773" s="3">
        <f t="shared" si="4"/>
        <v>0.1793764988</v>
      </c>
      <c r="L3773" s="2">
        <v>539.0</v>
      </c>
      <c r="M3773" s="3">
        <f t="shared" si="5"/>
        <v>0.6029082774</v>
      </c>
      <c r="N3773" s="2">
        <v>4926800.0</v>
      </c>
      <c r="O3773" s="4">
        <f t="shared" si="6"/>
        <v>5510.961969</v>
      </c>
      <c r="P3773" s="2">
        <v>2.0</v>
      </c>
      <c r="Q3773" s="3">
        <f t="shared" si="7"/>
        <v>0.005102040816</v>
      </c>
      <c r="R3773" s="2">
        <v>214.0</v>
      </c>
      <c r="S3773" s="5">
        <f t="shared" si="8"/>
        <v>0.5459183673</v>
      </c>
    </row>
    <row r="3774">
      <c r="A3774" s="2" t="s">
        <v>3779</v>
      </c>
      <c r="B3774" s="2">
        <v>353.0</v>
      </c>
      <c r="C3774" s="2">
        <v>4113.0</v>
      </c>
      <c r="D3774" s="2">
        <v>1238.0</v>
      </c>
      <c r="E3774" s="3">
        <f t="shared" si="1"/>
        <v>0.3292553191</v>
      </c>
      <c r="F3774" s="2">
        <v>486.0</v>
      </c>
      <c r="G3774" s="3">
        <f t="shared" si="2"/>
        <v>0.1292553191</v>
      </c>
      <c r="H3774" s="2">
        <v>813.0</v>
      </c>
      <c r="I3774" s="3">
        <f t="shared" si="3"/>
        <v>0.2162234043</v>
      </c>
      <c r="J3774" s="2">
        <v>651.0</v>
      </c>
      <c r="K3774" s="3">
        <f t="shared" si="4"/>
        <v>0.1731382979</v>
      </c>
      <c r="L3774" s="2">
        <v>502.0</v>
      </c>
      <c r="M3774" s="3">
        <f t="shared" si="5"/>
        <v>0.6174661747</v>
      </c>
      <c r="N3774" s="2">
        <v>4836400.0</v>
      </c>
      <c r="O3774" s="4">
        <f t="shared" si="6"/>
        <v>5948.831488</v>
      </c>
      <c r="P3774" s="2">
        <v>3.0</v>
      </c>
      <c r="Q3774" s="3">
        <f t="shared" si="7"/>
        <v>0.008498583569</v>
      </c>
      <c r="R3774" s="2">
        <v>353.0</v>
      </c>
      <c r="S3774" s="5">
        <f t="shared" si="8"/>
        <v>1</v>
      </c>
    </row>
    <row r="3775">
      <c r="A3775" s="2" t="s">
        <v>3780</v>
      </c>
      <c r="B3775" s="2">
        <v>2642.0</v>
      </c>
      <c r="C3775" s="2">
        <v>30750.0</v>
      </c>
      <c r="D3775" s="2">
        <v>9917.0</v>
      </c>
      <c r="E3775" s="3">
        <f t="shared" si="1"/>
        <v>0.3528177031</v>
      </c>
      <c r="F3775" s="2">
        <v>3633.0</v>
      </c>
      <c r="G3775" s="3">
        <f t="shared" si="2"/>
        <v>0.1292514587</v>
      </c>
      <c r="H3775" s="2">
        <v>6363.0</v>
      </c>
      <c r="I3775" s="3">
        <f t="shared" si="3"/>
        <v>0.2263768322</v>
      </c>
      <c r="J3775" s="2">
        <v>4467.0</v>
      </c>
      <c r="K3775" s="3">
        <f t="shared" si="4"/>
        <v>0.1589227266</v>
      </c>
      <c r="L3775" s="2">
        <v>3839.0</v>
      </c>
      <c r="M3775" s="3">
        <f t="shared" si="5"/>
        <v>0.6033317617</v>
      </c>
      <c r="N3775" s="2">
        <v>3.43112E7</v>
      </c>
      <c r="O3775" s="4">
        <f t="shared" si="6"/>
        <v>5392.29923</v>
      </c>
      <c r="P3775" s="2">
        <v>3.0</v>
      </c>
      <c r="Q3775" s="3">
        <f t="shared" si="7"/>
        <v>0.001135503407</v>
      </c>
      <c r="R3775" s="2">
        <v>2642.0</v>
      </c>
      <c r="S3775" s="5">
        <f t="shared" si="8"/>
        <v>1</v>
      </c>
    </row>
    <row r="3776">
      <c r="A3776" s="2" t="s">
        <v>3781</v>
      </c>
      <c r="B3776" s="2">
        <v>446.0</v>
      </c>
      <c r="C3776" s="2">
        <v>5274.0</v>
      </c>
      <c r="D3776" s="2">
        <v>1687.0</v>
      </c>
      <c r="E3776" s="3">
        <f t="shared" si="1"/>
        <v>0.3494200497</v>
      </c>
      <c r="F3776" s="2">
        <v>624.0</v>
      </c>
      <c r="G3776" s="3">
        <f t="shared" si="2"/>
        <v>0.1292460646</v>
      </c>
      <c r="H3776" s="2">
        <v>917.0</v>
      </c>
      <c r="I3776" s="3">
        <f t="shared" si="3"/>
        <v>0.18993372</v>
      </c>
      <c r="J3776" s="2">
        <v>779.0</v>
      </c>
      <c r="K3776" s="3">
        <f t="shared" si="4"/>
        <v>0.1613504557</v>
      </c>
      <c r="L3776" s="2">
        <v>573.0</v>
      </c>
      <c r="M3776" s="3">
        <f t="shared" si="5"/>
        <v>0.6248636859</v>
      </c>
      <c r="N3776" s="2">
        <v>5408900.0</v>
      </c>
      <c r="O3776" s="4">
        <f t="shared" si="6"/>
        <v>5898.473282</v>
      </c>
      <c r="P3776" s="2">
        <v>2.0</v>
      </c>
      <c r="Q3776" s="3">
        <f t="shared" si="7"/>
        <v>0.004484304933</v>
      </c>
      <c r="R3776" s="2">
        <v>446.0</v>
      </c>
      <c r="S3776" s="5">
        <f t="shared" si="8"/>
        <v>1</v>
      </c>
    </row>
    <row r="3777">
      <c r="A3777" s="2" t="s">
        <v>3782</v>
      </c>
      <c r="B3777" s="2">
        <v>1274.0</v>
      </c>
      <c r="C3777" s="2">
        <v>14753.0</v>
      </c>
      <c r="D3777" s="2">
        <v>5296.0</v>
      </c>
      <c r="E3777" s="3">
        <f t="shared" si="1"/>
        <v>0.3929074857</v>
      </c>
      <c r="F3777" s="2">
        <v>1742.0</v>
      </c>
      <c r="G3777" s="3">
        <f t="shared" si="2"/>
        <v>0.129238074</v>
      </c>
      <c r="H3777" s="2">
        <v>2926.0</v>
      </c>
      <c r="I3777" s="3">
        <f t="shared" si="3"/>
        <v>0.2170784183</v>
      </c>
      <c r="J3777" s="2">
        <v>2244.0</v>
      </c>
      <c r="K3777" s="3">
        <f t="shared" si="4"/>
        <v>0.166481193</v>
      </c>
      <c r="L3777" s="2">
        <v>1769.0</v>
      </c>
      <c r="M3777" s="3">
        <f t="shared" si="5"/>
        <v>0.6045796309</v>
      </c>
      <c r="N3777" s="2">
        <v>1.67215E7</v>
      </c>
      <c r="O3777" s="4">
        <f t="shared" si="6"/>
        <v>5714.79836</v>
      </c>
      <c r="P3777" s="2">
        <v>2.0</v>
      </c>
      <c r="Q3777" s="3">
        <f t="shared" si="7"/>
        <v>0.001569858713</v>
      </c>
      <c r="R3777" s="2">
        <v>1274.0</v>
      </c>
      <c r="S3777" s="5">
        <f t="shared" si="8"/>
        <v>1</v>
      </c>
    </row>
    <row r="3778">
      <c r="A3778" s="2" t="s">
        <v>3783</v>
      </c>
      <c r="B3778" s="2">
        <v>44.0</v>
      </c>
      <c r="C3778" s="2">
        <v>516.0</v>
      </c>
      <c r="D3778" s="2">
        <v>186.0</v>
      </c>
      <c r="E3778" s="3">
        <f t="shared" si="1"/>
        <v>0.3940677966</v>
      </c>
      <c r="F3778" s="2">
        <v>61.0</v>
      </c>
      <c r="G3778" s="3">
        <f t="shared" si="2"/>
        <v>0.1292372881</v>
      </c>
      <c r="H3778" s="2">
        <v>82.0</v>
      </c>
      <c r="I3778" s="3">
        <f t="shared" si="3"/>
        <v>0.1737288136</v>
      </c>
      <c r="J3778" s="2">
        <v>67.0</v>
      </c>
      <c r="K3778" s="3">
        <f t="shared" si="4"/>
        <v>0.1419491525</v>
      </c>
      <c r="L3778" s="2">
        <v>45.0</v>
      </c>
      <c r="M3778" s="3">
        <f t="shared" si="5"/>
        <v>0.5487804878</v>
      </c>
      <c r="N3778" s="2">
        <v>487400.0</v>
      </c>
      <c r="O3778" s="4">
        <f t="shared" si="6"/>
        <v>5943.902439</v>
      </c>
      <c r="P3778" s="2">
        <v>0.0</v>
      </c>
      <c r="Q3778" s="3">
        <f t="shared" si="7"/>
        <v>0</v>
      </c>
      <c r="R3778" s="2">
        <v>44.0</v>
      </c>
      <c r="S3778" s="5">
        <f t="shared" si="8"/>
        <v>1</v>
      </c>
    </row>
    <row r="3779">
      <c r="A3779" s="2" t="s">
        <v>3784</v>
      </c>
      <c r="B3779" s="2">
        <v>117.0</v>
      </c>
      <c r="C3779" s="2">
        <v>1386.0</v>
      </c>
      <c r="D3779" s="2">
        <v>488.0</v>
      </c>
      <c r="E3779" s="3">
        <f t="shared" si="1"/>
        <v>0.3845547675</v>
      </c>
      <c r="F3779" s="2">
        <v>164.0</v>
      </c>
      <c r="G3779" s="3">
        <f t="shared" si="2"/>
        <v>0.1292356186</v>
      </c>
      <c r="H3779" s="2">
        <v>275.0</v>
      </c>
      <c r="I3779" s="3">
        <f t="shared" si="3"/>
        <v>0.2167060678</v>
      </c>
      <c r="J3779" s="2">
        <v>181.0</v>
      </c>
      <c r="K3779" s="3">
        <f t="shared" si="4"/>
        <v>0.1426319937</v>
      </c>
      <c r="L3779" s="2">
        <v>166.0</v>
      </c>
      <c r="M3779" s="3">
        <f t="shared" si="5"/>
        <v>0.6036363636</v>
      </c>
      <c r="N3779" s="2">
        <v>1546600.0</v>
      </c>
      <c r="O3779" s="4">
        <f t="shared" si="6"/>
        <v>5624</v>
      </c>
      <c r="P3779" s="2">
        <v>0.0</v>
      </c>
      <c r="Q3779" s="3">
        <f t="shared" si="7"/>
        <v>0</v>
      </c>
      <c r="R3779" s="2">
        <v>117.0</v>
      </c>
      <c r="S3779" s="5">
        <f t="shared" si="8"/>
        <v>1</v>
      </c>
    </row>
    <row r="3780">
      <c r="A3780" s="2" t="s">
        <v>3785</v>
      </c>
      <c r="B3780" s="2">
        <v>224.0</v>
      </c>
      <c r="C3780" s="2">
        <v>2615.0</v>
      </c>
      <c r="D3780" s="2">
        <v>949.0</v>
      </c>
      <c r="E3780" s="3">
        <f t="shared" si="1"/>
        <v>0.3969050606</v>
      </c>
      <c r="F3780" s="2">
        <v>309.0</v>
      </c>
      <c r="G3780" s="3">
        <f t="shared" si="2"/>
        <v>0.1292346299</v>
      </c>
      <c r="H3780" s="2">
        <v>537.0</v>
      </c>
      <c r="I3780" s="3">
        <f t="shared" si="3"/>
        <v>0.2245922208</v>
      </c>
      <c r="J3780" s="2">
        <v>365.0</v>
      </c>
      <c r="K3780" s="3">
        <f t="shared" si="4"/>
        <v>0.1526557926</v>
      </c>
      <c r="L3780" s="2">
        <v>332.0</v>
      </c>
      <c r="M3780" s="3">
        <f t="shared" si="5"/>
        <v>0.6182495345</v>
      </c>
      <c r="N3780" s="2">
        <v>2888500.0</v>
      </c>
      <c r="O3780" s="4">
        <f t="shared" si="6"/>
        <v>5378.957169</v>
      </c>
      <c r="P3780" s="2">
        <v>0.0</v>
      </c>
      <c r="Q3780" s="3">
        <f t="shared" si="7"/>
        <v>0</v>
      </c>
      <c r="R3780" s="2">
        <v>224.0</v>
      </c>
      <c r="S3780" s="5">
        <f t="shared" si="8"/>
        <v>1</v>
      </c>
    </row>
    <row r="3781">
      <c r="A3781" s="2" t="s">
        <v>3786</v>
      </c>
      <c r="B3781" s="2">
        <v>1435.0</v>
      </c>
      <c r="C3781" s="2">
        <v>16788.0</v>
      </c>
      <c r="D3781" s="2">
        <v>5310.0</v>
      </c>
      <c r="E3781" s="3">
        <f t="shared" si="1"/>
        <v>0.3458607438</v>
      </c>
      <c r="F3781" s="2">
        <v>1984.0</v>
      </c>
      <c r="G3781" s="3">
        <f t="shared" si="2"/>
        <v>0.1292255585</v>
      </c>
      <c r="H3781" s="2">
        <v>3201.0</v>
      </c>
      <c r="I3781" s="3">
        <f t="shared" si="3"/>
        <v>0.208493454</v>
      </c>
      <c r="J3781" s="2">
        <v>2771.0</v>
      </c>
      <c r="K3781" s="3">
        <f t="shared" si="4"/>
        <v>0.1804858985</v>
      </c>
      <c r="L3781" s="2">
        <v>1906.0</v>
      </c>
      <c r="M3781" s="3">
        <f t="shared" si="5"/>
        <v>0.5954389253</v>
      </c>
      <c r="N3781" s="2">
        <v>1.84823E7</v>
      </c>
      <c r="O3781" s="4">
        <f t="shared" si="6"/>
        <v>5773.914402</v>
      </c>
      <c r="P3781" s="2">
        <v>1.0</v>
      </c>
      <c r="Q3781" s="3">
        <f t="shared" si="7"/>
        <v>0.0006968641115</v>
      </c>
      <c r="R3781" s="2">
        <v>1435.0</v>
      </c>
      <c r="S3781" s="5">
        <f t="shared" si="8"/>
        <v>1</v>
      </c>
    </row>
    <row r="3782">
      <c r="A3782" s="2" t="s">
        <v>3787</v>
      </c>
      <c r="B3782" s="2">
        <v>446.0</v>
      </c>
      <c r="C3782" s="2">
        <v>5151.0</v>
      </c>
      <c r="D3782" s="2">
        <v>1451.0</v>
      </c>
      <c r="E3782" s="3">
        <f t="shared" si="1"/>
        <v>0.3083953241</v>
      </c>
      <c r="F3782" s="2">
        <v>608.0</v>
      </c>
      <c r="G3782" s="3">
        <f t="shared" si="2"/>
        <v>0.1292242295</v>
      </c>
      <c r="H3782" s="2">
        <v>979.0</v>
      </c>
      <c r="I3782" s="3">
        <f t="shared" si="3"/>
        <v>0.2080765143</v>
      </c>
      <c r="J3782" s="2">
        <v>875.0</v>
      </c>
      <c r="K3782" s="3">
        <f t="shared" si="4"/>
        <v>0.1859723698</v>
      </c>
      <c r="L3782" s="2">
        <v>579.0</v>
      </c>
      <c r="M3782" s="3">
        <f t="shared" si="5"/>
        <v>0.5914198161</v>
      </c>
      <c r="N3782" s="2">
        <v>5727800.0</v>
      </c>
      <c r="O3782" s="4">
        <f t="shared" si="6"/>
        <v>5850.663943</v>
      </c>
      <c r="P3782" s="2">
        <v>1.0</v>
      </c>
      <c r="Q3782" s="3">
        <f t="shared" si="7"/>
        <v>0.002242152466</v>
      </c>
      <c r="R3782" s="2">
        <v>446.0</v>
      </c>
      <c r="S3782" s="5">
        <f t="shared" si="8"/>
        <v>1</v>
      </c>
    </row>
    <row r="3783">
      <c r="A3783" s="2" t="s">
        <v>3788</v>
      </c>
      <c r="B3783" s="2">
        <v>220.0</v>
      </c>
      <c r="C3783" s="2">
        <v>2588.0</v>
      </c>
      <c r="D3783" s="2">
        <v>924.0</v>
      </c>
      <c r="E3783" s="3">
        <f t="shared" si="1"/>
        <v>0.3902027027</v>
      </c>
      <c r="F3783" s="2">
        <v>306.0</v>
      </c>
      <c r="G3783" s="3">
        <f t="shared" si="2"/>
        <v>0.129222973</v>
      </c>
      <c r="H3783" s="2">
        <v>480.0</v>
      </c>
      <c r="I3783" s="3">
        <f t="shared" si="3"/>
        <v>0.2027027027</v>
      </c>
      <c r="J3783" s="2">
        <v>427.0</v>
      </c>
      <c r="K3783" s="3">
        <f t="shared" si="4"/>
        <v>0.1803209459</v>
      </c>
      <c r="L3783" s="2">
        <v>275.0</v>
      </c>
      <c r="M3783" s="3">
        <f t="shared" si="5"/>
        <v>0.5729166667</v>
      </c>
      <c r="N3783" s="2">
        <v>2494700.0</v>
      </c>
      <c r="O3783" s="4">
        <f t="shared" si="6"/>
        <v>5197.291667</v>
      </c>
      <c r="P3783" s="2">
        <v>1.0</v>
      </c>
      <c r="Q3783" s="3">
        <f t="shared" si="7"/>
        <v>0.004545454545</v>
      </c>
      <c r="R3783" s="2">
        <v>220.0</v>
      </c>
      <c r="S3783" s="5">
        <f t="shared" si="8"/>
        <v>1</v>
      </c>
    </row>
    <row r="3784">
      <c r="A3784" s="2" t="s">
        <v>3789</v>
      </c>
      <c r="B3784" s="2">
        <v>1047.0</v>
      </c>
      <c r="C3784" s="2">
        <v>12237.0</v>
      </c>
      <c r="D3784" s="2">
        <v>4107.0</v>
      </c>
      <c r="E3784" s="3">
        <f t="shared" si="1"/>
        <v>0.3670241287</v>
      </c>
      <c r="F3784" s="2">
        <v>1446.0</v>
      </c>
      <c r="G3784" s="3">
        <f t="shared" si="2"/>
        <v>0.1292225201</v>
      </c>
      <c r="H3784" s="2">
        <v>2394.0</v>
      </c>
      <c r="I3784" s="3">
        <f t="shared" si="3"/>
        <v>0.2139410188</v>
      </c>
      <c r="J3784" s="2">
        <v>2035.0</v>
      </c>
      <c r="K3784" s="3">
        <f t="shared" si="4"/>
        <v>0.1818588025</v>
      </c>
      <c r="L3784" s="2">
        <v>1407.0</v>
      </c>
      <c r="M3784" s="3">
        <f t="shared" si="5"/>
        <v>0.5877192982</v>
      </c>
      <c r="N3784" s="2">
        <v>1.37807E7</v>
      </c>
      <c r="O3784" s="4">
        <f t="shared" si="6"/>
        <v>5756.349206</v>
      </c>
      <c r="P3784" s="2">
        <v>0.0</v>
      </c>
      <c r="Q3784" s="3">
        <f t="shared" si="7"/>
        <v>0</v>
      </c>
      <c r="R3784" s="2">
        <v>1038.0</v>
      </c>
      <c r="S3784" s="5">
        <f t="shared" si="8"/>
        <v>0.9914040115</v>
      </c>
    </row>
    <row r="3785">
      <c r="A3785" s="2" t="s">
        <v>3790</v>
      </c>
      <c r="B3785" s="2">
        <v>226.0</v>
      </c>
      <c r="C3785" s="2">
        <v>2656.0</v>
      </c>
      <c r="D3785" s="2">
        <v>873.0</v>
      </c>
      <c r="E3785" s="3">
        <f t="shared" si="1"/>
        <v>0.3592592593</v>
      </c>
      <c r="F3785" s="2">
        <v>314.0</v>
      </c>
      <c r="G3785" s="3">
        <f t="shared" si="2"/>
        <v>0.129218107</v>
      </c>
      <c r="H3785" s="2">
        <v>489.0</v>
      </c>
      <c r="I3785" s="3">
        <f t="shared" si="3"/>
        <v>0.2012345679</v>
      </c>
      <c r="J3785" s="2">
        <v>292.0</v>
      </c>
      <c r="K3785" s="3">
        <f t="shared" si="4"/>
        <v>0.1201646091</v>
      </c>
      <c r="L3785" s="2">
        <v>295.0</v>
      </c>
      <c r="M3785" s="3">
        <f t="shared" si="5"/>
        <v>0.6032719836</v>
      </c>
      <c r="N3785" s="2">
        <v>2539400.0</v>
      </c>
      <c r="O3785" s="4">
        <f t="shared" si="6"/>
        <v>5193.047035</v>
      </c>
      <c r="P3785" s="2">
        <v>1.0</v>
      </c>
      <c r="Q3785" s="3">
        <f t="shared" si="7"/>
        <v>0.004424778761</v>
      </c>
      <c r="R3785" s="2">
        <v>0.0</v>
      </c>
      <c r="S3785" s="5">
        <f t="shared" si="8"/>
        <v>0</v>
      </c>
    </row>
    <row r="3786">
      <c r="A3786" s="2" t="s">
        <v>3791</v>
      </c>
      <c r="B3786" s="2">
        <v>148.0</v>
      </c>
      <c r="C3786" s="2">
        <v>1719.0</v>
      </c>
      <c r="D3786" s="2">
        <v>433.0</v>
      </c>
      <c r="E3786" s="3">
        <f t="shared" si="1"/>
        <v>0.2756206238</v>
      </c>
      <c r="F3786" s="2">
        <v>203.0</v>
      </c>
      <c r="G3786" s="3">
        <f t="shared" si="2"/>
        <v>0.1292170592</v>
      </c>
      <c r="H3786" s="2">
        <v>318.0</v>
      </c>
      <c r="I3786" s="3">
        <f t="shared" si="3"/>
        <v>0.2024188415</v>
      </c>
      <c r="J3786" s="2">
        <v>274.0</v>
      </c>
      <c r="K3786" s="3">
        <f t="shared" si="4"/>
        <v>0.1744112031</v>
      </c>
      <c r="L3786" s="2">
        <v>196.0</v>
      </c>
      <c r="M3786" s="3">
        <f t="shared" si="5"/>
        <v>0.6163522013</v>
      </c>
      <c r="N3786" s="2">
        <v>1783200.0</v>
      </c>
      <c r="O3786" s="4">
        <f t="shared" si="6"/>
        <v>5607.54717</v>
      </c>
      <c r="P3786" s="2">
        <v>0.0</v>
      </c>
      <c r="Q3786" s="3">
        <f t="shared" si="7"/>
        <v>0</v>
      </c>
      <c r="R3786" s="2">
        <v>148.0</v>
      </c>
      <c r="S3786" s="5">
        <f t="shared" si="8"/>
        <v>1</v>
      </c>
    </row>
    <row r="3787">
      <c r="A3787" s="2" t="s">
        <v>3792</v>
      </c>
      <c r="B3787" s="2">
        <v>429.0</v>
      </c>
      <c r="C3787" s="2">
        <v>4995.0</v>
      </c>
      <c r="D3787" s="2">
        <v>1648.0</v>
      </c>
      <c r="E3787" s="3">
        <f t="shared" si="1"/>
        <v>0.3609286027</v>
      </c>
      <c r="F3787" s="2">
        <v>590.0</v>
      </c>
      <c r="G3787" s="3">
        <f t="shared" si="2"/>
        <v>0.1292159439</v>
      </c>
      <c r="H3787" s="2">
        <v>926.0</v>
      </c>
      <c r="I3787" s="3">
        <f t="shared" si="3"/>
        <v>0.202803329</v>
      </c>
      <c r="J3787" s="2">
        <v>719.0</v>
      </c>
      <c r="K3787" s="3">
        <f t="shared" si="4"/>
        <v>0.1574682435</v>
      </c>
      <c r="L3787" s="2">
        <v>543.0</v>
      </c>
      <c r="M3787" s="3">
        <f t="shared" si="5"/>
        <v>0.5863930886</v>
      </c>
      <c r="N3787" s="2">
        <v>5551500.0</v>
      </c>
      <c r="O3787" s="4">
        <f t="shared" si="6"/>
        <v>5995.140389</v>
      </c>
      <c r="P3787" s="2">
        <v>0.0</v>
      </c>
      <c r="Q3787" s="3">
        <f t="shared" si="7"/>
        <v>0</v>
      </c>
      <c r="R3787" s="2">
        <v>0.0</v>
      </c>
      <c r="S3787" s="5">
        <f t="shared" si="8"/>
        <v>0</v>
      </c>
    </row>
    <row r="3788">
      <c r="A3788" s="2" t="s">
        <v>3793</v>
      </c>
      <c r="B3788" s="2">
        <v>36.0</v>
      </c>
      <c r="C3788" s="2">
        <v>423.0</v>
      </c>
      <c r="D3788" s="2">
        <v>137.0</v>
      </c>
      <c r="E3788" s="3">
        <f t="shared" si="1"/>
        <v>0.354005168</v>
      </c>
      <c r="F3788" s="2">
        <v>50.0</v>
      </c>
      <c r="G3788" s="3">
        <f t="shared" si="2"/>
        <v>0.1291989664</v>
      </c>
      <c r="H3788" s="2">
        <v>74.0</v>
      </c>
      <c r="I3788" s="3">
        <f t="shared" si="3"/>
        <v>0.1912144703</v>
      </c>
      <c r="J3788" s="2">
        <v>55.0</v>
      </c>
      <c r="K3788" s="3">
        <f t="shared" si="4"/>
        <v>0.142118863</v>
      </c>
      <c r="L3788" s="2">
        <v>44.0</v>
      </c>
      <c r="M3788" s="3">
        <f t="shared" si="5"/>
        <v>0.5945945946</v>
      </c>
      <c r="N3788" s="2">
        <v>510600.0</v>
      </c>
      <c r="O3788" s="4">
        <f t="shared" si="6"/>
        <v>6900</v>
      </c>
      <c r="P3788" s="2">
        <v>0.0</v>
      </c>
      <c r="Q3788" s="3">
        <f t="shared" si="7"/>
        <v>0</v>
      </c>
      <c r="R3788" s="2">
        <v>36.0</v>
      </c>
      <c r="S3788" s="5">
        <f t="shared" si="8"/>
        <v>1</v>
      </c>
    </row>
    <row r="3789">
      <c r="A3789" s="2" t="s">
        <v>3794</v>
      </c>
      <c r="B3789" s="2">
        <v>129.0</v>
      </c>
      <c r="C3789" s="2">
        <v>1530.0</v>
      </c>
      <c r="D3789" s="2">
        <v>539.0</v>
      </c>
      <c r="E3789" s="3">
        <f t="shared" si="1"/>
        <v>0.3847251963</v>
      </c>
      <c r="F3789" s="2">
        <v>181.0</v>
      </c>
      <c r="G3789" s="3">
        <f t="shared" si="2"/>
        <v>0.1291934333</v>
      </c>
      <c r="H3789" s="2">
        <v>290.0</v>
      </c>
      <c r="I3789" s="3">
        <f t="shared" si="3"/>
        <v>0.2069950036</v>
      </c>
      <c r="J3789" s="2">
        <v>266.0</v>
      </c>
      <c r="K3789" s="3">
        <f t="shared" si="4"/>
        <v>0.1898643826</v>
      </c>
      <c r="L3789" s="2">
        <v>164.0</v>
      </c>
      <c r="M3789" s="3">
        <f t="shared" si="5"/>
        <v>0.5655172414</v>
      </c>
      <c r="N3789" s="2">
        <v>1707700.0</v>
      </c>
      <c r="O3789" s="4">
        <f t="shared" si="6"/>
        <v>5888.62069</v>
      </c>
      <c r="P3789" s="2">
        <v>1.0</v>
      </c>
      <c r="Q3789" s="3">
        <f t="shared" si="7"/>
        <v>0.007751937984</v>
      </c>
      <c r="R3789" s="2">
        <v>129.0</v>
      </c>
      <c r="S3789" s="5">
        <f t="shared" si="8"/>
        <v>1</v>
      </c>
    </row>
    <row r="3790">
      <c r="A3790" s="2" t="s">
        <v>3795</v>
      </c>
      <c r="B3790" s="2">
        <v>282.0</v>
      </c>
      <c r="C3790" s="2">
        <v>3324.0</v>
      </c>
      <c r="D3790" s="2">
        <v>1312.0</v>
      </c>
      <c r="E3790" s="3">
        <f t="shared" si="1"/>
        <v>0.4312952005</v>
      </c>
      <c r="F3790" s="2">
        <v>393.0</v>
      </c>
      <c r="G3790" s="3">
        <f t="shared" si="2"/>
        <v>0.1291913215</v>
      </c>
      <c r="H3790" s="2">
        <v>654.0</v>
      </c>
      <c r="I3790" s="3">
        <f t="shared" si="3"/>
        <v>0.2149901381</v>
      </c>
      <c r="J3790" s="2">
        <v>426.0</v>
      </c>
      <c r="K3790" s="3">
        <f t="shared" si="4"/>
        <v>0.1400394477</v>
      </c>
      <c r="L3790" s="2">
        <v>376.0</v>
      </c>
      <c r="M3790" s="3">
        <f t="shared" si="5"/>
        <v>0.5749235474</v>
      </c>
      <c r="N3790" s="2">
        <v>3451500.0</v>
      </c>
      <c r="O3790" s="4">
        <f t="shared" si="6"/>
        <v>5277.522936</v>
      </c>
      <c r="P3790" s="2">
        <v>0.0</v>
      </c>
      <c r="Q3790" s="3">
        <f t="shared" si="7"/>
        <v>0</v>
      </c>
      <c r="R3790" s="2">
        <v>4.0</v>
      </c>
      <c r="S3790" s="5">
        <f t="shared" si="8"/>
        <v>0.01418439716</v>
      </c>
    </row>
    <row r="3791">
      <c r="A3791" s="2" t="s">
        <v>3796</v>
      </c>
      <c r="B3791" s="2">
        <v>581.0</v>
      </c>
      <c r="C3791" s="2">
        <v>6874.0</v>
      </c>
      <c r="D3791" s="2">
        <v>2023.0</v>
      </c>
      <c r="E3791" s="3">
        <f t="shared" si="1"/>
        <v>0.3214682981</v>
      </c>
      <c r="F3791" s="2">
        <v>813.0</v>
      </c>
      <c r="G3791" s="3">
        <f t="shared" si="2"/>
        <v>0.1291911648</v>
      </c>
      <c r="H3791" s="2">
        <v>1265.0</v>
      </c>
      <c r="I3791" s="3">
        <f t="shared" si="3"/>
        <v>0.201017003</v>
      </c>
      <c r="J3791" s="2">
        <v>1144.0</v>
      </c>
      <c r="K3791" s="3">
        <f t="shared" si="4"/>
        <v>0.1817892897</v>
      </c>
      <c r="L3791" s="2">
        <v>780.0</v>
      </c>
      <c r="M3791" s="3">
        <f t="shared" si="5"/>
        <v>0.6166007905</v>
      </c>
      <c r="N3791" s="2">
        <v>6940500.0</v>
      </c>
      <c r="O3791" s="4">
        <f t="shared" si="6"/>
        <v>5486.561265</v>
      </c>
      <c r="P3791" s="2">
        <v>1.0</v>
      </c>
      <c r="Q3791" s="3">
        <f t="shared" si="7"/>
        <v>0.001721170396</v>
      </c>
      <c r="R3791" s="2">
        <v>0.0</v>
      </c>
      <c r="S3791" s="5">
        <f t="shared" si="8"/>
        <v>0</v>
      </c>
    </row>
    <row r="3792">
      <c r="A3792" s="2" t="s">
        <v>3797</v>
      </c>
      <c r="B3792" s="2">
        <v>309.0</v>
      </c>
      <c r="C3792" s="2">
        <v>3630.0</v>
      </c>
      <c r="D3792" s="2">
        <v>1088.0</v>
      </c>
      <c r="E3792" s="3">
        <f t="shared" si="1"/>
        <v>0.327612165</v>
      </c>
      <c r="F3792" s="2">
        <v>429.0</v>
      </c>
      <c r="G3792" s="3">
        <f t="shared" si="2"/>
        <v>0.1291779584</v>
      </c>
      <c r="H3792" s="2">
        <v>635.0</v>
      </c>
      <c r="I3792" s="3">
        <f t="shared" si="3"/>
        <v>0.1912074676</v>
      </c>
      <c r="J3792" s="2">
        <v>503.0</v>
      </c>
      <c r="K3792" s="3">
        <f t="shared" si="4"/>
        <v>0.1514604035</v>
      </c>
      <c r="L3792" s="2">
        <v>370.0</v>
      </c>
      <c r="M3792" s="3">
        <f t="shared" si="5"/>
        <v>0.5826771654</v>
      </c>
      <c r="N3792" s="2">
        <v>3594400.0</v>
      </c>
      <c r="O3792" s="4">
        <f t="shared" si="6"/>
        <v>5660.472441</v>
      </c>
      <c r="P3792" s="2">
        <v>0.0</v>
      </c>
      <c r="Q3792" s="3">
        <f t="shared" si="7"/>
        <v>0</v>
      </c>
      <c r="R3792" s="2">
        <v>309.0</v>
      </c>
      <c r="S3792" s="5">
        <f t="shared" si="8"/>
        <v>1</v>
      </c>
    </row>
    <row r="3793">
      <c r="A3793" s="2" t="s">
        <v>3798</v>
      </c>
      <c r="B3793" s="2">
        <v>156.0</v>
      </c>
      <c r="C3793" s="2">
        <v>1867.0</v>
      </c>
      <c r="D3793" s="2">
        <v>430.0</v>
      </c>
      <c r="E3793" s="3">
        <f t="shared" si="1"/>
        <v>0.2513150205</v>
      </c>
      <c r="F3793" s="2">
        <v>221.0</v>
      </c>
      <c r="G3793" s="3">
        <f t="shared" si="2"/>
        <v>0.1291642314</v>
      </c>
      <c r="H3793" s="2">
        <v>364.0</v>
      </c>
      <c r="I3793" s="3">
        <f t="shared" si="3"/>
        <v>0.2127410871</v>
      </c>
      <c r="J3793" s="2">
        <v>345.0</v>
      </c>
      <c r="K3793" s="3">
        <f t="shared" si="4"/>
        <v>0.2016364699</v>
      </c>
      <c r="L3793" s="2">
        <v>231.0</v>
      </c>
      <c r="M3793" s="3">
        <f t="shared" si="5"/>
        <v>0.6346153846</v>
      </c>
      <c r="N3793" s="2">
        <v>2204100.0</v>
      </c>
      <c r="O3793" s="4">
        <f t="shared" si="6"/>
        <v>6055.21978</v>
      </c>
      <c r="P3793" s="2">
        <v>0.0</v>
      </c>
      <c r="Q3793" s="3">
        <f t="shared" si="7"/>
        <v>0</v>
      </c>
      <c r="R3793" s="2">
        <v>42.0</v>
      </c>
      <c r="S3793" s="5">
        <f t="shared" si="8"/>
        <v>0.2692307692</v>
      </c>
    </row>
    <row r="3794">
      <c r="A3794" s="2" t="s">
        <v>3799</v>
      </c>
      <c r="B3794" s="2">
        <v>165.0</v>
      </c>
      <c r="C3794" s="2">
        <v>1876.0</v>
      </c>
      <c r="D3794" s="2">
        <v>543.0</v>
      </c>
      <c r="E3794" s="3">
        <f t="shared" si="1"/>
        <v>0.31735827</v>
      </c>
      <c r="F3794" s="2">
        <v>221.0</v>
      </c>
      <c r="G3794" s="3">
        <f t="shared" si="2"/>
        <v>0.1291642314</v>
      </c>
      <c r="H3794" s="2">
        <v>369.0</v>
      </c>
      <c r="I3794" s="3">
        <f t="shared" si="3"/>
        <v>0.2156633548</v>
      </c>
      <c r="J3794" s="2">
        <v>342.0</v>
      </c>
      <c r="K3794" s="3">
        <f t="shared" si="4"/>
        <v>0.1998831093</v>
      </c>
      <c r="L3794" s="2">
        <v>224.0</v>
      </c>
      <c r="M3794" s="3">
        <f t="shared" si="5"/>
        <v>0.6070460705</v>
      </c>
      <c r="N3794" s="2">
        <v>2138700.0</v>
      </c>
      <c r="O3794" s="4">
        <f t="shared" si="6"/>
        <v>5795.934959</v>
      </c>
      <c r="P3794" s="2">
        <v>0.0</v>
      </c>
      <c r="Q3794" s="3">
        <f t="shared" si="7"/>
        <v>0</v>
      </c>
      <c r="R3794" s="2">
        <v>165.0</v>
      </c>
      <c r="S3794" s="5">
        <f t="shared" si="8"/>
        <v>1</v>
      </c>
    </row>
    <row r="3795">
      <c r="A3795" s="2" t="s">
        <v>3800</v>
      </c>
      <c r="B3795" s="2">
        <v>51.0</v>
      </c>
      <c r="C3795" s="2">
        <v>593.0</v>
      </c>
      <c r="D3795" s="2">
        <v>213.0</v>
      </c>
      <c r="E3795" s="3">
        <f t="shared" si="1"/>
        <v>0.3929889299</v>
      </c>
      <c r="F3795" s="2">
        <v>70.0</v>
      </c>
      <c r="G3795" s="3">
        <f t="shared" si="2"/>
        <v>0.1291512915</v>
      </c>
      <c r="H3795" s="2">
        <v>126.0</v>
      </c>
      <c r="I3795" s="3">
        <f t="shared" si="3"/>
        <v>0.2324723247</v>
      </c>
      <c r="J3795" s="2">
        <v>90.0</v>
      </c>
      <c r="K3795" s="3">
        <f t="shared" si="4"/>
        <v>0.1660516605</v>
      </c>
      <c r="L3795" s="2">
        <v>73.0</v>
      </c>
      <c r="M3795" s="3">
        <f t="shared" si="5"/>
        <v>0.5793650794</v>
      </c>
      <c r="N3795" s="2">
        <v>758700.0</v>
      </c>
      <c r="O3795" s="4">
        <f t="shared" si="6"/>
        <v>6021.428571</v>
      </c>
      <c r="P3795" s="2">
        <v>0.0</v>
      </c>
      <c r="Q3795" s="3">
        <f t="shared" si="7"/>
        <v>0</v>
      </c>
      <c r="R3795" s="2">
        <v>0.0</v>
      </c>
      <c r="S3795" s="5">
        <f t="shared" si="8"/>
        <v>0</v>
      </c>
    </row>
    <row r="3796">
      <c r="A3796" s="2" t="s">
        <v>3801</v>
      </c>
      <c r="B3796" s="2">
        <v>283.0</v>
      </c>
      <c r="C3796" s="2">
        <v>3334.0</v>
      </c>
      <c r="D3796" s="2">
        <v>1241.0</v>
      </c>
      <c r="E3796" s="3">
        <f t="shared" si="1"/>
        <v>0.4067518846</v>
      </c>
      <c r="F3796" s="2">
        <v>394.0</v>
      </c>
      <c r="G3796" s="3">
        <f t="shared" si="2"/>
        <v>0.1291379875</v>
      </c>
      <c r="H3796" s="2">
        <v>665.0</v>
      </c>
      <c r="I3796" s="3">
        <f t="shared" si="3"/>
        <v>0.2179613242</v>
      </c>
      <c r="J3796" s="2">
        <v>496.0</v>
      </c>
      <c r="K3796" s="3">
        <f t="shared" si="4"/>
        <v>0.1625696493</v>
      </c>
      <c r="L3796" s="2">
        <v>386.0</v>
      </c>
      <c r="M3796" s="3">
        <f t="shared" si="5"/>
        <v>0.5804511278</v>
      </c>
      <c r="N3796" s="2">
        <v>3410800.0</v>
      </c>
      <c r="O3796" s="4">
        <f t="shared" si="6"/>
        <v>5129.022556</v>
      </c>
      <c r="P3796" s="2">
        <v>0.0</v>
      </c>
      <c r="Q3796" s="3">
        <f t="shared" si="7"/>
        <v>0</v>
      </c>
      <c r="R3796" s="2">
        <v>283.0</v>
      </c>
      <c r="S3796" s="5">
        <f t="shared" si="8"/>
        <v>1</v>
      </c>
    </row>
    <row r="3797">
      <c r="A3797" s="2" t="s">
        <v>3802</v>
      </c>
      <c r="B3797" s="2">
        <v>198.0</v>
      </c>
      <c r="C3797" s="2">
        <v>2343.0</v>
      </c>
      <c r="D3797" s="2">
        <v>723.0</v>
      </c>
      <c r="E3797" s="3">
        <f t="shared" si="1"/>
        <v>0.3370629371</v>
      </c>
      <c r="F3797" s="2">
        <v>277.0</v>
      </c>
      <c r="G3797" s="3">
        <f t="shared" si="2"/>
        <v>0.1291375291</v>
      </c>
      <c r="H3797" s="2">
        <v>400.0</v>
      </c>
      <c r="I3797" s="3">
        <f t="shared" si="3"/>
        <v>0.1864801865</v>
      </c>
      <c r="J3797" s="2">
        <v>354.0</v>
      </c>
      <c r="K3797" s="3">
        <f t="shared" si="4"/>
        <v>0.165034965</v>
      </c>
      <c r="L3797" s="2">
        <v>221.0</v>
      </c>
      <c r="M3797" s="3">
        <f t="shared" si="5"/>
        <v>0.5525</v>
      </c>
      <c r="N3797" s="2">
        <v>2306500.0</v>
      </c>
      <c r="O3797" s="4">
        <f t="shared" si="6"/>
        <v>5766.25</v>
      </c>
      <c r="P3797" s="2">
        <v>0.0</v>
      </c>
      <c r="Q3797" s="3">
        <f t="shared" si="7"/>
        <v>0</v>
      </c>
      <c r="R3797" s="2">
        <v>198.0</v>
      </c>
      <c r="S3797" s="5">
        <f t="shared" si="8"/>
        <v>1</v>
      </c>
    </row>
    <row r="3798">
      <c r="A3798" s="2" t="s">
        <v>3803</v>
      </c>
      <c r="B3798" s="2">
        <v>468.0</v>
      </c>
      <c r="C3798" s="2">
        <v>5455.0</v>
      </c>
      <c r="D3798" s="2">
        <v>1957.0</v>
      </c>
      <c r="E3798" s="3">
        <f t="shared" si="1"/>
        <v>0.3924202928</v>
      </c>
      <c r="F3798" s="2">
        <v>644.0</v>
      </c>
      <c r="G3798" s="3">
        <f t="shared" si="2"/>
        <v>0.129135753</v>
      </c>
      <c r="H3798" s="2">
        <v>1064.0</v>
      </c>
      <c r="I3798" s="3">
        <f t="shared" si="3"/>
        <v>0.2133547223</v>
      </c>
      <c r="J3798" s="2">
        <v>920.0</v>
      </c>
      <c r="K3798" s="3">
        <f t="shared" si="4"/>
        <v>0.1844796471</v>
      </c>
      <c r="L3798" s="2">
        <v>647.0</v>
      </c>
      <c r="M3798" s="3">
        <f t="shared" si="5"/>
        <v>0.6080827068</v>
      </c>
      <c r="N3798" s="2">
        <v>5950100.0</v>
      </c>
      <c r="O3798" s="4">
        <f t="shared" si="6"/>
        <v>5592.199248</v>
      </c>
      <c r="P3798" s="2">
        <v>1.0</v>
      </c>
      <c r="Q3798" s="3">
        <f t="shared" si="7"/>
        <v>0.002136752137</v>
      </c>
      <c r="R3798" s="2">
        <v>0.0</v>
      </c>
      <c r="S3798" s="5">
        <f t="shared" si="8"/>
        <v>0</v>
      </c>
    </row>
    <row r="3799">
      <c r="A3799" s="2" t="s">
        <v>3804</v>
      </c>
      <c r="B3799" s="2">
        <v>290.0</v>
      </c>
      <c r="C3799" s="2">
        <v>3318.0</v>
      </c>
      <c r="D3799" s="2">
        <v>1039.0</v>
      </c>
      <c r="E3799" s="3">
        <f t="shared" si="1"/>
        <v>0.3431307794</v>
      </c>
      <c r="F3799" s="2">
        <v>391.0</v>
      </c>
      <c r="G3799" s="3">
        <f t="shared" si="2"/>
        <v>0.1291281374</v>
      </c>
      <c r="H3799" s="2">
        <v>650.0</v>
      </c>
      <c r="I3799" s="3">
        <f t="shared" si="3"/>
        <v>0.214663144</v>
      </c>
      <c r="J3799" s="2">
        <v>601.0</v>
      </c>
      <c r="K3799" s="3">
        <f t="shared" si="4"/>
        <v>0.1984808454</v>
      </c>
      <c r="L3799" s="2">
        <v>360.0</v>
      </c>
      <c r="M3799" s="3">
        <f t="shared" si="5"/>
        <v>0.5538461538</v>
      </c>
      <c r="N3799" s="2">
        <v>4016800.0</v>
      </c>
      <c r="O3799" s="4">
        <f t="shared" si="6"/>
        <v>6179.692308</v>
      </c>
      <c r="P3799" s="2">
        <v>1.0</v>
      </c>
      <c r="Q3799" s="3">
        <f t="shared" si="7"/>
        <v>0.003448275862</v>
      </c>
      <c r="R3799" s="2">
        <v>0.0</v>
      </c>
      <c r="S3799" s="5">
        <f t="shared" si="8"/>
        <v>0</v>
      </c>
    </row>
    <row r="3800">
      <c r="A3800" s="2" t="s">
        <v>3805</v>
      </c>
      <c r="B3800" s="2">
        <v>1058.0</v>
      </c>
      <c r="C3800" s="2">
        <v>12303.0</v>
      </c>
      <c r="D3800" s="2">
        <v>3847.0</v>
      </c>
      <c r="E3800" s="3">
        <f t="shared" si="1"/>
        <v>0.3421076034</v>
      </c>
      <c r="F3800" s="2">
        <v>1452.0</v>
      </c>
      <c r="G3800" s="3">
        <f t="shared" si="2"/>
        <v>0.1291240551</v>
      </c>
      <c r="H3800" s="2">
        <v>2328.0</v>
      </c>
      <c r="I3800" s="3">
        <f t="shared" si="3"/>
        <v>0.2070253446</v>
      </c>
      <c r="J3800" s="2">
        <v>1922.0</v>
      </c>
      <c r="K3800" s="3">
        <f t="shared" si="4"/>
        <v>0.1709204091</v>
      </c>
      <c r="L3800" s="2">
        <v>1378.0</v>
      </c>
      <c r="M3800" s="3">
        <f t="shared" si="5"/>
        <v>0.5919243986</v>
      </c>
      <c r="N3800" s="2">
        <v>1.34991E7</v>
      </c>
      <c r="O3800" s="4">
        <f t="shared" si="6"/>
        <v>5798.582474</v>
      </c>
      <c r="P3800" s="2">
        <v>3.0</v>
      </c>
      <c r="Q3800" s="3">
        <f t="shared" si="7"/>
        <v>0.002835538752</v>
      </c>
      <c r="R3800" s="2">
        <v>0.0</v>
      </c>
      <c r="S3800" s="5">
        <f t="shared" si="8"/>
        <v>0</v>
      </c>
    </row>
    <row r="3801">
      <c r="A3801" s="2" t="s">
        <v>3806</v>
      </c>
      <c r="B3801" s="2">
        <v>1634.0</v>
      </c>
      <c r="C3801" s="2">
        <v>19145.0</v>
      </c>
      <c r="D3801" s="2">
        <v>6428.0</v>
      </c>
      <c r="E3801" s="3">
        <f t="shared" si="1"/>
        <v>0.3670835475</v>
      </c>
      <c r="F3801" s="2">
        <v>2261.0</v>
      </c>
      <c r="G3801" s="3">
        <f t="shared" si="2"/>
        <v>0.1291188396</v>
      </c>
      <c r="H3801" s="2">
        <v>3864.0</v>
      </c>
      <c r="I3801" s="3">
        <f t="shared" si="3"/>
        <v>0.2206612986</v>
      </c>
      <c r="J3801" s="2">
        <v>2950.0</v>
      </c>
      <c r="K3801" s="3">
        <f t="shared" si="4"/>
        <v>0.1684655359</v>
      </c>
      <c r="L3801" s="2">
        <v>2356.0</v>
      </c>
      <c r="M3801" s="3">
        <f t="shared" si="5"/>
        <v>0.6097308489</v>
      </c>
      <c r="N3801" s="2">
        <v>2.20599E7</v>
      </c>
      <c r="O3801" s="4">
        <f t="shared" si="6"/>
        <v>5709.083851</v>
      </c>
      <c r="P3801" s="2">
        <v>4.0</v>
      </c>
      <c r="Q3801" s="3">
        <f t="shared" si="7"/>
        <v>0.002447980416</v>
      </c>
      <c r="R3801" s="2">
        <v>0.0</v>
      </c>
      <c r="S3801" s="5">
        <f t="shared" si="8"/>
        <v>0</v>
      </c>
    </row>
    <row r="3802">
      <c r="A3802" s="2" t="s">
        <v>3807</v>
      </c>
      <c r="B3802" s="2">
        <v>218.0</v>
      </c>
      <c r="C3802" s="2">
        <v>2495.0</v>
      </c>
      <c r="D3802" s="2">
        <v>864.0</v>
      </c>
      <c r="E3802" s="3">
        <f t="shared" si="1"/>
        <v>0.3794466403</v>
      </c>
      <c r="F3802" s="2">
        <v>294.0</v>
      </c>
      <c r="G3802" s="3">
        <f t="shared" si="2"/>
        <v>0.1291172596</v>
      </c>
      <c r="H3802" s="2">
        <v>454.0</v>
      </c>
      <c r="I3802" s="3">
        <f t="shared" si="3"/>
        <v>0.1993851559</v>
      </c>
      <c r="J3802" s="2">
        <v>327.0</v>
      </c>
      <c r="K3802" s="3">
        <f t="shared" si="4"/>
        <v>0.1436100132</v>
      </c>
      <c r="L3802" s="2">
        <v>277.0</v>
      </c>
      <c r="M3802" s="3">
        <f t="shared" si="5"/>
        <v>0.6101321586</v>
      </c>
      <c r="N3802" s="2">
        <v>2353900.0</v>
      </c>
      <c r="O3802" s="4">
        <f t="shared" si="6"/>
        <v>5184.801762</v>
      </c>
      <c r="P3802" s="2">
        <v>0.0</v>
      </c>
      <c r="Q3802" s="3">
        <f t="shared" si="7"/>
        <v>0</v>
      </c>
      <c r="R3802" s="2">
        <v>218.0</v>
      </c>
      <c r="S3802" s="5">
        <f t="shared" si="8"/>
        <v>1</v>
      </c>
    </row>
    <row r="3803">
      <c r="A3803" s="2" t="s">
        <v>3808</v>
      </c>
      <c r="B3803" s="2">
        <v>73.0</v>
      </c>
      <c r="C3803" s="2">
        <v>863.0</v>
      </c>
      <c r="D3803" s="2">
        <v>284.0</v>
      </c>
      <c r="E3803" s="3">
        <f t="shared" si="1"/>
        <v>0.3594936709</v>
      </c>
      <c r="F3803" s="2">
        <v>102.0</v>
      </c>
      <c r="G3803" s="3">
        <f t="shared" si="2"/>
        <v>0.1291139241</v>
      </c>
      <c r="H3803" s="2">
        <v>162.0</v>
      </c>
      <c r="I3803" s="3">
        <f t="shared" si="3"/>
        <v>0.2050632911</v>
      </c>
      <c r="J3803" s="2">
        <v>141.0</v>
      </c>
      <c r="K3803" s="3">
        <f t="shared" si="4"/>
        <v>0.1784810127</v>
      </c>
      <c r="L3803" s="2">
        <v>97.0</v>
      </c>
      <c r="M3803" s="3">
        <f t="shared" si="5"/>
        <v>0.5987654321</v>
      </c>
      <c r="N3803" s="2">
        <v>803900.0</v>
      </c>
      <c r="O3803" s="4">
        <f t="shared" si="6"/>
        <v>4962.345679</v>
      </c>
      <c r="P3803" s="2">
        <v>0.0</v>
      </c>
      <c r="Q3803" s="3">
        <f t="shared" si="7"/>
        <v>0</v>
      </c>
      <c r="R3803" s="2">
        <v>73.0</v>
      </c>
      <c r="S3803" s="5">
        <f t="shared" si="8"/>
        <v>1</v>
      </c>
    </row>
    <row r="3804">
      <c r="A3804" s="2" t="s">
        <v>3809</v>
      </c>
      <c r="B3804" s="2">
        <v>636.0</v>
      </c>
      <c r="C3804" s="2">
        <v>7382.0</v>
      </c>
      <c r="D3804" s="2">
        <v>1990.0</v>
      </c>
      <c r="E3804" s="3">
        <f t="shared" si="1"/>
        <v>0.2949896235</v>
      </c>
      <c r="F3804" s="2">
        <v>871.0</v>
      </c>
      <c r="G3804" s="3">
        <f t="shared" si="2"/>
        <v>0.1291135488</v>
      </c>
      <c r="H3804" s="2">
        <v>1434.0</v>
      </c>
      <c r="I3804" s="3">
        <f t="shared" si="3"/>
        <v>0.2125704121</v>
      </c>
      <c r="J3804" s="2">
        <v>1435.0</v>
      </c>
      <c r="K3804" s="3">
        <f t="shared" si="4"/>
        <v>0.2127186481</v>
      </c>
      <c r="L3804" s="2">
        <v>816.0</v>
      </c>
      <c r="M3804" s="3">
        <f t="shared" si="5"/>
        <v>0.5690376569</v>
      </c>
      <c r="N3804" s="2">
        <v>8509400.0</v>
      </c>
      <c r="O3804" s="4">
        <f t="shared" si="6"/>
        <v>5934.030683</v>
      </c>
      <c r="P3804" s="2">
        <v>2.0</v>
      </c>
      <c r="Q3804" s="3">
        <f t="shared" si="7"/>
        <v>0.003144654088</v>
      </c>
      <c r="R3804" s="2">
        <v>539.0</v>
      </c>
      <c r="S3804" s="5">
        <f t="shared" si="8"/>
        <v>0.8474842767</v>
      </c>
    </row>
    <row r="3805">
      <c r="A3805" s="2" t="s">
        <v>3810</v>
      </c>
      <c r="B3805" s="2">
        <v>39.0</v>
      </c>
      <c r="C3805" s="2">
        <v>465.0</v>
      </c>
      <c r="D3805" s="2">
        <v>113.0</v>
      </c>
      <c r="E3805" s="3">
        <f t="shared" si="1"/>
        <v>0.265258216</v>
      </c>
      <c r="F3805" s="2">
        <v>55.0</v>
      </c>
      <c r="G3805" s="3">
        <f t="shared" si="2"/>
        <v>0.1291079812</v>
      </c>
      <c r="H3805" s="2">
        <v>77.0</v>
      </c>
      <c r="I3805" s="3">
        <f t="shared" si="3"/>
        <v>0.1807511737</v>
      </c>
      <c r="J3805" s="2">
        <v>89.0</v>
      </c>
      <c r="K3805" s="3">
        <f t="shared" si="4"/>
        <v>0.2089201878</v>
      </c>
      <c r="L3805" s="2">
        <v>37.0</v>
      </c>
      <c r="M3805" s="3">
        <f t="shared" si="5"/>
        <v>0.4805194805</v>
      </c>
      <c r="N3805" s="2">
        <v>469200.0</v>
      </c>
      <c r="O3805" s="4">
        <f t="shared" si="6"/>
        <v>6093.506494</v>
      </c>
      <c r="P3805" s="2">
        <v>0.0</v>
      </c>
      <c r="Q3805" s="3">
        <f t="shared" si="7"/>
        <v>0</v>
      </c>
      <c r="R3805" s="2">
        <v>39.0</v>
      </c>
      <c r="S3805" s="5">
        <f t="shared" si="8"/>
        <v>1</v>
      </c>
    </row>
    <row r="3806">
      <c r="A3806" s="2" t="s">
        <v>3811</v>
      </c>
      <c r="B3806" s="2">
        <v>78.0</v>
      </c>
      <c r="C3806" s="2">
        <v>930.0</v>
      </c>
      <c r="D3806" s="2">
        <v>332.0</v>
      </c>
      <c r="E3806" s="3">
        <f t="shared" si="1"/>
        <v>0.3896713615</v>
      </c>
      <c r="F3806" s="2">
        <v>110.0</v>
      </c>
      <c r="G3806" s="3">
        <f t="shared" si="2"/>
        <v>0.1291079812</v>
      </c>
      <c r="H3806" s="2">
        <v>158.0</v>
      </c>
      <c r="I3806" s="3">
        <f t="shared" si="3"/>
        <v>0.1854460094</v>
      </c>
      <c r="J3806" s="2">
        <v>131.0</v>
      </c>
      <c r="K3806" s="3">
        <f t="shared" si="4"/>
        <v>0.1537558685</v>
      </c>
      <c r="L3806" s="2">
        <v>89.0</v>
      </c>
      <c r="M3806" s="3">
        <f t="shared" si="5"/>
        <v>0.5632911392</v>
      </c>
      <c r="N3806" s="2">
        <v>989400.0</v>
      </c>
      <c r="O3806" s="4">
        <f t="shared" si="6"/>
        <v>6262.025316</v>
      </c>
      <c r="P3806" s="2">
        <v>1.0</v>
      </c>
      <c r="Q3806" s="3">
        <f t="shared" si="7"/>
        <v>0.01282051282</v>
      </c>
      <c r="R3806" s="2">
        <v>78.0</v>
      </c>
      <c r="S3806" s="5">
        <f t="shared" si="8"/>
        <v>1</v>
      </c>
    </row>
    <row r="3807">
      <c r="A3807" s="2" t="s">
        <v>3812</v>
      </c>
      <c r="B3807" s="2">
        <v>87.0</v>
      </c>
      <c r="C3807" s="2">
        <v>1001.0</v>
      </c>
      <c r="D3807" s="2">
        <v>247.0</v>
      </c>
      <c r="E3807" s="3">
        <f t="shared" si="1"/>
        <v>0.2702407002</v>
      </c>
      <c r="F3807" s="2">
        <v>118.0</v>
      </c>
      <c r="G3807" s="3">
        <f t="shared" si="2"/>
        <v>0.1291028446</v>
      </c>
      <c r="H3807" s="2">
        <v>176.0</v>
      </c>
      <c r="I3807" s="3">
        <f t="shared" si="3"/>
        <v>0.1925601751</v>
      </c>
      <c r="J3807" s="2">
        <v>206.0</v>
      </c>
      <c r="K3807" s="3">
        <f t="shared" si="4"/>
        <v>0.2253829322</v>
      </c>
      <c r="L3807" s="2">
        <v>103.0</v>
      </c>
      <c r="M3807" s="3">
        <f t="shared" si="5"/>
        <v>0.5852272727</v>
      </c>
      <c r="N3807" s="2">
        <v>1058100.0</v>
      </c>
      <c r="O3807" s="4">
        <f t="shared" si="6"/>
        <v>6011.931818</v>
      </c>
      <c r="P3807" s="2">
        <v>0.0</v>
      </c>
      <c r="Q3807" s="3">
        <f t="shared" si="7"/>
        <v>0</v>
      </c>
      <c r="R3807" s="2">
        <v>87.0</v>
      </c>
      <c r="S3807" s="5">
        <f t="shared" si="8"/>
        <v>1</v>
      </c>
    </row>
    <row r="3808">
      <c r="A3808" s="2" t="s">
        <v>3813</v>
      </c>
      <c r="B3808" s="2">
        <v>310.0</v>
      </c>
      <c r="C3808" s="2">
        <v>3695.0</v>
      </c>
      <c r="D3808" s="2">
        <v>1374.0</v>
      </c>
      <c r="E3808" s="3">
        <f t="shared" si="1"/>
        <v>0.4059084195</v>
      </c>
      <c r="F3808" s="2">
        <v>437.0</v>
      </c>
      <c r="G3808" s="3">
        <f t="shared" si="2"/>
        <v>0.129098966</v>
      </c>
      <c r="H3808" s="2">
        <v>733.0</v>
      </c>
      <c r="I3808" s="3">
        <f t="shared" si="3"/>
        <v>0.2165435746</v>
      </c>
      <c r="J3808" s="2">
        <v>598.0</v>
      </c>
      <c r="K3808" s="3">
        <f t="shared" si="4"/>
        <v>0.176661743</v>
      </c>
      <c r="L3808" s="2">
        <v>403.0</v>
      </c>
      <c r="M3808" s="3">
        <f t="shared" si="5"/>
        <v>0.5497953615</v>
      </c>
      <c r="N3808" s="2">
        <v>3979800.0</v>
      </c>
      <c r="O3808" s="4">
        <f t="shared" si="6"/>
        <v>5429.46794</v>
      </c>
      <c r="P3808" s="2">
        <v>0.0</v>
      </c>
      <c r="Q3808" s="3">
        <f t="shared" si="7"/>
        <v>0</v>
      </c>
      <c r="R3808" s="2">
        <v>308.0</v>
      </c>
      <c r="S3808" s="5">
        <f t="shared" si="8"/>
        <v>0.9935483871</v>
      </c>
    </row>
    <row r="3809">
      <c r="A3809" s="2" t="s">
        <v>3814</v>
      </c>
      <c r="B3809" s="2">
        <v>246.0</v>
      </c>
      <c r="C3809" s="2">
        <v>2810.0</v>
      </c>
      <c r="D3809" s="2">
        <v>961.0</v>
      </c>
      <c r="E3809" s="3">
        <f t="shared" si="1"/>
        <v>0.3748049922</v>
      </c>
      <c r="F3809" s="2">
        <v>331.0</v>
      </c>
      <c r="G3809" s="3">
        <f t="shared" si="2"/>
        <v>0.1290951638</v>
      </c>
      <c r="H3809" s="2">
        <v>590.0</v>
      </c>
      <c r="I3809" s="3">
        <f t="shared" si="3"/>
        <v>0.2301092044</v>
      </c>
      <c r="J3809" s="2">
        <v>461.0</v>
      </c>
      <c r="K3809" s="3">
        <f t="shared" si="4"/>
        <v>0.1797971919</v>
      </c>
      <c r="L3809" s="2">
        <v>344.0</v>
      </c>
      <c r="M3809" s="3">
        <f t="shared" si="5"/>
        <v>0.5830508475</v>
      </c>
      <c r="N3809" s="2">
        <v>3571600.0</v>
      </c>
      <c r="O3809" s="4">
        <f t="shared" si="6"/>
        <v>6053.559322</v>
      </c>
      <c r="P3809" s="2">
        <v>2.0</v>
      </c>
      <c r="Q3809" s="3">
        <f t="shared" si="7"/>
        <v>0.008130081301</v>
      </c>
      <c r="R3809" s="2">
        <v>246.0</v>
      </c>
      <c r="S3809" s="5">
        <f t="shared" si="8"/>
        <v>1</v>
      </c>
    </row>
    <row r="3810">
      <c r="A3810" s="2" t="s">
        <v>3815</v>
      </c>
      <c r="B3810" s="2">
        <v>226.0</v>
      </c>
      <c r="C3810" s="2">
        <v>2705.0</v>
      </c>
      <c r="D3810" s="2">
        <v>789.0</v>
      </c>
      <c r="E3810" s="3">
        <f t="shared" si="1"/>
        <v>0.3182734974</v>
      </c>
      <c r="F3810" s="2">
        <v>320.0</v>
      </c>
      <c r="G3810" s="3">
        <f t="shared" si="2"/>
        <v>0.1290843082</v>
      </c>
      <c r="H3810" s="2">
        <v>527.0</v>
      </c>
      <c r="I3810" s="3">
        <f t="shared" si="3"/>
        <v>0.21258572</v>
      </c>
      <c r="J3810" s="2">
        <v>466.0</v>
      </c>
      <c r="K3810" s="3">
        <f t="shared" si="4"/>
        <v>0.1879790238</v>
      </c>
      <c r="L3810" s="2">
        <v>304.0</v>
      </c>
      <c r="M3810" s="3">
        <f t="shared" si="5"/>
        <v>0.5768500949</v>
      </c>
      <c r="N3810" s="2">
        <v>2969400.0</v>
      </c>
      <c r="O3810" s="4">
        <f t="shared" si="6"/>
        <v>5634.535104</v>
      </c>
      <c r="P3810" s="2">
        <v>0.0</v>
      </c>
      <c r="Q3810" s="3">
        <f t="shared" si="7"/>
        <v>0</v>
      </c>
      <c r="R3810" s="2">
        <v>226.0</v>
      </c>
      <c r="S3810" s="5">
        <f t="shared" si="8"/>
        <v>1</v>
      </c>
    </row>
    <row r="3811">
      <c r="A3811" s="2" t="s">
        <v>3816</v>
      </c>
      <c r="B3811" s="2">
        <v>130.0</v>
      </c>
      <c r="C3811" s="2">
        <v>1509.0</v>
      </c>
      <c r="D3811" s="2">
        <v>505.0</v>
      </c>
      <c r="E3811" s="3">
        <f t="shared" si="1"/>
        <v>0.3662073967</v>
      </c>
      <c r="F3811" s="2">
        <v>178.0</v>
      </c>
      <c r="G3811" s="3">
        <f t="shared" si="2"/>
        <v>0.1290790428</v>
      </c>
      <c r="H3811" s="2">
        <v>275.0</v>
      </c>
      <c r="I3811" s="3">
        <f t="shared" si="3"/>
        <v>0.1994198695</v>
      </c>
      <c r="J3811" s="2">
        <v>166.0</v>
      </c>
      <c r="K3811" s="3">
        <f t="shared" si="4"/>
        <v>0.1203770848</v>
      </c>
      <c r="L3811" s="2">
        <v>165.0</v>
      </c>
      <c r="M3811" s="3">
        <f t="shared" si="5"/>
        <v>0.6</v>
      </c>
      <c r="N3811" s="2">
        <v>1560600.0</v>
      </c>
      <c r="O3811" s="4">
        <f t="shared" si="6"/>
        <v>5674.909091</v>
      </c>
      <c r="P3811" s="2">
        <v>1.0</v>
      </c>
      <c r="Q3811" s="3">
        <f t="shared" si="7"/>
        <v>0.007692307692</v>
      </c>
      <c r="R3811" s="2">
        <v>130.0</v>
      </c>
      <c r="S3811" s="5">
        <f t="shared" si="8"/>
        <v>1</v>
      </c>
    </row>
    <row r="3812">
      <c r="A3812" s="2" t="s">
        <v>3817</v>
      </c>
      <c r="B3812" s="2">
        <v>487.0</v>
      </c>
      <c r="C3812" s="2">
        <v>5670.0</v>
      </c>
      <c r="D3812" s="2">
        <v>1662.0</v>
      </c>
      <c r="E3812" s="3">
        <f t="shared" si="1"/>
        <v>0.3206637083</v>
      </c>
      <c r="F3812" s="2">
        <v>669.0</v>
      </c>
      <c r="G3812" s="3">
        <f t="shared" si="2"/>
        <v>0.1290758248</v>
      </c>
      <c r="H3812" s="2">
        <v>1077.0</v>
      </c>
      <c r="I3812" s="3">
        <f t="shared" si="3"/>
        <v>0.2077947135</v>
      </c>
      <c r="J3812" s="2">
        <v>1056.0</v>
      </c>
      <c r="K3812" s="3">
        <f t="shared" si="4"/>
        <v>0.203743006</v>
      </c>
      <c r="L3812" s="2">
        <v>639.0</v>
      </c>
      <c r="M3812" s="3">
        <f t="shared" si="5"/>
        <v>0.5933147632</v>
      </c>
      <c r="N3812" s="2">
        <v>6619900.0</v>
      </c>
      <c r="O3812" s="4">
        <f t="shared" si="6"/>
        <v>6146.610956</v>
      </c>
      <c r="P3812" s="2">
        <v>0.0</v>
      </c>
      <c r="Q3812" s="3">
        <f t="shared" si="7"/>
        <v>0</v>
      </c>
      <c r="R3812" s="2">
        <v>487.0</v>
      </c>
      <c r="S3812" s="5">
        <f t="shared" si="8"/>
        <v>1</v>
      </c>
    </row>
    <row r="3813">
      <c r="A3813" s="2" t="s">
        <v>3818</v>
      </c>
      <c r="B3813" s="2">
        <v>89.0</v>
      </c>
      <c r="C3813" s="2">
        <v>1011.0</v>
      </c>
      <c r="D3813" s="2">
        <v>313.0</v>
      </c>
      <c r="E3813" s="3">
        <f t="shared" si="1"/>
        <v>0.3394793926</v>
      </c>
      <c r="F3813" s="2">
        <v>119.0</v>
      </c>
      <c r="G3813" s="3">
        <f t="shared" si="2"/>
        <v>0.1290672451</v>
      </c>
      <c r="H3813" s="2">
        <v>191.0</v>
      </c>
      <c r="I3813" s="3">
        <f t="shared" si="3"/>
        <v>0.2071583514</v>
      </c>
      <c r="J3813" s="2">
        <v>192.0</v>
      </c>
      <c r="K3813" s="3">
        <f t="shared" si="4"/>
        <v>0.2082429501</v>
      </c>
      <c r="L3813" s="2">
        <v>109.0</v>
      </c>
      <c r="M3813" s="3">
        <f t="shared" si="5"/>
        <v>0.5706806283</v>
      </c>
      <c r="N3813" s="2">
        <v>1152700.0</v>
      </c>
      <c r="O3813" s="4">
        <f t="shared" si="6"/>
        <v>6035.078534</v>
      </c>
      <c r="P3813" s="2">
        <v>0.0</v>
      </c>
      <c r="Q3813" s="3">
        <f t="shared" si="7"/>
        <v>0</v>
      </c>
      <c r="R3813" s="2">
        <v>0.0</v>
      </c>
      <c r="S3813" s="5">
        <f t="shared" si="8"/>
        <v>0</v>
      </c>
    </row>
    <row r="3814">
      <c r="A3814" s="2" t="s">
        <v>3819</v>
      </c>
      <c r="B3814" s="2">
        <v>434.0</v>
      </c>
      <c r="C3814" s="2">
        <v>5044.0</v>
      </c>
      <c r="D3814" s="2">
        <v>1284.0</v>
      </c>
      <c r="E3814" s="3">
        <f t="shared" si="1"/>
        <v>0.2785249458</v>
      </c>
      <c r="F3814" s="2">
        <v>595.0</v>
      </c>
      <c r="G3814" s="3">
        <f t="shared" si="2"/>
        <v>0.1290672451</v>
      </c>
      <c r="H3814" s="2">
        <v>943.0</v>
      </c>
      <c r="I3814" s="3">
        <f t="shared" si="3"/>
        <v>0.2045553145</v>
      </c>
      <c r="J3814" s="2">
        <v>909.0</v>
      </c>
      <c r="K3814" s="3">
        <f t="shared" si="4"/>
        <v>0.1971800434</v>
      </c>
      <c r="L3814" s="2">
        <v>571.0</v>
      </c>
      <c r="M3814" s="3">
        <f t="shared" si="5"/>
        <v>0.605514316</v>
      </c>
      <c r="N3814" s="2">
        <v>5735400.0</v>
      </c>
      <c r="O3814" s="4">
        <f t="shared" si="6"/>
        <v>6082.078473</v>
      </c>
      <c r="P3814" s="2">
        <v>3.0</v>
      </c>
      <c r="Q3814" s="3">
        <f t="shared" si="7"/>
        <v>0.006912442396</v>
      </c>
      <c r="R3814" s="2">
        <v>434.0</v>
      </c>
      <c r="S3814" s="5">
        <f t="shared" si="8"/>
        <v>1</v>
      </c>
    </row>
    <row r="3815">
      <c r="A3815" s="2" t="s">
        <v>3820</v>
      </c>
      <c r="B3815" s="2">
        <v>1988.0</v>
      </c>
      <c r="C3815" s="2">
        <v>23249.0</v>
      </c>
      <c r="D3815" s="2">
        <v>6842.0</v>
      </c>
      <c r="E3815" s="3">
        <f t="shared" si="1"/>
        <v>0.3218098866</v>
      </c>
      <c r="F3815" s="2">
        <v>2744.0</v>
      </c>
      <c r="G3815" s="3">
        <f t="shared" si="2"/>
        <v>0.1290626029</v>
      </c>
      <c r="H3815" s="2">
        <v>4593.0</v>
      </c>
      <c r="I3815" s="3">
        <f t="shared" si="3"/>
        <v>0.2160293495</v>
      </c>
      <c r="J3815" s="2">
        <v>4414.0</v>
      </c>
      <c r="K3815" s="3">
        <f t="shared" si="4"/>
        <v>0.2076101783</v>
      </c>
      <c r="L3815" s="2">
        <v>2702.0</v>
      </c>
      <c r="M3815" s="3">
        <f t="shared" si="5"/>
        <v>0.588286523</v>
      </c>
      <c r="N3815" s="2">
        <v>2.57605E7</v>
      </c>
      <c r="O3815" s="4">
        <f t="shared" si="6"/>
        <v>5608.643588</v>
      </c>
      <c r="P3815" s="2">
        <v>4.0</v>
      </c>
      <c r="Q3815" s="3">
        <f t="shared" si="7"/>
        <v>0.002012072435</v>
      </c>
      <c r="R3815" s="2">
        <v>1984.0</v>
      </c>
      <c r="S3815" s="5">
        <f t="shared" si="8"/>
        <v>0.9979879276</v>
      </c>
    </row>
    <row r="3816">
      <c r="A3816" s="2" t="s">
        <v>3821</v>
      </c>
      <c r="B3816" s="2">
        <v>455.0</v>
      </c>
      <c r="C3816" s="2">
        <v>5414.0</v>
      </c>
      <c r="D3816" s="2">
        <v>1629.0</v>
      </c>
      <c r="E3816" s="3">
        <f t="shared" si="1"/>
        <v>0.3284936479</v>
      </c>
      <c r="F3816" s="2">
        <v>640.0</v>
      </c>
      <c r="G3816" s="3">
        <f t="shared" si="2"/>
        <v>0.1290582779</v>
      </c>
      <c r="H3816" s="2">
        <v>1108.0</v>
      </c>
      <c r="I3816" s="3">
        <f t="shared" si="3"/>
        <v>0.2234321436</v>
      </c>
      <c r="J3816" s="2">
        <v>737.0</v>
      </c>
      <c r="K3816" s="3">
        <f t="shared" si="4"/>
        <v>0.1486186731</v>
      </c>
      <c r="L3816" s="2">
        <v>664.0</v>
      </c>
      <c r="M3816" s="3">
        <f t="shared" si="5"/>
        <v>0.5992779783</v>
      </c>
      <c r="N3816" s="2">
        <v>6060900.0</v>
      </c>
      <c r="O3816" s="4">
        <f t="shared" si="6"/>
        <v>5470.126354</v>
      </c>
      <c r="P3816" s="2">
        <v>1.0</v>
      </c>
      <c r="Q3816" s="3">
        <f t="shared" si="7"/>
        <v>0.002197802198</v>
      </c>
      <c r="R3816" s="2">
        <v>455.0</v>
      </c>
      <c r="S3816" s="5">
        <f t="shared" si="8"/>
        <v>1</v>
      </c>
    </row>
    <row r="3817">
      <c r="A3817" s="2" t="s">
        <v>3822</v>
      </c>
      <c r="B3817" s="2">
        <v>230.0</v>
      </c>
      <c r="C3817" s="2">
        <v>2725.0</v>
      </c>
      <c r="D3817" s="2">
        <v>1031.0</v>
      </c>
      <c r="E3817" s="3">
        <f t="shared" si="1"/>
        <v>0.4132264529</v>
      </c>
      <c r="F3817" s="2">
        <v>322.0</v>
      </c>
      <c r="G3817" s="3">
        <f t="shared" si="2"/>
        <v>0.1290581162</v>
      </c>
      <c r="H3817" s="2">
        <v>498.0</v>
      </c>
      <c r="I3817" s="3">
        <f t="shared" si="3"/>
        <v>0.1995991984</v>
      </c>
      <c r="J3817" s="2">
        <v>410.0</v>
      </c>
      <c r="K3817" s="3">
        <f t="shared" si="4"/>
        <v>0.1643286573</v>
      </c>
      <c r="L3817" s="2">
        <v>301.0</v>
      </c>
      <c r="M3817" s="3">
        <f t="shared" si="5"/>
        <v>0.6044176707</v>
      </c>
      <c r="N3817" s="2">
        <v>2765400.0</v>
      </c>
      <c r="O3817" s="4">
        <f t="shared" si="6"/>
        <v>5553.012048</v>
      </c>
      <c r="P3817" s="2">
        <v>1.0</v>
      </c>
      <c r="Q3817" s="3">
        <f t="shared" si="7"/>
        <v>0.004347826087</v>
      </c>
      <c r="R3817" s="2">
        <v>211.0</v>
      </c>
      <c r="S3817" s="5">
        <f t="shared" si="8"/>
        <v>0.9173913043</v>
      </c>
    </row>
    <row r="3818">
      <c r="A3818" s="2" t="s">
        <v>3823</v>
      </c>
      <c r="B3818" s="2">
        <v>1015.0</v>
      </c>
      <c r="C3818" s="2">
        <v>11863.0</v>
      </c>
      <c r="D3818" s="2">
        <v>3568.0</v>
      </c>
      <c r="E3818" s="3">
        <f t="shared" si="1"/>
        <v>0.3289085546</v>
      </c>
      <c r="F3818" s="2">
        <v>1400.0</v>
      </c>
      <c r="G3818" s="3">
        <f t="shared" si="2"/>
        <v>0.1290560472</v>
      </c>
      <c r="H3818" s="2">
        <v>2300.0</v>
      </c>
      <c r="I3818" s="3">
        <f t="shared" si="3"/>
        <v>0.212020649</v>
      </c>
      <c r="J3818" s="2">
        <v>2060.0</v>
      </c>
      <c r="K3818" s="3">
        <f t="shared" si="4"/>
        <v>0.1898967552</v>
      </c>
      <c r="L3818" s="2">
        <v>1325.0</v>
      </c>
      <c r="M3818" s="3">
        <f t="shared" si="5"/>
        <v>0.5760869565</v>
      </c>
      <c r="N3818" s="2">
        <v>1.33987E7</v>
      </c>
      <c r="O3818" s="4">
        <f t="shared" si="6"/>
        <v>5825.521739</v>
      </c>
      <c r="P3818" s="2">
        <v>2.0</v>
      </c>
      <c r="Q3818" s="3">
        <f t="shared" si="7"/>
        <v>0.00197044335</v>
      </c>
      <c r="R3818" s="2">
        <v>1015.0</v>
      </c>
      <c r="S3818" s="5">
        <f t="shared" si="8"/>
        <v>1</v>
      </c>
    </row>
    <row r="3819">
      <c r="A3819" s="2" t="s">
        <v>3824</v>
      </c>
      <c r="B3819" s="2">
        <v>192.0</v>
      </c>
      <c r="C3819" s="2">
        <v>2292.0</v>
      </c>
      <c r="D3819" s="2">
        <v>695.0</v>
      </c>
      <c r="E3819" s="3">
        <f t="shared" si="1"/>
        <v>0.330952381</v>
      </c>
      <c r="F3819" s="2">
        <v>271.0</v>
      </c>
      <c r="G3819" s="3">
        <f t="shared" si="2"/>
        <v>0.129047619</v>
      </c>
      <c r="H3819" s="2">
        <v>430.0</v>
      </c>
      <c r="I3819" s="3">
        <f t="shared" si="3"/>
        <v>0.2047619048</v>
      </c>
      <c r="J3819" s="2">
        <v>321.0</v>
      </c>
      <c r="K3819" s="3">
        <f t="shared" si="4"/>
        <v>0.1528571429</v>
      </c>
      <c r="L3819" s="2">
        <v>248.0</v>
      </c>
      <c r="M3819" s="3">
        <f t="shared" si="5"/>
        <v>0.576744186</v>
      </c>
      <c r="N3819" s="2">
        <v>2182300.0</v>
      </c>
      <c r="O3819" s="4">
        <f t="shared" si="6"/>
        <v>5075.116279</v>
      </c>
      <c r="P3819" s="2">
        <v>1.0</v>
      </c>
      <c r="Q3819" s="3">
        <f t="shared" si="7"/>
        <v>0.005208333333</v>
      </c>
      <c r="R3819" s="2">
        <v>140.0</v>
      </c>
      <c r="S3819" s="5">
        <f t="shared" si="8"/>
        <v>0.7291666667</v>
      </c>
    </row>
    <row r="3820">
      <c r="A3820" s="2" t="s">
        <v>3825</v>
      </c>
      <c r="B3820" s="2">
        <v>611.0</v>
      </c>
      <c r="C3820" s="2">
        <v>7159.0</v>
      </c>
      <c r="D3820" s="2">
        <v>2310.0</v>
      </c>
      <c r="E3820" s="3">
        <f t="shared" si="1"/>
        <v>0.3527794746</v>
      </c>
      <c r="F3820" s="2">
        <v>845.0</v>
      </c>
      <c r="G3820" s="3">
        <f t="shared" si="2"/>
        <v>0.1290470373</v>
      </c>
      <c r="H3820" s="2">
        <v>1379.0</v>
      </c>
      <c r="I3820" s="3">
        <f t="shared" si="3"/>
        <v>0.2105986561</v>
      </c>
      <c r="J3820" s="2">
        <v>1116.0</v>
      </c>
      <c r="K3820" s="3">
        <f t="shared" si="4"/>
        <v>0.1704337202</v>
      </c>
      <c r="L3820" s="2">
        <v>846.0</v>
      </c>
      <c r="M3820" s="3">
        <f t="shared" si="5"/>
        <v>0.6134880348</v>
      </c>
      <c r="N3820" s="2">
        <v>7621800.0</v>
      </c>
      <c r="O3820" s="4">
        <f t="shared" si="6"/>
        <v>5527.048586</v>
      </c>
      <c r="P3820" s="2">
        <v>4.0</v>
      </c>
      <c r="Q3820" s="3">
        <f t="shared" si="7"/>
        <v>0.006546644845</v>
      </c>
      <c r="R3820" s="2">
        <v>611.0</v>
      </c>
      <c r="S3820" s="5">
        <f t="shared" si="8"/>
        <v>1</v>
      </c>
    </row>
    <row r="3821">
      <c r="A3821" s="2" t="s">
        <v>3826</v>
      </c>
      <c r="B3821" s="2">
        <v>1623.0</v>
      </c>
      <c r="C3821" s="2">
        <v>18967.0</v>
      </c>
      <c r="D3821" s="2">
        <v>6718.0</v>
      </c>
      <c r="E3821" s="3">
        <f t="shared" si="1"/>
        <v>0.3873385609</v>
      </c>
      <c r="F3821" s="2">
        <v>2238.0</v>
      </c>
      <c r="G3821" s="3">
        <f t="shared" si="2"/>
        <v>0.1290359779</v>
      </c>
      <c r="H3821" s="2">
        <v>3634.0</v>
      </c>
      <c r="I3821" s="3">
        <f t="shared" si="3"/>
        <v>0.2095249077</v>
      </c>
      <c r="J3821" s="2">
        <v>3432.0</v>
      </c>
      <c r="K3821" s="3">
        <f t="shared" si="4"/>
        <v>0.1978782288</v>
      </c>
      <c r="L3821" s="2">
        <v>2125.0</v>
      </c>
      <c r="M3821" s="3">
        <f t="shared" si="5"/>
        <v>0.5847550908</v>
      </c>
      <c r="N3821" s="2">
        <v>2.06828E7</v>
      </c>
      <c r="O3821" s="4">
        <f t="shared" si="6"/>
        <v>5691.469455</v>
      </c>
      <c r="P3821" s="2">
        <v>5.0</v>
      </c>
      <c r="Q3821" s="3">
        <f t="shared" si="7"/>
        <v>0.003080714726</v>
      </c>
      <c r="R3821" s="2">
        <v>1557.0</v>
      </c>
      <c r="S3821" s="5">
        <f t="shared" si="8"/>
        <v>0.9593345656</v>
      </c>
    </row>
    <row r="3822">
      <c r="A3822" s="2" t="s">
        <v>3827</v>
      </c>
      <c r="B3822" s="2">
        <v>9.0</v>
      </c>
      <c r="C3822" s="2">
        <v>102.0</v>
      </c>
      <c r="D3822" s="2">
        <v>24.0</v>
      </c>
      <c r="E3822" s="3">
        <f t="shared" si="1"/>
        <v>0.2580645161</v>
      </c>
      <c r="F3822" s="2">
        <v>12.0</v>
      </c>
      <c r="G3822" s="3">
        <f t="shared" si="2"/>
        <v>0.1290322581</v>
      </c>
      <c r="H3822" s="2">
        <v>19.0</v>
      </c>
      <c r="I3822" s="3">
        <f t="shared" si="3"/>
        <v>0.2043010753</v>
      </c>
      <c r="J3822" s="2">
        <v>28.0</v>
      </c>
      <c r="K3822" s="3">
        <f t="shared" si="4"/>
        <v>0.3010752688</v>
      </c>
      <c r="L3822" s="2">
        <v>5.0</v>
      </c>
      <c r="M3822" s="3">
        <f t="shared" si="5"/>
        <v>0.2631578947</v>
      </c>
      <c r="N3822" s="2">
        <v>146500.0</v>
      </c>
      <c r="O3822" s="4">
        <f t="shared" si="6"/>
        <v>7710.526316</v>
      </c>
      <c r="P3822" s="2">
        <v>0.0</v>
      </c>
      <c r="Q3822" s="3">
        <f t="shared" si="7"/>
        <v>0</v>
      </c>
      <c r="R3822" s="2">
        <v>2.0</v>
      </c>
      <c r="S3822" s="5">
        <f t="shared" si="8"/>
        <v>0.2222222222</v>
      </c>
    </row>
    <row r="3823">
      <c r="A3823" s="2" t="s">
        <v>3828</v>
      </c>
      <c r="B3823" s="2">
        <v>6.0</v>
      </c>
      <c r="C3823" s="2">
        <v>68.0</v>
      </c>
      <c r="D3823" s="2">
        <v>27.0</v>
      </c>
      <c r="E3823" s="3">
        <f t="shared" si="1"/>
        <v>0.435483871</v>
      </c>
      <c r="F3823" s="2">
        <v>8.0</v>
      </c>
      <c r="G3823" s="3">
        <f t="shared" si="2"/>
        <v>0.1290322581</v>
      </c>
      <c r="H3823" s="2">
        <v>11.0</v>
      </c>
      <c r="I3823" s="3">
        <f t="shared" si="3"/>
        <v>0.1774193548</v>
      </c>
      <c r="J3823" s="2">
        <v>17.0</v>
      </c>
      <c r="K3823" s="3">
        <f t="shared" si="4"/>
        <v>0.2741935484</v>
      </c>
      <c r="L3823" s="2">
        <v>7.0</v>
      </c>
      <c r="M3823" s="3">
        <f t="shared" si="5"/>
        <v>0.6363636364</v>
      </c>
      <c r="N3823" s="2">
        <v>62700.0</v>
      </c>
      <c r="O3823" s="4">
        <f t="shared" si="6"/>
        <v>5700</v>
      </c>
      <c r="P3823" s="2">
        <v>0.0</v>
      </c>
      <c r="Q3823" s="3">
        <f t="shared" si="7"/>
        <v>0</v>
      </c>
      <c r="R3823" s="2">
        <v>6.0</v>
      </c>
      <c r="S3823" s="5">
        <f t="shared" si="8"/>
        <v>1</v>
      </c>
    </row>
    <row r="3824">
      <c r="A3824" s="2" t="s">
        <v>3829</v>
      </c>
      <c r="B3824" s="2">
        <v>9.0</v>
      </c>
      <c r="C3824" s="2">
        <v>102.0</v>
      </c>
      <c r="D3824" s="2">
        <v>23.0</v>
      </c>
      <c r="E3824" s="3">
        <f t="shared" si="1"/>
        <v>0.247311828</v>
      </c>
      <c r="F3824" s="2">
        <v>12.0</v>
      </c>
      <c r="G3824" s="3">
        <f t="shared" si="2"/>
        <v>0.1290322581</v>
      </c>
      <c r="H3824" s="2">
        <v>20.0</v>
      </c>
      <c r="I3824" s="3">
        <f t="shared" si="3"/>
        <v>0.2150537634</v>
      </c>
      <c r="J3824" s="2">
        <v>23.0</v>
      </c>
      <c r="K3824" s="3">
        <f t="shared" si="4"/>
        <v>0.247311828</v>
      </c>
      <c r="L3824" s="2">
        <v>9.0</v>
      </c>
      <c r="M3824" s="3">
        <f t="shared" si="5"/>
        <v>0.45</v>
      </c>
      <c r="N3824" s="2">
        <v>146100.0</v>
      </c>
      <c r="O3824" s="4">
        <f t="shared" si="6"/>
        <v>7305</v>
      </c>
      <c r="P3824" s="2">
        <v>0.0</v>
      </c>
      <c r="Q3824" s="3">
        <f t="shared" si="7"/>
        <v>0</v>
      </c>
      <c r="R3824" s="2">
        <v>9.0</v>
      </c>
      <c r="S3824" s="5">
        <f t="shared" si="8"/>
        <v>1</v>
      </c>
    </row>
    <row r="3825">
      <c r="A3825" s="2" t="s">
        <v>3830</v>
      </c>
      <c r="B3825" s="2">
        <v>726.0</v>
      </c>
      <c r="C3825" s="2">
        <v>8507.0</v>
      </c>
      <c r="D3825" s="2">
        <v>2996.0</v>
      </c>
      <c r="E3825" s="3">
        <f t="shared" si="1"/>
        <v>0.3850404832</v>
      </c>
      <c r="F3825" s="2">
        <v>1004.0</v>
      </c>
      <c r="G3825" s="3">
        <f t="shared" si="2"/>
        <v>0.1290322581</v>
      </c>
      <c r="H3825" s="2">
        <v>1668.0</v>
      </c>
      <c r="I3825" s="3">
        <f t="shared" si="3"/>
        <v>0.2143683331</v>
      </c>
      <c r="J3825" s="2">
        <v>1221.0</v>
      </c>
      <c r="K3825" s="3">
        <f t="shared" si="4"/>
        <v>0.1569207043</v>
      </c>
      <c r="L3825" s="2">
        <v>981.0</v>
      </c>
      <c r="M3825" s="3">
        <f t="shared" si="5"/>
        <v>0.5881294964</v>
      </c>
      <c r="N3825" s="2">
        <v>9144800.0</v>
      </c>
      <c r="O3825" s="4">
        <f t="shared" si="6"/>
        <v>5482.494005</v>
      </c>
      <c r="P3825" s="2">
        <v>1.0</v>
      </c>
      <c r="Q3825" s="3">
        <f t="shared" si="7"/>
        <v>0.001377410468</v>
      </c>
      <c r="R3825" s="2">
        <v>647.0</v>
      </c>
      <c r="S3825" s="5">
        <f t="shared" si="8"/>
        <v>0.891184573</v>
      </c>
    </row>
    <row r="3826">
      <c r="A3826" s="2" t="s">
        <v>3831</v>
      </c>
      <c r="B3826" s="2">
        <v>53.0</v>
      </c>
      <c r="C3826" s="2">
        <v>611.0</v>
      </c>
      <c r="D3826" s="2">
        <v>178.0</v>
      </c>
      <c r="E3826" s="3">
        <f t="shared" si="1"/>
        <v>0.3189964158</v>
      </c>
      <c r="F3826" s="2">
        <v>72.0</v>
      </c>
      <c r="G3826" s="3">
        <f t="shared" si="2"/>
        <v>0.1290322581</v>
      </c>
      <c r="H3826" s="2">
        <v>107.0</v>
      </c>
      <c r="I3826" s="3">
        <f t="shared" si="3"/>
        <v>0.1917562724</v>
      </c>
      <c r="J3826" s="2">
        <v>85.0</v>
      </c>
      <c r="K3826" s="3">
        <f t="shared" si="4"/>
        <v>0.1523297491</v>
      </c>
      <c r="L3826" s="2">
        <v>66.0</v>
      </c>
      <c r="M3826" s="3">
        <f t="shared" si="5"/>
        <v>0.6168224299</v>
      </c>
      <c r="N3826" s="2">
        <v>627800.0</v>
      </c>
      <c r="O3826" s="4">
        <f t="shared" si="6"/>
        <v>5867.28972</v>
      </c>
      <c r="P3826" s="2">
        <v>0.0</v>
      </c>
      <c r="Q3826" s="3">
        <f t="shared" si="7"/>
        <v>0</v>
      </c>
      <c r="R3826" s="2">
        <v>53.0</v>
      </c>
      <c r="S3826" s="5">
        <f t="shared" si="8"/>
        <v>1</v>
      </c>
    </row>
    <row r="3827">
      <c r="A3827" s="2" t="s">
        <v>3832</v>
      </c>
      <c r="B3827" s="2">
        <v>705.0</v>
      </c>
      <c r="C3827" s="2">
        <v>8153.0</v>
      </c>
      <c r="D3827" s="2">
        <v>2441.0</v>
      </c>
      <c r="E3827" s="3">
        <f t="shared" si="1"/>
        <v>0.3277389903</v>
      </c>
      <c r="F3827" s="2">
        <v>961.0</v>
      </c>
      <c r="G3827" s="3">
        <f t="shared" si="2"/>
        <v>0.129027927</v>
      </c>
      <c r="H3827" s="2">
        <v>1513.0</v>
      </c>
      <c r="I3827" s="3">
        <f t="shared" si="3"/>
        <v>0.203141783</v>
      </c>
      <c r="J3827" s="2">
        <v>1298.0</v>
      </c>
      <c r="K3827" s="3">
        <f t="shared" si="4"/>
        <v>0.1742749731</v>
      </c>
      <c r="L3827" s="2">
        <v>909.0</v>
      </c>
      <c r="M3827" s="3">
        <f t="shared" si="5"/>
        <v>0.6007931262</v>
      </c>
      <c r="N3827" s="2">
        <v>8615300.0</v>
      </c>
      <c r="O3827" s="4">
        <f t="shared" si="6"/>
        <v>5694.183741</v>
      </c>
      <c r="P3827" s="2">
        <v>0.0</v>
      </c>
      <c r="Q3827" s="3">
        <f t="shared" si="7"/>
        <v>0</v>
      </c>
      <c r="R3827" s="2">
        <v>705.0</v>
      </c>
      <c r="S3827" s="5">
        <f t="shared" si="8"/>
        <v>1</v>
      </c>
    </row>
    <row r="3828">
      <c r="A3828" s="2" t="s">
        <v>3833</v>
      </c>
      <c r="B3828" s="2">
        <v>752.0</v>
      </c>
      <c r="C3828" s="2">
        <v>8852.0</v>
      </c>
      <c r="D3828" s="2">
        <v>2941.0</v>
      </c>
      <c r="E3828" s="3">
        <f t="shared" si="1"/>
        <v>0.3630864198</v>
      </c>
      <c r="F3828" s="2">
        <v>1045.0</v>
      </c>
      <c r="G3828" s="3">
        <f t="shared" si="2"/>
        <v>0.1290123457</v>
      </c>
      <c r="H3828" s="2">
        <v>1795.0</v>
      </c>
      <c r="I3828" s="3">
        <f t="shared" si="3"/>
        <v>0.2216049383</v>
      </c>
      <c r="J3828" s="2">
        <v>1478.0</v>
      </c>
      <c r="K3828" s="3">
        <f t="shared" si="4"/>
        <v>0.1824691358</v>
      </c>
      <c r="L3828" s="2">
        <v>1084.0</v>
      </c>
      <c r="M3828" s="3">
        <f t="shared" si="5"/>
        <v>0.6038997214</v>
      </c>
      <c r="N3828" s="2">
        <v>9694800.0</v>
      </c>
      <c r="O3828" s="4">
        <f t="shared" si="6"/>
        <v>5401.002786</v>
      </c>
      <c r="P3828" s="2">
        <v>2.0</v>
      </c>
      <c r="Q3828" s="3">
        <f t="shared" si="7"/>
        <v>0.002659574468</v>
      </c>
      <c r="R3828" s="2">
        <v>752.0</v>
      </c>
      <c r="S3828" s="5">
        <f t="shared" si="8"/>
        <v>1</v>
      </c>
    </row>
    <row r="3829">
      <c r="A3829" s="2" t="s">
        <v>3834</v>
      </c>
      <c r="B3829" s="2">
        <v>1259.0</v>
      </c>
      <c r="C3829" s="2">
        <v>14444.0</v>
      </c>
      <c r="D3829" s="2">
        <v>3320.0</v>
      </c>
      <c r="E3829" s="3">
        <f t="shared" si="1"/>
        <v>0.2518012893</v>
      </c>
      <c r="F3829" s="2">
        <v>1701.0</v>
      </c>
      <c r="G3829" s="3">
        <f t="shared" si="2"/>
        <v>0.1290102389</v>
      </c>
      <c r="H3829" s="2">
        <v>2691.0</v>
      </c>
      <c r="I3829" s="3">
        <f t="shared" si="3"/>
        <v>0.2040955631</v>
      </c>
      <c r="J3829" s="2">
        <v>2593.0</v>
      </c>
      <c r="K3829" s="3">
        <f t="shared" si="4"/>
        <v>0.1966628745</v>
      </c>
      <c r="L3829" s="2">
        <v>1585.0</v>
      </c>
      <c r="M3829" s="3">
        <f t="shared" si="5"/>
        <v>0.5890003716</v>
      </c>
      <c r="N3829" s="2">
        <v>1.62995E7</v>
      </c>
      <c r="O3829" s="4">
        <f t="shared" si="6"/>
        <v>6057.041992</v>
      </c>
      <c r="P3829" s="2">
        <v>1.0</v>
      </c>
      <c r="Q3829" s="3">
        <f t="shared" si="7"/>
        <v>0.0007942811755</v>
      </c>
      <c r="R3829" s="2">
        <v>1259.0</v>
      </c>
      <c r="S3829" s="5">
        <f t="shared" si="8"/>
        <v>1</v>
      </c>
    </row>
    <row r="3830">
      <c r="A3830" s="2" t="s">
        <v>3835</v>
      </c>
      <c r="B3830" s="2">
        <v>547.0</v>
      </c>
      <c r="C3830" s="2">
        <v>6446.0</v>
      </c>
      <c r="D3830" s="2">
        <v>2060.0</v>
      </c>
      <c r="E3830" s="3">
        <f t="shared" si="1"/>
        <v>0.3492117308</v>
      </c>
      <c r="F3830" s="2">
        <v>761.0</v>
      </c>
      <c r="G3830" s="3">
        <f t="shared" si="2"/>
        <v>0.1290049161</v>
      </c>
      <c r="H3830" s="2">
        <v>1215.0</v>
      </c>
      <c r="I3830" s="3">
        <f t="shared" si="3"/>
        <v>0.2059671131</v>
      </c>
      <c r="J3830" s="2">
        <v>890.0</v>
      </c>
      <c r="K3830" s="3">
        <f t="shared" si="4"/>
        <v>0.1508730293</v>
      </c>
      <c r="L3830" s="2">
        <v>731.0</v>
      </c>
      <c r="M3830" s="3">
        <f t="shared" si="5"/>
        <v>0.6016460905</v>
      </c>
      <c r="N3830" s="2">
        <v>7080500.0</v>
      </c>
      <c r="O3830" s="4">
        <f t="shared" si="6"/>
        <v>5827.572016</v>
      </c>
      <c r="P3830" s="2">
        <v>3.0</v>
      </c>
      <c r="Q3830" s="3">
        <f t="shared" si="7"/>
        <v>0.005484460695</v>
      </c>
      <c r="R3830" s="2">
        <v>547.0</v>
      </c>
      <c r="S3830" s="5">
        <f t="shared" si="8"/>
        <v>1</v>
      </c>
    </row>
    <row r="3831">
      <c r="A3831" s="2" t="s">
        <v>3836</v>
      </c>
      <c r="B3831" s="2">
        <v>419.0</v>
      </c>
      <c r="C3831" s="2">
        <v>4884.0</v>
      </c>
      <c r="D3831" s="2">
        <v>1501.0</v>
      </c>
      <c r="E3831" s="3">
        <f t="shared" si="1"/>
        <v>0.3361702128</v>
      </c>
      <c r="F3831" s="2">
        <v>576.0</v>
      </c>
      <c r="G3831" s="3">
        <f t="shared" si="2"/>
        <v>0.1290033595</v>
      </c>
      <c r="H3831" s="2">
        <v>866.0</v>
      </c>
      <c r="I3831" s="3">
        <f t="shared" si="3"/>
        <v>0.1939529675</v>
      </c>
      <c r="J3831" s="2">
        <v>734.0</v>
      </c>
      <c r="K3831" s="3">
        <f t="shared" si="4"/>
        <v>0.1643896976</v>
      </c>
      <c r="L3831" s="2">
        <v>523.0</v>
      </c>
      <c r="M3831" s="3">
        <f t="shared" si="5"/>
        <v>0.603926097</v>
      </c>
      <c r="N3831" s="2">
        <v>5186600.0</v>
      </c>
      <c r="O3831" s="4">
        <f t="shared" si="6"/>
        <v>5989.145497</v>
      </c>
      <c r="P3831" s="2">
        <v>1.0</v>
      </c>
      <c r="Q3831" s="3">
        <f t="shared" si="7"/>
        <v>0.002386634845</v>
      </c>
      <c r="R3831" s="2">
        <v>412.0</v>
      </c>
      <c r="S3831" s="5">
        <f t="shared" si="8"/>
        <v>0.9832935561</v>
      </c>
    </row>
    <row r="3832">
      <c r="A3832" s="2" t="s">
        <v>3837</v>
      </c>
      <c r="B3832" s="2">
        <v>97.0</v>
      </c>
      <c r="C3832" s="2">
        <v>1159.0</v>
      </c>
      <c r="D3832" s="2">
        <v>339.0</v>
      </c>
      <c r="E3832" s="3">
        <f t="shared" si="1"/>
        <v>0.3192090395</v>
      </c>
      <c r="F3832" s="2">
        <v>137.0</v>
      </c>
      <c r="G3832" s="3">
        <f t="shared" si="2"/>
        <v>0.1290018832</v>
      </c>
      <c r="H3832" s="2">
        <v>207.0</v>
      </c>
      <c r="I3832" s="3">
        <f t="shared" si="3"/>
        <v>0.1949152542</v>
      </c>
      <c r="J3832" s="2">
        <v>195.0</v>
      </c>
      <c r="K3832" s="3">
        <f t="shared" si="4"/>
        <v>0.1836158192</v>
      </c>
      <c r="L3832" s="2">
        <v>125.0</v>
      </c>
      <c r="M3832" s="3">
        <f t="shared" si="5"/>
        <v>0.6038647343</v>
      </c>
      <c r="N3832" s="2">
        <v>1050700.0</v>
      </c>
      <c r="O3832" s="4">
        <f t="shared" si="6"/>
        <v>5075.845411</v>
      </c>
      <c r="P3832" s="2">
        <v>0.0</v>
      </c>
      <c r="Q3832" s="3">
        <f t="shared" si="7"/>
        <v>0</v>
      </c>
      <c r="R3832" s="2">
        <v>97.0</v>
      </c>
      <c r="S3832" s="5">
        <f t="shared" si="8"/>
        <v>1</v>
      </c>
    </row>
    <row r="3833">
      <c r="A3833" s="2" t="s">
        <v>3838</v>
      </c>
      <c r="B3833" s="2">
        <v>95.0</v>
      </c>
      <c r="C3833" s="2">
        <v>1157.0</v>
      </c>
      <c r="D3833" s="2">
        <v>425.0</v>
      </c>
      <c r="E3833" s="3">
        <f t="shared" si="1"/>
        <v>0.4001883239</v>
      </c>
      <c r="F3833" s="2">
        <v>137.0</v>
      </c>
      <c r="G3833" s="3">
        <f t="shared" si="2"/>
        <v>0.1290018832</v>
      </c>
      <c r="H3833" s="2">
        <v>238.0</v>
      </c>
      <c r="I3833" s="3">
        <f t="shared" si="3"/>
        <v>0.2241054614</v>
      </c>
      <c r="J3833" s="2">
        <v>180.0</v>
      </c>
      <c r="K3833" s="3">
        <f t="shared" si="4"/>
        <v>0.1694915254</v>
      </c>
      <c r="L3833" s="2">
        <v>139.0</v>
      </c>
      <c r="M3833" s="3">
        <f t="shared" si="5"/>
        <v>0.5840336134</v>
      </c>
      <c r="N3833" s="2">
        <v>1244100.0</v>
      </c>
      <c r="O3833" s="4">
        <f t="shared" si="6"/>
        <v>5227.310924</v>
      </c>
      <c r="P3833" s="2">
        <v>2.0</v>
      </c>
      <c r="Q3833" s="3">
        <f t="shared" si="7"/>
        <v>0.02105263158</v>
      </c>
      <c r="R3833" s="2">
        <v>95.0</v>
      </c>
      <c r="S3833" s="5">
        <f t="shared" si="8"/>
        <v>1</v>
      </c>
    </row>
    <row r="3834">
      <c r="A3834" s="2" t="s">
        <v>3839</v>
      </c>
      <c r="B3834" s="2">
        <v>1263.0</v>
      </c>
      <c r="C3834" s="2">
        <v>14783.0</v>
      </c>
      <c r="D3834" s="2">
        <v>4385.0</v>
      </c>
      <c r="E3834" s="3">
        <f t="shared" si="1"/>
        <v>0.3243343195</v>
      </c>
      <c r="F3834" s="2">
        <v>1744.0</v>
      </c>
      <c r="G3834" s="3">
        <f t="shared" si="2"/>
        <v>0.1289940828</v>
      </c>
      <c r="H3834" s="2">
        <v>2779.0</v>
      </c>
      <c r="I3834" s="3">
        <f t="shared" si="3"/>
        <v>0.2055473373</v>
      </c>
      <c r="J3834" s="2">
        <v>2303.0</v>
      </c>
      <c r="K3834" s="3">
        <f t="shared" si="4"/>
        <v>0.1703402367</v>
      </c>
      <c r="L3834" s="2">
        <v>1658.0</v>
      </c>
      <c r="M3834" s="3">
        <f t="shared" si="5"/>
        <v>0.5966174883</v>
      </c>
      <c r="N3834" s="2">
        <v>1.57667E7</v>
      </c>
      <c r="O3834" s="4">
        <f t="shared" si="6"/>
        <v>5673.515653</v>
      </c>
      <c r="P3834" s="2">
        <v>2.0</v>
      </c>
      <c r="Q3834" s="3">
        <f t="shared" si="7"/>
        <v>0.001583531275</v>
      </c>
      <c r="R3834" s="2">
        <v>1263.0</v>
      </c>
      <c r="S3834" s="5">
        <f t="shared" si="8"/>
        <v>1</v>
      </c>
    </row>
    <row r="3835">
      <c r="A3835" s="2" t="s">
        <v>3840</v>
      </c>
      <c r="B3835" s="2">
        <v>929.0</v>
      </c>
      <c r="C3835" s="2">
        <v>10852.0</v>
      </c>
      <c r="D3835" s="2">
        <v>3311.0</v>
      </c>
      <c r="E3835" s="3">
        <f t="shared" si="1"/>
        <v>0.3336692533</v>
      </c>
      <c r="F3835" s="2">
        <v>1280.0</v>
      </c>
      <c r="G3835" s="3">
        <f t="shared" si="2"/>
        <v>0.128993248</v>
      </c>
      <c r="H3835" s="2">
        <v>2078.0</v>
      </c>
      <c r="I3835" s="3">
        <f t="shared" si="3"/>
        <v>0.2094124761</v>
      </c>
      <c r="J3835" s="2">
        <v>2027.0</v>
      </c>
      <c r="K3835" s="3">
        <f t="shared" si="4"/>
        <v>0.2042729013</v>
      </c>
      <c r="L3835" s="2">
        <v>1200.0</v>
      </c>
      <c r="M3835" s="3">
        <f t="shared" si="5"/>
        <v>0.5774783446</v>
      </c>
      <c r="N3835" s="2">
        <v>1.17049E7</v>
      </c>
      <c r="O3835" s="4">
        <f t="shared" si="6"/>
        <v>5632.771896</v>
      </c>
      <c r="P3835" s="2">
        <v>1.0</v>
      </c>
      <c r="Q3835" s="3">
        <f t="shared" si="7"/>
        <v>0.001076426265</v>
      </c>
      <c r="R3835" s="2">
        <v>0.0</v>
      </c>
      <c r="S3835" s="5">
        <f t="shared" si="8"/>
        <v>0</v>
      </c>
    </row>
    <row r="3836">
      <c r="A3836" s="2" t="s">
        <v>3841</v>
      </c>
      <c r="B3836" s="2">
        <v>303.0</v>
      </c>
      <c r="C3836" s="2">
        <v>3559.0</v>
      </c>
      <c r="D3836" s="2">
        <v>1291.0</v>
      </c>
      <c r="E3836" s="3">
        <f t="shared" si="1"/>
        <v>0.3964987715</v>
      </c>
      <c r="F3836" s="2">
        <v>420.0</v>
      </c>
      <c r="G3836" s="3">
        <f t="shared" si="2"/>
        <v>0.128992629</v>
      </c>
      <c r="H3836" s="2">
        <v>692.0</v>
      </c>
      <c r="I3836" s="3">
        <f t="shared" si="3"/>
        <v>0.2125307125</v>
      </c>
      <c r="J3836" s="2">
        <v>522.0</v>
      </c>
      <c r="K3836" s="3">
        <f t="shared" si="4"/>
        <v>0.1603194103</v>
      </c>
      <c r="L3836" s="2">
        <v>415.0</v>
      </c>
      <c r="M3836" s="3">
        <f t="shared" si="5"/>
        <v>0.5997109827</v>
      </c>
      <c r="N3836" s="2">
        <v>3763400.0</v>
      </c>
      <c r="O3836" s="4">
        <f t="shared" si="6"/>
        <v>5438.439306</v>
      </c>
      <c r="P3836" s="2">
        <v>2.0</v>
      </c>
      <c r="Q3836" s="3">
        <f t="shared" si="7"/>
        <v>0.006600660066</v>
      </c>
      <c r="R3836" s="2">
        <v>303.0</v>
      </c>
      <c r="S3836" s="5">
        <f t="shared" si="8"/>
        <v>1</v>
      </c>
    </row>
    <row r="3837">
      <c r="A3837" s="2" t="s">
        <v>3842</v>
      </c>
      <c r="B3837" s="2">
        <v>72.0</v>
      </c>
      <c r="C3837" s="2">
        <v>855.0</v>
      </c>
      <c r="D3837" s="2">
        <v>245.0</v>
      </c>
      <c r="E3837" s="3">
        <f t="shared" si="1"/>
        <v>0.312899106</v>
      </c>
      <c r="F3837" s="2">
        <v>101.0</v>
      </c>
      <c r="G3837" s="3">
        <f t="shared" si="2"/>
        <v>0.12899106</v>
      </c>
      <c r="H3837" s="2">
        <v>155.0</v>
      </c>
      <c r="I3837" s="3">
        <f t="shared" si="3"/>
        <v>0.1979565773</v>
      </c>
      <c r="J3837" s="2">
        <v>137.0</v>
      </c>
      <c r="K3837" s="3">
        <f t="shared" si="4"/>
        <v>0.1749680715</v>
      </c>
      <c r="L3837" s="2">
        <v>92.0</v>
      </c>
      <c r="M3837" s="3">
        <f t="shared" si="5"/>
        <v>0.5935483871</v>
      </c>
      <c r="N3837" s="2">
        <v>987800.0</v>
      </c>
      <c r="O3837" s="4">
        <f t="shared" si="6"/>
        <v>6372.903226</v>
      </c>
      <c r="P3837" s="2">
        <v>0.0</v>
      </c>
      <c r="Q3837" s="3">
        <f t="shared" si="7"/>
        <v>0</v>
      </c>
      <c r="R3837" s="2">
        <v>28.0</v>
      </c>
      <c r="S3837" s="5">
        <f t="shared" si="8"/>
        <v>0.3888888889</v>
      </c>
    </row>
    <row r="3838">
      <c r="A3838" s="2" t="s">
        <v>3843</v>
      </c>
      <c r="B3838" s="2">
        <v>1753.0</v>
      </c>
      <c r="C3838" s="2">
        <v>20424.0</v>
      </c>
      <c r="D3838" s="2">
        <v>4738.0</v>
      </c>
      <c r="E3838" s="3">
        <f t="shared" si="1"/>
        <v>0.2537625194</v>
      </c>
      <c r="F3838" s="2">
        <v>2408.0</v>
      </c>
      <c r="G3838" s="3">
        <f t="shared" si="2"/>
        <v>0.1289700605</v>
      </c>
      <c r="H3838" s="2">
        <v>3774.0</v>
      </c>
      <c r="I3838" s="3">
        <f t="shared" si="3"/>
        <v>0.202131648</v>
      </c>
      <c r="J3838" s="2">
        <v>3478.0</v>
      </c>
      <c r="K3838" s="3">
        <f t="shared" si="4"/>
        <v>0.1862781854</v>
      </c>
      <c r="L3838" s="2">
        <v>2197.0</v>
      </c>
      <c r="M3838" s="3">
        <f t="shared" si="5"/>
        <v>0.5821409645</v>
      </c>
      <c r="N3838" s="2">
        <v>2.29651E7</v>
      </c>
      <c r="O3838" s="4">
        <f t="shared" si="6"/>
        <v>6085.082141</v>
      </c>
      <c r="P3838" s="2">
        <v>8.0</v>
      </c>
      <c r="Q3838" s="3">
        <f t="shared" si="7"/>
        <v>0.004563605248</v>
      </c>
      <c r="R3838" s="2">
        <v>1753.0</v>
      </c>
      <c r="S3838" s="5">
        <f t="shared" si="8"/>
        <v>1</v>
      </c>
    </row>
    <row r="3839">
      <c r="A3839" s="2" t="s">
        <v>3844</v>
      </c>
      <c r="B3839" s="2">
        <v>331.0</v>
      </c>
      <c r="C3839" s="2">
        <v>3890.0</v>
      </c>
      <c r="D3839" s="2">
        <v>1256.0</v>
      </c>
      <c r="E3839" s="3">
        <f t="shared" si="1"/>
        <v>0.3529081203</v>
      </c>
      <c r="F3839" s="2">
        <v>459.0</v>
      </c>
      <c r="G3839" s="3">
        <f t="shared" si="2"/>
        <v>0.1289688115</v>
      </c>
      <c r="H3839" s="2">
        <v>750.0</v>
      </c>
      <c r="I3839" s="3">
        <f t="shared" si="3"/>
        <v>0.2107333521</v>
      </c>
      <c r="J3839" s="2">
        <v>553.0</v>
      </c>
      <c r="K3839" s="3">
        <f t="shared" si="4"/>
        <v>0.1553807249</v>
      </c>
      <c r="L3839" s="2">
        <v>464.0</v>
      </c>
      <c r="M3839" s="3">
        <f t="shared" si="5"/>
        <v>0.6186666667</v>
      </c>
      <c r="N3839" s="2">
        <v>3873000.0</v>
      </c>
      <c r="O3839" s="4">
        <f t="shared" si="6"/>
        <v>5164</v>
      </c>
      <c r="P3839" s="2">
        <v>1.0</v>
      </c>
      <c r="Q3839" s="3">
        <f t="shared" si="7"/>
        <v>0.003021148036</v>
      </c>
      <c r="R3839" s="2">
        <v>159.0</v>
      </c>
      <c r="S3839" s="5">
        <f t="shared" si="8"/>
        <v>0.4803625378</v>
      </c>
    </row>
    <row r="3840">
      <c r="A3840" s="2" t="s">
        <v>3845</v>
      </c>
      <c r="B3840" s="2">
        <v>261.0</v>
      </c>
      <c r="C3840" s="2">
        <v>3006.0</v>
      </c>
      <c r="D3840" s="2">
        <v>849.0</v>
      </c>
      <c r="E3840" s="3">
        <f t="shared" si="1"/>
        <v>0.3092896175</v>
      </c>
      <c r="F3840" s="2">
        <v>354.0</v>
      </c>
      <c r="G3840" s="3">
        <f t="shared" si="2"/>
        <v>0.1289617486</v>
      </c>
      <c r="H3840" s="2">
        <v>593.0</v>
      </c>
      <c r="I3840" s="3">
        <f t="shared" si="3"/>
        <v>0.2160291439</v>
      </c>
      <c r="J3840" s="2">
        <v>474.0</v>
      </c>
      <c r="K3840" s="3">
        <f t="shared" si="4"/>
        <v>0.1726775956</v>
      </c>
      <c r="L3840" s="2">
        <v>348.0</v>
      </c>
      <c r="M3840" s="3">
        <f t="shared" si="5"/>
        <v>0.586846543</v>
      </c>
      <c r="N3840" s="2">
        <v>3442600.0</v>
      </c>
      <c r="O3840" s="4">
        <f t="shared" si="6"/>
        <v>5805.39629</v>
      </c>
      <c r="P3840" s="2">
        <v>1.0</v>
      </c>
      <c r="Q3840" s="3">
        <f t="shared" si="7"/>
        <v>0.003831417625</v>
      </c>
      <c r="R3840" s="2">
        <v>261.0</v>
      </c>
      <c r="S3840" s="5">
        <f t="shared" si="8"/>
        <v>1</v>
      </c>
    </row>
    <row r="3841">
      <c r="A3841" s="2" t="s">
        <v>3846</v>
      </c>
      <c r="B3841" s="2">
        <v>1432.0</v>
      </c>
      <c r="C3841" s="2">
        <v>16956.0</v>
      </c>
      <c r="D3841" s="2">
        <v>5633.0</v>
      </c>
      <c r="E3841" s="3">
        <f t="shared" si="1"/>
        <v>0.362857511</v>
      </c>
      <c r="F3841" s="2">
        <v>2002.0</v>
      </c>
      <c r="G3841" s="3">
        <f t="shared" si="2"/>
        <v>0.1289616078</v>
      </c>
      <c r="H3841" s="2">
        <v>3283.0</v>
      </c>
      <c r="I3841" s="3">
        <f t="shared" si="3"/>
        <v>0.2114790003</v>
      </c>
      <c r="J3841" s="2">
        <v>2636.0</v>
      </c>
      <c r="K3841" s="3">
        <f t="shared" si="4"/>
        <v>0.1698015975</v>
      </c>
      <c r="L3841" s="2">
        <v>1999.0</v>
      </c>
      <c r="M3841" s="3">
        <f t="shared" si="5"/>
        <v>0.608894304</v>
      </c>
      <c r="N3841" s="2">
        <v>1.86395E7</v>
      </c>
      <c r="O3841" s="4">
        <f t="shared" si="6"/>
        <v>5677.58148</v>
      </c>
      <c r="P3841" s="2">
        <v>7.0</v>
      </c>
      <c r="Q3841" s="3">
        <f t="shared" si="7"/>
        <v>0.004888268156</v>
      </c>
      <c r="R3841" s="2">
        <v>1432.0</v>
      </c>
      <c r="S3841" s="5">
        <f t="shared" si="8"/>
        <v>1</v>
      </c>
    </row>
    <row r="3842">
      <c r="A3842" s="2" t="s">
        <v>3847</v>
      </c>
      <c r="B3842" s="2">
        <v>405.0</v>
      </c>
      <c r="C3842" s="2">
        <v>4794.0</v>
      </c>
      <c r="D3842" s="2">
        <v>1828.0</v>
      </c>
      <c r="E3842" s="3">
        <f t="shared" si="1"/>
        <v>0.4164957849</v>
      </c>
      <c r="F3842" s="2">
        <v>566.0</v>
      </c>
      <c r="G3842" s="3">
        <f t="shared" si="2"/>
        <v>0.1289587605</v>
      </c>
      <c r="H3842" s="2">
        <v>927.0</v>
      </c>
      <c r="I3842" s="3">
        <f t="shared" si="3"/>
        <v>0.2112098428</v>
      </c>
      <c r="J3842" s="2">
        <v>718.0</v>
      </c>
      <c r="K3842" s="3">
        <f t="shared" si="4"/>
        <v>0.1635907952</v>
      </c>
      <c r="L3842" s="2">
        <v>538.0</v>
      </c>
      <c r="M3842" s="3">
        <f t="shared" si="5"/>
        <v>0.5803667745</v>
      </c>
      <c r="N3842" s="2">
        <v>5031300.0</v>
      </c>
      <c r="O3842" s="4">
        <f t="shared" si="6"/>
        <v>5427.508091</v>
      </c>
      <c r="P3842" s="2">
        <v>0.0</v>
      </c>
      <c r="Q3842" s="3">
        <f t="shared" si="7"/>
        <v>0</v>
      </c>
      <c r="R3842" s="2">
        <v>405.0</v>
      </c>
      <c r="S3842" s="5">
        <f t="shared" si="8"/>
        <v>1</v>
      </c>
    </row>
    <row r="3843">
      <c r="A3843" s="2" t="s">
        <v>3848</v>
      </c>
      <c r="B3843" s="2">
        <v>481.0</v>
      </c>
      <c r="C3843" s="2">
        <v>5599.0</v>
      </c>
      <c r="D3843" s="2">
        <v>1802.0</v>
      </c>
      <c r="E3843" s="3">
        <f t="shared" si="1"/>
        <v>0.3520906604</v>
      </c>
      <c r="F3843" s="2">
        <v>660.0</v>
      </c>
      <c r="G3843" s="3">
        <f t="shared" si="2"/>
        <v>0.1289566237</v>
      </c>
      <c r="H3843" s="2">
        <v>1067.0</v>
      </c>
      <c r="I3843" s="3">
        <f t="shared" si="3"/>
        <v>0.208479875</v>
      </c>
      <c r="J3843" s="2">
        <v>553.0</v>
      </c>
      <c r="K3843" s="3">
        <f t="shared" si="4"/>
        <v>0.1080500195</v>
      </c>
      <c r="L3843" s="2">
        <v>675.0</v>
      </c>
      <c r="M3843" s="3">
        <f t="shared" si="5"/>
        <v>0.6326148079</v>
      </c>
      <c r="N3843" s="2">
        <v>6256400.0</v>
      </c>
      <c r="O3843" s="4">
        <f t="shared" si="6"/>
        <v>5863.542643</v>
      </c>
      <c r="P3843" s="2">
        <v>0.0</v>
      </c>
      <c r="Q3843" s="3">
        <f t="shared" si="7"/>
        <v>0</v>
      </c>
      <c r="R3843" s="2">
        <v>481.0</v>
      </c>
      <c r="S3843" s="5">
        <f t="shared" si="8"/>
        <v>1</v>
      </c>
    </row>
    <row r="3844">
      <c r="A3844" s="2" t="s">
        <v>3849</v>
      </c>
      <c r="B3844" s="2">
        <v>440.0</v>
      </c>
      <c r="C3844" s="2">
        <v>5194.0</v>
      </c>
      <c r="D3844" s="2">
        <v>1643.0</v>
      </c>
      <c r="E3844" s="3">
        <f t="shared" si="1"/>
        <v>0.3456037021</v>
      </c>
      <c r="F3844" s="2">
        <v>613.0</v>
      </c>
      <c r="G3844" s="3">
        <f t="shared" si="2"/>
        <v>0.1289440471</v>
      </c>
      <c r="H3844" s="2">
        <v>973.0</v>
      </c>
      <c r="I3844" s="3">
        <f t="shared" si="3"/>
        <v>0.2046697518</v>
      </c>
      <c r="J3844" s="2">
        <v>867.0</v>
      </c>
      <c r="K3844" s="3">
        <f t="shared" si="4"/>
        <v>0.1823727387</v>
      </c>
      <c r="L3844" s="2">
        <v>580.0</v>
      </c>
      <c r="M3844" s="3">
        <f t="shared" si="5"/>
        <v>0.5960945529</v>
      </c>
      <c r="N3844" s="2">
        <v>5479400.0</v>
      </c>
      <c r="O3844" s="4">
        <f t="shared" si="6"/>
        <v>5631.449126</v>
      </c>
      <c r="P3844" s="2">
        <v>0.0</v>
      </c>
      <c r="Q3844" s="3">
        <f t="shared" si="7"/>
        <v>0</v>
      </c>
      <c r="R3844" s="2">
        <v>0.0</v>
      </c>
      <c r="S3844" s="5">
        <f t="shared" si="8"/>
        <v>0</v>
      </c>
    </row>
    <row r="3845">
      <c r="A3845" s="2" t="s">
        <v>3850</v>
      </c>
      <c r="B3845" s="2">
        <v>219.0</v>
      </c>
      <c r="C3845" s="2">
        <v>2600.0</v>
      </c>
      <c r="D3845" s="2">
        <v>685.0</v>
      </c>
      <c r="E3845" s="3">
        <f t="shared" si="1"/>
        <v>0.2876942461</v>
      </c>
      <c r="F3845" s="2">
        <v>307.0</v>
      </c>
      <c r="G3845" s="3">
        <f t="shared" si="2"/>
        <v>0.1289374213</v>
      </c>
      <c r="H3845" s="2">
        <v>480.0</v>
      </c>
      <c r="I3845" s="3">
        <f t="shared" si="3"/>
        <v>0.2015959681</v>
      </c>
      <c r="J3845" s="2">
        <v>457.0</v>
      </c>
      <c r="K3845" s="3">
        <f t="shared" si="4"/>
        <v>0.1919361613</v>
      </c>
      <c r="L3845" s="2">
        <v>282.0</v>
      </c>
      <c r="M3845" s="3">
        <f t="shared" si="5"/>
        <v>0.5875</v>
      </c>
      <c r="N3845" s="2">
        <v>2878900.0</v>
      </c>
      <c r="O3845" s="4">
        <f t="shared" si="6"/>
        <v>5997.708333</v>
      </c>
      <c r="P3845" s="2">
        <v>1.0</v>
      </c>
      <c r="Q3845" s="3">
        <f t="shared" si="7"/>
        <v>0.004566210046</v>
      </c>
      <c r="R3845" s="2">
        <v>0.0</v>
      </c>
      <c r="S3845" s="5">
        <f t="shared" si="8"/>
        <v>0</v>
      </c>
    </row>
    <row r="3846">
      <c r="A3846" s="2" t="s">
        <v>3851</v>
      </c>
      <c r="B3846" s="2">
        <v>90.0</v>
      </c>
      <c r="C3846" s="2">
        <v>1075.0</v>
      </c>
      <c r="D3846" s="2">
        <v>310.0</v>
      </c>
      <c r="E3846" s="3">
        <f t="shared" si="1"/>
        <v>0.3147208122</v>
      </c>
      <c r="F3846" s="2">
        <v>127.0</v>
      </c>
      <c r="G3846" s="3">
        <f t="shared" si="2"/>
        <v>0.1289340102</v>
      </c>
      <c r="H3846" s="2">
        <v>184.0</v>
      </c>
      <c r="I3846" s="3">
        <f t="shared" si="3"/>
        <v>0.1868020305</v>
      </c>
      <c r="J3846" s="2">
        <v>165.0</v>
      </c>
      <c r="K3846" s="3">
        <f t="shared" si="4"/>
        <v>0.1675126904</v>
      </c>
      <c r="L3846" s="2">
        <v>100.0</v>
      </c>
      <c r="M3846" s="3">
        <f t="shared" si="5"/>
        <v>0.5434782609</v>
      </c>
      <c r="N3846" s="2">
        <v>1048600.0</v>
      </c>
      <c r="O3846" s="4">
        <f t="shared" si="6"/>
        <v>5698.913043</v>
      </c>
      <c r="P3846" s="2">
        <v>0.0</v>
      </c>
      <c r="Q3846" s="3">
        <f t="shared" si="7"/>
        <v>0</v>
      </c>
      <c r="R3846" s="2">
        <v>90.0</v>
      </c>
      <c r="S3846" s="5">
        <f t="shared" si="8"/>
        <v>1</v>
      </c>
    </row>
    <row r="3847">
      <c r="A3847" s="2" t="s">
        <v>3852</v>
      </c>
      <c r="B3847" s="2">
        <v>268.0</v>
      </c>
      <c r="C3847" s="2">
        <v>3099.0</v>
      </c>
      <c r="D3847" s="2">
        <v>995.0</v>
      </c>
      <c r="E3847" s="3">
        <f t="shared" si="1"/>
        <v>0.3514659131</v>
      </c>
      <c r="F3847" s="2">
        <v>365.0</v>
      </c>
      <c r="G3847" s="3">
        <f t="shared" si="2"/>
        <v>0.1289297068</v>
      </c>
      <c r="H3847" s="2">
        <v>580.0</v>
      </c>
      <c r="I3847" s="3">
        <f t="shared" si="3"/>
        <v>0.2048746026</v>
      </c>
      <c r="J3847" s="2">
        <v>425.0</v>
      </c>
      <c r="K3847" s="3">
        <f t="shared" si="4"/>
        <v>0.1501236312</v>
      </c>
      <c r="L3847" s="2">
        <v>374.0</v>
      </c>
      <c r="M3847" s="3">
        <f t="shared" si="5"/>
        <v>0.6448275862</v>
      </c>
      <c r="N3847" s="2">
        <v>3301300.0</v>
      </c>
      <c r="O3847" s="4">
        <f t="shared" si="6"/>
        <v>5691.896552</v>
      </c>
      <c r="P3847" s="2">
        <v>1.0</v>
      </c>
      <c r="Q3847" s="3">
        <f t="shared" si="7"/>
        <v>0.003731343284</v>
      </c>
      <c r="R3847" s="2">
        <v>249.0</v>
      </c>
      <c r="S3847" s="5">
        <f t="shared" si="8"/>
        <v>0.9291044776</v>
      </c>
    </row>
    <row r="3848">
      <c r="A3848" s="2" t="s">
        <v>3853</v>
      </c>
      <c r="B3848" s="2">
        <v>657.0</v>
      </c>
      <c r="C3848" s="2">
        <v>7607.0</v>
      </c>
      <c r="D3848" s="2">
        <v>2085.0</v>
      </c>
      <c r="E3848" s="3">
        <f t="shared" si="1"/>
        <v>0.3</v>
      </c>
      <c r="F3848" s="2">
        <v>896.0</v>
      </c>
      <c r="G3848" s="3">
        <f t="shared" si="2"/>
        <v>0.1289208633</v>
      </c>
      <c r="H3848" s="2">
        <v>1416.0</v>
      </c>
      <c r="I3848" s="3">
        <f t="shared" si="3"/>
        <v>0.2037410072</v>
      </c>
      <c r="J3848" s="2">
        <v>1237.0</v>
      </c>
      <c r="K3848" s="3">
        <f t="shared" si="4"/>
        <v>0.1779856115</v>
      </c>
      <c r="L3848" s="2">
        <v>849.0</v>
      </c>
      <c r="M3848" s="3">
        <f t="shared" si="5"/>
        <v>0.5995762712</v>
      </c>
      <c r="N3848" s="2">
        <v>8111300.0</v>
      </c>
      <c r="O3848" s="4">
        <f t="shared" si="6"/>
        <v>5728.319209</v>
      </c>
      <c r="P3848" s="2">
        <v>0.0</v>
      </c>
      <c r="Q3848" s="3">
        <f t="shared" si="7"/>
        <v>0</v>
      </c>
      <c r="R3848" s="2">
        <v>4.0</v>
      </c>
      <c r="S3848" s="5">
        <f t="shared" si="8"/>
        <v>0.006088280061</v>
      </c>
    </row>
    <row r="3849">
      <c r="A3849" s="2" t="s">
        <v>3854</v>
      </c>
      <c r="B3849" s="2">
        <v>157.0</v>
      </c>
      <c r="C3849" s="2">
        <v>1879.0</v>
      </c>
      <c r="D3849" s="2">
        <v>501.0</v>
      </c>
      <c r="E3849" s="3">
        <f t="shared" si="1"/>
        <v>0.2909407666</v>
      </c>
      <c r="F3849" s="2">
        <v>222.0</v>
      </c>
      <c r="G3849" s="3">
        <f t="shared" si="2"/>
        <v>0.1289198606</v>
      </c>
      <c r="H3849" s="2">
        <v>338.0</v>
      </c>
      <c r="I3849" s="3">
        <f t="shared" si="3"/>
        <v>0.1962833914</v>
      </c>
      <c r="J3849" s="2">
        <v>289.0</v>
      </c>
      <c r="K3849" s="3">
        <f t="shared" si="4"/>
        <v>0.1678281069</v>
      </c>
      <c r="L3849" s="2">
        <v>213.0</v>
      </c>
      <c r="M3849" s="3">
        <f t="shared" si="5"/>
        <v>0.6301775148</v>
      </c>
      <c r="N3849" s="2">
        <v>2046900.0</v>
      </c>
      <c r="O3849" s="4">
        <f t="shared" si="6"/>
        <v>6055.91716</v>
      </c>
      <c r="P3849" s="2">
        <v>0.0</v>
      </c>
      <c r="Q3849" s="3">
        <f t="shared" si="7"/>
        <v>0</v>
      </c>
      <c r="R3849" s="2">
        <v>157.0</v>
      </c>
      <c r="S3849" s="5">
        <f t="shared" si="8"/>
        <v>1</v>
      </c>
    </row>
    <row r="3850">
      <c r="A3850" s="2" t="s">
        <v>3855</v>
      </c>
      <c r="B3850" s="2">
        <v>701.0</v>
      </c>
      <c r="C3850" s="2">
        <v>8241.0</v>
      </c>
      <c r="D3850" s="2">
        <v>2489.0</v>
      </c>
      <c r="E3850" s="3">
        <f t="shared" si="1"/>
        <v>0.3301061008</v>
      </c>
      <c r="F3850" s="2">
        <v>972.0</v>
      </c>
      <c r="G3850" s="3">
        <f t="shared" si="2"/>
        <v>0.1289124668</v>
      </c>
      <c r="H3850" s="2">
        <v>1664.0</v>
      </c>
      <c r="I3850" s="3">
        <f t="shared" si="3"/>
        <v>0.2206896552</v>
      </c>
      <c r="J3850" s="2">
        <v>1293.0</v>
      </c>
      <c r="K3850" s="3">
        <f t="shared" si="4"/>
        <v>0.1714854111</v>
      </c>
      <c r="L3850" s="2">
        <v>1015.0</v>
      </c>
      <c r="M3850" s="3">
        <f t="shared" si="5"/>
        <v>0.6099759615</v>
      </c>
      <c r="N3850" s="2">
        <v>9277600.0</v>
      </c>
      <c r="O3850" s="4">
        <f t="shared" si="6"/>
        <v>5575.480769</v>
      </c>
      <c r="P3850" s="2">
        <v>0.0</v>
      </c>
      <c r="Q3850" s="3">
        <f t="shared" si="7"/>
        <v>0</v>
      </c>
      <c r="R3850" s="2">
        <v>701.0</v>
      </c>
      <c r="S3850" s="5">
        <f t="shared" si="8"/>
        <v>1</v>
      </c>
    </row>
    <row r="3851">
      <c r="A3851" s="2" t="s">
        <v>3856</v>
      </c>
      <c r="B3851" s="2">
        <v>491.0</v>
      </c>
      <c r="C3851" s="2">
        <v>5797.0</v>
      </c>
      <c r="D3851" s="2">
        <v>1662.0</v>
      </c>
      <c r="E3851" s="3">
        <f t="shared" si="1"/>
        <v>0.3132303053</v>
      </c>
      <c r="F3851" s="2">
        <v>684.0</v>
      </c>
      <c r="G3851" s="3">
        <f t="shared" si="2"/>
        <v>0.1289106672</v>
      </c>
      <c r="H3851" s="2">
        <v>1090.0</v>
      </c>
      <c r="I3851" s="3">
        <f t="shared" si="3"/>
        <v>0.2054278176</v>
      </c>
      <c r="J3851" s="2">
        <v>1036.0</v>
      </c>
      <c r="K3851" s="3">
        <f t="shared" si="4"/>
        <v>0.1952506596</v>
      </c>
      <c r="L3851" s="2">
        <v>627.0</v>
      </c>
      <c r="M3851" s="3">
        <f t="shared" si="5"/>
        <v>0.5752293578</v>
      </c>
      <c r="N3851" s="2">
        <v>6093500.0</v>
      </c>
      <c r="O3851" s="4">
        <f t="shared" si="6"/>
        <v>5590.366972</v>
      </c>
      <c r="P3851" s="2">
        <v>1.0</v>
      </c>
      <c r="Q3851" s="3">
        <f t="shared" si="7"/>
        <v>0.002036659878</v>
      </c>
      <c r="R3851" s="2">
        <v>0.0</v>
      </c>
      <c r="S3851" s="5">
        <f t="shared" si="8"/>
        <v>0</v>
      </c>
    </row>
    <row r="3852">
      <c r="A3852" s="2" t="s">
        <v>3857</v>
      </c>
      <c r="B3852" s="2">
        <v>316.0</v>
      </c>
      <c r="C3852" s="2">
        <v>3652.0</v>
      </c>
      <c r="D3852" s="2">
        <v>1227.0</v>
      </c>
      <c r="E3852" s="3">
        <f t="shared" si="1"/>
        <v>0.3678057554</v>
      </c>
      <c r="F3852" s="2">
        <v>430.0</v>
      </c>
      <c r="G3852" s="3">
        <f t="shared" si="2"/>
        <v>0.1288968825</v>
      </c>
      <c r="H3852" s="2">
        <v>725.0</v>
      </c>
      <c r="I3852" s="3">
        <f t="shared" si="3"/>
        <v>0.2173261391</v>
      </c>
      <c r="J3852" s="2">
        <v>597.0</v>
      </c>
      <c r="K3852" s="3">
        <f t="shared" si="4"/>
        <v>0.1789568345</v>
      </c>
      <c r="L3852" s="2">
        <v>439.0</v>
      </c>
      <c r="M3852" s="3">
        <f t="shared" si="5"/>
        <v>0.6055172414</v>
      </c>
      <c r="N3852" s="2">
        <v>4018700.0</v>
      </c>
      <c r="O3852" s="4">
        <f t="shared" si="6"/>
        <v>5543.034483</v>
      </c>
      <c r="P3852" s="2">
        <v>0.0</v>
      </c>
      <c r="Q3852" s="3">
        <f t="shared" si="7"/>
        <v>0</v>
      </c>
      <c r="R3852" s="2">
        <v>316.0</v>
      </c>
      <c r="S3852" s="5">
        <f t="shared" si="8"/>
        <v>1</v>
      </c>
    </row>
    <row r="3853">
      <c r="A3853" s="2" t="s">
        <v>3858</v>
      </c>
      <c r="B3853" s="2">
        <v>673.0</v>
      </c>
      <c r="C3853" s="2">
        <v>8020.0</v>
      </c>
      <c r="D3853" s="2">
        <v>2819.0</v>
      </c>
      <c r="E3853" s="3">
        <f t="shared" si="1"/>
        <v>0.3836940248</v>
      </c>
      <c r="F3853" s="2">
        <v>947.0</v>
      </c>
      <c r="G3853" s="3">
        <f t="shared" si="2"/>
        <v>0.1288961481</v>
      </c>
      <c r="H3853" s="2">
        <v>1578.0</v>
      </c>
      <c r="I3853" s="3">
        <f t="shared" si="3"/>
        <v>0.2147815435</v>
      </c>
      <c r="J3853" s="2">
        <v>1192.0</v>
      </c>
      <c r="K3853" s="3">
        <f t="shared" si="4"/>
        <v>0.1622430924</v>
      </c>
      <c r="L3853" s="2">
        <v>976.0</v>
      </c>
      <c r="M3853" s="3">
        <f t="shared" si="5"/>
        <v>0.618504436</v>
      </c>
      <c r="N3853" s="2">
        <v>8601000.0</v>
      </c>
      <c r="O3853" s="4">
        <f t="shared" si="6"/>
        <v>5450.570342</v>
      </c>
      <c r="P3853" s="2">
        <v>1.0</v>
      </c>
      <c r="Q3853" s="3">
        <f t="shared" si="7"/>
        <v>0.001485884101</v>
      </c>
      <c r="R3853" s="2">
        <v>669.0</v>
      </c>
      <c r="S3853" s="5">
        <f t="shared" si="8"/>
        <v>0.9940564636</v>
      </c>
    </row>
    <row r="3854">
      <c r="A3854" s="2" t="s">
        <v>3859</v>
      </c>
      <c r="B3854" s="2">
        <v>104.0</v>
      </c>
      <c r="C3854" s="2">
        <v>1229.0</v>
      </c>
      <c r="D3854" s="2">
        <v>293.0</v>
      </c>
      <c r="E3854" s="3">
        <f t="shared" si="1"/>
        <v>0.2604444444</v>
      </c>
      <c r="F3854" s="2">
        <v>145.0</v>
      </c>
      <c r="G3854" s="3">
        <f t="shared" si="2"/>
        <v>0.1288888889</v>
      </c>
      <c r="H3854" s="2">
        <v>211.0</v>
      </c>
      <c r="I3854" s="3">
        <f t="shared" si="3"/>
        <v>0.1875555556</v>
      </c>
      <c r="J3854" s="2">
        <v>168.0</v>
      </c>
      <c r="K3854" s="3">
        <f t="shared" si="4"/>
        <v>0.1493333333</v>
      </c>
      <c r="L3854" s="2">
        <v>133.0</v>
      </c>
      <c r="M3854" s="3">
        <f t="shared" si="5"/>
        <v>0.6303317536</v>
      </c>
      <c r="N3854" s="2">
        <v>1227800.0</v>
      </c>
      <c r="O3854" s="4">
        <f t="shared" si="6"/>
        <v>5818.957346</v>
      </c>
      <c r="P3854" s="2">
        <v>1.0</v>
      </c>
      <c r="Q3854" s="3">
        <f t="shared" si="7"/>
        <v>0.009615384615</v>
      </c>
      <c r="R3854" s="2">
        <v>104.0</v>
      </c>
      <c r="S3854" s="5">
        <f t="shared" si="8"/>
        <v>1</v>
      </c>
    </row>
    <row r="3855">
      <c r="A3855" s="2" t="s">
        <v>3860</v>
      </c>
      <c r="B3855" s="2">
        <v>1258.0</v>
      </c>
      <c r="C3855" s="2">
        <v>14696.0</v>
      </c>
      <c r="D3855" s="2">
        <v>5147.0</v>
      </c>
      <c r="E3855" s="3">
        <f t="shared" si="1"/>
        <v>0.3830183063</v>
      </c>
      <c r="F3855" s="2">
        <v>1732.0</v>
      </c>
      <c r="G3855" s="3">
        <f t="shared" si="2"/>
        <v>0.1288882274</v>
      </c>
      <c r="H3855" s="2">
        <v>2904.0</v>
      </c>
      <c r="I3855" s="3">
        <f t="shared" si="3"/>
        <v>0.2161035868</v>
      </c>
      <c r="J3855" s="2">
        <v>2381.0</v>
      </c>
      <c r="K3855" s="3">
        <f t="shared" si="4"/>
        <v>0.1771841048</v>
      </c>
      <c r="L3855" s="2">
        <v>1707.0</v>
      </c>
      <c r="M3855" s="3">
        <f t="shared" si="5"/>
        <v>0.5878099174</v>
      </c>
      <c r="N3855" s="2">
        <v>1.68182E7</v>
      </c>
      <c r="O3855" s="4">
        <f t="shared" si="6"/>
        <v>5791.391185</v>
      </c>
      <c r="P3855" s="2">
        <v>5.0</v>
      </c>
      <c r="Q3855" s="3">
        <f t="shared" si="7"/>
        <v>0.003974562798</v>
      </c>
      <c r="R3855" s="2">
        <v>1258.0</v>
      </c>
      <c r="S3855" s="5">
        <f t="shared" si="8"/>
        <v>1</v>
      </c>
    </row>
    <row r="3856">
      <c r="A3856" s="2" t="s">
        <v>3861</v>
      </c>
      <c r="B3856" s="2">
        <v>1217.0</v>
      </c>
      <c r="C3856" s="2">
        <v>14392.0</v>
      </c>
      <c r="D3856" s="2">
        <v>4910.0</v>
      </c>
      <c r="E3856" s="3">
        <f t="shared" si="1"/>
        <v>0.3726755218</v>
      </c>
      <c r="F3856" s="2">
        <v>1698.0</v>
      </c>
      <c r="G3856" s="3">
        <f t="shared" si="2"/>
        <v>0.1288804554</v>
      </c>
      <c r="H3856" s="2">
        <v>2829.0</v>
      </c>
      <c r="I3856" s="3">
        <f t="shared" si="3"/>
        <v>0.2147248577</v>
      </c>
      <c r="J3856" s="2">
        <v>2115.0</v>
      </c>
      <c r="K3856" s="3">
        <f t="shared" si="4"/>
        <v>0.1605313093</v>
      </c>
      <c r="L3856" s="2">
        <v>1721.0</v>
      </c>
      <c r="M3856" s="3">
        <f t="shared" si="5"/>
        <v>0.6083421704</v>
      </c>
      <c r="N3856" s="2">
        <v>1.53786E7</v>
      </c>
      <c r="O3856" s="4">
        <f t="shared" si="6"/>
        <v>5436.055143</v>
      </c>
      <c r="P3856" s="2">
        <v>1.0</v>
      </c>
      <c r="Q3856" s="3">
        <f t="shared" si="7"/>
        <v>0.0008216926869</v>
      </c>
      <c r="R3856" s="2">
        <v>1217.0</v>
      </c>
      <c r="S3856" s="5">
        <f t="shared" si="8"/>
        <v>1</v>
      </c>
    </row>
    <row r="3857">
      <c r="A3857" s="2" t="s">
        <v>3862</v>
      </c>
      <c r="B3857" s="2">
        <v>6429.0</v>
      </c>
      <c r="C3857" s="2">
        <v>74749.0</v>
      </c>
      <c r="D3857" s="2">
        <v>26256.0</v>
      </c>
      <c r="E3857" s="3">
        <f t="shared" si="1"/>
        <v>0.3843091335</v>
      </c>
      <c r="F3857" s="2">
        <v>8805.0</v>
      </c>
      <c r="G3857" s="3">
        <f t="shared" si="2"/>
        <v>0.1288788056</v>
      </c>
      <c r="H3857" s="2">
        <v>15425.0</v>
      </c>
      <c r="I3857" s="3">
        <f t="shared" si="3"/>
        <v>0.2257757611</v>
      </c>
      <c r="J3857" s="2">
        <v>11314.0</v>
      </c>
      <c r="K3857" s="3">
        <f t="shared" si="4"/>
        <v>0.1656030445</v>
      </c>
      <c r="L3857" s="2">
        <v>9400.0</v>
      </c>
      <c r="M3857" s="3">
        <f t="shared" si="5"/>
        <v>0.6094003241</v>
      </c>
      <c r="N3857" s="2">
        <v>8.1832E7</v>
      </c>
      <c r="O3857" s="4">
        <f t="shared" si="6"/>
        <v>5305.153971</v>
      </c>
      <c r="P3857" s="2">
        <v>18.0</v>
      </c>
      <c r="Q3857" s="3">
        <f t="shared" si="7"/>
        <v>0.002799813346</v>
      </c>
      <c r="R3857" s="2">
        <v>6429.0</v>
      </c>
      <c r="S3857" s="5">
        <f t="shared" si="8"/>
        <v>1</v>
      </c>
    </row>
    <row r="3858">
      <c r="A3858" s="2" t="s">
        <v>3863</v>
      </c>
      <c r="B3858" s="2">
        <v>1082.0</v>
      </c>
      <c r="C3858" s="2">
        <v>12861.0</v>
      </c>
      <c r="D3858" s="2">
        <v>3980.0</v>
      </c>
      <c r="E3858" s="3">
        <f t="shared" si="1"/>
        <v>0.3378894643</v>
      </c>
      <c r="F3858" s="2">
        <v>1518.0</v>
      </c>
      <c r="G3858" s="3">
        <f t="shared" si="2"/>
        <v>0.1288734188</v>
      </c>
      <c r="H3858" s="2">
        <v>2455.0</v>
      </c>
      <c r="I3858" s="3">
        <f t="shared" si="3"/>
        <v>0.2084217676</v>
      </c>
      <c r="J3858" s="2">
        <v>1702.0</v>
      </c>
      <c r="K3858" s="3">
        <f t="shared" si="4"/>
        <v>0.1444944393</v>
      </c>
      <c r="L3858" s="2">
        <v>1466.0</v>
      </c>
      <c r="M3858" s="3">
        <f t="shared" si="5"/>
        <v>0.5971486762</v>
      </c>
      <c r="N3858" s="2">
        <v>1.34855E7</v>
      </c>
      <c r="O3858" s="4">
        <f t="shared" si="6"/>
        <v>5493.075356</v>
      </c>
      <c r="P3858" s="2">
        <v>3.0</v>
      </c>
      <c r="Q3858" s="3">
        <f t="shared" si="7"/>
        <v>0.002772643253</v>
      </c>
      <c r="R3858" s="2">
        <v>6.0</v>
      </c>
      <c r="S3858" s="5">
        <f t="shared" si="8"/>
        <v>0.005545286506</v>
      </c>
    </row>
    <row r="3859">
      <c r="A3859" s="2" t="s">
        <v>3864</v>
      </c>
      <c r="B3859" s="2">
        <v>2004.0</v>
      </c>
      <c r="C3859" s="2">
        <v>23467.0</v>
      </c>
      <c r="D3859" s="2">
        <v>7563.0</v>
      </c>
      <c r="E3859" s="3">
        <f t="shared" si="1"/>
        <v>0.3523738527</v>
      </c>
      <c r="F3859" s="2">
        <v>2766.0</v>
      </c>
      <c r="G3859" s="3">
        <f t="shared" si="2"/>
        <v>0.1288729441</v>
      </c>
      <c r="H3859" s="2">
        <v>4436.0</v>
      </c>
      <c r="I3859" s="3">
        <f t="shared" si="3"/>
        <v>0.2066812654</v>
      </c>
      <c r="J3859" s="2">
        <v>3992.0</v>
      </c>
      <c r="K3859" s="3">
        <f t="shared" si="4"/>
        <v>0.1859945022</v>
      </c>
      <c r="L3859" s="2">
        <v>2577.0</v>
      </c>
      <c r="M3859" s="3">
        <f t="shared" si="5"/>
        <v>0.5809287647</v>
      </c>
      <c r="N3859" s="2">
        <v>2.54492E7</v>
      </c>
      <c r="O3859" s="4">
        <f t="shared" si="6"/>
        <v>5736.970243</v>
      </c>
      <c r="P3859" s="2">
        <v>2.0</v>
      </c>
      <c r="Q3859" s="3">
        <f t="shared" si="7"/>
        <v>0.000998003992</v>
      </c>
      <c r="R3859" s="2">
        <v>2004.0</v>
      </c>
      <c r="S3859" s="5">
        <f t="shared" si="8"/>
        <v>1</v>
      </c>
    </row>
    <row r="3860">
      <c r="A3860" s="2" t="s">
        <v>3865</v>
      </c>
      <c r="B3860" s="2">
        <v>113.0</v>
      </c>
      <c r="C3860" s="2">
        <v>1308.0</v>
      </c>
      <c r="D3860" s="2">
        <v>362.0</v>
      </c>
      <c r="E3860" s="3">
        <f t="shared" si="1"/>
        <v>0.3029288703</v>
      </c>
      <c r="F3860" s="2">
        <v>154.0</v>
      </c>
      <c r="G3860" s="3">
        <f t="shared" si="2"/>
        <v>0.1288702929</v>
      </c>
      <c r="H3860" s="2">
        <v>234.0</v>
      </c>
      <c r="I3860" s="3">
        <f t="shared" si="3"/>
        <v>0.1958158996</v>
      </c>
      <c r="J3860" s="2">
        <v>191.0</v>
      </c>
      <c r="K3860" s="3">
        <f t="shared" si="4"/>
        <v>0.159832636</v>
      </c>
      <c r="L3860" s="2">
        <v>137.0</v>
      </c>
      <c r="M3860" s="3">
        <f t="shared" si="5"/>
        <v>0.5854700855</v>
      </c>
      <c r="N3860" s="2">
        <v>1385500.0</v>
      </c>
      <c r="O3860" s="4">
        <f t="shared" si="6"/>
        <v>5920.940171</v>
      </c>
      <c r="P3860" s="2">
        <v>0.0</v>
      </c>
      <c r="Q3860" s="3">
        <f t="shared" si="7"/>
        <v>0</v>
      </c>
      <c r="R3860" s="2">
        <v>113.0</v>
      </c>
      <c r="S3860" s="5">
        <f t="shared" si="8"/>
        <v>1</v>
      </c>
    </row>
    <row r="3861">
      <c r="A3861" s="2" t="s">
        <v>3866</v>
      </c>
      <c r="B3861" s="2">
        <v>2750.0</v>
      </c>
      <c r="C3861" s="2">
        <v>32649.0</v>
      </c>
      <c r="D3861" s="2">
        <v>10565.0</v>
      </c>
      <c r="E3861" s="3">
        <f t="shared" si="1"/>
        <v>0.3533562995</v>
      </c>
      <c r="F3861" s="2">
        <v>3853.0</v>
      </c>
      <c r="G3861" s="3">
        <f t="shared" si="2"/>
        <v>0.1288671862</v>
      </c>
      <c r="H3861" s="2">
        <v>6348.0</v>
      </c>
      <c r="I3861" s="3">
        <f t="shared" si="3"/>
        <v>0.2123147931</v>
      </c>
      <c r="J3861" s="2">
        <v>3786.0</v>
      </c>
      <c r="K3861" s="3">
        <f t="shared" si="4"/>
        <v>0.1266263086</v>
      </c>
      <c r="L3861" s="2">
        <v>3896.0</v>
      </c>
      <c r="M3861" s="3">
        <f t="shared" si="5"/>
        <v>0.61373661</v>
      </c>
      <c r="N3861" s="2">
        <v>3.34575E7</v>
      </c>
      <c r="O3861" s="4">
        <f t="shared" si="6"/>
        <v>5270.557656</v>
      </c>
      <c r="P3861" s="2">
        <v>4.0</v>
      </c>
      <c r="Q3861" s="3">
        <f t="shared" si="7"/>
        <v>0.001454545455</v>
      </c>
      <c r="R3861" s="2">
        <v>2750.0</v>
      </c>
      <c r="S3861" s="5">
        <f t="shared" si="8"/>
        <v>1</v>
      </c>
    </row>
    <row r="3862">
      <c r="A3862" s="2" t="s">
        <v>3867</v>
      </c>
      <c r="B3862" s="2">
        <v>91.0</v>
      </c>
      <c r="C3862" s="2">
        <v>1061.0</v>
      </c>
      <c r="D3862" s="2">
        <v>335.0</v>
      </c>
      <c r="E3862" s="3">
        <f t="shared" si="1"/>
        <v>0.3453608247</v>
      </c>
      <c r="F3862" s="2">
        <v>125.0</v>
      </c>
      <c r="G3862" s="3">
        <f t="shared" si="2"/>
        <v>0.1288659794</v>
      </c>
      <c r="H3862" s="2">
        <v>209.0</v>
      </c>
      <c r="I3862" s="3">
        <f t="shared" si="3"/>
        <v>0.2154639175</v>
      </c>
      <c r="J3862" s="2">
        <v>162.0</v>
      </c>
      <c r="K3862" s="3">
        <f t="shared" si="4"/>
        <v>0.1670103093</v>
      </c>
      <c r="L3862" s="2">
        <v>113.0</v>
      </c>
      <c r="M3862" s="3">
        <f t="shared" si="5"/>
        <v>0.5406698565</v>
      </c>
      <c r="N3862" s="2">
        <v>1113200.0</v>
      </c>
      <c r="O3862" s="4">
        <f t="shared" si="6"/>
        <v>5326.315789</v>
      </c>
      <c r="P3862" s="2">
        <v>0.0</v>
      </c>
      <c r="Q3862" s="3">
        <f t="shared" si="7"/>
        <v>0</v>
      </c>
      <c r="R3862" s="2">
        <v>91.0</v>
      </c>
      <c r="S3862" s="5">
        <f t="shared" si="8"/>
        <v>1</v>
      </c>
    </row>
    <row r="3863">
      <c r="A3863" s="2" t="s">
        <v>3868</v>
      </c>
      <c r="B3863" s="2">
        <v>359.0</v>
      </c>
      <c r="C3863" s="2">
        <v>4177.0</v>
      </c>
      <c r="D3863" s="2">
        <v>1203.0</v>
      </c>
      <c r="E3863" s="3">
        <f t="shared" si="1"/>
        <v>0.3150864327</v>
      </c>
      <c r="F3863" s="2">
        <v>492.0</v>
      </c>
      <c r="G3863" s="3">
        <f t="shared" si="2"/>
        <v>0.1288632792</v>
      </c>
      <c r="H3863" s="2">
        <v>808.0</v>
      </c>
      <c r="I3863" s="3">
        <f t="shared" si="3"/>
        <v>0.2116291252</v>
      </c>
      <c r="J3863" s="2">
        <v>697.0</v>
      </c>
      <c r="K3863" s="3">
        <f t="shared" si="4"/>
        <v>0.1825563122</v>
      </c>
      <c r="L3863" s="2">
        <v>473.0</v>
      </c>
      <c r="M3863" s="3">
        <f t="shared" si="5"/>
        <v>0.5853960396</v>
      </c>
      <c r="N3863" s="2">
        <v>4758100.0</v>
      </c>
      <c r="O3863" s="4">
        <f t="shared" si="6"/>
        <v>5888.737624</v>
      </c>
      <c r="P3863" s="2">
        <v>0.0</v>
      </c>
      <c r="Q3863" s="3">
        <f t="shared" si="7"/>
        <v>0</v>
      </c>
      <c r="R3863" s="2">
        <v>359.0</v>
      </c>
      <c r="S3863" s="5">
        <f t="shared" si="8"/>
        <v>1</v>
      </c>
    </row>
    <row r="3864">
      <c r="A3864" s="2" t="s">
        <v>3869</v>
      </c>
      <c r="B3864" s="2">
        <v>763.0</v>
      </c>
      <c r="C3864" s="2">
        <v>8966.0</v>
      </c>
      <c r="D3864" s="2">
        <v>3245.0</v>
      </c>
      <c r="E3864" s="3">
        <f t="shared" si="1"/>
        <v>0.3955869804</v>
      </c>
      <c r="F3864" s="2">
        <v>1057.0</v>
      </c>
      <c r="G3864" s="3">
        <f t="shared" si="2"/>
        <v>0.1288552968</v>
      </c>
      <c r="H3864" s="2">
        <v>1758.0</v>
      </c>
      <c r="I3864" s="3">
        <f t="shared" si="3"/>
        <v>0.2143118371</v>
      </c>
      <c r="J3864" s="2">
        <v>1425.0</v>
      </c>
      <c r="K3864" s="3">
        <f t="shared" si="4"/>
        <v>0.1737169328</v>
      </c>
      <c r="L3864" s="2">
        <v>1050.0</v>
      </c>
      <c r="M3864" s="3">
        <f t="shared" si="5"/>
        <v>0.5972696246</v>
      </c>
      <c r="N3864" s="2">
        <v>9226800.0</v>
      </c>
      <c r="O3864" s="4">
        <f t="shared" si="6"/>
        <v>5248.464164</v>
      </c>
      <c r="P3864" s="2">
        <v>1.0</v>
      </c>
      <c r="Q3864" s="3">
        <f t="shared" si="7"/>
        <v>0.00131061599</v>
      </c>
      <c r="R3864" s="2">
        <v>763.0</v>
      </c>
      <c r="S3864" s="5">
        <f t="shared" si="8"/>
        <v>1</v>
      </c>
    </row>
    <row r="3865">
      <c r="A3865" s="2" t="s">
        <v>3870</v>
      </c>
      <c r="B3865" s="2">
        <v>152.0</v>
      </c>
      <c r="C3865" s="2">
        <v>1774.0</v>
      </c>
      <c r="D3865" s="2">
        <v>599.0</v>
      </c>
      <c r="E3865" s="3">
        <f t="shared" si="1"/>
        <v>0.369297164</v>
      </c>
      <c r="F3865" s="2">
        <v>209.0</v>
      </c>
      <c r="G3865" s="3">
        <f t="shared" si="2"/>
        <v>0.1288532676</v>
      </c>
      <c r="H3865" s="2">
        <v>335.0</v>
      </c>
      <c r="I3865" s="3">
        <f t="shared" si="3"/>
        <v>0.2065351418</v>
      </c>
      <c r="J3865" s="2">
        <v>249.0</v>
      </c>
      <c r="K3865" s="3">
        <f t="shared" si="4"/>
        <v>0.15351418</v>
      </c>
      <c r="L3865" s="2">
        <v>202.0</v>
      </c>
      <c r="M3865" s="3">
        <f t="shared" si="5"/>
        <v>0.6029850746</v>
      </c>
      <c r="N3865" s="2">
        <v>1686400.0</v>
      </c>
      <c r="O3865" s="4">
        <f t="shared" si="6"/>
        <v>5034.029851</v>
      </c>
      <c r="P3865" s="2">
        <v>0.0</v>
      </c>
      <c r="Q3865" s="3">
        <f t="shared" si="7"/>
        <v>0</v>
      </c>
      <c r="R3865" s="2">
        <v>152.0</v>
      </c>
      <c r="S3865" s="5">
        <f t="shared" si="8"/>
        <v>1</v>
      </c>
    </row>
    <row r="3866">
      <c r="A3866" s="2" t="s">
        <v>3871</v>
      </c>
      <c r="B3866" s="2">
        <v>1155.0</v>
      </c>
      <c r="C3866" s="2">
        <v>13588.0</v>
      </c>
      <c r="D3866" s="2">
        <v>4483.0</v>
      </c>
      <c r="E3866" s="3">
        <f t="shared" si="1"/>
        <v>0.3605726695</v>
      </c>
      <c r="F3866" s="2">
        <v>1602.0</v>
      </c>
      <c r="G3866" s="3">
        <f t="shared" si="2"/>
        <v>0.1288506394</v>
      </c>
      <c r="H3866" s="2">
        <v>2759.0</v>
      </c>
      <c r="I3866" s="3">
        <f t="shared" si="3"/>
        <v>0.2219094346</v>
      </c>
      <c r="J3866" s="2">
        <v>2111.0</v>
      </c>
      <c r="K3866" s="3">
        <f t="shared" si="4"/>
        <v>0.1697900748</v>
      </c>
      <c r="L3866" s="2">
        <v>1634.0</v>
      </c>
      <c r="M3866" s="3">
        <f t="shared" si="5"/>
        <v>0.5922435665</v>
      </c>
      <c r="N3866" s="2">
        <v>1.47813E7</v>
      </c>
      <c r="O3866" s="4">
        <f t="shared" si="6"/>
        <v>5357.484596</v>
      </c>
      <c r="P3866" s="2">
        <v>3.0</v>
      </c>
      <c r="Q3866" s="3">
        <f t="shared" si="7"/>
        <v>0.002597402597</v>
      </c>
      <c r="R3866" s="2">
        <v>1155.0</v>
      </c>
      <c r="S3866" s="5">
        <f t="shared" si="8"/>
        <v>1</v>
      </c>
    </row>
    <row r="3867">
      <c r="A3867" s="2" t="s">
        <v>3872</v>
      </c>
      <c r="B3867" s="2">
        <v>455.0</v>
      </c>
      <c r="C3867" s="2">
        <v>5298.0</v>
      </c>
      <c r="D3867" s="2">
        <v>1890.0</v>
      </c>
      <c r="E3867" s="3">
        <f t="shared" si="1"/>
        <v>0.3902539748</v>
      </c>
      <c r="F3867" s="2">
        <v>624.0</v>
      </c>
      <c r="G3867" s="3">
        <f t="shared" si="2"/>
        <v>0.1288457568</v>
      </c>
      <c r="H3867" s="2">
        <v>1055.0</v>
      </c>
      <c r="I3867" s="3">
        <f t="shared" si="3"/>
        <v>0.2178401817</v>
      </c>
      <c r="J3867" s="2">
        <v>826.0</v>
      </c>
      <c r="K3867" s="3">
        <f t="shared" si="4"/>
        <v>0.1705554408</v>
      </c>
      <c r="L3867" s="2">
        <v>643.0</v>
      </c>
      <c r="M3867" s="3">
        <f t="shared" si="5"/>
        <v>0.609478673</v>
      </c>
      <c r="N3867" s="2">
        <v>5855600.0</v>
      </c>
      <c r="O3867" s="4">
        <f t="shared" si="6"/>
        <v>5550.331754</v>
      </c>
      <c r="P3867" s="2">
        <v>1.0</v>
      </c>
      <c r="Q3867" s="3">
        <f t="shared" si="7"/>
        <v>0.002197802198</v>
      </c>
      <c r="R3867" s="2">
        <v>455.0</v>
      </c>
      <c r="S3867" s="5">
        <f t="shared" si="8"/>
        <v>1</v>
      </c>
    </row>
    <row r="3868">
      <c r="A3868" s="2" t="s">
        <v>3873</v>
      </c>
      <c r="B3868" s="2">
        <v>299.0</v>
      </c>
      <c r="C3868" s="2">
        <v>3458.0</v>
      </c>
      <c r="D3868" s="2">
        <v>1180.0</v>
      </c>
      <c r="E3868" s="3">
        <f t="shared" si="1"/>
        <v>0.3735359291</v>
      </c>
      <c r="F3868" s="2">
        <v>407.0</v>
      </c>
      <c r="G3868" s="3">
        <f t="shared" si="2"/>
        <v>0.1288382399</v>
      </c>
      <c r="H3868" s="2">
        <v>635.0</v>
      </c>
      <c r="I3868" s="3">
        <f t="shared" si="3"/>
        <v>0.2010129788</v>
      </c>
      <c r="J3868" s="2">
        <v>525.0</v>
      </c>
      <c r="K3868" s="3">
        <f t="shared" si="4"/>
        <v>0.1661918329</v>
      </c>
      <c r="L3868" s="2">
        <v>385.0</v>
      </c>
      <c r="M3868" s="3">
        <f t="shared" si="5"/>
        <v>0.6062992126</v>
      </c>
      <c r="N3868" s="2">
        <v>3622600.0</v>
      </c>
      <c r="O3868" s="4">
        <f t="shared" si="6"/>
        <v>5704.88189</v>
      </c>
      <c r="P3868" s="2">
        <v>1.0</v>
      </c>
      <c r="Q3868" s="3">
        <f t="shared" si="7"/>
        <v>0.003344481605</v>
      </c>
      <c r="R3868" s="2">
        <v>299.0</v>
      </c>
      <c r="S3868" s="5">
        <f t="shared" si="8"/>
        <v>1</v>
      </c>
    </row>
    <row r="3869">
      <c r="A3869" s="2" t="s">
        <v>3874</v>
      </c>
      <c r="B3869" s="2">
        <v>1753.0</v>
      </c>
      <c r="C3869" s="2">
        <v>20715.0</v>
      </c>
      <c r="D3869" s="2">
        <v>6936.0</v>
      </c>
      <c r="E3869" s="3">
        <f t="shared" si="1"/>
        <v>0.3657842</v>
      </c>
      <c r="F3869" s="2">
        <v>2443.0</v>
      </c>
      <c r="G3869" s="3">
        <f t="shared" si="2"/>
        <v>0.1288366206</v>
      </c>
      <c r="H3869" s="2">
        <v>4059.0</v>
      </c>
      <c r="I3869" s="3">
        <f t="shared" si="3"/>
        <v>0.2140596983</v>
      </c>
      <c r="J3869" s="2">
        <v>3316.0</v>
      </c>
      <c r="K3869" s="3">
        <f t="shared" si="4"/>
        <v>0.1748760679</v>
      </c>
      <c r="L3869" s="2">
        <v>2402.0</v>
      </c>
      <c r="M3869" s="3">
        <f t="shared" si="5"/>
        <v>0.5917713723</v>
      </c>
      <c r="N3869" s="2">
        <v>2.28061E7</v>
      </c>
      <c r="O3869" s="4">
        <f t="shared" si="6"/>
        <v>5618.649914</v>
      </c>
      <c r="P3869" s="2">
        <v>1.0</v>
      </c>
      <c r="Q3869" s="3">
        <f t="shared" si="7"/>
        <v>0.000570450656</v>
      </c>
      <c r="R3869" s="2">
        <v>1660.0</v>
      </c>
      <c r="S3869" s="5">
        <f t="shared" si="8"/>
        <v>0.946948089</v>
      </c>
    </row>
    <row r="3870">
      <c r="A3870" s="2" t="s">
        <v>3875</v>
      </c>
      <c r="B3870" s="2">
        <v>4857.0</v>
      </c>
      <c r="C3870" s="2">
        <v>56987.0</v>
      </c>
      <c r="D3870" s="2">
        <v>14390.0</v>
      </c>
      <c r="E3870" s="3">
        <f t="shared" si="1"/>
        <v>0.2760406676</v>
      </c>
      <c r="F3870" s="2">
        <v>6716.0</v>
      </c>
      <c r="G3870" s="3">
        <f t="shared" si="2"/>
        <v>0.1288317667</v>
      </c>
      <c r="H3870" s="2">
        <v>10038.0</v>
      </c>
      <c r="I3870" s="3">
        <f t="shared" si="3"/>
        <v>0.1925570689</v>
      </c>
      <c r="J3870" s="2">
        <v>11237.0</v>
      </c>
      <c r="K3870" s="3">
        <f t="shared" si="4"/>
        <v>0.2155572607</v>
      </c>
      <c r="L3870" s="2">
        <v>5762.0</v>
      </c>
      <c r="M3870" s="3">
        <f t="shared" si="5"/>
        <v>0.5740187288</v>
      </c>
      <c r="N3870" s="2">
        <v>6.06746E7</v>
      </c>
      <c r="O3870" s="4">
        <f t="shared" si="6"/>
        <v>6044.490934</v>
      </c>
      <c r="P3870" s="2">
        <v>5.0</v>
      </c>
      <c r="Q3870" s="3">
        <f t="shared" si="7"/>
        <v>0.001029442042</v>
      </c>
      <c r="R3870" s="2">
        <v>4857.0</v>
      </c>
      <c r="S3870" s="5">
        <f t="shared" si="8"/>
        <v>1</v>
      </c>
    </row>
    <row r="3871">
      <c r="A3871" s="2" t="s">
        <v>3876</v>
      </c>
      <c r="B3871" s="2">
        <v>452.0</v>
      </c>
      <c r="C3871" s="2">
        <v>5203.0</v>
      </c>
      <c r="D3871" s="2">
        <v>1800.0</v>
      </c>
      <c r="E3871" s="3">
        <f t="shared" si="1"/>
        <v>0.3788676068</v>
      </c>
      <c r="F3871" s="2">
        <v>612.0</v>
      </c>
      <c r="G3871" s="3">
        <f t="shared" si="2"/>
        <v>0.1288149863</v>
      </c>
      <c r="H3871" s="2">
        <v>1020.0</v>
      </c>
      <c r="I3871" s="3">
        <f t="shared" si="3"/>
        <v>0.2146916439</v>
      </c>
      <c r="J3871" s="2">
        <v>801.0</v>
      </c>
      <c r="K3871" s="3">
        <f t="shared" si="4"/>
        <v>0.168596085</v>
      </c>
      <c r="L3871" s="2">
        <v>593.0</v>
      </c>
      <c r="M3871" s="3">
        <f t="shared" si="5"/>
        <v>0.581372549</v>
      </c>
      <c r="N3871" s="2">
        <v>5759500.0</v>
      </c>
      <c r="O3871" s="4">
        <f t="shared" si="6"/>
        <v>5646.568627</v>
      </c>
      <c r="P3871" s="2">
        <v>1.0</v>
      </c>
      <c r="Q3871" s="3">
        <f t="shared" si="7"/>
        <v>0.002212389381</v>
      </c>
      <c r="R3871" s="2">
        <v>452.0</v>
      </c>
      <c r="S3871" s="5">
        <f t="shared" si="8"/>
        <v>1</v>
      </c>
    </row>
    <row r="3872">
      <c r="A3872" s="2" t="s">
        <v>3877</v>
      </c>
      <c r="B3872" s="2">
        <v>1656.0</v>
      </c>
      <c r="C3872" s="2">
        <v>19286.0</v>
      </c>
      <c r="D3872" s="2">
        <v>5404.0</v>
      </c>
      <c r="E3872" s="3">
        <f t="shared" si="1"/>
        <v>0.3065229722</v>
      </c>
      <c r="F3872" s="2">
        <v>2271.0</v>
      </c>
      <c r="G3872" s="3">
        <f t="shared" si="2"/>
        <v>0.1288145207</v>
      </c>
      <c r="H3872" s="2">
        <v>3453.0</v>
      </c>
      <c r="I3872" s="3">
        <f t="shared" si="3"/>
        <v>0.1958593307</v>
      </c>
      <c r="J3872" s="2">
        <v>3058.0</v>
      </c>
      <c r="K3872" s="3">
        <f t="shared" si="4"/>
        <v>0.1734543392</v>
      </c>
      <c r="L3872" s="2">
        <v>2067.0</v>
      </c>
      <c r="M3872" s="3">
        <f t="shared" si="5"/>
        <v>0.5986099044</v>
      </c>
      <c r="N3872" s="2">
        <v>2.15184E7</v>
      </c>
      <c r="O3872" s="4">
        <f t="shared" si="6"/>
        <v>6231.798436</v>
      </c>
      <c r="P3872" s="2">
        <v>5.0</v>
      </c>
      <c r="Q3872" s="3">
        <f t="shared" si="7"/>
        <v>0.003019323671</v>
      </c>
      <c r="R3872" s="2">
        <v>1656.0</v>
      </c>
      <c r="S3872" s="5">
        <f t="shared" si="8"/>
        <v>1</v>
      </c>
    </row>
    <row r="3873">
      <c r="A3873" s="2" t="s">
        <v>3878</v>
      </c>
      <c r="B3873" s="2">
        <v>85.0</v>
      </c>
      <c r="C3873" s="2">
        <v>970.0</v>
      </c>
      <c r="D3873" s="2">
        <v>267.0</v>
      </c>
      <c r="E3873" s="3">
        <f t="shared" si="1"/>
        <v>0.3016949153</v>
      </c>
      <c r="F3873" s="2">
        <v>114.0</v>
      </c>
      <c r="G3873" s="3">
        <f t="shared" si="2"/>
        <v>0.1288135593</v>
      </c>
      <c r="H3873" s="2">
        <v>160.0</v>
      </c>
      <c r="I3873" s="3">
        <f t="shared" si="3"/>
        <v>0.1807909605</v>
      </c>
      <c r="J3873" s="2">
        <v>118.0</v>
      </c>
      <c r="K3873" s="3">
        <f t="shared" si="4"/>
        <v>0.1333333333</v>
      </c>
      <c r="L3873" s="2">
        <v>105.0</v>
      </c>
      <c r="M3873" s="3">
        <f t="shared" si="5"/>
        <v>0.65625</v>
      </c>
      <c r="N3873" s="2">
        <v>893800.0</v>
      </c>
      <c r="O3873" s="4">
        <f t="shared" si="6"/>
        <v>5586.25</v>
      </c>
      <c r="P3873" s="2">
        <v>0.0</v>
      </c>
      <c r="Q3873" s="3">
        <f t="shared" si="7"/>
        <v>0</v>
      </c>
      <c r="R3873" s="2">
        <v>85.0</v>
      </c>
      <c r="S3873" s="5">
        <f t="shared" si="8"/>
        <v>1</v>
      </c>
    </row>
    <row r="3874">
      <c r="A3874" s="2" t="s">
        <v>3879</v>
      </c>
      <c r="B3874" s="2">
        <v>91.0</v>
      </c>
      <c r="C3874" s="2">
        <v>1077.0</v>
      </c>
      <c r="D3874" s="2">
        <v>382.0</v>
      </c>
      <c r="E3874" s="3">
        <f t="shared" si="1"/>
        <v>0.3874239351</v>
      </c>
      <c r="F3874" s="2">
        <v>127.0</v>
      </c>
      <c r="G3874" s="3">
        <f t="shared" si="2"/>
        <v>0.1288032454</v>
      </c>
      <c r="H3874" s="2">
        <v>210.0</v>
      </c>
      <c r="I3874" s="3">
        <f t="shared" si="3"/>
        <v>0.2129817444</v>
      </c>
      <c r="J3874" s="2">
        <v>175.0</v>
      </c>
      <c r="K3874" s="3">
        <f t="shared" si="4"/>
        <v>0.177484787</v>
      </c>
      <c r="L3874" s="2">
        <v>117.0</v>
      </c>
      <c r="M3874" s="3">
        <f t="shared" si="5"/>
        <v>0.5571428571</v>
      </c>
      <c r="N3874" s="2">
        <v>1158100.0</v>
      </c>
      <c r="O3874" s="4">
        <f t="shared" si="6"/>
        <v>5514.761905</v>
      </c>
      <c r="P3874" s="2">
        <v>0.0</v>
      </c>
      <c r="Q3874" s="3">
        <f t="shared" si="7"/>
        <v>0</v>
      </c>
      <c r="R3874" s="2">
        <v>90.0</v>
      </c>
      <c r="S3874" s="5">
        <f t="shared" si="8"/>
        <v>0.989010989</v>
      </c>
    </row>
    <row r="3875">
      <c r="A3875" s="2" t="s">
        <v>3880</v>
      </c>
      <c r="B3875" s="2">
        <v>12.0</v>
      </c>
      <c r="C3875" s="2">
        <v>144.0</v>
      </c>
      <c r="D3875" s="2">
        <v>47.0</v>
      </c>
      <c r="E3875" s="3">
        <f t="shared" si="1"/>
        <v>0.3560606061</v>
      </c>
      <c r="F3875" s="2">
        <v>17.0</v>
      </c>
      <c r="G3875" s="3">
        <f t="shared" si="2"/>
        <v>0.1287878788</v>
      </c>
      <c r="H3875" s="2">
        <v>18.0</v>
      </c>
      <c r="I3875" s="3">
        <f t="shared" si="3"/>
        <v>0.1363636364</v>
      </c>
      <c r="J3875" s="2">
        <v>19.0</v>
      </c>
      <c r="K3875" s="3">
        <f t="shared" si="4"/>
        <v>0.1439393939</v>
      </c>
      <c r="L3875" s="2">
        <v>11.0</v>
      </c>
      <c r="M3875" s="3">
        <f t="shared" si="5"/>
        <v>0.6111111111</v>
      </c>
      <c r="N3875" s="2">
        <v>77700.0</v>
      </c>
      <c r="O3875" s="4">
        <f t="shared" si="6"/>
        <v>4316.666667</v>
      </c>
      <c r="P3875" s="2">
        <v>0.0</v>
      </c>
      <c r="Q3875" s="3">
        <f t="shared" si="7"/>
        <v>0</v>
      </c>
      <c r="R3875" s="2">
        <v>0.0</v>
      </c>
      <c r="S3875" s="5">
        <f t="shared" si="8"/>
        <v>0</v>
      </c>
    </row>
    <row r="3876">
      <c r="A3876" s="2" t="s">
        <v>3881</v>
      </c>
      <c r="B3876" s="2">
        <v>368.0</v>
      </c>
      <c r="C3876" s="2">
        <v>4266.0</v>
      </c>
      <c r="D3876" s="2">
        <v>1388.0</v>
      </c>
      <c r="E3876" s="3">
        <f t="shared" si="1"/>
        <v>0.356080041</v>
      </c>
      <c r="F3876" s="2">
        <v>502.0</v>
      </c>
      <c r="G3876" s="3">
        <f t="shared" si="2"/>
        <v>0.1287839918</v>
      </c>
      <c r="H3876" s="2">
        <v>856.0</v>
      </c>
      <c r="I3876" s="3">
        <f t="shared" si="3"/>
        <v>0.2195997948</v>
      </c>
      <c r="J3876" s="2">
        <v>780.0</v>
      </c>
      <c r="K3876" s="3">
        <f t="shared" si="4"/>
        <v>0.2001026167</v>
      </c>
      <c r="L3876" s="2">
        <v>513.0</v>
      </c>
      <c r="M3876" s="3">
        <f t="shared" si="5"/>
        <v>0.5992990654</v>
      </c>
      <c r="N3876" s="2">
        <v>4878600.0</v>
      </c>
      <c r="O3876" s="4">
        <f t="shared" si="6"/>
        <v>5699.299065</v>
      </c>
      <c r="P3876" s="2">
        <v>1.0</v>
      </c>
      <c r="Q3876" s="3">
        <f t="shared" si="7"/>
        <v>0.002717391304</v>
      </c>
      <c r="R3876" s="2">
        <v>368.0</v>
      </c>
      <c r="S3876" s="5">
        <f t="shared" si="8"/>
        <v>1</v>
      </c>
    </row>
    <row r="3877">
      <c r="A3877" s="2" t="s">
        <v>3882</v>
      </c>
      <c r="B3877" s="2">
        <v>154.0</v>
      </c>
      <c r="C3877" s="2">
        <v>1839.0</v>
      </c>
      <c r="D3877" s="2">
        <v>552.0</v>
      </c>
      <c r="E3877" s="3">
        <f t="shared" si="1"/>
        <v>0.3275964392</v>
      </c>
      <c r="F3877" s="2">
        <v>217.0</v>
      </c>
      <c r="G3877" s="3">
        <f t="shared" si="2"/>
        <v>0.1287833828</v>
      </c>
      <c r="H3877" s="2">
        <v>349.0</v>
      </c>
      <c r="I3877" s="3">
        <f t="shared" si="3"/>
        <v>0.2071216617</v>
      </c>
      <c r="J3877" s="2">
        <v>251.0</v>
      </c>
      <c r="K3877" s="3">
        <f t="shared" si="4"/>
        <v>0.1489614243</v>
      </c>
      <c r="L3877" s="2">
        <v>217.0</v>
      </c>
      <c r="M3877" s="3">
        <f t="shared" si="5"/>
        <v>0.6217765043</v>
      </c>
      <c r="N3877" s="2">
        <v>1914500.0</v>
      </c>
      <c r="O3877" s="4">
        <f t="shared" si="6"/>
        <v>5485.673352</v>
      </c>
      <c r="P3877" s="2">
        <v>0.0</v>
      </c>
      <c r="Q3877" s="3">
        <f t="shared" si="7"/>
        <v>0</v>
      </c>
      <c r="R3877" s="2">
        <v>0.0</v>
      </c>
      <c r="S3877" s="5">
        <f t="shared" si="8"/>
        <v>0</v>
      </c>
    </row>
    <row r="3878">
      <c r="A3878" s="2" t="s">
        <v>3883</v>
      </c>
      <c r="B3878" s="2">
        <v>545.0</v>
      </c>
      <c r="C3878" s="2">
        <v>6439.0</v>
      </c>
      <c r="D3878" s="2">
        <v>1485.0</v>
      </c>
      <c r="E3878" s="3">
        <f t="shared" si="1"/>
        <v>0.2519511367</v>
      </c>
      <c r="F3878" s="2">
        <v>759.0</v>
      </c>
      <c r="G3878" s="3">
        <f t="shared" si="2"/>
        <v>0.1287750254</v>
      </c>
      <c r="H3878" s="2">
        <v>1268.0</v>
      </c>
      <c r="I3878" s="3">
        <f t="shared" si="3"/>
        <v>0.2151340346</v>
      </c>
      <c r="J3878" s="2">
        <v>1167.0</v>
      </c>
      <c r="K3878" s="3">
        <f t="shared" si="4"/>
        <v>0.197997964</v>
      </c>
      <c r="L3878" s="2">
        <v>786.0</v>
      </c>
      <c r="M3878" s="3">
        <f t="shared" si="5"/>
        <v>0.619873817</v>
      </c>
      <c r="N3878" s="2">
        <v>7339900.0</v>
      </c>
      <c r="O3878" s="4">
        <f t="shared" si="6"/>
        <v>5788.564669</v>
      </c>
      <c r="P3878" s="2">
        <v>2.0</v>
      </c>
      <c r="Q3878" s="3">
        <f t="shared" si="7"/>
        <v>0.003669724771</v>
      </c>
      <c r="R3878" s="2">
        <v>545.0</v>
      </c>
      <c r="S3878" s="5">
        <f t="shared" si="8"/>
        <v>1</v>
      </c>
    </row>
    <row r="3879">
      <c r="A3879" s="2" t="s">
        <v>3884</v>
      </c>
      <c r="B3879" s="2">
        <v>140.0</v>
      </c>
      <c r="C3879" s="2">
        <v>1631.0</v>
      </c>
      <c r="D3879" s="2">
        <v>531.0</v>
      </c>
      <c r="E3879" s="3">
        <f t="shared" si="1"/>
        <v>0.3561368209</v>
      </c>
      <c r="F3879" s="2">
        <v>192.0</v>
      </c>
      <c r="G3879" s="3">
        <f t="shared" si="2"/>
        <v>0.1287726358</v>
      </c>
      <c r="H3879" s="2">
        <v>303.0</v>
      </c>
      <c r="I3879" s="3">
        <f t="shared" si="3"/>
        <v>0.2032193159</v>
      </c>
      <c r="J3879" s="2">
        <v>283.0</v>
      </c>
      <c r="K3879" s="3">
        <f t="shared" si="4"/>
        <v>0.1898054997</v>
      </c>
      <c r="L3879" s="2">
        <v>168.0</v>
      </c>
      <c r="M3879" s="3">
        <f t="shared" si="5"/>
        <v>0.5544554455</v>
      </c>
      <c r="N3879" s="2">
        <v>1817700.0</v>
      </c>
      <c r="O3879" s="4">
        <f t="shared" si="6"/>
        <v>5999.009901</v>
      </c>
      <c r="P3879" s="2">
        <v>1.0</v>
      </c>
      <c r="Q3879" s="3">
        <f t="shared" si="7"/>
        <v>0.007142857143</v>
      </c>
      <c r="R3879" s="2">
        <v>140.0</v>
      </c>
      <c r="S3879" s="5">
        <f t="shared" si="8"/>
        <v>1</v>
      </c>
    </row>
    <row r="3880">
      <c r="A3880" s="2" t="s">
        <v>3885</v>
      </c>
      <c r="B3880" s="2">
        <v>1286.0</v>
      </c>
      <c r="C3880" s="2">
        <v>15179.0</v>
      </c>
      <c r="D3880" s="2">
        <v>4859.0</v>
      </c>
      <c r="E3880" s="3">
        <f t="shared" si="1"/>
        <v>0.3497444756</v>
      </c>
      <c r="F3880" s="2">
        <v>1789.0</v>
      </c>
      <c r="G3880" s="3">
        <f t="shared" si="2"/>
        <v>0.1287698841</v>
      </c>
      <c r="H3880" s="2">
        <v>2963.0</v>
      </c>
      <c r="I3880" s="3">
        <f t="shared" si="3"/>
        <v>0.2132728712</v>
      </c>
      <c r="J3880" s="2">
        <v>2584.0</v>
      </c>
      <c r="K3880" s="3">
        <f t="shared" si="4"/>
        <v>0.1859929461</v>
      </c>
      <c r="L3880" s="2">
        <v>1779.0</v>
      </c>
      <c r="M3880" s="3">
        <f t="shared" si="5"/>
        <v>0.6004049949</v>
      </c>
      <c r="N3880" s="2">
        <v>1.62978E7</v>
      </c>
      <c r="O3880" s="4">
        <f t="shared" si="6"/>
        <v>5500.438745</v>
      </c>
      <c r="P3880" s="2">
        <v>2.0</v>
      </c>
      <c r="Q3880" s="3">
        <f t="shared" si="7"/>
        <v>0.001555209953</v>
      </c>
      <c r="R3880" s="2">
        <v>1286.0</v>
      </c>
      <c r="S3880" s="5">
        <f t="shared" si="8"/>
        <v>1</v>
      </c>
    </row>
    <row r="3881">
      <c r="A3881" s="2" t="s">
        <v>3886</v>
      </c>
      <c r="B3881" s="2">
        <v>102.0</v>
      </c>
      <c r="C3881" s="2">
        <v>1197.0</v>
      </c>
      <c r="D3881" s="2">
        <v>293.0</v>
      </c>
      <c r="E3881" s="3">
        <f t="shared" si="1"/>
        <v>0.2675799087</v>
      </c>
      <c r="F3881" s="2">
        <v>141.0</v>
      </c>
      <c r="G3881" s="3">
        <f t="shared" si="2"/>
        <v>0.1287671233</v>
      </c>
      <c r="H3881" s="2">
        <v>212.0</v>
      </c>
      <c r="I3881" s="3">
        <f t="shared" si="3"/>
        <v>0.1936073059</v>
      </c>
      <c r="J3881" s="2">
        <v>178.0</v>
      </c>
      <c r="K3881" s="3">
        <f t="shared" si="4"/>
        <v>0.1625570776</v>
      </c>
      <c r="L3881" s="2">
        <v>128.0</v>
      </c>
      <c r="M3881" s="3">
        <f t="shared" si="5"/>
        <v>0.6037735849</v>
      </c>
      <c r="N3881" s="2">
        <v>1224700.0</v>
      </c>
      <c r="O3881" s="4">
        <f t="shared" si="6"/>
        <v>5776.886792</v>
      </c>
      <c r="P3881" s="2">
        <v>0.0</v>
      </c>
      <c r="Q3881" s="3">
        <f t="shared" si="7"/>
        <v>0</v>
      </c>
      <c r="R3881" s="2">
        <v>102.0</v>
      </c>
      <c r="S3881" s="5">
        <f t="shared" si="8"/>
        <v>1</v>
      </c>
    </row>
    <row r="3882">
      <c r="A3882" s="2" t="s">
        <v>3887</v>
      </c>
      <c r="B3882" s="2">
        <v>93.0</v>
      </c>
      <c r="C3882" s="2">
        <v>1056.0</v>
      </c>
      <c r="D3882" s="2">
        <v>402.0</v>
      </c>
      <c r="E3882" s="3">
        <f t="shared" si="1"/>
        <v>0.4174454829</v>
      </c>
      <c r="F3882" s="2">
        <v>124.0</v>
      </c>
      <c r="G3882" s="3">
        <f t="shared" si="2"/>
        <v>0.1287642783</v>
      </c>
      <c r="H3882" s="2">
        <v>197.0</v>
      </c>
      <c r="I3882" s="3">
        <f t="shared" si="3"/>
        <v>0.204569055</v>
      </c>
      <c r="J3882" s="2">
        <v>161.0</v>
      </c>
      <c r="K3882" s="3">
        <f t="shared" si="4"/>
        <v>0.1671858775</v>
      </c>
      <c r="L3882" s="2">
        <v>111.0</v>
      </c>
      <c r="M3882" s="3">
        <f t="shared" si="5"/>
        <v>0.5634517766</v>
      </c>
      <c r="N3882" s="2">
        <v>1100900.0</v>
      </c>
      <c r="O3882" s="4">
        <f t="shared" si="6"/>
        <v>5588.324873</v>
      </c>
      <c r="P3882" s="2">
        <v>0.0</v>
      </c>
      <c r="Q3882" s="3">
        <f t="shared" si="7"/>
        <v>0</v>
      </c>
      <c r="R3882" s="2">
        <v>93.0</v>
      </c>
      <c r="S3882" s="5">
        <f t="shared" si="8"/>
        <v>1</v>
      </c>
    </row>
    <row r="3883">
      <c r="A3883" s="2" t="s">
        <v>3888</v>
      </c>
      <c r="B3883" s="2">
        <v>3100.0</v>
      </c>
      <c r="C3883" s="2">
        <v>36256.0</v>
      </c>
      <c r="D3883" s="2">
        <v>8158.0</v>
      </c>
      <c r="E3883" s="3">
        <f t="shared" si="1"/>
        <v>0.2460489806</v>
      </c>
      <c r="F3883" s="2">
        <v>4269.0</v>
      </c>
      <c r="G3883" s="3">
        <f t="shared" si="2"/>
        <v>0.1287549765</v>
      </c>
      <c r="H3883" s="2">
        <v>6596.0</v>
      </c>
      <c r="I3883" s="3">
        <f t="shared" si="3"/>
        <v>0.198938352</v>
      </c>
      <c r="J3883" s="2">
        <v>5359.0</v>
      </c>
      <c r="K3883" s="3">
        <f t="shared" si="4"/>
        <v>0.1616298709</v>
      </c>
      <c r="L3883" s="2">
        <v>4004.0</v>
      </c>
      <c r="M3883" s="3">
        <f t="shared" si="5"/>
        <v>0.6070345664</v>
      </c>
      <c r="N3883" s="2">
        <v>3.84929E7</v>
      </c>
      <c r="O3883" s="4">
        <f t="shared" si="6"/>
        <v>5835.794421</v>
      </c>
      <c r="P3883" s="2">
        <v>8.0</v>
      </c>
      <c r="Q3883" s="3">
        <f t="shared" si="7"/>
        <v>0.002580645161</v>
      </c>
      <c r="R3883" s="2">
        <v>3100.0</v>
      </c>
      <c r="S3883" s="5">
        <f t="shared" si="8"/>
        <v>1</v>
      </c>
    </row>
    <row r="3884">
      <c r="A3884" s="2" t="s">
        <v>3889</v>
      </c>
      <c r="B3884" s="2">
        <v>361.0</v>
      </c>
      <c r="C3884" s="2">
        <v>4260.0</v>
      </c>
      <c r="D3884" s="2">
        <v>1378.0</v>
      </c>
      <c r="E3884" s="3">
        <f t="shared" si="1"/>
        <v>0.3534239549</v>
      </c>
      <c r="F3884" s="2">
        <v>502.0</v>
      </c>
      <c r="G3884" s="3">
        <f t="shared" si="2"/>
        <v>0.1287509618</v>
      </c>
      <c r="H3884" s="2">
        <v>777.0</v>
      </c>
      <c r="I3884" s="3">
        <f t="shared" si="3"/>
        <v>0.1992818671</v>
      </c>
      <c r="J3884" s="2">
        <v>683.0</v>
      </c>
      <c r="K3884" s="3">
        <f t="shared" si="4"/>
        <v>0.1751731213</v>
      </c>
      <c r="L3884" s="2">
        <v>457.0</v>
      </c>
      <c r="M3884" s="3">
        <f t="shared" si="5"/>
        <v>0.5881595882</v>
      </c>
      <c r="N3884" s="2">
        <v>4449500.0</v>
      </c>
      <c r="O3884" s="4">
        <f t="shared" si="6"/>
        <v>5726.512227</v>
      </c>
      <c r="P3884" s="2">
        <v>4.0</v>
      </c>
      <c r="Q3884" s="3">
        <f t="shared" si="7"/>
        <v>0.01108033241</v>
      </c>
      <c r="R3884" s="2">
        <v>361.0</v>
      </c>
      <c r="S3884" s="5">
        <f t="shared" si="8"/>
        <v>1</v>
      </c>
    </row>
    <row r="3885">
      <c r="A3885" s="2" t="s">
        <v>3890</v>
      </c>
      <c r="B3885" s="2">
        <v>470.0</v>
      </c>
      <c r="C3885" s="2">
        <v>5472.0</v>
      </c>
      <c r="D3885" s="2">
        <v>1952.0</v>
      </c>
      <c r="E3885" s="3">
        <f t="shared" si="1"/>
        <v>0.3902439024</v>
      </c>
      <c r="F3885" s="2">
        <v>644.0</v>
      </c>
      <c r="G3885" s="3">
        <f t="shared" si="2"/>
        <v>0.1287485006</v>
      </c>
      <c r="H3885" s="2">
        <v>1125.0</v>
      </c>
      <c r="I3885" s="3">
        <f t="shared" si="3"/>
        <v>0.224910036</v>
      </c>
      <c r="J3885" s="2">
        <v>896.0</v>
      </c>
      <c r="K3885" s="3">
        <f t="shared" si="4"/>
        <v>0.1791283487</v>
      </c>
      <c r="L3885" s="2">
        <v>681.0</v>
      </c>
      <c r="M3885" s="3">
        <f t="shared" si="5"/>
        <v>0.6053333333</v>
      </c>
      <c r="N3885" s="2">
        <v>6151300.0</v>
      </c>
      <c r="O3885" s="4">
        <f t="shared" si="6"/>
        <v>5467.822222</v>
      </c>
      <c r="P3885" s="2">
        <v>0.0</v>
      </c>
      <c r="Q3885" s="3">
        <f t="shared" si="7"/>
        <v>0</v>
      </c>
      <c r="R3885" s="2">
        <v>470.0</v>
      </c>
      <c r="S3885" s="5">
        <f t="shared" si="8"/>
        <v>1</v>
      </c>
    </row>
    <row r="3886">
      <c r="A3886" s="2" t="s">
        <v>3891</v>
      </c>
      <c r="B3886" s="2">
        <v>445.0</v>
      </c>
      <c r="C3886" s="2">
        <v>5214.0</v>
      </c>
      <c r="D3886" s="2">
        <v>1857.0</v>
      </c>
      <c r="E3886" s="3">
        <f t="shared" si="1"/>
        <v>0.3893898092</v>
      </c>
      <c r="F3886" s="2">
        <v>614.0</v>
      </c>
      <c r="G3886" s="3">
        <f t="shared" si="2"/>
        <v>0.1287481652</v>
      </c>
      <c r="H3886" s="2">
        <v>1106.0</v>
      </c>
      <c r="I3886" s="3">
        <f t="shared" si="3"/>
        <v>0.2319144475</v>
      </c>
      <c r="J3886" s="2">
        <v>711.0</v>
      </c>
      <c r="K3886" s="3">
        <f t="shared" si="4"/>
        <v>0.1490878591</v>
      </c>
      <c r="L3886" s="2">
        <v>679.0</v>
      </c>
      <c r="M3886" s="3">
        <f t="shared" si="5"/>
        <v>0.6139240506</v>
      </c>
      <c r="N3886" s="2">
        <v>5883900.0</v>
      </c>
      <c r="O3886" s="4">
        <f t="shared" si="6"/>
        <v>5319.981917</v>
      </c>
      <c r="P3886" s="2">
        <v>1.0</v>
      </c>
      <c r="Q3886" s="3">
        <f t="shared" si="7"/>
        <v>0.002247191011</v>
      </c>
      <c r="R3886" s="2">
        <v>1.0</v>
      </c>
      <c r="S3886" s="5">
        <f t="shared" si="8"/>
        <v>0.002247191011</v>
      </c>
    </row>
    <row r="3887">
      <c r="A3887" s="2" t="s">
        <v>3892</v>
      </c>
      <c r="B3887" s="2">
        <v>146.0</v>
      </c>
      <c r="C3887" s="2">
        <v>1653.0</v>
      </c>
      <c r="D3887" s="2">
        <v>530.0</v>
      </c>
      <c r="E3887" s="3">
        <f t="shared" si="1"/>
        <v>0.3516921035</v>
      </c>
      <c r="F3887" s="2">
        <v>194.0</v>
      </c>
      <c r="G3887" s="3">
        <f t="shared" si="2"/>
        <v>0.1287325813</v>
      </c>
      <c r="H3887" s="2">
        <v>334.0</v>
      </c>
      <c r="I3887" s="3">
        <f t="shared" si="3"/>
        <v>0.2216323822</v>
      </c>
      <c r="J3887" s="2">
        <v>274.0</v>
      </c>
      <c r="K3887" s="3">
        <f t="shared" si="4"/>
        <v>0.1818181818</v>
      </c>
      <c r="L3887" s="2">
        <v>202.0</v>
      </c>
      <c r="M3887" s="3">
        <f t="shared" si="5"/>
        <v>0.6047904192</v>
      </c>
      <c r="N3887" s="2">
        <v>1887100.0</v>
      </c>
      <c r="O3887" s="4">
        <f t="shared" si="6"/>
        <v>5650</v>
      </c>
      <c r="P3887" s="2">
        <v>0.0</v>
      </c>
      <c r="Q3887" s="3">
        <f t="shared" si="7"/>
        <v>0</v>
      </c>
      <c r="R3887" s="2">
        <v>146.0</v>
      </c>
      <c r="S3887" s="5">
        <f t="shared" si="8"/>
        <v>1</v>
      </c>
    </row>
    <row r="3888">
      <c r="A3888" s="2" t="s">
        <v>3893</v>
      </c>
      <c r="B3888" s="2">
        <v>1164.0</v>
      </c>
      <c r="C3888" s="2">
        <v>13586.0</v>
      </c>
      <c r="D3888" s="2">
        <v>4775.0</v>
      </c>
      <c r="E3888" s="3">
        <f t="shared" si="1"/>
        <v>0.3843986476</v>
      </c>
      <c r="F3888" s="2">
        <v>1599.0</v>
      </c>
      <c r="G3888" s="3">
        <f t="shared" si="2"/>
        <v>0.128723233</v>
      </c>
      <c r="H3888" s="2">
        <v>2759.0</v>
      </c>
      <c r="I3888" s="3">
        <f t="shared" si="3"/>
        <v>0.2221059411</v>
      </c>
      <c r="J3888" s="2">
        <v>2065.0</v>
      </c>
      <c r="K3888" s="3">
        <f t="shared" si="4"/>
        <v>0.1662373209</v>
      </c>
      <c r="L3888" s="2">
        <v>1670.0</v>
      </c>
      <c r="M3888" s="3">
        <f t="shared" si="5"/>
        <v>0.6052917724</v>
      </c>
      <c r="N3888" s="2">
        <v>1.55735E7</v>
      </c>
      <c r="O3888" s="4">
        <f t="shared" si="6"/>
        <v>5644.617615</v>
      </c>
      <c r="P3888" s="2">
        <v>5.0</v>
      </c>
      <c r="Q3888" s="3">
        <f t="shared" si="7"/>
        <v>0.004295532646</v>
      </c>
      <c r="R3888" s="2">
        <v>1164.0</v>
      </c>
      <c r="S3888" s="5">
        <f t="shared" si="8"/>
        <v>1</v>
      </c>
    </row>
    <row r="3889">
      <c r="A3889" s="2" t="s">
        <v>3894</v>
      </c>
      <c r="B3889" s="2">
        <v>80.0</v>
      </c>
      <c r="C3889" s="2">
        <v>989.0</v>
      </c>
      <c r="D3889" s="2">
        <v>256.0</v>
      </c>
      <c r="E3889" s="3">
        <f t="shared" si="1"/>
        <v>0.2816281628</v>
      </c>
      <c r="F3889" s="2">
        <v>117.0</v>
      </c>
      <c r="G3889" s="3">
        <f t="shared" si="2"/>
        <v>0.1287128713</v>
      </c>
      <c r="H3889" s="2">
        <v>172.0</v>
      </c>
      <c r="I3889" s="3">
        <f t="shared" si="3"/>
        <v>0.1892189219</v>
      </c>
      <c r="J3889" s="2">
        <v>162.0</v>
      </c>
      <c r="K3889" s="3">
        <f t="shared" si="4"/>
        <v>0.1782178218</v>
      </c>
      <c r="L3889" s="2">
        <v>98.0</v>
      </c>
      <c r="M3889" s="3">
        <f t="shared" si="5"/>
        <v>0.5697674419</v>
      </c>
      <c r="N3889" s="2">
        <v>1095900.0</v>
      </c>
      <c r="O3889" s="4">
        <f t="shared" si="6"/>
        <v>6371.511628</v>
      </c>
      <c r="P3889" s="2">
        <v>1.0</v>
      </c>
      <c r="Q3889" s="3">
        <f t="shared" si="7"/>
        <v>0.0125</v>
      </c>
      <c r="R3889" s="2">
        <v>80.0</v>
      </c>
      <c r="S3889" s="5">
        <f t="shared" si="8"/>
        <v>1</v>
      </c>
    </row>
    <row r="3890">
      <c r="A3890" s="2" t="s">
        <v>3895</v>
      </c>
      <c r="B3890" s="2">
        <v>29.0</v>
      </c>
      <c r="C3890" s="2">
        <v>332.0</v>
      </c>
      <c r="D3890" s="2">
        <v>117.0</v>
      </c>
      <c r="E3890" s="3">
        <f t="shared" si="1"/>
        <v>0.3861386139</v>
      </c>
      <c r="F3890" s="2">
        <v>39.0</v>
      </c>
      <c r="G3890" s="3">
        <f t="shared" si="2"/>
        <v>0.1287128713</v>
      </c>
      <c r="H3890" s="2">
        <v>59.0</v>
      </c>
      <c r="I3890" s="3">
        <f t="shared" si="3"/>
        <v>0.1947194719</v>
      </c>
      <c r="J3890" s="2">
        <v>47.0</v>
      </c>
      <c r="K3890" s="3">
        <f t="shared" si="4"/>
        <v>0.1551155116</v>
      </c>
      <c r="L3890" s="2">
        <v>40.0</v>
      </c>
      <c r="M3890" s="3">
        <f t="shared" si="5"/>
        <v>0.6779661017</v>
      </c>
      <c r="N3890" s="2">
        <v>321100.0</v>
      </c>
      <c r="O3890" s="4">
        <f t="shared" si="6"/>
        <v>5442.372881</v>
      </c>
      <c r="P3890" s="2">
        <v>0.0</v>
      </c>
      <c r="Q3890" s="3">
        <f t="shared" si="7"/>
        <v>0</v>
      </c>
      <c r="R3890" s="2">
        <v>29.0</v>
      </c>
      <c r="S3890" s="5">
        <f t="shared" si="8"/>
        <v>1</v>
      </c>
    </row>
    <row r="3891">
      <c r="A3891" s="2" t="s">
        <v>3896</v>
      </c>
      <c r="B3891" s="2">
        <v>548.0</v>
      </c>
      <c r="C3891" s="2">
        <v>6414.0</v>
      </c>
      <c r="D3891" s="2">
        <v>2032.0</v>
      </c>
      <c r="E3891" s="3">
        <f t="shared" si="1"/>
        <v>0.3464030003</v>
      </c>
      <c r="F3891" s="2">
        <v>755.0</v>
      </c>
      <c r="G3891" s="3">
        <f t="shared" si="2"/>
        <v>0.1287078077</v>
      </c>
      <c r="H3891" s="2">
        <v>1278.0</v>
      </c>
      <c r="I3891" s="3">
        <f t="shared" si="3"/>
        <v>0.2178656666</v>
      </c>
      <c r="J3891" s="2">
        <v>1132.0</v>
      </c>
      <c r="K3891" s="3">
        <f t="shared" si="4"/>
        <v>0.1929764746</v>
      </c>
      <c r="L3891" s="2">
        <v>732.0</v>
      </c>
      <c r="M3891" s="3">
        <f t="shared" si="5"/>
        <v>0.5727699531</v>
      </c>
      <c r="N3891" s="2">
        <v>7366600.0</v>
      </c>
      <c r="O3891" s="4">
        <f t="shared" si="6"/>
        <v>5764.162754</v>
      </c>
      <c r="P3891" s="2">
        <v>0.0</v>
      </c>
      <c r="Q3891" s="3">
        <f t="shared" si="7"/>
        <v>0</v>
      </c>
      <c r="R3891" s="2">
        <v>513.0</v>
      </c>
      <c r="S3891" s="5">
        <f t="shared" si="8"/>
        <v>0.9361313869</v>
      </c>
    </row>
    <row r="3892">
      <c r="A3892" s="2" t="s">
        <v>3897</v>
      </c>
      <c r="B3892" s="2">
        <v>499.0</v>
      </c>
      <c r="C3892" s="2">
        <v>5829.0</v>
      </c>
      <c r="D3892" s="2">
        <v>1513.0</v>
      </c>
      <c r="E3892" s="3">
        <f t="shared" si="1"/>
        <v>0.2838649156</v>
      </c>
      <c r="F3892" s="2">
        <v>686.0</v>
      </c>
      <c r="G3892" s="3">
        <f t="shared" si="2"/>
        <v>0.1287054409</v>
      </c>
      <c r="H3892" s="2">
        <v>1071.0</v>
      </c>
      <c r="I3892" s="3">
        <f t="shared" si="3"/>
        <v>0.2009380863</v>
      </c>
      <c r="J3892" s="2">
        <v>988.0</v>
      </c>
      <c r="K3892" s="3">
        <f t="shared" si="4"/>
        <v>0.1853658537</v>
      </c>
      <c r="L3892" s="2">
        <v>661.0</v>
      </c>
      <c r="M3892" s="3">
        <f t="shared" si="5"/>
        <v>0.6171802054</v>
      </c>
      <c r="N3892" s="2">
        <v>6215600.0</v>
      </c>
      <c r="O3892" s="4">
        <f t="shared" si="6"/>
        <v>5803.548086</v>
      </c>
      <c r="P3892" s="2">
        <v>0.0</v>
      </c>
      <c r="Q3892" s="3">
        <f t="shared" si="7"/>
        <v>0</v>
      </c>
      <c r="R3892" s="2">
        <v>499.0</v>
      </c>
      <c r="S3892" s="5">
        <f t="shared" si="8"/>
        <v>1</v>
      </c>
    </row>
    <row r="3893">
      <c r="A3893" s="2" t="s">
        <v>3898</v>
      </c>
      <c r="B3893" s="2">
        <v>1950.0</v>
      </c>
      <c r="C3893" s="2">
        <v>22214.0</v>
      </c>
      <c r="D3893" s="2">
        <v>6055.0</v>
      </c>
      <c r="E3893" s="3">
        <f t="shared" si="1"/>
        <v>0.2988057639</v>
      </c>
      <c r="F3893" s="2">
        <v>2608.0</v>
      </c>
      <c r="G3893" s="3">
        <f t="shared" si="2"/>
        <v>0.1287011449</v>
      </c>
      <c r="H3893" s="2">
        <v>4360.0</v>
      </c>
      <c r="I3893" s="3">
        <f t="shared" si="3"/>
        <v>0.2151598895</v>
      </c>
      <c r="J3893" s="2">
        <v>4283.0</v>
      </c>
      <c r="K3893" s="3">
        <f t="shared" si="4"/>
        <v>0.2113600474</v>
      </c>
      <c r="L3893" s="2">
        <v>2526.0</v>
      </c>
      <c r="M3893" s="3">
        <f t="shared" si="5"/>
        <v>0.5793577982</v>
      </c>
      <c r="N3893" s="2">
        <v>2.75094E7</v>
      </c>
      <c r="O3893" s="4">
        <f t="shared" si="6"/>
        <v>6309.495413</v>
      </c>
      <c r="P3893" s="2">
        <v>4.0</v>
      </c>
      <c r="Q3893" s="3">
        <f t="shared" si="7"/>
        <v>0.002051282051</v>
      </c>
      <c r="R3893" s="2">
        <v>1950.0</v>
      </c>
      <c r="S3893" s="5">
        <f t="shared" si="8"/>
        <v>1</v>
      </c>
    </row>
    <row r="3894">
      <c r="A3894" s="2" t="s">
        <v>3899</v>
      </c>
      <c r="B3894" s="2">
        <v>64.0</v>
      </c>
      <c r="C3894" s="2">
        <v>740.0</v>
      </c>
      <c r="D3894" s="2">
        <v>260.0</v>
      </c>
      <c r="E3894" s="3">
        <f t="shared" si="1"/>
        <v>0.3846153846</v>
      </c>
      <c r="F3894" s="2">
        <v>87.0</v>
      </c>
      <c r="G3894" s="3">
        <f t="shared" si="2"/>
        <v>0.1286982249</v>
      </c>
      <c r="H3894" s="2">
        <v>138.0</v>
      </c>
      <c r="I3894" s="3">
        <f t="shared" si="3"/>
        <v>0.2041420118</v>
      </c>
      <c r="J3894" s="2">
        <v>102.0</v>
      </c>
      <c r="K3894" s="3">
        <f t="shared" si="4"/>
        <v>0.150887574</v>
      </c>
      <c r="L3894" s="2">
        <v>80.0</v>
      </c>
      <c r="M3894" s="3">
        <f t="shared" si="5"/>
        <v>0.5797101449</v>
      </c>
      <c r="N3894" s="2">
        <v>720100.0</v>
      </c>
      <c r="O3894" s="4">
        <f t="shared" si="6"/>
        <v>5218.115942</v>
      </c>
      <c r="P3894" s="2">
        <v>0.0</v>
      </c>
      <c r="Q3894" s="3">
        <f t="shared" si="7"/>
        <v>0</v>
      </c>
      <c r="R3894" s="2">
        <v>64.0</v>
      </c>
      <c r="S3894" s="5">
        <f t="shared" si="8"/>
        <v>1</v>
      </c>
    </row>
    <row r="3895">
      <c r="A3895" s="2" t="s">
        <v>3900</v>
      </c>
      <c r="B3895" s="2">
        <v>543.0</v>
      </c>
      <c r="C3895" s="2">
        <v>6340.0</v>
      </c>
      <c r="D3895" s="2">
        <v>2318.0</v>
      </c>
      <c r="E3895" s="3">
        <f t="shared" si="1"/>
        <v>0.3998619976</v>
      </c>
      <c r="F3895" s="2">
        <v>746.0</v>
      </c>
      <c r="G3895" s="3">
        <f t="shared" si="2"/>
        <v>0.128687252</v>
      </c>
      <c r="H3895" s="2">
        <v>1172.0</v>
      </c>
      <c r="I3895" s="3">
        <f t="shared" si="3"/>
        <v>0.202173538</v>
      </c>
      <c r="J3895" s="2">
        <v>941.0</v>
      </c>
      <c r="K3895" s="3">
        <f t="shared" si="4"/>
        <v>0.1623253407</v>
      </c>
      <c r="L3895" s="2">
        <v>704.0</v>
      </c>
      <c r="M3895" s="3">
        <f t="shared" si="5"/>
        <v>0.6006825939</v>
      </c>
      <c r="N3895" s="2">
        <v>7058700.0</v>
      </c>
      <c r="O3895" s="4">
        <f t="shared" si="6"/>
        <v>6022.78157</v>
      </c>
      <c r="P3895" s="2">
        <v>0.0</v>
      </c>
      <c r="Q3895" s="3">
        <f t="shared" si="7"/>
        <v>0</v>
      </c>
      <c r="R3895" s="2">
        <v>543.0</v>
      </c>
      <c r="S3895" s="5">
        <f t="shared" si="8"/>
        <v>1</v>
      </c>
    </row>
    <row r="3896">
      <c r="A3896" s="2" t="s">
        <v>3901</v>
      </c>
      <c r="B3896" s="2">
        <v>132.0</v>
      </c>
      <c r="C3896" s="2">
        <v>1523.0</v>
      </c>
      <c r="D3896" s="2">
        <v>619.0</v>
      </c>
      <c r="E3896" s="3">
        <f t="shared" si="1"/>
        <v>0.4450035945</v>
      </c>
      <c r="F3896" s="2">
        <v>179.0</v>
      </c>
      <c r="G3896" s="3">
        <f t="shared" si="2"/>
        <v>0.1286843997</v>
      </c>
      <c r="H3896" s="2">
        <v>304.0</v>
      </c>
      <c r="I3896" s="3">
        <f t="shared" si="3"/>
        <v>0.2185478073</v>
      </c>
      <c r="J3896" s="2">
        <v>198.0</v>
      </c>
      <c r="K3896" s="3">
        <f t="shared" si="4"/>
        <v>0.1423436377</v>
      </c>
      <c r="L3896" s="2">
        <v>177.0</v>
      </c>
      <c r="M3896" s="3">
        <f t="shared" si="5"/>
        <v>0.5822368421</v>
      </c>
      <c r="N3896" s="2">
        <v>1545900.0</v>
      </c>
      <c r="O3896" s="4">
        <f t="shared" si="6"/>
        <v>5085.197368</v>
      </c>
      <c r="P3896" s="2">
        <v>1.0</v>
      </c>
      <c r="Q3896" s="3">
        <f t="shared" si="7"/>
        <v>0.007575757576</v>
      </c>
      <c r="R3896" s="2">
        <v>126.0</v>
      </c>
      <c r="S3896" s="5">
        <f t="shared" si="8"/>
        <v>0.9545454545</v>
      </c>
    </row>
    <row r="3897">
      <c r="A3897" s="2" t="s">
        <v>3902</v>
      </c>
      <c r="B3897" s="2">
        <v>119.0</v>
      </c>
      <c r="C3897" s="2">
        <v>1409.0</v>
      </c>
      <c r="D3897" s="2">
        <v>451.0</v>
      </c>
      <c r="E3897" s="3">
        <f t="shared" si="1"/>
        <v>0.3496124031</v>
      </c>
      <c r="F3897" s="2">
        <v>166.0</v>
      </c>
      <c r="G3897" s="3">
        <f t="shared" si="2"/>
        <v>0.1286821705</v>
      </c>
      <c r="H3897" s="2">
        <v>246.0</v>
      </c>
      <c r="I3897" s="3">
        <f t="shared" si="3"/>
        <v>0.1906976744</v>
      </c>
      <c r="J3897" s="2">
        <v>225.0</v>
      </c>
      <c r="K3897" s="3">
        <f t="shared" si="4"/>
        <v>0.1744186047</v>
      </c>
      <c r="L3897" s="2">
        <v>147.0</v>
      </c>
      <c r="M3897" s="3">
        <f t="shared" si="5"/>
        <v>0.5975609756</v>
      </c>
      <c r="N3897" s="2">
        <v>1422900.0</v>
      </c>
      <c r="O3897" s="4">
        <f t="shared" si="6"/>
        <v>5784.146341</v>
      </c>
      <c r="P3897" s="2">
        <v>0.0</v>
      </c>
      <c r="Q3897" s="3">
        <f t="shared" si="7"/>
        <v>0</v>
      </c>
      <c r="R3897" s="2">
        <v>2.0</v>
      </c>
      <c r="S3897" s="5">
        <f t="shared" si="8"/>
        <v>0.01680672269</v>
      </c>
    </row>
    <row r="3898">
      <c r="A3898" s="2" t="s">
        <v>3903</v>
      </c>
      <c r="B3898" s="2">
        <v>4852.0</v>
      </c>
      <c r="C3898" s="2">
        <v>56538.0</v>
      </c>
      <c r="D3898" s="2">
        <v>19539.0</v>
      </c>
      <c r="E3898" s="3">
        <f t="shared" si="1"/>
        <v>0.3780327361</v>
      </c>
      <c r="F3898" s="2">
        <v>6651.0</v>
      </c>
      <c r="G3898" s="3">
        <f t="shared" si="2"/>
        <v>0.1286808807</v>
      </c>
      <c r="H3898" s="2">
        <v>11144.0</v>
      </c>
      <c r="I3898" s="3">
        <f t="shared" si="3"/>
        <v>0.2156096428</v>
      </c>
      <c r="J3898" s="2">
        <v>8306.0</v>
      </c>
      <c r="K3898" s="3">
        <f t="shared" si="4"/>
        <v>0.160701157</v>
      </c>
      <c r="L3898" s="2">
        <v>6630.0</v>
      </c>
      <c r="M3898" s="3">
        <f t="shared" si="5"/>
        <v>0.5949389806</v>
      </c>
      <c r="N3898" s="2">
        <v>6.25415E7</v>
      </c>
      <c r="O3898" s="4">
        <f t="shared" si="6"/>
        <v>5612.123116</v>
      </c>
      <c r="P3898" s="2">
        <v>8.0</v>
      </c>
      <c r="Q3898" s="3">
        <f t="shared" si="7"/>
        <v>0.001648804617</v>
      </c>
      <c r="R3898" s="2">
        <v>2654.0</v>
      </c>
      <c r="S3898" s="5">
        <f t="shared" si="8"/>
        <v>0.5469909316</v>
      </c>
    </row>
    <row r="3899">
      <c r="A3899" s="2" t="s">
        <v>3904</v>
      </c>
      <c r="B3899" s="2">
        <v>216.0</v>
      </c>
      <c r="C3899" s="2">
        <v>2493.0</v>
      </c>
      <c r="D3899" s="2">
        <v>799.0</v>
      </c>
      <c r="E3899" s="3">
        <f t="shared" si="1"/>
        <v>0.3509003074</v>
      </c>
      <c r="F3899" s="2">
        <v>293.0</v>
      </c>
      <c r="G3899" s="3">
        <f t="shared" si="2"/>
        <v>0.1286780852</v>
      </c>
      <c r="H3899" s="2">
        <v>449.0</v>
      </c>
      <c r="I3899" s="3">
        <f t="shared" si="3"/>
        <v>0.1971892841</v>
      </c>
      <c r="J3899" s="2">
        <v>378.0</v>
      </c>
      <c r="K3899" s="3">
        <f t="shared" si="4"/>
        <v>0.1660079051</v>
      </c>
      <c r="L3899" s="2">
        <v>266.0</v>
      </c>
      <c r="M3899" s="3">
        <f t="shared" si="5"/>
        <v>0.5924276169</v>
      </c>
      <c r="N3899" s="2">
        <v>2697900.0</v>
      </c>
      <c r="O3899" s="4">
        <f t="shared" si="6"/>
        <v>6008.685969</v>
      </c>
      <c r="P3899" s="2">
        <v>1.0</v>
      </c>
      <c r="Q3899" s="3">
        <f t="shared" si="7"/>
        <v>0.00462962963</v>
      </c>
      <c r="R3899" s="2">
        <v>216.0</v>
      </c>
      <c r="S3899" s="5">
        <f t="shared" si="8"/>
        <v>1</v>
      </c>
    </row>
    <row r="3900">
      <c r="A3900" s="2" t="s">
        <v>3905</v>
      </c>
      <c r="B3900" s="2">
        <v>462.0</v>
      </c>
      <c r="C3900" s="2">
        <v>5358.0</v>
      </c>
      <c r="D3900" s="2">
        <v>1594.0</v>
      </c>
      <c r="E3900" s="3">
        <f t="shared" si="1"/>
        <v>0.3255718954</v>
      </c>
      <c r="F3900" s="2">
        <v>630.0</v>
      </c>
      <c r="G3900" s="3">
        <f t="shared" si="2"/>
        <v>0.1286764706</v>
      </c>
      <c r="H3900" s="2">
        <v>1081.0</v>
      </c>
      <c r="I3900" s="3">
        <f t="shared" si="3"/>
        <v>0.2207924837</v>
      </c>
      <c r="J3900" s="2">
        <v>968.0</v>
      </c>
      <c r="K3900" s="3">
        <f t="shared" si="4"/>
        <v>0.1977124183</v>
      </c>
      <c r="L3900" s="2">
        <v>600.0</v>
      </c>
      <c r="M3900" s="3">
        <f t="shared" si="5"/>
        <v>0.5550416281</v>
      </c>
      <c r="N3900" s="2">
        <v>5932700.0</v>
      </c>
      <c r="O3900" s="4">
        <f t="shared" si="6"/>
        <v>5488.159112</v>
      </c>
      <c r="P3900" s="2">
        <v>1.0</v>
      </c>
      <c r="Q3900" s="3">
        <f t="shared" si="7"/>
        <v>0.002164502165</v>
      </c>
      <c r="R3900" s="2">
        <v>462.0</v>
      </c>
      <c r="S3900" s="5">
        <f t="shared" si="8"/>
        <v>1</v>
      </c>
    </row>
    <row r="3901">
      <c r="A3901" s="2" t="s">
        <v>3906</v>
      </c>
      <c r="B3901" s="2">
        <v>437.0</v>
      </c>
      <c r="C3901" s="2">
        <v>5069.0</v>
      </c>
      <c r="D3901" s="2">
        <v>1726.0</v>
      </c>
      <c r="E3901" s="3">
        <f t="shared" si="1"/>
        <v>0.3726252159</v>
      </c>
      <c r="F3901" s="2">
        <v>596.0</v>
      </c>
      <c r="G3901" s="3">
        <f t="shared" si="2"/>
        <v>0.1286701209</v>
      </c>
      <c r="H3901" s="2">
        <v>940.0</v>
      </c>
      <c r="I3901" s="3">
        <f t="shared" si="3"/>
        <v>0.2029360967</v>
      </c>
      <c r="J3901" s="2">
        <v>726.0</v>
      </c>
      <c r="K3901" s="3">
        <f t="shared" si="4"/>
        <v>0.1567357513</v>
      </c>
      <c r="L3901" s="2">
        <v>561.0</v>
      </c>
      <c r="M3901" s="3">
        <f t="shared" si="5"/>
        <v>0.5968085106</v>
      </c>
      <c r="N3901" s="2">
        <v>5413300.0</v>
      </c>
      <c r="O3901" s="4">
        <f t="shared" si="6"/>
        <v>5758.829787</v>
      </c>
      <c r="P3901" s="2">
        <v>2.0</v>
      </c>
      <c r="Q3901" s="3">
        <f t="shared" si="7"/>
        <v>0.004576659039</v>
      </c>
      <c r="R3901" s="2">
        <v>437.0</v>
      </c>
      <c r="S3901" s="5">
        <f t="shared" si="8"/>
        <v>1</v>
      </c>
    </row>
    <row r="3902">
      <c r="A3902" s="2" t="s">
        <v>3907</v>
      </c>
      <c r="B3902" s="2">
        <v>1128.0</v>
      </c>
      <c r="C3902" s="2">
        <v>13462.0</v>
      </c>
      <c r="D3902" s="2">
        <v>4642.0</v>
      </c>
      <c r="E3902" s="3">
        <f t="shared" si="1"/>
        <v>0.3763580347</v>
      </c>
      <c r="F3902" s="2">
        <v>1587.0</v>
      </c>
      <c r="G3902" s="3">
        <f t="shared" si="2"/>
        <v>0.1286687206</v>
      </c>
      <c r="H3902" s="2">
        <v>2673.0</v>
      </c>
      <c r="I3902" s="3">
        <f t="shared" si="3"/>
        <v>0.2167180152</v>
      </c>
      <c r="J3902" s="2">
        <v>2183.0</v>
      </c>
      <c r="K3902" s="3">
        <f t="shared" si="4"/>
        <v>0.1769904329</v>
      </c>
      <c r="L3902" s="2">
        <v>1599.0</v>
      </c>
      <c r="M3902" s="3">
        <f t="shared" si="5"/>
        <v>0.5982042649</v>
      </c>
      <c r="N3902" s="2">
        <v>1.46852E7</v>
      </c>
      <c r="O3902" s="4">
        <f t="shared" si="6"/>
        <v>5493.901983</v>
      </c>
      <c r="P3902" s="2">
        <v>0.0</v>
      </c>
      <c r="Q3902" s="3">
        <f t="shared" si="7"/>
        <v>0</v>
      </c>
      <c r="R3902" s="2">
        <v>1128.0</v>
      </c>
      <c r="S3902" s="5">
        <f t="shared" si="8"/>
        <v>1</v>
      </c>
    </row>
    <row r="3903">
      <c r="A3903" s="2" t="s">
        <v>3908</v>
      </c>
      <c r="B3903" s="2">
        <v>121.0</v>
      </c>
      <c r="C3903" s="2">
        <v>1450.0</v>
      </c>
      <c r="D3903" s="2">
        <v>602.0</v>
      </c>
      <c r="E3903" s="3">
        <f t="shared" si="1"/>
        <v>0.4529721595</v>
      </c>
      <c r="F3903" s="2">
        <v>171.0</v>
      </c>
      <c r="G3903" s="3">
        <f t="shared" si="2"/>
        <v>0.1286681716</v>
      </c>
      <c r="H3903" s="2">
        <v>298.0</v>
      </c>
      <c r="I3903" s="3">
        <f t="shared" si="3"/>
        <v>0.2242287434</v>
      </c>
      <c r="J3903" s="2">
        <v>194.0</v>
      </c>
      <c r="K3903" s="3">
        <f t="shared" si="4"/>
        <v>0.1459744169</v>
      </c>
      <c r="L3903" s="2">
        <v>179.0</v>
      </c>
      <c r="M3903" s="3">
        <f t="shared" si="5"/>
        <v>0.6006711409</v>
      </c>
      <c r="N3903" s="2">
        <v>1552500.0</v>
      </c>
      <c r="O3903" s="4">
        <f t="shared" si="6"/>
        <v>5209.731544</v>
      </c>
      <c r="P3903" s="2">
        <v>0.0</v>
      </c>
      <c r="Q3903" s="3">
        <f t="shared" si="7"/>
        <v>0</v>
      </c>
      <c r="R3903" s="2">
        <v>15.0</v>
      </c>
      <c r="S3903" s="5">
        <f t="shared" si="8"/>
        <v>0.1239669421</v>
      </c>
    </row>
    <row r="3904">
      <c r="A3904" s="2" t="s">
        <v>3909</v>
      </c>
      <c r="B3904" s="2">
        <v>363.0</v>
      </c>
      <c r="C3904" s="2">
        <v>4218.0</v>
      </c>
      <c r="D3904" s="2">
        <v>1534.0</v>
      </c>
      <c r="E3904" s="3">
        <f t="shared" si="1"/>
        <v>0.397924773</v>
      </c>
      <c r="F3904" s="2">
        <v>496.0</v>
      </c>
      <c r="G3904" s="3">
        <f t="shared" si="2"/>
        <v>0.1286640726</v>
      </c>
      <c r="H3904" s="2">
        <v>861.0</v>
      </c>
      <c r="I3904" s="3">
        <f t="shared" si="3"/>
        <v>0.2233463035</v>
      </c>
      <c r="J3904" s="2">
        <v>639.0</v>
      </c>
      <c r="K3904" s="3">
        <f t="shared" si="4"/>
        <v>0.1657587549</v>
      </c>
      <c r="L3904" s="2">
        <v>533.0</v>
      </c>
      <c r="M3904" s="3">
        <f t="shared" si="5"/>
        <v>0.619047619</v>
      </c>
      <c r="N3904" s="2">
        <v>4994500.0</v>
      </c>
      <c r="O3904" s="4">
        <f t="shared" si="6"/>
        <v>5800.813008</v>
      </c>
      <c r="P3904" s="2">
        <v>2.0</v>
      </c>
      <c r="Q3904" s="3">
        <f t="shared" si="7"/>
        <v>0.005509641873</v>
      </c>
      <c r="R3904" s="2">
        <v>363.0</v>
      </c>
      <c r="S3904" s="5">
        <f t="shared" si="8"/>
        <v>1</v>
      </c>
    </row>
    <row r="3905">
      <c r="A3905" s="2" t="s">
        <v>3910</v>
      </c>
      <c r="B3905" s="2">
        <v>597.0</v>
      </c>
      <c r="C3905" s="2">
        <v>6947.0</v>
      </c>
      <c r="D3905" s="2">
        <v>2376.0</v>
      </c>
      <c r="E3905" s="3">
        <f t="shared" si="1"/>
        <v>0.3741732283</v>
      </c>
      <c r="F3905" s="2">
        <v>817.0</v>
      </c>
      <c r="G3905" s="3">
        <f t="shared" si="2"/>
        <v>0.1286614173</v>
      </c>
      <c r="H3905" s="2">
        <v>1281.0</v>
      </c>
      <c r="I3905" s="3">
        <f t="shared" si="3"/>
        <v>0.2017322835</v>
      </c>
      <c r="J3905" s="2">
        <v>1112.0</v>
      </c>
      <c r="K3905" s="3">
        <f t="shared" si="4"/>
        <v>0.1751181102</v>
      </c>
      <c r="L3905" s="2">
        <v>774.0</v>
      </c>
      <c r="M3905" s="3">
        <f t="shared" si="5"/>
        <v>0.6042154567</v>
      </c>
      <c r="N3905" s="2">
        <v>7241000.0</v>
      </c>
      <c r="O3905" s="4">
        <f t="shared" si="6"/>
        <v>5652.615144</v>
      </c>
      <c r="P3905" s="2">
        <v>1.0</v>
      </c>
      <c r="Q3905" s="3">
        <f t="shared" si="7"/>
        <v>0.001675041876</v>
      </c>
      <c r="R3905" s="2">
        <v>597.0</v>
      </c>
      <c r="S3905" s="5">
        <f t="shared" si="8"/>
        <v>1</v>
      </c>
    </row>
    <row r="3906">
      <c r="A3906" s="2" t="s">
        <v>3911</v>
      </c>
      <c r="B3906" s="2">
        <v>1522.0</v>
      </c>
      <c r="C3906" s="2">
        <v>17743.0</v>
      </c>
      <c r="D3906" s="2">
        <v>5774.0</v>
      </c>
      <c r="E3906" s="3">
        <f t="shared" si="1"/>
        <v>0.3559583256</v>
      </c>
      <c r="F3906" s="2">
        <v>2087.0</v>
      </c>
      <c r="G3906" s="3">
        <f t="shared" si="2"/>
        <v>0.1286603785</v>
      </c>
      <c r="H3906" s="2">
        <v>3478.0</v>
      </c>
      <c r="I3906" s="3">
        <f t="shared" si="3"/>
        <v>0.2144134147</v>
      </c>
      <c r="J3906" s="2">
        <v>2884.0</v>
      </c>
      <c r="K3906" s="3">
        <f t="shared" si="4"/>
        <v>0.1777942174</v>
      </c>
      <c r="L3906" s="2">
        <v>2113.0</v>
      </c>
      <c r="M3906" s="3">
        <f t="shared" si="5"/>
        <v>0.607533065</v>
      </c>
      <c r="N3906" s="2">
        <v>1.95626E7</v>
      </c>
      <c r="O3906" s="4">
        <f t="shared" si="6"/>
        <v>5624.66935</v>
      </c>
      <c r="P3906" s="2">
        <v>1.0</v>
      </c>
      <c r="Q3906" s="3">
        <f t="shared" si="7"/>
        <v>0.0006570302234</v>
      </c>
      <c r="R3906" s="2">
        <v>1522.0</v>
      </c>
      <c r="S3906" s="5">
        <f t="shared" si="8"/>
        <v>1</v>
      </c>
    </row>
    <row r="3907">
      <c r="A3907" s="2" t="s">
        <v>3912</v>
      </c>
      <c r="B3907" s="2">
        <v>63.0</v>
      </c>
      <c r="C3907" s="2">
        <v>747.0</v>
      </c>
      <c r="D3907" s="2">
        <v>245.0</v>
      </c>
      <c r="E3907" s="3">
        <f t="shared" si="1"/>
        <v>0.3581871345</v>
      </c>
      <c r="F3907" s="2">
        <v>88.0</v>
      </c>
      <c r="G3907" s="3">
        <f t="shared" si="2"/>
        <v>0.1286549708</v>
      </c>
      <c r="H3907" s="2">
        <v>142.0</v>
      </c>
      <c r="I3907" s="3">
        <f t="shared" si="3"/>
        <v>0.2076023392</v>
      </c>
      <c r="J3907" s="2">
        <v>117.0</v>
      </c>
      <c r="K3907" s="3">
        <f t="shared" si="4"/>
        <v>0.1710526316</v>
      </c>
      <c r="L3907" s="2">
        <v>91.0</v>
      </c>
      <c r="M3907" s="3">
        <f t="shared" si="5"/>
        <v>0.6408450704</v>
      </c>
      <c r="N3907" s="2">
        <v>750300.0</v>
      </c>
      <c r="O3907" s="4">
        <f t="shared" si="6"/>
        <v>5283.802817</v>
      </c>
      <c r="P3907" s="2">
        <v>0.0</v>
      </c>
      <c r="Q3907" s="3">
        <f t="shared" si="7"/>
        <v>0</v>
      </c>
      <c r="R3907" s="2">
        <v>0.0</v>
      </c>
      <c r="S3907" s="5">
        <f t="shared" si="8"/>
        <v>0</v>
      </c>
    </row>
    <row r="3908">
      <c r="A3908" s="2" t="s">
        <v>3913</v>
      </c>
      <c r="B3908" s="2">
        <v>897.0</v>
      </c>
      <c r="C3908" s="2">
        <v>10598.0</v>
      </c>
      <c r="D3908" s="2">
        <v>3526.0</v>
      </c>
      <c r="E3908" s="3">
        <f t="shared" si="1"/>
        <v>0.3634676837</v>
      </c>
      <c r="F3908" s="2">
        <v>1248.0</v>
      </c>
      <c r="G3908" s="3">
        <f t="shared" si="2"/>
        <v>0.1286465313</v>
      </c>
      <c r="H3908" s="2">
        <v>1957.0</v>
      </c>
      <c r="I3908" s="3">
        <f t="shared" si="3"/>
        <v>0.2017317802</v>
      </c>
      <c r="J3908" s="2">
        <v>1417.0</v>
      </c>
      <c r="K3908" s="3">
        <f t="shared" si="4"/>
        <v>0.1460674157</v>
      </c>
      <c r="L3908" s="2">
        <v>1131.0</v>
      </c>
      <c r="M3908" s="3">
        <f t="shared" si="5"/>
        <v>0.577925396</v>
      </c>
      <c r="N3908" s="2">
        <v>1.12995E7</v>
      </c>
      <c r="O3908" s="4">
        <f t="shared" si="6"/>
        <v>5773.888605</v>
      </c>
      <c r="P3908" s="2">
        <v>2.0</v>
      </c>
      <c r="Q3908" s="3">
        <f t="shared" si="7"/>
        <v>0.002229654404</v>
      </c>
      <c r="R3908" s="2">
        <v>897.0</v>
      </c>
      <c r="S3908" s="5">
        <f t="shared" si="8"/>
        <v>1</v>
      </c>
    </row>
    <row r="3909">
      <c r="A3909" s="2" t="s">
        <v>3914</v>
      </c>
      <c r="B3909" s="2">
        <v>289.0</v>
      </c>
      <c r="C3909" s="2">
        <v>3383.0</v>
      </c>
      <c r="D3909" s="2">
        <v>1390.0</v>
      </c>
      <c r="E3909" s="3">
        <f t="shared" si="1"/>
        <v>0.4492566257</v>
      </c>
      <c r="F3909" s="2">
        <v>398.0</v>
      </c>
      <c r="G3909" s="3">
        <f t="shared" si="2"/>
        <v>0.1286360698</v>
      </c>
      <c r="H3909" s="2">
        <v>696.0</v>
      </c>
      <c r="I3909" s="3">
        <f t="shared" si="3"/>
        <v>0.2249515191</v>
      </c>
      <c r="J3909" s="2">
        <v>513.0</v>
      </c>
      <c r="K3909" s="3">
        <f t="shared" si="4"/>
        <v>0.1658047835</v>
      </c>
      <c r="L3909" s="2">
        <v>410.0</v>
      </c>
      <c r="M3909" s="3">
        <f t="shared" si="5"/>
        <v>0.5890804598</v>
      </c>
      <c r="N3909" s="2">
        <v>3493700.0</v>
      </c>
      <c r="O3909" s="4">
        <f t="shared" si="6"/>
        <v>5019.683908</v>
      </c>
      <c r="P3909" s="2">
        <v>2.0</v>
      </c>
      <c r="Q3909" s="3">
        <f t="shared" si="7"/>
        <v>0.006920415225</v>
      </c>
      <c r="R3909" s="2">
        <v>78.0</v>
      </c>
      <c r="S3909" s="5">
        <f t="shared" si="8"/>
        <v>0.2698961938</v>
      </c>
    </row>
    <row r="3910">
      <c r="A3910" s="2" t="s">
        <v>3915</v>
      </c>
      <c r="B3910" s="2">
        <v>390.0</v>
      </c>
      <c r="C3910" s="2">
        <v>4588.0</v>
      </c>
      <c r="D3910" s="2">
        <v>1634.0</v>
      </c>
      <c r="E3910" s="3">
        <f t="shared" si="1"/>
        <v>0.3892329681</v>
      </c>
      <c r="F3910" s="2">
        <v>540.0</v>
      </c>
      <c r="G3910" s="3">
        <f t="shared" si="2"/>
        <v>0.1286326822</v>
      </c>
      <c r="H3910" s="2">
        <v>975.0</v>
      </c>
      <c r="I3910" s="3">
        <f t="shared" si="3"/>
        <v>0.232253454</v>
      </c>
      <c r="J3910" s="2">
        <v>860.0</v>
      </c>
      <c r="K3910" s="3">
        <f t="shared" si="4"/>
        <v>0.2048594569</v>
      </c>
      <c r="L3910" s="2">
        <v>595.0</v>
      </c>
      <c r="M3910" s="3">
        <f t="shared" si="5"/>
        <v>0.6102564103</v>
      </c>
      <c r="N3910" s="2">
        <v>5105500.0</v>
      </c>
      <c r="O3910" s="4">
        <f t="shared" si="6"/>
        <v>5236.410256</v>
      </c>
      <c r="P3910" s="2">
        <v>1.0</v>
      </c>
      <c r="Q3910" s="3">
        <f t="shared" si="7"/>
        <v>0.002564102564</v>
      </c>
      <c r="R3910" s="2">
        <v>390.0</v>
      </c>
      <c r="S3910" s="5">
        <f t="shared" si="8"/>
        <v>1</v>
      </c>
    </row>
    <row r="3911">
      <c r="A3911" s="2" t="s">
        <v>3916</v>
      </c>
      <c r="B3911" s="2">
        <v>1991.0</v>
      </c>
      <c r="C3911" s="2">
        <v>23440.0</v>
      </c>
      <c r="D3911" s="2">
        <v>7649.0</v>
      </c>
      <c r="E3911" s="3">
        <f t="shared" si="1"/>
        <v>0.3566133619</v>
      </c>
      <c r="F3911" s="2">
        <v>2759.0</v>
      </c>
      <c r="G3911" s="3">
        <f t="shared" si="2"/>
        <v>0.1286307054</v>
      </c>
      <c r="H3911" s="2">
        <v>4679.0</v>
      </c>
      <c r="I3911" s="3">
        <f t="shared" si="3"/>
        <v>0.2181453681</v>
      </c>
      <c r="J3911" s="2">
        <v>4032.0</v>
      </c>
      <c r="K3911" s="3">
        <f t="shared" si="4"/>
        <v>0.1879807916</v>
      </c>
      <c r="L3911" s="2">
        <v>2752.0</v>
      </c>
      <c r="M3911" s="3">
        <f t="shared" si="5"/>
        <v>0.5881598632</v>
      </c>
      <c r="N3911" s="2">
        <v>2.50213E7</v>
      </c>
      <c r="O3911" s="4">
        <f t="shared" si="6"/>
        <v>5347.574268</v>
      </c>
      <c r="P3911" s="2">
        <v>3.0</v>
      </c>
      <c r="Q3911" s="3">
        <f t="shared" si="7"/>
        <v>0.001506780512</v>
      </c>
      <c r="R3911" s="2">
        <v>1991.0</v>
      </c>
      <c r="S3911" s="5">
        <f t="shared" si="8"/>
        <v>1</v>
      </c>
    </row>
    <row r="3912">
      <c r="A3912" s="2" t="s">
        <v>3917</v>
      </c>
      <c r="B3912" s="2">
        <v>761.0</v>
      </c>
      <c r="C3912" s="2">
        <v>8893.0</v>
      </c>
      <c r="D3912" s="2">
        <v>3395.0</v>
      </c>
      <c r="E3912" s="3">
        <f t="shared" si="1"/>
        <v>0.4174864732</v>
      </c>
      <c r="F3912" s="2">
        <v>1046.0</v>
      </c>
      <c r="G3912" s="3">
        <f t="shared" si="2"/>
        <v>0.1286276439</v>
      </c>
      <c r="H3912" s="2">
        <v>1724.0</v>
      </c>
      <c r="I3912" s="3">
        <f t="shared" si="3"/>
        <v>0.2120019675</v>
      </c>
      <c r="J3912" s="2">
        <v>1436.0</v>
      </c>
      <c r="K3912" s="3">
        <f t="shared" si="4"/>
        <v>0.1765863256</v>
      </c>
      <c r="L3912" s="2">
        <v>1051.0</v>
      </c>
      <c r="M3912" s="3">
        <f t="shared" si="5"/>
        <v>0.6096287703</v>
      </c>
      <c r="N3912" s="2">
        <v>9061700.0</v>
      </c>
      <c r="O3912" s="4">
        <f t="shared" si="6"/>
        <v>5256.206497</v>
      </c>
      <c r="P3912" s="2">
        <v>1.0</v>
      </c>
      <c r="Q3912" s="3">
        <f t="shared" si="7"/>
        <v>0.001314060447</v>
      </c>
      <c r="R3912" s="2">
        <v>761.0</v>
      </c>
      <c r="S3912" s="5">
        <f t="shared" si="8"/>
        <v>1</v>
      </c>
    </row>
    <row r="3913">
      <c r="A3913" s="2" t="s">
        <v>3918</v>
      </c>
      <c r="B3913" s="2">
        <v>731.0</v>
      </c>
      <c r="C3913" s="2">
        <v>8661.0</v>
      </c>
      <c r="D3913" s="2">
        <v>2398.0</v>
      </c>
      <c r="E3913" s="3">
        <f t="shared" si="1"/>
        <v>0.3023959647</v>
      </c>
      <c r="F3913" s="2">
        <v>1020.0</v>
      </c>
      <c r="G3913" s="3">
        <f t="shared" si="2"/>
        <v>0.1286254729</v>
      </c>
      <c r="H3913" s="2">
        <v>1605.0</v>
      </c>
      <c r="I3913" s="3">
        <f t="shared" si="3"/>
        <v>0.2023959647</v>
      </c>
      <c r="J3913" s="2">
        <v>1535.0</v>
      </c>
      <c r="K3913" s="3">
        <f t="shared" si="4"/>
        <v>0.1935687264</v>
      </c>
      <c r="L3913" s="2">
        <v>936.0</v>
      </c>
      <c r="M3913" s="3">
        <f t="shared" si="5"/>
        <v>0.5831775701</v>
      </c>
      <c r="N3913" s="2">
        <v>9926500.0</v>
      </c>
      <c r="O3913" s="4">
        <f t="shared" si="6"/>
        <v>6184.735202</v>
      </c>
      <c r="P3913" s="2">
        <v>3.0</v>
      </c>
      <c r="Q3913" s="3">
        <f t="shared" si="7"/>
        <v>0.004103967168</v>
      </c>
      <c r="R3913" s="2">
        <v>731.0</v>
      </c>
      <c r="S3913" s="5">
        <f t="shared" si="8"/>
        <v>1</v>
      </c>
    </row>
    <row r="3914">
      <c r="A3914" s="2">
        <v>0.11</v>
      </c>
      <c r="B3914" s="2">
        <v>811.0</v>
      </c>
      <c r="C3914" s="2">
        <v>9503.0</v>
      </c>
      <c r="D3914" s="2">
        <v>3416.0</v>
      </c>
      <c r="E3914" s="3">
        <f t="shared" si="1"/>
        <v>0.3930050621</v>
      </c>
      <c r="F3914" s="2">
        <v>1118.0</v>
      </c>
      <c r="G3914" s="3">
        <f t="shared" si="2"/>
        <v>0.1286240221</v>
      </c>
      <c r="H3914" s="2">
        <v>1836.0</v>
      </c>
      <c r="I3914" s="3">
        <f t="shared" si="3"/>
        <v>0.2112287161</v>
      </c>
      <c r="J3914" s="2">
        <v>1508.0</v>
      </c>
      <c r="K3914" s="3">
        <f t="shared" si="4"/>
        <v>0.173492867</v>
      </c>
      <c r="L3914" s="2">
        <v>1086.0</v>
      </c>
      <c r="M3914" s="3">
        <f t="shared" si="5"/>
        <v>0.591503268</v>
      </c>
      <c r="N3914" s="2">
        <v>1.06395E7</v>
      </c>
      <c r="O3914" s="4">
        <f t="shared" si="6"/>
        <v>5794.934641</v>
      </c>
      <c r="P3914" s="2">
        <v>5.0</v>
      </c>
      <c r="Q3914" s="3">
        <f t="shared" si="7"/>
        <v>0.006165228113</v>
      </c>
      <c r="R3914" s="2">
        <v>542.0</v>
      </c>
      <c r="S3914" s="5">
        <f t="shared" si="8"/>
        <v>0.6683107275</v>
      </c>
    </row>
    <row r="3915">
      <c r="A3915" s="2" t="s">
        <v>3919</v>
      </c>
      <c r="B3915" s="2">
        <v>82.0</v>
      </c>
      <c r="C3915" s="2">
        <v>945.0</v>
      </c>
      <c r="D3915" s="2">
        <v>230.0</v>
      </c>
      <c r="E3915" s="3">
        <f t="shared" si="1"/>
        <v>0.2665121669</v>
      </c>
      <c r="F3915" s="2">
        <v>111.0</v>
      </c>
      <c r="G3915" s="3">
        <f t="shared" si="2"/>
        <v>0.1286210892</v>
      </c>
      <c r="H3915" s="2">
        <v>155.0</v>
      </c>
      <c r="I3915" s="3">
        <f t="shared" si="3"/>
        <v>0.1796060255</v>
      </c>
      <c r="J3915" s="2">
        <v>152.0</v>
      </c>
      <c r="K3915" s="3">
        <f t="shared" si="4"/>
        <v>0.1761297798</v>
      </c>
      <c r="L3915" s="2">
        <v>100.0</v>
      </c>
      <c r="M3915" s="3">
        <f t="shared" si="5"/>
        <v>0.6451612903</v>
      </c>
      <c r="N3915" s="2">
        <v>1004200.0</v>
      </c>
      <c r="O3915" s="4">
        <f t="shared" si="6"/>
        <v>6478.709677</v>
      </c>
      <c r="P3915" s="2">
        <v>0.0</v>
      </c>
      <c r="Q3915" s="3">
        <f t="shared" si="7"/>
        <v>0</v>
      </c>
      <c r="R3915" s="2">
        <v>82.0</v>
      </c>
      <c r="S3915" s="5">
        <f t="shared" si="8"/>
        <v>1</v>
      </c>
    </row>
    <row r="3916">
      <c r="A3916" s="2" t="s">
        <v>3920</v>
      </c>
      <c r="B3916" s="2">
        <v>2191.0</v>
      </c>
      <c r="C3916" s="2">
        <v>25508.0</v>
      </c>
      <c r="D3916" s="2">
        <v>7352.0</v>
      </c>
      <c r="E3916" s="3">
        <f t="shared" si="1"/>
        <v>0.3153064288</v>
      </c>
      <c r="F3916" s="2">
        <v>2999.0</v>
      </c>
      <c r="G3916" s="3">
        <f t="shared" si="2"/>
        <v>0.1286186045</v>
      </c>
      <c r="H3916" s="2">
        <v>4648.0</v>
      </c>
      <c r="I3916" s="3">
        <f t="shared" si="3"/>
        <v>0.1993395377</v>
      </c>
      <c r="J3916" s="2">
        <v>4470.0</v>
      </c>
      <c r="K3916" s="3">
        <f t="shared" si="4"/>
        <v>0.1917056225</v>
      </c>
      <c r="L3916" s="2">
        <v>2735.0</v>
      </c>
      <c r="M3916" s="3">
        <f t="shared" si="5"/>
        <v>0.5884251291</v>
      </c>
      <c r="N3916" s="2">
        <v>2.74662E7</v>
      </c>
      <c r="O3916" s="4">
        <f t="shared" si="6"/>
        <v>5909.251291</v>
      </c>
      <c r="P3916" s="2">
        <v>4.0</v>
      </c>
      <c r="Q3916" s="3">
        <f t="shared" si="7"/>
        <v>0.001825650388</v>
      </c>
      <c r="R3916" s="2">
        <v>148.0</v>
      </c>
      <c r="S3916" s="5">
        <f t="shared" si="8"/>
        <v>0.06754906435</v>
      </c>
    </row>
    <row r="3917">
      <c r="A3917" s="2" t="s">
        <v>3921</v>
      </c>
      <c r="B3917" s="2">
        <v>1439.0</v>
      </c>
      <c r="C3917" s="2">
        <v>16796.0</v>
      </c>
      <c r="D3917" s="2">
        <v>6190.0</v>
      </c>
      <c r="E3917" s="3">
        <f t="shared" si="1"/>
        <v>0.403073517</v>
      </c>
      <c r="F3917" s="2">
        <v>1975.0</v>
      </c>
      <c r="G3917" s="3">
        <f t="shared" si="2"/>
        <v>0.1286058475</v>
      </c>
      <c r="H3917" s="2">
        <v>3400.0</v>
      </c>
      <c r="I3917" s="3">
        <f t="shared" si="3"/>
        <v>0.2213974083</v>
      </c>
      <c r="J3917" s="2">
        <v>2426.0</v>
      </c>
      <c r="K3917" s="3">
        <f t="shared" si="4"/>
        <v>0.1579735625</v>
      </c>
      <c r="L3917" s="2">
        <v>2051.0</v>
      </c>
      <c r="M3917" s="3">
        <f t="shared" si="5"/>
        <v>0.6032352941</v>
      </c>
      <c r="N3917" s="2">
        <v>1.87165E7</v>
      </c>
      <c r="O3917" s="4">
        <f t="shared" si="6"/>
        <v>5504.852941</v>
      </c>
      <c r="P3917" s="2">
        <v>3.0</v>
      </c>
      <c r="Q3917" s="3">
        <f t="shared" si="7"/>
        <v>0.002084781098</v>
      </c>
      <c r="R3917" s="2">
        <v>1439.0</v>
      </c>
      <c r="S3917" s="5">
        <f t="shared" si="8"/>
        <v>1</v>
      </c>
    </row>
    <row r="3918">
      <c r="A3918" s="2" t="s">
        <v>3922</v>
      </c>
      <c r="B3918" s="2">
        <v>159.0</v>
      </c>
      <c r="C3918" s="2">
        <v>1893.0</v>
      </c>
      <c r="D3918" s="2">
        <v>628.0</v>
      </c>
      <c r="E3918" s="3">
        <f t="shared" si="1"/>
        <v>0.3621683968</v>
      </c>
      <c r="F3918" s="2">
        <v>223.0</v>
      </c>
      <c r="G3918" s="3">
        <f t="shared" si="2"/>
        <v>0.1286043829</v>
      </c>
      <c r="H3918" s="2">
        <v>411.0</v>
      </c>
      <c r="I3918" s="3">
        <f t="shared" si="3"/>
        <v>0.2370242215</v>
      </c>
      <c r="J3918" s="2">
        <v>310.0</v>
      </c>
      <c r="K3918" s="3">
        <f t="shared" si="4"/>
        <v>0.1787773933</v>
      </c>
      <c r="L3918" s="2">
        <v>244.0</v>
      </c>
      <c r="M3918" s="3">
        <f t="shared" si="5"/>
        <v>0.5936739659</v>
      </c>
      <c r="N3918" s="2">
        <v>2247300.0</v>
      </c>
      <c r="O3918" s="4">
        <f t="shared" si="6"/>
        <v>5467.883212</v>
      </c>
      <c r="P3918" s="2">
        <v>2.0</v>
      </c>
      <c r="Q3918" s="3">
        <f t="shared" si="7"/>
        <v>0.01257861635</v>
      </c>
      <c r="R3918" s="2">
        <v>42.0</v>
      </c>
      <c r="S3918" s="5">
        <f t="shared" si="8"/>
        <v>0.2641509434</v>
      </c>
    </row>
    <row r="3919">
      <c r="A3919" s="2" t="s">
        <v>3923</v>
      </c>
      <c r="B3919" s="2">
        <v>153.0</v>
      </c>
      <c r="C3919" s="2">
        <v>1786.0</v>
      </c>
      <c r="D3919" s="2">
        <v>561.0</v>
      </c>
      <c r="E3919" s="3">
        <f t="shared" si="1"/>
        <v>0.3435394979</v>
      </c>
      <c r="F3919" s="2">
        <v>210.0</v>
      </c>
      <c r="G3919" s="3">
        <f t="shared" si="2"/>
        <v>0.128597673</v>
      </c>
      <c r="H3919" s="2">
        <v>324.0</v>
      </c>
      <c r="I3919" s="3">
        <f t="shared" si="3"/>
        <v>0.1984078383</v>
      </c>
      <c r="J3919" s="2">
        <v>274.0</v>
      </c>
      <c r="K3919" s="3">
        <f t="shared" si="4"/>
        <v>0.1677893448</v>
      </c>
      <c r="L3919" s="2">
        <v>198.0</v>
      </c>
      <c r="M3919" s="3">
        <f t="shared" si="5"/>
        <v>0.6111111111</v>
      </c>
      <c r="N3919" s="2">
        <v>1804800.0</v>
      </c>
      <c r="O3919" s="4">
        <f t="shared" si="6"/>
        <v>5570.37037</v>
      </c>
      <c r="P3919" s="2">
        <v>0.0</v>
      </c>
      <c r="Q3919" s="3">
        <f t="shared" si="7"/>
        <v>0</v>
      </c>
      <c r="R3919" s="2">
        <v>0.0</v>
      </c>
      <c r="S3919" s="5">
        <f t="shared" si="8"/>
        <v>0</v>
      </c>
    </row>
    <row r="3920">
      <c r="A3920" s="2" t="s">
        <v>3924</v>
      </c>
      <c r="B3920" s="2">
        <v>855.0</v>
      </c>
      <c r="C3920" s="2">
        <v>9891.0</v>
      </c>
      <c r="D3920" s="2">
        <v>3241.0</v>
      </c>
      <c r="E3920" s="3">
        <f t="shared" si="1"/>
        <v>0.3586764055</v>
      </c>
      <c r="F3920" s="2">
        <v>1162.0</v>
      </c>
      <c r="G3920" s="3">
        <f t="shared" si="2"/>
        <v>0.1285967242</v>
      </c>
      <c r="H3920" s="2">
        <v>1784.0</v>
      </c>
      <c r="I3920" s="3">
        <f t="shared" si="3"/>
        <v>0.1974324923</v>
      </c>
      <c r="J3920" s="2">
        <v>1594.0</v>
      </c>
      <c r="K3920" s="3">
        <f t="shared" si="4"/>
        <v>0.1764054892</v>
      </c>
      <c r="L3920" s="2">
        <v>1072.0</v>
      </c>
      <c r="M3920" s="3">
        <f t="shared" si="5"/>
        <v>0.600896861</v>
      </c>
      <c r="N3920" s="2">
        <v>1.07879E7</v>
      </c>
      <c r="O3920" s="4">
        <f t="shared" si="6"/>
        <v>6047.029148</v>
      </c>
      <c r="P3920" s="2">
        <v>0.0</v>
      </c>
      <c r="Q3920" s="3">
        <f t="shared" si="7"/>
        <v>0</v>
      </c>
      <c r="R3920" s="2">
        <v>855.0</v>
      </c>
      <c r="S3920" s="5">
        <f t="shared" si="8"/>
        <v>1</v>
      </c>
    </row>
    <row r="3921">
      <c r="A3921" s="2" t="s">
        <v>3925</v>
      </c>
      <c r="B3921" s="2">
        <v>360.0</v>
      </c>
      <c r="C3921" s="2">
        <v>4256.0</v>
      </c>
      <c r="D3921" s="2">
        <v>1252.0</v>
      </c>
      <c r="E3921" s="3">
        <f t="shared" si="1"/>
        <v>0.3213552361</v>
      </c>
      <c r="F3921" s="2">
        <v>501.0</v>
      </c>
      <c r="G3921" s="3">
        <f t="shared" si="2"/>
        <v>0.1285934292</v>
      </c>
      <c r="H3921" s="2">
        <v>889.0</v>
      </c>
      <c r="I3921" s="3">
        <f t="shared" si="3"/>
        <v>0.2281827515</v>
      </c>
      <c r="J3921" s="2">
        <v>700.0</v>
      </c>
      <c r="K3921" s="3">
        <f t="shared" si="4"/>
        <v>0.1796714579</v>
      </c>
      <c r="L3921" s="2">
        <v>543.0</v>
      </c>
      <c r="M3921" s="3">
        <f t="shared" si="5"/>
        <v>0.6107986502</v>
      </c>
      <c r="N3921" s="2">
        <v>4770300.0</v>
      </c>
      <c r="O3921" s="4">
        <f t="shared" si="6"/>
        <v>5365.91676</v>
      </c>
      <c r="P3921" s="2">
        <v>1.0</v>
      </c>
      <c r="Q3921" s="3">
        <f t="shared" si="7"/>
        <v>0.002777777778</v>
      </c>
      <c r="R3921" s="2">
        <v>360.0</v>
      </c>
      <c r="S3921" s="5">
        <f t="shared" si="8"/>
        <v>1</v>
      </c>
    </row>
    <row r="3922">
      <c r="A3922" s="2" t="s">
        <v>3926</v>
      </c>
      <c r="B3922" s="2">
        <v>62.0</v>
      </c>
      <c r="C3922" s="2">
        <v>762.0</v>
      </c>
      <c r="D3922" s="2">
        <v>194.0</v>
      </c>
      <c r="E3922" s="3">
        <f t="shared" si="1"/>
        <v>0.2771428571</v>
      </c>
      <c r="F3922" s="2">
        <v>90.0</v>
      </c>
      <c r="G3922" s="3">
        <f t="shared" si="2"/>
        <v>0.1285714286</v>
      </c>
      <c r="H3922" s="2">
        <v>134.0</v>
      </c>
      <c r="I3922" s="3">
        <f t="shared" si="3"/>
        <v>0.1914285714</v>
      </c>
      <c r="J3922" s="2">
        <v>136.0</v>
      </c>
      <c r="K3922" s="3">
        <f t="shared" si="4"/>
        <v>0.1942857143</v>
      </c>
      <c r="L3922" s="2">
        <v>85.0</v>
      </c>
      <c r="M3922" s="3">
        <f t="shared" si="5"/>
        <v>0.6343283582</v>
      </c>
      <c r="N3922" s="2">
        <v>676500.0</v>
      </c>
      <c r="O3922" s="4">
        <f t="shared" si="6"/>
        <v>5048.507463</v>
      </c>
      <c r="P3922" s="2">
        <v>0.0</v>
      </c>
      <c r="Q3922" s="3">
        <f t="shared" si="7"/>
        <v>0</v>
      </c>
      <c r="R3922" s="2">
        <v>30.0</v>
      </c>
      <c r="S3922" s="5">
        <f t="shared" si="8"/>
        <v>0.4838709677</v>
      </c>
    </row>
    <row r="3923">
      <c r="A3923" s="2" t="s">
        <v>3927</v>
      </c>
      <c r="B3923" s="2">
        <v>117.0</v>
      </c>
      <c r="C3923" s="2">
        <v>1377.0</v>
      </c>
      <c r="D3923" s="2">
        <v>512.0</v>
      </c>
      <c r="E3923" s="3">
        <f t="shared" si="1"/>
        <v>0.4063492063</v>
      </c>
      <c r="F3923" s="2">
        <v>162.0</v>
      </c>
      <c r="G3923" s="3">
        <f t="shared" si="2"/>
        <v>0.1285714286</v>
      </c>
      <c r="H3923" s="2">
        <v>250.0</v>
      </c>
      <c r="I3923" s="3">
        <f t="shared" si="3"/>
        <v>0.1984126984</v>
      </c>
      <c r="J3923" s="2">
        <v>222.0</v>
      </c>
      <c r="K3923" s="3">
        <f t="shared" si="4"/>
        <v>0.1761904762</v>
      </c>
      <c r="L3923" s="2">
        <v>154.0</v>
      </c>
      <c r="M3923" s="3">
        <f t="shared" si="5"/>
        <v>0.616</v>
      </c>
      <c r="N3923" s="2">
        <v>1306800.0</v>
      </c>
      <c r="O3923" s="4">
        <f t="shared" si="6"/>
        <v>5227.2</v>
      </c>
      <c r="P3923" s="2">
        <v>1.0</v>
      </c>
      <c r="Q3923" s="3">
        <f t="shared" si="7"/>
        <v>0.008547008547</v>
      </c>
      <c r="R3923" s="2">
        <v>0.0</v>
      </c>
      <c r="S3923" s="5">
        <f t="shared" si="8"/>
        <v>0</v>
      </c>
    </row>
    <row r="3924">
      <c r="A3924" s="2" t="s">
        <v>3928</v>
      </c>
      <c r="B3924" s="2">
        <v>183.0</v>
      </c>
      <c r="C3924" s="2">
        <v>2143.0</v>
      </c>
      <c r="D3924" s="2">
        <v>722.0</v>
      </c>
      <c r="E3924" s="3">
        <f t="shared" si="1"/>
        <v>0.3683673469</v>
      </c>
      <c r="F3924" s="2">
        <v>252.0</v>
      </c>
      <c r="G3924" s="3">
        <f t="shared" si="2"/>
        <v>0.1285714286</v>
      </c>
      <c r="H3924" s="2">
        <v>410.0</v>
      </c>
      <c r="I3924" s="3">
        <f t="shared" si="3"/>
        <v>0.2091836735</v>
      </c>
      <c r="J3924" s="2">
        <v>332.0</v>
      </c>
      <c r="K3924" s="3">
        <f t="shared" si="4"/>
        <v>0.1693877551</v>
      </c>
      <c r="L3924" s="2">
        <v>223.0</v>
      </c>
      <c r="M3924" s="3">
        <f t="shared" si="5"/>
        <v>0.543902439</v>
      </c>
      <c r="N3924" s="2">
        <v>2335700.0</v>
      </c>
      <c r="O3924" s="4">
        <f t="shared" si="6"/>
        <v>5696.829268</v>
      </c>
      <c r="P3924" s="2">
        <v>0.0</v>
      </c>
      <c r="Q3924" s="3">
        <f t="shared" si="7"/>
        <v>0</v>
      </c>
      <c r="R3924" s="2">
        <v>0.0</v>
      </c>
      <c r="S3924" s="5">
        <f t="shared" si="8"/>
        <v>0</v>
      </c>
    </row>
    <row r="3925">
      <c r="A3925" s="2" t="s">
        <v>3929</v>
      </c>
      <c r="B3925" s="2">
        <v>471.0</v>
      </c>
      <c r="C3925" s="2">
        <v>5449.0</v>
      </c>
      <c r="D3925" s="2">
        <v>1935.0</v>
      </c>
      <c r="E3925" s="3">
        <f t="shared" si="1"/>
        <v>0.3887103254</v>
      </c>
      <c r="F3925" s="2">
        <v>640.0</v>
      </c>
      <c r="G3925" s="3">
        <f t="shared" si="2"/>
        <v>0.128565689</v>
      </c>
      <c r="H3925" s="2">
        <v>1043.0</v>
      </c>
      <c r="I3925" s="3">
        <f t="shared" si="3"/>
        <v>0.2095218963</v>
      </c>
      <c r="J3925" s="2">
        <v>815.0</v>
      </c>
      <c r="K3925" s="3">
        <f t="shared" si="4"/>
        <v>0.1637203696</v>
      </c>
      <c r="L3925" s="2">
        <v>590.0</v>
      </c>
      <c r="M3925" s="3">
        <f t="shared" si="5"/>
        <v>0.5656759348</v>
      </c>
      <c r="N3925" s="2">
        <v>5884000.0</v>
      </c>
      <c r="O3925" s="4">
        <f t="shared" si="6"/>
        <v>5641.418984</v>
      </c>
      <c r="P3925" s="2">
        <v>0.0</v>
      </c>
      <c r="Q3925" s="3">
        <f t="shared" si="7"/>
        <v>0</v>
      </c>
      <c r="R3925" s="2">
        <v>253.0</v>
      </c>
      <c r="S3925" s="5">
        <f t="shared" si="8"/>
        <v>0.5371549894</v>
      </c>
    </row>
    <row r="3926">
      <c r="A3926" s="2" t="s">
        <v>3930</v>
      </c>
      <c r="B3926" s="2">
        <v>1160.0</v>
      </c>
      <c r="C3926" s="2">
        <v>13505.0</v>
      </c>
      <c r="D3926" s="2">
        <v>5607.0</v>
      </c>
      <c r="E3926" s="3">
        <f t="shared" si="1"/>
        <v>0.4541919806</v>
      </c>
      <c r="F3926" s="2">
        <v>1587.0</v>
      </c>
      <c r="G3926" s="3">
        <f t="shared" si="2"/>
        <v>0.1285540705</v>
      </c>
      <c r="H3926" s="2">
        <v>2654.0</v>
      </c>
      <c r="I3926" s="3">
        <f t="shared" si="3"/>
        <v>0.2149858242</v>
      </c>
      <c r="J3926" s="2">
        <v>1760.0</v>
      </c>
      <c r="K3926" s="3">
        <f t="shared" si="4"/>
        <v>0.1425678412</v>
      </c>
      <c r="L3926" s="2">
        <v>1614.0</v>
      </c>
      <c r="M3926" s="3">
        <f t="shared" si="5"/>
        <v>0.6081386586</v>
      </c>
      <c r="N3926" s="2">
        <v>1.38211E7</v>
      </c>
      <c r="O3926" s="4">
        <f t="shared" si="6"/>
        <v>5207.648832</v>
      </c>
      <c r="P3926" s="2">
        <v>2.0</v>
      </c>
      <c r="Q3926" s="3">
        <f t="shared" si="7"/>
        <v>0.001724137931</v>
      </c>
      <c r="R3926" s="2">
        <v>1160.0</v>
      </c>
      <c r="S3926" s="5">
        <f t="shared" si="8"/>
        <v>1</v>
      </c>
    </row>
    <row r="3927">
      <c r="A3927" s="2" t="s">
        <v>3931</v>
      </c>
      <c r="B3927" s="2">
        <v>119.0</v>
      </c>
      <c r="C3927" s="2">
        <v>1387.0</v>
      </c>
      <c r="D3927" s="2">
        <v>426.0</v>
      </c>
      <c r="E3927" s="3">
        <f t="shared" si="1"/>
        <v>0.3359621451</v>
      </c>
      <c r="F3927" s="2">
        <v>163.0</v>
      </c>
      <c r="G3927" s="3">
        <f t="shared" si="2"/>
        <v>0.1285488959</v>
      </c>
      <c r="H3927" s="2">
        <v>252.0</v>
      </c>
      <c r="I3927" s="3">
        <f t="shared" si="3"/>
        <v>0.1987381703</v>
      </c>
      <c r="J3927" s="2">
        <v>220.0</v>
      </c>
      <c r="K3927" s="3">
        <f t="shared" si="4"/>
        <v>0.1735015773</v>
      </c>
      <c r="L3927" s="2">
        <v>147.0</v>
      </c>
      <c r="M3927" s="3">
        <f t="shared" si="5"/>
        <v>0.5833333333</v>
      </c>
      <c r="N3927" s="2">
        <v>1376300.0</v>
      </c>
      <c r="O3927" s="4">
        <f t="shared" si="6"/>
        <v>5461.507937</v>
      </c>
      <c r="P3927" s="2">
        <v>0.0</v>
      </c>
      <c r="Q3927" s="3">
        <f t="shared" si="7"/>
        <v>0</v>
      </c>
      <c r="R3927" s="2">
        <v>119.0</v>
      </c>
      <c r="S3927" s="5">
        <f t="shared" si="8"/>
        <v>1</v>
      </c>
    </row>
    <row r="3928">
      <c r="A3928" s="2" t="s">
        <v>3932</v>
      </c>
      <c r="B3928" s="2">
        <v>116.0</v>
      </c>
      <c r="C3928" s="2">
        <v>1384.0</v>
      </c>
      <c r="D3928" s="2">
        <v>366.0</v>
      </c>
      <c r="E3928" s="3">
        <f t="shared" si="1"/>
        <v>0.2886435331</v>
      </c>
      <c r="F3928" s="2">
        <v>163.0</v>
      </c>
      <c r="G3928" s="3">
        <f t="shared" si="2"/>
        <v>0.1285488959</v>
      </c>
      <c r="H3928" s="2">
        <v>248.0</v>
      </c>
      <c r="I3928" s="3">
        <f t="shared" si="3"/>
        <v>0.1955835962</v>
      </c>
      <c r="J3928" s="2">
        <v>192.0</v>
      </c>
      <c r="K3928" s="3">
        <f t="shared" si="4"/>
        <v>0.1514195584</v>
      </c>
      <c r="L3928" s="2">
        <v>156.0</v>
      </c>
      <c r="M3928" s="3">
        <f t="shared" si="5"/>
        <v>0.6290322581</v>
      </c>
      <c r="N3928" s="2">
        <v>1363500.0</v>
      </c>
      <c r="O3928" s="4">
        <f t="shared" si="6"/>
        <v>5497.983871</v>
      </c>
      <c r="P3928" s="2">
        <v>0.0</v>
      </c>
      <c r="Q3928" s="3">
        <f t="shared" si="7"/>
        <v>0</v>
      </c>
      <c r="R3928" s="2">
        <v>116.0</v>
      </c>
      <c r="S3928" s="5">
        <f t="shared" si="8"/>
        <v>1</v>
      </c>
    </row>
    <row r="3929">
      <c r="A3929" s="2" t="s">
        <v>3933</v>
      </c>
      <c r="B3929" s="2">
        <v>1120.0</v>
      </c>
      <c r="C3929" s="2">
        <v>13388.0</v>
      </c>
      <c r="D3929" s="2">
        <v>5036.0</v>
      </c>
      <c r="E3929" s="3">
        <f t="shared" si="1"/>
        <v>0.4104988588</v>
      </c>
      <c r="F3929" s="2">
        <v>1577.0</v>
      </c>
      <c r="G3929" s="3">
        <f t="shared" si="2"/>
        <v>0.1285458102</v>
      </c>
      <c r="H3929" s="2">
        <v>2745.0</v>
      </c>
      <c r="I3929" s="3">
        <f t="shared" si="3"/>
        <v>0.223752853</v>
      </c>
      <c r="J3929" s="2">
        <v>2060.0</v>
      </c>
      <c r="K3929" s="3">
        <f t="shared" si="4"/>
        <v>0.1679165308</v>
      </c>
      <c r="L3929" s="2">
        <v>1670.0</v>
      </c>
      <c r="M3929" s="3">
        <f t="shared" si="5"/>
        <v>0.6083788707</v>
      </c>
      <c r="N3929" s="2">
        <v>1.45916E7</v>
      </c>
      <c r="O3929" s="4">
        <f t="shared" si="6"/>
        <v>5315.701275</v>
      </c>
      <c r="P3929" s="2">
        <v>1.0</v>
      </c>
      <c r="Q3929" s="3">
        <f t="shared" si="7"/>
        <v>0.0008928571429</v>
      </c>
      <c r="R3929" s="2">
        <v>1120.0</v>
      </c>
      <c r="S3929" s="5">
        <f t="shared" si="8"/>
        <v>1</v>
      </c>
    </row>
    <row r="3930">
      <c r="A3930" s="2" t="s">
        <v>3934</v>
      </c>
      <c r="B3930" s="2">
        <v>210.0</v>
      </c>
      <c r="C3930" s="2">
        <v>2505.0</v>
      </c>
      <c r="D3930" s="2">
        <v>793.0</v>
      </c>
      <c r="E3930" s="3">
        <f t="shared" si="1"/>
        <v>0.3455337691</v>
      </c>
      <c r="F3930" s="2">
        <v>295.0</v>
      </c>
      <c r="G3930" s="3">
        <f t="shared" si="2"/>
        <v>0.128540305</v>
      </c>
      <c r="H3930" s="2">
        <v>450.0</v>
      </c>
      <c r="I3930" s="3">
        <f t="shared" si="3"/>
        <v>0.1960784314</v>
      </c>
      <c r="J3930" s="2">
        <v>417.0</v>
      </c>
      <c r="K3930" s="3">
        <f t="shared" si="4"/>
        <v>0.1816993464</v>
      </c>
      <c r="L3930" s="2">
        <v>267.0</v>
      </c>
      <c r="M3930" s="3">
        <f t="shared" si="5"/>
        <v>0.5933333333</v>
      </c>
      <c r="N3930" s="2">
        <v>2566200.0</v>
      </c>
      <c r="O3930" s="4">
        <f t="shared" si="6"/>
        <v>5702.666667</v>
      </c>
      <c r="P3930" s="2">
        <v>0.0</v>
      </c>
      <c r="Q3930" s="3">
        <f t="shared" si="7"/>
        <v>0</v>
      </c>
      <c r="R3930" s="2">
        <v>210.0</v>
      </c>
      <c r="S3930" s="5">
        <f t="shared" si="8"/>
        <v>1</v>
      </c>
    </row>
    <row r="3931">
      <c r="A3931" s="2" t="s">
        <v>3935</v>
      </c>
      <c r="B3931" s="2">
        <v>165.0</v>
      </c>
      <c r="C3931" s="2">
        <v>1939.0</v>
      </c>
      <c r="D3931" s="2">
        <v>561.0</v>
      </c>
      <c r="E3931" s="3">
        <f t="shared" si="1"/>
        <v>0.3162344983</v>
      </c>
      <c r="F3931" s="2">
        <v>228.0</v>
      </c>
      <c r="G3931" s="3">
        <f t="shared" si="2"/>
        <v>0.1285231116</v>
      </c>
      <c r="H3931" s="2">
        <v>366.0</v>
      </c>
      <c r="I3931" s="3">
        <f t="shared" si="3"/>
        <v>0.206313416</v>
      </c>
      <c r="J3931" s="2">
        <v>278.0</v>
      </c>
      <c r="K3931" s="3">
        <f t="shared" si="4"/>
        <v>0.1567080045</v>
      </c>
      <c r="L3931" s="2">
        <v>211.0</v>
      </c>
      <c r="M3931" s="3">
        <f t="shared" si="5"/>
        <v>0.5765027322</v>
      </c>
      <c r="N3931" s="2">
        <v>2041100.0</v>
      </c>
      <c r="O3931" s="4">
        <f t="shared" si="6"/>
        <v>5576.775956</v>
      </c>
      <c r="P3931" s="2">
        <v>1.0</v>
      </c>
      <c r="Q3931" s="3">
        <f t="shared" si="7"/>
        <v>0.006060606061</v>
      </c>
      <c r="R3931" s="2">
        <v>165.0</v>
      </c>
      <c r="S3931" s="5">
        <f t="shared" si="8"/>
        <v>1</v>
      </c>
    </row>
    <row r="3932">
      <c r="A3932" s="2" t="s">
        <v>3936</v>
      </c>
      <c r="B3932" s="2">
        <v>3977.0</v>
      </c>
      <c r="C3932" s="2">
        <v>46841.0</v>
      </c>
      <c r="D3932" s="2">
        <v>16827.0</v>
      </c>
      <c r="E3932" s="3">
        <f t="shared" si="1"/>
        <v>0.3925671892</v>
      </c>
      <c r="F3932" s="2">
        <v>5509.0</v>
      </c>
      <c r="G3932" s="3">
        <f t="shared" si="2"/>
        <v>0.1285227697</v>
      </c>
      <c r="H3932" s="2">
        <v>9444.0</v>
      </c>
      <c r="I3932" s="3">
        <f t="shared" si="3"/>
        <v>0.220324748</v>
      </c>
      <c r="J3932" s="2">
        <v>6792.0</v>
      </c>
      <c r="K3932" s="3">
        <f t="shared" si="4"/>
        <v>0.1584546473</v>
      </c>
      <c r="L3932" s="2">
        <v>5655.0</v>
      </c>
      <c r="M3932" s="3">
        <f t="shared" si="5"/>
        <v>0.5987928844</v>
      </c>
      <c r="N3932" s="2">
        <v>4.91775E7</v>
      </c>
      <c r="O3932" s="4">
        <f t="shared" si="6"/>
        <v>5207.27446</v>
      </c>
      <c r="P3932" s="2">
        <v>6.0</v>
      </c>
      <c r="Q3932" s="3">
        <f t="shared" si="7"/>
        <v>0.001508674881</v>
      </c>
      <c r="R3932" s="2">
        <v>3061.0</v>
      </c>
      <c r="S3932" s="5">
        <f t="shared" si="8"/>
        <v>0.7696756349</v>
      </c>
    </row>
    <row r="3933">
      <c r="A3933" s="2" t="s">
        <v>3937</v>
      </c>
      <c r="B3933" s="2">
        <v>53.0</v>
      </c>
      <c r="C3933" s="2">
        <v>621.0</v>
      </c>
      <c r="D3933" s="2">
        <v>214.0</v>
      </c>
      <c r="E3933" s="3">
        <f t="shared" si="1"/>
        <v>0.3767605634</v>
      </c>
      <c r="F3933" s="2">
        <v>73.0</v>
      </c>
      <c r="G3933" s="3">
        <f t="shared" si="2"/>
        <v>0.1285211268</v>
      </c>
      <c r="H3933" s="2">
        <v>116.0</v>
      </c>
      <c r="I3933" s="3">
        <f t="shared" si="3"/>
        <v>0.2042253521</v>
      </c>
      <c r="J3933" s="2">
        <v>99.0</v>
      </c>
      <c r="K3933" s="3">
        <f t="shared" si="4"/>
        <v>0.1742957746</v>
      </c>
      <c r="L3933" s="2">
        <v>65.0</v>
      </c>
      <c r="M3933" s="3">
        <f t="shared" si="5"/>
        <v>0.5603448276</v>
      </c>
      <c r="N3933" s="2">
        <v>628200.0</v>
      </c>
      <c r="O3933" s="4">
        <f t="shared" si="6"/>
        <v>5415.517241</v>
      </c>
      <c r="P3933" s="2">
        <v>0.0</v>
      </c>
      <c r="Q3933" s="3">
        <f t="shared" si="7"/>
        <v>0</v>
      </c>
      <c r="R3933" s="2">
        <v>53.0</v>
      </c>
      <c r="S3933" s="5">
        <f t="shared" si="8"/>
        <v>1</v>
      </c>
    </row>
    <row r="3934">
      <c r="A3934" s="2" t="s">
        <v>3938</v>
      </c>
      <c r="B3934" s="2">
        <v>700.0</v>
      </c>
      <c r="C3934" s="2">
        <v>8240.0</v>
      </c>
      <c r="D3934" s="2">
        <v>2782.0</v>
      </c>
      <c r="E3934" s="3">
        <f t="shared" si="1"/>
        <v>0.3689655172</v>
      </c>
      <c r="F3934" s="2">
        <v>969.0</v>
      </c>
      <c r="G3934" s="3">
        <f t="shared" si="2"/>
        <v>0.1285145889</v>
      </c>
      <c r="H3934" s="2">
        <v>1586.0</v>
      </c>
      <c r="I3934" s="3">
        <f t="shared" si="3"/>
        <v>0.2103448276</v>
      </c>
      <c r="J3934" s="2">
        <v>1286.0</v>
      </c>
      <c r="K3934" s="3">
        <f t="shared" si="4"/>
        <v>0.1705570292</v>
      </c>
      <c r="L3934" s="2">
        <v>926.0</v>
      </c>
      <c r="M3934" s="3">
        <f t="shared" si="5"/>
        <v>0.5838587642</v>
      </c>
      <c r="N3934" s="2">
        <v>8548800.0</v>
      </c>
      <c r="O3934" s="4">
        <f t="shared" si="6"/>
        <v>5390.163934</v>
      </c>
      <c r="P3934" s="2">
        <v>2.0</v>
      </c>
      <c r="Q3934" s="3">
        <f t="shared" si="7"/>
        <v>0.002857142857</v>
      </c>
      <c r="R3934" s="2">
        <v>700.0</v>
      </c>
      <c r="S3934" s="5">
        <f t="shared" si="8"/>
        <v>1</v>
      </c>
    </row>
    <row r="3935">
      <c r="A3935" s="2" t="s">
        <v>3939</v>
      </c>
      <c r="B3935" s="2">
        <v>920.0</v>
      </c>
      <c r="C3935" s="2">
        <v>10865.0</v>
      </c>
      <c r="D3935" s="2">
        <v>3479.0</v>
      </c>
      <c r="E3935" s="3">
        <f t="shared" si="1"/>
        <v>0.3498240322</v>
      </c>
      <c r="F3935" s="2">
        <v>1278.0</v>
      </c>
      <c r="G3935" s="3">
        <f t="shared" si="2"/>
        <v>0.1285067873</v>
      </c>
      <c r="H3935" s="2">
        <v>2130.0</v>
      </c>
      <c r="I3935" s="3">
        <f t="shared" si="3"/>
        <v>0.2141779789</v>
      </c>
      <c r="J3935" s="2">
        <v>1957.0</v>
      </c>
      <c r="K3935" s="3">
        <f t="shared" si="4"/>
        <v>0.1967823027</v>
      </c>
      <c r="L3935" s="2">
        <v>1281.0</v>
      </c>
      <c r="M3935" s="3">
        <f t="shared" si="5"/>
        <v>0.6014084507</v>
      </c>
      <c r="N3935" s="2">
        <v>1.27656E7</v>
      </c>
      <c r="O3935" s="4">
        <f t="shared" si="6"/>
        <v>5993.239437</v>
      </c>
      <c r="P3935" s="2">
        <v>1.0</v>
      </c>
      <c r="Q3935" s="3">
        <f t="shared" si="7"/>
        <v>0.001086956522</v>
      </c>
      <c r="R3935" s="2">
        <v>920.0</v>
      </c>
      <c r="S3935" s="5">
        <f t="shared" si="8"/>
        <v>1</v>
      </c>
    </row>
    <row r="3936">
      <c r="A3936" s="2" t="s">
        <v>3940</v>
      </c>
      <c r="B3936" s="2">
        <v>55.0</v>
      </c>
      <c r="C3936" s="2">
        <v>662.0</v>
      </c>
      <c r="D3936" s="2">
        <v>231.0</v>
      </c>
      <c r="E3936" s="3">
        <f t="shared" si="1"/>
        <v>0.3805601318</v>
      </c>
      <c r="F3936" s="2">
        <v>78.0</v>
      </c>
      <c r="G3936" s="3">
        <f t="shared" si="2"/>
        <v>0.1285008237</v>
      </c>
      <c r="H3936" s="2">
        <v>130.0</v>
      </c>
      <c r="I3936" s="3">
        <f t="shared" si="3"/>
        <v>0.2141680395</v>
      </c>
      <c r="J3936" s="2">
        <v>125.0</v>
      </c>
      <c r="K3936" s="3">
        <f t="shared" si="4"/>
        <v>0.2059308072</v>
      </c>
      <c r="L3936" s="2">
        <v>91.0</v>
      </c>
      <c r="M3936" s="3">
        <f t="shared" si="5"/>
        <v>0.7</v>
      </c>
      <c r="N3936" s="2">
        <v>777200.0</v>
      </c>
      <c r="O3936" s="4">
        <f t="shared" si="6"/>
        <v>5978.461538</v>
      </c>
      <c r="P3936" s="2">
        <v>1.0</v>
      </c>
      <c r="Q3936" s="3">
        <f t="shared" si="7"/>
        <v>0.01818181818</v>
      </c>
      <c r="R3936" s="2">
        <v>0.0</v>
      </c>
      <c r="S3936" s="5">
        <f t="shared" si="8"/>
        <v>0</v>
      </c>
    </row>
    <row r="3937">
      <c r="A3937" s="2" t="s">
        <v>3941</v>
      </c>
      <c r="B3937" s="2">
        <v>304.0</v>
      </c>
      <c r="C3937" s="2">
        <v>3518.0</v>
      </c>
      <c r="D3937" s="2">
        <v>1128.0</v>
      </c>
      <c r="E3937" s="3">
        <f t="shared" si="1"/>
        <v>0.3509645302</v>
      </c>
      <c r="F3937" s="2">
        <v>413.0</v>
      </c>
      <c r="G3937" s="3">
        <f t="shared" si="2"/>
        <v>0.1285003111</v>
      </c>
      <c r="H3937" s="2">
        <v>657.0</v>
      </c>
      <c r="I3937" s="3">
        <f t="shared" si="3"/>
        <v>0.2044181705</v>
      </c>
      <c r="J3937" s="2">
        <v>468.0</v>
      </c>
      <c r="K3937" s="3">
        <f t="shared" si="4"/>
        <v>0.1456129434</v>
      </c>
      <c r="L3937" s="2">
        <v>378.0</v>
      </c>
      <c r="M3937" s="3">
        <f t="shared" si="5"/>
        <v>0.5753424658</v>
      </c>
      <c r="N3937" s="2">
        <v>3577900.0</v>
      </c>
      <c r="O3937" s="4">
        <f t="shared" si="6"/>
        <v>5445.814307</v>
      </c>
      <c r="P3937" s="2">
        <v>0.0</v>
      </c>
      <c r="Q3937" s="3">
        <f t="shared" si="7"/>
        <v>0</v>
      </c>
      <c r="R3937" s="2">
        <v>304.0</v>
      </c>
      <c r="S3937" s="5">
        <f t="shared" si="8"/>
        <v>1</v>
      </c>
    </row>
    <row r="3938">
      <c r="A3938" s="2" t="s">
        <v>3942</v>
      </c>
      <c r="B3938" s="2">
        <v>462.0</v>
      </c>
      <c r="C3938" s="2">
        <v>5404.0</v>
      </c>
      <c r="D3938" s="2">
        <v>1339.0</v>
      </c>
      <c r="E3938" s="3">
        <f t="shared" si="1"/>
        <v>0.2709429381</v>
      </c>
      <c r="F3938" s="2">
        <v>635.0</v>
      </c>
      <c r="G3938" s="3">
        <f t="shared" si="2"/>
        <v>0.1284904897</v>
      </c>
      <c r="H3938" s="2">
        <v>1039.0</v>
      </c>
      <c r="I3938" s="3">
        <f t="shared" si="3"/>
        <v>0.2102387697</v>
      </c>
      <c r="J3938" s="2">
        <v>902.0</v>
      </c>
      <c r="K3938" s="3">
        <f t="shared" si="4"/>
        <v>0.1825171995</v>
      </c>
      <c r="L3938" s="2">
        <v>658.0</v>
      </c>
      <c r="M3938" s="3">
        <f t="shared" si="5"/>
        <v>0.6333012512</v>
      </c>
      <c r="N3938" s="2">
        <v>6256400.0</v>
      </c>
      <c r="O3938" s="4">
        <f t="shared" si="6"/>
        <v>6021.559192</v>
      </c>
      <c r="P3938" s="2">
        <v>4.0</v>
      </c>
      <c r="Q3938" s="3">
        <f t="shared" si="7"/>
        <v>0.008658008658</v>
      </c>
      <c r="R3938" s="2">
        <v>462.0</v>
      </c>
      <c r="S3938" s="5">
        <f t="shared" si="8"/>
        <v>1</v>
      </c>
    </row>
    <row r="3939">
      <c r="A3939" s="2" t="s">
        <v>3943</v>
      </c>
      <c r="B3939" s="2">
        <v>506.0</v>
      </c>
      <c r="C3939" s="2">
        <v>6024.0</v>
      </c>
      <c r="D3939" s="2">
        <v>1894.0</v>
      </c>
      <c r="E3939" s="3">
        <f t="shared" si="1"/>
        <v>0.3432403045</v>
      </c>
      <c r="F3939" s="2">
        <v>709.0</v>
      </c>
      <c r="G3939" s="3">
        <f t="shared" si="2"/>
        <v>0.1284885828</v>
      </c>
      <c r="H3939" s="2">
        <v>1068.0</v>
      </c>
      <c r="I3939" s="3">
        <f t="shared" si="3"/>
        <v>0.1935483871</v>
      </c>
      <c r="J3939" s="2">
        <v>809.0</v>
      </c>
      <c r="K3939" s="3">
        <f t="shared" si="4"/>
        <v>0.146611091</v>
      </c>
      <c r="L3939" s="2">
        <v>642.0</v>
      </c>
      <c r="M3939" s="3">
        <f t="shared" si="5"/>
        <v>0.6011235955</v>
      </c>
      <c r="N3939" s="2">
        <v>6080000.0</v>
      </c>
      <c r="O3939" s="4">
        <f t="shared" si="6"/>
        <v>5692.883895</v>
      </c>
      <c r="P3939" s="2">
        <v>1.0</v>
      </c>
      <c r="Q3939" s="3">
        <f t="shared" si="7"/>
        <v>0.001976284585</v>
      </c>
      <c r="R3939" s="2">
        <v>501.0</v>
      </c>
      <c r="S3939" s="5">
        <f t="shared" si="8"/>
        <v>0.9901185771</v>
      </c>
    </row>
    <row r="3940">
      <c r="A3940" s="2" t="s">
        <v>3944</v>
      </c>
      <c r="B3940" s="2">
        <v>516.0</v>
      </c>
      <c r="C3940" s="2">
        <v>6182.0</v>
      </c>
      <c r="D3940" s="2">
        <v>2277.0</v>
      </c>
      <c r="E3940" s="3">
        <f t="shared" si="1"/>
        <v>0.4018708083</v>
      </c>
      <c r="F3940" s="2">
        <v>728.0</v>
      </c>
      <c r="G3940" s="3">
        <f t="shared" si="2"/>
        <v>0.1284857042</v>
      </c>
      <c r="H3940" s="2">
        <v>1136.0</v>
      </c>
      <c r="I3940" s="3">
        <f t="shared" si="3"/>
        <v>0.2004941758</v>
      </c>
      <c r="J3940" s="2">
        <v>822.0</v>
      </c>
      <c r="K3940" s="3">
        <f t="shared" si="4"/>
        <v>0.1450758913</v>
      </c>
      <c r="L3940" s="2">
        <v>668.0</v>
      </c>
      <c r="M3940" s="3">
        <f t="shared" si="5"/>
        <v>0.588028169</v>
      </c>
      <c r="N3940" s="2">
        <v>6342700.0</v>
      </c>
      <c r="O3940" s="4">
        <f t="shared" si="6"/>
        <v>5583.362676</v>
      </c>
      <c r="P3940" s="2">
        <v>1.0</v>
      </c>
      <c r="Q3940" s="3">
        <f t="shared" si="7"/>
        <v>0.001937984496</v>
      </c>
      <c r="R3940" s="2">
        <v>390.0</v>
      </c>
      <c r="S3940" s="5">
        <f t="shared" si="8"/>
        <v>0.7558139535</v>
      </c>
    </row>
    <row r="3941">
      <c r="A3941" s="2" t="s">
        <v>3945</v>
      </c>
      <c r="B3941" s="2">
        <v>184.0</v>
      </c>
      <c r="C3941" s="2">
        <v>2122.0</v>
      </c>
      <c r="D3941" s="2">
        <v>734.0</v>
      </c>
      <c r="E3941" s="3">
        <f t="shared" si="1"/>
        <v>0.3787409701</v>
      </c>
      <c r="F3941" s="2">
        <v>249.0</v>
      </c>
      <c r="G3941" s="3">
        <f t="shared" si="2"/>
        <v>0.1284829721</v>
      </c>
      <c r="H3941" s="2">
        <v>424.0</v>
      </c>
      <c r="I3941" s="3">
        <f t="shared" si="3"/>
        <v>0.2187822497</v>
      </c>
      <c r="J3941" s="2">
        <v>330.0</v>
      </c>
      <c r="K3941" s="3">
        <f t="shared" si="4"/>
        <v>0.1702786378</v>
      </c>
      <c r="L3941" s="2">
        <v>265.0</v>
      </c>
      <c r="M3941" s="3">
        <f t="shared" si="5"/>
        <v>0.625</v>
      </c>
      <c r="N3941" s="2">
        <v>2334100.0</v>
      </c>
      <c r="O3941" s="4">
        <f t="shared" si="6"/>
        <v>5504.95283</v>
      </c>
      <c r="P3941" s="2">
        <v>0.0</v>
      </c>
      <c r="Q3941" s="3">
        <f t="shared" si="7"/>
        <v>0</v>
      </c>
      <c r="R3941" s="2">
        <v>184.0</v>
      </c>
      <c r="S3941" s="5">
        <f t="shared" si="8"/>
        <v>1</v>
      </c>
    </row>
    <row r="3942">
      <c r="A3942" s="2" t="s">
        <v>3946</v>
      </c>
      <c r="B3942" s="2">
        <v>554.0</v>
      </c>
      <c r="C3942" s="2">
        <v>6563.0</v>
      </c>
      <c r="D3942" s="2">
        <v>2185.0</v>
      </c>
      <c r="E3942" s="3">
        <f t="shared" si="1"/>
        <v>0.3636212348</v>
      </c>
      <c r="F3942" s="2">
        <v>772.0</v>
      </c>
      <c r="G3942" s="3">
        <f t="shared" si="2"/>
        <v>0.1284739557</v>
      </c>
      <c r="H3942" s="2">
        <v>1163.0</v>
      </c>
      <c r="I3942" s="3">
        <f t="shared" si="3"/>
        <v>0.1935430188</v>
      </c>
      <c r="J3942" s="2">
        <v>816.0</v>
      </c>
      <c r="K3942" s="3">
        <f t="shared" si="4"/>
        <v>0.1357963055</v>
      </c>
      <c r="L3942" s="2">
        <v>687.0</v>
      </c>
      <c r="M3942" s="3">
        <f t="shared" si="5"/>
        <v>0.5907136715</v>
      </c>
      <c r="N3942" s="2">
        <v>6460400.0</v>
      </c>
      <c r="O3942" s="4">
        <f t="shared" si="6"/>
        <v>5554.94411</v>
      </c>
      <c r="P3942" s="2">
        <v>2.0</v>
      </c>
      <c r="Q3942" s="3">
        <f t="shared" si="7"/>
        <v>0.003610108303</v>
      </c>
      <c r="R3942" s="2">
        <v>279.0</v>
      </c>
      <c r="S3942" s="5">
        <f t="shared" si="8"/>
        <v>0.5036101083</v>
      </c>
    </row>
    <row r="3943">
      <c r="A3943" s="2" t="s">
        <v>3947</v>
      </c>
      <c r="B3943" s="2">
        <v>415.0</v>
      </c>
      <c r="C3943" s="2">
        <v>4930.0</v>
      </c>
      <c r="D3943" s="2">
        <v>1722.0</v>
      </c>
      <c r="E3943" s="3">
        <f t="shared" si="1"/>
        <v>0.3813953488</v>
      </c>
      <c r="F3943" s="2">
        <v>580.0</v>
      </c>
      <c r="G3943" s="3">
        <f t="shared" si="2"/>
        <v>0.1284606866</v>
      </c>
      <c r="H3943" s="2">
        <v>961.0</v>
      </c>
      <c r="I3943" s="3">
        <f t="shared" si="3"/>
        <v>0.2128460687</v>
      </c>
      <c r="J3943" s="2">
        <v>787.0</v>
      </c>
      <c r="K3943" s="3">
        <f t="shared" si="4"/>
        <v>0.1743078627</v>
      </c>
      <c r="L3943" s="2">
        <v>584.0</v>
      </c>
      <c r="M3943" s="3">
        <f t="shared" si="5"/>
        <v>0.6077003122</v>
      </c>
      <c r="N3943" s="2">
        <v>5501100.0</v>
      </c>
      <c r="O3943" s="4">
        <f t="shared" si="6"/>
        <v>5724.349636</v>
      </c>
      <c r="P3943" s="2">
        <v>0.0</v>
      </c>
      <c r="Q3943" s="3">
        <f t="shared" si="7"/>
        <v>0</v>
      </c>
      <c r="R3943" s="2">
        <v>415.0</v>
      </c>
      <c r="S3943" s="5">
        <f t="shared" si="8"/>
        <v>1</v>
      </c>
    </row>
    <row r="3944">
      <c r="A3944" s="2" t="s">
        <v>3948</v>
      </c>
      <c r="B3944" s="2">
        <v>83.0</v>
      </c>
      <c r="C3944" s="2">
        <v>986.0</v>
      </c>
      <c r="D3944" s="2">
        <v>297.0</v>
      </c>
      <c r="E3944" s="3">
        <f t="shared" si="1"/>
        <v>0.3289036545</v>
      </c>
      <c r="F3944" s="2">
        <v>116.0</v>
      </c>
      <c r="G3944" s="3">
        <f t="shared" si="2"/>
        <v>0.1284606866</v>
      </c>
      <c r="H3944" s="2">
        <v>189.0</v>
      </c>
      <c r="I3944" s="3">
        <f t="shared" si="3"/>
        <v>0.2093023256</v>
      </c>
      <c r="J3944" s="2">
        <v>115.0</v>
      </c>
      <c r="K3944" s="3">
        <f t="shared" si="4"/>
        <v>0.1273532669</v>
      </c>
      <c r="L3944" s="2">
        <v>118.0</v>
      </c>
      <c r="M3944" s="3">
        <f t="shared" si="5"/>
        <v>0.6243386243</v>
      </c>
      <c r="N3944" s="2">
        <v>1032100.0</v>
      </c>
      <c r="O3944" s="4">
        <f t="shared" si="6"/>
        <v>5460.846561</v>
      </c>
      <c r="P3944" s="2">
        <v>0.0</v>
      </c>
      <c r="Q3944" s="3">
        <f t="shared" si="7"/>
        <v>0</v>
      </c>
      <c r="R3944" s="2">
        <v>83.0</v>
      </c>
      <c r="S3944" s="5">
        <f t="shared" si="8"/>
        <v>1</v>
      </c>
    </row>
    <row r="3945">
      <c r="A3945" s="2" t="s">
        <v>3949</v>
      </c>
      <c r="B3945" s="2">
        <v>178.0</v>
      </c>
      <c r="C3945" s="2">
        <v>2093.0</v>
      </c>
      <c r="D3945" s="2">
        <v>651.0</v>
      </c>
      <c r="E3945" s="3">
        <f t="shared" si="1"/>
        <v>0.3399477807</v>
      </c>
      <c r="F3945" s="2">
        <v>246.0</v>
      </c>
      <c r="G3945" s="3">
        <f t="shared" si="2"/>
        <v>0.12845953</v>
      </c>
      <c r="H3945" s="2">
        <v>394.0</v>
      </c>
      <c r="I3945" s="3">
        <f t="shared" si="3"/>
        <v>0.2057441253</v>
      </c>
      <c r="J3945" s="2">
        <v>291.0</v>
      </c>
      <c r="K3945" s="3">
        <f t="shared" si="4"/>
        <v>0.1519582245</v>
      </c>
      <c r="L3945" s="2">
        <v>239.0</v>
      </c>
      <c r="M3945" s="3">
        <f t="shared" si="5"/>
        <v>0.6065989848</v>
      </c>
      <c r="N3945" s="2">
        <v>2104000.0</v>
      </c>
      <c r="O3945" s="4">
        <f t="shared" si="6"/>
        <v>5340.101523</v>
      </c>
      <c r="P3945" s="2">
        <v>1.0</v>
      </c>
      <c r="Q3945" s="3">
        <f t="shared" si="7"/>
        <v>0.005617977528</v>
      </c>
      <c r="R3945" s="2">
        <v>178.0</v>
      </c>
      <c r="S3945" s="5">
        <f t="shared" si="8"/>
        <v>1</v>
      </c>
    </row>
    <row r="3946">
      <c r="A3946" s="2" t="s">
        <v>3950</v>
      </c>
      <c r="B3946" s="2">
        <v>66.0</v>
      </c>
      <c r="C3946" s="2">
        <v>790.0</v>
      </c>
      <c r="D3946" s="2">
        <v>263.0</v>
      </c>
      <c r="E3946" s="3">
        <f t="shared" si="1"/>
        <v>0.3632596685</v>
      </c>
      <c r="F3946" s="2">
        <v>93.0</v>
      </c>
      <c r="G3946" s="3">
        <f t="shared" si="2"/>
        <v>0.1284530387</v>
      </c>
      <c r="H3946" s="2">
        <v>153.0</v>
      </c>
      <c r="I3946" s="3">
        <f t="shared" si="3"/>
        <v>0.2113259669</v>
      </c>
      <c r="J3946" s="2">
        <v>87.0</v>
      </c>
      <c r="K3946" s="3">
        <f t="shared" si="4"/>
        <v>0.1201657459</v>
      </c>
      <c r="L3946" s="2">
        <v>91.0</v>
      </c>
      <c r="M3946" s="3">
        <f t="shared" si="5"/>
        <v>0.5947712418</v>
      </c>
      <c r="N3946" s="2">
        <v>773300.0</v>
      </c>
      <c r="O3946" s="4">
        <f t="shared" si="6"/>
        <v>5054.248366</v>
      </c>
      <c r="P3946" s="2">
        <v>0.0</v>
      </c>
      <c r="Q3946" s="3">
        <f t="shared" si="7"/>
        <v>0</v>
      </c>
      <c r="R3946" s="2">
        <v>66.0</v>
      </c>
      <c r="S3946" s="5">
        <f t="shared" si="8"/>
        <v>1</v>
      </c>
    </row>
    <row r="3947">
      <c r="A3947" s="2" t="s">
        <v>3951</v>
      </c>
      <c r="B3947" s="2">
        <v>180.0</v>
      </c>
      <c r="C3947" s="2">
        <v>2103.0</v>
      </c>
      <c r="D3947" s="2">
        <v>662.0</v>
      </c>
      <c r="E3947" s="3">
        <f t="shared" si="1"/>
        <v>0.3442537702</v>
      </c>
      <c r="F3947" s="2">
        <v>247.0</v>
      </c>
      <c r="G3947" s="3">
        <f t="shared" si="2"/>
        <v>0.1284451378</v>
      </c>
      <c r="H3947" s="2">
        <v>367.0</v>
      </c>
      <c r="I3947" s="3">
        <f t="shared" si="3"/>
        <v>0.1908476339</v>
      </c>
      <c r="J3947" s="2">
        <v>299.0</v>
      </c>
      <c r="K3947" s="3">
        <f t="shared" si="4"/>
        <v>0.1554862194</v>
      </c>
      <c r="L3947" s="2">
        <v>229.0</v>
      </c>
      <c r="M3947" s="3">
        <f t="shared" si="5"/>
        <v>0.6239782016</v>
      </c>
      <c r="N3947" s="2">
        <v>2029000.0</v>
      </c>
      <c r="O3947" s="4">
        <f t="shared" si="6"/>
        <v>5528.610354</v>
      </c>
      <c r="P3947" s="2">
        <v>0.0</v>
      </c>
      <c r="Q3947" s="3">
        <f t="shared" si="7"/>
        <v>0</v>
      </c>
      <c r="R3947" s="2">
        <v>23.0</v>
      </c>
      <c r="S3947" s="5">
        <f t="shared" si="8"/>
        <v>0.1277777778</v>
      </c>
    </row>
    <row r="3948">
      <c r="A3948" s="2" t="s">
        <v>3952</v>
      </c>
      <c r="B3948" s="2">
        <v>10.0</v>
      </c>
      <c r="C3948" s="2">
        <v>119.0</v>
      </c>
      <c r="D3948" s="2">
        <v>19.0</v>
      </c>
      <c r="E3948" s="3">
        <f t="shared" si="1"/>
        <v>0.1743119266</v>
      </c>
      <c r="F3948" s="2">
        <v>14.0</v>
      </c>
      <c r="G3948" s="3">
        <f t="shared" si="2"/>
        <v>0.128440367</v>
      </c>
      <c r="H3948" s="2">
        <v>25.0</v>
      </c>
      <c r="I3948" s="3">
        <f t="shared" si="3"/>
        <v>0.2293577982</v>
      </c>
      <c r="J3948" s="2">
        <v>26.0</v>
      </c>
      <c r="K3948" s="3">
        <f t="shared" si="4"/>
        <v>0.2385321101</v>
      </c>
      <c r="L3948" s="2">
        <v>14.0</v>
      </c>
      <c r="M3948" s="3">
        <f t="shared" si="5"/>
        <v>0.56</v>
      </c>
      <c r="N3948" s="2">
        <v>163400.0</v>
      </c>
      <c r="O3948" s="4">
        <f t="shared" si="6"/>
        <v>6536</v>
      </c>
      <c r="P3948" s="2">
        <v>0.0</v>
      </c>
      <c r="Q3948" s="3">
        <f t="shared" si="7"/>
        <v>0</v>
      </c>
      <c r="R3948" s="2">
        <v>9.0</v>
      </c>
      <c r="S3948" s="5">
        <f t="shared" si="8"/>
        <v>0.9</v>
      </c>
    </row>
    <row r="3949">
      <c r="A3949" s="2" t="s">
        <v>3953</v>
      </c>
      <c r="B3949" s="2">
        <v>100.0</v>
      </c>
      <c r="C3949" s="2">
        <v>1190.0</v>
      </c>
      <c r="D3949" s="2">
        <v>340.0</v>
      </c>
      <c r="E3949" s="3">
        <f t="shared" si="1"/>
        <v>0.3119266055</v>
      </c>
      <c r="F3949" s="2">
        <v>140.0</v>
      </c>
      <c r="G3949" s="3">
        <f t="shared" si="2"/>
        <v>0.128440367</v>
      </c>
      <c r="H3949" s="2">
        <v>226.0</v>
      </c>
      <c r="I3949" s="3">
        <f t="shared" si="3"/>
        <v>0.2073394495</v>
      </c>
      <c r="J3949" s="2">
        <v>203.0</v>
      </c>
      <c r="K3949" s="3">
        <f t="shared" si="4"/>
        <v>0.1862385321</v>
      </c>
      <c r="L3949" s="2">
        <v>134.0</v>
      </c>
      <c r="M3949" s="3">
        <f t="shared" si="5"/>
        <v>0.592920354</v>
      </c>
      <c r="N3949" s="2">
        <v>1342900.0</v>
      </c>
      <c r="O3949" s="4">
        <f t="shared" si="6"/>
        <v>5942.035398</v>
      </c>
      <c r="P3949" s="2">
        <v>0.0</v>
      </c>
      <c r="Q3949" s="3">
        <f t="shared" si="7"/>
        <v>0</v>
      </c>
      <c r="R3949" s="2">
        <v>100.0</v>
      </c>
      <c r="S3949" s="5">
        <f t="shared" si="8"/>
        <v>1</v>
      </c>
    </row>
    <row r="3950">
      <c r="A3950" s="2" t="s">
        <v>3954</v>
      </c>
      <c r="B3950" s="2">
        <v>10.0</v>
      </c>
      <c r="C3950" s="2">
        <v>119.0</v>
      </c>
      <c r="D3950" s="2">
        <v>41.0</v>
      </c>
      <c r="E3950" s="3">
        <f t="shared" si="1"/>
        <v>0.376146789</v>
      </c>
      <c r="F3950" s="2">
        <v>14.0</v>
      </c>
      <c r="G3950" s="3">
        <f t="shared" si="2"/>
        <v>0.128440367</v>
      </c>
      <c r="H3950" s="2">
        <v>18.0</v>
      </c>
      <c r="I3950" s="3">
        <f t="shared" si="3"/>
        <v>0.1651376147</v>
      </c>
      <c r="J3950" s="2">
        <v>17.0</v>
      </c>
      <c r="K3950" s="3">
        <f t="shared" si="4"/>
        <v>0.1559633028</v>
      </c>
      <c r="L3950" s="2">
        <v>12.0</v>
      </c>
      <c r="M3950" s="3">
        <f t="shared" si="5"/>
        <v>0.6666666667</v>
      </c>
      <c r="N3950" s="2">
        <v>98700.0</v>
      </c>
      <c r="O3950" s="4">
        <f t="shared" si="6"/>
        <v>5483.333333</v>
      </c>
      <c r="P3950" s="2">
        <v>0.0</v>
      </c>
      <c r="Q3950" s="3">
        <f t="shared" si="7"/>
        <v>0</v>
      </c>
      <c r="R3950" s="2">
        <v>10.0</v>
      </c>
      <c r="S3950" s="5">
        <f t="shared" si="8"/>
        <v>1</v>
      </c>
    </row>
    <row r="3951">
      <c r="A3951" s="2" t="s">
        <v>3955</v>
      </c>
      <c r="B3951" s="2">
        <v>470.0</v>
      </c>
      <c r="C3951" s="2">
        <v>5422.0</v>
      </c>
      <c r="D3951" s="2">
        <v>1864.0</v>
      </c>
      <c r="E3951" s="3">
        <f t="shared" si="1"/>
        <v>0.3764135703</v>
      </c>
      <c r="F3951" s="2">
        <v>636.0</v>
      </c>
      <c r="G3951" s="3">
        <f t="shared" si="2"/>
        <v>0.1284329564</v>
      </c>
      <c r="H3951" s="2">
        <v>1092.0</v>
      </c>
      <c r="I3951" s="3">
        <f t="shared" si="3"/>
        <v>0.2205169628</v>
      </c>
      <c r="J3951" s="2">
        <v>828.0</v>
      </c>
      <c r="K3951" s="3">
        <f t="shared" si="4"/>
        <v>0.1672051696</v>
      </c>
      <c r="L3951" s="2">
        <v>653.0</v>
      </c>
      <c r="M3951" s="3">
        <f t="shared" si="5"/>
        <v>0.597985348</v>
      </c>
      <c r="N3951" s="2">
        <v>6205600.0</v>
      </c>
      <c r="O3951" s="4">
        <f t="shared" si="6"/>
        <v>5682.783883</v>
      </c>
      <c r="P3951" s="2">
        <v>2.0</v>
      </c>
      <c r="Q3951" s="3">
        <f t="shared" si="7"/>
        <v>0.004255319149</v>
      </c>
      <c r="R3951" s="2">
        <v>470.0</v>
      </c>
      <c r="S3951" s="5">
        <f t="shared" si="8"/>
        <v>1</v>
      </c>
    </row>
    <row r="3952">
      <c r="A3952" s="2" t="s">
        <v>3956</v>
      </c>
      <c r="B3952" s="2">
        <v>502.0</v>
      </c>
      <c r="C3952" s="2">
        <v>5750.0</v>
      </c>
      <c r="D3952" s="2">
        <v>1112.0</v>
      </c>
      <c r="E3952" s="3">
        <f t="shared" si="1"/>
        <v>0.2118902439</v>
      </c>
      <c r="F3952" s="2">
        <v>674.0</v>
      </c>
      <c r="G3952" s="3">
        <f t="shared" si="2"/>
        <v>0.128429878</v>
      </c>
      <c r="H3952" s="2">
        <v>948.0</v>
      </c>
      <c r="I3952" s="3">
        <f t="shared" si="3"/>
        <v>0.1806402439</v>
      </c>
      <c r="J3952" s="2">
        <v>735.0</v>
      </c>
      <c r="K3952" s="3">
        <f t="shared" si="4"/>
        <v>0.1400533537</v>
      </c>
      <c r="L3952" s="2">
        <v>610.0</v>
      </c>
      <c r="M3952" s="3">
        <f t="shared" si="5"/>
        <v>0.6434599156</v>
      </c>
      <c r="N3952" s="2">
        <v>5708800.0</v>
      </c>
      <c r="O3952" s="4">
        <f t="shared" si="6"/>
        <v>6021.940928</v>
      </c>
      <c r="P3952" s="2">
        <v>0.0</v>
      </c>
      <c r="Q3952" s="3">
        <f t="shared" si="7"/>
        <v>0</v>
      </c>
      <c r="R3952" s="2">
        <v>502.0</v>
      </c>
      <c r="S3952" s="5">
        <f t="shared" si="8"/>
        <v>1</v>
      </c>
    </row>
    <row r="3953">
      <c r="A3953" s="2" t="s">
        <v>3957</v>
      </c>
      <c r="B3953" s="2">
        <v>1244.0</v>
      </c>
      <c r="C3953" s="2">
        <v>14738.0</v>
      </c>
      <c r="D3953" s="2">
        <v>4680.0</v>
      </c>
      <c r="E3953" s="3">
        <f t="shared" si="1"/>
        <v>0.3468208092</v>
      </c>
      <c r="F3953" s="2">
        <v>1733.0</v>
      </c>
      <c r="G3953" s="3">
        <f t="shared" si="2"/>
        <v>0.1284274492</v>
      </c>
      <c r="H3953" s="2">
        <v>2825.0</v>
      </c>
      <c r="I3953" s="3">
        <f t="shared" si="3"/>
        <v>0.2093523047</v>
      </c>
      <c r="J3953" s="2">
        <v>2244.0</v>
      </c>
      <c r="K3953" s="3">
        <f t="shared" si="4"/>
        <v>0.1662961316</v>
      </c>
      <c r="L3953" s="2">
        <v>1678.0</v>
      </c>
      <c r="M3953" s="3">
        <f t="shared" si="5"/>
        <v>0.5939823009</v>
      </c>
      <c r="N3953" s="2">
        <v>1.54841E7</v>
      </c>
      <c r="O3953" s="4">
        <f t="shared" si="6"/>
        <v>5481.097345</v>
      </c>
      <c r="P3953" s="2">
        <v>2.0</v>
      </c>
      <c r="Q3953" s="3">
        <f t="shared" si="7"/>
        <v>0.001607717042</v>
      </c>
      <c r="R3953" s="2">
        <v>1244.0</v>
      </c>
      <c r="S3953" s="5">
        <f t="shared" si="8"/>
        <v>1</v>
      </c>
    </row>
    <row r="3954">
      <c r="A3954" s="2" t="s">
        <v>3958</v>
      </c>
      <c r="B3954" s="2">
        <v>283.0</v>
      </c>
      <c r="C3954" s="2">
        <v>3351.0</v>
      </c>
      <c r="D3954" s="2">
        <v>1019.0</v>
      </c>
      <c r="E3954" s="3">
        <f t="shared" si="1"/>
        <v>0.3321382008</v>
      </c>
      <c r="F3954" s="2">
        <v>394.0</v>
      </c>
      <c r="G3954" s="3">
        <f t="shared" si="2"/>
        <v>0.128422425</v>
      </c>
      <c r="H3954" s="2">
        <v>652.0</v>
      </c>
      <c r="I3954" s="3">
        <f t="shared" si="3"/>
        <v>0.2125162973</v>
      </c>
      <c r="J3954" s="2">
        <v>531.0</v>
      </c>
      <c r="K3954" s="3">
        <f t="shared" si="4"/>
        <v>0.1730769231</v>
      </c>
      <c r="L3954" s="2">
        <v>381.0</v>
      </c>
      <c r="M3954" s="3">
        <f t="shared" si="5"/>
        <v>0.5843558282</v>
      </c>
      <c r="N3954" s="2">
        <v>3720000.0</v>
      </c>
      <c r="O3954" s="4">
        <f t="shared" si="6"/>
        <v>5705.521472</v>
      </c>
      <c r="P3954" s="2">
        <v>0.0</v>
      </c>
      <c r="Q3954" s="3">
        <f t="shared" si="7"/>
        <v>0</v>
      </c>
      <c r="R3954" s="2">
        <v>283.0</v>
      </c>
      <c r="S3954" s="5">
        <f t="shared" si="8"/>
        <v>1</v>
      </c>
    </row>
    <row r="3955">
      <c r="A3955" s="2" t="s">
        <v>3959</v>
      </c>
      <c r="B3955" s="2">
        <v>369.0</v>
      </c>
      <c r="C3955" s="2">
        <v>4278.0</v>
      </c>
      <c r="D3955" s="2">
        <v>1378.0</v>
      </c>
      <c r="E3955" s="3">
        <f t="shared" si="1"/>
        <v>0.352519826</v>
      </c>
      <c r="F3955" s="2">
        <v>502.0</v>
      </c>
      <c r="G3955" s="3">
        <f t="shared" si="2"/>
        <v>0.1284215912</v>
      </c>
      <c r="H3955" s="2">
        <v>825.0</v>
      </c>
      <c r="I3955" s="3">
        <f t="shared" si="3"/>
        <v>0.2110514198</v>
      </c>
      <c r="J3955" s="2">
        <v>732.0</v>
      </c>
      <c r="K3955" s="3">
        <f t="shared" si="4"/>
        <v>0.1872601688</v>
      </c>
      <c r="L3955" s="2">
        <v>515.0</v>
      </c>
      <c r="M3955" s="3">
        <f t="shared" si="5"/>
        <v>0.6242424242</v>
      </c>
      <c r="N3955" s="2">
        <v>4927300.0</v>
      </c>
      <c r="O3955" s="4">
        <f t="shared" si="6"/>
        <v>5972.484848</v>
      </c>
      <c r="P3955" s="2">
        <v>0.0</v>
      </c>
      <c r="Q3955" s="3">
        <f t="shared" si="7"/>
        <v>0</v>
      </c>
      <c r="R3955" s="2">
        <v>1.0</v>
      </c>
      <c r="S3955" s="5">
        <f t="shared" si="8"/>
        <v>0.0027100271</v>
      </c>
    </row>
    <row r="3956">
      <c r="A3956" s="2" t="s">
        <v>3960</v>
      </c>
      <c r="B3956" s="2">
        <v>598.0</v>
      </c>
      <c r="C3956" s="2">
        <v>7038.0</v>
      </c>
      <c r="D3956" s="2">
        <v>2587.0</v>
      </c>
      <c r="E3956" s="3">
        <f t="shared" si="1"/>
        <v>0.4017080745</v>
      </c>
      <c r="F3956" s="2">
        <v>827.0</v>
      </c>
      <c r="G3956" s="3">
        <f t="shared" si="2"/>
        <v>0.1284161491</v>
      </c>
      <c r="H3956" s="2">
        <v>1424.0</v>
      </c>
      <c r="I3956" s="3">
        <f t="shared" si="3"/>
        <v>0.2211180124</v>
      </c>
      <c r="J3956" s="2">
        <v>1095.0</v>
      </c>
      <c r="K3956" s="3">
        <f t="shared" si="4"/>
        <v>0.1700310559</v>
      </c>
      <c r="L3956" s="2">
        <v>891.0</v>
      </c>
      <c r="M3956" s="3">
        <f t="shared" si="5"/>
        <v>0.6257022472</v>
      </c>
      <c r="N3956" s="2">
        <v>7012100.0</v>
      </c>
      <c r="O3956" s="4">
        <f t="shared" si="6"/>
        <v>4924.227528</v>
      </c>
      <c r="P3956" s="2">
        <v>0.0</v>
      </c>
      <c r="Q3956" s="3">
        <f t="shared" si="7"/>
        <v>0</v>
      </c>
      <c r="R3956" s="2">
        <v>30.0</v>
      </c>
      <c r="S3956" s="5">
        <f t="shared" si="8"/>
        <v>0.05016722408</v>
      </c>
    </row>
    <row r="3957">
      <c r="A3957" s="2" t="s">
        <v>3961</v>
      </c>
      <c r="B3957" s="2">
        <v>1329.0</v>
      </c>
      <c r="C3957" s="2">
        <v>15651.0</v>
      </c>
      <c r="D3957" s="2">
        <v>4637.0</v>
      </c>
      <c r="E3957" s="3">
        <f t="shared" si="1"/>
        <v>0.3237676302</v>
      </c>
      <c r="F3957" s="2">
        <v>1839.0</v>
      </c>
      <c r="G3957" s="3">
        <f t="shared" si="2"/>
        <v>0.1284038542</v>
      </c>
      <c r="H3957" s="2">
        <v>2998.0</v>
      </c>
      <c r="I3957" s="3">
        <f t="shared" si="3"/>
        <v>0.2093283061</v>
      </c>
      <c r="J3957" s="2">
        <v>2591.0</v>
      </c>
      <c r="K3957" s="3">
        <f t="shared" si="4"/>
        <v>0.1809104874</v>
      </c>
      <c r="L3957" s="2">
        <v>1759.0</v>
      </c>
      <c r="M3957" s="3">
        <f t="shared" si="5"/>
        <v>0.586724483</v>
      </c>
      <c r="N3957" s="2">
        <v>1.7597E7</v>
      </c>
      <c r="O3957" s="4">
        <f t="shared" si="6"/>
        <v>5869.57972</v>
      </c>
      <c r="P3957" s="2">
        <v>5.0</v>
      </c>
      <c r="Q3957" s="3">
        <f t="shared" si="7"/>
        <v>0.003762227239</v>
      </c>
      <c r="R3957" s="2">
        <v>1329.0</v>
      </c>
      <c r="S3957" s="5">
        <f t="shared" si="8"/>
        <v>1</v>
      </c>
    </row>
    <row r="3958">
      <c r="A3958" s="2" t="s">
        <v>3962</v>
      </c>
      <c r="B3958" s="2">
        <v>4567.0</v>
      </c>
      <c r="C3958" s="2">
        <v>53180.0</v>
      </c>
      <c r="D3958" s="2">
        <v>14438.0</v>
      </c>
      <c r="E3958" s="3">
        <f t="shared" si="1"/>
        <v>0.2969987452</v>
      </c>
      <c r="F3958" s="2">
        <v>6242.0</v>
      </c>
      <c r="G3958" s="3">
        <f t="shared" si="2"/>
        <v>0.1284018678</v>
      </c>
      <c r="H3958" s="2">
        <v>9674.0</v>
      </c>
      <c r="I3958" s="3">
        <f t="shared" si="3"/>
        <v>0.1990002674</v>
      </c>
      <c r="J3958" s="2">
        <v>9534.0</v>
      </c>
      <c r="K3958" s="3">
        <f t="shared" si="4"/>
        <v>0.1961203793</v>
      </c>
      <c r="L3958" s="2">
        <v>5606.0</v>
      </c>
      <c r="M3958" s="3">
        <f t="shared" si="5"/>
        <v>0.5794914203</v>
      </c>
      <c r="N3958" s="2">
        <v>5.97622E7</v>
      </c>
      <c r="O3958" s="4">
        <f t="shared" si="6"/>
        <v>6177.610089</v>
      </c>
      <c r="P3958" s="2">
        <v>12.0</v>
      </c>
      <c r="Q3958" s="3">
        <f t="shared" si="7"/>
        <v>0.002627545435</v>
      </c>
      <c r="R3958" s="2">
        <v>4567.0</v>
      </c>
      <c r="S3958" s="5">
        <f t="shared" si="8"/>
        <v>1</v>
      </c>
    </row>
    <row r="3959">
      <c r="A3959" s="2" t="s">
        <v>3963</v>
      </c>
      <c r="B3959" s="2">
        <v>708.0</v>
      </c>
      <c r="C3959" s="2">
        <v>8216.0</v>
      </c>
      <c r="D3959" s="2">
        <v>2584.0</v>
      </c>
      <c r="E3959" s="3">
        <f t="shared" si="1"/>
        <v>0.3441662227</v>
      </c>
      <c r="F3959" s="2">
        <v>964.0</v>
      </c>
      <c r="G3959" s="3">
        <f t="shared" si="2"/>
        <v>0.1283963772</v>
      </c>
      <c r="H3959" s="2">
        <v>1536.0</v>
      </c>
      <c r="I3959" s="3">
        <f t="shared" si="3"/>
        <v>0.2045817794</v>
      </c>
      <c r="J3959" s="2">
        <v>1011.0</v>
      </c>
      <c r="K3959" s="3">
        <f t="shared" si="4"/>
        <v>0.1346563665</v>
      </c>
      <c r="L3959" s="2">
        <v>890.0</v>
      </c>
      <c r="M3959" s="3">
        <f t="shared" si="5"/>
        <v>0.5794270833</v>
      </c>
      <c r="N3959" s="2">
        <v>8529900.0</v>
      </c>
      <c r="O3959" s="4">
        <f t="shared" si="6"/>
        <v>5553.320313</v>
      </c>
      <c r="P3959" s="2">
        <v>1.0</v>
      </c>
      <c r="Q3959" s="3">
        <f t="shared" si="7"/>
        <v>0.001412429379</v>
      </c>
      <c r="R3959" s="2">
        <v>708.0</v>
      </c>
      <c r="S3959" s="5">
        <f t="shared" si="8"/>
        <v>1</v>
      </c>
    </row>
    <row r="3960">
      <c r="A3960" s="2" t="s">
        <v>3964</v>
      </c>
      <c r="B3960" s="2">
        <v>156.0</v>
      </c>
      <c r="C3960" s="2">
        <v>1776.0</v>
      </c>
      <c r="D3960" s="2">
        <v>610.0</v>
      </c>
      <c r="E3960" s="3">
        <f t="shared" si="1"/>
        <v>0.3765432099</v>
      </c>
      <c r="F3960" s="2">
        <v>208.0</v>
      </c>
      <c r="G3960" s="3">
        <f t="shared" si="2"/>
        <v>0.1283950617</v>
      </c>
      <c r="H3960" s="2">
        <v>357.0</v>
      </c>
      <c r="I3960" s="3">
        <f t="shared" si="3"/>
        <v>0.2203703704</v>
      </c>
      <c r="J3960" s="2">
        <v>301.0</v>
      </c>
      <c r="K3960" s="3">
        <f t="shared" si="4"/>
        <v>0.1858024691</v>
      </c>
      <c r="L3960" s="2">
        <v>219.0</v>
      </c>
      <c r="M3960" s="3">
        <f t="shared" si="5"/>
        <v>0.6134453782</v>
      </c>
      <c r="N3960" s="2">
        <v>2014600.0</v>
      </c>
      <c r="O3960" s="4">
        <f t="shared" si="6"/>
        <v>5643.137255</v>
      </c>
      <c r="P3960" s="2">
        <v>0.0</v>
      </c>
      <c r="Q3960" s="3">
        <f t="shared" si="7"/>
        <v>0</v>
      </c>
      <c r="R3960" s="2">
        <v>0.0</v>
      </c>
      <c r="S3960" s="5">
        <f t="shared" si="8"/>
        <v>0</v>
      </c>
    </row>
    <row r="3961">
      <c r="A3961" s="2" t="s">
        <v>3965</v>
      </c>
      <c r="B3961" s="2">
        <v>79.0</v>
      </c>
      <c r="C3961" s="2">
        <v>889.0</v>
      </c>
      <c r="D3961" s="2">
        <v>286.0</v>
      </c>
      <c r="E3961" s="3">
        <f t="shared" si="1"/>
        <v>0.3530864198</v>
      </c>
      <c r="F3961" s="2">
        <v>104.0</v>
      </c>
      <c r="G3961" s="3">
        <f t="shared" si="2"/>
        <v>0.1283950617</v>
      </c>
      <c r="H3961" s="2">
        <v>149.0</v>
      </c>
      <c r="I3961" s="3">
        <f t="shared" si="3"/>
        <v>0.1839506173</v>
      </c>
      <c r="J3961" s="2">
        <v>120.0</v>
      </c>
      <c r="K3961" s="3">
        <f t="shared" si="4"/>
        <v>0.1481481481</v>
      </c>
      <c r="L3961" s="2">
        <v>84.0</v>
      </c>
      <c r="M3961" s="3">
        <f t="shared" si="5"/>
        <v>0.5637583893</v>
      </c>
      <c r="N3961" s="2">
        <v>843200.0</v>
      </c>
      <c r="O3961" s="4">
        <f t="shared" si="6"/>
        <v>5659.060403</v>
      </c>
      <c r="P3961" s="2">
        <v>0.0</v>
      </c>
      <c r="Q3961" s="3">
        <f t="shared" si="7"/>
        <v>0</v>
      </c>
      <c r="R3961" s="2">
        <v>79.0</v>
      </c>
      <c r="S3961" s="5">
        <f t="shared" si="8"/>
        <v>1</v>
      </c>
    </row>
    <row r="3962">
      <c r="A3962" s="2" t="s">
        <v>3966</v>
      </c>
      <c r="B3962" s="2">
        <v>203.0</v>
      </c>
      <c r="C3962" s="2">
        <v>2415.0</v>
      </c>
      <c r="D3962" s="2">
        <v>827.0</v>
      </c>
      <c r="E3962" s="3">
        <f t="shared" si="1"/>
        <v>0.3738698011</v>
      </c>
      <c r="F3962" s="2">
        <v>284.0</v>
      </c>
      <c r="G3962" s="3">
        <f t="shared" si="2"/>
        <v>0.1283905967</v>
      </c>
      <c r="H3962" s="2">
        <v>435.0</v>
      </c>
      <c r="I3962" s="3">
        <f t="shared" si="3"/>
        <v>0.1966546112</v>
      </c>
      <c r="J3962" s="2">
        <v>354.0</v>
      </c>
      <c r="K3962" s="3">
        <f t="shared" si="4"/>
        <v>0.1600361664</v>
      </c>
      <c r="L3962" s="2">
        <v>247.0</v>
      </c>
      <c r="M3962" s="3">
        <f t="shared" si="5"/>
        <v>0.567816092</v>
      </c>
      <c r="N3962" s="2">
        <v>2515100.0</v>
      </c>
      <c r="O3962" s="4">
        <f t="shared" si="6"/>
        <v>5781.83908</v>
      </c>
      <c r="P3962" s="2">
        <v>0.0</v>
      </c>
      <c r="Q3962" s="3">
        <f t="shared" si="7"/>
        <v>0</v>
      </c>
      <c r="R3962" s="2">
        <v>59.0</v>
      </c>
      <c r="S3962" s="5">
        <f t="shared" si="8"/>
        <v>0.2906403941</v>
      </c>
    </row>
    <row r="3963">
      <c r="A3963" s="2" t="s">
        <v>3967</v>
      </c>
      <c r="B3963" s="2">
        <v>758.0</v>
      </c>
      <c r="C3963" s="2">
        <v>8835.0</v>
      </c>
      <c r="D3963" s="2">
        <v>2574.0</v>
      </c>
      <c r="E3963" s="3">
        <f t="shared" si="1"/>
        <v>0.3186826792</v>
      </c>
      <c r="F3963" s="2">
        <v>1037.0</v>
      </c>
      <c r="G3963" s="3">
        <f t="shared" si="2"/>
        <v>0.1283892534</v>
      </c>
      <c r="H3963" s="2">
        <v>1597.0</v>
      </c>
      <c r="I3963" s="3">
        <f t="shared" si="3"/>
        <v>0.1977219265</v>
      </c>
      <c r="J3963" s="2">
        <v>1526.0</v>
      </c>
      <c r="K3963" s="3">
        <f t="shared" si="4"/>
        <v>0.188931534</v>
      </c>
      <c r="L3963" s="2">
        <v>914.0</v>
      </c>
      <c r="M3963" s="3">
        <f t="shared" si="5"/>
        <v>0.5723231058</v>
      </c>
      <c r="N3963" s="2">
        <v>9898600.0</v>
      </c>
      <c r="O3963" s="4">
        <f t="shared" si="6"/>
        <v>6198.246713</v>
      </c>
      <c r="P3963" s="2">
        <v>1.0</v>
      </c>
      <c r="Q3963" s="3">
        <f t="shared" si="7"/>
        <v>0.001319261214</v>
      </c>
      <c r="R3963" s="2">
        <v>758.0</v>
      </c>
      <c r="S3963" s="5">
        <f t="shared" si="8"/>
        <v>1</v>
      </c>
    </row>
    <row r="3964">
      <c r="A3964" s="2" t="s">
        <v>3968</v>
      </c>
      <c r="B3964" s="2">
        <v>315.0</v>
      </c>
      <c r="C3964" s="2">
        <v>3820.0</v>
      </c>
      <c r="D3964" s="2">
        <v>1081.0</v>
      </c>
      <c r="E3964" s="3">
        <f t="shared" si="1"/>
        <v>0.3084165478</v>
      </c>
      <c r="F3964" s="2">
        <v>450.0</v>
      </c>
      <c r="G3964" s="3">
        <f t="shared" si="2"/>
        <v>0.1283880171</v>
      </c>
      <c r="H3964" s="2">
        <v>728.0</v>
      </c>
      <c r="I3964" s="3">
        <f t="shared" si="3"/>
        <v>0.207703281</v>
      </c>
      <c r="J3964" s="2">
        <v>565.0</v>
      </c>
      <c r="K3964" s="3">
        <f t="shared" si="4"/>
        <v>0.1611982882</v>
      </c>
      <c r="L3964" s="2">
        <v>434.0</v>
      </c>
      <c r="M3964" s="3">
        <f t="shared" si="5"/>
        <v>0.5961538462</v>
      </c>
      <c r="N3964" s="2">
        <v>3935300.0</v>
      </c>
      <c r="O3964" s="4">
        <f t="shared" si="6"/>
        <v>5405.631868</v>
      </c>
      <c r="P3964" s="2">
        <v>0.0</v>
      </c>
      <c r="Q3964" s="3">
        <f t="shared" si="7"/>
        <v>0</v>
      </c>
      <c r="R3964" s="2">
        <v>315.0</v>
      </c>
      <c r="S3964" s="5">
        <f t="shared" si="8"/>
        <v>1</v>
      </c>
    </row>
    <row r="3965">
      <c r="A3965" s="2" t="s">
        <v>3969</v>
      </c>
      <c r="B3965" s="2">
        <v>13.0</v>
      </c>
      <c r="C3965" s="2">
        <v>161.0</v>
      </c>
      <c r="D3965" s="2">
        <v>60.0</v>
      </c>
      <c r="E3965" s="3">
        <f t="shared" si="1"/>
        <v>0.4054054054</v>
      </c>
      <c r="F3965" s="2">
        <v>19.0</v>
      </c>
      <c r="G3965" s="3">
        <f t="shared" si="2"/>
        <v>0.1283783784</v>
      </c>
      <c r="H3965" s="2">
        <v>36.0</v>
      </c>
      <c r="I3965" s="3">
        <f t="shared" si="3"/>
        <v>0.2432432432</v>
      </c>
      <c r="J3965" s="2">
        <v>29.0</v>
      </c>
      <c r="K3965" s="3">
        <f t="shared" si="4"/>
        <v>0.1959459459</v>
      </c>
      <c r="L3965" s="2">
        <v>20.0</v>
      </c>
      <c r="M3965" s="3">
        <f t="shared" si="5"/>
        <v>0.5555555556</v>
      </c>
      <c r="N3965" s="2">
        <v>176700.0</v>
      </c>
      <c r="O3965" s="4">
        <f t="shared" si="6"/>
        <v>4908.333333</v>
      </c>
      <c r="P3965" s="2">
        <v>0.0</v>
      </c>
      <c r="Q3965" s="3">
        <f t="shared" si="7"/>
        <v>0</v>
      </c>
      <c r="R3965" s="2">
        <v>0.0</v>
      </c>
      <c r="S3965" s="5">
        <f t="shared" si="8"/>
        <v>0</v>
      </c>
    </row>
    <row r="3966">
      <c r="A3966" s="2" t="s">
        <v>3970</v>
      </c>
      <c r="B3966" s="2">
        <v>341.0</v>
      </c>
      <c r="C3966" s="2">
        <v>3932.0</v>
      </c>
      <c r="D3966" s="2">
        <v>1225.0</v>
      </c>
      <c r="E3966" s="3">
        <f t="shared" si="1"/>
        <v>0.3411306043</v>
      </c>
      <c r="F3966" s="2">
        <v>461.0</v>
      </c>
      <c r="G3966" s="3">
        <f t="shared" si="2"/>
        <v>0.1283764968</v>
      </c>
      <c r="H3966" s="2">
        <v>714.0</v>
      </c>
      <c r="I3966" s="3">
        <f t="shared" si="3"/>
        <v>0.1988304094</v>
      </c>
      <c r="J3966" s="2">
        <v>579.0</v>
      </c>
      <c r="K3966" s="3">
        <f t="shared" si="4"/>
        <v>0.1612364244</v>
      </c>
      <c r="L3966" s="2">
        <v>414.0</v>
      </c>
      <c r="M3966" s="3">
        <f t="shared" si="5"/>
        <v>0.5798319328</v>
      </c>
      <c r="N3966" s="2">
        <v>4090300.0</v>
      </c>
      <c r="O3966" s="4">
        <f t="shared" si="6"/>
        <v>5728.711485</v>
      </c>
      <c r="P3966" s="2">
        <v>0.0</v>
      </c>
      <c r="Q3966" s="3">
        <f t="shared" si="7"/>
        <v>0</v>
      </c>
      <c r="R3966" s="2">
        <v>1.0</v>
      </c>
      <c r="S3966" s="5">
        <f t="shared" si="8"/>
        <v>0.00293255132</v>
      </c>
    </row>
    <row r="3967">
      <c r="A3967" s="2" t="s">
        <v>3971</v>
      </c>
      <c r="B3967" s="2">
        <v>44.0</v>
      </c>
      <c r="C3967" s="2">
        <v>527.0</v>
      </c>
      <c r="D3967" s="2">
        <v>145.0</v>
      </c>
      <c r="E3967" s="3">
        <f t="shared" si="1"/>
        <v>0.3002070393</v>
      </c>
      <c r="F3967" s="2">
        <v>62.0</v>
      </c>
      <c r="G3967" s="3">
        <f t="shared" si="2"/>
        <v>0.1283643892</v>
      </c>
      <c r="H3967" s="2">
        <v>110.0</v>
      </c>
      <c r="I3967" s="3">
        <f t="shared" si="3"/>
        <v>0.2277432712</v>
      </c>
      <c r="J3967" s="2">
        <v>77.0</v>
      </c>
      <c r="K3967" s="3">
        <f t="shared" si="4"/>
        <v>0.1594202899</v>
      </c>
      <c r="L3967" s="2">
        <v>53.0</v>
      </c>
      <c r="M3967" s="3">
        <f t="shared" si="5"/>
        <v>0.4818181818</v>
      </c>
      <c r="N3967" s="2">
        <v>643800.0</v>
      </c>
      <c r="O3967" s="4">
        <f t="shared" si="6"/>
        <v>5852.727273</v>
      </c>
      <c r="P3967" s="2">
        <v>1.0</v>
      </c>
      <c r="Q3967" s="3">
        <f t="shared" si="7"/>
        <v>0.02272727273</v>
      </c>
      <c r="R3967" s="2">
        <v>0.0</v>
      </c>
      <c r="S3967" s="5">
        <f t="shared" si="8"/>
        <v>0</v>
      </c>
    </row>
    <row r="3968">
      <c r="A3968" s="2" t="s">
        <v>3972</v>
      </c>
      <c r="B3968" s="2">
        <v>242.0</v>
      </c>
      <c r="C3968" s="2">
        <v>2883.0</v>
      </c>
      <c r="D3968" s="2">
        <v>880.0</v>
      </c>
      <c r="E3968" s="3">
        <f t="shared" si="1"/>
        <v>0.3332071185</v>
      </c>
      <c r="F3968" s="2">
        <v>339.0</v>
      </c>
      <c r="G3968" s="3">
        <f t="shared" si="2"/>
        <v>0.1283604695</v>
      </c>
      <c r="H3968" s="2">
        <v>511.0</v>
      </c>
      <c r="I3968" s="3">
        <f t="shared" si="3"/>
        <v>0.1934873154</v>
      </c>
      <c r="J3968" s="2">
        <v>375.0</v>
      </c>
      <c r="K3968" s="3">
        <f t="shared" si="4"/>
        <v>0.1419916698</v>
      </c>
      <c r="L3968" s="2">
        <v>302.0</v>
      </c>
      <c r="M3968" s="3">
        <f t="shared" si="5"/>
        <v>0.5909980431</v>
      </c>
      <c r="N3968" s="2">
        <v>2801600.0</v>
      </c>
      <c r="O3968" s="4">
        <f t="shared" si="6"/>
        <v>5482.58317</v>
      </c>
      <c r="P3968" s="2">
        <v>0.0</v>
      </c>
      <c r="Q3968" s="3">
        <f t="shared" si="7"/>
        <v>0</v>
      </c>
      <c r="R3968" s="2">
        <v>242.0</v>
      </c>
      <c r="S3968" s="5">
        <f t="shared" si="8"/>
        <v>1</v>
      </c>
    </row>
    <row r="3969">
      <c r="A3969" s="2" t="s">
        <v>3973</v>
      </c>
      <c r="B3969" s="2">
        <v>828.0</v>
      </c>
      <c r="C3969" s="2">
        <v>9546.0</v>
      </c>
      <c r="D3969" s="2">
        <v>2975.0</v>
      </c>
      <c r="E3969" s="3">
        <f t="shared" si="1"/>
        <v>0.3412479927</v>
      </c>
      <c r="F3969" s="2">
        <v>1119.0</v>
      </c>
      <c r="G3969" s="3">
        <f t="shared" si="2"/>
        <v>0.1283551273</v>
      </c>
      <c r="H3969" s="2">
        <v>1736.0</v>
      </c>
      <c r="I3969" s="3">
        <f t="shared" si="3"/>
        <v>0.1991282404</v>
      </c>
      <c r="J3969" s="2">
        <v>1489.0</v>
      </c>
      <c r="K3969" s="3">
        <f t="shared" si="4"/>
        <v>0.1707960541</v>
      </c>
      <c r="L3969" s="2">
        <v>1027.0</v>
      </c>
      <c r="M3969" s="3">
        <f t="shared" si="5"/>
        <v>0.5915898618</v>
      </c>
      <c r="N3969" s="2">
        <v>1.00806E7</v>
      </c>
      <c r="O3969" s="4">
        <f t="shared" si="6"/>
        <v>5806.797235</v>
      </c>
      <c r="P3969" s="2">
        <v>1.0</v>
      </c>
      <c r="Q3969" s="3">
        <f t="shared" si="7"/>
        <v>0.001207729469</v>
      </c>
      <c r="R3969" s="2">
        <v>828.0</v>
      </c>
      <c r="S3969" s="5">
        <f t="shared" si="8"/>
        <v>1</v>
      </c>
    </row>
    <row r="3970">
      <c r="A3970" s="2" t="s">
        <v>3974</v>
      </c>
      <c r="B3970" s="2">
        <v>3101.0</v>
      </c>
      <c r="C3970" s="2">
        <v>36268.0</v>
      </c>
      <c r="D3970" s="2">
        <v>11536.0</v>
      </c>
      <c r="E3970" s="3">
        <f t="shared" si="1"/>
        <v>0.3478155998</v>
      </c>
      <c r="F3970" s="2">
        <v>4257.0</v>
      </c>
      <c r="G3970" s="3">
        <f t="shared" si="2"/>
        <v>0.1283504688</v>
      </c>
      <c r="H3970" s="2">
        <v>7120.0</v>
      </c>
      <c r="I3970" s="3">
        <f t="shared" si="3"/>
        <v>0.2146712093</v>
      </c>
      <c r="J3970" s="2">
        <v>4936.0</v>
      </c>
      <c r="K3970" s="3">
        <f t="shared" si="4"/>
        <v>0.1488226249</v>
      </c>
      <c r="L3970" s="2">
        <v>4300.0</v>
      </c>
      <c r="M3970" s="3">
        <f t="shared" si="5"/>
        <v>0.6039325843</v>
      </c>
      <c r="N3970" s="2">
        <v>3.99975E7</v>
      </c>
      <c r="O3970" s="4">
        <f t="shared" si="6"/>
        <v>5617.626404</v>
      </c>
      <c r="P3970" s="2">
        <v>7.0</v>
      </c>
      <c r="Q3970" s="3">
        <f t="shared" si="7"/>
        <v>0.002257336343</v>
      </c>
      <c r="R3970" s="2">
        <v>0.0</v>
      </c>
      <c r="S3970" s="5">
        <f t="shared" si="8"/>
        <v>0</v>
      </c>
    </row>
    <row r="3971">
      <c r="A3971" s="2" t="s">
        <v>3975</v>
      </c>
      <c r="B3971" s="2">
        <v>1487.0</v>
      </c>
      <c r="C3971" s="2">
        <v>17498.0</v>
      </c>
      <c r="D3971" s="2">
        <v>5454.0</v>
      </c>
      <c r="E3971" s="3">
        <f t="shared" si="1"/>
        <v>0.3406408094</v>
      </c>
      <c r="F3971" s="2">
        <v>2055.0</v>
      </c>
      <c r="G3971" s="3">
        <f t="shared" si="2"/>
        <v>0.1283492599</v>
      </c>
      <c r="H3971" s="2">
        <v>3238.0</v>
      </c>
      <c r="I3971" s="3">
        <f t="shared" si="3"/>
        <v>0.2022359628</v>
      </c>
      <c r="J3971" s="2">
        <v>2693.0</v>
      </c>
      <c r="K3971" s="3">
        <f t="shared" si="4"/>
        <v>0.1681968647</v>
      </c>
      <c r="L3971" s="2">
        <v>1921.0</v>
      </c>
      <c r="M3971" s="3">
        <f t="shared" si="5"/>
        <v>0.593267449</v>
      </c>
      <c r="N3971" s="2">
        <v>1.82337E7</v>
      </c>
      <c r="O3971" s="4">
        <f t="shared" si="6"/>
        <v>5631.161211</v>
      </c>
      <c r="P3971" s="2">
        <v>2.0</v>
      </c>
      <c r="Q3971" s="3">
        <f t="shared" si="7"/>
        <v>0.001344989913</v>
      </c>
      <c r="R3971" s="2">
        <v>1485.0</v>
      </c>
      <c r="S3971" s="5">
        <f t="shared" si="8"/>
        <v>0.9986550101</v>
      </c>
    </row>
    <row r="3972">
      <c r="A3972" s="2" t="s">
        <v>3976</v>
      </c>
      <c r="B3972" s="2">
        <v>248.0</v>
      </c>
      <c r="C3972" s="2">
        <v>2975.0</v>
      </c>
      <c r="D3972" s="2">
        <v>1060.0</v>
      </c>
      <c r="E3972" s="3">
        <f t="shared" si="1"/>
        <v>0.3887055372</v>
      </c>
      <c r="F3972" s="2">
        <v>350.0</v>
      </c>
      <c r="G3972" s="3">
        <f t="shared" si="2"/>
        <v>0.128346168</v>
      </c>
      <c r="H3972" s="2">
        <v>566.0</v>
      </c>
      <c r="I3972" s="3">
        <f t="shared" si="3"/>
        <v>0.2075540887</v>
      </c>
      <c r="J3972" s="2">
        <v>422.0</v>
      </c>
      <c r="K3972" s="3">
        <f t="shared" si="4"/>
        <v>0.1547488082</v>
      </c>
      <c r="L3972" s="2">
        <v>322.0</v>
      </c>
      <c r="M3972" s="3">
        <f t="shared" si="5"/>
        <v>0.5689045936</v>
      </c>
      <c r="N3972" s="2">
        <v>3053300.0</v>
      </c>
      <c r="O3972" s="4">
        <f t="shared" si="6"/>
        <v>5394.522968</v>
      </c>
      <c r="P3972" s="2">
        <v>0.0</v>
      </c>
      <c r="Q3972" s="3">
        <f t="shared" si="7"/>
        <v>0</v>
      </c>
      <c r="R3972" s="2">
        <v>247.0</v>
      </c>
      <c r="S3972" s="5">
        <f t="shared" si="8"/>
        <v>0.9959677419</v>
      </c>
    </row>
    <row r="3973">
      <c r="A3973" s="2" t="s">
        <v>3977</v>
      </c>
      <c r="B3973" s="2">
        <v>17.0</v>
      </c>
      <c r="C3973" s="2">
        <v>204.0</v>
      </c>
      <c r="D3973" s="2">
        <v>71.0</v>
      </c>
      <c r="E3973" s="3">
        <f t="shared" si="1"/>
        <v>0.3796791444</v>
      </c>
      <c r="F3973" s="2">
        <v>24.0</v>
      </c>
      <c r="G3973" s="3">
        <f t="shared" si="2"/>
        <v>0.128342246</v>
      </c>
      <c r="H3973" s="2">
        <v>39.0</v>
      </c>
      <c r="I3973" s="3">
        <f t="shared" si="3"/>
        <v>0.2085561497</v>
      </c>
      <c r="J3973" s="2">
        <v>28.0</v>
      </c>
      <c r="K3973" s="3">
        <f t="shared" si="4"/>
        <v>0.1497326203</v>
      </c>
      <c r="L3973" s="2">
        <v>20.0</v>
      </c>
      <c r="M3973" s="3">
        <f t="shared" si="5"/>
        <v>0.5128205128</v>
      </c>
      <c r="N3973" s="2">
        <v>208500.0</v>
      </c>
      <c r="O3973" s="4">
        <f t="shared" si="6"/>
        <v>5346.153846</v>
      </c>
      <c r="P3973" s="2">
        <v>0.0</v>
      </c>
      <c r="Q3973" s="3">
        <f t="shared" si="7"/>
        <v>0</v>
      </c>
      <c r="R3973" s="2">
        <v>17.0</v>
      </c>
      <c r="S3973" s="5">
        <f t="shared" si="8"/>
        <v>1</v>
      </c>
    </row>
    <row r="3974">
      <c r="A3974" s="2" t="s">
        <v>3978</v>
      </c>
      <c r="B3974" s="2">
        <v>37.0</v>
      </c>
      <c r="C3974" s="2">
        <v>411.0</v>
      </c>
      <c r="D3974" s="2">
        <v>107.0</v>
      </c>
      <c r="E3974" s="3">
        <f t="shared" si="1"/>
        <v>0.2860962567</v>
      </c>
      <c r="F3974" s="2">
        <v>48.0</v>
      </c>
      <c r="G3974" s="3">
        <f t="shared" si="2"/>
        <v>0.128342246</v>
      </c>
      <c r="H3974" s="2">
        <v>58.0</v>
      </c>
      <c r="I3974" s="3">
        <f t="shared" si="3"/>
        <v>0.1550802139</v>
      </c>
      <c r="J3974" s="2">
        <v>35.0</v>
      </c>
      <c r="K3974" s="3">
        <f t="shared" si="4"/>
        <v>0.0935828877</v>
      </c>
      <c r="L3974" s="2">
        <v>36.0</v>
      </c>
      <c r="M3974" s="3">
        <f t="shared" si="5"/>
        <v>0.6206896552</v>
      </c>
      <c r="N3974" s="2">
        <v>308900.0</v>
      </c>
      <c r="O3974" s="4">
        <f t="shared" si="6"/>
        <v>5325.862069</v>
      </c>
      <c r="P3974" s="2">
        <v>0.0</v>
      </c>
      <c r="Q3974" s="3">
        <f t="shared" si="7"/>
        <v>0</v>
      </c>
      <c r="R3974" s="2">
        <v>37.0</v>
      </c>
      <c r="S3974" s="5">
        <f t="shared" si="8"/>
        <v>1</v>
      </c>
    </row>
    <row r="3975">
      <c r="A3975" s="2" t="s">
        <v>3979</v>
      </c>
      <c r="B3975" s="2">
        <v>316.0</v>
      </c>
      <c r="C3975" s="2">
        <v>3651.0</v>
      </c>
      <c r="D3975" s="2">
        <v>1163.0</v>
      </c>
      <c r="E3975" s="3">
        <f t="shared" si="1"/>
        <v>0.3487256372</v>
      </c>
      <c r="F3975" s="2">
        <v>428.0</v>
      </c>
      <c r="G3975" s="3">
        <f t="shared" si="2"/>
        <v>0.1283358321</v>
      </c>
      <c r="H3975" s="2">
        <v>728.0</v>
      </c>
      <c r="I3975" s="3">
        <f t="shared" si="3"/>
        <v>0.2182908546</v>
      </c>
      <c r="J3975" s="2">
        <v>617.0</v>
      </c>
      <c r="K3975" s="3">
        <f t="shared" si="4"/>
        <v>0.1850074963</v>
      </c>
      <c r="L3975" s="2">
        <v>423.0</v>
      </c>
      <c r="M3975" s="3">
        <f t="shared" si="5"/>
        <v>0.581043956</v>
      </c>
      <c r="N3975" s="2">
        <v>3880500.0</v>
      </c>
      <c r="O3975" s="4">
        <f t="shared" si="6"/>
        <v>5330.357143</v>
      </c>
      <c r="P3975" s="2">
        <v>1.0</v>
      </c>
      <c r="Q3975" s="3">
        <f t="shared" si="7"/>
        <v>0.003164556962</v>
      </c>
      <c r="R3975" s="2">
        <v>316.0</v>
      </c>
      <c r="S3975" s="5">
        <f t="shared" si="8"/>
        <v>1</v>
      </c>
    </row>
    <row r="3976">
      <c r="A3976" s="2" t="s">
        <v>3980</v>
      </c>
      <c r="B3976" s="2">
        <v>1220.0</v>
      </c>
      <c r="C3976" s="2">
        <v>14124.0</v>
      </c>
      <c r="D3976" s="2">
        <v>4704.0</v>
      </c>
      <c r="E3976" s="3">
        <f t="shared" si="1"/>
        <v>0.3645381277</v>
      </c>
      <c r="F3976" s="2">
        <v>1656.0</v>
      </c>
      <c r="G3976" s="3">
        <f t="shared" si="2"/>
        <v>0.1283323001</v>
      </c>
      <c r="H3976" s="2">
        <v>2733.0</v>
      </c>
      <c r="I3976" s="3">
        <f t="shared" si="3"/>
        <v>0.2117947923</v>
      </c>
      <c r="J3976" s="2">
        <v>2343.0</v>
      </c>
      <c r="K3976" s="3">
        <f t="shared" si="4"/>
        <v>0.1815716057</v>
      </c>
      <c r="L3976" s="2">
        <v>1639.0</v>
      </c>
      <c r="M3976" s="3">
        <f t="shared" si="5"/>
        <v>0.5997072814</v>
      </c>
      <c r="N3976" s="2">
        <v>1.55671E7</v>
      </c>
      <c r="O3976" s="4">
        <f t="shared" si="6"/>
        <v>5695.975119</v>
      </c>
      <c r="P3976" s="2">
        <v>4.0</v>
      </c>
      <c r="Q3976" s="3">
        <f t="shared" si="7"/>
        <v>0.003278688525</v>
      </c>
      <c r="R3976" s="2">
        <v>0.0</v>
      </c>
      <c r="S3976" s="5">
        <f t="shared" si="8"/>
        <v>0</v>
      </c>
    </row>
    <row r="3977">
      <c r="A3977" s="2" t="s">
        <v>3981</v>
      </c>
      <c r="B3977" s="2">
        <v>154.0</v>
      </c>
      <c r="C3977" s="2">
        <v>1767.0</v>
      </c>
      <c r="D3977" s="2">
        <v>500.0</v>
      </c>
      <c r="E3977" s="3">
        <f t="shared" si="1"/>
        <v>0.3099814011</v>
      </c>
      <c r="F3977" s="2">
        <v>207.0</v>
      </c>
      <c r="G3977" s="3">
        <f t="shared" si="2"/>
        <v>0.1283323001</v>
      </c>
      <c r="H3977" s="2">
        <v>367.0</v>
      </c>
      <c r="I3977" s="3">
        <f t="shared" si="3"/>
        <v>0.2275263484</v>
      </c>
      <c r="J3977" s="2">
        <v>265.0</v>
      </c>
      <c r="K3977" s="3">
        <f t="shared" si="4"/>
        <v>0.1642901426</v>
      </c>
      <c r="L3977" s="2">
        <v>213.0</v>
      </c>
      <c r="M3977" s="3">
        <f t="shared" si="5"/>
        <v>0.5803814714</v>
      </c>
      <c r="N3977" s="2">
        <v>2056900.0</v>
      </c>
      <c r="O3977" s="4">
        <f t="shared" si="6"/>
        <v>5604.632153</v>
      </c>
      <c r="P3977" s="2">
        <v>1.0</v>
      </c>
      <c r="Q3977" s="3">
        <f t="shared" si="7"/>
        <v>0.006493506494</v>
      </c>
      <c r="R3977" s="2">
        <v>154.0</v>
      </c>
      <c r="S3977" s="5">
        <f t="shared" si="8"/>
        <v>1</v>
      </c>
    </row>
    <row r="3978">
      <c r="A3978" s="2" t="s">
        <v>3982</v>
      </c>
      <c r="B3978" s="2">
        <v>84.0</v>
      </c>
      <c r="C3978" s="2">
        <v>988.0</v>
      </c>
      <c r="D3978" s="2">
        <v>307.0</v>
      </c>
      <c r="E3978" s="3">
        <f t="shared" si="1"/>
        <v>0.3396017699</v>
      </c>
      <c r="F3978" s="2">
        <v>116.0</v>
      </c>
      <c r="G3978" s="3">
        <f t="shared" si="2"/>
        <v>0.1283185841</v>
      </c>
      <c r="H3978" s="2">
        <v>180.0</v>
      </c>
      <c r="I3978" s="3">
        <f t="shared" si="3"/>
        <v>0.1991150442</v>
      </c>
      <c r="J3978" s="2">
        <v>172.0</v>
      </c>
      <c r="K3978" s="3">
        <f t="shared" si="4"/>
        <v>0.1902654867</v>
      </c>
      <c r="L3978" s="2">
        <v>99.0</v>
      </c>
      <c r="M3978" s="3">
        <f t="shared" si="5"/>
        <v>0.55</v>
      </c>
      <c r="N3978" s="2">
        <v>975900.0</v>
      </c>
      <c r="O3978" s="4">
        <f t="shared" si="6"/>
        <v>5421.666667</v>
      </c>
      <c r="P3978" s="2">
        <v>0.0</v>
      </c>
      <c r="Q3978" s="3">
        <f t="shared" si="7"/>
        <v>0</v>
      </c>
      <c r="R3978" s="2">
        <v>84.0</v>
      </c>
      <c r="S3978" s="5">
        <f t="shared" si="8"/>
        <v>1</v>
      </c>
    </row>
    <row r="3979">
      <c r="A3979" s="2" t="s">
        <v>3983</v>
      </c>
      <c r="B3979" s="2">
        <v>120.0</v>
      </c>
      <c r="C3979" s="2">
        <v>1406.0</v>
      </c>
      <c r="D3979" s="2">
        <v>401.0</v>
      </c>
      <c r="E3979" s="3">
        <f t="shared" si="1"/>
        <v>0.3118195956</v>
      </c>
      <c r="F3979" s="2">
        <v>165.0</v>
      </c>
      <c r="G3979" s="3">
        <f t="shared" si="2"/>
        <v>0.1283048212</v>
      </c>
      <c r="H3979" s="2">
        <v>266.0</v>
      </c>
      <c r="I3979" s="3">
        <f t="shared" si="3"/>
        <v>0.2068429238</v>
      </c>
      <c r="J3979" s="2">
        <v>232.0</v>
      </c>
      <c r="K3979" s="3">
        <f t="shared" si="4"/>
        <v>0.1804043546</v>
      </c>
      <c r="L3979" s="2">
        <v>172.0</v>
      </c>
      <c r="M3979" s="3">
        <f t="shared" si="5"/>
        <v>0.6466165414</v>
      </c>
      <c r="N3979" s="2">
        <v>1525800.0</v>
      </c>
      <c r="O3979" s="4">
        <f t="shared" si="6"/>
        <v>5736.090226</v>
      </c>
      <c r="P3979" s="2">
        <v>0.0</v>
      </c>
      <c r="Q3979" s="3">
        <f t="shared" si="7"/>
        <v>0</v>
      </c>
      <c r="R3979" s="2">
        <v>120.0</v>
      </c>
      <c r="S3979" s="5">
        <f t="shared" si="8"/>
        <v>1</v>
      </c>
    </row>
    <row r="3980">
      <c r="A3980" s="2" t="s">
        <v>3984</v>
      </c>
      <c r="B3980" s="2">
        <v>354.0</v>
      </c>
      <c r="C3980" s="2">
        <v>4181.0</v>
      </c>
      <c r="D3980" s="2">
        <v>1290.0</v>
      </c>
      <c r="E3980" s="3">
        <f t="shared" si="1"/>
        <v>0.3370786517</v>
      </c>
      <c r="F3980" s="2">
        <v>491.0</v>
      </c>
      <c r="G3980" s="3">
        <f t="shared" si="2"/>
        <v>0.1282989287</v>
      </c>
      <c r="H3980" s="2">
        <v>804.0</v>
      </c>
      <c r="I3980" s="3">
        <f t="shared" si="3"/>
        <v>0.2100862294</v>
      </c>
      <c r="J3980" s="2">
        <v>560.0</v>
      </c>
      <c r="K3980" s="3">
        <f t="shared" si="4"/>
        <v>0.146328717</v>
      </c>
      <c r="L3980" s="2">
        <v>469.0</v>
      </c>
      <c r="M3980" s="3">
        <f t="shared" si="5"/>
        <v>0.5833333333</v>
      </c>
      <c r="N3980" s="2">
        <v>4407200.0</v>
      </c>
      <c r="O3980" s="4">
        <f t="shared" si="6"/>
        <v>5481.59204</v>
      </c>
      <c r="P3980" s="2">
        <v>1.0</v>
      </c>
      <c r="Q3980" s="3">
        <f t="shared" si="7"/>
        <v>0.002824858757</v>
      </c>
      <c r="R3980" s="2">
        <v>0.0</v>
      </c>
      <c r="S3980" s="5">
        <f t="shared" si="8"/>
        <v>0</v>
      </c>
    </row>
    <row r="3981">
      <c r="A3981" s="2" t="s">
        <v>3985</v>
      </c>
      <c r="B3981" s="2">
        <v>386.0</v>
      </c>
      <c r="C3981" s="2">
        <v>4517.0</v>
      </c>
      <c r="D3981" s="2">
        <v>1090.0</v>
      </c>
      <c r="E3981" s="3">
        <f t="shared" si="1"/>
        <v>0.2638586299</v>
      </c>
      <c r="F3981" s="2">
        <v>530.0</v>
      </c>
      <c r="G3981" s="3">
        <f t="shared" si="2"/>
        <v>0.1282982329</v>
      </c>
      <c r="H3981" s="2">
        <v>783.0</v>
      </c>
      <c r="I3981" s="3">
        <f t="shared" si="3"/>
        <v>0.1895424837</v>
      </c>
      <c r="J3981" s="2">
        <v>707.0</v>
      </c>
      <c r="K3981" s="3">
        <f t="shared" si="4"/>
        <v>0.1711450012</v>
      </c>
      <c r="L3981" s="2">
        <v>478.0</v>
      </c>
      <c r="M3981" s="3">
        <f t="shared" si="5"/>
        <v>0.6104725415</v>
      </c>
      <c r="N3981" s="2">
        <v>4507300.0</v>
      </c>
      <c r="O3981" s="4">
        <f t="shared" si="6"/>
        <v>5756.449553</v>
      </c>
      <c r="P3981" s="2">
        <v>1.0</v>
      </c>
      <c r="Q3981" s="3">
        <f t="shared" si="7"/>
        <v>0.002590673575</v>
      </c>
      <c r="R3981" s="2">
        <v>386.0</v>
      </c>
      <c r="S3981" s="5">
        <f t="shared" si="8"/>
        <v>1</v>
      </c>
    </row>
    <row r="3982">
      <c r="A3982" s="2" t="s">
        <v>3986</v>
      </c>
      <c r="B3982" s="2">
        <v>1824.0</v>
      </c>
      <c r="C3982" s="2">
        <v>21147.0</v>
      </c>
      <c r="D3982" s="2">
        <v>6790.0</v>
      </c>
      <c r="E3982" s="3">
        <f t="shared" si="1"/>
        <v>0.351394711</v>
      </c>
      <c r="F3982" s="2">
        <v>2479.0</v>
      </c>
      <c r="G3982" s="3">
        <f t="shared" si="2"/>
        <v>0.1282927082</v>
      </c>
      <c r="H3982" s="2">
        <v>4185.0</v>
      </c>
      <c r="I3982" s="3">
        <f t="shared" si="3"/>
        <v>0.2165812762</v>
      </c>
      <c r="J3982" s="2">
        <v>3193.0</v>
      </c>
      <c r="K3982" s="3">
        <f t="shared" si="4"/>
        <v>0.1652434922</v>
      </c>
      <c r="L3982" s="2">
        <v>2494.0</v>
      </c>
      <c r="M3982" s="3">
        <f t="shared" si="5"/>
        <v>0.5959378734</v>
      </c>
      <c r="N3982" s="2">
        <v>2.28081E7</v>
      </c>
      <c r="O3982" s="4">
        <f t="shared" si="6"/>
        <v>5449.964158</v>
      </c>
      <c r="P3982" s="2">
        <v>7.0</v>
      </c>
      <c r="Q3982" s="3">
        <f t="shared" si="7"/>
        <v>0.003837719298</v>
      </c>
      <c r="R3982" s="2">
        <v>1824.0</v>
      </c>
      <c r="S3982" s="5">
        <f t="shared" si="8"/>
        <v>1</v>
      </c>
    </row>
    <row r="3983">
      <c r="A3983" s="2" t="s">
        <v>3987</v>
      </c>
      <c r="B3983" s="2">
        <v>190.0</v>
      </c>
      <c r="C3983" s="2">
        <v>2240.0</v>
      </c>
      <c r="D3983" s="2">
        <v>696.0</v>
      </c>
      <c r="E3983" s="3">
        <f t="shared" si="1"/>
        <v>0.3395121951</v>
      </c>
      <c r="F3983" s="2">
        <v>263.0</v>
      </c>
      <c r="G3983" s="3">
        <f t="shared" si="2"/>
        <v>0.1282926829</v>
      </c>
      <c r="H3983" s="2">
        <v>431.0</v>
      </c>
      <c r="I3983" s="3">
        <f t="shared" si="3"/>
        <v>0.2102439024</v>
      </c>
      <c r="J3983" s="2">
        <v>326.0</v>
      </c>
      <c r="K3983" s="3">
        <f t="shared" si="4"/>
        <v>0.1590243902</v>
      </c>
      <c r="L3983" s="2">
        <v>262.0</v>
      </c>
      <c r="M3983" s="3">
        <f t="shared" si="5"/>
        <v>0.6078886311</v>
      </c>
      <c r="N3983" s="2">
        <v>2380900.0</v>
      </c>
      <c r="O3983" s="4">
        <f t="shared" si="6"/>
        <v>5524.12993</v>
      </c>
      <c r="P3983" s="2">
        <v>0.0</v>
      </c>
      <c r="Q3983" s="3">
        <f t="shared" si="7"/>
        <v>0</v>
      </c>
      <c r="R3983" s="2">
        <v>190.0</v>
      </c>
      <c r="S3983" s="5">
        <f t="shared" si="8"/>
        <v>1</v>
      </c>
    </row>
    <row r="3984">
      <c r="A3984" s="2" t="s">
        <v>3988</v>
      </c>
      <c r="B3984" s="2">
        <v>1497.0</v>
      </c>
      <c r="C3984" s="2">
        <v>17523.0</v>
      </c>
      <c r="D3984" s="2">
        <v>4704.0</v>
      </c>
      <c r="E3984" s="3">
        <f t="shared" si="1"/>
        <v>0.2935230251</v>
      </c>
      <c r="F3984" s="2">
        <v>2056.0</v>
      </c>
      <c r="G3984" s="3">
        <f t="shared" si="2"/>
        <v>0.1282915263</v>
      </c>
      <c r="H3984" s="2">
        <v>3370.0</v>
      </c>
      <c r="I3984" s="3">
        <f t="shared" si="3"/>
        <v>0.2102832897</v>
      </c>
      <c r="J3984" s="2">
        <v>2748.0</v>
      </c>
      <c r="K3984" s="3">
        <f t="shared" si="4"/>
        <v>0.171471359</v>
      </c>
      <c r="L3984" s="2">
        <v>2037.0</v>
      </c>
      <c r="M3984" s="3">
        <f t="shared" si="5"/>
        <v>0.6044510386</v>
      </c>
      <c r="N3984" s="2">
        <v>1.92606E7</v>
      </c>
      <c r="O3984" s="4">
        <f t="shared" si="6"/>
        <v>5715.311573</v>
      </c>
      <c r="P3984" s="2">
        <v>2.0</v>
      </c>
      <c r="Q3984" s="3">
        <f t="shared" si="7"/>
        <v>0.001336005344</v>
      </c>
      <c r="R3984" s="2">
        <v>0.0</v>
      </c>
      <c r="S3984" s="5">
        <f t="shared" si="8"/>
        <v>0</v>
      </c>
    </row>
    <row r="3985">
      <c r="A3985" s="2" t="s">
        <v>3989</v>
      </c>
      <c r="B3985" s="2">
        <v>27.0</v>
      </c>
      <c r="C3985" s="2">
        <v>331.0</v>
      </c>
      <c r="D3985" s="2">
        <v>68.0</v>
      </c>
      <c r="E3985" s="3">
        <f t="shared" si="1"/>
        <v>0.2236842105</v>
      </c>
      <c r="F3985" s="2">
        <v>39.0</v>
      </c>
      <c r="G3985" s="3">
        <f t="shared" si="2"/>
        <v>0.1282894737</v>
      </c>
      <c r="H3985" s="2">
        <v>55.0</v>
      </c>
      <c r="I3985" s="3">
        <f t="shared" si="3"/>
        <v>0.1809210526</v>
      </c>
      <c r="J3985" s="2">
        <v>56.0</v>
      </c>
      <c r="K3985" s="3">
        <f t="shared" si="4"/>
        <v>0.1842105263</v>
      </c>
      <c r="L3985" s="2">
        <v>31.0</v>
      </c>
      <c r="M3985" s="3">
        <f t="shared" si="5"/>
        <v>0.5636363636</v>
      </c>
      <c r="N3985" s="2">
        <v>318100.0</v>
      </c>
      <c r="O3985" s="4">
        <f t="shared" si="6"/>
        <v>5783.636364</v>
      </c>
      <c r="P3985" s="2">
        <v>0.0</v>
      </c>
      <c r="Q3985" s="3">
        <f t="shared" si="7"/>
        <v>0</v>
      </c>
      <c r="R3985" s="2">
        <v>27.0</v>
      </c>
      <c r="S3985" s="5">
        <f t="shared" si="8"/>
        <v>1</v>
      </c>
    </row>
    <row r="3986">
      <c r="A3986" s="2" t="s">
        <v>3990</v>
      </c>
      <c r="B3986" s="2">
        <v>1112.0</v>
      </c>
      <c r="C3986" s="2">
        <v>12937.0</v>
      </c>
      <c r="D3986" s="2">
        <v>4353.0</v>
      </c>
      <c r="E3986" s="3">
        <f t="shared" si="1"/>
        <v>0.3681183932</v>
      </c>
      <c r="F3986" s="2">
        <v>1517.0</v>
      </c>
      <c r="G3986" s="3">
        <f t="shared" si="2"/>
        <v>0.1282875264</v>
      </c>
      <c r="H3986" s="2">
        <v>2623.0</v>
      </c>
      <c r="I3986" s="3">
        <f t="shared" si="3"/>
        <v>0.2218181818</v>
      </c>
      <c r="J3986" s="2">
        <v>2130.0</v>
      </c>
      <c r="K3986" s="3">
        <f t="shared" si="4"/>
        <v>0.1801268499</v>
      </c>
      <c r="L3986" s="2">
        <v>1597.0</v>
      </c>
      <c r="M3986" s="3">
        <f t="shared" si="5"/>
        <v>0.6088448342</v>
      </c>
      <c r="N3986" s="2">
        <v>1.47851E7</v>
      </c>
      <c r="O3986" s="4">
        <f t="shared" si="6"/>
        <v>5636.713687</v>
      </c>
      <c r="P3986" s="2">
        <v>3.0</v>
      </c>
      <c r="Q3986" s="3">
        <f t="shared" si="7"/>
        <v>0.002697841727</v>
      </c>
      <c r="R3986" s="2">
        <v>1110.0</v>
      </c>
      <c r="S3986" s="5">
        <f t="shared" si="8"/>
        <v>0.9982014388</v>
      </c>
    </row>
    <row r="3987">
      <c r="A3987" s="2" t="s">
        <v>3991</v>
      </c>
      <c r="B3987" s="2">
        <v>1223.0</v>
      </c>
      <c r="C3987" s="2">
        <v>14342.0</v>
      </c>
      <c r="D3987" s="2">
        <v>4642.0</v>
      </c>
      <c r="E3987" s="3">
        <f t="shared" si="1"/>
        <v>0.353837945</v>
      </c>
      <c r="F3987" s="2">
        <v>1683.0</v>
      </c>
      <c r="G3987" s="3">
        <f t="shared" si="2"/>
        <v>0.128287217</v>
      </c>
      <c r="H3987" s="2">
        <v>2795.0</v>
      </c>
      <c r="I3987" s="3">
        <f t="shared" si="3"/>
        <v>0.2130497751</v>
      </c>
      <c r="J3987" s="2">
        <v>2094.0</v>
      </c>
      <c r="K3987" s="3">
        <f t="shared" si="4"/>
        <v>0.1596158244</v>
      </c>
      <c r="L3987" s="2">
        <v>1684.0</v>
      </c>
      <c r="M3987" s="3">
        <f t="shared" si="5"/>
        <v>0.6025044723</v>
      </c>
      <c r="N3987" s="2">
        <v>1.54155E7</v>
      </c>
      <c r="O3987" s="4">
        <f t="shared" si="6"/>
        <v>5515.384615</v>
      </c>
      <c r="P3987" s="2">
        <v>0.0</v>
      </c>
      <c r="Q3987" s="3">
        <f t="shared" si="7"/>
        <v>0</v>
      </c>
      <c r="R3987" s="2">
        <v>1223.0</v>
      </c>
      <c r="S3987" s="5">
        <f t="shared" si="8"/>
        <v>1</v>
      </c>
    </row>
    <row r="3988">
      <c r="A3988" s="2" t="s">
        <v>3992</v>
      </c>
      <c r="B3988" s="2">
        <v>356.0</v>
      </c>
      <c r="C3988" s="2">
        <v>4121.0</v>
      </c>
      <c r="D3988" s="2">
        <v>2584.0</v>
      </c>
      <c r="E3988" s="3">
        <f t="shared" si="1"/>
        <v>0.6863213811</v>
      </c>
      <c r="F3988" s="2">
        <v>483.0</v>
      </c>
      <c r="G3988" s="3">
        <f t="shared" si="2"/>
        <v>0.1282868526</v>
      </c>
      <c r="H3988" s="2">
        <v>863.0</v>
      </c>
      <c r="I3988" s="3">
        <f t="shared" si="3"/>
        <v>0.2292164675</v>
      </c>
      <c r="J3988" s="2">
        <v>461.0</v>
      </c>
      <c r="K3988" s="3">
        <f t="shared" si="4"/>
        <v>0.1224435591</v>
      </c>
      <c r="L3988" s="2">
        <v>530.0</v>
      </c>
      <c r="M3988" s="3">
        <f t="shared" si="5"/>
        <v>0.6141367323</v>
      </c>
      <c r="N3988" s="2">
        <v>3934200.0</v>
      </c>
      <c r="O3988" s="4">
        <f t="shared" si="6"/>
        <v>4558.748552</v>
      </c>
      <c r="P3988" s="2">
        <v>0.0</v>
      </c>
      <c r="Q3988" s="3">
        <f t="shared" si="7"/>
        <v>0</v>
      </c>
      <c r="R3988" s="2">
        <v>356.0</v>
      </c>
      <c r="S3988" s="5">
        <f t="shared" si="8"/>
        <v>1</v>
      </c>
    </row>
    <row r="3989">
      <c r="A3989" s="2" t="s">
        <v>3993</v>
      </c>
      <c r="B3989" s="2">
        <v>557.0</v>
      </c>
      <c r="C3989" s="2">
        <v>6606.0</v>
      </c>
      <c r="D3989" s="2">
        <v>1818.0</v>
      </c>
      <c r="E3989" s="3">
        <f t="shared" si="1"/>
        <v>0.3005455447</v>
      </c>
      <c r="F3989" s="2">
        <v>776.0</v>
      </c>
      <c r="G3989" s="3">
        <f t="shared" si="2"/>
        <v>0.1282856671</v>
      </c>
      <c r="H3989" s="2">
        <v>1184.0</v>
      </c>
      <c r="I3989" s="3">
        <f t="shared" si="3"/>
        <v>0.1957348322</v>
      </c>
      <c r="J3989" s="2">
        <v>990.0</v>
      </c>
      <c r="K3989" s="3">
        <f t="shared" si="4"/>
        <v>0.1636634154</v>
      </c>
      <c r="L3989" s="2">
        <v>679.0</v>
      </c>
      <c r="M3989" s="3">
        <f t="shared" si="5"/>
        <v>0.5734797297</v>
      </c>
      <c r="N3989" s="2">
        <v>6763000.0</v>
      </c>
      <c r="O3989" s="4">
        <f t="shared" si="6"/>
        <v>5711.993243</v>
      </c>
      <c r="P3989" s="2">
        <v>2.0</v>
      </c>
      <c r="Q3989" s="3">
        <f t="shared" si="7"/>
        <v>0.003590664273</v>
      </c>
      <c r="R3989" s="2">
        <v>557.0</v>
      </c>
      <c r="S3989" s="5">
        <f t="shared" si="8"/>
        <v>1</v>
      </c>
    </row>
    <row r="3990">
      <c r="A3990" s="2" t="s">
        <v>3994</v>
      </c>
      <c r="B3990" s="2">
        <v>533.0</v>
      </c>
      <c r="C3990" s="2">
        <v>6216.0</v>
      </c>
      <c r="D3990" s="2">
        <v>1689.0</v>
      </c>
      <c r="E3990" s="3">
        <f t="shared" si="1"/>
        <v>0.2972021819</v>
      </c>
      <c r="F3990" s="2">
        <v>729.0</v>
      </c>
      <c r="G3990" s="3">
        <f t="shared" si="2"/>
        <v>0.1282773183</v>
      </c>
      <c r="H3990" s="2">
        <v>1144.0</v>
      </c>
      <c r="I3990" s="3">
        <f t="shared" si="3"/>
        <v>0.2013021292</v>
      </c>
      <c r="J3990" s="2">
        <v>898.0</v>
      </c>
      <c r="K3990" s="3">
        <f t="shared" si="4"/>
        <v>0.1580151329</v>
      </c>
      <c r="L3990" s="2">
        <v>700.0</v>
      </c>
      <c r="M3990" s="3">
        <f t="shared" si="5"/>
        <v>0.6118881119</v>
      </c>
      <c r="N3990" s="2">
        <v>6890000.0</v>
      </c>
      <c r="O3990" s="4">
        <f t="shared" si="6"/>
        <v>6022.727273</v>
      </c>
      <c r="P3990" s="2">
        <v>1.0</v>
      </c>
      <c r="Q3990" s="3">
        <f t="shared" si="7"/>
        <v>0.001876172608</v>
      </c>
      <c r="R3990" s="2">
        <v>533.0</v>
      </c>
      <c r="S3990" s="5">
        <f t="shared" si="8"/>
        <v>1</v>
      </c>
    </row>
    <row r="3991">
      <c r="A3991" s="2" t="s">
        <v>3995</v>
      </c>
      <c r="B3991" s="2">
        <v>455.0</v>
      </c>
      <c r="C3991" s="2">
        <v>5226.0</v>
      </c>
      <c r="D3991" s="2">
        <v>1666.0</v>
      </c>
      <c r="E3991" s="3">
        <f t="shared" si="1"/>
        <v>0.3491930413</v>
      </c>
      <c r="F3991" s="2">
        <v>612.0</v>
      </c>
      <c r="G3991" s="3">
        <f t="shared" si="2"/>
        <v>0.1282749948</v>
      </c>
      <c r="H3991" s="2">
        <v>991.0</v>
      </c>
      <c r="I3991" s="3">
        <f t="shared" si="3"/>
        <v>0.2077132677</v>
      </c>
      <c r="J3991" s="2">
        <v>846.0</v>
      </c>
      <c r="K3991" s="3">
        <f t="shared" si="4"/>
        <v>0.1773213163</v>
      </c>
      <c r="L3991" s="2">
        <v>602.0</v>
      </c>
      <c r="M3991" s="3">
        <f t="shared" si="5"/>
        <v>0.6074672048</v>
      </c>
      <c r="N3991" s="2">
        <v>5489400.0</v>
      </c>
      <c r="O3991" s="4">
        <f t="shared" si="6"/>
        <v>5539.25328</v>
      </c>
      <c r="P3991" s="2">
        <v>1.0</v>
      </c>
      <c r="Q3991" s="3">
        <f t="shared" si="7"/>
        <v>0.002197802198</v>
      </c>
      <c r="R3991" s="2">
        <v>455.0</v>
      </c>
      <c r="S3991" s="5">
        <f t="shared" si="8"/>
        <v>1</v>
      </c>
    </row>
    <row r="3992">
      <c r="A3992" s="2" t="s">
        <v>3996</v>
      </c>
      <c r="B3992" s="2">
        <v>1132.0</v>
      </c>
      <c r="C3992" s="2">
        <v>13239.0</v>
      </c>
      <c r="D3992" s="2">
        <v>4462.0</v>
      </c>
      <c r="E3992" s="3">
        <f t="shared" si="1"/>
        <v>0.3685471215</v>
      </c>
      <c r="F3992" s="2">
        <v>1553.0</v>
      </c>
      <c r="G3992" s="3">
        <f t="shared" si="2"/>
        <v>0.1282729</v>
      </c>
      <c r="H3992" s="2">
        <v>2714.0</v>
      </c>
      <c r="I3992" s="3">
        <f t="shared" si="3"/>
        <v>0.2241678368</v>
      </c>
      <c r="J3992" s="2">
        <v>2206.0</v>
      </c>
      <c r="K3992" s="3">
        <f t="shared" si="4"/>
        <v>0.1822086396</v>
      </c>
      <c r="L3992" s="2">
        <v>1610.0</v>
      </c>
      <c r="M3992" s="3">
        <f t="shared" si="5"/>
        <v>0.593220339</v>
      </c>
      <c r="N3992" s="2">
        <v>1.54138E7</v>
      </c>
      <c r="O3992" s="4">
        <f t="shared" si="6"/>
        <v>5679.366249</v>
      </c>
      <c r="P3992" s="2">
        <v>4.0</v>
      </c>
      <c r="Q3992" s="3">
        <f t="shared" si="7"/>
        <v>0.003533568905</v>
      </c>
      <c r="R3992" s="2">
        <v>1132.0</v>
      </c>
      <c r="S3992" s="5">
        <f t="shared" si="8"/>
        <v>1</v>
      </c>
    </row>
    <row r="3993">
      <c r="A3993" s="2" t="s">
        <v>3997</v>
      </c>
      <c r="B3993" s="2">
        <v>174.0</v>
      </c>
      <c r="C3993" s="2">
        <v>2053.0</v>
      </c>
      <c r="D3993" s="2">
        <v>401.0</v>
      </c>
      <c r="E3993" s="3">
        <f t="shared" si="1"/>
        <v>0.213411389</v>
      </c>
      <c r="F3993" s="2">
        <v>241.0</v>
      </c>
      <c r="G3993" s="3">
        <f t="shared" si="2"/>
        <v>0.1282597126</v>
      </c>
      <c r="H3993" s="2">
        <v>333.0</v>
      </c>
      <c r="I3993" s="3">
        <f t="shared" si="3"/>
        <v>0.1772219266</v>
      </c>
      <c r="J3993" s="2">
        <v>288.0</v>
      </c>
      <c r="K3993" s="3">
        <f t="shared" si="4"/>
        <v>0.1532730176</v>
      </c>
      <c r="L3993" s="2">
        <v>186.0</v>
      </c>
      <c r="M3993" s="3">
        <f t="shared" si="5"/>
        <v>0.5585585586</v>
      </c>
      <c r="N3993" s="2">
        <v>1944100.0</v>
      </c>
      <c r="O3993" s="4">
        <f t="shared" si="6"/>
        <v>5838.138138</v>
      </c>
      <c r="P3993" s="2">
        <v>0.0</v>
      </c>
      <c r="Q3993" s="3">
        <f t="shared" si="7"/>
        <v>0</v>
      </c>
      <c r="R3993" s="2">
        <v>174.0</v>
      </c>
      <c r="S3993" s="5">
        <f t="shared" si="8"/>
        <v>1</v>
      </c>
    </row>
    <row r="3994">
      <c r="A3994" s="2" t="s">
        <v>3998</v>
      </c>
      <c r="B3994" s="2">
        <v>128.0</v>
      </c>
      <c r="C3994" s="2">
        <v>1477.0</v>
      </c>
      <c r="D3994" s="2">
        <v>343.0</v>
      </c>
      <c r="E3994" s="3">
        <f t="shared" si="1"/>
        <v>0.2542624166</v>
      </c>
      <c r="F3994" s="2">
        <v>173.0</v>
      </c>
      <c r="G3994" s="3">
        <f t="shared" si="2"/>
        <v>0.1282431431</v>
      </c>
      <c r="H3994" s="2">
        <v>225.0</v>
      </c>
      <c r="I3994" s="3">
        <f t="shared" si="3"/>
        <v>0.166790215</v>
      </c>
      <c r="J3994" s="2">
        <v>224.0</v>
      </c>
      <c r="K3994" s="3">
        <f t="shared" si="4"/>
        <v>0.1660489251</v>
      </c>
      <c r="L3994" s="2">
        <v>130.0</v>
      </c>
      <c r="M3994" s="3">
        <f t="shared" si="5"/>
        <v>0.5777777778</v>
      </c>
      <c r="N3994" s="2">
        <v>1391200.0</v>
      </c>
      <c r="O3994" s="4">
        <f t="shared" si="6"/>
        <v>6183.111111</v>
      </c>
      <c r="P3994" s="2">
        <v>0.0</v>
      </c>
      <c r="Q3994" s="3">
        <f t="shared" si="7"/>
        <v>0</v>
      </c>
      <c r="R3994" s="2">
        <v>128.0</v>
      </c>
      <c r="S3994" s="5">
        <f t="shared" si="8"/>
        <v>1</v>
      </c>
    </row>
    <row r="3995">
      <c r="A3995" s="2" t="s">
        <v>3999</v>
      </c>
      <c r="B3995" s="2">
        <v>426.0</v>
      </c>
      <c r="C3995" s="2">
        <v>4988.0</v>
      </c>
      <c r="D3995" s="2">
        <v>1613.0</v>
      </c>
      <c r="E3995" s="3">
        <f t="shared" si="1"/>
        <v>0.3535729943</v>
      </c>
      <c r="F3995" s="2">
        <v>585.0</v>
      </c>
      <c r="G3995" s="3">
        <f t="shared" si="2"/>
        <v>0.128233231</v>
      </c>
      <c r="H3995" s="2">
        <v>963.0</v>
      </c>
      <c r="I3995" s="3">
        <f t="shared" si="3"/>
        <v>0.2110916265</v>
      </c>
      <c r="J3995" s="2">
        <v>705.0</v>
      </c>
      <c r="K3995" s="3">
        <f t="shared" si="4"/>
        <v>0.1545374836</v>
      </c>
      <c r="L3995" s="2">
        <v>595.0</v>
      </c>
      <c r="M3995" s="3">
        <f t="shared" si="5"/>
        <v>0.6178608515</v>
      </c>
      <c r="N3995" s="2">
        <v>5024000.0</v>
      </c>
      <c r="O3995" s="4">
        <f t="shared" si="6"/>
        <v>5217.030114</v>
      </c>
      <c r="P3995" s="2">
        <v>2.0</v>
      </c>
      <c r="Q3995" s="3">
        <f t="shared" si="7"/>
        <v>0.004694835681</v>
      </c>
      <c r="R3995" s="2">
        <v>426.0</v>
      </c>
      <c r="S3995" s="5">
        <f t="shared" si="8"/>
        <v>1</v>
      </c>
    </row>
    <row r="3996">
      <c r="A3996" s="2" t="s">
        <v>4000</v>
      </c>
      <c r="B3996" s="2">
        <v>554.0</v>
      </c>
      <c r="C3996" s="2">
        <v>6473.0</v>
      </c>
      <c r="D3996" s="2">
        <v>1806.0</v>
      </c>
      <c r="E3996" s="3">
        <f t="shared" si="1"/>
        <v>0.305119108</v>
      </c>
      <c r="F3996" s="2">
        <v>759.0</v>
      </c>
      <c r="G3996" s="3">
        <f t="shared" si="2"/>
        <v>0.1282311201</v>
      </c>
      <c r="H3996" s="2">
        <v>1147.0</v>
      </c>
      <c r="I3996" s="3">
        <f t="shared" si="3"/>
        <v>0.1937827336</v>
      </c>
      <c r="J3996" s="2">
        <v>982.0</v>
      </c>
      <c r="K3996" s="3">
        <f t="shared" si="4"/>
        <v>0.1659064031</v>
      </c>
      <c r="L3996" s="2">
        <v>685.0</v>
      </c>
      <c r="M3996" s="3">
        <f t="shared" si="5"/>
        <v>0.5972101133</v>
      </c>
      <c r="N3996" s="2">
        <v>6807500.0</v>
      </c>
      <c r="O3996" s="4">
        <f t="shared" si="6"/>
        <v>5935.047951</v>
      </c>
      <c r="P3996" s="2">
        <v>0.0</v>
      </c>
      <c r="Q3996" s="3">
        <f t="shared" si="7"/>
        <v>0</v>
      </c>
      <c r="R3996" s="2">
        <v>554.0</v>
      </c>
      <c r="S3996" s="5">
        <f t="shared" si="8"/>
        <v>1</v>
      </c>
    </row>
    <row r="3997">
      <c r="A3997" s="2" t="s">
        <v>4001</v>
      </c>
      <c r="B3997" s="2">
        <v>463.0</v>
      </c>
      <c r="C3997" s="2">
        <v>5345.0</v>
      </c>
      <c r="D3997" s="2">
        <v>1558.0</v>
      </c>
      <c r="E3997" s="3">
        <f t="shared" si="1"/>
        <v>0.3191315035</v>
      </c>
      <c r="F3997" s="2">
        <v>626.0</v>
      </c>
      <c r="G3997" s="3">
        <f t="shared" si="2"/>
        <v>0.1282261368</v>
      </c>
      <c r="H3997" s="2">
        <v>949.0</v>
      </c>
      <c r="I3997" s="3">
        <f t="shared" si="3"/>
        <v>0.1943875461</v>
      </c>
      <c r="J3997" s="2">
        <v>781.0</v>
      </c>
      <c r="K3997" s="3">
        <f t="shared" si="4"/>
        <v>0.1599754199</v>
      </c>
      <c r="L3997" s="2">
        <v>566.0</v>
      </c>
      <c r="M3997" s="3">
        <f t="shared" si="5"/>
        <v>0.5964172813</v>
      </c>
      <c r="N3997" s="2">
        <v>5366300.0</v>
      </c>
      <c r="O3997" s="4">
        <f t="shared" si="6"/>
        <v>5654.689146</v>
      </c>
      <c r="P3997" s="2">
        <v>2.0</v>
      </c>
      <c r="Q3997" s="3">
        <f t="shared" si="7"/>
        <v>0.004319654428</v>
      </c>
      <c r="R3997" s="2">
        <v>0.0</v>
      </c>
      <c r="S3997" s="5">
        <f t="shared" si="8"/>
        <v>0</v>
      </c>
    </row>
    <row r="3998">
      <c r="A3998" s="2" t="s">
        <v>4002</v>
      </c>
      <c r="B3998" s="2">
        <v>245.0</v>
      </c>
      <c r="C3998" s="2">
        <v>2959.0</v>
      </c>
      <c r="D3998" s="2">
        <v>976.0</v>
      </c>
      <c r="E3998" s="3">
        <f t="shared" si="1"/>
        <v>0.3596168018</v>
      </c>
      <c r="F3998" s="2">
        <v>348.0</v>
      </c>
      <c r="G3998" s="3">
        <f t="shared" si="2"/>
        <v>0.1282240236</v>
      </c>
      <c r="H3998" s="2">
        <v>560.0</v>
      </c>
      <c r="I3998" s="3">
        <f t="shared" si="3"/>
        <v>0.2063375092</v>
      </c>
      <c r="J3998" s="2">
        <v>440.0</v>
      </c>
      <c r="K3998" s="3">
        <f t="shared" si="4"/>
        <v>0.1621223287</v>
      </c>
      <c r="L3998" s="2">
        <v>334.0</v>
      </c>
      <c r="M3998" s="3">
        <f t="shared" si="5"/>
        <v>0.5964285714</v>
      </c>
      <c r="N3998" s="2">
        <v>3090500.0</v>
      </c>
      <c r="O3998" s="4">
        <f t="shared" si="6"/>
        <v>5518.75</v>
      </c>
      <c r="P3998" s="2">
        <v>2.0</v>
      </c>
      <c r="Q3998" s="3">
        <f t="shared" si="7"/>
        <v>0.008163265306</v>
      </c>
      <c r="R3998" s="2">
        <v>245.0</v>
      </c>
      <c r="S3998" s="5">
        <f t="shared" si="8"/>
        <v>1</v>
      </c>
    </row>
    <row r="3999">
      <c r="A3999" s="2" t="s">
        <v>4003</v>
      </c>
      <c r="B3999" s="2">
        <v>528.0</v>
      </c>
      <c r="C3999" s="2">
        <v>6190.0</v>
      </c>
      <c r="D3999" s="2">
        <v>1850.0</v>
      </c>
      <c r="E3999" s="3">
        <f t="shared" si="1"/>
        <v>0.326739668</v>
      </c>
      <c r="F3999" s="2">
        <v>726.0</v>
      </c>
      <c r="G3999" s="3">
        <f t="shared" si="2"/>
        <v>0.1282232427</v>
      </c>
      <c r="H3999" s="2">
        <v>1177.0</v>
      </c>
      <c r="I3999" s="3">
        <f t="shared" si="3"/>
        <v>0.2078770752</v>
      </c>
      <c r="J3999" s="2">
        <v>997.0</v>
      </c>
      <c r="K3999" s="3">
        <f t="shared" si="4"/>
        <v>0.1760861886</v>
      </c>
      <c r="L3999" s="2">
        <v>687.0</v>
      </c>
      <c r="M3999" s="3">
        <f t="shared" si="5"/>
        <v>0.5836873407</v>
      </c>
      <c r="N3999" s="2">
        <v>7008700.0</v>
      </c>
      <c r="O3999" s="4">
        <f t="shared" si="6"/>
        <v>5954.715378</v>
      </c>
      <c r="P3999" s="2">
        <v>1.0</v>
      </c>
      <c r="Q3999" s="3">
        <f t="shared" si="7"/>
        <v>0.001893939394</v>
      </c>
      <c r="R3999" s="2">
        <v>528.0</v>
      </c>
      <c r="S3999" s="5">
        <f t="shared" si="8"/>
        <v>1</v>
      </c>
    </row>
    <row r="4000">
      <c r="A4000" s="2" t="s">
        <v>4004</v>
      </c>
      <c r="B4000" s="2">
        <v>826.0</v>
      </c>
      <c r="C4000" s="2">
        <v>9834.0</v>
      </c>
      <c r="D4000" s="2">
        <v>3328.0</v>
      </c>
      <c r="E4000" s="3">
        <f t="shared" si="1"/>
        <v>0.3694493783</v>
      </c>
      <c r="F4000" s="2">
        <v>1155.0</v>
      </c>
      <c r="G4000" s="3">
        <f t="shared" si="2"/>
        <v>0.1282193606</v>
      </c>
      <c r="H4000" s="2">
        <v>2022.0</v>
      </c>
      <c r="I4000" s="3">
        <f t="shared" si="3"/>
        <v>0.2244671403</v>
      </c>
      <c r="J4000" s="2">
        <v>1600.0</v>
      </c>
      <c r="K4000" s="3">
        <f t="shared" si="4"/>
        <v>0.1776198934</v>
      </c>
      <c r="L4000" s="2">
        <v>1237.0</v>
      </c>
      <c r="M4000" s="3">
        <f t="shared" si="5"/>
        <v>0.6117705242</v>
      </c>
      <c r="N4000" s="2">
        <v>1.11185E7</v>
      </c>
      <c r="O4000" s="4">
        <f t="shared" si="6"/>
        <v>5498.7636</v>
      </c>
      <c r="P4000" s="2">
        <v>2.0</v>
      </c>
      <c r="Q4000" s="3">
        <f t="shared" si="7"/>
        <v>0.002421307506</v>
      </c>
      <c r="R4000" s="2">
        <v>826.0</v>
      </c>
      <c r="S4000" s="5">
        <f t="shared" si="8"/>
        <v>1</v>
      </c>
    </row>
    <row r="4001">
      <c r="A4001" s="2" t="s">
        <v>4005</v>
      </c>
      <c r="B4001" s="2">
        <v>243.0</v>
      </c>
      <c r="C4001" s="2">
        <v>2887.0</v>
      </c>
      <c r="D4001" s="2">
        <v>1010.0</v>
      </c>
      <c r="E4001" s="3">
        <f t="shared" si="1"/>
        <v>0.3819969743</v>
      </c>
      <c r="F4001" s="2">
        <v>339.0</v>
      </c>
      <c r="G4001" s="3">
        <f t="shared" si="2"/>
        <v>0.128214826</v>
      </c>
      <c r="H4001" s="2">
        <v>581.0</v>
      </c>
      <c r="I4001" s="3">
        <f t="shared" si="3"/>
        <v>0.2197428139</v>
      </c>
      <c r="J4001" s="2">
        <v>436.0</v>
      </c>
      <c r="K4001" s="3">
        <f t="shared" si="4"/>
        <v>0.1649016641</v>
      </c>
      <c r="L4001" s="2">
        <v>330.0</v>
      </c>
      <c r="M4001" s="3">
        <f t="shared" si="5"/>
        <v>0.5679862306</v>
      </c>
      <c r="N4001" s="2">
        <v>2958100.0</v>
      </c>
      <c r="O4001" s="4">
        <f t="shared" si="6"/>
        <v>5091.394148</v>
      </c>
      <c r="P4001" s="2">
        <v>0.0</v>
      </c>
      <c r="Q4001" s="3">
        <f t="shared" si="7"/>
        <v>0</v>
      </c>
      <c r="R4001" s="2">
        <v>0.0</v>
      </c>
      <c r="S4001" s="5">
        <f t="shared" si="8"/>
        <v>0</v>
      </c>
    </row>
    <row r="4002">
      <c r="A4002" s="2" t="s">
        <v>4006</v>
      </c>
      <c r="B4002" s="2">
        <v>1089.0</v>
      </c>
      <c r="C4002" s="2">
        <v>12664.0</v>
      </c>
      <c r="D4002" s="2">
        <v>3942.0</v>
      </c>
      <c r="E4002" s="3">
        <f t="shared" si="1"/>
        <v>0.3405615551</v>
      </c>
      <c r="F4002" s="2">
        <v>1484.0</v>
      </c>
      <c r="G4002" s="3">
        <f t="shared" si="2"/>
        <v>0.1282073434</v>
      </c>
      <c r="H4002" s="2">
        <v>2439.0</v>
      </c>
      <c r="I4002" s="3">
        <f t="shared" si="3"/>
        <v>0.210712743</v>
      </c>
      <c r="J4002" s="2">
        <v>2141.0</v>
      </c>
      <c r="K4002" s="3">
        <f t="shared" si="4"/>
        <v>0.1849676026</v>
      </c>
      <c r="L4002" s="2">
        <v>1422.0</v>
      </c>
      <c r="M4002" s="3">
        <f t="shared" si="5"/>
        <v>0.5830258303</v>
      </c>
      <c r="N4002" s="2">
        <v>1.46114E7</v>
      </c>
      <c r="O4002" s="4">
        <f t="shared" si="6"/>
        <v>5990.733907</v>
      </c>
      <c r="P4002" s="2">
        <v>2.0</v>
      </c>
      <c r="Q4002" s="3">
        <f t="shared" si="7"/>
        <v>0.001836547291</v>
      </c>
      <c r="R4002" s="2">
        <v>1089.0</v>
      </c>
      <c r="S4002" s="5">
        <f t="shared" si="8"/>
        <v>1</v>
      </c>
    </row>
    <row r="4003">
      <c r="A4003" s="2" t="s">
        <v>4007</v>
      </c>
      <c r="B4003" s="2">
        <v>19.0</v>
      </c>
      <c r="C4003" s="2">
        <v>214.0</v>
      </c>
      <c r="D4003" s="2">
        <v>79.0</v>
      </c>
      <c r="E4003" s="3">
        <f t="shared" si="1"/>
        <v>0.4051282051</v>
      </c>
      <c r="F4003" s="2">
        <v>25.0</v>
      </c>
      <c r="G4003" s="3">
        <f t="shared" si="2"/>
        <v>0.1282051282</v>
      </c>
      <c r="H4003" s="2">
        <v>41.0</v>
      </c>
      <c r="I4003" s="3">
        <f t="shared" si="3"/>
        <v>0.2102564103</v>
      </c>
      <c r="J4003" s="2">
        <v>41.0</v>
      </c>
      <c r="K4003" s="3">
        <f t="shared" si="4"/>
        <v>0.2102564103</v>
      </c>
      <c r="L4003" s="2">
        <v>23.0</v>
      </c>
      <c r="M4003" s="3">
        <f t="shared" si="5"/>
        <v>0.5609756098</v>
      </c>
      <c r="N4003" s="2">
        <v>263600.0</v>
      </c>
      <c r="O4003" s="4">
        <f t="shared" si="6"/>
        <v>6429.268293</v>
      </c>
      <c r="P4003" s="2">
        <v>0.0</v>
      </c>
      <c r="Q4003" s="3">
        <f t="shared" si="7"/>
        <v>0</v>
      </c>
      <c r="R4003" s="2">
        <v>19.0</v>
      </c>
      <c r="S4003" s="5">
        <f t="shared" si="8"/>
        <v>1</v>
      </c>
    </row>
    <row r="4004">
      <c r="A4004" s="2" t="s">
        <v>4008</v>
      </c>
      <c r="B4004" s="2">
        <v>17.0</v>
      </c>
      <c r="C4004" s="2">
        <v>212.0</v>
      </c>
      <c r="D4004" s="2">
        <v>46.0</v>
      </c>
      <c r="E4004" s="3">
        <f t="shared" si="1"/>
        <v>0.2358974359</v>
      </c>
      <c r="F4004" s="2">
        <v>25.0</v>
      </c>
      <c r="G4004" s="3">
        <f t="shared" si="2"/>
        <v>0.1282051282</v>
      </c>
      <c r="H4004" s="2">
        <v>29.0</v>
      </c>
      <c r="I4004" s="3">
        <f t="shared" si="3"/>
        <v>0.1487179487</v>
      </c>
      <c r="J4004" s="2">
        <v>36.0</v>
      </c>
      <c r="K4004" s="3">
        <f t="shared" si="4"/>
        <v>0.1846153846</v>
      </c>
      <c r="L4004" s="2">
        <v>15.0</v>
      </c>
      <c r="M4004" s="3">
        <f t="shared" si="5"/>
        <v>0.5172413793</v>
      </c>
      <c r="N4004" s="2">
        <v>143000.0</v>
      </c>
      <c r="O4004" s="4">
        <f t="shared" si="6"/>
        <v>4931.034483</v>
      </c>
      <c r="P4004" s="2">
        <v>0.0</v>
      </c>
      <c r="Q4004" s="3">
        <f t="shared" si="7"/>
        <v>0</v>
      </c>
      <c r="R4004" s="2">
        <v>17.0</v>
      </c>
      <c r="S4004" s="5">
        <f t="shared" si="8"/>
        <v>1</v>
      </c>
    </row>
    <row r="4005">
      <c r="A4005" s="2" t="s">
        <v>4009</v>
      </c>
      <c r="B4005" s="2">
        <v>3.0</v>
      </c>
      <c r="C4005" s="2">
        <v>42.0</v>
      </c>
      <c r="D4005" s="2">
        <v>14.0</v>
      </c>
      <c r="E4005" s="3">
        <f t="shared" si="1"/>
        <v>0.358974359</v>
      </c>
      <c r="F4005" s="2">
        <v>5.0</v>
      </c>
      <c r="G4005" s="3">
        <f t="shared" si="2"/>
        <v>0.1282051282</v>
      </c>
      <c r="H4005" s="2">
        <v>5.0</v>
      </c>
      <c r="I4005" s="3">
        <f t="shared" si="3"/>
        <v>0.1282051282</v>
      </c>
      <c r="J4005" s="2">
        <v>5.0</v>
      </c>
      <c r="K4005" s="3">
        <f t="shared" si="4"/>
        <v>0.1282051282</v>
      </c>
      <c r="L4005" s="2">
        <v>3.0</v>
      </c>
      <c r="M4005" s="3">
        <f t="shared" si="5"/>
        <v>0.6</v>
      </c>
      <c r="N4005" s="2">
        <v>35700.0</v>
      </c>
      <c r="O4005" s="4">
        <f t="shared" si="6"/>
        <v>7140</v>
      </c>
      <c r="P4005" s="2">
        <v>0.0</v>
      </c>
      <c r="Q4005" s="3">
        <f t="shared" si="7"/>
        <v>0</v>
      </c>
      <c r="R4005" s="2">
        <v>3.0</v>
      </c>
      <c r="S4005" s="5">
        <f t="shared" si="8"/>
        <v>1</v>
      </c>
    </row>
    <row r="4006">
      <c r="A4006" s="2" t="s">
        <v>4010</v>
      </c>
      <c r="B4006" s="2">
        <v>1503.0</v>
      </c>
      <c r="C4006" s="2">
        <v>17696.0</v>
      </c>
      <c r="D4006" s="2">
        <v>5099.0</v>
      </c>
      <c r="E4006" s="3">
        <f t="shared" si="1"/>
        <v>0.3148891496</v>
      </c>
      <c r="F4006" s="2">
        <v>2076.0</v>
      </c>
      <c r="G4006" s="3">
        <f t="shared" si="2"/>
        <v>0.1282035447</v>
      </c>
      <c r="H4006" s="2">
        <v>3476.0</v>
      </c>
      <c r="I4006" s="3">
        <f t="shared" si="3"/>
        <v>0.2146606558</v>
      </c>
      <c r="J4006" s="2">
        <v>2734.0</v>
      </c>
      <c r="K4006" s="3">
        <f t="shared" si="4"/>
        <v>0.168838387</v>
      </c>
      <c r="L4006" s="2">
        <v>2015.0</v>
      </c>
      <c r="M4006" s="3">
        <f t="shared" si="5"/>
        <v>0.579689298</v>
      </c>
      <c r="N4006" s="2">
        <v>2.02222E7</v>
      </c>
      <c r="O4006" s="4">
        <f t="shared" si="6"/>
        <v>5817.663982</v>
      </c>
      <c r="P4006" s="2">
        <v>7.0</v>
      </c>
      <c r="Q4006" s="3">
        <f t="shared" si="7"/>
        <v>0.004657351963</v>
      </c>
      <c r="R4006" s="2">
        <v>1493.0</v>
      </c>
      <c r="S4006" s="5">
        <f t="shared" si="8"/>
        <v>0.9933466401</v>
      </c>
    </row>
    <row r="4007">
      <c r="A4007" s="2" t="s">
        <v>4011</v>
      </c>
      <c r="B4007" s="2">
        <v>331.0</v>
      </c>
      <c r="C4007" s="2">
        <v>3849.0</v>
      </c>
      <c r="D4007" s="2">
        <v>1072.0</v>
      </c>
      <c r="E4007" s="3">
        <f t="shared" si="1"/>
        <v>0.3047185901</v>
      </c>
      <c r="F4007" s="2">
        <v>451.0</v>
      </c>
      <c r="G4007" s="3">
        <f t="shared" si="2"/>
        <v>0.1281978397</v>
      </c>
      <c r="H4007" s="2">
        <v>695.0</v>
      </c>
      <c r="I4007" s="3">
        <f t="shared" si="3"/>
        <v>0.1975554292</v>
      </c>
      <c r="J4007" s="2">
        <v>572.0</v>
      </c>
      <c r="K4007" s="3">
        <f t="shared" si="4"/>
        <v>0.162592382</v>
      </c>
      <c r="L4007" s="2">
        <v>419.0</v>
      </c>
      <c r="M4007" s="3">
        <f t="shared" si="5"/>
        <v>0.6028776978</v>
      </c>
      <c r="N4007" s="2">
        <v>3891000.0</v>
      </c>
      <c r="O4007" s="4">
        <f t="shared" si="6"/>
        <v>5598.561151</v>
      </c>
      <c r="P4007" s="2">
        <v>0.0</v>
      </c>
      <c r="Q4007" s="3">
        <f t="shared" si="7"/>
        <v>0</v>
      </c>
      <c r="R4007" s="2">
        <v>330.0</v>
      </c>
      <c r="S4007" s="5">
        <f t="shared" si="8"/>
        <v>0.996978852</v>
      </c>
    </row>
    <row r="4008">
      <c r="A4008" s="2" t="s">
        <v>4012</v>
      </c>
      <c r="B4008" s="2">
        <v>13567.0</v>
      </c>
      <c r="C4008" s="2">
        <v>159632.0</v>
      </c>
      <c r="D4008" s="2">
        <v>58549.0</v>
      </c>
      <c r="E4008" s="3">
        <f t="shared" si="1"/>
        <v>0.4008420908</v>
      </c>
      <c r="F4008" s="2">
        <v>18724.0</v>
      </c>
      <c r="G4008" s="3">
        <f t="shared" si="2"/>
        <v>0.1281895047</v>
      </c>
      <c r="H4008" s="2">
        <v>32437.0</v>
      </c>
      <c r="I4008" s="3">
        <f t="shared" si="3"/>
        <v>0.222072365</v>
      </c>
      <c r="J4008" s="2">
        <v>25086.0</v>
      </c>
      <c r="K4008" s="3">
        <f t="shared" si="4"/>
        <v>0.1717454558</v>
      </c>
      <c r="L4008" s="2">
        <v>19443.0</v>
      </c>
      <c r="M4008" s="3">
        <f t="shared" si="5"/>
        <v>0.5994080834</v>
      </c>
      <c r="N4008" s="2">
        <v>1.751029E8</v>
      </c>
      <c r="O4008" s="4">
        <f t="shared" si="6"/>
        <v>5398.24583</v>
      </c>
      <c r="P4008" s="2">
        <v>33.0</v>
      </c>
      <c r="Q4008" s="3">
        <f t="shared" si="7"/>
        <v>0.002432372669</v>
      </c>
      <c r="R4008" s="2">
        <v>13553.0</v>
      </c>
      <c r="S4008" s="5">
        <f t="shared" si="8"/>
        <v>0.9989680843</v>
      </c>
    </row>
    <row r="4009">
      <c r="A4009" s="2" t="s">
        <v>4013</v>
      </c>
      <c r="B4009" s="2">
        <v>2809.0</v>
      </c>
      <c r="C4009" s="2">
        <v>32868.0</v>
      </c>
      <c r="D4009" s="2">
        <v>10431.0</v>
      </c>
      <c r="E4009" s="3">
        <f t="shared" si="1"/>
        <v>0.3470175322</v>
      </c>
      <c r="F4009" s="2">
        <v>3853.0</v>
      </c>
      <c r="G4009" s="3">
        <f t="shared" si="2"/>
        <v>0.1281812436</v>
      </c>
      <c r="H4009" s="2">
        <v>6219.0</v>
      </c>
      <c r="I4009" s="3">
        <f t="shared" si="3"/>
        <v>0.2068931102</v>
      </c>
      <c r="J4009" s="2">
        <v>5342.0</v>
      </c>
      <c r="K4009" s="3">
        <f t="shared" si="4"/>
        <v>0.1777171563</v>
      </c>
      <c r="L4009" s="2">
        <v>3709.0</v>
      </c>
      <c r="M4009" s="3">
        <f t="shared" si="5"/>
        <v>0.5963981347</v>
      </c>
      <c r="N4009" s="2">
        <v>3.47761E7</v>
      </c>
      <c r="O4009" s="4">
        <f t="shared" si="6"/>
        <v>5591.911883</v>
      </c>
      <c r="P4009" s="2">
        <v>4.0</v>
      </c>
      <c r="Q4009" s="3">
        <f t="shared" si="7"/>
        <v>0.001423994304</v>
      </c>
      <c r="R4009" s="2">
        <v>2745.0</v>
      </c>
      <c r="S4009" s="5">
        <f t="shared" si="8"/>
        <v>0.9772160911</v>
      </c>
    </row>
    <row r="4010">
      <c r="A4010" s="2" t="s">
        <v>4014</v>
      </c>
      <c r="B4010" s="2">
        <v>763.0</v>
      </c>
      <c r="C4010" s="2">
        <v>9017.0</v>
      </c>
      <c r="D4010" s="2">
        <v>2481.0</v>
      </c>
      <c r="E4010" s="3">
        <f t="shared" si="1"/>
        <v>0.3005815362</v>
      </c>
      <c r="F4010" s="2">
        <v>1058.0</v>
      </c>
      <c r="G4010" s="3">
        <f t="shared" si="2"/>
        <v>0.1281802762</v>
      </c>
      <c r="H4010" s="2">
        <v>1701.0</v>
      </c>
      <c r="I4010" s="3">
        <f t="shared" si="3"/>
        <v>0.2060818997</v>
      </c>
      <c r="J4010" s="2">
        <v>1510.0</v>
      </c>
      <c r="K4010" s="3">
        <f t="shared" si="4"/>
        <v>0.1829416041</v>
      </c>
      <c r="L4010" s="2">
        <v>1028.0</v>
      </c>
      <c r="M4010" s="3">
        <f t="shared" si="5"/>
        <v>0.6043503821</v>
      </c>
      <c r="N4010" s="2">
        <v>9508700.0</v>
      </c>
      <c r="O4010" s="4">
        <f t="shared" si="6"/>
        <v>5590.064668</v>
      </c>
      <c r="P4010" s="2">
        <v>0.0</v>
      </c>
      <c r="Q4010" s="3">
        <f t="shared" si="7"/>
        <v>0</v>
      </c>
      <c r="R4010" s="2">
        <v>763.0</v>
      </c>
      <c r="S4010" s="5">
        <f t="shared" si="8"/>
        <v>1</v>
      </c>
    </row>
    <row r="4011">
      <c r="A4011" s="2" t="s">
        <v>4015</v>
      </c>
      <c r="B4011" s="2">
        <v>845.0</v>
      </c>
      <c r="C4011" s="2">
        <v>9965.0</v>
      </c>
      <c r="D4011" s="2">
        <v>2855.0</v>
      </c>
      <c r="E4011" s="3">
        <f t="shared" si="1"/>
        <v>0.3130482456</v>
      </c>
      <c r="F4011" s="2">
        <v>1169.0</v>
      </c>
      <c r="G4011" s="3">
        <f t="shared" si="2"/>
        <v>0.1281798246</v>
      </c>
      <c r="H4011" s="2">
        <v>1787.0</v>
      </c>
      <c r="I4011" s="3">
        <f t="shared" si="3"/>
        <v>0.1959429825</v>
      </c>
      <c r="J4011" s="2">
        <v>1696.0</v>
      </c>
      <c r="K4011" s="3">
        <f t="shared" si="4"/>
        <v>0.1859649123</v>
      </c>
      <c r="L4011" s="2">
        <v>1013.0</v>
      </c>
      <c r="M4011" s="3">
        <f t="shared" si="5"/>
        <v>0.5668718523</v>
      </c>
      <c r="N4011" s="2">
        <v>1.08857E7</v>
      </c>
      <c r="O4011" s="4">
        <f t="shared" si="6"/>
        <v>6091.606044</v>
      </c>
      <c r="P4011" s="2">
        <v>0.0</v>
      </c>
      <c r="Q4011" s="3">
        <f t="shared" si="7"/>
        <v>0</v>
      </c>
      <c r="R4011" s="2">
        <v>845.0</v>
      </c>
      <c r="S4011" s="5">
        <f t="shared" si="8"/>
        <v>1</v>
      </c>
    </row>
    <row r="4012">
      <c r="A4012" s="2" t="s">
        <v>4016</v>
      </c>
      <c r="B4012" s="2">
        <v>233.0</v>
      </c>
      <c r="C4012" s="2">
        <v>2831.0</v>
      </c>
      <c r="D4012" s="2">
        <v>900.0</v>
      </c>
      <c r="E4012" s="3">
        <f t="shared" si="1"/>
        <v>0.3464203233</v>
      </c>
      <c r="F4012" s="2">
        <v>333.0</v>
      </c>
      <c r="G4012" s="3">
        <f t="shared" si="2"/>
        <v>0.1281755196</v>
      </c>
      <c r="H4012" s="2">
        <v>521.0</v>
      </c>
      <c r="I4012" s="3">
        <f t="shared" si="3"/>
        <v>0.2005388761</v>
      </c>
      <c r="J4012" s="2">
        <v>433.0</v>
      </c>
      <c r="K4012" s="3">
        <f t="shared" si="4"/>
        <v>0.1666666667</v>
      </c>
      <c r="L4012" s="2">
        <v>317.0</v>
      </c>
      <c r="M4012" s="3">
        <f t="shared" si="5"/>
        <v>0.6084452975</v>
      </c>
      <c r="N4012" s="2">
        <v>2902500.0</v>
      </c>
      <c r="O4012" s="4">
        <f t="shared" si="6"/>
        <v>5571.017274</v>
      </c>
      <c r="P4012" s="2">
        <v>0.0</v>
      </c>
      <c r="Q4012" s="3">
        <f t="shared" si="7"/>
        <v>0</v>
      </c>
      <c r="R4012" s="2">
        <v>233.0</v>
      </c>
      <c r="S4012" s="5">
        <f t="shared" si="8"/>
        <v>1</v>
      </c>
    </row>
    <row r="4013">
      <c r="A4013" s="2" t="s">
        <v>4017</v>
      </c>
      <c r="B4013" s="2">
        <v>739.0</v>
      </c>
      <c r="C4013" s="2">
        <v>8635.0</v>
      </c>
      <c r="D4013" s="2">
        <v>3212.0</v>
      </c>
      <c r="E4013" s="3">
        <f t="shared" si="1"/>
        <v>0.4067882472</v>
      </c>
      <c r="F4013" s="2">
        <v>1012.0</v>
      </c>
      <c r="G4013" s="3">
        <f t="shared" si="2"/>
        <v>0.1281661601</v>
      </c>
      <c r="H4013" s="2">
        <v>1709.0</v>
      </c>
      <c r="I4013" s="3">
        <f t="shared" si="3"/>
        <v>0.2164387031</v>
      </c>
      <c r="J4013" s="2">
        <v>1385.0</v>
      </c>
      <c r="K4013" s="3">
        <f t="shared" si="4"/>
        <v>0.1754052685</v>
      </c>
      <c r="L4013" s="2">
        <v>998.0</v>
      </c>
      <c r="M4013" s="3">
        <f t="shared" si="5"/>
        <v>0.5839672323</v>
      </c>
      <c r="N4013" s="2">
        <v>9882400.0</v>
      </c>
      <c r="O4013" s="4">
        <f t="shared" si="6"/>
        <v>5782.562902</v>
      </c>
      <c r="P4013" s="2">
        <v>1.0</v>
      </c>
      <c r="Q4013" s="3">
        <f t="shared" si="7"/>
        <v>0.001353179973</v>
      </c>
      <c r="R4013" s="2">
        <v>0.0</v>
      </c>
      <c r="S4013" s="5">
        <f t="shared" si="8"/>
        <v>0</v>
      </c>
    </row>
    <row r="4014">
      <c r="A4014" s="2" t="s">
        <v>4018</v>
      </c>
      <c r="B4014" s="2">
        <v>180.0</v>
      </c>
      <c r="C4014" s="2">
        <v>2115.0</v>
      </c>
      <c r="D4014" s="2">
        <v>575.0</v>
      </c>
      <c r="E4014" s="3">
        <f t="shared" si="1"/>
        <v>0.2971576227</v>
      </c>
      <c r="F4014" s="2">
        <v>248.0</v>
      </c>
      <c r="G4014" s="3">
        <f t="shared" si="2"/>
        <v>0.1281653747</v>
      </c>
      <c r="H4014" s="2">
        <v>371.0</v>
      </c>
      <c r="I4014" s="3">
        <f t="shared" si="3"/>
        <v>0.1917312661</v>
      </c>
      <c r="J4014" s="2">
        <v>269.0</v>
      </c>
      <c r="K4014" s="3">
        <f t="shared" si="4"/>
        <v>0.1390180879</v>
      </c>
      <c r="L4014" s="2">
        <v>214.0</v>
      </c>
      <c r="M4014" s="3">
        <f t="shared" si="5"/>
        <v>0.576819407</v>
      </c>
      <c r="N4014" s="2">
        <v>2013700.0</v>
      </c>
      <c r="O4014" s="4">
        <f t="shared" si="6"/>
        <v>5427.762803</v>
      </c>
      <c r="P4014" s="2">
        <v>0.0</v>
      </c>
      <c r="Q4014" s="3">
        <f t="shared" si="7"/>
        <v>0</v>
      </c>
      <c r="R4014" s="2">
        <v>180.0</v>
      </c>
      <c r="S4014" s="5">
        <f t="shared" si="8"/>
        <v>1</v>
      </c>
    </row>
    <row r="4015">
      <c r="A4015" s="2" t="s">
        <v>4019</v>
      </c>
      <c r="B4015" s="2">
        <v>2160.0</v>
      </c>
      <c r="C4015" s="2">
        <v>25115.0</v>
      </c>
      <c r="D4015" s="2">
        <v>7615.0</v>
      </c>
      <c r="E4015" s="3">
        <f t="shared" si="1"/>
        <v>0.3317360052</v>
      </c>
      <c r="F4015" s="2">
        <v>2942.0</v>
      </c>
      <c r="G4015" s="3">
        <f t="shared" si="2"/>
        <v>0.1281637987</v>
      </c>
      <c r="H4015" s="2">
        <v>4833.0</v>
      </c>
      <c r="I4015" s="3">
        <f t="shared" si="3"/>
        <v>0.2105423655</v>
      </c>
      <c r="J4015" s="2">
        <v>4626.0</v>
      </c>
      <c r="K4015" s="3">
        <f t="shared" si="4"/>
        <v>0.2015247223</v>
      </c>
      <c r="L4015" s="2">
        <v>2855.0</v>
      </c>
      <c r="M4015" s="3">
        <f t="shared" si="5"/>
        <v>0.5907303952</v>
      </c>
      <c r="N4015" s="2">
        <v>2.82555E7</v>
      </c>
      <c r="O4015" s="4">
        <f t="shared" si="6"/>
        <v>5846.368715</v>
      </c>
      <c r="P4015" s="2">
        <v>3.0</v>
      </c>
      <c r="Q4015" s="3">
        <f t="shared" si="7"/>
        <v>0.001388888889</v>
      </c>
      <c r="R4015" s="2">
        <v>1994.0</v>
      </c>
      <c r="S4015" s="5">
        <f t="shared" si="8"/>
        <v>0.9231481481</v>
      </c>
    </row>
    <row r="4016">
      <c r="A4016" s="2" t="s">
        <v>4020</v>
      </c>
      <c r="B4016" s="2">
        <v>1961.0</v>
      </c>
      <c r="C4016" s="2">
        <v>23122.0</v>
      </c>
      <c r="D4016" s="2">
        <v>6193.0</v>
      </c>
      <c r="E4016" s="3">
        <f t="shared" si="1"/>
        <v>0.2926610274</v>
      </c>
      <c r="F4016" s="2">
        <v>2712.0</v>
      </c>
      <c r="G4016" s="3">
        <f t="shared" si="2"/>
        <v>0.1281602949</v>
      </c>
      <c r="H4016" s="2">
        <v>4595.0</v>
      </c>
      <c r="I4016" s="3">
        <f t="shared" si="3"/>
        <v>0.2171447474</v>
      </c>
      <c r="J4016" s="2">
        <v>3732.0</v>
      </c>
      <c r="K4016" s="3">
        <f t="shared" si="4"/>
        <v>0.1763621757</v>
      </c>
      <c r="L4016" s="2">
        <v>2696.0</v>
      </c>
      <c r="M4016" s="3">
        <f t="shared" si="5"/>
        <v>0.5867247008</v>
      </c>
      <c r="N4016" s="2">
        <v>2.62182E7</v>
      </c>
      <c r="O4016" s="4">
        <f t="shared" si="6"/>
        <v>5705.810664</v>
      </c>
      <c r="P4016" s="2">
        <v>4.0</v>
      </c>
      <c r="Q4016" s="3">
        <f t="shared" si="7"/>
        <v>0.002039775625</v>
      </c>
      <c r="R4016" s="2">
        <v>1961.0</v>
      </c>
      <c r="S4016" s="5">
        <f t="shared" si="8"/>
        <v>1</v>
      </c>
    </row>
    <row r="4017">
      <c r="A4017" s="2" t="s">
        <v>4021</v>
      </c>
      <c r="B4017" s="2">
        <v>175.0</v>
      </c>
      <c r="C4017" s="2">
        <v>2040.0</v>
      </c>
      <c r="D4017" s="2">
        <v>750.0</v>
      </c>
      <c r="E4017" s="3">
        <f t="shared" si="1"/>
        <v>0.4021447721</v>
      </c>
      <c r="F4017" s="2">
        <v>239.0</v>
      </c>
      <c r="G4017" s="3">
        <f t="shared" si="2"/>
        <v>0.128150134</v>
      </c>
      <c r="H4017" s="2">
        <v>441.0</v>
      </c>
      <c r="I4017" s="3">
        <f t="shared" si="3"/>
        <v>0.236461126</v>
      </c>
      <c r="J4017" s="2">
        <v>314.0</v>
      </c>
      <c r="K4017" s="3">
        <f t="shared" si="4"/>
        <v>0.1683646113</v>
      </c>
      <c r="L4017" s="2">
        <v>241.0</v>
      </c>
      <c r="M4017" s="3">
        <f t="shared" si="5"/>
        <v>0.5464852608</v>
      </c>
      <c r="N4017" s="2">
        <v>2513200.0</v>
      </c>
      <c r="O4017" s="4">
        <f t="shared" si="6"/>
        <v>5698.866213</v>
      </c>
      <c r="P4017" s="2">
        <v>0.0</v>
      </c>
      <c r="Q4017" s="3">
        <f t="shared" si="7"/>
        <v>0</v>
      </c>
      <c r="R4017" s="2">
        <v>175.0</v>
      </c>
      <c r="S4017" s="5">
        <f t="shared" si="8"/>
        <v>1</v>
      </c>
    </row>
    <row r="4018">
      <c r="A4018" s="2" t="s">
        <v>4022</v>
      </c>
      <c r="B4018" s="2">
        <v>1121.0</v>
      </c>
      <c r="C4018" s="2">
        <v>13224.0</v>
      </c>
      <c r="D4018" s="2">
        <v>4455.0</v>
      </c>
      <c r="E4018" s="3">
        <f t="shared" si="1"/>
        <v>0.3680905561</v>
      </c>
      <c r="F4018" s="2">
        <v>1551.0</v>
      </c>
      <c r="G4018" s="3">
        <f t="shared" si="2"/>
        <v>0.1281500454</v>
      </c>
      <c r="H4018" s="2">
        <v>2593.0</v>
      </c>
      <c r="I4018" s="3">
        <f t="shared" si="3"/>
        <v>0.2142444022</v>
      </c>
      <c r="J4018" s="2">
        <v>2114.0</v>
      </c>
      <c r="K4018" s="3">
        <f t="shared" si="4"/>
        <v>0.1746674378</v>
      </c>
      <c r="L4018" s="2">
        <v>1587.0</v>
      </c>
      <c r="M4018" s="3">
        <f t="shared" si="5"/>
        <v>0.6120323949</v>
      </c>
      <c r="N4018" s="2">
        <v>1.4527E7</v>
      </c>
      <c r="O4018" s="4">
        <f t="shared" si="6"/>
        <v>5602.391053</v>
      </c>
      <c r="P4018" s="2">
        <v>4.0</v>
      </c>
      <c r="Q4018" s="3">
        <f t="shared" si="7"/>
        <v>0.00356824264</v>
      </c>
      <c r="R4018" s="2">
        <v>624.0</v>
      </c>
      <c r="S4018" s="5">
        <f t="shared" si="8"/>
        <v>0.5566458519</v>
      </c>
    </row>
    <row r="4019">
      <c r="A4019" s="2" t="s">
        <v>4023</v>
      </c>
      <c r="B4019" s="2">
        <v>430.0</v>
      </c>
      <c r="C4019" s="2">
        <v>4956.0</v>
      </c>
      <c r="D4019" s="2">
        <v>1052.0</v>
      </c>
      <c r="E4019" s="3">
        <f t="shared" si="1"/>
        <v>0.232434821</v>
      </c>
      <c r="F4019" s="2">
        <v>580.0</v>
      </c>
      <c r="G4019" s="3">
        <f t="shared" si="2"/>
        <v>0.1281484755</v>
      </c>
      <c r="H4019" s="2">
        <v>891.0</v>
      </c>
      <c r="I4019" s="3">
        <f t="shared" si="3"/>
        <v>0.1968625718</v>
      </c>
      <c r="J4019" s="2">
        <v>799.0</v>
      </c>
      <c r="K4019" s="3">
        <f t="shared" si="4"/>
        <v>0.1765355722</v>
      </c>
      <c r="L4019" s="2">
        <v>533.0</v>
      </c>
      <c r="M4019" s="3">
        <f t="shared" si="5"/>
        <v>0.5982042649</v>
      </c>
      <c r="N4019" s="2">
        <v>5753500.0</v>
      </c>
      <c r="O4019" s="4">
        <f t="shared" si="6"/>
        <v>6457.351291</v>
      </c>
      <c r="P4019" s="2">
        <v>1.0</v>
      </c>
      <c r="Q4019" s="3">
        <f t="shared" si="7"/>
        <v>0.002325581395</v>
      </c>
      <c r="R4019" s="2">
        <v>0.0</v>
      </c>
      <c r="S4019" s="5">
        <f t="shared" si="8"/>
        <v>0</v>
      </c>
    </row>
    <row r="4020">
      <c r="A4020" s="2" t="s">
        <v>4024</v>
      </c>
      <c r="B4020" s="2">
        <v>34.0</v>
      </c>
      <c r="C4020" s="2">
        <v>432.0</v>
      </c>
      <c r="D4020" s="2">
        <v>125.0</v>
      </c>
      <c r="E4020" s="3">
        <f t="shared" si="1"/>
        <v>0.3140703518</v>
      </c>
      <c r="F4020" s="2">
        <v>51.0</v>
      </c>
      <c r="G4020" s="3">
        <f t="shared" si="2"/>
        <v>0.1281407035</v>
      </c>
      <c r="H4020" s="2">
        <v>78.0</v>
      </c>
      <c r="I4020" s="3">
        <f t="shared" si="3"/>
        <v>0.1959798995</v>
      </c>
      <c r="J4020" s="2">
        <v>54.0</v>
      </c>
      <c r="K4020" s="3">
        <f t="shared" si="4"/>
        <v>0.135678392</v>
      </c>
      <c r="L4020" s="2">
        <v>55.0</v>
      </c>
      <c r="M4020" s="3">
        <f t="shared" si="5"/>
        <v>0.7051282051</v>
      </c>
      <c r="N4020" s="2">
        <v>430100.0</v>
      </c>
      <c r="O4020" s="4">
        <f t="shared" si="6"/>
        <v>5514.102564</v>
      </c>
      <c r="P4020" s="2">
        <v>0.0</v>
      </c>
      <c r="Q4020" s="3">
        <f t="shared" si="7"/>
        <v>0</v>
      </c>
      <c r="R4020" s="2">
        <v>34.0</v>
      </c>
      <c r="S4020" s="5">
        <f t="shared" si="8"/>
        <v>1</v>
      </c>
    </row>
    <row r="4021">
      <c r="A4021" s="2" t="s">
        <v>4025</v>
      </c>
      <c r="B4021" s="2">
        <v>1732.0</v>
      </c>
      <c r="C4021" s="2">
        <v>20204.0</v>
      </c>
      <c r="D4021" s="2">
        <v>6984.0</v>
      </c>
      <c r="E4021" s="3">
        <f t="shared" si="1"/>
        <v>0.3780857514</v>
      </c>
      <c r="F4021" s="2">
        <v>2367.0</v>
      </c>
      <c r="G4021" s="3">
        <f t="shared" si="2"/>
        <v>0.1281398874</v>
      </c>
      <c r="H4021" s="2">
        <v>3914.0</v>
      </c>
      <c r="I4021" s="3">
        <f t="shared" si="3"/>
        <v>0.2118882633</v>
      </c>
      <c r="J4021" s="2">
        <v>3248.0</v>
      </c>
      <c r="K4021" s="3">
        <f t="shared" si="4"/>
        <v>0.1758336942</v>
      </c>
      <c r="L4021" s="2">
        <v>2353.0</v>
      </c>
      <c r="M4021" s="3">
        <f t="shared" si="5"/>
        <v>0.6011752683</v>
      </c>
      <c r="N4021" s="2">
        <v>2.20876E7</v>
      </c>
      <c r="O4021" s="4">
        <f t="shared" si="6"/>
        <v>5643.229433</v>
      </c>
      <c r="P4021" s="2">
        <v>2.0</v>
      </c>
      <c r="Q4021" s="3">
        <f t="shared" si="7"/>
        <v>0.001154734411</v>
      </c>
      <c r="R4021" s="2">
        <v>1732.0</v>
      </c>
      <c r="S4021" s="5">
        <f t="shared" si="8"/>
        <v>1</v>
      </c>
    </row>
    <row r="4022">
      <c r="A4022" s="2" t="s">
        <v>4026</v>
      </c>
      <c r="B4022" s="2">
        <v>3058.0</v>
      </c>
      <c r="C4022" s="2">
        <v>35788.0</v>
      </c>
      <c r="D4022" s="2">
        <v>12070.0</v>
      </c>
      <c r="E4022" s="3">
        <f t="shared" si="1"/>
        <v>0.3687748243</v>
      </c>
      <c r="F4022" s="2">
        <v>4194.0</v>
      </c>
      <c r="G4022" s="3">
        <f t="shared" si="2"/>
        <v>0.1281393217</v>
      </c>
      <c r="H4022" s="2">
        <v>7089.0</v>
      </c>
      <c r="I4022" s="3">
        <f t="shared" si="3"/>
        <v>0.2165902841</v>
      </c>
      <c r="J4022" s="2">
        <v>5914.0</v>
      </c>
      <c r="K4022" s="3">
        <f t="shared" si="4"/>
        <v>0.180690498</v>
      </c>
      <c r="L4022" s="2">
        <v>4236.0</v>
      </c>
      <c r="M4022" s="3">
        <f t="shared" si="5"/>
        <v>0.597545493</v>
      </c>
      <c r="N4022" s="2">
        <v>3.85422E7</v>
      </c>
      <c r="O4022" s="4">
        <f t="shared" si="6"/>
        <v>5436.902243</v>
      </c>
      <c r="P4022" s="2">
        <v>7.0</v>
      </c>
      <c r="Q4022" s="3">
        <f t="shared" si="7"/>
        <v>0.002289077829</v>
      </c>
      <c r="R4022" s="2">
        <v>3058.0</v>
      </c>
      <c r="S4022" s="5">
        <f t="shared" si="8"/>
        <v>1</v>
      </c>
    </row>
    <row r="4023">
      <c r="A4023" s="2" t="s">
        <v>4027</v>
      </c>
      <c r="B4023" s="2">
        <v>32.0</v>
      </c>
      <c r="C4023" s="2">
        <v>391.0</v>
      </c>
      <c r="D4023" s="2">
        <v>113.0</v>
      </c>
      <c r="E4023" s="3">
        <f t="shared" si="1"/>
        <v>0.3147632312</v>
      </c>
      <c r="F4023" s="2">
        <v>46.0</v>
      </c>
      <c r="G4023" s="3">
        <f t="shared" si="2"/>
        <v>0.1281337047</v>
      </c>
      <c r="H4023" s="2">
        <v>69.0</v>
      </c>
      <c r="I4023" s="3">
        <f t="shared" si="3"/>
        <v>0.1922005571</v>
      </c>
      <c r="J4023" s="2">
        <v>63.0</v>
      </c>
      <c r="K4023" s="3">
        <f t="shared" si="4"/>
        <v>0.1754874652</v>
      </c>
      <c r="L4023" s="2">
        <v>39.0</v>
      </c>
      <c r="M4023" s="3">
        <f t="shared" si="5"/>
        <v>0.5652173913</v>
      </c>
      <c r="N4023" s="2">
        <v>413000.0</v>
      </c>
      <c r="O4023" s="4">
        <f t="shared" si="6"/>
        <v>5985.507246</v>
      </c>
      <c r="P4023" s="2">
        <v>0.0</v>
      </c>
      <c r="Q4023" s="3">
        <f t="shared" si="7"/>
        <v>0</v>
      </c>
      <c r="R4023" s="2">
        <v>32.0</v>
      </c>
      <c r="S4023" s="5">
        <f t="shared" si="8"/>
        <v>1</v>
      </c>
    </row>
    <row r="4024">
      <c r="A4024" s="2" t="s">
        <v>4028</v>
      </c>
      <c r="B4024" s="2">
        <v>799.0</v>
      </c>
      <c r="C4024" s="2">
        <v>9415.0</v>
      </c>
      <c r="D4024" s="2">
        <v>2830.0</v>
      </c>
      <c r="E4024" s="3">
        <f t="shared" si="1"/>
        <v>0.3284586815</v>
      </c>
      <c r="F4024" s="2">
        <v>1104.0</v>
      </c>
      <c r="G4024" s="3">
        <f t="shared" si="2"/>
        <v>0.1281337047</v>
      </c>
      <c r="H4024" s="2">
        <v>1693.0</v>
      </c>
      <c r="I4024" s="3">
        <f t="shared" si="3"/>
        <v>0.1964948932</v>
      </c>
      <c r="J4024" s="2">
        <v>1425.0</v>
      </c>
      <c r="K4024" s="3">
        <f t="shared" si="4"/>
        <v>0.1653899721</v>
      </c>
      <c r="L4024" s="2">
        <v>1034.0</v>
      </c>
      <c r="M4024" s="3">
        <f t="shared" si="5"/>
        <v>0.6107501477</v>
      </c>
      <c r="N4024" s="2">
        <v>9662700.0</v>
      </c>
      <c r="O4024" s="4">
        <f t="shared" si="6"/>
        <v>5707.44241</v>
      </c>
      <c r="P4024" s="2">
        <v>4.0</v>
      </c>
      <c r="Q4024" s="3">
        <f t="shared" si="7"/>
        <v>0.005006257822</v>
      </c>
      <c r="R4024" s="2">
        <v>799.0</v>
      </c>
      <c r="S4024" s="5">
        <f t="shared" si="8"/>
        <v>1</v>
      </c>
    </row>
    <row r="4025">
      <c r="A4025" s="2" t="s">
        <v>4029</v>
      </c>
      <c r="B4025" s="2">
        <v>785.0</v>
      </c>
      <c r="C4025" s="2">
        <v>9245.0</v>
      </c>
      <c r="D4025" s="2">
        <v>2018.0</v>
      </c>
      <c r="E4025" s="3">
        <f t="shared" si="1"/>
        <v>0.238534279</v>
      </c>
      <c r="F4025" s="2">
        <v>1084.0</v>
      </c>
      <c r="G4025" s="3">
        <f t="shared" si="2"/>
        <v>0.1281323877</v>
      </c>
      <c r="H4025" s="2">
        <v>1637.0</v>
      </c>
      <c r="I4025" s="3">
        <f t="shared" si="3"/>
        <v>0.193498818</v>
      </c>
      <c r="J4025" s="2">
        <v>1245.0</v>
      </c>
      <c r="K4025" s="3">
        <f t="shared" si="4"/>
        <v>0.1471631206</v>
      </c>
      <c r="L4025" s="2">
        <v>1018.0</v>
      </c>
      <c r="M4025" s="3">
        <f t="shared" si="5"/>
        <v>0.6218692731</v>
      </c>
      <c r="N4025" s="2">
        <v>9866700.0</v>
      </c>
      <c r="O4025" s="4">
        <f t="shared" si="6"/>
        <v>6027.306048</v>
      </c>
      <c r="P4025" s="2">
        <v>1.0</v>
      </c>
      <c r="Q4025" s="3">
        <f t="shared" si="7"/>
        <v>0.00127388535</v>
      </c>
      <c r="R4025" s="2">
        <v>785.0</v>
      </c>
      <c r="S4025" s="5">
        <f t="shared" si="8"/>
        <v>1</v>
      </c>
    </row>
    <row r="4026">
      <c r="A4026" s="2" t="s">
        <v>4030</v>
      </c>
      <c r="B4026" s="2">
        <v>56.0</v>
      </c>
      <c r="C4026" s="2">
        <v>657.0</v>
      </c>
      <c r="D4026" s="2">
        <v>288.0</v>
      </c>
      <c r="E4026" s="3">
        <f t="shared" si="1"/>
        <v>0.4792013311</v>
      </c>
      <c r="F4026" s="2">
        <v>77.0</v>
      </c>
      <c r="G4026" s="3">
        <f t="shared" si="2"/>
        <v>0.1281198003</v>
      </c>
      <c r="H4026" s="2">
        <v>128.0</v>
      </c>
      <c r="I4026" s="3">
        <f t="shared" si="3"/>
        <v>0.2129783694</v>
      </c>
      <c r="J4026" s="2">
        <v>96.0</v>
      </c>
      <c r="K4026" s="3">
        <f t="shared" si="4"/>
        <v>0.159733777</v>
      </c>
      <c r="L4026" s="2">
        <v>80.0</v>
      </c>
      <c r="M4026" s="3">
        <f t="shared" si="5"/>
        <v>0.625</v>
      </c>
      <c r="N4026" s="2">
        <v>594500.0</v>
      </c>
      <c r="O4026" s="4">
        <f t="shared" si="6"/>
        <v>4644.53125</v>
      </c>
      <c r="P4026" s="2">
        <v>0.0</v>
      </c>
      <c r="Q4026" s="3">
        <f t="shared" si="7"/>
        <v>0</v>
      </c>
      <c r="R4026" s="2">
        <v>56.0</v>
      </c>
      <c r="S4026" s="5">
        <f t="shared" si="8"/>
        <v>1</v>
      </c>
    </row>
    <row r="4027">
      <c r="A4027" s="2" t="s">
        <v>4031</v>
      </c>
      <c r="B4027" s="2">
        <v>357.0</v>
      </c>
      <c r="C4027" s="2">
        <v>4166.0</v>
      </c>
      <c r="D4027" s="2">
        <v>1435.0</v>
      </c>
      <c r="E4027" s="3">
        <f t="shared" si="1"/>
        <v>0.3767393017</v>
      </c>
      <c r="F4027" s="2">
        <v>488.0</v>
      </c>
      <c r="G4027" s="3">
        <f t="shared" si="2"/>
        <v>0.1281176162</v>
      </c>
      <c r="H4027" s="2">
        <v>826.0</v>
      </c>
      <c r="I4027" s="3">
        <f t="shared" si="3"/>
        <v>0.2168548175</v>
      </c>
      <c r="J4027" s="2">
        <v>595.0</v>
      </c>
      <c r="K4027" s="3">
        <f t="shared" si="4"/>
        <v>0.1562089787</v>
      </c>
      <c r="L4027" s="2">
        <v>497.0</v>
      </c>
      <c r="M4027" s="3">
        <f t="shared" si="5"/>
        <v>0.6016949153</v>
      </c>
      <c r="N4027" s="2">
        <v>4410900.0</v>
      </c>
      <c r="O4027" s="4">
        <f t="shared" si="6"/>
        <v>5340.072639</v>
      </c>
      <c r="P4027" s="2">
        <v>0.0</v>
      </c>
      <c r="Q4027" s="3">
        <f t="shared" si="7"/>
        <v>0</v>
      </c>
      <c r="R4027" s="2">
        <v>99.0</v>
      </c>
      <c r="S4027" s="5">
        <f t="shared" si="8"/>
        <v>0.2773109244</v>
      </c>
    </row>
    <row r="4028">
      <c r="A4028" s="2" t="s">
        <v>4032</v>
      </c>
      <c r="B4028" s="2">
        <v>137.0</v>
      </c>
      <c r="C4028" s="2">
        <v>1542.0</v>
      </c>
      <c r="D4028" s="2">
        <v>484.0</v>
      </c>
      <c r="E4028" s="3">
        <f t="shared" si="1"/>
        <v>0.3444839858</v>
      </c>
      <c r="F4028" s="2">
        <v>180.0</v>
      </c>
      <c r="G4028" s="3">
        <f t="shared" si="2"/>
        <v>0.128113879</v>
      </c>
      <c r="H4028" s="2">
        <v>285.0</v>
      </c>
      <c r="I4028" s="3">
        <f t="shared" si="3"/>
        <v>0.2028469751</v>
      </c>
      <c r="J4028" s="2">
        <v>219.0</v>
      </c>
      <c r="K4028" s="3">
        <f t="shared" si="4"/>
        <v>0.1558718861</v>
      </c>
      <c r="L4028" s="2">
        <v>173.0</v>
      </c>
      <c r="M4028" s="3">
        <f t="shared" si="5"/>
        <v>0.6070175439</v>
      </c>
      <c r="N4028" s="2">
        <v>1699700.0</v>
      </c>
      <c r="O4028" s="4">
        <f t="shared" si="6"/>
        <v>5963.859649</v>
      </c>
      <c r="P4028" s="2">
        <v>0.0</v>
      </c>
      <c r="Q4028" s="3">
        <f t="shared" si="7"/>
        <v>0</v>
      </c>
      <c r="R4028" s="2">
        <v>137.0</v>
      </c>
      <c r="S4028" s="5">
        <f t="shared" si="8"/>
        <v>1</v>
      </c>
    </row>
    <row r="4029">
      <c r="A4029" s="2" t="s">
        <v>4033</v>
      </c>
      <c r="B4029" s="2">
        <v>78.0</v>
      </c>
      <c r="C4029" s="2">
        <v>882.0</v>
      </c>
      <c r="D4029" s="2">
        <v>274.0</v>
      </c>
      <c r="E4029" s="3">
        <f t="shared" si="1"/>
        <v>0.3407960199</v>
      </c>
      <c r="F4029" s="2">
        <v>103.0</v>
      </c>
      <c r="G4029" s="3">
        <f t="shared" si="2"/>
        <v>0.1281094527</v>
      </c>
      <c r="H4029" s="2">
        <v>160.0</v>
      </c>
      <c r="I4029" s="3">
        <f t="shared" si="3"/>
        <v>0.1990049751</v>
      </c>
      <c r="J4029" s="2">
        <v>151.0</v>
      </c>
      <c r="K4029" s="3">
        <f t="shared" si="4"/>
        <v>0.1878109453</v>
      </c>
      <c r="L4029" s="2">
        <v>96.0</v>
      </c>
      <c r="M4029" s="3">
        <f t="shared" si="5"/>
        <v>0.6</v>
      </c>
      <c r="N4029" s="2">
        <v>872900.0</v>
      </c>
      <c r="O4029" s="4">
        <f t="shared" si="6"/>
        <v>5455.625</v>
      </c>
      <c r="P4029" s="2">
        <v>0.0</v>
      </c>
      <c r="Q4029" s="3">
        <f t="shared" si="7"/>
        <v>0</v>
      </c>
      <c r="R4029" s="2">
        <v>0.0</v>
      </c>
      <c r="S4029" s="5">
        <f t="shared" si="8"/>
        <v>0</v>
      </c>
    </row>
    <row r="4030">
      <c r="A4030" s="2" t="s">
        <v>4034</v>
      </c>
      <c r="B4030" s="2">
        <v>1245.0</v>
      </c>
      <c r="C4030" s="2">
        <v>14718.0</v>
      </c>
      <c r="D4030" s="2">
        <v>4259.0</v>
      </c>
      <c r="E4030" s="3">
        <f t="shared" si="1"/>
        <v>0.3161137089</v>
      </c>
      <c r="F4030" s="2">
        <v>1726.0</v>
      </c>
      <c r="G4030" s="3">
        <f t="shared" si="2"/>
        <v>0.128108068</v>
      </c>
      <c r="H4030" s="2">
        <v>2680.0</v>
      </c>
      <c r="I4030" s="3">
        <f t="shared" si="3"/>
        <v>0.1989163512</v>
      </c>
      <c r="J4030" s="2">
        <v>2136.0</v>
      </c>
      <c r="K4030" s="3">
        <f t="shared" si="4"/>
        <v>0.1585393008</v>
      </c>
      <c r="L4030" s="2">
        <v>1556.0</v>
      </c>
      <c r="M4030" s="3">
        <f t="shared" si="5"/>
        <v>0.5805970149</v>
      </c>
      <c r="N4030" s="2">
        <v>1.5971E7</v>
      </c>
      <c r="O4030" s="4">
        <f t="shared" si="6"/>
        <v>5959.328358</v>
      </c>
      <c r="P4030" s="2">
        <v>6.0</v>
      </c>
      <c r="Q4030" s="3">
        <f t="shared" si="7"/>
        <v>0.004819277108</v>
      </c>
      <c r="R4030" s="2">
        <v>1245.0</v>
      </c>
      <c r="S4030" s="5">
        <f t="shared" si="8"/>
        <v>1</v>
      </c>
    </row>
    <row r="4031">
      <c r="A4031" s="2" t="s">
        <v>4035</v>
      </c>
      <c r="B4031" s="2">
        <v>1043.0</v>
      </c>
      <c r="C4031" s="2">
        <v>12112.0</v>
      </c>
      <c r="D4031" s="2">
        <v>3333.0</v>
      </c>
      <c r="E4031" s="3">
        <f t="shared" si="1"/>
        <v>0.3011112115</v>
      </c>
      <c r="F4031" s="2">
        <v>1418.0</v>
      </c>
      <c r="G4031" s="3">
        <f t="shared" si="2"/>
        <v>0.1281055199</v>
      </c>
      <c r="H4031" s="2">
        <v>2206.0</v>
      </c>
      <c r="I4031" s="3">
        <f t="shared" si="3"/>
        <v>0.1992953293</v>
      </c>
      <c r="J4031" s="2">
        <v>2239.0</v>
      </c>
      <c r="K4031" s="3">
        <f t="shared" si="4"/>
        <v>0.2022766284</v>
      </c>
      <c r="L4031" s="2">
        <v>1272.0</v>
      </c>
      <c r="M4031" s="3">
        <f t="shared" si="5"/>
        <v>0.5766092475</v>
      </c>
      <c r="N4031" s="2">
        <v>1.34997E7</v>
      </c>
      <c r="O4031" s="4">
        <f t="shared" si="6"/>
        <v>6119.537625</v>
      </c>
      <c r="P4031" s="2">
        <v>1.0</v>
      </c>
      <c r="Q4031" s="3">
        <f t="shared" si="7"/>
        <v>0.0009587727709</v>
      </c>
      <c r="R4031" s="2">
        <v>1043.0</v>
      </c>
      <c r="S4031" s="5">
        <f t="shared" si="8"/>
        <v>1</v>
      </c>
    </row>
    <row r="4032">
      <c r="A4032" s="2" t="s">
        <v>4036</v>
      </c>
      <c r="B4032" s="2">
        <v>165.0</v>
      </c>
      <c r="C4032" s="2">
        <v>1937.0</v>
      </c>
      <c r="D4032" s="2">
        <v>497.0</v>
      </c>
      <c r="E4032" s="3">
        <f t="shared" si="1"/>
        <v>0.2804740406</v>
      </c>
      <c r="F4032" s="2">
        <v>227.0</v>
      </c>
      <c r="G4032" s="3">
        <f t="shared" si="2"/>
        <v>0.1281038375</v>
      </c>
      <c r="H4032" s="2">
        <v>348.0</v>
      </c>
      <c r="I4032" s="3">
        <f t="shared" si="3"/>
        <v>0.1963882619</v>
      </c>
      <c r="J4032" s="2">
        <v>254.0</v>
      </c>
      <c r="K4032" s="3">
        <f t="shared" si="4"/>
        <v>0.1433408578</v>
      </c>
      <c r="L4032" s="2">
        <v>222.0</v>
      </c>
      <c r="M4032" s="3">
        <f t="shared" si="5"/>
        <v>0.6379310345</v>
      </c>
      <c r="N4032" s="2">
        <v>1899400.0</v>
      </c>
      <c r="O4032" s="4">
        <f t="shared" si="6"/>
        <v>5458.045977</v>
      </c>
      <c r="P4032" s="2">
        <v>0.0</v>
      </c>
      <c r="Q4032" s="3">
        <f t="shared" si="7"/>
        <v>0</v>
      </c>
      <c r="R4032" s="2">
        <v>165.0</v>
      </c>
      <c r="S4032" s="5">
        <f t="shared" si="8"/>
        <v>1</v>
      </c>
    </row>
    <row r="4033">
      <c r="A4033" s="2" t="s">
        <v>4037</v>
      </c>
      <c r="B4033" s="2">
        <v>348.0</v>
      </c>
      <c r="C4033" s="2">
        <v>4095.0</v>
      </c>
      <c r="D4033" s="2">
        <v>1318.0</v>
      </c>
      <c r="E4033" s="3">
        <f t="shared" si="1"/>
        <v>0.3517480651</v>
      </c>
      <c r="F4033" s="2">
        <v>480.0</v>
      </c>
      <c r="G4033" s="3">
        <f t="shared" si="2"/>
        <v>0.128102482</v>
      </c>
      <c r="H4033" s="2">
        <v>862.0</v>
      </c>
      <c r="I4033" s="3">
        <f t="shared" si="3"/>
        <v>0.2300507072</v>
      </c>
      <c r="J4033" s="2">
        <v>646.0</v>
      </c>
      <c r="K4033" s="3">
        <f t="shared" si="4"/>
        <v>0.1724045903</v>
      </c>
      <c r="L4033" s="2">
        <v>529.0</v>
      </c>
      <c r="M4033" s="3">
        <f t="shared" si="5"/>
        <v>0.6136890951</v>
      </c>
      <c r="N4033" s="2">
        <v>4622500.0</v>
      </c>
      <c r="O4033" s="4">
        <f t="shared" si="6"/>
        <v>5362.529002</v>
      </c>
      <c r="P4033" s="2">
        <v>1.0</v>
      </c>
      <c r="Q4033" s="3">
        <f t="shared" si="7"/>
        <v>0.002873563218</v>
      </c>
      <c r="R4033" s="2">
        <v>348.0</v>
      </c>
      <c r="S4033" s="5">
        <f t="shared" si="8"/>
        <v>1</v>
      </c>
    </row>
    <row r="4034">
      <c r="A4034" s="2" t="s">
        <v>4038</v>
      </c>
      <c r="B4034" s="2">
        <v>448.0</v>
      </c>
      <c r="C4034" s="2">
        <v>5249.0</v>
      </c>
      <c r="D4034" s="2">
        <v>1387.0</v>
      </c>
      <c r="E4034" s="3">
        <f t="shared" si="1"/>
        <v>0.2888981462</v>
      </c>
      <c r="F4034" s="2">
        <v>615.0</v>
      </c>
      <c r="G4034" s="3">
        <f t="shared" si="2"/>
        <v>0.1280983129</v>
      </c>
      <c r="H4034" s="2">
        <v>962.0</v>
      </c>
      <c r="I4034" s="3">
        <f t="shared" si="3"/>
        <v>0.2003749219</v>
      </c>
      <c r="J4034" s="2">
        <v>846.0</v>
      </c>
      <c r="K4034" s="3">
        <f t="shared" si="4"/>
        <v>0.1762132889</v>
      </c>
      <c r="L4034" s="2">
        <v>580.0</v>
      </c>
      <c r="M4034" s="3">
        <f t="shared" si="5"/>
        <v>0.6029106029</v>
      </c>
      <c r="N4034" s="2">
        <v>5688100.0</v>
      </c>
      <c r="O4034" s="4">
        <f t="shared" si="6"/>
        <v>5912.785863</v>
      </c>
      <c r="P4034" s="2">
        <v>0.0</v>
      </c>
      <c r="Q4034" s="3">
        <f t="shared" si="7"/>
        <v>0</v>
      </c>
      <c r="R4034" s="2">
        <v>448.0</v>
      </c>
      <c r="S4034" s="5">
        <f t="shared" si="8"/>
        <v>1</v>
      </c>
    </row>
    <row r="4035">
      <c r="A4035" s="2" t="s">
        <v>4039</v>
      </c>
      <c r="B4035" s="2">
        <v>238.0</v>
      </c>
      <c r="C4035" s="2">
        <v>2861.0</v>
      </c>
      <c r="D4035" s="2">
        <v>848.0</v>
      </c>
      <c r="E4035" s="3">
        <f t="shared" si="1"/>
        <v>0.3232939382</v>
      </c>
      <c r="F4035" s="2">
        <v>336.0</v>
      </c>
      <c r="G4035" s="3">
        <f t="shared" si="2"/>
        <v>0.1280975982</v>
      </c>
      <c r="H4035" s="2">
        <v>519.0</v>
      </c>
      <c r="I4035" s="3">
        <f t="shared" si="3"/>
        <v>0.19786504</v>
      </c>
      <c r="J4035" s="2">
        <v>398.0</v>
      </c>
      <c r="K4035" s="3">
        <f t="shared" si="4"/>
        <v>0.151734655</v>
      </c>
      <c r="L4035" s="2">
        <v>328.0</v>
      </c>
      <c r="M4035" s="3">
        <f t="shared" si="5"/>
        <v>0.6319845857</v>
      </c>
      <c r="N4035" s="2">
        <v>2821100.0</v>
      </c>
      <c r="O4035" s="4">
        <f t="shared" si="6"/>
        <v>5435.645472</v>
      </c>
      <c r="P4035" s="2">
        <v>1.0</v>
      </c>
      <c r="Q4035" s="3">
        <f t="shared" si="7"/>
        <v>0.004201680672</v>
      </c>
      <c r="R4035" s="2">
        <v>238.0</v>
      </c>
      <c r="S4035" s="5">
        <f t="shared" si="8"/>
        <v>1</v>
      </c>
    </row>
    <row r="4036">
      <c r="A4036" s="2" t="s">
        <v>4040</v>
      </c>
      <c r="B4036" s="2">
        <v>381.0</v>
      </c>
      <c r="C4036" s="2">
        <v>4472.0</v>
      </c>
      <c r="D4036" s="2">
        <v>1323.0</v>
      </c>
      <c r="E4036" s="3">
        <f t="shared" si="1"/>
        <v>0.3233928135</v>
      </c>
      <c r="F4036" s="2">
        <v>524.0</v>
      </c>
      <c r="G4036" s="3">
        <f t="shared" si="2"/>
        <v>0.1280860425</v>
      </c>
      <c r="H4036" s="2">
        <v>891.0</v>
      </c>
      <c r="I4036" s="3">
        <f t="shared" si="3"/>
        <v>0.2177951601</v>
      </c>
      <c r="J4036" s="2">
        <v>762.0</v>
      </c>
      <c r="K4036" s="3">
        <f t="shared" si="4"/>
        <v>0.1862625275</v>
      </c>
      <c r="L4036" s="2">
        <v>517.0</v>
      </c>
      <c r="M4036" s="3">
        <f t="shared" si="5"/>
        <v>0.5802469136</v>
      </c>
      <c r="N4036" s="2">
        <v>5049500.0</v>
      </c>
      <c r="O4036" s="4">
        <f t="shared" si="6"/>
        <v>5667.227834</v>
      </c>
      <c r="P4036" s="2">
        <v>2.0</v>
      </c>
      <c r="Q4036" s="3">
        <f t="shared" si="7"/>
        <v>0.005249343832</v>
      </c>
      <c r="R4036" s="2">
        <v>381.0</v>
      </c>
      <c r="S4036" s="5">
        <f t="shared" si="8"/>
        <v>1</v>
      </c>
    </row>
    <row r="4037">
      <c r="A4037" s="2" t="s">
        <v>4041</v>
      </c>
      <c r="B4037" s="2">
        <v>524.0</v>
      </c>
      <c r="C4037" s="2">
        <v>6052.0</v>
      </c>
      <c r="D4037" s="2">
        <v>1902.0</v>
      </c>
      <c r="E4037" s="3">
        <f t="shared" si="1"/>
        <v>0.3440665702</v>
      </c>
      <c r="F4037" s="2">
        <v>708.0</v>
      </c>
      <c r="G4037" s="3">
        <f t="shared" si="2"/>
        <v>0.1280752533</v>
      </c>
      <c r="H4037" s="2">
        <v>1132.0</v>
      </c>
      <c r="I4037" s="3">
        <f t="shared" si="3"/>
        <v>0.2047756874</v>
      </c>
      <c r="J4037" s="2">
        <v>937.0</v>
      </c>
      <c r="K4037" s="3">
        <f t="shared" si="4"/>
        <v>0.1695007236</v>
      </c>
      <c r="L4037" s="2">
        <v>674.0</v>
      </c>
      <c r="M4037" s="3">
        <f t="shared" si="5"/>
        <v>0.5954063604</v>
      </c>
      <c r="N4037" s="2">
        <v>6737400.0</v>
      </c>
      <c r="O4037" s="4">
        <f t="shared" si="6"/>
        <v>5951.766784</v>
      </c>
      <c r="P4037" s="2">
        <v>4.0</v>
      </c>
      <c r="Q4037" s="3">
        <f t="shared" si="7"/>
        <v>0.007633587786</v>
      </c>
      <c r="R4037" s="2">
        <v>0.0</v>
      </c>
      <c r="S4037" s="5">
        <f t="shared" si="8"/>
        <v>0</v>
      </c>
    </row>
    <row r="4038">
      <c r="A4038" s="2" t="s">
        <v>4042</v>
      </c>
      <c r="B4038" s="2">
        <v>72.0</v>
      </c>
      <c r="C4038" s="2">
        <v>845.0</v>
      </c>
      <c r="D4038" s="2">
        <v>262.0</v>
      </c>
      <c r="E4038" s="3">
        <f t="shared" si="1"/>
        <v>0.3389391979</v>
      </c>
      <c r="F4038" s="2">
        <v>99.0</v>
      </c>
      <c r="G4038" s="3">
        <f t="shared" si="2"/>
        <v>0.128072445</v>
      </c>
      <c r="H4038" s="2">
        <v>154.0</v>
      </c>
      <c r="I4038" s="3">
        <f t="shared" si="3"/>
        <v>0.1992238034</v>
      </c>
      <c r="J4038" s="2">
        <v>115.0</v>
      </c>
      <c r="K4038" s="3">
        <f t="shared" si="4"/>
        <v>0.148771022</v>
      </c>
      <c r="L4038" s="2">
        <v>88.0</v>
      </c>
      <c r="M4038" s="3">
        <f t="shared" si="5"/>
        <v>0.5714285714</v>
      </c>
      <c r="N4038" s="2">
        <v>797000.0</v>
      </c>
      <c r="O4038" s="4">
        <f t="shared" si="6"/>
        <v>5175.324675</v>
      </c>
      <c r="P4038" s="2">
        <v>0.0</v>
      </c>
      <c r="Q4038" s="3">
        <f t="shared" si="7"/>
        <v>0</v>
      </c>
      <c r="R4038" s="2">
        <v>41.0</v>
      </c>
      <c r="S4038" s="5">
        <f t="shared" si="8"/>
        <v>0.5694444444</v>
      </c>
    </row>
    <row r="4039">
      <c r="A4039" s="2" t="s">
        <v>4043</v>
      </c>
      <c r="B4039" s="2">
        <v>771.0</v>
      </c>
      <c r="C4039" s="2">
        <v>9087.0</v>
      </c>
      <c r="D4039" s="2">
        <v>3451.0</v>
      </c>
      <c r="E4039" s="3">
        <f t="shared" si="1"/>
        <v>0.414983165</v>
      </c>
      <c r="F4039" s="2">
        <v>1065.0</v>
      </c>
      <c r="G4039" s="3">
        <f t="shared" si="2"/>
        <v>0.1280663781</v>
      </c>
      <c r="H4039" s="2">
        <v>1777.0</v>
      </c>
      <c r="I4039" s="3">
        <f t="shared" si="3"/>
        <v>0.2136844637</v>
      </c>
      <c r="J4039" s="2">
        <v>1354.0</v>
      </c>
      <c r="K4039" s="3">
        <f t="shared" si="4"/>
        <v>0.1628186628</v>
      </c>
      <c r="L4039" s="2">
        <v>1076.0</v>
      </c>
      <c r="M4039" s="3">
        <f t="shared" si="5"/>
        <v>0.6055149128</v>
      </c>
      <c r="N4039" s="2">
        <v>9671900.0</v>
      </c>
      <c r="O4039" s="4">
        <f t="shared" si="6"/>
        <v>5442.824986</v>
      </c>
      <c r="P4039" s="2">
        <v>1.0</v>
      </c>
      <c r="Q4039" s="3">
        <f t="shared" si="7"/>
        <v>0.001297016861</v>
      </c>
      <c r="R4039" s="2">
        <v>771.0</v>
      </c>
      <c r="S4039" s="5">
        <f t="shared" si="8"/>
        <v>1</v>
      </c>
    </row>
    <row r="4040">
      <c r="A4040" s="2" t="s">
        <v>4044</v>
      </c>
      <c r="B4040" s="2">
        <v>273.0</v>
      </c>
      <c r="C4040" s="2">
        <v>3209.0</v>
      </c>
      <c r="D4040" s="2">
        <v>1182.0</v>
      </c>
      <c r="E4040" s="3">
        <f t="shared" si="1"/>
        <v>0.4025885559</v>
      </c>
      <c r="F4040" s="2">
        <v>376.0</v>
      </c>
      <c r="G4040" s="3">
        <f t="shared" si="2"/>
        <v>0.1280653951</v>
      </c>
      <c r="H4040" s="2">
        <v>581.0</v>
      </c>
      <c r="I4040" s="3">
        <f t="shared" si="3"/>
        <v>0.1978882834</v>
      </c>
      <c r="J4040" s="2">
        <v>491.0</v>
      </c>
      <c r="K4040" s="3">
        <f t="shared" si="4"/>
        <v>0.1672343324</v>
      </c>
      <c r="L4040" s="2">
        <v>377.0</v>
      </c>
      <c r="M4040" s="3">
        <f t="shared" si="5"/>
        <v>0.6488812392</v>
      </c>
      <c r="N4040" s="2">
        <v>3244200.0</v>
      </c>
      <c r="O4040" s="4">
        <f t="shared" si="6"/>
        <v>5583.820998</v>
      </c>
      <c r="P4040" s="2">
        <v>0.0</v>
      </c>
      <c r="Q4040" s="3">
        <f t="shared" si="7"/>
        <v>0</v>
      </c>
      <c r="R4040" s="2">
        <v>273.0</v>
      </c>
      <c r="S4040" s="5">
        <f t="shared" si="8"/>
        <v>1</v>
      </c>
    </row>
    <row r="4041">
      <c r="A4041" s="2" t="s">
        <v>4045</v>
      </c>
      <c r="B4041" s="2">
        <v>1708.0</v>
      </c>
      <c r="C4041" s="2">
        <v>19965.0</v>
      </c>
      <c r="D4041" s="2">
        <v>6401.0</v>
      </c>
      <c r="E4041" s="3">
        <f t="shared" si="1"/>
        <v>0.3506052473</v>
      </c>
      <c r="F4041" s="2">
        <v>2338.0</v>
      </c>
      <c r="G4041" s="3">
        <f t="shared" si="2"/>
        <v>0.12806047</v>
      </c>
      <c r="H4041" s="2">
        <v>3820.0</v>
      </c>
      <c r="I4041" s="3">
        <f t="shared" si="3"/>
        <v>0.209234814</v>
      </c>
      <c r="J4041" s="2">
        <v>3210.0</v>
      </c>
      <c r="K4041" s="3">
        <f t="shared" si="4"/>
        <v>0.175822972</v>
      </c>
      <c r="L4041" s="2">
        <v>2300.0</v>
      </c>
      <c r="M4041" s="3">
        <f t="shared" si="5"/>
        <v>0.6020942408</v>
      </c>
      <c r="N4041" s="2">
        <v>2.19449E7</v>
      </c>
      <c r="O4041" s="4">
        <f t="shared" si="6"/>
        <v>5744.73822</v>
      </c>
      <c r="P4041" s="2">
        <v>3.0</v>
      </c>
      <c r="Q4041" s="3">
        <f t="shared" si="7"/>
        <v>0.001756440281</v>
      </c>
      <c r="R4041" s="2">
        <v>1.0</v>
      </c>
      <c r="S4041" s="5">
        <f t="shared" si="8"/>
        <v>0.0005854800937</v>
      </c>
    </row>
    <row r="4042">
      <c r="A4042" s="2" t="s">
        <v>4046</v>
      </c>
      <c r="B4042" s="2">
        <v>247.0</v>
      </c>
      <c r="C4042" s="2">
        <v>2902.0</v>
      </c>
      <c r="D4042" s="2">
        <v>832.0</v>
      </c>
      <c r="E4042" s="3">
        <f t="shared" si="1"/>
        <v>0.3133709981</v>
      </c>
      <c r="F4042" s="2">
        <v>340.0</v>
      </c>
      <c r="G4042" s="3">
        <f t="shared" si="2"/>
        <v>0.1280602637</v>
      </c>
      <c r="H4042" s="2">
        <v>571.0</v>
      </c>
      <c r="I4042" s="3">
        <f t="shared" si="3"/>
        <v>0.2150659134</v>
      </c>
      <c r="J4042" s="2">
        <v>482.0</v>
      </c>
      <c r="K4042" s="3">
        <f t="shared" si="4"/>
        <v>0.1815442561</v>
      </c>
      <c r="L4042" s="2">
        <v>332.0</v>
      </c>
      <c r="M4042" s="3">
        <f t="shared" si="5"/>
        <v>0.5814360771</v>
      </c>
      <c r="N4042" s="2">
        <v>3420600.0</v>
      </c>
      <c r="O4042" s="4">
        <f t="shared" si="6"/>
        <v>5990.542907</v>
      </c>
      <c r="P4042" s="2">
        <v>0.0</v>
      </c>
      <c r="Q4042" s="3">
        <f t="shared" si="7"/>
        <v>0</v>
      </c>
      <c r="R4042" s="2">
        <v>0.0</v>
      </c>
      <c r="S4042" s="5">
        <f t="shared" si="8"/>
        <v>0</v>
      </c>
    </row>
    <row r="4043">
      <c r="A4043" s="2" t="s">
        <v>4047</v>
      </c>
      <c r="B4043" s="2">
        <v>2061.0</v>
      </c>
      <c r="C4043" s="2">
        <v>24285.0</v>
      </c>
      <c r="D4043" s="2">
        <v>7252.0</v>
      </c>
      <c r="E4043" s="3">
        <f t="shared" si="1"/>
        <v>0.3263138949</v>
      </c>
      <c r="F4043" s="2">
        <v>2846.0</v>
      </c>
      <c r="G4043" s="3">
        <f t="shared" si="2"/>
        <v>0.1280597552</v>
      </c>
      <c r="H4043" s="2">
        <v>4658.0</v>
      </c>
      <c r="I4043" s="3">
        <f t="shared" si="3"/>
        <v>0.2095932325</v>
      </c>
      <c r="J4043" s="2">
        <v>3641.0</v>
      </c>
      <c r="K4043" s="3">
        <f t="shared" si="4"/>
        <v>0.1638318934</v>
      </c>
      <c r="L4043" s="2">
        <v>2819.0</v>
      </c>
      <c r="M4043" s="3">
        <f t="shared" si="5"/>
        <v>0.6051953628</v>
      </c>
      <c r="N4043" s="2">
        <v>2.58549E7</v>
      </c>
      <c r="O4043" s="4">
        <f t="shared" si="6"/>
        <v>5550.644053</v>
      </c>
      <c r="P4043" s="2">
        <v>6.0</v>
      </c>
      <c r="Q4043" s="3">
        <f t="shared" si="7"/>
        <v>0.002911208151</v>
      </c>
      <c r="R4043" s="2">
        <v>2061.0</v>
      </c>
      <c r="S4043" s="5">
        <f t="shared" si="8"/>
        <v>1</v>
      </c>
    </row>
    <row r="4044">
      <c r="A4044" s="2" t="s">
        <v>4048</v>
      </c>
      <c r="B4044" s="2">
        <v>237.0</v>
      </c>
      <c r="C4044" s="2">
        <v>2775.0</v>
      </c>
      <c r="D4044" s="2">
        <v>807.0</v>
      </c>
      <c r="E4044" s="3">
        <f t="shared" si="1"/>
        <v>0.3179669031</v>
      </c>
      <c r="F4044" s="2">
        <v>325.0</v>
      </c>
      <c r="G4044" s="3">
        <f t="shared" si="2"/>
        <v>0.1280535855</v>
      </c>
      <c r="H4044" s="2">
        <v>564.0</v>
      </c>
      <c r="I4044" s="3">
        <f t="shared" si="3"/>
        <v>0.2222222222</v>
      </c>
      <c r="J4044" s="2">
        <v>469.0</v>
      </c>
      <c r="K4044" s="3">
        <f t="shared" si="4"/>
        <v>0.1847911742</v>
      </c>
      <c r="L4044" s="2">
        <v>353.0</v>
      </c>
      <c r="M4044" s="3">
        <f t="shared" si="5"/>
        <v>0.6258865248</v>
      </c>
      <c r="N4044" s="2">
        <v>3309600.0</v>
      </c>
      <c r="O4044" s="4">
        <f t="shared" si="6"/>
        <v>5868.085106</v>
      </c>
      <c r="P4044" s="2">
        <v>0.0</v>
      </c>
      <c r="Q4044" s="3">
        <f t="shared" si="7"/>
        <v>0</v>
      </c>
      <c r="R4044" s="2">
        <v>237.0</v>
      </c>
      <c r="S4044" s="5">
        <f t="shared" si="8"/>
        <v>1</v>
      </c>
    </row>
    <row r="4045">
      <c r="A4045" s="2" t="s">
        <v>4049</v>
      </c>
      <c r="B4045" s="2">
        <v>484.0</v>
      </c>
      <c r="C4045" s="2">
        <v>5576.0</v>
      </c>
      <c r="D4045" s="2">
        <v>1920.0</v>
      </c>
      <c r="E4045" s="3">
        <f t="shared" si="1"/>
        <v>0.3770620581</v>
      </c>
      <c r="F4045" s="2">
        <v>652.0</v>
      </c>
      <c r="G4045" s="3">
        <f t="shared" si="2"/>
        <v>0.1280439906</v>
      </c>
      <c r="H4045" s="2">
        <v>1079.0</v>
      </c>
      <c r="I4045" s="3">
        <f t="shared" si="3"/>
        <v>0.2119010212</v>
      </c>
      <c r="J4045" s="2">
        <v>800.0</v>
      </c>
      <c r="K4045" s="3">
        <f t="shared" si="4"/>
        <v>0.1571091909</v>
      </c>
      <c r="L4045" s="2">
        <v>648.0</v>
      </c>
      <c r="M4045" s="3">
        <f t="shared" si="5"/>
        <v>0.6005560704</v>
      </c>
      <c r="N4045" s="2">
        <v>6075800.0</v>
      </c>
      <c r="O4045" s="4">
        <f t="shared" si="6"/>
        <v>5630.954588</v>
      </c>
      <c r="P4045" s="2">
        <v>0.0</v>
      </c>
      <c r="Q4045" s="3">
        <f t="shared" si="7"/>
        <v>0</v>
      </c>
      <c r="R4045" s="2">
        <v>484.0</v>
      </c>
      <c r="S4045" s="5">
        <f t="shared" si="8"/>
        <v>1</v>
      </c>
    </row>
    <row r="4046">
      <c r="A4046" s="2" t="s">
        <v>4050</v>
      </c>
      <c r="B4046" s="2">
        <v>588.0</v>
      </c>
      <c r="C4046" s="2">
        <v>6844.0</v>
      </c>
      <c r="D4046" s="2">
        <v>1924.0</v>
      </c>
      <c r="E4046" s="3">
        <f t="shared" si="1"/>
        <v>0.307544757</v>
      </c>
      <c r="F4046" s="2">
        <v>801.0</v>
      </c>
      <c r="G4046" s="3">
        <f t="shared" si="2"/>
        <v>0.1280370844</v>
      </c>
      <c r="H4046" s="2">
        <v>1309.0</v>
      </c>
      <c r="I4046" s="3">
        <f t="shared" si="3"/>
        <v>0.2092391304</v>
      </c>
      <c r="J4046" s="2">
        <v>1135.0</v>
      </c>
      <c r="K4046" s="3">
        <f t="shared" si="4"/>
        <v>0.1814258312</v>
      </c>
      <c r="L4046" s="2">
        <v>804.0</v>
      </c>
      <c r="M4046" s="3">
        <f t="shared" si="5"/>
        <v>0.6142093201</v>
      </c>
      <c r="N4046" s="2">
        <v>7762200.0</v>
      </c>
      <c r="O4046" s="4">
        <f t="shared" si="6"/>
        <v>5929.87013</v>
      </c>
      <c r="P4046" s="2">
        <v>1.0</v>
      </c>
      <c r="Q4046" s="3">
        <f t="shared" si="7"/>
        <v>0.001700680272</v>
      </c>
      <c r="R4046" s="2">
        <v>60.0</v>
      </c>
      <c r="S4046" s="5">
        <f t="shared" si="8"/>
        <v>0.1020408163</v>
      </c>
    </row>
    <row r="4047">
      <c r="A4047" s="2" t="s">
        <v>4051</v>
      </c>
      <c r="B4047" s="2">
        <v>199.0</v>
      </c>
      <c r="C4047" s="2">
        <v>2308.0</v>
      </c>
      <c r="D4047" s="2">
        <v>715.0</v>
      </c>
      <c r="E4047" s="3">
        <f t="shared" si="1"/>
        <v>0.3390232338</v>
      </c>
      <c r="F4047" s="2">
        <v>270.0</v>
      </c>
      <c r="G4047" s="3">
        <f t="shared" si="2"/>
        <v>0.1280227596</v>
      </c>
      <c r="H4047" s="2">
        <v>421.0</v>
      </c>
      <c r="I4047" s="3">
        <f t="shared" si="3"/>
        <v>0.1996206733</v>
      </c>
      <c r="J4047" s="2">
        <v>304.0</v>
      </c>
      <c r="K4047" s="3">
        <f t="shared" si="4"/>
        <v>0.1441441441</v>
      </c>
      <c r="L4047" s="2">
        <v>261.0</v>
      </c>
      <c r="M4047" s="3">
        <f t="shared" si="5"/>
        <v>0.6199524941</v>
      </c>
      <c r="N4047" s="2">
        <v>2430400.0</v>
      </c>
      <c r="O4047" s="4">
        <f t="shared" si="6"/>
        <v>5772.921615</v>
      </c>
      <c r="P4047" s="2">
        <v>0.0</v>
      </c>
      <c r="Q4047" s="3">
        <f t="shared" si="7"/>
        <v>0</v>
      </c>
      <c r="R4047" s="2">
        <v>199.0</v>
      </c>
      <c r="S4047" s="5">
        <f t="shared" si="8"/>
        <v>1</v>
      </c>
    </row>
    <row r="4048">
      <c r="A4048" s="2" t="s">
        <v>4052</v>
      </c>
      <c r="B4048" s="2">
        <v>1791.0</v>
      </c>
      <c r="C4048" s="2">
        <v>21163.0</v>
      </c>
      <c r="D4048" s="2">
        <v>7229.0</v>
      </c>
      <c r="E4048" s="3">
        <f t="shared" si="1"/>
        <v>0.3731674582</v>
      </c>
      <c r="F4048" s="2">
        <v>2480.0</v>
      </c>
      <c r="G4048" s="3">
        <f t="shared" si="2"/>
        <v>0.1280198224</v>
      </c>
      <c r="H4048" s="2">
        <v>4191.0</v>
      </c>
      <c r="I4048" s="3">
        <f t="shared" si="3"/>
        <v>0.2163431757</v>
      </c>
      <c r="J4048" s="2">
        <v>2699.0</v>
      </c>
      <c r="K4048" s="3">
        <f t="shared" si="4"/>
        <v>0.1393247987</v>
      </c>
      <c r="L4048" s="2">
        <v>2590.0</v>
      </c>
      <c r="M4048" s="3">
        <f t="shared" si="5"/>
        <v>0.617990933</v>
      </c>
      <c r="N4048" s="2">
        <v>2.17572E7</v>
      </c>
      <c r="O4048" s="4">
        <f t="shared" si="6"/>
        <v>5191.410165</v>
      </c>
      <c r="P4048" s="2">
        <v>4.0</v>
      </c>
      <c r="Q4048" s="3">
        <f t="shared" si="7"/>
        <v>0.002233389168</v>
      </c>
      <c r="R4048" s="2">
        <v>0.0</v>
      </c>
      <c r="S4048" s="5">
        <f t="shared" si="8"/>
        <v>0</v>
      </c>
    </row>
    <row r="4049">
      <c r="A4049" s="2" t="s">
        <v>4053</v>
      </c>
      <c r="B4049" s="2">
        <v>911.0</v>
      </c>
      <c r="C4049" s="2">
        <v>10683.0</v>
      </c>
      <c r="D4049" s="2">
        <v>2989.0</v>
      </c>
      <c r="E4049" s="3">
        <f t="shared" si="1"/>
        <v>0.3058739255</v>
      </c>
      <c r="F4049" s="2">
        <v>1251.0</v>
      </c>
      <c r="G4049" s="3">
        <f t="shared" si="2"/>
        <v>0.1280188293</v>
      </c>
      <c r="H4049" s="2">
        <v>1891.0</v>
      </c>
      <c r="I4049" s="3">
        <f t="shared" si="3"/>
        <v>0.1935120753</v>
      </c>
      <c r="J4049" s="2">
        <v>1696.0</v>
      </c>
      <c r="K4049" s="3">
        <f t="shared" si="4"/>
        <v>0.1735571019</v>
      </c>
      <c r="L4049" s="2">
        <v>1099.0</v>
      </c>
      <c r="M4049" s="3">
        <f t="shared" si="5"/>
        <v>0.581173982</v>
      </c>
      <c r="N4049" s="2">
        <v>1.1846E7</v>
      </c>
      <c r="O4049" s="4">
        <f t="shared" si="6"/>
        <v>6264.410365</v>
      </c>
      <c r="P4049" s="2">
        <v>1.0</v>
      </c>
      <c r="Q4049" s="3">
        <f t="shared" si="7"/>
        <v>0.001097694841</v>
      </c>
      <c r="R4049" s="2">
        <v>911.0</v>
      </c>
      <c r="S4049" s="5">
        <f t="shared" si="8"/>
        <v>1</v>
      </c>
    </row>
    <row r="4050">
      <c r="A4050" s="2" t="s">
        <v>4054</v>
      </c>
      <c r="B4050" s="2">
        <v>561.0</v>
      </c>
      <c r="C4050" s="2">
        <v>6570.0</v>
      </c>
      <c r="D4050" s="2">
        <v>2122.0</v>
      </c>
      <c r="E4050" s="3">
        <f t="shared" si="1"/>
        <v>0.3531369612</v>
      </c>
      <c r="F4050" s="2">
        <v>769.0</v>
      </c>
      <c r="G4050" s="3">
        <f t="shared" si="2"/>
        <v>0.1279747046</v>
      </c>
      <c r="H4050" s="2">
        <v>1294.0</v>
      </c>
      <c r="I4050" s="3">
        <f t="shared" si="3"/>
        <v>0.2153436512</v>
      </c>
      <c r="J4050" s="2">
        <v>1116.0</v>
      </c>
      <c r="K4050" s="3">
        <f t="shared" si="4"/>
        <v>0.1857214179</v>
      </c>
      <c r="L4050" s="2">
        <v>788.0</v>
      </c>
      <c r="M4050" s="3">
        <f t="shared" si="5"/>
        <v>0.6089644513</v>
      </c>
      <c r="N4050" s="2">
        <v>7179000.0</v>
      </c>
      <c r="O4050" s="4">
        <f t="shared" si="6"/>
        <v>5547.913447</v>
      </c>
      <c r="P4050" s="2">
        <v>1.0</v>
      </c>
      <c r="Q4050" s="3">
        <f t="shared" si="7"/>
        <v>0.001782531194</v>
      </c>
      <c r="R4050" s="2">
        <v>561.0</v>
      </c>
      <c r="S4050" s="5">
        <f t="shared" si="8"/>
        <v>1</v>
      </c>
    </row>
    <row r="4051">
      <c r="A4051" s="2" t="s">
        <v>4055</v>
      </c>
      <c r="B4051" s="2">
        <v>301.0</v>
      </c>
      <c r="C4051" s="2">
        <v>3583.0</v>
      </c>
      <c r="D4051" s="2">
        <v>1053.0</v>
      </c>
      <c r="E4051" s="3">
        <f t="shared" si="1"/>
        <v>0.3208409506</v>
      </c>
      <c r="F4051" s="2">
        <v>420.0</v>
      </c>
      <c r="G4051" s="3">
        <f t="shared" si="2"/>
        <v>0.1279707495</v>
      </c>
      <c r="H4051" s="2">
        <v>684.0</v>
      </c>
      <c r="I4051" s="3">
        <f t="shared" si="3"/>
        <v>0.2084095064</v>
      </c>
      <c r="J4051" s="2">
        <v>530.0</v>
      </c>
      <c r="K4051" s="3">
        <f t="shared" si="4"/>
        <v>0.1614868982</v>
      </c>
      <c r="L4051" s="2">
        <v>405.0</v>
      </c>
      <c r="M4051" s="3">
        <f t="shared" si="5"/>
        <v>0.5921052632</v>
      </c>
      <c r="N4051" s="2">
        <v>3668100.0</v>
      </c>
      <c r="O4051" s="4">
        <f t="shared" si="6"/>
        <v>5362.719298</v>
      </c>
      <c r="P4051" s="2">
        <v>0.0</v>
      </c>
      <c r="Q4051" s="3">
        <f t="shared" si="7"/>
        <v>0</v>
      </c>
      <c r="R4051" s="2">
        <v>43.0</v>
      </c>
      <c r="S4051" s="5">
        <f t="shared" si="8"/>
        <v>0.1428571429</v>
      </c>
    </row>
    <row r="4052">
      <c r="A4052" s="2" t="s">
        <v>4056</v>
      </c>
      <c r="B4052" s="2">
        <v>288.0</v>
      </c>
      <c r="C4052" s="2">
        <v>3406.0</v>
      </c>
      <c r="D4052" s="2">
        <v>1010.0</v>
      </c>
      <c r="E4052" s="3">
        <f t="shared" si="1"/>
        <v>0.3239255933</v>
      </c>
      <c r="F4052" s="2">
        <v>399.0</v>
      </c>
      <c r="G4052" s="3">
        <f t="shared" si="2"/>
        <v>0.1279666453</v>
      </c>
      <c r="H4052" s="2">
        <v>563.0</v>
      </c>
      <c r="I4052" s="3">
        <f t="shared" si="3"/>
        <v>0.1805644644</v>
      </c>
      <c r="J4052" s="2">
        <v>446.0</v>
      </c>
      <c r="K4052" s="3">
        <f t="shared" si="4"/>
        <v>0.1430404105</v>
      </c>
      <c r="L4052" s="2">
        <v>348.0</v>
      </c>
      <c r="M4052" s="3">
        <f t="shared" si="5"/>
        <v>0.6181172291</v>
      </c>
      <c r="N4052" s="2">
        <v>3188800.0</v>
      </c>
      <c r="O4052" s="4">
        <f t="shared" si="6"/>
        <v>5663.943162</v>
      </c>
      <c r="P4052" s="2">
        <v>1.0</v>
      </c>
      <c r="Q4052" s="3">
        <f t="shared" si="7"/>
        <v>0.003472222222</v>
      </c>
      <c r="R4052" s="2">
        <v>196.0</v>
      </c>
      <c r="S4052" s="5">
        <f t="shared" si="8"/>
        <v>0.6805555556</v>
      </c>
    </row>
    <row r="4053">
      <c r="A4053" s="2" t="s">
        <v>4057</v>
      </c>
      <c r="B4053" s="2">
        <v>203.0</v>
      </c>
      <c r="C4053" s="2">
        <v>2352.0</v>
      </c>
      <c r="D4053" s="2">
        <v>613.0</v>
      </c>
      <c r="E4053" s="3">
        <f t="shared" si="1"/>
        <v>0.285248953</v>
      </c>
      <c r="F4053" s="2">
        <v>275.0</v>
      </c>
      <c r="G4053" s="3">
        <f t="shared" si="2"/>
        <v>0.127966496</v>
      </c>
      <c r="H4053" s="2">
        <v>378.0</v>
      </c>
      <c r="I4053" s="3">
        <f t="shared" si="3"/>
        <v>0.1758957655</v>
      </c>
      <c r="J4053" s="2">
        <v>330.0</v>
      </c>
      <c r="K4053" s="3">
        <f t="shared" si="4"/>
        <v>0.1535597953</v>
      </c>
      <c r="L4053" s="2">
        <v>227.0</v>
      </c>
      <c r="M4053" s="3">
        <f t="shared" si="5"/>
        <v>0.6005291005</v>
      </c>
      <c r="N4053" s="2">
        <v>2376000.0</v>
      </c>
      <c r="O4053" s="4">
        <f t="shared" si="6"/>
        <v>6285.714286</v>
      </c>
      <c r="P4053" s="2">
        <v>0.0</v>
      </c>
      <c r="Q4053" s="3">
        <f t="shared" si="7"/>
        <v>0</v>
      </c>
      <c r="R4053" s="2">
        <v>203.0</v>
      </c>
      <c r="S4053" s="5">
        <f t="shared" si="8"/>
        <v>1</v>
      </c>
    </row>
    <row r="4054">
      <c r="A4054" s="2" t="s">
        <v>4058</v>
      </c>
      <c r="B4054" s="2">
        <v>20.0</v>
      </c>
      <c r="C4054" s="2">
        <v>231.0</v>
      </c>
      <c r="D4054" s="2">
        <v>53.0</v>
      </c>
      <c r="E4054" s="3">
        <f t="shared" si="1"/>
        <v>0.2511848341</v>
      </c>
      <c r="F4054" s="2">
        <v>27.0</v>
      </c>
      <c r="G4054" s="3">
        <f t="shared" si="2"/>
        <v>0.1279620853</v>
      </c>
      <c r="H4054" s="2">
        <v>51.0</v>
      </c>
      <c r="I4054" s="3">
        <f t="shared" si="3"/>
        <v>0.2417061611</v>
      </c>
      <c r="J4054" s="2">
        <v>33.0</v>
      </c>
      <c r="K4054" s="3">
        <f t="shared" si="4"/>
        <v>0.1563981043</v>
      </c>
      <c r="L4054" s="2">
        <v>27.0</v>
      </c>
      <c r="M4054" s="3">
        <f t="shared" si="5"/>
        <v>0.5294117647</v>
      </c>
      <c r="N4054" s="2">
        <v>297500.0</v>
      </c>
      <c r="O4054" s="4">
        <f t="shared" si="6"/>
        <v>5833.333333</v>
      </c>
      <c r="P4054" s="2">
        <v>0.0</v>
      </c>
      <c r="Q4054" s="3">
        <f t="shared" si="7"/>
        <v>0</v>
      </c>
      <c r="R4054" s="2">
        <v>20.0</v>
      </c>
      <c r="S4054" s="5">
        <f t="shared" si="8"/>
        <v>1</v>
      </c>
    </row>
    <row r="4055">
      <c r="A4055" s="2" t="s">
        <v>4059</v>
      </c>
      <c r="B4055" s="2">
        <v>79.0</v>
      </c>
      <c r="C4055" s="2">
        <v>970.0</v>
      </c>
      <c r="D4055" s="2">
        <v>302.0</v>
      </c>
      <c r="E4055" s="3">
        <f t="shared" si="1"/>
        <v>0.3389450056</v>
      </c>
      <c r="F4055" s="2">
        <v>114.0</v>
      </c>
      <c r="G4055" s="3">
        <f t="shared" si="2"/>
        <v>0.1279461279</v>
      </c>
      <c r="H4055" s="2">
        <v>159.0</v>
      </c>
      <c r="I4055" s="3">
        <f t="shared" si="3"/>
        <v>0.1784511785</v>
      </c>
      <c r="J4055" s="2">
        <v>145.0</v>
      </c>
      <c r="K4055" s="3">
        <f t="shared" si="4"/>
        <v>0.1627384961</v>
      </c>
      <c r="L4055" s="2">
        <v>83.0</v>
      </c>
      <c r="M4055" s="3">
        <f t="shared" si="5"/>
        <v>0.5220125786</v>
      </c>
      <c r="N4055" s="2">
        <v>932600.0</v>
      </c>
      <c r="O4055" s="4">
        <f t="shared" si="6"/>
        <v>5865.408805</v>
      </c>
      <c r="P4055" s="2">
        <v>0.0</v>
      </c>
      <c r="Q4055" s="3">
        <f t="shared" si="7"/>
        <v>0</v>
      </c>
      <c r="R4055" s="2">
        <v>79.0</v>
      </c>
      <c r="S4055" s="5">
        <f t="shared" si="8"/>
        <v>1</v>
      </c>
    </row>
    <row r="4056">
      <c r="A4056" s="2" t="s">
        <v>4060</v>
      </c>
      <c r="B4056" s="2">
        <v>545.0</v>
      </c>
      <c r="C4056" s="2">
        <v>6360.0</v>
      </c>
      <c r="D4056" s="2">
        <v>2499.0</v>
      </c>
      <c r="E4056" s="3">
        <f t="shared" si="1"/>
        <v>0.4297506449</v>
      </c>
      <c r="F4056" s="2">
        <v>744.0</v>
      </c>
      <c r="G4056" s="3">
        <f t="shared" si="2"/>
        <v>0.1279449699</v>
      </c>
      <c r="H4056" s="2">
        <v>1239.0</v>
      </c>
      <c r="I4056" s="3">
        <f t="shared" si="3"/>
        <v>0.2130696475</v>
      </c>
      <c r="J4056" s="2">
        <v>892.0</v>
      </c>
      <c r="K4056" s="3">
        <f t="shared" si="4"/>
        <v>0.1533963887</v>
      </c>
      <c r="L4056" s="2">
        <v>753.0</v>
      </c>
      <c r="M4056" s="3">
        <f t="shared" si="5"/>
        <v>0.607748184</v>
      </c>
      <c r="N4056" s="2">
        <v>7187200.0</v>
      </c>
      <c r="O4056" s="4">
        <f t="shared" si="6"/>
        <v>5800.807103</v>
      </c>
      <c r="P4056" s="2">
        <v>2.0</v>
      </c>
      <c r="Q4056" s="3">
        <f t="shared" si="7"/>
        <v>0.003669724771</v>
      </c>
      <c r="R4056" s="2">
        <v>545.0</v>
      </c>
      <c r="S4056" s="5">
        <f t="shared" si="8"/>
        <v>1</v>
      </c>
    </row>
    <row r="4057">
      <c r="A4057" s="2" t="s">
        <v>4061</v>
      </c>
      <c r="B4057" s="2">
        <v>455.0</v>
      </c>
      <c r="C4057" s="2">
        <v>5340.0</v>
      </c>
      <c r="D4057" s="2">
        <v>1745.0</v>
      </c>
      <c r="E4057" s="3">
        <f t="shared" si="1"/>
        <v>0.3572159672</v>
      </c>
      <c r="F4057" s="2">
        <v>625.0</v>
      </c>
      <c r="G4057" s="3">
        <f t="shared" si="2"/>
        <v>0.1279426817</v>
      </c>
      <c r="H4057" s="2">
        <v>1058.0</v>
      </c>
      <c r="I4057" s="3">
        <f t="shared" si="3"/>
        <v>0.2165813715</v>
      </c>
      <c r="J4057" s="2">
        <v>862.0</v>
      </c>
      <c r="K4057" s="3">
        <f t="shared" si="4"/>
        <v>0.1764585466</v>
      </c>
      <c r="L4057" s="2">
        <v>628.0</v>
      </c>
      <c r="M4057" s="3">
        <f t="shared" si="5"/>
        <v>0.5935727788</v>
      </c>
      <c r="N4057" s="2">
        <v>5902200.0</v>
      </c>
      <c r="O4057" s="4">
        <f t="shared" si="6"/>
        <v>5578.638941</v>
      </c>
      <c r="P4057" s="2">
        <v>3.0</v>
      </c>
      <c r="Q4057" s="3">
        <f t="shared" si="7"/>
        <v>0.006593406593</v>
      </c>
      <c r="R4057" s="2">
        <v>0.0</v>
      </c>
      <c r="S4057" s="5">
        <f t="shared" si="8"/>
        <v>0</v>
      </c>
    </row>
    <row r="4058">
      <c r="A4058" s="2" t="s">
        <v>4062</v>
      </c>
      <c r="B4058" s="2">
        <v>857.0</v>
      </c>
      <c r="C4058" s="2">
        <v>10135.0</v>
      </c>
      <c r="D4058" s="2">
        <v>3242.0</v>
      </c>
      <c r="E4058" s="3">
        <f t="shared" si="1"/>
        <v>0.3494287562</v>
      </c>
      <c r="F4058" s="2">
        <v>1187.0</v>
      </c>
      <c r="G4058" s="3">
        <f t="shared" si="2"/>
        <v>0.1279370554</v>
      </c>
      <c r="H4058" s="2">
        <v>1850.0</v>
      </c>
      <c r="I4058" s="3">
        <f t="shared" si="3"/>
        <v>0.1993964216</v>
      </c>
      <c r="J4058" s="2">
        <v>1442.0</v>
      </c>
      <c r="K4058" s="3">
        <f t="shared" si="4"/>
        <v>0.155421427</v>
      </c>
      <c r="L4058" s="2">
        <v>1137.0</v>
      </c>
      <c r="M4058" s="3">
        <f t="shared" si="5"/>
        <v>0.6145945946</v>
      </c>
      <c r="N4058" s="2">
        <v>9932300.0</v>
      </c>
      <c r="O4058" s="4">
        <f t="shared" si="6"/>
        <v>5368.810811</v>
      </c>
      <c r="P4058" s="2">
        <v>0.0</v>
      </c>
      <c r="Q4058" s="3">
        <f t="shared" si="7"/>
        <v>0</v>
      </c>
      <c r="R4058" s="2">
        <v>857.0</v>
      </c>
      <c r="S4058" s="5">
        <f t="shared" si="8"/>
        <v>1</v>
      </c>
    </row>
    <row r="4059">
      <c r="A4059" s="2" t="s">
        <v>4063</v>
      </c>
      <c r="B4059" s="2">
        <v>956.0</v>
      </c>
      <c r="C4059" s="2">
        <v>11313.0</v>
      </c>
      <c r="D4059" s="2">
        <v>4189.0</v>
      </c>
      <c r="E4059" s="3">
        <f t="shared" si="1"/>
        <v>0.4044607512</v>
      </c>
      <c r="F4059" s="2">
        <v>1325.0</v>
      </c>
      <c r="G4059" s="3">
        <f t="shared" si="2"/>
        <v>0.1279327991</v>
      </c>
      <c r="H4059" s="2">
        <v>2213.0</v>
      </c>
      <c r="I4059" s="3">
        <f t="shared" si="3"/>
        <v>0.2136719127</v>
      </c>
      <c r="J4059" s="2">
        <v>1398.0</v>
      </c>
      <c r="K4059" s="3">
        <f t="shared" si="4"/>
        <v>0.1349811722</v>
      </c>
      <c r="L4059" s="2">
        <v>1345.0</v>
      </c>
      <c r="M4059" s="3">
        <f t="shared" si="5"/>
        <v>0.6077722549</v>
      </c>
      <c r="N4059" s="2">
        <v>1.1813E7</v>
      </c>
      <c r="O4059" s="4">
        <f t="shared" si="6"/>
        <v>5338.002711</v>
      </c>
      <c r="P4059" s="2">
        <v>3.0</v>
      </c>
      <c r="Q4059" s="3">
        <f t="shared" si="7"/>
        <v>0.003138075314</v>
      </c>
      <c r="R4059" s="2">
        <v>0.0</v>
      </c>
      <c r="S4059" s="5">
        <f t="shared" si="8"/>
        <v>0</v>
      </c>
    </row>
    <row r="4060">
      <c r="A4060" s="2" t="s">
        <v>4064</v>
      </c>
      <c r="B4060" s="2">
        <v>1505.0</v>
      </c>
      <c r="C4060" s="2">
        <v>17835.0</v>
      </c>
      <c r="D4060" s="2">
        <v>6339.0</v>
      </c>
      <c r="E4060" s="3">
        <f t="shared" si="1"/>
        <v>0.3881812615</v>
      </c>
      <c r="F4060" s="2">
        <v>2089.0</v>
      </c>
      <c r="G4060" s="3">
        <f t="shared" si="2"/>
        <v>0.1279240661</v>
      </c>
      <c r="H4060" s="2">
        <v>3638.0</v>
      </c>
      <c r="I4060" s="3">
        <f t="shared" si="3"/>
        <v>0.2227801592</v>
      </c>
      <c r="J4060" s="2">
        <v>2914.0</v>
      </c>
      <c r="K4060" s="3">
        <f t="shared" si="4"/>
        <v>0.1784445805</v>
      </c>
      <c r="L4060" s="2">
        <v>2188.0</v>
      </c>
      <c r="M4060" s="3">
        <f t="shared" si="5"/>
        <v>0.6014293568</v>
      </c>
      <c r="N4060" s="2">
        <v>1.92222E7</v>
      </c>
      <c r="O4060" s="4">
        <f t="shared" si="6"/>
        <v>5283.727323</v>
      </c>
      <c r="P4060" s="2">
        <v>0.0</v>
      </c>
      <c r="Q4060" s="3">
        <f t="shared" si="7"/>
        <v>0</v>
      </c>
      <c r="R4060" s="2">
        <v>1505.0</v>
      </c>
      <c r="S4060" s="5">
        <f t="shared" si="8"/>
        <v>1</v>
      </c>
    </row>
    <row r="4061">
      <c r="A4061" s="2" t="s">
        <v>4065</v>
      </c>
      <c r="B4061" s="2">
        <v>337.0</v>
      </c>
      <c r="C4061" s="2">
        <v>3886.0</v>
      </c>
      <c r="D4061" s="2">
        <v>1546.0</v>
      </c>
      <c r="E4061" s="3">
        <f t="shared" si="1"/>
        <v>0.4356156664</v>
      </c>
      <c r="F4061" s="2">
        <v>454.0</v>
      </c>
      <c r="G4061" s="3">
        <f t="shared" si="2"/>
        <v>0.1279233587</v>
      </c>
      <c r="H4061" s="2">
        <v>791.0</v>
      </c>
      <c r="I4061" s="3">
        <f t="shared" si="3"/>
        <v>0.2228796844</v>
      </c>
      <c r="J4061" s="2">
        <v>547.0</v>
      </c>
      <c r="K4061" s="3">
        <f t="shared" si="4"/>
        <v>0.1541279234</v>
      </c>
      <c r="L4061" s="2">
        <v>481.0</v>
      </c>
      <c r="M4061" s="3">
        <f t="shared" si="5"/>
        <v>0.608091024</v>
      </c>
      <c r="N4061" s="2">
        <v>4240200.0</v>
      </c>
      <c r="O4061" s="4">
        <f t="shared" si="6"/>
        <v>5360.556258</v>
      </c>
      <c r="P4061" s="2">
        <v>0.0</v>
      </c>
      <c r="Q4061" s="3">
        <f t="shared" si="7"/>
        <v>0</v>
      </c>
      <c r="R4061" s="2">
        <v>316.0</v>
      </c>
      <c r="S4061" s="5">
        <f t="shared" si="8"/>
        <v>0.9376854599</v>
      </c>
    </row>
    <row r="4062">
      <c r="A4062" s="2" t="s">
        <v>4066</v>
      </c>
      <c r="B4062" s="2">
        <v>122.0</v>
      </c>
      <c r="C4062" s="2">
        <v>1451.0</v>
      </c>
      <c r="D4062" s="2">
        <v>365.0</v>
      </c>
      <c r="E4062" s="3">
        <f t="shared" si="1"/>
        <v>0.2746425884</v>
      </c>
      <c r="F4062" s="2">
        <v>170.0</v>
      </c>
      <c r="G4062" s="3">
        <f t="shared" si="2"/>
        <v>0.1279157261</v>
      </c>
      <c r="H4062" s="2">
        <v>265.0</v>
      </c>
      <c r="I4062" s="3">
        <f t="shared" si="3"/>
        <v>0.1993980436</v>
      </c>
      <c r="J4062" s="2">
        <v>252.0</v>
      </c>
      <c r="K4062" s="3">
        <f t="shared" si="4"/>
        <v>0.1896162528</v>
      </c>
      <c r="L4062" s="2">
        <v>151.0</v>
      </c>
      <c r="M4062" s="3">
        <f t="shared" si="5"/>
        <v>0.5698113208</v>
      </c>
      <c r="N4062" s="2">
        <v>1380600.0</v>
      </c>
      <c r="O4062" s="4">
        <f t="shared" si="6"/>
        <v>5209.811321</v>
      </c>
      <c r="P4062" s="2">
        <v>0.0</v>
      </c>
      <c r="Q4062" s="3">
        <f t="shared" si="7"/>
        <v>0</v>
      </c>
      <c r="R4062" s="2">
        <v>0.0</v>
      </c>
      <c r="S4062" s="5">
        <f t="shared" si="8"/>
        <v>0</v>
      </c>
    </row>
    <row r="4063">
      <c r="A4063" s="2" t="s">
        <v>4067</v>
      </c>
      <c r="B4063" s="2">
        <v>375.0</v>
      </c>
      <c r="C4063" s="2">
        <v>4362.0</v>
      </c>
      <c r="D4063" s="2">
        <v>1411.0</v>
      </c>
      <c r="E4063" s="3">
        <f t="shared" si="1"/>
        <v>0.3539001756</v>
      </c>
      <c r="F4063" s="2">
        <v>510.0</v>
      </c>
      <c r="G4063" s="3">
        <f t="shared" si="2"/>
        <v>0.1279157261</v>
      </c>
      <c r="H4063" s="2">
        <v>855.0</v>
      </c>
      <c r="I4063" s="3">
        <f t="shared" si="3"/>
        <v>0.2144469526</v>
      </c>
      <c r="J4063" s="2">
        <v>738.0</v>
      </c>
      <c r="K4063" s="3">
        <f t="shared" si="4"/>
        <v>0.1851015801</v>
      </c>
      <c r="L4063" s="2">
        <v>481.0</v>
      </c>
      <c r="M4063" s="3">
        <f t="shared" si="5"/>
        <v>0.5625730994</v>
      </c>
      <c r="N4063" s="2">
        <v>4680000.0</v>
      </c>
      <c r="O4063" s="4">
        <f t="shared" si="6"/>
        <v>5473.684211</v>
      </c>
      <c r="P4063" s="2">
        <v>2.0</v>
      </c>
      <c r="Q4063" s="3">
        <f t="shared" si="7"/>
        <v>0.005333333333</v>
      </c>
      <c r="R4063" s="2">
        <v>375.0</v>
      </c>
      <c r="S4063" s="5">
        <f t="shared" si="8"/>
        <v>1</v>
      </c>
    </row>
    <row r="4064">
      <c r="A4064" s="2" t="s">
        <v>4068</v>
      </c>
      <c r="B4064" s="2">
        <v>17.0</v>
      </c>
      <c r="C4064" s="2">
        <v>189.0</v>
      </c>
      <c r="D4064" s="2">
        <v>37.0</v>
      </c>
      <c r="E4064" s="3">
        <f t="shared" si="1"/>
        <v>0.2151162791</v>
      </c>
      <c r="F4064" s="2">
        <v>22.0</v>
      </c>
      <c r="G4064" s="3">
        <f t="shared" si="2"/>
        <v>0.1279069767</v>
      </c>
      <c r="H4064" s="2">
        <v>30.0</v>
      </c>
      <c r="I4064" s="3">
        <f t="shared" si="3"/>
        <v>0.1744186047</v>
      </c>
      <c r="J4064" s="2">
        <v>34.0</v>
      </c>
      <c r="K4064" s="3">
        <f t="shared" si="4"/>
        <v>0.1976744186</v>
      </c>
      <c r="L4064" s="2">
        <v>18.0</v>
      </c>
      <c r="M4064" s="3">
        <f t="shared" si="5"/>
        <v>0.6</v>
      </c>
      <c r="N4064" s="2">
        <v>148900.0</v>
      </c>
      <c r="O4064" s="4">
        <f t="shared" si="6"/>
        <v>4963.333333</v>
      </c>
      <c r="P4064" s="2">
        <v>0.0</v>
      </c>
      <c r="Q4064" s="3">
        <f t="shared" si="7"/>
        <v>0</v>
      </c>
      <c r="R4064" s="2">
        <v>17.0</v>
      </c>
      <c r="S4064" s="5">
        <f t="shared" si="8"/>
        <v>1</v>
      </c>
    </row>
    <row r="4065">
      <c r="A4065" s="2" t="s">
        <v>4069</v>
      </c>
      <c r="B4065" s="2">
        <v>146.0</v>
      </c>
      <c r="C4065" s="2">
        <v>1694.0</v>
      </c>
      <c r="D4065" s="2">
        <v>508.0</v>
      </c>
      <c r="E4065" s="3">
        <f t="shared" si="1"/>
        <v>0.3281653747</v>
      </c>
      <c r="F4065" s="2">
        <v>198.0</v>
      </c>
      <c r="G4065" s="3">
        <f t="shared" si="2"/>
        <v>0.1279069767</v>
      </c>
      <c r="H4065" s="2">
        <v>295.0</v>
      </c>
      <c r="I4065" s="3">
        <f t="shared" si="3"/>
        <v>0.1905684755</v>
      </c>
      <c r="J4065" s="2">
        <v>289.0</v>
      </c>
      <c r="K4065" s="3">
        <f t="shared" si="4"/>
        <v>0.1866925065</v>
      </c>
      <c r="L4065" s="2">
        <v>167.0</v>
      </c>
      <c r="M4065" s="3">
        <f t="shared" si="5"/>
        <v>0.5661016949</v>
      </c>
      <c r="N4065" s="2">
        <v>1830800.0</v>
      </c>
      <c r="O4065" s="4">
        <f t="shared" si="6"/>
        <v>6206.101695</v>
      </c>
      <c r="P4065" s="2">
        <v>0.0</v>
      </c>
      <c r="Q4065" s="3">
        <f t="shared" si="7"/>
        <v>0</v>
      </c>
      <c r="R4065" s="2">
        <v>146.0</v>
      </c>
      <c r="S4065" s="5">
        <f t="shared" si="8"/>
        <v>1</v>
      </c>
    </row>
    <row r="4066">
      <c r="A4066" s="2" t="s">
        <v>4070</v>
      </c>
      <c r="B4066" s="2">
        <v>355.0</v>
      </c>
      <c r="C4066" s="2">
        <v>4100.0</v>
      </c>
      <c r="D4066" s="2">
        <v>1593.0</v>
      </c>
      <c r="E4066" s="3">
        <f t="shared" si="1"/>
        <v>0.4253671562</v>
      </c>
      <c r="F4066" s="2">
        <v>479.0</v>
      </c>
      <c r="G4066" s="3">
        <f t="shared" si="2"/>
        <v>0.1279038718</v>
      </c>
      <c r="H4066" s="2">
        <v>877.0</v>
      </c>
      <c r="I4066" s="3">
        <f t="shared" si="3"/>
        <v>0.2341789052</v>
      </c>
      <c r="J4066" s="2">
        <v>604.0</v>
      </c>
      <c r="K4066" s="3">
        <f t="shared" si="4"/>
        <v>0.1612817089</v>
      </c>
      <c r="L4066" s="2">
        <v>513.0</v>
      </c>
      <c r="M4066" s="3">
        <f t="shared" si="5"/>
        <v>0.5849486887</v>
      </c>
      <c r="N4066" s="2">
        <v>4742700.0</v>
      </c>
      <c r="O4066" s="4">
        <f t="shared" si="6"/>
        <v>5407.867731</v>
      </c>
      <c r="P4066" s="2">
        <v>1.0</v>
      </c>
      <c r="Q4066" s="3">
        <f t="shared" si="7"/>
        <v>0.002816901408</v>
      </c>
      <c r="R4066" s="2">
        <v>355.0</v>
      </c>
      <c r="S4066" s="5">
        <f t="shared" si="8"/>
        <v>1</v>
      </c>
    </row>
    <row r="4067">
      <c r="A4067" s="2" t="s">
        <v>4071</v>
      </c>
      <c r="B4067" s="2">
        <v>204.0</v>
      </c>
      <c r="C4067" s="2">
        <v>2401.0</v>
      </c>
      <c r="D4067" s="2">
        <v>749.0</v>
      </c>
      <c r="E4067" s="3">
        <f t="shared" si="1"/>
        <v>0.3409194356</v>
      </c>
      <c r="F4067" s="2">
        <v>281.0</v>
      </c>
      <c r="G4067" s="3">
        <f t="shared" si="2"/>
        <v>0.1279016841</v>
      </c>
      <c r="H4067" s="2">
        <v>500.0</v>
      </c>
      <c r="I4067" s="3">
        <f t="shared" si="3"/>
        <v>0.2275830678</v>
      </c>
      <c r="J4067" s="2">
        <v>337.0</v>
      </c>
      <c r="K4067" s="3">
        <f t="shared" si="4"/>
        <v>0.1533909877</v>
      </c>
      <c r="L4067" s="2">
        <v>296.0</v>
      </c>
      <c r="M4067" s="3">
        <f t="shared" si="5"/>
        <v>0.592</v>
      </c>
      <c r="N4067" s="2">
        <v>2943300.0</v>
      </c>
      <c r="O4067" s="4">
        <f t="shared" si="6"/>
        <v>5886.6</v>
      </c>
      <c r="P4067" s="2">
        <v>2.0</v>
      </c>
      <c r="Q4067" s="3">
        <f t="shared" si="7"/>
        <v>0.009803921569</v>
      </c>
      <c r="R4067" s="2">
        <v>194.0</v>
      </c>
      <c r="S4067" s="5">
        <f t="shared" si="8"/>
        <v>0.9509803922</v>
      </c>
    </row>
    <row r="4068">
      <c r="A4068" s="2" t="s">
        <v>4072</v>
      </c>
      <c r="B4068" s="2">
        <v>1136.0</v>
      </c>
      <c r="C4068" s="2">
        <v>13302.0</v>
      </c>
      <c r="D4068" s="2">
        <v>4148.0</v>
      </c>
      <c r="E4068" s="3">
        <f t="shared" si="1"/>
        <v>0.3409501891</v>
      </c>
      <c r="F4068" s="2">
        <v>1556.0</v>
      </c>
      <c r="G4068" s="3">
        <f t="shared" si="2"/>
        <v>0.127897419</v>
      </c>
      <c r="H4068" s="2">
        <v>2665.0</v>
      </c>
      <c r="I4068" s="3">
        <f t="shared" si="3"/>
        <v>0.2190530988</v>
      </c>
      <c r="J4068" s="2">
        <v>2202.0</v>
      </c>
      <c r="K4068" s="3">
        <f t="shared" si="4"/>
        <v>0.180996219</v>
      </c>
      <c r="L4068" s="2">
        <v>1571.0</v>
      </c>
      <c r="M4068" s="3">
        <f t="shared" si="5"/>
        <v>0.5894934334</v>
      </c>
      <c r="N4068" s="2">
        <v>1.56607E7</v>
      </c>
      <c r="O4068" s="4">
        <f t="shared" si="6"/>
        <v>5876.435272</v>
      </c>
      <c r="P4068" s="2">
        <v>3.0</v>
      </c>
      <c r="Q4068" s="3">
        <f t="shared" si="7"/>
        <v>0.00264084507</v>
      </c>
      <c r="R4068" s="2">
        <v>1136.0</v>
      </c>
      <c r="S4068" s="5">
        <f t="shared" si="8"/>
        <v>1</v>
      </c>
    </row>
    <row r="4069">
      <c r="A4069" s="2" t="s">
        <v>4073</v>
      </c>
      <c r="B4069" s="2">
        <v>652.0</v>
      </c>
      <c r="C4069" s="2">
        <v>7728.0</v>
      </c>
      <c r="D4069" s="2">
        <v>2331.0</v>
      </c>
      <c r="E4069" s="3">
        <f t="shared" si="1"/>
        <v>0.3294234031</v>
      </c>
      <c r="F4069" s="2">
        <v>905.0</v>
      </c>
      <c r="G4069" s="3">
        <f t="shared" si="2"/>
        <v>0.127897117</v>
      </c>
      <c r="H4069" s="2">
        <v>1425.0</v>
      </c>
      <c r="I4069" s="3">
        <f t="shared" si="3"/>
        <v>0.2013849633</v>
      </c>
      <c r="J4069" s="2">
        <v>930.0</v>
      </c>
      <c r="K4069" s="3">
        <f t="shared" si="4"/>
        <v>0.1314301865</v>
      </c>
      <c r="L4069" s="2">
        <v>850.0</v>
      </c>
      <c r="M4069" s="3">
        <f t="shared" si="5"/>
        <v>0.5964912281</v>
      </c>
      <c r="N4069" s="2">
        <v>8096900.0</v>
      </c>
      <c r="O4069" s="4">
        <f t="shared" si="6"/>
        <v>5682.035088</v>
      </c>
      <c r="P4069" s="2">
        <v>1.0</v>
      </c>
      <c r="Q4069" s="3">
        <f t="shared" si="7"/>
        <v>0.001533742331</v>
      </c>
      <c r="R4069" s="2">
        <v>652.0</v>
      </c>
      <c r="S4069" s="5">
        <f t="shared" si="8"/>
        <v>1</v>
      </c>
    </row>
    <row r="4070">
      <c r="A4070" s="2" t="s">
        <v>4074</v>
      </c>
      <c r="B4070" s="2">
        <v>186.0</v>
      </c>
      <c r="C4070" s="2">
        <v>2172.0</v>
      </c>
      <c r="D4070" s="2">
        <v>653.0</v>
      </c>
      <c r="E4070" s="3">
        <f t="shared" si="1"/>
        <v>0.3288016113</v>
      </c>
      <c r="F4070" s="2">
        <v>254.0</v>
      </c>
      <c r="G4070" s="3">
        <f t="shared" si="2"/>
        <v>0.1278952669</v>
      </c>
      <c r="H4070" s="2">
        <v>410.0</v>
      </c>
      <c r="I4070" s="3">
        <f t="shared" si="3"/>
        <v>0.2064451158</v>
      </c>
      <c r="J4070" s="2">
        <v>347.0</v>
      </c>
      <c r="K4070" s="3">
        <f t="shared" si="4"/>
        <v>0.1747230614</v>
      </c>
      <c r="L4070" s="2">
        <v>244.0</v>
      </c>
      <c r="M4070" s="3">
        <f t="shared" si="5"/>
        <v>0.5951219512</v>
      </c>
      <c r="N4070" s="2">
        <v>2279700.0</v>
      </c>
      <c r="O4070" s="4">
        <f t="shared" si="6"/>
        <v>5560.243902</v>
      </c>
      <c r="P4070" s="2">
        <v>0.0</v>
      </c>
      <c r="Q4070" s="3">
        <f t="shared" si="7"/>
        <v>0</v>
      </c>
      <c r="R4070" s="2">
        <v>179.0</v>
      </c>
      <c r="S4070" s="5">
        <f t="shared" si="8"/>
        <v>0.9623655914</v>
      </c>
    </row>
    <row r="4071">
      <c r="A4071" s="2" t="s">
        <v>4075</v>
      </c>
      <c r="B4071" s="2">
        <v>82.0</v>
      </c>
      <c r="C4071" s="2">
        <v>989.0</v>
      </c>
      <c r="D4071" s="2">
        <v>329.0</v>
      </c>
      <c r="E4071" s="3">
        <f t="shared" si="1"/>
        <v>0.3627342889</v>
      </c>
      <c r="F4071" s="2">
        <v>116.0</v>
      </c>
      <c r="G4071" s="3">
        <f t="shared" si="2"/>
        <v>0.1278941566</v>
      </c>
      <c r="H4071" s="2">
        <v>171.0</v>
      </c>
      <c r="I4071" s="3">
        <f t="shared" si="3"/>
        <v>0.1885336273</v>
      </c>
      <c r="J4071" s="2">
        <v>128.0</v>
      </c>
      <c r="K4071" s="3">
        <f t="shared" si="4"/>
        <v>0.1411245865</v>
      </c>
      <c r="L4071" s="2">
        <v>105.0</v>
      </c>
      <c r="M4071" s="3">
        <f t="shared" si="5"/>
        <v>0.6140350877</v>
      </c>
      <c r="N4071" s="2">
        <v>931600.0</v>
      </c>
      <c r="O4071" s="4">
        <f t="shared" si="6"/>
        <v>5447.953216</v>
      </c>
      <c r="P4071" s="2">
        <v>1.0</v>
      </c>
      <c r="Q4071" s="3">
        <f t="shared" si="7"/>
        <v>0.01219512195</v>
      </c>
      <c r="R4071" s="2">
        <v>64.0</v>
      </c>
      <c r="S4071" s="5">
        <f t="shared" si="8"/>
        <v>0.7804878049</v>
      </c>
    </row>
    <row r="4072">
      <c r="A4072" s="2" t="s">
        <v>4076</v>
      </c>
      <c r="B4072" s="2">
        <v>559.0</v>
      </c>
      <c r="C4072" s="2">
        <v>6447.0</v>
      </c>
      <c r="D4072" s="2">
        <v>2067.0</v>
      </c>
      <c r="E4072" s="3">
        <f t="shared" si="1"/>
        <v>0.3510529891</v>
      </c>
      <c r="F4072" s="2">
        <v>753.0</v>
      </c>
      <c r="G4072" s="3">
        <f t="shared" si="2"/>
        <v>0.1278872283</v>
      </c>
      <c r="H4072" s="2">
        <v>1313.0</v>
      </c>
      <c r="I4072" s="3">
        <f t="shared" si="3"/>
        <v>0.2229959239</v>
      </c>
      <c r="J4072" s="2">
        <v>1167.0</v>
      </c>
      <c r="K4072" s="3">
        <f t="shared" si="4"/>
        <v>0.1981997283</v>
      </c>
      <c r="L4072" s="2">
        <v>797.0</v>
      </c>
      <c r="M4072" s="3">
        <f t="shared" si="5"/>
        <v>0.6070068545</v>
      </c>
      <c r="N4072" s="2">
        <v>7626600.0</v>
      </c>
      <c r="O4072" s="4">
        <f t="shared" si="6"/>
        <v>5808.530084</v>
      </c>
      <c r="P4072" s="2">
        <v>1.0</v>
      </c>
      <c r="Q4072" s="3">
        <f t="shared" si="7"/>
        <v>0.001788908766</v>
      </c>
      <c r="R4072" s="2">
        <v>559.0</v>
      </c>
      <c r="S4072" s="5">
        <f t="shared" si="8"/>
        <v>1</v>
      </c>
    </row>
    <row r="4073">
      <c r="A4073" s="2" t="s">
        <v>4077</v>
      </c>
      <c r="B4073" s="2">
        <v>54.0</v>
      </c>
      <c r="C4073" s="2">
        <v>617.0</v>
      </c>
      <c r="D4073" s="2">
        <v>223.0</v>
      </c>
      <c r="E4073" s="3">
        <f t="shared" si="1"/>
        <v>0.3960923623</v>
      </c>
      <c r="F4073" s="2">
        <v>72.0</v>
      </c>
      <c r="G4073" s="3">
        <f t="shared" si="2"/>
        <v>0.1278863233</v>
      </c>
      <c r="H4073" s="2">
        <v>116.0</v>
      </c>
      <c r="I4073" s="3">
        <f t="shared" si="3"/>
        <v>0.2060390764</v>
      </c>
      <c r="J4073" s="2">
        <v>106.0</v>
      </c>
      <c r="K4073" s="3">
        <f t="shared" si="4"/>
        <v>0.188277087</v>
      </c>
      <c r="L4073" s="2">
        <v>65.0</v>
      </c>
      <c r="M4073" s="3">
        <f t="shared" si="5"/>
        <v>0.5603448276</v>
      </c>
      <c r="N4073" s="2">
        <v>606900.0</v>
      </c>
      <c r="O4073" s="4">
        <f t="shared" si="6"/>
        <v>5231.896552</v>
      </c>
      <c r="P4073" s="2">
        <v>0.0</v>
      </c>
      <c r="Q4073" s="3">
        <f t="shared" si="7"/>
        <v>0</v>
      </c>
      <c r="R4073" s="2">
        <v>54.0</v>
      </c>
      <c r="S4073" s="5">
        <f t="shared" si="8"/>
        <v>1</v>
      </c>
    </row>
    <row r="4074">
      <c r="A4074" s="2" t="s">
        <v>4078</v>
      </c>
      <c r="B4074" s="2">
        <v>145.0</v>
      </c>
      <c r="C4074" s="2">
        <v>1756.0</v>
      </c>
      <c r="D4074" s="2">
        <v>631.0</v>
      </c>
      <c r="E4074" s="3">
        <f t="shared" si="1"/>
        <v>0.391682185</v>
      </c>
      <c r="F4074" s="2">
        <v>206.0</v>
      </c>
      <c r="G4074" s="3">
        <f t="shared" si="2"/>
        <v>0.1278708876</v>
      </c>
      <c r="H4074" s="2">
        <v>326.0</v>
      </c>
      <c r="I4074" s="3">
        <f t="shared" si="3"/>
        <v>0.2023587834</v>
      </c>
      <c r="J4074" s="2">
        <v>251.0</v>
      </c>
      <c r="K4074" s="3">
        <f t="shared" si="4"/>
        <v>0.1558038485</v>
      </c>
      <c r="L4074" s="2">
        <v>182.0</v>
      </c>
      <c r="M4074" s="3">
        <f t="shared" si="5"/>
        <v>0.5582822086</v>
      </c>
      <c r="N4074" s="2">
        <v>1759900.0</v>
      </c>
      <c r="O4074" s="4">
        <f t="shared" si="6"/>
        <v>5398.466258</v>
      </c>
      <c r="P4074" s="2">
        <v>0.0</v>
      </c>
      <c r="Q4074" s="3">
        <f t="shared" si="7"/>
        <v>0</v>
      </c>
      <c r="R4074" s="2">
        <v>145.0</v>
      </c>
      <c r="S4074" s="5">
        <f t="shared" si="8"/>
        <v>1</v>
      </c>
    </row>
    <row r="4075">
      <c r="A4075" s="2" t="s">
        <v>4079</v>
      </c>
      <c r="B4075" s="2">
        <v>475.0</v>
      </c>
      <c r="C4075" s="2">
        <v>5551.0</v>
      </c>
      <c r="D4075" s="2">
        <v>1095.0</v>
      </c>
      <c r="E4075" s="3">
        <f t="shared" si="1"/>
        <v>0.2157210402</v>
      </c>
      <c r="F4075" s="2">
        <v>649.0</v>
      </c>
      <c r="G4075" s="3">
        <f t="shared" si="2"/>
        <v>0.12785658</v>
      </c>
      <c r="H4075" s="2">
        <v>1044.0</v>
      </c>
      <c r="I4075" s="3">
        <f t="shared" si="3"/>
        <v>0.2056737589</v>
      </c>
      <c r="J4075" s="2">
        <v>821.0</v>
      </c>
      <c r="K4075" s="3">
        <f t="shared" si="4"/>
        <v>0.1617415288</v>
      </c>
      <c r="L4075" s="2">
        <v>640.0</v>
      </c>
      <c r="M4075" s="3">
        <f t="shared" si="5"/>
        <v>0.6130268199</v>
      </c>
      <c r="N4075" s="2">
        <v>6345100.0</v>
      </c>
      <c r="O4075" s="4">
        <f t="shared" si="6"/>
        <v>6077.681992</v>
      </c>
      <c r="P4075" s="2">
        <v>1.0</v>
      </c>
      <c r="Q4075" s="3">
        <f t="shared" si="7"/>
        <v>0.002105263158</v>
      </c>
      <c r="R4075" s="2">
        <v>297.0</v>
      </c>
      <c r="S4075" s="5">
        <f t="shared" si="8"/>
        <v>0.6252631579</v>
      </c>
    </row>
    <row r="4076">
      <c r="A4076" s="2" t="s">
        <v>4080</v>
      </c>
      <c r="B4076" s="2">
        <v>311.0</v>
      </c>
      <c r="C4076" s="2">
        <v>3682.0</v>
      </c>
      <c r="D4076" s="2">
        <v>1182.0</v>
      </c>
      <c r="E4076" s="3">
        <f t="shared" si="1"/>
        <v>0.3506377929</v>
      </c>
      <c r="F4076" s="2">
        <v>431.0</v>
      </c>
      <c r="G4076" s="3">
        <f t="shared" si="2"/>
        <v>0.1278552358</v>
      </c>
      <c r="H4076" s="2">
        <v>664.0</v>
      </c>
      <c r="I4076" s="3">
        <f t="shared" si="3"/>
        <v>0.1969741916</v>
      </c>
      <c r="J4076" s="2">
        <v>528.0</v>
      </c>
      <c r="K4076" s="3">
        <f t="shared" si="4"/>
        <v>0.1566300801</v>
      </c>
      <c r="L4076" s="2">
        <v>406.0</v>
      </c>
      <c r="M4076" s="3">
        <f t="shared" si="5"/>
        <v>0.6114457831</v>
      </c>
      <c r="N4076" s="2">
        <v>3871400.0</v>
      </c>
      <c r="O4076" s="4">
        <f t="shared" si="6"/>
        <v>5830.421687</v>
      </c>
      <c r="P4076" s="2">
        <v>0.0</v>
      </c>
      <c r="Q4076" s="3">
        <f t="shared" si="7"/>
        <v>0</v>
      </c>
      <c r="R4076" s="2">
        <v>311.0</v>
      </c>
      <c r="S4076" s="5">
        <f t="shared" si="8"/>
        <v>1</v>
      </c>
    </row>
    <row r="4077">
      <c r="A4077" s="2" t="s">
        <v>4081</v>
      </c>
      <c r="B4077" s="2">
        <v>1358.0</v>
      </c>
      <c r="C4077" s="2">
        <v>15859.0</v>
      </c>
      <c r="D4077" s="2">
        <v>5187.0</v>
      </c>
      <c r="E4077" s="3">
        <f t="shared" si="1"/>
        <v>0.357699469</v>
      </c>
      <c r="F4077" s="2">
        <v>1854.0</v>
      </c>
      <c r="G4077" s="3">
        <f t="shared" si="2"/>
        <v>0.1278532515</v>
      </c>
      <c r="H4077" s="2">
        <v>3157.0</v>
      </c>
      <c r="I4077" s="3">
        <f t="shared" si="3"/>
        <v>0.2177091235</v>
      </c>
      <c r="J4077" s="2">
        <v>2461.0</v>
      </c>
      <c r="K4077" s="3">
        <f t="shared" si="4"/>
        <v>0.1697124336</v>
      </c>
      <c r="L4077" s="2">
        <v>1894.0</v>
      </c>
      <c r="M4077" s="3">
        <f t="shared" si="5"/>
        <v>0.5999366487</v>
      </c>
      <c r="N4077" s="2">
        <v>1.75553E7</v>
      </c>
      <c r="O4077" s="4">
        <f t="shared" si="6"/>
        <v>5560.75388</v>
      </c>
      <c r="P4077" s="2">
        <v>4.0</v>
      </c>
      <c r="Q4077" s="3">
        <f t="shared" si="7"/>
        <v>0.0029455081</v>
      </c>
      <c r="R4077" s="2">
        <v>1357.0</v>
      </c>
      <c r="S4077" s="5">
        <f t="shared" si="8"/>
        <v>0.999263623</v>
      </c>
    </row>
    <row r="4078">
      <c r="A4078" s="2" t="s">
        <v>4082</v>
      </c>
      <c r="B4078" s="2">
        <v>895.0</v>
      </c>
      <c r="C4078" s="2">
        <v>10430.0</v>
      </c>
      <c r="D4078" s="2">
        <v>3332.0</v>
      </c>
      <c r="E4078" s="3">
        <f t="shared" si="1"/>
        <v>0.349449397</v>
      </c>
      <c r="F4078" s="2">
        <v>1219.0</v>
      </c>
      <c r="G4078" s="3">
        <f t="shared" si="2"/>
        <v>0.1278447824</v>
      </c>
      <c r="H4078" s="2">
        <v>2005.0</v>
      </c>
      <c r="I4078" s="3">
        <f t="shared" si="3"/>
        <v>0.2102779234</v>
      </c>
      <c r="J4078" s="2">
        <v>1656.0</v>
      </c>
      <c r="K4078" s="3">
        <f t="shared" si="4"/>
        <v>0.1736759308</v>
      </c>
      <c r="L4078" s="2">
        <v>1197.0</v>
      </c>
      <c r="M4078" s="3">
        <f t="shared" si="5"/>
        <v>0.5970074813</v>
      </c>
      <c r="N4078" s="2">
        <v>1.21001E7</v>
      </c>
      <c r="O4078" s="4">
        <f t="shared" si="6"/>
        <v>6034.962594</v>
      </c>
      <c r="P4078" s="2">
        <v>3.0</v>
      </c>
      <c r="Q4078" s="3">
        <f t="shared" si="7"/>
        <v>0.003351955307</v>
      </c>
      <c r="R4078" s="2">
        <v>895.0</v>
      </c>
      <c r="S4078" s="5">
        <f t="shared" si="8"/>
        <v>1</v>
      </c>
    </row>
    <row r="4079">
      <c r="A4079" s="2" t="s">
        <v>4083</v>
      </c>
      <c r="B4079" s="2">
        <v>752.0</v>
      </c>
      <c r="C4079" s="2">
        <v>8911.0</v>
      </c>
      <c r="D4079" s="2">
        <v>3091.0</v>
      </c>
      <c r="E4079" s="3">
        <f t="shared" si="1"/>
        <v>0.3788454467</v>
      </c>
      <c r="F4079" s="2">
        <v>1043.0</v>
      </c>
      <c r="G4079" s="3">
        <f t="shared" si="2"/>
        <v>0.1278342934</v>
      </c>
      <c r="H4079" s="2">
        <v>1657.0</v>
      </c>
      <c r="I4079" s="3">
        <f t="shared" si="3"/>
        <v>0.2030886138</v>
      </c>
      <c r="J4079" s="2">
        <v>1441.0</v>
      </c>
      <c r="K4079" s="3">
        <f t="shared" si="4"/>
        <v>0.1766147812</v>
      </c>
      <c r="L4079" s="2">
        <v>969.0</v>
      </c>
      <c r="M4079" s="3">
        <f t="shared" si="5"/>
        <v>0.5847917924</v>
      </c>
      <c r="N4079" s="2">
        <v>9251000.0</v>
      </c>
      <c r="O4079" s="4">
        <f t="shared" si="6"/>
        <v>5582.981291</v>
      </c>
      <c r="P4079" s="2">
        <v>0.0</v>
      </c>
      <c r="Q4079" s="3">
        <f t="shared" si="7"/>
        <v>0</v>
      </c>
      <c r="R4079" s="2">
        <v>752.0</v>
      </c>
      <c r="S4079" s="5">
        <f t="shared" si="8"/>
        <v>1</v>
      </c>
    </row>
    <row r="4080">
      <c r="A4080" s="2" t="s">
        <v>4084</v>
      </c>
      <c r="B4080" s="2">
        <v>307.0</v>
      </c>
      <c r="C4080" s="2">
        <v>3663.0</v>
      </c>
      <c r="D4080" s="2">
        <v>1345.0</v>
      </c>
      <c r="E4080" s="3">
        <f t="shared" si="1"/>
        <v>0.4007747318</v>
      </c>
      <c r="F4080" s="2">
        <v>429.0</v>
      </c>
      <c r="G4080" s="3">
        <f t="shared" si="2"/>
        <v>0.1278307509</v>
      </c>
      <c r="H4080" s="2">
        <v>762.0</v>
      </c>
      <c r="I4080" s="3">
        <f t="shared" si="3"/>
        <v>0.2270560191</v>
      </c>
      <c r="J4080" s="2">
        <v>567.0</v>
      </c>
      <c r="K4080" s="3">
        <f t="shared" si="4"/>
        <v>0.1689511323</v>
      </c>
      <c r="L4080" s="2">
        <v>454.0</v>
      </c>
      <c r="M4080" s="3">
        <f t="shared" si="5"/>
        <v>0.5958005249</v>
      </c>
      <c r="N4080" s="2">
        <v>4289000.0</v>
      </c>
      <c r="O4080" s="4">
        <f t="shared" si="6"/>
        <v>5628.608924</v>
      </c>
      <c r="P4080" s="2">
        <v>1.0</v>
      </c>
      <c r="Q4080" s="3">
        <f t="shared" si="7"/>
        <v>0.00325732899</v>
      </c>
      <c r="R4080" s="2">
        <v>134.0</v>
      </c>
      <c r="S4080" s="5">
        <f t="shared" si="8"/>
        <v>0.4364820847</v>
      </c>
    </row>
    <row r="4081">
      <c r="A4081" s="2" t="s">
        <v>4085</v>
      </c>
      <c r="B4081" s="2">
        <v>2622.0</v>
      </c>
      <c r="C4081" s="2">
        <v>30761.0</v>
      </c>
      <c r="D4081" s="2">
        <v>9619.0</v>
      </c>
      <c r="E4081" s="3">
        <f t="shared" si="1"/>
        <v>0.3418387292</v>
      </c>
      <c r="F4081" s="2">
        <v>3597.0</v>
      </c>
      <c r="G4081" s="3">
        <f t="shared" si="2"/>
        <v>0.1278297025</v>
      </c>
      <c r="H4081" s="2">
        <v>6125.0</v>
      </c>
      <c r="I4081" s="3">
        <f t="shared" si="3"/>
        <v>0.2176694268</v>
      </c>
      <c r="J4081" s="2">
        <v>5055.0</v>
      </c>
      <c r="K4081" s="3">
        <f t="shared" si="4"/>
        <v>0.1796439106</v>
      </c>
      <c r="L4081" s="2">
        <v>3675.0</v>
      </c>
      <c r="M4081" s="3">
        <f t="shared" si="5"/>
        <v>0.6</v>
      </c>
      <c r="N4081" s="2">
        <v>3.43424E7</v>
      </c>
      <c r="O4081" s="4">
        <f t="shared" si="6"/>
        <v>5606.922449</v>
      </c>
      <c r="P4081" s="2">
        <v>4.0</v>
      </c>
      <c r="Q4081" s="3">
        <f t="shared" si="7"/>
        <v>0.001525553013</v>
      </c>
      <c r="R4081" s="2">
        <v>1212.0</v>
      </c>
      <c r="S4081" s="5">
        <f t="shared" si="8"/>
        <v>0.4622425629</v>
      </c>
    </row>
    <row r="4082">
      <c r="A4082" s="2" t="s">
        <v>4086</v>
      </c>
      <c r="B4082" s="2">
        <v>359.0</v>
      </c>
      <c r="C4082" s="2">
        <v>4247.0</v>
      </c>
      <c r="D4082" s="2">
        <v>1592.0</v>
      </c>
      <c r="E4082" s="3">
        <f t="shared" si="1"/>
        <v>0.4094650206</v>
      </c>
      <c r="F4082" s="2">
        <v>497.0</v>
      </c>
      <c r="G4082" s="3">
        <f t="shared" si="2"/>
        <v>0.1278292181</v>
      </c>
      <c r="H4082" s="2">
        <v>860.0</v>
      </c>
      <c r="I4082" s="3">
        <f t="shared" si="3"/>
        <v>0.2211934156</v>
      </c>
      <c r="J4082" s="2">
        <v>639.0</v>
      </c>
      <c r="K4082" s="3">
        <f t="shared" si="4"/>
        <v>0.1643518519</v>
      </c>
      <c r="L4082" s="2">
        <v>533.0</v>
      </c>
      <c r="M4082" s="3">
        <f t="shared" si="5"/>
        <v>0.6197674419</v>
      </c>
      <c r="N4082" s="2">
        <v>4600700.0</v>
      </c>
      <c r="O4082" s="4">
        <f t="shared" si="6"/>
        <v>5349.651163</v>
      </c>
      <c r="P4082" s="2">
        <v>0.0</v>
      </c>
      <c r="Q4082" s="3">
        <f t="shared" si="7"/>
        <v>0</v>
      </c>
      <c r="R4082" s="2">
        <v>358.0</v>
      </c>
      <c r="S4082" s="5">
        <f t="shared" si="8"/>
        <v>0.9972144847</v>
      </c>
    </row>
    <row r="4083">
      <c r="A4083" s="2" t="s">
        <v>4087</v>
      </c>
      <c r="B4083" s="2">
        <v>313.0</v>
      </c>
      <c r="C4083" s="2">
        <v>3677.0</v>
      </c>
      <c r="D4083" s="2">
        <v>1000.0</v>
      </c>
      <c r="E4083" s="3">
        <f t="shared" si="1"/>
        <v>0.2972651605</v>
      </c>
      <c r="F4083" s="2">
        <v>430.0</v>
      </c>
      <c r="G4083" s="3">
        <f t="shared" si="2"/>
        <v>0.127824019</v>
      </c>
      <c r="H4083" s="2">
        <v>656.0</v>
      </c>
      <c r="I4083" s="3">
        <f t="shared" si="3"/>
        <v>0.1950059453</v>
      </c>
      <c r="J4083" s="2">
        <v>566.0</v>
      </c>
      <c r="K4083" s="3">
        <f t="shared" si="4"/>
        <v>0.1682520809</v>
      </c>
      <c r="L4083" s="2">
        <v>379.0</v>
      </c>
      <c r="M4083" s="3">
        <f t="shared" si="5"/>
        <v>0.5777439024</v>
      </c>
      <c r="N4083" s="2">
        <v>3979400.0</v>
      </c>
      <c r="O4083" s="4">
        <f t="shared" si="6"/>
        <v>6066.158537</v>
      </c>
      <c r="P4083" s="2">
        <v>0.0</v>
      </c>
      <c r="Q4083" s="3">
        <f t="shared" si="7"/>
        <v>0</v>
      </c>
      <c r="R4083" s="2">
        <v>313.0</v>
      </c>
      <c r="S4083" s="5">
        <f t="shared" si="8"/>
        <v>1</v>
      </c>
    </row>
    <row r="4084">
      <c r="A4084" s="2" t="s">
        <v>4088</v>
      </c>
      <c r="B4084" s="2">
        <v>48.0</v>
      </c>
      <c r="C4084" s="2">
        <v>580.0</v>
      </c>
      <c r="D4084" s="2">
        <v>171.0</v>
      </c>
      <c r="E4084" s="3">
        <f t="shared" si="1"/>
        <v>0.3214285714</v>
      </c>
      <c r="F4084" s="2">
        <v>68.0</v>
      </c>
      <c r="G4084" s="3">
        <f t="shared" si="2"/>
        <v>0.1278195489</v>
      </c>
      <c r="H4084" s="2">
        <v>110.0</v>
      </c>
      <c r="I4084" s="3">
        <f t="shared" si="3"/>
        <v>0.2067669173</v>
      </c>
      <c r="J4084" s="2">
        <v>100.0</v>
      </c>
      <c r="K4084" s="3">
        <f t="shared" si="4"/>
        <v>0.1879699248</v>
      </c>
      <c r="L4084" s="2">
        <v>62.0</v>
      </c>
      <c r="M4084" s="3">
        <f t="shared" si="5"/>
        <v>0.5636363636</v>
      </c>
      <c r="N4084" s="2">
        <v>589000.0</v>
      </c>
      <c r="O4084" s="4">
        <f t="shared" si="6"/>
        <v>5354.545455</v>
      </c>
      <c r="P4084" s="2">
        <v>0.0</v>
      </c>
      <c r="Q4084" s="3">
        <f t="shared" si="7"/>
        <v>0</v>
      </c>
      <c r="R4084" s="2">
        <v>48.0</v>
      </c>
      <c r="S4084" s="5">
        <f t="shared" si="8"/>
        <v>1</v>
      </c>
    </row>
    <row r="4085">
      <c r="A4085" s="2" t="s">
        <v>4089</v>
      </c>
      <c r="B4085" s="2">
        <v>112.0</v>
      </c>
      <c r="C4085" s="2">
        <v>1309.0</v>
      </c>
      <c r="D4085" s="2">
        <v>508.0</v>
      </c>
      <c r="E4085" s="3">
        <f t="shared" si="1"/>
        <v>0.4243943191</v>
      </c>
      <c r="F4085" s="2">
        <v>153.0</v>
      </c>
      <c r="G4085" s="3">
        <f t="shared" si="2"/>
        <v>0.1278195489</v>
      </c>
      <c r="H4085" s="2">
        <v>290.0</v>
      </c>
      <c r="I4085" s="3">
        <f t="shared" si="3"/>
        <v>0.2422723475</v>
      </c>
      <c r="J4085" s="2">
        <v>204.0</v>
      </c>
      <c r="K4085" s="3">
        <f t="shared" si="4"/>
        <v>0.1704260652</v>
      </c>
      <c r="L4085" s="2">
        <v>179.0</v>
      </c>
      <c r="M4085" s="3">
        <f t="shared" si="5"/>
        <v>0.6172413793</v>
      </c>
      <c r="N4085" s="2">
        <v>1593900.0</v>
      </c>
      <c r="O4085" s="4">
        <f t="shared" si="6"/>
        <v>5496.206897</v>
      </c>
      <c r="P4085" s="2">
        <v>0.0</v>
      </c>
      <c r="Q4085" s="3">
        <f t="shared" si="7"/>
        <v>0</v>
      </c>
      <c r="R4085" s="2">
        <v>112.0</v>
      </c>
      <c r="S4085" s="5">
        <f t="shared" si="8"/>
        <v>1</v>
      </c>
    </row>
    <row r="4086">
      <c r="A4086" s="2" t="s">
        <v>4090</v>
      </c>
      <c r="B4086" s="2">
        <v>1817.0</v>
      </c>
      <c r="C4086" s="2">
        <v>21298.0</v>
      </c>
      <c r="D4086" s="2">
        <v>6929.0</v>
      </c>
      <c r="E4086" s="3">
        <f t="shared" si="1"/>
        <v>0.3556798932</v>
      </c>
      <c r="F4086" s="2">
        <v>2490.0</v>
      </c>
      <c r="G4086" s="3">
        <f t="shared" si="2"/>
        <v>0.1278168472</v>
      </c>
      <c r="H4086" s="2">
        <v>4188.0</v>
      </c>
      <c r="I4086" s="3">
        <f t="shared" si="3"/>
        <v>0.2149786972</v>
      </c>
      <c r="J4086" s="2">
        <v>3794.0</v>
      </c>
      <c r="K4086" s="3">
        <f t="shared" si="4"/>
        <v>0.1947538627</v>
      </c>
      <c r="L4086" s="2">
        <v>2447.0</v>
      </c>
      <c r="M4086" s="3">
        <f t="shared" si="5"/>
        <v>0.5842884432</v>
      </c>
      <c r="N4086" s="2">
        <v>2.46721E7</v>
      </c>
      <c r="O4086" s="4">
        <f t="shared" si="6"/>
        <v>5891.141356</v>
      </c>
      <c r="P4086" s="2">
        <v>2.0</v>
      </c>
      <c r="Q4086" s="3">
        <f t="shared" si="7"/>
        <v>0.001100715465</v>
      </c>
      <c r="R4086" s="2">
        <v>1731.0</v>
      </c>
      <c r="S4086" s="5">
        <f t="shared" si="8"/>
        <v>0.952669235</v>
      </c>
    </row>
    <row r="4087">
      <c r="A4087" s="2" t="s">
        <v>4091</v>
      </c>
      <c r="B4087" s="2">
        <v>714.0</v>
      </c>
      <c r="C4087" s="2">
        <v>8264.0</v>
      </c>
      <c r="D4087" s="2">
        <v>2836.0</v>
      </c>
      <c r="E4087" s="3">
        <f t="shared" si="1"/>
        <v>0.3756291391</v>
      </c>
      <c r="F4087" s="2">
        <v>965.0</v>
      </c>
      <c r="G4087" s="3">
        <f t="shared" si="2"/>
        <v>0.1278145695</v>
      </c>
      <c r="H4087" s="2">
        <v>1547.0</v>
      </c>
      <c r="I4087" s="3">
        <f t="shared" si="3"/>
        <v>0.2049006623</v>
      </c>
      <c r="J4087" s="2">
        <v>1198.0</v>
      </c>
      <c r="K4087" s="3">
        <f t="shared" si="4"/>
        <v>0.1586754967</v>
      </c>
      <c r="L4087" s="2">
        <v>930.0</v>
      </c>
      <c r="M4087" s="3">
        <f t="shared" si="5"/>
        <v>0.6011635423</v>
      </c>
      <c r="N4087" s="2">
        <v>9061200.0</v>
      </c>
      <c r="O4087" s="4">
        <f t="shared" si="6"/>
        <v>5857.27214</v>
      </c>
      <c r="P4087" s="2">
        <v>0.0</v>
      </c>
      <c r="Q4087" s="3">
        <f t="shared" si="7"/>
        <v>0</v>
      </c>
      <c r="R4087" s="2">
        <v>714.0</v>
      </c>
      <c r="S4087" s="5">
        <f t="shared" si="8"/>
        <v>1</v>
      </c>
    </row>
    <row r="4088">
      <c r="A4088" s="2" t="s">
        <v>4092</v>
      </c>
      <c r="B4088" s="2">
        <v>186.0</v>
      </c>
      <c r="C4088" s="2">
        <v>2275.0</v>
      </c>
      <c r="D4088" s="2">
        <v>666.0</v>
      </c>
      <c r="E4088" s="3">
        <f t="shared" si="1"/>
        <v>0.3188128291</v>
      </c>
      <c r="F4088" s="2">
        <v>267.0</v>
      </c>
      <c r="G4088" s="3">
        <f t="shared" si="2"/>
        <v>0.1278123504</v>
      </c>
      <c r="H4088" s="2">
        <v>421.0</v>
      </c>
      <c r="I4088" s="3">
        <f t="shared" si="3"/>
        <v>0.2015318334</v>
      </c>
      <c r="J4088" s="2">
        <v>324.0</v>
      </c>
      <c r="K4088" s="3">
        <f t="shared" si="4"/>
        <v>0.1550981331</v>
      </c>
      <c r="L4088" s="2">
        <v>248.0</v>
      </c>
      <c r="M4088" s="3">
        <f t="shared" si="5"/>
        <v>0.5890736342</v>
      </c>
      <c r="N4088" s="2">
        <v>2442900.0</v>
      </c>
      <c r="O4088" s="4">
        <f t="shared" si="6"/>
        <v>5802.612827</v>
      </c>
      <c r="P4088" s="2">
        <v>0.0</v>
      </c>
      <c r="Q4088" s="3">
        <f t="shared" si="7"/>
        <v>0</v>
      </c>
      <c r="R4088" s="2">
        <v>186.0</v>
      </c>
      <c r="S4088" s="5">
        <f t="shared" si="8"/>
        <v>1</v>
      </c>
    </row>
    <row r="4089">
      <c r="A4089" s="2" t="s">
        <v>4093</v>
      </c>
      <c r="B4089" s="2">
        <v>79.0</v>
      </c>
      <c r="C4089" s="2">
        <v>924.0</v>
      </c>
      <c r="D4089" s="2">
        <v>264.0</v>
      </c>
      <c r="E4089" s="3">
        <f t="shared" si="1"/>
        <v>0.3124260355</v>
      </c>
      <c r="F4089" s="2">
        <v>108.0</v>
      </c>
      <c r="G4089" s="3">
        <f t="shared" si="2"/>
        <v>0.1278106509</v>
      </c>
      <c r="H4089" s="2">
        <v>162.0</v>
      </c>
      <c r="I4089" s="3">
        <f t="shared" si="3"/>
        <v>0.1917159763</v>
      </c>
      <c r="J4089" s="2">
        <v>172.0</v>
      </c>
      <c r="K4089" s="3">
        <f t="shared" si="4"/>
        <v>0.2035502959</v>
      </c>
      <c r="L4089" s="2">
        <v>101.0</v>
      </c>
      <c r="M4089" s="3">
        <f t="shared" si="5"/>
        <v>0.6234567901</v>
      </c>
      <c r="N4089" s="2">
        <v>1034400.0</v>
      </c>
      <c r="O4089" s="4">
        <f t="shared" si="6"/>
        <v>6385.185185</v>
      </c>
      <c r="P4089" s="2">
        <v>0.0</v>
      </c>
      <c r="Q4089" s="3">
        <f t="shared" si="7"/>
        <v>0</v>
      </c>
      <c r="R4089" s="2">
        <v>79.0</v>
      </c>
      <c r="S4089" s="5">
        <f t="shared" si="8"/>
        <v>1</v>
      </c>
    </row>
    <row r="4090">
      <c r="A4090" s="2" t="s">
        <v>4094</v>
      </c>
      <c r="B4090" s="2">
        <v>278.0</v>
      </c>
      <c r="C4090" s="2">
        <v>3220.0</v>
      </c>
      <c r="D4090" s="2">
        <v>1150.0</v>
      </c>
      <c r="E4090" s="3">
        <f t="shared" si="1"/>
        <v>0.3908905506</v>
      </c>
      <c r="F4090" s="2">
        <v>376.0</v>
      </c>
      <c r="G4090" s="3">
        <f t="shared" si="2"/>
        <v>0.1278042148</v>
      </c>
      <c r="H4090" s="2">
        <v>594.0</v>
      </c>
      <c r="I4090" s="3">
        <f t="shared" si="3"/>
        <v>0.201903467</v>
      </c>
      <c r="J4090" s="2">
        <v>476.0</v>
      </c>
      <c r="K4090" s="3">
        <f t="shared" si="4"/>
        <v>0.1617946975</v>
      </c>
      <c r="L4090" s="2">
        <v>349.0</v>
      </c>
      <c r="M4090" s="3">
        <f t="shared" si="5"/>
        <v>0.5875420875</v>
      </c>
      <c r="N4090" s="2">
        <v>3244900.0</v>
      </c>
      <c r="O4090" s="4">
        <f t="shared" si="6"/>
        <v>5462.794613</v>
      </c>
      <c r="P4090" s="2">
        <v>1.0</v>
      </c>
      <c r="Q4090" s="3">
        <f t="shared" si="7"/>
        <v>0.003597122302</v>
      </c>
      <c r="R4090" s="2">
        <v>278.0</v>
      </c>
      <c r="S4090" s="5">
        <f t="shared" si="8"/>
        <v>1</v>
      </c>
    </row>
    <row r="4091">
      <c r="A4091" s="2" t="s">
        <v>4095</v>
      </c>
      <c r="B4091" s="2">
        <v>267.0</v>
      </c>
      <c r="C4091" s="2">
        <v>3217.0</v>
      </c>
      <c r="D4091" s="2">
        <v>1217.0</v>
      </c>
      <c r="E4091" s="3">
        <f t="shared" si="1"/>
        <v>0.4125423729</v>
      </c>
      <c r="F4091" s="2">
        <v>377.0</v>
      </c>
      <c r="G4091" s="3">
        <f t="shared" si="2"/>
        <v>0.1277966102</v>
      </c>
      <c r="H4091" s="2">
        <v>590.0</v>
      </c>
      <c r="I4091" s="3">
        <f t="shared" si="3"/>
        <v>0.2</v>
      </c>
      <c r="J4091" s="2">
        <v>429.0</v>
      </c>
      <c r="K4091" s="3">
        <f t="shared" si="4"/>
        <v>0.1454237288</v>
      </c>
      <c r="L4091" s="2">
        <v>360.0</v>
      </c>
      <c r="M4091" s="3">
        <f t="shared" si="5"/>
        <v>0.6101694915</v>
      </c>
      <c r="N4091" s="2">
        <v>3225600.0</v>
      </c>
      <c r="O4091" s="4">
        <f t="shared" si="6"/>
        <v>5467.118644</v>
      </c>
      <c r="P4091" s="2">
        <v>0.0</v>
      </c>
      <c r="Q4091" s="3">
        <f t="shared" si="7"/>
        <v>0</v>
      </c>
      <c r="R4091" s="2">
        <v>0.0</v>
      </c>
      <c r="S4091" s="5">
        <f t="shared" si="8"/>
        <v>0</v>
      </c>
    </row>
    <row r="4092">
      <c r="A4092" s="2" t="s">
        <v>4096</v>
      </c>
      <c r="B4092" s="2">
        <v>530.0</v>
      </c>
      <c r="C4092" s="2">
        <v>6157.0</v>
      </c>
      <c r="D4092" s="2">
        <v>1511.0</v>
      </c>
      <c r="E4092" s="3">
        <f t="shared" si="1"/>
        <v>0.268526746</v>
      </c>
      <c r="F4092" s="2">
        <v>719.0</v>
      </c>
      <c r="G4092" s="3">
        <f t="shared" si="2"/>
        <v>0.1277767905</v>
      </c>
      <c r="H4092" s="2">
        <v>1106.0</v>
      </c>
      <c r="I4092" s="3">
        <f t="shared" si="3"/>
        <v>0.1965523369</v>
      </c>
      <c r="J4092" s="2">
        <v>1057.0</v>
      </c>
      <c r="K4092" s="3">
        <f t="shared" si="4"/>
        <v>0.187844322</v>
      </c>
      <c r="L4092" s="2">
        <v>641.0</v>
      </c>
      <c r="M4092" s="3">
        <f t="shared" si="5"/>
        <v>0.5795660036</v>
      </c>
      <c r="N4092" s="2">
        <v>6524700.0</v>
      </c>
      <c r="O4092" s="4">
        <f t="shared" si="6"/>
        <v>5899.367089</v>
      </c>
      <c r="P4092" s="2">
        <v>1.0</v>
      </c>
      <c r="Q4092" s="3">
        <f t="shared" si="7"/>
        <v>0.001886792453</v>
      </c>
      <c r="R4092" s="2">
        <v>530.0</v>
      </c>
      <c r="S4092" s="5">
        <f t="shared" si="8"/>
        <v>1</v>
      </c>
    </row>
    <row r="4093">
      <c r="A4093" s="2" t="s">
        <v>4097</v>
      </c>
      <c r="B4093" s="2">
        <v>350.0</v>
      </c>
      <c r="C4093" s="2">
        <v>4185.0</v>
      </c>
      <c r="D4093" s="2">
        <v>1305.0</v>
      </c>
      <c r="E4093" s="3">
        <f t="shared" si="1"/>
        <v>0.3402868318</v>
      </c>
      <c r="F4093" s="2">
        <v>490.0</v>
      </c>
      <c r="G4093" s="3">
        <f t="shared" si="2"/>
        <v>0.1277705346</v>
      </c>
      <c r="H4093" s="2">
        <v>799.0</v>
      </c>
      <c r="I4093" s="3">
        <f t="shared" si="3"/>
        <v>0.2083441982</v>
      </c>
      <c r="J4093" s="2">
        <v>728.0</v>
      </c>
      <c r="K4093" s="3">
        <f t="shared" si="4"/>
        <v>0.1898305085</v>
      </c>
      <c r="L4093" s="2">
        <v>454.0</v>
      </c>
      <c r="M4093" s="3">
        <f t="shared" si="5"/>
        <v>0.5682102628</v>
      </c>
      <c r="N4093" s="2">
        <v>4520400.0</v>
      </c>
      <c r="O4093" s="4">
        <f t="shared" si="6"/>
        <v>5657.571965</v>
      </c>
      <c r="P4093" s="2">
        <v>0.0</v>
      </c>
      <c r="Q4093" s="3">
        <f t="shared" si="7"/>
        <v>0</v>
      </c>
      <c r="R4093" s="2">
        <v>350.0</v>
      </c>
      <c r="S4093" s="5">
        <f t="shared" si="8"/>
        <v>1</v>
      </c>
    </row>
    <row r="4094">
      <c r="A4094" s="2" t="s">
        <v>4098</v>
      </c>
      <c r="B4094" s="2">
        <v>1559.0</v>
      </c>
      <c r="C4094" s="2">
        <v>18317.0</v>
      </c>
      <c r="D4094" s="2">
        <v>4800.0</v>
      </c>
      <c r="E4094" s="3">
        <f t="shared" si="1"/>
        <v>0.2864303616</v>
      </c>
      <c r="F4094" s="2">
        <v>2141.0</v>
      </c>
      <c r="G4094" s="3">
        <f t="shared" si="2"/>
        <v>0.1277598759</v>
      </c>
      <c r="H4094" s="2">
        <v>3304.0</v>
      </c>
      <c r="I4094" s="3">
        <f t="shared" si="3"/>
        <v>0.1971595656</v>
      </c>
      <c r="J4094" s="2">
        <v>3003.0</v>
      </c>
      <c r="K4094" s="3">
        <f t="shared" si="4"/>
        <v>0.179197995</v>
      </c>
      <c r="L4094" s="2">
        <v>1952.0</v>
      </c>
      <c r="M4094" s="3">
        <f t="shared" si="5"/>
        <v>0.5907990315</v>
      </c>
      <c r="N4094" s="2">
        <v>2.02306E7</v>
      </c>
      <c r="O4094" s="4">
        <f t="shared" si="6"/>
        <v>6123.062954</v>
      </c>
      <c r="P4094" s="2">
        <v>1.0</v>
      </c>
      <c r="Q4094" s="3">
        <f t="shared" si="7"/>
        <v>0.0006414368185</v>
      </c>
      <c r="R4094" s="2">
        <v>1559.0</v>
      </c>
      <c r="S4094" s="5">
        <f t="shared" si="8"/>
        <v>1</v>
      </c>
    </row>
    <row r="4095">
      <c r="A4095" s="2" t="s">
        <v>4099</v>
      </c>
      <c r="B4095" s="2">
        <v>332.0</v>
      </c>
      <c r="C4095" s="2">
        <v>3917.0</v>
      </c>
      <c r="D4095" s="2">
        <v>1057.0</v>
      </c>
      <c r="E4095" s="3">
        <f t="shared" si="1"/>
        <v>0.2948396095</v>
      </c>
      <c r="F4095" s="2">
        <v>458.0</v>
      </c>
      <c r="G4095" s="3">
        <f t="shared" si="2"/>
        <v>0.1277545328</v>
      </c>
      <c r="H4095" s="2">
        <v>740.0</v>
      </c>
      <c r="I4095" s="3">
        <f t="shared" si="3"/>
        <v>0.2064156206</v>
      </c>
      <c r="J4095" s="2">
        <v>637.0</v>
      </c>
      <c r="K4095" s="3">
        <f t="shared" si="4"/>
        <v>0.1776847978</v>
      </c>
      <c r="L4095" s="2">
        <v>436.0</v>
      </c>
      <c r="M4095" s="3">
        <f t="shared" si="5"/>
        <v>0.5891891892</v>
      </c>
      <c r="N4095" s="2">
        <v>4214000.0</v>
      </c>
      <c r="O4095" s="4">
        <f t="shared" si="6"/>
        <v>5694.594595</v>
      </c>
      <c r="P4095" s="2">
        <v>2.0</v>
      </c>
      <c r="Q4095" s="3">
        <f t="shared" si="7"/>
        <v>0.006024096386</v>
      </c>
      <c r="R4095" s="2">
        <v>332.0</v>
      </c>
      <c r="S4095" s="5">
        <f t="shared" si="8"/>
        <v>1</v>
      </c>
    </row>
    <row r="4096">
      <c r="A4096" s="2" t="s">
        <v>4100</v>
      </c>
      <c r="B4096" s="2">
        <v>102.0</v>
      </c>
      <c r="C4096" s="2">
        <v>1237.0</v>
      </c>
      <c r="D4096" s="2">
        <v>445.0</v>
      </c>
      <c r="E4096" s="3">
        <f t="shared" si="1"/>
        <v>0.3920704846</v>
      </c>
      <c r="F4096" s="2">
        <v>145.0</v>
      </c>
      <c r="G4096" s="3">
        <f t="shared" si="2"/>
        <v>0.127753304</v>
      </c>
      <c r="H4096" s="2">
        <v>240.0</v>
      </c>
      <c r="I4096" s="3">
        <f t="shared" si="3"/>
        <v>0.2114537445</v>
      </c>
      <c r="J4096" s="2">
        <v>190.0</v>
      </c>
      <c r="K4096" s="3">
        <f t="shared" si="4"/>
        <v>0.1674008811</v>
      </c>
      <c r="L4096" s="2">
        <v>145.0</v>
      </c>
      <c r="M4096" s="3">
        <f t="shared" si="5"/>
        <v>0.6041666667</v>
      </c>
      <c r="N4096" s="2">
        <v>1386200.0</v>
      </c>
      <c r="O4096" s="4">
        <f t="shared" si="6"/>
        <v>5775.833333</v>
      </c>
      <c r="P4096" s="2">
        <v>0.0</v>
      </c>
      <c r="Q4096" s="3">
        <f t="shared" si="7"/>
        <v>0</v>
      </c>
      <c r="R4096" s="2">
        <v>102.0</v>
      </c>
      <c r="S4096" s="5">
        <f t="shared" si="8"/>
        <v>1</v>
      </c>
    </row>
    <row r="4097">
      <c r="A4097" s="2" t="s">
        <v>4101</v>
      </c>
      <c r="B4097" s="2">
        <v>41.0</v>
      </c>
      <c r="C4097" s="2">
        <v>495.0</v>
      </c>
      <c r="D4097" s="2">
        <v>157.0</v>
      </c>
      <c r="E4097" s="3">
        <f t="shared" si="1"/>
        <v>0.345814978</v>
      </c>
      <c r="F4097" s="2">
        <v>58.0</v>
      </c>
      <c r="G4097" s="3">
        <f t="shared" si="2"/>
        <v>0.127753304</v>
      </c>
      <c r="H4097" s="2">
        <v>83.0</v>
      </c>
      <c r="I4097" s="3">
        <f t="shared" si="3"/>
        <v>0.1828193833</v>
      </c>
      <c r="J4097" s="2">
        <v>70.0</v>
      </c>
      <c r="K4097" s="3">
        <f t="shared" si="4"/>
        <v>0.154185022</v>
      </c>
      <c r="L4097" s="2">
        <v>46.0</v>
      </c>
      <c r="M4097" s="3">
        <f t="shared" si="5"/>
        <v>0.5542168675</v>
      </c>
      <c r="N4097" s="2">
        <v>474900.0</v>
      </c>
      <c r="O4097" s="4">
        <f t="shared" si="6"/>
        <v>5721.686747</v>
      </c>
      <c r="P4097" s="2">
        <v>0.0</v>
      </c>
      <c r="Q4097" s="3">
        <f t="shared" si="7"/>
        <v>0</v>
      </c>
      <c r="R4097" s="2">
        <v>41.0</v>
      </c>
      <c r="S4097" s="5">
        <f t="shared" si="8"/>
        <v>1</v>
      </c>
    </row>
    <row r="4098">
      <c r="A4098" s="2" t="s">
        <v>4102</v>
      </c>
      <c r="B4098" s="2">
        <v>20.0</v>
      </c>
      <c r="C4098" s="2">
        <v>247.0</v>
      </c>
      <c r="D4098" s="2">
        <v>80.0</v>
      </c>
      <c r="E4098" s="3">
        <f t="shared" si="1"/>
        <v>0.3524229075</v>
      </c>
      <c r="F4098" s="2">
        <v>29.0</v>
      </c>
      <c r="G4098" s="3">
        <f t="shared" si="2"/>
        <v>0.127753304</v>
      </c>
      <c r="H4098" s="2">
        <v>44.0</v>
      </c>
      <c r="I4098" s="3">
        <f t="shared" si="3"/>
        <v>0.1938325991</v>
      </c>
      <c r="J4098" s="2">
        <v>31.0</v>
      </c>
      <c r="K4098" s="3">
        <f t="shared" si="4"/>
        <v>0.1365638767</v>
      </c>
      <c r="L4098" s="2">
        <v>28.0</v>
      </c>
      <c r="M4098" s="3">
        <f t="shared" si="5"/>
        <v>0.6363636364</v>
      </c>
      <c r="N4098" s="2">
        <v>225100.0</v>
      </c>
      <c r="O4098" s="4">
        <f t="shared" si="6"/>
        <v>5115.909091</v>
      </c>
      <c r="P4098" s="2">
        <v>0.0</v>
      </c>
      <c r="Q4098" s="3">
        <f t="shared" si="7"/>
        <v>0</v>
      </c>
      <c r="R4098" s="2">
        <v>20.0</v>
      </c>
      <c r="S4098" s="5">
        <f t="shared" si="8"/>
        <v>1</v>
      </c>
    </row>
    <row r="4099">
      <c r="A4099" s="2" t="s">
        <v>4103</v>
      </c>
      <c r="B4099" s="2">
        <v>131.0</v>
      </c>
      <c r="C4099" s="2">
        <v>1540.0</v>
      </c>
      <c r="D4099" s="2">
        <v>502.0</v>
      </c>
      <c r="E4099" s="3">
        <f t="shared" si="1"/>
        <v>0.3562810504</v>
      </c>
      <c r="F4099" s="2">
        <v>180.0</v>
      </c>
      <c r="G4099" s="3">
        <f t="shared" si="2"/>
        <v>0.1277501774</v>
      </c>
      <c r="H4099" s="2">
        <v>285.0</v>
      </c>
      <c r="I4099" s="3">
        <f t="shared" si="3"/>
        <v>0.2022711143</v>
      </c>
      <c r="J4099" s="2">
        <v>258.0</v>
      </c>
      <c r="K4099" s="3">
        <f t="shared" si="4"/>
        <v>0.1831085877</v>
      </c>
      <c r="L4099" s="2">
        <v>183.0</v>
      </c>
      <c r="M4099" s="3">
        <f t="shared" si="5"/>
        <v>0.6421052632</v>
      </c>
      <c r="N4099" s="2">
        <v>1668300.0</v>
      </c>
      <c r="O4099" s="4">
        <f t="shared" si="6"/>
        <v>5853.684211</v>
      </c>
      <c r="P4099" s="2">
        <v>0.0</v>
      </c>
      <c r="Q4099" s="3">
        <f t="shared" si="7"/>
        <v>0</v>
      </c>
      <c r="R4099" s="2">
        <v>2.0</v>
      </c>
      <c r="S4099" s="5">
        <f t="shared" si="8"/>
        <v>0.01526717557</v>
      </c>
    </row>
    <row r="4100">
      <c r="A4100" s="2" t="s">
        <v>4104</v>
      </c>
      <c r="B4100" s="2">
        <v>554.0</v>
      </c>
      <c r="C4100" s="2">
        <v>6519.0</v>
      </c>
      <c r="D4100" s="2">
        <v>2319.0</v>
      </c>
      <c r="E4100" s="3">
        <f t="shared" si="1"/>
        <v>0.3887678122</v>
      </c>
      <c r="F4100" s="2">
        <v>762.0</v>
      </c>
      <c r="G4100" s="3">
        <f t="shared" si="2"/>
        <v>0.1277451802</v>
      </c>
      <c r="H4100" s="2">
        <v>1244.0</v>
      </c>
      <c r="I4100" s="3">
        <f t="shared" si="3"/>
        <v>0.2085498743</v>
      </c>
      <c r="J4100" s="2">
        <v>1083.0</v>
      </c>
      <c r="K4100" s="3">
        <f t="shared" si="4"/>
        <v>0.1815590947</v>
      </c>
      <c r="L4100" s="2">
        <v>745.0</v>
      </c>
      <c r="M4100" s="3">
        <f t="shared" si="5"/>
        <v>0.5988745981</v>
      </c>
      <c r="N4100" s="2">
        <v>7215800.0</v>
      </c>
      <c r="O4100" s="4">
        <f t="shared" si="6"/>
        <v>5800.482315</v>
      </c>
      <c r="P4100" s="2">
        <v>2.0</v>
      </c>
      <c r="Q4100" s="3">
        <f t="shared" si="7"/>
        <v>0.003610108303</v>
      </c>
      <c r="R4100" s="2">
        <v>554.0</v>
      </c>
      <c r="S4100" s="5">
        <f t="shared" si="8"/>
        <v>1</v>
      </c>
    </row>
    <row r="4101">
      <c r="A4101" s="2" t="s">
        <v>4105</v>
      </c>
      <c r="B4101" s="2">
        <v>1369.0</v>
      </c>
      <c r="C4101" s="2">
        <v>15955.0</v>
      </c>
      <c r="D4101" s="2">
        <v>5073.0</v>
      </c>
      <c r="E4101" s="3">
        <f t="shared" si="1"/>
        <v>0.3477992596</v>
      </c>
      <c r="F4101" s="2">
        <v>1863.0</v>
      </c>
      <c r="G4101" s="3">
        <f t="shared" si="2"/>
        <v>0.127725216</v>
      </c>
      <c r="H4101" s="2">
        <v>3091.0</v>
      </c>
      <c r="I4101" s="3">
        <f t="shared" si="3"/>
        <v>0.2119155354</v>
      </c>
      <c r="J4101" s="2">
        <v>2928.0</v>
      </c>
      <c r="K4101" s="3">
        <f t="shared" si="4"/>
        <v>0.200740436</v>
      </c>
      <c r="L4101" s="2">
        <v>1859.0</v>
      </c>
      <c r="M4101" s="3">
        <f t="shared" si="5"/>
        <v>0.6014234875</v>
      </c>
      <c r="N4101" s="2">
        <v>1.71884E7</v>
      </c>
      <c r="O4101" s="4">
        <f t="shared" si="6"/>
        <v>5560.789389</v>
      </c>
      <c r="P4101" s="2">
        <v>4.0</v>
      </c>
      <c r="Q4101" s="3">
        <f t="shared" si="7"/>
        <v>0.00292184076</v>
      </c>
      <c r="R4101" s="2">
        <v>596.0</v>
      </c>
      <c r="S4101" s="5">
        <f t="shared" si="8"/>
        <v>0.4353542732</v>
      </c>
    </row>
    <row r="4102">
      <c r="A4102" s="2" t="s">
        <v>4106</v>
      </c>
      <c r="B4102" s="2">
        <v>336.0</v>
      </c>
      <c r="C4102" s="2">
        <v>3914.0</v>
      </c>
      <c r="D4102" s="2">
        <v>1323.0</v>
      </c>
      <c r="E4102" s="3">
        <f t="shared" si="1"/>
        <v>0.3697596423</v>
      </c>
      <c r="F4102" s="2">
        <v>457.0</v>
      </c>
      <c r="G4102" s="3">
        <f t="shared" si="2"/>
        <v>0.127724986</v>
      </c>
      <c r="H4102" s="2">
        <v>791.0</v>
      </c>
      <c r="I4102" s="3">
        <f t="shared" si="3"/>
        <v>0.2210732253</v>
      </c>
      <c r="J4102" s="2">
        <v>655.0</v>
      </c>
      <c r="K4102" s="3">
        <f t="shared" si="4"/>
        <v>0.1830631638</v>
      </c>
      <c r="L4102" s="2">
        <v>454.0</v>
      </c>
      <c r="M4102" s="3">
        <f t="shared" si="5"/>
        <v>0.5739570164</v>
      </c>
      <c r="N4102" s="2">
        <v>4598200.0</v>
      </c>
      <c r="O4102" s="4">
        <f t="shared" si="6"/>
        <v>5813.147914</v>
      </c>
      <c r="P4102" s="2">
        <v>1.0</v>
      </c>
      <c r="Q4102" s="3">
        <f t="shared" si="7"/>
        <v>0.002976190476</v>
      </c>
      <c r="R4102" s="2">
        <v>336.0</v>
      </c>
      <c r="S4102" s="5">
        <f t="shared" si="8"/>
        <v>1</v>
      </c>
    </row>
    <row r="4103">
      <c r="A4103" s="2" t="s">
        <v>4107</v>
      </c>
      <c r="B4103" s="2">
        <v>62.0</v>
      </c>
      <c r="C4103" s="2">
        <v>751.0</v>
      </c>
      <c r="D4103" s="2">
        <v>292.0</v>
      </c>
      <c r="E4103" s="3">
        <f t="shared" si="1"/>
        <v>0.4238026125</v>
      </c>
      <c r="F4103" s="2">
        <v>88.0</v>
      </c>
      <c r="G4103" s="3">
        <f t="shared" si="2"/>
        <v>0.1277213353</v>
      </c>
      <c r="H4103" s="2">
        <v>135.0</v>
      </c>
      <c r="I4103" s="3">
        <f t="shared" si="3"/>
        <v>0.1959361393</v>
      </c>
      <c r="J4103" s="2">
        <v>91.0</v>
      </c>
      <c r="K4103" s="3">
        <f t="shared" si="4"/>
        <v>0.1320754717</v>
      </c>
      <c r="L4103" s="2">
        <v>88.0</v>
      </c>
      <c r="M4103" s="3">
        <f t="shared" si="5"/>
        <v>0.6518518519</v>
      </c>
      <c r="N4103" s="2">
        <v>637500.0</v>
      </c>
      <c r="O4103" s="4">
        <f t="shared" si="6"/>
        <v>4722.222222</v>
      </c>
      <c r="P4103" s="2">
        <v>0.0</v>
      </c>
      <c r="Q4103" s="3">
        <f t="shared" si="7"/>
        <v>0</v>
      </c>
      <c r="R4103" s="2">
        <v>62.0</v>
      </c>
      <c r="S4103" s="5">
        <f t="shared" si="8"/>
        <v>1</v>
      </c>
    </row>
    <row r="4104">
      <c r="A4104" s="2" t="s">
        <v>4108</v>
      </c>
      <c r="B4104" s="2">
        <v>1353.0</v>
      </c>
      <c r="C4104" s="2">
        <v>15870.0</v>
      </c>
      <c r="D4104" s="2">
        <v>4816.0</v>
      </c>
      <c r="E4104" s="3">
        <f t="shared" si="1"/>
        <v>0.3317489839</v>
      </c>
      <c r="F4104" s="2">
        <v>1854.0</v>
      </c>
      <c r="G4104" s="3">
        <f t="shared" si="2"/>
        <v>0.1277123373</v>
      </c>
      <c r="H4104" s="2">
        <v>3027.0</v>
      </c>
      <c r="I4104" s="3">
        <f t="shared" si="3"/>
        <v>0.2085141558</v>
      </c>
      <c r="J4104" s="2">
        <v>2393.0</v>
      </c>
      <c r="K4104" s="3">
        <f t="shared" si="4"/>
        <v>0.1648412206</v>
      </c>
      <c r="L4104" s="2">
        <v>1859.0</v>
      </c>
      <c r="M4104" s="3">
        <f t="shared" si="5"/>
        <v>0.614139412</v>
      </c>
      <c r="N4104" s="2">
        <v>1.71796E7</v>
      </c>
      <c r="O4104" s="4">
        <f t="shared" si="6"/>
        <v>5675.454245</v>
      </c>
      <c r="P4104" s="2">
        <v>3.0</v>
      </c>
      <c r="Q4104" s="3">
        <f t="shared" si="7"/>
        <v>0.0022172949</v>
      </c>
      <c r="R4104" s="2">
        <v>926.0</v>
      </c>
      <c r="S4104" s="5">
        <f t="shared" si="8"/>
        <v>0.6844050259</v>
      </c>
    </row>
    <row r="4105">
      <c r="A4105" s="2" t="s">
        <v>4109</v>
      </c>
      <c r="B4105" s="2">
        <v>706.0</v>
      </c>
      <c r="C4105" s="2">
        <v>8403.0</v>
      </c>
      <c r="D4105" s="2">
        <v>2764.0</v>
      </c>
      <c r="E4105" s="3">
        <f t="shared" si="1"/>
        <v>0.3591009484</v>
      </c>
      <c r="F4105" s="2">
        <v>983.0</v>
      </c>
      <c r="G4105" s="3">
        <f t="shared" si="2"/>
        <v>0.1277120956</v>
      </c>
      <c r="H4105" s="2">
        <v>1650.0</v>
      </c>
      <c r="I4105" s="3">
        <f t="shared" si="3"/>
        <v>0.2143692348</v>
      </c>
      <c r="J4105" s="2">
        <v>1343.0</v>
      </c>
      <c r="K4105" s="3">
        <f t="shared" si="4"/>
        <v>0.174483565</v>
      </c>
      <c r="L4105" s="2">
        <v>972.0</v>
      </c>
      <c r="M4105" s="3">
        <f t="shared" si="5"/>
        <v>0.5890909091</v>
      </c>
      <c r="N4105" s="2">
        <v>8761400.0</v>
      </c>
      <c r="O4105" s="4">
        <f t="shared" si="6"/>
        <v>5309.939394</v>
      </c>
      <c r="P4105" s="2">
        <v>0.0</v>
      </c>
      <c r="Q4105" s="3">
        <f t="shared" si="7"/>
        <v>0</v>
      </c>
      <c r="R4105" s="2">
        <v>706.0</v>
      </c>
      <c r="S4105" s="5">
        <f t="shared" si="8"/>
        <v>1</v>
      </c>
    </row>
    <row r="4106">
      <c r="A4106" s="2" t="s">
        <v>4110</v>
      </c>
      <c r="B4106" s="2">
        <v>77.0</v>
      </c>
      <c r="C4106" s="2">
        <v>907.0</v>
      </c>
      <c r="D4106" s="2">
        <v>343.0</v>
      </c>
      <c r="E4106" s="3">
        <f t="shared" si="1"/>
        <v>0.413253012</v>
      </c>
      <c r="F4106" s="2">
        <v>106.0</v>
      </c>
      <c r="G4106" s="3">
        <f t="shared" si="2"/>
        <v>0.1277108434</v>
      </c>
      <c r="H4106" s="2">
        <v>181.0</v>
      </c>
      <c r="I4106" s="3">
        <f t="shared" si="3"/>
        <v>0.2180722892</v>
      </c>
      <c r="J4106" s="2">
        <v>150.0</v>
      </c>
      <c r="K4106" s="3">
        <f t="shared" si="4"/>
        <v>0.1807228916</v>
      </c>
      <c r="L4106" s="2">
        <v>110.0</v>
      </c>
      <c r="M4106" s="3">
        <f t="shared" si="5"/>
        <v>0.6077348066</v>
      </c>
      <c r="N4106" s="2">
        <v>935300.0</v>
      </c>
      <c r="O4106" s="4">
        <f t="shared" si="6"/>
        <v>5167.403315</v>
      </c>
      <c r="P4106" s="2">
        <v>0.0</v>
      </c>
      <c r="Q4106" s="3">
        <f t="shared" si="7"/>
        <v>0</v>
      </c>
      <c r="R4106" s="2">
        <v>77.0</v>
      </c>
      <c r="S4106" s="5">
        <f t="shared" si="8"/>
        <v>1</v>
      </c>
    </row>
    <row r="4107">
      <c r="A4107" s="2" t="s">
        <v>4111</v>
      </c>
      <c r="B4107" s="2">
        <v>457.0</v>
      </c>
      <c r="C4107" s="2">
        <v>5398.0</v>
      </c>
      <c r="D4107" s="2">
        <v>1983.0</v>
      </c>
      <c r="E4107" s="3">
        <f t="shared" si="1"/>
        <v>0.401335762</v>
      </c>
      <c r="F4107" s="2">
        <v>631.0</v>
      </c>
      <c r="G4107" s="3">
        <f t="shared" si="2"/>
        <v>0.1277069419</v>
      </c>
      <c r="H4107" s="2">
        <v>984.0</v>
      </c>
      <c r="I4107" s="3">
        <f t="shared" si="3"/>
        <v>0.1991499696</v>
      </c>
      <c r="J4107" s="2">
        <v>790.0</v>
      </c>
      <c r="K4107" s="3">
        <f t="shared" si="4"/>
        <v>0.1598866626</v>
      </c>
      <c r="L4107" s="2">
        <v>579.0</v>
      </c>
      <c r="M4107" s="3">
        <f t="shared" si="5"/>
        <v>0.5884146341</v>
      </c>
      <c r="N4107" s="2">
        <v>5342700.0</v>
      </c>
      <c r="O4107" s="4">
        <f t="shared" si="6"/>
        <v>5429.573171</v>
      </c>
      <c r="P4107" s="2">
        <v>0.0</v>
      </c>
      <c r="Q4107" s="3">
        <f t="shared" si="7"/>
        <v>0</v>
      </c>
      <c r="R4107" s="2">
        <v>418.0</v>
      </c>
      <c r="S4107" s="5">
        <f t="shared" si="8"/>
        <v>0.9146608315</v>
      </c>
    </row>
    <row r="4108">
      <c r="A4108" s="2" t="s">
        <v>4112</v>
      </c>
      <c r="B4108" s="2">
        <v>831.0</v>
      </c>
      <c r="C4108" s="2">
        <v>9883.0</v>
      </c>
      <c r="D4108" s="2">
        <v>3365.0</v>
      </c>
      <c r="E4108" s="3">
        <f t="shared" si="1"/>
        <v>0.3717410517</v>
      </c>
      <c r="F4108" s="2">
        <v>1156.0</v>
      </c>
      <c r="G4108" s="3">
        <f t="shared" si="2"/>
        <v>0.1277065842</v>
      </c>
      <c r="H4108" s="2">
        <v>2004.0</v>
      </c>
      <c r="I4108" s="3">
        <f t="shared" si="3"/>
        <v>0.2213875387</v>
      </c>
      <c r="J4108" s="2">
        <v>1698.0</v>
      </c>
      <c r="K4108" s="3">
        <f t="shared" si="4"/>
        <v>0.1875828546</v>
      </c>
      <c r="L4108" s="2">
        <v>1181.0</v>
      </c>
      <c r="M4108" s="3">
        <f t="shared" si="5"/>
        <v>0.5893213573</v>
      </c>
      <c r="N4108" s="2">
        <v>1.1503E7</v>
      </c>
      <c r="O4108" s="4">
        <f t="shared" si="6"/>
        <v>5740.01996</v>
      </c>
      <c r="P4108" s="2">
        <v>3.0</v>
      </c>
      <c r="Q4108" s="3">
        <f t="shared" si="7"/>
        <v>0.003610108303</v>
      </c>
      <c r="R4108" s="2">
        <v>2.0</v>
      </c>
      <c r="S4108" s="5">
        <f t="shared" si="8"/>
        <v>0.002406738869</v>
      </c>
    </row>
    <row r="4109">
      <c r="A4109" s="2" t="s">
        <v>4113</v>
      </c>
      <c r="B4109" s="2">
        <v>213.0</v>
      </c>
      <c r="C4109" s="2">
        <v>2437.0</v>
      </c>
      <c r="D4109" s="2">
        <v>790.0</v>
      </c>
      <c r="E4109" s="3">
        <f t="shared" si="1"/>
        <v>0.3552158273</v>
      </c>
      <c r="F4109" s="2">
        <v>284.0</v>
      </c>
      <c r="G4109" s="3">
        <f t="shared" si="2"/>
        <v>0.1276978417</v>
      </c>
      <c r="H4109" s="2">
        <v>486.0</v>
      </c>
      <c r="I4109" s="3">
        <f t="shared" si="3"/>
        <v>0.2185251799</v>
      </c>
      <c r="J4109" s="2">
        <v>363.0</v>
      </c>
      <c r="K4109" s="3">
        <f t="shared" si="4"/>
        <v>0.1632194245</v>
      </c>
      <c r="L4109" s="2">
        <v>296.0</v>
      </c>
      <c r="M4109" s="3">
        <f t="shared" si="5"/>
        <v>0.6090534979</v>
      </c>
      <c r="N4109" s="2">
        <v>2577400.0</v>
      </c>
      <c r="O4109" s="4">
        <f t="shared" si="6"/>
        <v>5303.292181</v>
      </c>
      <c r="P4109" s="2">
        <v>0.0</v>
      </c>
      <c r="Q4109" s="3">
        <f t="shared" si="7"/>
        <v>0</v>
      </c>
      <c r="R4109" s="2">
        <v>213.0</v>
      </c>
      <c r="S4109" s="5">
        <f t="shared" si="8"/>
        <v>1</v>
      </c>
    </row>
    <row r="4110">
      <c r="A4110" s="2" t="s">
        <v>4114</v>
      </c>
      <c r="B4110" s="2">
        <v>251.0</v>
      </c>
      <c r="C4110" s="2">
        <v>2898.0</v>
      </c>
      <c r="D4110" s="2">
        <v>744.0</v>
      </c>
      <c r="E4110" s="3">
        <f t="shared" si="1"/>
        <v>0.2810729127</v>
      </c>
      <c r="F4110" s="2">
        <v>338.0</v>
      </c>
      <c r="G4110" s="3">
        <f t="shared" si="2"/>
        <v>0.1276917265</v>
      </c>
      <c r="H4110" s="2">
        <v>559.0</v>
      </c>
      <c r="I4110" s="3">
        <f t="shared" si="3"/>
        <v>0.2111824707</v>
      </c>
      <c r="J4110" s="2">
        <v>376.0</v>
      </c>
      <c r="K4110" s="3">
        <f t="shared" si="4"/>
        <v>0.1420476011</v>
      </c>
      <c r="L4110" s="2">
        <v>371.0</v>
      </c>
      <c r="M4110" s="3">
        <f t="shared" si="5"/>
        <v>0.6636851521</v>
      </c>
      <c r="N4110" s="2">
        <v>2967100.0</v>
      </c>
      <c r="O4110" s="4">
        <f t="shared" si="6"/>
        <v>5307.871199</v>
      </c>
      <c r="P4110" s="2">
        <v>1.0</v>
      </c>
      <c r="Q4110" s="3">
        <f t="shared" si="7"/>
        <v>0.003984063745</v>
      </c>
      <c r="R4110" s="2">
        <v>251.0</v>
      </c>
      <c r="S4110" s="5">
        <f t="shared" si="8"/>
        <v>1</v>
      </c>
    </row>
    <row r="4111">
      <c r="A4111" s="2" t="s">
        <v>4115</v>
      </c>
      <c r="B4111" s="2">
        <v>1405.0</v>
      </c>
      <c r="C4111" s="2">
        <v>16410.0</v>
      </c>
      <c r="D4111" s="2">
        <v>5734.0</v>
      </c>
      <c r="E4111" s="3">
        <f t="shared" si="1"/>
        <v>0.3821392869</v>
      </c>
      <c r="F4111" s="2">
        <v>1916.0</v>
      </c>
      <c r="G4111" s="3">
        <f t="shared" si="2"/>
        <v>0.1276907697</v>
      </c>
      <c r="H4111" s="2">
        <v>3256.0</v>
      </c>
      <c r="I4111" s="3">
        <f t="shared" si="3"/>
        <v>0.2169943352</v>
      </c>
      <c r="J4111" s="2">
        <v>2555.0</v>
      </c>
      <c r="K4111" s="3">
        <f t="shared" si="4"/>
        <v>0.1702765745</v>
      </c>
      <c r="L4111" s="2">
        <v>1943.0</v>
      </c>
      <c r="M4111" s="3">
        <f t="shared" si="5"/>
        <v>0.5967444717</v>
      </c>
      <c r="N4111" s="2">
        <v>1.81051E7</v>
      </c>
      <c r="O4111" s="4">
        <f t="shared" si="6"/>
        <v>5560.534398</v>
      </c>
      <c r="P4111" s="2">
        <v>1.0</v>
      </c>
      <c r="Q4111" s="3">
        <f t="shared" si="7"/>
        <v>0.0007117437722</v>
      </c>
      <c r="R4111" s="2">
        <v>1236.0</v>
      </c>
      <c r="S4111" s="5">
        <f t="shared" si="8"/>
        <v>0.8797153025</v>
      </c>
    </row>
    <row r="4112">
      <c r="A4112" s="2" t="s">
        <v>4116</v>
      </c>
      <c r="B4112" s="2">
        <v>170.0</v>
      </c>
      <c r="C4112" s="2">
        <v>1987.0</v>
      </c>
      <c r="D4112" s="2">
        <v>551.0</v>
      </c>
      <c r="E4112" s="3">
        <f t="shared" si="1"/>
        <v>0.3032471106</v>
      </c>
      <c r="F4112" s="2">
        <v>232.0</v>
      </c>
      <c r="G4112" s="3">
        <f t="shared" si="2"/>
        <v>0.1276829939</v>
      </c>
      <c r="H4112" s="2">
        <v>385.0</v>
      </c>
      <c r="I4112" s="3">
        <f t="shared" si="3"/>
        <v>0.211887727</v>
      </c>
      <c r="J4112" s="2">
        <v>235.0</v>
      </c>
      <c r="K4112" s="3">
        <f t="shared" si="4"/>
        <v>0.1293340671</v>
      </c>
      <c r="L4112" s="2">
        <v>237.0</v>
      </c>
      <c r="M4112" s="3">
        <f t="shared" si="5"/>
        <v>0.6155844156</v>
      </c>
      <c r="N4112" s="2">
        <v>2002700.0</v>
      </c>
      <c r="O4112" s="4">
        <f t="shared" si="6"/>
        <v>5201.818182</v>
      </c>
      <c r="P4112" s="2">
        <v>0.0</v>
      </c>
      <c r="Q4112" s="3">
        <f t="shared" si="7"/>
        <v>0</v>
      </c>
      <c r="R4112" s="2">
        <v>170.0</v>
      </c>
      <c r="S4112" s="5">
        <f t="shared" si="8"/>
        <v>1</v>
      </c>
    </row>
    <row r="4113">
      <c r="A4113" s="2" t="s">
        <v>4117</v>
      </c>
      <c r="B4113" s="2">
        <v>1040.0</v>
      </c>
      <c r="C4113" s="2">
        <v>12083.0</v>
      </c>
      <c r="D4113" s="2">
        <v>3381.0</v>
      </c>
      <c r="E4113" s="3">
        <f t="shared" si="1"/>
        <v>0.3061668025</v>
      </c>
      <c r="F4113" s="2">
        <v>1410.0</v>
      </c>
      <c r="G4113" s="3">
        <f t="shared" si="2"/>
        <v>0.1276826949</v>
      </c>
      <c r="H4113" s="2">
        <v>2268.0</v>
      </c>
      <c r="I4113" s="3">
        <f t="shared" si="3"/>
        <v>0.2053789731</v>
      </c>
      <c r="J4113" s="2">
        <v>1751.0</v>
      </c>
      <c r="K4113" s="3">
        <f t="shared" si="4"/>
        <v>0.158561985</v>
      </c>
      <c r="L4113" s="2">
        <v>1310.0</v>
      </c>
      <c r="M4113" s="3">
        <f t="shared" si="5"/>
        <v>0.5776014109</v>
      </c>
      <c r="N4113" s="2">
        <v>1.32843E7</v>
      </c>
      <c r="O4113" s="4">
        <f t="shared" si="6"/>
        <v>5857.275132</v>
      </c>
      <c r="P4113" s="2">
        <v>3.0</v>
      </c>
      <c r="Q4113" s="3">
        <f t="shared" si="7"/>
        <v>0.002884615385</v>
      </c>
      <c r="R4113" s="2">
        <v>1040.0</v>
      </c>
      <c r="S4113" s="5">
        <f t="shared" si="8"/>
        <v>1</v>
      </c>
    </row>
    <row r="4114">
      <c r="A4114" s="2" t="s">
        <v>4118</v>
      </c>
      <c r="B4114" s="2">
        <v>87.0</v>
      </c>
      <c r="C4114" s="2">
        <v>1019.0</v>
      </c>
      <c r="D4114" s="2">
        <v>334.0</v>
      </c>
      <c r="E4114" s="3">
        <f t="shared" si="1"/>
        <v>0.3583690987</v>
      </c>
      <c r="F4114" s="2">
        <v>119.0</v>
      </c>
      <c r="G4114" s="3">
        <f t="shared" si="2"/>
        <v>0.1276824034</v>
      </c>
      <c r="H4114" s="2">
        <v>217.0</v>
      </c>
      <c r="I4114" s="3">
        <f t="shared" si="3"/>
        <v>0.232832618</v>
      </c>
      <c r="J4114" s="2">
        <v>172.0</v>
      </c>
      <c r="K4114" s="3">
        <f t="shared" si="4"/>
        <v>0.1845493562</v>
      </c>
      <c r="L4114" s="2">
        <v>127.0</v>
      </c>
      <c r="M4114" s="3">
        <f t="shared" si="5"/>
        <v>0.5852534562</v>
      </c>
      <c r="N4114" s="2">
        <v>1179200.0</v>
      </c>
      <c r="O4114" s="4">
        <f t="shared" si="6"/>
        <v>5434.101382</v>
      </c>
      <c r="P4114" s="2">
        <v>0.0</v>
      </c>
      <c r="Q4114" s="3">
        <f t="shared" si="7"/>
        <v>0</v>
      </c>
      <c r="R4114" s="2">
        <v>87.0</v>
      </c>
      <c r="S4114" s="5">
        <f t="shared" si="8"/>
        <v>1</v>
      </c>
    </row>
    <row r="4115">
      <c r="A4115" s="2" t="s">
        <v>4119</v>
      </c>
      <c r="B4115" s="2">
        <v>274.0</v>
      </c>
      <c r="C4115" s="2">
        <v>3211.0</v>
      </c>
      <c r="D4115" s="2">
        <v>1039.0</v>
      </c>
      <c r="E4115" s="3">
        <f t="shared" si="1"/>
        <v>0.3537623425</v>
      </c>
      <c r="F4115" s="2">
        <v>375.0</v>
      </c>
      <c r="G4115" s="3">
        <f t="shared" si="2"/>
        <v>0.1276813075</v>
      </c>
      <c r="H4115" s="2">
        <v>632.0</v>
      </c>
      <c r="I4115" s="3">
        <f t="shared" si="3"/>
        <v>0.2151855635</v>
      </c>
      <c r="J4115" s="2">
        <v>487.0</v>
      </c>
      <c r="K4115" s="3">
        <f t="shared" si="4"/>
        <v>0.165815458</v>
      </c>
      <c r="L4115" s="2">
        <v>379.0</v>
      </c>
      <c r="M4115" s="3">
        <f t="shared" si="5"/>
        <v>0.5996835443</v>
      </c>
      <c r="N4115" s="2">
        <v>3553500.0</v>
      </c>
      <c r="O4115" s="4">
        <f t="shared" si="6"/>
        <v>5622.626582</v>
      </c>
      <c r="P4115" s="2">
        <v>1.0</v>
      </c>
      <c r="Q4115" s="3">
        <f t="shared" si="7"/>
        <v>0.003649635036</v>
      </c>
      <c r="R4115" s="2">
        <v>274.0</v>
      </c>
      <c r="S4115" s="5">
        <f t="shared" si="8"/>
        <v>1</v>
      </c>
    </row>
    <row r="4116">
      <c r="A4116" s="2" t="s">
        <v>4120</v>
      </c>
      <c r="B4116" s="2">
        <v>486.0</v>
      </c>
      <c r="C4116" s="2">
        <v>5663.0</v>
      </c>
      <c r="D4116" s="2">
        <v>1953.0</v>
      </c>
      <c r="E4116" s="3">
        <f t="shared" si="1"/>
        <v>0.377245509</v>
      </c>
      <c r="F4116" s="2">
        <v>661.0</v>
      </c>
      <c r="G4116" s="3">
        <f t="shared" si="2"/>
        <v>0.1276801236</v>
      </c>
      <c r="H4116" s="2">
        <v>1143.0</v>
      </c>
      <c r="I4116" s="3">
        <f t="shared" si="3"/>
        <v>0.220784238</v>
      </c>
      <c r="J4116" s="2">
        <v>956.0</v>
      </c>
      <c r="K4116" s="3">
        <f t="shared" si="4"/>
        <v>0.1846629322</v>
      </c>
      <c r="L4116" s="2">
        <v>669.0</v>
      </c>
      <c r="M4116" s="3">
        <f t="shared" si="5"/>
        <v>0.5853018373</v>
      </c>
      <c r="N4116" s="2">
        <v>6757400.0</v>
      </c>
      <c r="O4116" s="4">
        <f t="shared" si="6"/>
        <v>5911.986002</v>
      </c>
      <c r="P4116" s="2">
        <v>0.0</v>
      </c>
      <c r="Q4116" s="3">
        <f t="shared" si="7"/>
        <v>0</v>
      </c>
      <c r="R4116" s="2">
        <v>0.0</v>
      </c>
      <c r="S4116" s="5">
        <f t="shared" si="8"/>
        <v>0</v>
      </c>
    </row>
    <row r="4117">
      <c r="A4117" s="2" t="s">
        <v>4121</v>
      </c>
      <c r="B4117" s="2">
        <v>1839.0</v>
      </c>
      <c r="C4117" s="2">
        <v>21709.0</v>
      </c>
      <c r="D4117" s="2">
        <v>7646.0</v>
      </c>
      <c r="E4117" s="3">
        <f t="shared" si="1"/>
        <v>0.3848012079</v>
      </c>
      <c r="F4117" s="2">
        <v>2537.0</v>
      </c>
      <c r="G4117" s="3">
        <f t="shared" si="2"/>
        <v>0.1276799195</v>
      </c>
      <c r="H4117" s="2">
        <v>4461.0</v>
      </c>
      <c r="I4117" s="3">
        <f t="shared" si="3"/>
        <v>0.2245093105</v>
      </c>
      <c r="J4117" s="2">
        <v>4017.0</v>
      </c>
      <c r="K4117" s="3">
        <f t="shared" si="4"/>
        <v>0.2021640664</v>
      </c>
      <c r="L4117" s="2">
        <v>2656.0</v>
      </c>
      <c r="M4117" s="3">
        <f t="shared" si="5"/>
        <v>0.5953822013</v>
      </c>
      <c r="N4117" s="2">
        <v>2.37063E7</v>
      </c>
      <c r="O4117" s="4">
        <f t="shared" si="6"/>
        <v>5314.122394</v>
      </c>
      <c r="P4117" s="2">
        <v>4.0</v>
      </c>
      <c r="Q4117" s="3">
        <f t="shared" si="7"/>
        <v>0.00217509516</v>
      </c>
      <c r="R4117" s="2">
        <v>1839.0</v>
      </c>
      <c r="S4117" s="5">
        <f t="shared" si="8"/>
        <v>1</v>
      </c>
    </row>
    <row r="4118">
      <c r="A4118" s="2" t="s">
        <v>4122</v>
      </c>
      <c r="B4118" s="2">
        <v>105.0</v>
      </c>
      <c r="C4118" s="2">
        <v>1225.0</v>
      </c>
      <c r="D4118" s="2">
        <v>365.0</v>
      </c>
      <c r="E4118" s="3">
        <f t="shared" si="1"/>
        <v>0.3258928571</v>
      </c>
      <c r="F4118" s="2">
        <v>143.0</v>
      </c>
      <c r="G4118" s="3">
        <f t="shared" si="2"/>
        <v>0.1276785714</v>
      </c>
      <c r="H4118" s="2">
        <v>230.0</v>
      </c>
      <c r="I4118" s="3">
        <f t="shared" si="3"/>
        <v>0.2053571429</v>
      </c>
      <c r="J4118" s="2">
        <v>202.0</v>
      </c>
      <c r="K4118" s="3">
        <f t="shared" si="4"/>
        <v>0.1803571429</v>
      </c>
      <c r="L4118" s="2">
        <v>141.0</v>
      </c>
      <c r="M4118" s="3">
        <f t="shared" si="5"/>
        <v>0.6130434783</v>
      </c>
      <c r="N4118" s="2">
        <v>1296500.0</v>
      </c>
      <c r="O4118" s="4">
        <f t="shared" si="6"/>
        <v>5636.956522</v>
      </c>
      <c r="P4118" s="2">
        <v>0.0</v>
      </c>
      <c r="Q4118" s="3">
        <f t="shared" si="7"/>
        <v>0</v>
      </c>
      <c r="R4118" s="2">
        <v>105.0</v>
      </c>
      <c r="S4118" s="5">
        <f t="shared" si="8"/>
        <v>1</v>
      </c>
    </row>
    <row r="4119">
      <c r="A4119" s="2" t="s">
        <v>4123</v>
      </c>
      <c r="B4119" s="2">
        <v>226.0</v>
      </c>
      <c r="C4119" s="2">
        <v>2607.0</v>
      </c>
      <c r="D4119" s="2">
        <v>716.0</v>
      </c>
      <c r="E4119" s="3">
        <f t="shared" si="1"/>
        <v>0.3007139857</v>
      </c>
      <c r="F4119" s="2">
        <v>304.0</v>
      </c>
      <c r="G4119" s="3">
        <f t="shared" si="2"/>
        <v>0.1276774465</v>
      </c>
      <c r="H4119" s="2">
        <v>492.0</v>
      </c>
      <c r="I4119" s="3">
        <f t="shared" si="3"/>
        <v>0.2066358673</v>
      </c>
      <c r="J4119" s="2">
        <v>484.0</v>
      </c>
      <c r="K4119" s="3">
        <f t="shared" si="4"/>
        <v>0.2032759345</v>
      </c>
      <c r="L4119" s="2">
        <v>310.0</v>
      </c>
      <c r="M4119" s="3">
        <f t="shared" si="5"/>
        <v>0.6300813008</v>
      </c>
      <c r="N4119" s="2">
        <v>2841400.0</v>
      </c>
      <c r="O4119" s="4">
        <f t="shared" si="6"/>
        <v>5775.203252</v>
      </c>
      <c r="P4119" s="2">
        <v>0.0</v>
      </c>
      <c r="Q4119" s="3">
        <f t="shared" si="7"/>
        <v>0</v>
      </c>
      <c r="R4119" s="2">
        <v>0.0</v>
      </c>
      <c r="S4119" s="5">
        <f t="shared" si="8"/>
        <v>0</v>
      </c>
    </row>
    <row r="4120">
      <c r="A4120" s="2" t="s">
        <v>4124</v>
      </c>
      <c r="B4120" s="2">
        <v>219.0</v>
      </c>
      <c r="C4120" s="2">
        <v>2600.0</v>
      </c>
      <c r="D4120" s="2">
        <v>787.0</v>
      </c>
      <c r="E4120" s="3">
        <f t="shared" si="1"/>
        <v>0.3305333893</v>
      </c>
      <c r="F4120" s="2">
        <v>304.0</v>
      </c>
      <c r="G4120" s="3">
        <f t="shared" si="2"/>
        <v>0.1276774465</v>
      </c>
      <c r="H4120" s="2">
        <v>516.0</v>
      </c>
      <c r="I4120" s="3">
        <f t="shared" si="3"/>
        <v>0.2167156657</v>
      </c>
      <c r="J4120" s="2">
        <v>406.0</v>
      </c>
      <c r="K4120" s="3">
        <f t="shared" si="4"/>
        <v>0.1705165897</v>
      </c>
      <c r="L4120" s="2">
        <v>315.0</v>
      </c>
      <c r="M4120" s="3">
        <f t="shared" si="5"/>
        <v>0.6104651163</v>
      </c>
      <c r="N4120" s="2">
        <v>2767400.0</v>
      </c>
      <c r="O4120" s="4">
        <f t="shared" si="6"/>
        <v>5363.178295</v>
      </c>
      <c r="P4120" s="2">
        <v>0.0</v>
      </c>
      <c r="Q4120" s="3">
        <f t="shared" si="7"/>
        <v>0</v>
      </c>
      <c r="R4120" s="2">
        <v>218.0</v>
      </c>
      <c r="S4120" s="5">
        <f t="shared" si="8"/>
        <v>0.99543379</v>
      </c>
    </row>
    <row r="4121">
      <c r="A4121" s="2" t="s">
        <v>4125</v>
      </c>
      <c r="B4121" s="2">
        <v>187.0</v>
      </c>
      <c r="C4121" s="2">
        <v>2200.0</v>
      </c>
      <c r="D4121" s="2">
        <v>887.0</v>
      </c>
      <c r="E4121" s="3">
        <f t="shared" si="1"/>
        <v>0.4406358669</v>
      </c>
      <c r="F4121" s="2">
        <v>257.0</v>
      </c>
      <c r="G4121" s="3">
        <f t="shared" si="2"/>
        <v>0.1276701441</v>
      </c>
      <c r="H4121" s="2">
        <v>444.0</v>
      </c>
      <c r="I4121" s="3">
        <f t="shared" si="3"/>
        <v>0.2205663189</v>
      </c>
      <c r="J4121" s="2">
        <v>349.0</v>
      </c>
      <c r="K4121" s="3">
        <f t="shared" si="4"/>
        <v>0.173373075</v>
      </c>
      <c r="L4121" s="2">
        <v>263.0</v>
      </c>
      <c r="M4121" s="3">
        <f t="shared" si="5"/>
        <v>0.5923423423</v>
      </c>
      <c r="N4121" s="2">
        <v>2473200.0</v>
      </c>
      <c r="O4121" s="4">
        <f t="shared" si="6"/>
        <v>5570.27027</v>
      </c>
      <c r="P4121" s="2">
        <v>0.0</v>
      </c>
      <c r="Q4121" s="3">
        <f t="shared" si="7"/>
        <v>0</v>
      </c>
      <c r="R4121" s="2">
        <v>187.0</v>
      </c>
      <c r="S4121" s="5">
        <f t="shared" si="8"/>
        <v>1</v>
      </c>
    </row>
    <row r="4122">
      <c r="A4122" s="2" t="s">
        <v>4126</v>
      </c>
      <c r="B4122" s="2">
        <v>5003.0</v>
      </c>
      <c r="C4122" s="2">
        <v>58581.0</v>
      </c>
      <c r="D4122" s="2">
        <v>20341.0</v>
      </c>
      <c r="E4122" s="3">
        <f t="shared" si="1"/>
        <v>0.379652096</v>
      </c>
      <c r="F4122" s="2">
        <v>6840.0</v>
      </c>
      <c r="G4122" s="3">
        <f t="shared" si="2"/>
        <v>0.1276643398</v>
      </c>
      <c r="H4122" s="2">
        <v>11562.0</v>
      </c>
      <c r="I4122" s="3">
        <f t="shared" si="3"/>
        <v>0.2157975288</v>
      </c>
      <c r="J4122" s="2">
        <v>9005.0</v>
      </c>
      <c r="K4122" s="3">
        <f t="shared" si="4"/>
        <v>0.1680727164</v>
      </c>
      <c r="L4122" s="2">
        <v>6955.0</v>
      </c>
      <c r="M4122" s="3">
        <f t="shared" si="5"/>
        <v>0.601539526</v>
      </c>
      <c r="N4122" s="2">
        <v>6.60969E7</v>
      </c>
      <c r="O4122" s="4">
        <f t="shared" si="6"/>
        <v>5716.735859</v>
      </c>
      <c r="P4122" s="2">
        <v>15.0</v>
      </c>
      <c r="Q4122" s="3">
        <f t="shared" si="7"/>
        <v>0.002998201079</v>
      </c>
      <c r="R4122" s="2">
        <v>5003.0</v>
      </c>
      <c r="S4122" s="5">
        <f t="shared" si="8"/>
        <v>1</v>
      </c>
    </row>
    <row r="4123">
      <c r="A4123" s="2" t="s">
        <v>4127</v>
      </c>
      <c r="B4123" s="2">
        <v>1986.0</v>
      </c>
      <c r="C4123" s="2">
        <v>23010.0</v>
      </c>
      <c r="D4123" s="2">
        <v>7945.0</v>
      </c>
      <c r="E4123" s="3">
        <f t="shared" si="1"/>
        <v>0.377901446</v>
      </c>
      <c r="F4123" s="2">
        <v>2684.0</v>
      </c>
      <c r="G4123" s="3">
        <f t="shared" si="2"/>
        <v>0.1276636225</v>
      </c>
      <c r="H4123" s="2">
        <v>4375.0</v>
      </c>
      <c r="I4123" s="3">
        <f t="shared" si="3"/>
        <v>0.2080955099</v>
      </c>
      <c r="J4123" s="2">
        <v>3562.0</v>
      </c>
      <c r="K4123" s="3">
        <f t="shared" si="4"/>
        <v>0.1694254186</v>
      </c>
      <c r="L4123" s="2">
        <v>2650.0</v>
      </c>
      <c r="M4123" s="3">
        <f t="shared" si="5"/>
        <v>0.6057142857</v>
      </c>
      <c r="N4123" s="2">
        <v>2.50244E7</v>
      </c>
      <c r="O4123" s="4">
        <f t="shared" si="6"/>
        <v>5719.862857</v>
      </c>
      <c r="P4123" s="2">
        <v>8.0</v>
      </c>
      <c r="Q4123" s="3">
        <f t="shared" si="7"/>
        <v>0.004028197382</v>
      </c>
      <c r="R4123" s="2">
        <v>1986.0</v>
      </c>
      <c r="S4123" s="5">
        <f t="shared" si="8"/>
        <v>1</v>
      </c>
    </row>
    <row r="4124">
      <c r="A4124" s="2" t="s">
        <v>4128</v>
      </c>
      <c r="B4124" s="2">
        <v>8.0</v>
      </c>
      <c r="C4124" s="2">
        <v>102.0</v>
      </c>
      <c r="D4124" s="2">
        <v>36.0</v>
      </c>
      <c r="E4124" s="3">
        <f t="shared" si="1"/>
        <v>0.3829787234</v>
      </c>
      <c r="F4124" s="2">
        <v>12.0</v>
      </c>
      <c r="G4124" s="3">
        <f t="shared" si="2"/>
        <v>0.1276595745</v>
      </c>
      <c r="H4124" s="2">
        <v>15.0</v>
      </c>
      <c r="I4124" s="3">
        <f t="shared" si="3"/>
        <v>0.1595744681</v>
      </c>
      <c r="J4124" s="2">
        <v>22.0</v>
      </c>
      <c r="K4124" s="3">
        <f t="shared" si="4"/>
        <v>0.2340425532</v>
      </c>
      <c r="L4124" s="2">
        <v>7.0</v>
      </c>
      <c r="M4124" s="3">
        <f t="shared" si="5"/>
        <v>0.4666666667</v>
      </c>
      <c r="N4124" s="2">
        <v>102800.0</v>
      </c>
      <c r="O4124" s="4">
        <f t="shared" si="6"/>
        <v>6853.333333</v>
      </c>
      <c r="P4124" s="2">
        <v>0.0</v>
      </c>
      <c r="Q4124" s="3">
        <f t="shared" si="7"/>
        <v>0</v>
      </c>
      <c r="R4124" s="2">
        <v>8.0</v>
      </c>
      <c r="S4124" s="5">
        <f t="shared" si="8"/>
        <v>1</v>
      </c>
    </row>
    <row r="4125">
      <c r="A4125" s="2" t="s">
        <v>4129</v>
      </c>
      <c r="B4125" s="2">
        <v>31.0</v>
      </c>
      <c r="C4125" s="2">
        <v>360.0</v>
      </c>
      <c r="D4125" s="2">
        <v>82.0</v>
      </c>
      <c r="E4125" s="3">
        <f t="shared" si="1"/>
        <v>0.2492401216</v>
      </c>
      <c r="F4125" s="2">
        <v>42.0</v>
      </c>
      <c r="G4125" s="3">
        <f t="shared" si="2"/>
        <v>0.1276595745</v>
      </c>
      <c r="H4125" s="2">
        <v>65.0</v>
      </c>
      <c r="I4125" s="3">
        <f t="shared" si="3"/>
        <v>0.1975683891</v>
      </c>
      <c r="J4125" s="2">
        <v>70.0</v>
      </c>
      <c r="K4125" s="3">
        <f t="shared" si="4"/>
        <v>0.2127659574</v>
      </c>
      <c r="L4125" s="2">
        <v>35.0</v>
      </c>
      <c r="M4125" s="3">
        <f t="shared" si="5"/>
        <v>0.5384615385</v>
      </c>
      <c r="N4125" s="2">
        <v>404200.0</v>
      </c>
      <c r="O4125" s="4">
        <f t="shared" si="6"/>
        <v>6218.461538</v>
      </c>
      <c r="P4125" s="2">
        <v>0.0</v>
      </c>
      <c r="Q4125" s="3">
        <f t="shared" si="7"/>
        <v>0</v>
      </c>
      <c r="R4125" s="2">
        <v>2.0</v>
      </c>
      <c r="S4125" s="5">
        <f t="shared" si="8"/>
        <v>0.06451612903</v>
      </c>
    </row>
    <row r="4126">
      <c r="A4126" s="2" t="s">
        <v>4130</v>
      </c>
      <c r="B4126" s="2">
        <v>4.0</v>
      </c>
      <c r="C4126" s="2">
        <v>51.0</v>
      </c>
      <c r="D4126" s="2">
        <v>12.0</v>
      </c>
      <c r="E4126" s="3">
        <f t="shared" si="1"/>
        <v>0.2553191489</v>
      </c>
      <c r="F4126" s="2">
        <v>6.0</v>
      </c>
      <c r="G4126" s="3">
        <f t="shared" si="2"/>
        <v>0.1276595745</v>
      </c>
      <c r="H4126" s="2">
        <v>6.0</v>
      </c>
      <c r="I4126" s="3">
        <f t="shared" si="3"/>
        <v>0.1276595745</v>
      </c>
      <c r="J4126" s="2">
        <v>10.0</v>
      </c>
      <c r="K4126" s="3">
        <f t="shared" si="4"/>
        <v>0.2127659574</v>
      </c>
      <c r="L4126" s="2">
        <v>2.0</v>
      </c>
      <c r="M4126" s="3">
        <f t="shared" si="5"/>
        <v>0.3333333333</v>
      </c>
      <c r="N4126" s="2">
        <v>27900.0</v>
      </c>
      <c r="O4126" s="4">
        <f t="shared" si="6"/>
        <v>4650</v>
      </c>
      <c r="P4126" s="2">
        <v>0.0</v>
      </c>
      <c r="Q4126" s="3">
        <f t="shared" si="7"/>
        <v>0</v>
      </c>
      <c r="R4126" s="2">
        <v>0.0</v>
      </c>
      <c r="S4126" s="5">
        <f t="shared" si="8"/>
        <v>0</v>
      </c>
    </row>
    <row r="4127">
      <c r="A4127" s="2" t="s">
        <v>4131</v>
      </c>
      <c r="B4127" s="2">
        <v>9.0</v>
      </c>
      <c r="C4127" s="2">
        <v>103.0</v>
      </c>
      <c r="D4127" s="2">
        <v>37.0</v>
      </c>
      <c r="E4127" s="3">
        <f t="shared" si="1"/>
        <v>0.3936170213</v>
      </c>
      <c r="F4127" s="2">
        <v>12.0</v>
      </c>
      <c r="G4127" s="3">
        <f t="shared" si="2"/>
        <v>0.1276595745</v>
      </c>
      <c r="H4127" s="2">
        <v>20.0</v>
      </c>
      <c r="I4127" s="3">
        <f t="shared" si="3"/>
        <v>0.2127659574</v>
      </c>
      <c r="J4127" s="2">
        <v>16.0</v>
      </c>
      <c r="K4127" s="3">
        <f t="shared" si="4"/>
        <v>0.170212766</v>
      </c>
      <c r="L4127" s="2">
        <v>12.0</v>
      </c>
      <c r="M4127" s="3">
        <f t="shared" si="5"/>
        <v>0.6</v>
      </c>
      <c r="N4127" s="2">
        <v>116500.0</v>
      </c>
      <c r="O4127" s="4">
        <f t="shared" si="6"/>
        <v>5825</v>
      </c>
      <c r="P4127" s="2">
        <v>0.0</v>
      </c>
      <c r="Q4127" s="3">
        <f t="shared" si="7"/>
        <v>0</v>
      </c>
      <c r="R4127" s="2">
        <v>6.0</v>
      </c>
      <c r="S4127" s="5">
        <f t="shared" si="8"/>
        <v>0.6666666667</v>
      </c>
    </row>
    <row r="4128">
      <c r="A4128" s="2" t="s">
        <v>4132</v>
      </c>
      <c r="B4128" s="2">
        <v>9.0</v>
      </c>
      <c r="C4128" s="2">
        <v>103.0</v>
      </c>
      <c r="D4128" s="2">
        <v>33.0</v>
      </c>
      <c r="E4128" s="3">
        <f t="shared" si="1"/>
        <v>0.3510638298</v>
      </c>
      <c r="F4128" s="2">
        <v>12.0</v>
      </c>
      <c r="G4128" s="3">
        <f t="shared" si="2"/>
        <v>0.1276595745</v>
      </c>
      <c r="H4128" s="2">
        <v>15.0</v>
      </c>
      <c r="I4128" s="3">
        <f t="shared" si="3"/>
        <v>0.1595744681</v>
      </c>
      <c r="J4128" s="2">
        <v>10.0</v>
      </c>
      <c r="K4128" s="3">
        <f t="shared" si="4"/>
        <v>0.1063829787</v>
      </c>
      <c r="L4128" s="2">
        <v>10.0</v>
      </c>
      <c r="M4128" s="3">
        <f t="shared" si="5"/>
        <v>0.6666666667</v>
      </c>
      <c r="N4128" s="2">
        <v>38500.0</v>
      </c>
      <c r="O4128" s="4">
        <f t="shared" si="6"/>
        <v>2566.666667</v>
      </c>
      <c r="P4128" s="2">
        <v>0.0</v>
      </c>
      <c r="Q4128" s="3">
        <f t="shared" si="7"/>
        <v>0</v>
      </c>
      <c r="R4128" s="2">
        <v>9.0</v>
      </c>
      <c r="S4128" s="5">
        <f t="shared" si="8"/>
        <v>1</v>
      </c>
    </row>
    <row r="4129">
      <c r="A4129" s="2" t="s">
        <v>4133</v>
      </c>
      <c r="B4129" s="2">
        <v>517.0</v>
      </c>
      <c r="C4129" s="2">
        <v>6071.0</v>
      </c>
      <c r="D4129" s="2">
        <v>1636.0</v>
      </c>
      <c r="E4129" s="3">
        <f t="shared" si="1"/>
        <v>0.2945624775</v>
      </c>
      <c r="F4129" s="2">
        <v>709.0</v>
      </c>
      <c r="G4129" s="3">
        <f t="shared" si="2"/>
        <v>0.1276557436</v>
      </c>
      <c r="H4129" s="2">
        <v>1162.0</v>
      </c>
      <c r="I4129" s="3">
        <f t="shared" si="3"/>
        <v>0.2092185812</v>
      </c>
      <c r="J4129" s="2">
        <v>1123.0</v>
      </c>
      <c r="K4129" s="3">
        <f t="shared" si="4"/>
        <v>0.2021966151</v>
      </c>
      <c r="L4129" s="2">
        <v>701.0</v>
      </c>
      <c r="M4129" s="3">
        <f t="shared" si="5"/>
        <v>0.6032702238</v>
      </c>
      <c r="N4129" s="2">
        <v>6933600.0</v>
      </c>
      <c r="O4129" s="4">
        <f t="shared" si="6"/>
        <v>5966.953528</v>
      </c>
      <c r="P4129" s="2">
        <v>3.0</v>
      </c>
      <c r="Q4129" s="3">
        <f t="shared" si="7"/>
        <v>0.00580270793</v>
      </c>
      <c r="R4129" s="2">
        <v>517.0</v>
      </c>
      <c r="S4129" s="5">
        <f t="shared" si="8"/>
        <v>1</v>
      </c>
    </row>
    <row r="4130">
      <c r="A4130" s="2" t="s">
        <v>4134</v>
      </c>
      <c r="B4130" s="2">
        <v>222.0</v>
      </c>
      <c r="C4130" s="2">
        <v>2674.0</v>
      </c>
      <c r="D4130" s="2">
        <v>810.0</v>
      </c>
      <c r="E4130" s="3">
        <f t="shared" si="1"/>
        <v>0.3303425775</v>
      </c>
      <c r="F4130" s="2">
        <v>313.0</v>
      </c>
      <c r="G4130" s="3">
        <f t="shared" si="2"/>
        <v>0.1276508972</v>
      </c>
      <c r="H4130" s="2">
        <v>516.0</v>
      </c>
      <c r="I4130" s="3">
        <f t="shared" si="3"/>
        <v>0.2104404568</v>
      </c>
      <c r="J4130" s="2">
        <v>458.0</v>
      </c>
      <c r="K4130" s="3">
        <f t="shared" si="4"/>
        <v>0.1867862969</v>
      </c>
      <c r="L4130" s="2">
        <v>298.0</v>
      </c>
      <c r="M4130" s="3">
        <f t="shared" si="5"/>
        <v>0.5775193798</v>
      </c>
      <c r="N4130" s="2">
        <v>2925000.0</v>
      </c>
      <c r="O4130" s="4">
        <f t="shared" si="6"/>
        <v>5668.604651</v>
      </c>
      <c r="P4130" s="2">
        <v>0.0</v>
      </c>
      <c r="Q4130" s="3">
        <f t="shared" si="7"/>
        <v>0</v>
      </c>
      <c r="R4130" s="2">
        <v>0.0</v>
      </c>
      <c r="S4130" s="5">
        <f t="shared" si="8"/>
        <v>0</v>
      </c>
    </row>
    <row r="4131">
      <c r="A4131" s="2" t="s">
        <v>4135</v>
      </c>
      <c r="B4131" s="2">
        <v>1499.0</v>
      </c>
      <c r="C4131" s="2">
        <v>17441.0</v>
      </c>
      <c r="D4131" s="2">
        <v>5022.0</v>
      </c>
      <c r="E4131" s="3">
        <f t="shared" si="1"/>
        <v>0.3150169364</v>
      </c>
      <c r="F4131" s="2">
        <v>2035.0</v>
      </c>
      <c r="G4131" s="3">
        <f t="shared" si="2"/>
        <v>0.1276502321</v>
      </c>
      <c r="H4131" s="2">
        <v>3293.0</v>
      </c>
      <c r="I4131" s="3">
        <f t="shared" si="3"/>
        <v>0.2065612847</v>
      </c>
      <c r="J4131" s="2">
        <v>2942.0</v>
      </c>
      <c r="K4131" s="3">
        <f t="shared" si="4"/>
        <v>0.1845439719</v>
      </c>
      <c r="L4131" s="2">
        <v>1943.0</v>
      </c>
      <c r="M4131" s="3">
        <f t="shared" si="5"/>
        <v>0.5900394777</v>
      </c>
      <c r="N4131" s="2">
        <v>1.91844E7</v>
      </c>
      <c r="O4131" s="4">
        <f t="shared" si="6"/>
        <v>5825.812329</v>
      </c>
      <c r="P4131" s="2">
        <v>2.0</v>
      </c>
      <c r="Q4131" s="3">
        <f t="shared" si="7"/>
        <v>0.001334222815</v>
      </c>
      <c r="R4131" s="2">
        <v>1314.0</v>
      </c>
      <c r="S4131" s="5">
        <f t="shared" si="8"/>
        <v>0.8765843896</v>
      </c>
    </row>
    <row r="4132">
      <c r="A4132" s="2" t="s">
        <v>4136</v>
      </c>
      <c r="B4132" s="2">
        <v>1781.0</v>
      </c>
      <c r="C4132" s="2">
        <v>20826.0</v>
      </c>
      <c r="D4132" s="2">
        <v>5053.0</v>
      </c>
      <c r="E4132" s="3">
        <f t="shared" si="1"/>
        <v>0.2653189814</v>
      </c>
      <c r="F4132" s="2">
        <v>2431.0</v>
      </c>
      <c r="G4132" s="3">
        <f t="shared" si="2"/>
        <v>0.1276450512</v>
      </c>
      <c r="H4132" s="2">
        <v>3777.0</v>
      </c>
      <c r="I4132" s="3">
        <f t="shared" si="3"/>
        <v>0.198319769</v>
      </c>
      <c r="J4132" s="2">
        <v>3206.0</v>
      </c>
      <c r="K4132" s="3">
        <f t="shared" si="4"/>
        <v>0.1683381465</v>
      </c>
      <c r="L4132" s="2">
        <v>2320.0</v>
      </c>
      <c r="M4132" s="3">
        <f t="shared" si="5"/>
        <v>0.6142441091</v>
      </c>
      <c r="N4132" s="2">
        <v>2.19883E7</v>
      </c>
      <c r="O4132" s="4">
        <f t="shared" si="6"/>
        <v>5821.630924</v>
      </c>
      <c r="P4132" s="2">
        <v>4.0</v>
      </c>
      <c r="Q4132" s="3">
        <f t="shared" si="7"/>
        <v>0.002245929253</v>
      </c>
      <c r="R4132" s="2">
        <v>1781.0</v>
      </c>
      <c r="S4132" s="5">
        <f t="shared" si="8"/>
        <v>1</v>
      </c>
    </row>
    <row r="4133">
      <c r="A4133" s="2" t="s">
        <v>4137</v>
      </c>
      <c r="B4133" s="2">
        <v>214.0</v>
      </c>
      <c r="C4133" s="2">
        <v>2533.0</v>
      </c>
      <c r="D4133" s="2">
        <v>806.0</v>
      </c>
      <c r="E4133" s="3">
        <f t="shared" si="1"/>
        <v>0.347563605</v>
      </c>
      <c r="F4133" s="2">
        <v>296.0</v>
      </c>
      <c r="G4133" s="3">
        <f t="shared" si="2"/>
        <v>0.1276412247</v>
      </c>
      <c r="H4133" s="2">
        <v>495.0</v>
      </c>
      <c r="I4133" s="3">
        <f t="shared" si="3"/>
        <v>0.213454075</v>
      </c>
      <c r="J4133" s="2">
        <v>316.0</v>
      </c>
      <c r="K4133" s="3">
        <f t="shared" si="4"/>
        <v>0.1362656317</v>
      </c>
      <c r="L4133" s="2">
        <v>318.0</v>
      </c>
      <c r="M4133" s="3">
        <f t="shared" si="5"/>
        <v>0.6424242424</v>
      </c>
      <c r="N4133" s="2">
        <v>2716100.0</v>
      </c>
      <c r="O4133" s="4">
        <f t="shared" si="6"/>
        <v>5487.070707</v>
      </c>
      <c r="P4133" s="2">
        <v>1.0</v>
      </c>
      <c r="Q4133" s="3">
        <f t="shared" si="7"/>
        <v>0.004672897196</v>
      </c>
      <c r="R4133" s="2">
        <v>0.0</v>
      </c>
      <c r="S4133" s="5">
        <f t="shared" si="8"/>
        <v>0</v>
      </c>
    </row>
    <row r="4134">
      <c r="A4134" s="2" t="s">
        <v>4138</v>
      </c>
      <c r="B4134" s="2">
        <v>55.0</v>
      </c>
      <c r="C4134" s="2">
        <v>627.0</v>
      </c>
      <c r="D4134" s="2">
        <v>241.0</v>
      </c>
      <c r="E4134" s="3">
        <f t="shared" si="1"/>
        <v>0.4213286713</v>
      </c>
      <c r="F4134" s="2">
        <v>73.0</v>
      </c>
      <c r="G4134" s="3">
        <f t="shared" si="2"/>
        <v>0.1276223776</v>
      </c>
      <c r="H4134" s="2">
        <v>106.0</v>
      </c>
      <c r="I4134" s="3">
        <f t="shared" si="3"/>
        <v>0.1853146853</v>
      </c>
      <c r="J4134" s="2">
        <v>92.0</v>
      </c>
      <c r="K4134" s="3">
        <f t="shared" si="4"/>
        <v>0.1608391608</v>
      </c>
      <c r="L4134" s="2">
        <v>69.0</v>
      </c>
      <c r="M4134" s="3">
        <f t="shared" si="5"/>
        <v>0.6509433962</v>
      </c>
      <c r="N4134" s="2">
        <v>605100.0</v>
      </c>
      <c r="O4134" s="4">
        <f t="shared" si="6"/>
        <v>5708.490566</v>
      </c>
      <c r="P4134" s="2">
        <v>0.0</v>
      </c>
      <c r="Q4134" s="3">
        <f t="shared" si="7"/>
        <v>0</v>
      </c>
      <c r="R4134" s="2">
        <v>46.0</v>
      </c>
      <c r="S4134" s="5">
        <f t="shared" si="8"/>
        <v>0.8363636364</v>
      </c>
    </row>
    <row r="4135">
      <c r="A4135" s="2" t="s">
        <v>4139</v>
      </c>
      <c r="B4135" s="2">
        <v>1119.0</v>
      </c>
      <c r="C4135" s="2">
        <v>13006.0</v>
      </c>
      <c r="D4135" s="2">
        <v>3806.0</v>
      </c>
      <c r="E4135" s="3">
        <f t="shared" si="1"/>
        <v>0.3201817111</v>
      </c>
      <c r="F4135" s="2">
        <v>1517.0</v>
      </c>
      <c r="G4135" s="3">
        <f t="shared" si="2"/>
        <v>0.1276184067</v>
      </c>
      <c r="H4135" s="2">
        <v>2448.0</v>
      </c>
      <c r="I4135" s="3">
        <f t="shared" si="3"/>
        <v>0.2059392614</v>
      </c>
      <c r="J4135" s="2">
        <v>2057.0</v>
      </c>
      <c r="K4135" s="3">
        <f t="shared" si="4"/>
        <v>0.1730461849</v>
      </c>
      <c r="L4135" s="2">
        <v>1484.0</v>
      </c>
      <c r="M4135" s="3">
        <f t="shared" si="5"/>
        <v>0.6062091503</v>
      </c>
      <c r="N4135" s="2">
        <v>1.43342E7</v>
      </c>
      <c r="O4135" s="4">
        <f t="shared" si="6"/>
        <v>5855.473856</v>
      </c>
      <c r="P4135" s="2">
        <v>3.0</v>
      </c>
      <c r="Q4135" s="3">
        <f t="shared" si="7"/>
        <v>0.002680965147</v>
      </c>
      <c r="R4135" s="2">
        <v>0.0</v>
      </c>
      <c r="S4135" s="5">
        <f t="shared" si="8"/>
        <v>0</v>
      </c>
    </row>
    <row r="4136">
      <c r="A4136" s="2" t="s">
        <v>4140</v>
      </c>
      <c r="B4136" s="2">
        <v>2697.0</v>
      </c>
      <c r="C4136" s="2">
        <v>31409.0</v>
      </c>
      <c r="D4136" s="2">
        <v>10779.0</v>
      </c>
      <c r="E4136" s="3">
        <f t="shared" si="1"/>
        <v>0.3754179437</v>
      </c>
      <c r="F4136" s="2">
        <v>3664.0</v>
      </c>
      <c r="G4136" s="3">
        <f t="shared" si="2"/>
        <v>0.1276121482</v>
      </c>
      <c r="H4136" s="2">
        <v>6175.0</v>
      </c>
      <c r="I4136" s="3">
        <f t="shared" si="3"/>
        <v>0.215066871</v>
      </c>
      <c r="J4136" s="2">
        <v>4300.0</v>
      </c>
      <c r="K4136" s="3">
        <f t="shared" si="4"/>
        <v>0.1497631652</v>
      </c>
      <c r="L4136" s="2">
        <v>3787.0</v>
      </c>
      <c r="M4136" s="3">
        <f t="shared" si="5"/>
        <v>0.6132793522</v>
      </c>
      <c r="N4136" s="2">
        <v>3.30681E7</v>
      </c>
      <c r="O4136" s="4">
        <f t="shared" si="6"/>
        <v>5355.157895</v>
      </c>
      <c r="P4136" s="2">
        <v>10.0</v>
      </c>
      <c r="Q4136" s="3">
        <f t="shared" si="7"/>
        <v>0.003707823508</v>
      </c>
      <c r="R4136" s="2">
        <v>2697.0</v>
      </c>
      <c r="S4136" s="5">
        <f t="shared" si="8"/>
        <v>1</v>
      </c>
    </row>
    <row r="4137">
      <c r="A4137" s="2" t="s">
        <v>4141</v>
      </c>
      <c r="B4137" s="2">
        <v>3010.0</v>
      </c>
      <c r="C4137" s="2">
        <v>35445.0</v>
      </c>
      <c r="D4137" s="2">
        <v>12177.0</v>
      </c>
      <c r="E4137" s="3">
        <f t="shared" si="1"/>
        <v>0.3754277786</v>
      </c>
      <c r="F4137" s="2">
        <v>4139.0</v>
      </c>
      <c r="G4137" s="3">
        <f t="shared" si="2"/>
        <v>0.1276090643</v>
      </c>
      <c r="H4137" s="2">
        <v>6573.0</v>
      </c>
      <c r="I4137" s="3">
        <f t="shared" si="3"/>
        <v>0.2026514568</v>
      </c>
      <c r="J4137" s="2">
        <v>4811.0</v>
      </c>
      <c r="K4137" s="3">
        <f t="shared" si="4"/>
        <v>0.1483274241</v>
      </c>
      <c r="L4137" s="2">
        <v>3994.0</v>
      </c>
      <c r="M4137" s="3">
        <f t="shared" si="5"/>
        <v>0.6076373041</v>
      </c>
      <c r="N4137" s="2">
        <v>3.78443E7</v>
      </c>
      <c r="O4137" s="4">
        <f t="shared" si="6"/>
        <v>5757.538415</v>
      </c>
      <c r="P4137" s="2">
        <v>8.0</v>
      </c>
      <c r="Q4137" s="3">
        <f t="shared" si="7"/>
        <v>0.002657807309</v>
      </c>
      <c r="R4137" s="2">
        <v>3010.0</v>
      </c>
      <c r="S4137" s="5">
        <f t="shared" si="8"/>
        <v>1</v>
      </c>
    </row>
    <row r="4138">
      <c r="A4138" s="2" t="s">
        <v>4142</v>
      </c>
      <c r="B4138" s="2">
        <v>566.0</v>
      </c>
      <c r="C4138" s="2">
        <v>6561.0</v>
      </c>
      <c r="D4138" s="2">
        <v>1902.0</v>
      </c>
      <c r="E4138" s="3">
        <f t="shared" si="1"/>
        <v>0.317264387</v>
      </c>
      <c r="F4138" s="2">
        <v>765.0</v>
      </c>
      <c r="G4138" s="3">
        <f t="shared" si="2"/>
        <v>0.1276063386</v>
      </c>
      <c r="H4138" s="2">
        <v>1276.0</v>
      </c>
      <c r="I4138" s="3">
        <f t="shared" si="3"/>
        <v>0.2128440367</v>
      </c>
      <c r="J4138" s="2">
        <v>914.0</v>
      </c>
      <c r="K4138" s="3">
        <f t="shared" si="4"/>
        <v>0.1524603837</v>
      </c>
      <c r="L4138" s="2">
        <v>746.0</v>
      </c>
      <c r="M4138" s="3">
        <f t="shared" si="5"/>
        <v>0.5846394984</v>
      </c>
      <c r="N4138" s="2">
        <v>7839800.0</v>
      </c>
      <c r="O4138" s="4">
        <f t="shared" si="6"/>
        <v>6144.043887</v>
      </c>
      <c r="P4138" s="2">
        <v>7.0</v>
      </c>
      <c r="Q4138" s="3">
        <f t="shared" si="7"/>
        <v>0.01236749117</v>
      </c>
      <c r="R4138" s="2">
        <v>566.0</v>
      </c>
      <c r="S4138" s="5">
        <f t="shared" si="8"/>
        <v>1</v>
      </c>
    </row>
    <row r="4139">
      <c r="A4139" s="2" t="s">
        <v>4143</v>
      </c>
      <c r="B4139" s="2">
        <v>244.0</v>
      </c>
      <c r="C4139" s="2">
        <v>2885.0</v>
      </c>
      <c r="D4139" s="2">
        <v>881.0</v>
      </c>
      <c r="E4139" s="3">
        <f t="shared" si="1"/>
        <v>0.333585763</v>
      </c>
      <c r="F4139" s="2">
        <v>337.0</v>
      </c>
      <c r="G4139" s="3">
        <f t="shared" si="2"/>
        <v>0.1276031806</v>
      </c>
      <c r="H4139" s="2">
        <v>485.0</v>
      </c>
      <c r="I4139" s="3">
        <f t="shared" si="3"/>
        <v>0.1836425596</v>
      </c>
      <c r="J4139" s="2">
        <v>474.0</v>
      </c>
      <c r="K4139" s="3">
        <f t="shared" si="4"/>
        <v>0.1794774707</v>
      </c>
      <c r="L4139" s="2">
        <v>279.0</v>
      </c>
      <c r="M4139" s="3">
        <f t="shared" si="5"/>
        <v>0.575257732</v>
      </c>
      <c r="N4139" s="2">
        <v>2754800.0</v>
      </c>
      <c r="O4139" s="4">
        <f t="shared" si="6"/>
        <v>5680</v>
      </c>
      <c r="P4139" s="2">
        <v>0.0</v>
      </c>
      <c r="Q4139" s="3">
        <f t="shared" si="7"/>
        <v>0</v>
      </c>
      <c r="R4139" s="2">
        <v>244.0</v>
      </c>
      <c r="S4139" s="5">
        <f t="shared" si="8"/>
        <v>1</v>
      </c>
    </row>
    <row r="4140">
      <c r="A4140" s="2" t="s">
        <v>4144</v>
      </c>
      <c r="B4140" s="2">
        <v>896.0</v>
      </c>
      <c r="C4140" s="2">
        <v>10551.0</v>
      </c>
      <c r="D4140" s="2">
        <v>3431.0</v>
      </c>
      <c r="E4140" s="3">
        <f t="shared" si="1"/>
        <v>0.3553599171</v>
      </c>
      <c r="F4140" s="2">
        <v>1232.0</v>
      </c>
      <c r="G4140" s="3">
        <f t="shared" si="2"/>
        <v>0.1276022786</v>
      </c>
      <c r="H4140" s="2">
        <v>1914.0</v>
      </c>
      <c r="I4140" s="3">
        <f t="shared" si="3"/>
        <v>0.1982392543</v>
      </c>
      <c r="J4140" s="2">
        <v>1602.0</v>
      </c>
      <c r="K4140" s="3">
        <f t="shared" si="4"/>
        <v>0.1659243915</v>
      </c>
      <c r="L4140" s="2">
        <v>1157.0</v>
      </c>
      <c r="M4140" s="3">
        <f t="shared" si="5"/>
        <v>0.6044932079</v>
      </c>
      <c r="N4140" s="2">
        <v>1.05811E7</v>
      </c>
      <c r="O4140" s="4">
        <f t="shared" si="6"/>
        <v>5528.265413</v>
      </c>
      <c r="P4140" s="2">
        <v>1.0</v>
      </c>
      <c r="Q4140" s="3">
        <f t="shared" si="7"/>
        <v>0.001116071429</v>
      </c>
      <c r="R4140" s="2">
        <v>896.0</v>
      </c>
      <c r="S4140" s="5">
        <f t="shared" si="8"/>
        <v>1</v>
      </c>
    </row>
    <row r="4141">
      <c r="A4141" s="2" t="s">
        <v>4145</v>
      </c>
      <c r="B4141" s="2">
        <v>1114.0</v>
      </c>
      <c r="C4141" s="2">
        <v>12838.0</v>
      </c>
      <c r="D4141" s="2">
        <v>4683.0</v>
      </c>
      <c r="E4141" s="3">
        <f t="shared" si="1"/>
        <v>0.3994370522</v>
      </c>
      <c r="F4141" s="2">
        <v>1496.0</v>
      </c>
      <c r="G4141" s="3">
        <f t="shared" si="2"/>
        <v>0.1276015012</v>
      </c>
      <c r="H4141" s="2">
        <v>2503.0</v>
      </c>
      <c r="I4141" s="3">
        <f t="shared" si="3"/>
        <v>0.2134936882</v>
      </c>
      <c r="J4141" s="2">
        <v>2003.0</v>
      </c>
      <c r="K4141" s="3">
        <f t="shared" si="4"/>
        <v>0.1708461276</v>
      </c>
      <c r="L4141" s="2">
        <v>1545.0</v>
      </c>
      <c r="M4141" s="3">
        <f t="shared" si="5"/>
        <v>0.6172592889</v>
      </c>
      <c r="N4141" s="2">
        <v>1.38439E7</v>
      </c>
      <c r="O4141" s="4">
        <f t="shared" si="6"/>
        <v>5530.922893</v>
      </c>
      <c r="P4141" s="2">
        <v>2.0</v>
      </c>
      <c r="Q4141" s="3">
        <f t="shared" si="7"/>
        <v>0.001795332136</v>
      </c>
      <c r="R4141" s="2">
        <v>1092.0</v>
      </c>
      <c r="S4141" s="5">
        <f t="shared" si="8"/>
        <v>0.9802513465</v>
      </c>
    </row>
    <row r="4142">
      <c r="A4142" s="2" t="s">
        <v>4146</v>
      </c>
      <c r="B4142" s="2">
        <v>283.0</v>
      </c>
      <c r="C4142" s="2">
        <v>3363.0</v>
      </c>
      <c r="D4142" s="2">
        <v>999.0</v>
      </c>
      <c r="E4142" s="3">
        <f t="shared" si="1"/>
        <v>0.3243506494</v>
      </c>
      <c r="F4142" s="2">
        <v>393.0</v>
      </c>
      <c r="G4142" s="3">
        <f t="shared" si="2"/>
        <v>0.1275974026</v>
      </c>
      <c r="H4142" s="2">
        <v>604.0</v>
      </c>
      <c r="I4142" s="3">
        <f t="shared" si="3"/>
        <v>0.1961038961</v>
      </c>
      <c r="J4142" s="2">
        <v>548.0</v>
      </c>
      <c r="K4142" s="3">
        <f t="shared" si="4"/>
        <v>0.1779220779</v>
      </c>
      <c r="L4142" s="2">
        <v>363.0</v>
      </c>
      <c r="M4142" s="3">
        <f t="shared" si="5"/>
        <v>0.6009933775</v>
      </c>
      <c r="N4142" s="2">
        <v>3545400.0</v>
      </c>
      <c r="O4142" s="4">
        <f t="shared" si="6"/>
        <v>5869.86755</v>
      </c>
      <c r="P4142" s="2">
        <v>0.0</v>
      </c>
      <c r="Q4142" s="3">
        <f t="shared" si="7"/>
        <v>0</v>
      </c>
      <c r="R4142" s="2">
        <v>283.0</v>
      </c>
      <c r="S4142" s="5">
        <f t="shared" si="8"/>
        <v>1</v>
      </c>
    </row>
    <row r="4143">
      <c r="A4143" s="2" t="s">
        <v>4147</v>
      </c>
      <c r="B4143" s="2">
        <v>93.0</v>
      </c>
      <c r="C4143" s="2">
        <v>1104.0</v>
      </c>
      <c r="D4143" s="2">
        <v>383.0</v>
      </c>
      <c r="E4143" s="3">
        <f t="shared" si="1"/>
        <v>0.3788328388</v>
      </c>
      <c r="F4143" s="2">
        <v>129.0</v>
      </c>
      <c r="G4143" s="3">
        <f t="shared" si="2"/>
        <v>0.1275964392</v>
      </c>
      <c r="H4143" s="2">
        <v>190.0</v>
      </c>
      <c r="I4143" s="3">
        <f t="shared" si="3"/>
        <v>0.1879327399</v>
      </c>
      <c r="J4143" s="2">
        <v>205.0</v>
      </c>
      <c r="K4143" s="3">
        <f t="shared" si="4"/>
        <v>0.2027695351</v>
      </c>
      <c r="L4143" s="2">
        <v>111.0</v>
      </c>
      <c r="M4143" s="3">
        <f t="shared" si="5"/>
        <v>0.5842105263</v>
      </c>
      <c r="N4143" s="2">
        <v>1012500.0</v>
      </c>
      <c r="O4143" s="4">
        <f t="shared" si="6"/>
        <v>5328.947368</v>
      </c>
      <c r="P4143" s="2">
        <v>0.0</v>
      </c>
      <c r="Q4143" s="3">
        <f t="shared" si="7"/>
        <v>0</v>
      </c>
      <c r="R4143" s="2">
        <v>93.0</v>
      </c>
      <c r="S4143" s="5">
        <f t="shared" si="8"/>
        <v>1</v>
      </c>
    </row>
    <row r="4144">
      <c r="A4144" s="2" t="s">
        <v>4148</v>
      </c>
      <c r="B4144" s="2">
        <v>122.0</v>
      </c>
      <c r="C4144" s="2">
        <v>1423.0</v>
      </c>
      <c r="D4144" s="2">
        <v>449.0</v>
      </c>
      <c r="E4144" s="3">
        <f t="shared" si="1"/>
        <v>0.3451191391</v>
      </c>
      <c r="F4144" s="2">
        <v>166.0</v>
      </c>
      <c r="G4144" s="3">
        <f t="shared" si="2"/>
        <v>0.1275941583</v>
      </c>
      <c r="H4144" s="2">
        <v>252.0</v>
      </c>
      <c r="I4144" s="3">
        <f t="shared" si="3"/>
        <v>0.193697156</v>
      </c>
      <c r="J4144" s="2">
        <v>240.0</v>
      </c>
      <c r="K4144" s="3">
        <f t="shared" si="4"/>
        <v>0.1844734819</v>
      </c>
      <c r="L4144" s="2">
        <v>149.0</v>
      </c>
      <c r="M4144" s="3">
        <f t="shared" si="5"/>
        <v>0.5912698413</v>
      </c>
      <c r="N4144" s="2">
        <v>1467000.0</v>
      </c>
      <c r="O4144" s="4">
        <f t="shared" si="6"/>
        <v>5821.428571</v>
      </c>
      <c r="P4144" s="2">
        <v>0.0</v>
      </c>
      <c r="Q4144" s="3">
        <f t="shared" si="7"/>
        <v>0</v>
      </c>
      <c r="R4144" s="2">
        <v>118.0</v>
      </c>
      <c r="S4144" s="5">
        <f t="shared" si="8"/>
        <v>0.9672131148</v>
      </c>
    </row>
    <row r="4145">
      <c r="A4145" s="2" t="s">
        <v>4149</v>
      </c>
      <c r="B4145" s="2">
        <v>61.0</v>
      </c>
      <c r="C4145" s="2">
        <v>688.0</v>
      </c>
      <c r="D4145" s="2">
        <v>183.0</v>
      </c>
      <c r="E4145" s="3">
        <f t="shared" si="1"/>
        <v>0.2918660287</v>
      </c>
      <c r="F4145" s="2">
        <v>80.0</v>
      </c>
      <c r="G4145" s="3">
        <f t="shared" si="2"/>
        <v>0.1275917065</v>
      </c>
      <c r="H4145" s="2">
        <v>114.0</v>
      </c>
      <c r="I4145" s="3">
        <f t="shared" si="3"/>
        <v>0.1818181818</v>
      </c>
      <c r="J4145" s="2">
        <v>92.0</v>
      </c>
      <c r="K4145" s="3">
        <f t="shared" si="4"/>
        <v>0.1467304625</v>
      </c>
      <c r="L4145" s="2">
        <v>63.0</v>
      </c>
      <c r="M4145" s="3">
        <f t="shared" si="5"/>
        <v>0.5526315789</v>
      </c>
      <c r="N4145" s="2">
        <v>549100.0</v>
      </c>
      <c r="O4145" s="4">
        <f t="shared" si="6"/>
        <v>4816.666667</v>
      </c>
      <c r="P4145" s="2">
        <v>0.0</v>
      </c>
      <c r="Q4145" s="3">
        <f t="shared" si="7"/>
        <v>0</v>
      </c>
      <c r="R4145" s="2">
        <v>0.0</v>
      </c>
      <c r="S4145" s="5">
        <f t="shared" si="8"/>
        <v>0</v>
      </c>
    </row>
    <row r="4146">
      <c r="A4146" s="2" t="s">
        <v>4150</v>
      </c>
      <c r="B4146" s="2">
        <v>150.0</v>
      </c>
      <c r="C4146" s="2">
        <v>1796.0</v>
      </c>
      <c r="D4146" s="2">
        <v>645.0</v>
      </c>
      <c r="E4146" s="3">
        <f t="shared" si="1"/>
        <v>0.3918590522</v>
      </c>
      <c r="F4146" s="2">
        <v>210.0</v>
      </c>
      <c r="G4146" s="3">
        <f t="shared" si="2"/>
        <v>0.127582017</v>
      </c>
      <c r="H4146" s="2">
        <v>325.0</v>
      </c>
      <c r="I4146" s="3">
        <f t="shared" si="3"/>
        <v>0.1974483597</v>
      </c>
      <c r="J4146" s="2">
        <v>284.0</v>
      </c>
      <c r="K4146" s="3">
        <f t="shared" si="4"/>
        <v>0.1725394897</v>
      </c>
      <c r="L4146" s="2">
        <v>191.0</v>
      </c>
      <c r="M4146" s="3">
        <f t="shared" si="5"/>
        <v>0.5876923077</v>
      </c>
      <c r="N4146" s="2">
        <v>1841200.0</v>
      </c>
      <c r="O4146" s="4">
        <f t="shared" si="6"/>
        <v>5665.230769</v>
      </c>
      <c r="P4146" s="2">
        <v>2.0</v>
      </c>
      <c r="Q4146" s="3">
        <f t="shared" si="7"/>
        <v>0.01333333333</v>
      </c>
      <c r="R4146" s="2">
        <v>128.0</v>
      </c>
      <c r="S4146" s="5">
        <f t="shared" si="8"/>
        <v>0.8533333333</v>
      </c>
    </row>
    <row r="4147">
      <c r="A4147" s="2" t="s">
        <v>4151</v>
      </c>
      <c r="B4147" s="2">
        <v>100.0</v>
      </c>
      <c r="C4147" s="2">
        <v>1166.0</v>
      </c>
      <c r="D4147" s="2">
        <v>356.0</v>
      </c>
      <c r="E4147" s="3">
        <f t="shared" si="1"/>
        <v>0.3339587242</v>
      </c>
      <c r="F4147" s="2">
        <v>136.0</v>
      </c>
      <c r="G4147" s="3">
        <f t="shared" si="2"/>
        <v>0.1275797373</v>
      </c>
      <c r="H4147" s="2">
        <v>217.0</v>
      </c>
      <c r="I4147" s="3">
        <f t="shared" si="3"/>
        <v>0.203564728</v>
      </c>
      <c r="J4147" s="2">
        <v>155.0</v>
      </c>
      <c r="K4147" s="3">
        <f t="shared" si="4"/>
        <v>0.1454033771</v>
      </c>
      <c r="L4147" s="2">
        <v>122.0</v>
      </c>
      <c r="M4147" s="3">
        <f t="shared" si="5"/>
        <v>0.5622119816</v>
      </c>
      <c r="N4147" s="2">
        <v>1149000.0</v>
      </c>
      <c r="O4147" s="4">
        <f t="shared" si="6"/>
        <v>5294.930876</v>
      </c>
      <c r="P4147" s="2">
        <v>0.0</v>
      </c>
      <c r="Q4147" s="3">
        <f t="shared" si="7"/>
        <v>0</v>
      </c>
      <c r="R4147" s="2">
        <v>100.0</v>
      </c>
      <c r="S4147" s="5">
        <f t="shared" si="8"/>
        <v>1</v>
      </c>
    </row>
    <row r="4148">
      <c r="A4148" s="2" t="s">
        <v>4152</v>
      </c>
      <c r="B4148" s="2">
        <v>923.0</v>
      </c>
      <c r="C4148" s="2">
        <v>11003.0</v>
      </c>
      <c r="D4148" s="2">
        <v>3503.0</v>
      </c>
      <c r="E4148" s="3">
        <f t="shared" si="1"/>
        <v>0.3475198413</v>
      </c>
      <c r="F4148" s="2">
        <v>1286.0</v>
      </c>
      <c r="G4148" s="3">
        <f t="shared" si="2"/>
        <v>0.1275793651</v>
      </c>
      <c r="H4148" s="2">
        <v>2101.0</v>
      </c>
      <c r="I4148" s="3">
        <f t="shared" si="3"/>
        <v>0.2084325397</v>
      </c>
      <c r="J4148" s="2">
        <v>1750.0</v>
      </c>
      <c r="K4148" s="3">
        <f t="shared" si="4"/>
        <v>0.1736111111</v>
      </c>
      <c r="L4148" s="2">
        <v>1217.0</v>
      </c>
      <c r="M4148" s="3">
        <f t="shared" si="5"/>
        <v>0.5792479772</v>
      </c>
      <c r="N4148" s="2">
        <v>1.18664E7</v>
      </c>
      <c r="O4148" s="4">
        <f t="shared" si="6"/>
        <v>5647.977154</v>
      </c>
      <c r="P4148" s="2">
        <v>1.0</v>
      </c>
      <c r="Q4148" s="3">
        <f t="shared" si="7"/>
        <v>0.001083423619</v>
      </c>
      <c r="R4148" s="2">
        <v>923.0</v>
      </c>
      <c r="S4148" s="5">
        <f t="shared" si="8"/>
        <v>1</v>
      </c>
    </row>
    <row r="4149">
      <c r="A4149" s="2" t="s">
        <v>4153</v>
      </c>
      <c r="B4149" s="2">
        <v>614.0</v>
      </c>
      <c r="C4149" s="2">
        <v>7159.0</v>
      </c>
      <c r="D4149" s="2">
        <v>2280.0</v>
      </c>
      <c r="E4149" s="3">
        <f t="shared" si="1"/>
        <v>0.3483575248</v>
      </c>
      <c r="F4149" s="2">
        <v>835.0</v>
      </c>
      <c r="G4149" s="3">
        <f t="shared" si="2"/>
        <v>0.127578304</v>
      </c>
      <c r="H4149" s="2">
        <v>1378.0</v>
      </c>
      <c r="I4149" s="3">
        <f t="shared" si="3"/>
        <v>0.2105423988</v>
      </c>
      <c r="J4149" s="2">
        <v>986.0</v>
      </c>
      <c r="K4149" s="3">
        <f t="shared" si="4"/>
        <v>0.1506493506</v>
      </c>
      <c r="L4149" s="2">
        <v>845.0</v>
      </c>
      <c r="M4149" s="3">
        <f t="shared" si="5"/>
        <v>0.6132075472</v>
      </c>
      <c r="N4149" s="2">
        <v>7657700.0</v>
      </c>
      <c r="O4149" s="4">
        <f t="shared" si="6"/>
        <v>5557.111756</v>
      </c>
      <c r="P4149" s="2">
        <v>3.0</v>
      </c>
      <c r="Q4149" s="3">
        <f t="shared" si="7"/>
        <v>0.004885993485</v>
      </c>
      <c r="R4149" s="2">
        <v>614.0</v>
      </c>
      <c r="S4149" s="5">
        <f t="shared" si="8"/>
        <v>1</v>
      </c>
    </row>
    <row r="4150">
      <c r="A4150" s="2" t="s">
        <v>4154</v>
      </c>
      <c r="B4150" s="2">
        <v>1201.0</v>
      </c>
      <c r="C4150" s="2">
        <v>13907.0</v>
      </c>
      <c r="D4150" s="2">
        <v>3902.0</v>
      </c>
      <c r="E4150" s="3">
        <f t="shared" si="1"/>
        <v>0.3070990083</v>
      </c>
      <c r="F4150" s="2">
        <v>1621.0</v>
      </c>
      <c r="G4150" s="3">
        <f t="shared" si="2"/>
        <v>0.1275775224</v>
      </c>
      <c r="H4150" s="2">
        <v>2639.0</v>
      </c>
      <c r="I4150" s="3">
        <f t="shared" si="3"/>
        <v>0.207697151</v>
      </c>
      <c r="J4150" s="2">
        <v>2376.0</v>
      </c>
      <c r="K4150" s="3">
        <f t="shared" si="4"/>
        <v>0.1869982685</v>
      </c>
      <c r="L4150" s="2">
        <v>1582.0</v>
      </c>
      <c r="M4150" s="3">
        <f t="shared" si="5"/>
        <v>0.599469496</v>
      </c>
      <c r="N4150" s="2">
        <v>1.53483E7</v>
      </c>
      <c r="O4150" s="4">
        <f t="shared" si="6"/>
        <v>5815.953013</v>
      </c>
      <c r="P4150" s="2">
        <v>0.0</v>
      </c>
      <c r="Q4150" s="3">
        <f t="shared" si="7"/>
        <v>0</v>
      </c>
      <c r="R4150" s="2">
        <v>1201.0</v>
      </c>
      <c r="S4150" s="5">
        <f t="shared" si="8"/>
        <v>1</v>
      </c>
    </row>
    <row r="4151">
      <c r="A4151" s="2" t="s">
        <v>4155</v>
      </c>
      <c r="B4151" s="2">
        <v>5619.0</v>
      </c>
      <c r="C4151" s="2">
        <v>65277.0</v>
      </c>
      <c r="D4151" s="2">
        <v>20425.0</v>
      </c>
      <c r="E4151" s="3">
        <f t="shared" si="1"/>
        <v>0.3423681652</v>
      </c>
      <c r="F4151" s="2">
        <v>7611.0</v>
      </c>
      <c r="G4151" s="3">
        <f t="shared" si="2"/>
        <v>0.12757719</v>
      </c>
      <c r="H4151" s="2">
        <v>12922.0</v>
      </c>
      <c r="I4151" s="3">
        <f t="shared" si="3"/>
        <v>0.216601294</v>
      </c>
      <c r="J4151" s="2">
        <v>10093.0</v>
      </c>
      <c r="K4151" s="3">
        <f t="shared" si="4"/>
        <v>0.1691809984</v>
      </c>
      <c r="L4151" s="2">
        <v>7743.0</v>
      </c>
      <c r="M4151" s="3">
        <f t="shared" si="5"/>
        <v>0.5992106485</v>
      </c>
      <c r="N4151" s="2">
        <v>7.53727E7</v>
      </c>
      <c r="O4151" s="4">
        <f t="shared" si="6"/>
        <v>5832.897384</v>
      </c>
      <c r="P4151" s="2">
        <v>10.0</v>
      </c>
      <c r="Q4151" s="3">
        <f t="shared" si="7"/>
        <v>0.001779676099</v>
      </c>
      <c r="R4151" s="2">
        <v>5619.0</v>
      </c>
      <c r="S4151" s="5">
        <f t="shared" si="8"/>
        <v>1</v>
      </c>
    </row>
    <row r="4152">
      <c r="A4152" s="2" t="s">
        <v>4156</v>
      </c>
      <c r="B4152" s="2">
        <v>93.0</v>
      </c>
      <c r="C4152" s="2">
        <v>1112.0</v>
      </c>
      <c r="D4152" s="2">
        <v>260.0</v>
      </c>
      <c r="E4152" s="3">
        <f t="shared" si="1"/>
        <v>0.2551521099</v>
      </c>
      <c r="F4152" s="2">
        <v>130.0</v>
      </c>
      <c r="G4152" s="3">
        <f t="shared" si="2"/>
        <v>0.127576055</v>
      </c>
      <c r="H4152" s="2">
        <v>207.0</v>
      </c>
      <c r="I4152" s="3">
        <f t="shared" si="3"/>
        <v>0.2031403337</v>
      </c>
      <c r="J4152" s="2">
        <v>95.0</v>
      </c>
      <c r="K4152" s="3">
        <f t="shared" si="4"/>
        <v>0.09322865554</v>
      </c>
      <c r="L4152" s="2">
        <v>143.0</v>
      </c>
      <c r="M4152" s="3">
        <f t="shared" si="5"/>
        <v>0.690821256</v>
      </c>
      <c r="N4152" s="2">
        <v>1118200.0</v>
      </c>
      <c r="O4152" s="4">
        <f t="shared" si="6"/>
        <v>5401.932367</v>
      </c>
      <c r="P4152" s="2">
        <v>2.0</v>
      </c>
      <c r="Q4152" s="3">
        <f t="shared" si="7"/>
        <v>0.02150537634</v>
      </c>
      <c r="R4152" s="2">
        <v>93.0</v>
      </c>
      <c r="S4152" s="5">
        <f t="shared" si="8"/>
        <v>1</v>
      </c>
    </row>
    <row r="4153">
      <c r="A4153" s="2" t="s">
        <v>4157</v>
      </c>
      <c r="B4153" s="2">
        <v>1664.0</v>
      </c>
      <c r="C4153" s="2">
        <v>19497.0</v>
      </c>
      <c r="D4153" s="2">
        <v>5642.0</v>
      </c>
      <c r="E4153" s="3">
        <f t="shared" si="1"/>
        <v>0.3163797454</v>
      </c>
      <c r="F4153" s="2">
        <v>2275.0</v>
      </c>
      <c r="G4153" s="3">
        <f t="shared" si="2"/>
        <v>0.127572478</v>
      </c>
      <c r="H4153" s="2">
        <v>3803.0</v>
      </c>
      <c r="I4153" s="3">
        <f t="shared" si="3"/>
        <v>0.2132563225</v>
      </c>
      <c r="J4153" s="2">
        <v>2619.0</v>
      </c>
      <c r="K4153" s="3">
        <f t="shared" si="4"/>
        <v>0.1468625582</v>
      </c>
      <c r="L4153" s="2">
        <v>2267.0</v>
      </c>
      <c r="M4153" s="3">
        <f t="shared" si="5"/>
        <v>0.5961083355</v>
      </c>
      <c r="N4153" s="2">
        <v>2.12383E7</v>
      </c>
      <c r="O4153" s="4">
        <f t="shared" si="6"/>
        <v>5584.617407</v>
      </c>
      <c r="P4153" s="2">
        <v>2.0</v>
      </c>
      <c r="Q4153" s="3">
        <f t="shared" si="7"/>
        <v>0.001201923077</v>
      </c>
      <c r="R4153" s="2">
        <v>1664.0</v>
      </c>
      <c r="S4153" s="5">
        <f t="shared" si="8"/>
        <v>1</v>
      </c>
    </row>
    <row r="4154">
      <c r="A4154" s="2" t="s">
        <v>4158</v>
      </c>
      <c r="B4154" s="2">
        <v>5763.0</v>
      </c>
      <c r="C4154" s="2">
        <v>66835.0</v>
      </c>
      <c r="D4154" s="2">
        <v>21017.0</v>
      </c>
      <c r="E4154" s="3">
        <f t="shared" si="1"/>
        <v>0.3441347917</v>
      </c>
      <c r="F4154" s="2">
        <v>7791.0</v>
      </c>
      <c r="G4154" s="3">
        <f t="shared" si="2"/>
        <v>0.1275707362</v>
      </c>
      <c r="H4154" s="2">
        <v>12973.0</v>
      </c>
      <c r="I4154" s="3">
        <f t="shared" si="3"/>
        <v>0.2124214042</v>
      </c>
      <c r="J4154" s="2">
        <v>11202.0</v>
      </c>
      <c r="K4154" s="3">
        <f t="shared" si="4"/>
        <v>0.1834228452</v>
      </c>
      <c r="L4154" s="2">
        <v>7707.0</v>
      </c>
      <c r="M4154" s="3">
        <f t="shared" si="5"/>
        <v>0.5940800123</v>
      </c>
      <c r="N4154" s="2">
        <v>7.42505E7</v>
      </c>
      <c r="O4154" s="4">
        <f t="shared" si="6"/>
        <v>5723.464118</v>
      </c>
      <c r="P4154" s="2">
        <v>6.0</v>
      </c>
      <c r="Q4154" s="3">
        <f t="shared" si="7"/>
        <v>0.001041124414</v>
      </c>
      <c r="R4154" s="2">
        <v>5763.0</v>
      </c>
      <c r="S4154" s="5">
        <f t="shared" si="8"/>
        <v>1</v>
      </c>
    </row>
    <row r="4155">
      <c r="A4155" s="2" t="s">
        <v>4159</v>
      </c>
      <c r="B4155" s="2">
        <v>1715.0</v>
      </c>
      <c r="C4155" s="2">
        <v>20286.0</v>
      </c>
      <c r="D4155" s="2">
        <v>6248.0</v>
      </c>
      <c r="E4155" s="3">
        <f t="shared" si="1"/>
        <v>0.3364385332</v>
      </c>
      <c r="F4155" s="2">
        <v>2369.0</v>
      </c>
      <c r="G4155" s="3">
        <f t="shared" si="2"/>
        <v>0.1275644823</v>
      </c>
      <c r="H4155" s="2">
        <v>3919.0</v>
      </c>
      <c r="I4155" s="3">
        <f t="shared" si="3"/>
        <v>0.2110279468</v>
      </c>
      <c r="J4155" s="2">
        <v>2728.0</v>
      </c>
      <c r="K4155" s="3">
        <f t="shared" si="4"/>
        <v>0.1468956976</v>
      </c>
      <c r="L4155" s="2">
        <v>2358.0</v>
      </c>
      <c r="M4155" s="3">
        <f t="shared" si="5"/>
        <v>0.6016841031</v>
      </c>
      <c r="N4155" s="2">
        <v>2.16171E7</v>
      </c>
      <c r="O4155" s="4">
        <f t="shared" si="6"/>
        <v>5515.973463</v>
      </c>
      <c r="P4155" s="2">
        <v>3.0</v>
      </c>
      <c r="Q4155" s="3">
        <f t="shared" si="7"/>
        <v>0.001749271137</v>
      </c>
      <c r="R4155" s="2">
        <v>1712.0</v>
      </c>
      <c r="S4155" s="5">
        <f t="shared" si="8"/>
        <v>0.9982507289</v>
      </c>
    </row>
    <row r="4156">
      <c r="A4156" s="2" t="s">
        <v>4160</v>
      </c>
      <c r="B4156" s="2">
        <v>81.0</v>
      </c>
      <c r="C4156" s="2">
        <v>959.0</v>
      </c>
      <c r="D4156" s="2">
        <v>246.0</v>
      </c>
      <c r="E4156" s="3">
        <f t="shared" si="1"/>
        <v>0.2801822323</v>
      </c>
      <c r="F4156" s="2">
        <v>112.0</v>
      </c>
      <c r="G4156" s="3">
        <f t="shared" si="2"/>
        <v>0.1275626424</v>
      </c>
      <c r="H4156" s="2">
        <v>150.0</v>
      </c>
      <c r="I4156" s="3">
        <f t="shared" si="3"/>
        <v>0.1708428246</v>
      </c>
      <c r="J4156" s="2">
        <v>143.0</v>
      </c>
      <c r="K4156" s="3">
        <f t="shared" si="4"/>
        <v>0.1628701595</v>
      </c>
      <c r="L4156" s="2">
        <v>95.0</v>
      </c>
      <c r="M4156" s="3">
        <f t="shared" si="5"/>
        <v>0.6333333333</v>
      </c>
      <c r="N4156" s="2">
        <v>904300.0</v>
      </c>
      <c r="O4156" s="4">
        <f t="shared" si="6"/>
        <v>6028.666667</v>
      </c>
      <c r="P4156" s="2">
        <v>1.0</v>
      </c>
      <c r="Q4156" s="3">
        <f t="shared" si="7"/>
        <v>0.01234567901</v>
      </c>
      <c r="R4156" s="2">
        <v>81.0</v>
      </c>
      <c r="S4156" s="5">
        <f t="shared" si="8"/>
        <v>1</v>
      </c>
    </row>
    <row r="4157">
      <c r="A4157" s="2" t="s">
        <v>4161</v>
      </c>
      <c r="B4157" s="2">
        <v>2422.0</v>
      </c>
      <c r="C4157" s="2">
        <v>28653.0</v>
      </c>
      <c r="D4157" s="2">
        <v>9160.0</v>
      </c>
      <c r="E4157" s="3">
        <f t="shared" si="1"/>
        <v>0.349205139</v>
      </c>
      <c r="F4157" s="2">
        <v>3346.0</v>
      </c>
      <c r="G4157" s="3">
        <f t="shared" si="2"/>
        <v>0.1275589951</v>
      </c>
      <c r="H4157" s="2">
        <v>5465.0</v>
      </c>
      <c r="I4157" s="3">
        <f t="shared" si="3"/>
        <v>0.2083412756</v>
      </c>
      <c r="J4157" s="2">
        <v>4324.0</v>
      </c>
      <c r="K4157" s="3">
        <f t="shared" si="4"/>
        <v>0.1648431245</v>
      </c>
      <c r="L4157" s="2">
        <v>3198.0</v>
      </c>
      <c r="M4157" s="3">
        <f t="shared" si="5"/>
        <v>0.5851784081</v>
      </c>
      <c r="N4157" s="2">
        <v>2.96771E7</v>
      </c>
      <c r="O4157" s="4">
        <f t="shared" si="6"/>
        <v>5430.393413</v>
      </c>
      <c r="P4157" s="2">
        <v>4.0</v>
      </c>
      <c r="Q4157" s="3">
        <f t="shared" si="7"/>
        <v>0.001651527663</v>
      </c>
      <c r="R4157" s="2">
        <v>1768.0</v>
      </c>
      <c r="S4157" s="5">
        <f t="shared" si="8"/>
        <v>0.7299752271</v>
      </c>
    </row>
    <row r="4158">
      <c r="A4158" s="2" t="s">
        <v>4162</v>
      </c>
      <c r="B4158" s="2">
        <v>685.0</v>
      </c>
      <c r="C4158" s="2">
        <v>8023.0</v>
      </c>
      <c r="D4158" s="2">
        <v>2338.0</v>
      </c>
      <c r="E4158" s="3">
        <f t="shared" si="1"/>
        <v>0.3186154265</v>
      </c>
      <c r="F4158" s="2">
        <v>936.0</v>
      </c>
      <c r="G4158" s="3">
        <f t="shared" si="2"/>
        <v>0.1275551922</v>
      </c>
      <c r="H4158" s="2">
        <v>1485.0</v>
      </c>
      <c r="I4158" s="3">
        <f t="shared" si="3"/>
        <v>0.2023712183</v>
      </c>
      <c r="J4158" s="2">
        <v>1115.0</v>
      </c>
      <c r="K4158" s="3">
        <f t="shared" si="4"/>
        <v>0.1519487599</v>
      </c>
      <c r="L4158" s="2">
        <v>890.0</v>
      </c>
      <c r="M4158" s="3">
        <f t="shared" si="5"/>
        <v>0.5993265993</v>
      </c>
      <c r="N4158" s="2">
        <v>8292300.0</v>
      </c>
      <c r="O4158" s="4">
        <f t="shared" si="6"/>
        <v>5584.040404</v>
      </c>
      <c r="P4158" s="2">
        <v>3.0</v>
      </c>
      <c r="Q4158" s="3">
        <f t="shared" si="7"/>
        <v>0.004379562044</v>
      </c>
      <c r="R4158" s="2">
        <v>685.0</v>
      </c>
      <c r="S4158" s="5">
        <f t="shared" si="8"/>
        <v>1</v>
      </c>
    </row>
    <row r="4159">
      <c r="A4159" s="2" t="s">
        <v>4163</v>
      </c>
      <c r="B4159" s="2">
        <v>37.0</v>
      </c>
      <c r="C4159" s="2">
        <v>429.0</v>
      </c>
      <c r="D4159" s="2">
        <v>121.0</v>
      </c>
      <c r="E4159" s="3">
        <f t="shared" si="1"/>
        <v>0.3086734694</v>
      </c>
      <c r="F4159" s="2">
        <v>50.0</v>
      </c>
      <c r="G4159" s="3">
        <f t="shared" si="2"/>
        <v>0.1275510204</v>
      </c>
      <c r="H4159" s="2">
        <v>69.0</v>
      </c>
      <c r="I4159" s="3">
        <f t="shared" si="3"/>
        <v>0.1760204082</v>
      </c>
      <c r="J4159" s="2">
        <v>75.0</v>
      </c>
      <c r="K4159" s="3">
        <f t="shared" si="4"/>
        <v>0.1913265306</v>
      </c>
      <c r="L4159" s="2">
        <v>41.0</v>
      </c>
      <c r="M4159" s="3">
        <f t="shared" si="5"/>
        <v>0.5942028986</v>
      </c>
      <c r="N4159" s="2">
        <v>322100.0</v>
      </c>
      <c r="O4159" s="4">
        <f t="shared" si="6"/>
        <v>4668.115942</v>
      </c>
      <c r="P4159" s="2">
        <v>0.0</v>
      </c>
      <c r="Q4159" s="3">
        <f t="shared" si="7"/>
        <v>0</v>
      </c>
      <c r="R4159" s="2">
        <v>0.0</v>
      </c>
      <c r="S4159" s="5">
        <f t="shared" si="8"/>
        <v>0</v>
      </c>
    </row>
    <row r="4160">
      <c r="A4160" s="2" t="s">
        <v>4164</v>
      </c>
      <c r="B4160" s="2">
        <v>178.0</v>
      </c>
      <c r="C4160" s="2">
        <v>2099.0</v>
      </c>
      <c r="D4160" s="2">
        <v>590.0</v>
      </c>
      <c r="E4160" s="3">
        <f t="shared" si="1"/>
        <v>0.3071317022</v>
      </c>
      <c r="F4160" s="2">
        <v>245.0</v>
      </c>
      <c r="G4160" s="3">
        <f t="shared" si="2"/>
        <v>0.1275377408</v>
      </c>
      <c r="H4160" s="2">
        <v>391.0</v>
      </c>
      <c r="I4160" s="3">
        <f t="shared" si="3"/>
        <v>0.203539823</v>
      </c>
      <c r="J4160" s="2">
        <v>358.0</v>
      </c>
      <c r="K4160" s="3">
        <f t="shared" si="4"/>
        <v>0.1863612702</v>
      </c>
      <c r="L4160" s="2">
        <v>228.0</v>
      </c>
      <c r="M4160" s="3">
        <f t="shared" si="5"/>
        <v>0.5831202046</v>
      </c>
      <c r="N4160" s="2">
        <v>2413000.0</v>
      </c>
      <c r="O4160" s="4">
        <f t="shared" si="6"/>
        <v>6171.355499</v>
      </c>
      <c r="P4160" s="2">
        <v>0.0</v>
      </c>
      <c r="Q4160" s="3">
        <f t="shared" si="7"/>
        <v>0</v>
      </c>
      <c r="R4160" s="2">
        <v>178.0</v>
      </c>
      <c r="S4160" s="5">
        <f t="shared" si="8"/>
        <v>1</v>
      </c>
    </row>
    <row r="4161">
      <c r="A4161" s="2" t="s">
        <v>4165</v>
      </c>
      <c r="B4161" s="2">
        <v>3393.0</v>
      </c>
      <c r="C4161" s="2">
        <v>40136.0</v>
      </c>
      <c r="D4161" s="2">
        <v>13477.0</v>
      </c>
      <c r="E4161" s="3">
        <f t="shared" si="1"/>
        <v>0.3667909534</v>
      </c>
      <c r="F4161" s="2">
        <v>4686.0</v>
      </c>
      <c r="G4161" s="3">
        <f t="shared" si="2"/>
        <v>0.1275344964</v>
      </c>
      <c r="H4161" s="2">
        <v>8123.0</v>
      </c>
      <c r="I4161" s="3">
        <f t="shared" si="3"/>
        <v>0.2210761233</v>
      </c>
      <c r="J4161" s="2">
        <v>5677.0</v>
      </c>
      <c r="K4161" s="3">
        <f t="shared" si="4"/>
        <v>0.1545056201</v>
      </c>
      <c r="L4161" s="2">
        <v>4807.0</v>
      </c>
      <c r="M4161" s="3">
        <f t="shared" si="5"/>
        <v>0.5917764373</v>
      </c>
      <c r="N4161" s="2">
        <v>4.505E7</v>
      </c>
      <c r="O4161" s="4">
        <f t="shared" si="6"/>
        <v>5545.980549</v>
      </c>
      <c r="P4161" s="2">
        <v>1.0</v>
      </c>
      <c r="Q4161" s="3">
        <f t="shared" si="7"/>
        <v>0.0002947244327</v>
      </c>
      <c r="R4161" s="2">
        <v>3393.0</v>
      </c>
      <c r="S4161" s="5">
        <f t="shared" si="8"/>
        <v>1</v>
      </c>
    </row>
    <row r="4162">
      <c r="A4162" s="2" t="s">
        <v>4166</v>
      </c>
      <c r="B4162" s="2">
        <v>1191.0</v>
      </c>
      <c r="C4162" s="2">
        <v>13870.0</v>
      </c>
      <c r="D4162" s="2">
        <v>4864.0</v>
      </c>
      <c r="E4162" s="3">
        <f t="shared" si="1"/>
        <v>0.383626469</v>
      </c>
      <c r="F4162" s="2">
        <v>1617.0</v>
      </c>
      <c r="G4162" s="3">
        <f t="shared" si="2"/>
        <v>0.1275337172</v>
      </c>
      <c r="H4162" s="2">
        <v>2715.0</v>
      </c>
      <c r="I4162" s="3">
        <f t="shared" si="3"/>
        <v>0.2141336068</v>
      </c>
      <c r="J4162" s="2">
        <v>2173.0</v>
      </c>
      <c r="K4162" s="3">
        <f t="shared" si="4"/>
        <v>0.171385756</v>
      </c>
      <c r="L4162" s="2">
        <v>1680.0</v>
      </c>
      <c r="M4162" s="3">
        <f t="shared" si="5"/>
        <v>0.6187845304</v>
      </c>
      <c r="N4162" s="2">
        <v>1.54058E7</v>
      </c>
      <c r="O4162" s="4">
        <f t="shared" si="6"/>
        <v>5674.327808</v>
      </c>
      <c r="P4162" s="2">
        <v>4.0</v>
      </c>
      <c r="Q4162" s="3">
        <f t="shared" si="7"/>
        <v>0.00335852225</v>
      </c>
      <c r="R4162" s="2">
        <v>1191.0</v>
      </c>
      <c r="S4162" s="5">
        <f t="shared" si="8"/>
        <v>1</v>
      </c>
    </row>
    <row r="4163">
      <c r="A4163" s="2" t="s">
        <v>4167</v>
      </c>
      <c r="B4163" s="2">
        <v>77.0</v>
      </c>
      <c r="C4163" s="2">
        <v>916.0</v>
      </c>
      <c r="D4163" s="2">
        <v>276.0</v>
      </c>
      <c r="E4163" s="3">
        <f t="shared" si="1"/>
        <v>0.3289630513</v>
      </c>
      <c r="F4163" s="2">
        <v>107.0</v>
      </c>
      <c r="G4163" s="3">
        <f t="shared" si="2"/>
        <v>0.1275327771</v>
      </c>
      <c r="H4163" s="2">
        <v>150.0</v>
      </c>
      <c r="I4163" s="3">
        <f t="shared" si="3"/>
        <v>0.178784267</v>
      </c>
      <c r="J4163" s="2">
        <v>148.0</v>
      </c>
      <c r="K4163" s="3">
        <f t="shared" si="4"/>
        <v>0.1764004768</v>
      </c>
      <c r="L4163" s="2">
        <v>86.0</v>
      </c>
      <c r="M4163" s="3">
        <f t="shared" si="5"/>
        <v>0.5733333333</v>
      </c>
      <c r="N4163" s="2">
        <v>947100.0</v>
      </c>
      <c r="O4163" s="4">
        <f t="shared" si="6"/>
        <v>6314</v>
      </c>
      <c r="P4163" s="2">
        <v>1.0</v>
      </c>
      <c r="Q4163" s="3">
        <f t="shared" si="7"/>
        <v>0.01298701299</v>
      </c>
      <c r="R4163" s="2">
        <v>53.0</v>
      </c>
      <c r="S4163" s="5">
        <f t="shared" si="8"/>
        <v>0.6883116883</v>
      </c>
    </row>
    <row r="4164">
      <c r="A4164" s="2" t="s">
        <v>4168</v>
      </c>
      <c r="B4164" s="2">
        <v>2232.0</v>
      </c>
      <c r="C4164" s="2">
        <v>25928.0</v>
      </c>
      <c r="D4164" s="2">
        <v>9503.0</v>
      </c>
      <c r="E4164" s="3">
        <f t="shared" si="1"/>
        <v>0.4010381499</v>
      </c>
      <c r="F4164" s="2">
        <v>3022.0</v>
      </c>
      <c r="G4164" s="3">
        <f t="shared" si="2"/>
        <v>0.1275320729</v>
      </c>
      <c r="H4164" s="2">
        <v>5129.0</v>
      </c>
      <c r="I4164" s="3">
        <f t="shared" si="3"/>
        <v>0.2164500338</v>
      </c>
      <c r="J4164" s="2">
        <v>4055.0</v>
      </c>
      <c r="K4164" s="3">
        <f t="shared" si="4"/>
        <v>0.1711259284</v>
      </c>
      <c r="L4164" s="2">
        <v>3055.0</v>
      </c>
      <c r="M4164" s="3">
        <f t="shared" si="5"/>
        <v>0.5956326769</v>
      </c>
      <c r="N4164" s="2">
        <v>2.84361E7</v>
      </c>
      <c r="O4164" s="4">
        <f t="shared" si="6"/>
        <v>5544.180152</v>
      </c>
      <c r="P4164" s="2">
        <v>5.0</v>
      </c>
      <c r="Q4164" s="3">
        <f t="shared" si="7"/>
        <v>0.002240143369</v>
      </c>
      <c r="R4164" s="2">
        <v>2232.0</v>
      </c>
      <c r="S4164" s="5">
        <f t="shared" si="8"/>
        <v>1</v>
      </c>
    </row>
    <row r="4165">
      <c r="A4165" s="2" t="s">
        <v>4169</v>
      </c>
      <c r="B4165" s="2">
        <v>566.0</v>
      </c>
      <c r="C4165" s="2">
        <v>6651.0</v>
      </c>
      <c r="D4165" s="2">
        <v>2211.0</v>
      </c>
      <c r="E4165" s="3">
        <f t="shared" si="1"/>
        <v>0.3633525062</v>
      </c>
      <c r="F4165" s="2">
        <v>776.0</v>
      </c>
      <c r="G4165" s="3">
        <f t="shared" si="2"/>
        <v>0.127526705</v>
      </c>
      <c r="H4165" s="2">
        <v>1280.0</v>
      </c>
      <c r="I4165" s="3">
        <f t="shared" si="3"/>
        <v>0.2103533279</v>
      </c>
      <c r="J4165" s="2">
        <v>960.0</v>
      </c>
      <c r="K4165" s="3">
        <f t="shared" si="4"/>
        <v>0.1577649959</v>
      </c>
      <c r="L4165" s="2">
        <v>750.0</v>
      </c>
      <c r="M4165" s="3">
        <f t="shared" si="5"/>
        <v>0.5859375</v>
      </c>
      <c r="N4165" s="2">
        <v>7152600.0</v>
      </c>
      <c r="O4165" s="4">
        <f t="shared" si="6"/>
        <v>5587.96875</v>
      </c>
      <c r="P4165" s="2">
        <v>2.0</v>
      </c>
      <c r="Q4165" s="3">
        <f t="shared" si="7"/>
        <v>0.003533568905</v>
      </c>
      <c r="R4165" s="2">
        <v>566.0</v>
      </c>
      <c r="S4165" s="5">
        <f t="shared" si="8"/>
        <v>1</v>
      </c>
    </row>
    <row r="4166">
      <c r="A4166" s="2" t="s">
        <v>4170</v>
      </c>
      <c r="B4166" s="2">
        <v>2635.0</v>
      </c>
      <c r="C4166" s="2">
        <v>30775.0</v>
      </c>
      <c r="D4166" s="2">
        <v>10451.0</v>
      </c>
      <c r="E4166" s="3">
        <f t="shared" si="1"/>
        <v>0.3713930348</v>
      </c>
      <c r="F4166" s="2">
        <v>3588.0</v>
      </c>
      <c r="G4166" s="3">
        <f t="shared" si="2"/>
        <v>0.1275053305</v>
      </c>
      <c r="H4166" s="2">
        <v>6278.0</v>
      </c>
      <c r="I4166" s="3">
        <f t="shared" si="3"/>
        <v>0.2230987918</v>
      </c>
      <c r="J4166" s="2">
        <v>4620.0</v>
      </c>
      <c r="K4166" s="3">
        <f t="shared" si="4"/>
        <v>0.1641791045</v>
      </c>
      <c r="L4166" s="2">
        <v>3854.0</v>
      </c>
      <c r="M4166" s="3">
        <f t="shared" si="5"/>
        <v>0.6138897738</v>
      </c>
      <c r="N4166" s="2">
        <v>3.37374E7</v>
      </c>
      <c r="O4166" s="4">
        <f t="shared" si="6"/>
        <v>5373.908888</v>
      </c>
      <c r="P4166" s="2">
        <v>9.0</v>
      </c>
      <c r="Q4166" s="3">
        <f t="shared" si="7"/>
        <v>0.003415559772</v>
      </c>
      <c r="R4166" s="2">
        <v>2635.0</v>
      </c>
      <c r="S4166" s="5">
        <f t="shared" si="8"/>
        <v>1</v>
      </c>
    </row>
    <row r="4167">
      <c r="A4167" s="2" t="s">
        <v>4171</v>
      </c>
      <c r="B4167" s="2">
        <v>279.0</v>
      </c>
      <c r="C4167" s="2">
        <v>3173.0</v>
      </c>
      <c r="D4167" s="2">
        <v>1077.0</v>
      </c>
      <c r="E4167" s="3">
        <f t="shared" si="1"/>
        <v>0.3721492744</v>
      </c>
      <c r="F4167" s="2">
        <v>369.0</v>
      </c>
      <c r="G4167" s="3">
        <f t="shared" si="2"/>
        <v>0.1275051831</v>
      </c>
      <c r="H4167" s="2">
        <v>645.0</v>
      </c>
      <c r="I4167" s="3">
        <f t="shared" si="3"/>
        <v>0.2228749136</v>
      </c>
      <c r="J4167" s="2">
        <v>474.0</v>
      </c>
      <c r="K4167" s="3">
        <f t="shared" si="4"/>
        <v>0.1637871458</v>
      </c>
      <c r="L4167" s="2">
        <v>377.0</v>
      </c>
      <c r="M4167" s="3">
        <f t="shared" si="5"/>
        <v>0.584496124</v>
      </c>
      <c r="N4167" s="2">
        <v>3626600.0</v>
      </c>
      <c r="O4167" s="4">
        <f t="shared" si="6"/>
        <v>5622.635659</v>
      </c>
      <c r="P4167" s="2">
        <v>1.0</v>
      </c>
      <c r="Q4167" s="3">
        <f t="shared" si="7"/>
        <v>0.003584229391</v>
      </c>
      <c r="R4167" s="2">
        <v>112.0</v>
      </c>
      <c r="S4167" s="5">
        <f t="shared" si="8"/>
        <v>0.4014336918</v>
      </c>
    </row>
    <row r="4168">
      <c r="A4168" s="2" t="s">
        <v>4172</v>
      </c>
      <c r="B4168" s="2">
        <v>893.0</v>
      </c>
      <c r="C4168" s="2">
        <v>10446.0</v>
      </c>
      <c r="D4168" s="2">
        <v>3034.0</v>
      </c>
      <c r="E4168" s="3">
        <f t="shared" si="1"/>
        <v>0.3175965665</v>
      </c>
      <c r="F4168" s="2">
        <v>1218.0</v>
      </c>
      <c r="G4168" s="3">
        <f t="shared" si="2"/>
        <v>0.1274992149</v>
      </c>
      <c r="H4168" s="2">
        <v>1982.0</v>
      </c>
      <c r="I4168" s="3">
        <f t="shared" si="3"/>
        <v>0.2074740919</v>
      </c>
      <c r="J4168" s="2">
        <v>1838.0</v>
      </c>
      <c r="K4168" s="3">
        <f t="shared" si="4"/>
        <v>0.1924002931</v>
      </c>
      <c r="L4168" s="2">
        <v>1180.0</v>
      </c>
      <c r="M4168" s="3">
        <f t="shared" si="5"/>
        <v>0.595358224</v>
      </c>
      <c r="N4168" s="2">
        <v>1.12866E7</v>
      </c>
      <c r="O4168" s="4">
        <f t="shared" si="6"/>
        <v>5694.550959</v>
      </c>
      <c r="P4168" s="2">
        <v>5.0</v>
      </c>
      <c r="Q4168" s="3">
        <f t="shared" si="7"/>
        <v>0.005599104143</v>
      </c>
      <c r="R4168" s="2">
        <v>893.0</v>
      </c>
      <c r="S4168" s="5">
        <f t="shared" si="8"/>
        <v>1</v>
      </c>
    </row>
    <row r="4169">
      <c r="A4169" s="2" t="s">
        <v>4173</v>
      </c>
      <c r="B4169" s="2">
        <v>221.0</v>
      </c>
      <c r="C4169" s="2">
        <v>2527.0</v>
      </c>
      <c r="D4169" s="2">
        <v>791.0</v>
      </c>
      <c r="E4169" s="3">
        <f t="shared" si="1"/>
        <v>0.3430182134</v>
      </c>
      <c r="F4169" s="2">
        <v>294.0</v>
      </c>
      <c r="G4169" s="3">
        <f t="shared" si="2"/>
        <v>0.1274934952</v>
      </c>
      <c r="H4169" s="2">
        <v>459.0</v>
      </c>
      <c r="I4169" s="3">
        <f t="shared" si="3"/>
        <v>0.199045967</v>
      </c>
      <c r="J4169" s="2">
        <v>398.0</v>
      </c>
      <c r="K4169" s="3">
        <f t="shared" si="4"/>
        <v>0.172593235</v>
      </c>
      <c r="L4169" s="2">
        <v>286.0</v>
      </c>
      <c r="M4169" s="3">
        <f t="shared" si="5"/>
        <v>0.6230936819</v>
      </c>
      <c r="N4169" s="2">
        <v>2571100.0</v>
      </c>
      <c r="O4169" s="4">
        <f t="shared" si="6"/>
        <v>5601.525054</v>
      </c>
      <c r="P4169" s="2">
        <v>0.0</v>
      </c>
      <c r="Q4169" s="3">
        <f t="shared" si="7"/>
        <v>0</v>
      </c>
      <c r="R4169" s="2">
        <v>221.0</v>
      </c>
      <c r="S4169" s="5">
        <f t="shared" si="8"/>
        <v>1</v>
      </c>
    </row>
    <row r="4170">
      <c r="A4170" s="2" t="s">
        <v>4174</v>
      </c>
      <c r="B4170" s="2">
        <v>239.0</v>
      </c>
      <c r="C4170" s="2">
        <v>2796.0</v>
      </c>
      <c r="D4170" s="2">
        <v>901.0</v>
      </c>
      <c r="E4170" s="3">
        <f t="shared" si="1"/>
        <v>0.352366054</v>
      </c>
      <c r="F4170" s="2">
        <v>326.0</v>
      </c>
      <c r="G4170" s="3">
        <f t="shared" si="2"/>
        <v>0.127493156</v>
      </c>
      <c r="H4170" s="2">
        <v>506.0</v>
      </c>
      <c r="I4170" s="3">
        <f t="shared" si="3"/>
        <v>0.1978881502</v>
      </c>
      <c r="J4170" s="2">
        <v>426.0</v>
      </c>
      <c r="K4170" s="3">
        <f t="shared" si="4"/>
        <v>0.1666014861</v>
      </c>
      <c r="L4170" s="2">
        <v>309.0</v>
      </c>
      <c r="M4170" s="3">
        <f t="shared" si="5"/>
        <v>0.6106719368</v>
      </c>
      <c r="N4170" s="2">
        <v>2741500.0</v>
      </c>
      <c r="O4170" s="4">
        <f t="shared" si="6"/>
        <v>5417.98419</v>
      </c>
      <c r="P4170" s="2">
        <v>0.0</v>
      </c>
      <c r="Q4170" s="3">
        <f t="shared" si="7"/>
        <v>0</v>
      </c>
      <c r="R4170" s="2">
        <v>239.0</v>
      </c>
      <c r="S4170" s="5">
        <f t="shared" si="8"/>
        <v>1</v>
      </c>
    </row>
    <row r="4171">
      <c r="A4171" s="2" t="s">
        <v>4175</v>
      </c>
      <c r="B4171" s="2">
        <v>333.0</v>
      </c>
      <c r="C4171" s="2">
        <v>3910.0</v>
      </c>
      <c r="D4171" s="2">
        <v>1241.0</v>
      </c>
      <c r="E4171" s="3">
        <f t="shared" si="1"/>
        <v>0.3469387755</v>
      </c>
      <c r="F4171" s="2">
        <v>456.0</v>
      </c>
      <c r="G4171" s="3">
        <f t="shared" si="2"/>
        <v>0.1274811294</v>
      </c>
      <c r="H4171" s="2">
        <v>731.0</v>
      </c>
      <c r="I4171" s="3">
        <f t="shared" si="3"/>
        <v>0.2043611965</v>
      </c>
      <c r="J4171" s="2">
        <v>540.0</v>
      </c>
      <c r="K4171" s="3">
        <f t="shared" si="4"/>
        <v>0.1509644954</v>
      </c>
      <c r="L4171" s="2">
        <v>442.0</v>
      </c>
      <c r="M4171" s="3">
        <f t="shared" si="5"/>
        <v>0.6046511628</v>
      </c>
      <c r="N4171" s="2">
        <v>4084300.0</v>
      </c>
      <c r="O4171" s="4">
        <f t="shared" si="6"/>
        <v>5587.277702</v>
      </c>
      <c r="P4171" s="2">
        <v>0.0</v>
      </c>
      <c r="Q4171" s="3">
        <f t="shared" si="7"/>
        <v>0</v>
      </c>
      <c r="R4171" s="2">
        <v>333.0</v>
      </c>
      <c r="S4171" s="5">
        <f t="shared" si="8"/>
        <v>1</v>
      </c>
    </row>
    <row r="4172">
      <c r="A4172" s="2" t="s">
        <v>4176</v>
      </c>
      <c r="B4172" s="2">
        <v>470.0</v>
      </c>
      <c r="C4172" s="2">
        <v>5514.0</v>
      </c>
      <c r="D4172" s="2">
        <v>1792.0</v>
      </c>
      <c r="E4172" s="3">
        <f t="shared" si="1"/>
        <v>0.3552735924</v>
      </c>
      <c r="F4172" s="2">
        <v>643.0</v>
      </c>
      <c r="G4172" s="3">
        <f t="shared" si="2"/>
        <v>0.1274781919</v>
      </c>
      <c r="H4172" s="2">
        <v>1048.0</v>
      </c>
      <c r="I4172" s="3">
        <f t="shared" si="3"/>
        <v>0.2077716098</v>
      </c>
      <c r="J4172" s="2">
        <v>781.0</v>
      </c>
      <c r="K4172" s="3">
        <f t="shared" si="4"/>
        <v>0.1548374306</v>
      </c>
      <c r="L4172" s="2">
        <v>634.0</v>
      </c>
      <c r="M4172" s="3">
        <f t="shared" si="5"/>
        <v>0.6049618321</v>
      </c>
      <c r="N4172" s="2">
        <v>5639900.0</v>
      </c>
      <c r="O4172" s="4">
        <f t="shared" si="6"/>
        <v>5381.583969</v>
      </c>
      <c r="P4172" s="2">
        <v>3.0</v>
      </c>
      <c r="Q4172" s="3">
        <f t="shared" si="7"/>
        <v>0.006382978723</v>
      </c>
      <c r="R4172" s="2">
        <v>470.0</v>
      </c>
      <c r="S4172" s="5">
        <f t="shared" si="8"/>
        <v>1</v>
      </c>
    </row>
    <row r="4173">
      <c r="A4173" s="2" t="s">
        <v>4177</v>
      </c>
      <c r="B4173" s="2">
        <v>129.0</v>
      </c>
      <c r="C4173" s="2">
        <v>1494.0</v>
      </c>
      <c r="D4173" s="2">
        <v>403.0</v>
      </c>
      <c r="E4173" s="3">
        <f t="shared" si="1"/>
        <v>0.2952380952</v>
      </c>
      <c r="F4173" s="2">
        <v>174.0</v>
      </c>
      <c r="G4173" s="3">
        <f t="shared" si="2"/>
        <v>0.1274725275</v>
      </c>
      <c r="H4173" s="2">
        <v>268.0</v>
      </c>
      <c r="I4173" s="3">
        <f t="shared" si="3"/>
        <v>0.1963369963</v>
      </c>
      <c r="J4173" s="2">
        <v>233.0</v>
      </c>
      <c r="K4173" s="3">
        <f t="shared" si="4"/>
        <v>0.1706959707</v>
      </c>
      <c r="L4173" s="2">
        <v>178.0</v>
      </c>
      <c r="M4173" s="3">
        <f t="shared" si="5"/>
        <v>0.6641791045</v>
      </c>
      <c r="N4173" s="2">
        <v>1467200.0</v>
      </c>
      <c r="O4173" s="4">
        <f t="shared" si="6"/>
        <v>5474.626866</v>
      </c>
      <c r="P4173" s="2">
        <v>0.0</v>
      </c>
      <c r="Q4173" s="3">
        <f t="shared" si="7"/>
        <v>0</v>
      </c>
      <c r="R4173" s="2">
        <v>1.0</v>
      </c>
      <c r="S4173" s="5">
        <f t="shared" si="8"/>
        <v>0.007751937984</v>
      </c>
    </row>
    <row r="4174">
      <c r="A4174" s="2" t="s">
        <v>4178</v>
      </c>
      <c r="B4174" s="2">
        <v>140.0</v>
      </c>
      <c r="C4174" s="2">
        <v>1607.0</v>
      </c>
      <c r="D4174" s="2">
        <v>552.0</v>
      </c>
      <c r="E4174" s="3">
        <f t="shared" si="1"/>
        <v>0.3762781186</v>
      </c>
      <c r="F4174" s="2">
        <v>187.0</v>
      </c>
      <c r="G4174" s="3">
        <f t="shared" si="2"/>
        <v>0.1274710293</v>
      </c>
      <c r="H4174" s="2">
        <v>311.0</v>
      </c>
      <c r="I4174" s="3">
        <f t="shared" si="3"/>
        <v>0.2119972733</v>
      </c>
      <c r="J4174" s="2">
        <v>247.0</v>
      </c>
      <c r="K4174" s="3">
        <f t="shared" si="4"/>
        <v>0.1683708248</v>
      </c>
      <c r="L4174" s="2">
        <v>177.0</v>
      </c>
      <c r="M4174" s="3">
        <f t="shared" si="5"/>
        <v>0.5691318328</v>
      </c>
      <c r="N4174" s="2">
        <v>1687900.0</v>
      </c>
      <c r="O4174" s="4">
        <f t="shared" si="6"/>
        <v>5427.33119</v>
      </c>
      <c r="P4174" s="2">
        <v>0.0</v>
      </c>
      <c r="Q4174" s="3">
        <f t="shared" si="7"/>
        <v>0</v>
      </c>
      <c r="R4174" s="2">
        <v>0.0</v>
      </c>
      <c r="S4174" s="5">
        <f t="shared" si="8"/>
        <v>0</v>
      </c>
    </row>
    <row r="4175">
      <c r="A4175" s="2" t="s">
        <v>4179</v>
      </c>
      <c r="B4175" s="2">
        <v>2051.0</v>
      </c>
      <c r="C4175" s="2">
        <v>24190.0</v>
      </c>
      <c r="D4175" s="2">
        <v>8304.0</v>
      </c>
      <c r="E4175" s="3">
        <f t="shared" si="1"/>
        <v>0.3750846922</v>
      </c>
      <c r="F4175" s="2">
        <v>2822.0</v>
      </c>
      <c r="G4175" s="3">
        <f t="shared" si="2"/>
        <v>0.1274673653</v>
      </c>
      <c r="H4175" s="2">
        <v>4679.0</v>
      </c>
      <c r="I4175" s="3">
        <f t="shared" si="3"/>
        <v>0.2113464926</v>
      </c>
      <c r="J4175" s="2">
        <v>3776.0</v>
      </c>
      <c r="K4175" s="3">
        <f t="shared" si="4"/>
        <v>0.1705587425</v>
      </c>
      <c r="L4175" s="2">
        <v>2786.0</v>
      </c>
      <c r="M4175" s="3">
        <f t="shared" si="5"/>
        <v>0.5954263732</v>
      </c>
      <c r="N4175" s="2">
        <v>2.6327E7</v>
      </c>
      <c r="O4175" s="4">
        <f t="shared" si="6"/>
        <v>5626.629622</v>
      </c>
      <c r="P4175" s="2">
        <v>5.0</v>
      </c>
      <c r="Q4175" s="3">
        <f t="shared" si="7"/>
        <v>0.002437835202</v>
      </c>
      <c r="R4175" s="2">
        <v>4.0</v>
      </c>
      <c r="S4175" s="5">
        <f t="shared" si="8"/>
        <v>0.001950268162</v>
      </c>
    </row>
    <row r="4176">
      <c r="A4176" s="2" t="s">
        <v>4180</v>
      </c>
      <c r="B4176" s="2">
        <v>3264.0</v>
      </c>
      <c r="C4176" s="2">
        <v>38208.0</v>
      </c>
      <c r="D4176" s="2">
        <v>11821.0</v>
      </c>
      <c r="E4176" s="3">
        <f t="shared" si="1"/>
        <v>0.3382841117</v>
      </c>
      <c r="F4176" s="2">
        <v>4454.0</v>
      </c>
      <c r="G4176" s="3">
        <f t="shared" si="2"/>
        <v>0.1274610806</v>
      </c>
      <c r="H4176" s="2">
        <v>7159.0</v>
      </c>
      <c r="I4176" s="3">
        <f t="shared" si="3"/>
        <v>0.2048706502</v>
      </c>
      <c r="J4176" s="2">
        <v>5300.0</v>
      </c>
      <c r="K4176" s="3">
        <f t="shared" si="4"/>
        <v>0.1516712454</v>
      </c>
      <c r="L4176" s="2">
        <v>4316.0</v>
      </c>
      <c r="M4176" s="3">
        <f t="shared" si="5"/>
        <v>0.6028774969</v>
      </c>
      <c r="N4176" s="2">
        <v>4.18231E7</v>
      </c>
      <c r="O4176" s="4">
        <f t="shared" si="6"/>
        <v>5842.03101</v>
      </c>
      <c r="P4176" s="2">
        <v>17.0</v>
      </c>
      <c r="Q4176" s="3">
        <f t="shared" si="7"/>
        <v>0.005208333333</v>
      </c>
      <c r="R4176" s="2">
        <v>3264.0</v>
      </c>
      <c r="S4176" s="5">
        <f t="shared" si="8"/>
        <v>1</v>
      </c>
    </row>
    <row r="4177">
      <c r="A4177" s="2" t="s">
        <v>4181</v>
      </c>
      <c r="B4177" s="2">
        <v>384.0</v>
      </c>
      <c r="C4177" s="2">
        <v>4535.0</v>
      </c>
      <c r="D4177" s="2">
        <v>1444.0</v>
      </c>
      <c r="E4177" s="3">
        <f t="shared" si="1"/>
        <v>0.3478679836</v>
      </c>
      <c r="F4177" s="2">
        <v>529.0</v>
      </c>
      <c r="G4177" s="3">
        <f t="shared" si="2"/>
        <v>0.1274391713</v>
      </c>
      <c r="H4177" s="2">
        <v>856.0</v>
      </c>
      <c r="I4177" s="3">
        <f t="shared" si="3"/>
        <v>0.2062153698</v>
      </c>
      <c r="J4177" s="2">
        <v>663.0</v>
      </c>
      <c r="K4177" s="3">
        <f t="shared" si="4"/>
        <v>0.1597205493</v>
      </c>
      <c r="L4177" s="2">
        <v>499.0</v>
      </c>
      <c r="M4177" s="3">
        <f t="shared" si="5"/>
        <v>0.5829439252</v>
      </c>
      <c r="N4177" s="2">
        <v>4953400.0</v>
      </c>
      <c r="O4177" s="4">
        <f t="shared" si="6"/>
        <v>5786.682243</v>
      </c>
      <c r="P4177" s="2">
        <v>0.0</v>
      </c>
      <c r="Q4177" s="3">
        <f t="shared" si="7"/>
        <v>0</v>
      </c>
      <c r="R4177" s="2">
        <v>384.0</v>
      </c>
      <c r="S4177" s="5">
        <f t="shared" si="8"/>
        <v>1</v>
      </c>
    </row>
    <row r="4178">
      <c r="A4178" s="2" t="s">
        <v>4182</v>
      </c>
      <c r="B4178" s="2">
        <v>299.0</v>
      </c>
      <c r="C4178" s="2">
        <v>3532.0</v>
      </c>
      <c r="D4178" s="2">
        <v>1330.0</v>
      </c>
      <c r="E4178" s="3">
        <f t="shared" si="1"/>
        <v>0.4113826168</v>
      </c>
      <c r="F4178" s="2">
        <v>412.0</v>
      </c>
      <c r="G4178" s="3">
        <f t="shared" si="2"/>
        <v>0.1274358181</v>
      </c>
      <c r="H4178" s="2">
        <v>618.0</v>
      </c>
      <c r="I4178" s="3">
        <f t="shared" si="3"/>
        <v>0.1911537272</v>
      </c>
      <c r="J4178" s="2">
        <v>452.0</v>
      </c>
      <c r="K4178" s="3">
        <f t="shared" si="4"/>
        <v>0.1398082277</v>
      </c>
      <c r="L4178" s="2">
        <v>350.0</v>
      </c>
      <c r="M4178" s="3">
        <f t="shared" si="5"/>
        <v>0.5663430421</v>
      </c>
      <c r="N4178" s="2">
        <v>3479300.0</v>
      </c>
      <c r="O4178" s="4">
        <f t="shared" si="6"/>
        <v>5629.935275</v>
      </c>
      <c r="P4178" s="2">
        <v>1.0</v>
      </c>
      <c r="Q4178" s="3">
        <f t="shared" si="7"/>
        <v>0.003344481605</v>
      </c>
      <c r="R4178" s="2">
        <v>298.0</v>
      </c>
      <c r="S4178" s="5">
        <f t="shared" si="8"/>
        <v>0.9966555184</v>
      </c>
    </row>
    <row r="4179">
      <c r="A4179" s="2" t="s">
        <v>4183</v>
      </c>
      <c r="B4179" s="2">
        <v>221.0</v>
      </c>
      <c r="C4179" s="2">
        <v>2638.0</v>
      </c>
      <c r="D4179" s="2">
        <v>1008.0</v>
      </c>
      <c r="E4179" s="3">
        <f t="shared" si="1"/>
        <v>0.4170459247</v>
      </c>
      <c r="F4179" s="2">
        <v>308.0</v>
      </c>
      <c r="G4179" s="3">
        <f t="shared" si="2"/>
        <v>0.1274306992</v>
      </c>
      <c r="H4179" s="2">
        <v>508.0</v>
      </c>
      <c r="I4179" s="3">
        <f t="shared" si="3"/>
        <v>0.2101779065</v>
      </c>
      <c r="J4179" s="2">
        <v>382.0</v>
      </c>
      <c r="K4179" s="3">
        <f t="shared" si="4"/>
        <v>0.1580471659</v>
      </c>
      <c r="L4179" s="2">
        <v>312.0</v>
      </c>
      <c r="M4179" s="3">
        <f t="shared" si="5"/>
        <v>0.6141732283</v>
      </c>
      <c r="N4179" s="2">
        <v>2556400.0</v>
      </c>
      <c r="O4179" s="4">
        <f t="shared" si="6"/>
        <v>5032.283465</v>
      </c>
      <c r="P4179" s="2">
        <v>0.0</v>
      </c>
      <c r="Q4179" s="3">
        <f t="shared" si="7"/>
        <v>0</v>
      </c>
      <c r="R4179" s="2">
        <v>221.0</v>
      </c>
      <c r="S4179" s="5">
        <f t="shared" si="8"/>
        <v>1</v>
      </c>
    </row>
    <row r="4180">
      <c r="A4180" s="2" t="s">
        <v>4184</v>
      </c>
      <c r="B4180" s="2">
        <v>398.0</v>
      </c>
      <c r="C4180" s="2">
        <v>4628.0</v>
      </c>
      <c r="D4180" s="2">
        <v>1274.0</v>
      </c>
      <c r="E4180" s="3">
        <f t="shared" si="1"/>
        <v>0.3011820331</v>
      </c>
      <c r="F4180" s="2">
        <v>539.0</v>
      </c>
      <c r="G4180" s="3">
        <f t="shared" si="2"/>
        <v>0.1274231678</v>
      </c>
      <c r="H4180" s="2">
        <v>883.0</v>
      </c>
      <c r="I4180" s="3">
        <f t="shared" si="3"/>
        <v>0.2087470449</v>
      </c>
      <c r="J4180" s="2">
        <v>667.0</v>
      </c>
      <c r="K4180" s="3">
        <f t="shared" si="4"/>
        <v>0.1576832151</v>
      </c>
      <c r="L4180" s="2">
        <v>541.0</v>
      </c>
      <c r="M4180" s="3">
        <f t="shared" si="5"/>
        <v>0.6126840317</v>
      </c>
      <c r="N4180" s="2">
        <v>5544400.0</v>
      </c>
      <c r="O4180" s="4">
        <f t="shared" si="6"/>
        <v>6279.048698</v>
      </c>
      <c r="P4180" s="2">
        <v>1.0</v>
      </c>
      <c r="Q4180" s="3">
        <f t="shared" si="7"/>
        <v>0.002512562814</v>
      </c>
      <c r="R4180" s="2">
        <v>398.0</v>
      </c>
      <c r="S4180" s="5">
        <f t="shared" si="8"/>
        <v>1</v>
      </c>
    </row>
    <row r="4181">
      <c r="A4181" s="2" t="s">
        <v>4185</v>
      </c>
      <c r="B4181" s="2">
        <v>103.0</v>
      </c>
      <c r="C4181" s="2">
        <v>1241.0</v>
      </c>
      <c r="D4181" s="2">
        <v>439.0</v>
      </c>
      <c r="E4181" s="3">
        <f t="shared" si="1"/>
        <v>0.3857644991</v>
      </c>
      <c r="F4181" s="2">
        <v>145.0</v>
      </c>
      <c r="G4181" s="3">
        <f t="shared" si="2"/>
        <v>0.1274165202</v>
      </c>
      <c r="H4181" s="2">
        <v>232.0</v>
      </c>
      <c r="I4181" s="3">
        <f t="shared" si="3"/>
        <v>0.2038664323</v>
      </c>
      <c r="J4181" s="2">
        <v>243.0</v>
      </c>
      <c r="K4181" s="3">
        <f t="shared" si="4"/>
        <v>0.2135325132</v>
      </c>
      <c r="L4181" s="2">
        <v>125.0</v>
      </c>
      <c r="M4181" s="3">
        <f t="shared" si="5"/>
        <v>0.5387931034</v>
      </c>
      <c r="N4181" s="2">
        <v>1205000.0</v>
      </c>
      <c r="O4181" s="4">
        <f t="shared" si="6"/>
        <v>5193.965517</v>
      </c>
      <c r="P4181" s="2">
        <v>0.0</v>
      </c>
      <c r="Q4181" s="3">
        <f t="shared" si="7"/>
        <v>0</v>
      </c>
      <c r="R4181" s="2">
        <v>1.0</v>
      </c>
      <c r="S4181" s="5">
        <f t="shared" si="8"/>
        <v>0.009708737864</v>
      </c>
    </row>
    <row r="4182">
      <c r="A4182" s="2" t="s">
        <v>4186</v>
      </c>
      <c r="B4182" s="2">
        <v>1949.0</v>
      </c>
      <c r="C4182" s="2">
        <v>22951.0</v>
      </c>
      <c r="D4182" s="2">
        <v>8721.0</v>
      </c>
      <c r="E4182" s="3">
        <f t="shared" si="1"/>
        <v>0.415246167</v>
      </c>
      <c r="F4182" s="2">
        <v>2676.0</v>
      </c>
      <c r="G4182" s="3">
        <f t="shared" si="2"/>
        <v>0.1274164365</v>
      </c>
      <c r="H4182" s="2">
        <v>4346.0</v>
      </c>
      <c r="I4182" s="3">
        <f t="shared" si="3"/>
        <v>0.2069326731</v>
      </c>
      <c r="J4182" s="2">
        <v>3075.0</v>
      </c>
      <c r="K4182" s="3">
        <f t="shared" si="4"/>
        <v>0.1464146272</v>
      </c>
      <c r="L4182" s="2">
        <v>2583.0</v>
      </c>
      <c r="M4182" s="3">
        <f t="shared" si="5"/>
        <v>0.5943396226</v>
      </c>
      <c r="N4182" s="2">
        <v>2.47166E7</v>
      </c>
      <c r="O4182" s="4">
        <f t="shared" si="6"/>
        <v>5687.206627</v>
      </c>
      <c r="P4182" s="2">
        <v>6.0</v>
      </c>
      <c r="Q4182" s="3">
        <f t="shared" si="7"/>
        <v>0.003078501796</v>
      </c>
      <c r="R4182" s="2">
        <v>1949.0</v>
      </c>
      <c r="S4182" s="5">
        <f t="shared" si="8"/>
        <v>1</v>
      </c>
    </row>
    <row r="4183">
      <c r="A4183" s="2" t="s">
        <v>4187</v>
      </c>
      <c r="B4183" s="2">
        <v>780.0</v>
      </c>
      <c r="C4183" s="2">
        <v>9272.0</v>
      </c>
      <c r="D4183" s="2">
        <v>3118.0</v>
      </c>
      <c r="E4183" s="3">
        <f t="shared" si="1"/>
        <v>0.3671691003</v>
      </c>
      <c r="F4183" s="2">
        <v>1082.0</v>
      </c>
      <c r="G4183" s="3">
        <f t="shared" si="2"/>
        <v>0.1274140367</v>
      </c>
      <c r="H4183" s="2">
        <v>1850.0</v>
      </c>
      <c r="I4183" s="3">
        <f t="shared" si="3"/>
        <v>0.2178520961</v>
      </c>
      <c r="J4183" s="2">
        <v>1552.0</v>
      </c>
      <c r="K4183" s="3">
        <f t="shared" si="4"/>
        <v>0.1827602449</v>
      </c>
      <c r="L4183" s="2">
        <v>1068.0</v>
      </c>
      <c r="M4183" s="3">
        <f t="shared" si="5"/>
        <v>0.5772972973</v>
      </c>
      <c r="N4183" s="2">
        <v>1.00354E7</v>
      </c>
      <c r="O4183" s="4">
        <f t="shared" si="6"/>
        <v>5424.540541</v>
      </c>
      <c r="P4183" s="2">
        <v>1.0</v>
      </c>
      <c r="Q4183" s="3">
        <f t="shared" si="7"/>
        <v>0.001282051282</v>
      </c>
      <c r="R4183" s="2">
        <v>64.0</v>
      </c>
      <c r="S4183" s="5">
        <f t="shared" si="8"/>
        <v>0.08205128205</v>
      </c>
    </row>
    <row r="4184">
      <c r="A4184" s="2" t="s">
        <v>4188</v>
      </c>
      <c r="B4184" s="2">
        <v>45.0</v>
      </c>
      <c r="C4184" s="2">
        <v>563.0</v>
      </c>
      <c r="D4184" s="2">
        <v>205.0</v>
      </c>
      <c r="E4184" s="3">
        <f t="shared" si="1"/>
        <v>0.3957528958</v>
      </c>
      <c r="F4184" s="2">
        <v>66.0</v>
      </c>
      <c r="G4184" s="3">
        <f t="shared" si="2"/>
        <v>0.1274131274</v>
      </c>
      <c r="H4184" s="2">
        <v>104.0</v>
      </c>
      <c r="I4184" s="3">
        <f t="shared" si="3"/>
        <v>0.2007722008</v>
      </c>
      <c r="J4184" s="2">
        <v>85.0</v>
      </c>
      <c r="K4184" s="3">
        <f t="shared" si="4"/>
        <v>0.1640926641</v>
      </c>
      <c r="L4184" s="2">
        <v>55.0</v>
      </c>
      <c r="M4184" s="3">
        <f t="shared" si="5"/>
        <v>0.5288461538</v>
      </c>
      <c r="N4184" s="2">
        <v>578700.0</v>
      </c>
      <c r="O4184" s="4">
        <f t="shared" si="6"/>
        <v>5564.423077</v>
      </c>
      <c r="P4184" s="2">
        <v>0.0</v>
      </c>
      <c r="Q4184" s="3">
        <f t="shared" si="7"/>
        <v>0</v>
      </c>
      <c r="R4184" s="2">
        <v>45.0</v>
      </c>
      <c r="S4184" s="5">
        <f t="shared" si="8"/>
        <v>1</v>
      </c>
    </row>
    <row r="4185">
      <c r="A4185" s="2" t="s">
        <v>4189</v>
      </c>
      <c r="B4185" s="2">
        <v>1239.0</v>
      </c>
      <c r="C4185" s="2">
        <v>14519.0</v>
      </c>
      <c r="D4185" s="2">
        <v>4377.0</v>
      </c>
      <c r="E4185" s="3">
        <f t="shared" si="1"/>
        <v>0.3295933735</v>
      </c>
      <c r="F4185" s="2">
        <v>1692.0</v>
      </c>
      <c r="G4185" s="3">
        <f t="shared" si="2"/>
        <v>0.1274096386</v>
      </c>
      <c r="H4185" s="2">
        <v>2896.0</v>
      </c>
      <c r="I4185" s="3">
        <f t="shared" si="3"/>
        <v>0.2180722892</v>
      </c>
      <c r="J4185" s="2">
        <v>2574.0</v>
      </c>
      <c r="K4185" s="3">
        <f t="shared" si="4"/>
        <v>0.1938253012</v>
      </c>
      <c r="L4185" s="2">
        <v>1712.0</v>
      </c>
      <c r="M4185" s="3">
        <f t="shared" si="5"/>
        <v>0.591160221</v>
      </c>
      <c r="N4185" s="2">
        <v>1.58544E7</v>
      </c>
      <c r="O4185" s="4">
        <f t="shared" si="6"/>
        <v>5474.585635</v>
      </c>
      <c r="P4185" s="2">
        <v>2.0</v>
      </c>
      <c r="Q4185" s="3">
        <f t="shared" si="7"/>
        <v>0.001614205004</v>
      </c>
      <c r="R4185" s="2">
        <v>1239.0</v>
      </c>
      <c r="S4185" s="5">
        <f t="shared" si="8"/>
        <v>1</v>
      </c>
    </row>
    <row r="4186">
      <c r="A4186" s="2" t="s">
        <v>4190</v>
      </c>
      <c r="B4186" s="2">
        <v>38.0</v>
      </c>
      <c r="C4186" s="2">
        <v>454.0</v>
      </c>
      <c r="D4186" s="2">
        <v>153.0</v>
      </c>
      <c r="E4186" s="3">
        <f t="shared" si="1"/>
        <v>0.3677884615</v>
      </c>
      <c r="F4186" s="2">
        <v>53.0</v>
      </c>
      <c r="G4186" s="3">
        <f t="shared" si="2"/>
        <v>0.1274038462</v>
      </c>
      <c r="H4186" s="2">
        <v>64.0</v>
      </c>
      <c r="I4186" s="3">
        <f t="shared" si="3"/>
        <v>0.1538461538</v>
      </c>
      <c r="J4186" s="2">
        <v>53.0</v>
      </c>
      <c r="K4186" s="3">
        <f t="shared" si="4"/>
        <v>0.1274038462</v>
      </c>
      <c r="L4186" s="2">
        <v>37.0</v>
      </c>
      <c r="M4186" s="3">
        <f t="shared" si="5"/>
        <v>0.578125</v>
      </c>
      <c r="N4186" s="2">
        <v>333900.0</v>
      </c>
      <c r="O4186" s="4">
        <f t="shared" si="6"/>
        <v>5217.1875</v>
      </c>
      <c r="P4186" s="2">
        <v>0.0</v>
      </c>
      <c r="Q4186" s="3">
        <f t="shared" si="7"/>
        <v>0</v>
      </c>
      <c r="R4186" s="2">
        <v>38.0</v>
      </c>
      <c r="S4186" s="5">
        <f t="shared" si="8"/>
        <v>1</v>
      </c>
    </row>
    <row r="4187">
      <c r="A4187" s="2" t="s">
        <v>4191</v>
      </c>
      <c r="B4187" s="2">
        <v>783.0</v>
      </c>
      <c r="C4187" s="2">
        <v>9119.0</v>
      </c>
      <c r="D4187" s="2">
        <v>2975.0</v>
      </c>
      <c r="E4187" s="3">
        <f t="shared" si="1"/>
        <v>0.3568857965</v>
      </c>
      <c r="F4187" s="2">
        <v>1062.0</v>
      </c>
      <c r="G4187" s="3">
        <f t="shared" si="2"/>
        <v>0.1273992322</v>
      </c>
      <c r="H4187" s="2">
        <v>1677.0</v>
      </c>
      <c r="I4187" s="3">
        <f t="shared" si="3"/>
        <v>0.2011756238</v>
      </c>
      <c r="J4187" s="2">
        <v>1401.0</v>
      </c>
      <c r="K4187" s="3">
        <f t="shared" si="4"/>
        <v>0.1680662188</v>
      </c>
      <c r="L4187" s="2">
        <v>1021.0</v>
      </c>
      <c r="M4187" s="3">
        <f t="shared" si="5"/>
        <v>0.6088252832</v>
      </c>
      <c r="N4187" s="2">
        <v>9740600.0</v>
      </c>
      <c r="O4187" s="4">
        <f t="shared" si="6"/>
        <v>5808.348241</v>
      </c>
      <c r="P4187" s="2">
        <v>3.0</v>
      </c>
      <c r="Q4187" s="3">
        <f t="shared" si="7"/>
        <v>0.003831417625</v>
      </c>
      <c r="R4187" s="2">
        <v>0.0</v>
      </c>
      <c r="S4187" s="5">
        <f t="shared" si="8"/>
        <v>0</v>
      </c>
    </row>
    <row r="4188">
      <c r="A4188" s="2" t="s">
        <v>4192</v>
      </c>
      <c r="B4188" s="2">
        <v>307.0</v>
      </c>
      <c r="C4188" s="2">
        <v>3541.0</v>
      </c>
      <c r="D4188" s="2">
        <v>1189.0</v>
      </c>
      <c r="E4188" s="3">
        <f t="shared" si="1"/>
        <v>0.3676561534</v>
      </c>
      <c r="F4188" s="2">
        <v>412.0</v>
      </c>
      <c r="G4188" s="3">
        <f t="shared" si="2"/>
        <v>0.1273964131</v>
      </c>
      <c r="H4188" s="2">
        <v>692.0</v>
      </c>
      <c r="I4188" s="3">
        <f t="shared" si="3"/>
        <v>0.2139764997</v>
      </c>
      <c r="J4188" s="2">
        <v>497.0</v>
      </c>
      <c r="K4188" s="3">
        <f t="shared" si="4"/>
        <v>0.1536796537</v>
      </c>
      <c r="L4188" s="2">
        <v>446.0</v>
      </c>
      <c r="M4188" s="3">
        <f t="shared" si="5"/>
        <v>0.6445086705</v>
      </c>
      <c r="N4188" s="2">
        <v>3739000.0</v>
      </c>
      <c r="O4188" s="4">
        <f t="shared" si="6"/>
        <v>5403.179191</v>
      </c>
      <c r="P4188" s="2">
        <v>1.0</v>
      </c>
      <c r="Q4188" s="3">
        <f t="shared" si="7"/>
        <v>0.00325732899</v>
      </c>
      <c r="R4188" s="2">
        <v>0.0</v>
      </c>
      <c r="S4188" s="5">
        <f t="shared" si="8"/>
        <v>0</v>
      </c>
    </row>
    <row r="4189">
      <c r="A4189" s="2" t="s">
        <v>4193</v>
      </c>
      <c r="B4189" s="2">
        <v>2628.0</v>
      </c>
      <c r="C4189" s="2">
        <v>30957.0</v>
      </c>
      <c r="D4189" s="2">
        <v>9900.0</v>
      </c>
      <c r="E4189" s="3">
        <f t="shared" si="1"/>
        <v>0.3494652123</v>
      </c>
      <c r="F4189" s="2">
        <v>3609.0</v>
      </c>
      <c r="G4189" s="3">
        <f t="shared" si="2"/>
        <v>0.1273959547</v>
      </c>
      <c r="H4189" s="2">
        <v>6120.0</v>
      </c>
      <c r="I4189" s="3">
        <f t="shared" si="3"/>
        <v>0.2160330403</v>
      </c>
      <c r="J4189" s="2">
        <v>5175.0</v>
      </c>
      <c r="K4189" s="3">
        <f t="shared" si="4"/>
        <v>0.1826749974</v>
      </c>
      <c r="L4189" s="2">
        <v>3585.0</v>
      </c>
      <c r="M4189" s="3">
        <f t="shared" si="5"/>
        <v>0.5857843137</v>
      </c>
      <c r="N4189" s="2">
        <v>3.50919E7</v>
      </c>
      <c r="O4189" s="4">
        <f t="shared" si="6"/>
        <v>5733.970588</v>
      </c>
      <c r="P4189" s="2">
        <v>6.0</v>
      </c>
      <c r="Q4189" s="3">
        <f t="shared" si="7"/>
        <v>0.002283105023</v>
      </c>
      <c r="R4189" s="2">
        <v>1503.0</v>
      </c>
      <c r="S4189" s="5">
        <f t="shared" si="8"/>
        <v>0.5719178082</v>
      </c>
    </row>
    <row r="4190">
      <c r="A4190" s="2" t="s">
        <v>4194</v>
      </c>
      <c r="B4190" s="2">
        <v>263.0</v>
      </c>
      <c r="C4190" s="2">
        <v>2979.0</v>
      </c>
      <c r="D4190" s="2">
        <v>876.0</v>
      </c>
      <c r="E4190" s="3">
        <f t="shared" si="1"/>
        <v>0.322533137</v>
      </c>
      <c r="F4190" s="2">
        <v>346.0</v>
      </c>
      <c r="G4190" s="3">
        <f t="shared" si="2"/>
        <v>0.1273932253</v>
      </c>
      <c r="H4190" s="2">
        <v>530.0</v>
      </c>
      <c r="I4190" s="3">
        <f t="shared" si="3"/>
        <v>0.1951399116</v>
      </c>
      <c r="J4190" s="2">
        <v>431.0</v>
      </c>
      <c r="K4190" s="3">
        <f t="shared" si="4"/>
        <v>0.1586892489</v>
      </c>
      <c r="L4190" s="2">
        <v>306.0</v>
      </c>
      <c r="M4190" s="3">
        <f t="shared" si="5"/>
        <v>0.5773584906</v>
      </c>
      <c r="N4190" s="2">
        <v>3163600.0</v>
      </c>
      <c r="O4190" s="4">
        <f t="shared" si="6"/>
        <v>5969.056604</v>
      </c>
      <c r="P4190" s="2">
        <v>0.0</v>
      </c>
      <c r="Q4190" s="3">
        <f t="shared" si="7"/>
        <v>0</v>
      </c>
      <c r="R4190" s="2">
        <v>263.0</v>
      </c>
      <c r="S4190" s="5">
        <f t="shared" si="8"/>
        <v>1</v>
      </c>
    </row>
    <row r="4191">
      <c r="A4191" s="2" t="s">
        <v>4195</v>
      </c>
      <c r="B4191" s="2">
        <v>14.0</v>
      </c>
      <c r="C4191" s="2">
        <v>171.0</v>
      </c>
      <c r="D4191" s="2">
        <v>44.0</v>
      </c>
      <c r="E4191" s="3">
        <f t="shared" si="1"/>
        <v>0.2802547771</v>
      </c>
      <c r="F4191" s="2">
        <v>20.0</v>
      </c>
      <c r="G4191" s="3">
        <f t="shared" si="2"/>
        <v>0.127388535</v>
      </c>
      <c r="H4191" s="2">
        <v>28.0</v>
      </c>
      <c r="I4191" s="3">
        <f t="shared" si="3"/>
        <v>0.178343949</v>
      </c>
      <c r="J4191" s="2">
        <v>28.0</v>
      </c>
      <c r="K4191" s="3">
        <f t="shared" si="4"/>
        <v>0.178343949</v>
      </c>
      <c r="L4191" s="2">
        <v>15.0</v>
      </c>
      <c r="M4191" s="3">
        <f t="shared" si="5"/>
        <v>0.5357142857</v>
      </c>
      <c r="N4191" s="2">
        <v>144100.0</v>
      </c>
      <c r="O4191" s="4">
        <f t="shared" si="6"/>
        <v>5146.428571</v>
      </c>
      <c r="P4191" s="2">
        <v>0.0</v>
      </c>
      <c r="Q4191" s="3">
        <f t="shared" si="7"/>
        <v>0</v>
      </c>
      <c r="R4191" s="2">
        <v>0.0</v>
      </c>
      <c r="S4191" s="5">
        <f t="shared" si="8"/>
        <v>0</v>
      </c>
    </row>
    <row r="4192">
      <c r="A4192" s="2" t="s">
        <v>4196</v>
      </c>
      <c r="B4192" s="2">
        <v>143.0</v>
      </c>
      <c r="C4192" s="2">
        <v>1666.0</v>
      </c>
      <c r="D4192" s="2">
        <v>431.0</v>
      </c>
      <c r="E4192" s="3">
        <f t="shared" si="1"/>
        <v>0.2829940906</v>
      </c>
      <c r="F4192" s="2">
        <v>194.0</v>
      </c>
      <c r="G4192" s="3">
        <f t="shared" si="2"/>
        <v>0.1273801707</v>
      </c>
      <c r="H4192" s="2">
        <v>279.0</v>
      </c>
      <c r="I4192" s="3">
        <f t="shared" si="3"/>
        <v>0.1831910703</v>
      </c>
      <c r="J4192" s="2">
        <v>259.0</v>
      </c>
      <c r="K4192" s="3">
        <f t="shared" si="4"/>
        <v>0.1700590939</v>
      </c>
      <c r="L4192" s="2">
        <v>165.0</v>
      </c>
      <c r="M4192" s="3">
        <f t="shared" si="5"/>
        <v>0.5913978495</v>
      </c>
      <c r="N4192" s="2">
        <v>1711400.0</v>
      </c>
      <c r="O4192" s="4">
        <f t="shared" si="6"/>
        <v>6134.050179</v>
      </c>
      <c r="P4192" s="2">
        <v>0.0</v>
      </c>
      <c r="Q4192" s="3">
        <f t="shared" si="7"/>
        <v>0</v>
      </c>
      <c r="R4192" s="2">
        <v>143.0</v>
      </c>
      <c r="S4192" s="5">
        <f t="shared" si="8"/>
        <v>1</v>
      </c>
    </row>
    <row r="4193">
      <c r="A4193" s="2" t="s">
        <v>4197</v>
      </c>
      <c r="B4193" s="2">
        <v>1009.0</v>
      </c>
      <c r="C4193" s="2">
        <v>11931.0</v>
      </c>
      <c r="D4193" s="2">
        <v>4453.0</v>
      </c>
      <c r="E4193" s="3">
        <f t="shared" si="1"/>
        <v>0.4077092108</v>
      </c>
      <c r="F4193" s="2">
        <v>1391.0</v>
      </c>
      <c r="G4193" s="3">
        <f t="shared" si="2"/>
        <v>0.1273576268</v>
      </c>
      <c r="H4193" s="2">
        <v>2374.0</v>
      </c>
      <c r="I4193" s="3">
        <f t="shared" si="3"/>
        <v>0.217359458</v>
      </c>
      <c r="J4193" s="2">
        <v>1750.0</v>
      </c>
      <c r="K4193" s="3">
        <f t="shared" si="4"/>
        <v>0.1602270646</v>
      </c>
      <c r="L4193" s="2">
        <v>1399.0</v>
      </c>
      <c r="M4193" s="3">
        <f t="shared" si="5"/>
        <v>0.5893007582</v>
      </c>
      <c r="N4193" s="2">
        <v>1.29708E7</v>
      </c>
      <c r="O4193" s="4">
        <f t="shared" si="6"/>
        <v>5463.689975</v>
      </c>
      <c r="P4193" s="2">
        <v>2.0</v>
      </c>
      <c r="Q4193" s="3">
        <f t="shared" si="7"/>
        <v>0.001982160555</v>
      </c>
      <c r="R4193" s="2">
        <v>1009.0</v>
      </c>
      <c r="S4193" s="5">
        <f t="shared" si="8"/>
        <v>1</v>
      </c>
    </row>
    <row r="4194">
      <c r="A4194" s="2" t="s">
        <v>4198</v>
      </c>
      <c r="B4194" s="2">
        <v>805.0</v>
      </c>
      <c r="C4194" s="2">
        <v>9395.0</v>
      </c>
      <c r="D4194" s="2">
        <v>2533.0</v>
      </c>
      <c r="E4194" s="3">
        <f t="shared" si="1"/>
        <v>0.2948777648</v>
      </c>
      <c r="F4194" s="2">
        <v>1094.0</v>
      </c>
      <c r="G4194" s="3">
        <f t="shared" si="2"/>
        <v>0.1273573923</v>
      </c>
      <c r="H4194" s="2">
        <v>1726.0</v>
      </c>
      <c r="I4194" s="3">
        <f t="shared" si="3"/>
        <v>0.2009313155</v>
      </c>
      <c r="J4194" s="2">
        <v>1646.0</v>
      </c>
      <c r="K4194" s="3">
        <f t="shared" si="4"/>
        <v>0.1916181607</v>
      </c>
      <c r="L4194" s="2">
        <v>1022.0</v>
      </c>
      <c r="M4194" s="3">
        <f t="shared" si="5"/>
        <v>0.5921205098</v>
      </c>
      <c r="N4194" s="2">
        <v>1.03308E7</v>
      </c>
      <c r="O4194" s="4">
        <f t="shared" si="6"/>
        <v>5985.399768</v>
      </c>
      <c r="P4194" s="2">
        <v>0.0</v>
      </c>
      <c r="Q4194" s="3">
        <f t="shared" si="7"/>
        <v>0</v>
      </c>
      <c r="R4194" s="2">
        <v>343.0</v>
      </c>
      <c r="S4194" s="5">
        <f t="shared" si="8"/>
        <v>0.4260869565</v>
      </c>
    </row>
    <row r="4195">
      <c r="A4195" s="2" t="s">
        <v>4199</v>
      </c>
      <c r="B4195" s="2">
        <v>338.0</v>
      </c>
      <c r="C4195" s="2">
        <v>4005.0</v>
      </c>
      <c r="D4195" s="2">
        <v>1276.0</v>
      </c>
      <c r="E4195" s="3">
        <f t="shared" si="1"/>
        <v>0.3479683665</v>
      </c>
      <c r="F4195" s="2">
        <v>467.0</v>
      </c>
      <c r="G4195" s="3">
        <f t="shared" si="2"/>
        <v>0.1273520589</v>
      </c>
      <c r="H4195" s="2">
        <v>729.0</v>
      </c>
      <c r="I4195" s="3">
        <f t="shared" si="3"/>
        <v>0.1988001091</v>
      </c>
      <c r="J4195" s="2">
        <v>579.0</v>
      </c>
      <c r="K4195" s="3">
        <f t="shared" si="4"/>
        <v>0.1578947368</v>
      </c>
      <c r="L4195" s="2">
        <v>449.0</v>
      </c>
      <c r="M4195" s="3">
        <f t="shared" si="5"/>
        <v>0.6159122085</v>
      </c>
      <c r="N4195" s="2">
        <v>4270000.0</v>
      </c>
      <c r="O4195" s="4">
        <f t="shared" si="6"/>
        <v>5857.33882</v>
      </c>
      <c r="P4195" s="2">
        <v>0.0</v>
      </c>
      <c r="Q4195" s="3">
        <f t="shared" si="7"/>
        <v>0</v>
      </c>
      <c r="R4195" s="2">
        <v>338.0</v>
      </c>
      <c r="S4195" s="5">
        <f t="shared" si="8"/>
        <v>1</v>
      </c>
    </row>
    <row r="4196">
      <c r="A4196" s="2" t="s">
        <v>4200</v>
      </c>
      <c r="B4196" s="2">
        <v>859.0</v>
      </c>
      <c r="C4196" s="2">
        <v>10188.0</v>
      </c>
      <c r="D4196" s="2">
        <v>2897.0</v>
      </c>
      <c r="E4196" s="3">
        <f t="shared" si="1"/>
        <v>0.3105370351</v>
      </c>
      <c r="F4196" s="2">
        <v>1188.0</v>
      </c>
      <c r="G4196" s="3">
        <f t="shared" si="2"/>
        <v>0.1273448387</v>
      </c>
      <c r="H4196" s="2">
        <v>1947.0</v>
      </c>
      <c r="I4196" s="3">
        <f t="shared" si="3"/>
        <v>0.2087040412</v>
      </c>
      <c r="J4196" s="2">
        <v>1649.0</v>
      </c>
      <c r="K4196" s="3">
        <f t="shared" si="4"/>
        <v>0.1767606389</v>
      </c>
      <c r="L4196" s="2">
        <v>1171.0</v>
      </c>
      <c r="M4196" s="3">
        <f t="shared" si="5"/>
        <v>0.6014381099</v>
      </c>
      <c r="N4196" s="2">
        <v>1.08612E7</v>
      </c>
      <c r="O4196" s="4">
        <f t="shared" si="6"/>
        <v>5578.428351</v>
      </c>
      <c r="P4196" s="2">
        <v>0.0</v>
      </c>
      <c r="Q4196" s="3">
        <f t="shared" si="7"/>
        <v>0</v>
      </c>
      <c r="R4196" s="2">
        <v>859.0</v>
      </c>
      <c r="S4196" s="5">
        <f t="shared" si="8"/>
        <v>1</v>
      </c>
    </row>
    <row r="4197">
      <c r="A4197" s="2" t="s">
        <v>4201</v>
      </c>
      <c r="B4197" s="2">
        <v>489.0</v>
      </c>
      <c r="C4197" s="2">
        <v>5821.0</v>
      </c>
      <c r="D4197" s="2">
        <v>1785.0</v>
      </c>
      <c r="E4197" s="3">
        <f t="shared" si="1"/>
        <v>0.3347711928</v>
      </c>
      <c r="F4197" s="2">
        <v>679.0</v>
      </c>
      <c r="G4197" s="3">
        <f t="shared" si="2"/>
        <v>0.1273443361</v>
      </c>
      <c r="H4197" s="2">
        <v>1068.0</v>
      </c>
      <c r="I4197" s="3">
        <f t="shared" si="3"/>
        <v>0.200300075</v>
      </c>
      <c r="J4197" s="2">
        <v>859.0</v>
      </c>
      <c r="K4197" s="3">
        <f t="shared" si="4"/>
        <v>0.1611027757</v>
      </c>
      <c r="L4197" s="2">
        <v>664.0</v>
      </c>
      <c r="M4197" s="3">
        <f t="shared" si="5"/>
        <v>0.6217228464</v>
      </c>
      <c r="N4197" s="2">
        <v>6211900.0</v>
      </c>
      <c r="O4197" s="4">
        <f t="shared" si="6"/>
        <v>5816.385768</v>
      </c>
      <c r="P4197" s="2">
        <v>0.0</v>
      </c>
      <c r="Q4197" s="3">
        <f t="shared" si="7"/>
        <v>0</v>
      </c>
      <c r="R4197" s="2">
        <v>489.0</v>
      </c>
      <c r="S4197" s="5">
        <f t="shared" si="8"/>
        <v>1</v>
      </c>
    </row>
    <row r="4198">
      <c r="A4198" s="2" t="s">
        <v>4202</v>
      </c>
      <c r="B4198" s="2">
        <v>27.0</v>
      </c>
      <c r="C4198" s="2">
        <v>294.0</v>
      </c>
      <c r="D4198" s="2">
        <v>72.0</v>
      </c>
      <c r="E4198" s="3">
        <f t="shared" si="1"/>
        <v>0.2696629213</v>
      </c>
      <c r="F4198" s="2">
        <v>34.0</v>
      </c>
      <c r="G4198" s="3">
        <f t="shared" si="2"/>
        <v>0.127340824</v>
      </c>
      <c r="H4198" s="2">
        <v>46.0</v>
      </c>
      <c r="I4198" s="3">
        <f t="shared" si="3"/>
        <v>0.1722846442</v>
      </c>
      <c r="J4198" s="2">
        <v>30.0</v>
      </c>
      <c r="K4198" s="3">
        <f t="shared" si="4"/>
        <v>0.1123595506</v>
      </c>
      <c r="L4198" s="2">
        <v>30.0</v>
      </c>
      <c r="M4198" s="3">
        <f t="shared" si="5"/>
        <v>0.652173913</v>
      </c>
      <c r="N4198" s="2">
        <v>229100.0</v>
      </c>
      <c r="O4198" s="4">
        <f t="shared" si="6"/>
        <v>4980.434783</v>
      </c>
      <c r="P4198" s="2">
        <v>0.0</v>
      </c>
      <c r="Q4198" s="3">
        <f t="shared" si="7"/>
        <v>0</v>
      </c>
      <c r="R4198" s="2">
        <v>27.0</v>
      </c>
      <c r="S4198" s="5">
        <f t="shared" si="8"/>
        <v>1</v>
      </c>
    </row>
    <row r="4199">
      <c r="A4199" s="2" t="s">
        <v>4203</v>
      </c>
      <c r="B4199" s="2">
        <v>754.0</v>
      </c>
      <c r="C4199" s="2">
        <v>8717.0</v>
      </c>
      <c r="D4199" s="2">
        <v>3032.0</v>
      </c>
      <c r="E4199" s="3">
        <f t="shared" si="1"/>
        <v>0.3807610197</v>
      </c>
      <c r="F4199" s="2">
        <v>1014.0</v>
      </c>
      <c r="G4199" s="3">
        <f t="shared" si="2"/>
        <v>0.1273389426</v>
      </c>
      <c r="H4199" s="2">
        <v>1795.0</v>
      </c>
      <c r="I4199" s="3">
        <f t="shared" si="3"/>
        <v>0.2254175562</v>
      </c>
      <c r="J4199" s="2">
        <v>977.0</v>
      </c>
      <c r="K4199" s="3">
        <f t="shared" si="4"/>
        <v>0.1226924526</v>
      </c>
      <c r="L4199" s="2">
        <v>1149.0</v>
      </c>
      <c r="M4199" s="3">
        <f t="shared" si="5"/>
        <v>0.6401114206</v>
      </c>
      <c r="N4199" s="2">
        <v>9372800.0</v>
      </c>
      <c r="O4199" s="4">
        <f t="shared" si="6"/>
        <v>5221.615599</v>
      </c>
      <c r="P4199" s="2">
        <v>1.0</v>
      </c>
      <c r="Q4199" s="3">
        <f t="shared" si="7"/>
        <v>0.001326259947</v>
      </c>
      <c r="R4199" s="2">
        <v>754.0</v>
      </c>
      <c r="S4199" s="5">
        <f t="shared" si="8"/>
        <v>1</v>
      </c>
    </row>
    <row r="4200">
      <c r="A4200" s="2" t="s">
        <v>4204</v>
      </c>
      <c r="B4200" s="2">
        <v>1585.0</v>
      </c>
      <c r="C4200" s="2">
        <v>18532.0</v>
      </c>
      <c r="D4200" s="2">
        <v>5891.0</v>
      </c>
      <c r="E4200" s="3">
        <f t="shared" si="1"/>
        <v>0.3476131469</v>
      </c>
      <c r="F4200" s="2">
        <v>2158.0</v>
      </c>
      <c r="G4200" s="3">
        <f t="shared" si="2"/>
        <v>0.1273381719</v>
      </c>
      <c r="H4200" s="2">
        <v>3374.0</v>
      </c>
      <c r="I4200" s="3">
        <f t="shared" si="3"/>
        <v>0.1990912846</v>
      </c>
      <c r="J4200" s="2">
        <v>2594.0</v>
      </c>
      <c r="K4200" s="3">
        <f t="shared" si="4"/>
        <v>0.1530654393</v>
      </c>
      <c r="L4200" s="2">
        <v>2012.0</v>
      </c>
      <c r="M4200" s="3">
        <f t="shared" si="5"/>
        <v>0.596324837</v>
      </c>
      <c r="N4200" s="2">
        <v>1.99453E7</v>
      </c>
      <c r="O4200" s="4">
        <f t="shared" si="6"/>
        <v>5911.470065</v>
      </c>
      <c r="P4200" s="2">
        <v>2.0</v>
      </c>
      <c r="Q4200" s="3">
        <f t="shared" si="7"/>
        <v>0.001261829653</v>
      </c>
      <c r="R4200" s="2">
        <v>0.0</v>
      </c>
      <c r="S4200" s="5">
        <f t="shared" si="8"/>
        <v>0</v>
      </c>
    </row>
    <row r="4201">
      <c r="A4201" s="2" t="s">
        <v>4205</v>
      </c>
      <c r="B4201" s="2">
        <v>965.0</v>
      </c>
      <c r="C4201" s="2">
        <v>11410.0</v>
      </c>
      <c r="D4201" s="2">
        <v>4169.0</v>
      </c>
      <c r="E4201" s="3">
        <f t="shared" si="1"/>
        <v>0.3991383437</v>
      </c>
      <c r="F4201" s="2">
        <v>1330.0</v>
      </c>
      <c r="G4201" s="3">
        <f t="shared" si="2"/>
        <v>0.1273336525</v>
      </c>
      <c r="H4201" s="2">
        <v>2336.0</v>
      </c>
      <c r="I4201" s="3">
        <f t="shared" si="3"/>
        <v>0.2236476783</v>
      </c>
      <c r="J4201" s="2">
        <v>1253.0</v>
      </c>
      <c r="K4201" s="3">
        <f t="shared" si="4"/>
        <v>0.1199617042</v>
      </c>
      <c r="L4201" s="2">
        <v>1473.0</v>
      </c>
      <c r="M4201" s="3">
        <f t="shared" si="5"/>
        <v>0.6305650685</v>
      </c>
      <c r="N4201" s="2">
        <v>1.22115E7</v>
      </c>
      <c r="O4201" s="4">
        <f t="shared" si="6"/>
        <v>5227.525685</v>
      </c>
      <c r="P4201" s="2">
        <v>3.0</v>
      </c>
      <c r="Q4201" s="3">
        <f t="shared" si="7"/>
        <v>0.00310880829</v>
      </c>
      <c r="R4201" s="2">
        <v>965.0</v>
      </c>
      <c r="S4201" s="5">
        <f t="shared" si="8"/>
        <v>1</v>
      </c>
    </row>
    <row r="4202">
      <c r="A4202" s="2" t="s">
        <v>4206</v>
      </c>
      <c r="B4202" s="2">
        <v>261.0</v>
      </c>
      <c r="C4202" s="2">
        <v>3104.0</v>
      </c>
      <c r="D4202" s="2">
        <v>1051.0</v>
      </c>
      <c r="E4202" s="3">
        <f t="shared" si="1"/>
        <v>0.3696799156</v>
      </c>
      <c r="F4202" s="2">
        <v>362.0</v>
      </c>
      <c r="G4202" s="3">
        <f t="shared" si="2"/>
        <v>0.1273302849</v>
      </c>
      <c r="H4202" s="2">
        <v>602.0</v>
      </c>
      <c r="I4202" s="3">
        <f t="shared" si="3"/>
        <v>0.2117481534</v>
      </c>
      <c r="J4202" s="2">
        <v>479.0</v>
      </c>
      <c r="K4202" s="3">
        <f t="shared" si="4"/>
        <v>0.1684839958</v>
      </c>
      <c r="L4202" s="2">
        <v>350.0</v>
      </c>
      <c r="M4202" s="3">
        <f t="shared" si="5"/>
        <v>0.5813953488</v>
      </c>
      <c r="N4202" s="2">
        <v>3262200.0</v>
      </c>
      <c r="O4202" s="4">
        <f t="shared" si="6"/>
        <v>5418.936877</v>
      </c>
      <c r="P4202" s="2">
        <v>1.0</v>
      </c>
      <c r="Q4202" s="3">
        <f t="shared" si="7"/>
        <v>0.003831417625</v>
      </c>
      <c r="R4202" s="2">
        <v>261.0</v>
      </c>
      <c r="S4202" s="5">
        <f t="shared" si="8"/>
        <v>1</v>
      </c>
    </row>
    <row r="4203">
      <c r="A4203" s="2" t="s">
        <v>4207</v>
      </c>
      <c r="B4203" s="2">
        <v>60.0</v>
      </c>
      <c r="C4203" s="2">
        <v>704.0</v>
      </c>
      <c r="D4203" s="2">
        <v>191.0</v>
      </c>
      <c r="E4203" s="3">
        <f t="shared" si="1"/>
        <v>0.2965838509</v>
      </c>
      <c r="F4203" s="2">
        <v>82.0</v>
      </c>
      <c r="G4203" s="3">
        <f t="shared" si="2"/>
        <v>0.1273291925</v>
      </c>
      <c r="H4203" s="2">
        <v>130.0</v>
      </c>
      <c r="I4203" s="3">
        <f t="shared" si="3"/>
        <v>0.201863354</v>
      </c>
      <c r="J4203" s="2">
        <v>109.0</v>
      </c>
      <c r="K4203" s="3">
        <f t="shared" si="4"/>
        <v>0.1692546584</v>
      </c>
      <c r="L4203" s="2">
        <v>77.0</v>
      </c>
      <c r="M4203" s="3">
        <f t="shared" si="5"/>
        <v>0.5923076923</v>
      </c>
      <c r="N4203" s="2">
        <v>772700.0</v>
      </c>
      <c r="O4203" s="4">
        <f t="shared" si="6"/>
        <v>5943.846154</v>
      </c>
      <c r="P4203" s="2">
        <v>0.0</v>
      </c>
      <c r="Q4203" s="3">
        <f t="shared" si="7"/>
        <v>0</v>
      </c>
      <c r="R4203" s="2">
        <v>60.0</v>
      </c>
      <c r="S4203" s="5">
        <f t="shared" si="8"/>
        <v>1</v>
      </c>
    </row>
    <row r="4204">
      <c r="A4204" s="2" t="s">
        <v>4208</v>
      </c>
      <c r="B4204" s="2">
        <v>402.0</v>
      </c>
      <c r="C4204" s="2">
        <v>4698.0</v>
      </c>
      <c r="D4204" s="2">
        <v>1504.0</v>
      </c>
      <c r="E4204" s="3">
        <f t="shared" si="1"/>
        <v>0.3500931099</v>
      </c>
      <c r="F4204" s="2">
        <v>547.0</v>
      </c>
      <c r="G4204" s="3">
        <f t="shared" si="2"/>
        <v>0.1273277467</v>
      </c>
      <c r="H4204" s="2">
        <v>935.0</v>
      </c>
      <c r="I4204" s="3">
        <f t="shared" si="3"/>
        <v>0.2176443203</v>
      </c>
      <c r="J4204" s="2">
        <v>663.0</v>
      </c>
      <c r="K4204" s="3">
        <f t="shared" si="4"/>
        <v>0.1543296089</v>
      </c>
      <c r="L4204" s="2">
        <v>562.0</v>
      </c>
      <c r="M4204" s="3">
        <f t="shared" si="5"/>
        <v>0.6010695187</v>
      </c>
      <c r="N4204" s="2">
        <v>4948000.0</v>
      </c>
      <c r="O4204" s="4">
        <f t="shared" si="6"/>
        <v>5291.97861</v>
      </c>
      <c r="P4204" s="2">
        <v>2.0</v>
      </c>
      <c r="Q4204" s="3">
        <f t="shared" si="7"/>
        <v>0.004975124378</v>
      </c>
      <c r="R4204" s="2">
        <v>153.0</v>
      </c>
      <c r="S4204" s="5">
        <f t="shared" si="8"/>
        <v>0.3805970149</v>
      </c>
    </row>
    <row r="4205">
      <c r="A4205" s="2" t="s">
        <v>4209</v>
      </c>
      <c r="B4205" s="2">
        <v>256.0</v>
      </c>
      <c r="C4205" s="2">
        <v>2997.0</v>
      </c>
      <c r="D4205" s="2">
        <v>1009.0</v>
      </c>
      <c r="E4205" s="3">
        <f t="shared" si="1"/>
        <v>0.3681138271</v>
      </c>
      <c r="F4205" s="2">
        <v>349.0</v>
      </c>
      <c r="G4205" s="3">
        <f t="shared" si="2"/>
        <v>0.1273257935</v>
      </c>
      <c r="H4205" s="2">
        <v>595.0</v>
      </c>
      <c r="I4205" s="3">
        <f t="shared" si="3"/>
        <v>0.2170740606</v>
      </c>
      <c r="J4205" s="2">
        <v>532.0</v>
      </c>
      <c r="K4205" s="3">
        <f t="shared" si="4"/>
        <v>0.1940897483</v>
      </c>
      <c r="L4205" s="2">
        <v>352.0</v>
      </c>
      <c r="M4205" s="3">
        <f t="shared" si="5"/>
        <v>0.5915966387</v>
      </c>
      <c r="N4205" s="2">
        <v>3271700.0</v>
      </c>
      <c r="O4205" s="4">
        <f t="shared" si="6"/>
        <v>5498.655462</v>
      </c>
      <c r="P4205" s="2">
        <v>1.0</v>
      </c>
      <c r="Q4205" s="3">
        <f t="shared" si="7"/>
        <v>0.00390625</v>
      </c>
      <c r="R4205" s="2">
        <v>4.0</v>
      </c>
      <c r="S4205" s="5">
        <f t="shared" si="8"/>
        <v>0.015625</v>
      </c>
    </row>
    <row r="4206">
      <c r="A4206" s="2" t="s">
        <v>4210</v>
      </c>
      <c r="B4206" s="2">
        <v>417.0</v>
      </c>
      <c r="C4206" s="2">
        <v>4878.0</v>
      </c>
      <c r="D4206" s="2">
        <v>1310.0</v>
      </c>
      <c r="E4206" s="3">
        <f t="shared" si="1"/>
        <v>0.2936561309</v>
      </c>
      <c r="F4206" s="2">
        <v>568.0</v>
      </c>
      <c r="G4206" s="3">
        <f t="shared" si="2"/>
        <v>0.1273257117</v>
      </c>
      <c r="H4206" s="2">
        <v>867.0</v>
      </c>
      <c r="I4206" s="3">
        <f t="shared" si="3"/>
        <v>0.1943510424</v>
      </c>
      <c r="J4206" s="2">
        <v>638.0</v>
      </c>
      <c r="K4206" s="3">
        <f t="shared" si="4"/>
        <v>0.1430172607</v>
      </c>
      <c r="L4206" s="2">
        <v>505.0</v>
      </c>
      <c r="M4206" s="3">
        <f t="shared" si="5"/>
        <v>0.5824682814</v>
      </c>
      <c r="N4206" s="2">
        <v>5410100.0</v>
      </c>
      <c r="O4206" s="4">
        <f t="shared" si="6"/>
        <v>6240.023068</v>
      </c>
      <c r="P4206" s="2">
        <v>2.0</v>
      </c>
      <c r="Q4206" s="3">
        <f t="shared" si="7"/>
        <v>0.00479616307</v>
      </c>
      <c r="R4206" s="2">
        <v>417.0</v>
      </c>
      <c r="S4206" s="5">
        <f t="shared" si="8"/>
        <v>1</v>
      </c>
    </row>
    <row r="4207">
      <c r="A4207" s="2" t="s">
        <v>4211</v>
      </c>
      <c r="B4207" s="2">
        <v>210.0</v>
      </c>
      <c r="C4207" s="2">
        <v>2527.0</v>
      </c>
      <c r="D4207" s="2">
        <v>855.0</v>
      </c>
      <c r="E4207" s="3">
        <f t="shared" si="1"/>
        <v>0.369011653</v>
      </c>
      <c r="F4207" s="2">
        <v>295.0</v>
      </c>
      <c r="G4207" s="3">
        <f t="shared" si="2"/>
        <v>0.1273198101</v>
      </c>
      <c r="H4207" s="2">
        <v>480.0</v>
      </c>
      <c r="I4207" s="3">
        <f t="shared" si="3"/>
        <v>0.2071644368</v>
      </c>
      <c r="J4207" s="2">
        <v>400.0</v>
      </c>
      <c r="K4207" s="3">
        <f t="shared" si="4"/>
        <v>0.1726370306</v>
      </c>
      <c r="L4207" s="2">
        <v>304.0</v>
      </c>
      <c r="M4207" s="3">
        <f t="shared" si="5"/>
        <v>0.6333333333</v>
      </c>
      <c r="N4207" s="2">
        <v>2728500.0</v>
      </c>
      <c r="O4207" s="4">
        <f t="shared" si="6"/>
        <v>5684.375</v>
      </c>
      <c r="P4207" s="2">
        <v>0.0</v>
      </c>
      <c r="Q4207" s="3">
        <f t="shared" si="7"/>
        <v>0</v>
      </c>
      <c r="R4207" s="2">
        <v>210.0</v>
      </c>
      <c r="S4207" s="5">
        <f t="shared" si="8"/>
        <v>1</v>
      </c>
    </row>
    <row r="4208">
      <c r="A4208" s="2" t="s">
        <v>4212</v>
      </c>
      <c r="B4208" s="2">
        <v>2210.0</v>
      </c>
      <c r="C4208" s="2">
        <v>25883.0</v>
      </c>
      <c r="D4208" s="2">
        <v>9279.0</v>
      </c>
      <c r="E4208" s="3">
        <f t="shared" si="1"/>
        <v>0.3919655304</v>
      </c>
      <c r="F4208" s="2">
        <v>3014.0</v>
      </c>
      <c r="G4208" s="3">
        <f t="shared" si="2"/>
        <v>0.1273180417</v>
      </c>
      <c r="H4208" s="2">
        <v>5521.0</v>
      </c>
      <c r="I4208" s="3">
        <f t="shared" si="3"/>
        <v>0.2332192793</v>
      </c>
      <c r="J4208" s="2">
        <v>3694.0</v>
      </c>
      <c r="K4208" s="3">
        <f t="shared" si="4"/>
        <v>0.1560427491</v>
      </c>
      <c r="L4208" s="2">
        <v>3407.0</v>
      </c>
      <c r="M4208" s="3">
        <f t="shared" si="5"/>
        <v>0.6170983517</v>
      </c>
      <c r="N4208" s="2">
        <v>2.94545E7</v>
      </c>
      <c r="O4208" s="4">
        <f t="shared" si="6"/>
        <v>5334.993661</v>
      </c>
      <c r="P4208" s="2">
        <v>6.0</v>
      </c>
      <c r="Q4208" s="3">
        <f t="shared" si="7"/>
        <v>0.002714932127</v>
      </c>
      <c r="R4208" s="2">
        <v>2196.0</v>
      </c>
      <c r="S4208" s="5">
        <f t="shared" si="8"/>
        <v>0.9936651584</v>
      </c>
    </row>
    <row r="4209">
      <c r="A4209" s="2" t="s">
        <v>4213</v>
      </c>
      <c r="B4209" s="2">
        <v>410.0</v>
      </c>
      <c r="C4209" s="2">
        <v>4840.0</v>
      </c>
      <c r="D4209" s="2">
        <v>1474.0</v>
      </c>
      <c r="E4209" s="3">
        <f t="shared" si="1"/>
        <v>0.332731377</v>
      </c>
      <c r="F4209" s="2">
        <v>564.0</v>
      </c>
      <c r="G4209" s="3">
        <f t="shared" si="2"/>
        <v>0.1273137698</v>
      </c>
      <c r="H4209" s="2">
        <v>890.0</v>
      </c>
      <c r="I4209" s="3">
        <f t="shared" si="3"/>
        <v>0.2009029345</v>
      </c>
      <c r="J4209" s="2">
        <v>689.0</v>
      </c>
      <c r="K4209" s="3">
        <f t="shared" si="4"/>
        <v>0.155530474</v>
      </c>
      <c r="L4209" s="2">
        <v>519.0</v>
      </c>
      <c r="M4209" s="3">
        <f t="shared" si="5"/>
        <v>0.5831460674</v>
      </c>
      <c r="N4209" s="2">
        <v>5199700.0</v>
      </c>
      <c r="O4209" s="4">
        <f t="shared" si="6"/>
        <v>5842.359551</v>
      </c>
      <c r="P4209" s="2">
        <v>1.0</v>
      </c>
      <c r="Q4209" s="3">
        <f t="shared" si="7"/>
        <v>0.00243902439</v>
      </c>
      <c r="R4209" s="2">
        <v>410.0</v>
      </c>
      <c r="S4209" s="5">
        <f t="shared" si="8"/>
        <v>1</v>
      </c>
    </row>
    <row r="4210">
      <c r="A4210" s="2" t="s">
        <v>4214</v>
      </c>
      <c r="B4210" s="2">
        <v>281.0</v>
      </c>
      <c r="C4210" s="2">
        <v>3258.0</v>
      </c>
      <c r="D4210" s="2">
        <v>1198.0</v>
      </c>
      <c r="E4210" s="3">
        <f t="shared" si="1"/>
        <v>0.4024185422</v>
      </c>
      <c r="F4210" s="2">
        <v>379.0</v>
      </c>
      <c r="G4210" s="3">
        <f t="shared" si="2"/>
        <v>0.1273093719</v>
      </c>
      <c r="H4210" s="2">
        <v>627.0</v>
      </c>
      <c r="I4210" s="3">
        <f t="shared" si="3"/>
        <v>0.2106147128</v>
      </c>
      <c r="J4210" s="2">
        <v>489.0</v>
      </c>
      <c r="K4210" s="3">
        <f t="shared" si="4"/>
        <v>0.1642593215</v>
      </c>
      <c r="L4210" s="2">
        <v>370.0</v>
      </c>
      <c r="M4210" s="3">
        <f t="shared" si="5"/>
        <v>0.5901116427</v>
      </c>
      <c r="N4210" s="2">
        <v>3475400.0</v>
      </c>
      <c r="O4210" s="4">
        <f t="shared" si="6"/>
        <v>5542.902711</v>
      </c>
      <c r="P4210" s="2">
        <v>2.0</v>
      </c>
      <c r="Q4210" s="3">
        <f t="shared" si="7"/>
        <v>0.007117437722</v>
      </c>
      <c r="R4210" s="2">
        <v>281.0</v>
      </c>
      <c r="S4210" s="5">
        <f t="shared" si="8"/>
        <v>1</v>
      </c>
    </row>
    <row r="4211">
      <c r="A4211" s="2" t="s">
        <v>4215</v>
      </c>
      <c r="B4211" s="2">
        <v>957.0</v>
      </c>
      <c r="C4211" s="2">
        <v>11192.0</v>
      </c>
      <c r="D4211" s="2">
        <v>3846.0</v>
      </c>
      <c r="E4211" s="3">
        <f t="shared" si="1"/>
        <v>0.3757694187</v>
      </c>
      <c r="F4211" s="2">
        <v>1303.0</v>
      </c>
      <c r="G4211" s="3">
        <f t="shared" si="2"/>
        <v>0.127308256</v>
      </c>
      <c r="H4211" s="2">
        <v>2201.0</v>
      </c>
      <c r="I4211" s="3">
        <f t="shared" si="3"/>
        <v>0.2150464094</v>
      </c>
      <c r="J4211" s="2">
        <v>1901.0</v>
      </c>
      <c r="K4211" s="3">
        <f t="shared" si="4"/>
        <v>0.1857352223</v>
      </c>
      <c r="L4211" s="2">
        <v>1294.0</v>
      </c>
      <c r="M4211" s="3">
        <f t="shared" si="5"/>
        <v>0.5879145843</v>
      </c>
      <c r="N4211" s="2">
        <v>1.21932E7</v>
      </c>
      <c r="O4211" s="4">
        <f t="shared" si="6"/>
        <v>5539.845525</v>
      </c>
      <c r="P4211" s="2">
        <v>2.0</v>
      </c>
      <c r="Q4211" s="3">
        <f t="shared" si="7"/>
        <v>0.002089864159</v>
      </c>
      <c r="R4211" s="2">
        <v>957.0</v>
      </c>
      <c r="S4211" s="5">
        <f t="shared" si="8"/>
        <v>1</v>
      </c>
    </row>
    <row r="4212">
      <c r="A4212" s="2" t="s">
        <v>4216</v>
      </c>
      <c r="B4212" s="2">
        <v>353.0</v>
      </c>
      <c r="C4212" s="2">
        <v>4210.0</v>
      </c>
      <c r="D4212" s="2">
        <v>1226.0</v>
      </c>
      <c r="E4212" s="3">
        <f t="shared" si="1"/>
        <v>0.3178636246</v>
      </c>
      <c r="F4212" s="2">
        <v>491.0</v>
      </c>
      <c r="G4212" s="3">
        <f t="shared" si="2"/>
        <v>0.1273010111</v>
      </c>
      <c r="H4212" s="2">
        <v>795.0</v>
      </c>
      <c r="I4212" s="3">
        <f t="shared" si="3"/>
        <v>0.2061187451</v>
      </c>
      <c r="J4212" s="2">
        <v>707.0</v>
      </c>
      <c r="K4212" s="3">
        <f t="shared" si="4"/>
        <v>0.1833030853</v>
      </c>
      <c r="L4212" s="2">
        <v>470.0</v>
      </c>
      <c r="M4212" s="3">
        <f t="shared" si="5"/>
        <v>0.5911949686</v>
      </c>
      <c r="N4212" s="2">
        <v>4481500.0</v>
      </c>
      <c r="O4212" s="4">
        <f t="shared" si="6"/>
        <v>5637.106918</v>
      </c>
      <c r="P4212" s="2">
        <v>0.0</v>
      </c>
      <c r="Q4212" s="3">
        <f t="shared" si="7"/>
        <v>0</v>
      </c>
      <c r="R4212" s="2">
        <v>175.0</v>
      </c>
      <c r="S4212" s="5">
        <f t="shared" si="8"/>
        <v>0.4957507082</v>
      </c>
    </row>
    <row r="4213">
      <c r="A4213" s="2" t="s">
        <v>4217</v>
      </c>
      <c r="B4213" s="2">
        <v>141.0</v>
      </c>
      <c r="C4213" s="2">
        <v>1665.0</v>
      </c>
      <c r="D4213" s="2">
        <v>445.0</v>
      </c>
      <c r="E4213" s="3">
        <f t="shared" si="1"/>
        <v>0.2919947507</v>
      </c>
      <c r="F4213" s="2">
        <v>194.0</v>
      </c>
      <c r="G4213" s="3">
        <f t="shared" si="2"/>
        <v>0.1272965879</v>
      </c>
      <c r="H4213" s="2">
        <v>302.0</v>
      </c>
      <c r="I4213" s="3">
        <f t="shared" si="3"/>
        <v>0.1981627297</v>
      </c>
      <c r="J4213" s="2">
        <v>188.0</v>
      </c>
      <c r="K4213" s="3">
        <f t="shared" si="4"/>
        <v>0.1233595801</v>
      </c>
      <c r="L4213" s="2">
        <v>197.0</v>
      </c>
      <c r="M4213" s="3">
        <f t="shared" si="5"/>
        <v>0.6523178808</v>
      </c>
      <c r="N4213" s="2">
        <v>1797900.0</v>
      </c>
      <c r="O4213" s="4">
        <f t="shared" si="6"/>
        <v>5953.311258</v>
      </c>
      <c r="P4213" s="2">
        <v>2.0</v>
      </c>
      <c r="Q4213" s="3">
        <f t="shared" si="7"/>
        <v>0.01418439716</v>
      </c>
      <c r="R4213" s="2">
        <v>0.0</v>
      </c>
      <c r="S4213" s="5">
        <f t="shared" si="8"/>
        <v>0</v>
      </c>
    </row>
    <row r="4214">
      <c r="A4214" s="2" t="s">
        <v>4218</v>
      </c>
      <c r="B4214" s="2">
        <v>931.0</v>
      </c>
      <c r="C4214" s="2">
        <v>10963.0</v>
      </c>
      <c r="D4214" s="2">
        <v>3233.0</v>
      </c>
      <c r="E4214" s="3">
        <f t="shared" si="1"/>
        <v>0.32226874</v>
      </c>
      <c r="F4214" s="2">
        <v>1277.0</v>
      </c>
      <c r="G4214" s="3">
        <f t="shared" si="2"/>
        <v>0.1272926635</v>
      </c>
      <c r="H4214" s="2">
        <v>2114.0</v>
      </c>
      <c r="I4214" s="3">
        <f t="shared" si="3"/>
        <v>0.2107256778</v>
      </c>
      <c r="J4214" s="2">
        <v>1884.0</v>
      </c>
      <c r="K4214" s="3">
        <f t="shared" si="4"/>
        <v>0.1877990431</v>
      </c>
      <c r="L4214" s="2">
        <v>1246.0</v>
      </c>
      <c r="M4214" s="3">
        <f t="shared" si="5"/>
        <v>0.5894039735</v>
      </c>
      <c r="N4214" s="2">
        <v>1.19839E7</v>
      </c>
      <c r="O4214" s="4">
        <f t="shared" si="6"/>
        <v>5668.826868</v>
      </c>
      <c r="P4214" s="2">
        <v>4.0</v>
      </c>
      <c r="Q4214" s="3">
        <f t="shared" si="7"/>
        <v>0.004296455424</v>
      </c>
      <c r="R4214" s="2">
        <v>812.0</v>
      </c>
      <c r="S4214" s="5">
        <f t="shared" si="8"/>
        <v>0.8721804511</v>
      </c>
    </row>
    <row r="4215">
      <c r="A4215" s="2" t="s">
        <v>4219</v>
      </c>
      <c r="B4215" s="2">
        <v>171.0</v>
      </c>
      <c r="C4215" s="2">
        <v>2025.0</v>
      </c>
      <c r="D4215" s="2">
        <v>551.0</v>
      </c>
      <c r="E4215" s="3">
        <f t="shared" si="1"/>
        <v>0.2971952535</v>
      </c>
      <c r="F4215" s="2">
        <v>236.0</v>
      </c>
      <c r="G4215" s="3">
        <f t="shared" si="2"/>
        <v>0.1272923409</v>
      </c>
      <c r="H4215" s="2">
        <v>310.0</v>
      </c>
      <c r="I4215" s="3">
        <f t="shared" si="3"/>
        <v>0.167206041</v>
      </c>
      <c r="J4215" s="2">
        <v>276.0</v>
      </c>
      <c r="K4215" s="3">
        <f t="shared" si="4"/>
        <v>0.1488673139</v>
      </c>
      <c r="L4215" s="2">
        <v>193.0</v>
      </c>
      <c r="M4215" s="3">
        <f t="shared" si="5"/>
        <v>0.6225806452</v>
      </c>
      <c r="N4215" s="2">
        <v>1902300.0</v>
      </c>
      <c r="O4215" s="4">
        <f t="shared" si="6"/>
        <v>6136.451613</v>
      </c>
      <c r="P4215" s="2">
        <v>0.0</v>
      </c>
      <c r="Q4215" s="3">
        <f t="shared" si="7"/>
        <v>0</v>
      </c>
      <c r="R4215" s="2">
        <v>171.0</v>
      </c>
      <c r="S4215" s="5">
        <f t="shared" si="8"/>
        <v>1</v>
      </c>
    </row>
    <row r="4216">
      <c r="A4216" s="2" t="s">
        <v>4220</v>
      </c>
      <c r="B4216" s="2">
        <v>489.0</v>
      </c>
      <c r="C4216" s="2">
        <v>5619.0</v>
      </c>
      <c r="D4216" s="2">
        <v>1844.0</v>
      </c>
      <c r="E4216" s="3">
        <f t="shared" si="1"/>
        <v>0.359454191</v>
      </c>
      <c r="F4216" s="2">
        <v>653.0</v>
      </c>
      <c r="G4216" s="3">
        <f t="shared" si="2"/>
        <v>0.1272904483</v>
      </c>
      <c r="H4216" s="2">
        <v>1101.0</v>
      </c>
      <c r="I4216" s="3">
        <f t="shared" si="3"/>
        <v>0.214619883</v>
      </c>
      <c r="J4216" s="2">
        <v>946.0</v>
      </c>
      <c r="K4216" s="3">
        <f t="shared" si="4"/>
        <v>0.1844054581</v>
      </c>
      <c r="L4216" s="2">
        <v>659.0</v>
      </c>
      <c r="M4216" s="3">
        <f t="shared" si="5"/>
        <v>0.5985467757</v>
      </c>
      <c r="N4216" s="2">
        <v>5860400.0</v>
      </c>
      <c r="O4216" s="4">
        <f t="shared" si="6"/>
        <v>5322.797457</v>
      </c>
      <c r="P4216" s="2">
        <v>0.0</v>
      </c>
      <c r="Q4216" s="3">
        <f t="shared" si="7"/>
        <v>0</v>
      </c>
      <c r="R4216" s="2">
        <v>58.0</v>
      </c>
      <c r="S4216" s="5">
        <f t="shared" si="8"/>
        <v>0.118609407</v>
      </c>
    </row>
    <row r="4217">
      <c r="A4217" s="2" t="s">
        <v>4221</v>
      </c>
      <c r="B4217" s="2">
        <v>376.0</v>
      </c>
      <c r="C4217" s="2">
        <v>4422.0</v>
      </c>
      <c r="D4217" s="2">
        <v>1474.0</v>
      </c>
      <c r="E4217" s="3">
        <f t="shared" si="1"/>
        <v>0.3643104301</v>
      </c>
      <c r="F4217" s="2">
        <v>515.0</v>
      </c>
      <c r="G4217" s="3">
        <f t="shared" si="2"/>
        <v>0.1272862086</v>
      </c>
      <c r="H4217" s="2">
        <v>842.0</v>
      </c>
      <c r="I4217" s="3">
        <f t="shared" si="3"/>
        <v>0.2081067721</v>
      </c>
      <c r="J4217" s="2">
        <v>780.0</v>
      </c>
      <c r="K4217" s="3">
        <f t="shared" si="4"/>
        <v>0.1927829956</v>
      </c>
      <c r="L4217" s="2">
        <v>505.0</v>
      </c>
      <c r="M4217" s="3">
        <f t="shared" si="5"/>
        <v>0.5997624703</v>
      </c>
      <c r="N4217" s="2">
        <v>4496900.0</v>
      </c>
      <c r="O4217" s="4">
        <f t="shared" si="6"/>
        <v>5340.736342</v>
      </c>
      <c r="P4217" s="2">
        <v>0.0</v>
      </c>
      <c r="Q4217" s="3">
        <f t="shared" si="7"/>
        <v>0</v>
      </c>
      <c r="R4217" s="2">
        <v>376.0</v>
      </c>
      <c r="S4217" s="5">
        <f t="shared" si="8"/>
        <v>1</v>
      </c>
    </row>
    <row r="4218">
      <c r="A4218" s="2" t="s">
        <v>4222</v>
      </c>
      <c r="B4218" s="2">
        <v>89.0</v>
      </c>
      <c r="C4218" s="2">
        <v>1079.0</v>
      </c>
      <c r="D4218" s="2">
        <v>330.0</v>
      </c>
      <c r="E4218" s="3">
        <f t="shared" si="1"/>
        <v>0.3333333333</v>
      </c>
      <c r="F4218" s="2">
        <v>126.0</v>
      </c>
      <c r="G4218" s="3">
        <f t="shared" si="2"/>
        <v>0.1272727273</v>
      </c>
      <c r="H4218" s="2">
        <v>206.0</v>
      </c>
      <c r="I4218" s="3">
        <f t="shared" si="3"/>
        <v>0.2080808081</v>
      </c>
      <c r="J4218" s="2">
        <v>186.0</v>
      </c>
      <c r="K4218" s="3">
        <f t="shared" si="4"/>
        <v>0.1878787879</v>
      </c>
      <c r="L4218" s="2">
        <v>127.0</v>
      </c>
      <c r="M4218" s="3">
        <f t="shared" si="5"/>
        <v>0.6165048544</v>
      </c>
      <c r="N4218" s="2">
        <v>1177700.0</v>
      </c>
      <c r="O4218" s="4">
        <f t="shared" si="6"/>
        <v>5716.990291</v>
      </c>
      <c r="P4218" s="2">
        <v>1.0</v>
      </c>
      <c r="Q4218" s="3">
        <f t="shared" si="7"/>
        <v>0.01123595506</v>
      </c>
      <c r="R4218" s="2">
        <v>89.0</v>
      </c>
      <c r="S4218" s="5">
        <f t="shared" si="8"/>
        <v>1</v>
      </c>
    </row>
    <row r="4219">
      <c r="A4219" s="2" t="s">
        <v>4223</v>
      </c>
      <c r="B4219" s="2">
        <v>18.0</v>
      </c>
      <c r="C4219" s="2">
        <v>238.0</v>
      </c>
      <c r="D4219" s="2">
        <v>96.0</v>
      </c>
      <c r="E4219" s="3">
        <f t="shared" si="1"/>
        <v>0.4363636364</v>
      </c>
      <c r="F4219" s="2">
        <v>28.0</v>
      </c>
      <c r="G4219" s="3">
        <f t="shared" si="2"/>
        <v>0.1272727273</v>
      </c>
      <c r="H4219" s="2">
        <v>44.0</v>
      </c>
      <c r="I4219" s="3">
        <f t="shared" si="3"/>
        <v>0.2</v>
      </c>
      <c r="J4219" s="2">
        <v>32.0</v>
      </c>
      <c r="K4219" s="3">
        <f t="shared" si="4"/>
        <v>0.1454545455</v>
      </c>
      <c r="L4219" s="2">
        <v>16.0</v>
      </c>
      <c r="M4219" s="3">
        <f t="shared" si="5"/>
        <v>0.3636363636</v>
      </c>
      <c r="N4219" s="2">
        <v>222900.0</v>
      </c>
      <c r="O4219" s="4">
        <f t="shared" si="6"/>
        <v>5065.909091</v>
      </c>
      <c r="P4219" s="2">
        <v>0.0</v>
      </c>
      <c r="Q4219" s="3">
        <f t="shared" si="7"/>
        <v>0</v>
      </c>
      <c r="R4219" s="2">
        <v>0.0</v>
      </c>
      <c r="S4219" s="5">
        <f t="shared" si="8"/>
        <v>0</v>
      </c>
    </row>
    <row r="4220">
      <c r="A4220" s="2" t="s">
        <v>4224</v>
      </c>
      <c r="B4220" s="2">
        <v>5.0</v>
      </c>
      <c r="C4220" s="2">
        <v>60.0</v>
      </c>
      <c r="D4220" s="2">
        <v>29.0</v>
      </c>
      <c r="E4220" s="3">
        <f t="shared" si="1"/>
        <v>0.5272727273</v>
      </c>
      <c r="F4220" s="2">
        <v>7.0</v>
      </c>
      <c r="G4220" s="3">
        <f t="shared" si="2"/>
        <v>0.1272727273</v>
      </c>
      <c r="H4220" s="2">
        <v>9.0</v>
      </c>
      <c r="I4220" s="3">
        <f t="shared" si="3"/>
        <v>0.1636363636</v>
      </c>
      <c r="J4220" s="2">
        <v>7.0</v>
      </c>
      <c r="K4220" s="3">
        <f t="shared" si="4"/>
        <v>0.1272727273</v>
      </c>
      <c r="L4220" s="2">
        <v>4.0</v>
      </c>
      <c r="M4220" s="3">
        <f t="shared" si="5"/>
        <v>0.4444444444</v>
      </c>
      <c r="N4220" s="2">
        <v>41000.0</v>
      </c>
      <c r="O4220" s="4">
        <f t="shared" si="6"/>
        <v>4555.555556</v>
      </c>
      <c r="P4220" s="2">
        <v>0.0</v>
      </c>
      <c r="Q4220" s="3">
        <f t="shared" si="7"/>
        <v>0</v>
      </c>
      <c r="R4220" s="2">
        <v>0.0</v>
      </c>
      <c r="S4220" s="5">
        <f t="shared" si="8"/>
        <v>0</v>
      </c>
    </row>
    <row r="4221">
      <c r="A4221" s="2" t="s">
        <v>4225</v>
      </c>
      <c r="B4221" s="2">
        <v>891.0</v>
      </c>
      <c r="C4221" s="2">
        <v>10414.0</v>
      </c>
      <c r="D4221" s="2">
        <v>3239.0</v>
      </c>
      <c r="E4221" s="3">
        <f t="shared" si="1"/>
        <v>0.3401239105</v>
      </c>
      <c r="F4221" s="2">
        <v>1212.0</v>
      </c>
      <c r="G4221" s="3">
        <f t="shared" si="2"/>
        <v>0.127270818</v>
      </c>
      <c r="H4221" s="2">
        <v>1996.0</v>
      </c>
      <c r="I4221" s="3">
        <f t="shared" si="3"/>
        <v>0.2095978158</v>
      </c>
      <c r="J4221" s="2">
        <v>1411.0</v>
      </c>
      <c r="K4221" s="3">
        <f t="shared" si="4"/>
        <v>0.1481675942</v>
      </c>
      <c r="L4221" s="2">
        <v>1190.0</v>
      </c>
      <c r="M4221" s="3">
        <f t="shared" si="5"/>
        <v>0.5961923848</v>
      </c>
      <c r="N4221" s="2">
        <v>1.07183E7</v>
      </c>
      <c r="O4221" s="4">
        <f t="shared" si="6"/>
        <v>5369.88978</v>
      </c>
      <c r="P4221" s="2">
        <v>3.0</v>
      </c>
      <c r="Q4221" s="3">
        <f t="shared" si="7"/>
        <v>0.003367003367</v>
      </c>
      <c r="R4221" s="2">
        <v>1.0</v>
      </c>
      <c r="S4221" s="5">
        <f t="shared" si="8"/>
        <v>0.001122334456</v>
      </c>
    </row>
    <row r="4222">
      <c r="A4222" s="2" t="s">
        <v>4226</v>
      </c>
      <c r="B4222" s="2">
        <v>4136.0</v>
      </c>
      <c r="C4222" s="2">
        <v>48522.0</v>
      </c>
      <c r="D4222" s="2">
        <v>15839.0</v>
      </c>
      <c r="E4222" s="3">
        <f t="shared" si="1"/>
        <v>0.3568467535</v>
      </c>
      <c r="F4222" s="2">
        <v>5649.0</v>
      </c>
      <c r="G4222" s="3">
        <f t="shared" si="2"/>
        <v>0.1272698599</v>
      </c>
      <c r="H4222" s="2">
        <v>9597.0</v>
      </c>
      <c r="I4222" s="3">
        <f t="shared" si="3"/>
        <v>0.2162168251</v>
      </c>
      <c r="J4222" s="2">
        <v>8039.0</v>
      </c>
      <c r="K4222" s="3">
        <f t="shared" si="4"/>
        <v>0.1811156671</v>
      </c>
      <c r="L4222" s="2">
        <v>5663.0</v>
      </c>
      <c r="M4222" s="3">
        <f t="shared" si="5"/>
        <v>0.5900802334</v>
      </c>
      <c r="N4222" s="2">
        <v>5.59399E7</v>
      </c>
      <c r="O4222" s="4">
        <f t="shared" si="6"/>
        <v>5828.894446</v>
      </c>
      <c r="P4222" s="2">
        <v>4.0</v>
      </c>
      <c r="Q4222" s="3">
        <f t="shared" si="7"/>
        <v>0.0009671179884</v>
      </c>
      <c r="R4222" s="2">
        <v>4136.0</v>
      </c>
      <c r="S4222" s="5">
        <f t="shared" si="8"/>
        <v>1</v>
      </c>
    </row>
    <row r="4223">
      <c r="A4223" s="2" t="s">
        <v>4227</v>
      </c>
      <c r="B4223" s="2">
        <v>2805.0</v>
      </c>
      <c r="C4223" s="2">
        <v>33183.0</v>
      </c>
      <c r="D4223" s="2">
        <v>10993.0</v>
      </c>
      <c r="E4223" s="3">
        <f t="shared" si="1"/>
        <v>0.3618737244</v>
      </c>
      <c r="F4223" s="2">
        <v>3866.0</v>
      </c>
      <c r="G4223" s="3">
        <f t="shared" si="2"/>
        <v>0.127263151</v>
      </c>
      <c r="H4223" s="2">
        <v>6428.0</v>
      </c>
      <c r="I4223" s="3">
        <f t="shared" si="3"/>
        <v>0.2116005004</v>
      </c>
      <c r="J4223" s="2">
        <v>5123.0</v>
      </c>
      <c r="K4223" s="3">
        <f t="shared" si="4"/>
        <v>0.1686417802</v>
      </c>
      <c r="L4223" s="2">
        <v>3773.0</v>
      </c>
      <c r="M4223" s="3">
        <f t="shared" si="5"/>
        <v>0.5869632856</v>
      </c>
      <c r="N4223" s="2">
        <v>3.509E7</v>
      </c>
      <c r="O4223" s="4">
        <f t="shared" si="6"/>
        <v>5458.929683</v>
      </c>
      <c r="P4223" s="2">
        <v>2.0</v>
      </c>
      <c r="Q4223" s="3">
        <f t="shared" si="7"/>
        <v>0.0007130124777</v>
      </c>
      <c r="R4223" s="2">
        <v>2577.0</v>
      </c>
      <c r="S4223" s="5">
        <f t="shared" si="8"/>
        <v>0.9187165775</v>
      </c>
    </row>
    <row r="4224">
      <c r="A4224" s="2" t="s">
        <v>4228</v>
      </c>
      <c r="B4224" s="2">
        <v>1825.0</v>
      </c>
      <c r="C4224" s="2">
        <v>21297.0</v>
      </c>
      <c r="D4224" s="2">
        <v>5503.0</v>
      </c>
      <c r="E4224" s="3">
        <f t="shared" si="1"/>
        <v>0.2826109285</v>
      </c>
      <c r="F4224" s="2">
        <v>2478.0</v>
      </c>
      <c r="G4224" s="3">
        <f t="shared" si="2"/>
        <v>0.1272596549</v>
      </c>
      <c r="H4224" s="2">
        <v>3896.0</v>
      </c>
      <c r="I4224" s="3">
        <f t="shared" si="3"/>
        <v>0.2000821693</v>
      </c>
      <c r="J4224" s="2">
        <v>3803.0</v>
      </c>
      <c r="K4224" s="3">
        <f t="shared" si="4"/>
        <v>0.1953060805</v>
      </c>
      <c r="L4224" s="2">
        <v>2271.0</v>
      </c>
      <c r="M4224" s="3">
        <f t="shared" si="5"/>
        <v>0.5829055441</v>
      </c>
      <c r="N4224" s="2">
        <v>2.35033E7</v>
      </c>
      <c r="O4224" s="4">
        <f t="shared" si="6"/>
        <v>6032.674538</v>
      </c>
      <c r="P4224" s="2">
        <v>5.0</v>
      </c>
      <c r="Q4224" s="3">
        <f t="shared" si="7"/>
        <v>0.002739726027</v>
      </c>
      <c r="R4224" s="2">
        <v>1825.0</v>
      </c>
      <c r="S4224" s="5">
        <f t="shared" si="8"/>
        <v>1</v>
      </c>
    </row>
    <row r="4225">
      <c r="A4225" s="2" t="s">
        <v>4229</v>
      </c>
      <c r="B4225" s="2">
        <v>6214.0</v>
      </c>
      <c r="C4225" s="2">
        <v>72695.0</v>
      </c>
      <c r="D4225" s="2">
        <v>22050.0</v>
      </c>
      <c r="E4225" s="3">
        <f t="shared" si="1"/>
        <v>0.3316737113</v>
      </c>
      <c r="F4225" s="2">
        <v>8460.0</v>
      </c>
      <c r="G4225" s="3">
        <f t="shared" si="2"/>
        <v>0.1272544035</v>
      </c>
      <c r="H4225" s="2">
        <v>14629.0</v>
      </c>
      <c r="I4225" s="3">
        <f t="shared" si="3"/>
        <v>0.2200478332</v>
      </c>
      <c r="J4225" s="2">
        <v>12379.0</v>
      </c>
      <c r="K4225" s="3">
        <f t="shared" si="4"/>
        <v>0.186203577</v>
      </c>
      <c r="L4225" s="2">
        <v>8771.0</v>
      </c>
      <c r="M4225" s="3">
        <f t="shared" si="5"/>
        <v>0.5995625128</v>
      </c>
      <c r="N4225" s="2">
        <v>8.62814E7</v>
      </c>
      <c r="O4225" s="4">
        <f t="shared" si="6"/>
        <v>5897.969786</v>
      </c>
      <c r="P4225" s="2">
        <v>14.0</v>
      </c>
      <c r="Q4225" s="3">
        <f t="shared" si="7"/>
        <v>0.002252977148</v>
      </c>
      <c r="R4225" s="2">
        <v>230.0</v>
      </c>
      <c r="S4225" s="5">
        <f t="shared" si="8"/>
        <v>0.03701319601</v>
      </c>
    </row>
    <row r="4226">
      <c r="A4226" s="2" t="s">
        <v>4230</v>
      </c>
      <c r="B4226" s="2">
        <v>3315.0</v>
      </c>
      <c r="C4226" s="2">
        <v>39094.0</v>
      </c>
      <c r="D4226" s="2">
        <v>12287.0</v>
      </c>
      <c r="E4226" s="3">
        <f t="shared" si="1"/>
        <v>0.3434137343</v>
      </c>
      <c r="F4226" s="2">
        <v>4553.0</v>
      </c>
      <c r="G4226" s="3">
        <f t="shared" si="2"/>
        <v>0.1272534168</v>
      </c>
      <c r="H4226" s="2">
        <v>7893.0</v>
      </c>
      <c r="I4226" s="3">
        <f t="shared" si="3"/>
        <v>0.2206042651</v>
      </c>
      <c r="J4226" s="2">
        <v>5744.0</v>
      </c>
      <c r="K4226" s="3">
        <f t="shared" si="4"/>
        <v>0.1605410995</v>
      </c>
      <c r="L4226" s="2">
        <v>4784.0</v>
      </c>
      <c r="M4226" s="3">
        <f t="shared" si="5"/>
        <v>0.6061066768</v>
      </c>
      <c r="N4226" s="2">
        <v>4.44832E7</v>
      </c>
      <c r="O4226" s="4">
        <f t="shared" si="6"/>
        <v>5635.778538</v>
      </c>
      <c r="P4226" s="2">
        <v>9.0</v>
      </c>
      <c r="Q4226" s="3">
        <f t="shared" si="7"/>
        <v>0.002714932127</v>
      </c>
      <c r="R4226" s="2">
        <v>3315.0</v>
      </c>
      <c r="S4226" s="5">
        <f t="shared" si="8"/>
        <v>1</v>
      </c>
    </row>
    <row r="4227">
      <c r="A4227" s="2" t="s">
        <v>4231</v>
      </c>
      <c r="B4227" s="2">
        <v>284.0</v>
      </c>
      <c r="C4227" s="2">
        <v>3286.0</v>
      </c>
      <c r="D4227" s="2">
        <v>1123.0</v>
      </c>
      <c r="E4227" s="3">
        <f t="shared" si="1"/>
        <v>0.374083944</v>
      </c>
      <c r="F4227" s="2">
        <v>382.0</v>
      </c>
      <c r="G4227" s="3">
        <f t="shared" si="2"/>
        <v>0.127248501</v>
      </c>
      <c r="H4227" s="2">
        <v>610.0</v>
      </c>
      <c r="I4227" s="3">
        <f t="shared" si="3"/>
        <v>0.2031978681</v>
      </c>
      <c r="J4227" s="2">
        <v>480.0</v>
      </c>
      <c r="K4227" s="3">
        <f t="shared" si="4"/>
        <v>0.1598934044</v>
      </c>
      <c r="L4227" s="2">
        <v>376.0</v>
      </c>
      <c r="M4227" s="3">
        <f t="shared" si="5"/>
        <v>0.6163934426</v>
      </c>
      <c r="N4227" s="2">
        <v>3225600.0</v>
      </c>
      <c r="O4227" s="4">
        <f t="shared" si="6"/>
        <v>5287.868852</v>
      </c>
      <c r="P4227" s="2">
        <v>1.0</v>
      </c>
      <c r="Q4227" s="3">
        <f t="shared" si="7"/>
        <v>0.003521126761</v>
      </c>
      <c r="R4227" s="2">
        <v>231.0</v>
      </c>
      <c r="S4227" s="5">
        <f t="shared" si="8"/>
        <v>0.8133802817</v>
      </c>
    </row>
    <row r="4228">
      <c r="A4228" s="2" t="s">
        <v>4232</v>
      </c>
      <c r="B4228" s="2">
        <v>117.0</v>
      </c>
      <c r="C4228" s="2">
        <v>1398.0</v>
      </c>
      <c r="D4228" s="2">
        <v>435.0</v>
      </c>
      <c r="E4228" s="3">
        <f t="shared" si="1"/>
        <v>0.3395784543</v>
      </c>
      <c r="F4228" s="2">
        <v>163.0</v>
      </c>
      <c r="G4228" s="3">
        <f t="shared" si="2"/>
        <v>0.1272443404</v>
      </c>
      <c r="H4228" s="2">
        <v>271.0</v>
      </c>
      <c r="I4228" s="3">
        <f t="shared" si="3"/>
        <v>0.2115534738</v>
      </c>
      <c r="J4228" s="2">
        <v>277.0</v>
      </c>
      <c r="K4228" s="3">
        <f t="shared" si="4"/>
        <v>0.2162373146</v>
      </c>
      <c r="L4228" s="2">
        <v>162.0</v>
      </c>
      <c r="M4228" s="3">
        <f t="shared" si="5"/>
        <v>0.5977859779</v>
      </c>
      <c r="N4228" s="2">
        <v>1437400.0</v>
      </c>
      <c r="O4228" s="4">
        <f t="shared" si="6"/>
        <v>5304.059041</v>
      </c>
      <c r="P4228" s="2">
        <v>0.0</v>
      </c>
      <c r="Q4228" s="3">
        <f t="shared" si="7"/>
        <v>0</v>
      </c>
      <c r="R4228" s="2">
        <v>116.0</v>
      </c>
      <c r="S4228" s="5">
        <f t="shared" si="8"/>
        <v>0.9914529915</v>
      </c>
    </row>
    <row r="4229">
      <c r="A4229" s="2" t="s">
        <v>4233</v>
      </c>
      <c r="B4229" s="2">
        <v>532.0</v>
      </c>
      <c r="C4229" s="2">
        <v>6301.0</v>
      </c>
      <c r="D4229" s="2">
        <v>1807.0</v>
      </c>
      <c r="E4229" s="3">
        <f t="shared" si="1"/>
        <v>0.3132258624</v>
      </c>
      <c r="F4229" s="2">
        <v>734.0</v>
      </c>
      <c r="G4229" s="3">
        <f t="shared" si="2"/>
        <v>0.1272317559</v>
      </c>
      <c r="H4229" s="2">
        <v>1236.0</v>
      </c>
      <c r="I4229" s="3">
        <f t="shared" si="3"/>
        <v>0.2142485699</v>
      </c>
      <c r="J4229" s="2">
        <v>1011.0</v>
      </c>
      <c r="K4229" s="3">
        <f t="shared" si="4"/>
        <v>0.1752470099</v>
      </c>
      <c r="L4229" s="2">
        <v>715.0</v>
      </c>
      <c r="M4229" s="3">
        <f t="shared" si="5"/>
        <v>0.5784789644</v>
      </c>
      <c r="N4229" s="2">
        <v>7174100.0</v>
      </c>
      <c r="O4229" s="4">
        <f t="shared" si="6"/>
        <v>5804.288026</v>
      </c>
      <c r="P4229" s="2">
        <v>3.0</v>
      </c>
      <c r="Q4229" s="3">
        <f t="shared" si="7"/>
        <v>0.005639097744</v>
      </c>
      <c r="R4229" s="2">
        <v>532.0</v>
      </c>
      <c r="S4229" s="5">
        <f t="shared" si="8"/>
        <v>1</v>
      </c>
    </row>
    <row r="4230">
      <c r="A4230" s="2" t="s">
        <v>4234</v>
      </c>
      <c r="B4230" s="2">
        <v>580.0</v>
      </c>
      <c r="C4230" s="2">
        <v>6805.0</v>
      </c>
      <c r="D4230" s="2">
        <v>1876.0</v>
      </c>
      <c r="E4230" s="3">
        <f t="shared" si="1"/>
        <v>0.3013654618</v>
      </c>
      <c r="F4230" s="2">
        <v>792.0</v>
      </c>
      <c r="G4230" s="3">
        <f t="shared" si="2"/>
        <v>0.1272289157</v>
      </c>
      <c r="H4230" s="2">
        <v>1255.0</v>
      </c>
      <c r="I4230" s="3">
        <f t="shared" si="3"/>
        <v>0.2016064257</v>
      </c>
      <c r="J4230" s="2">
        <v>1061.0</v>
      </c>
      <c r="K4230" s="3">
        <f t="shared" si="4"/>
        <v>0.1704417671</v>
      </c>
      <c r="L4230" s="2">
        <v>748.0</v>
      </c>
      <c r="M4230" s="3">
        <f t="shared" si="5"/>
        <v>0.5960159363</v>
      </c>
      <c r="N4230" s="2">
        <v>7262400.0</v>
      </c>
      <c r="O4230" s="4">
        <f t="shared" si="6"/>
        <v>5786.772908</v>
      </c>
      <c r="P4230" s="2">
        <v>1.0</v>
      </c>
      <c r="Q4230" s="3">
        <f t="shared" si="7"/>
        <v>0.001724137931</v>
      </c>
      <c r="R4230" s="2">
        <v>580.0</v>
      </c>
      <c r="S4230" s="5">
        <f t="shared" si="8"/>
        <v>1</v>
      </c>
    </row>
    <row r="4231">
      <c r="A4231" s="2" t="s">
        <v>4235</v>
      </c>
      <c r="B4231" s="2">
        <v>65.0</v>
      </c>
      <c r="C4231" s="2">
        <v>796.0</v>
      </c>
      <c r="D4231" s="2">
        <v>331.0</v>
      </c>
      <c r="E4231" s="3">
        <f t="shared" si="1"/>
        <v>0.4528043776</v>
      </c>
      <c r="F4231" s="2">
        <v>93.0</v>
      </c>
      <c r="G4231" s="3">
        <f t="shared" si="2"/>
        <v>0.1272229822</v>
      </c>
      <c r="H4231" s="2">
        <v>129.0</v>
      </c>
      <c r="I4231" s="3">
        <f t="shared" si="3"/>
        <v>0.1764705882</v>
      </c>
      <c r="J4231" s="2">
        <v>98.0</v>
      </c>
      <c r="K4231" s="3">
        <f t="shared" si="4"/>
        <v>0.1340629275</v>
      </c>
      <c r="L4231" s="2">
        <v>74.0</v>
      </c>
      <c r="M4231" s="3">
        <f t="shared" si="5"/>
        <v>0.5736434109</v>
      </c>
      <c r="N4231" s="2">
        <v>731900.0</v>
      </c>
      <c r="O4231" s="4">
        <f t="shared" si="6"/>
        <v>5673.643411</v>
      </c>
      <c r="P4231" s="2">
        <v>0.0</v>
      </c>
      <c r="Q4231" s="3">
        <f t="shared" si="7"/>
        <v>0</v>
      </c>
      <c r="R4231" s="2">
        <v>4.0</v>
      </c>
      <c r="S4231" s="5">
        <f t="shared" si="8"/>
        <v>0.06153846154</v>
      </c>
    </row>
    <row r="4232">
      <c r="A4232" s="2" t="s">
        <v>4236</v>
      </c>
      <c r="B4232" s="2">
        <v>196.0</v>
      </c>
      <c r="C4232" s="2">
        <v>2334.0</v>
      </c>
      <c r="D4232" s="2">
        <v>639.0</v>
      </c>
      <c r="E4232" s="3">
        <f t="shared" si="1"/>
        <v>0.2988774556</v>
      </c>
      <c r="F4232" s="2">
        <v>272.0</v>
      </c>
      <c r="G4232" s="3">
        <f t="shared" si="2"/>
        <v>0.1272217025</v>
      </c>
      <c r="H4232" s="2">
        <v>418.0</v>
      </c>
      <c r="I4232" s="3">
        <f t="shared" si="3"/>
        <v>0.1955098223</v>
      </c>
      <c r="J4232" s="2">
        <v>353.0</v>
      </c>
      <c r="K4232" s="3">
        <f t="shared" si="4"/>
        <v>0.1651075772</v>
      </c>
      <c r="L4232" s="2">
        <v>247.0</v>
      </c>
      <c r="M4232" s="3">
        <f t="shared" si="5"/>
        <v>0.5909090909</v>
      </c>
      <c r="N4232" s="2">
        <v>2321900.0</v>
      </c>
      <c r="O4232" s="4">
        <f t="shared" si="6"/>
        <v>5554.784689</v>
      </c>
      <c r="P4232" s="2">
        <v>1.0</v>
      </c>
      <c r="Q4232" s="3">
        <f t="shared" si="7"/>
        <v>0.005102040816</v>
      </c>
      <c r="R4232" s="2">
        <v>196.0</v>
      </c>
      <c r="S4232" s="5">
        <f t="shared" si="8"/>
        <v>1</v>
      </c>
    </row>
    <row r="4233">
      <c r="A4233" s="2" t="s">
        <v>4237</v>
      </c>
      <c r="B4233" s="2">
        <v>431.0</v>
      </c>
      <c r="C4233" s="2">
        <v>5045.0</v>
      </c>
      <c r="D4233" s="2">
        <v>1768.0</v>
      </c>
      <c r="E4233" s="3">
        <f t="shared" si="1"/>
        <v>0.3831816212</v>
      </c>
      <c r="F4233" s="2">
        <v>587.0</v>
      </c>
      <c r="G4233" s="3">
        <f t="shared" si="2"/>
        <v>0.1272214998</v>
      </c>
      <c r="H4233" s="2">
        <v>964.0</v>
      </c>
      <c r="I4233" s="3">
        <f t="shared" si="3"/>
        <v>0.2089293455</v>
      </c>
      <c r="J4233" s="2">
        <v>759.0</v>
      </c>
      <c r="K4233" s="3">
        <f t="shared" si="4"/>
        <v>0.1644993498</v>
      </c>
      <c r="L4233" s="2">
        <v>562.0</v>
      </c>
      <c r="M4233" s="3">
        <f t="shared" si="5"/>
        <v>0.5829875519</v>
      </c>
      <c r="N4233" s="2">
        <v>5087100.0</v>
      </c>
      <c r="O4233" s="4">
        <f t="shared" si="6"/>
        <v>5277.074689</v>
      </c>
      <c r="P4233" s="2">
        <v>1.0</v>
      </c>
      <c r="Q4233" s="3">
        <f t="shared" si="7"/>
        <v>0.002320185615</v>
      </c>
      <c r="R4233" s="2">
        <v>431.0</v>
      </c>
      <c r="S4233" s="5">
        <f t="shared" si="8"/>
        <v>1</v>
      </c>
    </row>
    <row r="4234">
      <c r="A4234" s="2" t="s">
        <v>4238</v>
      </c>
      <c r="B4234" s="2">
        <v>1176.0</v>
      </c>
      <c r="C4234" s="2">
        <v>13556.0</v>
      </c>
      <c r="D4234" s="2">
        <v>3631.0</v>
      </c>
      <c r="E4234" s="3">
        <f t="shared" si="1"/>
        <v>0.2932956381</v>
      </c>
      <c r="F4234" s="2">
        <v>1575.0</v>
      </c>
      <c r="G4234" s="3">
        <f t="shared" si="2"/>
        <v>0.1272213247</v>
      </c>
      <c r="H4234" s="2">
        <v>2491.0</v>
      </c>
      <c r="I4234" s="3">
        <f t="shared" si="3"/>
        <v>0.2012116317</v>
      </c>
      <c r="J4234" s="2">
        <v>2602.0</v>
      </c>
      <c r="K4234" s="3">
        <f t="shared" si="4"/>
        <v>0.210177706</v>
      </c>
      <c r="L4234" s="2">
        <v>1460.0</v>
      </c>
      <c r="M4234" s="3">
        <f t="shared" si="5"/>
        <v>0.586109996</v>
      </c>
      <c r="N4234" s="2">
        <v>1.48254E7</v>
      </c>
      <c r="O4234" s="4">
        <f t="shared" si="6"/>
        <v>5951.585709</v>
      </c>
      <c r="P4234" s="2">
        <v>3.0</v>
      </c>
      <c r="Q4234" s="3">
        <f t="shared" si="7"/>
        <v>0.002551020408</v>
      </c>
      <c r="R4234" s="2">
        <v>1.0</v>
      </c>
      <c r="S4234" s="5">
        <f t="shared" si="8"/>
        <v>0.0008503401361</v>
      </c>
    </row>
    <row r="4235">
      <c r="A4235" s="2" t="s">
        <v>4239</v>
      </c>
      <c r="B4235" s="2">
        <v>153.0</v>
      </c>
      <c r="C4235" s="2">
        <v>1796.0</v>
      </c>
      <c r="D4235" s="2">
        <v>711.0</v>
      </c>
      <c r="E4235" s="3">
        <f t="shared" si="1"/>
        <v>0.4327449787</v>
      </c>
      <c r="F4235" s="2">
        <v>209.0</v>
      </c>
      <c r="G4235" s="3">
        <f t="shared" si="2"/>
        <v>0.1272063299</v>
      </c>
      <c r="H4235" s="2">
        <v>353.0</v>
      </c>
      <c r="I4235" s="3">
        <f t="shared" si="3"/>
        <v>0.2148508825</v>
      </c>
      <c r="J4235" s="2">
        <v>294.0</v>
      </c>
      <c r="K4235" s="3">
        <f t="shared" si="4"/>
        <v>0.1789409617</v>
      </c>
      <c r="L4235" s="2">
        <v>208.0</v>
      </c>
      <c r="M4235" s="3">
        <f t="shared" si="5"/>
        <v>0.5892351275</v>
      </c>
      <c r="N4235" s="2">
        <v>1912000.0</v>
      </c>
      <c r="O4235" s="4">
        <f t="shared" si="6"/>
        <v>5416.430595</v>
      </c>
      <c r="P4235" s="2">
        <v>0.0</v>
      </c>
      <c r="Q4235" s="3">
        <f t="shared" si="7"/>
        <v>0</v>
      </c>
      <c r="R4235" s="2">
        <v>153.0</v>
      </c>
      <c r="S4235" s="5">
        <f t="shared" si="8"/>
        <v>1</v>
      </c>
    </row>
    <row r="4236">
      <c r="A4236" s="2" t="s">
        <v>4240</v>
      </c>
      <c r="B4236" s="2">
        <v>1087.0</v>
      </c>
      <c r="C4236" s="2">
        <v>12683.0</v>
      </c>
      <c r="D4236" s="2">
        <v>4036.0</v>
      </c>
      <c r="E4236" s="3">
        <f t="shared" si="1"/>
        <v>0.3480510521</v>
      </c>
      <c r="F4236" s="2">
        <v>1475.0</v>
      </c>
      <c r="G4236" s="3">
        <f t="shared" si="2"/>
        <v>0.1271990341</v>
      </c>
      <c r="H4236" s="2">
        <v>2270.0</v>
      </c>
      <c r="I4236" s="3">
        <f t="shared" si="3"/>
        <v>0.1957571576</v>
      </c>
      <c r="J4236" s="2">
        <v>1939.0</v>
      </c>
      <c r="K4236" s="3">
        <f t="shared" si="4"/>
        <v>0.167212832</v>
      </c>
      <c r="L4236" s="2">
        <v>1340.0</v>
      </c>
      <c r="M4236" s="3">
        <f t="shared" si="5"/>
        <v>0.59030837</v>
      </c>
      <c r="N4236" s="2">
        <v>1.31711E7</v>
      </c>
      <c r="O4236" s="4">
        <f t="shared" si="6"/>
        <v>5802.246696</v>
      </c>
      <c r="P4236" s="2">
        <v>3.0</v>
      </c>
      <c r="Q4236" s="3">
        <f t="shared" si="7"/>
        <v>0.002759889604</v>
      </c>
      <c r="R4236" s="2">
        <v>1087.0</v>
      </c>
      <c r="S4236" s="5">
        <f t="shared" si="8"/>
        <v>1</v>
      </c>
    </row>
    <row r="4237">
      <c r="A4237" s="2" t="s">
        <v>4241</v>
      </c>
      <c r="B4237" s="2">
        <v>610.0</v>
      </c>
      <c r="C4237" s="2">
        <v>7159.0</v>
      </c>
      <c r="D4237" s="2">
        <v>2497.0</v>
      </c>
      <c r="E4237" s="3">
        <f t="shared" si="1"/>
        <v>0.3812795847</v>
      </c>
      <c r="F4237" s="2">
        <v>833.0</v>
      </c>
      <c r="G4237" s="3">
        <f t="shared" si="2"/>
        <v>0.1271949916</v>
      </c>
      <c r="H4237" s="2">
        <v>1402.0</v>
      </c>
      <c r="I4237" s="3">
        <f t="shared" si="3"/>
        <v>0.2140784853</v>
      </c>
      <c r="J4237" s="2">
        <v>1143.0</v>
      </c>
      <c r="K4237" s="3">
        <f t="shared" si="4"/>
        <v>0.1745304627</v>
      </c>
      <c r="L4237" s="2">
        <v>826.0</v>
      </c>
      <c r="M4237" s="3">
        <f t="shared" si="5"/>
        <v>0.5891583452</v>
      </c>
      <c r="N4237" s="2">
        <v>7939600.0</v>
      </c>
      <c r="O4237" s="4">
        <f t="shared" si="6"/>
        <v>5663.052782</v>
      </c>
      <c r="P4237" s="2">
        <v>0.0</v>
      </c>
      <c r="Q4237" s="3">
        <f t="shared" si="7"/>
        <v>0</v>
      </c>
      <c r="R4237" s="2">
        <v>234.0</v>
      </c>
      <c r="S4237" s="5">
        <f t="shared" si="8"/>
        <v>0.3836065574</v>
      </c>
    </row>
    <row r="4238">
      <c r="A4238" s="2" t="s">
        <v>4242</v>
      </c>
      <c r="B4238" s="2">
        <v>984.0</v>
      </c>
      <c r="C4238" s="2">
        <v>11464.0</v>
      </c>
      <c r="D4238" s="2">
        <v>3585.0</v>
      </c>
      <c r="E4238" s="3">
        <f t="shared" si="1"/>
        <v>0.3420801527</v>
      </c>
      <c r="F4238" s="2">
        <v>1333.0</v>
      </c>
      <c r="G4238" s="3">
        <f t="shared" si="2"/>
        <v>0.1271946565</v>
      </c>
      <c r="H4238" s="2">
        <v>2153.0</v>
      </c>
      <c r="I4238" s="3">
        <f t="shared" si="3"/>
        <v>0.2054389313</v>
      </c>
      <c r="J4238" s="2">
        <v>1579.0</v>
      </c>
      <c r="K4238" s="3">
        <f t="shared" si="4"/>
        <v>0.1506679389</v>
      </c>
      <c r="L4238" s="2">
        <v>1289.0</v>
      </c>
      <c r="M4238" s="3">
        <f t="shared" si="5"/>
        <v>0.5986994891</v>
      </c>
      <c r="N4238" s="2">
        <v>1.28309E7</v>
      </c>
      <c r="O4238" s="4">
        <f t="shared" si="6"/>
        <v>5959.544821</v>
      </c>
      <c r="P4238" s="2">
        <v>2.0</v>
      </c>
      <c r="Q4238" s="3">
        <f t="shared" si="7"/>
        <v>0.002032520325</v>
      </c>
      <c r="R4238" s="2">
        <v>796.0</v>
      </c>
      <c r="S4238" s="5">
        <f t="shared" si="8"/>
        <v>0.8089430894</v>
      </c>
    </row>
    <row r="4239">
      <c r="A4239" s="2" t="s">
        <v>4243</v>
      </c>
      <c r="B4239" s="2">
        <v>1360.0</v>
      </c>
      <c r="C4239" s="2">
        <v>15771.0</v>
      </c>
      <c r="D4239" s="2">
        <v>4977.0</v>
      </c>
      <c r="E4239" s="3">
        <f t="shared" si="1"/>
        <v>0.3453611824</v>
      </c>
      <c r="F4239" s="2">
        <v>1833.0</v>
      </c>
      <c r="G4239" s="3">
        <f t="shared" si="2"/>
        <v>0.1271945042</v>
      </c>
      <c r="H4239" s="2">
        <v>3286.0</v>
      </c>
      <c r="I4239" s="3">
        <f t="shared" si="3"/>
        <v>0.2280202623</v>
      </c>
      <c r="J4239" s="2">
        <v>2684.0</v>
      </c>
      <c r="K4239" s="3">
        <f t="shared" si="4"/>
        <v>0.1862466172</v>
      </c>
      <c r="L4239" s="2">
        <v>1990.0</v>
      </c>
      <c r="M4239" s="3">
        <f t="shared" si="5"/>
        <v>0.6055995131</v>
      </c>
      <c r="N4239" s="2">
        <v>1.8465E7</v>
      </c>
      <c r="O4239" s="4">
        <f t="shared" si="6"/>
        <v>5619.293974</v>
      </c>
      <c r="P4239" s="2">
        <v>3.0</v>
      </c>
      <c r="Q4239" s="3">
        <f t="shared" si="7"/>
        <v>0.002205882353</v>
      </c>
      <c r="R4239" s="2">
        <v>1360.0</v>
      </c>
      <c r="S4239" s="5">
        <f t="shared" si="8"/>
        <v>1</v>
      </c>
    </row>
    <row r="4240">
      <c r="A4240" s="2" t="s">
        <v>4244</v>
      </c>
      <c r="B4240" s="2">
        <v>22.0</v>
      </c>
      <c r="C4240" s="2">
        <v>250.0</v>
      </c>
      <c r="D4240" s="2">
        <v>48.0</v>
      </c>
      <c r="E4240" s="3">
        <f t="shared" si="1"/>
        <v>0.2105263158</v>
      </c>
      <c r="F4240" s="2">
        <v>29.0</v>
      </c>
      <c r="G4240" s="3">
        <f t="shared" si="2"/>
        <v>0.1271929825</v>
      </c>
      <c r="H4240" s="2">
        <v>38.0</v>
      </c>
      <c r="I4240" s="3">
        <f t="shared" si="3"/>
        <v>0.1666666667</v>
      </c>
      <c r="J4240" s="2">
        <v>24.0</v>
      </c>
      <c r="K4240" s="3">
        <f t="shared" si="4"/>
        <v>0.1052631579</v>
      </c>
      <c r="L4240" s="2">
        <v>26.0</v>
      </c>
      <c r="M4240" s="3">
        <f t="shared" si="5"/>
        <v>0.6842105263</v>
      </c>
      <c r="N4240" s="2">
        <v>190700.0</v>
      </c>
      <c r="O4240" s="4">
        <f t="shared" si="6"/>
        <v>5018.421053</v>
      </c>
      <c r="P4240" s="2">
        <v>0.0</v>
      </c>
      <c r="Q4240" s="3">
        <f t="shared" si="7"/>
        <v>0</v>
      </c>
      <c r="R4240" s="2">
        <v>22.0</v>
      </c>
      <c r="S4240" s="5">
        <f t="shared" si="8"/>
        <v>1</v>
      </c>
    </row>
    <row r="4241">
      <c r="A4241" s="2" t="s">
        <v>4245</v>
      </c>
      <c r="B4241" s="2">
        <v>374.0</v>
      </c>
      <c r="C4241" s="2">
        <v>4368.0</v>
      </c>
      <c r="D4241" s="2">
        <v>1250.0</v>
      </c>
      <c r="E4241" s="3">
        <f t="shared" si="1"/>
        <v>0.3129694542</v>
      </c>
      <c r="F4241" s="2">
        <v>508.0</v>
      </c>
      <c r="G4241" s="3">
        <f t="shared" si="2"/>
        <v>0.1271907862</v>
      </c>
      <c r="H4241" s="2">
        <v>801.0</v>
      </c>
      <c r="I4241" s="3">
        <f t="shared" si="3"/>
        <v>0.2005508262</v>
      </c>
      <c r="J4241" s="2">
        <v>715.0</v>
      </c>
      <c r="K4241" s="3">
        <f t="shared" si="4"/>
        <v>0.1790185278</v>
      </c>
      <c r="L4241" s="2">
        <v>479.0</v>
      </c>
      <c r="M4241" s="3">
        <f t="shared" si="5"/>
        <v>0.5980024969</v>
      </c>
      <c r="N4241" s="2">
        <v>5048200.0</v>
      </c>
      <c r="O4241" s="4">
        <f t="shared" si="6"/>
        <v>6302.372035</v>
      </c>
      <c r="P4241" s="2">
        <v>0.0</v>
      </c>
      <c r="Q4241" s="3">
        <f t="shared" si="7"/>
        <v>0</v>
      </c>
      <c r="R4241" s="2">
        <v>374.0</v>
      </c>
      <c r="S4241" s="5">
        <f t="shared" si="8"/>
        <v>1</v>
      </c>
    </row>
    <row r="4242">
      <c r="A4242" s="2" t="s">
        <v>4246</v>
      </c>
      <c r="B4242" s="2">
        <v>325.0</v>
      </c>
      <c r="C4242" s="2">
        <v>3808.0</v>
      </c>
      <c r="D4242" s="2">
        <v>1203.0</v>
      </c>
      <c r="E4242" s="3">
        <f t="shared" si="1"/>
        <v>0.3453919035</v>
      </c>
      <c r="F4242" s="2">
        <v>443.0</v>
      </c>
      <c r="G4242" s="3">
        <f t="shared" si="2"/>
        <v>0.1271892047</v>
      </c>
      <c r="H4242" s="2">
        <v>727.0</v>
      </c>
      <c r="I4242" s="3">
        <f t="shared" si="3"/>
        <v>0.208728108</v>
      </c>
      <c r="J4242" s="2">
        <v>556.0</v>
      </c>
      <c r="K4242" s="3">
        <f t="shared" si="4"/>
        <v>0.1596325007</v>
      </c>
      <c r="L4242" s="2">
        <v>420.0</v>
      </c>
      <c r="M4242" s="3">
        <f t="shared" si="5"/>
        <v>0.5777166437</v>
      </c>
      <c r="N4242" s="2">
        <v>3937500.0</v>
      </c>
      <c r="O4242" s="4">
        <f t="shared" si="6"/>
        <v>5416.093535</v>
      </c>
      <c r="P4242" s="2">
        <v>0.0</v>
      </c>
      <c r="Q4242" s="3">
        <f t="shared" si="7"/>
        <v>0</v>
      </c>
      <c r="R4242" s="2">
        <v>325.0</v>
      </c>
      <c r="S4242" s="5">
        <f t="shared" si="8"/>
        <v>1</v>
      </c>
    </row>
    <row r="4243">
      <c r="A4243" s="2" t="s">
        <v>4247</v>
      </c>
      <c r="B4243" s="2">
        <v>674.0</v>
      </c>
      <c r="C4243" s="2">
        <v>7931.0</v>
      </c>
      <c r="D4243" s="2">
        <v>2413.0</v>
      </c>
      <c r="E4243" s="3">
        <f t="shared" si="1"/>
        <v>0.3325065454</v>
      </c>
      <c r="F4243" s="2">
        <v>923.0</v>
      </c>
      <c r="G4243" s="3">
        <f t="shared" si="2"/>
        <v>0.1271875431</v>
      </c>
      <c r="H4243" s="2">
        <v>1466.0</v>
      </c>
      <c r="I4243" s="3">
        <f t="shared" si="3"/>
        <v>0.2020118506</v>
      </c>
      <c r="J4243" s="2">
        <v>1087.0</v>
      </c>
      <c r="K4243" s="3">
        <f t="shared" si="4"/>
        <v>0.1497864131</v>
      </c>
      <c r="L4243" s="2">
        <v>888.0</v>
      </c>
      <c r="M4243" s="3">
        <f t="shared" si="5"/>
        <v>0.6057298772</v>
      </c>
      <c r="N4243" s="2">
        <v>8106100.0</v>
      </c>
      <c r="O4243" s="4">
        <f t="shared" si="6"/>
        <v>5529.399727</v>
      </c>
      <c r="P4243" s="2">
        <v>3.0</v>
      </c>
      <c r="Q4243" s="3">
        <f t="shared" si="7"/>
        <v>0.004451038576</v>
      </c>
      <c r="R4243" s="2">
        <v>674.0</v>
      </c>
      <c r="S4243" s="5">
        <f t="shared" si="8"/>
        <v>1</v>
      </c>
    </row>
    <row r="4244">
      <c r="A4244" s="2" t="s">
        <v>4248</v>
      </c>
      <c r="B4244" s="2">
        <v>277.0</v>
      </c>
      <c r="C4244" s="2">
        <v>3249.0</v>
      </c>
      <c r="D4244" s="2">
        <v>1110.0</v>
      </c>
      <c r="E4244" s="3">
        <f t="shared" si="1"/>
        <v>0.3734858681</v>
      </c>
      <c r="F4244" s="2">
        <v>378.0</v>
      </c>
      <c r="G4244" s="3">
        <f t="shared" si="2"/>
        <v>0.1271870794</v>
      </c>
      <c r="H4244" s="2">
        <v>613.0</v>
      </c>
      <c r="I4244" s="3">
        <f t="shared" si="3"/>
        <v>0.2062584118</v>
      </c>
      <c r="J4244" s="2">
        <v>491.0</v>
      </c>
      <c r="K4244" s="3">
        <f t="shared" si="4"/>
        <v>0.1652086137</v>
      </c>
      <c r="L4244" s="2">
        <v>353.0</v>
      </c>
      <c r="M4244" s="3">
        <f t="shared" si="5"/>
        <v>0.5758564437</v>
      </c>
      <c r="N4244" s="2">
        <v>3505900.0</v>
      </c>
      <c r="O4244" s="4">
        <f t="shared" si="6"/>
        <v>5719.249592</v>
      </c>
      <c r="P4244" s="2">
        <v>1.0</v>
      </c>
      <c r="Q4244" s="3">
        <f t="shared" si="7"/>
        <v>0.003610108303</v>
      </c>
      <c r="R4244" s="2">
        <v>277.0</v>
      </c>
      <c r="S4244" s="5">
        <f t="shared" si="8"/>
        <v>1</v>
      </c>
    </row>
    <row r="4245">
      <c r="A4245" s="2" t="s">
        <v>4249</v>
      </c>
      <c r="B4245" s="2">
        <v>490.0</v>
      </c>
      <c r="C4245" s="2">
        <v>5813.0</v>
      </c>
      <c r="D4245" s="2">
        <v>1738.0</v>
      </c>
      <c r="E4245" s="3">
        <f t="shared" si="1"/>
        <v>0.3265076085</v>
      </c>
      <c r="F4245" s="2">
        <v>677.0</v>
      </c>
      <c r="G4245" s="3">
        <f t="shared" si="2"/>
        <v>0.1271839188</v>
      </c>
      <c r="H4245" s="2">
        <v>1084.0</v>
      </c>
      <c r="I4245" s="3">
        <f t="shared" si="3"/>
        <v>0.2036445613</v>
      </c>
      <c r="J4245" s="2">
        <v>721.0</v>
      </c>
      <c r="K4245" s="3">
        <f t="shared" si="4"/>
        <v>0.1354499342</v>
      </c>
      <c r="L4245" s="2">
        <v>661.0</v>
      </c>
      <c r="M4245" s="3">
        <f t="shared" si="5"/>
        <v>0.6097785978</v>
      </c>
      <c r="N4245" s="2">
        <v>5710600.0</v>
      </c>
      <c r="O4245" s="4">
        <f t="shared" si="6"/>
        <v>5268.081181</v>
      </c>
      <c r="P4245" s="2">
        <v>0.0</v>
      </c>
      <c r="Q4245" s="3">
        <f t="shared" si="7"/>
        <v>0</v>
      </c>
      <c r="R4245" s="2">
        <v>490.0</v>
      </c>
      <c r="S4245" s="5">
        <f t="shared" si="8"/>
        <v>1</v>
      </c>
    </row>
    <row r="4246">
      <c r="A4246" s="2" t="s">
        <v>4250</v>
      </c>
      <c r="B4246" s="2">
        <v>112.0</v>
      </c>
      <c r="C4246" s="2">
        <v>1315.0</v>
      </c>
      <c r="D4246" s="2">
        <v>407.0</v>
      </c>
      <c r="E4246" s="3">
        <f t="shared" si="1"/>
        <v>0.3383208645</v>
      </c>
      <c r="F4246" s="2">
        <v>153.0</v>
      </c>
      <c r="G4246" s="3">
        <f t="shared" si="2"/>
        <v>0.1271820449</v>
      </c>
      <c r="H4246" s="2">
        <v>254.0</v>
      </c>
      <c r="I4246" s="3">
        <f t="shared" si="3"/>
        <v>0.2111388196</v>
      </c>
      <c r="J4246" s="2">
        <v>224.0</v>
      </c>
      <c r="K4246" s="3">
        <f t="shared" si="4"/>
        <v>0.1862011638</v>
      </c>
      <c r="L4246" s="2">
        <v>150.0</v>
      </c>
      <c r="M4246" s="3">
        <f t="shared" si="5"/>
        <v>0.5905511811</v>
      </c>
      <c r="N4246" s="2">
        <v>1428300.0</v>
      </c>
      <c r="O4246" s="4">
        <f t="shared" si="6"/>
        <v>5623.228346</v>
      </c>
      <c r="P4246" s="2">
        <v>1.0</v>
      </c>
      <c r="Q4246" s="3">
        <f t="shared" si="7"/>
        <v>0.008928571429</v>
      </c>
      <c r="R4246" s="2">
        <v>112.0</v>
      </c>
      <c r="S4246" s="5">
        <f t="shared" si="8"/>
        <v>1</v>
      </c>
    </row>
    <row r="4247">
      <c r="A4247" s="2" t="s">
        <v>4251</v>
      </c>
      <c r="B4247" s="2">
        <v>37.0</v>
      </c>
      <c r="C4247" s="2">
        <v>438.0</v>
      </c>
      <c r="D4247" s="2">
        <v>132.0</v>
      </c>
      <c r="E4247" s="3">
        <f t="shared" si="1"/>
        <v>0.3291770574</v>
      </c>
      <c r="F4247" s="2">
        <v>51.0</v>
      </c>
      <c r="G4247" s="3">
        <f t="shared" si="2"/>
        <v>0.1271820449</v>
      </c>
      <c r="H4247" s="2">
        <v>94.0</v>
      </c>
      <c r="I4247" s="3">
        <f t="shared" si="3"/>
        <v>0.2344139651</v>
      </c>
      <c r="J4247" s="2">
        <v>74.0</v>
      </c>
      <c r="K4247" s="3">
        <f t="shared" si="4"/>
        <v>0.1845386534</v>
      </c>
      <c r="L4247" s="2">
        <v>55.0</v>
      </c>
      <c r="M4247" s="3">
        <f t="shared" si="5"/>
        <v>0.585106383</v>
      </c>
      <c r="N4247" s="2">
        <v>577000.0</v>
      </c>
      <c r="O4247" s="4">
        <f t="shared" si="6"/>
        <v>6138.297872</v>
      </c>
      <c r="P4247" s="2">
        <v>0.0</v>
      </c>
      <c r="Q4247" s="3">
        <f t="shared" si="7"/>
        <v>0</v>
      </c>
      <c r="R4247" s="2">
        <v>37.0</v>
      </c>
      <c r="S4247" s="5">
        <f t="shared" si="8"/>
        <v>1</v>
      </c>
    </row>
    <row r="4248">
      <c r="A4248" s="2" t="s">
        <v>4252</v>
      </c>
      <c r="B4248" s="2">
        <v>502.0</v>
      </c>
      <c r="C4248" s="2">
        <v>6006.0</v>
      </c>
      <c r="D4248" s="2">
        <v>1663.0</v>
      </c>
      <c r="E4248" s="3">
        <f t="shared" si="1"/>
        <v>0.3021438953</v>
      </c>
      <c r="F4248" s="2">
        <v>700.0</v>
      </c>
      <c r="G4248" s="3">
        <f t="shared" si="2"/>
        <v>0.1271802326</v>
      </c>
      <c r="H4248" s="2">
        <v>1078.0</v>
      </c>
      <c r="I4248" s="3">
        <f t="shared" si="3"/>
        <v>0.1958575581</v>
      </c>
      <c r="J4248" s="2">
        <v>744.0</v>
      </c>
      <c r="K4248" s="3">
        <f t="shared" si="4"/>
        <v>0.1351744186</v>
      </c>
      <c r="L4248" s="2">
        <v>668.0</v>
      </c>
      <c r="M4248" s="3">
        <f t="shared" si="5"/>
        <v>0.6196660482</v>
      </c>
      <c r="N4248" s="2">
        <v>6014200.0</v>
      </c>
      <c r="O4248" s="4">
        <f t="shared" si="6"/>
        <v>5579.03525</v>
      </c>
      <c r="P4248" s="2">
        <v>1.0</v>
      </c>
      <c r="Q4248" s="3">
        <f t="shared" si="7"/>
        <v>0.001992031873</v>
      </c>
      <c r="R4248" s="2">
        <v>502.0</v>
      </c>
      <c r="S4248" s="5">
        <f t="shared" si="8"/>
        <v>1</v>
      </c>
    </row>
    <row r="4249">
      <c r="A4249" s="2" t="s">
        <v>4253</v>
      </c>
      <c r="B4249" s="2">
        <v>393.0</v>
      </c>
      <c r="C4249" s="2">
        <v>4647.0</v>
      </c>
      <c r="D4249" s="2">
        <v>1722.0</v>
      </c>
      <c r="E4249" s="3">
        <f t="shared" si="1"/>
        <v>0.4047954866</v>
      </c>
      <c r="F4249" s="2">
        <v>541.0</v>
      </c>
      <c r="G4249" s="3">
        <f t="shared" si="2"/>
        <v>0.1271744241</v>
      </c>
      <c r="H4249" s="2">
        <v>901.0</v>
      </c>
      <c r="I4249" s="3">
        <f t="shared" si="3"/>
        <v>0.2118006582</v>
      </c>
      <c r="J4249" s="2">
        <v>644.0</v>
      </c>
      <c r="K4249" s="3">
        <f t="shared" si="4"/>
        <v>0.1513869299</v>
      </c>
      <c r="L4249" s="2">
        <v>549.0</v>
      </c>
      <c r="M4249" s="3">
        <f t="shared" si="5"/>
        <v>0.6093229745</v>
      </c>
      <c r="N4249" s="2">
        <v>5087100.0</v>
      </c>
      <c r="O4249" s="4">
        <f t="shared" si="6"/>
        <v>5646.059933</v>
      </c>
      <c r="P4249" s="2">
        <v>0.0</v>
      </c>
      <c r="Q4249" s="3">
        <f t="shared" si="7"/>
        <v>0</v>
      </c>
      <c r="R4249" s="2">
        <v>393.0</v>
      </c>
      <c r="S4249" s="5">
        <f t="shared" si="8"/>
        <v>1</v>
      </c>
    </row>
    <row r="4250">
      <c r="A4250" s="2" t="s">
        <v>4254</v>
      </c>
      <c r="B4250" s="2">
        <v>87.0</v>
      </c>
      <c r="C4250" s="2">
        <v>1007.0</v>
      </c>
      <c r="D4250" s="2">
        <v>339.0</v>
      </c>
      <c r="E4250" s="3">
        <f t="shared" si="1"/>
        <v>0.3684782609</v>
      </c>
      <c r="F4250" s="2">
        <v>117.0</v>
      </c>
      <c r="G4250" s="3">
        <f t="shared" si="2"/>
        <v>0.127173913</v>
      </c>
      <c r="H4250" s="2">
        <v>180.0</v>
      </c>
      <c r="I4250" s="3">
        <f t="shared" si="3"/>
        <v>0.1956521739</v>
      </c>
      <c r="J4250" s="2">
        <v>157.0</v>
      </c>
      <c r="K4250" s="3">
        <f t="shared" si="4"/>
        <v>0.1706521739</v>
      </c>
      <c r="L4250" s="2">
        <v>112.0</v>
      </c>
      <c r="M4250" s="3">
        <f t="shared" si="5"/>
        <v>0.6222222222</v>
      </c>
      <c r="N4250" s="2">
        <v>960500.0</v>
      </c>
      <c r="O4250" s="4">
        <f t="shared" si="6"/>
        <v>5336.111111</v>
      </c>
      <c r="P4250" s="2">
        <v>0.0</v>
      </c>
      <c r="Q4250" s="3">
        <f t="shared" si="7"/>
        <v>0</v>
      </c>
      <c r="R4250" s="2">
        <v>0.0</v>
      </c>
      <c r="S4250" s="5">
        <f t="shared" si="8"/>
        <v>0</v>
      </c>
    </row>
    <row r="4251">
      <c r="A4251" s="2" t="s">
        <v>4255</v>
      </c>
      <c r="B4251" s="2">
        <v>451.0</v>
      </c>
      <c r="C4251" s="2">
        <v>5240.0</v>
      </c>
      <c r="D4251" s="2">
        <v>1536.0</v>
      </c>
      <c r="E4251" s="3">
        <f t="shared" si="1"/>
        <v>0.3207350177</v>
      </c>
      <c r="F4251" s="2">
        <v>609.0</v>
      </c>
      <c r="G4251" s="3">
        <f t="shared" si="2"/>
        <v>0.1271664231</v>
      </c>
      <c r="H4251" s="2">
        <v>984.0</v>
      </c>
      <c r="I4251" s="3">
        <f t="shared" si="3"/>
        <v>0.2054708707</v>
      </c>
      <c r="J4251" s="2">
        <v>989.0</v>
      </c>
      <c r="K4251" s="3">
        <f t="shared" si="4"/>
        <v>0.20651493</v>
      </c>
      <c r="L4251" s="2">
        <v>565.0</v>
      </c>
      <c r="M4251" s="3">
        <f t="shared" si="5"/>
        <v>0.5741869919</v>
      </c>
      <c r="N4251" s="2">
        <v>5862400.0</v>
      </c>
      <c r="O4251" s="4">
        <f t="shared" si="6"/>
        <v>5957.723577</v>
      </c>
      <c r="P4251" s="2">
        <v>0.0</v>
      </c>
      <c r="Q4251" s="3">
        <f t="shared" si="7"/>
        <v>0</v>
      </c>
      <c r="R4251" s="2">
        <v>1.0</v>
      </c>
      <c r="S4251" s="5">
        <f t="shared" si="8"/>
        <v>0.0022172949</v>
      </c>
    </row>
    <row r="4252">
      <c r="A4252" s="2" t="s">
        <v>4256</v>
      </c>
      <c r="B4252" s="2">
        <v>6287.0</v>
      </c>
      <c r="C4252" s="2">
        <v>73302.0</v>
      </c>
      <c r="D4252" s="2">
        <v>21121.0</v>
      </c>
      <c r="E4252" s="3">
        <f t="shared" si="1"/>
        <v>0.3151682459</v>
      </c>
      <c r="F4252" s="2">
        <v>8522.0</v>
      </c>
      <c r="G4252" s="3">
        <f t="shared" si="2"/>
        <v>0.1271655599</v>
      </c>
      <c r="H4252" s="2">
        <v>13676.0</v>
      </c>
      <c r="I4252" s="3">
        <f t="shared" si="3"/>
        <v>0.2040737148</v>
      </c>
      <c r="J4252" s="2">
        <v>11482.0</v>
      </c>
      <c r="K4252" s="3">
        <f t="shared" si="4"/>
        <v>0.1713347758</v>
      </c>
      <c r="L4252" s="2">
        <v>8114.0</v>
      </c>
      <c r="M4252" s="3">
        <f t="shared" si="5"/>
        <v>0.5933021351</v>
      </c>
      <c r="N4252" s="2">
        <v>8.30035E7</v>
      </c>
      <c r="O4252" s="4">
        <f t="shared" si="6"/>
        <v>6069.281954</v>
      </c>
      <c r="P4252" s="2">
        <v>20.0</v>
      </c>
      <c r="Q4252" s="3">
        <f t="shared" si="7"/>
        <v>0.003181167488</v>
      </c>
      <c r="R4252" s="2">
        <v>6287.0</v>
      </c>
      <c r="S4252" s="5">
        <f t="shared" si="8"/>
        <v>1</v>
      </c>
    </row>
    <row r="4253">
      <c r="A4253" s="2" t="s">
        <v>4257</v>
      </c>
      <c r="B4253" s="2">
        <v>1741.0</v>
      </c>
      <c r="C4253" s="2">
        <v>20331.0</v>
      </c>
      <c r="D4253" s="2">
        <v>5634.0</v>
      </c>
      <c r="E4253" s="3">
        <f t="shared" si="1"/>
        <v>0.3030661646</v>
      </c>
      <c r="F4253" s="2">
        <v>2364.0</v>
      </c>
      <c r="G4253" s="3">
        <f t="shared" si="2"/>
        <v>0.1271651425</v>
      </c>
      <c r="H4253" s="2">
        <v>3777.0</v>
      </c>
      <c r="I4253" s="3">
        <f t="shared" si="3"/>
        <v>0.2031737493</v>
      </c>
      <c r="J4253" s="2">
        <v>3352.0</v>
      </c>
      <c r="K4253" s="3">
        <f t="shared" si="4"/>
        <v>0.1803119957</v>
      </c>
      <c r="L4253" s="2">
        <v>2283.0</v>
      </c>
      <c r="M4253" s="3">
        <f t="shared" si="5"/>
        <v>0.6044479746</v>
      </c>
      <c r="N4253" s="2">
        <v>2.23531E7</v>
      </c>
      <c r="O4253" s="4">
        <f t="shared" si="6"/>
        <v>5918.215515</v>
      </c>
      <c r="P4253" s="2">
        <v>8.0</v>
      </c>
      <c r="Q4253" s="3">
        <f t="shared" si="7"/>
        <v>0.00459506031</v>
      </c>
      <c r="R4253" s="2">
        <v>1741.0</v>
      </c>
      <c r="S4253" s="5">
        <f t="shared" si="8"/>
        <v>1</v>
      </c>
    </row>
    <row r="4254">
      <c r="A4254" s="2" t="s">
        <v>4258</v>
      </c>
      <c r="B4254" s="2">
        <v>843.0</v>
      </c>
      <c r="C4254" s="2">
        <v>9910.0</v>
      </c>
      <c r="D4254" s="2">
        <v>2960.0</v>
      </c>
      <c r="E4254" s="3">
        <f t="shared" si="1"/>
        <v>0.3264585861</v>
      </c>
      <c r="F4254" s="2">
        <v>1153.0</v>
      </c>
      <c r="G4254" s="3">
        <f t="shared" si="2"/>
        <v>0.1271644425</v>
      </c>
      <c r="H4254" s="2">
        <v>1745.0</v>
      </c>
      <c r="I4254" s="3">
        <f t="shared" si="3"/>
        <v>0.1924561597</v>
      </c>
      <c r="J4254" s="2">
        <v>1630.0</v>
      </c>
      <c r="K4254" s="3">
        <f t="shared" si="4"/>
        <v>0.1797728025</v>
      </c>
      <c r="L4254" s="2">
        <v>1025.0</v>
      </c>
      <c r="M4254" s="3">
        <f t="shared" si="5"/>
        <v>0.5873925501</v>
      </c>
      <c r="N4254" s="2">
        <v>1.00943E7</v>
      </c>
      <c r="O4254" s="4">
        <f t="shared" si="6"/>
        <v>5784.69914</v>
      </c>
      <c r="P4254" s="2">
        <v>1.0</v>
      </c>
      <c r="Q4254" s="3">
        <f t="shared" si="7"/>
        <v>0.00118623962</v>
      </c>
      <c r="R4254" s="2">
        <v>843.0</v>
      </c>
      <c r="S4254" s="5">
        <f t="shared" si="8"/>
        <v>1</v>
      </c>
    </row>
    <row r="4255">
      <c r="A4255" s="2" t="s">
        <v>4259</v>
      </c>
      <c r="B4255" s="2">
        <v>225.0</v>
      </c>
      <c r="C4255" s="2">
        <v>2655.0</v>
      </c>
      <c r="D4255" s="2">
        <v>822.0</v>
      </c>
      <c r="E4255" s="3">
        <f t="shared" si="1"/>
        <v>0.3382716049</v>
      </c>
      <c r="F4255" s="2">
        <v>309.0</v>
      </c>
      <c r="G4255" s="3">
        <f t="shared" si="2"/>
        <v>0.1271604938</v>
      </c>
      <c r="H4255" s="2">
        <v>527.0</v>
      </c>
      <c r="I4255" s="3">
        <f t="shared" si="3"/>
        <v>0.216872428</v>
      </c>
      <c r="J4255" s="2">
        <v>398.0</v>
      </c>
      <c r="K4255" s="3">
        <f t="shared" si="4"/>
        <v>0.1637860082</v>
      </c>
      <c r="L4255" s="2">
        <v>298.0</v>
      </c>
      <c r="M4255" s="3">
        <f t="shared" si="5"/>
        <v>0.5654648956</v>
      </c>
      <c r="N4255" s="2">
        <v>2892100.0</v>
      </c>
      <c r="O4255" s="4">
        <f t="shared" si="6"/>
        <v>5487.855787</v>
      </c>
      <c r="P4255" s="2">
        <v>0.0</v>
      </c>
      <c r="Q4255" s="3">
        <f t="shared" si="7"/>
        <v>0</v>
      </c>
      <c r="R4255" s="2">
        <v>225.0</v>
      </c>
      <c r="S4255" s="5">
        <f t="shared" si="8"/>
        <v>1</v>
      </c>
    </row>
    <row r="4256">
      <c r="A4256" s="2" t="s">
        <v>4260</v>
      </c>
      <c r="B4256" s="2">
        <v>247.0</v>
      </c>
      <c r="C4256" s="2">
        <v>2858.0</v>
      </c>
      <c r="D4256" s="2">
        <v>924.0</v>
      </c>
      <c r="E4256" s="3">
        <f t="shared" si="1"/>
        <v>0.3538873995</v>
      </c>
      <c r="F4256" s="2">
        <v>332.0</v>
      </c>
      <c r="G4256" s="3">
        <f t="shared" si="2"/>
        <v>0.127154347</v>
      </c>
      <c r="H4256" s="2">
        <v>557.0</v>
      </c>
      <c r="I4256" s="3">
        <f t="shared" si="3"/>
        <v>0.2133282267</v>
      </c>
      <c r="J4256" s="2">
        <v>504.0</v>
      </c>
      <c r="K4256" s="3">
        <f t="shared" si="4"/>
        <v>0.1930294906</v>
      </c>
      <c r="L4256" s="2">
        <v>352.0</v>
      </c>
      <c r="M4256" s="3">
        <f t="shared" si="5"/>
        <v>0.631956912</v>
      </c>
      <c r="N4256" s="2">
        <v>3100600.0</v>
      </c>
      <c r="O4256" s="4">
        <f t="shared" si="6"/>
        <v>5566.606822</v>
      </c>
      <c r="P4256" s="2">
        <v>1.0</v>
      </c>
      <c r="Q4256" s="3">
        <f t="shared" si="7"/>
        <v>0.004048582996</v>
      </c>
      <c r="R4256" s="2">
        <v>246.0</v>
      </c>
      <c r="S4256" s="5">
        <f t="shared" si="8"/>
        <v>0.995951417</v>
      </c>
    </row>
    <row r="4257">
      <c r="A4257" s="2" t="s">
        <v>4261</v>
      </c>
      <c r="B4257" s="2">
        <v>787.0</v>
      </c>
      <c r="C4257" s="2">
        <v>9226.0</v>
      </c>
      <c r="D4257" s="2">
        <v>3104.0</v>
      </c>
      <c r="E4257" s="3">
        <f t="shared" si="1"/>
        <v>0.367816092</v>
      </c>
      <c r="F4257" s="2">
        <v>1073.0</v>
      </c>
      <c r="G4257" s="3">
        <f t="shared" si="2"/>
        <v>0.1271477663</v>
      </c>
      <c r="H4257" s="2">
        <v>1953.0</v>
      </c>
      <c r="I4257" s="3">
        <f t="shared" si="3"/>
        <v>0.2314255244</v>
      </c>
      <c r="J4257" s="2">
        <v>1439.0</v>
      </c>
      <c r="K4257" s="3">
        <f t="shared" si="4"/>
        <v>0.1705178339</v>
      </c>
      <c r="L4257" s="2">
        <v>1155.0</v>
      </c>
      <c r="M4257" s="3">
        <f t="shared" si="5"/>
        <v>0.5913978495</v>
      </c>
      <c r="N4257" s="2">
        <v>1.02641E7</v>
      </c>
      <c r="O4257" s="4">
        <f t="shared" si="6"/>
        <v>5255.555556</v>
      </c>
      <c r="P4257" s="2">
        <v>1.0</v>
      </c>
      <c r="Q4257" s="3">
        <f t="shared" si="7"/>
        <v>0.00127064803</v>
      </c>
      <c r="R4257" s="2">
        <v>787.0</v>
      </c>
      <c r="S4257" s="5">
        <f t="shared" si="8"/>
        <v>1</v>
      </c>
    </row>
    <row r="4258">
      <c r="A4258" s="2" t="s">
        <v>4262</v>
      </c>
      <c r="B4258" s="2">
        <v>197.0</v>
      </c>
      <c r="C4258" s="2">
        <v>2352.0</v>
      </c>
      <c r="D4258" s="2">
        <v>816.0</v>
      </c>
      <c r="E4258" s="3">
        <f t="shared" si="1"/>
        <v>0.3786542923</v>
      </c>
      <c r="F4258" s="2">
        <v>274.0</v>
      </c>
      <c r="G4258" s="3">
        <f t="shared" si="2"/>
        <v>0.1271461717</v>
      </c>
      <c r="H4258" s="2">
        <v>456.0</v>
      </c>
      <c r="I4258" s="3">
        <f t="shared" si="3"/>
        <v>0.2116009281</v>
      </c>
      <c r="J4258" s="2">
        <v>353.0</v>
      </c>
      <c r="K4258" s="3">
        <f t="shared" si="4"/>
        <v>0.1638051044</v>
      </c>
      <c r="L4258" s="2">
        <v>285.0</v>
      </c>
      <c r="M4258" s="3">
        <f t="shared" si="5"/>
        <v>0.625</v>
      </c>
      <c r="N4258" s="2">
        <v>2428600.0</v>
      </c>
      <c r="O4258" s="4">
        <f t="shared" si="6"/>
        <v>5325.877193</v>
      </c>
      <c r="P4258" s="2">
        <v>1.0</v>
      </c>
      <c r="Q4258" s="3">
        <f t="shared" si="7"/>
        <v>0.005076142132</v>
      </c>
      <c r="R4258" s="2">
        <v>197.0</v>
      </c>
      <c r="S4258" s="5">
        <f t="shared" si="8"/>
        <v>1</v>
      </c>
    </row>
    <row r="4259">
      <c r="A4259" s="2" t="s">
        <v>4263</v>
      </c>
      <c r="B4259" s="2">
        <v>202.0</v>
      </c>
      <c r="C4259" s="2">
        <v>2365.0</v>
      </c>
      <c r="D4259" s="2">
        <v>758.0</v>
      </c>
      <c r="E4259" s="3">
        <f t="shared" si="1"/>
        <v>0.3504392048</v>
      </c>
      <c r="F4259" s="2">
        <v>275.0</v>
      </c>
      <c r="G4259" s="3">
        <f t="shared" si="2"/>
        <v>0.1271382339</v>
      </c>
      <c r="H4259" s="2">
        <v>416.0</v>
      </c>
      <c r="I4259" s="3">
        <f t="shared" si="3"/>
        <v>0.1923254739</v>
      </c>
      <c r="J4259" s="2">
        <v>329.0</v>
      </c>
      <c r="K4259" s="3">
        <f t="shared" si="4"/>
        <v>0.1521035599</v>
      </c>
      <c r="L4259" s="2">
        <v>261.0</v>
      </c>
      <c r="M4259" s="3">
        <f t="shared" si="5"/>
        <v>0.6274038462</v>
      </c>
      <c r="N4259" s="2">
        <v>2261200.0</v>
      </c>
      <c r="O4259" s="4">
        <f t="shared" si="6"/>
        <v>5435.576923</v>
      </c>
      <c r="P4259" s="2">
        <v>0.0</v>
      </c>
      <c r="Q4259" s="3">
        <f t="shared" si="7"/>
        <v>0</v>
      </c>
      <c r="R4259" s="2">
        <v>202.0</v>
      </c>
      <c r="S4259" s="5">
        <f t="shared" si="8"/>
        <v>1</v>
      </c>
    </row>
    <row r="4260">
      <c r="A4260" s="2" t="s">
        <v>4264</v>
      </c>
      <c r="B4260" s="2">
        <v>358.0</v>
      </c>
      <c r="C4260" s="2">
        <v>4110.0</v>
      </c>
      <c r="D4260" s="2">
        <v>878.0</v>
      </c>
      <c r="E4260" s="3">
        <f t="shared" si="1"/>
        <v>0.2340085288</v>
      </c>
      <c r="F4260" s="2">
        <v>477.0</v>
      </c>
      <c r="G4260" s="3">
        <f t="shared" si="2"/>
        <v>0.1271321962</v>
      </c>
      <c r="H4260" s="2">
        <v>710.0</v>
      </c>
      <c r="I4260" s="3">
        <f t="shared" si="3"/>
        <v>0.1892324094</v>
      </c>
      <c r="J4260" s="2">
        <v>694.0</v>
      </c>
      <c r="K4260" s="3">
        <f t="shared" si="4"/>
        <v>0.1849680171</v>
      </c>
      <c r="L4260" s="2">
        <v>419.0</v>
      </c>
      <c r="M4260" s="3">
        <f t="shared" si="5"/>
        <v>0.5901408451</v>
      </c>
      <c r="N4260" s="2">
        <v>4347800.0</v>
      </c>
      <c r="O4260" s="4">
        <f t="shared" si="6"/>
        <v>6123.661972</v>
      </c>
      <c r="P4260" s="2">
        <v>0.0</v>
      </c>
      <c r="Q4260" s="3">
        <f t="shared" si="7"/>
        <v>0</v>
      </c>
      <c r="R4260" s="2">
        <v>358.0</v>
      </c>
      <c r="S4260" s="5">
        <f t="shared" si="8"/>
        <v>1</v>
      </c>
    </row>
    <row r="4261">
      <c r="A4261" s="2" t="s">
        <v>4265</v>
      </c>
      <c r="B4261" s="2">
        <v>234.0</v>
      </c>
      <c r="C4261" s="2">
        <v>2704.0</v>
      </c>
      <c r="D4261" s="2">
        <v>887.0</v>
      </c>
      <c r="E4261" s="3">
        <f t="shared" si="1"/>
        <v>0.3591093117</v>
      </c>
      <c r="F4261" s="2">
        <v>314.0</v>
      </c>
      <c r="G4261" s="3">
        <f t="shared" si="2"/>
        <v>0.1271255061</v>
      </c>
      <c r="H4261" s="2">
        <v>514.0</v>
      </c>
      <c r="I4261" s="3">
        <f t="shared" si="3"/>
        <v>0.208097166</v>
      </c>
      <c r="J4261" s="2">
        <v>377.0</v>
      </c>
      <c r="K4261" s="3">
        <f t="shared" si="4"/>
        <v>0.1526315789</v>
      </c>
      <c r="L4261" s="2">
        <v>322.0</v>
      </c>
      <c r="M4261" s="3">
        <f t="shared" si="5"/>
        <v>0.626459144</v>
      </c>
      <c r="N4261" s="2">
        <v>2915900.0</v>
      </c>
      <c r="O4261" s="4">
        <f t="shared" si="6"/>
        <v>5672.957198</v>
      </c>
      <c r="P4261" s="2">
        <v>1.0</v>
      </c>
      <c r="Q4261" s="3">
        <f t="shared" si="7"/>
        <v>0.004273504274</v>
      </c>
      <c r="R4261" s="2">
        <v>234.0</v>
      </c>
      <c r="S4261" s="5">
        <f t="shared" si="8"/>
        <v>1</v>
      </c>
    </row>
    <row r="4262">
      <c r="A4262" s="2" t="s">
        <v>4266</v>
      </c>
      <c r="B4262" s="2">
        <v>1305.0</v>
      </c>
      <c r="C4262" s="2">
        <v>15457.0</v>
      </c>
      <c r="D4262" s="2">
        <v>4697.0</v>
      </c>
      <c r="E4262" s="3">
        <f t="shared" si="1"/>
        <v>0.3318965517</v>
      </c>
      <c r="F4262" s="2">
        <v>1799.0</v>
      </c>
      <c r="G4262" s="3">
        <f t="shared" si="2"/>
        <v>0.1271198417</v>
      </c>
      <c r="H4262" s="2">
        <v>3051.0</v>
      </c>
      <c r="I4262" s="3">
        <f t="shared" si="3"/>
        <v>0.2155879028</v>
      </c>
      <c r="J4262" s="2">
        <v>2434.0</v>
      </c>
      <c r="K4262" s="3">
        <f t="shared" si="4"/>
        <v>0.1719898248</v>
      </c>
      <c r="L4262" s="2">
        <v>1771.0</v>
      </c>
      <c r="M4262" s="3">
        <f t="shared" si="5"/>
        <v>0.5804654212</v>
      </c>
      <c r="N4262" s="2">
        <v>1.74145E7</v>
      </c>
      <c r="O4262" s="4">
        <f t="shared" si="6"/>
        <v>5707.800721</v>
      </c>
      <c r="P4262" s="2">
        <v>4.0</v>
      </c>
      <c r="Q4262" s="3">
        <f t="shared" si="7"/>
        <v>0.0030651341</v>
      </c>
      <c r="R4262" s="2">
        <v>1303.0</v>
      </c>
      <c r="S4262" s="5">
        <f t="shared" si="8"/>
        <v>0.998467433</v>
      </c>
    </row>
    <row r="4263">
      <c r="A4263" s="2" t="s">
        <v>4267</v>
      </c>
      <c r="B4263" s="2">
        <v>52.0</v>
      </c>
      <c r="C4263" s="2">
        <v>642.0</v>
      </c>
      <c r="D4263" s="2">
        <v>219.0</v>
      </c>
      <c r="E4263" s="3">
        <f t="shared" si="1"/>
        <v>0.3711864407</v>
      </c>
      <c r="F4263" s="2">
        <v>75.0</v>
      </c>
      <c r="G4263" s="3">
        <f t="shared" si="2"/>
        <v>0.1271186441</v>
      </c>
      <c r="H4263" s="2">
        <v>120.0</v>
      </c>
      <c r="I4263" s="3">
        <f t="shared" si="3"/>
        <v>0.2033898305</v>
      </c>
      <c r="J4263" s="2">
        <v>94.0</v>
      </c>
      <c r="K4263" s="3">
        <f t="shared" si="4"/>
        <v>0.1593220339</v>
      </c>
      <c r="L4263" s="2">
        <v>62.0</v>
      </c>
      <c r="M4263" s="3">
        <f t="shared" si="5"/>
        <v>0.5166666667</v>
      </c>
      <c r="N4263" s="2">
        <v>673900.0</v>
      </c>
      <c r="O4263" s="4">
        <f t="shared" si="6"/>
        <v>5615.833333</v>
      </c>
      <c r="P4263" s="2">
        <v>0.0</v>
      </c>
      <c r="Q4263" s="3">
        <f t="shared" si="7"/>
        <v>0</v>
      </c>
      <c r="R4263" s="2">
        <v>52.0</v>
      </c>
      <c r="S4263" s="5">
        <f t="shared" si="8"/>
        <v>1</v>
      </c>
    </row>
    <row r="4264">
      <c r="A4264" s="2" t="s">
        <v>4268</v>
      </c>
      <c r="B4264" s="2">
        <v>309.0</v>
      </c>
      <c r="C4264" s="2">
        <v>3676.0</v>
      </c>
      <c r="D4264" s="2">
        <v>913.0</v>
      </c>
      <c r="E4264" s="3">
        <f t="shared" si="1"/>
        <v>0.2711612712</v>
      </c>
      <c r="F4264" s="2">
        <v>428.0</v>
      </c>
      <c r="G4264" s="3">
        <f t="shared" si="2"/>
        <v>0.1271161271</v>
      </c>
      <c r="H4264" s="2">
        <v>600.0</v>
      </c>
      <c r="I4264" s="3">
        <f t="shared" si="3"/>
        <v>0.1782001782</v>
      </c>
      <c r="J4264" s="2">
        <v>629.0</v>
      </c>
      <c r="K4264" s="3">
        <f t="shared" si="4"/>
        <v>0.1868131868</v>
      </c>
      <c r="L4264" s="2">
        <v>345.0</v>
      </c>
      <c r="M4264" s="3">
        <f t="shared" si="5"/>
        <v>0.575</v>
      </c>
      <c r="N4264" s="2">
        <v>3620900.0</v>
      </c>
      <c r="O4264" s="4">
        <f t="shared" si="6"/>
        <v>6034.833333</v>
      </c>
      <c r="P4264" s="2">
        <v>2.0</v>
      </c>
      <c r="Q4264" s="3">
        <f t="shared" si="7"/>
        <v>0.006472491909</v>
      </c>
      <c r="R4264" s="2">
        <v>15.0</v>
      </c>
      <c r="S4264" s="5">
        <f t="shared" si="8"/>
        <v>0.04854368932</v>
      </c>
    </row>
    <row r="4265">
      <c r="A4265" s="2" t="s">
        <v>4269</v>
      </c>
      <c r="B4265" s="2">
        <v>906.0</v>
      </c>
      <c r="C4265" s="2">
        <v>10606.0</v>
      </c>
      <c r="D4265" s="2">
        <v>3576.0</v>
      </c>
      <c r="E4265" s="3">
        <f t="shared" si="1"/>
        <v>0.3686597938</v>
      </c>
      <c r="F4265" s="2">
        <v>1233.0</v>
      </c>
      <c r="G4265" s="3">
        <f t="shared" si="2"/>
        <v>0.1271134021</v>
      </c>
      <c r="H4265" s="2">
        <v>2003.0</v>
      </c>
      <c r="I4265" s="3">
        <f t="shared" si="3"/>
        <v>0.2064948454</v>
      </c>
      <c r="J4265" s="2">
        <v>1810.0</v>
      </c>
      <c r="K4265" s="3">
        <f t="shared" si="4"/>
        <v>0.1865979381</v>
      </c>
      <c r="L4265" s="2">
        <v>1184.0</v>
      </c>
      <c r="M4265" s="3">
        <f t="shared" si="5"/>
        <v>0.59111333</v>
      </c>
      <c r="N4265" s="2">
        <v>1.17988E7</v>
      </c>
      <c r="O4265" s="4">
        <f t="shared" si="6"/>
        <v>5890.564154</v>
      </c>
      <c r="P4265" s="2">
        <v>1.0</v>
      </c>
      <c r="Q4265" s="3">
        <f t="shared" si="7"/>
        <v>0.001103752759</v>
      </c>
      <c r="R4265" s="2">
        <v>897.0</v>
      </c>
      <c r="S4265" s="5">
        <f t="shared" si="8"/>
        <v>0.9900662252</v>
      </c>
    </row>
    <row r="4266">
      <c r="A4266" s="2" t="s">
        <v>4270</v>
      </c>
      <c r="B4266" s="2">
        <v>549.0</v>
      </c>
      <c r="C4266" s="2">
        <v>6371.0</v>
      </c>
      <c r="D4266" s="2">
        <v>1781.0</v>
      </c>
      <c r="E4266" s="3">
        <f t="shared" si="1"/>
        <v>0.3059086225</v>
      </c>
      <c r="F4266" s="2">
        <v>740.0</v>
      </c>
      <c r="G4266" s="3">
        <f t="shared" si="2"/>
        <v>0.1271040879</v>
      </c>
      <c r="H4266" s="2">
        <v>1128.0</v>
      </c>
      <c r="I4266" s="3">
        <f t="shared" si="3"/>
        <v>0.193747853</v>
      </c>
      <c r="J4266" s="2">
        <v>1094.0</v>
      </c>
      <c r="K4266" s="3">
        <f t="shared" si="4"/>
        <v>0.1879079354</v>
      </c>
      <c r="L4266" s="2">
        <v>677.0</v>
      </c>
      <c r="M4266" s="3">
        <f t="shared" si="5"/>
        <v>0.600177305</v>
      </c>
      <c r="N4266" s="2">
        <v>6593000.0</v>
      </c>
      <c r="O4266" s="4">
        <f t="shared" si="6"/>
        <v>5844.858156</v>
      </c>
      <c r="P4266" s="2">
        <v>0.0</v>
      </c>
      <c r="Q4266" s="3">
        <f t="shared" si="7"/>
        <v>0</v>
      </c>
      <c r="R4266" s="2">
        <v>549.0</v>
      </c>
      <c r="S4266" s="5">
        <f t="shared" si="8"/>
        <v>1</v>
      </c>
    </row>
    <row r="4267">
      <c r="A4267" s="2" t="s">
        <v>4271</v>
      </c>
      <c r="B4267" s="2">
        <v>600.0</v>
      </c>
      <c r="C4267" s="2">
        <v>7083.0</v>
      </c>
      <c r="D4267" s="2">
        <v>2170.0</v>
      </c>
      <c r="E4267" s="3">
        <f t="shared" si="1"/>
        <v>0.3347215795</v>
      </c>
      <c r="F4267" s="2">
        <v>824.0</v>
      </c>
      <c r="G4267" s="3">
        <f t="shared" si="2"/>
        <v>0.1271016505</v>
      </c>
      <c r="H4267" s="2">
        <v>1328.0</v>
      </c>
      <c r="I4267" s="3">
        <f t="shared" si="3"/>
        <v>0.2048434367</v>
      </c>
      <c r="J4267" s="2">
        <v>1164.0</v>
      </c>
      <c r="K4267" s="3">
        <f t="shared" si="4"/>
        <v>0.1795465062</v>
      </c>
      <c r="L4267" s="2">
        <v>797.0</v>
      </c>
      <c r="M4267" s="3">
        <f t="shared" si="5"/>
        <v>0.6001506024</v>
      </c>
      <c r="N4267" s="2">
        <v>7953800.0</v>
      </c>
      <c r="O4267" s="4">
        <f t="shared" si="6"/>
        <v>5989.307229</v>
      </c>
      <c r="P4267" s="2">
        <v>0.0</v>
      </c>
      <c r="Q4267" s="3">
        <f t="shared" si="7"/>
        <v>0</v>
      </c>
      <c r="R4267" s="2">
        <v>600.0</v>
      </c>
      <c r="S4267" s="5">
        <f t="shared" si="8"/>
        <v>1</v>
      </c>
    </row>
    <row r="4268">
      <c r="A4268" s="2" t="s">
        <v>4272</v>
      </c>
      <c r="B4268" s="2">
        <v>122.0</v>
      </c>
      <c r="C4268" s="2">
        <v>1491.0</v>
      </c>
      <c r="D4268" s="2">
        <v>351.0</v>
      </c>
      <c r="E4268" s="3">
        <f t="shared" si="1"/>
        <v>0.2563915267</v>
      </c>
      <c r="F4268" s="2">
        <v>174.0</v>
      </c>
      <c r="G4268" s="3">
        <f t="shared" si="2"/>
        <v>0.127100073</v>
      </c>
      <c r="H4268" s="2">
        <v>252.0</v>
      </c>
      <c r="I4268" s="3">
        <f t="shared" si="3"/>
        <v>0.1840759679</v>
      </c>
      <c r="J4268" s="2">
        <v>238.0</v>
      </c>
      <c r="K4268" s="3">
        <f t="shared" si="4"/>
        <v>0.1738495252</v>
      </c>
      <c r="L4268" s="2">
        <v>141.0</v>
      </c>
      <c r="M4268" s="3">
        <f t="shared" si="5"/>
        <v>0.5595238095</v>
      </c>
      <c r="N4268" s="2">
        <v>1466500.0</v>
      </c>
      <c r="O4268" s="4">
        <f t="shared" si="6"/>
        <v>5819.444444</v>
      </c>
      <c r="P4268" s="2">
        <v>1.0</v>
      </c>
      <c r="Q4268" s="3">
        <f t="shared" si="7"/>
        <v>0.008196721311</v>
      </c>
      <c r="R4268" s="2">
        <v>122.0</v>
      </c>
      <c r="S4268" s="5">
        <f t="shared" si="8"/>
        <v>1</v>
      </c>
    </row>
    <row r="4269">
      <c r="A4269" s="2" t="s">
        <v>4273</v>
      </c>
      <c r="B4269" s="2">
        <v>437.0</v>
      </c>
      <c r="C4269" s="2">
        <v>5205.0</v>
      </c>
      <c r="D4269" s="2">
        <v>1611.0</v>
      </c>
      <c r="E4269" s="3">
        <f t="shared" si="1"/>
        <v>0.3378775168</v>
      </c>
      <c r="F4269" s="2">
        <v>606.0</v>
      </c>
      <c r="G4269" s="3">
        <f t="shared" si="2"/>
        <v>0.1270973154</v>
      </c>
      <c r="H4269" s="2">
        <v>1044.0</v>
      </c>
      <c r="I4269" s="3">
        <f t="shared" si="3"/>
        <v>0.2189597315</v>
      </c>
      <c r="J4269" s="2">
        <v>828.0</v>
      </c>
      <c r="K4269" s="3">
        <f t="shared" si="4"/>
        <v>0.1736577181</v>
      </c>
      <c r="L4269" s="2">
        <v>629.0</v>
      </c>
      <c r="M4269" s="3">
        <f t="shared" si="5"/>
        <v>0.6024904215</v>
      </c>
      <c r="N4269" s="2">
        <v>5351500.0</v>
      </c>
      <c r="O4269" s="4">
        <f t="shared" si="6"/>
        <v>5125.957854</v>
      </c>
      <c r="P4269" s="2">
        <v>0.0</v>
      </c>
      <c r="Q4269" s="3">
        <f t="shared" si="7"/>
        <v>0</v>
      </c>
      <c r="R4269" s="2">
        <v>437.0</v>
      </c>
      <c r="S4269" s="5">
        <f t="shared" si="8"/>
        <v>1</v>
      </c>
    </row>
    <row r="4270">
      <c r="A4270" s="2" t="s">
        <v>4274</v>
      </c>
      <c r="B4270" s="2">
        <v>30.0</v>
      </c>
      <c r="C4270" s="2">
        <v>329.0</v>
      </c>
      <c r="D4270" s="2">
        <v>110.0</v>
      </c>
      <c r="E4270" s="3">
        <f t="shared" si="1"/>
        <v>0.3678929766</v>
      </c>
      <c r="F4270" s="2">
        <v>38.0</v>
      </c>
      <c r="G4270" s="3">
        <f t="shared" si="2"/>
        <v>0.127090301</v>
      </c>
      <c r="H4270" s="2">
        <v>69.0</v>
      </c>
      <c r="I4270" s="3">
        <f t="shared" si="3"/>
        <v>0.2307692308</v>
      </c>
      <c r="J4270" s="2">
        <v>57.0</v>
      </c>
      <c r="K4270" s="3">
        <f t="shared" si="4"/>
        <v>0.1906354515</v>
      </c>
      <c r="L4270" s="2">
        <v>42.0</v>
      </c>
      <c r="M4270" s="3">
        <f t="shared" si="5"/>
        <v>0.6086956522</v>
      </c>
      <c r="N4270" s="2">
        <v>401000.0</v>
      </c>
      <c r="O4270" s="4">
        <f t="shared" si="6"/>
        <v>5811.594203</v>
      </c>
      <c r="P4270" s="2">
        <v>0.0</v>
      </c>
      <c r="Q4270" s="3">
        <f t="shared" si="7"/>
        <v>0</v>
      </c>
      <c r="R4270" s="2">
        <v>7.0</v>
      </c>
      <c r="S4270" s="5">
        <f t="shared" si="8"/>
        <v>0.2333333333</v>
      </c>
    </row>
    <row r="4271">
      <c r="A4271" s="2" t="s">
        <v>4275</v>
      </c>
      <c r="B4271" s="2">
        <v>275.0</v>
      </c>
      <c r="C4271" s="2">
        <v>3273.0</v>
      </c>
      <c r="D4271" s="2">
        <v>984.0</v>
      </c>
      <c r="E4271" s="3">
        <f t="shared" si="1"/>
        <v>0.3282188125</v>
      </c>
      <c r="F4271" s="2">
        <v>381.0</v>
      </c>
      <c r="G4271" s="3">
        <f t="shared" si="2"/>
        <v>0.1270847231</v>
      </c>
      <c r="H4271" s="2">
        <v>613.0</v>
      </c>
      <c r="I4271" s="3">
        <f t="shared" si="3"/>
        <v>0.2044696464</v>
      </c>
      <c r="J4271" s="2">
        <v>470.0</v>
      </c>
      <c r="K4271" s="3">
        <f t="shared" si="4"/>
        <v>0.1567711808</v>
      </c>
      <c r="L4271" s="2">
        <v>359.0</v>
      </c>
      <c r="M4271" s="3">
        <f t="shared" si="5"/>
        <v>0.5856443719</v>
      </c>
      <c r="N4271" s="2">
        <v>3466400.0</v>
      </c>
      <c r="O4271" s="4">
        <f t="shared" si="6"/>
        <v>5654.812398</v>
      </c>
      <c r="P4271" s="2">
        <v>0.0</v>
      </c>
      <c r="Q4271" s="3">
        <f t="shared" si="7"/>
        <v>0</v>
      </c>
      <c r="R4271" s="2">
        <v>0.0</v>
      </c>
      <c r="S4271" s="5">
        <f t="shared" si="8"/>
        <v>0</v>
      </c>
    </row>
    <row r="4272">
      <c r="A4272" s="2" t="s">
        <v>4276</v>
      </c>
      <c r="B4272" s="2">
        <v>670.0</v>
      </c>
      <c r="C4272" s="2">
        <v>7886.0</v>
      </c>
      <c r="D4272" s="2">
        <v>2700.0</v>
      </c>
      <c r="E4272" s="3">
        <f t="shared" si="1"/>
        <v>0.3741685144</v>
      </c>
      <c r="F4272" s="2">
        <v>917.0</v>
      </c>
      <c r="G4272" s="3">
        <f t="shared" si="2"/>
        <v>0.127078714</v>
      </c>
      <c r="H4272" s="2">
        <v>1520.0</v>
      </c>
      <c r="I4272" s="3">
        <f t="shared" si="3"/>
        <v>0.2106430155</v>
      </c>
      <c r="J4272" s="2">
        <v>856.0</v>
      </c>
      <c r="K4272" s="3">
        <f t="shared" si="4"/>
        <v>0.1186252772</v>
      </c>
      <c r="L4272" s="2">
        <v>918.0</v>
      </c>
      <c r="M4272" s="3">
        <f t="shared" si="5"/>
        <v>0.6039473684</v>
      </c>
      <c r="N4272" s="2">
        <v>8017400.0</v>
      </c>
      <c r="O4272" s="4">
        <f t="shared" si="6"/>
        <v>5274.605263</v>
      </c>
      <c r="P4272" s="2">
        <v>1.0</v>
      </c>
      <c r="Q4272" s="3">
        <f t="shared" si="7"/>
        <v>0.001492537313</v>
      </c>
      <c r="R4272" s="2">
        <v>670.0</v>
      </c>
      <c r="S4272" s="5">
        <f t="shared" si="8"/>
        <v>1</v>
      </c>
    </row>
    <row r="4273">
      <c r="A4273" s="2" t="s">
        <v>4277</v>
      </c>
      <c r="B4273" s="2">
        <v>473.0</v>
      </c>
      <c r="C4273" s="2">
        <v>5604.0</v>
      </c>
      <c r="D4273" s="2">
        <v>1736.0</v>
      </c>
      <c r="E4273" s="3">
        <f t="shared" si="1"/>
        <v>0.3383356071</v>
      </c>
      <c r="F4273" s="2">
        <v>652.0</v>
      </c>
      <c r="G4273" s="3">
        <f t="shared" si="2"/>
        <v>0.1270707464</v>
      </c>
      <c r="H4273" s="2">
        <v>1110.0</v>
      </c>
      <c r="I4273" s="3">
        <f t="shared" si="3"/>
        <v>0.216332099</v>
      </c>
      <c r="J4273" s="2">
        <v>976.0</v>
      </c>
      <c r="K4273" s="3">
        <f t="shared" si="4"/>
        <v>0.1902163321</v>
      </c>
      <c r="L4273" s="2">
        <v>609.0</v>
      </c>
      <c r="M4273" s="3">
        <f t="shared" si="5"/>
        <v>0.5486486486</v>
      </c>
      <c r="N4273" s="2">
        <v>6380800.0</v>
      </c>
      <c r="O4273" s="4">
        <f t="shared" si="6"/>
        <v>5748.468468</v>
      </c>
      <c r="P4273" s="2">
        <v>2.0</v>
      </c>
      <c r="Q4273" s="3">
        <f t="shared" si="7"/>
        <v>0.00422832981</v>
      </c>
      <c r="R4273" s="2">
        <v>0.0</v>
      </c>
      <c r="S4273" s="5">
        <f t="shared" si="8"/>
        <v>0</v>
      </c>
    </row>
    <row r="4274">
      <c r="A4274" s="2" t="s">
        <v>4278</v>
      </c>
      <c r="B4274" s="2">
        <v>4533.0</v>
      </c>
      <c r="C4274" s="2">
        <v>53231.0</v>
      </c>
      <c r="D4274" s="2">
        <v>17999.0</v>
      </c>
      <c r="E4274" s="3">
        <f t="shared" si="1"/>
        <v>0.3696045012</v>
      </c>
      <c r="F4274" s="2">
        <v>6188.0</v>
      </c>
      <c r="G4274" s="3">
        <f t="shared" si="2"/>
        <v>0.1270688735</v>
      </c>
      <c r="H4274" s="2">
        <v>10342.0</v>
      </c>
      <c r="I4274" s="3">
        <f t="shared" si="3"/>
        <v>0.2123701179</v>
      </c>
      <c r="J4274" s="2">
        <v>7787.0</v>
      </c>
      <c r="K4274" s="3">
        <f t="shared" si="4"/>
        <v>0.1599038975</v>
      </c>
      <c r="L4274" s="2">
        <v>6346.0</v>
      </c>
      <c r="M4274" s="3">
        <f t="shared" si="5"/>
        <v>0.6136143879</v>
      </c>
      <c r="N4274" s="2">
        <v>5.92105E7</v>
      </c>
      <c r="O4274" s="4">
        <f t="shared" si="6"/>
        <v>5725.246567</v>
      </c>
      <c r="P4274" s="2">
        <v>8.0</v>
      </c>
      <c r="Q4274" s="3">
        <f t="shared" si="7"/>
        <v>0.00176483565</v>
      </c>
      <c r="R4274" s="2">
        <v>4532.0</v>
      </c>
      <c r="S4274" s="5">
        <f t="shared" si="8"/>
        <v>0.9997793955</v>
      </c>
    </row>
    <row r="4275">
      <c r="A4275" s="2" t="s">
        <v>4279</v>
      </c>
      <c r="B4275" s="2">
        <v>638.0</v>
      </c>
      <c r="C4275" s="2">
        <v>7469.0</v>
      </c>
      <c r="D4275" s="2">
        <v>2018.0</v>
      </c>
      <c r="E4275" s="3">
        <f t="shared" si="1"/>
        <v>0.2954179476</v>
      </c>
      <c r="F4275" s="2">
        <v>868.0</v>
      </c>
      <c r="G4275" s="3">
        <f t="shared" si="2"/>
        <v>0.1270677792</v>
      </c>
      <c r="H4275" s="2">
        <v>1362.0</v>
      </c>
      <c r="I4275" s="3">
        <f t="shared" si="3"/>
        <v>0.1993851559</v>
      </c>
      <c r="J4275" s="2">
        <v>1154.0</v>
      </c>
      <c r="K4275" s="3">
        <f t="shared" si="4"/>
        <v>0.1689357342</v>
      </c>
      <c r="L4275" s="2">
        <v>824.0</v>
      </c>
      <c r="M4275" s="3">
        <f t="shared" si="5"/>
        <v>0.6049926579</v>
      </c>
      <c r="N4275" s="2">
        <v>7717800.0</v>
      </c>
      <c r="O4275" s="4">
        <f t="shared" si="6"/>
        <v>5666.519824</v>
      </c>
      <c r="P4275" s="2">
        <v>2.0</v>
      </c>
      <c r="Q4275" s="3">
        <f t="shared" si="7"/>
        <v>0.003134796238</v>
      </c>
      <c r="R4275" s="2">
        <v>636.0</v>
      </c>
      <c r="S4275" s="5">
        <f t="shared" si="8"/>
        <v>0.9968652038</v>
      </c>
    </row>
    <row r="4276">
      <c r="A4276" s="2" t="s">
        <v>4280</v>
      </c>
      <c r="B4276" s="2">
        <v>177.0</v>
      </c>
      <c r="C4276" s="2">
        <v>2113.0</v>
      </c>
      <c r="D4276" s="2">
        <v>744.0</v>
      </c>
      <c r="E4276" s="3">
        <f t="shared" si="1"/>
        <v>0.3842975207</v>
      </c>
      <c r="F4276" s="2">
        <v>246.0</v>
      </c>
      <c r="G4276" s="3">
        <f t="shared" si="2"/>
        <v>0.1270661157</v>
      </c>
      <c r="H4276" s="2">
        <v>393.0</v>
      </c>
      <c r="I4276" s="3">
        <f t="shared" si="3"/>
        <v>0.2029958678</v>
      </c>
      <c r="J4276" s="2">
        <v>291.0</v>
      </c>
      <c r="K4276" s="3">
        <f t="shared" si="4"/>
        <v>0.1503099174</v>
      </c>
      <c r="L4276" s="2">
        <v>235.0</v>
      </c>
      <c r="M4276" s="3">
        <f t="shared" si="5"/>
        <v>0.5979643766</v>
      </c>
      <c r="N4276" s="2">
        <v>2185500.0</v>
      </c>
      <c r="O4276" s="4">
        <f t="shared" si="6"/>
        <v>5561.068702</v>
      </c>
      <c r="P4276" s="2">
        <v>0.0</v>
      </c>
      <c r="Q4276" s="3">
        <f t="shared" si="7"/>
        <v>0</v>
      </c>
      <c r="R4276" s="2">
        <v>177.0</v>
      </c>
      <c r="S4276" s="5">
        <f t="shared" si="8"/>
        <v>1</v>
      </c>
    </row>
    <row r="4277">
      <c r="A4277" s="2" t="s">
        <v>4281</v>
      </c>
      <c r="B4277" s="2">
        <v>342.0</v>
      </c>
      <c r="C4277" s="2">
        <v>4033.0</v>
      </c>
      <c r="D4277" s="2">
        <v>1123.0</v>
      </c>
      <c r="E4277" s="3">
        <f t="shared" si="1"/>
        <v>0.3042535898</v>
      </c>
      <c r="F4277" s="2">
        <v>469.0</v>
      </c>
      <c r="G4277" s="3">
        <f t="shared" si="2"/>
        <v>0.1270658358</v>
      </c>
      <c r="H4277" s="2">
        <v>717.0</v>
      </c>
      <c r="I4277" s="3">
        <f t="shared" si="3"/>
        <v>0.1942562991</v>
      </c>
      <c r="J4277" s="2">
        <v>663.0</v>
      </c>
      <c r="K4277" s="3">
        <f t="shared" si="4"/>
        <v>0.1796261176</v>
      </c>
      <c r="L4277" s="2">
        <v>415.0</v>
      </c>
      <c r="M4277" s="3">
        <f t="shared" si="5"/>
        <v>0.5788005579</v>
      </c>
      <c r="N4277" s="2">
        <v>4165600.0</v>
      </c>
      <c r="O4277" s="4">
        <f t="shared" si="6"/>
        <v>5809.762901</v>
      </c>
      <c r="P4277" s="2">
        <v>0.0</v>
      </c>
      <c r="Q4277" s="3">
        <f t="shared" si="7"/>
        <v>0</v>
      </c>
      <c r="R4277" s="2">
        <v>339.0</v>
      </c>
      <c r="S4277" s="5">
        <f t="shared" si="8"/>
        <v>0.9912280702</v>
      </c>
    </row>
    <row r="4278">
      <c r="A4278" s="2" t="s">
        <v>4282</v>
      </c>
      <c r="B4278" s="2">
        <v>1278.0</v>
      </c>
      <c r="C4278" s="2">
        <v>15059.0</v>
      </c>
      <c r="D4278" s="2">
        <v>5394.0</v>
      </c>
      <c r="E4278" s="3">
        <f t="shared" si="1"/>
        <v>0.3914084609</v>
      </c>
      <c r="F4278" s="2">
        <v>1751.0</v>
      </c>
      <c r="G4278" s="3">
        <f t="shared" si="2"/>
        <v>0.1270589943</v>
      </c>
      <c r="H4278" s="2">
        <v>2972.0</v>
      </c>
      <c r="I4278" s="3">
        <f t="shared" si="3"/>
        <v>0.215659241</v>
      </c>
      <c r="J4278" s="2">
        <v>2263.0</v>
      </c>
      <c r="K4278" s="3">
        <f t="shared" si="4"/>
        <v>0.1642115957</v>
      </c>
      <c r="L4278" s="2">
        <v>1771.0</v>
      </c>
      <c r="M4278" s="3">
        <f t="shared" si="5"/>
        <v>0.5958950202</v>
      </c>
      <c r="N4278" s="2">
        <v>1.61286E7</v>
      </c>
      <c r="O4278" s="4">
        <f t="shared" si="6"/>
        <v>5426.850606</v>
      </c>
      <c r="P4278" s="2">
        <v>4.0</v>
      </c>
      <c r="Q4278" s="3">
        <f t="shared" si="7"/>
        <v>0.003129890454</v>
      </c>
      <c r="R4278" s="2">
        <v>1278.0</v>
      </c>
      <c r="S4278" s="5">
        <f t="shared" si="8"/>
        <v>1</v>
      </c>
    </row>
    <row r="4279">
      <c r="A4279" s="2" t="s">
        <v>4283</v>
      </c>
      <c r="B4279" s="2">
        <v>347.0</v>
      </c>
      <c r="C4279" s="2">
        <v>3991.0</v>
      </c>
      <c r="D4279" s="2">
        <v>1060.0</v>
      </c>
      <c r="E4279" s="3">
        <f t="shared" si="1"/>
        <v>0.2908891328</v>
      </c>
      <c r="F4279" s="2">
        <v>463.0</v>
      </c>
      <c r="G4279" s="3">
        <f t="shared" si="2"/>
        <v>0.1270581778</v>
      </c>
      <c r="H4279" s="2">
        <v>706.0</v>
      </c>
      <c r="I4279" s="3">
        <f t="shared" si="3"/>
        <v>0.1937431394</v>
      </c>
      <c r="J4279" s="2">
        <v>726.0</v>
      </c>
      <c r="K4279" s="3">
        <f t="shared" si="4"/>
        <v>0.1992316136</v>
      </c>
      <c r="L4279" s="2">
        <v>420.0</v>
      </c>
      <c r="M4279" s="3">
        <f t="shared" si="5"/>
        <v>0.5949008499</v>
      </c>
      <c r="N4279" s="2">
        <v>4156300.0</v>
      </c>
      <c r="O4279" s="4">
        <f t="shared" si="6"/>
        <v>5887.110482</v>
      </c>
      <c r="P4279" s="2">
        <v>2.0</v>
      </c>
      <c r="Q4279" s="3">
        <f t="shared" si="7"/>
        <v>0.005763688761</v>
      </c>
      <c r="R4279" s="2">
        <v>347.0</v>
      </c>
      <c r="S4279" s="5">
        <f t="shared" si="8"/>
        <v>1</v>
      </c>
    </row>
    <row r="4280">
      <c r="A4280" s="2" t="s">
        <v>4284</v>
      </c>
      <c r="B4280" s="2">
        <v>426.0</v>
      </c>
      <c r="C4280" s="2">
        <v>4991.0</v>
      </c>
      <c r="D4280" s="2">
        <v>1727.0</v>
      </c>
      <c r="E4280" s="3">
        <f t="shared" si="1"/>
        <v>0.378313253</v>
      </c>
      <c r="F4280" s="2">
        <v>580.0</v>
      </c>
      <c r="G4280" s="3">
        <f t="shared" si="2"/>
        <v>0.1270536692</v>
      </c>
      <c r="H4280" s="2">
        <v>940.0</v>
      </c>
      <c r="I4280" s="3">
        <f t="shared" si="3"/>
        <v>0.2059145674</v>
      </c>
      <c r="J4280" s="2">
        <v>717.0</v>
      </c>
      <c r="K4280" s="3">
        <f t="shared" si="4"/>
        <v>0.1570646221</v>
      </c>
      <c r="L4280" s="2">
        <v>582.0</v>
      </c>
      <c r="M4280" s="3">
        <f t="shared" si="5"/>
        <v>0.6191489362</v>
      </c>
      <c r="N4280" s="2">
        <v>5090700.0</v>
      </c>
      <c r="O4280" s="4">
        <f t="shared" si="6"/>
        <v>5415.638298</v>
      </c>
      <c r="P4280" s="2">
        <v>1.0</v>
      </c>
      <c r="Q4280" s="3">
        <f t="shared" si="7"/>
        <v>0.00234741784</v>
      </c>
      <c r="R4280" s="2">
        <v>426.0</v>
      </c>
      <c r="S4280" s="5">
        <f t="shared" si="8"/>
        <v>1</v>
      </c>
    </row>
    <row r="4281">
      <c r="A4281" s="2" t="s">
        <v>4285</v>
      </c>
      <c r="B4281" s="2">
        <v>2678.0</v>
      </c>
      <c r="C4281" s="2">
        <v>31643.0</v>
      </c>
      <c r="D4281" s="2">
        <v>10639.0</v>
      </c>
      <c r="E4281" s="3">
        <f t="shared" si="1"/>
        <v>0.3673053685</v>
      </c>
      <c r="F4281" s="2">
        <v>3680.0</v>
      </c>
      <c r="G4281" s="3">
        <f t="shared" si="2"/>
        <v>0.1270498878</v>
      </c>
      <c r="H4281" s="2">
        <v>6152.0</v>
      </c>
      <c r="I4281" s="3">
        <f t="shared" si="3"/>
        <v>0.2123942689</v>
      </c>
      <c r="J4281" s="2">
        <v>4631.0</v>
      </c>
      <c r="K4281" s="3">
        <f t="shared" si="4"/>
        <v>0.159882617</v>
      </c>
      <c r="L4281" s="2">
        <v>3641.0</v>
      </c>
      <c r="M4281" s="3">
        <f t="shared" si="5"/>
        <v>0.591840052</v>
      </c>
      <c r="N4281" s="2">
        <v>3.35171E7</v>
      </c>
      <c r="O4281" s="4">
        <f t="shared" si="6"/>
        <v>5448.163199</v>
      </c>
      <c r="P4281" s="2">
        <v>2.0</v>
      </c>
      <c r="Q4281" s="3">
        <f t="shared" si="7"/>
        <v>0.0007468259895</v>
      </c>
      <c r="R4281" s="2">
        <v>2678.0</v>
      </c>
      <c r="S4281" s="5">
        <f t="shared" si="8"/>
        <v>1</v>
      </c>
    </row>
    <row r="4282">
      <c r="A4282" s="2" t="s">
        <v>4286</v>
      </c>
      <c r="B4282" s="2">
        <v>22.0</v>
      </c>
      <c r="C4282" s="2">
        <v>266.0</v>
      </c>
      <c r="D4282" s="2">
        <v>72.0</v>
      </c>
      <c r="E4282" s="3">
        <f t="shared" si="1"/>
        <v>0.2950819672</v>
      </c>
      <c r="F4282" s="2">
        <v>31.0</v>
      </c>
      <c r="G4282" s="3">
        <f t="shared" si="2"/>
        <v>0.1270491803</v>
      </c>
      <c r="H4282" s="2">
        <v>40.0</v>
      </c>
      <c r="I4282" s="3">
        <f t="shared" si="3"/>
        <v>0.1639344262</v>
      </c>
      <c r="J4282" s="2">
        <v>38.0</v>
      </c>
      <c r="K4282" s="3">
        <f t="shared" si="4"/>
        <v>0.1557377049</v>
      </c>
      <c r="L4282" s="2">
        <v>18.0</v>
      </c>
      <c r="M4282" s="3">
        <f t="shared" si="5"/>
        <v>0.45</v>
      </c>
      <c r="N4282" s="2">
        <v>242000.0</v>
      </c>
      <c r="O4282" s="4">
        <f t="shared" si="6"/>
        <v>6050</v>
      </c>
      <c r="P4282" s="2">
        <v>0.0</v>
      </c>
      <c r="Q4282" s="3">
        <f t="shared" si="7"/>
        <v>0</v>
      </c>
      <c r="R4282" s="2">
        <v>22.0</v>
      </c>
      <c r="S4282" s="5">
        <f t="shared" si="8"/>
        <v>1</v>
      </c>
    </row>
    <row r="4283">
      <c r="A4283" s="2" t="s">
        <v>4287</v>
      </c>
      <c r="B4283" s="2">
        <v>3130.0</v>
      </c>
      <c r="C4283" s="2">
        <v>36520.0</v>
      </c>
      <c r="D4283" s="2">
        <v>11177.0</v>
      </c>
      <c r="E4283" s="3">
        <f t="shared" si="1"/>
        <v>0.3347409404</v>
      </c>
      <c r="F4283" s="2">
        <v>4242.0</v>
      </c>
      <c r="G4283" s="3">
        <f t="shared" si="2"/>
        <v>0.1270440252</v>
      </c>
      <c r="H4283" s="2">
        <v>7232.0</v>
      </c>
      <c r="I4283" s="3">
        <f t="shared" si="3"/>
        <v>0.216591794</v>
      </c>
      <c r="J4283" s="2">
        <v>5669.0</v>
      </c>
      <c r="K4283" s="3">
        <f t="shared" si="4"/>
        <v>0.1697813717</v>
      </c>
      <c r="L4283" s="2">
        <v>4354.0</v>
      </c>
      <c r="M4283" s="3">
        <f t="shared" si="5"/>
        <v>0.6020464602</v>
      </c>
      <c r="N4283" s="2">
        <v>3.98701E7</v>
      </c>
      <c r="O4283" s="4">
        <f t="shared" si="6"/>
        <v>5513.011615</v>
      </c>
      <c r="P4283" s="2">
        <v>9.0</v>
      </c>
      <c r="Q4283" s="3">
        <f t="shared" si="7"/>
        <v>0.002875399361</v>
      </c>
      <c r="R4283" s="2">
        <v>1489.0</v>
      </c>
      <c r="S4283" s="5">
        <f t="shared" si="8"/>
        <v>0.4757188498</v>
      </c>
    </row>
    <row r="4284">
      <c r="A4284" s="2" t="s">
        <v>4288</v>
      </c>
      <c r="B4284" s="2">
        <v>1922.0</v>
      </c>
      <c r="C4284" s="2">
        <v>22490.0</v>
      </c>
      <c r="D4284" s="2">
        <v>7992.0</v>
      </c>
      <c r="E4284" s="3">
        <f t="shared" si="1"/>
        <v>0.3885647608</v>
      </c>
      <c r="F4284" s="2">
        <v>2613.0</v>
      </c>
      <c r="G4284" s="3">
        <f t="shared" si="2"/>
        <v>0.127042007</v>
      </c>
      <c r="H4284" s="2">
        <v>4312.0</v>
      </c>
      <c r="I4284" s="3">
        <f t="shared" si="3"/>
        <v>0.2096460521</v>
      </c>
      <c r="J4284" s="2">
        <v>3340.0</v>
      </c>
      <c r="K4284" s="3">
        <f t="shared" si="4"/>
        <v>0.1623881758</v>
      </c>
      <c r="L4284" s="2">
        <v>2577.0</v>
      </c>
      <c r="M4284" s="3">
        <f t="shared" si="5"/>
        <v>0.5976345083</v>
      </c>
      <c r="N4284" s="2">
        <v>2.41524E7</v>
      </c>
      <c r="O4284" s="4">
        <f t="shared" si="6"/>
        <v>5601.205937</v>
      </c>
      <c r="P4284" s="2">
        <v>3.0</v>
      </c>
      <c r="Q4284" s="3">
        <f t="shared" si="7"/>
        <v>0.001560874089</v>
      </c>
      <c r="R4284" s="2">
        <v>1922.0</v>
      </c>
      <c r="S4284" s="5">
        <f t="shared" si="8"/>
        <v>1</v>
      </c>
    </row>
    <row r="4285">
      <c r="A4285" s="2" t="s">
        <v>4289</v>
      </c>
      <c r="B4285" s="2">
        <v>1245.0</v>
      </c>
      <c r="C4285" s="2">
        <v>14532.0</v>
      </c>
      <c r="D4285" s="2">
        <v>4109.0</v>
      </c>
      <c r="E4285" s="3">
        <f t="shared" si="1"/>
        <v>0.3092496425</v>
      </c>
      <c r="F4285" s="2">
        <v>1688.0</v>
      </c>
      <c r="G4285" s="3">
        <f t="shared" si="2"/>
        <v>0.1270414691</v>
      </c>
      <c r="H4285" s="2">
        <v>2677.0</v>
      </c>
      <c r="I4285" s="3">
        <f t="shared" si="3"/>
        <v>0.2014751261</v>
      </c>
      <c r="J4285" s="2">
        <v>2406.0</v>
      </c>
      <c r="K4285" s="3">
        <f t="shared" si="4"/>
        <v>0.1810792504</v>
      </c>
      <c r="L4285" s="2">
        <v>1621.0</v>
      </c>
      <c r="M4285" s="3">
        <f t="shared" si="5"/>
        <v>0.6055285768</v>
      </c>
      <c r="N4285" s="2">
        <v>1.5625E7</v>
      </c>
      <c r="O4285" s="4">
        <f t="shared" si="6"/>
        <v>5836.757564</v>
      </c>
      <c r="P4285" s="2">
        <v>1.0</v>
      </c>
      <c r="Q4285" s="3">
        <f t="shared" si="7"/>
        <v>0.0008032128514</v>
      </c>
      <c r="R4285" s="2">
        <v>1245.0</v>
      </c>
      <c r="S4285" s="5">
        <f t="shared" si="8"/>
        <v>1</v>
      </c>
    </row>
    <row r="4286">
      <c r="A4286" s="2" t="s">
        <v>4290</v>
      </c>
      <c r="B4286" s="2">
        <v>293.0</v>
      </c>
      <c r="C4286" s="2">
        <v>3426.0</v>
      </c>
      <c r="D4286" s="2">
        <v>1215.0</v>
      </c>
      <c r="E4286" s="3">
        <f t="shared" si="1"/>
        <v>0.3878072135</v>
      </c>
      <c r="F4286" s="2">
        <v>398.0</v>
      </c>
      <c r="G4286" s="3">
        <f t="shared" si="2"/>
        <v>0.1270347909</v>
      </c>
      <c r="H4286" s="2">
        <v>736.0</v>
      </c>
      <c r="I4286" s="3">
        <f t="shared" si="3"/>
        <v>0.2349186084</v>
      </c>
      <c r="J4286" s="2">
        <v>563.0</v>
      </c>
      <c r="K4286" s="3">
        <f t="shared" si="4"/>
        <v>0.1796999681</v>
      </c>
      <c r="L4286" s="2">
        <v>428.0</v>
      </c>
      <c r="M4286" s="3">
        <f t="shared" si="5"/>
        <v>0.5815217391</v>
      </c>
      <c r="N4286" s="2">
        <v>4220600.0</v>
      </c>
      <c r="O4286" s="4">
        <f t="shared" si="6"/>
        <v>5734.51087</v>
      </c>
      <c r="P4286" s="2">
        <v>0.0</v>
      </c>
      <c r="Q4286" s="3">
        <f t="shared" si="7"/>
        <v>0</v>
      </c>
      <c r="R4286" s="2">
        <v>293.0</v>
      </c>
      <c r="S4286" s="5">
        <f t="shared" si="8"/>
        <v>1</v>
      </c>
    </row>
    <row r="4287">
      <c r="A4287" s="2" t="s">
        <v>4291</v>
      </c>
      <c r="B4287" s="2">
        <v>1776.0</v>
      </c>
      <c r="C4287" s="2">
        <v>21024.0</v>
      </c>
      <c r="D4287" s="2">
        <v>7369.0</v>
      </c>
      <c r="E4287" s="3">
        <f t="shared" si="1"/>
        <v>0.3828449709</v>
      </c>
      <c r="F4287" s="2">
        <v>2445.0</v>
      </c>
      <c r="G4287" s="3">
        <f t="shared" si="2"/>
        <v>0.1270261845</v>
      </c>
      <c r="H4287" s="2">
        <v>4214.0</v>
      </c>
      <c r="I4287" s="3">
        <f t="shared" si="3"/>
        <v>0.2189318371</v>
      </c>
      <c r="J4287" s="2">
        <v>3332.0</v>
      </c>
      <c r="K4287" s="3">
        <f t="shared" si="4"/>
        <v>0.1731088944</v>
      </c>
      <c r="L4287" s="2">
        <v>2527.0</v>
      </c>
      <c r="M4287" s="3">
        <f t="shared" si="5"/>
        <v>0.5996677741</v>
      </c>
      <c r="N4287" s="2">
        <v>2.30126E7</v>
      </c>
      <c r="O4287" s="4">
        <f t="shared" si="6"/>
        <v>5460.987186</v>
      </c>
      <c r="P4287" s="2">
        <v>2.0</v>
      </c>
      <c r="Q4287" s="3">
        <f t="shared" si="7"/>
        <v>0.001126126126</v>
      </c>
      <c r="R4287" s="2">
        <v>1776.0</v>
      </c>
      <c r="S4287" s="5">
        <f t="shared" si="8"/>
        <v>1</v>
      </c>
    </row>
    <row r="4288">
      <c r="A4288" s="2">
        <v>999.0</v>
      </c>
      <c r="B4288" s="2">
        <v>1485.0</v>
      </c>
      <c r="C4288" s="2">
        <v>17340.0</v>
      </c>
      <c r="D4288" s="2">
        <v>4908.0</v>
      </c>
      <c r="E4288" s="3">
        <f t="shared" si="1"/>
        <v>0.3095553453</v>
      </c>
      <c r="F4288" s="2">
        <v>2014.0</v>
      </c>
      <c r="G4288" s="3">
        <f t="shared" si="2"/>
        <v>0.1270261747</v>
      </c>
      <c r="H4288" s="2">
        <v>3412.0</v>
      </c>
      <c r="I4288" s="3">
        <f t="shared" si="3"/>
        <v>0.2152002523</v>
      </c>
      <c r="J4288" s="2">
        <v>2850.0</v>
      </c>
      <c r="K4288" s="3">
        <f t="shared" si="4"/>
        <v>0.1797540208</v>
      </c>
      <c r="L4288" s="2">
        <v>1969.0</v>
      </c>
      <c r="M4288" s="3">
        <f t="shared" si="5"/>
        <v>0.577080891</v>
      </c>
      <c r="N4288" s="2">
        <v>1.87173E7</v>
      </c>
      <c r="O4288" s="4">
        <f t="shared" si="6"/>
        <v>5485.726846</v>
      </c>
      <c r="P4288" s="2">
        <v>4.0</v>
      </c>
      <c r="Q4288" s="3">
        <f t="shared" si="7"/>
        <v>0.002693602694</v>
      </c>
      <c r="R4288" s="2">
        <v>242.0</v>
      </c>
      <c r="S4288" s="5">
        <f t="shared" si="8"/>
        <v>0.162962963</v>
      </c>
    </row>
    <row r="4289">
      <c r="A4289" s="2" t="s">
        <v>4292</v>
      </c>
      <c r="B4289" s="2">
        <v>915.0</v>
      </c>
      <c r="C4289" s="2">
        <v>10876.0</v>
      </c>
      <c r="D4289" s="2">
        <v>3463.0</v>
      </c>
      <c r="E4289" s="3">
        <f t="shared" si="1"/>
        <v>0.3476558578</v>
      </c>
      <c r="F4289" s="2">
        <v>1265.0</v>
      </c>
      <c r="G4289" s="3">
        <f t="shared" si="2"/>
        <v>0.1269952816</v>
      </c>
      <c r="H4289" s="2">
        <v>1985.0</v>
      </c>
      <c r="I4289" s="3">
        <f t="shared" si="3"/>
        <v>0.199277181</v>
      </c>
      <c r="J4289" s="2">
        <v>1650.0</v>
      </c>
      <c r="K4289" s="3">
        <f t="shared" si="4"/>
        <v>0.1656460195</v>
      </c>
      <c r="L4289" s="2">
        <v>1166.0</v>
      </c>
      <c r="M4289" s="3">
        <f t="shared" si="5"/>
        <v>0.5874055416</v>
      </c>
      <c r="N4289" s="2">
        <v>1.15051E7</v>
      </c>
      <c r="O4289" s="4">
        <f t="shared" si="6"/>
        <v>5796.020151</v>
      </c>
      <c r="P4289" s="2">
        <v>4.0</v>
      </c>
      <c r="Q4289" s="3">
        <f t="shared" si="7"/>
        <v>0.004371584699</v>
      </c>
      <c r="R4289" s="2">
        <v>915.0</v>
      </c>
      <c r="S4289" s="5">
        <f t="shared" si="8"/>
        <v>1</v>
      </c>
    </row>
    <row r="4290">
      <c r="A4290" s="2" t="s">
        <v>4293</v>
      </c>
      <c r="B4290" s="2">
        <v>886.0</v>
      </c>
      <c r="C4290" s="2">
        <v>10288.0</v>
      </c>
      <c r="D4290" s="2">
        <v>3798.0</v>
      </c>
      <c r="E4290" s="3">
        <f t="shared" si="1"/>
        <v>0.403956605</v>
      </c>
      <c r="F4290" s="2">
        <v>1194.0</v>
      </c>
      <c r="G4290" s="3">
        <f t="shared" si="2"/>
        <v>0.1269942565</v>
      </c>
      <c r="H4290" s="2">
        <v>2017.0</v>
      </c>
      <c r="I4290" s="3">
        <f t="shared" si="3"/>
        <v>0.2145288237</v>
      </c>
      <c r="J4290" s="2">
        <v>1534.0</v>
      </c>
      <c r="K4290" s="3">
        <f t="shared" si="4"/>
        <v>0.1631567752</v>
      </c>
      <c r="L4290" s="2">
        <v>1190.0</v>
      </c>
      <c r="M4290" s="3">
        <f t="shared" si="5"/>
        <v>0.5899851264</v>
      </c>
      <c r="N4290" s="2">
        <v>1.1196E7</v>
      </c>
      <c r="O4290" s="4">
        <f t="shared" si="6"/>
        <v>5550.818047</v>
      </c>
      <c r="P4290" s="2">
        <v>1.0</v>
      </c>
      <c r="Q4290" s="3">
        <f t="shared" si="7"/>
        <v>0.001128668172</v>
      </c>
      <c r="R4290" s="2">
        <v>886.0</v>
      </c>
      <c r="S4290" s="5">
        <f t="shared" si="8"/>
        <v>1</v>
      </c>
    </row>
    <row r="4291">
      <c r="A4291" s="2" t="s">
        <v>4294</v>
      </c>
      <c r="B4291" s="2">
        <v>447.0</v>
      </c>
      <c r="C4291" s="2">
        <v>5219.0</v>
      </c>
      <c r="D4291" s="2">
        <v>1554.0</v>
      </c>
      <c r="E4291" s="3">
        <f t="shared" si="1"/>
        <v>0.3256496228</v>
      </c>
      <c r="F4291" s="2">
        <v>606.0</v>
      </c>
      <c r="G4291" s="3">
        <f t="shared" si="2"/>
        <v>0.1269907795</v>
      </c>
      <c r="H4291" s="2">
        <v>1138.0</v>
      </c>
      <c r="I4291" s="3">
        <f t="shared" si="3"/>
        <v>0.2384744342</v>
      </c>
      <c r="J4291" s="2">
        <v>784.0</v>
      </c>
      <c r="K4291" s="3">
        <f t="shared" si="4"/>
        <v>0.1642917016</v>
      </c>
      <c r="L4291" s="2">
        <v>696.0</v>
      </c>
      <c r="M4291" s="3">
        <f t="shared" si="5"/>
        <v>0.611599297</v>
      </c>
      <c r="N4291" s="2">
        <v>6050300.0</v>
      </c>
      <c r="O4291" s="4">
        <f t="shared" si="6"/>
        <v>5316.608084</v>
      </c>
      <c r="P4291" s="2">
        <v>0.0</v>
      </c>
      <c r="Q4291" s="3">
        <f t="shared" si="7"/>
        <v>0</v>
      </c>
      <c r="R4291" s="2">
        <v>430.0</v>
      </c>
      <c r="S4291" s="5">
        <f t="shared" si="8"/>
        <v>0.9619686801</v>
      </c>
    </row>
    <row r="4292">
      <c r="A4292" s="2" t="s">
        <v>4295</v>
      </c>
      <c r="B4292" s="2">
        <v>617.0</v>
      </c>
      <c r="C4292" s="2">
        <v>7224.0</v>
      </c>
      <c r="D4292" s="2">
        <v>2760.0</v>
      </c>
      <c r="E4292" s="3">
        <f t="shared" si="1"/>
        <v>0.4177387619</v>
      </c>
      <c r="F4292" s="2">
        <v>839.0</v>
      </c>
      <c r="G4292" s="3">
        <f t="shared" si="2"/>
        <v>0.1269865294</v>
      </c>
      <c r="H4292" s="2">
        <v>1463.0</v>
      </c>
      <c r="I4292" s="3">
        <f t="shared" si="3"/>
        <v>0.2214318147</v>
      </c>
      <c r="J4292" s="2">
        <v>1248.0</v>
      </c>
      <c r="K4292" s="3">
        <f t="shared" si="4"/>
        <v>0.1888905706</v>
      </c>
      <c r="L4292" s="2">
        <v>848.0</v>
      </c>
      <c r="M4292" s="3">
        <f t="shared" si="5"/>
        <v>0.5796308954</v>
      </c>
      <c r="N4292" s="2">
        <v>8062400.0</v>
      </c>
      <c r="O4292" s="4">
        <f t="shared" si="6"/>
        <v>5510.868079</v>
      </c>
      <c r="P4292" s="2">
        <v>3.0</v>
      </c>
      <c r="Q4292" s="3">
        <f t="shared" si="7"/>
        <v>0.004862236629</v>
      </c>
      <c r="R4292" s="2">
        <v>617.0</v>
      </c>
      <c r="S4292" s="5">
        <f t="shared" si="8"/>
        <v>1</v>
      </c>
    </row>
    <row r="4293">
      <c r="A4293" s="2" t="s">
        <v>4296</v>
      </c>
      <c r="B4293" s="2">
        <v>58.0</v>
      </c>
      <c r="C4293" s="2">
        <v>688.0</v>
      </c>
      <c r="D4293" s="2">
        <v>195.0</v>
      </c>
      <c r="E4293" s="3">
        <f t="shared" si="1"/>
        <v>0.3095238095</v>
      </c>
      <c r="F4293" s="2">
        <v>80.0</v>
      </c>
      <c r="G4293" s="3">
        <f t="shared" si="2"/>
        <v>0.126984127</v>
      </c>
      <c r="H4293" s="2">
        <v>134.0</v>
      </c>
      <c r="I4293" s="3">
        <f t="shared" si="3"/>
        <v>0.2126984127</v>
      </c>
      <c r="J4293" s="2">
        <v>122.0</v>
      </c>
      <c r="K4293" s="3">
        <f t="shared" si="4"/>
        <v>0.1936507937</v>
      </c>
      <c r="L4293" s="2">
        <v>79.0</v>
      </c>
      <c r="M4293" s="3">
        <f t="shared" si="5"/>
        <v>0.5895522388</v>
      </c>
      <c r="N4293" s="2">
        <v>739700.0</v>
      </c>
      <c r="O4293" s="4">
        <f t="shared" si="6"/>
        <v>5520.149254</v>
      </c>
      <c r="P4293" s="2">
        <v>0.0</v>
      </c>
      <c r="Q4293" s="3">
        <f t="shared" si="7"/>
        <v>0</v>
      </c>
      <c r="R4293" s="2">
        <v>58.0</v>
      </c>
      <c r="S4293" s="5">
        <f t="shared" si="8"/>
        <v>1</v>
      </c>
    </row>
    <row r="4294">
      <c r="A4294" s="2" t="s">
        <v>4297</v>
      </c>
      <c r="B4294" s="2">
        <v>153.0</v>
      </c>
      <c r="C4294" s="2">
        <v>1854.0</v>
      </c>
      <c r="D4294" s="2">
        <v>527.0</v>
      </c>
      <c r="E4294" s="3">
        <f t="shared" si="1"/>
        <v>0.3098177543</v>
      </c>
      <c r="F4294" s="2">
        <v>216.0</v>
      </c>
      <c r="G4294" s="3">
        <f t="shared" si="2"/>
        <v>0.126984127</v>
      </c>
      <c r="H4294" s="2">
        <v>342.0</v>
      </c>
      <c r="I4294" s="3">
        <f t="shared" si="3"/>
        <v>0.2010582011</v>
      </c>
      <c r="J4294" s="2">
        <v>303.0</v>
      </c>
      <c r="K4294" s="3">
        <f t="shared" si="4"/>
        <v>0.1781305115</v>
      </c>
      <c r="L4294" s="2">
        <v>198.0</v>
      </c>
      <c r="M4294" s="3">
        <f t="shared" si="5"/>
        <v>0.5789473684</v>
      </c>
      <c r="N4294" s="2">
        <v>2027600.0</v>
      </c>
      <c r="O4294" s="4">
        <f t="shared" si="6"/>
        <v>5928.654971</v>
      </c>
      <c r="P4294" s="2">
        <v>0.0</v>
      </c>
      <c r="Q4294" s="3">
        <f t="shared" si="7"/>
        <v>0</v>
      </c>
      <c r="R4294" s="2">
        <v>153.0</v>
      </c>
      <c r="S4294" s="5">
        <f t="shared" si="8"/>
        <v>1</v>
      </c>
    </row>
    <row r="4295">
      <c r="A4295" s="2" t="s">
        <v>4298</v>
      </c>
      <c r="B4295" s="2">
        <v>411.0</v>
      </c>
      <c r="C4295" s="2">
        <v>4971.0</v>
      </c>
      <c r="D4295" s="2">
        <v>1847.0</v>
      </c>
      <c r="E4295" s="3">
        <f t="shared" si="1"/>
        <v>0.4050438596</v>
      </c>
      <c r="F4295" s="2">
        <v>579.0</v>
      </c>
      <c r="G4295" s="3">
        <f t="shared" si="2"/>
        <v>0.1269736842</v>
      </c>
      <c r="H4295" s="2">
        <v>962.0</v>
      </c>
      <c r="I4295" s="3">
        <f t="shared" si="3"/>
        <v>0.2109649123</v>
      </c>
      <c r="J4295" s="2">
        <v>727.0</v>
      </c>
      <c r="K4295" s="3">
        <f t="shared" si="4"/>
        <v>0.1594298246</v>
      </c>
      <c r="L4295" s="2">
        <v>563.0</v>
      </c>
      <c r="M4295" s="3">
        <f t="shared" si="5"/>
        <v>0.5852390852</v>
      </c>
      <c r="N4295" s="2">
        <v>5084100.0</v>
      </c>
      <c r="O4295" s="4">
        <f t="shared" si="6"/>
        <v>5284.927235</v>
      </c>
      <c r="P4295" s="2">
        <v>0.0</v>
      </c>
      <c r="Q4295" s="3">
        <f t="shared" si="7"/>
        <v>0</v>
      </c>
      <c r="R4295" s="2">
        <v>411.0</v>
      </c>
      <c r="S4295" s="5">
        <f t="shared" si="8"/>
        <v>1</v>
      </c>
    </row>
    <row r="4296">
      <c r="A4296" s="2" t="s">
        <v>4299</v>
      </c>
      <c r="B4296" s="2">
        <v>145.0</v>
      </c>
      <c r="C4296" s="2">
        <v>1673.0</v>
      </c>
      <c r="D4296" s="2">
        <v>484.0</v>
      </c>
      <c r="E4296" s="3">
        <f t="shared" si="1"/>
        <v>0.3167539267</v>
      </c>
      <c r="F4296" s="2">
        <v>194.0</v>
      </c>
      <c r="G4296" s="3">
        <f t="shared" si="2"/>
        <v>0.1269633508</v>
      </c>
      <c r="H4296" s="2">
        <v>295.0</v>
      </c>
      <c r="I4296" s="3">
        <f t="shared" si="3"/>
        <v>0.1930628272</v>
      </c>
      <c r="J4296" s="2">
        <v>274.0</v>
      </c>
      <c r="K4296" s="3">
        <f t="shared" si="4"/>
        <v>0.1793193717</v>
      </c>
      <c r="L4296" s="2">
        <v>168.0</v>
      </c>
      <c r="M4296" s="3">
        <f t="shared" si="5"/>
        <v>0.5694915254</v>
      </c>
      <c r="N4296" s="2">
        <v>1677700.0</v>
      </c>
      <c r="O4296" s="4">
        <f t="shared" si="6"/>
        <v>5687.118644</v>
      </c>
      <c r="P4296" s="2">
        <v>0.0</v>
      </c>
      <c r="Q4296" s="3">
        <f t="shared" si="7"/>
        <v>0</v>
      </c>
      <c r="R4296" s="2">
        <v>47.0</v>
      </c>
      <c r="S4296" s="5">
        <f t="shared" si="8"/>
        <v>0.324137931</v>
      </c>
    </row>
    <row r="4297">
      <c r="A4297" s="2" t="s">
        <v>4300</v>
      </c>
      <c r="B4297" s="2">
        <v>52.0</v>
      </c>
      <c r="C4297" s="2">
        <v>627.0</v>
      </c>
      <c r="D4297" s="2">
        <v>178.0</v>
      </c>
      <c r="E4297" s="3">
        <f t="shared" si="1"/>
        <v>0.3095652174</v>
      </c>
      <c r="F4297" s="2">
        <v>73.0</v>
      </c>
      <c r="G4297" s="3">
        <f t="shared" si="2"/>
        <v>0.1269565217</v>
      </c>
      <c r="H4297" s="2">
        <v>122.0</v>
      </c>
      <c r="I4297" s="3">
        <f t="shared" si="3"/>
        <v>0.212173913</v>
      </c>
      <c r="J4297" s="2">
        <v>47.0</v>
      </c>
      <c r="K4297" s="3">
        <f t="shared" si="4"/>
        <v>0.08173913043</v>
      </c>
      <c r="L4297" s="2">
        <v>79.0</v>
      </c>
      <c r="M4297" s="3">
        <f t="shared" si="5"/>
        <v>0.6475409836</v>
      </c>
      <c r="N4297" s="2">
        <v>624100.0</v>
      </c>
      <c r="O4297" s="4">
        <f t="shared" si="6"/>
        <v>5115.57377</v>
      </c>
      <c r="P4297" s="2">
        <v>1.0</v>
      </c>
      <c r="Q4297" s="3">
        <f t="shared" si="7"/>
        <v>0.01923076923</v>
      </c>
      <c r="R4297" s="2">
        <v>52.0</v>
      </c>
      <c r="S4297" s="5">
        <f t="shared" si="8"/>
        <v>1</v>
      </c>
    </row>
    <row r="4298">
      <c r="A4298" s="2" t="s">
        <v>4301</v>
      </c>
      <c r="B4298" s="2">
        <v>2746.0</v>
      </c>
      <c r="C4298" s="2">
        <v>32213.0</v>
      </c>
      <c r="D4298" s="2">
        <v>11840.0</v>
      </c>
      <c r="E4298" s="3">
        <f t="shared" si="1"/>
        <v>0.4018054094</v>
      </c>
      <c r="F4298" s="2">
        <v>3741.0</v>
      </c>
      <c r="G4298" s="3">
        <f t="shared" si="2"/>
        <v>0.1269555774</v>
      </c>
      <c r="H4298" s="2">
        <v>6558.0</v>
      </c>
      <c r="I4298" s="3">
        <f t="shared" si="3"/>
        <v>0.2225540435</v>
      </c>
      <c r="J4298" s="2">
        <v>4332.0</v>
      </c>
      <c r="K4298" s="3">
        <f t="shared" si="4"/>
        <v>0.1470119116</v>
      </c>
      <c r="L4298" s="2">
        <v>3939.0</v>
      </c>
      <c r="M4298" s="3">
        <f t="shared" si="5"/>
        <v>0.6006404392</v>
      </c>
      <c r="N4298" s="2">
        <v>3.44474E7</v>
      </c>
      <c r="O4298" s="4">
        <f t="shared" si="6"/>
        <v>5252.729491</v>
      </c>
      <c r="P4298" s="2">
        <v>3.0</v>
      </c>
      <c r="Q4298" s="3">
        <f t="shared" si="7"/>
        <v>0.001092498179</v>
      </c>
      <c r="R4298" s="2">
        <v>2602.0</v>
      </c>
      <c r="S4298" s="5">
        <f t="shared" si="8"/>
        <v>0.9475600874</v>
      </c>
    </row>
    <row r="4299">
      <c r="A4299" s="2" t="s">
        <v>4302</v>
      </c>
      <c r="B4299" s="2">
        <v>43.0</v>
      </c>
      <c r="C4299" s="2">
        <v>492.0</v>
      </c>
      <c r="D4299" s="2">
        <v>143.0</v>
      </c>
      <c r="E4299" s="3">
        <f t="shared" si="1"/>
        <v>0.3184855234</v>
      </c>
      <c r="F4299" s="2">
        <v>57.0</v>
      </c>
      <c r="G4299" s="3">
        <f t="shared" si="2"/>
        <v>0.1269487751</v>
      </c>
      <c r="H4299" s="2">
        <v>96.0</v>
      </c>
      <c r="I4299" s="3">
        <f t="shared" si="3"/>
        <v>0.2138084633</v>
      </c>
      <c r="J4299" s="2">
        <v>106.0</v>
      </c>
      <c r="K4299" s="3">
        <f t="shared" si="4"/>
        <v>0.2360801782</v>
      </c>
      <c r="L4299" s="2">
        <v>53.0</v>
      </c>
      <c r="M4299" s="3">
        <f t="shared" si="5"/>
        <v>0.5520833333</v>
      </c>
      <c r="N4299" s="2">
        <v>573000.0</v>
      </c>
      <c r="O4299" s="4">
        <f t="shared" si="6"/>
        <v>5968.75</v>
      </c>
      <c r="P4299" s="2">
        <v>1.0</v>
      </c>
      <c r="Q4299" s="3">
        <f t="shared" si="7"/>
        <v>0.02325581395</v>
      </c>
      <c r="R4299" s="2">
        <v>41.0</v>
      </c>
      <c r="S4299" s="5">
        <f t="shared" si="8"/>
        <v>0.9534883721</v>
      </c>
    </row>
    <row r="4300">
      <c r="A4300" s="2" t="s">
        <v>4303</v>
      </c>
      <c r="B4300" s="2">
        <v>524.0</v>
      </c>
      <c r="C4300" s="2">
        <v>6062.0</v>
      </c>
      <c r="D4300" s="2">
        <v>1780.0</v>
      </c>
      <c r="E4300" s="3">
        <f t="shared" si="1"/>
        <v>0.3214156735</v>
      </c>
      <c r="F4300" s="2">
        <v>703.0</v>
      </c>
      <c r="G4300" s="3">
        <f t="shared" si="2"/>
        <v>0.126941134</v>
      </c>
      <c r="H4300" s="2">
        <v>1187.0</v>
      </c>
      <c r="I4300" s="3">
        <f t="shared" si="3"/>
        <v>0.2143373059</v>
      </c>
      <c r="J4300" s="2">
        <v>1002.0</v>
      </c>
      <c r="K4300" s="3">
        <f t="shared" si="4"/>
        <v>0.1809317443</v>
      </c>
      <c r="L4300" s="2">
        <v>710.0</v>
      </c>
      <c r="M4300" s="3">
        <f t="shared" si="5"/>
        <v>0.598146588</v>
      </c>
      <c r="N4300" s="2">
        <v>6958500.0</v>
      </c>
      <c r="O4300" s="4">
        <f t="shared" si="6"/>
        <v>5862.257793</v>
      </c>
      <c r="P4300" s="2">
        <v>2.0</v>
      </c>
      <c r="Q4300" s="3">
        <f t="shared" si="7"/>
        <v>0.003816793893</v>
      </c>
      <c r="R4300" s="2">
        <v>0.0</v>
      </c>
      <c r="S4300" s="5">
        <f t="shared" si="8"/>
        <v>0</v>
      </c>
    </row>
    <row r="4301">
      <c r="A4301" s="2" t="s">
        <v>4304</v>
      </c>
      <c r="B4301" s="2">
        <v>578.0</v>
      </c>
      <c r="C4301" s="2">
        <v>6896.0</v>
      </c>
      <c r="D4301" s="2">
        <v>2219.0</v>
      </c>
      <c r="E4301" s="3">
        <f t="shared" si="1"/>
        <v>0.3512187401</v>
      </c>
      <c r="F4301" s="2">
        <v>802.0</v>
      </c>
      <c r="G4301" s="3">
        <f t="shared" si="2"/>
        <v>0.1269389047</v>
      </c>
      <c r="H4301" s="2">
        <v>1220.0</v>
      </c>
      <c r="I4301" s="3">
        <f t="shared" si="3"/>
        <v>0.193099082</v>
      </c>
      <c r="J4301" s="2">
        <v>1080.0</v>
      </c>
      <c r="K4301" s="3">
        <f t="shared" si="4"/>
        <v>0.1709401709</v>
      </c>
      <c r="L4301" s="2">
        <v>700.0</v>
      </c>
      <c r="M4301" s="3">
        <f t="shared" si="5"/>
        <v>0.5737704918</v>
      </c>
      <c r="N4301" s="2">
        <v>7027800.0</v>
      </c>
      <c r="O4301" s="4">
        <f t="shared" si="6"/>
        <v>5760.491803</v>
      </c>
      <c r="P4301" s="2">
        <v>1.0</v>
      </c>
      <c r="Q4301" s="3">
        <f t="shared" si="7"/>
        <v>0.001730103806</v>
      </c>
      <c r="R4301" s="2">
        <v>556.0</v>
      </c>
      <c r="S4301" s="5">
        <f t="shared" si="8"/>
        <v>0.9619377163</v>
      </c>
    </row>
    <row r="4302">
      <c r="A4302" s="2" t="s">
        <v>4305</v>
      </c>
      <c r="B4302" s="2">
        <v>94.0</v>
      </c>
      <c r="C4302" s="2">
        <v>1126.0</v>
      </c>
      <c r="D4302" s="2">
        <v>323.0</v>
      </c>
      <c r="E4302" s="3">
        <f t="shared" si="1"/>
        <v>0.3129844961</v>
      </c>
      <c r="F4302" s="2">
        <v>131.0</v>
      </c>
      <c r="G4302" s="3">
        <f t="shared" si="2"/>
        <v>0.1269379845</v>
      </c>
      <c r="H4302" s="2">
        <v>193.0</v>
      </c>
      <c r="I4302" s="3">
        <f t="shared" si="3"/>
        <v>0.1870155039</v>
      </c>
      <c r="J4302" s="2">
        <v>165.0</v>
      </c>
      <c r="K4302" s="3">
        <f t="shared" si="4"/>
        <v>0.1598837209</v>
      </c>
      <c r="L4302" s="2">
        <v>119.0</v>
      </c>
      <c r="M4302" s="3">
        <f t="shared" si="5"/>
        <v>0.6165803109</v>
      </c>
      <c r="N4302" s="2">
        <v>1017000.0</v>
      </c>
      <c r="O4302" s="4">
        <f t="shared" si="6"/>
        <v>5269.430052</v>
      </c>
      <c r="P4302" s="2">
        <v>0.0</v>
      </c>
      <c r="Q4302" s="3">
        <f t="shared" si="7"/>
        <v>0</v>
      </c>
      <c r="R4302" s="2">
        <v>94.0</v>
      </c>
      <c r="S4302" s="5">
        <f t="shared" si="8"/>
        <v>1</v>
      </c>
    </row>
    <row r="4303">
      <c r="A4303" s="2" t="s">
        <v>4306</v>
      </c>
      <c r="B4303" s="2">
        <v>1450.0</v>
      </c>
      <c r="C4303" s="2">
        <v>17064.0</v>
      </c>
      <c r="D4303" s="2">
        <v>5351.0</v>
      </c>
      <c r="E4303" s="3">
        <f t="shared" si="1"/>
        <v>0.3427052645</v>
      </c>
      <c r="F4303" s="2">
        <v>1982.0</v>
      </c>
      <c r="G4303" s="3">
        <f t="shared" si="2"/>
        <v>0.1269373639</v>
      </c>
      <c r="H4303" s="2">
        <v>3374.0</v>
      </c>
      <c r="I4303" s="3">
        <f t="shared" si="3"/>
        <v>0.216088126</v>
      </c>
      <c r="J4303" s="2">
        <v>2683.0</v>
      </c>
      <c r="K4303" s="3">
        <f t="shared" si="4"/>
        <v>0.1718329704</v>
      </c>
      <c r="L4303" s="2">
        <v>2005.0</v>
      </c>
      <c r="M4303" s="3">
        <f t="shared" si="5"/>
        <v>0.5942501482</v>
      </c>
      <c r="N4303" s="2">
        <v>1.83104E7</v>
      </c>
      <c r="O4303" s="4">
        <f t="shared" si="6"/>
        <v>5426.911678</v>
      </c>
      <c r="P4303" s="2">
        <v>2.0</v>
      </c>
      <c r="Q4303" s="3">
        <f t="shared" si="7"/>
        <v>0.001379310345</v>
      </c>
      <c r="R4303" s="2">
        <v>1450.0</v>
      </c>
      <c r="S4303" s="5">
        <f t="shared" si="8"/>
        <v>1</v>
      </c>
    </row>
    <row r="4304">
      <c r="A4304" s="2" t="s">
        <v>4307</v>
      </c>
      <c r="B4304" s="2">
        <v>1225.0</v>
      </c>
      <c r="C4304" s="2">
        <v>14429.0</v>
      </c>
      <c r="D4304" s="2">
        <v>4392.0</v>
      </c>
      <c r="E4304" s="3">
        <f t="shared" si="1"/>
        <v>0.3326264768</v>
      </c>
      <c r="F4304" s="2">
        <v>1676.0</v>
      </c>
      <c r="G4304" s="3">
        <f t="shared" si="2"/>
        <v>0.126931233</v>
      </c>
      <c r="H4304" s="2">
        <v>2800.0</v>
      </c>
      <c r="I4304" s="3">
        <f t="shared" si="3"/>
        <v>0.2120569524</v>
      </c>
      <c r="J4304" s="2">
        <v>2362.0</v>
      </c>
      <c r="K4304" s="3">
        <f t="shared" si="4"/>
        <v>0.1788851863</v>
      </c>
      <c r="L4304" s="2">
        <v>1720.0</v>
      </c>
      <c r="M4304" s="3">
        <f t="shared" si="5"/>
        <v>0.6142857143</v>
      </c>
      <c r="N4304" s="2">
        <v>1.57661E7</v>
      </c>
      <c r="O4304" s="4">
        <f t="shared" si="6"/>
        <v>5630.75</v>
      </c>
      <c r="P4304" s="2">
        <v>2.0</v>
      </c>
      <c r="Q4304" s="3">
        <f t="shared" si="7"/>
        <v>0.001632653061</v>
      </c>
      <c r="R4304" s="2">
        <v>1146.0</v>
      </c>
      <c r="S4304" s="5">
        <f t="shared" si="8"/>
        <v>0.9355102041</v>
      </c>
    </row>
    <row r="4305">
      <c r="A4305" s="2" t="s">
        <v>4308</v>
      </c>
      <c r="B4305" s="2">
        <v>49.0</v>
      </c>
      <c r="C4305" s="2">
        <v>569.0</v>
      </c>
      <c r="D4305" s="2">
        <v>154.0</v>
      </c>
      <c r="E4305" s="3">
        <f t="shared" si="1"/>
        <v>0.2961538462</v>
      </c>
      <c r="F4305" s="2">
        <v>66.0</v>
      </c>
      <c r="G4305" s="3">
        <f t="shared" si="2"/>
        <v>0.1269230769</v>
      </c>
      <c r="H4305" s="2">
        <v>92.0</v>
      </c>
      <c r="I4305" s="3">
        <f t="shared" si="3"/>
        <v>0.1769230769</v>
      </c>
      <c r="J4305" s="2">
        <v>101.0</v>
      </c>
      <c r="K4305" s="3">
        <f t="shared" si="4"/>
        <v>0.1942307692</v>
      </c>
      <c r="L4305" s="2">
        <v>56.0</v>
      </c>
      <c r="M4305" s="3">
        <f t="shared" si="5"/>
        <v>0.6086956522</v>
      </c>
      <c r="N4305" s="2">
        <v>518500.0</v>
      </c>
      <c r="O4305" s="4">
        <f t="shared" si="6"/>
        <v>5635.869565</v>
      </c>
      <c r="P4305" s="2">
        <v>0.0</v>
      </c>
      <c r="Q4305" s="3">
        <f t="shared" si="7"/>
        <v>0</v>
      </c>
      <c r="R4305" s="2">
        <v>46.0</v>
      </c>
      <c r="S4305" s="5">
        <f t="shared" si="8"/>
        <v>0.9387755102</v>
      </c>
    </row>
    <row r="4306">
      <c r="A4306" s="2" t="s">
        <v>4309</v>
      </c>
      <c r="B4306" s="2">
        <v>556.0</v>
      </c>
      <c r="C4306" s="2">
        <v>6521.0</v>
      </c>
      <c r="D4306" s="2">
        <v>2120.0</v>
      </c>
      <c r="E4306" s="3">
        <f t="shared" si="1"/>
        <v>0.3554065381</v>
      </c>
      <c r="F4306" s="2">
        <v>757.0</v>
      </c>
      <c r="G4306" s="3">
        <f t="shared" si="2"/>
        <v>0.1269069573</v>
      </c>
      <c r="H4306" s="2">
        <v>1247.0</v>
      </c>
      <c r="I4306" s="3">
        <f t="shared" si="3"/>
        <v>0.209052808</v>
      </c>
      <c r="J4306" s="2">
        <v>898.0</v>
      </c>
      <c r="K4306" s="3">
        <f t="shared" si="4"/>
        <v>0.1505448449</v>
      </c>
      <c r="L4306" s="2">
        <v>765.0</v>
      </c>
      <c r="M4306" s="3">
        <f t="shared" si="5"/>
        <v>0.6134723336</v>
      </c>
      <c r="N4306" s="2">
        <v>6765300.0</v>
      </c>
      <c r="O4306" s="4">
        <f t="shared" si="6"/>
        <v>5425.260626</v>
      </c>
      <c r="P4306" s="2">
        <v>1.0</v>
      </c>
      <c r="Q4306" s="3">
        <f t="shared" si="7"/>
        <v>0.001798561151</v>
      </c>
      <c r="R4306" s="2">
        <v>554.0</v>
      </c>
      <c r="S4306" s="5">
        <f t="shared" si="8"/>
        <v>0.9964028777</v>
      </c>
    </row>
    <row r="4307">
      <c r="A4307" s="2" t="s">
        <v>4310</v>
      </c>
      <c r="B4307" s="2">
        <v>1662.0</v>
      </c>
      <c r="C4307" s="2">
        <v>19754.0</v>
      </c>
      <c r="D4307" s="2">
        <v>6784.0</v>
      </c>
      <c r="E4307" s="3">
        <f t="shared" si="1"/>
        <v>0.3749723635</v>
      </c>
      <c r="F4307" s="2">
        <v>2296.0</v>
      </c>
      <c r="G4307" s="3">
        <f t="shared" si="2"/>
        <v>0.1269069202</v>
      </c>
      <c r="H4307" s="2">
        <v>3735.0</v>
      </c>
      <c r="I4307" s="3">
        <f t="shared" si="3"/>
        <v>0.2064448375</v>
      </c>
      <c r="J4307" s="2">
        <v>3187.0</v>
      </c>
      <c r="K4307" s="3">
        <f t="shared" si="4"/>
        <v>0.1761552067</v>
      </c>
      <c r="L4307" s="2">
        <v>2206.0</v>
      </c>
      <c r="M4307" s="3">
        <f t="shared" si="5"/>
        <v>0.5906291834</v>
      </c>
      <c r="N4307" s="2">
        <v>2.08623E7</v>
      </c>
      <c r="O4307" s="4">
        <f t="shared" si="6"/>
        <v>5585.62249</v>
      </c>
      <c r="P4307" s="2">
        <v>3.0</v>
      </c>
      <c r="Q4307" s="3">
        <f t="shared" si="7"/>
        <v>0.001805054152</v>
      </c>
      <c r="R4307" s="2">
        <v>1589.0</v>
      </c>
      <c r="S4307" s="5">
        <f t="shared" si="8"/>
        <v>0.9560770156</v>
      </c>
    </row>
    <row r="4308">
      <c r="A4308" s="2" t="s">
        <v>4311</v>
      </c>
      <c r="B4308" s="2">
        <v>444.0</v>
      </c>
      <c r="C4308" s="2">
        <v>5180.0</v>
      </c>
      <c r="D4308" s="2">
        <v>1796.0</v>
      </c>
      <c r="E4308" s="3">
        <f t="shared" si="1"/>
        <v>0.379222973</v>
      </c>
      <c r="F4308" s="2">
        <v>601.0</v>
      </c>
      <c r="G4308" s="3">
        <f t="shared" si="2"/>
        <v>0.1269003378</v>
      </c>
      <c r="H4308" s="2">
        <v>1007.0</v>
      </c>
      <c r="I4308" s="3">
        <f t="shared" si="3"/>
        <v>0.2126266892</v>
      </c>
      <c r="J4308" s="2">
        <v>728.0</v>
      </c>
      <c r="K4308" s="3">
        <f t="shared" si="4"/>
        <v>0.1537162162</v>
      </c>
      <c r="L4308" s="2">
        <v>605.0</v>
      </c>
      <c r="M4308" s="3">
        <f t="shared" si="5"/>
        <v>0.6007944389</v>
      </c>
      <c r="N4308" s="2">
        <v>5600600.0</v>
      </c>
      <c r="O4308" s="4">
        <f t="shared" si="6"/>
        <v>5561.668322</v>
      </c>
      <c r="P4308" s="2">
        <v>1.0</v>
      </c>
      <c r="Q4308" s="3">
        <f t="shared" si="7"/>
        <v>0.002252252252</v>
      </c>
      <c r="R4308" s="2">
        <v>444.0</v>
      </c>
      <c r="S4308" s="5">
        <f t="shared" si="8"/>
        <v>1</v>
      </c>
    </row>
    <row r="4309">
      <c r="A4309" s="2" t="s">
        <v>4312</v>
      </c>
      <c r="B4309" s="2">
        <v>1625.0</v>
      </c>
      <c r="C4309" s="2">
        <v>18986.0</v>
      </c>
      <c r="D4309" s="2">
        <v>6416.0</v>
      </c>
      <c r="E4309" s="3">
        <f t="shared" si="1"/>
        <v>0.3695639652</v>
      </c>
      <c r="F4309" s="2">
        <v>2203.0</v>
      </c>
      <c r="G4309" s="3">
        <f t="shared" si="2"/>
        <v>0.1268936121</v>
      </c>
      <c r="H4309" s="2">
        <v>3643.0</v>
      </c>
      <c r="I4309" s="3">
        <f t="shared" si="3"/>
        <v>0.209838143</v>
      </c>
      <c r="J4309" s="2">
        <v>2635.0</v>
      </c>
      <c r="K4309" s="3">
        <f t="shared" si="4"/>
        <v>0.1517769714</v>
      </c>
      <c r="L4309" s="2">
        <v>2224.0</v>
      </c>
      <c r="M4309" s="3">
        <f t="shared" si="5"/>
        <v>0.6104858633</v>
      </c>
      <c r="N4309" s="2">
        <v>2.01791E7</v>
      </c>
      <c r="O4309" s="4">
        <f t="shared" si="6"/>
        <v>5539.143563</v>
      </c>
      <c r="P4309" s="2">
        <v>6.0</v>
      </c>
      <c r="Q4309" s="3">
        <f t="shared" si="7"/>
        <v>0.003692307692</v>
      </c>
      <c r="R4309" s="2">
        <v>1550.0</v>
      </c>
      <c r="S4309" s="5">
        <f t="shared" si="8"/>
        <v>0.9538461538</v>
      </c>
    </row>
    <row r="4310">
      <c r="A4310" s="2" t="s">
        <v>4313</v>
      </c>
      <c r="B4310" s="2">
        <v>99.0</v>
      </c>
      <c r="C4310" s="2">
        <v>1092.0</v>
      </c>
      <c r="D4310" s="2">
        <v>340.0</v>
      </c>
      <c r="E4310" s="3">
        <f t="shared" si="1"/>
        <v>0.3423967774</v>
      </c>
      <c r="F4310" s="2">
        <v>126.0</v>
      </c>
      <c r="G4310" s="3">
        <f t="shared" si="2"/>
        <v>0.1268882175</v>
      </c>
      <c r="H4310" s="2">
        <v>206.0</v>
      </c>
      <c r="I4310" s="3">
        <f t="shared" si="3"/>
        <v>0.2074521652</v>
      </c>
      <c r="J4310" s="2">
        <v>174.0</v>
      </c>
      <c r="K4310" s="3">
        <f t="shared" si="4"/>
        <v>0.1752265861</v>
      </c>
      <c r="L4310" s="2">
        <v>121.0</v>
      </c>
      <c r="M4310" s="3">
        <f t="shared" si="5"/>
        <v>0.5873786408</v>
      </c>
      <c r="N4310" s="2">
        <v>1248900.0</v>
      </c>
      <c r="O4310" s="4">
        <f t="shared" si="6"/>
        <v>6062.621359</v>
      </c>
      <c r="P4310" s="2">
        <v>0.0</v>
      </c>
      <c r="Q4310" s="3">
        <f t="shared" si="7"/>
        <v>0</v>
      </c>
      <c r="R4310" s="2">
        <v>19.0</v>
      </c>
      <c r="S4310" s="5">
        <f t="shared" si="8"/>
        <v>0.1919191919</v>
      </c>
    </row>
    <row r="4311">
      <c r="A4311" s="2" t="s">
        <v>4314</v>
      </c>
      <c r="B4311" s="2">
        <v>257.0</v>
      </c>
      <c r="C4311" s="2">
        <v>3039.0</v>
      </c>
      <c r="D4311" s="2">
        <v>1041.0</v>
      </c>
      <c r="E4311" s="3">
        <f t="shared" si="1"/>
        <v>0.3741912293</v>
      </c>
      <c r="F4311" s="2">
        <v>353.0</v>
      </c>
      <c r="G4311" s="3">
        <f t="shared" si="2"/>
        <v>0.1268871316</v>
      </c>
      <c r="H4311" s="2">
        <v>606.0</v>
      </c>
      <c r="I4311" s="3">
        <f t="shared" si="3"/>
        <v>0.2178289001</v>
      </c>
      <c r="J4311" s="2">
        <v>417.0</v>
      </c>
      <c r="K4311" s="3">
        <f t="shared" si="4"/>
        <v>0.1498921639</v>
      </c>
      <c r="L4311" s="2">
        <v>365.0</v>
      </c>
      <c r="M4311" s="3">
        <f t="shared" si="5"/>
        <v>0.602310231</v>
      </c>
      <c r="N4311" s="2">
        <v>3418800.0</v>
      </c>
      <c r="O4311" s="4">
        <f t="shared" si="6"/>
        <v>5641.584158</v>
      </c>
      <c r="P4311" s="2">
        <v>0.0</v>
      </c>
      <c r="Q4311" s="3">
        <f t="shared" si="7"/>
        <v>0</v>
      </c>
      <c r="R4311" s="2">
        <v>0.0</v>
      </c>
      <c r="S4311" s="5">
        <f t="shared" si="8"/>
        <v>0</v>
      </c>
    </row>
    <row r="4312">
      <c r="A4312" s="2" t="s">
        <v>4315</v>
      </c>
      <c r="B4312" s="2">
        <v>1176.0</v>
      </c>
      <c r="C4312" s="2">
        <v>13857.0</v>
      </c>
      <c r="D4312" s="2">
        <v>4136.0</v>
      </c>
      <c r="E4312" s="3">
        <f t="shared" si="1"/>
        <v>0.3261572431</v>
      </c>
      <c r="F4312" s="2">
        <v>1609.0</v>
      </c>
      <c r="G4312" s="3">
        <f t="shared" si="2"/>
        <v>0.126882738</v>
      </c>
      <c r="H4312" s="2">
        <v>2757.0</v>
      </c>
      <c r="I4312" s="3">
        <f t="shared" si="3"/>
        <v>0.217411876</v>
      </c>
      <c r="J4312" s="2">
        <v>2551.0</v>
      </c>
      <c r="K4312" s="3">
        <f t="shared" si="4"/>
        <v>0.2011671004</v>
      </c>
      <c r="L4312" s="2">
        <v>1668.0</v>
      </c>
      <c r="M4312" s="3">
        <f t="shared" si="5"/>
        <v>0.6050054407</v>
      </c>
      <c r="N4312" s="2">
        <v>1.61226E7</v>
      </c>
      <c r="O4312" s="4">
        <f t="shared" si="6"/>
        <v>5847.878128</v>
      </c>
      <c r="P4312" s="2">
        <v>3.0</v>
      </c>
      <c r="Q4312" s="3">
        <f t="shared" si="7"/>
        <v>0.002551020408</v>
      </c>
      <c r="R4312" s="2">
        <v>1176.0</v>
      </c>
      <c r="S4312" s="5">
        <f t="shared" si="8"/>
        <v>1</v>
      </c>
    </row>
    <row r="4313">
      <c r="A4313" s="2" t="s">
        <v>4316</v>
      </c>
      <c r="B4313" s="2">
        <v>629.0</v>
      </c>
      <c r="C4313" s="2">
        <v>7297.0</v>
      </c>
      <c r="D4313" s="2">
        <v>2130.0</v>
      </c>
      <c r="E4313" s="3">
        <f t="shared" si="1"/>
        <v>0.3194361128</v>
      </c>
      <c r="F4313" s="2">
        <v>846.0</v>
      </c>
      <c r="G4313" s="3">
        <f t="shared" si="2"/>
        <v>0.1268746251</v>
      </c>
      <c r="H4313" s="2">
        <v>1470.0</v>
      </c>
      <c r="I4313" s="3">
        <f t="shared" si="3"/>
        <v>0.2204559088</v>
      </c>
      <c r="J4313" s="2">
        <v>1338.0</v>
      </c>
      <c r="K4313" s="3">
        <f t="shared" si="4"/>
        <v>0.200659868</v>
      </c>
      <c r="L4313" s="2">
        <v>855.0</v>
      </c>
      <c r="M4313" s="3">
        <f t="shared" si="5"/>
        <v>0.5816326531</v>
      </c>
      <c r="N4313" s="2">
        <v>8622600.0</v>
      </c>
      <c r="O4313" s="4">
        <f t="shared" si="6"/>
        <v>5865.714286</v>
      </c>
      <c r="P4313" s="2">
        <v>1.0</v>
      </c>
      <c r="Q4313" s="3">
        <f t="shared" si="7"/>
        <v>0.001589825119</v>
      </c>
      <c r="R4313" s="2">
        <v>629.0</v>
      </c>
      <c r="S4313" s="5">
        <f t="shared" si="8"/>
        <v>1</v>
      </c>
    </row>
    <row r="4314">
      <c r="A4314" s="2" t="s">
        <v>4317</v>
      </c>
      <c r="B4314" s="2">
        <v>2893.0</v>
      </c>
      <c r="C4314" s="2">
        <v>34200.0</v>
      </c>
      <c r="D4314" s="2">
        <v>12209.0</v>
      </c>
      <c r="E4314" s="3">
        <f t="shared" si="1"/>
        <v>0.3899766825</v>
      </c>
      <c r="F4314" s="2">
        <v>3972.0</v>
      </c>
      <c r="G4314" s="3">
        <f t="shared" si="2"/>
        <v>0.1268725844</v>
      </c>
      <c r="H4314" s="2">
        <v>6915.0</v>
      </c>
      <c r="I4314" s="3">
        <f t="shared" si="3"/>
        <v>0.2208771201</v>
      </c>
      <c r="J4314" s="2">
        <v>5265.0</v>
      </c>
      <c r="K4314" s="3">
        <f t="shared" si="4"/>
        <v>0.168173252</v>
      </c>
      <c r="L4314" s="2">
        <v>4164.0</v>
      </c>
      <c r="M4314" s="3">
        <f t="shared" si="5"/>
        <v>0.6021691974</v>
      </c>
      <c r="N4314" s="2">
        <v>3.73535E7</v>
      </c>
      <c r="O4314" s="4">
        <f t="shared" si="6"/>
        <v>5401.807664</v>
      </c>
      <c r="P4314" s="2">
        <v>5.0</v>
      </c>
      <c r="Q4314" s="3">
        <f t="shared" si="7"/>
        <v>0.001728309713</v>
      </c>
      <c r="R4314" s="2">
        <v>0.0</v>
      </c>
      <c r="S4314" s="5">
        <f t="shared" si="8"/>
        <v>0</v>
      </c>
    </row>
    <row r="4315">
      <c r="A4315" s="2" t="s">
        <v>4318</v>
      </c>
      <c r="B4315" s="2">
        <v>241.0</v>
      </c>
      <c r="C4315" s="2">
        <v>2850.0</v>
      </c>
      <c r="D4315" s="2">
        <v>977.0</v>
      </c>
      <c r="E4315" s="3">
        <f t="shared" si="1"/>
        <v>0.3744729782</v>
      </c>
      <c r="F4315" s="2">
        <v>331.0</v>
      </c>
      <c r="G4315" s="3">
        <f t="shared" si="2"/>
        <v>0.126868532</v>
      </c>
      <c r="H4315" s="2">
        <v>555.0</v>
      </c>
      <c r="I4315" s="3">
        <f t="shared" si="3"/>
        <v>0.2127251821</v>
      </c>
      <c r="J4315" s="2">
        <v>435.0</v>
      </c>
      <c r="K4315" s="3">
        <f t="shared" si="4"/>
        <v>0.1667305481</v>
      </c>
      <c r="L4315" s="2">
        <v>350.0</v>
      </c>
      <c r="M4315" s="3">
        <f t="shared" si="5"/>
        <v>0.6306306306</v>
      </c>
      <c r="N4315" s="2">
        <v>3151300.0</v>
      </c>
      <c r="O4315" s="4">
        <f t="shared" si="6"/>
        <v>5678.018018</v>
      </c>
      <c r="P4315" s="2">
        <v>2.0</v>
      </c>
      <c r="Q4315" s="3">
        <f t="shared" si="7"/>
        <v>0.008298755187</v>
      </c>
      <c r="R4315" s="2">
        <v>241.0</v>
      </c>
      <c r="S4315" s="5">
        <f t="shared" si="8"/>
        <v>1</v>
      </c>
    </row>
    <row r="4316">
      <c r="A4316" s="2" t="s">
        <v>4319</v>
      </c>
      <c r="B4316" s="2">
        <v>327.0</v>
      </c>
      <c r="C4316" s="2">
        <v>3874.0</v>
      </c>
      <c r="D4316" s="2">
        <v>1257.0</v>
      </c>
      <c r="E4316" s="3">
        <f t="shared" si="1"/>
        <v>0.3543839865</v>
      </c>
      <c r="F4316" s="2">
        <v>450.0</v>
      </c>
      <c r="G4316" s="3">
        <f t="shared" si="2"/>
        <v>0.1268677756</v>
      </c>
      <c r="H4316" s="2">
        <v>772.0</v>
      </c>
      <c r="I4316" s="3">
        <f t="shared" si="3"/>
        <v>0.2176487172</v>
      </c>
      <c r="J4316" s="2">
        <v>571.0</v>
      </c>
      <c r="K4316" s="3">
        <f t="shared" si="4"/>
        <v>0.1609811108</v>
      </c>
      <c r="L4316" s="2">
        <v>472.0</v>
      </c>
      <c r="M4316" s="3">
        <f t="shared" si="5"/>
        <v>0.6113989637</v>
      </c>
      <c r="N4316" s="2">
        <v>4014000.0</v>
      </c>
      <c r="O4316" s="4">
        <f t="shared" si="6"/>
        <v>5199.481865</v>
      </c>
      <c r="P4316" s="2">
        <v>0.0</v>
      </c>
      <c r="Q4316" s="3">
        <f t="shared" si="7"/>
        <v>0</v>
      </c>
      <c r="R4316" s="2">
        <v>0.0</v>
      </c>
      <c r="S4316" s="5">
        <f t="shared" si="8"/>
        <v>0</v>
      </c>
    </row>
    <row r="4317">
      <c r="A4317" s="2" t="s">
        <v>4320</v>
      </c>
      <c r="B4317" s="2">
        <v>365.0</v>
      </c>
      <c r="C4317" s="2">
        <v>4314.0</v>
      </c>
      <c r="D4317" s="2">
        <v>1684.0</v>
      </c>
      <c r="E4317" s="3">
        <f t="shared" si="1"/>
        <v>0.4264370727</v>
      </c>
      <c r="F4317" s="2">
        <v>501.0</v>
      </c>
      <c r="G4317" s="3">
        <f t="shared" si="2"/>
        <v>0.1268675614</v>
      </c>
      <c r="H4317" s="2">
        <v>867.0</v>
      </c>
      <c r="I4317" s="3">
        <f t="shared" si="3"/>
        <v>0.219549253</v>
      </c>
      <c r="J4317" s="2">
        <v>582.0</v>
      </c>
      <c r="K4317" s="3">
        <f t="shared" si="4"/>
        <v>0.1473790833</v>
      </c>
      <c r="L4317" s="2">
        <v>529.0</v>
      </c>
      <c r="M4317" s="3">
        <f t="shared" si="5"/>
        <v>0.6101499423</v>
      </c>
      <c r="N4317" s="2">
        <v>4190000.0</v>
      </c>
      <c r="O4317" s="4">
        <f t="shared" si="6"/>
        <v>4832.756632</v>
      </c>
      <c r="P4317" s="2">
        <v>0.0</v>
      </c>
      <c r="Q4317" s="3">
        <f t="shared" si="7"/>
        <v>0</v>
      </c>
      <c r="R4317" s="2">
        <v>14.0</v>
      </c>
      <c r="S4317" s="5">
        <f t="shared" si="8"/>
        <v>0.03835616438</v>
      </c>
    </row>
    <row r="4318">
      <c r="A4318" s="2" t="s">
        <v>4321</v>
      </c>
      <c r="B4318" s="2">
        <v>12.0</v>
      </c>
      <c r="C4318" s="2">
        <v>146.0</v>
      </c>
      <c r="D4318" s="2">
        <v>43.0</v>
      </c>
      <c r="E4318" s="3">
        <f t="shared" si="1"/>
        <v>0.3208955224</v>
      </c>
      <c r="F4318" s="2">
        <v>17.0</v>
      </c>
      <c r="G4318" s="3">
        <f t="shared" si="2"/>
        <v>0.1268656716</v>
      </c>
      <c r="H4318" s="2">
        <v>28.0</v>
      </c>
      <c r="I4318" s="3">
        <f t="shared" si="3"/>
        <v>0.2089552239</v>
      </c>
      <c r="J4318" s="2">
        <v>22.0</v>
      </c>
      <c r="K4318" s="3">
        <f t="shared" si="4"/>
        <v>0.1641791045</v>
      </c>
      <c r="L4318" s="2">
        <v>15.0</v>
      </c>
      <c r="M4318" s="3">
        <f t="shared" si="5"/>
        <v>0.5357142857</v>
      </c>
      <c r="N4318" s="2">
        <v>142400.0</v>
      </c>
      <c r="O4318" s="4">
        <f t="shared" si="6"/>
        <v>5085.714286</v>
      </c>
      <c r="P4318" s="2">
        <v>0.0</v>
      </c>
      <c r="Q4318" s="3">
        <f t="shared" si="7"/>
        <v>0</v>
      </c>
      <c r="R4318" s="2">
        <v>0.0</v>
      </c>
      <c r="S4318" s="5">
        <f t="shared" si="8"/>
        <v>0</v>
      </c>
    </row>
    <row r="4319">
      <c r="A4319" s="2" t="s">
        <v>4322</v>
      </c>
      <c r="B4319" s="2">
        <v>903.0</v>
      </c>
      <c r="C4319" s="2">
        <v>10638.0</v>
      </c>
      <c r="D4319" s="2">
        <v>3511.0</v>
      </c>
      <c r="E4319" s="3">
        <f t="shared" si="1"/>
        <v>0.3606574217</v>
      </c>
      <c r="F4319" s="2">
        <v>1235.0</v>
      </c>
      <c r="G4319" s="3">
        <f t="shared" si="2"/>
        <v>0.1268618387</v>
      </c>
      <c r="H4319" s="2">
        <v>2078.0</v>
      </c>
      <c r="I4319" s="3">
        <f t="shared" si="3"/>
        <v>0.2134565999</v>
      </c>
      <c r="J4319" s="2">
        <v>1656.0</v>
      </c>
      <c r="K4319" s="3">
        <f t="shared" si="4"/>
        <v>0.1701078582</v>
      </c>
      <c r="L4319" s="2">
        <v>1242.0</v>
      </c>
      <c r="M4319" s="3">
        <f t="shared" si="5"/>
        <v>0.5976900866</v>
      </c>
      <c r="N4319" s="2">
        <v>1.12916E7</v>
      </c>
      <c r="O4319" s="4">
        <f t="shared" si="6"/>
        <v>5433.87873</v>
      </c>
      <c r="P4319" s="2">
        <v>2.0</v>
      </c>
      <c r="Q4319" s="3">
        <f t="shared" si="7"/>
        <v>0.002214839424</v>
      </c>
      <c r="R4319" s="2">
        <v>902.0</v>
      </c>
      <c r="S4319" s="5">
        <f t="shared" si="8"/>
        <v>0.9988925803</v>
      </c>
    </row>
    <row r="4320">
      <c r="A4320" s="2" t="s">
        <v>4323</v>
      </c>
      <c r="B4320" s="2">
        <v>551.0</v>
      </c>
      <c r="C4320" s="2">
        <v>6463.0</v>
      </c>
      <c r="D4320" s="2">
        <v>1837.0</v>
      </c>
      <c r="E4320" s="3">
        <f t="shared" si="1"/>
        <v>0.3107239513</v>
      </c>
      <c r="F4320" s="2">
        <v>750.0</v>
      </c>
      <c r="G4320" s="3">
        <f t="shared" si="2"/>
        <v>0.1268606225</v>
      </c>
      <c r="H4320" s="2">
        <v>1264.0</v>
      </c>
      <c r="I4320" s="3">
        <f t="shared" si="3"/>
        <v>0.2138024357</v>
      </c>
      <c r="J4320" s="2">
        <v>1125.0</v>
      </c>
      <c r="K4320" s="3">
        <f t="shared" si="4"/>
        <v>0.1902909337</v>
      </c>
      <c r="L4320" s="2">
        <v>754.0</v>
      </c>
      <c r="M4320" s="3">
        <f t="shared" si="5"/>
        <v>0.5965189873</v>
      </c>
      <c r="N4320" s="2">
        <v>7316200.0</v>
      </c>
      <c r="O4320" s="4">
        <f t="shared" si="6"/>
        <v>5788.132911</v>
      </c>
      <c r="P4320" s="2">
        <v>4.0</v>
      </c>
      <c r="Q4320" s="3">
        <f t="shared" si="7"/>
        <v>0.007259528131</v>
      </c>
      <c r="R4320" s="2">
        <v>551.0</v>
      </c>
      <c r="S4320" s="5">
        <f t="shared" si="8"/>
        <v>1</v>
      </c>
    </row>
    <row r="4321">
      <c r="A4321" s="2" t="s">
        <v>4324</v>
      </c>
      <c r="B4321" s="2">
        <v>825.0</v>
      </c>
      <c r="C4321" s="2">
        <v>9670.0</v>
      </c>
      <c r="D4321" s="2">
        <v>3412.0</v>
      </c>
      <c r="E4321" s="3">
        <f t="shared" si="1"/>
        <v>0.3857546637</v>
      </c>
      <c r="F4321" s="2">
        <v>1122.0</v>
      </c>
      <c r="G4321" s="3">
        <f t="shared" si="2"/>
        <v>0.1268513284</v>
      </c>
      <c r="H4321" s="2">
        <v>1871.0</v>
      </c>
      <c r="I4321" s="3">
        <f t="shared" si="3"/>
        <v>0.2115319389</v>
      </c>
      <c r="J4321" s="2">
        <v>1550.0</v>
      </c>
      <c r="K4321" s="3">
        <f t="shared" si="4"/>
        <v>0.1752402487</v>
      </c>
      <c r="L4321" s="2">
        <v>1120.0</v>
      </c>
      <c r="M4321" s="3">
        <f t="shared" si="5"/>
        <v>0.5986103688</v>
      </c>
      <c r="N4321" s="2">
        <v>1.06699E7</v>
      </c>
      <c r="O4321" s="4">
        <f t="shared" si="6"/>
        <v>5702.779262</v>
      </c>
      <c r="P4321" s="2">
        <v>1.0</v>
      </c>
      <c r="Q4321" s="3">
        <f t="shared" si="7"/>
        <v>0.001212121212</v>
      </c>
      <c r="R4321" s="2">
        <v>825.0</v>
      </c>
      <c r="S4321" s="5">
        <f t="shared" si="8"/>
        <v>1</v>
      </c>
    </row>
    <row r="4322">
      <c r="A4322" s="2" t="s">
        <v>4325</v>
      </c>
      <c r="B4322" s="2">
        <v>563.0</v>
      </c>
      <c r="C4322" s="2">
        <v>6594.0</v>
      </c>
      <c r="D4322" s="2">
        <v>2227.0</v>
      </c>
      <c r="E4322" s="3">
        <f t="shared" si="1"/>
        <v>0.3692588294</v>
      </c>
      <c r="F4322" s="2">
        <v>765.0</v>
      </c>
      <c r="G4322" s="3">
        <f t="shared" si="2"/>
        <v>0.126844636</v>
      </c>
      <c r="H4322" s="2">
        <v>1234.0</v>
      </c>
      <c r="I4322" s="3">
        <f t="shared" si="3"/>
        <v>0.2046095175</v>
      </c>
      <c r="J4322" s="2">
        <v>907.0</v>
      </c>
      <c r="K4322" s="3">
        <f t="shared" si="4"/>
        <v>0.1503896535</v>
      </c>
      <c r="L4322" s="2">
        <v>704.0</v>
      </c>
      <c r="M4322" s="3">
        <f t="shared" si="5"/>
        <v>0.5705024311</v>
      </c>
      <c r="N4322" s="2">
        <v>7059400.0</v>
      </c>
      <c r="O4322" s="4">
        <f t="shared" si="6"/>
        <v>5720.745543</v>
      </c>
      <c r="P4322" s="2">
        <v>1.0</v>
      </c>
      <c r="Q4322" s="3">
        <f t="shared" si="7"/>
        <v>0.001776198934</v>
      </c>
      <c r="R4322" s="2">
        <v>563.0</v>
      </c>
      <c r="S4322" s="5">
        <f t="shared" si="8"/>
        <v>1</v>
      </c>
    </row>
    <row r="4323">
      <c r="A4323" s="2" t="s">
        <v>4326</v>
      </c>
      <c r="B4323" s="2">
        <v>29.0</v>
      </c>
      <c r="C4323" s="2">
        <v>368.0</v>
      </c>
      <c r="D4323" s="2">
        <v>113.0</v>
      </c>
      <c r="E4323" s="3">
        <f t="shared" si="1"/>
        <v>0.3333333333</v>
      </c>
      <c r="F4323" s="2">
        <v>43.0</v>
      </c>
      <c r="G4323" s="3">
        <f t="shared" si="2"/>
        <v>0.1268436578</v>
      </c>
      <c r="H4323" s="2">
        <v>73.0</v>
      </c>
      <c r="I4323" s="3">
        <f t="shared" si="3"/>
        <v>0.215339233</v>
      </c>
      <c r="J4323" s="2">
        <v>54.0</v>
      </c>
      <c r="K4323" s="3">
        <f t="shared" si="4"/>
        <v>0.1592920354</v>
      </c>
      <c r="L4323" s="2">
        <v>46.0</v>
      </c>
      <c r="M4323" s="3">
        <f t="shared" si="5"/>
        <v>0.6301369863</v>
      </c>
      <c r="N4323" s="2">
        <v>340400.0</v>
      </c>
      <c r="O4323" s="4">
        <f t="shared" si="6"/>
        <v>4663.013699</v>
      </c>
      <c r="P4323" s="2">
        <v>0.0</v>
      </c>
      <c r="Q4323" s="3">
        <f t="shared" si="7"/>
        <v>0</v>
      </c>
      <c r="R4323" s="2">
        <v>29.0</v>
      </c>
      <c r="S4323" s="5">
        <f t="shared" si="8"/>
        <v>1</v>
      </c>
    </row>
    <row r="4324">
      <c r="A4324" s="2" t="s">
        <v>4327</v>
      </c>
      <c r="B4324" s="2">
        <v>541.0</v>
      </c>
      <c r="C4324" s="2">
        <v>6265.0</v>
      </c>
      <c r="D4324" s="2">
        <v>1927.0</v>
      </c>
      <c r="E4324" s="3">
        <f t="shared" si="1"/>
        <v>0.3366526904</v>
      </c>
      <c r="F4324" s="2">
        <v>726.0</v>
      </c>
      <c r="G4324" s="3">
        <f t="shared" si="2"/>
        <v>0.1268343816</v>
      </c>
      <c r="H4324" s="2">
        <v>1163.0</v>
      </c>
      <c r="I4324" s="3">
        <f t="shared" si="3"/>
        <v>0.2031795947</v>
      </c>
      <c r="J4324" s="2">
        <v>745.0</v>
      </c>
      <c r="K4324" s="3">
        <f t="shared" si="4"/>
        <v>0.1301537386</v>
      </c>
      <c r="L4324" s="2">
        <v>703.0</v>
      </c>
      <c r="M4324" s="3">
        <f t="shared" si="5"/>
        <v>0.6044711952</v>
      </c>
      <c r="N4324" s="2">
        <v>6404800.0</v>
      </c>
      <c r="O4324" s="4">
        <f t="shared" si="6"/>
        <v>5507.136715</v>
      </c>
      <c r="P4324" s="2">
        <v>0.0</v>
      </c>
      <c r="Q4324" s="3">
        <f t="shared" si="7"/>
        <v>0</v>
      </c>
      <c r="R4324" s="2">
        <v>456.0</v>
      </c>
      <c r="S4324" s="5">
        <f t="shared" si="8"/>
        <v>0.842883549</v>
      </c>
    </row>
    <row r="4325">
      <c r="A4325" s="2" t="s">
        <v>4328</v>
      </c>
      <c r="B4325" s="2">
        <v>206.0</v>
      </c>
      <c r="C4325" s="2">
        <v>2461.0</v>
      </c>
      <c r="D4325" s="2">
        <v>783.0</v>
      </c>
      <c r="E4325" s="3">
        <f t="shared" si="1"/>
        <v>0.3472283814</v>
      </c>
      <c r="F4325" s="2">
        <v>286.0</v>
      </c>
      <c r="G4325" s="3">
        <f t="shared" si="2"/>
        <v>0.1268292683</v>
      </c>
      <c r="H4325" s="2">
        <v>443.0</v>
      </c>
      <c r="I4325" s="3">
        <f t="shared" si="3"/>
        <v>0.1964523282</v>
      </c>
      <c r="J4325" s="2">
        <v>434.0</v>
      </c>
      <c r="K4325" s="3">
        <f t="shared" si="4"/>
        <v>0.1924611973</v>
      </c>
      <c r="L4325" s="2">
        <v>260.0</v>
      </c>
      <c r="M4325" s="3">
        <f t="shared" si="5"/>
        <v>0.5869074492</v>
      </c>
      <c r="N4325" s="2">
        <v>2666700.0</v>
      </c>
      <c r="O4325" s="4">
        <f t="shared" si="6"/>
        <v>6019.638826</v>
      </c>
      <c r="P4325" s="2">
        <v>2.0</v>
      </c>
      <c r="Q4325" s="3">
        <f t="shared" si="7"/>
        <v>0.009708737864</v>
      </c>
      <c r="R4325" s="2">
        <v>206.0</v>
      </c>
      <c r="S4325" s="5">
        <f t="shared" si="8"/>
        <v>1</v>
      </c>
    </row>
    <row r="4326">
      <c r="A4326" s="2" t="s">
        <v>4329</v>
      </c>
      <c r="B4326" s="2">
        <v>431.0</v>
      </c>
      <c r="C4326" s="2">
        <v>5020.0</v>
      </c>
      <c r="D4326" s="2">
        <v>1518.0</v>
      </c>
      <c r="E4326" s="3">
        <f t="shared" si="1"/>
        <v>0.330791022</v>
      </c>
      <c r="F4326" s="2">
        <v>582.0</v>
      </c>
      <c r="G4326" s="3">
        <f t="shared" si="2"/>
        <v>0.1268250163</v>
      </c>
      <c r="H4326" s="2">
        <v>979.0</v>
      </c>
      <c r="I4326" s="3">
        <f t="shared" si="3"/>
        <v>0.2133362388</v>
      </c>
      <c r="J4326" s="2">
        <v>773.0</v>
      </c>
      <c r="K4326" s="3">
        <f t="shared" si="4"/>
        <v>0.1684462846</v>
      </c>
      <c r="L4326" s="2">
        <v>606.0</v>
      </c>
      <c r="M4326" s="3">
        <f t="shared" si="5"/>
        <v>0.6189989785</v>
      </c>
      <c r="N4326" s="2">
        <v>5466800.0</v>
      </c>
      <c r="O4326" s="4">
        <f t="shared" si="6"/>
        <v>5584.065373</v>
      </c>
      <c r="P4326" s="2">
        <v>2.0</v>
      </c>
      <c r="Q4326" s="3">
        <f t="shared" si="7"/>
        <v>0.00464037123</v>
      </c>
      <c r="R4326" s="2">
        <v>431.0</v>
      </c>
      <c r="S4326" s="5">
        <f t="shared" si="8"/>
        <v>1</v>
      </c>
    </row>
    <row r="4327">
      <c r="A4327" s="2" t="s">
        <v>4330</v>
      </c>
      <c r="B4327" s="2">
        <v>517.0</v>
      </c>
      <c r="C4327" s="2">
        <v>6092.0</v>
      </c>
      <c r="D4327" s="2">
        <v>1996.0</v>
      </c>
      <c r="E4327" s="3">
        <f t="shared" si="1"/>
        <v>0.3580269058</v>
      </c>
      <c r="F4327" s="2">
        <v>707.0</v>
      </c>
      <c r="G4327" s="3">
        <f t="shared" si="2"/>
        <v>0.1268161435</v>
      </c>
      <c r="H4327" s="2">
        <v>1208.0</v>
      </c>
      <c r="I4327" s="3">
        <f t="shared" si="3"/>
        <v>0.2166816143</v>
      </c>
      <c r="J4327" s="2">
        <v>1055.0</v>
      </c>
      <c r="K4327" s="3">
        <f t="shared" si="4"/>
        <v>0.1892376682</v>
      </c>
      <c r="L4327" s="2">
        <v>694.0</v>
      </c>
      <c r="M4327" s="3">
        <f t="shared" si="5"/>
        <v>0.5745033113</v>
      </c>
      <c r="N4327" s="2">
        <v>6276400.0</v>
      </c>
      <c r="O4327" s="4">
        <f t="shared" si="6"/>
        <v>5195.695364</v>
      </c>
      <c r="P4327" s="2">
        <v>0.0</v>
      </c>
      <c r="Q4327" s="3">
        <f t="shared" si="7"/>
        <v>0</v>
      </c>
      <c r="R4327" s="2">
        <v>517.0</v>
      </c>
      <c r="S4327" s="5">
        <f t="shared" si="8"/>
        <v>1</v>
      </c>
    </row>
    <row r="4328">
      <c r="A4328" s="2" t="s">
        <v>4331</v>
      </c>
      <c r="B4328" s="2">
        <v>65.0</v>
      </c>
      <c r="C4328" s="2">
        <v>759.0</v>
      </c>
      <c r="D4328" s="2">
        <v>271.0</v>
      </c>
      <c r="E4328" s="3">
        <f t="shared" si="1"/>
        <v>0.3904899135</v>
      </c>
      <c r="F4328" s="2">
        <v>88.0</v>
      </c>
      <c r="G4328" s="3">
        <f t="shared" si="2"/>
        <v>0.1268011527</v>
      </c>
      <c r="H4328" s="2">
        <v>122.0</v>
      </c>
      <c r="I4328" s="3">
        <f t="shared" si="3"/>
        <v>0.1757925072</v>
      </c>
      <c r="J4328" s="2">
        <v>87.0</v>
      </c>
      <c r="K4328" s="3">
        <f t="shared" si="4"/>
        <v>0.1253602305</v>
      </c>
      <c r="L4328" s="2">
        <v>75.0</v>
      </c>
      <c r="M4328" s="3">
        <f t="shared" si="5"/>
        <v>0.6147540984</v>
      </c>
      <c r="N4328" s="2">
        <v>698000.0</v>
      </c>
      <c r="O4328" s="4">
        <f t="shared" si="6"/>
        <v>5721.311475</v>
      </c>
      <c r="P4328" s="2">
        <v>0.0</v>
      </c>
      <c r="Q4328" s="3">
        <f t="shared" si="7"/>
        <v>0</v>
      </c>
      <c r="R4328" s="2">
        <v>65.0</v>
      </c>
      <c r="S4328" s="5">
        <f t="shared" si="8"/>
        <v>1</v>
      </c>
    </row>
    <row r="4329">
      <c r="A4329" s="2" t="s">
        <v>4332</v>
      </c>
      <c r="B4329" s="2">
        <v>50.0</v>
      </c>
      <c r="C4329" s="2">
        <v>610.0</v>
      </c>
      <c r="D4329" s="2">
        <v>241.0</v>
      </c>
      <c r="E4329" s="3">
        <f t="shared" si="1"/>
        <v>0.4303571429</v>
      </c>
      <c r="F4329" s="2">
        <v>71.0</v>
      </c>
      <c r="G4329" s="3">
        <f t="shared" si="2"/>
        <v>0.1267857143</v>
      </c>
      <c r="H4329" s="2">
        <v>123.0</v>
      </c>
      <c r="I4329" s="3">
        <f t="shared" si="3"/>
        <v>0.2196428571</v>
      </c>
      <c r="J4329" s="2">
        <v>101.0</v>
      </c>
      <c r="K4329" s="3">
        <f t="shared" si="4"/>
        <v>0.1803571429</v>
      </c>
      <c r="L4329" s="2">
        <v>67.0</v>
      </c>
      <c r="M4329" s="3">
        <f t="shared" si="5"/>
        <v>0.5447154472</v>
      </c>
      <c r="N4329" s="2">
        <v>742200.0</v>
      </c>
      <c r="O4329" s="4">
        <f t="shared" si="6"/>
        <v>6034.146341</v>
      </c>
      <c r="P4329" s="2">
        <v>0.0</v>
      </c>
      <c r="Q4329" s="3">
        <f t="shared" si="7"/>
        <v>0</v>
      </c>
      <c r="R4329" s="2">
        <v>50.0</v>
      </c>
      <c r="S4329" s="5">
        <f t="shared" si="8"/>
        <v>1</v>
      </c>
    </row>
    <row r="4330">
      <c r="A4330" s="2" t="s">
        <v>4333</v>
      </c>
      <c r="B4330" s="2">
        <v>673.0</v>
      </c>
      <c r="C4330" s="2">
        <v>7977.0</v>
      </c>
      <c r="D4330" s="2">
        <v>2638.0</v>
      </c>
      <c r="E4330" s="3">
        <f t="shared" si="1"/>
        <v>0.3611719606</v>
      </c>
      <c r="F4330" s="2">
        <v>926.0</v>
      </c>
      <c r="G4330" s="3">
        <f t="shared" si="2"/>
        <v>0.1267798467</v>
      </c>
      <c r="H4330" s="2">
        <v>1501.0</v>
      </c>
      <c r="I4330" s="3">
        <f t="shared" si="3"/>
        <v>0.2055038335</v>
      </c>
      <c r="J4330" s="2">
        <v>1297.0</v>
      </c>
      <c r="K4330" s="3">
        <f t="shared" si="4"/>
        <v>0.1775739321</v>
      </c>
      <c r="L4330" s="2">
        <v>876.0</v>
      </c>
      <c r="M4330" s="3">
        <f t="shared" si="5"/>
        <v>0.583610926</v>
      </c>
      <c r="N4330" s="2">
        <v>8664900.0</v>
      </c>
      <c r="O4330" s="4">
        <f t="shared" si="6"/>
        <v>5772.751499</v>
      </c>
      <c r="P4330" s="2">
        <v>2.0</v>
      </c>
      <c r="Q4330" s="3">
        <f t="shared" si="7"/>
        <v>0.002971768202</v>
      </c>
      <c r="R4330" s="2">
        <v>673.0</v>
      </c>
      <c r="S4330" s="5">
        <f t="shared" si="8"/>
        <v>1</v>
      </c>
    </row>
    <row r="4331">
      <c r="A4331" s="2" t="s">
        <v>4334</v>
      </c>
      <c r="B4331" s="2">
        <v>783.0</v>
      </c>
      <c r="C4331" s="2">
        <v>9097.0</v>
      </c>
      <c r="D4331" s="2">
        <v>2523.0</v>
      </c>
      <c r="E4331" s="3">
        <f t="shared" si="1"/>
        <v>0.3034640366</v>
      </c>
      <c r="F4331" s="2">
        <v>1054.0</v>
      </c>
      <c r="G4331" s="3">
        <f t="shared" si="2"/>
        <v>0.1267741159</v>
      </c>
      <c r="H4331" s="2">
        <v>1695.0</v>
      </c>
      <c r="I4331" s="3">
        <f t="shared" si="3"/>
        <v>0.2038729853</v>
      </c>
      <c r="J4331" s="2">
        <v>1528.0</v>
      </c>
      <c r="K4331" s="3">
        <f t="shared" si="4"/>
        <v>0.1837863844</v>
      </c>
      <c r="L4331" s="2">
        <v>1019.0</v>
      </c>
      <c r="M4331" s="3">
        <f t="shared" si="5"/>
        <v>0.601179941</v>
      </c>
      <c r="N4331" s="2">
        <v>1.01452E7</v>
      </c>
      <c r="O4331" s="4">
        <f t="shared" si="6"/>
        <v>5985.368732</v>
      </c>
      <c r="P4331" s="2">
        <v>6.0</v>
      </c>
      <c r="Q4331" s="3">
        <f t="shared" si="7"/>
        <v>0.007662835249</v>
      </c>
      <c r="R4331" s="2">
        <v>783.0</v>
      </c>
      <c r="S4331" s="5">
        <f t="shared" si="8"/>
        <v>1</v>
      </c>
    </row>
    <row r="4332">
      <c r="A4332" s="2" t="s">
        <v>4335</v>
      </c>
      <c r="B4332" s="2">
        <v>106.0</v>
      </c>
      <c r="C4332" s="2">
        <v>1234.0</v>
      </c>
      <c r="D4332" s="2">
        <v>430.0</v>
      </c>
      <c r="E4332" s="3">
        <f t="shared" si="1"/>
        <v>0.3812056738</v>
      </c>
      <c r="F4332" s="2">
        <v>143.0</v>
      </c>
      <c r="G4332" s="3">
        <f t="shared" si="2"/>
        <v>0.1267730496</v>
      </c>
      <c r="H4332" s="2">
        <v>266.0</v>
      </c>
      <c r="I4332" s="3">
        <f t="shared" si="3"/>
        <v>0.2358156028</v>
      </c>
      <c r="J4332" s="2">
        <v>191.0</v>
      </c>
      <c r="K4332" s="3">
        <f t="shared" si="4"/>
        <v>0.1693262411</v>
      </c>
      <c r="L4332" s="2">
        <v>172.0</v>
      </c>
      <c r="M4332" s="3">
        <f t="shared" si="5"/>
        <v>0.6466165414</v>
      </c>
      <c r="N4332" s="2">
        <v>1502400.0</v>
      </c>
      <c r="O4332" s="4">
        <f t="shared" si="6"/>
        <v>5648.120301</v>
      </c>
      <c r="P4332" s="2">
        <v>0.0</v>
      </c>
      <c r="Q4332" s="3">
        <f t="shared" si="7"/>
        <v>0</v>
      </c>
      <c r="R4332" s="2">
        <v>106.0</v>
      </c>
      <c r="S4332" s="5">
        <f t="shared" si="8"/>
        <v>1</v>
      </c>
    </row>
    <row r="4333">
      <c r="A4333" s="2" t="s">
        <v>4336</v>
      </c>
      <c r="B4333" s="2">
        <v>27.0</v>
      </c>
      <c r="C4333" s="2">
        <v>311.0</v>
      </c>
      <c r="D4333" s="2">
        <v>86.0</v>
      </c>
      <c r="E4333" s="3">
        <f t="shared" si="1"/>
        <v>0.3028169014</v>
      </c>
      <c r="F4333" s="2">
        <v>36.0</v>
      </c>
      <c r="G4333" s="3">
        <f t="shared" si="2"/>
        <v>0.1267605634</v>
      </c>
      <c r="H4333" s="2">
        <v>67.0</v>
      </c>
      <c r="I4333" s="3">
        <f t="shared" si="3"/>
        <v>0.235915493</v>
      </c>
      <c r="J4333" s="2">
        <v>61.0</v>
      </c>
      <c r="K4333" s="3">
        <f t="shared" si="4"/>
        <v>0.2147887324</v>
      </c>
      <c r="L4333" s="2">
        <v>34.0</v>
      </c>
      <c r="M4333" s="3">
        <f t="shared" si="5"/>
        <v>0.5074626866</v>
      </c>
      <c r="N4333" s="2">
        <v>411500.0</v>
      </c>
      <c r="O4333" s="4">
        <f t="shared" si="6"/>
        <v>6141.791045</v>
      </c>
      <c r="P4333" s="2">
        <v>1.0</v>
      </c>
      <c r="Q4333" s="3">
        <f t="shared" si="7"/>
        <v>0.03703703704</v>
      </c>
      <c r="R4333" s="2">
        <v>27.0</v>
      </c>
      <c r="S4333" s="5">
        <f t="shared" si="8"/>
        <v>1</v>
      </c>
    </row>
    <row r="4334">
      <c r="A4334" s="2" t="s">
        <v>4337</v>
      </c>
      <c r="B4334" s="2">
        <v>2083.0</v>
      </c>
      <c r="C4334" s="2">
        <v>24385.0</v>
      </c>
      <c r="D4334" s="2">
        <v>8367.0</v>
      </c>
      <c r="E4334" s="3">
        <f t="shared" si="1"/>
        <v>0.3751681464</v>
      </c>
      <c r="F4334" s="2">
        <v>2827.0</v>
      </c>
      <c r="G4334" s="3">
        <f t="shared" si="2"/>
        <v>0.1267599318</v>
      </c>
      <c r="H4334" s="2">
        <v>4992.0</v>
      </c>
      <c r="I4334" s="3">
        <f t="shared" si="3"/>
        <v>0.2238364272</v>
      </c>
      <c r="J4334" s="2">
        <v>3253.0</v>
      </c>
      <c r="K4334" s="3">
        <f t="shared" si="4"/>
        <v>0.1458613577</v>
      </c>
      <c r="L4334" s="2">
        <v>3085.0</v>
      </c>
      <c r="M4334" s="3">
        <f t="shared" si="5"/>
        <v>0.6179887821</v>
      </c>
      <c r="N4334" s="2">
        <v>2.70154E7</v>
      </c>
      <c r="O4334" s="4">
        <f t="shared" si="6"/>
        <v>5411.738782</v>
      </c>
      <c r="P4334" s="2">
        <v>2.0</v>
      </c>
      <c r="Q4334" s="3">
        <f t="shared" si="7"/>
        <v>0.0009601536246</v>
      </c>
      <c r="R4334" s="2">
        <v>2083.0</v>
      </c>
      <c r="S4334" s="5">
        <f t="shared" si="8"/>
        <v>1</v>
      </c>
    </row>
    <row r="4335">
      <c r="A4335" s="2" t="s">
        <v>4338</v>
      </c>
      <c r="B4335" s="2">
        <v>340.0</v>
      </c>
      <c r="C4335" s="2">
        <v>3898.0</v>
      </c>
      <c r="D4335" s="2">
        <v>1162.0</v>
      </c>
      <c r="E4335" s="3">
        <f t="shared" si="1"/>
        <v>0.3265879708</v>
      </c>
      <c r="F4335" s="2">
        <v>451.0</v>
      </c>
      <c r="G4335" s="3">
        <f t="shared" si="2"/>
        <v>0.1267566048</v>
      </c>
      <c r="H4335" s="2">
        <v>697.0</v>
      </c>
      <c r="I4335" s="3">
        <f t="shared" si="3"/>
        <v>0.1958965711</v>
      </c>
      <c r="J4335" s="2">
        <v>588.0</v>
      </c>
      <c r="K4335" s="3">
        <f t="shared" si="4"/>
        <v>0.1652613828</v>
      </c>
      <c r="L4335" s="2">
        <v>433.0</v>
      </c>
      <c r="M4335" s="3">
        <f t="shared" si="5"/>
        <v>0.6212338594</v>
      </c>
      <c r="N4335" s="2">
        <v>3989500.0</v>
      </c>
      <c r="O4335" s="4">
        <f t="shared" si="6"/>
        <v>5723.816356</v>
      </c>
      <c r="P4335" s="2">
        <v>2.0</v>
      </c>
      <c r="Q4335" s="3">
        <f t="shared" si="7"/>
        <v>0.005882352941</v>
      </c>
      <c r="R4335" s="2">
        <v>340.0</v>
      </c>
      <c r="S4335" s="5">
        <f t="shared" si="8"/>
        <v>1</v>
      </c>
    </row>
    <row r="4336">
      <c r="A4336" s="2" t="s">
        <v>4339</v>
      </c>
      <c r="B4336" s="2">
        <v>564.0</v>
      </c>
      <c r="C4336" s="2">
        <v>6639.0</v>
      </c>
      <c r="D4336" s="2">
        <v>2258.0</v>
      </c>
      <c r="E4336" s="3">
        <f t="shared" si="1"/>
        <v>0.3716872428</v>
      </c>
      <c r="F4336" s="2">
        <v>770.0</v>
      </c>
      <c r="G4336" s="3">
        <f t="shared" si="2"/>
        <v>0.1267489712</v>
      </c>
      <c r="H4336" s="2">
        <v>1259.0</v>
      </c>
      <c r="I4336" s="3">
        <f t="shared" si="3"/>
        <v>0.2072427984</v>
      </c>
      <c r="J4336" s="2">
        <v>997.0</v>
      </c>
      <c r="K4336" s="3">
        <f t="shared" si="4"/>
        <v>0.1641152263</v>
      </c>
      <c r="L4336" s="2">
        <v>769.0</v>
      </c>
      <c r="M4336" s="3">
        <f t="shared" si="5"/>
        <v>0.610802224</v>
      </c>
      <c r="N4336" s="2">
        <v>6932100.0</v>
      </c>
      <c r="O4336" s="4">
        <f t="shared" si="6"/>
        <v>5506.036537</v>
      </c>
      <c r="P4336" s="2">
        <v>1.0</v>
      </c>
      <c r="Q4336" s="3">
        <f t="shared" si="7"/>
        <v>0.001773049645</v>
      </c>
      <c r="R4336" s="2">
        <v>564.0</v>
      </c>
      <c r="S4336" s="5">
        <f t="shared" si="8"/>
        <v>1</v>
      </c>
    </row>
    <row r="4337">
      <c r="A4337" s="2" t="s">
        <v>4340</v>
      </c>
      <c r="B4337" s="2">
        <v>455.0</v>
      </c>
      <c r="C4337" s="2">
        <v>5292.0</v>
      </c>
      <c r="D4337" s="2">
        <v>1426.0</v>
      </c>
      <c r="E4337" s="3">
        <f t="shared" si="1"/>
        <v>0.2948108332</v>
      </c>
      <c r="F4337" s="2">
        <v>613.0</v>
      </c>
      <c r="G4337" s="3">
        <f t="shared" si="2"/>
        <v>0.1267314451</v>
      </c>
      <c r="H4337" s="2">
        <v>1035.0</v>
      </c>
      <c r="I4337" s="3">
        <f t="shared" si="3"/>
        <v>0.2139756047</v>
      </c>
      <c r="J4337" s="2">
        <v>730.0</v>
      </c>
      <c r="K4337" s="3">
        <f t="shared" si="4"/>
        <v>0.1509199917</v>
      </c>
      <c r="L4337" s="2">
        <v>631.0</v>
      </c>
      <c r="M4337" s="3">
        <f t="shared" si="5"/>
        <v>0.6096618357</v>
      </c>
      <c r="N4337" s="2">
        <v>5446600.0</v>
      </c>
      <c r="O4337" s="4">
        <f t="shared" si="6"/>
        <v>5262.415459</v>
      </c>
      <c r="P4337" s="2">
        <v>0.0</v>
      </c>
      <c r="Q4337" s="3">
        <f t="shared" si="7"/>
        <v>0</v>
      </c>
      <c r="R4337" s="2">
        <v>0.0</v>
      </c>
      <c r="S4337" s="5">
        <f t="shared" si="8"/>
        <v>0</v>
      </c>
    </row>
    <row r="4338">
      <c r="A4338" s="2" t="s">
        <v>4341</v>
      </c>
      <c r="B4338" s="2">
        <v>71.0</v>
      </c>
      <c r="C4338" s="2">
        <v>868.0</v>
      </c>
      <c r="D4338" s="2">
        <v>307.0</v>
      </c>
      <c r="E4338" s="3">
        <f t="shared" si="1"/>
        <v>0.3851944793</v>
      </c>
      <c r="F4338" s="2">
        <v>101.0</v>
      </c>
      <c r="G4338" s="3">
        <f t="shared" si="2"/>
        <v>0.1267252196</v>
      </c>
      <c r="H4338" s="2">
        <v>168.0</v>
      </c>
      <c r="I4338" s="3">
        <f t="shared" si="3"/>
        <v>0.2107904642</v>
      </c>
      <c r="J4338" s="2">
        <v>130.0</v>
      </c>
      <c r="K4338" s="3">
        <f t="shared" si="4"/>
        <v>0.1631116688</v>
      </c>
      <c r="L4338" s="2">
        <v>99.0</v>
      </c>
      <c r="M4338" s="3">
        <f t="shared" si="5"/>
        <v>0.5892857143</v>
      </c>
      <c r="N4338" s="2">
        <v>944900.0</v>
      </c>
      <c r="O4338" s="4">
        <f t="shared" si="6"/>
        <v>5624.404762</v>
      </c>
      <c r="P4338" s="2">
        <v>0.0</v>
      </c>
      <c r="Q4338" s="3">
        <f t="shared" si="7"/>
        <v>0</v>
      </c>
      <c r="R4338" s="2">
        <v>71.0</v>
      </c>
      <c r="S4338" s="5">
        <f t="shared" si="8"/>
        <v>1</v>
      </c>
    </row>
    <row r="4339">
      <c r="A4339" s="2" t="s">
        <v>4342</v>
      </c>
      <c r="B4339" s="2">
        <v>188.0</v>
      </c>
      <c r="C4339" s="2">
        <v>2145.0</v>
      </c>
      <c r="D4339" s="2">
        <v>676.0</v>
      </c>
      <c r="E4339" s="3">
        <f t="shared" si="1"/>
        <v>0.3454266735</v>
      </c>
      <c r="F4339" s="2">
        <v>248.0</v>
      </c>
      <c r="G4339" s="3">
        <f t="shared" si="2"/>
        <v>0.1267245784</v>
      </c>
      <c r="H4339" s="2">
        <v>406.0</v>
      </c>
      <c r="I4339" s="3">
        <f t="shared" si="3"/>
        <v>0.2074603986</v>
      </c>
      <c r="J4339" s="2">
        <v>362.0</v>
      </c>
      <c r="K4339" s="3">
        <f t="shared" si="4"/>
        <v>0.1849770056</v>
      </c>
      <c r="L4339" s="2">
        <v>233.0</v>
      </c>
      <c r="M4339" s="3">
        <f t="shared" si="5"/>
        <v>0.5738916256</v>
      </c>
      <c r="N4339" s="2">
        <v>2600600.0</v>
      </c>
      <c r="O4339" s="4">
        <f t="shared" si="6"/>
        <v>6405.418719</v>
      </c>
      <c r="P4339" s="2">
        <v>2.0</v>
      </c>
      <c r="Q4339" s="3">
        <f t="shared" si="7"/>
        <v>0.01063829787</v>
      </c>
      <c r="R4339" s="2">
        <v>7.0</v>
      </c>
      <c r="S4339" s="5">
        <f t="shared" si="8"/>
        <v>0.03723404255</v>
      </c>
    </row>
    <row r="4340">
      <c r="A4340" s="2" t="s">
        <v>4343</v>
      </c>
      <c r="B4340" s="2">
        <v>27.0</v>
      </c>
      <c r="C4340" s="2">
        <v>319.0</v>
      </c>
      <c r="D4340" s="2">
        <v>88.0</v>
      </c>
      <c r="E4340" s="3">
        <f t="shared" si="1"/>
        <v>0.301369863</v>
      </c>
      <c r="F4340" s="2">
        <v>37.0</v>
      </c>
      <c r="G4340" s="3">
        <f t="shared" si="2"/>
        <v>0.1267123288</v>
      </c>
      <c r="H4340" s="2">
        <v>57.0</v>
      </c>
      <c r="I4340" s="3">
        <f t="shared" si="3"/>
        <v>0.1952054795</v>
      </c>
      <c r="J4340" s="2">
        <v>54.0</v>
      </c>
      <c r="K4340" s="3">
        <f t="shared" si="4"/>
        <v>0.1849315068</v>
      </c>
      <c r="L4340" s="2">
        <v>38.0</v>
      </c>
      <c r="M4340" s="3">
        <f t="shared" si="5"/>
        <v>0.6666666667</v>
      </c>
      <c r="N4340" s="2">
        <v>285500.0</v>
      </c>
      <c r="O4340" s="4">
        <f t="shared" si="6"/>
        <v>5008.77193</v>
      </c>
      <c r="P4340" s="2">
        <v>0.0</v>
      </c>
      <c r="Q4340" s="3">
        <f t="shared" si="7"/>
        <v>0</v>
      </c>
      <c r="R4340" s="2">
        <v>0.0</v>
      </c>
      <c r="S4340" s="5">
        <f t="shared" si="8"/>
        <v>0</v>
      </c>
    </row>
    <row r="4341">
      <c r="A4341" s="2" t="s">
        <v>4344</v>
      </c>
      <c r="B4341" s="2">
        <v>3327.0</v>
      </c>
      <c r="C4341" s="2">
        <v>39133.0</v>
      </c>
      <c r="D4341" s="2">
        <v>14299.0</v>
      </c>
      <c r="E4341" s="3">
        <f t="shared" si="1"/>
        <v>0.3993464782</v>
      </c>
      <c r="F4341" s="2">
        <v>4537.0</v>
      </c>
      <c r="G4341" s="3">
        <f t="shared" si="2"/>
        <v>0.1267106072</v>
      </c>
      <c r="H4341" s="2">
        <v>7910.0</v>
      </c>
      <c r="I4341" s="3">
        <f t="shared" si="3"/>
        <v>0.2209126962</v>
      </c>
      <c r="J4341" s="2">
        <v>5895.0</v>
      </c>
      <c r="K4341" s="3">
        <f t="shared" si="4"/>
        <v>0.1646372116</v>
      </c>
      <c r="L4341" s="2">
        <v>4742.0</v>
      </c>
      <c r="M4341" s="3">
        <f t="shared" si="5"/>
        <v>0.599494311</v>
      </c>
      <c r="N4341" s="2">
        <v>4.1893E7</v>
      </c>
      <c r="O4341" s="4">
        <f t="shared" si="6"/>
        <v>5296.207332</v>
      </c>
      <c r="P4341" s="2">
        <v>8.0</v>
      </c>
      <c r="Q4341" s="3">
        <f t="shared" si="7"/>
        <v>0.00240456868</v>
      </c>
      <c r="R4341" s="2">
        <v>3106.0</v>
      </c>
      <c r="S4341" s="5">
        <f t="shared" si="8"/>
        <v>0.9335737902</v>
      </c>
    </row>
    <row r="4342">
      <c r="A4342" s="2" t="s">
        <v>4345</v>
      </c>
      <c r="B4342" s="2">
        <v>67.0</v>
      </c>
      <c r="C4342" s="2">
        <v>801.0</v>
      </c>
      <c r="D4342" s="2">
        <v>260.0</v>
      </c>
      <c r="E4342" s="3">
        <f t="shared" si="1"/>
        <v>0.3542234332</v>
      </c>
      <c r="F4342" s="2">
        <v>93.0</v>
      </c>
      <c r="G4342" s="3">
        <f t="shared" si="2"/>
        <v>0.1267029973</v>
      </c>
      <c r="H4342" s="2">
        <v>131.0</v>
      </c>
      <c r="I4342" s="3">
        <f t="shared" si="3"/>
        <v>0.1784741144</v>
      </c>
      <c r="J4342" s="2">
        <v>103.0</v>
      </c>
      <c r="K4342" s="3">
        <f t="shared" si="4"/>
        <v>0.1403269755</v>
      </c>
      <c r="L4342" s="2">
        <v>84.0</v>
      </c>
      <c r="M4342" s="3">
        <f t="shared" si="5"/>
        <v>0.641221374</v>
      </c>
      <c r="N4342" s="2">
        <v>715200.0</v>
      </c>
      <c r="O4342" s="4">
        <f t="shared" si="6"/>
        <v>5459.541985</v>
      </c>
      <c r="P4342" s="2">
        <v>0.0</v>
      </c>
      <c r="Q4342" s="3">
        <f t="shared" si="7"/>
        <v>0</v>
      </c>
      <c r="R4342" s="2">
        <v>67.0</v>
      </c>
      <c r="S4342" s="5">
        <f t="shared" si="8"/>
        <v>1</v>
      </c>
    </row>
    <row r="4343">
      <c r="A4343" s="2" t="s">
        <v>4346</v>
      </c>
      <c r="B4343" s="2">
        <v>282.0</v>
      </c>
      <c r="C4343" s="2">
        <v>3376.0</v>
      </c>
      <c r="D4343" s="2">
        <v>1235.0</v>
      </c>
      <c r="E4343" s="3">
        <f t="shared" si="1"/>
        <v>0.3991596639</v>
      </c>
      <c r="F4343" s="2">
        <v>392.0</v>
      </c>
      <c r="G4343" s="3">
        <f t="shared" si="2"/>
        <v>0.1266968326</v>
      </c>
      <c r="H4343" s="2">
        <v>641.0</v>
      </c>
      <c r="I4343" s="3">
        <f t="shared" si="3"/>
        <v>0.2071751778</v>
      </c>
      <c r="J4343" s="2">
        <v>514.0</v>
      </c>
      <c r="K4343" s="3">
        <f t="shared" si="4"/>
        <v>0.1661279897</v>
      </c>
      <c r="L4343" s="2">
        <v>370.0</v>
      </c>
      <c r="M4343" s="3">
        <f t="shared" si="5"/>
        <v>0.5772230889</v>
      </c>
      <c r="N4343" s="2">
        <v>3519000.0</v>
      </c>
      <c r="O4343" s="4">
        <f t="shared" si="6"/>
        <v>5489.859594</v>
      </c>
      <c r="P4343" s="2">
        <v>1.0</v>
      </c>
      <c r="Q4343" s="3">
        <f t="shared" si="7"/>
        <v>0.003546099291</v>
      </c>
      <c r="R4343" s="2">
        <v>282.0</v>
      </c>
      <c r="S4343" s="5">
        <f t="shared" si="8"/>
        <v>1</v>
      </c>
    </row>
    <row r="4344">
      <c r="A4344" s="2" t="s">
        <v>4347</v>
      </c>
      <c r="B4344" s="2">
        <v>2041.0</v>
      </c>
      <c r="C4344" s="2">
        <v>23920.0</v>
      </c>
      <c r="D4344" s="2">
        <v>8118.0</v>
      </c>
      <c r="E4344" s="3">
        <f t="shared" si="1"/>
        <v>0.371040724</v>
      </c>
      <c r="F4344" s="2">
        <v>2772.0</v>
      </c>
      <c r="G4344" s="3">
        <f t="shared" si="2"/>
        <v>0.1266968326</v>
      </c>
      <c r="H4344" s="2">
        <v>4683.0</v>
      </c>
      <c r="I4344" s="3">
        <f t="shared" si="3"/>
        <v>0.2140408611</v>
      </c>
      <c r="J4344" s="2">
        <v>3522.0</v>
      </c>
      <c r="K4344" s="3">
        <f t="shared" si="4"/>
        <v>0.1609762786</v>
      </c>
      <c r="L4344" s="2">
        <v>2805.0</v>
      </c>
      <c r="M4344" s="3">
        <f t="shared" si="5"/>
        <v>0.598975016</v>
      </c>
      <c r="N4344" s="2">
        <v>2.63637E7</v>
      </c>
      <c r="O4344" s="4">
        <f t="shared" si="6"/>
        <v>5629.660474</v>
      </c>
      <c r="P4344" s="2">
        <v>3.0</v>
      </c>
      <c r="Q4344" s="3">
        <f t="shared" si="7"/>
        <v>0.001469867712</v>
      </c>
      <c r="R4344" s="2">
        <v>1767.0</v>
      </c>
      <c r="S4344" s="5">
        <f t="shared" si="8"/>
        <v>0.8657520823</v>
      </c>
    </row>
    <row r="4345">
      <c r="A4345" s="2" t="s">
        <v>4348</v>
      </c>
      <c r="B4345" s="2">
        <v>195.0</v>
      </c>
      <c r="C4345" s="2">
        <v>2263.0</v>
      </c>
      <c r="D4345" s="2">
        <v>753.0</v>
      </c>
      <c r="E4345" s="3">
        <f t="shared" si="1"/>
        <v>0.3641199226</v>
      </c>
      <c r="F4345" s="2">
        <v>262.0</v>
      </c>
      <c r="G4345" s="3">
        <f t="shared" si="2"/>
        <v>0.1266924565</v>
      </c>
      <c r="H4345" s="2">
        <v>463.0</v>
      </c>
      <c r="I4345" s="3">
        <f t="shared" si="3"/>
        <v>0.2238878143</v>
      </c>
      <c r="J4345" s="2">
        <v>372.0</v>
      </c>
      <c r="K4345" s="3">
        <f t="shared" si="4"/>
        <v>0.1798839458</v>
      </c>
      <c r="L4345" s="2">
        <v>289.0</v>
      </c>
      <c r="M4345" s="3">
        <f t="shared" si="5"/>
        <v>0.6241900648</v>
      </c>
      <c r="N4345" s="2">
        <v>2407000.0</v>
      </c>
      <c r="O4345" s="4">
        <f t="shared" si="6"/>
        <v>5198.704104</v>
      </c>
      <c r="P4345" s="2">
        <v>0.0</v>
      </c>
      <c r="Q4345" s="3">
        <f t="shared" si="7"/>
        <v>0</v>
      </c>
      <c r="R4345" s="2">
        <v>0.0</v>
      </c>
      <c r="S4345" s="5">
        <f t="shared" si="8"/>
        <v>0</v>
      </c>
    </row>
    <row r="4346">
      <c r="A4346" s="2" t="s">
        <v>4349</v>
      </c>
      <c r="B4346" s="2">
        <v>171.0</v>
      </c>
      <c r="C4346" s="2">
        <v>2018.0</v>
      </c>
      <c r="D4346" s="2">
        <v>648.0</v>
      </c>
      <c r="E4346" s="3">
        <f t="shared" si="1"/>
        <v>0.3508391987</v>
      </c>
      <c r="F4346" s="2">
        <v>234.0</v>
      </c>
      <c r="G4346" s="3">
        <f t="shared" si="2"/>
        <v>0.1266919329</v>
      </c>
      <c r="H4346" s="2">
        <v>388.0</v>
      </c>
      <c r="I4346" s="3">
        <f t="shared" si="3"/>
        <v>0.2100703844</v>
      </c>
      <c r="J4346" s="2">
        <v>292.0</v>
      </c>
      <c r="K4346" s="3">
        <f t="shared" si="4"/>
        <v>0.1580942068</v>
      </c>
      <c r="L4346" s="2">
        <v>234.0</v>
      </c>
      <c r="M4346" s="3">
        <f t="shared" si="5"/>
        <v>0.6030927835</v>
      </c>
      <c r="N4346" s="2">
        <v>1987900.0</v>
      </c>
      <c r="O4346" s="4">
        <f t="shared" si="6"/>
        <v>5123.453608</v>
      </c>
      <c r="P4346" s="2">
        <v>0.0</v>
      </c>
      <c r="Q4346" s="3">
        <f t="shared" si="7"/>
        <v>0</v>
      </c>
      <c r="R4346" s="2">
        <v>6.0</v>
      </c>
      <c r="S4346" s="5">
        <f t="shared" si="8"/>
        <v>0.0350877193</v>
      </c>
    </row>
    <row r="4347">
      <c r="A4347" s="2" t="s">
        <v>4350</v>
      </c>
      <c r="B4347" s="2">
        <v>962.0</v>
      </c>
      <c r="C4347" s="2">
        <v>11184.0</v>
      </c>
      <c r="D4347" s="2">
        <v>3607.0</v>
      </c>
      <c r="E4347" s="3">
        <f t="shared" si="1"/>
        <v>0.3528663667</v>
      </c>
      <c r="F4347" s="2">
        <v>1295.0</v>
      </c>
      <c r="G4347" s="3">
        <f t="shared" si="2"/>
        <v>0.1266875367</v>
      </c>
      <c r="H4347" s="2">
        <v>2125.0</v>
      </c>
      <c r="I4347" s="3">
        <f t="shared" si="3"/>
        <v>0.207884954</v>
      </c>
      <c r="J4347" s="2">
        <v>1779.0</v>
      </c>
      <c r="K4347" s="3">
        <f t="shared" si="4"/>
        <v>0.1740363921</v>
      </c>
      <c r="L4347" s="2">
        <v>1310.0</v>
      </c>
      <c r="M4347" s="3">
        <f t="shared" si="5"/>
        <v>0.6164705882</v>
      </c>
      <c r="N4347" s="2">
        <v>1.20974E7</v>
      </c>
      <c r="O4347" s="4">
        <f t="shared" si="6"/>
        <v>5692.894118</v>
      </c>
      <c r="P4347" s="2">
        <v>1.0</v>
      </c>
      <c r="Q4347" s="3">
        <f t="shared" si="7"/>
        <v>0.00103950104</v>
      </c>
      <c r="R4347" s="2">
        <v>784.0</v>
      </c>
      <c r="S4347" s="5">
        <f t="shared" si="8"/>
        <v>0.814968815</v>
      </c>
    </row>
    <row r="4348">
      <c r="A4348" s="2" t="s">
        <v>4351</v>
      </c>
      <c r="B4348" s="2">
        <v>1068.0</v>
      </c>
      <c r="C4348" s="2">
        <v>12514.0</v>
      </c>
      <c r="D4348" s="2">
        <v>4535.0</v>
      </c>
      <c r="E4348" s="3">
        <f t="shared" si="1"/>
        <v>0.3962082824</v>
      </c>
      <c r="F4348" s="2">
        <v>1450.0</v>
      </c>
      <c r="G4348" s="3">
        <f t="shared" si="2"/>
        <v>0.1266818102</v>
      </c>
      <c r="H4348" s="2">
        <v>2401.0</v>
      </c>
      <c r="I4348" s="3">
        <f t="shared" si="3"/>
        <v>0.2097676044</v>
      </c>
      <c r="J4348" s="2">
        <v>1869.0</v>
      </c>
      <c r="K4348" s="3">
        <f t="shared" si="4"/>
        <v>0.1632884851</v>
      </c>
      <c r="L4348" s="2">
        <v>1442.0</v>
      </c>
      <c r="M4348" s="3">
        <f t="shared" si="5"/>
        <v>0.6005830904</v>
      </c>
      <c r="N4348" s="2">
        <v>1.23125E7</v>
      </c>
      <c r="O4348" s="4">
        <f t="shared" si="6"/>
        <v>5128.071637</v>
      </c>
      <c r="P4348" s="2">
        <v>2.0</v>
      </c>
      <c r="Q4348" s="3">
        <f t="shared" si="7"/>
        <v>0.001872659176</v>
      </c>
      <c r="R4348" s="2">
        <v>1068.0</v>
      </c>
      <c r="S4348" s="5">
        <f t="shared" si="8"/>
        <v>1</v>
      </c>
    </row>
    <row r="4349">
      <c r="A4349" s="2" t="s">
        <v>4352</v>
      </c>
      <c r="B4349" s="2">
        <v>65.0</v>
      </c>
      <c r="C4349" s="2">
        <v>736.0</v>
      </c>
      <c r="D4349" s="2">
        <v>229.0</v>
      </c>
      <c r="E4349" s="3">
        <f t="shared" si="1"/>
        <v>0.3412816692</v>
      </c>
      <c r="F4349" s="2">
        <v>85.0</v>
      </c>
      <c r="G4349" s="3">
        <f t="shared" si="2"/>
        <v>0.1266766021</v>
      </c>
      <c r="H4349" s="2">
        <v>140.0</v>
      </c>
      <c r="I4349" s="3">
        <f t="shared" si="3"/>
        <v>0.2086438152</v>
      </c>
      <c r="J4349" s="2">
        <v>119.0</v>
      </c>
      <c r="K4349" s="3">
        <f t="shared" si="4"/>
        <v>0.1773472429</v>
      </c>
      <c r="L4349" s="2">
        <v>85.0</v>
      </c>
      <c r="M4349" s="3">
        <f t="shared" si="5"/>
        <v>0.6071428571</v>
      </c>
      <c r="N4349" s="2">
        <v>806700.0</v>
      </c>
      <c r="O4349" s="4">
        <f t="shared" si="6"/>
        <v>5762.142857</v>
      </c>
      <c r="P4349" s="2">
        <v>0.0</v>
      </c>
      <c r="Q4349" s="3">
        <f t="shared" si="7"/>
        <v>0</v>
      </c>
      <c r="R4349" s="2">
        <v>65.0</v>
      </c>
      <c r="S4349" s="5">
        <f t="shared" si="8"/>
        <v>1</v>
      </c>
    </row>
    <row r="4350">
      <c r="A4350" s="2" t="s">
        <v>4353</v>
      </c>
      <c r="B4350" s="2">
        <v>76.0</v>
      </c>
      <c r="C4350" s="2">
        <v>897.0</v>
      </c>
      <c r="D4350" s="2">
        <v>271.0</v>
      </c>
      <c r="E4350" s="3">
        <f t="shared" si="1"/>
        <v>0.3300852619</v>
      </c>
      <c r="F4350" s="2">
        <v>104.0</v>
      </c>
      <c r="G4350" s="3">
        <f t="shared" si="2"/>
        <v>0.1266747868</v>
      </c>
      <c r="H4350" s="2">
        <v>146.0</v>
      </c>
      <c r="I4350" s="3">
        <f t="shared" si="3"/>
        <v>0.1778319123</v>
      </c>
      <c r="J4350" s="2">
        <v>117.0</v>
      </c>
      <c r="K4350" s="3">
        <f t="shared" si="4"/>
        <v>0.1425091352</v>
      </c>
      <c r="L4350" s="2">
        <v>84.0</v>
      </c>
      <c r="M4350" s="3">
        <f t="shared" si="5"/>
        <v>0.5753424658</v>
      </c>
      <c r="N4350" s="2">
        <v>843900.0</v>
      </c>
      <c r="O4350" s="4">
        <f t="shared" si="6"/>
        <v>5780.136986</v>
      </c>
      <c r="P4350" s="2">
        <v>0.0</v>
      </c>
      <c r="Q4350" s="3">
        <f t="shared" si="7"/>
        <v>0</v>
      </c>
      <c r="R4350" s="2">
        <v>76.0</v>
      </c>
      <c r="S4350" s="5">
        <f t="shared" si="8"/>
        <v>1</v>
      </c>
    </row>
    <row r="4351">
      <c r="A4351" s="2" t="s">
        <v>4354</v>
      </c>
      <c r="B4351" s="2">
        <v>42.0</v>
      </c>
      <c r="C4351" s="2">
        <v>492.0</v>
      </c>
      <c r="D4351" s="2">
        <v>146.0</v>
      </c>
      <c r="E4351" s="3">
        <f t="shared" si="1"/>
        <v>0.3244444444</v>
      </c>
      <c r="F4351" s="2">
        <v>57.0</v>
      </c>
      <c r="G4351" s="3">
        <f t="shared" si="2"/>
        <v>0.1266666667</v>
      </c>
      <c r="H4351" s="2">
        <v>83.0</v>
      </c>
      <c r="I4351" s="3">
        <f t="shared" si="3"/>
        <v>0.1844444444</v>
      </c>
      <c r="J4351" s="2">
        <v>79.0</v>
      </c>
      <c r="K4351" s="3">
        <f t="shared" si="4"/>
        <v>0.1755555556</v>
      </c>
      <c r="L4351" s="2">
        <v>50.0</v>
      </c>
      <c r="M4351" s="3">
        <f t="shared" si="5"/>
        <v>0.6024096386</v>
      </c>
      <c r="N4351" s="2">
        <v>436100.0</v>
      </c>
      <c r="O4351" s="4">
        <f t="shared" si="6"/>
        <v>5254.216867</v>
      </c>
      <c r="P4351" s="2">
        <v>0.0</v>
      </c>
      <c r="Q4351" s="3">
        <f t="shared" si="7"/>
        <v>0</v>
      </c>
      <c r="R4351" s="2">
        <v>42.0</v>
      </c>
      <c r="S4351" s="5">
        <f t="shared" si="8"/>
        <v>1</v>
      </c>
    </row>
    <row r="4352">
      <c r="A4352" s="2" t="s">
        <v>4355</v>
      </c>
      <c r="B4352" s="2">
        <v>498.0</v>
      </c>
      <c r="C4352" s="2">
        <v>5843.0</v>
      </c>
      <c r="D4352" s="2">
        <v>2264.0</v>
      </c>
      <c r="E4352" s="3">
        <f t="shared" si="1"/>
        <v>0.4235734331</v>
      </c>
      <c r="F4352" s="2">
        <v>677.0</v>
      </c>
      <c r="G4352" s="3">
        <f t="shared" si="2"/>
        <v>0.1266604303</v>
      </c>
      <c r="H4352" s="2">
        <v>1246.0</v>
      </c>
      <c r="I4352" s="3">
        <f t="shared" si="3"/>
        <v>0.2331150608</v>
      </c>
      <c r="J4352" s="2">
        <v>729.0</v>
      </c>
      <c r="K4352" s="3">
        <f t="shared" si="4"/>
        <v>0.1363891487</v>
      </c>
      <c r="L4352" s="2">
        <v>760.0</v>
      </c>
      <c r="M4352" s="3">
        <f t="shared" si="5"/>
        <v>0.6099518459</v>
      </c>
      <c r="N4352" s="2">
        <v>6663800.0</v>
      </c>
      <c r="O4352" s="4">
        <f t="shared" si="6"/>
        <v>5348.154093</v>
      </c>
      <c r="P4352" s="2">
        <v>2.0</v>
      </c>
      <c r="Q4352" s="3">
        <f t="shared" si="7"/>
        <v>0.004016064257</v>
      </c>
      <c r="R4352" s="2">
        <v>0.0</v>
      </c>
      <c r="S4352" s="5">
        <f t="shared" si="8"/>
        <v>0</v>
      </c>
    </row>
    <row r="4353">
      <c r="A4353" s="2" t="s">
        <v>4356</v>
      </c>
      <c r="B4353" s="2">
        <v>223.0</v>
      </c>
      <c r="C4353" s="2">
        <v>2576.0</v>
      </c>
      <c r="D4353" s="2">
        <v>867.0</v>
      </c>
      <c r="E4353" s="3">
        <f t="shared" si="1"/>
        <v>0.3684657884</v>
      </c>
      <c r="F4353" s="2">
        <v>298.0</v>
      </c>
      <c r="G4353" s="3">
        <f t="shared" si="2"/>
        <v>0.1266468338</v>
      </c>
      <c r="H4353" s="2">
        <v>497.0</v>
      </c>
      <c r="I4353" s="3">
        <f t="shared" si="3"/>
        <v>0.2112197195</v>
      </c>
      <c r="J4353" s="2">
        <v>396.0</v>
      </c>
      <c r="K4353" s="3">
        <f t="shared" si="4"/>
        <v>0.1682957926</v>
      </c>
      <c r="L4353" s="2">
        <v>299.0</v>
      </c>
      <c r="M4353" s="3">
        <f t="shared" si="5"/>
        <v>0.6016096579</v>
      </c>
      <c r="N4353" s="2">
        <v>2673400.0</v>
      </c>
      <c r="O4353" s="4">
        <f t="shared" si="6"/>
        <v>5379.074447</v>
      </c>
      <c r="P4353" s="2">
        <v>1.0</v>
      </c>
      <c r="Q4353" s="3">
        <f t="shared" si="7"/>
        <v>0.004484304933</v>
      </c>
      <c r="R4353" s="2">
        <v>0.0</v>
      </c>
      <c r="S4353" s="5">
        <f t="shared" si="8"/>
        <v>0</v>
      </c>
    </row>
    <row r="4354">
      <c r="A4354" s="2" t="s">
        <v>4357</v>
      </c>
      <c r="B4354" s="2">
        <v>1700.0</v>
      </c>
      <c r="C4354" s="2">
        <v>19988.0</v>
      </c>
      <c r="D4354" s="2">
        <v>6836.0</v>
      </c>
      <c r="E4354" s="3">
        <f t="shared" si="1"/>
        <v>0.3737970254</v>
      </c>
      <c r="F4354" s="2">
        <v>2316.0</v>
      </c>
      <c r="G4354" s="3">
        <f t="shared" si="2"/>
        <v>0.1266404199</v>
      </c>
      <c r="H4354" s="2">
        <v>3936.0</v>
      </c>
      <c r="I4354" s="3">
        <f t="shared" si="3"/>
        <v>0.2152230971</v>
      </c>
      <c r="J4354" s="2">
        <v>3038.0</v>
      </c>
      <c r="K4354" s="3">
        <f t="shared" si="4"/>
        <v>0.16611986</v>
      </c>
      <c r="L4354" s="2">
        <v>2337.0</v>
      </c>
      <c r="M4354" s="3">
        <f t="shared" si="5"/>
        <v>0.59375</v>
      </c>
      <c r="N4354" s="2">
        <v>2.18734E7</v>
      </c>
      <c r="O4354" s="4">
        <f t="shared" si="6"/>
        <v>5557.26626</v>
      </c>
      <c r="P4354" s="2">
        <v>2.0</v>
      </c>
      <c r="Q4354" s="3">
        <f t="shared" si="7"/>
        <v>0.001176470588</v>
      </c>
      <c r="R4354" s="2">
        <v>778.0</v>
      </c>
      <c r="S4354" s="5">
        <f t="shared" si="8"/>
        <v>0.4576470588</v>
      </c>
    </row>
    <row r="4355">
      <c r="A4355" s="2" t="s">
        <v>4358</v>
      </c>
      <c r="B4355" s="2">
        <v>890.0</v>
      </c>
      <c r="C4355" s="2">
        <v>10516.0</v>
      </c>
      <c r="D4355" s="2">
        <v>3494.0</v>
      </c>
      <c r="E4355" s="3">
        <f t="shared" si="1"/>
        <v>0.3629752753</v>
      </c>
      <c r="F4355" s="2">
        <v>1219.0</v>
      </c>
      <c r="G4355" s="3">
        <f t="shared" si="2"/>
        <v>0.1266361936</v>
      </c>
      <c r="H4355" s="2">
        <v>1946.0</v>
      </c>
      <c r="I4355" s="3">
        <f t="shared" si="3"/>
        <v>0.2021608145</v>
      </c>
      <c r="J4355" s="2">
        <v>1427.0</v>
      </c>
      <c r="K4355" s="3">
        <f t="shared" si="4"/>
        <v>0.1482443383</v>
      </c>
      <c r="L4355" s="2">
        <v>1139.0</v>
      </c>
      <c r="M4355" s="3">
        <f t="shared" si="5"/>
        <v>0.585303186</v>
      </c>
      <c r="N4355" s="2">
        <v>1.10124E7</v>
      </c>
      <c r="O4355" s="4">
        <f t="shared" si="6"/>
        <v>5658.992806</v>
      </c>
      <c r="P4355" s="2">
        <v>2.0</v>
      </c>
      <c r="Q4355" s="3">
        <f t="shared" si="7"/>
        <v>0.002247191011</v>
      </c>
      <c r="R4355" s="2">
        <v>890.0</v>
      </c>
      <c r="S4355" s="5">
        <f t="shared" si="8"/>
        <v>1</v>
      </c>
    </row>
    <row r="4356">
      <c r="A4356" s="2" t="s">
        <v>4359</v>
      </c>
      <c r="B4356" s="2">
        <v>71.0</v>
      </c>
      <c r="C4356" s="2">
        <v>837.0</v>
      </c>
      <c r="D4356" s="2">
        <v>265.0</v>
      </c>
      <c r="E4356" s="3">
        <f t="shared" si="1"/>
        <v>0.3459530026</v>
      </c>
      <c r="F4356" s="2">
        <v>97.0</v>
      </c>
      <c r="G4356" s="3">
        <f t="shared" si="2"/>
        <v>0.1266318538</v>
      </c>
      <c r="H4356" s="2">
        <v>162.0</v>
      </c>
      <c r="I4356" s="3">
        <f t="shared" si="3"/>
        <v>0.2114882507</v>
      </c>
      <c r="J4356" s="2">
        <v>139.0</v>
      </c>
      <c r="K4356" s="3">
        <f t="shared" si="4"/>
        <v>0.181462141</v>
      </c>
      <c r="L4356" s="2">
        <v>93.0</v>
      </c>
      <c r="M4356" s="3">
        <f t="shared" si="5"/>
        <v>0.5740740741</v>
      </c>
      <c r="N4356" s="2">
        <v>978500.0</v>
      </c>
      <c r="O4356" s="4">
        <f t="shared" si="6"/>
        <v>6040.123457</v>
      </c>
      <c r="P4356" s="2">
        <v>0.0</v>
      </c>
      <c r="Q4356" s="3">
        <f t="shared" si="7"/>
        <v>0</v>
      </c>
      <c r="R4356" s="2">
        <v>2.0</v>
      </c>
      <c r="S4356" s="5">
        <f t="shared" si="8"/>
        <v>0.02816901408</v>
      </c>
    </row>
    <row r="4357">
      <c r="A4357" s="2" t="s">
        <v>4360</v>
      </c>
      <c r="B4357" s="2">
        <v>110.0</v>
      </c>
      <c r="C4357" s="2">
        <v>1350.0</v>
      </c>
      <c r="D4357" s="2">
        <v>420.0</v>
      </c>
      <c r="E4357" s="3">
        <f t="shared" si="1"/>
        <v>0.3387096774</v>
      </c>
      <c r="F4357" s="2">
        <v>157.0</v>
      </c>
      <c r="G4357" s="3">
        <f t="shared" si="2"/>
        <v>0.1266129032</v>
      </c>
      <c r="H4357" s="2">
        <v>263.0</v>
      </c>
      <c r="I4357" s="3">
        <f t="shared" si="3"/>
        <v>0.2120967742</v>
      </c>
      <c r="J4357" s="2">
        <v>223.0</v>
      </c>
      <c r="K4357" s="3">
        <f t="shared" si="4"/>
        <v>0.1798387097</v>
      </c>
      <c r="L4357" s="2">
        <v>136.0</v>
      </c>
      <c r="M4357" s="3">
        <f t="shared" si="5"/>
        <v>0.5171102662</v>
      </c>
      <c r="N4357" s="2">
        <v>1537000.0</v>
      </c>
      <c r="O4357" s="4">
        <f t="shared" si="6"/>
        <v>5844.106464</v>
      </c>
      <c r="P4357" s="2">
        <v>1.0</v>
      </c>
      <c r="Q4357" s="3">
        <f t="shared" si="7"/>
        <v>0.009090909091</v>
      </c>
      <c r="R4357" s="2">
        <v>110.0</v>
      </c>
      <c r="S4357" s="5">
        <f t="shared" si="8"/>
        <v>1</v>
      </c>
    </row>
    <row r="4358">
      <c r="A4358" s="2" t="s">
        <v>4361</v>
      </c>
      <c r="B4358" s="2">
        <v>4232.0</v>
      </c>
      <c r="C4358" s="2">
        <v>49182.0</v>
      </c>
      <c r="D4358" s="2">
        <v>11980.0</v>
      </c>
      <c r="E4358" s="3">
        <f t="shared" si="1"/>
        <v>0.2665183537</v>
      </c>
      <c r="F4358" s="2">
        <v>5691.0</v>
      </c>
      <c r="G4358" s="3">
        <f t="shared" si="2"/>
        <v>0.1266073415</v>
      </c>
      <c r="H4358" s="2">
        <v>8950.0</v>
      </c>
      <c r="I4358" s="3">
        <f t="shared" si="3"/>
        <v>0.1991101224</v>
      </c>
      <c r="J4358" s="2">
        <v>8468.0</v>
      </c>
      <c r="K4358" s="3">
        <f t="shared" si="4"/>
        <v>0.1883870968</v>
      </c>
      <c r="L4358" s="2">
        <v>5185.0</v>
      </c>
      <c r="M4358" s="3">
        <f t="shared" si="5"/>
        <v>0.5793296089</v>
      </c>
      <c r="N4358" s="2">
        <v>5.46322E7</v>
      </c>
      <c r="O4358" s="4">
        <f t="shared" si="6"/>
        <v>6104.156425</v>
      </c>
      <c r="P4358" s="2">
        <v>9.0</v>
      </c>
      <c r="Q4358" s="3">
        <f t="shared" si="7"/>
        <v>0.002126654064</v>
      </c>
      <c r="R4358" s="2">
        <v>4232.0</v>
      </c>
      <c r="S4358" s="5">
        <f t="shared" si="8"/>
        <v>1</v>
      </c>
    </row>
    <row r="4359">
      <c r="A4359" s="2" t="s">
        <v>4362</v>
      </c>
      <c r="B4359" s="2">
        <v>586.0</v>
      </c>
      <c r="C4359" s="2">
        <v>6842.0</v>
      </c>
      <c r="D4359" s="2">
        <v>2244.0</v>
      </c>
      <c r="E4359" s="3">
        <f t="shared" si="1"/>
        <v>0.3586956522</v>
      </c>
      <c r="F4359" s="2">
        <v>792.0</v>
      </c>
      <c r="G4359" s="3">
        <f t="shared" si="2"/>
        <v>0.1265984655</v>
      </c>
      <c r="H4359" s="2">
        <v>1280.0</v>
      </c>
      <c r="I4359" s="3">
        <f t="shared" si="3"/>
        <v>0.2046035806</v>
      </c>
      <c r="J4359" s="2">
        <v>1059.0</v>
      </c>
      <c r="K4359" s="3">
        <f t="shared" si="4"/>
        <v>0.1692774936</v>
      </c>
      <c r="L4359" s="2">
        <v>791.0</v>
      </c>
      <c r="M4359" s="3">
        <f t="shared" si="5"/>
        <v>0.61796875</v>
      </c>
      <c r="N4359" s="2">
        <v>7211900.0</v>
      </c>
      <c r="O4359" s="4">
        <f t="shared" si="6"/>
        <v>5634.296875</v>
      </c>
      <c r="P4359" s="2">
        <v>1.0</v>
      </c>
      <c r="Q4359" s="3">
        <f t="shared" si="7"/>
        <v>0.001706484642</v>
      </c>
      <c r="R4359" s="2">
        <v>0.0</v>
      </c>
      <c r="S4359" s="5">
        <f t="shared" si="8"/>
        <v>0</v>
      </c>
    </row>
    <row r="4360">
      <c r="A4360" s="2" t="s">
        <v>4363</v>
      </c>
      <c r="B4360" s="2">
        <v>635.0</v>
      </c>
      <c r="C4360" s="2">
        <v>7350.0</v>
      </c>
      <c r="D4360" s="2">
        <v>1557.0</v>
      </c>
      <c r="E4360" s="3">
        <f t="shared" si="1"/>
        <v>0.2318689501</v>
      </c>
      <c r="F4360" s="2">
        <v>850.0</v>
      </c>
      <c r="G4360" s="3">
        <f t="shared" si="2"/>
        <v>0.1265822785</v>
      </c>
      <c r="H4360" s="2">
        <v>1274.0</v>
      </c>
      <c r="I4360" s="3">
        <f t="shared" si="3"/>
        <v>0.1897244974</v>
      </c>
      <c r="J4360" s="2">
        <v>1223.0</v>
      </c>
      <c r="K4360" s="3">
        <f t="shared" si="4"/>
        <v>0.1821295607</v>
      </c>
      <c r="L4360" s="2">
        <v>766.0</v>
      </c>
      <c r="M4360" s="3">
        <f t="shared" si="5"/>
        <v>0.601255887</v>
      </c>
      <c r="N4360" s="2">
        <v>7722700.0</v>
      </c>
      <c r="O4360" s="4">
        <f t="shared" si="6"/>
        <v>6061.77394</v>
      </c>
      <c r="P4360" s="2">
        <v>2.0</v>
      </c>
      <c r="Q4360" s="3">
        <f t="shared" si="7"/>
        <v>0.003149606299</v>
      </c>
      <c r="R4360" s="2">
        <v>635.0</v>
      </c>
      <c r="S4360" s="5">
        <f t="shared" si="8"/>
        <v>1</v>
      </c>
    </row>
    <row r="4361">
      <c r="A4361" s="2" t="s">
        <v>4364</v>
      </c>
      <c r="B4361" s="2">
        <v>274.0</v>
      </c>
      <c r="C4361" s="2">
        <v>3284.0</v>
      </c>
      <c r="D4361" s="2">
        <v>1259.0</v>
      </c>
      <c r="E4361" s="3">
        <f t="shared" si="1"/>
        <v>0.4182724252</v>
      </c>
      <c r="F4361" s="2">
        <v>381.0</v>
      </c>
      <c r="G4361" s="3">
        <f t="shared" si="2"/>
        <v>0.1265780731</v>
      </c>
      <c r="H4361" s="2">
        <v>609.0</v>
      </c>
      <c r="I4361" s="3">
        <f t="shared" si="3"/>
        <v>0.2023255814</v>
      </c>
      <c r="J4361" s="2">
        <v>484.0</v>
      </c>
      <c r="K4361" s="3">
        <f t="shared" si="4"/>
        <v>0.1607973422</v>
      </c>
      <c r="L4361" s="2">
        <v>362.0</v>
      </c>
      <c r="M4361" s="3">
        <f t="shared" si="5"/>
        <v>0.5944170772</v>
      </c>
      <c r="N4361" s="2">
        <v>3451700.0</v>
      </c>
      <c r="O4361" s="4">
        <f t="shared" si="6"/>
        <v>5667.816092</v>
      </c>
      <c r="P4361" s="2">
        <v>0.0</v>
      </c>
      <c r="Q4361" s="3">
        <f t="shared" si="7"/>
        <v>0</v>
      </c>
      <c r="R4361" s="2">
        <v>6.0</v>
      </c>
      <c r="S4361" s="5">
        <f t="shared" si="8"/>
        <v>0.02189781022</v>
      </c>
    </row>
    <row r="4362">
      <c r="A4362" s="2" t="s">
        <v>4365</v>
      </c>
      <c r="B4362" s="2">
        <v>1264.0</v>
      </c>
      <c r="C4362" s="2">
        <v>14782.0</v>
      </c>
      <c r="D4362" s="2">
        <v>5428.0</v>
      </c>
      <c r="E4362" s="3">
        <f t="shared" si="1"/>
        <v>0.4015386892</v>
      </c>
      <c r="F4362" s="2">
        <v>1711.0</v>
      </c>
      <c r="G4362" s="3">
        <f t="shared" si="2"/>
        <v>0.1265719781</v>
      </c>
      <c r="H4362" s="2">
        <v>2830.0</v>
      </c>
      <c r="I4362" s="3">
        <f t="shared" si="3"/>
        <v>0.2093504956</v>
      </c>
      <c r="J4362" s="2">
        <v>2436.0</v>
      </c>
      <c r="K4362" s="3">
        <f t="shared" si="4"/>
        <v>0.1802041722</v>
      </c>
      <c r="L4362" s="2">
        <v>1690.0</v>
      </c>
      <c r="M4362" s="3">
        <f t="shared" si="5"/>
        <v>0.5971731449</v>
      </c>
      <c r="N4362" s="2">
        <v>1.58466E7</v>
      </c>
      <c r="O4362" s="4">
        <f t="shared" si="6"/>
        <v>5599.5053</v>
      </c>
      <c r="P4362" s="2">
        <v>5.0</v>
      </c>
      <c r="Q4362" s="3">
        <f t="shared" si="7"/>
        <v>0.003955696203</v>
      </c>
      <c r="R4362" s="2">
        <v>1264.0</v>
      </c>
      <c r="S4362" s="5">
        <f t="shared" si="8"/>
        <v>1</v>
      </c>
    </row>
    <row r="4363">
      <c r="A4363" s="2" t="s">
        <v>4366</v>
      </c>
      <c r="B4363" s="2">
        <v>102.0</v>
      </c>
      <c r="C4363" s="2">
        <v>1216.0</v>
      </c>
      <c r="D4363" s="2">
        <v>490.0</v>
      </c>
      <c r="E4363" s="3">
        <f t="shared" si="1"/>
        <v>0.4398563734</v>
      </c>
      <c r="F4363" s="2">
        <v>141.0</v>
      </c>
      <c r="G4363" s="3">
        <f t="shared" si="2"/>
        <v>0.1265709156</v>
      </c>
      <c r="H4363" s="2">
        <v>239.0</v>
      </c>
      <c r="I4363" s="3">
        <f t="shared" si="3"/>
        <v>0.2145421903</v>
      </c>
      <c r="J4363" s="2">
        <v>207.0</v>
      </c>
      <c r="K4363" s="3">
        <f t="shared" si="4"/>
        <v>0.1858168761</v>
      </c>
      <c r="L4363" s="2">
        <v>145.0</v>
      </c>
      <c r="M4363" s="3">
        <f t="shared" si="5"/>
        <v>0.6066945607</v>
      </c>
      <c r="N4363" s="2">
        <v>1376800.0</v>
      </c>
      <c r="O4363" s="4">
        <f t="shared" si="6"/>
        <v>5760.669456</v>
      </c>
      <c r="P4363" s="2">
        <v>1.0</v>
      </c>
      <c r="Q4363" s="3">
        <f t="shared" si="7"/>
        <v>0.009803921569</v>
      </c>
      <c r="R4363" s="2">
        <v>97.0</v>
      </c>
      <c r="S4363" s="5">
        <f t="shared" si="8"/>
        <v>0.9509803922</v>
      </c>
    </row>
    <row r="4364">
      <c r="A4364" s="2" t="s">
        <v>4367</v>
      </c>
      <c r="B4364" s="2">
        <v>543.0</v>
      </c>
      <c r="C4364" s="2">
        <v>6398.0</v>
      </c>
      <c r="D4364" s="2">
        <v>1651.0</v>
      </c>
      <c r="E4364" s="3">
        <f t="shared" si="1"/>
        <v>0.2819812126</v>
      </c>
      <c r="F4364" s="2">
        <v>741.0</v>
      </c>
      <c r="G4364" s="3">
        <f t="shared" si="2"/>
        <v>0.126558497</v>
      </c>
      <c r="H4364" s="2">
        <v>1189.0</v>
      </c>
      <c r="I4364" s="3">
        <f t="shared" si="3"/>
        <v>0.2030742955</v>
      </c>
      <c r="J4364" s="2">
        <v>965.0</v>
      </c>
      <c r="K4364" s="3">
        <f t="shared" si="4"/>
        <v>0.1648163962</v>
      </c>
      <c r="L4364" s="2">
        <v>698.0</v>
      </c>
      <c r="M4364" s="3">
        <f t="shared" si="5"/>
        <v>0.5870479394</v>
      </c>
      <c r="N4364" s="2">
        <v>6828400.0</v>
      </c>
      <c r="O4364" s="4">
        <f t="shared" si="6"/>
        <v>5742.977292</v>
      </c>
      <c r="P4364" s="2">
        <v>1.0</v>
      </c>
      <c r="Q4364" s="3">
        <f t="shared" si="7"/>
        <v>0.001841620626</v>
      </c>
      <c r="R4364" s="2">
        <v>543.0</v>
      </c>
      <c r="S4364" s="5">
        <f t="shared" si="8"/>
        <v>1</v>
      </c>
    </row>
    <row r="4365">
      <c r="A4365" s="2" t="s">
        <v>4368</v>
      </c>
      <c r="B4365" s="2">
        <v>98.0</v>
      </c>
      <c r="C4365" s="2">
        <v>1141.0</v>
      </c>
      <c r="D4365" s="2">
        <v>285.0</v>
      </c>
      <c r="E4365" s="3">
        <f t="shared" si="1"/>
        <v>0.2732502397</v>
      </c>
      <c r="F4365" s="2">
        <v>132.0</v>
      </c>
      <c r="G4365" s="3">
        <f t="shared" si="2"/>
        <v>0.1265580058</v>
      </c>
      <c r="H4365" s="2">
        <v>179.0</v>
      </c>
      <c r="I4365" s="3">
        <f t="shared" si="3"/>
        <v>0.171620326</v>
      </c>
      <c r="J4365" s="2">
        <v>175.0</v>
      </c>
      <c r="K4365" s="3">
        <f t="shared" si="4"/>
        <v>0.1677852349</v>
      </c>
      <c r="L4365" s="2">
        <v>112.0</v>
      </c>
      <c r="M4365" s="3">
        <f t="shared" si="5"/>
        <v>0.625698324</v>
      </c>
      <c r="N4365" s="2">
        <v>1012000.0</v>
      </c>
      <c r="O4365" s="4">
        <f t="shared" si="6"/>
        <v>5653.631285</v>
      </c>
      <c r="P4365" s="2">
        <v>0.0</v>
      </c>
      <c r="Q4365" s="3">
        <f t="shared" si="7"/>
        <v>0</v>
      </c>
      <c r="R4365" s="2">
        <v>98.0</v>
      </c>
      <c r="S4365" s="5">
        <f t="shared" si="8"/>
        <v>1</v>
      </c>
    </row>
    <row r="4366">
      <c r="A4366" s="2" t="s">
        <v>4369</v>
      </c>
      <c r="B4366" s="2">
        <v>557.0</v>
      </c>
      <c r="C4366" s="2">
        <v>6578.0</v>
      </c>
      <c r="D4366" s="2">
        <v>1714.0</v>
      </c>
      <c r="E4366" s="3">
        <f t="shared" si="1"/>
        <v>0.2846703205</v>
      </c>
      <c r="F4366" s="2">
        <v>762.0</v>
      </c>
      <c r="G4366" s="3">
        <f t="shared" si="2"/>
        <v>0.1265570503</v>
      </c>
      <c r="H4366" s="2">
        <v>1216.0</v>
      </c>
      <c r="I4366" s="3">
        <f t="shared" si="3"/>
        <v>0.2019598073</v>
      </c>
      <c r="J4366" s="2">
        <v>1169.0</v>
      </c>
      <c r="K4366" s="3">
        <f t="shared" si="4"/>
        <v>0.1941537951</v>
      </c>
      <c r="L4366" s="2">
        <v>725.0</v>
      </c>
      <c r="M4366" s="3">
        <f t="shared" si="5"/>
        <v>0.5962171053</v>
      </c>
      <c r="N4366" s="2">
        <v>7220000.0</v>
      </c>
      <c r="O4366" s="4">
        <f t="shared" si="6"/>
        <v>5937.5</v>
      </c>
      <c r="P4366" s="2">
        <v>0.0</v>
      </c>
      <c r="Q4366" s="3">
        <f t="shared" si="7"/>
        <v>0</v>
      </c>
      <c r="R4366" s="2">
        <v>0.0</v>
      </c>
      <c r="S4366" s="5">
        <f t="shared" si="8"/>
        <v>0</v>
      </c>
    </row>
    <row r="4367">
      <c r="A4367" s="2" t="s">
        <v>4370</v>
      </c>
      <c r="B4367" s="2">
        <v>366.0</v>
      </c>
      <c r="C4367" s="2">
        <v>4388.0</v>
      </c>
      <c r="D4367" s="2">
        <v>1600.0</v>
      </c>
      <c r="E4367" s="3">
        <f t="shared" si="1"/>
        <v>0.3978120338</v>
      </c>
      <c r="F4367" s="2">
        <v>509.0</v>
      </c>
      <c r="G4367" s="3">
        <f t="shared" si="2"/>
        <v>0.1265539533</v>
      </c>
      <c r="H4367" s="2">
        <v>788.0</v>
      </c>
      <c r="I4367" s="3">
        <f t="shared" si="3"/>
        <v>0.1959224267</v>
      </c>
      <c r="J4367" s="2">
        <v>476.0</v>
      </c>
      <c r="K4367" s="3">
        <f t="shared" si="4"/>
        <v>0.1183490801</v>
      </c>
      <c r="L4367" s="2">
        <v>473.0</v>
      </c>
      <c r="M4367" s="3">
        <f t="shared" si="5"/>
        <v>0.6002538071</v>
      </c>
      <c r="N4367" s="2">
        <v>4394200.0</v>
      </c>
      <c r="O4367" s="4">
        <f t="shared" si="6"/>
        <v>5576.395939</v>
      </c>
      <c r="P4367" s="2">
        <v>1.0</v>
      </c>
      <c r="Q4367" s="3">
        <f t="shared" si="7"/>
        <v>0.002732240437</v>
      </c>
      <c r="R4367" s="2">
        <v>366.0</v>
      </c>
      <c r="S4367" s="5">
        <f t="shared" si="8"/>
        <v>1</v>
      </c>
    </row>
    <row r="4368">
      <c r="A4368" s="2" t="s">
        <v>4371</v>
      </c>
      <c r="B4368" s="2">
        <v>164.0</v>
      </c>
      <c r="C4368" s="2">
        <v>1934.0</v>
      </c>
      <c r="D4368" s="2">
        <v>581.0</v>
      </c>
      <c r="E4368" s="3">
        <f t="shared" si="1"/>
        <v>0.3282485876</v>
      </c>
      <c r="F4368" s="2">
        <v>224.0</v>
      </c>
      <c r="G4368" s="3">
        <f t="shared" si="2"/>
        <v>0.1265536723</v>
      </c>
      <c r="H4368" s="2">
        <v>400.0</v>
      </c>
      <c r="I4368" s="3">
        <f t="shared" si="3"/>
        <v>0.2259887006</v>
      </c>
      <c r="J4368" s="2">
        <v>308.0</v>
      </c>
      <c r="K4368" s="3">
        <f t="shared" si="4"/>
        <v>0.1740112994</v>
      </c>
      <c r="L4368" s="2">
        <v>229.0</v>
      </c>
      <c r="M4368" s="3">
        <f t="shared" si="5"/>
        <v>0.5725</v>
      </c>
      <c r="N4368" s="2">
        <v>2347100.0</v>
      </c>
      <c r="O4368" s="4">
        <f t="shared" si="6"/>
        <v>5867.75</v>
      </c>
      <c r="P4368" s="2">
        <v>0.0</v>
      </c>
      <c r="Q4368" s="3">
        <f t="shared" si="7"/>
        <v>0</v>
      </c>
      <c r="R4368" s="2">
        <v>164.0</v>
      </c>
      <c r="S4368" s="5">
        <f t="shared" si="8"/>
        <v>1</v>
      </c>
    </row>
    <row r="4369">
      <c r="A4369" s="2" t="s">
        <v>4372</v>
      </c>
      <c r="B4369" s="2">
        <v>128.0</v>
      </c>
      <c r="C4369" s="2">
        <v>1503.0</v>
      </c>
      <c r="D4369" s="2">
        <v>569.0</v>
      </c>
      <c r="E4369" s="3">
        <f t="shared" si="1"/>
        <v>0.4138181818</v>
      </c>
      <c r="F4369" s="2">
        <v>174.0</v>
      </c>
      <c r="G4369" s="3">
        <f t="shared" si="2"/>
        <v>0.1265454545</v>
      </c>
      <c r="H4369" s="2">
        <v>318.0</v>
      </c>
      <c r="I4369" s="3">
        <f t="shared" si="3"/>
        <v>0.2312727273</v>
      </c>
      <c r="J4369" s="2">
        <v>204.0</v>
      </c>
      <c r="K4369" s="3">
        <f t="shared" si="4"/>
        <v>0.1483636364</v>
      </c>
      <c r="L4369" s="2">
        <v>196.0</v>
      </c>
      <c r="M4369" s="3">
        <f t="shared" si="5"/>
        <v>0.6163522013</v>
      </c>
      <c r="N4369" s="2">
        <v>1631400.0</v>
      </c>
      <c r="O4369" s="4">
        <f t="shared" si="6"/>
        <v>5130.188679</v>
      </c>
      <c r="P4369" s="2">
        <v>0.0</v>
      </c>
      <c r="Q4369" s="3">
        <f t="shared" si="7"/>
        <v>0</v>
      </c>
      <c r="R4369" s="2">
        <v>0.0</v>
      </c>
      <c r="S4369" s="5">
        <f t="shared" si="8"/>
        <v>0</v>
      </c>
    </row>
    <row r="4370">
      <c r="A4370" s="2" t="s">
        <v>4373</v>
      </c>
      <c r="B4370" s="2">
        <v>546.0</v>
      </c>
      <c r="C4370" s="2">
        <v>6473.0</v>
      </c>
      <c r="D4370" s="2">
        <v>2613.0</v>
      </c>
      <c r="E4370" s="3">
        <f t="shared" si="1"/>
        <v>0.4408638434</v>
      </c>
      <c r="F4370" s="2">
        <v>750.0</v>
      </c>
      <c r="G4370" s="3">
        <f t="shared" si="2"/>
        <v>0.1265395647</v>
      </c>
      <c r="H4370" s="2">
        <v>1277.0</v>
      </c>
      <c r="I4370" s="3">
        <f t="shared" si="3"/>
        <v>0.2154546988</v>
      </c>
      <c r="J4370" s="2">
        <v>925.0</v>
      </c>
      <c r="K4370" s="3">
        <f t="shared" si="4"/>
        <v>0.1560654631</v>
      </c>
      <c r="L4370" s="2">
        <v>739.0</v>
      </c>
      <c r="M4370" s="3">
        <f t="shared" si="5"/>
        <v>0.5787000783</v>
      </c>
      <c r="N4370" s="2">
        <v>6666400.0</v>
      </c>
      <c r="O4370" s="4">
        <f t="shared" si="6"/>
        <v>5220.360219</v>
      </c>
      <c r="P4370" s="2">
        <v>0.0</v>
      </c>
      <c r="Q4370" s="3">
        <f t="shared" si="7"/>
        <v>0</v>
      </c>
      <c r="R4370" s="2">
        <v>546.0</v>
      </c>
      <c r="S4370" s="5">
        <f t="shared" si="8"/>
        <v>1</v>
      </c>
    </row>
    <row r="4371">
      <c r="A4371" s="2" t="s">
        <v>4374</v>
      </c>
      <c r="B4371" s="2">
        <v>54.0</v>
      </c>
      <c r="C4371" s="2">
        <v>623.0</v>
      </c>
      <c r="D4371" s="2">
        <v>177.0</v>
      </c>
      <c r="E4371" s="3">
        <f t="shared" si="1"/>
        <v>0.3110720562</v>
      </c>
      <c r="F4371" s="2">
        <v>72.0</v>
      </c>
      <c r="G4371" s="3">
        <f t="shared" si="2"/>
        <v>0.1265377856</v>
      </c>
      <c r="H4371" s="2">
        <v>117.0</v>
      </c>
      <c r="I4371" s="3">
        <f t="shared" si="3"/>
        <v>0.2056239016</v>
      </c>
      <c r="J4371" s="2">
        <v>113.0</v>
      </c>
      <c r="K4371" s="3">
        <f t="shared" si="4"/>
        <v>0.1985940246</v>
      </c>
      <c r="L4371" s="2">
        <v>69.0</v>
      </c>
      <c r="M4371" s="3">
        <f t="shared" si="5"/>
        <v>0.5897435897</v>
      </c>
      <c r="N4371" s="2">
        <v>676000.0</v>
      </c>
      <c r="O4371" s="4">
        <f t="shared" si="6"/>
        <v>5777.777778</v>
      </c>
      <c r="P4371" s="2">
        <v>0.0</v>
      </c>
      <c r="Q4371" s="3">
        <f t="shared" si="7"/>
        <v>0</v>
      </c>
      <c r="R4371" s="2">
        <v>54.0</v>
      </c>
      <c r="S4371" s="5">
        <f t="shared" si="8"/>
        <v>1</v>
      </c>
    </row>
    <row r="4372">
      <c r="A4372" s="2" t="s">
        <v>4375</v>
      </c>
      <c r="B4372" s="2">
        <v>2252.0</v>
      </c>
      <c r="C4372" s="2">
        <v>26372.0</v>
      </c>
      <c r="D4372" s="2">
        <v>9386.0</v>
      </c>
      <c r="E4372" s="3">
        <f t="shared" si="1"/>
        <v>0.3891376451</v>
      </c>
      <c r="F4372" s="2">
        <v>3052.0</v>
      </c>
      <c r="G4372" s="3">
        <f t="shared" si="2"/>
        <v>0.1265339967</v>
      </c>
      <c r="H4372" s="2">
        <v>5418.0</v>
      </c>
      <c r="I4372" s="3">
        <f t="shared" si="3"/>
        <v>0.2246268657</v>
      </c>
      <c r="J4372" s="2">
        <v>3984.0</v>
      </c>
      <c r="K4372" s="3">
        <f t="shared" si="4"/>
        <v>0.1651741294</v>
      </c>
      <c r="L4372" s="2">
        <v>3314.0</v>
      </c>
      <c r="M4372" s="3">
        <f t="shared" si="5"/>
        <v>0.611664821</v>
      </c>
      <c r="N4372" s="2">
        <v>2.84353E7</v>
      </c>
      <c r="O4372" s="4">
        <f t="shared" si="6"/>
        <v>5248.301956</v>
      </c>
      <c r="P4372" s="2">
        <v>3.0</v>
      </c>
      <c r="Q4372" s="3">
        <f t="shared" si="7"/>
        <v>0.001332149201</v>
      </c>
      <c r="R4372" s="2">
        <v>1162.0</v>
      </c>
      <c r="S4372" s="5">
        <f t="shared" si="8"/>
        <v>0.5159857904</v>
      </c>
    </row>
    <row r="4373">
      <c r="A4373" s="2" t="s">
        <v>4376</v>
      </c>
      <c r="B4373" s="2">
        <v>256.0</v>
      </c>
      <c r="C4373" s="2">
        <v>3030.0</v>
      </c>
      <c r="D4373" s="2">
        <v>957.0</v>
      </c>
      <c r="E4373" s="3">
        <f t="shared" si="1"/>
        <v>0.3449891853</v>
      </c>
      <c r="F4373" s="2">
        <v>351.0</v>
      </c>
      <c r="G4373" s="3">
        <f t="shared" si="2"/>
        <v>0.1265320836</v>
      </c>
      <c r="H4373" s="2">
        <v>580.0</v>
      </c>
      <c r="I4373" s="3">
        <f t="shared" si="3"/>
        <v>0.2090843547</v>
      </c>
      <c r="J4373" s="2">
        <v>513.0</v>
      </c>
      <c r="K4373" s="3">
        <f t="shared" si="4"/>
        <v>0.1849315068</v>
      </c>
      <c r="L4373" s="2">
        <v>339.0</v>
      </c>
      <c r="M4373" s="3">
        <f t="shared" si="5"/>
        <v>0.5844827586</v>
      </c>
      <c r="N4373" s="2">
        <v>3158800.0</v>
      </c>
      <c r="O4373" s="4">
        <f t="shared" si="6"/>
        <v>5446.206897</v>
      </c>
      <c r="P4373" s="2">
        <v>2.0</v>
      </c>
      <c r="Q4373" s="3">
        <f t="shared" si="7"/>
        <v>0.0078125</v>
      </c>
      <c r="R4373" s="2">
        <v>2.0</v>
      </c>
      <c r="S4373" s="5">
        <f t="shared" si="8"/>
        <v>0.0078125</v>
      </c>
    </row>
    <row r="4374">
      <c r="A4374" s="2" t="s">
        <v>4377</v>
      </c>
      <c r="B4374" s="2">
        <v>305.0</v>
      </c>
      <c r="C4374" s="2">
        <v>3569.0</v>
      </c>
      <c r="D4374" s="2">
        <v>1109.0</v>
      </c>
      <c r="E4374" s="3">
        <f t="shared" si="1"/>
        <v>0.3397671569</v>
      </c>
      <c r="F4374" s="2">
        <v>413.0</v>
      </c>
      <c r="G4374" s="3">
        <f t="shared" si="2"/>
        <v>0.1265318627</v>
      </c>
      <c r="H4374" s="2">
        <v>670.0</v>
      </c>
      <c r="I4374" s="3">
        <f t="shared" si="3"/>
        <v>0.2052696078</v>
      </c>
      <c r="J4374" s="2">
        <v>500.0</v>
      </c>
      <c r="K4374" s="3">
        <f t="shared" si="4"/>
        <v>0.1531862745</v>
      </c>
      <c r="L4374" s="2">
        <v>402.0</v>
      </c>
      <c r="M4374" s="3">
        <f t="shared" si="5"/>
        <v>0.6</v>
      </c>
      <c r="N4374" s="2">
        <v>3982900.0</v>
      </c>
      <c r="O4374" s="4">
        <f t="shared" si="6"/>
        <v>5944.626866</v>
      </c>
      <c r="P4374" s="2">
        <v>1.0</v>
      </c>
      <c r="Q4374" s="3">
        <f t="shared" si="7"/>
        <v>0.003278688525</v>
      </c>
      <c r="R4374" s="2">
        <v>305.0</v>
      </c>
      <c r="S4374" s="5">
        <f t="shared" si="8"/>
        <v>1</v>
      </c>
    </row>
    <row r="4375">
      <c r="A4375" s="2" t="s">
        <v>4378</v>
      </c>
      <c r="B4375" s="2">
        <v>105.0</v>
      </c>
      <c r="C4375" s="2">
        <v>1251.0</v>
      </c>
      <c r="D4375" s="2">
        <v>338.0</v>
      </c>
      <c r="E4375" s="3">
        <f t="shared" si="1"/>
        <v>0.294938918</v>
      </c>
      <c r="F4375" s="2">
        <v>145.0</v>
      </c>
      <c r="G4375" s="3">
        <f t="shared" si="2"/>
        <v>0.1265270506</v>
      </c>
      <c r="H4375" s="2">
        <v>226.0</v>
      </c>
      <c r="I4375" s="3">
        <f t="shared" si="3"/>
        <v>0.1972076789</v>
      </c>
      <c r="J4375" s="2">
        <v>212.0</v>
      </c>
      <c r="K4375" s="3">
        <f t="shared" si="4"/>
        <v>0.184991274</v>
      </c>
      <c r="L4375" s="2">
        <v>136.0</v>
      </c>
      <c r="M4375" s="3">
        <f t="shared" si="5"/>
        <v>0.6017699115</v>
      </c>
      <c r="N4375" s="2">
        <v>1254100.0</v>
      </c>
      <c r="O4375" s="4">
        <f t="shared" si="6"/>
        <v>5549.115044</v>
      </c>
      <c r="P4375" s="2">
        <v>0.0</v>
      </c>
      <c r="Q4375" s="3">
        <f t="shared" si="7"/>
        <v>0</v>
      </c>
      <c r="R4375" s="2">
        <v>105.0</v>
      </c>
      <c r="S4375" s="5">
        <f t="shared" si="8"/>
        <v>1</v>
      </c>
    </row>
    <row r="4376">
      <c r="A4376" s="2" t="s">
        <v>4379</v>
      </c>
      <c r="B4376" s="2">
        <v>349.0</v>
      </c>
      <c r="C4376" s="2">
        <v>4048.0</v>
      </c>
      <c r="D4376" s="2">
        <v>1148.0</v>
      </c>
      <c r="E4376" s="3">
        <f t="shared" si="1"/>
        <v>0.3103541498</v>
      </c>
      <c r="F4376" s="2">
        <v>468.0</v>
      </c>
      <c r="G4376" s="3">
        <f t="shared" si="2"/>
        <v>0.1265206813</v>
      </c>
      <c r="H4376" s="2">
        <v>787.0</v>
      </c>
      <c r="I4376" s="3">
        <f t="shared" si="3"/>
        <v>0.2127602055</v>
      </c>
      <c r="J4376" s="2">
        <v>713.0</v>
      </c>
      <c r="K4376" s="3">
        <f t="shared" si="4"/>
        <v>0.1927547986</v>
      </c>
      <c r="L4376" s="2">
        <v>450.0</v>
      </c>
      <c r="M4376" s="3">
        <f t="shared" si="5"/>
        <v>0.5717916137</v>
      </c>
      <c r="N4376" s="2">
        <v>4464100.0</v>
      </c>
      <c r="O4376" s="4">
        <f t="shared" si="6"/>
        <v>5672.299873</v>
      </c>
      <c r="P4376" s="2">
        <v>2.0</v>
      </c>
      <c r="Q4376" s="3">
        <f t="shared" si="7"/>
        <v>0.005730659026</v>
      </c>
      <c r="R4376" s="2">
        <v>0.0</v>
      </c>
      <c r="S4376" s="5">
        <f t="shared" si="8"/>
        <v>0</v>
      </c>
    </row>
    <row r="4377">
      <c r="A4377" s="2" t="s">
        <v>4380</v>
      </c>
      <c r="B4377" s="2">
        <v>499.0</v>
      </c>
      <c r="C4377" s="2">
        <v>5929.0</v>
      </c>
      <c r="D4377" s="2">
        <v>1826.0</v>
      </c>
      <c r="E4377" s="3">
        <f t="shared" si="1"/>
        <v>0.3362799263</v>
      </c>
      <c r="F4377" s="2">
        <v>687.0</v>
      </c>
      <c r="G4377" s="3">
        <f t="shared" si="2"/>
        <v>0.126519337</v>
      </c>
      <c r="H4377" s="2">
        <v>1077.0</v>
      </c>
      <c r="I4377" s="3">
        <f t="shared" si="3"/>
        <v>0.1983425414</v>
      </c>
      <c r="J4377" s="2">
        <v>1025.0</v>
      </c>
      <c r="K4377" s="3">
        <f t="shared" si="4"/>
        <v>0.1887661142</v>
      </c>
      <c r="L4377" s="2">
        <v>625.0</v>
      </c>
      <c r="M4377" s="3">
        <f t="shared" si="5"/>
        <v>0.5803156917</v>
      </c>
      <c r="N4377" s="2">
        <v>6192100.0</v>
      </c>
      <c r="O4377" s="4">
        <f t="shared" si="6"/>
        <v>5749.396472</v>
      </c>
      <c r="P4377" s="2">
        <v>0.0</v>
      </c>
      <c r="Q4377" s="3">
        <f t="shared" si="7"/>
        <v>0</v>
      </c>
      <c r="R4377" s="2">
        <v>499.0</v>
      </c>
      <c r="S4377" s="5">
        <f t="shared" si="8"/>
        <v>1</v>
      </c>
    </row>
    <row r="4378">
      <c r="A4378" s="2" t="s">
        <v>4381</v>
      </c>
      <c r="B4378" s="2">
        <v>442.0</v>
      </c>
      <c r="C4378" s="2">
        <v>5161.0</v>
      </c>
      <c r="D4378" s="2">
        <v>1621.0</v>
      </c>
      <c r="E4378" s="3">
        <f t="shared" si="1"/>
        <v>0.3435049799</v>
      </c>
      <c r="F4378" s="2">
        <v>597.0</v>
      </c>
      <c r="G4378" s="3">
        <f t="shared" si="2"/>
        <v>0.1265098538</v>
      </c>
      <c r="H4378" s="2">
        <v>966.0</v>
      </c>
      <c r="I4378" s="3">
        <f t="shared" si="3"/>
        <v>0.2047043865</v>
      </c>
      <c r="J4378" s="2">
        <v>836.0</v>
      </c>
      <c r="K4378" s="3">
        <f t="shared" si="4"/>
        <v>0.1771561772</v>
      </c>
      <c r="L4378" s="2">
        <v>573.0</v>
      </c>
      <c r="M4378" s="3">
        <f t="shared" si="5"/>
        <v>0.5931677019</v>
      </c>
      <c r="N4378" s="2">
        <v>5708700.0</v>
      </c>
      <c r="O4378" s="4">
        <f t="shared" si="6"/>
        <v>5909.627329</v>
      </c>
      <c r="P4378" s="2">
        <v>2.0</v>
      </c>
      <c r="Q4378" s="3">
        <f t="shared" si="7"/>
        <v>0.004524886878</v>
      </c>
      <c r="R4378" s="2">
        <v>442.0</v>
      </c>
      <c r="S4378" s="5">
        <f t="shared" si="8"/>
        <v>1</v>
      </c>
    </row>
    <row r="4379">
      <c r="A4379" s="2" t="s">
        <v>4382</v>
      </c>
      <c r="B4379" s="2">
        <v>3039.0</v>
      </c>
      <c r="C4379" s="2">
        <v>35559.0</v>
      </c>
      <c r="D4379" s="2">
        <v>14612.0</v>
      </c>
      <c r="E4379" s="3">
        <f t="shared" si="1"/>
        <v>0.4493234932</v>
      </c>
      <c r="F4379" s="2">
        <v>4114.0</v>
      </c>
      <c r="G4379" s="3">
        <f t="shared" si="2"/>
        <v>0.1265067651</v>
      </c>
      <c r="H4379" s="2">
        <v>7018.0</v>
      </c>
      <c r="I4379" s="3">
        <f t="shared" si="3"/>
        <v>0.2158056581</v>
      </c>
      <c r="J4379" s="2">
        <v>4970.0</v>
      </c>
      <c r="K4379" s="3">
        <f t="shared" si="4"/>
        <v>0.1528290283</v>
      </c>
      <c r="L4379" s="2">
        <v>4281.0</v>
      </c>
      <c r="M4379" s="3">
        <f t="shared" si="5"/>
        <v>0.6100028498</v>
      </c>
      <c r="N4379" s="2">
        <v>3.79439E7</v>
      </c>
      <c r="O4379" s="4">
        <f t="shared" si="6"/>
        <v>5406.654317</v>
      </c>
      <c r="P4379" s="2">
        <v>7.0</v>
      </c>
      <c r="Q4379" s="3">
        <f t="shared" si="7"/>
        <v>0.002303389273</v>
      </c>
      <c r="R4379" s="2">
        <v>3039.0</v>
      </c>
      <c r="S4379" s="5">
        <f t="shared" si="8"/>
        <v>1</v>
      </c>
    </row>
    <row r="4380">
      <c r="A4380" s="2" t="s">
        <v>4383</v>
      </c>
      <c r="B4380" s="2">
        <v>63.0</v>
      </c>
      <c r="C4380" s="2">
        <v>727.0</v>
      </c>
      <c r="D4380" s="2">
        <v>218.0</v>
      </c>
      <c r="E4380" s="3">
        <f t="shared" si="1"/>
        <v>0.328313253</v>
      </c>
      <c r="F4380" s="2">
        <v>84.0</v>
      </c>
      <c r="G4380" s="3">
        <f t="shared" si="2"/>
        <v>0.1265060241</v>
      </c>
      <c r="H4380" s="2">
        <v>112.0</v>
      </c>
      <c r="I4380" s="3">
        <f t="shared" si="3"/>
        <v>0.1686746988</v>
      </c>
      <c r="J4380" s="2">
        <v>113.0</v>
      </c>
      <c r="K4380" s="3">
        <f t="shared" si="4"/>
        <v>0.1701807229</v>
      </c>
      <c r="L4380" s="2">
        <v>56.0</v>
      </c>
      <c r="M4380" s="3">
        <f t="shared" si="5"/>
        <v>0.5</v>
      </c>
      <c r="N4380" s="2">
        <v>691600.0</v>
      </c>
      <c r="O4380" s="4">
        <f t="shared" si="6"/>
        <v>6175</v>
      </c>
      <c r="P4380" s="2">
        <v>0.0</v>
      </c>
      <c r="Q4380" s="3">
        <f t="shared" si="7"/>
        <v>0</v>
      </c>
      <c r="R4380" s="2">
        <v>63.0</v>
      </c>
      <c r="S4380" s="5">
        <f t="shared" si="8"/>
        <v>1</v>
      </c>
    </row>
    <row r="4381">
      <c r="A4381" s="2" t="s">
        <v>4384</v>
      </c>
      <c r="B4381" s="2">
        <v>1396.0</v>
      </c>
      <c r="C4381" s="2">
        <v>16402.0</v>
      </c>
      <c r="D4381" s="2">
        <v>5812.0</v>
      </c>
      <c r="E4381" s="3">
        <f t="shared" si="1"/>
        <v>0.387311742</v>
      </c>
      <c r="F4381" s="2">
        <v>1898.0</v>
      </c>
      <c r="G4381" s="3">
        <f t="shared" si="2"/>
        <v>0.1264827402</v>
      </c>
      <c r="H4381" s="2">
        <v>3193.0</v>
      </c>
      <c r="I4381" s="3">
        <f t="shared" si="3"/>
        <v>0.212781554</v>
      </c>
      <c r="J4381" s="2">
        <v>2553.0</v>
      </c>
      <c r="K4381" s="3">
        <f t="shared" si="4"/>
        <v>0.1701319472</v>
      </c>
      <c r="L4381" s="2">
        <v>1906.0</v>
      </c>
      <c r="M4381" s="3">
        <f t="shared" si="5"/>
        <v>0.5969307861</v>
      </c>
      <c r="N4381" s="2">
        <v>1.72295E7</v>
      </c>
      <c r="O4381" s="4">
        <f t="shared" si="6"/>
        <v>5396.022549</v>
      </c>
      <c r="P4381" s="2">
        <v>2.0</v>
      </c>
      <c r="Q4381" s="3">
        <f t="shared" si="7"/>
        <v>0.001432664756</v>
      </c>
      <c r="R4381" s="2">
        <v>1396.0</v>
      </c>
      <c r="S4381" s="5">
        <f t="shared" si="8"/>
        <v>1</v>
      </c>
    </row>
    <row r="4382">
      <c r="A4382" s="2" t="s">
        <v>4385</v>
      </c>
      <c r="B4382" s="2">
        <v>675.0</v>
      </c>
      <c r="C4382" s="2">
        <v>8068.0</v>
      </c>
      <c r="D4382" s="2">
        <v>2891.0</v>
      </c>
      <c r="E4382" s="3">
        <f t="shared" si="1"/>
        <v>0.3910455837</v>
      </c>
      <c r="F4382" s="2">
        <v>935.0</v>
      </c>
      <c r="G4382" s="3">
        <f t="shared" si="2"/>
        <v>0.1264709861</v>
      </c>
      <c r="H4382" s="2">
        <v>1569.0</v>
      </c>
      <c r="I4382" s="3">
        <f t="shared" si="3"/>
        <v>0.212227783</v>
      </c>
      <c r="J4382" s="2">
        <v>1323.0</v>
      </c>
      <c r="K4382" s="3">
        <f t="shared" si="4"/>
        <v>0.1789530637</v>
      </c>
      <c r="L4382" s="2">
        <v>936.0</v>
      </c>
      <c r="M4382" s="3">
        <f t="shared" si="5"/>
        <v>0.5965583174</v>
      </c>
      <c r="N4382" s="2">
        <v>8399300.0</v>
      </c>
      <c r="O4382" s="4">
        <f t="shared" si="6"/>
        <v>5353.282345</v>
      </c>
      <c r="P4382" s="2">
        <v>0.0</v>
      </c>
      <c r="Q4382" s="3">
        <f t="shared" si="7"/>
        <v>0</v>
      </c>
      <c r="R4382" s="2">
        <v>675.0</v>
      </c>
      <c r="S4382" s="5">
        <f t="shared" si="8"/>
        <v>1</v>
      </c>
    </row>
    <row r="4383">
      <c r="A4383" s="2" t="s">
        <v>4386</v>
      </c>
      <c r="B4383" s="2">
        <v>193.0</v>
      </c>
      <c r="C4383" s="2">
        <v>2233.0</v>
      </c>
      <c r="D4383" s="2">
        <v>821.0</v>
      </c>
      <c r="E4383" s="3">
        <f t="shared" si="1"/>
        <v>0.4024509804</v>
      </c>
      <c r="F4383" s="2">
        <v>258.0</v>
      </c>
      <c r="G4383" s="3">
        <f t="shared" si="2"/>
        <v>0.1264705882</v>
      </c>
      <c r="H4383" s="2">
        <v>445.0</v>
      </c>
      <c r="I4383" s="3">
        <f t="shared" si="3"/>
        <v>0.2181372549</v>
      </c>
      <c r="J4383" s="2">
        <v>326.0</v>
      </c>
      <c r="K4383" s="3">
        <f t="shared" si="4"/>
        <v>0.1598039216</v>
      </c>
      <c r="L4383" s="2">
        <v>261.0</v>
      </c>
      <c r="M4383" s="3">
        <f t="shared" si="5"/>
        <v>0.5865168539</v>
      </c>
      <c r="N4383" s="2">
        <v>2414200.0</v>
      </c>
      <c r="O4383" s="4">
        <f t="shared" si="6"/>
        <v>5425.168539</v>
      </c>
      <c r="P4383" s="2">
        <v>1.0</v>
      </c>
      <c r="Q4383" s="3">
        <f t="shared" si="7"/>
        <v>0.00518134715</v>
      </c>
      <c r="R4383" s="2">
        <v>193.0</v>
      </c>
      <c r="S4383" s="5">
        <f t="shared" si="8"/>
        <v>1</v>
      </c>
    </row>
    <row r="4384">
      <c r="A4384" s="2" t="s">
        <v>4387</v>
      </c>
      <c r="B4384" s="2">
        <v>138.0</v>
      </c>
      <c r="C4384" s="2">
        <v>1585.0</v>
      </c>
      <c r="D4384" s="2">
        <v>437.0</v>
      </c>
      <c r="E4384" s="3">
        <f t="shared" si="1"/>
        <v>0.3020041465</v>
      </c>
      <c r="F4384" s="2">
        <v>183.0</v>
      </c>
      <c r="G4384" s="3">
        <f t="shared" si="2"/>
        <v>0.1264685556</v>
      </c>
      <c r="H4384" s="2">
        <v>290.0</v>
      </c>
      <c r="I4384" s="3">
        <f t="shared" si="3"/>
        <v>0.200414651</v>
      </c>
      <c r="J4384" s="2">
        <v>261.0</v>
      </c>
      <c r="K4384" s="3">
        <f t="shared" si="4"/>
        <v>0.1803731859</v>
      </c>
      <c r="L4384" s="2">
        <v>170.0</v>
      </c>
      <c r="M4384" s="3">
        <f t="shared" si="5"/>
        <v>0.5862068966</v>
      </c>
      <c r="N4384" s="2">
        <v>1590200.0</v>
      </c>
      <c r="O4384" s="4">
        <f t="shared" si="6"/>
        <v>5483.448276</v>
      </c>
      <c r="P4384" s="2">
        <v>0.0</v>
      </c>
      <c r="Q4384" s="3">
        <f t="shared" si="7"/>
        <v>0</v>
      </c>
      <c r="R4384" s="2">
        <v>138.0</v>
      </c>
      <c r="S4384" s="5">
        <f t="shared" si="8"/>
        <v>1</v>
      </c>
    </row>
    <row r="4385">
      <c r="A4385" s="2" t="s">
        <v>4388</v>
      </c>
      <c r="B4385" s="2">
        <v>490.0</v>
      </c>
      <c r="C4385" s="2">
        <v>5685.0</v>
      </c>
      <c r="D4385" s="2">
        <v>2013.0</v>
      </c>
      <c r="E4385" s="3">
        <f t="shared" si="1"/>
        <v>0.3874879692</v>
      </c>
      <c r="F4385" s="2">
        <v>657.0</v>
      </c>
      <c r="G4385" s="3">
        <f t="shared" si="2"/>
        <v>0.1264677575</v>
      </c>
      <c r="H4385" s="2">
        <v>1120.0</v>
      </c>
      <c r="I4385" s="3">
        <f t="shared" si="3"/>
        <v>0.2155919153</v>
      </c>
      <c r="J4385" s="2">
        <v>989.0</v>
      </c>
      <c r="K4385" s="3">
        <f t="shared" si="4"/>
        <v>0.1903753609</v>
      </c>
      <c r="L4385" s="2">
        <v>650.0</v>
      </c>
      <c r="M4385" s="3">
        <f t="shared" si="5"/>
        <v>0.5803571429</v>
      </c>
      <c r="N4385" s="2">
        <v>6419200.0</v>
      </c>
      <c r="O4385" s="4">
        <f t="shared" si="6"/>
        <v>5731.428571</v>
      </c>
      <c r="P4385" s="2">
        <v>2.0</v>
      </c>
      <c r="Q4385" s="3">
        <f t="shared" si="7"/>
        <v>0.004081632653</v>
      </c>
      <c r="R4385" s="2">
        <v>490.0</v>
      </c>
      <c r="S4385" s="5">
        <f t="shared" si="8"/>
        <v>1</v>
      </c>
    </row>
    <row r="4386">
      <c r="A4386" s="2" t="s">
        <v>4389</v>
      </c>
      <c r="B4386" s="2">
        <v>407.0</v>
      </c>
      <c r="C4386" s="2">
        <v>4867.0</v>
      </c>
      <c r="D4386" s="2">
        <v>1641.0</v>
      </c>
      <c r="E4386" s="3">
        <f t="shared" si="1"/>
        <v>0.3679372197</v>
      </c>
      <c r="F4386" s="2">
        <v>564.0</v>
      </c>
      <c r="G4386" s="3">
        <f t="shared" si="2"/>
        <v>0.1264573991</v>
      </c>
      <c r="H4386" s="2">
        <v>939.0</v>
      </c>
      <c r="I4386" s="3">
        <f t="shared" si="3"/>
        <v>0.2105381166</v>
      </c>
      <c r="J4386" s="2">
        <v>618.0</v>
      </c>
      <c r="K4386" s="3">
        <f t="shared" si="4"/>
        <v>0.1385650224</v>
      </c>
      <c r="L4386" s="2">
        <v>584.0</v>
      </c>
      <c r="M4386" s="3">
        <f t="shared" si="5"/>
        <v>0.6219382322</v>
      </c>
      <c r="N4386" s="2">
        <v>5140200.0</v>
      </c>
      <c r="O4386" s="4">
        <f t="shared" si="6"/>
        <v>5474.121406</v>
      </c>
      <c r="P4386" s="2">
        <v>1.0</v>
      </c>
      <c r="Q4386" s="3">
        <f t="shared" si="7"/>
        <v>0.002457002457</v>
      </c>
      <c r="R4386" s="2">
        <v>407.0</v>
      </c>
      <c r="S4386" s="5">
        <f t="shared" si="8"/>
        <v>1</v>
      </c>
    </row>
    <row r="4387">
      <c r="A4387" s="2" t="s">
        <v>4390</v>
      </c>
      <c r="B4387" s="2">
        <v>123.0</v>
      </c>
      <c r="C4387" s="2">
        <v>1412.0</v>
      </c>
      <c r="D4387" s="2">
        <v>394.0</v>
      </c>
      <c r="E4387" s="3">
        <f t="shared" si="1"/>
        <v>0.3056633049</v>
      </c>
      <c r="F4387" s="2">
        <v>163.0</v>
      </c>
      <c r="G4387" s="3">
        <f t="shared" si="2"/>
        <v>0.126454616</v>
      </c>
      <c r="H4387" s="2">
        <v>244.0</v>
      </c>
      <c r="I4387" s="3">
        <f t="shared" si="3"/>
        <v>0.1892940264</v>
      </c>
      <c r="J4387" s="2">
        <v>190.0</v>
      </c>
      <c r="K4387" s="3">
        <f t="shared" si="4"/>
        <v>0.1474010861</v>
      </c>
      <c r="L4387" s="2">
        <v>144.0</v>
      </c>
      <c r="M4387" s="3">
        <f t="shared" si="5"/>
        <v>0.5901639344</v>
      </c>
      <c r="N4387" s="2">
        <v>1392300.0</v>
      </c>
      <c r="O4387" s="4">
        <f t="shared" si="6"/>
        <v>5706.147541</v>
      </c>
      <c r="P4387" s="2">
        <v>0.0</v>
      </c>
      <c r="Q4387" s="3">
        <f t="shared" si="7"/>
        <v>0</v>
      </c>
      <c r="R4387" s="2">
        <v>0.0</v>
      </c>
      <c r="S4387" s="5">
        <f t="shared" si="8"/>
        <v>0</v>
      </c>
    </row>
    <row r="4388">
      <c r="A4388" s="2" t="s">
        <v>4391</v>
      </c>
      <c r="B4388" s="2">
        <v>259.0</v>
      </c>
      <c r="C4388" s="2">
        <v>3019.0</v>
      </c>
      <c r="D4388" s="2">
        <v>761.0</v>
      </c>
      <c r="E4388" s="3">
        <f t="shared" si="1"/>
        <v>0.2757246377</v>
      </c>
      <c r="F4388" s="2">
        <v>349.0</v>
      </c>
      <c r="G4388" s="3">
        <f t="shared" si="2"/>
        <v>0.1264492754</v>
      </c>
      <c r="H4388" s="2">
        <v>565.0</v>
      </c>
      <c r="I4388" s="3">
        <f t="shared" si="3"/>
        <v>0.2047101449</v>
      </c>
      <c r="J4388" s="2">
        <v>515.0</v>
      </c>
      <c r="K4388" s="3">
        <f t="shared" si="4"/>
        <v>0.1865942029</v>
      </c>
      <c r="L4388" s="2">
        <v>348.0</v>
      </c>
      <c r="M4388" s="3">
        <f t="shared" si="5"/>
        <v>0.6159292035</v>
      </c>
      <c r="N4388" s="2">
        <v>3318400.0</v>
      </c>
      <c r="O4388" s="4">
        <f t="shared" si="6"/>
        <v>5873.274336</v>
      </c>
      <c r="P4388" s="2">
        <v>0.0</v>
      </c>
      <c r="Q4388" s="3">
        <f t="shared" si="7"/>
        <v>0</v>
      </c>
      <c r="R4388" s="2">
        <v>259.0</v>
      </c>
      <c r="S4388" s="5">
        <f t="shared" si="8"/>
        <v>1</v>
      </c>
    </row>
    <row r="4389">
      <c r="A4389" s="2" t="s">
        <v>4392</v>
      </c>
      <c r="B4389" s="2">
        <v>428.0</v>
      </c>
      <c r="C4389" s="2">
        <v>5039.0</v>
      </c>
      <c r="D4389" s="2">
        <v>1547.0</v>
      </c>
      <c r="E4389" s="3">
        <f t="shared" si="1"/>
        <v>0.3355020603</v>
      </c>
      <c r="F4389" s="2">
        <v>583.0</v>
      </c>
      <c r="G4389" s="3">
        <f t="shared" si="2"/>
        <v>0.1264367816</v>
      </c>
      <c r="H4389" s="2">
        <v>971.0</v>
      </c>
      <c r="I4389" s="3">
        <f t="shared" si="3"/>
        <v>0.2105833876</v>
      </c>
      <c r="J4389" s="2">
        <v>872.0</v>
      </c>
      <c r="K4389" s="3">
        <f t="shared" si="4"/>
        <v>0.1891129907</v>
      </c>
      <c r="L4389" s="2">
        <v>595.0</v>
      </c>
      <c r="M4389" s="3">
        <f t="shared" si="5"/>
        <v>0.6127703399</v>
      </c>
      <c r="N4389" s="2">
        <v>5255700.0</v>
      </c>
      <c r="O4389" s="4">
        <f t="shared" si="6"/>
        <v>5412.667353</v>
      </c>
      <c r="P4389" s="2">
        <v>1.0</v>
      </c>
      <c r="Q4389" s="3">
        <f t="shared" si="7"/>
        <v>0.002336448598</v>
      </c>
      <c r="R4389" s="2">
        <v>428.0</v>
      </c>
      <c r="S4389" s="5">
        <f t="shared" si="8"/>
        <v>1</v>
      </c>
    </row>
    <row r="4390">
      <c r="A4390" s="2" t="s">
        <v>4393</v>
      </c>
      <c r="B4390" s="2">
        <v>438.0</v>
      </c>
      <c r="C4390" s="2">
        <v>5231.0</v>
      </c>
      <c r="D4390" s="2">
        <v>1893.0</v>
      </c>
      <c r="E4390" s="3">
        <f t="shared" si="1"/>
        <v>0.3949509702</v>
      </c>
      <c r="F4390" s="2">
        <v>606.0</v>
      </c>
      <c r="G4390" s="3">
        <f t="shared" si="2"/>
        <v>0.1264343835</v>
      </c>
      <c r="H4390" s="2">
        <v>1008.0</v>
      </c>
      <c r="I4390" s="3">
        <f t="shared" si="3"/>
        <v>0.2103066973</v>
      </c>
      <c r="J4390" s="2">
        <v>713.0</v>
      </c>
      <c r="K4390" s="3">
        <f t="shared" si="4"/>
        <v>0.1487586063</v>
      </c>
      <c r="L4390" s="2">
        <v>577.0</v>
      </c>
      <c r="M4390" s="3">
        <f t="shared" si="5"/>
        <v>0.5724206349</v>
      </c>
      <c r="N4390" s="2">
        <v>5650800.0</v>
      </c>
      <c r="O4390" s="4">
        <f t="shared" si="6"/>
        <v>5605.952381</v>
      </c>
      <c r="P4390" s="2">
        <v>1.0</v>
      </c>
      <c r="Q4390" s="3">
        <f t="shared" si="7"/>
        <v>0.002283105023</v>
      </c>
      <c r="R4390" s="2">
        <v>438.0</v>
      </c>
      <c r="S4390" s="5">
        <f t="shared" si="8"/>
        <v>1</v>
      </c>
    </row>
    <row r="4391">
      <c r="A4391" s="2" t="s">
        <v>4394</v>
      </c>
      <c r="B4391" s="2">
        <v>321.0</v>
      </c>
      <c r="C4391" s="2">
        <v>3809.0</v>
      </c>
      <c r="D4391" s="2">
        <v>1183.0</v>
      </c>
      <c r="E4391" s="3">
        <f t="shared" si="1"/>
        <v>0.339162844</v>
      </c>
      <c r="F4391" s="2">
        <v>441.0</v>
      </c>
      <c r="G4391" s="3">
        <f t="shared" si="2"/>
        <v>0.1264334862</v>
      </c>
      <c r="H4391" s="2">
        <v>754.0</v>
      </c>
      <c r="I4391" s="3">
        <f t="shared" si="3"/>
        <v>0.2161697248</v>
      </c>
      <c r="J4391" s="2">
        <v>697.0</v>
      </c>
      <c r="K4391" s="3">
        <f t="shared" si="4"/>
        <v>0.1998279817</v>
      </c>
      <c r="L4391" s="2">
        <v>465.0</v>
      </c>
      <c r="M4391" s="3">
        <f t="shared" si="5"/>
        <v>0.6167108753</v>
      </c>
      <c r="N4391" s="2">
        <v>4271600.0</v>
      </c>
      <c r="O4391" s="4">
        <f t="shared" si="6"/>
        <v>5665.251989</v>
      </c>
      <c r="P4391" s="2">
        <v>1.0</v>
      </c>
      <c r="Q4391" s="3">
        <f t="shared" si="7"/>
        <v>0.003115264798</v>
      </c>
      <c r="R4391" s="2">
        <v>3.0</v>
      </c>
      <c r="S4391" s="5">
        <f t="shared" si="8"/>
        <v>0.009345794393</v>
      </c>
    </row>
    <row r="4392">
      <c r="A4392" s="2" t="s">
        <v>4395</v>
      </c>
      <c r="B4392" s="2">
        <v>116.0</v>
      </c>
      <c r="C4392" s="2">
        <v>1342.0</v>
      </c>
      <c r="D4392" s="2">
        <v>430.0</v>
      </c>
      <c r="E4392" s="3">
        <f t="shared" si="1"/>
        <v>0.3507340946</v>
      </c>
      <c r="F4392" s="2">
        <v>155.0</v>
      </c>
      <c r="G4392" s="3">
        <f t="shared" si="2"/>
        <v>0.1264274062</v>
      </c>
      <c r="H4392" s="2">
        <v>236.0</v>
      </c>
      <c r="I4392" s="3">
        <f t="shared" si="3"/>
        <v>0.1924959217</v>
      </c>
      <c r="J4392" s="2">
        <v>197.0</v>
      </c>
      <c r="K4392" s="3">
        <f t="shared" si="4"/>
        <v>0.160685155</v>
      </c>
      <c r="L4392" s="2">
        <v>144.0</v>
      </c>
      <c r="M4392" s="3">
        <f t="shared" si="5"/>
        <v>0.6101694915</v>
      </c>
      <c r="N4392" s="2">
        <v>1276700.0</v>
      </c>
      <c r="O4392" s="4">
        <f t="shared" si="6"/>
        <v>5409.745763</v>
      </c>
      <c r="P4392" s="2">
        <v>0.0</v>
      </c>
      <c r="Q4392" s="3">
        <f t="shared" si="7"/>
        <v>0</v>
      </c>
      <c r="R4392" s="2">
        <v>116.0</v>
      </c>
      <c r="S4392" s="5">
        <f t="shared" si="8"/>
        <v>1</v>
      </c>
    </row>
    <row r="4393">
      <c r="A4393" s="2" t="s">
        <v>4396</v>
      </c>
      <c r="B4393" s="2">
        <v>80.0</v>
      </c>
      <c r="C4393" s="2">
        <v>958.0</v>
      </c>
      <c r="D4393" s="2">
        <v>285.0</v>
      </c>
      <c r="E4393" s="3">
        <f t="shared" si="1"/>
        <v>0.3246013667</v>
      </c>
      <c r="F4393" s="2">
        <v>111.0</v>
      </c>
      <c r="G4393" s="3">
        <f t="shared" si="2"/>
        <v>0.1264236902</v>
      </c>
      <c r="H4393" s="2">
        <v>188.0</v>
      </c>
      <c r="I4393" s="3">
        <f t="shared" si="3"/>
        <v>0.2141230068</v>
      </c>
      <c r="J4393" s="2">
        <v>152.0</v>
      </c>
      <c r="K4393" s="3">
        <f t="shared" si="4"/>
        <v>0.1731207289</v>
      </c>
      <c r="L4393" s="2">
        <v>101.0</v>
      </c>
      <c r="M4393" s="3">
        <f t="shared" si="5"/>
        <v>0.5372340426</v>
      </c>
      <c r="N4393" s="2">
        <v>998500.0</v>
      </c>
      <c r="O4393" s="4">
        <f t="shared" si="6"/>
        <v>5311.170213</v>
      </c>
      <c r="P4393" s="2">
        <v>0.0</v>
      </c>
      <c r="Q4393" s="3">
        <f t="shared" si="7"/>
        <v>0</v>
      </c>
      <c r="R4393" s="2">
        <v>80.0</v>
      </c>
      <c r="S4393" s="5">
        <f t="shared" si="8"/>
        <v>1</v>
      </c>
    </row>
    <row r="4394">
      <c r="A4394" s="2" t="s">
        <v>4397</v>
      </c>
      <c r="B4394" s="2">
        <v>790.0</v>
      </c>
      <c r="C4394" s="2">
        <v>9143.0</v>
      </c>
      <c r="D4394" s="2">
        <v>2758.0</v>
      </c>
      <c r="E4394" s="3">
        <f t="shared" si="1"/>
        <v>0.3301807734</v>
      </c>
      <c r="F4394" s="2">
        <v>1056.0</v>
      </c>
      <c r="G4394" s="3">
        <f t="shared" si="2"/>
        <v>0.1264216449</v>
      </c>
      <c r="H4394" s="2">
        <v>1839.0</v>
      </c>
      <c r="I4394" s="3">
        <f t="shared" si="3"/>
        <v>0.2201604214</v>
      </c>
      <c r="J4394" s="2">
        <v>1579.0</v>
      </c>
      <c r="K4394" s="3">
        <f t="shared" si="4"/>
        <v>0.18903388</v>
      </c>
      <c r="L4394" s="2">
        <v>1121.0</v>
      </c>
      <c r="M4394" s="3">
        <f t="shared" si="5"/>
        <v>0.6095704187</v>
      </c>
      <c r="N4394" s="2">
        <v>1.0669E7</v>
      </c>
      <c r="O4394" s="4">
        <f t="shared" si="6"/>
        <v>5801.522567</v>
      </c>
      <c r="P4394" s="2">
        <v>2.0</v>
      </c>
      <c r="Q4394" s="3">
        <f t="shared" si="7"/>
        <v>0.00253164557</v>
      </c>
      <c r="R4394" s="2">
        <v>790.0</v>
      </c>
      <c r="S4394" s="5">
        <f t="shared" si="8"/>
        <v>1</v>
      </c>
    </row>
    <row r="4395">
      <c r="A4395" s="2" t="s">
        <v>4398</v>
      </c>
      <c r="B4395" s="2">
        <v>4554.0</v>
      </c>
      <c r="C4395" s="2">
        <v>53305.0</v>
      </c>
      <c r="D4395" s="2">
        <v>15225.0</v>
      </c>
      <c r="E4395" s="3">
        <f t="shared" si="1"/>
        <v>0.3123012861</v>
      </c>
      <c r="F4395" s="2">
        <v>6163.0</v>
      </c>
      <c r="G4395" s="3">
        <f t="shared" si="2"/>
        <v>0.1264179196</v>
      </c>
      <c r="H4395" s="2">
        <v>10247.0</v>
      </c>
      <c r="I4395" s="3">
        <f t="shared" si="3"/>
        <v>0.2101905602</v>
      </c>
      <c r="J4395" s="2">
        <v>8898.0</v>
      </c>
      <c r="K4395" s="3">
        <f t="shared" si="4"/>
        <v>0.1825193329</v>
      </c>
      <c r="L4395" s="2">
        <v>5982.0</v>
      </c>
      <c r="M4395" s="3">
        <f t="shared" si="5"/>
        <v>0.5837806187</v>
      </c>
      <c r="N4395" s="2">
        <v>5.91066E7</v>
      </c>
      <c r="O4395" s="4">
        <f t="shared" si="6"/>
        <v>5768.18581</v>
      </c>
      <c r="P4395" s="2">
        <v>6.0</v>
      </c>
      <c r="Q4395" s="3">
        <f t="shared" si="7"/>
        <v>0.001317523057</v>
      </c>
      <c r="R4395" s="2">
        <v>4552.0</v>
      </c>
      <c r="S4395" s="5">
        <f t="shared" si="8"/>
        <v>0.9995608256</v>
      </c>
    </row>
    <row r="4396">
      <c r="A4396" s="2" t="s">
        <v>4399</v>
      </c>
      <c r="B4396" s="2">
        <v>717.0</v>
      </c>
      <c r="C4396" s="2">
        <v>8406.0</v>
      </c>
      <c r="D4396" s="2">
        <v>2825.0</v>
      </c>
      <c r="E4396" s="3">
        <f t="shared" si="1"/>
        <v>0.3674079854</v>
      </c>
      <c r="F4396" s="2">
        <v>972.0</v>
      </c>
      <c r="G4396" s="3">
        <f t="shared" si="2"/>
        <v>0.1264143582</v>
      </c>
      <c r="H4396" s="2">
        <v>1610.0</v>
      </c>
      <c r="I4396" s="3">
        <f t="shared" si="3"/>
        <v>0.2093900377</v>
      </c>
      <c r="J4396" s="2">
        <v>1351.0</v>
      </c>
      <c r="K4396" s="3">
        <f t="shared" si="4"/>
        <v>0.1757055534</v>
      </c>
      <c r="L4396" s="2">
        <v>942.0</v>
      </c>
      <c r="M4396" s="3">
        <f t="shared" si="5"/>
        <v>0.5850931677</v>
      </c>
      <c r="N4396" s="2">
        <v>9003100.0</v>
      </c>
      <c r="O4396" s="4">
        <f t="shared" si="6"/>
        <v>5591.987578</v>
      </c>
      <c r="P4396" s="2">
        <v>1.0</v>
      </c>
      <c r="Q4396" s="3">
        <f t="shared" si="7"/>
        <v>0.001394700139</v>
      </c>
      <c r="R4396" s="2">
        <v>717.0</v>
      </c>
      <c r="S4396" s="5">
        <f t="shared" si="8"/>
        <v>1</v>
      </c>
    </row>
    <row r="4397">
      <c r="A4397" s="2" t="s">
        <v>4400</v>
      </c>
      <c r="B4397" s="2">
        <v>475.0</v>
      </c>
      <c r="C4397" s="2">
        <v>5554.0</v>
      </c>
      <c r="D4397" s="2">
        <v>1823.0</v>
      </c>
      <c r="E4397" s="3">
        <f t="shared" si="1"/>
        <v>0.358928923</v>
      </c>
      <c r="F4397" s="2">
        <v>642.0</v>
      </c>
      <c r="G4397" s="3">
        <f t="shared" si="2"/>
        <v>0.1264028352</v>
      </c>
      <c r="H4397" s="2">
        <v>1071.0</v>
      </c>
      <c r="I4397" s="3">
        <f t="shared" si="3"/>
        <v>0.2108682812</v>
      </c>
      <c r="J4397" s="2">
        <v>836.0</v>
      </c>
      <c r="K4397" s="3">
        <f t="shared" si="4"/>
        <v>0.1645993306</v>
      </c>
      <c r="L4397" s="2">
        <v>622.0</v>
      </c>
      <c r="M4397" s="3">
        <f t="shared" si="5"/>
        <v>0.5807656396</v>
      </c>
      <c r="N4397" s="2">
        <v>5832700.0</v>
      </c>
      <c r="O4397" s="4">
        <f t="shared" si="6"/>
        <v>5446.031746</v>
      </c>
      <c r="P4397" s="2">
        <v>1.0</v>
      </c>
      <c r="Q4397" s="3">
        <f t="shared" si="7"/>
        <v>0.002105263158</v>
      </c>
      <c r="R4397" s="2">
        <v>475.0</v>
      </c>
      <c r="S4397" s="5">
        <f t="shared" si="8"/>
        <v>1</v>
      </c>
    </row>
    <row r="4398">
      <c r="A4398" s="2" t="s">
        <v>4401</v>
      </c>
      <c r="B4398" s="2">
        <v>309.0</v>
      </c>
      <c r="C4398" s="2">
        <v>3656.0</v>
      </c>
      <c r="D4398" s="2">
        <v>1036.0</v>
      </c>
      <c r="E4398" s="3">
        <f t="shared" si="1"/>
        <v>0.3095309232</v>
      </c>
      <c r="F4398" s="2">
        <v>423.0</v>
      </c>
      <c r="G4398" s="3">
        <f t="shared" si="2"/>
        <v>0.1263818345</v>
      </c>
      <c r="H4398" s="2">
        <v>643.0</v>
      </c>
      <c r="I4398" s="3">
        <f t="shared" si="3"/>
        <v>0.1921123394</v>
      </c>
      <c r="J4398" s="2">
        <v>535.0</v>
      </c>
      <c r="K4398" s="3">
        <f t="shared" si="4"/>
        <v>0.159844637</v>
      </c>
      <c r="L4398" s="2">
        <v>364.0</v>
      </c>
      <c r="M4398" s="3">
        <f t="shared" si="5"/>
        <v>0.566096423</v>
      </c>
      <c r="N4398" s="2">
        <v>3750400.0</v>
      </c>
      <c r="O4398" s="4">
        <f t="shared" si="6"/>
        <v>5832.659409</v>
      </c>
      <c r="P4398" s="2">
        <v>0.0</v>
      </c>
      <c r="Q4398" s="3">
        <f t="shared" si="7"/>
        <v>0</v>
      </c>
      <c r="R4398" s="2">
        <v>106.0</v>
      </c>
      <c r="S4398" s="5">
        <f t="shared" si="8"/>
        <v>0.3430420712</v>
      </c>
    </row>
    <row r="4399">
      <c r="A4399" s="2" t="s">
        <v>4402</v>
      </c>
      <c r="B4399" s="2">
        <v>888.0</v>
      </c>
      <c r="C4399" s="2">
        <v>10281.0</v>
      </c>
      <c r="D4399" s="2">
        <v>2603.0</v>
      </c>
      <c r="E4399" s="3">
        <f t="shared" si="1"/>
        <v>0.2771212605</v>
      </c>
      <c r="F4399" s="2">
        <v>1187.0</v>
      </c>
      <c r="G4399" s="3">
        <f t="shared" si="2"/>
        <v>0.1263707016</v>
      </c>
      <c r="H4399" s="2">
        <v>1993.0</v>
      </c>
      <c r="I4399" s="3">
        <f t="shared" si="3"/>
        <v>0.2121792824</v>
      </c>
      <c r="J4399" s="2">
        <v>1850.0</v>
      </c>
      <c r="K4399" s="3">
        <f t="shared" si="4"/>
        <v>0.1969551794</v>
      </c>
      <c r="L4399" s="2">
        <v>1189.0</v>
      </c>
      <c r="M4399" s="3">
        <f t="shared" si="5"/>
        <v>0.5965880582</v>
      </c>
      <c r="N4399" s="2">
        <v>1.13916E7</v>
      </c>
      <c r="O4399" s="4">
        <f t="shared" si="6"/>
        <v>5715.805319</v>
      </c>
      <c r="P4399" s="2">
        <v>2.0</v>
      </c>
      <c r="Q4399" s="3">
        <f t="shared" si="7"/>
        <v>0.002252252252</v>
      </c>
      <c r="R4399" s="2">
        <v>888.0</v>
      </c>
      <c r="S4399" s="5">
        <f t="shared" si="8"/>
        <v>1</v>
      </c>
    </row>
    <row r="4400">
      <c r="A4400" s="2" t="s">
        <v>4403</v>
      </c>
      <c r="B4400" s="2">
        <v>967.0</v>
      </c>
      <c r="C4400" s="2">
        <v>11365.0</v>
      </c>
      <c r="D4400" s="2">
        <v>3546.0</v>
      </c>
      <c r="E4400" s="3">
        <f t="shared" si="1"/>
        <v>0.3410271206</v>
      </c>
      <c r="F4400" s="2">
        <v>1314.0</v>
      </c>
      <c r="G4400" s="3">
        <f t="shared" si="2"/>
        <v>0.1263704559</v>
      </c>
      <c r="H4400" s="2">
        <v>2144.0</v>
      </c>
      <c r="I4400" s="3">
        <f t="shared" si="3"/>
        <v>0.2061934987</v>
      </c>
      <c r="J4400" s="2">
        <v>1876.0</v>
      </c>
      <c r="K4400" s="3">
        <f t="shared" si="4"/>
        <v>0.1804193114</v>
      </c>
      <c r="L4400" s="2">
        <v>1259.0</v>
      </c>
      <c r="M4400" s="3">
        <f t="shared" si="5"/>
        <v>0.5872201493</v>
      </c>
      <c r="N4400" s="2">
        <v>1.28154E7</v>
      </c>
      <c r="O4400" s="4">
        <f t="shared" si="6"/>
        <v>5977.33209</v>
      </c>
      <c r="P4400" s="2">
        <v>0.0</v>
      </c>
      <c r="Q4400" s="3">
        <f t="shared" si="7"/>
        <v>0</v>
      </c>
      <c r="R4400" s="2">
        <v>0.0</v>
      </c>
      <c r="S4400" s="5">
        <f t="shared" si="8"/>
        <v>0</v>
      </c>
    </row>
    <row r="4401">
      <c r="A4401" s="2" t="s">
        <v>4404</v>
      </c>
      <c r="B4401" s="2">
        <v>150.0</v>
      </c>
      <c r="C4401" s="2">
        <v>1701.0</v>
      </c>
      <c r="D4401" s="2">
        <v>425.0</v>
      </c>
      <c r="E4401" s="3">
        <f t="shared" si="1"/>
        <v>0.2740167634</v>
      </c>
      <c r="F4401" s="2">
        <v>196.0</v>
      </c>
      <c r="G4401" s="3">
        <f t="shared" si="2"/>
        <v>0.1263700838</v>
      </c>
      <c r="H4401" s="2">
        <v>308.0</v>
      </c>
      <c r="I4401" s="3">
        <f t="shared" si="3"/>
        <v>0.1985815603</v>
      </c>
      <c r="J4401" s="2">
        <v>260.0</v>
      </c>
      <c r="K4401" s="3">
        <f t="shared" si="4"/>
        <v>0.1676337847</v>
      </c>
      <c r="L4401" s="2">
        <v>188.0</v>
      </c>
      <c r="M4401" s="3">
        <f t="shared" si="5"/>
        <v>0.6103896104</v>
      </c>
      <c r="N4401" s="2">
        <v>1815400.0</v>
      </c>
      <c r="O4401" s="4">
        <f t="shared" si="6"/>
        <v>5894.155844</v>
      </c>
      <c r="P4401" s="2">
        <v>0.0</v>
      </c>
      <c r="Q4401" s="3">
        <f t="shared" si="7"/>
        <v>0</v>
      </c>
      <c r="R4401" s="2">
        <v>0.0</v>
      </c>
      <c r="S4401" s="5">
        <f t="shared" si="8"/>
        <v>0</v>
      </c>
    </row>
    <row r="4402">
      <c r="A4402" s="2" t="s">
        <v>4405</v>
      </c>
      <c r="B4402" s="2">
        <v>223.0</v>
      </c>
      <c r="C4402" s="2">
        <v>2621.0</v>
      </c>
      <c r="D4402" s="2">
        <v>851.0</v>
      </c>
      <c r="E4402" s="3">
        <f t="shared" si="1"/>
        <v>0.3548790659</v>
      </c>
      <c r="F4402" s="2">
        <v>303.0</v>
      </c>
      <c r="G4402" s="3">
        <f t="shared" si="2"/>
        <v>0.1263552961</v>
      </c>
      <c r="H4402" s="2">
        <v>443.0</v>
      </c>
      <c r="I4402" s="3">
        <f t="shared" si="3"/>
        <v>0.1847372811</v>
      </c>
      <c r="J4402" s="2">
        <v>357.0</v>
      </c>
      <c r="K4402" s="3">
        <f t="shared" si="4"/>
        <v>0.1488740617</v>
      </c>
      <c r="L4402" s="2">
        <v>269.0</v>
      </c>
      <c r="M4402" s="3">
        <f t="shared" si="5"/>
        <v>0.6072234763</v>
      </c>
      <c r="N4402" s="2">
        <v>2326200.0</v>
      </c>
      <c r="O4402" s="4">
        <f t="shared" si="6"/>
        <v>5251.015801</v>
      </c>
      <c r="P4402" s="2">
        <v>0.0</v>
      </c>
      <c r="Q4402" s="3">
        <f t="shared" si="7"/>
        <v>0</v>
      </c>
      <c r="R4402" s="2">
        <v>223.0</v>
      </c>
      <c r="S4402" s="5">
        <f t="shared" si="8"/>
        <v>1</v>
      </c>
    </row>
    <row r="4403">
      <c r="A4403" s="2" t="s">
        <v>4406</v>
      </c>
      <c r="B4403" s="2">
        <v>1298.0</v>
      </c>
      <c r="C4403" s="2">
        <v>14911.0</v>
      </c>
      <c r="D4403" s="2">
        <v>4975.0</v>
      </c>
      <c r="E4403" s="3">
        <f t="shared" si="1"/>
        <v>0.3654594873</v>
      </c>
      <c r="F4403" s="2">
        <v>1720.0</v>
      </c>
      <c r="G4403" s="3">
        <f t="shared" si="2"/>
        <v>0.1263498127</v>
      </c>
      <c r="H4403" s="2">
        <v>3070.0</v>
      </c>
      <c r="I4403" s="3">
        <f t="shared" si="3"/>
        <v>0.2255197238</v>
      </c>
      <c r="J4403" s="2">
        <v>2282.0</v>
      </c>
      <c r="K4403" s="3">
        <f t="shared" si="4"/>
        <v>0.1676338794</v>
      </c>
      <c r="L4403" s="2">
        <v>1846.0</v>
      </c>
      <c r="M4403" s="3">
        <f t="shared" si="5"/>
        <v>0.6013029316</v>
      </c>
      <c r="N4403" s="2">
        <v>1.65004E7</v>
      </c>
      <c r="O4403" s="4">
        <f t="shared" si="6"/>
        <v>5374.723127</v>
      </c>
      <c r="P4403" s="2">
        <v>0.0</v>
      </c>
      <c r="Q4403" s="3">
        <f t="shared" si="7"/>
        <v>0</v>
      </c>
      <c r="R4403" s="2">
        <v>1298.0</v>
      </c>
      <c r="S4403" s="5">
        <f t="shared" si="8"/>
        <v>1</v>
      </c>
    </row>
    <row r="4404">
      <c r="A4404" s="2" t="s">
        <v>4407</v>
      </c>
      <c r="B4404" s="2">
        <v>211.0</v>
      </c>
      <c r="C4404" s="2">
        <v>2530.0</v>
      </c>
      <c r="D4404" s="2">
        <v>870.0</v>
      </c>
      <c r="E4404" s="3">
        <f t="shared" si="1"/>
        <v>0.3751617076</v>
      </c>
      <c r="F4404" s="2">
        <v>293.0</v>
      </c>
      <c r="G4404" s="3">
        <f t="shared" si="2"/>
        <v>0.1263475636</v>
      </c>
      <c r="H4404" s="2">
        <v>477.0</v>
      </c>
      <c r="I4404" s="3">
        <f t="shared" si="3"/>
        <v>0.2056921087</v>
      </c>
      <c r="J4404" s="2">
        <v>382.0</v>
      </c>
      <c r="K4404" s="3">
        <f t="shared" si="4"/>
        <v>0.1647261751</v>
      </c>
      <c r="L4404" s="2">
        <v>292.0</v>
      </c>
      <c r="M4404" s="3">
        <f t="shared" si="5"/>
        <v>0.6121593291</v>
      </c>
      <c r="N4404" s="2">
        <v>2593000.0</v>
      </c>
      <c r="O4404" s="4">
        <f t="shared" si="6"/>
        <v>5436.0587</v>
      </c>
      <c r="P4404" s="2">
        <v>0.0</v>
      </c>
      <c r="Q4404" s="3">
        <f t="shared" si="7"/>
        <v>0</v>
      </c>
      <c r="R4404" s="2">
        <v>0.0</v>
      </c>
      <c r="S4404" s="5">
        <f t="shared" si="8"/>
        <v>0</v>
      </c>
    </row>
    <row r="4405">
      <c r="A4405" s="2" t="s">
        <v>4408</v>
      </c>
      <c r="B4405" s="2">
        <v>4157.0</v>
      </c>
      <c r="C4405" s="2">
        <v>48274.0</v>
      </c>
      <c r="D4405" s="2">
        <v>14544.0</v>
      </c>
      <c r="E4405" s="3">
        <f t="shared" si="1"/>
        <v>0.3296688351</v>
      </c>
      <c r="F4405" s="2">
        <v>5574.0</v>
      </c>
      <c r="G4405" s="3">
        <f t="shared" si="2"/>
        <v>0.1263458531</v>
      </c>
      <c r="H4405" s="2">
        <v>8812.0</v>
      </c>
      <c r="I4405" s="3">
        <f t="shared" si="3"/>
        <v>0.1997415962</v>
      </c>
      <c r="J4405" s="2">
        <v>7242.0</v>
      </c>
      <c r="K4405" s="3">
        <f t="shared" si="4"/>
        <v>0.1641544076</v>
      </c>
      <c r="L4405" s="2">
        <v>5339.0</v>
      </c>
      <c r="M4405" s="3">
        <f t="shared" si="5"/>
        <v>0.6058783477</v>
      </c>
      <c r="N4405" s="2">
        <v>5.25604E7</v>
      </c>
      <c r="O4405" s="4">
        <f t="shared" si="6"/>
        <v>5964.639128</v>
      </c>
      <c r="P4405" s="2">
        <v>7.0</v>
      </c>
      <c r="Q4405" s="3">
        <f t="shared" si="7"/>
        <v>0.001683906663</v>
      </c>
      <c r="R4405" s="2">
        <v>4157.0</v>
      </c>
      <c r="S4405" s="5">
        <f t="shared" si="8"/>
        <v>1</v>
      </c>
    </row>
    <row r="4406">
      <c r="A4406" s="2" t="s">
        <v>4409</v>
      </c>
      <c r="B4406" s="2">
        <v>1284.0</v>
      </c>
      <c r="C4406" s="2">
        <v>15138.0</v>
      </c>
      <c r="D4406" s="2">
        <v>5539.0</v>
      </c>
      <c r="E4406" s="3">
        <f t="shared" si="1"/>
        <v>0.3998123286</v>
      </c>
      <c r="F4406" s="2">
        <v>1750.0</v>
      </c>
      <c r="G4406" s="3">
        <f t="shared" si="2"/>
        <v>0.1263173091</v>
      </c>
      <c r="H4406" s="2">
        <v>3077.0</v>
      </c>
      <c r="I4406" s="3">
        <f t="shared" si="3"/>
        <v>0.22210192</v>
      </c>
      <c r="J4406" s="2">
        <v>2394.0</v>
      </c>
      <c r="K4406" s="3">
        <f t="shared" si="4"/>
        <v>0.1728020788</v>
      </c>
      <c r="L4406" s="2">
        <v>1842.0</v>
      </c>
      <c r="M4406" s="3">
        <f t="shared" si="5"/>
        <v>0.5986350341</v>
      </c>
      <c r="N4406" s="2">
        <v>1.62667E7</v>
      </c>
      <c r="O4406" s="4">
        <f t="shared" si="6"/>
        <v>5286.545336</v>
      </c>
      <c r="P4406" s="2">
        <v>5.0</v>
      </c>
      <c r="Q4406" s="3">
        <f t="shared" si="7"/>
        <v>0.003894080997</v>
      </c>
      <c r="R4406" s="2">
        <v>1284.0</v>
      </c>
      <c r="S4406" s="5">
        <f t="shared" si="8"/>
        <v>1</v>
      </c>
    </row>
    <row r="4407">
      <c r="A4407" s="2" t="s">
        <v>4410</v>
      </c>
      <c r="B4407" s="2">
        <v>18.0</v>
      </c>
      <c r="C4407" s="2">
        <v>208.0</v>
      </c>
      <c r="D4407" s="2">
        <v>67.0</v>
      </c>
      <c r="E4407" s="3">
        <f t="shared" si="1"/>
        <v>0.3526315789</v>
      </c>
      <c r="F4407" s="2">
        <v>24.0</v>
      </c>
      <c r="G4407" s="3">
        <f t="shared" si="2"/>
        <v>0.1263157895</v>
      </c>
      <c r="H4407" s="2">
        <v>36.0</v>
      </c>
      <c r="I4407" s="3">
        <f t="shared" si="3"/>
        <v>0.1894736842</v>
      </c>
      <c r="J4407" s="2">
        <v>40.0</v>
      </c>
      <c r="K4407" s="3">
        <f t="shared" si="4"/>
        <v>0.2105263158</v>
      </c>
      <c r="L4407" s="2">
        <v>25.0</v>
      </c>
      <c r="M4407" s="3">
        <f t="shared" si="5"/>
        <v>0.6944444444</v>
      </c>
      <c r="N4407" s="2">
        <v>192800.0</v>
      </c>
      <c r="O4407" s="4">
        <f t="shared" si="6"/>
        <v>5355.555556</v>
      </c>
      <c r="P4407" s="2">
        <v>0.0</v>
      </c>
      <c r="Q4407" s="3">
        <f t="shared" si="7"/>
        <v>0</v>
      </c>
      <c r="R4407" s="2">
        <v>18.0</v>
      </c>
      <c r="S4407" s="5">
        <f t="shared" si="8"/>
        <v>1</v>
      </c>
    </row>
    <row r="4408">
      <c r="A4408" s="2" t="s">
        <v>4411</v>
      </c>
      <c r="B4408" s="2">
        <v>613.0</v>
      </c>
      <c r="C4408" s="2">
        <v>7192.0</v>
      </c>
      <c r="D4408" s="2">
        <v>2389.0</v>
      </c>
      <c r="E4408" s="3">
        <f t="shared" si="1"/>
        <v>0.363125095</v>
      </c>
      <c r="F4408" s="2">
        <v>831.0</v>
      </c>
      <c r="G4408" s="3">
        <f t="shared" si="2"/>
        <v>0.1263109895</v>
      </c>
      <c r="H4408" s="2">
        <v>1489.0</v>
      </c>
      <c r="I4408" s="3">
        <f t="shared" si="3"/>
        <v>0.2263261894</v>
      </c>
      <c r="J4408" s="2">
        <v>1019.0</v>
      </c>
      <c r="K4408" s="3">
        <f t="shared" si="4"/>
        <v>0.1548867609</v>
      </c>
      <c r="L4408" s="2">
        <v>893.0</v>
      </c>
      <c r="M4408" s="3">
        <f t="shared" si="5"/>
        <v>0.5997313633</v>
      </c>
      <c r="N4408" s="2">
        <v>7942000.0</v>
      </c>
      <c r="O4408" s="4">
        <f t="shared" si="6"/>
        <v>5333.781061</v>
      </c>
      <c r="P4408" s="2">
        <v>1.0</v>
      </c>
      <c r="Q4408" s="3">
        <f t="shared" si="7"/>
        <v>0.00163132137</v>
      </c>
      <c r="R4408" s="2">
        <v>613.0</v>
      </c>
      <c r="S4408" s="5">
        <f t="shared" si="8"/>
        <v>1</v>
      </c>
    </row>
    <row r="4409">
      <c r="A4409" s="2" t="s">
        <v>4412</v>
      </c>
      <c r="B4409" s="2">
        <v>1421.0</v>
      </c>
      <c r="C4409" s="2">
        <v>16694.0</v>
      </c>
      <c r="D4409" s="2">
        <v>5204.0</v>
      </c>
      <c r="E4409" s="3">
        <f t="shared" si="1"/>
        <v>0.3407320107</v>
      </c>
      <c r="F4409" s="2">
        <v>1929.0</v>
      </c>
      <c r="G4409" s="3">
        <f t="shared" si="2"/>
        <v>0.126301316</v>
      </c>
      <c r="H4409" s="2">
        <v>3186.0</v>
      </c>
      <c r="I4409" s="3">
        <f t="shared" si="3"/>
        <v>0.2086034178</v>
      </c>
      <c r="J4409" s="2">
        <v>2671.0</v>
      </c>
      <c r="K4409" s="3">
        <f t="shared" si="4"/>
        <v>0.1748837818</v>
      </c>
      <c r="L4409" s="2">
        <v>1915.0</v>
      </c>
      <c r="M4409" s="3">
        <f t="shared" si="5"/>
        <v>0.6010671689</v>
      </c>
      <c r="N4409" s="2">
        <v>1.83449E7</v>
      </c>
      <c r="O4409" s="4">
        <f t="shared" si="6"/>
        <v>5757.972379</v>
      </c>
      <c r="P4409" s="2">
        <v>3.0</v>
      </c>
      <c r="Q4409" s="3">
        <f t="shared" si="7"/>
        <v>0.002111189303</v>
      </c>
      <c r="R4409" s="2">
        <v>1421.0</v>
      </c>
      <c r="S4409" s="5">
        <f t="shared" si="8"/>
        <v>1</v>
      </c>
    </row>
    <row r="4410">
      <c r="A4410" s="2" t="s">
        <v>4413</v>
      </c>
      <c r="B4410" s="2">
        <v>2539.0</v>
      </c>
      <c r="C4410" s="2">
        <v>29705.0</v>
      </c>
      <c r="D4410" s="2">
        <v>10677.0</v>
      </c>
      <c r="E4410" s="3">
        <f t="shared" si="1"/>
        <v>0.3930280498</v>
      </c>
      <c r="F4410" s="2">
        <v>3431.0</v>
      </c>
      <c r="G4410" s="3">
        <f t="shared" si="2"/>
        <v>0.1262975779</v>
      </c>
      <c r="H4410" s="2">
        <v>5880.0</v>
      </c>
      <c r="I4410" s="3">
        <f t="shared" si="3"/>
        <v>0.2164470294</v>
      </c>
      <c r="J4410" s="2">
        <v>4227.0</v>
      </c>
      <c r="K4410" s="3">
        <f t="shared" si="4"/>
        <v>0.1555989104</v>
      </c>
      <c r="L4410" s="2">
        <v>3539.0</v>
      </c>
      <c r="M4410" s="3">
        <f t="shared" si="5"/>
        <v>0.6018707483</v>
      </c>
      <c r="N4410" s="2">
        <v>3.13771E7</v>
      </c>
      <c r="O4410" s="4">
        <f t="shared" si="6"/>
        <v>5336.241497</v>
      </c>
      <c r="P4410" s="2">
        <v>6.0</v>
      </c>
      <c r="Q4410" s="3">
        <f t="shared" si="7"/>
        <v>0.002363135093</v>
      </c>
      <c r="R4410" s="2">
        <v>2539.0</v>
      </c>
      <c r="S4410" s="5">
        <f t="shared" si="8"/>
        <v>1</v>
      </c>
    </row>
    <row r="4411">
      <c r="A4411" s="2" t="s">
        <v>4414</v>
      </c>
      <c r="B4411" s="2">
        <v>1150.0</v>
      </c>
      <c r="C4411" s="2">
        <v>13502.0</v>
      </c>
      <c r="D4411" s="2">
        <v>4417.0</v>
      </c>
      <c r="E4411" s="3">
        <f t="shared" si="1"/>
        <v>0.3575939119</v>
      </c>
      <c r="F4411" s="2">
        <v>1560.0</v>
      </c>
      <c r="G4411" s="3">
        <f t="shared" si="2"/>
        <v>0.1262953368</v>
      </c>
      <c r="H4411" s="2">
        <v>2596.0</v>
      </c>
      <c r="I4411" s="3">
        <f t="shared" si="3"/>
        <v>0.2101683938</v>
      </c>
      <c r="J4411" s="2">
        <v>1793.0</v>
      </c>
      <c r="K4411" s="3">
        <f t="shared" si="4"/>
        <v>0.1451586788</v>
      </c>
      <c r="L4411" s="2">
        <v>1597.0</v>
      </c>
      <c r="M4411" s="3">
        <f t="shared" si="5"/>
        <v>0.6151771957</v>
      </c>
      <c r="N4411" s="2">
        <v>1.39317E7</v>
      </c>
      <c r="O4411" s="4">
        <f t="shared" si="6"/>
        <v>5366.602465</v>
      </c>
      <c r="P4411" s="2">
        <v>5.0</v>
      </c>
      <c r="Q4411" s="3">
        <f t="shared" si="7"/>
        <v>0.004347826087</v>
      </c>
      <c r="R4411" s="2">
        <v>589.0</v>
      </c>
      <c r="S4411" s="5">
        <f t="shared" si="8"/>
        <v>0.512173913</v>
      </c>
    </row>
    <row r="4412">
      <c r="A4412" s="2" t="s">
        <v>4415</v>
      </c>
      <c r="B4412" s="2">
        <v>3076.0</v>
      </c>
      <c r="C4412" s="2">
        <v>36134.0</v>
      </c>
      <c r="D4412" s="2">
        <v>11490.0</v>
      </c>
      <c r="E4412" s="3">
        <f t="shared" si="1"/>
        <v>0.3475709359</v>
      </c>
      <c r="F4412" s="2">
        <v>4175.0</v>
      </c>
      <c r="G4412" s="3">
        <f t="shared" si="2"/>
        <v>0.1262931817</v>
      </c>
      <c r="H4412" s="2">
        <v>7224.0</v>
      </c>
      <c r="I4412" s="3">
        <f t="shared" si="3"/>
        <v>0.2185250166</v>
      </c>
      <c r="J4412" s="2">
        <v>5491.0</v>
      </c>
      <c r="K4412" s="3">
        <f t="shared" si="4"/>
        <v>0.1661020025</v>
      </c>
      <c r="L4412" s="2">
        <v>4442.0</v>
      </c>
      <c r="M4412" s="3">
        <f t="shared" si="5"/>
        <v>0.6148947951</v>
      </c>
      <c r="N4412" s="2">
        <v>3.98896E7</v>
      </c>
      <c r="O4412" s="4">
        <f t="shared" si="6"/>
        <v>5521.816168</v>
      </c>
      <c r="P4412" s="2">
        <v>6.0</v>
      </c>
      <c r="Q4412" s="3">
        <f t="shared" si="7"/>
        <v>0.001950585176</v>
      </c>
      <c r="R4412" s="2">
        <v>3076.0</v>
      </c>
      <c r="S4412" s="5">
        <f t="shared" si="8"/>
        <v>1</v>
      </c>
    </row>
    <row r="4413">
      <c r="A4413" s="2" t="s">
        <v>4416</v>
      </c>
      <c r="B4413" s="2">
        <v>420.0</v>
      </c>
      <c r="C4413" s="2">
        <v>4870.0</v>
      </c>
      <c r="D4413" s="2">
        <v>1466.0</v>
      </c>
      <c r="E4413" s="3">
        <f t="shared" si="1"/>
        <v>0.3294382022</v>
      </c>
      <c r="F4413" s="2">
        <v>562.0</v>
      </c>
      <c r="G4413" s="3">
        <f t="shared" si="2"/>
        <v>0.1262921348</v>
      </c>
      <c r="H4413" s="2">
        <v>1020.0</v>
      </c>
      <c r="I4413" s="3">
        <f t="shared" si="3"/>
        <v>0.2292134831</v>
      </c>
      <c r="J4413" s="2">
        <v>1009.0</v>
      </c>
      <c r="K4413" s="3">
        <f t="shared" si="4"/>
        <v>0.226741573</v>
      </c>
      <c r="L4413" s="2">
        <v>603.0</v>
      </c>
      <c r="M4413" s="3">
        <f t="shared" si="5"/>
        <v>0.5911764706</v>
      </c>
      <c r="N4413" s="2">
        <v>6091000.0</v>
      </c>
      <c r="O4413" s="4">
        <f t="shared" si="6"/>
        <v>5971.568627</v>
      </c>
      <c r="P4413" s="2">
        <v>1.0</v>
      </c>
      <c r="Q4413" s="3">
        <f t="shared" si="7"/>
        <v>0.002380952381</v>
      </c>
      <c r="R4413" s="2">
        <v>242.0</v>
      </c>
      <c r="S4413" s="5">
        <f t="shared" si="8"/>
        <v>0.5761904762</v>
      </c>
    </row>
    <row r="4414">
      <c r="A4414" s="2" t="s">
        <v>4417</v>
      </c>
      <c r="B4414" s="2">
        <v>3906.0</v>
      </c>
      <c r="C4414" s="2">
        <v>45722.0</v>
      </c>
      <c r="D4414" s="2">
        <v>13583.0</v>
      </c>
      <c r="E4414" s="3">
        <f t="shared" si="1"/>
        <v>0.3248278171</v>
      </c>
      <c r="F4414" s="2">
        <v>5281.0</v>
      </c>
      <c r="G4414" s="3">
        <f t="shared" si="2"/>
        <v>0.1262913717</v>
      </c>
      <c r="H4414" s="2">
        <v>9261.0</v>
      </c>
      <c r="I4414" s="3">
        <f t="shared" si="3"/>
        <v>0.2214702506</v>
      </c>
      <c r="J4414" s="2">
        <v>7824.0</v>
      </c>
      <c r="K4414" s="3">
        <f t="shared" si="4"/>
        <v>0.1871054142</v>
      </c>
      <c r="L4414" s="2">
        <v>5544.0</v>
      </c>
      <c r="M4414" s="3">
        <f t="shared" si="5"/>
        <v>0.5986394558</v>
      </c>
      <c r="N4414" s="2">
        <v>5.40651E7</v>
      </c>
      <c r="O4414" s="4">
        <f t="shared" si="6"/>
        <v>5837.933269</v>
      </c>
      <c r="P4414" s="2">
        <v>6.0</v>
      </c>
      <c r="Q4414" s="3">
        <f t="shared" si="7"/>
        <v>0.00153609831</v>
      </c>
      <c r="R4414" s="2">
        <v>3906.0</v>
      </c>
      <c r="S4414" s="5">
        <f t="shared" si="8"/>
        <v>1</v>
      </c>
    </row>
    <row r="4415">
      <c r="A4415" s="2" t="s">
        <v>4418</v>
      </c>
      <c r="B4415" s="2">
        <v>288.0</v>
      </c>
      <c r="C4415" s="2">
        <v>3392.0</v>
      </c>
      <c r="D4415" s="2">
        <v>1033.0</v>
      </c>
      <c r="E4415" s="3">
        <f t="shared" si="1"/>
        <v>0.3327963918</v>
      </c>
      <c r="F4415" s="2">
        <v>392.0</v>
      </c>
      <c r="G4415" s="3">
        <f t="shared" si="2"/>
        <v>0.1262886598</v>
      </c>
      <c r="H4415" s="2">
        <v>667.0</v>
      </c>
      <c r="I4415" s="3">
        <f t="shared" si="3"/>
        <v>0.2148840206</v>
      </c>
      <c r="J4415" s="2">
        <v>555.0</v>
      </c>
      <c r="K4415" s="3">
        <f t="shared" si="4"/>
        <v>0.1788015464</v>
      </c>
      <c r="L4415" s="2">
        <v>406.0</v>
      </c>
      <c r="M4415" s="3">
        <f t="shared" si="5"/>
        <v>0.6086956522</v>
      </c>
      <c r="N4415" s="2">
        <v>3883200.0</v>
      </c>
      <c r="O4415" s="4">
        <f t="shared" si="6"/>
        <v>5821.889055</v>
      </c>
      <c r="P4415" s="2">
        <v>1.0</v>
      </c>
      <c r="Q4415" s="3">
        <f t="shared" si="7"/>
        <v>0.003472222222</v>
      </c>
      <c r="R4415" s="2">
        <v>288.0</v>
      </c>
      <c r="S4415" s="5">
        <f t="shared" si="8"/>
        <v>1</v>
      </c>
    </row>
    <row r="4416">
      <c r="A4416" s="2" t="s">
        <v>4419</v>
      </c>
      <c r="B4416" s="2">
        <v>65.0</v>
      </c>
      <c r="C4416" s="2">
        <v>762.0</v>
      </c>
      <c r="D4416" s="2">
        <v>268.0</v>
      </c>
      <c r="E4416" s="3">
        <f t="shared" si="1"/>
        <v>0.3845050215</v>
      </c>
      <c r="F4416" s="2">
        <v>88.0</v>
      </c>
      <c r="G4416" s="3">
        <f t="shared" si="2"/>
        <v>0.1262553802</v>
      </c>
      <c r="H4416" s="2">
        <v>151.0</v>
      </c>
      <c r="I4416" s="3">
        <f t="shared" si="3"/>
        <v>0.2166427547</v>
      </c>
      <c r="J4416" s="2">
        <v>123.0</v>
      </c>
      <c r="K4416" s="3">
        <f t="shared" si="4"/>
        <v>0.1764705882</v>
      </c>
      <c r="L4416" s="2">
        <v>87.0</v>
      </c>
      <c r="M4416" s="3">
        <f t="shared" si="5"/>
        <v>0.5761589404</v>
      </c>
      <c r="N4416" s="2">
        <v>814800.0</v>
      </c>
      <c r="O4416" s="4">
        <f t="shared" si="6"/>
        <v>5396.02649</v>
      </c>
      <c r="P4416" s="2">
        <v>0.0</v>
      </c>
      <c r="Q4416" s="3">
        <f t="shared" si="7"/>
        <v>0</v>
      </c>
      <c r="R4416" s="2">
        <v>65.0</v>
      </c>
      <c r="S4416" s="5">
        <f t="shared" si="8"/>
        <v>1</v>
      </c>
    </row>
    <row r="4417">
      <c r="A4417" s="2" t="s">
        <v>4420</v>
      </c>
      <c r="B4417" s="2">
        <v>168.0</v>
      </c>
      <c r="C4417" s="2">
        <v>1966.0</v>
      </c>
      <c r="D4417" s="2">
        <v>607.0</v>
      </c>
      <c r="E4417" s="3">
        <f t="shared" si="1"/>
        <v>0.3375973304</v>
      </c>
      <c r="F4417" s="2">
        <v>227.0</v>
      </c>
      <c r="G4417" s="3">
        <f t="shared" si="2"/>
        <v>0.1262513904</v>
      </c>
      <c r="H4417" s="2">
        <v>344.0</v>
      </c>
      <c r="I4417" s="3">
        <f t="shared" si="3"/>
        <v>0.191323693</v>
      </c>
      <c r="J4417" s="2">
        <v>331.0</v>
      </c>
      <c r="K4417" s="3">
        <f t="shared" si="4"/>
        <v>0.1840934372</v>
      </c>
      <c r="L4417" s="2">
        <v>182.0</v>
      </c>
      <c r="M4417" s="3">
        <f t="shared" si="5"/>
        <v>0.5290697674</v>
      </c>
      <c r="N4417" s="2">
        <v>1885300.0</v>
      </c>
      <c r="O4417" s="4">
        <f t="shared" si="6"/>
        <v>5480.523256</v>
      </c>
      <c r="P4417" s="2">
        <v>0.0</v>
      </c>
      <c r="Q4417" s="3">
        <f t="shared" si="7"/>
        <v>0</v>
      </c>
      <c r="R4417" s="2">
        <v>168.0</v>
      </c>
      <c r="S4417" s="5">
        <f t="shared" si="8"/>
        <v>1</v>
      </c>
    </row>
    <row r="4418">
      <c r="A4418" s="2" t="s">
        <v>4421</v>
      </c>
      <c r="B4418" s="2">
        <v>1317.0</v>
      </c>
      <c r="C4418" s="2">
        <v>15416.0</v>
      </c>
      <c r="D4418" s="2">
        <v>4724.0</v>
      </c>
      <c r="E4418" s="3">
        <f t="shared" si="1"/>
        <v>0.3350592241</v>
      </c>
      <c r="F4418" s="2">
        <v>1780.0</v>
      </c>
      <c r="G4418" s="3">
        <f t="shared" si="2"/>
        <v>0.1262500887</v>
      </c>
      <c r="H4418" s="2">
        <v>2914.0</v>
      </c>
      <c r="I4418" s="3">
        <f t="shared" si="3"/>
        <v>0.2066813249</v>
      </c>
      <c r="J4418" s="2">
        <v>2285.0</v>
      </c>
      <c r="K4418" s="3">
        <f t="shared" si="4"/>
        <v>0.1620682318</v>
      </c>
      <c r="L4418" s="2">
        <v>1712.0</v>
      </c>
      <c r="M4418" s="3">
        <f t="shared" si="5"/>
        <v>0.5875085793</v>
      </c>
      <c r="N4418" s="2">
        <v>1.68488E7</v>
      </c>
      <c r="O4418" s="4">
        <f t="shared" si="6"/>
        <v>5782.017845</v>
      </c>
      <c r="P4418" s="2">
        <v>2.0</v>
      </c>
      <c r="Q4418" s="3">
        <f t="shared" si="7"/>
        <v>0.001518602885</v>
      </c>
      <c r="R4418" s="2">
        <v>1315.0</v>
      </c>
      <c r="S4418" s="5">
        <f t="shared" si="8"/>
        <v>0.9984813971</v>
      </c>
    </row>
    <row r="4419">
      <c r="A4419" s="2" t="s">
        <v>4422</v>
      </c>
      <c r="B4419" s="2">
        <v>78.0</v>
      </c>
      <c r="C4419" s="2">
        <v>878.0</v>
      </c>
      <c r="D4419" s="2">
        <v>197.0</v>
      </c>
      <c r="E4419" s="3">
        <f t="shared" si="1"/>
        <v>0.24625</v>
      </c>
      <c r="F4419" s="2">
        <v>101.0</v>
      </c>
      <c r="G4419" s="3">
        <f t="shared" si="2"/>
        <v>0.12625</v>
      </c>
      <c r="H4419" s="2">
        <v>152.0</v>
      </c>
      <c r="I4419" s="3">
        <f t="shared" si="3"/>
        <v>0.19</v>
      </c>
      <c r="J4419" s="2">
        <v>141.0</v>
      </c>
      <c r="K4419" s="3">
        <f t="shared" si="4"/>
        <v>0.17625</v>
      </c>
      <c r="L4419" s="2">
        <v>86.0</v>
      </c>
      <c r="M4419" s="3">
        <f t="shared" si="5"/>
        <v>0.5657894737</v>
      </c>
      <c r="N4419" s="2">
        <v>983900.0</v>
      </c>
      <c r="O4419" s="4">
        <f t="shared" si="6"/>
        <v>6473.026316</v>
      </c>
      <c r="P4419" s="2">
        <v>0.0</v>
      </c>
      <c r="Q4419" s="3">
        <f t="shared" si="7"/>
        <v>0</v>
      </c>
      <c r="R4419" s="2">
        <v>78.0</v>
      </c>
      <c r="S4419" s="5">
        <f t="shared" si="8"/>
        <v>1</v>
      </c>
    </row>
    <row r="4420">
      <c r="A4420" s="2" t="s">
        <v>4423</v>
      </c>
      <c r="B4420" s="2">
        <v>3432.0</v>
      </c>
      <c r="C4420" s="2">
        <v>40258.0</v>
      </c>
      <c r="D4420" s="2">
        <v>14114.0</v>
      </c>
      <c r="E4420" s="3">
        <f t="shared" si="1"/>
        <v>0.3832618259</v>
      </c>
      <c r="F4420" s="2">
        <v>4649.0</v>
      </c>
      <c r="G4420" s="3">
        <f t="shared" si="2"/>
        <v>0.1262423288</v>
      </c>
      <c r="H4420" s="2">
        <v>7927.0</v>
      </c>
      <c r="I4420" s="3">
        <f t="shared" si="3"/>
        <v>0.215255526</v>
      </c>
      <c r="J4420" s="2">
        <v>4656.0</v>
      </c>
      <c r="K4420" s="3">
        <f t="shared" si="4"/>
        <v>0.1264324119</v>
      </c>
      <c r="L4420" s="2">
        <v>4866.0</v>
      </c>
      <c r="M4420" s="3">
        <f t="shared" si="5"/>
        <v>0.613851394</v>
      </c>
      <c r="N4420" s="2">
        <v>4.19395E7</v>
      </c>
      <c r="O4420" s="4">
        <f t="shared" si="6"/>
        <v>5290.715277</v>
      </c>
      <c r="P4420" s="2">
        <v>7.0</v>
      </c>
      <c r="Q4420" s="3">
        <f t="shared" si="7"/>
        <v>0.00203962704</v>
      </c>
      <c r="R4420" s="2">
        <v>3432.0</v>
      </c>
      <c r="S4420" s="5">
        <f t="shared" si="8"/>
        <v>1</v>
      </c>
    </row>
    <row r="4421">
      <c r="A4421" s="2" t="s">
        <v>4424</v>
      </c>
      <c r="B4421" s="2">
        <v>6231.0</v>
      </c>
      <c r="C4421" s="2">
        <v>72748.0</v>
      </c>
      <c r="D4421" s="2">
        <v>21972.0</v>
      </c>
      <c r="E4421" s="3">
        <f t="shared" si="1"/>
        <v>0.3303215719</v>
      </c>
      <c r="F4421" s="2">
        <v>8397.0</v>
      </c>
      <c r="G4421" s="3">
        <f t="shared" si="2"/>
        <v>0.1262384052</v>
      </c>
      <c r="H4421" s="2">
        <v>14344.0</v>
      </c>
      <c r="I4421" s="3">
        <f t="shared" si="3"/>
        <v>0.2156441211</v>
      </c>
      <c r="J4421" s="2">
        <v>11932.0</v>
      </c>
      <c r="K4421" s="3">
        <f t="shared" si="4"/>
        <v>0.1793827142</v>
      </c>
      <c r="L4421" s="2">
        <v>8606.0</v>
      </c>
      <c r="M4421" s="3">
        <f t="shared" si="5"/>
        <v>0.5999721138</v>
      </c>
      <c r="N4421" s="2">
        <v>8.20088E7</v>
      </c>
      <c r="O4421" s="4">
        <f t="shared" si="6"/>
        <v>5717.289459</v>
      </c>
      <c r="P4421" s="2">
        <v>19.0</v>
      </c>
      <c r="Q4421" s="3">
        <f t="shared" si="7"/>
        <v>0.00304926978</v>
      </c>
      <c r="R4421" s="2">
        <v>6092.0</v>
      </c>
      <c r="S4421" s="5">
        <f t="shared" si="8"/>
        <v>0.9776921842</v>
      </c>
    </row>
    <row r="4422">
      <c r="A4422" s="2" t="s">
        <v>4425</v>
      </c>
      <c r="B4422" s="2">
        <v>86.0</v>
      </c>
      <c r="C4422" s="2">
        <v>997.0</v>
      </c>
      <c r="D4422" s="2">
        <v>357.0</v>
      </c>
      <c r="E4422" s="3">
        <f t="shared" si="1"/>
        <v>0.3918770582</v>
      </c>
      <c r="F4422" s="2">
        <v>115.0</v>
      </c>
      <c r="G4422" s="3">
        <f t="shared" si="2"/>
        <v>0.1262349067</v>
      </c>
      <c r="H4422" s="2">
        <v>173.0</v>
      </c>
      <c r="I4422" s="3">
        <f t="shared" si="3"/>
        <v>0.1899012075</v>
      </c>
      <c r="J4422" s="2">
        <v>148.0</v>
      </c>
      <c r="K4422" s="3">
        <f t="shared" si="4"/>
        <v>0.1624588364</v>
      </c>
      <c r="L4422" s="2">
        <v>102.0</v>
      </c>
      <c r="M4422" s="3">
        <f t="shared" si="5"/>
        <v>0.5895953757</v>
      </c>
      <c r="N4422" s="2">
        <v>860000.0</v>
      </c>
      <c r="O4422" s="4">
        <f t="shared" si="6"/>
        <v>4971.098266</v>
      </c>
      <c r="P4422" s="2">
        <v>0.0</v>
      </c>
      <c r="Q4422" s="3">
        <f t="shared" si="7"/>
        <v>0</v>
      </c>
      <c r="R4422" s="2">
        <v>86.0</v>
      </c>
      <c r="S4422" s="5">
        <f t="shared" si="8"/>
        <v>1</v>
      </c>
    </row>
    <row r="4423">
      <c r="A4423" s="2" t="s">
        <v>4426</v>
      </c>
      <c r="B4423" s="2">
        <v>134.0</v>
      </c>
      <c r="C4423" s="2">
        <v>1552.0</v>
      </c>
      <c r="D4423" s="2">
        <v>390.0</v>
      </c>
      <c r="E4423" s="3">
        <f t="shared" si="1"/>
        <v>0.2750352609</v>
      </c>
      <c r="F4423" s="2">
        <v>179.0</v>
      </c>
      <c r="G4423" s="3">
        <f t="shared" si="2"/>
        <v>0.1262341326</v>
      </c>
      <c r="H4423" s="2">
        <v>274.0</v>
      </c>
      <c r="I4423" s="3">
        <f t="shared" si="3"/>
        <v>0.1932299013</v>
      </c>
      <c r="J4423" s="2">
        <v>195.0</v>
      </c>
      <c r="K4423" s="3">
        <f t="shared" si="4"/>
        <v>0.1375176305</v>
      </c>
      <c r="L4423" s="2">
        <v>160.0</v>
      </c>
      <c r="M4423" s="3">
        <f t="shared" si="5"/>
        <v>0.5839416058</v>
      </c>
      <c r="N4423" s="2">
        <v>1599100.0</v>
      </c>
      <c r="O4423" s="4">
        <f t="shared" si="6"/>
        <v>5836.131387</v>
      </c>
      <c r="P4423" s="2">
        <v>1.0</v>
      </c>
      <c r="Q4423" s="3">
        <f t="shared" si="7"/>
        <v>0.007462686567</v>
      </c>
      <c r="R4423" s="2">
        <v>134.0</v>
      </c>
      <c r="S4423" s="5">
        <f t="shared" si="8"/>
        <v>1</v>
      </c>
    </row>
    <row r="4424">
      <c r="A4424" s="2" t="s">
        <v>4427</v>
      </c>
      <c r="B4424" s="2">
        <v>2687.0</v>
      </c>
      <c r="C4424" s="2">
        <v>31164.0</v>
      </c>
      <c r="D4424" s="2">
        <v>9233.0</v>
      </c>
      <c r="E4424" s="3">
        <f t="shared" si="1"/>
        <v>0.3242265688</v>
      </c>
      <c r="F4424" s="2">
        <v>3594.0</v>
      </c>
      <c r="G4424" s="3">
        <f t="shared" si="2"/>
        <v>0.1262071145</v>
      </c>
      <c r="H4424" s="2">
        <v>5860.0</v>
      </c>
      <c r="I4424" s="3">
        <f t="shared" si="3"/>
        <v>0.2057801032</v>
      </c>
      <c r="J4424" s="2">
        <v>5329.0</v>
      </c>
      <c r="K4424" s="3">
        <f t="shared" si="4"/>
        <v>0.1871334761</v>
      </c>
      <c r="L4424" s="2">
        <v>3518.0</v>
      </c>
      <c r="M4424" s="3">
        <f t="shared" si="5"/>
        <v>0.6003412969</v>
      </c>
      <c r="N4424" s="2">
        <v>3.43254E7</v>
      </c>
      <c r="O4424" s="4">
        <f t="shared" si="6"/>
        <v>5857.576792</v>
      </c>
      <c r="P4424" s="2">
        <v>5.0</v>
      </c>
      <c r="Q4424" s="3">
        <f t="shared" si="7"/>
        <v>0.001860811314</v>
      </c>
      <c r="R4424" s="2">
        <v>1665.0</v>
      </c>
      <c r="S4424" s="5">
        <f t="shared" si="8"/>
        <v>0.6196501675</v>
      </c>
    </row>
    <row r="4425">
      <c r="A4425" s="2" t="s">
        <v>4428</v>
      </c>
      <c r="B4425" s="2">
        <v>1638.0</v>
      </c>
      <c r="C4425" s="2">
        <v>19181.0</v>
      </c>
      <c r="D4425" s="2">
        <v>6636.0</v>
      </c>
      <c r="E4425" s="3">
        <f t="shared" si="1"/>
        <v>0.3782705353</v>
      </c>
      <c r="F4425" s="2">
        <v>2214.0</v>
      </c>
      <c r="G4425" s="3">
        <f t="shared" si="2"/>
        <v>0.126204184</v>
      </c>
      <c r="H4425" s="2">
        <v>3735.0</v>
      </c>
      <c r="I4425" s="3">
        <f t="shared" si="3"/>
        <v>0.2129054324</v>
      </c>
      <c r="J4425" s="2">
        <v>2490.0</v>
      </c>
      <c r="K4425" s="3">
        <f t="shared" si="4"/>
        <v>0.1419369549</v>
      </c>
      <c r="L4425" s="2">
        <v>2250.0</v>
      </c>
      <c r="M4425" s="3">
        <f t="shared" si="5"/>
        <v>0.6024096386</v>
      </c>
      <c r="N4425" s="2">
        <v>1.87226E7</v>
      </c>
      <c r="O4425" s="4">
        <f t="shared" si="6"/>
        <v>5012.744311</v>
      </c>
      <c r="P4425" s="2">
        <v>2.0</v>
      </c>
      <c r="Q4425" s="3">
        <f t="shared" si="7"/>
        <v>0.001221001221</v>
      </c>
      <c r="R4425" s="2">
        <v>0.0</v>
      </c>
      <c r="S4425" s="5">
        <f t="shared" si="8"/>
        <v>0</v>
      </c>
    </row>
    <row r="4426">
      <c r="A4426" s="2" t="s">
        <v>4429</v>
      </c>
      <c r="B4426" s="2">
        <v>453.0</v>
      </c>
      <c r="C4426" s="2">
        <v>5358.0</v>
      </c>
      <c r="D4426" s="2">
        <v>1595.0</v>
      </c>
      <c r="E4426" s="3">
        <f t="shared" si="1"/>
        <v>0.3251783894</v>
      </c>
      <c r="F4426" s="2">
        <v>619.0</v>
      </c>
      <c r="G4426" s="3">
        <f t="shared" si="2"/>
        <v>0.1261977574</v>
      </c>
      <c r="H4426" s="2">
        <v>1032.0</v>
      </c>
      <c r="I4426" s="3">
        <f t="shared" si="3"/>
        <v>0.2103975535</v>
      </c>
      <c r="J4426" s="2">
        <v>831.0</v>
      </c>
      <c r="K4426" s="3">
        <f t="shared" si="4"/>
        <v>0.1694189602</v>
      </c>
      <c r="L4426" s="2">
        <v>637.0</v>
      </c>
      <c r="M4426" s="3">
        <f t="shared" si="5"/>
        <v>0.617248062</v>
      </c>
      <c r="N4426" s="2">
        <v>5818100.0</v>
      </c>
      <c r="O4426" s="4">
        <f t="shared" si="6"/>
        <v>5637.693798</v>
      </c>
      <c r="P4426" s="2">
        <v>0.0</v>
      </c>
      <c r="Q4426" s="3">
        <f t="shared" si="7"/>
        <v>0</v>
      </c>
      <c r="R4426" s="2">
        <v>0.0</v>
      </c>
      <c r="S4426" s="5">
        <f t="shared" si="8"/>
        <v>0</v>
      </c>
    </row>
    <row r="4427">
      <c r="A4427" s="2" t="s">
        <v>4430</v>
      </c>
      <c r="B4427" s="2">
        <v>509.0</v>
      </c>
      <c r="C4427" s="2">
        <v>5953.0</v>
      </c>
      <c r="D4427" s="2">
        <v>2132.0</v>
      </c>
      <c r="E4427" s="3">
        <f t="shared" si="1"/>
        <v>0.391623806</v>
      </c>
      <c r="F4427" s="2">
        <v>687.0</v>
      </c>
      <c r="G4427" s="3">
        <f t="shared" si="2"/>
        <v>0.126193975</v>
      </c>
      <c r="H4427" s="2">
        <v>1096.0</v>
      </c>
      <c r="I4427" s="3">
        <f t="shared" si="3"/>
        <v>0.2013225569</v>
      </c>
      <c r="J4427" s="2">
        <v>952.0</v>
      </c>
      <c r="K4427" s="3">
        <f t="shared" si="4"/>
        <v>0.1748714181</v>
      </c>
      <c r="L4427" s="2">
        <v>627.0</v>
      </c>
      <c r="M4427" s="3">
        <f t="shared" si="5"/>
        <v>0.572080292</v>
      </c>
      <c r="N4427" s="2">
        <v>6018600.0</v>
      </c>
      <c r="O4427" s="4">
        <f t="shared" si="6"/>
        <v>5491.423358</v>
      </c>
      <c r="P4427" s="2">
        <v>1.0</v>
      </c>
      <c r="Q4427" s="3">
        <f t="shared" si="7"/>
        <v>0.001964636542</v>
      </c>
      <c r="R4427" s="2">
        <v>509.0</v>
      </c>
      <c r="S4427" s="5">
        <f t="shared" si="8"/>
        <v>1</v>
      </c>
    </row>
    <row r="4428">
      <c r="A4428" s="2" t="s">
        <v>4431</v>
      </c>
      <c r="B4428" s="2">
        <v>2872.0</v>
      </c>
      <c r="C4428" s="2">
        <v>33555.0</v>
      </c>
      <c r="D4428" s="2">
        <v>10221.0</v>
      </c>
      <c r="E4428" s="3">
        <f t="shared" si="1"/>
        <v>0.3331160578</v>
      </c>
      <c r="F4428" s="2">
        <v>3872.0</v>
      </c>
      <c r="G4428" s="3">
        <f t="shared" si="2"/>
        <v>0.1261936577</v>
      </c>
      <c r="H4428" s="2">
        <v>6378.0</v>
      </c>
      <c r="I4428" s="3">
        <f t="shared" si="3"/>
        <v>0.2078675488</v>
      </c>
      <c r="J4428" s="2">
        <v>5464.0</v>
      </c>
      <c r="K4428" s="3">
        <f t="shared" si="4"/>
        <v>0.1780790666</v>
      </c>
      <c r="L4428" s="2">
        <v>3762.0</v>
      </c>
      <c r="M4428" s="3">
        <f t="shared" si="5"/>
        <v>0.5898400753</v>
      </c>
      <c r="N4428" s="2">
        <v>3.67794E7</v>
      </c>
      <c r="O4428" s="4">
        <f t="shared" si="6"/>
        <v>5766.603951</v>
      </c>
      <c r="P4428" s="2">
        <v>4.0</v>
      </c>
      <c r="Q4428" s="3">
        <f t="shared" si="7"/>
        <v>0.00139275766</v>
      </c>
      <c r="R4428" s="2">
        <v>2872.0</v>
      </c>
      <c r="S4428" s="5">
        <f t="shared" si="8"/>
        <v>1</v>
      </c>
    </row>
    <row r="4429">
      <c r="A4429" s="2" t="s">
        <v>4432</v>
      </c>
      <c r="B4429" s="2">
        <v>254.0</v>
      </c>
      <c r="C4429" s="2">
        <v>2988.0</v>
      </c>
      <c r="D4429" s="2">
        <v>816.0</v>
      </c>
      <c r="E4429" s="3">
        <f t="shared" si="1"/>
        <v>0.2984637893</v>
      </c>
      <c r="F4429" s="2">
        <v>345.0</v>
      </c>
      <c r="G4429" s="3">
        <f t="shared" si="2"/>
        <v>0.1261887345</v>
      </c>
      <c r="H4429" s="2">
        <v>533.0</v>
      </c>
      <c r="I4429" s="3">
        <f t="shared" si="3"/>
        <v>0.1949524506</v>
      </c>
      <c r="J4429" s="2">
        <v>474.0</v>
      </c>
      <c r="K4429" s="3">
        <f t="shared" si="4"/>
        <v>0.1733723482</v>
      </c>
      <c r="L4429" s="2">
        <v>331.0</v>
      </c>
      <c r="M4429" s="3">
        <f t="shared" si="5"/>
        <v>0.6210131332</v>
      </c>
      <c r="N4429" s="2">
        <v>3030900.0</v>
      </c>
      <c r="O4429" s="4">
        <f t="shared" si="6"/>
        <v>5686.491557</v>
      </c>
      <c r="P4429" s="2">
        <v>3.0</v>
      </c>
      <c r="Q4429" s="3">
        <f t="shared" si="7"/>
        <v>0.01181102362</v>
      </c>
      <c r="R4429" s="2">
        <v>254.0</v>
      </c>
      <c r="S4429" s="5">
        <f t="shared" si="8"/>
        <v>1</v>
      </c>
    </row>
    <row r="4430">
      <c r="A4430" s="2" t="s">
        <v>4433</v>
      </c>
      <c r="B4430" s="2">
        <v>198.0</v>
      </c>
      <c r="C4430" s="2">
        <v>2314.0</v>
      </c>
      <c r="D4430" s="2">
        <v>740.0</v>
      </c>
      <c r="E4430" s="3">
        <f t="shared" si="1"/>
        <v>0.3497164461</v>
      </c>
      <c r="F4430" s="2">
        <v>267.0</v>
      </c>
      <c r="G4430" s="3">
        <f t="shared" si="2"/>
        <v>0.1261814745</v>
      </c>
      <c r="H4430" s="2">
        <v>472.0</v>
      </c>
      <c r="I4430" s="3">
        <f t="shared" si="3"/>
        <v>0.2230623819</v>
      </c>
      <c r="J4430" s="2">
        <v>350.0</v>
      </c>
      <c r="K4430" s="3">
        <f t="shared" si="4"/>
        <v>0.1654064272</v>
      </c>
      <c r="L4430" s="2">
        <v>296.0</v>
      </c>
      <c r="M4430" s="3">
        <f t="shared" si="5"/>
        <v>0.6271186441</v>
      </c>
      <c r="N4430" s="2">
        <v>2666200.0</v>
      </c>
      <c r="O4430" s="4">
        <f t="shared" si="6"/>
        <v>5648.728814</v>
      </c>
      <c r="P4430" s="2">
        <v>2.0</v>
      </c>
      <c r="Q4430" s="3">
        <f t="shared" si="7"/>
        <v>0.0101010101</v>
      </c>
      <c r="R4430" s="2">
        <v>198.0</v>
      </c>
      <c r="S4430" s="5">
        <f t="shared" si="8"/>
        <v>1</v>
      </c>
    </row>
    <row r="4431">
      <c r="A4431" s="2" t="s">
        <v>4434</v>
      </c>
      <c r="B4431" s="2">
        <v>1397.0</v>
      </c>
      <c r="C4431" s="2">
        <v>16217.0</v>
      </c>
      <c r="D4431" s="2">
        <v>4592.0</v>
      </c>
      <c r="E4431" s="3">
        <f t="shared" si="1"/>
        <v>0.309851552</v>
      </c>
      <c r="F4431" s="2">
        <v>1870.0</v>
      </c>
      <c r="G4431" s="3">
        <f t="shared" si="2"/>
        <v>0.1261808367</v>
      </c>
      <c r="H4431" s="2">
        <v>3108.0</v>
      </c>
      <c r="I4431" s="3">
        <f t="shared" si="3"/>
        <v>0.2097165992</v>
      </c>
      <c r="J4431" s="2">
        <v>2182.0</v>
      </c>
      <c r="K4431" s="3">
        <f t="shared" si="4"/>
        <v>0.1472334683</v>
      </c>
      <c r="L4431" s="2">
        <v>1847.0</v>
      </c>
      <c r="M4431" s="3">
        <f t="shared" si="5"/>
        <v>0.5942728443</v>
      </c>
      <c r="N4431" s="2">
        <v>1.74787E7</v>
      </c>
      <c r="O4431" s="4">
        <f t="shared" si="6"/>
        <v>5623.777349</v>
      </c>
      <c r="P4431" s="2">
        <v>3.0</v>
      </c>
      <c r="Q4431" s="3">
        <f t="shared" si="7"/>
        <v>0.00214745884</v>
      </c>
      <c r="R4431" s="2">
        <v>1397.0</v>
      </c>
      <c r="S4431" s="5">
        <f t="shared" si="8"/>
        <v>1</v>
      </c>
    </row>
    <row r="4432">
      <c r="A4432" s="2" t="s">
        <v>4435</v>
      </c>
      <c r="B4432" s="2">
        <v>207.0</v>
      </c>
      <c r="C4432" s="2">
        <v>2434.0</v>
      </c>
      <c r="D4432" s="2">
        <v>653.0</v>
      </c>
      <c r="E4432" s="3">
        <f t="shared" si="1"/>
        <v>0.2932195779</v>
      </c>
      <c r="F4432" s="2">
        <v>281.0</v>
      </c>
      <c r="G4432" s="3">
        <f t="shared" si="2"/>
        <v>0.1261787158</v>
      </c>
      <c r="H4432" s="2">
        <v>463.0</v>
      </c>
      <c r="I4432" s="3">
        <f t="shared" si="3"/>
        <v>0.2079030085</v>
      </c>
      <c r="J4432" s="2">
        <v>399.0</v>
      </c>
      <c r="K4432" s="3">
        <f t="shared" si="4"/>
        <v>0.1791647957</v>
      </c>
      <c r="L4432" s="2">
        <v>279.0</v>
      </c>
      <c r="M4432" s="3">
        <f t="shared" si="5"/>
        <v>0.6025917927</v>
      </c>
      <c r="N4432" s="2">
        <v>2634900.0</v>
      </c>
      <c r="O4432" s="4">
        <f t="shared" si="6"/>
        <v>5690.928726</v>
      </c>
      <c r="P4432" s="2">
        <v>1.0</v>
      </c>
      <c r="Q4432" s="3">
        <f t="shared" si="7"/>
        <v>0.004830917874</v>
      </c>
      <c r="R4432" s="2">
        <v>207.0</v>
      </c>
      <c r="S4432" s="5">
        <f t="shared" si="8"/>
        <v>1</v>
      </c>
    </row>
    <row r="4433">
      <c r="A4433" s="2" t="s">
        <v>4436</v>
      </c>
      <c r="B4433" s="2">
        <v>337.0</v>
      </c>
      <c r="C4433" s="2">
        <v>3943.0</v>
      </c>
      <c r="D4433" s="2">
        <v>1284.0</v>
      </c>
      <c r="E4433" s="3">
        <f t="shared" si="1"/>
        <v>0.3560732113</v>
      </c>
      <c r="F4433" s="2">
        <v>455.0</v>
      </c>
      <c r="G4433" s="3">
        <f t="shared" si="2"/>
        <v>0.1261785912</v>
      </c>
      <c r="H4433" s="2">
        <v>787.0</v>
      </c>
      <c r="I4433" s="3">
        <f t="shared" si="3"/>
        <v>0.2182473655</v>
      </c>
      <c r="J4433" s="2">
        <v>759.0</v>
      </c>
      <c r="K4433" s="3">
        <f t="shared" si="4"/>
        <v>0.2104825291</v>
      </c>
      <c r="L4433" s="2">
        <v>467.0</v>
      </c>
      <c r="M4433" s="3">
        <f t="shared" si="5"/>
        <v>0.5933926302</v>
      </c>
      <c r="N4433" s="2">
        <v>4507300.0</v>
      </c>
      <c r="O4433" s="4">
        <f t="shared" si="6"/>
        <v>5727.191868</v>
      </c>
      <c r="P4433" s="2">
        <v>1.0</v>
      </c>
      <c r="Q4433" s="3">
        <f t="shared" si="7"/>
        <v>0.00296735905</v>
      </c>
      <c r="R4433" s="2">
        <v>337.0</v>
      </c>
      <c r="S4433" s="5">
        <f t="shared" si="8"/>
        <v>1</v>
      </c>
    </row>
    <row r="4434">
      <c r="A4434" s="2" t="s">
        <v>4437</v>
      </c>
      <c r="B4434" s="2">
        <v>75.0</v>
      </c>
      <c r="C4434" s="2">
        <v>931.0</v>
      </c>
      <c r="D4434" s="2">
        <v>294.0</v>
      </c>
      <c r="E4434" s="3">
        <f t="shared" si="1"/>
        <v>0.3434579439</v>
      </c>
      <c r="F4434" s="2">
        <v>108.0</v>
      </c>
      <c r="G4434" s="3">
        <f t="shared" si="2"/>
        <v>0.1261682243</v>
      </c>
      <c r="H4434" s="2">
        <v>169.0</v>
      </c>
      <c r="I4434" s="3">
        <f t="shared" si="3"/>
        <v>0.1974299065</v>
      </c>
      <c r="J4434" s="2">
        <v>153.0</v>
      </c>
      <c r="K4434" s="3">
        <f t="shared" si="4"/>
        <v>0.1787383178</v>
      </c>
      <c r="L4434" s="2">
        <v>90.0</v>
      </c>
      <c r="M4434" s="3">
        <f t="shared" si="5"/>
        <v>0.5325443787</v>
      </c>
      <c r="N4434" s="2">
        <v>1095100.0</v>
      </c>
      <c r="O4434" s="4">
        <f t="shared" si="6"/>
        <v>6479.881657</v>
      </c>
      <c r="P4434" s="2">
        <v>0.0</v>
      </c>
      <c r="Q4434" s="3">
        <f t="shared" si="7"/>
        <v>0</v>
      </c>
      <c r="R4434" s="2">
        <v>75.0</v>
      </c>
      <c r="S4434" s="5">
        <f t="shared" si="8"/>
        <v>1</v>
      </c>
    </row>
    <row r="4435">
      <c r="A4435" s="2" t="s">
        <v>4438</v>
      </c>
      <c r="B4435" s="2">
        <v>136.0</v>
      </c>
      <c r="C4435" s="2">
        <v>1634.0</v>
      </c>
      <c r="D4435" s="2">
        <v>533.0</v>
      </c>
      <c r="E4435" s="3">
        <f t="shared" si="1"/>
        <v>0.3558077437</v>
      </c>
      <c r="F4435" s="2">
        <v>189.0</v>
      </c>
      <c r="G4435" s="3">
        <f t="shared" si="2"/>
        <v>0.1261682243</v>
      </c>
      <c r="H4435" s="2">
        <v>317.0</v>
      </c>
      <c r="I4435" s="3">
        <f t="shared" si="3"/>
        <v>0.2116154873</v>
      </c>
      <c r="J4435" s="2">
        <v>250.0</v>
      </c>
      <c r="K4435" s="3">
        <f t="shared" si="4"/>
        <v>0.1668891856</v>
      </c>
      <c r="L4435" s="2">
        <v>189.0</v>
      </c>
      <c r="M4435" s="3">
        <f t="shared" si="5"/>
        <v>0.596214511</v>
      </c>
      <c r="N4435" s="2">
        <v>1790200.0</v>
      </c>
      <c r="O4435" s="4">
        <f t="shared" si="6"/>
        <v>5647.318612</v>
      </c>
      <c r="P4435" s="2">
        <v>1.0</v>
      </c>
      <c r="Q4435" s="3">
        <f t="shared" si="7"/>
        <v>0.007352941176</v>
      </c>
      <c r="R4435" s="2">
        <v>0.0</v>
      </c>
      <c r="S4435" s="5">
        <f t="shared" si="8"/>
        <v>0</v>
      </c>
    </row>
    <row r="4436">
      <c r="A4436" s="2" t="s">
        <v>4439</v>
      </c>
      <c r="B4436" s="2">
        <v>989.0</v>
      </c>
      <c r="C4436" s="2">
        <v>11499.0</v>
      </c>
      <c r="D4436" s="2">
        <v>3262.0</v>
      </c>
      <c r="E4436" s="3">
        <f t="shared" si="1"/>
        <v>0.3103710752</v>
      </c>
      <c r="F4436" s="2">
        <v>1326.0</v>
      </c>
      <c r="G4436" s="3">
        <f t="shared" si="2"/>
        <v>0.1261655566</v>
      </c>
      <c r="H4436" s="2">
        <v>2158.0</v>
      </c>
      <c r="I4436" s="3">
        <f t="shared" si="3"/>
        <v>0.2053282588</v>
      </c>
      <c r="J4436" s="2">
        <v>1960.0</v>
      </c>
      <c r="K4436" s="3">
        <f t="shared" si="4"/>
        <v>0.186489058</v>
      </c>
      <c r="L4436" s="2">
        <v>1257.0</v>
      </c>
      <c r="M4436" s="3">
        <f t="shared" si="5"/>
        <v>0.5824837813</v>
      </c>
      <c r="N4436" s="2">
        <v>1.2675E7</v>
      </c>
      <c r="O4436" s="4">
        <f t="shared" si="6"/>
        <v>5873.493976</v>
      </c>
      <c r="P4436" s="2">
        <v>1.0</v>
      </c>
      <c r="Q4436" s="3">
        <f t="shared" si="7"/>
        <v>0.001011122346</v>
      </c>
      <c r="R4436" s="2">
        <v>989.0</v>
      </c>
      <c r="S4436" s="5">
        <f t="shared" si="8"/>
        <v>1</v>
      </c>
    </row>
    <row r="4437">
      <c r="A4437" s="2" t="s">
        <v>4440</v>
      </c>
      <c r="B4437" s="2">
        <v>593.0</v>
      </c>
      <c r="C4437" s="2">
        <v>6926.0</v>
      </c>
      <c r="D4437" s="2">
        <v>2360.0</v>
      </c>
      <c r="E4437" s="3">
        <f t="shared" si="1"/>
        <v>0.3726511922</v>
      </c>
      <c r="F4437" s="2">
        <v>799.0</v>
      </c>
      <c r="G4437" s="3">
        <f t="shared" si="2"/>
        <v>0.126164535</v>
      </c>
      <c r="H4437" s="2">
        <v>1320.0</v>
      </c>
      <c r="I4437" s="3">
        <f t="shared" si="3"/>
        <v>0.2084320227</v>
      </c>
      <c r="J4437" s="2">
        <v>970.0</v>
      </c>
      <c r="K4437" s="3">
        <f t="shared" si="4"/>
        <v>0.1531659561</v>
      </c>
      <c r="L4437" s="2">
        <v>772.0</v>
      </c>
      <c r="M4437" s="3">
        <f t="shared" si="5"/>
        <v>0.5848484848</v>
      </c>
      <c r="N4437" s="2">
        <v>7448700.0</v>
      </c>
      <c r="O4437" s="4">
        <f t="shared" si="6"/>
        <v>5642.954545</v>
      </c>
      <c r="P4437" s="2">
        <v>2.0</v>
      </c>
      <c r="Q4437" s="3">
        <f t="shared" si="7"/>
        <v>0.003372681282</v>
      </c>
      <c r="R4437" s="2">
        <v>593.0</v>
      </c>
      <c r="S4437" s="5">
        <f t="shared" si="8"/>
        <v>1</v>
      </c>
    </row>
    <row r="4438">
      <c r="A4438" s="2" t="s">
        <v>4441</v>
      </c>
      <c r="B4438" s="2">
        <v>783.0</v>
      </c>
      <c r="C4438" s="2">
        <v>9209.0</v>
      </c>
      <c r="D4438" s="2">
        <v>3424.0</v>
      </c>
      <c r="E4438" s="3">
        <f t="shared" si="1"/>
        <v>0.4063612628</v>
      </c>
      <c r="F4438" s="2">
        <v>1063.0</v>
      </c>
      <c r="G4438" s="3">
        <f t="shared" si="2"/>
        <v>0.1261571327</v>
      </c>
      <c r="H4438" s="2">
        <v>1796.0</v>
      </c>
      <c r="I4438" s="3">
        <f t="shared" si="3"/>
        <v>0.2131497745</v>
      </c>
      <c r="J4438" s="2">
        <v>1371.0</v>
      </c>
      <c r="K4438" s="3">
        <f t="shared" si="4"/>
        <v>0.1627106575</v>
      </c>
      <c r="L4438" s="2">
        <v>1078.0</v>
      </c>
      <c r="M4438" s="3">
        <f t="shared" si="5"/>
        <v>0.6002227171</v>
      </c>
      <c r="N4438" s="2">
        <v>9357600.0</v>
      </c>
      <c r="O4438" s="4">
        <f t="shared" si="6"/>
        <v>5210.244989</v>
      </c>
      <c r="P4438" s="2">
        <v>1.0</v>
      </c>
      <c r="Q4438" s="3">
        <f t="shared" si="7"/>
        <v>0.001277139208</v>
      </c>
      <c r="R4438" s="2">
        <v>749.0</v>
      </c>
      <c r="S4438" s="5">
        <f t="shared" si="8"/>
        <v>0.9565772669</v>
      </c>
    </row>
    <row r="4439">
      <c r="A4439" s="2" t="s">
        <v>4442</v>
      </c>
      <c r="B4439" s="2">
        <v>1105.0</v>
      </c>
      <c r="C4439" s="2">
        <v>12995.0</v>
      </c>
      <c r="D4439" s="2">
        <v>4590.0</v>
      </c>
      <c r="E4439" s="3">
        <f t="shared" si="1"/>
        <v>0.386038688</v>
      </c>
      <c r="F4439" s="2">
        <v>1500.0</v>
      </c>
      <c r="G4439" s="3">
        <f t="shared" si="2"/>
        <v>0.126156434</v>
      </c>
      <c r="H4439" s="2">
        <v>2542.0</v>
      </c>
      <c r="I4439" s="3">
        <f t="shared" si="3"/>
        <v>0.2137931034</v>
      </c>
      <c r="J4439" s="2">
        <v>2107.0</v>
      </c>
      <c r="K4439" s="3">
        <f t="shared" si="4"/>
        <v>0.1772077376</v>
      </c>
      <c r="L4439" s="2">
        <v>1472.0</v>
      </c>
      <c r="M4439" s="3">
        <f t="shared" si="5"/>
        <v>0.5790715972</v>
      </c>
      <c r="N4439" s="2">
        <v>1.41247E7</v>
      </c>
      <c r="O4439" s="4">
        <f t="shared" si="6"/>
        <v>5556.530291</v>
      </c>
      <c r="P4439" s="2">
        <v>4.0</v>
      </c>
      <c r="Q4439" s="3">
        <f t="shared" si="7"/>
        <v>0.003619909502</v>
      </c>
      <c r="R4439" s="2">
        <v>1105.0</v>
      </c>
      <c r="S4439" s="5">
        <f t="shared" si="8"/>
        <v>1</v>
      </c>
    </row>
    <row r="4440">
      <c r="A4440" s="2" t="s">
        <v>4443</v>
      </c>
      <c r="B4440" s="2">
        <v>1229.0</v>
      </c>
      <c r="C4440" s="2">
        <v>14419.0</v>
      </c>
      <c r="D4440" s="2">
        <v>3776.0</v>
      </c>
      <c r="E4440" s="3">
        <f t="shared" si="1"/>
        <v>0.2862774829</v>
      </c>
      <c r="F4440" s="2">
        <v>1664.0</v>
      </c>
      <c r="G4440" s="3">
        <f t="shared" si="2"/>
        <v>0.1261561789</v>
      </c>
      <c r="H4440" s="2">
        <v>2598.0</v>
      </c>
      <c r="I4440" s="3">
        <f t="shared" si="3"/>
        <v>0.1969673995</v>
      </c>
      <c r="J4440" s="2">
        <v>2303.0</v>
      </c>
      <c r="K4440" s="3">
        <f t="shared" si="4"/>
        <v>0.1746019712</v>
      </c>
      <c r="L4440" s="2">
        <v>1560.0</v>
      </c>
      <c r="M4440" s="3">
        <f t="shared" si="5"/>
        <v>0.6004618938</v>
      </c>
      <c r="N4440" s="2">
        <v>1.5027E7</v>
      </c>
      <c r="O4440" s="4">
        <f t="shared" si="6"/>
        <v>5784.064665</v>
      </c>
      <c r="P4440" s="2">
        <v>2.0</v>
      </c>
      <c r="Q4440" s="3">
        <f t="shared" si="7"/>
        <v>0.0016273393</v>
      </c>
      <c r="R4440" s="2">
        <v>1229.0</v>
      </c>
      <c r="S4440" s="5">
        <f t="shared" si="8"/>
        <v>1</v>
      </c>
    </row>
    <row r="4441">
      <c r="A4441" s="2" t="s">
        <v>4444</v>
      </c>
      <c r="B4441" s="2">
        <v>583.0</v>
      </c>
      <c r="C4441" s="2">
        <v>6861.0</v>
      </c>
      <c r="D4441" s="2">
        <v>2272.0</v>
      </c>
      <c r="E4441" s="3">
        <f t="shared" si="1"/>
        <v>0.3618986939</v>
      </c>
      <c r="F4441" s="2">
        <v>792.0</v>
      </c>
      <c r="G4441" s="3">
        <f t="shared" si="2"/>
        <v>0.1261548264</v>
      </c>
      <c r="H4441" s="2">
        <v>1423.0</v>
      </c>
      <c r="I4441" s="3">
        <f t="shared" si="3"/>
        <v>0.2266645428</v>
      </c>
      <c r="J4441" s="2">
        <v>1185.0</v>
      </c>
      <c r="K4441" s="3">
        <f t="shared" si="4"/>
        <v>0.1887543804</v>
      </c>
      <c r="L4441" s="2">
        <v>857.0</v>
      </c>
      <c r="M4441" s="3">
        <f t="shared" si="5"/>
        <v>0.6022487702</v>
      </c>
      <c r="N4441" s="2">
        <v>7682500.0</v>
      </c>
      <c r="O4441" s="4">
        <f t="shared" si="6"/>
        <v>5398.805341</v>
      </c>
      <c r="P4441" s="2">
        <v>0.0</v>
      </c>
      <c r="Q4441" s="3">
        <f t="shared" si="7"/>
        <v>0</v>
      </c>
      <c r="R4441" s="2">
        <v>583.0</v>
      </c>
      <c r="S4441" s="5">
        <f t="shared" si="8"/>
        <v>1</v>
      </c>
    </row>
    <row r="4442">
      <c r="A4442" s="2" t="s">
        <v>4445</v>
      </c>
      <c r="B4442" s="2">
        <v>1411.0</v>
      </c>
      <c r="C4442" s="2">
        <v>16616.0</v>
      </c>
      <c r="D4442" s="2">
        <v>5482.0</v>
      </c>
      <c r="E4442" s="3">
        <f t="shared" si="1"/>
        <v>0.3605392963</v>
      </c>
      <c r="F4442" s="2">
        <v>1918.0</v>
      </c>
      <c r="G4442" s="3">
        <f t="shared" si="2"/>
        <v>0.1261427162</v>
      </c>
      <c r="H4442" s="2">
        <v>3179.0</v>
      </c>
      <c r="I4442" s="3">
        <f t="shared" si="3"/>
        <v>0.2090759619</v>
      </c>
      <c r="J4442" s="2">
        <v>2734.0</v>
      </c>
      <c r="K4442" s="3">
        <f t="shared" si="4"/>
        <v>0.1798092733</v>
      </c>
      <c r="L4442" s="2">
        <v>1884.0</v>
      </c>
      <c r="M4442" s="3">
        <f t="shared" si="5"/>
        <v>0.5926391947</v>
      </c>
      <c r="N4442" s="2">
        <v>1.78875E7</v>
      </c>
      <c r="O4442" s="4">
        <f t="shared" si="6"/>
        <v>5626.769424</v>
      </c>
      <c r="P4442" s="2">
        <v>3.0</v>
      </c>
      <c r="Q4442" s="3">
        <f t="shared" si="7"/>
        <v>0.002126151665</v>
      </c>
      <c r="R4442" s="2">
        <v>1411.0</v>
      </c>
      <c r="S4442" s="5">
        <f t="shared" si="8"/>
        <v>1</v>
      </c>
    </row>
    <row r="4443">
      <c r="A4443" s="2" t="s">
        <v>4446</v>
      </c>
      <c r="B4443" s="2">
        <v>123.0</v>
      </c>
      <c r="C4443" s="2">
        <v>1447.0</v>
      </c>
      <c r="D4443" s="2">
        <v>415.0</v>
      </c>
      <c r="E4443" s="3">
        <f t="shared" si="1"/>
        <v>0.3134441088</v>
      </c>
      <c r="F4443" s="2">
        <v>167.0</v>
      </c>
      <c r="G4443" s="3">
        <f t="shared" si="2"/>
        <v>0.1261329305</v>
      </c>
      <c r="H4443" s="2">
        <v>242.0</v>
      </c>
      <c r="I4443" s="3">
        <f t="shared" si="3"/>
        <v>0.1827794562</v>
      </c>
      <c r="J4443" s="2">
        <v>194.0</v>
      </c>
      <c r="K4443" s="3">
        <f t="shared" si="4"/>
        <v>0.1465256798</v>
      </c>
      <c r="L4443" s="2">
        <v>133.0</v>
      </c>
      <c r="M4443" s="3">
        <f t="shared" si="5"/>
        <v>0.5495867769</v>
      </c>
      <c r="N4443" s="2">
        <v>1440700.0</v>
      </c>
      <c r="O4443" s="4">
        <f t="shared" si="6"/>
        <v>5953.305785</v>
      </c>
      <c r="P4443" s="2">
        <v>0.0</v>
      </c>
      <c r="Q4443" s="3">
        <f t="shared" si="7"/>
        <v>0</v>
      </c>
      <c r="R4443" s="2">
        <v>123.0</v>
      </c>
      <c r="S4443" s="5">
        <f t="shared" si="8"/>
        <v>1</v>
      </c>
    </row>
    <row r="4444">
      <c r="A4444" s="2" t="s">
        <v>4447</v>
      </c>
      <c r="B4444" s="2">
        <v>1014.0</v>
      </c>
      <c r="C4444" s="2">
        <v>11750.0</v>
      </c>
      <c r="D4444" s="2">
        <v>3353.0</v>
      </c>
      <c r="E4444" s="3">
        <f t="shared" si="1"/>
        <v>0.3123137109</v>
      </c>
      <c r="F4444" s="2">
        <v>1354.0</v>
      </c>
      <c r="G4444" s="3">
        <f t="shared" si="2"/>
        <v>0.1261177347</v>
      </c>
      <c r="H4444" s="2">
        <v>2274.0</v>
      </c>
      <c r="I4444" s="3">
        <f t="shared" si="3"/>
        <v>0.2118107303</v>
      </c>
      <c r="J4444" s="2">
        <v>1907.0</v>
      </c>
      <c r="K4444" s="3">
        <f t="shared" si="4"/>
        <v>0.1776266766</v>
      </c>
      <c r="L4444" s="2">
        <v>1346.0</v>
      </c>
      <c r="M4444" s="3">
        <f t="shared" si="5"/>
        <v>0.5919085312</v>
      </c>
      <c r="N4444" s="2">
        <v>1.35899E7</v>
      </c>
      <c r="O4444" s="4">
        <f t="shared" si="6"/>
        <v>5976.209323</v>
      </c>
      <c r="P4444" s="2">
        <v>0.0</v>
      </c>
      <c r="Q4444" s="3">
        <f t="shared" si="7"/>
        <v>0</v>
      </c>
      <c r="R4444" s="2">
        <v>1010.0</v>
      </c>
      <c r="S4444" s="5">
        <f t="shared" si="8"/>
        <v>0.9960552268</v>
      </c>
    </row>
    <row r="4445">
      <c r="A4445" s="2" t="s">
        <v>4448</v>
      </c>
      <c r="B4445" s="2">
        <v>1214.0</v>
      </c>
      <c r="C4445" s="2">
        <v>14456.0</v>
      </c>
      <c r="D4445" s="2">
        <v>4796.0</v>
      </c>
      <c r="E4445" s="3">
        <f t="shared" si="1"/>
        <v>0.3621809394</v>
      </c>
      <c r="F4445" s="2">
        <v>1670.0</v>
      </c>
      <c r="G4445" s="3">
        <f t="shared" si="2"/>
        <v>0.1261138801</v>
      </c>
      <c r="H4445" s="2">
        <v>2852.0</v>
      </c>
      <c r="I4445" s="3">
        <f t="shared" si="3"/>
        <v>0.2153753209</v>
      </c>
      <c r="J4445" s="2">
        <v>2195.0</v>
      </c>
      <c r="K4445" s="3">
        <f t="shared" si="4"/>
        <v>0.1657604591</v>
      </c>
      <c r="L4445" s="2">
        <v>1690.0</v>
      </c>
      <c r="M4445" s="3">
        <f t="shared" si="5"/>
        <v>0.5925666199</v>
      </c>
      <c r="N4445" s="2">
        <v>1.57227E7</v>
      </c>
      <c r="O4445" s="4">
        <f t="shared" si="6"/>
        <v>5512.868163</v>
      </c>
      <c r="P4445" s="2">
        <v>1.0</v>
      </c>
      <c r="Q4445" s="3">
        <f t="shared" si="7"/>
        <v>0.000823723229</v>
      </c>
      <c r="R4445" s="2">
        <v>1031.0</v>
      </c>
      <c r="S4445" s="5">
        <f t="shared" si="8"/>
        <v>0.8492586491</v>
      </c>
    </row>
    <row r="4446">
      <c r="A4446" s="2" t="s">
        <v>4449</v>
      </c>
      <c r="B4446" s="2">
        <v>86.0</v>
      </c>
      <c r="C4446" s="2">
        <v>990.0</v>
      </c>
      <c r="D4446" s="2">
        <v>225.0</v>
      </c>
      <c r="E4446" s="3">
        <f t="shared" si="1"/>
        <v>0.2488938053</v>
      </c>
      <c r="F4446" s="2">
        <v>114.0</v>
      </c>
      <c r="G4446" s="3">
        <f t="shared" si="2"/>
        <v>0.1261061947</v>
      </c>
      <c r="H4446" s="2">
        <v>149.0</v>
      </c>
      <c r="I4446" s="3">
        <f t="shared" si="3"/>
        <v>0.1648230088</v>
      </c>
      <c r="J4446" s="2">
        <v>149.0</v>
      </c>
      <c r="K4446" s="3">
        <f t="shared" si="4"/>
        <v>0.1648230088</v>
      </c>
      <c r="L4446" s="2">
        <v>86.0</v>
      </c>
      <c r="M4446" s="3">
        <f t="shared" si="5"/>
        <v>0.5771812081</v>
      </c>
      <c r="N4446" s="2">
        <v>869500.0</v>
      </c>
      <c r="O4446" s="4">
        <f t="shared" si="6"/>
        <v>5835.57047</v>
      </c>
      <c r="P4446" s="2">
        <v>1.0</v>
      </c>
      <c r="Q4446" s="3">
        <f t="shared" si="7"/>
        <v>0.01162790698</v>
      </c>
      <c r="R4446" s="2">
        <v>86.0</v>
      </c>
      <c r="S4446" s="5">
        <f t="shared" si="8"/>
        <v>1</v>
      </c>
    </row>
    <row r="4447">
      <c r="A4447" s="2" t="s">
        <v>4450</v>
      </c>
      <c r="B4447" s="2">
        <v>83.0</v>
      </c>
      <c r="C4447" s="2">
        <v>987.0</v>
      </c>
      <c r="D4447" s="2">
        <v>298.0</v>
      </c>
      <c r="E4447" s="3">
        <f t="shared" si="1"/>
        <v>0.3296460177</v>
      </c>
      <c r="F4447" s="2">
        <v>114.0</v>
      </c>
      <c r="G4447" s="3">
        <f t="shared" si="2"/>
        <v>0.1261061947</v>
      </c>
      <c r="H4447" s="2">
        <v>188.0</v>
      </c>
      <c r="I4447" s="3">
        <f t="shared" si="3"/>
        <v>0.2079646018</v>
      </c>
      <c r="J4447" s="2">
        <v>142.0</v>
      </c>
      <c r="K4447" s="3">
        <f t="shared" si="4"/>
        <v>0.157079646</v>
      </c>
      <c r="L4447" s="2">
        <v>122.0</v>
      </c>
      <c r="M4447" s="3">
        <f t="shared" si="5"/>
        <v>0.6489361702</v>
      </c>
      <c r="N4447" s="2">
        <v>1028300.0</v>
      </c>
      <c r="O4447" s="4">
        <f t="shared" si="6"/>
        <v>5469.680851</v>
      </c>
      <c r="P4447" s="2">
        <v>0.0</v>
      </c>
      <c r="Q4447" s="3">
        <f t="shared" si="7"/>
        <v>0</v>
      </c>
      <c r="R4447" s="2">
        <v>53.0</v>
      </c>
      <c r="S4447" s="5">
        <f t="shared" si="8"/>
        <v>0.6385542169</v>
      </c>
    </row>
    <row r="4448">
      <c r="A4448" s="2" t="s">
        <v>4451</v>
      </c>
      <c r="B4448" s="2">
        <v>204.0</v>
      </c>
      <c r="C4448" s="2">
        <v>2472.0</v>
      </c>
      <c r="D4448" s="2">
        <v>878.0</v>
      </c>
      <c r="E4448" s="3">
        <f t="shared" si="1"/>
        <v>0.3871252205</v>
      </c>
      <c r="F4448" s="2">
        <v>286.0</v>
      </c>
      <c r="G4448" s="3">
        <f t="shared" si="2"/>
        <v>0.1261022928</v>
      </c>
      <c r="H4448" s="2">
        <v>495.0</v>
      </c>
      <c r="I4448" s="3">
        <f t="shared" si="3"/>
        <v>0.2182539683</v>
      </c>
      <c r="J4448" s="2">
        <v>403.0</v>
      </c>
      <c r="K4448" s="3">
        <f t="shared" si="4"/>
        <v>0.1776895944</v>
      </c>
      <c r="L4448" s="2">
        <v>294.0</v>
      </c>
      <c r="M4448" s="3">
        <f t="shared" si="5"/>
        <v>0.5939393939</v>
      </c>
      <c r="N4448" s="2">
        <v>2579500.0</v>
      </c>
      <c r="O4448" s="4">
        <f t="shared" si="6"/>
        <v>5211.111111</v>
      </c>
      <c r="P4448" s="2">
        <v>0.0</v>
      </c>
      <c r="Q4448" s="3">
        <f t="shared" si="7"/>
        <v>0</v>
      </c>
      <c r="R4448" s="2">
        <v>204.0</v>
      </c>
      <c r="S4448" s="5">
        <f t="shared" si="8"/>
        <v>1</v>
      </c>
    </row>
    <row r="4449">
      <c r="A4449" s="2" t="s">
        <v>4452</v>
      </c>
      <c r="B4449" s="2">
        <v>630.0</v>
      </c>
      <c r="C4449" s="2">
        <v>7434.0</v>
      </c>
      <c r="D4449" s="2">
        <v>2443.0</v>
      </c>
      <c r="E4449" s="3">
        <f t="shared" si="1"/>
        <v>0.3590534979</v>
      </c>
      <c r="F4449" s="2">
        <v>858.0</v>
      </c>
      <c r="G4449" s="3">
        <f t="shared" si="2"/>
        <v>0.1261022928</v>
      </c>
      <c r="H4449" s="2">
        <v>1399.0</v>
      </c>
      <c r="I4449" s="3">
        <f t="shared" si="3"/>
        <v>0.2056143445</v>
      </c>
      <c r="J4449" s="2">
        <v>996.0</v>
      </c>
      <c r="K4449" s="3">
        <f t="shared" si="4"/>
        <v>0.1463844797</v>
      </c>
      <c r="L4449" s="2">
        <v>850.0</v>
      </c>
      <c r="M4449" s="3">
        <f t="shared" si="5"/>
        <v>0.6075768406</v>
      </c>
      <c r="N4449" s="2">
        <v>7681700.0</v>
      </c>
      <c r="O4449" s="4">
        <f t="shared" si="6"/>
        <v>5490.850608</v>
      </c>
      <c r="P4449" s="2">
        <v>0.0</v>
      </c>
      <c r="Q4449" s="3">
        <f t="shared" si="7"/>
        <v>0</v>
      </c>
      <c r="R4449" s="2">
        <v>0.0</v>
      </c>
      <c r="S4449" s="5">
        <f t="shared" si="8"/>
        <v>0</v>
      </c>
    </row>
    <row r="4450">
      <c r="A4450" s="2" t="s">
        <v>4453</v>
      </c>
      <c r="B4450" s="2">
        <v>767.0</v>
      </c>
      <c r="C4450" s="2">
        <v>8849.0</v>
      </c>
      <c r="D4450" s="2">
        <v>2379.0</v>
      </c>
      <c r="E4450" s="3">
        <f t="shared" si="1"/>
        <v>0.2943578322</v>
      </c>
      <c r="F4450" s="2">
        <v>1019.0</v>
      </c>
      <c r="G4450" s="3">
        <f t="shared" si="2"/>
        <v>0.1260826528</v>
      </c>
      <c r="H4450" s="2">
        <v>1762.0</v>
      </c>
      <c r="I4450" s="3">
        <f t="shared" si="3"/>
        <v>0.2180153427</v>
      </c>
      <c r="J4450" s="2">
        <v>1457.0</v>
      </c>
      <c r="K4450" s="3">
        <f t="shared" si="4"/>
        <v>0.1802771591</v>
      </c>
      <c r="L4450" s="2">
        <v>1080.0</v>
      </c>
      <c r="M4450" s="3">
        <f t="shared" si="5"/>
        <v>0.6129398411</v>
      </c>
      <c r="N4450" s="2">
        <v>1.01236E7</v>
      </c>
      <c r="O4450" s="4">
        <f t="shared" si="6"/>
        <v>5745.516459</v>
      </c>
      <c r="P4450" s="2">
        <v>1.0</v>
      </c>
      <c r="Q4450" s="3">
        <f t="shared" si="7"/>
        <v>0.001303780965</v>
      </c>
      <c r="R4450" s="2">
        <v>767.0</v>
      </c>
      <c r="S4450" s="5">
        <f t="shared" si="8"/>
        <v>1</v>
      </c>
    </row>
    <row r="4451">
      <c r="A4451" s="2" t="s">
        <v>4454</v>
      </c>
      <c r="B4451" s="2">
        <v>44.0</v>
      </c>
      <c r="C4451" s="2">
        <v>512.0</v>
      </c>
      <c r="D4451" s="2">
        <v>165.0</v>
      </c>
      <c r="E4451" s="3">
        <f t="shared" si="1"/>
        <v>0.3525641026</v>
      </c>
      <c r="F4451" s="2">
        <v>59.0</v>
      </c>
      <c r="G4451" s="3">
        <f t="shared" si="2"/>
        <v>0.1260683761</v>
      </c>
      <c r="H4451" s="2">
        <v>103.0</v>
      </c>
      <c r="I4451" s="3">
        <f t="shared" si="3"/>
        <v>0.2200854701</v>
      </c>
      <c r="J4451" s="2">
        <v>87.0</v>
      </c>
      <c r="K4451" s="3">
        <f t="shared" si="4"/>
        <v>0.1858974359</v>
      </c>
      <c r="L4451" s="2">
        <v>71.0</v>
      </c>
      <c r="M4451" s="3">
        <f t="shared" si="5"/>
        <v>0.6893203883</v>
      </c>
      <c r="N4451" s="2">
        <v>520000.0</v>
      </c>
      <c r="O4451" s="4">
        <f t="shared" si="6"/>
        <v>5048.543689</v>
      </c>
      <c r="P4451" s="2">
        <v>0.0</v>
      </c>
      <c r="Q4451" s="3">
        <f t="shared" si="7"/>
        <v>0</v>
      </c>
      <c r="R4451" s="2">
        <v>44.0</v>
      </c>
      <c r="S4451" s="5">
        <f t="shared" si="8"/>
        <v>1</v>
      </c>
    </row>
    <row r="4452">
      <c r="A4452" s="2" t="s">
        <v>4455</v>
      </c>
      <c r="B4452" s="2">
        <v>784.0</v>
      </c>
      <c r="C4452" s="2">
        <v>9327.0</v>
      </c>
      <c r="D4452" s="2">
        <v>3246.0</v>
      </c>
      <c r="E4452" s="3">
        <f t="shared" si="1"/>
        <v>0.3799602013</v>
      </c>
      <c r="F4452" s="2">
        <v>1077.0</v>
      </c>
      <c r="G4452" s="3">
        <f t="shared" si="2"/>
        <v>0.126068126</v>
      </c>
      <c r="H4452" s="2">
        <v>1671.0</v>
      </c>
      <c r="I4452" s="3">
        <f t="shared" si="3"/>
        <v>0.1955987358</v>
      </c>
      <c r="J4452" s="2">
        <v>1077.0</v>
      </c>
      <c r="K4452" s="3">
        <f t="shared" si="4"/>
        <v>0.126068126</v>
      </c>
      <c r="L4452" s="2">
        <v>1010.0</v>
      </c>
      <c r="M4452" s="3">
        <f t="shared" si="5"/>
        <v>0.6044284859</v>
      </c>
      <c r="N4452" s="2">
        <v>9331100.0</v>
      </c>
      <c r="O4452" s="4">
        <f t="shared" si="6"/>
        <v>5584.141233</v>
      </c>
      <c r="P4452" s="2">
        <v>3.0</v>
      </c>
      <c r="Q4452" s="3">
        <f t="shared" si="7"/>
        <v>0.003826530612</v>
      </c>
      <c r="R4452" s="2">
        <v>137.0</v>
      </c>
      <c r="S4452" s="5">
        <f t="shared" si="8"/>
        <v>0.174744898</v>
      </c>
    </row>
    <row r="4453">
      <c r="A4453" s="2" t="s">
        <v>4456</v>
      </c>
      <c r="B4453" s="2">
        <v>1629.0</v>
      </c>
      <c r="C4453" s="2">
        <v>19033.0</v>
      </c>
      <c r="D4453" s="2">
        <v>5781.0</v>
      </c>
      <c r="E4453" s="3">
        <f t="shared" si="1"/>
        <v>0.3321650195</v>
      </c>
      <c r="F4453" s="2">
        <v>2194.0</v>
      </c>
      <c r="G4453" s="3">
        <f t="shared" si="2"/>
        <v>0.126062974</v>
      </c>
      <c r="H4453" s="2">
        <v>3682.0</v>
      </c>
      <c r="I4453" s="3">
        <f t="shared" si="3"/>
        <v>0.2115605608</v>
      </c>
      <c r="J4453" s="2">
        <v>3299.0</v>
      </c>
      <c r="K4453" s="3">
        <f t="shared" si="4"/>
        <v>0.1895541255</v>
      </c>
      <c r="L4453" s="2">
        <v>2132.0</v>
      </c>
      <c r="M4453" s="3">
        <f t="shared" si="5"/>
        <v>0.5790331342</v>
      </c>
      <c r="N4453" s="2">
        <v>2.06379E7</v>
      </c>
      <c r="O4453" s="4">
        <f t="shared" si="6"/>
        <v>5605.078762</v>
      </c>
      <c r="P4453" s="2">
        <v>1.0</v>
      </c>
      <c r="Q4453" s="3">
        <f t="shared" si="7"/>
        <v>0.0006138735421</v>
      </c>
      <c r="R4453" s="2">
        <v>1629.0</v>
      </c>
      <c r="S4453" s="5">
        <f t="shared" si="8"/>
        <v>1</v>
      </c>
    </row>
    <row r="4454">
      <c r="A4454" s="2" t="s">
        <v>4457</v>
      </c>
      <c r="B4454" s="2">
        <v>211.0</v>
      </c>
      <c r="C4454" s="2">
        <v>2456.0</v>
      </c>
      <c r="D4454" s="2">
        <v>804.0</v>
      </c>
      <c r="E4454" s="3">
        <f t="shared" si="1"/>
        <v>0.3581291759</v>
      </c>
      <c r="F4454" s="2">
        <v>283.0</v>
      </c>
      <c r="G4454" s="3">
        <f t="shared" si="2"/>
        <v>0.1260579065</v>
      </c>
      <c r="H4454" s="2">
        <v>455.0</v>
      </c>
      <c r="I4454" s="3">
        <f t="shared" si="3"/>
        <v>0.2026726058</v>
      </c>
      <c r="J4454" s="2">
        <v>405.0</v>
      </c>
      <c r="K4454" s="3">
        <f t="shared" si="4"/>
        <v>0.1804008909</v>
      </c>
      <c r="L4454" s="2">
        <v>266.0</v>
      </c>
      <c r="M4454" s="3">
        <f t="shared" si="5"/>
        <v>0.5846153846</v>
      </c>
      <c r="N4454" s="2">
        <v>2613700.0</v>
      </c>
      <c r="O4454" s="4">
        <f t="shared" si="6"/>
        <v>5744.395604</v>
      </c>
      <c r="P4454" s="2">
        <v>1.0</v>
      </c>
      <c r="Q4454" s="3">
        <f t="shared" si="7"/>
        <v>0.004739336493</v>
      </c>
      <c r="R4454" s="2">
        <v>211.0</v>
      </c>
      <c r="S4454" s="5">
        <f t="shared" si="8"/>
        <v>1</v>
      </c>
    </row>
    <row r="4455">
      <c r="A4455" s="2" t="s">
        <v>4458</v>
      </c>
      <c r="B4455" s="2">
        <v>32.0</v>
      </c>
      <c r="C4455" s="2">
        <v>389.0</v>
      </c>
      <c r="D4455" s="2">
        <v>101.0</v>
      </c>
      <c r="E4455" s="3">
        <f t="shared" si="1"/>
        <v>0.2829131653</v>
      </c>
      <c r="F4455" s="2">
        <v>45.0</v>
      </c>
      <c r="G4455" s="3">
        <f t="shared" si="2"/>
        <v>0.1260504202</v>
      </c>
      <c r="H4455" s="2">
        <v>59.0</v>
      </c>
      <c r="I4455" s="3">
        <f t="shared" si="3"/>
        <v>0.1652661064</v>
      </c>
      <c r="J4455" s="2">
        <v>53.0</v>
      </c>
      <c r="K4455" s="3">
        <f t="shared" si="4"/>
        <v>0.1484593838</v>
      </c>
      <c r="L4455" s="2">
        <v>38.0</v>
      </c>
      <c r="M4455" s="3">
        <f t="shared" si="5"/>
        <v>0.6440677966</v>
      </c>
      <c r="N4455" s="2">
        <v>271600.0</v>
      </c>
      <c r="O4455" s="4">
        <f t="shared" si="6"/>
        <v>4603.389831</v>
      </c>
      <c r="P4455" s="2">
        <v>0.0</v>
      </c>
      <c r="Q4455" s="3">
        <f t="shared" si="7"/>
        <v>0</v>
      </c>
      <c r="R4455" s="2">
        <v>32.0</v>
      </c>
      <c r="S4455" s="5">
        <f t="shared" si="8"/>
        <v>1</v>
      </c>
    </row>
    <row r="4456">
      <c r="A4456" s="2" t="s">
        <v>4459</v>
      </c>
      <c r="B4456" s="2">
        <v>111.0</v>
      </c>
      <c r="C4456" s="2">
        <v>1301.0</v>
      </c>
      <c r="D4456" s="2">
        <v>421.0</v>
      </c>
      <c r="E4456" s="3">
        <f t="shared" si="1"/>
        <v>0.3537815126</v>
      </c>
      <c r="F4456" s="2">
        <v>150.0</v>
      </c>
      <c r="G4456" s="3">
        <f t="shared" si="2"/>
        <v>0.1260504202</v>
      </c>
      <c r="H4456" s="2">
        <v>259.0</v>
      </c>
      <c r="I4456" s="3">
        <f t="shared" si="3"/>
        <v>0.2176470588</v>
      </c>
      <c r="J4456" s="2">
        <v>175.0</v>
      </c>
      <c r="K4456" s="3">
        <f t="shared" si="4"/>
        <v>0.1470588235</v>
      </c>
      <c r="L4456" s="2">
        <v>157.0</v>
      </c>
      <c r="M4456" s="3">
        <f t="shared" si="5"/>
        <v>0.6061776062</v>
      </c>
      <c r="N4456" s="2">
        <v>1248300.0</v>
      </c>
      <c r="O4456" s="4">
        <f t="shared" si="6"/>
        <v>4819.69112</v>
      </c>
      <c r="P4456" s="2">
        <v>0.0</v>
      </c>
      <c r="Q4456" s="3">
        <f t="shared" si="7"/>
        <v>0</v>
      </c>
      <c r="R4456" s="2">
        <v>106.0</v>
      </c>
      <c r="S4456" s="5">
        <f t="shared" si="8"/>
        <v>0.954954955</v>
      </c>
    </row>
    <row r="4457">
      <c r="A4457" s="2" t="s">
        <v>4460</v>
      </c>
      <c r="B4457" s="2">
        <v>596.0</v>
      </c>
      <c r="C4457" s="2">
        <v>7030.0</v>
      </c>
      <c r="D4457" s="2">
        <v>2730.0</v>
      </c>
      <c r="E4457" s="3">
        <f t="shared" si="1"/>
        <v>0.4243083618</v>
      </c>
      <c r="F4457" s="2">
        <v>811.0</v>
      </c>
      <c r="G4457" s="3">
        <f t="shared" si="2"/>
        <v>0.1260491141</v>
      </c>
      <c r="H4457" s="2">
        <v>1387.0</v>
      </c>
      <c r="I4457" s="3">
        <f t="shared" si="3"/>
        <v>0.2155735157</v>
      </c>
      <c r="J4457" s="2">
        <v>952.0</v>
      </c>
      <c r="K4457" s="3">
        <f t="shared" si="4"/>
        <v>0.1479639416</v>
      </c>
      <c r="L4457" s="2">
        <v>843.0</v>
      </c>
      <c r="M4457" s="3">
        <f t="shared" si="5"/>
        <v>0.6077865898</v>
      </c>
      <c r="N4457" s="2">
        <v>7458300.0</v>
      </c>
      <c r="O4457" s="4">
        <f t="shared" si="6"/>
        <v>5377.289113</v>
      </c>
      <c r="P4457" s="2">
        <v>1.0</v>
      </c>
      <c r="Q4457" s="3">
        <f t="shared" si="7"/>
        <v>0.001677852349</v>
      </c>
      <c r="R4457" s="2">
        <v>596.0</v>
      </c>
      <c r="S4457" s="5">
        <f t="shared" si="8"/>
        <v>1</v>
      </c>
    </row>
    <row r="4458">
      <c r="A4458" s="2" t="s">
        <v>4461</v>
      </c>
      <c r="B4458" s="2">
        <v>612.0</v>
      </c>
      <c r="C4458" s="2">
        <v>7189.0</v>
      </c>
      <c r="D4458" s="2">
        <v>2356.0</v>
      </c>
      <c r="E4458" s="3">
        <f t="shared" si="1"/>
        <v>0.3582180325</v>
      </c>
      <c r="F4458" s="2">
        <v>829.0</v>
      </c>
      <c r="G4458" s="3">
        <f t="shared" si="2"/>
        <v>0.1260453094</v>
      </c>
      <c r="H4458" s="2">
        <v>1432.0</v>
      </c>
      <c r="I4458" s="3">
        <f t="shared" si="3"/>
        <v>0.2177284476</v>
      </c>
      <c r="J4458" s="2">
        <v>1051.0</v>
      </c>
      <c r="K4458" s="3">
        <f t="shared" si="4"/>
        <v>0.1597993006</v>
      </c>
      <c r="L4458" s="2">
        <v>910.0</v>
      </c>
      <c r="M4458" s="3">
        <f t="shared" si="5"/>
        <v>0.6354748603</v>
      </c>
      <c r="N4458" s="2">
        <v>7764400.0</v>
      </c>
      <c r="O4458" s="4">
        <f t="shared" si="6"/>
        <v>5422.067039</v>
      </c>
      <c r="P4458" s="2">
        <v>1.0</v>
      </c>
      <c r="Q4458" s="3">
        <f t="shared" si="7"/>
        <v>0.001633986928</v>
      </c>
      <c r="R4458" s="2">
        <v>612.0</v>
      </c>
      <c r="S4458" s="5">
        <f t="shared" si="8"/>
        <v>1</v>
      </c>
    </row>
    <row r="4459">
      <c r="A4459" s="2" t="s">
        <v>4462</v>
      </c>
      <c r="B4459" s="2">
        <v>530.0</v>
      </c>
      <c r="C4459" s="2">
        <v>6163.0</v>
      </c>
      <c r="D4459" s="2">
        <v>1903.0</v>
      </c>
      <c r="E4459" s="3">
        <f t="shared" si="1"/>
        <v>0.3378306409</v>
      </c>
      <c r="F4459" s="2">
        <v>710.0</v>
      </c>
      <c r="G4459" s="3">
        <f t="shared" si="2"/>
        <v>0.1260429611</v>
      </c>
      <c r="H4459" s="2">
        <v>1163.0</v>
      </c>
      <c r="I4459" s="3">
        <f t="shared" si="3"/>
        <v>0.2064619208</v>
      </c>
      <c r="J4459" s="2">
        <v>941.0</v>
      </c>
      <c r="K4459" s="3">
        <f t="shared" si="4"/>
        <v>0.1670513048</v>
      </c>
      <c r="L4459" s="2">
        <v>683.0</v>
      </c>
      <c r="M4459" s="3">
        <f t="shared" si="5"/>
        <v>0.5872742906</v>
      </c>
      <c r="N4459" s="2">
        <v>6940700.0</v>
      </c>
      <c r="O4459" s="4">
        <f t="shared" si="6"/>
        <v>5967.927773</v>
      </c>
      <c r="P4459" s="2">
        <v>1.0</v>
      </c>
      <c r="Q4459" s="3">
        <f t="shared" si="7"/>
        <v>0.001886792453</v>
      </c>
      <c r="R4459" s="2">
        <v>530.0</v>
      </c>
      <c r="S4459" s="5">
        <f t="shared" si="8"/>
        <v>1</v>
      </c>
    </row>
    <row r="4460">
      <c r="A4460" s="2" t="s">
        <v>4463</v>
      </c>
      <c r="B4460" s="2">
        <v>125.0</v>
      </c>
      <c r="C4460" s="2">
        <v>1458.0</v>
      </c>
      <c r="D4460" s="2">
        <v>412.0</v>
      </c>
      <c r="E4460" s="3">
        <f t="shared" si="1"/>
        <v>0.3090772693</v>
      </c>
      <c r="F4460" s="2">
        <v>168.0</v>
      </c>
      <c r="G4460" s="3">
        <f t="shared" si="2"/>
        <v>0.1260315079</v>
      </c>
      <c r="H4460" s="2">
        <v>293.0</v>
      </c>
      <c r="I4460" s="3">
        <f t="shared" si="3"/>
        <v>0.2198049512</v>
      </c>
      <c r="J4460" s="2">
        <v>260.0</v>
      </c>
      <c r="K4460" s="3">
        <f t="shared" si="4"/>
        <v>0.1950487622</v>
      </c>
      <c r="L4460" s="2">
        <v>158.0</v>
      </c>
      <c r="M4460" s="3">
        <f t="shared" si="5"/>
        <v>0.5392491468</v>
      </c>
      <c r="N4460" s="2">
        <v>1707400.0</v>
      </c>
      <c r="O4460" s="4">
        <f t="shared" si="6"/>
        <v>5827.303754</v>
      </c>
      <c r="P4460" s="2">
        <v>0.0</v>
      </c>
      <c r="Q4460" s="3">
        <f t="shared" si="7"/>
        <v>0</v>
      </c>
      <c r="R4460" s="2">
        <v>125.0</v>
      </c>
      <c r="S4460" s="5">
        <f t="shared" si="8"/>
        <v>1</v>
      </c>
    </row>
    <row r="4461">
      <c r="A4461" s="2" t="s">
        <v>4464</v>
      </c>
      <c r="B4461" s="2">
        <v>555.0</v>
      </c>
      <c r="C4461" s="2">
        <v>6435.0</v>
      </c>
      <c r="D4461" s="2">
        <v>2261.0</v>
      </c>
      <c r="E4461" s="3">
        <f t="shared" si="1"/>
        <v>0.3845238095</v>
      </c>
      <c r="F4461" s="2">
        <v>741.0</v>
      </c>
      <c r="G4461" s="3">
        <f t="shared" si="2"/>
        <v>0.1260204082</v>
      </c>
      <c r="H4461" s="2">
        <v>1297.0</v>
      </c>
      <c r="I4461" s="3">
        <f t="shared" si="3"/>
        <v>0.2205782313</v>
      </c>
      <c r="J4461" s="2">
        <v>986.0</v>
      </c>
      <c r="K4461" s="3">
        <f t="shared" si="4"/>
        <v>0.1676870748</v>
      </c>
      <c r="L4461" s="2">
        <v>794.0</v>
      </c>
      <c r="M4461" s="3">
        <f t="shared" si="5"/>
        <v>0.6121819584</v>
      </c>
      <c r="N4461" s="2">
        <v>7243200.0</v>
      </c>
      <c r="O4461" s="4">
        <f t="shared" si="6"/>
        <v>5584.5798</v>
      </c>
      <c r="P4461" s="2">
        <v>1.0</v>
      </c>
      <c r="Q4461" s="3">
        <f t="shared" si="7"/>
        <v>0.001801801802</v>
      </c>
      <c r="R4461" s="2">
        <v>555.0</v>
      </c>
      <c r="S4461" s="5">
        <f t="shared" si="8"/>
        <v>1</v>
      </c>
    </row>
    <row r="4462">
      <c r="A4462" s="2" t="s">
        <v>4465</v>
      </c>
      <c r="B4462" s="2">
        <v>155.0</v>
      </c>
      <c r="C4462" s="2">
        <v>1758.0</v>
      </c>
      <c r="D4462" s="2">
        <v>571.0</v>
      </c>
      <c r="E4462" s="3">
        <f t="shared" si="1"/>
        <v>0.3562071117</v>
      </c>
      <c r="F4462" s="2">
        <v>202.0</v>
      </c>
      <c r="G4462" s="3">
        <f t="shared" si="2"/>
        <v>0.1260137243</v>
      </c>
      <c r="H4462" s="2">
        <v>340.0</v>
      </c>
      <c r="I4462" s="3">
        <f t="shared" si="3"/>
        <v>0.2121023082</v>
      </c>
      <c r="J4462" s="2">
        <v>223.0</v>
      </c>
      <c r="K4462" s="3">
        <f t="shared" si="4"/>
        <v>0.1391141609</v>
      </c>
      <c r="L4462" s="2">
        <v>204.0</v>
      </c>
      <c r="M4462" s="3">
        <f t="shared" si="5"/>
        <v>0.6</v>
      </c>
      <c r="N4462" s="2">
        <v>1887400.0</v>
      </c>
      <c r="O4462" s="4">
        <f t="shared" si="6"/>
        <v>5551.176471</v>
      </c>
      <c r="P4462" s="2">
        <v>0.0</v>
      </c>
      <c r="Q4462" s="3">
        <f t="shared" si="7"/>
        <v>0</v>
      </c>
      <c r="R4462" s="2">
        <v>155.0</v>
      </c>
      <c r="S4462" s="5">
        <f t="shared" si="8"/>
        <v>1</v>
      </c>
    </row>
    <row r="4463">
      <c r="A4463" s="2" t="s">
        <v>4466</v>
      </c>
      <c r="B4463" s="2">
        <v>445.0</v>
      </c>
      <c r="C4463" s="2">
        <v>5302.0</v>
      </c>
      <c r="D4463" s="2">
        <v>1652.0</v>
      </c>
      <c r="E4463" s="3">
        <f t="shared" si="1"/>
        <v>0.3401276508</v>
      </c>
      <c r="F4463" s="2">
        <v>612.0</v>
      </c>
      <c r="G4463" s="3">
        <f t="shared" si="2"/>
        <v>0.126003706</v>
      </c>
      <c r="H4463" s="2">
        <v>982.0</v>
      </c>
      <c r="I4463" s="3">
        <f t="shared" si="3"/>
        <v>0.2021824171</v>
      </c>
      <c r="J4463" s="2">
        <v>892.0</v>
      </c>
      <c r="K4463" s="3">
        <f t="shared" si="4"/>
        <v>0.1836524604</v>
      </c>
      <c r="L4463" s="2">
        <v>599.0</v>
      </c>
      <c r="M4463" s="3">
        <f t="shared" si="5"/>
        <v>0.6099796334</v>
      </c>
      <c r="N4463" s="2">
        <v>5493400.0</v>
      </c>
      <c r="O4463" s="4">
        <f t="shared" si="6"/>
        <v>5594.093686</v>
      </c>
      <c r="P4463" s="2">
        <v>1.0</v>
      </c>
      <c r="Q4463" s="3">
        <f t="shared" si="7"/>
        <v>0.002247191011</v>
      </c>
      <c r="R4463" s="2">
        <v>445.0</v>
      </c>
      <c r="S4463" s="5">
        <f t="shared" si="8"/>
        <v>1</v>
      </c>
    </row>
    <row r="4464">
      <c r="A4464" s="2" t="s">
        <v>4467</v>
      </c>
      <c r="B4464" s="2">
        <v>472.0</v>
      </c>
      <c r="C4464" s="2">
        <v>5472.0</v>
      </c>
      <c r="D4464" s="2">
        <v>1446.0</v>
      </c>
      <c r="E4464" s="3">
        <f t="shared" si="1"/>
        <v>0.2892</v>
      </c>
      <c r="F4464" s="2">
        <v>630.0</v>
      </c>
      <c r="G4464" s="3">
        <f t="shared" si="2"/>
        <v>0.126</v>
      </c>
      <c r="H4464" s="2">
        <v>973.0</v>
      </c>
      <c r="I4464" s="3">
        <f t="shared" si="3"/>
        <v>0.1946</v>
      </c>
      <c r="J4464" s="2">
        <v>814.0</v>
      </c>
      <c r="K4464" s="3">
        <f t="shared" si="4"/>
        <v>0.1628</v>
      </c>
      <c r="L4464" s="2">
        <v>591.0</v>
      </c>
      <c r="M4464" s="3">
        <f t="shared" si="5"/>
        <v>0.6073997945</v>
      </c>
      <c r="N4464" s="2">
        <v>5554700.0</v>
      </c>
      <c r="O4464" s="4">
        <f t="shared" si="6"/>
        <v>5708.838643</v>
      </c>
      <c r="P4464" s="2">
        <v>0.0</v>
      </c>
      <c r="Q4464" s="3">
        <f t="shared" si="7"/>
        <v>0</v>
      </c>
      <c r="R4464" s="2">
        <v>0.0</v>
      </c>
      <c r="S4464" s="5">
        <f t="shared" si="8"/>
        <v>0</v>
      </c>
    </row>
    <row r="4465">
      <c r="A4465" s="2" t="s">
        <v>4468</v>
      </c>
      <c r="B4465" s="2">
        <v>3569.0</v>
      </c>
      <c r="C4465" s="2">
        <v>41936.0</v>
      </c>
      <c r="D4465" s="2">
        <v>14378.0</v>
      </c>
      <c r="E4465" s="3">
        <f t="shared" si="1"/>
        <v>0.3747491334</v>
      </c>
      <c r="F4465" s="2">
        <v>4834.0</v>
      </c>
      <c r="G4465" s="3">
        <f t="shared" si="2"/>
        <v>0.1259936925</v>
      </c>
      <c r="H4465" s="2">
        <v>7921.0</v>
      </c>
      <c r="I4465" s="3">
        <f t="shared" si="3"/>
        <v>0.2064534626</v>
      </c>
      <c r="J4465" s="2">
        <v>6220.0</v>
      </c>
      <c r="K4465" s="3">
        <f t="shared" si="4"/>
        <v>0.1621184872</v>
      </c>
      <c r="L4465" s="2">
        <v>4801.0</v>
      </c>
      <c r="M4465" s="3">
        <f t="shared" si="5"/>
        <v>0.6061103396</v>
      </c>
      <c r="N4465" s="2">
        <v>4.49196E7</v>
      </c>
      <c r="O4465" s="4">
        <f t="shared" si="6"/>
        <v>5670.950638</v>
      </c>
      <c r="P4465" s="2">
        <v>8.0</v>
      </c>
      <c r="Q4465" s="3">
        <f t="shared" si="7"/>
        <v>0.002241524236</v>
      </c>
      <c r="R4465" s="2">
        <v>3569.0</v>
      </c>
      <c r="S4465" s="5">
        <f t="shared" si="8"/>
        <v>1</v>
      </c>
    </row>
    <row r="4466">
      <c r="A4466" s="2" t="s">
        <v>4469</v>
      </c>
      <c r="B4466" s="2">
        <v>240.0</v>
      </c>
      <c r="C4466" s="2">
        <v>2764.0</v>
      </c>
      <c r="D4466" s="2">
        <v>882.0</v>
      </c>
      <c r="E4466" s="3">
        <f t="shared" si="1"/>
        <v>0.3494453249</v>
      </c>
      <c r="F4466" s="2">
        <v>318.0</v>
      </c>
      <c r="G4466" s="3">
        <f t="shared" si="2"/>
        <v>0.1259904913</v>
      </c>
      <c r="H4466" s="2">
        <v>555.0</v>
      </c>
      <c r="I4466" s="3">
        <f t="shared" si="3"/>
        <v>0.219889065</v>
      </c>
      <c r="J4466" s="2">
        <v>463.0</v>
      </c>
      <c r="K4466" s="3">
        <f t="shared" si="4"/>
        <v>0.1834389857</v>
      </c>
      <c r="L4466" s="2">
        <v>337.0</v>
      </c>
      <c r="M4466" s="3">
        <f t="shared" si="5"/>
        <v>0.6072072072</v>
      </c>
      <c r="N4466" s="2">
        <v>3144300.0</v>
      </c>
      <c r="O4466" s="4">
        <f t="shared" si="6"/>
        <v>5665.405405</v>
      </c>
      <c r="P4466" s="2">
        <v>1.0</v>
      </c>
      <c r="Q4466" s="3">
        <f t="shared" si="7"/>
        <v>0.004166666667</v>
      </c>
      <c r="R4466" s="2">
        <v>240.0</v>
      </c>
      <c r="S4466" s="5">
        <f t="shared" si="8"/>
        <v>1</v>
      </c>
    </row>
    <row r="4467">
      <c r="A4467" s="2" t="s">
        <v>4470</v>
      </c>
      <c r="B4467" s="2">
        <v>220.0</v>
      </c>
      <c r="C4467" s="2">
        <v>2633.0</v>
      </c>
      <c r="D4467" s="2">
        <v>782.0</v>
      </c>
      <c r="E4467" s="3">
        <f t="shared" si="1"/>
        <v>0.3240779113</v>
      </c>
      <c r="F4467" s="2">
        <v>304.0</v>
      </c>
      <c r="G4467" s="3">
        <f t="shared" si="2"/>
        <v>0.125984252</v>
      </c>
      <c r="H4467" s="2">
        <v>532.0</v>
      </c>
      <c r="I4467" s="3">
        <f t="shared" si="3"/>
        <v>0.2204724409</v>
      </c>
      <c r="J4467" s="2">
        <v>469.0</v>
      </c>
      <c r="K4467" s="3">
        <f t="shared" si="4"/>
        <v>0.1943638624</v>
      </c>
      <c r="L4467" s="2">
        <v>328.0</v>
      </c>
      <c r="M4467" s="3">
        <f t="shared" si="5"/>
        <v>0.6165413534</v>
      </c>
      <c r="N4467" s="2">
        <v>3029400.0</v>
      </c>
      <c r="O4467" s="4">
        <f t="shared" si="6"/>
        <v>5694.360902</v>
      </c>
      <c r="P4467" s="2">
        <v>1.0</v>
      </c>
      <c r="Q4467" s="3">
        <f t="shared" si="7"/>
        <v>0.004545454545</v>
      </c>
      <c r="R4467" s="2">
        <v>127.0</v>
      </c>
      <c r="S4467" s="5">
        <f t="shared" si="8"/>
        <v>0.5772727273</v>
      </c>
    </row>
    <row r="4468">
      <c r="A4468" s="2" t="s">
        <v>4471</v>
      </c>
      <c r="B4468" s="2">
        <v>777.0</v>
      </c>
      <c r="C4468" s="2">
        <v>9096.0</v>
      </c>
      <c r="D4468" s="2">
        <v>2419.0</v>
      </c>
      <c r="E4468" s="3">
        <f t="shared" si="1"/>
        <v>0.2907801418</v>
      </c>
      <c r="F4468" s="2">
        <v>1048.0</v>
      </c>
      <c r="G4468" s="3">
        <f t="shared" si="2"/>
        <v>0.1259766799</v>
      </c>
      <c r="H4468" s="2">
        <v>1640.0</v>
      </c>
      <c r="I4468" s="3">
        <f t="shared" si="3"/>
        <v>0.1971390792</v>
      </c>
      <c r="J4468" s="2">
        <v>1423.0</v>
      </c>
      <c r="K4468" s="3">
        <f t="shared" si="4"/>
        <v>0.1710542132</v>
      </c>
      <c r="L4468" s="2">
        <v>992.0</v>
      </c>
      <c r="M4468" s="3">
        <f t="shared" si="5"/>
        <v>0.6048780488</v>
      </c>
      <c r="N4468" s="2">
        <v>9637800.0</v>
      </c>
      <c r="O4468" s="4">
        <f t="shared" si="6"/>
        <v>5876.707317</v>
      </c>
      <c r="P4468" s="2">
        <v>3.0</v>
      </c>
      <c r="Q4468" s="3">
        <f t="shared" si="7"/>
        <v>0.003861003861</v>
      </c>
      <c r="R4468" s="2">
        <v>772.0</v>
      </c>
      <c r="S4468" s="5">
        <f t="shared" si="8"/>
        <v>0.9935649936</v>
      </c>
    </row>
    <row r="4469">
      <c r="A4469" s="2" t="s">
        <v>4472</v>
      </c>
      <c r="B4469" s="2">
        <v>49.0</v>
      </c>
      <c r="C4469" s="2">
        <v>565.0</v>
      </c>
      <c r="D4469" s="2">
        <v>136.0</v>
      </c>
      <c r="E4469" s="3">
        <f t="shared" si="1"/>
        <v>0.2635658915</v>
      </c>
      <c r="F4469" s="2">
        <v>65.0</v>
      </c>
      <c r="G4469" s="3">
        <f t="shared" si="2"/>
        <v>0.1259689922</v>
      </c>
      <c r="H4469" s="2">
        <v>97.0</v>
      </c>
      <c r="I4469" s="3">
        <f t="shared" si="3"/>
        <v>0.1879844961</v>
      </c>
      <c r="J4469" s="2">
        <v>95.0</v>
      </c>
      <c r="K4469" s="3">
        <f t="shared" si="4"/>
        <v>0.1841085271</v>
      </c>
      <c r="L4469" s="2">
        <v>53.0</v>
      </c>
      <c r="M4469" s="3">
        <f t="shared" si="5"/>
        <v>0.5463917526</v>
      </c>
      <c r="N4469" s="2">
        <v>571400.0</v>
      </c>
      <c r="O4469" s="4">
        <f t="shared" si="6"/>
        <v>5890.721649</v>
      </c>
      <c r="P4469" s="2">
        <v>0.0</v>
      </c>
      <c r="Q4469" s="3">
        <f t="shared" si="7"/>
        <v>0</v>
      </c>
      <c r="R4469" s="2">
        <v>3.0</v>
      </c>
      <c r="S4469" s="5">
        <f t="shared" si="8"/>
        <v>0.0612244898</v>
      </c>
    </row>
    <row r="4470">
      <c r="A4470" s="2" t="s">
        <v>4473</v>
      </c>
      <c r="B4470" s="2">
        <v>140.0</v>
      </c>
      <c r="C4470" s="2">
        <v>1688.0</v>
      </c>
      <c r="D4470" s="2">
        <v>543.0</v>
      </c>
      <c r="E4470" s="3">
        <f t="shared" si="1"/>
        <v>0.3507751938</v>
      </c>
      <c r="F4470" s="2">
        <v>195.0</v>
      </c>
      <c r="G4470" s="3">
        <f t="shared" si="2"/>
        <v>0.1259689922</v>
      </c>
      <c r="H4470" s="2">
        <v>311.0</v>
      </c>
      <c r="I4470" s="3">
        <f t="shared" si="3"/>
        <v>0.2009043928</v>
      </c>
      <c r="J4470" s="2">
        <v>236.0</v>
      </c>
      <c r="K4470" s="3">
        <f t="shared" si="4"/>
        <v>0.1524547804</v>
      </c>
      <c r="L4470" s="2">
        <v>194.0</v>
      </c>
      <c r="M4470" s="3">
        <f t="shared" si="5"/>
        <v>0.6237942122</v>
      </c>
      <c r="N4470" s="2">
        <v>1755300.0</v>
      </c>
      <c r="O4470" s="4">
        <f t="shared" si="6"/>
        <v>5644.051447</v>
      </c>
      <c r="P4470" s="2">
        <v>0.0</v>
      </c>
      <c r="Q4470" s="3">
        <f t="shared" si="7"/>
        <v>0</v>
      </c>
      <c r="R4470" s="2">
        <v>0.0</v>
      </c>
      <c r="S4470" s="5">
        <f t="shared" si="8"/>
        <v>0</v>
      </c>
    </row>
    <row r="4471">
      <c r="A4471" s="2" t="s">
        <v>4474</v>
      </c>
      <c r="B4471" s="2">
        <v>731.0</v>
      </c>
      <c r="C4471" s="2">
        <v>8639.0</v>
      </c>
      <c r="D4471" s="2">
        <v>3381.0</v>
      </c>
      <c r="E4471" s="3">
        <f t="shared" si="1"/>
        <v>0.4275417299</v>
      </c>
      <c r="F4471" s="2">
        <v>996.0</v>
      </c>
      <c r="G4471" s="3">
        <f t="shared" si="2"/>
        <v>0.1259484067</v>
      </c>
      <c r="H4471" s="2">
        <v>1679.0</v>
      </c>
      <c r="I4471" s="3">
        <f t="shared" si="3"/>
        <v>0.2123166414</v>
      </c>
      <c r="J4471" s="2">
        <v>1281.0</v>
      </c>
      <c r="K4471" s="3">
        <f t="shared" si="4"/>
        <v>0.1619878604</v>
      </c>
      <c r="L4471" s="2">
        <v>1017.0</v>
      </c>
      <c r="M4471" s="3">
        <f t="shared" si="5"/>
        <v>0.6057176891</v>
      </c>
      <c r="N4471" s="2">
        <v>9174600.0</v>
      </c>
      <c r="O4471" s="4">
        <f t="shared" si="6"/>
        <v>5464.324002</v>
      </c>
      <c r="P4471" s="2">
        <v>1.0</v>
      </c>
      <c r="Q4471" s="3">
        <f t="shared" si="7"/>
        <v>0.001367989056</v>
      </c>
      <c r="R4471" s="2">
        <v>731.0</v>
      </c>
      <c r="S4471" s="5">
        <f t="shared" si="8"/>
        <v>1</v>
      </c>
    </row>
    <row r="4472">
      <c r="A4472" s="2" t="s">
        <v>4475</v>
      </c>
      <c r="B4472" s="2">
        <v>160.0</v>
      </c>
      <c r="C4472" s="2">
        <v>1875.0</v>
      </c>
      <c r="D4472" s="2">
        <v>446.0</v>
      </c>
      <c r="E4472" s="3">
        <f t="shared" si="1"/>
        <v>0.260058309</v>
      </c>
      <c r="F4472" s="2">
        <v>216.0</v>
      </c>
      <c r="G4472" s="3">
        <f t="shared" si="2"/>
        <v>0.1259475219</v>
      </c>
      <c r="H4472" s="2">
        <v>329.0</v>
      </c>
      <c r="I4472" s="3">
        <f t="shared" si="3"/>
        <v>0.1918367347</v>
      </c>
      <c r="J4472" s="2">
        <v>280.0</v>
      </c>
      <c r="K4472" s="3">
        <f t="shared" si="4"/>
        <v>0.1632653061</v>
      </c>
      <c r="L4472" s="2">
        <v>209.0</v>
      </c>
      <c r="M4472" s="3">
        <f t="shared" si="5"/>
        <v>0.6352583587</v>
      </c>
      <c r="N4472" s="2">
        <v>1835300.0</v>
      </c>
      <c r="O4472" s="4">
        <f t="shared" si="6"/>
        <v>5578.419453</v>
      </c>
      <c r="P4472" s="2">
        <v>0.0</v>
      </c>
      <c r="Q4472" s="3">
        <f t="shared" si="7"/>
        <v>0</v>
      </c>
      <c r="R4472" s="2">
        <v>160.0</v>
      </c>
      <c r="S4472" s="5">
        <f t="shared" si="8"/>
        <v>1</v>
      </c>
    </row>
    <row r="4473">
      <c r="A4473" s="2" t="s">
        <v>4476</v>
      </c>
      <c r="B4473" s="2">
        <v>122.0</v>
      </c>
      <c r="C4473" s="2">
        <v>1448.0</v>
      </c>
      <c r="D4473" s="2">
        <v>528.0</v>
      </c>
      <c r="E4473" s="3">
        <f t="shared" si="1"/>
        <v>0.3981900452</v>
      </c>
      <c r="F4473" s="2">
        <v>167.0</v>
      </c>
      <c r="G4473" s="3">
        <f t="shared" si="2"/>
        <v>0.1259426848</v>
      </c>
      <c r="H4473" s="2">
        <v>285.0</v>
      </c>
      <c r="I4473" s="3">
        <f t="shared" si="3"/>
        <v>0.2149321267</v>
      </c>
      <c r="J4473" s="2">
        <v>251.0</v>
      </c>
      <c r="K4473" s="3">
        <f t="shared" si="4"/>
        <v>0.1892911011</v>
      </c>
      <c r="L4473" s="2">
        <v>160.0</v>
      </c>
      <c r="M4473" s="3">
        <f t="shared" si="5"/>
        <v>0.5614035088</v>
      </c>
      <c r="N4473" s="2">
        <v>1659500.0</v>
      </c>
      <c r="O4473" s="4">
        <f t="shared" si="6"/>
        <v>5822.807018</v>
      </c>
      <c r="P4473" s="2">
        <v>0.0</v>
      </c>
      <c r="Q4473" s="3">
        <f t="shared" si="7"/>
        <v>0</v>
      </c>
      <c r="R4473" s="2">
        <v>0.0</v>
      </c>
      <c r="S4473" s="5">
        <f t="shared" si="8"/>
        <v>0</v>
      </c>
    </row>
    <row r="4474">
      <c r="A4474" s="2" t="s">
        <v>4477</v>
      </c>
      <c r="B4474" s="2">
        <v>3182.0</v>
      </c>
      <c r="C4474" s="2">
        <v>37255.0</v>
      </c>
      <c r="D4474" s="2">
        <v>10728.0</v>
      </c>
      <c r="E4474" s="3">
        <f t="shared" si="1"/>
        <v>0.314853403</v>
      </c>
      <c r="F4474" s="2">
        <v>4291.0</v>
      </c>
      <c r="G4474" s="3">
        <f t="shared" si="2"/>
        <v>0.1259354914</v>
      </c>
      <c r="H4474" s="2">
        <v>7279.0</v>
      </c>
      <c r="I4474" s="3">
        <f t="shared" si="3"/>
        <v>0.2136295601</v>
      </c>
      <c r="J4474" s="2">
        <v>6686.0</v>
      </c>
      <c r="K4474" s="3">
        <f t="shared" si="4"/>
        <v>0.1962257506</v>
      </c>
      <c r="L4474" s="2">
        <v>4317.0</v>
      </c>
      <c r="M4474" s="3">
        <f t="shared" si="5"/>
        <v>0.593075972</v>
      </c>
      <c r="N4474" s="2">
        <v>4.22579E7</v>
      </c>
      <c r="O4474" s="4">
        <f t="shared" si="6"/>
        <v>5805.454046</v>
      </c>
      <c r="P4474" s="2">
        <v>3.0</v>
      </c>
      <c r="Q4474" s="3">
        <f t="shared" si="7"/>
        <v>0.0009428032684</v>
      </c>
      <c r="R4474" s="2">
        <v>2624.0</v>
      </c>
      <c r="S4474" s="5">
        <f t="shared" si="8"/>
        <v>0.8246385921</v>
      </c>
    </row>
    <row r="4475">
      <c r="A4475" s="2" t="s">
        <v>4478</v>
      </c>
      <c r="B4475" s="2">
        <v>691.0</v>
      </c>
      <c r="C4475" s="2">
        <v>8068.0</v>
      </c>
      <c r="D4475" s="2">
        <v>2373.0</v>
      </c>
      <c r="E4475" s="3">
        <f t="shared" si="1"/>
        <v>0.3216754778</v>
      </c>
      <c r="F4475" s="2">
        <v>929.0</v>
      </c>
      <c r="G4475" s="3">
        <f t="shared" si="2"/>
        <v>0.1259319507</v>
      </c>
      <c r="H4475" s="2">
        <v>1563.0</v>
      </c>
      <c r="I4475" s="3">
        <f t="shared" si="3"/>
        <v>0.2118747458</v>
      </c>
      <c r="J4475" s="2">
        <v>1437.0</v>
      </c>
      <c r="K4475" s="3">
        <f t="shared" si="4"/>
        <v>0.194794632</v>
      </c>
      <c r="L4475" s="2">
        <v>882.0</v>
      </c>
      <c r="M4475" s="3">
        <f t="shared" si="5"/>
        <v>0.5642994242</v>
      </c>
      <c r="N4475" s="2">
        <v>8995200.0</v>
      </c>
      <c r="O4475" s="4">
        <f t="shared" si="6"/>
        <v>5755.086372</v>
      </c>
      <c r="P4475" s="2">
        <v>2.0</v>
      </c>
      <c r="Q4475" s="3">
        <f t="shared" si="7"/>
        <v>0.002894356006</v>
      </c>
      <c r="R4475" s="2">
        <v>691.0</v>
      </c>
      <c r="S4475" s="5">
        <f t="shared" si="8"/>
        <v>1</v>
      </c>
    </row>
    <row r="4476">
      <c r="A4476" s="2" t="s">
        <v>4479</v>
      </c>
      <c r="B4476" s="2">
        <v>522.0</v>
      </c>
      <c r="C4476" s="2">
        <v>6160.0</v>
      </c>
      <c r="D4476" s="2">
        <v>2107.0</v>
      </c>
      <c r="E4476" s="3">
        <f t="shared" si="1"/>
        <v>0.373714083</v>
      </c>
      <c r="F4476" s="2">
        <v>710.0</v>
      </c>
      <c r="G4476" s="3">
        <f t="shared" si="2"/>
        <v>0.1259311813</v>
      </c>
      <c r="H4476" s="2">
        <v>1128.0</v>
      </c>
      <c r="I4476" s="3">
        <f t="shared" si="3"/>
        <v>0.2000709471</v>
      </c>
      <c r="J4476" s="2">
        <v>938.0</v>
      </c>
      <c r="K4476" s="3">
        <f t="shared" si="4"/>
        <v>0.1663710536</v>
      </c>
      <c r="L4476" s="2">
        <v>664.0</v>
      </c>
      <c r="M4476" s="3">
        <f t="shared" si="5"/>
        <v>0.5886524823</v>
      </c>
      <c r="N4476" s="2">
        <v>6105100.0</v>
      </c>
      <c r="O4476" s="4">
        <f t="shared" si="6"/>
        <v>5412.322695</v>
      </c>
      <c r="P4476" s="2">
        <v>0.0</v>
      </c>
      <c r="Q4476" s="3">
        <f t="shared" si="7"/>
        <v>0</v>
      </c>
      <c r="R4476" s="2">
        <v>522.0</v>
      </c>
      <c r="S4476" s="5">
        <f t="shared" si="8"/>
        <v>1</v>
      </c>
    </row>
    <row r="4477">
      <c r="A4477" s="2" t="s">
        <v>4480</v>
      </c>
      <c r="B4477" s="2">
        <v>591.0</v>
      </c>
      <c r="C4477" s="2">
        <v>6928.0</v>
      </c>
      <c r="D4477" s="2">
        <v>2175.0</v>
      </c>
      <c r="E4477" s="3">
        <f t="shared" si="1"/>
        <v>0.343222345</v>
      </c>
      <c r="F4477" s="2">
        <v>798.0</v>
      </c>
      <c r="G4477" s="3">
        <f t="shared" si="2"/>
        <v>0.1259270948</v>
      </c>
      <c r="H4477" s="2">
        <v>1273.0</v>
      </c>
      <c r="I4477" s="3">
        <f t="shared" si="3"/>
        <v>0.2008836989</v>
      </c>
      <c r="J4477" s="2">
        <v>1035.0</v>
      </c>
      <c r="K4477" s="3">
        <f t="shared" si="4"/>
        <v>0.1633264952</v>
      </c>
      <c r="L4477" s="2">
        <v>729.0</v>
      </c>
      <c r="M4477" s="3">
        <f t="shared" si="5"/>
        <v>0.5726630008</v>
      </c>
      <c r="N4477" s="2">
        <v>7336400.0</v>
      </c>
      <c r="O4477" s="4">
        <f t="shared" si="6"/>
        <v>5763.07934</v>
      </c>
      <c r="P4477" s="2">
        <v>1.0</v>
      </c>
      <c r="Q4477" s="3">
        <f t="shared" si="7"/>
        <v>0.001692047377</v>
      </c>
      <c r="R4477" s="2">
        <v>591.0</v>
      </c>
      <c r="S4477" s="5">
        <f t="shared" si="8"/>
        <v>1</v>
      </c>
    </row>
    <row r="4478">
      <c r="A4478" s="2" t="s">
        <v>4481</v>
      </c>
      <c r="B4478" s="2">
        <v>495.0</v>
      </c>
      <c r="C4478" s="2">
        <v>5784.0</v>
      </c>
      <c r="D4478" s="2">
        <v>1697.0</v>
      </c>
      <c r="E4478" s="3">
        <f t="shared" si="1"/>
        <v>0.3208546039</v>
      </c>
      <c r="F4478" s="2">
        <v>666.0</v>
      </c>
      <c r="G4478" s="3">
        <f t="shared" si="2"/>
        <v>0.1259217243</v>
      </c>
      <c r="H4478" s="2">
        <v>1096.0</v>
      </c>
      <c r="I4478" s="3">
        <f t="shared" si="3"/>
        <v>0.2072225373</v>
      </c>
      <c r="J4478" s="2">
        <v>834.0</v>
      </c>
      <c r="K4478" s="3">
        <f t="shared" si="4"/>
        <v>0.1576857629</v>
      </c>
      <c r="L4478" s="2">
        <v>657.0</v>
      </c>
      <c r="M4478" s="3">
        <f t="shared" si="5"/>
        <v>0.5994525547</v>
      </c>
      <c r="N4478" s="2">
        <v>6099100.0</v>
      </c>
      <c r="O4478" s="4">
        <f t="shared" si="6"/>
        <v>5564.872263</v>
      </c>
      <c r="P4478" s="2">
        <v>0.0</v>
      </c>
      <c r="Q4478" s="3">
        <f t="shared" si="7"/>
        <v>0</v>
      </c>
      <c r="R4478" s="2">
        <v>495.0</v>
      </c>
      <c r="S4478" s="5">
        <f t="shared" si="8"/>
        <v>1</v>
      </c>
    </row>
    <row r="4479">
      <c r="A4479" s="2" t="s">
        <v>4482</v>
      </c>
      <c r="B4479" s="2">
        <v>181.0</v>
      </c>
      <c r="C4479" s="2">
        <v>2095.0</v>
      </c>
      <c r="D4479" s="2">
        <v>658.0</v>
      </c>
      <c r="E4479" s="3">
        <f t="shared" si="1"/>
        <v>0.3437826541</v>
      </c>
      <c r="F4479" s="2">
        <v>241.0</v>
      </c>
      <c r="G4479" s="3">
        <f t="shared" si="2"/>
        <v>0.1259143156</v>
      </c>
      <c r="H4479" s="2">
        <v>380.0</v>
      </c>
      <c r="I4479" s="3">
        <f t="shared" si="3"/>
        <v>0.1985370951</v>
      </c>
      <c r="J4479" s="2">
        <v>305.0</v>
      </c>
      <c r="K4479" s="3">
        <f t="shared" si="4"/>
        <v>0.1593521421</v>
      </c>
      <c r="L4479" s="2">
        <v>216.0</v>
      </c>
      <c r="M4479" s="3">
        <f t="shared" si="5"/>
        <v>0.5684210526</v>
      </c>
      <c r="N4479" s="2">
        <v>2180600.0</v>
      </c>
      <c r="O4479" s="4">
        <f t="shared" si="6"/>
        <v>5738.421053</v>
      </c>
      <c r="P4479" s="2">
        <v>1.0</v>
      </c>
      <c r="Q4479" s="3">
        <f t="shared" si="7"/>
        <v>0.005524861878</v>
      </c>
      <c r="R4479" s="2">
        <v>181.0</v>
      </c>
      <c r="S4479" s="5">
        <f t="shared" si="8"/>
        <v>1</v>
      </c>
    </row>
    <row r="4480">
      <c r="A4480" s="2" t="s">
        <v>4483</v>
      </c>
      <c r="B4480" s="2">
        <v>51.0</v>
      </c>
      <c r="C4480" s="2">
        <v>599.0</v>
      </c>
      <c r="D4480" s="2">
        <v>170.0</v>
      </c>
      <c r="E4480" s="3">
        <f t="shared" si="1"/>
        <v>0.3102189781</v>
      </c>
      <c r="F4480" s="2">
        <v>69.0</v>
      </c>
      <c r="G4480" s="3">
        <f t="shared" si="2"/>
        <v>0.1259124088</v>
      </c>
      <c r="H4480" s="2">
        <v>106.0</v>
      </c>
      <c r="I4480" s="3">
        <f t="shared" si="3"/>
        <v>0.1934306569</v>
      </c>
      <c r="J4480" s="2">
        <v>100.0</v>
      </c>
      <c r="K4480" s="3">
        <f t="shared" si="4"/>
        <v>0.1824817518</v>
      </c>
      <c r="L4480" s="2">
        <v>58.0</v>
      </c>
      <c r="M4480" s="3">
        <f t="shared" si="5"/>
        <v>0.5471698113</v>
      </c>
      <c r="N4480" s="2">
        <v>653100.0</v>
      </c>
      <c r="O4480" s="4">
        <f t="shared" si="6"/>
        <v>6161.320755</v>
      </c>
      <c r="P4480" s="2">
        <v>0.0</v>
      </c>
      <c r="Q4480" s="3">
        <f t="shared" si="7"/>
        <v>0</v>
      </c>
      <c r="R4480" s="2">
        <v>51.0</v>
      </c>
      <c r="S4480" s="5">
        <f t="shared" si="8"/>
        <v>1</v>
      </c>
    </row>
    <row r="4481">
      <c r="A4481" s="2" t="s">
        <v>4484</v>
      </c>
      <c r="B4481" s="2">
        <v>308.0</v>
      </c>
      <c r="C4481" s="2">
        <v>3652.0</v>
      </c>
      <c r="D4481" s="2">
        <v>1468.0</v>
      </c>
      <c r="E4481" s="3">
        <f t="shared" si="1"/>
        <v>0.4389952153</v>
      </c>
      <c r="F4481" s="2">
        <v>421.0</v>
      </c>
      <c r="G4481" s="3">
        <f t="shared" si="2"/>
        <v>0.1258971292</v>
      </c>
      <c r="H4481" s="2">
        <v>690.0</v>
      </c>
      <c r="I4481" s="3">
        <f t="shared" si="3"/>
        <v>0.2063397129</v>
      </c>
      <c r="J4481" s="2">
        <v>497.0</v>
      </c>
      <c r="K4481" s="3">
        <f t="shared" si="4"/>
        <v>0.1486244019</v>
      </c>
      <c r="L4481" s="2">
        <v>414.0</v>
      </c>
      <c r="M4481" s="3">
        <f t="shared" si="5"/>
        <v>0.6</v>
      </c>
      <c r="N4481" s="2">
        <v>3720200.0</v>
      </c>
      <c r="O4481" s="4">
        <f t="shared" si="6"/>
        <v>5391.594203</v>
      </c>
      <c r="P4481" s="2">
        <v>2.0</v>
      </c>
      <c r="Q4481" s="3">
        <f t="shared" si="7"/>
        <v>0.006493506494</v>
      </c>
      <c r="R4481" s="2">
        <v>308.0</v>
      </c>
      <c r="S4481" s="5">
        <f t="shared" si="8"/>
        <v>1</v>
      </c>
    </row>
    <row r="4482">
      <c r="A4482" s="2" t="s">
        <v>4485</v>
      </c>
      <c r="B4482" s="2">
        <v>1096.0</v>
      </c>
      <c r="C4482" s="2">
        <v>13098.0</v>
      </c>
      <c r="D4482" s="2">
        <v>3876.0</v>
      </c>
      <c r="E4482" s="3">
        <f t="shared" si="1"/>
        <v>0.3229461756</v>
      </c>
      <c r="F4482" s="2">
        <v>1511.0</v>
      </c>
      <c r="G4482" s="3">
        <f t="shared" si="2"/>
        <v>0.1258956841</v>
      </c>
      <c r="H4482" s="2">
        <v>2452.0</v>
      </c>
      <c r="I4482" s="3">
        <f t="shared" si="3"/>
        <v>0.2042992835</v>
      </c>
      <c r="J4482" s="2">
        <v>1874.0</v>
      </c>
      <c r="K4482" s="3">
        <f t="shared" si="4"/>
        <v>0.1561406432</v>
      </c>
      <c r="L4482" s="2">
        <v>1463.0</v>
      </c>
      <c r="M4482" s="3">
        <f t="shared" si="5"/>
        <v>0.5966557912</v>
      </c>
      <c r="N4482" s="2">
        <v>1.36157E7</v>
      </c>
      <c r="O4482" s="4">
        <f t="shared" si="6"/>
        <v>5552.895595</v>
      </c>
      <c r="P4482" s="2">
        <v>2.0</v>
      </c>
      <c r="Q4482" s="3">
        <f t="shared" si="7"/>
        <v>0.001824817518</v>
      </c>
      <c r="R4482" s="2">
        <v>0.0</v>
      </c>
      <c r="S4482" s="5">
        <f t="shared" si="8"/>
        <v>0</v>
      </c>
    </row>
    <row r="4483">
      <c r="A4483" s="2" t="s">
        <v>4486</v>
      </c>
      <c r="B4483" s="2">
        <v>288.0</v>
      </c>
      <c r="C4483" s="2">
        <v>3362.0</v>
      </c>
      <c r="D4483" s="2">
        <v>1068.0</v>
      </c>
      <c r="E4483" s="3">
        <f t="shared" si="1"/>
        <v>0.3474300586</v>
      </c>
      <c r="F4483" s="2">
        <v>387.0</v>
      </c>
      <c r="G4483" s="3">
        <f t="shared" si="2"/>
        <v>0.1258945999</v>
      </c>
      <c r="H4483" s="2">
        <v>610.0</v>
      </c>
      <c r="I4483" s="3">
        <f t="shared" si="3"/>
        <v>0.1984385166</v>
      </c>
      <c r="J4483" s="2">
        <v>517.0</v>
      </c>
      <c r="K4483" s="3">
        <f t="shared" si="4"/>
        <v>0.1681847755</v>
      </c>
      <c r="L4483" s="2">
        <v>372.0</v>
      </c>
      <c r="M4483" s="3">
        <f t="shared" si="5"/>
        <v>0.6098360656</v>
      </c>
      <c r="N4483" s="2">
        <v>3290200.0</v>
      </c>
      <c r="O4483" s="4">
        <f t="shared" si="6"/>
        <v>5393.770492</v>
      </c>
      <c r="P4483" s="2">
        <v>0.0</v>
      </c>
      <c r="Q4483" s="3">
        <f t="shared" si="7"/>
        <v>0</v>
      </c>
      <c r="R4483" s="2">
        <v>0.0</v>
      </c>
      <c r="S4483" s="5">
        <f t="shared" si="8"/>
        <v>0</v>
      </c>
    </row>
    <row r="4484">
      <c r="A4484" s="2" t="s">
        <v>4487</v>
      </c>
      <c r="B4484" s="2">
        <v>75.0</v>
      </c>
      <c r="C4484" s="2">
        <v>917.0</v>
      </c>
      <c r="D4484" s="2">
        <v>251.0</v>
      </c>
      <c r="E4484" s="3">
        <f t="shared" si="1"/>
        <v>0.2980997625</v>
      </c>
      <c r="F4484" s="2">
        <v>106.0</v>
      </c>
      <c r="G4484" s="3">
        <f t="shared" si="2"/>
        <v>0.1258907363</v>
      </c>
      <c r="H4484" s="2">
        <v>161.0</v>
      </c>
      <c r="I4484" s="3">
        <f t="shared" si="3"/>
        <v>0.1912114014</v>
      </c>
      <c r="J4484" s="2">
        <v>167.0</v>
      </c>
      <c r="K4484" s="3">
        <f t="shared" si="4"/>
        <v>0.1983372922</v>
      </c>
      <c r="L4484" s="2">
        <v>96.0</v>
      </c>
      <c r="M4484" s="3">
        <f t="shared" si="5"/>
        <v>0.5962732919</v>
      </c>
      <c r="N4484" s="2">
        <v>884300.0</v>
      </c>
      <c r="O4484" s="4">
        <f t="shared" si="6"/>
        <v>5492.546584</v>
      </c>
      <c r="P4484" s="2">
        <v>0.0</v>
      </c>
      <c r="Q4484" s="3">
        <f t="shared" si="7"/>
        <v>0</v>
      </c>
      <c r="R4484" s="2">
        <v>75.0</v>
      </c>
      <c r="S4484" s="5">
        <f t="shared" si="8"/>
        <v>1</v>
      </c>
    </row>
    <row r="4485">
      <c r="A4485" s="2" t="s">
        <v>4488</v>
      </c>
      <c r="B4485" s="2">
        <v>208.0</v>
      </c>
      <c r="C4485" s="2">
        <v>2456.0</v>
      </c>
      <c r="D4485" s="2">
        <v>668.0</v>
      </c>
      <c r="E4485" s="3">
        <f t="shared" si="1"/>
        <v>0.2971530249</v>
      </c>
      <c r="F4485" s="2">
        <v>283.0</v>
      </c>
      <c r="G4485" s="3">
        <f t="shared" si="2"/>
        <v>0.1258896797</v>
      </c>
      <c r="H4485" s="2">
        <v>420.0</v>
      </c>
      <c r="I4485" s="3">
        <f t="shared" si="3"/>
        <v>0.1868327402</v>
      </c>
      <c r="J4485" s="2">
        <v>348.0</v>
      </c>
      <c r="K4485" s="3">
        <f t="shared" si="4"/>
        <v>0.1548042705</v>
      </c>
      <c r="L4485" s="2">
        <v>227.0</v>
      </c>
      <c r="M4485" s="3">
        <f t="shared" si="5"/>
        <v>0.5404761905</v>
      </c>
      <c r="N4485" s="2">
        <v>2512700.0</v>
      </c>
      <c r="O4485" s="4">
        <f t="shared" si="6"/>
        <v>5982.619048</v>
      </c>
      <c r="P4485" s="2">
        <v>0.0</v>
      </c>
      <c r="Q4485" s="3">
        <f t="shared" si="7"/>
        <v>0</v>
      </c>
      <c r="R4485" s="2">
        <v>208.0</v>
      </c>
      <c r="S4485" s="5">
        <f t="shared" si="8"/>
        <v>1</v>
      </c>
    </row>
    <row r="4486">
      <c r="A4486" s="2" t="s">
        <v>4489</v>
      </c>
      <c r="B4486" s="2">
        <v>130.0</v>
      </c>
      <c r="C4486" s="2">
        <v>1536.0</v>
      </c>
      <c r="D4486" s="2">
        <v>471.0</v>
      </c>
      <c r="E4486" s="3">
        <f t="shared" si="1"/>
        <v>0.3349928876</v>
      </c>
      <c r="F4486" s="2">
        <v>177.0</v>
      </c>
      <c r="G4486" s="3">
        <f t="shared" si="2"/>
        <v>0.1258890469</v>
      </c>
      <c r="H4486" s="2">
        <v>247.0</v>
      </c>
      <c r="I4486" s="3">
        <f t="shared" si="3"/>
        <v>0.1756756757</v>
      </c>
      <c r="J4486" s="2">
        <v>258.0</v>
      </c>
      <c r="K4486" s="3">
        <f t="shared" si="4"/>
        <v>0.1834992888</v>
      </c>
      <c r="L4486" s="2">
        <v>145.0</v>
      </c>
      <c r="M4486" s="3">
        <f t="shared" si="5"/>
        <v>0.5870445344</v>
      </c>
      <c r="N4486" s="2">
        <v>1465400.0</v>
      </c>
      <c r="O4486" s="4">
        <f t="shared" si="6"/>
        <v>5932.793522</v>
      </c>
      <c r="P4486" s="2">
        <v>0.0</v>
      </c>
      <c r="Q4486" s="3">
        <f t="shared" si="7"/>
        <v>0</v>
      </c>
      <c r="R4486" s="2">
        <v>130.0</v>
      </c>
      <c r="S4486" s="5">
        <f t="shared" si="8"/>
        <v>1</v>
      </c>
    </row>
    <row r="4487">
      <c r="A4487" s="2" t="s">
        <v>4490</v>
      </c>
      <c r="B4487" s="2">
        <v>134.0</v>
      </c>
      <c r="C4487" s="2">
        <v>1540.0</v>
      </c>
      <c r="D4487" s="2">
        <v>512.0</v>
      </c>
      <c r="E4487" s="3">
        <f t="shared" si="1"/>
        <v>0.3641536273</v>
      </c>
      <c r="F4487" s="2">
        <v>177.0</v>
      </c>
      <c r="G4487" s="3">
        <f t="shared" si="2"/>
        <v>0.1258890469</v>
      </c>
      <c r="H4487" s="2">
        <v>299.0</v>
      </c>
      <c r="I4487" s="3">
        <f t="shared" si="3"/>
        <v>0.2126600284</v>
      </c>
      <c r="J4487" s="2">
        <v>246.0</v>
      </c>
      <c r="K4487" s="3">
        <f t="shared" si="4"/>
        <v>0.1749644381</v>
      </c>
      <c r="L4487" s="2">
        <v>176.0</v>
      </c>
      <c r="M4487" s="3">
        <f t="shared" si="5"/>
        <v>0.5886287625</v>
      </c>
      <c r="N4487" s="2">
        <v>1667200.0</v>
      </c>
      <c r="O4487" s="4">
        <f t="shared" si="6"/>
        <v>5575.919732</v>
      </c>
      <c r="P4487" s="2">
        <v>0.0</v>
      </c>
      <c r="Q4487" s="3">
        <f t="shared" si="7"/>
        <v>0</v>
      </c>
      <c r="R4487" s="2">
        <v>134.0</v>
      </c>
      <c r="S4487" s="5">
        <f t="shared" si="8"/>
        <v>1</v>
      </c>
    </row>
    <row r="4488">
      <c r="A4488" s="2" t="s">
        <v>4491</v>
      </c>
      <c r="B4488" s="2">
        <v>314.0</v>
      </c>
      <c r="C4488" s="2">
        <v>3722.0</v>
      </c>
      <c r="D4488" s="2">
        <v>1280.0</v>
      </c>
      <c r="E4488" s="3">
        <f t="shared" si="1"/>
        <v>0.3755868545</v>
      </c>
      <c r="F4488" s="2">
        <v>429.0</v>
      </c>
      <c r="G4488" s="3">
        <f t="shared" si="2"/>
        <v>0.1258802817</v>
      </c>
      <c r="H4488" s="2">
        <v>706.0</v>
      </c>
      <c r="I4488" s="3">
        <f t="shared" si="3"/>
        <v>0.2071596244</v>
      </c>
      <c r="J4488" s="2">
        <v>552.0</v>
      </c>
      <c r="K4488" s="3">
        <f t="shared" si="4"/>
        <v>0.161971831</v>
      </c>
      <c r="L4488" s="2">
        <v>434.0</v>
      </c>
      <c r="M4488" s="3">
        <f t="shared" si="5"/>
        <v>0.6147308782</v>
      </c>
      <c r="N4488" s="2">
        <v>3505200.0</v>
      </c>
      <c r="O4488" s="4">
        <f t="shared" si="6"/>
        <v>4964.872521</v>
      </c>
      <c r="P4488" s="2">
        <v>0.0</v>
      </c>
      <c r="Q4488" s="3">
        <f t="shared" si="7"/>
        <v>0</v>
      </c>
      <c r="R4488" s="2">
        <v>314.0</v>
      </c>
      <c r="S4488" s="5">
        <f t="shared" si="8"/>
        <v>1</v>
      </c>
    </row>
    <row r="4489">
      <c r="A4489" s="2" t="s">
        <v>4492</v>
      </c>
      <c r="B4489" s="2">
        <v>53.0</v>
      </c>
      <c r="C4489" s="2">
        <v>625.0</v>
      </c>
      <c r="D4489" s="2">
        <v>233.0</v>
      </c>
      <c r="E4489" s="3">
        <f t="shared" si="1"/>
        <v>0.4073426573</v>
      </c>
      <c r="F4489" s="2">
        <v>72.0</v>
      </c>
      <c r="G4489" s="3">
        <f t="shared" si="2"/>
        <v>0.1258741259</v>
      </c>
      <c r="H4489" s="2">
        <v>126.0</v>
      </c>
      <c r="I4489" s="3">
        <f t="shared" si="3"/>
        <v>0.2202797203</v>
      </c>
      <c r="J4489" s="2">
        <v>72.0</v>
      </c>
      <c r="K4489" s="3">
        <f t="shared" si="4"/>
        <v>0.1258741259</v>
      </c>
      <c r="L4489" s="2">
        <v>70.0</v>
      </c>
      <c r="M4489" s="3">
        <f t="shared" si="5"/>
        <v>0.5555555556</v>
      </c>
      <c r="N4489" s="2">
        <v>702300.0</v>
      </c>
      <c r="O4489" s="4">
        <f t="shared" si="6"/>
        <v>5573.809524</v>
      </c>
      <c r="P4489" s="2">
        <v>0.0</v>
      </c>
      <c r="Q4489" s="3">
        <f t="shared" si="7"/>
        <v>0</v>
      </c>
      <c r="R4489" s="2">
        <v>25.0</v>
      </c>
      <c r="S4489" s="5">
        <f t="shared" si="8"/>
        <v>0.4716981132</v>
      </c>
    </row>
    <row r="4490">
      <c r="A4490" s="2" t="s">
        <v>4493</v>
      </c>
      <c r="B4490" s="2">
        <v>973.0</v>
      </c>
      <c r="C4490" s="2">
        <v>11277.0</v>
      </c>
      <c r="D4490" s="2">
        <v>3178.0</v>
      </c>
      <c r="E4490" s="3">
        <f t="shared" si="1"/>
        <v>0.308423913</v>
      </c>
      <c r="F4490" s="2">
        <v>1297.0</v>
      </c>
      <c r="G4490" s="3">
        <f t="shared" si="2"/>
        <v>0.1258734472</v>
      </c>
      <c r="H4490" s="2">
        <v>2213.0</v>
      </c>
      <c r="I4490" s="3">
        <f t="shared" si="3"/>
        <v>0.2147709627</v>
      </c>
      <c r="J4490" s="2">
        <v>1872.0</v>
      </c>
      <c r="K4490" s="3">
        <f t="shared" si="4"/>
        <v>0.1816770186</v>
      </c>
      <c r="L4490" s="2">
        <v>1325.0</v>
      </c>
      <c r="M4490" s="3">
        <f t="shared" si="5"/>
        <v>0.5987347492</v>
      </c>
      <c r="N4490" s="2">
        <v>1.32481E7</v>
      </c>
      <c r="O4490" s="4">
        <f t="shared" si="6"/>
        <v>5986.488929</v>
      </c>
      <c r="P4490" s="2">
        <v>1.0</v>
      </c>
      <c r="Q4490" s="3">
        <f t="shared" si="7"/>
        <v>0.001027749229</v>
      </c>
      <c r="R4490" s="2">
        <v>973.0</v>
      </c>
      <c r="S4490" s="5">
        <f t="shared" si="8"/>
        <v>1</v>
      </c>
    </row>
    <row r="4491">
      <c r="A4491" s="2" t="s">
        <v>4494</v>
      </c>
      <c r="B4491" s="2">
        <v>224.0</v>
      </c>
      <c r="C4491" s="2">
        <v>2663.0</v>
      </c>
      <c r="D4491" s="2">
        <v>954.0</v>
      </c>
      <c r="E4491" s="3">
        <f t="shared" si="1"/>
        <v>0.3911439114</v>
      </c>
      <c r="F4491" s="2">
        <v>307.0</v>
      </c>
      <c r="G4491" s="3">
        <f t="shared" si="2"/>
        <v>0.1258712587</v>
      </c>
      <c r="H4491" s="2">
        <v>518.0</v>
      </c>
      <c r="I4491" s="3">
        <f t="shared" si="3"/>
        <v>0.2123821238</v>
      </c>
      <c r="J4491" s="2">
        <v>404.0</v>
      </c>
      <c r="K4491" s="3">
        <f t="shared" si="4"/>
        <v>0.1656416564</v>
      </c>
      <c r="L4491" s="2">
        <v>304.0</v>
      </c>
      <c r="M4491" s="3">
        <f t="shared" si="5"/>
        <v>0.5868725869</v>
      </c>
      <c r="N4491" s="2">
        <v>2727000.0</v>
      </c>
      <c r="O4491" s="4">
        <f t="shared" si="6"/>
        <v>5264.478764</v>
      </c>
      <c r="P4491" s="2">
        <v>1.0</v>
      </c>
      <c r="Q4491" s="3">
        <f t="shared" si="7"/>
        <v>0.004464285714</v>
      </c>
      <c r="R4491" s="2">
        <v>224.0</v>
      </c>
      <c r="S4491" s="5">
        <f t="shared" si="8"/>
        <v>1</v>
      </c>
    </row>
    <row r="4492">
      <c r="A4492" s="2" t="s">
        <v>4495</v>
      </c>
      <c r="B4492" s="2">
        <v>150.0</v>
      </c>
      <c r="C4492" s="2">
        <v>1739.0</v>
      </c>
      <c r="D4492" s="2">
        <v>498.0</v>
      </c>
      <c r="E4492" s="3">
        <f t="shared" si="1"/>
        <v>0.313404657</v>
      </c>
      <c r="F4492" s="2">
        <v>200.0</v>
      </c>
      <c r="G4492" s="3">
        <f t="shared" si="2"/>
        <v>0.1258653241</v>
      </c>
      <c r="H4492" s="2">
        <v>278.0</v>
      </c>
      <c r="I4492" s="3">
        <f t="shared" si="3"/>
        <v>0.1749528005</v>
      </c>
      <c r="J4492" s="2">
        <v>252.0</v>
      </c>
      <c r="K4492" s="3">
        <f t="shared" si="4"/>
        <v>0.1585903084</v>
      </c>
      <c r="L4492" s="2">
        <v>161.0</v>
      </c>
      <c r="M4492" s="3">
        <f t="shared" si="5"/>
        <v>0.5791366906</v>
      </c>
      <c r="N4492" s="2">
        <v>1571100.0</v>
      </c>
      <c r="O4492" s="4">
        <f t="shared" si="6"/>
        <v>5651.438849</v>
      </c>
      <c r="P4492" s="2">
        <v>0.0</v>
      </c>
      <c r="Q4492" s="3">
        <f t="shared" si="7"/>
        <v>0</v>
      </c>
      <c r="R4492" s="2">
        <v>150.0</v>
      </c>
      <c r="S4492" s="5">
        <f t="shared" si="8"/>
        <v>1</v>
      </c>
    </row>
    <row r="4493">
      <c r="A4493" s="2" t="s">
        <v>4496</v>
      </c>
      <c r="B4493" s="2">
        <v>2845.0</v>
      </c>
      <c r="C4493" s="2">
        <v>33672.0</v>
      </c>
      <c r="D4493" s="2">
        <v>10809.0</v>
      </c>
      <c r="E4493" s="3">
        <f t="shared" si="1"/>
        <v>0.3506341843</v>
      </c>
      <c r="F4493" s="2">
        <v>3880.0</v>
      </c>
      <c r="G4493" s="3">
        <f t="shared" si="2"/>
        <v>0.1258636909</v>
      </c>
      <c r="H4493" s="2">
        <v>6676.0</v>
      </c>
      <c r="I4493" s="3">
        <f t="shared" si="3"/>
        <v>0.2165634022</v>
      </c>
      <c r="J4493" s="2">
        <v>5562.0</v>
      </c>
      <c r="K4493" s="3">
        <f t="shared" si="4"/>
        <v>0.1804262497</v>
      </c>
      <c r="L4493" s="2">
        <v>3950.0</v>
      </c>
      <c r="M4493" s="3">
        <f t="shared" si="5"/>
        <v>0.5916716597</v>
      </c>
      <c r="N4493" s="2">
        <v>3.69997E7</v>
      </c>
      <c r="O4493" s="4">
        <f t="shared" si="6"/>
        <v>5542.195926</v>
      </c>
      <c r="P4493" s="2">
        <v>10.0</v>
      </c>
      <c r="Q4493" s="3">
        <f t="shared" si="7"/>
        <v>0.003514938489</v>
      </c>
      <c r="R4493" s="2">
        <v>2845.0</v>
      </c>
      <c r="S4493" s="5">
        <f t="shared" si="8"/>
        <v>1</v>
      </c>
    </row>
    <row r="4494">
      <c r="A4494" s="2" t="s">
        <v>4497</v>
      </c>
      <c r="B4494" s="2">
        <v>174.0</v>
      </c>
      <c r="C4494" s="2">
        <v>2081.0</v>
      </c>
      <c r="D4494" s="2">
        <v>626.0</v>
      </c>
      <c r="E4494" s="3">
        <f t="shared" si="1"/>
        <v>0.3282642895</v>
      </c>
      <c r="F4494" s="2">
        <v>240.0</v>
      </c>
      <c r="G4494" s="3">
        <f t="shared" si="2"/>
        <v>0.1258521238</v>
      </c>
      <c r="H4494" s="2">
        <v>353.0</v>
      </c>
      <c r="I4494" s="3">
        <f t="shared" si="3"/>
        <v>0.1851074987</v>
      </c>
      <c r="J4494" s="2">
        <v>336.0</v>
      </c>
      <c r="K4494" s="3">
        <f t="shared" si="4"/>
        <v>0.1761929733</v>
      </c>
      <c r="L4494" s="2">
        <v>208.0</v>
      </c>
      <c r="M4494" s="3">
        <f t="shared" si="5"/>
        <v>0.5892351275</v>
      </c>
      <c r="N4494" s="2">
        <v>1893700.0</v>
      </c>
      <c r="O4494" s="4">
        <f t="shared" si="6"/>
        <v>5364.589235</v>
      </c>
      <c r="P4494" s="2">
        <v>0.0</v>
      </c>
      <c r="Q4494" s="3">
        <f t="shared" si="7"/>
        <v>0</v>
      </c>
      <c r="R4494" s="2">
        <v>174.0</v>
      </c>
      <c r="S4494" s="5">
        <f t="shared" si="8"/>
        <v>1</v>
      </c>
    </row>
    <row r="4495">
      <c r="A4495" s="2" t="s">
        <v>4498</v>
      </c>
      <c r="B4495" s="2">
        <v>1628.0</v>
      </c>
      <c r="C4495" s="2">
        <v>19006.0</v>
      </c>
      <c r="D4495" s="2">
        <v>6445.0</v>
      </c>
      <c r="E4495" s="3">
        <f t="shared" si="1"/>
        <v>0.3708712165</v>
      </c>
      <c r="F4495" s="2">
        <v>2187.0</v>
      </c>
      <c r="G4495" s="3">
        <f t="shared" si="2"/>
        <v>0.1258487743</v>
      </c>
      <c r="H4495" s="2">
        <v>3636.0</v>
      </c>
      <c r="I4495" s="3">
        <f t="shared" si="3"/>
        <v>0.209230061</v>
      </c>
      <c r="J4495" s="2">
        <v>2806.0</v>
      </c>
      <c r="K4495" s="3">
        <f t="shared" si="4"/>
        <v>0.1614685234</v>
      </c>
      <c r="L4495" s="2">
        <v>2232.0</v>
      </c>
      <c r="M4495" s="3">
        <f t="shared" si="5"/>
        <v>0.6138613861</v>
      </c>
      <c r="N4495" s="2">
        <v>1.97361E7</v>
      </c>
      <c r="O4495" s="4">
        <f t="shared" si="6"/>
        <v>5427.970297</v>
      </c>
      <c r="P4495" s="2">
        <v>4.0</v>
      </c>
      <c r="Q4495" s="3">
        <f t="shared" si="7"/>
        <v>0.002457002457</v>
      </c>
      <c r="R4495" s="2">
        <v>1420.0</v>
      </c>
      <c r="S4495" s="5">
        <f t="shared" si="8"/>
        <v>0.8722358722</v>
      </c>
    </row>
    <row r="4496">
      <c r="A4496" s="2" t="s">
        <v>4499</v>
      </c>
      <c r="B4496" s="2">
        <v>147.0</v>
      </c>
      <c r="C4496" s="2">
        <v>1768.0</v>
      </c>
      <c r="D4496" s="2">
        <v>633.0</v>
      </c>
      <c r="E4496" s="3">
        <f t="shared" si="1"/>
        <v>0.3904996915</v>
      </c>
      <c r="F4496" s="2">
        <v>204.0</v>
      </c>
      <c r="G4496" s="3">
        <f t="shared" si="2"/>
        <v>0.1258482418</v>
      </c>
      <c r="H4496" s="2">
        <v>400.0</v>
      </c>
      <c r="I4496" s="3">
        <f t="shared" si="3"/>
        <v>0.2467612585</v>
      </c>
      <c r="J4496" s="2">
        <v>274.0</v>
      </c>
      <c r="K4496" s="3">
        <f t="shared" si="4"/>
        <v>0.1690314621</v>
      </c>
      <c r="L4496" s="2">
        <v>256.0</v>
      </c>
      <c r="M4496" s="3">
        <f t="shared" si="5"/>
        <v>0.64</v>
      </c>
      <c r="N4496" s="2">
        <v>2050200.0</v>
      </c>
      <c r="O4496" s="4">
        <f t="shared" si="6"/>
        <v>5125.5</v>
      </c>
      <c r="P4496" s="2">
        <v>1.0</v>
      </c>
      <c r="Q4496" s="3">
        <f t="shared" si="7"/>
        <v>0.006802721088</v>
      </c>
      <c r="R4496" s="2">
        <v>147.0</v>
      </c>
      <c r="S4496" s="5">
        <f t="shared" si="8"/>
        <v>1</v>
      </c>
    </row>
    <row r="4497">
      <c r="A4497" s="2" t="s">
        <v>4500</v>
      </c>
      <c r="B4497" s="2">
        <v>394.0</v>
      </c>
      <c r="C4497" s="2">
        <v>4526.0</v>
      </c>
      <c r="D4497" s="2">
        <v>1292.0</v>
      </c>
      <c r="E4497" s="3">
        <f t="shared" si="1"/>
        <v>0.3126815102</v>
      </c>
      <c r="F4497" s="2">
        <v>520.0</v>
      </c>
      <c r="G4497" s="3">
        <f t="shared" si="2"/>
        <v>0.1258470474</v>
      </c>
      <c r="H4497" s="2">
        <v>921.0</v>
      </c>
      <c r="I4497" s="3">
        <f t="shared" si="3"/>
        <v>0.2228944821</v>
      </c>
      <c r="J4497" s="2">
        <v>676.0</v>
      </c>
      <c r="K4497" s="3">
        <f t="shared" si="4"/>
        <v>0.1636011617</v>
      </c>
      <c r="L4497" s="2">
        <v>577.0</v>
      </c>
      <c r="M4497" s="3">
        <f t="shared" si="5"/>
        <v>0.6264929425</v>
      </c>
      <c r="N4497" s="2">
        <v>5400600.0</v>
      </c>
      <c r="O4497" s="4">
        <f t="shared" si="6"/>
        <v>5863.843648</v>
      </c>
      <c r="P4497" s="2">
        <v>1.0</v>
      </c>
      <c r="Q4497" s="3">
        <f t="shared" si="7"/>
        <v>0.002538071066</v>
      </c>
      <c r="R4497" s="2">
        <v>394.0</v>
      </c>
      <c r="S4497" s="5">
        <f t="shared" si="8"/>
        <v>1</v>
      </c>
    </row>
    <row r="4498">
      <c r="A4498" s="2" t="s">
        <v>4501</v>
      </c>
      <c r="B4498" s="2">
        <v>309.0</v>
      </c>
      <c r="C4498" s="2">
        <v>3710.0</v>
      </c>
      <c r="D4498" s="2">
        <v>1069.0</v>
      </c>
      <c r="E4498" s="3">
        <f t="shared" si="1"/>
        <v>0.3143193178</v>
      </c>
      <c r="F4498" s="2">
        <v>428.0</v>
      </c>
      <c r="G4498" s="3">
        <f t="shared" si="2"/>
        <v>0.1258453396</v>
      </c>
      <c r="H4498" s="2">
        <v>708.0</v>
      </c>
      <c r="I4498" s="3">
        <f t="shared" si="3"/>
        <v>0.2081740665</v>
      </c>
      <c r="J4498" s="2">
        <v>603.0</v>
      </c>
      <c r="K4498" s="3">
        <f t="shared" si="4"/>
        <v>0.1773007939</v>
      </c>
      <c r="L4498" s="2">
        <v>442.0</v>
      </c>
      <c r="M4498" s="3">
        <f t="shared" si="5"/>
        <v>0.6242937853</v>
      </c>
      <c r="N4498" s="2">
        <v>3604700.0</v>
      </c>
      <c r="O4498" s="4">
        <f t="shared" si="6"/>
        <v>5091.384181</v>
      </c>
      <c r="P4498" s="2">
        <v>1.0</v>
      </c>
      <c r="Q4498" s="3">
        <f t="shared" si="7"/>
        <v>0.003236245955</v>
      </c>
      <c r="R4498" s="2">
        <v>309.0</v>
      </c>
      <c r="S4498" s="5">
        <f t="shared" si="8"/>
        <v>1</v>
      </c>
    </row>
    <row r="4499">
      <c r="A4499" s="2" t="s">
        <v>4502</v>
      </c>
      <c r="B4499" s="2">
        <v>122.0</v>
      </c>
      <c r="C4499" s="2">
        <v>1457.0</v>
      </c>
      <c r="D4499" s="2">
        <v>544.0</v>
      </c>
      <c r="E4499" s="3">
        <f t="shared" si="1"/>
        <v>0.4074906367</v>
      </c>
      <c r="F4499" s="2">
        <v>168.0</v>
      </c>
      <c r="G4499" s="3">
        <f t="shared" si="2"/>
        <v>0.1258426966</v>
      </c>
      <c r="H4499" s="2">
        <v>282.0</v>
      </c>
      <c r="I4499" s="3">
        <f t="shared" si="3"/>
        <v>0.2112359551</v>
      </c>
      <c r="J4499" s="2">
        <v>215.0</v>
      </c>
      <c r="K4499" s="3">
        <f t="shared" si="4"/>
        <v>0.1610486891</v>
      </c>
      <c r="L4499" s="2">
        <v>176.0</v>
      </c>
      <c r="M4499" s="3">
        <f t="shared" si="5"/>
        <v>0.6241134752</v>
      </c>
      <c r="N4499" s="2">
        <v>1430400.0</v>
      </c>
      <c r="O4499" s="4">
        <f t="shared" si="6"/>
        <v>5072.340426</v>
      </c>
      <c r="P4499" s="2">
        <v>0.0</v>
      </c>
      <c r="Q4499" s="3">
        <f t="shared" si="7"/>
        <v>0</v>
      </c>
      <c r="R4499" s="2">
        <v>29.0</v>
      </c>
      <c r="S4499" s="5">
        <f t="shared" si="8"/>
        <v>0.237704918</v>
      </c>
    </row>
    <row r="4500">
      <c r="A4500" s="2">
        <v>1976.0</v>
      </c>
      <c r="B4500" s="2">
        <v>285.0</v>
      </c>
      <c r="C4500" s="2">
        <v>3408.0</v>
      </c>
      <c r="D4500" s="2">
        <v>1121.0</v>
      </c>
      <c r="E4500" s="3">
        <f t="shared" si="1"/>
        <v>0.3589497278</v>
      </c>
      <c r="F4500" s="2">
        <v>393.0</v>
      </c>
      <c r="G4500" s="3">
        <f t="shared" si="2"/>
        <v>0.1258405379</v>
      </c>
      <c r="H4500" s="2">
        <v>714.0</v>
      </c>
      <c r="I4500" s="3">
        <f t="shared" si="3"/>
        <v>0.2286263208</v>
      </c>
      <c r="J4500" s="2">
        <v>525.0</v>
      </c>
      <c r="K4500" s="3">
        <f t="shared" si="4"/>
        <v>0.1681075889</v>
      </c>
      <c r="L4500" s="2">
        <v>433.0</v>
      </c>
      <c r="M4500" s="3">
        <f t="shared" si="5"/>
        <v>0.606442577</v>
      </c>
      <c r="N4500" s="2">
        <v>3873000.0</v>
      </c>
      <c r="O4500" s="4">
        <f t="shared" si="6"/>
        <v>5424.369748</v>
      </c>
      <c r="P4500" s="2">
        <v>0.0</v>
      </c>
      <c r="Q4500" s="3">
        <f t="shared" si="7"/>
        <v>0</v>
      </c>
      <c r="R4500" s="2">
        <v>285.0</v>
      </c>
      <c r="S4500" s="5">
        <f t="shared" si="8"/>
        <v>1</v>
      </c>
    </row>
    <row r="4501">
      <c r="A4501" s="2" t="s">
        <v>4503</v>
      </c>
      <c r="B4501" s="2">
        <v>54.0</v>
      </c>
      <c r="C4501" s="2">
        <v>650.0</v>
      </c>
      <c r="D4501" s="2">
        <v>197.0</v>
      </c>
      <c r="E4501" s="3">
        <f t="shared" si="1"/>
        <v>0.3305369128</v>
      </c>
      <c r="F4501" s="2">
        <v>75.0</v>
      </c>
      <c r="G4501" s="3">
        <f t="shared" si="2"/>
        <v>0.1258389262</v>
      </c>
      <c r="H4501" s="2">
        <v>133.0</v>
      </c>
      <c r="I4501" s="3">
        <f t="shared" si="3"/>
        <v>0.2231543624</v>
      </c>
      <c r="J4501" s="2">
        <v>107.0</v>
      </c>
      <c r="K4501" s="3">
        <f t="shared" si="4"/>
        <v>0.1795302013</v>
      </c>
      <c r="L4501" s="2">
        <v>65.0</v>
      </c>
      <c r="M4501" s="3">
        <f t="shared" si="5"/>
        <v>0.4887218045</v>
      </c>
      <c r="N4501" s="2">
        <v>733200.0</v>
      </c>
      <c r="O4501" s="4">
        <f t="shared" si="6"/>
        <v>5512.781955</v>
      </c>
      <c r="P4501" s="2">
        <v>0.0</v>
      </c>
      <c r="Q4501" s="3">
        <f t="shared" si="7"/>
        <v>0</v>
      </c>
      <c r="R4501" s="2">
        <v>35.0</v>
      </c>
      <c r="S4501" s="5">
        <f t="shared" si="8"/>
        <v>0.6481481481</v>
      </c>
    </row>
    <row r="4502">
      <c r="A4502" s="2" t="s">
        <v>4504</v>
      </c>
      <c r="B4502" s="2">
        <v>3953.0</v>
      </c>
      <c r="C4502" s="2">
        <v>46024.0</v>
      </c>
      <c r="D4502" s="2">
        <v>12679.0</v>
      </c>
      <c r="E4502" s="3">
        <f t="shared" si="1"/>
        <v>0.3013714911</v>
      </c>
      <c r="F4502" s="2">
        <v>5294.0</v>
      </c>
      <c r="G4502" s="3">
        <f t="shared" si="2"/>
        <v>0.1258348981</v>
      </c>
      <c r="H4502" s="2">
        <v>8897.0</v>
      </c>
      <c r="I4502" s="3">
        <f t="shared" si="3"/>
        <v>0.2114758385</v>
      </c>
      <c r="J4502" s="2">
        <v>6895.0</v>
      </c>
      <c r="K4502" s="3">
        <f t="shared" si="4"/>
        <v>0.1638896152</v>
      </c>
      <c r="L4502" s="2">
        <v>5401.0</v>
      </c>
      <c r="M4502" s="3">
        <f t="shared" si="5"/>
        <v>0.6070585591</v>
      </c>
      <c r="N4502" s="2">
        <v>5.33425E7</v>
      </c>
      <c r="O4502" s="4">
        <f t="shared" si="6"/>
        <v>5995.560301</v>
      </c>
      <c r="P4502" s="2">
        <v>12.0</v>
      </c>
      <c r="Q4502" s="3">
        <f t="shared" si="7"/>
        <v>0.003035669112</v>
      </c>
      <c r="R4502" s="2">
        <v>3953.0</v>
      </c>
      <c r="S4502" s="5">
        <f t="shared" si="8"/>
        <v>1</v>
      </c>
    </row>
    <row r="4503">
      <c r="A4503" s="2" t="s">
        <v>4505</v>
      </c>
      <c r="B4503" s="2">
        <v>673.0</v>
      </c>
      <c r="C4503" s="2">
        <v>7897.0</v>
      </c>
      <c r="D4503" s="2">
        <v>2452.0</v>
      </c>
      <c r="E4503" s="3">
        <f t="shared" si="1"/>
        <v>0.3394241417</v>
      </c>
      <c r="F4503" s="2">
        <v>909.0</v>
      </c>
      <c r="G4503" s="3">
        <f t="shared" si="2"/>
        <v>0.1258305648</v>
      </c>
      <c r="H4503" s="2">
        <v>1518.0</v>
      </c>
      <c r="I4503" s="3">
        <f t="shared" si="3"/>
        <v>0.2101328904</v>
      </c>
      <c r="J4503" s="2">
        <v>1232.0</v>
      </c>
      <c r="K4503" s="3">
        <f t="shared" si="4"/>
        <v>0.1705426357</v>
      </c>
      <c r="L4503" s="2">
        <v>876.0</v>
      </c>
      <c r="M4503" s="3">
        <f t="shared" si="5"/>
        <v>0.5770750988</v>
      </c>
      <c r="N4503" s="2">
        <v>8852200.0</v>
      </c>
      <c r="O4503" s="4">
        <f t="shared" si="6"/>
        <v>5831.488801</v>
      </c>
      <c r="P4503" s="2">
        <v>0.0</v>
      </c>
      <c r="Q4503" s="3">
        <f t="shared" si="7"/>
        <v>0</v>
      </c>
      <c r="R4503" s="2">
        <v>0.0</v>
      </c>
      <c r="S4503" s="5">
        <f t="shared" si="8"/>
        <v>0</v>
      </c>
    </row>
    <row r="4504">
      <c r="A4504" s="2" t="s">
        <v>4506</v>
      </c>
      <c r="B4504" s="2">
        <v>451.0</v>
      </c>
      <c r="C4504" s="2">
        <v>5275.0</v>
      </c>
      <c r="D4504" s="2">
        <v>1464.0</v>
      </c>
      <c r="E4504" s="3">
        <f t="shared" si="1"/>
        <v>0.3034825871</v>
      </c>
      <c r="F4504" s="2">
        <v>607.0</v>
      </c>
      <c r="G4504" s="3">
        <f t="shared" si="2"/>
        <v>0.1258291874</v>
      </c>
      <c r="H4504" s="2">
        <v>961.0</v>
      </c>
      <c r="I4504" s="3">
        <f t="shared" si="3"/>
        <v>0.199212272</v>
      </c>
      <c r="J4504" s="2">
        <v>762.0</v>
      </c>
      <c r="K4504" s="3">
        <f t="shared" si="4"/>
        <v>0.157960199</v>
      </c>
      <c r="L4504" s="2">
        <v>577.0</v>
      </c>
      <c r="M4504" s="3">
        <f t="shared" si="5"/>
        <v>0.6004162331</v>
      </c>
      <c r="N4504" s="2">
        <v>5373500.0</v>
      </c>
      <c r="O4504" s="4">
        <f t="shared" si="6"/>
        <v>5591.57128</v>
      </c>
      <c r="P4504" s="2">
        <v>1.0</v>
      </c>
      <c r="Q4504" s="3">
        <f t="shared" si="7"/>
        <v>0.0022172949</v>
      </c>
      <c r="R4504" s="2">
        <v>451.0</v>
      </c>
      <c r="S4504" s="5">
        <f t="shared" si="8"/>
        <v>1</v>
      </c>
    </row>
    <row r="4505">
      <c r="A4505" s="2" t="s">
        <v>4507</v>
      </c>
      <c r="B4505" s="2">
        <v>42.0</v>
      </c>
      <c r="C4505" s="2">
        <v>495.0</v>
      </c>
      <c r="D4505" s="2">
        <v>164.0</v>
      </c>
      <c r="E4505" s="3">
        <f t="shared" si="1"/>
        <v>0.3620309051</v>
      </c>
      <c r="F4505" s="2">
        <v>57.0</v>
      </c>
      <c r="G4505" s="3">
        <f t="shared" si="2"/>
        <v>0.1258278146</v>
      </c>
      <c r="H4505" s="2">
        <v>95.0</v>
      </c>
      <c r="I4505" s="3">
        <f t="shared" si="3"/>
        <v>0.2097130243</v>
      </c>
      <c r="J4505" s="2">
        <v>90.0</v>
      </c>
      <c r="K4505" s="3">
        <f t="shared" si="4"/>
        <v>0.1986754967</v>
      </c>
      <c r="L4505" s="2">
        <v>56.0</v>
      </c>
      <c r="M4505" s="3">
        <f t="shared" si="5"/>
        <v>0.5894736842</v>
      </c>
      <c r="N4505" s="2">
        <v>528400.0</v>
      </c>
      <c r="O4505" s="4">
        <f t="shared" si="6"/>
        <v>5562.105263</v>
      </c>
      <c r="P4505" s="2">
        <v>0.0</v>
      </c>
      <c r="Q4505" s="3">
        <f t="shared" si="7"/>
        <v>0</v>
      </c>
      <c r="R4505" s="2">
        <v>42.0</v>
      </c>
      <c r="S4505" s="5">
        <f t="shared" si="8"/>
        <v>1</v>
      </c>
    </row>
    <row r="4506">
      <c r="A4506" s="2" t="s">
        <v>4508</v>
      </c>
      <c r="B4506" s="2">
        <v>28.0</v>
      </c>
      <c r="C4506" s="2">
        <v>330.0</v>
      </c>
      <c r="D4506" s="2">
        <v>123.0</v>
      </c>
      <c r="E4506" s="3">
        <f t="shared" si="1"/>
        <v>0.4072847682</v>
      </c>
      <c r="F4506" s="2">
        <v>38.0</v>
      </c>
      <c r="G4506" s="3">
        <f t="shared" si="2"/>
        <v>0.1258278146</v>
      </c>
      <c r="H4506" s="2">
        <v>52.0</v>
      </c>
      <c r="I4506" s="3">
        <f t="shared" si="3"/>
        <v>0.1721854305</v>
      </c>
      <c r="J4506" s="2">
        <v>42.0</v>
      </c>
      <c r="K4506" s="3">
        <f t="shared" si="4"/>
        <v>0.1390728477</v>
      </c>
      <c r="L4506" s="2">
        <v>37.0</v>
      </c>
      <c r="M4506" s="3">
        <f t="shared" si="5"/>
        <v>0.7115384615</v>
      </c>
      <c r="N4506" s="2">
        <v>297600.0</v>
      </c>
      <c r="O4506" s="4">
        <f t="shared" si="6"/>
        <v>5723.076923</v>
      </c>
      <c r="P4506" s="2">
        <v>0.0</v>
      </c>
      <c r="Q4506" s="3">
        <f t="shared" si="7"/>
        <v>0</v>
      </c>
      <c r="R4506" s="2">
        <v>13.0</v>
      </c>
      <c r="S4506" s="5">
        <f t="shared" si="8"/>
        <v>0.4642857143</v>
      </c>
    </row>
    <row r="4507">
      <c r="A4507" s="2" t="s">
        <v>4509</v>
      </c>
      <c r="B4507" s="2">
        <v>130.0</v>
      </c>
      <c r="C4507" s="2">
        <v>1505.0</v>
      </c>
      <c r="D4507" s="2">
        <v>349.0</v>
      </c>
      <c r="E4507" s="3">
        <f t="shared" si="1"/>
        <v>0.2538181818</v>
      </c>
      <c r="F4507" s="2">
        <v>173.0</v>
      </c>
      <c r="G4507" s="3">
        <f t="shared" si="2"/>
        <v>0.1258181818</v>
      </c>
      <c r="H4507" s="2">
        <v>236.0</v>
      </c>
      <c r="I4507" s="3">
        <f t="shared" si="3"/>
        <v>0.1716363636</v>
      </c>
      <c r="J4507" s="2">
        <v>215.0</v>
      </c>
      <c r="K4507" s="3">
        <f t="shared" si="4"/>
        <v>0.1563636364</v>
      </c>
      <c r="L4507" s="2">
        <v>136.0</v>
      </c>
      <c r="M4507" s="3">
        <f t="shared" si="5"/>
        <v>0.5762711864</v>
      </c>
      <c r="N4507" s="2">
        <v>1388000.0</v>
      </c>
      <c r="O4507" s="4">
        <f t="shared" si="6"/>
        <v>5881.355932</v>
      </c>
      <c r="P4507" s="2">
        <v>0.0</v>
      </c>
      <c r="Q4507" s="3">
        <f t="shared" si="7"/>
        <v>0</v>
      </c>
      <c r="R4507" s="2">
        <v>130.0</v>
      </c>
      <c r="S4507" s="5">
        <f t="shared" si="8"/>
        <v>1</v>
      </c>
    </row>
    <row r="4508">
      <c r="A4508" s="2" t="s">
        <v>4510</v>
      </c>
      <c r="B4508" s="2">
        <v>58.0</v>
      </c>
      <c r="C4508" s="2">
        <v>670.0</v>
      </c>
      <c r="D4508" s="2">
        <v>186.0</v>
      </c>
      <c r="E4508" s="3">
        <f t="shared" si="1"/>
        <v>0.3039215686</v>
      </c>
      <c r="F4508" s="2">
        <v>77.0</v>
      </c>
      <c r="G4508" s="3">
        <f t="shared" si="2"/>
        <v>0.1258169935</v>
      </c>
      <c r="H4508" s="2">
        <v>103.0</v>
      </c>
      <c r="I4508" s="3">
        <f t="shared" si="3"/>
        <v>0.1683006536</v>
      </c>
      <c r="J4508" s="2">
        <v>116.0</v>
      </c>
      <c r="K4508" s="3">
        <f t="shared" si="4"/>
        <v>0.1895424837</v>
      </c>
      <c r="L4508" s="2">
        <v>68.0</v>
      </c>
      <c r="M4508" s="3">
        <f t="shared" si="5"/>
        <v>0.6601941748</v>
      </c>
      <c r="N4508" s="2">
        <v>596600.0</v>
      </c>
      <c r="O4508" s="4">
        <f t="shared" si="6"/>
        <v>5792.23301</v>
      </c>
      <c r="P4508" s="2">
        <v>0.0</v>
      </c>
      <c r="Q4508" s="3">
        <f t="shared" si="7"/>
        <v>0</v>
      </c>
      <c r="R4508" s="2">
        <v>58.0</v>
      </c>
      <c r="S4508" s="5">
        <f t="shared" si="8"/>
        <v>1</v>
      </c>
    </row>
    <row r="4509">
      <c r="A4509" s="2" t="s">
        <v>4511</v>
      </c>
      <c r="B4509" s="2">
        <v>790.0</v>
      </c>
      <c r="C4509" s="2">
        <v>9223.0</v>
      </c>
      <c r="D4509" s="2">
        <v>3230.0</v>
      </c>
      <c r="E4509" s="3">
        <f t="shared" si="1"/>
        <v>0.3830190917</v>
      </c>
      <c r="F4509" s="2">
        <v>1061.0</v>
      </c>
      <c r="G4509" s="3">
        <f t="shared" si="2"/>
        <v>0.1258152496</v>
      </c>
      <c r="H4509" s="2">
        <v>1788.0</v>
      </c>
      <c r="I4509" s="3">
        <f t="shared" si="3"/>
        <v>0.2120241907</v>
      </c>
      <c r="J4509" s="2">
        <v>1475.0</v>
      </c>
      <c r="K4509" s="3">
        <f t="shared" si="4"/>
        <v>0.1749080991</v>
      </c>
      <c r="L4509" s="2">
        <v>1084.0</v>
      </c>
      <c r="M4509" s="3">
        <f t="shared" si="5"/>
        <v>0.6062639821</v>
      </c>
      <c r="N4509" s="2">
        <v>1.00334E7</v>
      </c>
      <c r="O4509" s="4">
        <f t="shared" si="6"/>
        <v>5611.521253</v>
      </c>
      <c r="P4509" s="2">
        <v>0.0</v>
      </c>
      <c r="Q4509" s="3">
        <f t="shared" si="7"/>
        <v>0</v>
      </c>
      <c r="R4509" s="2">
        <v>715.0</v>
      </c>
      <c r="S4509" s="5">
        <f t="shared" si="8"/>
        <v>0.9050632911</v>
      </c>
    </row>
    <row r="4510">
      <c r="A4510" s="2" t="s">
        <v>4512</v>
      </c>
      <c r="B4510" s="2">
        <v>497.0</v>
      </c>
      <c r="C4510" s="2">
        <v>5902.0</v>
      </c>
      <c r="D4510" s="2">
        <v>2164.0</v>
      </c>
      <c r="E4510" s="3">
        <f t="shared" si="1"/>
        <v>0.4003700278</v>
      </c>
      <c r="F4510" s="2">
        <v>680.0</v>
      </c>
      <c r="G4510" s="3">
        <f t="shared" si="2"/>
        <v>0.1258094357</v>
      </c>
      <c r="H4510" s="2">
        <v>1209.0</v>
      </c>
      <c r="I4510" s="3">
        <f t="shared" si="3"/>
        <v>0.2236817761</v>
      </c>
      <c r="J4510" s="2">
        <v>838.0</v>
      </c>
      <c r="K4510" s="3">
        <f t="shared" si="4"/>
        <v>0.1550416281</v>
      </c>
      <c r="L4510" s="2">
        <v>720.0</v>
      </c>
      <c r="M4510" s="3">
        <f t="shared" si="5"/>
        <v>0.5955334988</v>
      </c>
      <c r="N4510" s="2">
        <v>6261900.0</v>
      </c>
      <c r="O4510" s="4">
        <f t="shared" si="6"/>
        <v>5179.404467</v>
      </c>
      <c r="P4510" s="2">
        <v>1.0</v>
      </c>
      <c r="Q4510" s="3">
        <f t="shared" si="7"/>
        <v>0.002012072435</v>
      </c>
      <c r="R4510" s="2">
        <v>497.0</v>
      </c>
      <c r="S4510" s="5">
        <f t="shared" si="8"/>
        <v>1</v>
      </c>
    </row>
    <row r="4511">
      <c r="A4511" s="2" t="s">
        <v>4513</v>
      </c>
      <c r="B4511" s="2">
        <v>73.0</v>
      </c>
      <c r="C4511" s="2">
        <v>852.0</v>
      </c>
      <c r="D4511" s="2">
        <v>251.0</v>
      </c>
      <c r="E4511" s="3">
        <f t="shared" si="1"/>
        <v>0.3222079589</v>
      </c>
      <c r="F4511" s="2">
        <v>98.0</v>
      </c>
      <c r="G4511" s="3">
        <f t="shared" si="2"/>
        <v>0.1258023107</v>
      </c>
      <c r="H4511" s="2">
        <v>155.0</v>
      </c>
      <c r="I4511" s="3">
        <f t="shared" si="3"/>
        <v>0.1989730424</v>
      </c>
      <c r="J4511" s="2">
        <v>115.0</v>
      </c>
      <c r="K4511" s="3">
        <f t="shared" si="4"/>
        <v>0.1476251605</v>
      </c>
      <c r="L4511" s="2">
        <v>95.0</v>
      </c>
      <c r="M4511" s="3">
        <f t="shared" si="5"/>
        <v>0.6129032258</v>
      </c>
      <c r="N4511" s="2">
        <v>789100.0</v>
      </c>
      <c r="O4511" s="4">
        <f t="shared" si="6"/>
        <v>5090.967742</v>
      </c>
      <c r="P4511" s="2">
        <v>0.0</v>
      </c>
      <c r="Q4511" s="3">
        <f t="shared" si="7"/>
        <v>0</v>
      </c>
      <c r="R4511" s="2">
        <v>73.0</v>
      </c>
      <c r="S4511" s="5">
        <f t="shared" si="8"/>
        <v>1</v>
      </c>
    </row>
    <row r="4512">
      <c r="A4512" s="2" t="s">
        <v>4514</v>
      </c>
      <c r="B4512" s="2">
        <v>233.0</v>
      </c>
      <c r="C4512" s="2">
        <v>2729.0</v>
      </c>
      <c r="D4512" s="2">
        <v>881.0</v>
      </c>
      <c r="E4512" s="3">
        <f t="shared" si="1"/>
        <v>0.3529647436</v>
      </c>
      <c r="F4512" s="2">
        <v>314.0</v>
      </c>
      <c r="G4512" s="3">
        <f t="shared" si="2"/>
        <v>0.1258012821</v>
      </c>
      <c r="H4512" s="2">
        <v>488.0</v>
      </c>
      <c r="I4512" s="3">
        <f t="shared" si="3"/>
        <v>0.1955128205</v>
      </c>
      <c r="J4512" s="2">
        <v>408.0</v>
      </c>
      <c r="K4512" s="3">
        <f t="shared" si="4"/>
        <v>0.1634615385</v>
      </c>
      <c r="L4512" s="2">
        <v>276.0</v>
      </c>
      <c r="M4512" s="3">
        <f t="shared" si="5"/>
        <v>0.5655737705</v>
      </c>
      <c r="N4512" s="2">
        <v>2928500.0</v>
      </c>
      <c r="O4512" s="4">
        <f t="shared" si="6"/>
        <v>6001.02459</v>
      </c>
      <c r="P4512" s="2">
        <v>0.0</v>
      </c>
      <c r="Q4512" s="3">
        <f t="shared" si="7"/>
        <v>0</v>
      </c>
      <c r="R4512" s="2">
        <v>184.0</v>
      </c>
      <c r="S4512" s="5">
        <f t="shared" si="8"/>
        <v>0.7896995708</v>
      </c>
    </row>
    <row r="4513">
      <c r="A4513" s="2" t="s">
        <v>4515</v>
      </c>
      <c r="B4513" s="2">
        <v>41.0</v>
      </c>
      <c r="C4513" s="2">
        <v>510.0</v>
      </c>
      <c r="D4513" s="2">
        <v>159.0</v>
      </c>
      <c r="E4513" s="3">
        <f t="shared" si="1"/>
        <v>0.3390191898</v>
      </c>
      <c r="F4513" s="2">
        <v>59.0</v>
      </c>
      <c r="G4513" s="3">
        <f t="shared" si="2"/>
        <v>0.1257995736</v>
      </c>
      <c r="H4513" s="2">
        <v>97.0</v>
      </c>
      <c r="I4513" s="3">
        <f t="shared" si="3"/>
        <v>0.2068230277</v>
      </c>
      <c r="J4513" s="2">
        <v>70.0</v>
      </c>
      <c r="K4513" s="3">
        <f t="shared" si="4"/>
        <v>0.1492537313</v>
      </c>
      <c r="L4513" s="2">
        <v>47.0</v>
      </c>
      <c r="M4513" s="3">
        <f t="shared" si="5"/>
        <v>0.4845360825</v>
      </c>
      <c r="N4513" s="2">
        <v>640700.0</v>
      </c>
      <c r="O4513" s="4">
        <f t="shared" si="6"/>
        <v>6605.154639</v>
      </c>
      <c r="P4513" s="2">
        <v>0.0</v>
      </c>
      <c r="Q4513" s="3">
        <f t="shared" si="7"/>
        <v>0</v>
      </c>
      <c r="R4513" s="2">
        <v>41.0</v>
      </c>
      <c r="S4513" s="5">
        <f t="shared" si="8"/>
        <v>1</v>
      </c>
    </row>
    <row r="4514">
      <c r="A4514" s="2" t="s">
        <v>4516</v>
      </c>
      <c r="B4514" s="2">
        <v>474.0</v>
      </c>
      <c r="C4514" s="2">
        <v>5482.0</v>
      </c>
      <c r="D4514" s="2">
        <v>1558.0</v>
      </c>
      <c r="E4514" s="3">
        <f t="shared" si="1"/>
        <v>0.3111022364</v>
      </c>
      <c r="F4514" s="2">
        <v>630.0</v>
      </c>
      <c r="G4514" s="3">
        <f t="shared" si="2"/>
        <v>0.125798722</v>
      </c>
      <c r="H4514" s="2">
        <v>957.0</v>
      </c>
      <c r="I4514" s="3">
        <f t="shared" si="3"/>
        <v>0.1910942492</v>
      </c>
      <c r="J4514" s="2">
        <v>770.0</v>
      </c>
      <c r="K4514" s="3">
        <f t="shared" si="4"/>
        <v>0.1537539936</v>
      </c>
      <c r="L4514" s="2">
        <v>574.0</v>
      </c>
      <c r="M4514" s="3">
        <f t="shared" si="5"/>
        <v>0.5997910136</v>
      </c>
      <c r="N4514" s="2">
        <v>5282100.0</v>
      </c>
      <c r="O4514" s="4">
        <f t="shared" si="6"/>
        <v>5519.435737</v>
      </c>
      <c r="P4514" s="2">
        <v>1.0</v>
      </c>
      <c r="Q4514" s="3">
        <f t="shared" si="7"/>
        <v>0.002109704641</v>
      </c>
      <c r="R4514" s="2">
        <v>474.0</v>
      </c>
      <c r="S4514" s="5">
        <f t="shared" si="8"/>
        <v>1</v>
      </c>
    </row>
    <row r="4515">
      <c r="A4515" s="2" t="s">
        <v>4517</v>
      </c>
      <c r="B4515" s="2">
        <v>1008.0</v>
      </c>
      <c r="C4515" s="2">
        <v>11684.0</v>
      </c>
      <c r="D4515" s="2">
        <v>4088.0</v>
      </c>
      <c r="E4515" s="3">
        <f t="shared" si="1"/>
        <v>0.3829149494</v>
      </c>
      <c r="F4515" s="2">
        <v>1343.0</v>
      </c>
      <c r="G4515" s="3">
        <f t="shared" si="2"/>
        <v>0.1257961783</v>
      </c>
      <c r="H4515" s="2">
        <v>2287.0</v>
      </c>
      <c r="I4515" s="3">
        <f t="shared" si="3"/>
        <v>0.2142188085</v>
      </c>
      <c r="J4515" s="2">
        <v>2030.0</v>
      </c>
      <c r="K4515" s="3">
        <f t="shared" si="4"/>
        <v>0.1901461221</v>
      </c>
      <c r="L4515" s="2">
        <v>1304.0</v>
      </c>
      <c r="M4515" s="3">
        <f t="shared" si="5"/>
        <v>0.5701792742</v>
      </c>
      <c r="N4515" s="2">
        <v>1.31992E7</v>
      </c>
      <c r="O4515" s="4">
        <f t="shared" si="6"/>
        <v>5771.403585</v>
      </c>
      <c r="P4515" s="2">
        <v>3.0</v>
      </c>
      <c r="Q4515" s="3">
        <f t="shared" si="7"/>
        <v>0.002976190476</v>
      </c>
      <c r="R4515" s="2">
        <v>1008.0</v>
      </c>
      <c r="S4515" s="5">
        <f t="shared" si="8"/>
        <v>1</v>
      </c>
    </row>
    <row r="4516">
      <c r="A4516" s="2" t="s">
        <v>4518</v>
      </c>
      <c r="B4516" s="2">
        <v>73.0</v>
      </c>
      <c r="C4516" s="2">
        <v>860.0</v>
      </c>
      <c r="D4516" s="2">
        <v>295.0</v>
      </c>
      <c r="E4516" s="3">
        <f t="shared" si="1"/>
        <v>0.374841169</v>
      </c>
      <c r="F4516" s="2">
        <v>99.0</v>
      </c>
      <c r="G4516" s="3">
        <f t="shared" si="2"/>
        <v>0.125794155</v>
      </c>
      <c r="H4516" s="2">
        <v>160.0</v>
      </c>
      <c r="I4516" s="3">
        <f t="shared" si="3"/>
        <v>0.2033036849</v>
      </c>
      <c r="J4516" s="2">
        <v>140.0</v>
      </c>
      <c r="K4516" s="3">
        <f t="shared" si="4"/>
        <v>0.1778907243</v>
      </c>
      <c r="L4516" s="2">
        <v>101.0</v>
      </c>
      <c r="M4516" s="3">
        <f t="shared" si="5"/>
        <v>0.63125</v>
      </c>
      <c r="N4516" s="2">
        <v>793500.0</v>
      </c>
      <c r="O4516" s="4">
        <f t="shared" si="6"/>
        <v>4959.375</v>
      </c>
      <c r="P4516" s="2">
        <v>0.0</v>
      </c>
      <c r="Q4516" s="3">
        <f t="shared" si="7"/>
        <v>0</v>
      </c>
      <c r="R4516" s="2">
        <v>0.0</v>
      </c>
      <c r="S4516" s="5">
        <f t="shared" si="8"/>
        <v>0</v>
      </c>
    </row>
    <row r="4517">
      <c r="A4517" s="2" t="s">
        <v>4519</v>
      </c>
      <c r="B4517" s="2">
        <v>513.0</v>
      </c>
      <c r="C4517" s="2">
        <v>6030.0</v>
      </c>
      <c r="D4517" s="2">
        <v>1635.0</v>
      </c>
      <c r="E4517" s="3">
        <f t="shared" si="1"/>
        <v>0.2963567156</v>
      </c>
      <c r="F4517" s="2">
        <v>694.0</v>
      </c>
      <c r="G4517" s="3">
        <f t="shared" si="2"/>
        <v>0.1257930034</v>
      </c>
      <c r="H4517" s="2">
        <v>1211.0</v>
      </c>
      <c r="I4517" s="3">
        <f t="shared" si="3"/>
        <v>0.2195033533</v>
      </c>
      <c r="J4517" s="2">
        <v>1062.0</v>
      </c>
      <c r="K4517" s="3">
        <f t="shared" si="4"/>
        <v>0.1924959217</v>
      </c>
      <c r="L4517" s="2">
        <v>736.0</v>
      </c>
      <c r="M4517" s="3">
        <f t="shared" si="5"/>
        <v>0.60776218</v>
      </c>
      <c r="N4517" s="2">
        <v>6857700.0</v>
      </c>
      <c r="O4517" s="4">
        <f t="shared" si="6"/>
        <v>5662.840628</v>
      </c>
      <c r="P4517" s="2">
        <v>1.0</v>
      </c>
      <c r="Q4517" s="3">
        <f t="shared" si="7"/>
        <v>0.001949317739</v>
      </c>
      <c r="R4517" s="2">
        <v>513.0</v>
      </c>
      <c r="S4517" s="5">
        <f t="shared" si="8"/>
        <v>1</v>
      </c>
    </row>
    <row r="4518">
      <c r="A4518" s="2" t="s">
        <v>4520</v>
      </c>
      <c r="B4518" s="2">
        <v>1062.0</v>
      </c>
      <c r="C4518" s="2">
        <v>12422.0</v>
      </c>
      <c r="D4518" s="2">
        <v>3692.0</v>
      </c>
      <c r="E4518" s="3">
        <f t="shared" si="1"/>
        <v>0.325</v>
      </c>
      <c r="F4518" s="2">
        <v>1429.0</v>
      </c>
      <c r="G4518" s="3">
        <f t="shared" si="2"/>
        <v>0.1257922535</v>
      </c>
      <c r="H4518" s="2">
        <v>2484.0</v>
      </c>
      <c r="I4518" s="3">
        <f t="shared" si="3"/>
        <v>0.2186619718</v>
      </c>
      <c r="J4518" s="2">
        <v>2095.0</v>
      </c>
      <c r="K4518" s="3">
        <f t="shared" si="4"/>
        <v>0.1844190141</v>
      </c>
      <c r="L4518" s="2">
        <v>1436.0</v>
      </c>
      <c r="M4518" s="3">
        <f t="shared" si="5"/>
        <v>0.578099839</v>
      </c>
      <c r="N4518" s="2">
        <v>1.40146E7</v>
      </c>
      <c r="O4518" s="4">
        <f t="shared" si="6"/>
        <v>5641.94847</v>
      </c>
      <c r="P4518" s="2">
        <v>2.0</v>
      </c>
      <c r="Q4518" s="3">
        <f t="shared" si="7"/>
        <v>0.001883239171</v>
      </c>
      <c r="R4518" s="2">
        <v>173.0</v>
      </c>
      <c r="S4518" s="5">
        <f t="shared" si="8"/>
        <v>0.1629001883</v>
      </c>
    </row>
    <row r="4519">
      <c r="A4519" s="2" t="s">
        <v>4521</v>
      </c>
      <c r="B4519" s="2">
        <v>2542.0</v>
      </c>
      <c r="C4519" s="2">
        <v>29770.0</v>
      </c>
      <c r="D4519" s="2">
        <v>7998.0</v>
      </c>
      <c r="E4519" s="3">
        <f t="shared" si="1"/>
        <v>0.2937417364</v>
      </c>
      <c r="F4519" s="2">
        <v>3425.0</v>
      </c>
      <c r="G4519" s="3">
        <f t="shared" si="2"/>
        <v>0.1257896283</v>
      </c>
      <c r="H4519" s="2">
        <v>5617.0</v>
      </c>
      <c r="I4519" s="3">
        <f t="shared" si="3"/>
        <v>0.2062949905</v>
      </c>
      <c r="J4519" s="2">
        <v>5071.0</v>
      </c>
      <c r="K4519" s="3">
        <f t="shared" si="4"/>
        <v>0.1862421037</v>
      </c>
      <c r="L4519" s="2">
        <v>3245.0</v>
      </c>
      <c r="M4519" s="3">
        <f t="shared" si="5"/>
        <v>0.5777105216</v>
      </c>
      <c r="N4519" s="2">
        <v>3.26191E7</v>
      </c>
      <c r="O4519" s="4">
        <f t="shared" si="6"/>
        <v>5807.210255</v>
      </c>
      <c r="P4519" s="2">
        <v>3.0</v>
      </c>
      <c r="Q4519" s="3">
        <f t="shared" si="7"/>
        <v>0.001180173092</v>
      </c>
      <c r="R4519" s="2">
        <v>1016.0</v>
      </c>
      <c r="S4519" s="5">
        <f t="shared" si="8"/>
        <v>0.3996852872</v>
      </c>
    </row>
    <row r="4520">
      <c r="A4520" s="2" t="s">
        <v>4522</v>
      </c>
      <c r="B4520" s="2">
        <v>512.0</v>
      </c>
      <c r="C4520" s="2">
        <v>5918.0</v>
      </c>
      <c r="D4520" s="2">
        <v>1444.0</v>
      </c>
      <c r="E4520" s="3">
        <f t="shared" si="1"/>
        <v>0.2671106178</v>
      </c>
      <c r="F4520" s="2">
        <v>680.0</v>
      </c>
      <c r="G4520" s="3">
        <f t="shared" si="2"/>
        <v>0.1257861635</v>
      </c>
      <c r="H4520" s="2">
        <v>1123.0</v>
      </c>
      <c r="I4520" s="3">
        <f t="shared" si="3"/>
        <v>0.2077321495</v>
      </c>
      <c r="J4520" s="2">
        <v>890.0</v>
      </c>
      <c r="K4520" s="3">
        <f t="shared" si="4"/>
        <v>0.1646318905</v>
      </c>
      <c r="L4520" s="2">
        <v>664.0</v>
      </c>
      <c r="M4520" s="3">
        <f t="shared" si="5"/>
        <v>0.5912733749</v>
      </c>
      <c r="N4520" s="2">
        <v>6564000.0</v>
      </c>
      <c r="O4520" s="4">
        <f t="shared" si="6"/>
        <v>5845.057881</v>
      </c>
      <c r="P4520" s="2">
        <v>0.0</v>
      </c>
      <c r="Q4520" s="3">
        <f t="shared" si="7"/>
        <v>0</v>
      </c>
      <c r="R4520" s="2">
        <v>495.0</v>
      </c>
      <c r="S4520" s="5">
        <f t="shared" si="8"/>
        <v>0.966796875</v>
      </c>
    </row>
    <row r="4521">
      <c r="A4521" s="2" t="s">
        <v>4523</v>
      </c>
      <c r="B4521" s="2">
        <v>678.0</v>
      </c>
      <c r="C4521" s="2">
        <v>7865.0</v>
      </c>
      <c r="D4521" s="2">
        <v>2533.0</v>
      </c>
      <c r="E4521" s="3">
        <f t="shared" si="1"/>
        <v>0.352441909</v>
      </c>
      <c r="F4521" s="2">
        <v>904.0</v>
      </c>
      <c r="G4521" s="3">
        <f t="shared" si="2"/>
        <v>0.1257826631</v>
      </c>
      <c r="H4521" s="2">
        <v>1497.0</v>
      </c>
      <c r="I4521" s="3">
        <f t="shared" si="3"/>
        <v>0.2082927508</v>
      </c>
      <c r="J4521" s="2">
        <v>1197.0</v>
      </c>
      <c r="K4521" s="3">
        <f t="shared" si="4"/>
        <v>0.1665507166</v>
      </c>
      <c r="L4521" s="2">
        <v>915.0</v>
      </c>
      <c r="M4521" s="3">
        <f t="shared" si="5"/>
        <v>0.6112224449</v>
      </c>
      <c r="N4521" s="2">
        <v>8103000.0</v>
      </c>
      <c r="O4521" s="4">
        <f t="shared" si="6"/>
        <v>5412.825651</v>
      </c>
      <c r="P4521" s="2">
        <v>4.0</v>
      </c>
      <c r="Q4521" s="3">
        <f t="shared" si="7"/>
        <v>0.005899705015</v>
      </c>
      <c r="R4521" s="2">
        <v>678.0</v>
      </c>
      <c r="S4521" s="5">
        <f t="shared" si="8"/>
        <v>1</v>
      </c>
    </row>
    <row r="4522">
      <c r="A4522" s="2" t="s">
        <v>4524</v>
      </c>
      <c r="B4522" s="2">
        <v>647.0</v>
      </c>
      <c r="C4522" s="2">
        <v>7572.0</v>
      </c>
      <c r="D4522" s="2">
        <v>1944.0</v>
      </c>
      <c r="E4522" s="3">
        <f t="shared" si="1"/>
        <v>0.2807220217</v>
      </c>
      <c r="F4522" s="2">
        <v>871.0</v>
      </c>
      <c r="G4522" s="3">
        <f t="shared" si="2"/>
        <v>0.1257761733</v>
      </c>
      <c r="H4522" s="2">
        <v>1330.0</v>
      </c>
      <c r="I4522" s="3">
        <f t="shared" si="3"/>
        <v>0.1920577617</v>
      </c>
      <c r="J4522" s="2">
        <v>1122.0</v>
      </c>
      <c r="K4522" s="3">
        <f t="shared" si="4"/>
        <v>0.1620216606</v>
      </c>
      <c r="L4522" s="2">
        <v>816.0</v>
      </c>
      <c r="M4522" s="3">
        <f t="shared" si="5"/>
        <v>0.6135338346</v>
      </c>
      <c r="N4522" s="2">
        <v>7928600.0</v>
      </c>
      <c r="O4522" s="4">
        <f t="shared" si="6"/>
        <v>5961.353383</v>
      </c>
      <c r="P4522" s="2">
        <v>2.0</v>
      </c>
      <c r="Q4522" s="3">
        <f t="shared" si="7"/>
        <v>0.003091190108</v>
      </c>
      <c r="R4522" s="2">
        <v>647.0</v>
      </c>
      <c r="S4522" s="5">
        <f t="shared" si="8"/>
        <v>1</v>
      </c>
    </row>
    <row r="4523">
      <c r="A4523" s="2" t="s">
        <v>4525</v>
      </c>
      <c r="B4523" s="2">
        <v>267.0</v>
      </c>
      <c r="C4523" s="2">
        <v>3169.0</v>
      </c>
      <c r="D4523" s="2">
        <v>885.0</v>
      </c>
      <c r="E4523" s="3">
        <f t="shared" si="1"/>
        <v>0.3049620951</v>
      </c>
      <c r="F4523" s="2">
        <v>365.0</v>
      </c>
      <c r="G4523" s="3">
        <f t="shared" si="2"/>
        <v>0.1257753274</v>
      </c>
      <c r="H4523" s="2">
        <v>595.0</v>
      </c>
      <c r="I4523" s="3">
        <f t="shared" si="3"/>
        <v>0.2050310131</v>
      </c>
      <c r="J4523" s="2">
        <v>604.0</v>
      </c>
      <c r="K4523" s="3">
        <f t="shared" si="4"/>
        <v>0.2081323225</v>
      </c>
      <c r="L4523" s="2">
        <v>330.0</v>
      </c>
      <c r="M4523" s="3">
        <f t="shared" si="5"/>
        <v>0.5546218487</v>
      </c>
      <c r="N4523" s="2">
        <v>3478200.0</v>
      </c>
      <c r="O4523" s="4">
        <f t="shared" si="6"/>
        <v>5845.714286</v>
      </c>
      <c r="P4523" s="2">
        <v>0.0</v>
      </c>
      <c r="Q4523" s="3">
        <f t="shared" si="7"/>
        <v>0</v>
      </c>
      <c r="R4523" s="2">
        <v>267.0</v>
      </c>
      <c r="S4523" s="5">
        <f t="shared" si="8"/>
        <v>1</v>
      </c>
    </row>
    <row r="4524">
      <c r="A4524" s="2" t="s">
        <v>4526</v>
      </c>
      <c r="B4524" s="2">
        <v>44.0</v>
      </c>
      <c r="C4524" s="2">
        <v>529.0</v>
      </c>
      <c r="D4524" s="2">
        <v>172.0</v>
      </c>
      <c r="E4524" s="3">
        <f t="shared" si="1"/>
        <v>0.3546391753</v>
      </c>
      <c r="F4524" s="2">
        <v>61.0</v>
      </c>
      <c r="G4524" s="3">
        <f t="shared" si="2"/>
        <v>0.1257731959</v>
      </c>
      <c r="H4524" s="2">
        <v>86.0</v>
      </c>
      <c r="I4524" s="3">
        <f t="shared" si="3"/>
        <v>0.1773195876</v>
      </c>
      <c r="J4524" s="2">
        <v>70.0</v>
      </c>
      <c r="K4524" s="3">
        <f t="shared" si="4"/>
        <v>0.1443298969</v>
      </c>
      <c r="L4524" s="2">
        <v>63.0</v>
      </c>
      <c r="M4524" s="3">
        <f t="shared" si="5"/>
        <v>0.7325581395</v>
      </c>
      <c r="N4524" s="2">
        <v>544100.0</v>
      </c>
      <c r="O4524" s="4">
        <f t="shared" si="6"/>
        <v>6326.744186</v>
      </c>
      <c r="P4524" s="2">
        <v>0.0</v>
      </c>
      <c r="Q4524" s="3">
        <f t="shared" si="7"/>
        <v>0</v>
      </c>
      <c r="R4524" s="2">
        <v>0.0</v>
      </c>
      <c r="S4524" s="5">
        <f t="shared" si="8"/>
        <v>0</v>
      </c>
    </row>
    <row r="4525">
      <c r="A4525" s="2" t="s">
        <v>4527</v>
      </c>
      <c r="B4525" s="2">
        <v>1357.0</v>
      </c>
      <c r="C4525" s="2">
        <v>16098.0</v>
      </c>
      <c r="D4525" s="2">
        <v>4855.0</v>
      </c>
      <c r="E4525" s="3">
        <f t="shared" si="1"/>
        <v>0.3293535038</v>
      </c>
      <c r="F4525" s="2">
        <v>1854.0</v>
      </c>
      <c r="G4525" s="3">
        <f t="shared" si="2"/>
        <v>0.1257716573</v>
      </c>
      <c r="H4525" s="2">
        <v>3180.0</v>
      </c>
      <c r="I4525" s="3">
        <f t="shared" si="3"/>
        <v>0.2157248491</v>
      </c>
      <c r="J4525" s="2">
        <v>2414.0</v>
      </c>
      <c r="K4525" s="3">
        <f t="shared" si="4"/>
        <v>0.1637609389</v>
      </c>
      <c r="L4525" s="2">
        <v>1896.0</v>
      </c>
      <c r="M4525" s="3">
        <f t="shared" si="5"/>
        <v>0.5962264151</v>
      </c>
      <c r="N4525" s="2">
        <v>1.64351E7</v>
      </c>
      <c r="O4525" s="4">
        <f t="shared" si="6"/>
        <v>5168.27044</v>
      </c>
      <c r="P4525" s="2">
        <v>2.0</v>
      </c>
      <c r="Q4525" s="3">
        <f t="shared" si="7"/>
        <v>0.001473839352</v>
      </c>
      <c r="R4525" s="2">
        <v>1357.0</v>
      </c>
      <c r="S4525" s="5">
        <f t="shared" si="8"/>
        <v>1</v>
      </c>
    </row>
    <row r="4526">
      <c r="A4526" s="2" t="s">
        <v>4528</v>
      </c>
      <c r="B4526" s="2">
        <v>76.0</v>
      </c>
      <c r="C4526" s="2">
        <v>887.0</v>
      </c>
      <c r="D4526" s="2">
        <v>219.0</v>
      </c>
      <c r="E4526" s="3">
        <f t="shared" si="1"/>
        <v>0.2700369914</v>
      </c>
      <c r="F4526" s="2">
        <v>102.0</v>
      </c>
      <c r="G4526" s="3">
        <f t="shared" si="2"/>
        <v>0.1257706535</v>
      </c>
      <c r="H4526" s="2">
        <v>138.0</v>
      </c>
      <c r="I4526" s="3">
        <f t="shared" si="3"/>
        <v>0.1701602959</v>
      </c>
      <c r="J4526" s="2">
        <v>94.0</v>
      </c>
      <c r="K4526" s="3">
        <f t="shared" si="4"/>
        <v>0.1159062885</v>
      </c>
      <c r="L4526" s="2">
        <v>92.0</v>
      </c>
      <c r="M4526" s="3">
        <f t="shared" si="5"/>
        <v>0.6666666667</v>
      </c>
      <c r="N4526" s="2">
        <v>866400.0</v>
      </c>
      <c r="O4526" s="4">
        <f t="shared" si="6"/>
        <v>6278.26087</v>
      </c>
      <c r="P4526" s="2">
        <v>2.0</v>
      </c>
      <c r="Q4526" s="3">
        <f t="shared" si="7"/>
        <v>0.02631578947</v>
      </c>
      <c r="R4526" s="2">
        <v>76.0</v>
      </c>
      <c r="S4526" s="5">
        <f t="shared" si="8"/>
        <v>1</v>
      </c>
    </row>
    <row r="4527">
      <c r="A4527" s="2" t="s">
        <v>4529</v>
      </c>
      <c r="B4527" s="2">
        <v>177.0</v>
      </c>
      <c r="C4527" s="2">
        <v>2133.0</v>
      </c>
      <c r="D4527" s="2">
        <v>773.0</v>
      </c>
      <c r="E4527" s="3">
        <f t="shared" si="1"/>
        <v>0.395194274</v>
      </c>
      <c r="F4527" s="2">
        <v>246.0</v>
      </c>
      <c r="G4527" s="3">
        <f t="shared" si="2"/>
        <v>0.1257668712</v>
      </c>
      <c r="H4527" s="2">
        <v>378.0</v>
      </c>
      <c r="I4527" s="3">
        <f t="shared" si="3"/>
        <v>0.1932515337</v>
      </c>
      <c r="J4527" s="2">
        <v>260.0</v>
      </c>
      <c r="K4527" s="3">
        <f t="shared" si="4"/>
        <v>0.1329243354</v>
      </c>
      <c r="L4527" s="2">
        <v>229.0</v>
      </c>
      <c r="M4527" s="3">
        <f t="shared" si="5"/>
        <v>0.6058201058</v>
      </c>
      <c r="N4527" s="2">
        <v>2000600.0</v>
      </c>
      <c r="O4527" s="4">
        <f t="shared" si="6"/>
        <v>5292.592593</v>
      </c>
      <c r="P4527" s="2">
        <v>0.0</v>
      </c>
      <c r="Q4527" s="3">
        <f t="shared" si="7"/>
        <v>0</v>
      </c>
      <c r="R4527" s="2">
        <v>177.0</v>
      </c>
      <c r="S4527" s="5">
        <f t="shared" si="8"/>
        <v>1</v>
      </c>
    </row>
    <row r="4528">
      <c r="A4528" s="2" t="s">
        <v>4530</v>
      </c>
      <c r="B4528" s="2">
        <v>218.0</v>
      </c>
      <c r="C4528" s="2">
        <v>2508.0</v>
      </c>
      <c r="D4528" s="2">
        <v>694.0</v>
      </c>
      <c r="E4528" s="3">
        <f t="shared" si="1"/>
        <v>0.3030567686</v>
      </c>
      <c r="F4528" s="2">
        <v>288.0</v>
      </c>
      <c r="G4528" s="3">
        <f t="shared" si="2"/>
        <v>0.1257641921</v>
      </c>
      <c r="H4528" s="2">
        <v>479.0</v>
      </c>
      <c r="I4528" s="3">
        <f t="shared" si="3"/>
        <v>0.2091703057</v>
      </c>
      <c r="J4528" s="2">
        <v>401.0</v>
      </c>
      <c r="K4528" s="3">
        <f t="shared" si="4"/>
        <v>0.1751091703</v>
      </c>
      <c r="L4528" s="2">
        <v>271.0</v>
      </c>
      <c r="M4528" s="3">
        <f t="shared" si="5"/>
        <v>0.5657620042</v>
      </c>
      <c r="N4528" s="2">
        <v>2718300.0</v>
      </c>
      <c r="O4528" s="4">
        <f t="shared" si="6"/>
        <v>5674.947808</v>
      </c>
      <c r="P4528" s="2">
        <v>0.0</v>
      </c>
      <c r="Q4528" s="3">
        <f t="shared" si="7"/>
        <v>0</v>
      </c>
      <c r="R4528" s="2">
        <v>218.0</v>
      </c>
      <c r="S4528" s="5">
        <f t="shared" si="8"/>
        <v>1</v>
      </c>
    </row>
    <row r="4529">
      <c r="A4529" s="2" t="s">
        <v>4531</v>
      </c>
      <c r="B4529" s="2">
        <v>105.0</v>
      </c>
      <c r="C4529" s="2">
        <v>1250.0</v>
      </c>
      <c r="D4529" s="2">
        <v>270.0</v>
      </c>
      <c r="E4529" s="3">
        <f t="shared" si="1"/>
        <v>0.2358078603</v>
      </c>
      <c r="F4529" s="2">
        <v>144.0</v>
      </c>
      <c r="G4529" s="3">
        <f t="shared" si="2"/>
        <v>0.1257641921</v>
      </c>
      <c r="H4529" s="2">
        <v>203.0</v>
      </c>
      <c r="I4529" s="3">
        <f t="shared" si="3"/>
        <v>0.1772925764</v>
      </c>
      <c r="J4529" s="2">
        <v>165.0</v>
      </c>
      <c r="K4529" s="3">
        <f t="shared" si="4"/>
        <v>0.1441048035</v>
      </c>
      <c r="L4529" s="2">
        <v>118.0</v>
      </c>
      <c r="M4529" s="3">
        <f t="shared" si="5"/>
        <v>0.5812807882</v>
      </c>
      <c r="N4529" s="2">
        <v>1127900.0</v>
      </c>
      <c r="O4529" s="4">
        <f t="shared" si="6"/>
        <v>5556.157635</v>
      </c>
      <c r="P4529" s="2">
        <v>0.0</v>
      </c>
      <c r="Q4529" s="3">
        <f t="shared" si="7"/>
        <v>0</v>
      </c>
      <c r="R4529" s="2">
        <v>105.0</v>
      </c>
      <c r="S4529" s="5">
        <f t="shared" si="8"/>
        <v>1</v>
      </c>
    </row>
    <row r="4530">
      <c r="A4530" s="2" t="s">
        <v>4532</v>
      </c>
      <c r="B4530" s="2">
        <v>1428.0</v>
      </c>
      <c r="C4530" s="2">
        <v>16815.0</v>
      </c>
      <c r="D4530" s="2">
        <v>4240.0</v>
      </c>
      <c r="E4530" s="3">
        <f t="shared" si="1"/>
        <v>0.2755572886</v>
      </c>
      <c r="F4530" s="2">
        <v>1935.0</v>
      </c>
      <c r="G4530" s="3">
        <f t="shared" si="2"/>
        <v>0.1257555079</v>
      </c>
      <c r="H4530" s="2">
        <v>3009.0</v>
      </c>
      <c r="I4530" s="3">
        <f t="shared" si="3"/>
        <v>0.195554689</v>
      </c>
      <c r="J4530" s="2">
        <v>2897.0</v>
      </c>
      <c r="K4530" s="3">
        <f t="shared" si="4"/>
        <v>0.1882758172</v>
      </c>
      <c r="L4530" s="2">
        <v>1720.0</v>
      </c>
      <c r="M4530" s="3">
        <f t="shared" si="5"/>
        <v>0.5716184779</v>
      </c>
      <c r="N4530" s="2">
        <v>1.88609E7</v>
      </c>
      <c r="O4530" s="4">
        <f t="shared" si="6"/>
        <v>6268.16218</v>
      </c>
      <c r="P4530" s="2">
        <v>7.0</v>
      </c>
      <c r="Q4530" s="3">
        <f t="shared" si="7"/>
        <v>0.004901960784</v>
      </c>
      <c r="R4530" s="2">
        <v>1428.0</v>
      </c>
      <c r="S4530" s="5">
        <f t="shared" si="8"/>
        <v>1</v>
      </c>
    </row>
    <row r="4531">
      <c r="A4531" s="2" t="s">
        <v>4533</v>
      </c>
      <c r="B4531" s="2">
        <v>390.0</v>
      </c>
      <c r="C4531" s="2">
        <v>4700.0</v>
      </c>
      <c r="D4531" s="2">
        <v>1658.0</v>
      </c>
      <c r="E4531" s="3">
        <f t="shared" si="1"/>
        <v>0.3846867749</v>
      </c>
      <c r="F4531" s="2">
        <v>542.0</v>
      </c>
      <c r="G4531" s="3">
        <f t="shared" si="2"/>
        <v>0.1257540603</v>
      </c>
      <c r="H4531" s="2">
        <v>902.0</v>
      </c>
      <c r="I4531" s="3">
        <f t="shared" si="3"/>
        <v>0.2092807425</v>
      </c>
      <c r="J4531" s="2">
        <v>603.0</v>
      </c>
      <c r="K4531" s="3">
        <f t="shared" si="4"/>
        <v>0.1399071926</v>
      </c>
      <c r="L4531" s="2">
        <v>559.0</v>
      </c>
      <c r="M4531" s="3">
        <f t="shared" si="5"/>
        <v>0.6197339246</v>
      </c>
      <c r="N4531" s="2">
        <v>4878500.0</v>
      </c>
      <c r="O4531" s="4">
        <f t="shared" si="6"/>
        <v>5408.536585</v>
      </c>
      <c r="P4531" s="2">
        <v>0.0</v>
      </c>
      <c r="Q4531" s="3">
        <f t="shared" si="7"/>
        <v>0</v>
      </c>
      <c r="R4531" s="2">
        <v>0.0</v>
      </c>
      <c r="S4531" s="5">
        <f t="shared" si="8"/>
        <v>0</v>
      </c>
    </row>
    <row r="4532">
      <c r="A4532" s="2" t="s">
        <v>4534</v>
      </c>
      <c r="B4532" s="2">
        <v>561.0</v>
      </c>
      <c r="C4532" s="2">
        <v>6645.0</v>
      </c>
      <c r="D4532" s="2">
        <v>1948.0</v>
      </c>
      <c r="E4532" s="3">
        <f t="shared" si="1"/>
        <v>0.3201840894</v>
      </c>
      <c r="F4532" s="2">
        <v>765.0</v>
      </c>
      <c r="G4532" s="3">
        <f t="shared" si="2"/>
        <v>0.125739645</v>
      </c>
      <c r="H4532" s="2">
        <v>1270.0</v>
      </c>
      <c r="I4532" s="3">
        <f t="shared" si="3"/>
        <v>0.2087442472</v>
      </c>
      <c r="J4532" s="2">
        <v>951.0</v>
      </c>
      <c r="K4532" s="3">
        <f t="shared" si="4"/>
        <v>0.1563116371</v>
      </c>
      <c r="L4532" s="2">
        <v>783.0</v>
      </c>
      <c r="M4532" s="3">
        <f t="shared" si="5"/>
        <v>0.6165354331</v>
      </c>
      <c r="N4532" s="2">
        <v>6892800.0</v>
      </c>
      <c r="O4532" s="4">
        <f t="shared" si="6"/>
        <v>5427.401575</v>
      </c>
      <c r="P4532" s="2">
        <v>1.0</v>
      </c>
      <c r="Q4532" s="3">
        <f t="shared" si="7"/>
        <v>0.001782531194</v>
      </c>
      <c r="R4532" s="2">
        <v>0.0</v>
      </c>
      <c r="S4532" s="5">
        <f t="shared" si="8"/>
        <v>0</v>
      </c>
    </row>
    <row r="4533">
      <c r="A4533" s="2" t="s">
        <v>4535</v>
      </c>
      <c r="B4533" s="2">
        <v>321.0</v>
      </c>
      <c r="C4533" s="2">
        <v>3709.0</v>
      </c>
      <c r="D4533" s="2">
        <v>1121.0</v>
      </c>
      <c r="E4533" s="3">
        <f t="shared" si="1"/>
        <v>0.3308736718</v>
      </c>
      <c r="F4533" s="2">
        <v>426.0</v>
      </c>
      <c r="G4533" s="3">
        <f t="shared" si="2"/>
        <v>0.1257378985</v>
      </c>
      <c r="H4533" s="2">
        <v>656.0</v>
      </c>
      <c r="I4533" s="3">
        <f t="shared" si="3"/>
        <v>0.1936245573</v>
      </c>
      <c r="J4533" s="2">
        <v>537.0</v>
      </c>
      <c r="K4533" s="3">
        <f t="shared" si="4"/>
        <v>0.1585005903</v>
      </c>
      <c r="L4533" s="2">
        <v>406.0</v>
      </c>
      <c r="M4533" s="3">
        <f t="shared" si="5"/>
        <v>0.618902439</v>
      </c>
      <c r="N4533" s="2">
        <v>3827800.0</v>
      </c>
      <c r="O4533" s="4">
        <f t="shared" si="6"/>
        <v>5835.060976</v>
      </c>
      <c r="P4533" s="2">
        <v>2.0</v>
      </c>
      <c r="Q4533" s="3">
        <f t="shared" si="7"/>
        <v>0.006230529595</v>
      </c>
      <c r="R4533" s="2">
        <v>314.0</v>
      </c>
      <c r="S4533" s="5">
        <f t="shared" si="8"/>
        <v>0.9781931464</v>
      </c>
    </row>
    <row r="4534">
      <c r="A4534" s="2" t="s">
        <v>4536</v>
      </c>
      <c r="B4534" s="2">
        <v>656.0</v>
      </c>
      <c r="C4534" s="2">
        <v>7607.0</v>
      </c>
      <c r="D4534" s="2">
        <v>2122.0</v>
      </c>
      <c r="E4534" s="3">
        <f t="shared" si="1"/>
        <v>0.3052798159</v>
      </c>
      <c r="F4534" s="2">
        <v>874.0</v>
      </c>
      <c r="G4534" s="3">
        <f t="shared" si="2"/>
        <v>0.125737304</v>
      </c>
      <c r="H4534" s="2">
        <v>1456.0</v>
      </c>
      <c r="I4534" s="3">
        <f t="shared" si="3"/>
        <v>0.2094662638</v>
      </c>
      <c r="J4534" s="2">
        <v>1363.0</v>
      </c>
      <c r="K4534" s="3">
        <f t="shared" si="4"/>
        <v>0.196086894</v>
      </c>
      <c r="L4534" s="2">
        <v>870.0</v>
      </c>
      <c r="M4534" s="3">
        <f t="shared" si="5"/>
        <v>0.5975274725</v>
      </c>
      <c r="N4534" s="2">
        <v>8899700.0</v>
      </c>
      <c r="O4534" s="4">
        <f t="shared" si="6"/>
        <v>6112.431319</v>
      </c>
      <c r="P4534" s="2">
        <v>1.0</v>
      </c>
      <c r="Q4534" s="3">
        <f t="shared" si="7"/>
        <v>0.001524390244</v>
      </c>
      <c r="R4534" s="2">
        <v>86.0</v>
      </c>
      <c r="S4534" s="5">
        <f t="shared" si="8"/>
        <v>0.131097561</v>
      </c>
    </row>
    <row r="4535">
      <c r="A4535" s="2" t="s">
        <v>4537</v>
      </c>
      <c r="B4535" s="2">
        <v>324.0</v>
      </c>
      <c r="C4535" s="2">
        <v>3808.0</v>
      </c>
      <c r="D4535" s="2">
        <v>735.0</v>
      </c>
      <c r="E4535" s="3">
        <f t="shared" si="1"/>
        <v>0.2109644087</v>
      </c>
      <c r="F4535" s="2">
        <v>438.0</v>
      </c>
      <c r="G4535" s="3">
        <f t="shared" si="2"/>
        <v>0.125717566</v>
      </c>
      <c r="H4535" s="2">
        <v>655.0</v>
      </c>
      <c r="I4535" s="3">
        <f t="shared" si="3"/>
        <v>0.1880022962</v>
      </c>
      <c r="J4535" s="2">
        <v>470.0</v>
      </c>
      <c r="K4535" s="3">
        <f t="shared" si="4"/>
        <v>0.134902411</v>
      </c>
      <c r="L4535" s="2">
        <v>386.0</v>
      </c>
      <c r="M4535" s="3">
        <f t="shared" si="5"/>
        <v>0.5893129771</v>
      </c>
      <c r="N4535" s="2">
        <v>4120300.0</v>
      </c>
      <c r="O4535" s="4">
        <f t="shared" si="6"/>
        <v>6290.534351</v>
      </c>
      <c r="P4535" s="2">
        <v>1.0</v>
      </c>
      <c r="Q4535" s="3">
        <f t="shared" si="7"/>
        <v>0.003086419753</v>
      </c>
      <c r="R4535" s="2">
        <v>324.0</v>
      </c>
      <c r="S4535" s="5">
        <f t="shared" si="8"/>
        <v>1</v>
      </c>
    </row>
    <row r="4536">
      <c r="A4536" s="2" t="s">
        <v>4538</v>
      </c>
      <c r="B4536" s="2">
        <v>236.0</v>
      </c>
      <c r="C4536" s="2">
        <v>2678.0</v>
      </c>
      <c r="D4536" s="2">
        <v>862.0</v>
      </c>
      <c r="E4536" s="3">
        <f t="shared" si="1"/>
        <v>0.352989353</v>
      </c>
      <c r="F4536" s="2">
        <v>307.0</v>
      </c>
      <c r="G4536" s="3">
        <f t="shared" si="2"/>
        <v>0.1257166257</v>
      </c>
      <c r="H4536" s="2">
        <v>483.0</v>
      </c>
      <c r="I4536" s="3">
        <f t="shared" si="3"/>
        <v>0.1977886978</v>
      </c>
      <c r="J4536" s="2">
        <v>494.0</v>
      </c>
      <c r="K4536" s="3">
        <f t="shared" si="4"/>
        <v>0.2022932023</v>
      </c>
      <c r="L4536" s="2">
        <v>304.0</v>
      </c>
      <c r="M4536" s="3">
        <f t="shared" si="5"/>
        <v>0.6293995859</v>
      </c>
      <c r="N4536" s="2">
        <v>2823900.0</v>
      </c>
      <c r="O4536" s="4">
        <f t="shared" si="6"/>
        <v>5846.583851</v>
      </c>
      <c r="P4536" s="2">
        <v>1.0</v>
      </c>
      <c r="Q4536" s="3">
        <f t="shared" si="7"/>
        <v>0.004237288136</v>
      </c>
      <c r="R4536" s="2">
        <v>236.0</v>
      </c>
      <c r="S4536" s="5">
        <f t="shared" si="8"/>
        <v>1</v>
      </c>
    </row>
    <row r="4537">
      <c r="A4537" s="2" t="s">
        <v>4539</v>
      </c>
      <c r="B4537" s="2">
        <v>768.0</v>
      </c>
      <c r="C4537" s="2">
        <v>8985.0</v>
      </c>
      <c r="D4537" s="2">
        <v>3118.0</v>
      </c>
      <c r="E4537" s="3">
        <f t="shared" si="1"/>
        <v>0.3794572228</v>
      </c>
      <c r="F4537" s="2">
        <v>1033.0</v>
      </c>
      <c r="G4537" s="3">
        <f t="shared" si="2"/>
        <v>0.1257149811</v>
      </c>
      <c r="H4537" s="2">
        <v>1761.0</v>
      </c>
      <c r="I4537" s="3">
        <f t="shared" si="3"/>
        <v>0.2143117926</v>
      </c>
      <c r="J4537" s="2">
        <v>1414.0</v>
      </c>
      <c r="K4537" s="3">
        <f t="shared" si="4"/>
        <v>0.1720822685</v>
      </c>
      <c r="L4537" s="2">
        <v>1041.0</v>
      </c>
      <c r="M4537" s="3">
        <f t="shared" si="5"/>
        <v>0.5911413969</v>
      </c>
      <c r="N4537" s="2">
        <v>1.0182E7</v>
      </c>
      <c r="O4537" s="4">
        <f t="shared" si="6"/>
        <v>5781.942078</v>
      </c>
      <c r="P4537" s="2">
        <v>1.0</v>
      </c>
      <c r="Q4537" s="3">
        <f t="shared" si="7"/>
        <v>0.001302083333</v>
      </c>
      <c r="R4537" s="2">
        <v>759.0</v>
      </c>
      <c r="S4537" s="5">
        <f t="shared" si="8"/>
        <v>0.98828125</v>
      </c>
    </row>
    <row r="4538">
      <c r="A4538" s="2" t="s">
        <v>4540</v>
      </c>
      <c r="B4538" s="2">
        <v>3593.0</v>
      </c>
      <c r="C4538" s="2">
        <v>42117.0</v>
      </c>
      <c r="D4538" s="2">
        <v>15134.0</v>
      </c>
      <c r="E4538" s="3">
        <f t="shared" si="1"/>
        <v>0.3928460181</v>
      </c>
      <c r="F4538" s="2">
        <v>4843.0</v>
      </c>
      <c r="G4538" s="3">
        <f t="shared" si="2"/>
        <v>0.1257138407</v>
      </c>
      <c r="H4538" s="2">
        <v>8652.0</v>
      </c>
      <c r="I4538" s="3">
        <f t="shared" si="3"/>
        <v>0.2245872703</v>
      </c>
      <c r="J4538" s="2">
        <v>6944.0</v>
      </c>
      <c r="K4538" s="3">
        <f t="shared" si="4"/>
        <v>0.1802512719</v>
      </c>
      <c r="L4538" s="2">
        <v>5154.0</v>
      </c>
      <c r="M4538" s="3">
        <f t="shared" si="5"/>
        <v>0.5957004161</v>
      </c>
      <c r="N4538" s="2">
        <v>4.63983E7</v>
      </c>
      <c r="O4538" s="4">
        <f t="shared" si="6"/>
        <v>5362.725381</v>
      </c>
      <c r="P4538" s="2">
        <v>6.0</v>
      </c>
      <c r="Q4538" s="3">
        <f t="shared" si="7"/>
        <v>0.001669913721</v>
      </c>
      <c r="R4538" s="2">
        <v>1.0</v>
      </c>
      <c r="S4538" s="5">
        <f t="shared" si="8"/>
        <v>0.0002783189535</v>
      </c>
    </row>
    <row r="4539">
      <c r="A4539" s="2" t="s">
        <v>4541</v>
      </c>
      <c r="B4539" s="2">
        <v>463.0</v>
      </c>
      <c r="C4539" s="2">
        <v>5427.0</v>
      </c>
      <c r="D4539" s="2">
        <v>2003.0</v>
      </c>
      <c r="E4539" s="3">
        <f t="shared" si="1"/>
        <v>0.4035052377</v>
      </c>
      <c r="F4539" s="2">
        <v>624.0</v>
      </c>
      <c r="G4539" s="3">
        <f t="shared" si="2"/>
        <v>0.1257050766</v>
      </c>
      <c r="H4539" s="2">
        <v>1088.0</v>
      </c>
      <c r="I4539" s="3">
        <f t="shared" si="3"/>
        <v>0.2191780822</v>
      </c>
      <c r="J4539" s="2">
        <v>736.0</v>
      </c>
      <c r="K4539" s="3">
        <f t="shared" si="4"/>
        <v>0.1482675262</v>
      </c>
      <c r="L4539" s="2">
        <v>641.0</v>
      </c>
      <c r="M4539" s="3">
        <f t="shared" si="5"/>
        <v>0.5891544118</v>
      </c>
      <c r="N4539" s="2">
        <v>5645700.0</v>
      </c>
      <c r="O4539" s="4">
        <f t="shared" si="6"/>
        <v>5189.0625</v>
      </c>
      <c r="P4539" s="2">
        <v>1.0</v>
      </c>
      <c r="Q4539" s="3">
        <f t="shared" si="7"/>
        <v>0.002159827214</v>
      </c>
      <c r="R4539" s="2">
        <v>463.0</v>
      </c>
      <c r="S4539" s="5">
        <f t="shared" si="8"/>
        <v>1</v>
      </c>
    </row>
    <row r="4540">
      <c r="A4540" s="2" t="s">
        <v>4542</v>
      </c>
      <c r="B4540" s="2">
        <v>688.0</v>
      </c>
      <c r="C4540" s="2">
        <v>8111.0</v>
      </c>
      <c r="D4540" s="2">
        <v>2777.0</v>
      </c>
      <c r="E4540" s="3">
        <f t="shared" si="1"/>
        <v>0.3741075037</v>
      </c>
      <c r="F4540" s="2">
        <v>933.0</v>
      </c>
      <c r="G4540" s="3">
        <f t="shared" si="2"/>
        <v>0.1256904217</v>
      </c>
      <c r="H4540" s="2">
        <v>1591.0</v>
      </c>
      <c r="I4540" s="3">
        <f t="shared" si="3"/>
        <v>0.2143338273</v>
      </c>
      <c r="J4540" s="2">
        <v>1300.0</v>
      </c>
      <c r="K4540" s="3">
        <f t="shared" si="4"/>
        <v>0.1751313485</v>
      </c>
      <c r="L4540" s="2">
        <v>909.0</v>
      </c>
      <c r="M4540" s="3">
        <f t="shared" si="5"/>
        <v>0.5713387806</v>
      </c>
      <c r="N4540" s="2">
        <v>8802600.0</v>
      </c>
      <c r="O4540" s="4">
        <f t="shared" si="6"/>
        <v>5532.7467</v>
      </c>
      <c r="P4540" s="2">
        <v>1.0</v>
      </c>
      <c r="Q4540" s="3">
        <f t="shared" si="7"/>
        <v>0.001453488372</v>
      </c>
      <c r="R4540" s="2">
        <v>688.0</v>
      </c>
      <c r="S4540" s="5">
        <f t="shared" si="8"/>
        <v>1</v>
      </c>
    </row>
    <row r="4541">
      <c r="A4541" s="2" t="s">
        <v>4543</v>
      </c>
      <c r="B4541" s="2">
        <v>809.0</v>
      </c>
      <c r="C4541" s="2">
        <v>9569.0</v>
      </c>
      <c r="D4541" s="2">
        <v>2955.0</v>
      </c>
      <c r="E4541" s="3">
        <f t="shared" si="1"/>
        <v>0.3373287671</v>
      </c>
      <c r="F4541" s="2">
        <v>1101.0</v>
      </c>
      <c r="G4541" s="3">
        <f t="shared" si="2"/>
        <v>0.1256849315</v>
      </c>
      <c r="H4541" s="2">
        <v>1782.0</v>
      </c>
      <c r="I4541" s="3">
        <f t="shared" si="3"/>
        <v>0.2034246575</v>
      </c>
      <c r="J4541" s="2">
        <v>1470.0</v>
      </c>
      <c r="K4541" s="3">
        <f t="shared" si="4"/>
        <v>0.1678082192</v>
      </c>
      <c r="L4541" s="2">
        <v>1038.0</v>
      </c>
      <c r="M4541" s="3">
        <f t="shared" si="5"/>
        <v>0.5824915825</v>
      </c>
      <c r="N4541" s="2">
        <v>1.0076E7</v>
      </c>
      <c r="O4541" s="4">
        <f t="shared" si="6"/>
        <v>5654.320988</v>
      </c>
      <c r="P4541" s="2">
        <v>1.0</v>
      </c>
      <c r="Q4541" s="3">
        <f t="shared" si="7"/>
        <v>0.001236093943</v>
      </c>
      <c r="R4541" s="2">
        <v>0.0</v>
      </c>
      <c r="S4541" s="5">
        <f t="shared" si="8"/>
        <v>0</v>
      </c>
    </row>
    <row r="4542">
      <c r="A4542" s="2" t="s">
        <v>4544</v>
      </c>
      <c r="B4542" s="2">
        <v>516.0</v>
      </c>
      <c r="C4542" s="2">
        <v>5998.0</v>
      </c>
      <c r="D4542" s="2">
        <v>2068.0</v>
      </c>
      <c r="E4542" s="3">
        <f t="shared" si="1"/>
        <v>0.3772345859</v>
      </c>
      <c r="F4542" s="2">
        <v>689.0</v>
      </c>
      <c r="G4542" s="3">
        <f t="shared" si="2"/>
        <v>0.1256840569</v>
      </c>
      <c r="H4542" s="2">
        <v>1221.0</v>
      </c>
      <c r="I4542" s="3">
        <f t="shared" si="3"/>
        <v>0.222728931</v>
      </c>
      <c r="J4542" s="2">
        <v>999.0</v>
      </c>
      <c r="K4542" s="3">
        <f t="shared" si="4"/>
        <v>0.1822327618</v>
      </c>
      <c r="L4542" s="2">
        <v>721.0</v>
      </c>
      <c r="M4542" s="3">
        <f t="shared" si="5"/>
        <v>0.5904995905</v>
      </c>
      <c r="N4542" s="2">
        <v>6753800.0</v>
      </c>
      <c r="O4542" s="4">
        <f t="shared" si="6"/>
        <v>5531.367731</v>
      </c>
      <c r="P4542" s="2">
        <v>2.0</v>
      </c>
      <c r="Q4542" s="3">
        <f t="shared" si="7"/>
        <v>0.003875968992</v>
      </c>
      <c r="R4542" s="2">
        <v>516.0</v>
      </c>
      <c r="S4542" s="5">
        <f t="shared" si="8"/>
        <v>1</v>
      </c>
    </row>
    <row r="4543">
      <c r="A4543" s="2" t="s">
        <v>4545</v>
      </c>
      <c r="B4543" s="2">
        <v>1130.0</v>
      </c>
      <c r="C4543" s="2">
        <v>13224.0</v>
      </c>
      <c r="D4543" s="2">
        <v>3568.0</v>
      </c>
      <c r="E4543" s="3">
        <f t="shared" si="1"/>
        <v>0.2950223251</v>
      </c>
      <c r="F4543" s="2">
        <v>1520.0</v>
      </c>
      <c r="G4543" s="3">
        <f t="shared" si="2"/>
        <v>0.1256821564</v>
      </c>
      <c r="H4543" s="2">
        <v>2255.0</v>
      </c>
      <c r="I4543" s="3">
        <f t="shared" si="3"/>
        <v>0.1864560939</v>
      </c>
      <c r="J4543" s="2">
        <v>1905.0</v>
      </c>
      <c r="K4543" s="3">
        <f t="shared" si="4"/>
        <v>0.1575161237</v>
      </c>
      <c r="L4543" s="2">
        <v>1348.0</v>
      </c>
      <c r="M4543" s="3">
        <f t="shared" si="5"/>
        <v>0.5977827051</v>
      </c>
      <c r="N4543" s="2">
        <v>1.43886E7</v>
      </c>
      <c r="O4543" s="4">
        <f t="shared" si="6"/>
        <v>6380.75388</v>
      </c>
      <c r="P4543" s="2">
        <v>1.0</v>
      </c>
      <c r="Q4543" s="3">
        <f t="shared" si="7"/>
        <v>0.0008849557522</v>
      </c>
      <c r="R4543" s="2">
        <v>1130.0</v>
      </c>
      <c r="S4543" s="5">
        <f t="shared" si="8"/>
        <v>1</v>
      </c>
    </row>
    <row r="4544">
      <c r="A4544" s="2" t="s">
        <v>4546</v>
      </c>
      <c r="B4544" s="2">
        <v>1852.0</v>
      </c>
      <c r="C4544" s="2">
        <v>21696.0</v>
      </c>
      <c r="D4544" s="2">
        <v>6622.0</v>
      </c>
      <c r="E4544" s="3">
        <f t="shared" si="1"/>
        <v>0.3337028825</v>
      </c>
      <c r="F4544" s="2">
        <v>2494.0</v>
      </c>
      <c r="G4544" s="3">
        <f t="shared" si="2"/>
        <v>0.1256803064</v>
      </c>
      <c r="H4544" s="2">
        <v>3992.0</v>
      </c>
      <c r="I4544" s="3">
        <f t="shared" si="3"/>
        <v>0.2011691191</v>
      </c>
      <c r="J4544" s="2">
        <v>3031.0</v>
      </c>
      <c r="K4544" s="3">
        <f t="shared" si="4"/>
        <v>0.1527413828</v>
      </c>
      <c r="L4544" s="2">
        <v>2393.0</v>
      </c>
      <c r="M4544" s="3">
        <f t="shared" si="5"/>
        <v>0.5994488978</v>
      </c>
      <c r="N4544" s="2">
        <v>2.15618E7</v>
      </c>
      <c r="O4544" s="4">
        <f t="shared" si="6"/>
        <v>5401.252505</v>
      </c>
      <c r="P4544" s="2">
        <v>5.0</v>
      </c>
      <c r="Q4544" s="3">
        <f t="shared" si="7"/>
        <v>0.002699784017</v>
      </c>
      <c r="R4544" s="2">
        <v>1852.0</v>
      </c>
      <c r="S4544" s="5">
        <f t="shared" si="8"/>
        <v>1</v>
      </c>
    </row>
    <row r="4545">
      <c r="A4545" s="2" t="s">
        <v>4547</v>
      </c>
      <c r="B4545" s="2">
        <v>1815.0</v>
      </c>
      <c r="C4545" s="2">
        <v>21318.0</v>
      </c>
      <c r="D4545" s="2">
        <v>6944.0</v>
      </c>
      <c r="E4545" s="3">
        <f t="shared" si="1"/>
        <v>0.3560477875</v>
      </c>
      <c r="F4545" s="2">
        <v>2451.0</v>
      </c>
      <c r="G4545" s="3">
        <f t="shared" si="2"/>
        <v>0.1256729734</v>
      </c>
      <c r="H4545" s="2">
        <v>4320.0</v>
      </c>
      <c r="I4545" s="3">
        <f t="shared" si="3"/>
        <v>0.2215043839</v>
      </c>
      <c r="J4545" s="2">
        <v>3315.0</v>
      </c>
      <c r="K4545" s="3">
        <f t="shared" si="4"/>
        <v>0.1699738502</v>
      </c>
      <c r="L4545" s="2">
        <v>2589.0</v>
      </c>
      <c r="M4545" s="3">
        <f t="shared" si="5"/>
        <v>0.5993055556</v>
      </c>
      <c r="N4545" s="2">
        <v>2.38494E7</v>
      </c>
      <c r="O4545" s="4">
        <f t="shared" si="6"/>
        <v>5520.694444</v>
      </c>
      <c r="P4545" s="2">
        <v>4.0</v>
      </c>
      <c r="Q4545" s="3">
        <f t="shared" si="7"/>
        <v>0.002203856749</v>
      </c>
      <c r="R4545" s="2">
        <v>1815.0</v>
      </c>
      <c r="S4545" s="5">
        <f t="shared" si="8"/>
        <v>1</v>
      </c>
    </row>
    <row r="4546">
      <c r="A4546" s="2" t="s">
        <v>4548</v>
      </c>
      <c r="B4546" s="2">
        <v>54.0</v>
      </c>
      <c r="C4546" s="2">
        <v>619.0</v>
      </c>
      <c r="D4546" s="2">
        <v>251.0</v>
      </c>
      <c r="E4546" s="3">
        <f t="shared" si="1"/>
        <v>0.4442477876</v>
      </c>
      <c r="F4546" s="2">
        <v>71.0</v>
      </c>
      <c r="G4546" s="3">
        <f t="shared" si="2"/>
        <v>0.1256637168</v>
      </c>
      <c r="H4546" s="2">
        <v>137.0</v>
      </c>
      <c r="I4546" s="3">
        <f t="shared" si="3"/>
        <v>0.2424778761</v>
      </c>
      <c r="J4546" s="2">
        <v>117.0</v>
      </c>
      <c r="K4546" s="3">
        <f t="shared" si="4"/>
        <v>0.207079646</v>
      </c>
      <c r="L4546" s="2">
        <v>87.0</v>
      </c>
      <c r="M4546" s="3">
        <f t="shared" si="5"/>
        <v>0.6350364964</v>
      </c>
      <c r="N4546" s="2">
        <v>714200.0</v>
      </c>
      <c r="O4546" s="4">
        <f t="shared" si="6"/>
        <v>5213.138686</v>
      </c>
      <c r="P4546" s="2">
        <v>0.0</v>
      </c>
      <c r="Q4546" s="3">
        <f t="shared" si="7"/>
        <v>0</v>
      </c>
      <c r="R4546" s="2">
        <v>54.0</v>
      </c>
      <c r="S4546" s="5">
        <f t="shared" si="8"/>
        <v>1</v>
      </c>
    </row>
    <row r="4547">
      <c r="A4547" s="2" t="s">
        <v>4549</v>
      </c>
      <c r="B4547" s="2">
        <v>104.0</v>
      </c>
      <c r="C4547" s="2">
        <v>1234.0</v>
      </c>
      <c r="D4547" s="2">
        <v>290.0</v>
      </c>
      <c r="E4547" s="3">
        <f t="shared" si="1"/>
        <v>0.2566371681</v>
      </c>
      <c r="F4547" s="2">
        <v>142.0</v>
      </c>
      <c r="G4547" s="3">
        <f t="shared" si="2"/>
        <v>0.1256637168</v>
      </c>
      <c r="H4547" s="2">
        <v>217.0</v>
      </c>
      <c r="I4547" s="3">
        <f t="shared" si="3"/>
        <v>0.1920353982</v>
      </c>
      <c r="J4547" s="2">
        <v>195.0</v>
      </c>
      <c r="K4547" s="3">
        <f t="shared" si="4"/>
        <v>0.1725663717</v>
      </c>
      <c r="L4547" s="2">
        <v>123.0</v>
      </c>
      <c r="M4547" s="3">
        <f t="shared" si="5"/>
        <v>0.5668202765</v>
      </c>
      <c r="N4547" s="2">
        <v>1229700.0</v>
      </c>
      <c r="O4547" s="4">
        <f t="shared" si="6"/>
        <v>5666.820276</v>
      </c>
      <c r="P4547" s="2">
        <v>0.0</v>
      </c>
      <c r="Q4547" s="3">
        <f t="shared" si="7"/>
        <v>0</v>
      </c>
      <c r="R4547" s="2">
        <v>104.0</v>
      </c>
      <c r="S4547" s="5">
        <f t="shared" si="8"/>
        <v>1</v>
      </c>
    </row>
    <row r="4548">
      <c r="A4548" s="2" t="s">
        <v>4550</v>
      </c>
      <c r="B4548" s="2">
        <v>419.0</v>
      </c>
      <c r="C4548" s="2">
        <v>4955.0</v>
      </c>
      <c r="D4548" s="2">
        <v>1542.0</v>
      </c>
      <c r="E4548" s="3">
        <f t="shared" si="1"/>
        <v>0.3399470899</v>
      </c>
      <c r="F4548" s="2">
        <v>570.0</v>
      </c>
      <c r="G4548" s="3">
        <f t="shared" si="2"/>
        <v>0.1256613757</v>
      </c>
      <c r="H4548" s="2">
        <v>1010.0</v>
      </c>
      <c r="I4548" s="3">
        <f t="shared" si="3"/>
        <v>0.2226631393</v>
      </c>
      <c r="J4548" s="2">
        <v>762.0</v>
      </c>
      <c r="K4548" s="3">
        <f t="shared" si="4"/>
        <v>0.167989418</v>
      </c>
      <c r="L4548" s="2">
        <v>605.0</v>
      </c>
      <c r="M4548" s="3">
        <f t="shared" si="5"/>
        <v>0.599009901</v>
      </c>
      <c r="N4548" s="2">
        <v>5445000.0</v>
      </c>
      <c r="O4548" s="4">
        <f t="shared" si="6"/>
        <v>5391.089109</v>
      </c>
      <c r="P4548" s="2">
        <v>0.0</v>
      </c>
      <c r="Q4548" s="3">
        <f t="shared" si="7"/>
        <v>0</v>
      </c>
      <c r="R4548" s="2">
        <v>361.0</v>
      </c>
      <c r="S4548" s="5">
        <f t="shared" si="8"/>
        <v>0.861575179</v>
      </c>
    </row>
    <row r="4549">
      <c r="A4549" s="2" t="s">
        <v>4551</v>
      </c>
      <c r="B4549" s="2">
        <v>944.0</v>
      </c>
      <c r="C4549" s="2">
        <v>10910.0</v>
      </c>
      <c r="D4549" s="2">
        <v>3728.0</v>
      </c>
      <c r="E4549" s="3">
        <f t="shared" si="1"/>
        <v>0.3740718443</v>
      </c>
      <c r="F4549" s="2">
        <v>1252.0</v>
      </c>
      <c r="G4549" s="3">
        <f t="shared" si="2"/>
        <v>0.1256271322</v>
      </c>
      <c r="H4549" s="2">
        <v>2114.0</v>
      </c>
      <c r="I4549" s="3">
        <f t="shared" si="3"/>
        <v>0.2121212121</v>
      </c>
      <c r="J4549" s="2">
        <v>1682.0</v>
      </c>
      <c r="K4549" s="3">
        <f t="shared" si="4"/>
        <v>0.168773831</v>
      </c>
      <c r="L4549" s="2">
        <v>1209.0</v>
      </c>
      <c r="M4549" s="3">
        <f t="shared" si="5"/>
        <v>0.5719016083</v>
      </c>
      <c r="N4549" s="2">
        <v>1.17593E7</v>
      </c>
      <c r="O4549" s="4">
        <f t="shared" si="6"/>
        <v>5562.582781</v>
      </c>
      <c r="P4549" s="2">
        <v>1.0</v>
      </c>
      <c r="Q4549" s="3">
        <f t="shared" si="7"/>
        <v>0.001059322034</v>
      </c>
      <c r="R4549" s="2">
        <v>944.0</v>
      </c>
      <c r="S4549" s="5">
        <f t="shared" si="8"/>
        <v>1</v>
      </c>
    </row>
    <row r="4550">
      <c r="A4550" s="2" t="s">
        <v>4552</v>
      </c>
      <c r="B4550" s="2">
        <v>1122.0</v>
      </c>
      <c r="C4550" s="2">
        <v>13150.0</v>
      </c>
      <c r="D4550" s="2">
        <v>3912.0</v>
      </c>
      <c r="E4550" s="3">
        <f t="shared" si="1"/>
        <v>0.3252411041</v>
      </c>
      <c r="F4550" s="2">
        <v>1511.0</v>
      </c>
      <c r="G4550" s="3">
        <f t="shared" si="2"/>
        <v>0.1256235451</v>
      </c>
      <c r="H4550" s="2">
        <v>2450.0</v>
      </c>
      <c r="I4550" s="3">
        <f t="shared" si="3"/>
        <v>0.2036913868</v>
      </c>
      <c r="J4550" s="2">
        <v>1835.0</v>
      </c>
      <c r="K4550" s="3">
        <f t="shared" si="4"/>
        <v>0.1525606917</v>
      </c>
      <c r="L4550" s="2">
        <v>1456.0</v>
      </c>
      <c r="M4550" s="3">
        <f t="shared" si="5"/>
        <v>0.5942857143</v>
      </c>
      <c r="N4550" s="2">
        <v>1.39678E7</v>
      </c>
      <c r="O4550" s="4">
        <f t="shared" si="6"/>
        <v>5701.142857</v>
      </c>
      <c r="P4550" s="2">
        <v>2.0</v>
      </c>
      <c r="Q4550" s="3">
        <f t="shared" si="7"/>
        <v>0.001782531194</v>
      </c>
      <c r="R4550" s="2">
        <v>0.0</v>
      </c>
      <c r="S4550" s="5">
        <f t="shared" si="8"/>
        <v>0</v>
      </c>
    </row>
    <row r="4551">
      <c r="A4551" s="2" t="s">
        <v>4553</v>
      </c>
      <c r="B4551" s="2">
        <v>2552.0</v>
      </c>
      <c r="C4551" s="2">
        <v>29824.0</v>
      </c>
      <c r="D4551" s="2">
        <v>9633.0</v>
      </c>
      <c r="E4551" s="3">
        <f t="shared" si="1"/>
        <v>0.3532194192</v>
      </c>
      <c r="F4551" s="2">
        <v>3426.0</v>
      </c>
      <c r="G4551" s="3">
        <f t="shared" si="2"/>
        <v>0.12562335</v>
      </c>
      <c r="H4551" s="2">
        <v>5626.0</v>
      </c>
      <c r="I4551" s="3">
        <f t="shared" si="3"/>
        <v>0.2062921678</v>
      </c>
      <c r="J4551" s="2">
        <v>4951.0</v>
      </c>
      <c r="K4551" s="3">
        <f t="shared" si="4"/>
        <v>0.1815415078</v>
      </c>
      <c r="L4551" s="2">
        <v>3299.0</v>
      </c>
      <c r="M4551" s="3">
        <f t="shared" si="5"/>
        <v>0.5863846427</v>
      </c>
      <c r="N4551" s="2">
        <v>3.21365E7</v>
      </c>
      <c r="O4551" s="4">
        <f t="shared" si="6"/>
        <v>5712.140064</v>
      </c>
      <c r="P4551" s="2">
        <v>3.0</v>
      </c>
      <c r="Q4551" s="3">
        <f t="shared" si="7"/>
        <v>0.001175548589</v>
      </c>
      <c r="R4551" s="2">
        <v>2022.0</v>
      </c>
      <c r="S4551" s="5">
        <f t="shared" si="8"/>
        <v>0.7923197492</v>
      </c>
    </row>
    <row r="4552">
      <c r="A4552" s="2" t="s">
        <v>4554</v>
      </c>
      <c r="B4552" s="2">
        <v>130.0</v>
      </c>
      <c r="C4552" s="2">
        <v>1539.0</v>
      </c>
      <c r="D4552" s="2">
        <v>595.0</v>
      </c>
      <c r="E4552" s="3">
        <f t="shared" si="1"/>
        <v>0.4222853087</v>
      </c>
      <c r="F4552" s="2">
        <v>177.0</v>
      </c>
      <c r="G4552" s="3">
        <f t="shared" si="2"/>
        <v>0.1256210078</v>
      </c>
      <c r="H4552" s="2">
        <v>301.0</v>
      </c>
      <c r="I4552" s="3">
        <f t="shared" si="3"/>
        <v>0.2136266856</v>
      </c>
      <c r="J4552" s="2">
        <v>222.0</v>
      </c>
      <c r="K4552" s="3">
        <f t="shared" si="4"/>
        <v>0.1575585522</v>
      </c>
      <c r="L4552" s="2">
        <v>180.0</v>
      </c>
      <c r="M4552" s="3">
        <f t="shared" si="5"/>
        <v>0.5980066445</v>
      </c>
      <c r="N4552" s="2">
        <v>1566400.0</v>
      </c>
      <c r="O4552" s="4">
        <f t="shared" si="6"/>
        <v>5203.986711</v>
      </c>
      <c r="P4552" s="2">
        <v>0.0</v>
      </c>
      <c r="Q4552" s="3">
        <f t="shared" si="7"/>
        <v>0</v>
      </c>
      <c r="R4552" s="2">
        <v>130.0</v>
      </c>
      <c r="S4552" s="5">
        <f t="shared" si="8"/>
        <v>1</v>
      </c>
    </row>
    <row r="4553">
      <c r="A4553" s="2" t="s">
        <v>4555</v>
      </c>
      <c r="B4553" s="2">
        <v>37.0</v>
      </c>
      <c r="C4553" s="2">
        <v>443.0</v>
      </c>
      <c r="D4553" s="2">
        <v>172.0</v>
      </c>
      <c r="E4553" s="3">
        <f t="shared" si="1"/>
        <v>0.4236453202</v>
      </c>
      <c r="F4553" s="2">
        <v>51.0</v>
      </c>
      <c r="G4553" s="3">
        <f t="shared" si="2"/>
        <v>0.1256157635</v>
      </c>
      <c r="H4553" s="2">
        <v>86.0</v>
      </c>
      <c r="I4553" s="3">
        <f t="shared" si="3"/>
        <v>0.2118226601</v>
      </c>
      <c r="J4553" s="2">
        <v>70.0</v>
      </c>
      <c r="K4553" s="3">
        <f t="shared" si="4"/>
        <v>0.1724137931</v>
      </c>
      <c r="L4553" s="2">
        <v>50.0</v>
      </c>
      <c r="M4553" s="3">
        <f t="shared" si="5"/>
        <v>0.5813953488</v>
      </c>
      <c r="N4553" s="2">
        <v>486800.0</v>
      </c>
      <c r="O4553" s="4">
        <f t="shared" si="6"/>
        <v>5660.465116</v>
      </c>
      <c r="P4553" s="2">
        <v>0.0</v>
      </c>
      <c r="Q4553" s="3">
        <f t="shared" si="7"/>
        <v>0</v>
      </c>
      <c r="R4553" s="2">
        <v>37.0</v>
      </c>
      <c r="S4553" s="5">
        <f t="shared" si="8"/>
        <v>1</v>
      </c>
    </row>
    <row r="4554">
      <c r="A4554" s="2" t="s">
        <v>4556</v>
      </c>
      <c r="B4554" s="2">
        <v>464.0</v>
      </c>
      <c r="C4554" s="2">
        <v>5344.0</v>
      </c>
      <c r="D4554" s="2">
        <v>1675.0</v>
      </c>
      <c r="E4554" s="3">
        <f t="shared" si="1"/>
        <v>0.3432377049</v>
      </c>
      <c r="F4554" s="2">
        <v>613.0</v>
      </c>
      <c r="G4554" s="3">
        <f t="shared" si="2"/>
        <v>0.1256147541</v>
      </c>
      <c r="H4554" s="2">
        <v>1079.0</v>
      </c>
      <c r="I4554" s="3">
        <f t="shared" si="3"/>
        <v>0.2211065574</v>
      </c>
      <c r="J4554" s="2">
        <v>851.0</v>
      </c>
      <c r="K4554" s="3">
        <f t="shared" si="4"/>
        <v>0.1743852459</v>
      </c>
      <c r="L4554" s="2">
        <v>649.0</v>
      </c>
      <c r="M4554" s="3">
        <f t="shared" si="5"/>
        <v>0.6014828545</v>
      </c>
      <c r="N4554" s="2">
        <v>6150900.0</v>
      </c>
      <c r="O4554" s="4">
        <f t="shared" si="6"/>
        <v>5700.55607</v>
      </c>
      <c r="P4554" s="2">
        <v>0.0</v>
      </c>
      <c r="Q4554" s="3">
        <f t="shared" si="7"/>
        <v>0</v>
      </c>
      <c r="R4554" s="2">
        <v>3.0</v>
      </c>
      <c r="S4554" s="5">
        <f t="shared" si="8"/>
        <v>0.006465517241</v>
      </c>
    </row>
    <row r="4555">
      <c r="A4555" s="2" t="s">
        <v>4557</v>
      </c>
      <c r="B4555" s="2">
        <v>1381.0</v>
      </c>
      <c r="C4555" s="2">
        <v>16237.0</v>
      </c>
      <c r="D4555" s="2">
        <v>4745.0</v>
      </c>
      <c r="E4555" s="3">
        <f t="shared" si="1"/>
        <v>0.3193995692</v>
      </c>
      <c r="F4555" s="2">
        <v>1866.0</v>
      </c>
      <c r="G4555" s="3">
        <f t="shared" si="2"/>
        <v>0.1256058158</v>
      </c>
      <c r="H4555" s="2">
        <v>3088.0</v>
      </c>
      <c r="I4555" s="3">
        <f t="shared" si="3"/>
        <v>0.2078621432</v>
      </c>
      <c r="J4555" s="2">
        <v>2825.0</v>
      </c>
      <c r="K4555" s="3">
        <f t="shared" si="4"/>
        <v>0.1901588584</v>
      </c>
      <c r="L4555" s="2">
        <v>1830.0</v>
      </c>
      <c r="M4555" s="3">
        <f t="shared" si="5"/>
        <v>0.5926165803</v>
      </c>
      <c r="N4555" s="2">
        <v>1.75204E7</v>
      </c>
      <c r="O4555" s="4">
        <f t="shared" si="6"/>
        <v>5673.704663</v>
      </c>
      <c r="P4555" s="2">
        <v>4.0</v>
      </c>
      <c r="Q4555" s="3">
        <f t="shared" si="7"/>
        <v>0.002896451846</v>
      </c>
      <c r="R4555" s="2">
        <v>1381.0</v>
      </c>
      <c r="S4555" s="5">
        <f t="shared" si="8"/>
        <v>1</v>
      </c>
    </row>
    <row r="4556">
      <c r="A4556" s="2" t="s">
        <v>4558</v>
      </c>
      <c r="B4556" s="2">
        <v>1584.0</v>
      </c>
      <c r="C4556" s="2">
        <v>18327.0</v>
      </c>
      <c r="D4556" s="2">
        <v>5425.0</v>
      </c>
      <c r="E4556" s="3">
        <f t="shared" si="1"/>
        <v>0.3240160067</v>
      </c>
      <c r="F4556" s="2">
        <v>2103.0</v>
      </c>
      <c r="G4556" s="3">
        <f t="shared" si="2"/>
        <v>0.1256047303</v>
      </c>
      <c r="H4556" s="2">
        <v>3583.0</v>
      </c>
      <c r="I4556" s="3">
        <f t="shared" si="3"/>
        <v>0.2139998805</v>
      </c>
      <c r="J4556" s="2">
        <v>3333.0</v>
      </c>
      <c r="K4556" s="3">
        <f t="shared" si="4"/>
        <v>0.1990682673</v>
      </c>
      <c r="L4556" s="2">
        <v>2212.0</v>
      </c>
      <c r="M4556" s="3">
        <f t="shared" si="5"/>
        <v>0.6173597544</v>
      </c>
      <c r="N4556" s="2">
        <v>2.13278E7</v>
      </c>
      <c r="O4556" s="4">
        <f t="shared" si="6"/>
        <v>5952.497907</v>
      </c>
      <c r="P4556" s="2">
        <v>1.0</v>
      </c>
      <c r="Q4556" s="3">
        <f t="shared" si="7"/>
        <v>0.0006313131313</v>
      </c>
      <c r="R4556" s="2">
        <v>1584.0</v>
      </c>
      <c r="S4556" s="5">
        <f t="shared" si="8"/>
        <v>1</v>
      </c>
    </row>
    <row r="4557">
      <c r="A4557" s="2" t="s">
        <v>4559</v>
      </c>
      <c r="B4557" s="2">
        <v>99.0</v>
      </c>
      <c r="C4557" s="2">
        <v>1134.0</v>
      </c>
      <c r="D4557" s="2">
        <v>419.0</v>
      </c>
      <c r="E4557" s="3">
        <f t="shared" si="1"/>
        <v>0.4048309179</v>
      </c>
      <c r="F4557" s="2">
        <v>130.0</v>
      </c>
      <c r="G4557" s="3">
        <f t="shared" si="2"/>
        <v>0.1256038647</v>
      </c>
      <c r="H4557" s="2">
        <v>197.0</v>
      </c>
      <c r="I4557" s="3">
        <f t="shared" si="3"/>
        <v>0.1903381643</v>
      </c>
      <c r="J4557" s="2">
        <v>144.0</v>
      </c>
      <c r="K4557" s="3">
        <f t="shared" si="4"/>
        <v>0.1391304348</v>
      </c>
      <c r="L4557" s="2">
        <v>114.0</v>
      </c>
      <c r="M4557" s="3">
        <f t="shared" si="5"/>
        <v>0.578680203</v>
      </c>
      <c r="N4557" s="2">
        <v>1167800.0</v>
      </c>
      <c r="O4557" s="4">
        <f t="shared" si="6"/>
        <v>5927.918782</v>
      </c>
      <c r="P4557" s="2">
        <v>0.0</v>
      </c>
      <c r="Q4557" s="3">
        <f t="shared" si="7"/>
        <v>0</v>
      </c>
      <c r="R4557" s="2">
        <v>99.0</v>
      </c>
      <c r="S4557" s="5">
        <f t="shared" si="8"/>
        <v>1</v>
      </c>
    </row>
    <row r="4558">
      <c r="A4558" s="2" t="s">
        <v>4560</v>
      </c>
      <c r="B4558" s="2">
        <v>5702.0</v>
      </c>
      <c r="C4558" s="2">
        <v>66568.0</v>
      </c>
      <c r="D4558" s="2">
        <v>21334.0</v>
      </c>
      <c r="E4558" s="3">
        <f t="shared" si="1"/>
        <v>0.3505076726</v>
      </c>
      <c r="F4558" s="2">
        <v>7644.0</v>
      </c>
      <c r="G4558" s="3">
        <f t="shared" si="2"/>
        <v>0.1255873558</v>
      </c>
      <c r="H4558" s="2">
        <v>12904.0</v>
      </c>
      <c r="I4558" s="3">
        <f t="shared" si="3"/>
        <v>0.2120067032</v>
      </c>
      <c r="J4558" s="2">
        <v>9802.0</v>
      </c>
      <c r="K4558" s="3">
        <f t="shared" si="4"/>
        <v>0.1610422896</v>
      </c>
      <c r="L4558" s="2">
        <v>7787.0</v>
      </c>
      <c r="M4558" s="3">
        <f t="shared" si="5"/>
        <v>0.6034562926</v>
      </c>
      <c r="N4558" s="2">
        <v>7.27861E7</v>
      </c>
      <c r="O4558" s="4">
        <f t="shared" si="6"/>
        <v>5640.584315</v>
      </c>
      <c r="P4558" s="2">
        <v>6.0</v>
      </c>
      <c r="Q4558" s="3">
        <f t="shared" si="7"/>
        <v>0.001052262364</v>
      </c>
      <c r="R4558" s="2">
        <v>867.0</v>
      </c>
      <c r="S4558" s="5">
        <f t="shared" si="8"/>
        <v>0.1520519116</v>
      </c>
    </row>
    <row r="4559">
      <c r="A4559" s="2" t="s">
        <v>4561</v>
      </c>
      <c r="B4559" s="2">
        <v>594.0</v>
      </c>
      <c r="C4559" s="2">
        <v>6805.0</v>
      </c>
      <c r="D4559" s="2">
        <v>1628.0</v>
      </c>
      <c r="E4559" s="3">
        <f t="shared" si="1"/>
        <v>0.2621156014</v>
      </c>
      <c r="F4559" s="2">
        <v>780.0</v>
      </c>
      <c r="G4559" s="3">
        <f t="shared" si="2"/>
        <v>0.1255836419</v>
      </c>
      <c r="H4559" s="2">
        <v>1236.0</v>
      </c>
      <c r="I4559" s="3">
        <f t="shared" si="3"/>
        <v>0.1990017711</v>
      </c>
      <c r="J4559" s="2">
        <v>1178.0</v>
      </c>
      <c r="K4559" s="3">
        <f t="shared" si="4"/>
        <v>0.1896635002</v>
      </c>
      <c r="L4559" s="2">
        <v>696.0</v>
      </c>
      <c r="M4559" s="3">
        <f t="shared" si="5"/>
        <v>0.5631067961</v>
      </c>
      <c r="N4559" s="2">
        <v>7614700.0</v>
      </c>
      <c r="O4559" s="4">
        <f t="shared" si="6"/>
        <v>6160.760518</v>
      </c>
      <c r="P4559" s="2">
        <v>1.0</v>
      </c>
      <c r="Q4559" s="3">
        <f t="shared" si="7"/>
        <v>0.001683501684</v>
      </c>
      <c r="R4559" s="2">
        <v>594.0</v>
      </c>
      <c r="S4559" s="5">
        <f t="shared" si="8"/>
        <v>1</v>
      </c>
    </row>
    <row r="4560">
      <c r="A4560" s="2" t="s">
        <v>4562</v>
      </c>
      <c r="B4560" s="2">
        <v>18.0</v>
      </c>
      <c r="C4560" s="2">
        <v>233.0</v>
      </c>
      <c r="D4560" s="2">
        <v>78.0</v>
      </c>
      <c r="E4560" s="3">
        <f t="shared" si="1"/>
        <v>0.3627906977</v>
      </c>
      <c r="F4560" s="2">
        <v>27.0</v>
      </c>
      <c r="G4560" s="3">
        <f t="shared" si="2"/>
        <v>0.1255813953</v>
      </c>
      <c r="H4560" s="2">
        <v>41.0</v>
      </c>
      <c r="I4560" s="3">
        <f t="shared" si="3"/>
        <v>0.1906976744</v>
      </c>
      <c r="J4560" s="2">
        <v>32.0</v>
      </c>
      <c r="K4560" s="3">
        <f t="shared" si="4"/>
        <v>0.1488372093</v>
      </c>
      <c r="L4560" s="2">
        <v>27.0</v>
      </c>
      <c r="M4560" s="3">
        <f t="shared" si="5"/>
        <v>0.6585365854</v>
      </c>
      <c r="N4560" s="2">
        <v>154300.0</v>
      </c>
      <c r="O4560" s="4">
        <f t="shared" si="6"/>
        <v>3763.414634</v>
      </c>
      <c r="P4560" s="2">
        <v>0.0</v>
      </c>
      <c r="Q4560" s="3">
        <f t="shared" si="7"/>
        <v>0</v>
      </c>
      <c r="R4560" s="2">
        <v>18.0</v>
      </c>
      <c r="S4560" s="5">
        <f t="shared" si="8"/>
        <v>1</v>
      </c>
    </row>
    <row r="4561">
      <c r="A4561" s="2" t="s">
        <v>4563</v>
      </c>
      <c r="B4561" s="2">
        <v>285.0</v>
      </c>
      <c r="C4561" s="2">
        <v>3327.0</v>
      </c>
      <c r="D4561" s="2">
        <v>1131.0</v>
      </c>
      <c r="E4561" s="3">
        <f t="shared" si="1"/>
        <v>0.3717948718</v>
      </c>
      <c r="F4561" s="2">
        <v>382.0</v>
      </c>
      <c r="G4561" s="3">
        <f t="shared" si="2"/>
        <v>0.1255752794</v>
      </c>
      <c r="H4561" s="2">
        <v>664.0</v>
      </c>
      <c r="I4561" s="3">
        <f t="shared" si="3"/>
        <v>0.218277449</v>
      </c>
      <c r="J4561" s="2">
        <v>533.0</v>
      </c>
      <c r="K4561" s="3">
        <f t="shared" si="4"/>
        <v>0.1752136752</v>
      </c>
      <c r="L4561" s="2">
        <v>401.0</v>
      </c>
      <c r="M4561" s="3">
        <f t="shared" si="5"/>
        <v>0.6039156627</v>
      </c>
      <c r="N4561" s="2">
        <v>3572500.0</v>
      </c>
      <c r="O4561" s="4">
        <f t="shared" si="6"/>
        <v>5380.271084</v>
      </c>
      <c r="P4561" s="2">
        <v>1.0</v>
      </c>
      <c r="Q4561" s="3">
        <f t="shared" si="7"/>
        <v>0.00350877193</v>
      </c>
      <c r="R4561" s="2">
        <v>285.0</v>
      </c>
      <c r="S4561" s="5">
        <f t="shared" si="8"/>
        <v>1</v>
      </c>
    </row>
    <row r="4562">
      <c r="A4562" s="2" t="s">
        <v>4564</v>
      </c>
      <c r="B4562" s="2">
        <v>345.0</v>
      </c>
      <c r="C4562" s="2">
        <v>4064.0</v>
      </c>
      <c r="D4562" s="2">
        <v>1181.0</v>
      </c>
      <c r="E4562" s="3">
        <f t="shared" si="1"/>
        <v>0.3175584835</v>
      </c>
      <c r="F4562" s="2">
        <v>467.0</v>
      </c>
      <c r="G4562" s="3">
        <f t="shared" si="2"/>
        <v>0.1255713902</v>
      </c>
      <c r="H4562" s="2">
        <v>730.0</v>
      </c>
      <c r="I4562" s="3">
        <f t="shared" si="3"/>
        <v>0.1962893251</v>
      </c>
      <c r="J4562" s="2">
        <v>595.0</v>
      </c>
      <c r="K4562" s="3">
        <f t="shared" si="4"/>
        <v>0.1599892444</v>
      </c>
      <c r="L4562" s="2">
        <v>460.0</v>
      </c>
      <c r="M4562" s="3">
        <f t="shared" si="5"/>
        <v>0.6301369863</v>
      </c>
      <c r="N4562" s="2">
        <v>4077200.0</v>
      </c>
      <c r="O4562" s="4">
        <f t="shared" si="6"/>
        <v>5585.205479</v>
      </c>
      <c r="P4562" s="2">
        <v>2.0</v>
      </c>
      <c r="Q4562" s="3">
        <f t="shared" si="7"/>
        <v>0.005797101449</v>
      </c>
      <c r="R4562" s="2">
        <v>345.0</v>
      </c>
      <c r="S4562" s="5">
        <f t="shared" si="8"/>
        <v>1</v>
      </c>
    </row>
    <row r="4563">
      <c r="A4563" s="2" t="s">
        <v>4565</v>
      </c>
      <c r="B4563" s="2">
        <v>2636.0</v>
      </c>
      <c r="C4563" s="2">
        <v>30732.0</v>
      </c>
      <c r="D4563" s="2">
        <v>9126.0</v>
      </c>
      <c r="E4563" s="3">
        <f t="shared" si="1"/>
        <v>0.3248149203</v>
      </c>
      <c r="F4563" s="2">
        <v>3528.0</v>
      </c>
      <c r="G4563" s="3">
        <f t="shared" si="2"/>
        <v>0.1255694761</v>
      </c>
      <c r="H4563" s="2">
        <v>5777.0</v>
      </c>
      <c r="I4563" s="3">
        <f t="shared" si="3"/>
        <v>0.2056164579</v>
      </c>
      <c r="J4563" s="2">
        <v>4922.0</v>
      </c>
      <c r="K4563" s="3">
        <f t="shared" si="4"/>
        <v>0.1751850797</v>
      </c>
      <c r="L4563" s="2">
        <v>3477.0</v>
      </c>
      <c r="M4563" s="3">
        <f t="shared" si="5"/>
        <v>0.6018694824</v>
      </c>
      <c r="N4563" s="2">
        <v>3.46996E7</v>
      </c>
      <c r="O4563" s="4">
        <f t="shared" si="6"/>
        <v>6006.508568</v>
      </c>
      <c r="P4563" s="2">
        <v>7.0</v>
      </c>
      <c r="Q4563" s="3">
        <f t="shared" si="7"/>
        <v>0.002655538695</v>
      </c>
      <c r="R4563" s="2">
        <v>2636.0</v>
      </c>
      <c r="S4563" s="5">
        <f t="shared" si="8"/>
        <v>1</v>
      </c>
    </row>
    <row r="4564">
      <c r="A4564" s="2" t="s">
        <v>4566</v>
      </c>
      <c r="B4564" s="2">
        <v>472.0</v>
      </c>
      <c r="C4564" s="2">
        <v>5545.0</v>
      </c>
      <c r="D4564" s="2">
        <v>1952.0</v>
      </c>
      <c r="E4564" s="3">
        <f t="shared" si="1"/>
        <v>0.3847821802</v>
      </c>
      <c r="F4564" s="2">
        <v>637.0</v>
      </c>
      <c r="G4564" s="3">
        <f t="shared" si="2"/>
        <v>0.1255667258</v>
      </c>
      <c r="H4564" s="2">
        <v>1098.0</v>
      </c>
      <c r="I4564" s="3">
        <f t="shared" si="3"/>
        <v>0.2164399763</v>
      </c>
      <c r="J4564" s="2">
        <v>904.0</v>
      </c>
      <c r="K4564" s="3">
        <f t="shared" si="4"/>
        <v>0.1781983048</v>
      </c>
      <c r="L4564" s="2">
        <v>634.0</v>
      </c>
      <c r="M4564" s="3">
        <f t="shared" si="5"/>
        <v>0.5774134791</v>
      </c>
      <c r="N4564" s="2">
        <v>6035300.0</v>
      </c>
      <c r="O4564" s="4">
        <f t="shared" si="6"/>
        <v>5496.630237</v>
      </c>
      <c r="P4564" s="2">
        <v>1.0</v>
      </c>
      <c r="Q4564" s="3">
        <f t="shared" si="7"/>
        <v>0.002118644068</v>
      </c>
      <c r="R4564" s="2">
        <v>472.0</v>
      </c>
      <c r="S4564" s="5">
        <f t="shared" si="8"/>
        <v>1</v>
      </c>
    </row>
    <row r="4565">
      <c r="A4565" s="2" t="s">
        <v>4567</v>
      </c>
      <c r="B4565" s="2">
        <v>41.0</v>
      </c>
      <c r="C4565" s="2">
        <v>487.0</v>
      </c>
      <c r="D4565" s="2">
        <v>134.0</v>
      </c>
      <c r="E4565" s="3">
        <f t="shared" si="1"/>
        <v>0.3004484305</v>
      </c>
      <c r="F4565" s="2">
        <v>56.0</v>
      </c>
      <c r="G4565" s="3">
        <f t="shared" si="2"/>
        <v>0.1255605381</v>
      </c>
      <c r="H4565" s="2">
        <v>93.0</v>
      </c>
      <c r="I4565" s="3">
        <f t="shared" si="3"/>
        <v>0.2085201794</v>
      </c>
      <c r="J4565" s="2">
        <v>86.0</v>
      </c>
      <c r="K4565" s="3">
        <f t="shared" si="4"/>
        <v>0.1928251121</v>
      </c>
      <c r="L4565" s="2">
        <v>51.0</v>
      </c>
      <c r="M4565" s="3">
        <f t="shared" si="5"/>
        <v>0.5483870968</v>
      </c>
      <c r="N4565" s="2">
        <v>523000.0</v>
      </c>
      <c r="O4565" s="4">
        <f t="shared" si="6"/>
        <v>5623.655914</v>
      </c>
      <c r="P4565" s="2">
        <v>1.0</v>
      </c>
      <c r="Q4565" s="3">
        <f t="shared" si="7"/>
        <v>0.0243902439</v>
      </c>
      <c r="R4565" s="2">
        <v>22.0</v>
      </c>
      <c r="S4565" s="5">
        <f t="shared" si="8"/>
        <v>0.5365853659</v>
      </c>
    </row>
    <row r="4566">
      <c r="A4566" s="2" t="s">
        <v>4568</v>
      </c>
      <c r="B4566" s="2">
        <v>20.0</v>
      </c>
      <c r="C4566" s="2">
        <v>243.0</v>
      </c>
      <c r="D4566" s="2">
        <v>78.0</v>
      </c>
      <c r="E4566" s="3">
        <f t="shared" si="1"/>
        <v>0.3497757848</v>
      </c>
      <c r="F4566" s="2">
        <v>28.0</v>
      </c>
      <c r="G4566" s="3">
        <f t="shared" si="2"/>
        <v>0.1255605381</v>
      </c>
      <c r="H4566" s="2">
        <v>39.0</v>
      </c>
      <c r="I4566" s="3">
        <f t="shared" si="3"/>
        <v>0.1748878924</v>
      </c>
      <c r="J4566" s="2">
        <v>36.0</v>
      </c>
      <c r="K4566" s="3">
        <f t="shared" si="4"/>
        <v>0.1614349776</v>
      </c>
      <c r="L4566" s="2">
        <v>20.0</v>
      </c>
      <c r="M4566" s="3">
        <f t="shared" si="5"/>
        <v>0.5128205128</v>
      </c>
      <c r="N4566" s="2">
        <v>268600.0</v>
      </c>
      <c r="O4566" s="4">
        <f t="shared" si="6"/>
        <v>6887.179487</v>
      </c>
      <c r="P4566" s="2">
        <v>0.0</v>
      </c>
      <c r="Q4566" s="3">
        <f t="shared" si="7"/>
        <v>0</v>
      </c>
      <c r="R4566" s="2">
        <v>20.0</v>
      </c>
      <c r="S4566" s="5">
        <f t="shared" si="8"/>
        <v>1</v>
      </c>
    </row>
    <row r="4567">
      <c r="A4567" s="2" t="s">
        <v>4569</v>
      </c>
      <c r="B4567" s="2">
        <v>262.0</v>
      </c>
      <c r="C4567" s="2">
        <v>3161.0</v>
      </c>
      <c r="D4567" s="2">
        <v>1186.0</v>
      </c>
      <c r="E4567" s="3">
        <f t="shared" si="1"/>
        <v>0.4091065885</v>
      </c>
      <c r="F4567" s="2">
        <v>364.0</v>
      </c>
      <c r="G4567" s="3">
        <f t="shared" si="2"/>
        <v>0.1255605381</v>
      </c>
      <c r="H4567" s="2">
        <v>585.0</v>
      </c>
      <c r="I4567" s="3">
        <f t="shared" si="3"/>
        <v>0.201793722</v>
      </c>
      <c r="J4567" s="2">
        <v>439.0</v>
      </c>
      <c r="K4567" s="3">
        <f t="shared" si="4"/>
        <v>0.1514315281</v>
      </c>
      <c r="L4567" s="2">
        <v>348.0</v>
      </c>
      <c r="M4567" s="3">
        <f t="shared" si="5"/>
        <v>0.5948717949</v>
      </c>
      <c r="N4567" s="2">
        <v>3173400.0</v>
      </c>
      <c r="O4567" s="4">
        <f t="shared" si="6"/>
        <v>5424.615385</v>
      </c>
      <c r="P4567" s="2">
        <v>0.0</v>
      </c>
      <c r="Q4567" s="3">
        <f t="shared" si="7"/>
        <v>0</v>
      </c>
      <c r="R4567" s="2">
        <v>0.0</v>
      </c>
      <c r="S4567" s="5">
        <f t="shared" si="8"/>
        <v>0</v>
      </c>
    </row>
    <row r="4568">
      <c r="A4568" s="2" t="s">
        <v>4570</v>
      </c>
      <c r="B4568" s="2">
        <v>1338.0</v>
      </c>
      <c r="C4568" s="2">
        <v>15706.0</v>
      </c>
      <c r="D4568" s="2">
        <v>5054.0</v>
      </c>
      <c r="E4568" s="3">
        <f t="shared" si="1"/>
        <v>0.3517538976</v>
      </c>
      <c r="F4568" s="2">
        <v>1804.0</v>
      </c>
      <c r="G4568" s="3">
        <f t="shared" si="2"/>
        <v>0.1255567929</v>
      </c>
      <c r="H4568" s="2">
        <v>2821.0</v>
      </c>
      <c r="I4568" s="3">
        <f t="shared" si="3"/>
        <v>0.1963390869</v>
      </c>
      <c r="J4568" s="2">
        <v>2465.0</v>
      </c>
      <c r="K4568" s="3">
        <f t="shared" si="4"/>
        <v>0.171561804</v>
      </c>
      <c r="L4568" s="2">
        <v>1643.0</v>
      </c>
      <c r="M4568" s="3">
        <f t="shared" si="5"/>
        <v>0.5824175824</v>
      </c>
      <c r="N4568" s="2">
        <v>1.68332E7</v>
      </c>
      <c r="O4568" s="4">
        <f t="shared" si="6"/>
        <v>5967.103864</v>
      </c>
      <c r="P4568" s="2">
        <v>1.0</v>
      </c>
      <c r="Q4568" s="3">
        <f t="shared" si="7"/>
        <v>0.0007473841555</v>
      </c>
      <c r="R4568" s="2">
        <v>1338.0</v>
      </c>
      <c r="S4568" s="5">
        <f t="shared" si="8"/>
        <v>1</v>
      </c>
    </row>
    <row r="4569">
      <c r="A4569" s="2" t="s">
        <v>4571</v>
      </c>
      <c r="B4569" s="2">
        <v>381.0</v>
      </c>
      <c r="C4569" s="2">
        <v>4443.0</v>
      </c>
      <c r="D4569" s="2">
        <v>1602.0</v>
      </c>
      <c r="E4569" s="3">
        <f t="shared" si="1"/>
        <v>0.3943870015</v>
      </c>
      <c r="F4569" s="2">
        <v>510.0</v>
      </c>
      <c r="G4569" s="3">
        <f t="shared" si="2"/>
        <v>0.1255539143</v>
      </c>
      <c r="H4569" s="2">
        <v>885.0</v>
      </c>
      <c r="I4569" s="3">
        <f t="shared" si="3"/>
        <v>0.217872969</v>
      </c>
      <c r="J4569" s="2">
        <v>739.0</v>
      </c>
      <c r="K4569" s="3">
        <f t="shared" si="4"/>
        <v>0.1819300837</v>
      </c>
      <c r="L4569" s="2">
        <v>530.0</v>
      </c>
      <c r="M4569" s="3">
        <f t="shared" si="5"/>
        <v>0.5988700565</v>
      </c>
      <c r="N4569" s="2">
        <v>4794300.0</v>
      </c>
      <c r="O4569" s="4">
        <f t="shared" si="6"/>
        <v>5417.288136</v>
      </c>
      <c r="P4569" s="2">
        <v>0.0</v>
      </c>
      <c r="Q4569" s="3">
        <f t="shared" si="7"/>
        <v>0</v>
      </c>
      <c r="R4569" s="2">
        <v>371.0</v>
      </c>
      <c r="S4569" s="5">
        <f t="shared" si="8"/>
        <v>0.9737532808</v>
      </c>
    </row>
    <row r="4570">
      <c r="A4570" s="2" t="s">
        <v>4572</v>
      </c>
      <c r="B4570" s="2">
        <v>83.0</v>
      </c>
      <c r="C4570" s="2">
        <v>991.0</v>
      </c>
      <c r="D4570" s="2">
        <v>419.0</v>
      </c>
      <c r="E4570" s="3">
        <f t="shared" si="1"/>
        <v>0.4614537445</v>
      </c>
      <c r="F4570" s="2">
        <v>114.0</v>
      </c>
      <c r="G4570" s="3">
        <f t="shared" si="2"/>
        <v>0.1255506608</v>
      </c>
      <c r="H4570" s="2">
        <v>187.0</v>
      </c>
      <c r="I4570" s="3">
        <f t="shared" si="3"/>
        <v>0.2059471366</v>
      </c>
      <c r="J4570" s="2">
        <v>120.0</v>
      </c>
      <c r="K4570" s="3">
        <f t="shared" si="4"/>
        <v>0.1321585903</v>
      </c>
      <c r="L4570" s="2">
        <v>121.0</v>
      </c>
      <c r="M4570" s="3">
        <f t="shared" si="5"/>
        <v>0.6470588235</v>
      </c>
      <c r="N4570" s="2">
        <v>807800.0</v>
      </c>
      <c r="O4570" s="4">
        <f t="shared" si="6"/>
        <v>4319.786096</v>
      </c>
      <c r="P4570" s="2">
        <v>0.0</v>
      </c>
      <c r="Q4570" s="3">
        <f t="shared" si="7"/>
        <v>0</v>
      </c>
      <c r="R4570" s="2">
        <v>83.0</v>
      </c>
      <c r="S4570" s="5">
        <f t="shared" si="8"/>
        <v>1</v>
      </c>
    </row>
    <row r="4571">
      <c r="A4571" s="2" t="s">
        <v>4573</v>
      </c>
      <c r="B4571" s="2">
        <v>299.0</v>
      </c>
      <c r="C4571" s="2">
        <v>3509.0</v>
      </c>
      <c r="D4571" s="2">
        <v>1226.0</v>
      </c>
      <c r="E4571" s="3">
        <f t="shared" si="1"/>
        <v>0.3819314642</v>
      </c>
      <c r="F4571" s="2">
        <v>403.0</v>
      </c>
      <c r="G4571" s="3">
        <f t="shared" si="2"/>
        <v>0.1255451713</v>
      </c>
      <c r="H4571" s="2">
        <v>668.0</v>
      </c>
      <c r="I4571" s="3">
        <f t="shared" si="3"/>
        <v>0.2080996885</v>
      </c>
      <c r="J4571" s="2">
        <v>543.0</v>
      </c>
      <c r="K4571" s="3">
        <f t="shared" si="4"/>
        <v>0.1691588785</v>
      </c>
      <c r="L4571" s="2">
        <v>408.0</v>
      </c>
      <c r="M4571" s="3">
        <f t="shared" si="5"/>
        <v>0.6107784431</v>
      </c>
      <c r="N4571" s="2">
        <v>3612400.0</v>
      </c>
      <c r="O4571" s="4">
        <f t="shared" si="6"/>
        <v>5407.784431</v>
      </c>
      <c r="P4571" s="2">
        <v>0.0</v>
      </c>
      <c r="Q4571" s="3">
        <f t="shared" si="7"/>
        <v>0</v>
      </c>
      <c r="R4571" s="2">
        <v>299.0</v>
      </c>
      <c r="S4571" s="5">
        <f t="shared" si="8"/>
        <v>1</v>
      </c>
    </row>
    <row r="4572">
      <c r="A4572" s="2" t="s">
        <v>4574</v>
      </c>
      <c r="B4572" s="2">
        <v>893.0</v>
      </c>
      <c r="C4572" s="2">
        <v>10547.0</v>
      </c>
      <c r="D4572" s="2">
        <v>3520.0</v>
      </c>
      <c r="E4572" s="3">
        <f t="shared" si="1"/>
        <v>0.3646157033</v>
      </c>
      <c r="F4572" s="2">
        <v>1212.0</v>
      </c>
      <c r="G4572" s="3">
        <f t="shared" si="2"/>
        <v>0.125543816</v>
      </c>
      <c r="H4572" s="2">
        <v>2107.0</v>
      </c>
      <c r="I4572" s="3">
        <f t="shared" si="3"/>
        <v>0.218251502</v>
      </c>
      <c r="J4572" s="2">
        <v>1874.0</v>
      </c>
      <c r="K4572" s="3">
        <f t="shared" si="4"/>
        <v>0.1941164284</v>
      </c>
      <c r="L4572" s="2">
        <v>1213.0</v>
      </c>
      <c r="M4572" s="3">
        <f t="shared" si="5"/>
        <v>0.5757000475</v>
      </c>
      <c r="N4572" s="2">
        <v>1.19291E7</v>
      </c>
      <c r="O4572" s="4">
        <f t="shared" si="6"/>
        <v>5661.651637</v>
      </c>
      <c r="P4572" s="2">
        <v>2.0</v>
      </c>
      <c r="Q4572" s="3">
        <f t="shared" si="7"/>
        <v>0.002239641657</v>
      </c>
      <c r="R4572" s="2">
        <v>893.0</v>
      </c>
      <c r="S4572" s="5">
        <f t="shared" si="8"/>
        <v>1</v>
      </c>
    </row>
    <row r="4573">
      <c r="A4573" s="2" t="s">
        <v>4575</v>
      </c>
      <c r="B4573" s="2">
        <v>66.0</v>
      </c>
      <c r="C4573" s="2">
        <v>759.0</v>
      </c>
      <c r="D4573" s="2">
        <v>206.0</v>
      </c>
      <c r="E4573" s="3">
        <f t="shared" si="1"/>
        <v>0.2972582973</v>
      </c>
      <c r="F4573" s="2">
        <v>87.0</v>
      </c>
      <c r="G4573" s="3">
        <f t="shared" si="2"/>
        <v>0.1255411255</v>
      </c>
      <c r="H4573" s="2">
        <v>137.0</v>
      </c>
      <c r="I4573" s="3">
        <f t="shared" si="3"/>
        <v>0.1976911977</v>
      </c>
      <c r="J4573" s="2">
        <v>92.0</v>
      </c>
      <c r="K4573" s="3">
        <f t="shared" si="4"/>
        <v>0.1327561328</v>
      </c>
      <c r="L4573" s="2">
        <v>94.0</v>
      </c>
      <c r="M4573" s="3">
        <f t="shared" si="5"/>
        <v>0.6861313869</v>
      </c>
      <c r="N4573" s="2">
        <v>776500.0</v>
      </c>
      <c r="O4573" s="4">
        <f t="shared" si="6"/>
        <v>5667.883212</v>
      </c>
      <c r="P4573" s="2">
        <v>0.0</v>
      </c>
      <c r="Q4573" s="3">
        <f t="shared" si="7"/>
        <v>0</v>
      </c>
      <c r="R4573" s="2">
        <v>66.0</v>
      </c>
      <c r="S4573" s="5">
        <f t="shared" si="8"/>
        <v>1</v>
      </c>
    </row>
    <row r="4574">
      <c r="A4574" s="2" t="s">
        <v>4576</v>
      </c>
      <c r="B4574" s="2">
        <v>440.0</v>
      </c>
      <c r="C4574" s="2">
        <v>5068.0</v>
      </c>
      <c r="D4574" s="2">
        <v>1578.0</v>
      </c>
      <c r="E4574" s="3">
        <f t="shared" si="1"/>
        <v>0.3409680207</v>
      </c>
      <c r="F4574" s="2">
        <v>581.0</v>
      </c>
      <c r="G4574" s="3">
        <f t="shared" si="2"/>
        <v>0.1255401901</v>
      </c>
      <c r="H4574" s="2">
        <v>996.0</v>
      </c>
      <c r="I4574" s="3">
        <f t="shared" si="3"/>
        <v>0.2152117545</v>
      </c>
      <c r="J4574" s="2">
        <v>830.0</v>
      </c>
      <c r="K4574" s="3">
        <f t="shared" si="4"/>
        <v>0.1793431288</v>
      </c>
      <c r="L4574" s="2">
        <v>564.0</v>
      </c>
      <c r="M4574" s="3">
        <f t="shared" si="5"/>
        <v>0.5662650602</v>
      </c>
      <c r="N4574" s="2">
        <v>5896900.0</v>
      </c>
      <c r="O4574" s="4">
        <f t="shared" si="6"/>
        <v>5920.582329</v>
      </c>
      <c r="P4574" s="2">
        <v>2.0</v>
      </c>
      <c r="Q4574" s="3">
        <f t="shared" si="7"/>
        <v>0.004545454545</v>
      </c>
      <c r="R4574" s="2">
        <v>1.0</v>
      </c>
      <c r="S4574" s="5">
        <f t="shared" si="8"/>
        <v>0.002272727273</v>
      </c>
    </row>
    <row r="4575">
      <c r="A4575" s="2" t="s">
        <v>4577</v>
      </c>
      <c r="B4575" s="2">
        <v>1565.0</v>
      </c>
      <c r="C4575" s="2">
        <v>18357.0</v>
      </c>
      <c r="D4575" s="2">
        <v>6001.0</v>
      </c>
      <c r="E4575" s="3">
        <f t="shared" si="1"/>
        <v>0.3573725584</v>
      </c>
      <c r="F4575" s="2">
        <v>2108.0</v>
      </c>
      <c r="G4575" s="3">
        <f t="shared" si="2"/>
        <v>0.1255359695</v>
      </c>
      <c r="H4575" s="2">
        <v>3588.0</v>
      </c>
      <c r="I4575" s="3">
        <f t="shared" si="3"/>
        <v>0.2136731777</v>
      </c>
      <c r="J4575" s="2">
        <v>2700.0</v>
      </c>
      <c r="K4575" s="3">
        <f t="shared" si="4"/>
        <v>0.1607908528</v>
      </c>
      <c r="L4575" s="2">
        <v>2105.0</v>
      </c>
      <c r="M4575" s="3">
        <f t="shared" si="5"/>
        <v>0.5866778149</v>
      </c>
      <c r="N4575" s="2">
        <v>1.98645E7</v>
      </c>
      <c r="O4575" s="4">
        <f t="shared" si="6"/>
        <v>5536.371237</v>
      </c>
      <c r="P4575" s="2">
        <v>1.0</v>
      </c>
      <c r="Q4575" s="3">
        <f t="shared" si="7"/>
        <v>0.0006389776358</v>
      </c>
      <c r="R4575" s="2">
        <v>1565.0</v>
      </c>
      <c r="S4575" s="5">
        <f t="shared" si="8"/>
        <v>1</v>
      </c>
    </row>
    <row r="4576">
      <c r="A4576" s="2" t="s">
        <v>4578</v>
      </c>
      <c r="B4576" s="2">
        <v>66.0</v>
      </c>
      <c r="C4576" s="2">
        <v>767.0</v>
      </c>
      <c r="D4576" s="2">
        <v>264.0</v>
      </c>
      <c r="E4576" s="3">
        <f t="shared" si="1"/>
        <v>0.3766048502</v>
      </c>
      <c r="F4576" s="2">
        <v>88.0</v>
      </c>
      <c r="G4576" s="3">
        <f t="shared" si="2"/>
        <v>0.1255349501</v>
      </c>
      <c r="H4576" s="2">
        <v>143.0</v>
      </c>
      <c r="I4576" s="3">
        <f t="shared" si="3"/>
        <v>0.2039942939</v>
      </c>
      <c r="J4576" s="2">
        <v>88.0</v>
      </c>
      <c r="K4576" s="3">
        <f t="shared" si="4"/>
        <v>0.1255349501</v>
      </c>
      <c r="L4576" s="2">
        <v>88.0</v>
      </c>
      <c r="M4576" s="3">
        <f t="shared" si="5"/>
        <v>0.6153846154</v>
      </c>
      <c r="N4576" s="2">
        <v>717400.0</v>
      </c>
      <c r="O4576" s="4">
        <f t="shared" si="6"/>
        <v>5016.783217</v>
      </c>
      <c r="P4576" s="2">
        <v>0.0</v>
      </c>
      <c r="Q4576" s="3">
        <f t="shared" si="7"/>
        <v>0</v>
      </c>
      <c r="R4576" s="2">
        <v>66.0</v>
      </c>
      <c r="S4576" s="5">
        <f t="shared" si="8"/>
        <v>1</v>
      </c>
    </row>
    <row r="4577">
      <c r="A4577" s="2" t="s">
        <v>4579</v>
      </c>
      <c r="B4577" s="2">
        <v>817.0</v>
      </c>
      <c r="C4577" s="2">
        <v>9508.0</v>
      </c>
      <c r="D4577" s="2">
        <v>3035.0</v>
      </c>
      <c r="E4577" s="3">
        <f t="shared" si="1"/>
        <v>0.3492118283</v>
      </c>
      <c r="F4577" s="2">
        <v>1091.0</v>
      </c>
      <c r="G4577" s="3">
        <f t="shared" si="2"/>
        <v>0.1255321597</v>
      </c>
      <c r="H4577" s="2">
        <v>1816.0</v>
      </c>
      <c r="I4577" s="3">
        <f t="shared" si="3"/>
        <v>0.2089517892</v>
      </c>
      <c r="J4577" s="2">
        <v>1335.0</v>
      </c>
      <c r="K4577" s="3">
        <f t="shared" si="4"/>
        <v>0.1536071798</v>
      </c>
      <c r="L4577" s="2">
        <v>1132.0</v>
      </c>
      <c r="M4577" s="3">
        <f t="shared" si="5"/>
        <v>0.6233480176</v>
      </c>
      <c r="N4577" s="2">
        <v>1.04021E7</v>
      </c>
      <c r="O4577" s="4">
        <f t="shared" si="6"/>
        <v>5728.028634</v>
      </c>
      <c r="P4577" s="2">
        <v>3.0</v>
      </c>
      <c r="Q4577" s="3">
        <f t="shared" si="7"/>
        <v>0.003671970624</v>
      </c>
      <c r="R4577" s="2">
        <v>817.0</v>
      </c>
      <c r="S4577" s="5">
        <f t="shared" si="8"/>
        <v>1</v>
      </c>
    </row>
    <row r="4578">
      <c r="A4578" s="2" t="s">
        <v>4580</v>
      </c>
      <c r="B4578" s="2">
        <v>356.0</v>
      </c>
      <c r="C4578" s="2">
        <v>4244.0</v>
      </c>
      <c r="D4578" s="2">
        <v>1093.0</v>
      </c>
      <c r="E4578" s="3">
        <f t="shared" si="1"/>
        <v>0.2811213992</v>
      </c>
      <c r="F4578" s="2">
        <v>488.0</v>
      </c>
      <c r="G4578" s="3">
        <f t="shared" si="2"/>
        <v>0.1255144033</v>
      </c>
      <c r="H4578" s="2">
        <v>800.0</v>
      </c>
      <c r="I4578" s="3">
        <f t="shared" si="3"/>
        <v>0.2057613169</v>
      </c>
      <c r="J4578" s="2">
        <v>642.0</v>
      </c>
      <c r="K4578" s="3">
        <f t="shared" si="4"/>
        <v>0.1651234568</v>
      </c>
      <c r="L4578" s="2">
        <v>472.0</v>
      </c>
      <c r="M4578" s="3">
        <f t="shared" si="5"/>
        <v>0.59</v>
      </c>
      <c r="N4578" s="2">
        <v>4657500.0</v>
      </c>
      <c r="O4578" s="4">
        <f t="shared" si="6"/>
        <v>5821.875</v>
      </c>
      <c r="P4578" s="2">
        <v>0.0</v>
      </c>
      <c r="Q4578" s="3">
        <f t="shared" si="7"/>
        <v>0</v>
      </c>
      <c r="R4578" s="2">
        <v>356.0</v>
      </c>
      <c r="S4578" s="5">
        <f t="shared" si="8"/>
        <v>1</v>
      </c>
    </row>
    <row r="4579">
      <c r="A4579" s="2" t="s">
        <v>4581</v>
      </c>
      <c r="B4579" s="2">
        <v>70.0</v>
      </c>
      <c r="C4579" s="2">
        <v>803.0</v>
      </c>
      <c r="D4579" s="2">
        <v>248.0</v>
      </c>
      <c r="E4579" s="3">
        <f t="shared" si="1"/>
        <v>0.3383356071</v>
      </c>
      <c r="F4579" s="2">
        <v>92.0</v>
      </c>
      <c r="G4579" s="3">
        <f t="shared" si="2"/>
        <v>0.1255115962</v>
      </c>
      <c r="H4579" s="2">
        <v>165.0</v>
      </c>
      <c r="I4579" s="3">
        <f t="shared" si="3"/>
        <v>0.2251023192</v>
      </c>
      <c r="J4579" s="2">
        <v>141.0</v>
      </c>
      <c r="K4579" s="3">
        <f t="shared" si="4"/>
        <v>0.1923601637</v>
      </c>
      <c r="L4579" s="2">
        <v>92.0</v>
      </c>
      <c r="M4579" s="3">
        <f t="shared" si="5"/>
        <v>0.5575757576</v>
      </c>
      <c r="N4579" s="2">
        <v>900800.0</v>
      </c>
      <c r="O4579" s="4">
        <f t="shared" si="6"/>
        <v>5459.393939</v>
      </c>
      <c r="P4579" s="2">
        <v>0.0</v>
      </c>
      <c r="Q4579" s="3">
        <f t="shared" si="7"/>
        <v>0</v>
      </c>
      <c r="R4579" s="2">
        <v>0.0</v>
      </c>
      <c r="S4579" s="5">
        <f t="shared" si="8"/>
        <v>0</v>
      </c>
    </row>
    <row r="4580">
      <c r="A4580" s="2" t="s">
        <v>4582</v>
      </c>
      <c r="B4580" s="2">
        <v>155.0</v>
      </c>
      <c r="C4580" s="2">
        <v>1876.0</v>
      </c>
      <c r="D4580" s="2">
        <v>603.0</v>
      </c>
      <c r="E4580" s="3">
        <f t="shared" si="1"/>
        <v>0.3503776874</v>
      </c>
      <c r="F4580" s="2">
        <v>216.0</v>
      </c>
      <c r="G4580" s="3">
        <f t="shared" si="2"/>
        <v>0.1255084253</v>
      </c>
      <c r="H4580" s="2">
        <v>332.0</v>
      </c>
      <c r="I4580" s="3">
        <f t="shared" si="3"/>
        <v>0.1929110982</v>
      </c>
      <c r="J4580" s="2">
        <v>252.0</v>
      </c>
      <c r="K4580" s="3">
        <f t="shared" si="4"/>
        <v>0.1464264962</v>
      </c>
      <c r="L4580" s="2">
        <v>181.0</v>
      </c>
      <c r="M4580" s="3">
        <f t="shared" si="5"/>
        <v>0.5451807229</v>
      </c>
      <c r="N4580" s="2">
        <v>1729800.0</v>
      </c>
      <c r="O4580" s="4">
        <f t="shared" si="6"/>
        <v>5210.240964</v>
      </c>
      <c r="P4580" s="2">
        <v>0.0</v>
      </c>
      <c r="Q4580" s="3">
        <f t="shared" si="7"/>
        <v>0</v>
      </c>
      <c r="R4580" s="2">
        <v>155.0</v>
      </c>
      <c r="S4580" s="5">
        <f t="shared" si="8"/>
        <v>1</v>
      </c>
    </row>
    <row r="4581">
      <c r="A4581" s="2" t="s">
        <v>4583</v>
      </c>
      <c r="B4581" s="2">
        <v>586.0</v>
      </c>
      <c r="C4581" s="2">
        <v>6841.0</v>
      </c>
      <c r="D4581" s="2">
        <v>2471.0</v>
      </c>
      <c r="E4581" s="3">
        <f t="shared" si="1"/>
        <v>0.3950439648</v>
      </c>
      <c r="F4581" s="2">
        <v>785.0</v>
      </c>
      <c r="G4581" s="3">
        <f t="shared" si="2"/>
        <v>0.1254996003</v>
      </c>
      <c r="H4581" s="2">
        <v>1314.0</v>
      </c>
      <c r="I4581" s="3">
        <f t="shared" si="3"/>
        <v>0.2100719424</v>
      </c>
      <c r="J4581" s="2">
        <v>1016.0</v>
      </c>
      <c r="K4581" s="3">
        <f t="shared" si="4"/>
        <v>0.162430056</v>
      </c>
      <c r="L4581" s="2">
        <v>796.0</v>
      </c>
      <c r="M4581" s="3">
        <f t="shared" si="5"/>
        <v>0.6057838661</v>
      </c>
      <c r="N4581" s="2">
        <v>7094000.0</v>
      </c>
      <c r="O4581" s="4">
        <f t="shared" si="6"/>
        <v>5398.782344</v>
      </c>
      <c r="P4581" s="2">
        <v>1.0</v>
      </c>
      <c r="Q4581" s="3">
        <f t="shared" si="7"/>
        <v>0.001706484642</v>
      </c>
      <c r="R4581" s="2">
        <v>586.0</v>
      </c>
      <c r="S4581" s="5">
        <f t="shared" si="8"/>
        <v>1</v>
      </c>
    </row>
    <row r="4582">
      <c r="A4582" s="2" t="s">
        <v>4584</v>
      </c>
      <c r="B4582" s="2">
        <v>553.0</v>
      </c>
      <c r="C4582" s="2">
        <v>6411.0</v>
      </c>
      <c r="D4582" s="2">
        <v>2409.0</v>
      </c>
      <c r="E4582" s="3">
        <f t="shared" si="1"/>
        <v>0.4112325026</v>
      </c>
      <c r="F4582" s="2">
        <v>735.0</v>
      </c>
      <c r="G4582" s="3">
        <f t="shared" si="2"/>
        <v>0.1254694435</v>
      </c>
      <c r="H4582" s="2">
        <v>1252.0</v>
      </c>
      <c r="I4582" s="3">
        <f t="shared" si="3"/>
        <v>0.2137248208</v>
      </c>
      <c r="J4582" s="2">
        <v>933.0</v>
      </c>
      <c r="K4582" s="3">
        <f t="shared" si="4"/>
        <v>0.1592693752</v>
      </c>
      <c r="L4582" s="2">
        <v>774.0</v>
      </c>
      <c r="M4582" s="3">
        <f t="shared" si="5"/>
        <v>0.6182108626</v>
      </c>
      <c r="N4582" s="2">
        <v>6250000.0</v>
      </c>
      <c r="O4582" s="4">
        <f t="shared" si="6"/>
        <v>4992.01278</v>
      </c>
      <c r="P4582" s="2">
        <v>0.0</v>
      </c>
      <c r="Q4582" s="3">
        <f t="shared" si="7"/>
        <v>0</v>
      </c>
      <c r="R4582" s="2">
        <v>0.0</v>
      </c>
      <c r="S4582" s="5">
        <f t="shared" si="8"/>
        <v>0</v>
      </c>
    </row>
    <row r="4583">
      <c r="A4583" s="2" t="s">
        <v>4585</v>
      </c>
      <c r="B4583" s="2">
        <v>1677.0</v>
      </c>
      <c r="C4583" s="2">
        <v>19610.0</v>
      </c>
      <c r="D4583" s="2">
        <v>6403.0</v>
      </c>
      <c r="E4583" s="3">
        <f t="shared" si="1"/>
        <v>0.3570512463</v>
      </c>
      <c r="F4583" s="2">
        <v>2250.0</v>
      </c>
      <c r="G4583" s="3">
        <f t="shared" si="2"/>
        <v>0.1254670161</v>
      </c>
      <c r="H4583" s="2">
        <v>3849.0</v>
      </c>
      <c r="I4583" s="3">
        <f t="shared" si="3"/>
        <v>0.2146322422</v>
      </c>
      <c r="J4583" s="2">
        <v>3033.0</v>
      </c>
      <c r="K4583" s="3">
        <f t="shared" si="4"/>
        <v>0.1691295377</v>
      </c>
      <c r="L4583" s="2">
        <v>2298.0</v>
      </c>
      <c r="M4583" s="3">
        <f t="shared" si="5"/>
        <v>0.5970381917</v>
      </c>
      <c r="N4583" s="2">
        <v>2.13204E7</v>
      </c>
      <c r="O4583" s="4">
        <f t="shared" si="6"/>
        <v>5539.204988</v>
      </c>
      <c r="P4583" s="2">
        <v>1.0</v>
      </c>
      <c r="Q4583" s="3">
        <f t="shared" si="7"/>
        <v>0.0005963029219</v>
      </c>
      <c r="R4583" s="2">
        <v>7.0</v>
      </c>
      <c r="S4583" s="5">
        <f t="shared" si="8"/>
        <v>0.004174120453</v>
      </c>
    </row>
    <row r="4584">
      <c r="A4584" s="2" t="s">
        <v>4586</v>
      </c>
      <c r="B4584" s="2">
        <v>287.0</v>
      </c>
      <c r="C4584" s="2">
        <v>3236.0</v>
      </c>
      <c r="D4584" s="2">
        <v>1215.0</v>
      </c>
      <c r="E4584" s="3">
        <f t="shared" si="1"/>
        <v>0.4120040692</v>
      </c>
      <c r="F4584" s="2">
        <v>370.0</v>
      </c>
      <c r="G4584" s="3">
        <f t="shared" si="2"/>
        <v>0.1254662597</v>
      </c>
      <c r="H4584" s="2">
        <v>626.0</v>
      </c>
      <c r="I4584" s="3">
        <f t="shared" si="3"/>
        <v>0.2122753476</v>
      </c>
      <c r="J4584" s="2">
        <v>500.0</v>
      </c>
      <c r="K4584" s="3">
        <f t="shared" si="4"/>
        <v>0.1695489997</v>
      </c>
      <c r="L4584" s="2">
        <v>405.0</v>
      </c>
      <c r="M4584" s="3">
        <f t="shared" si="5"/>
        <v>0.6469648562</v>
      </c>
      <c r="N4584" s="2">
        <v>3452700.0</v>
      </c>
      <c r="O4584" s="4">
        <f t="shared" si="6"/>
        <v>5515.495208</v>
      </c>
      <c r="P4584" s="2">
        <v>0.0</v>
      </c>
      <c r="Q4584" s="3">
        <f t="shared" si="7"/>
        <v>0</v>
      </c>
      <c r="R4584" s="2">
        <v>11.0</v>
      </c>
      <c r="S4584" s="5">
        <f t="shared" si="8"/>
        <v>0.03832752613</v>
      </c>
    </row>
    <row r="4585">
      <c r="A4585" s="2" t="s">
        <v>4587</v>
      </c>
      <c r="B4585" s="2">
        <v>73.0</v>
      </c>
      <c r="C4585" s="2">
        <v>878.0</v>
      </c>
      <c r="D4585" s="2">
        <v>271.0</v>
      </c>
      <c r="E4585" s="3">
        <f t="shared" si="1"/>
        <v>0.3366459627</v>
      </c>
      <c r="F4585" s="2">
        <v>101.0</v>
      </c>
      <c r="G4585" s="3">
        <f t="shared" si="2"/>
        <v>0.1254658385</v>
      </c>
      <c r="H4585" s="2">
        <v>158.0</v>
      </c>
      <c r="I4585" s="3">
        <f t="shared" si="3"/>
        <v>0.1962732919</v>
      </c>
      <c r="J4585" s="2">
        <v>164.0</v>
      </c>
      <c r="K4585" s="3">
        <f t="shared" si="4"/>
        <v>0.2037267081</v>
      </c>
      <c r="L4585" s="2">
        <v>103.0</v>
      </c>
      <c r="M4585" s="3">
        <f t="shared" si="5"/>
        <v>0.6518987342</v>
      </c>
      <c r="N4585" s="2">
        <v>914400.0</v>
      </c>
      <c r="O4585" s="4">
        <f t="shared" si="6"/>
        <v>5787.341772</v>
      </c>
      <c r="P4585" s="2">
        <v>0.0</v>
      </c>
      <c r="Q4585" s="3">
        <f t="shared" si="7"/>
        <v>0</v>
      </c>
      <c r="R4585" s="2">
        <v>0.0</v>
      </c>
      <c r="S4585" s="5">
        <f t="shared" si="8"/>
        <v>0</v>
      </c>
    </row>
    <row r="4586">
      <c r="A4586" s="2" t="s">
        <v>4588</v>
      </c>
      <c r="B4586" s="2">
        <v>150.0</v>
      </c>
      <c r="C4586" s="2">
        <v>1760.0</v>
      </c>
      <c r="D4586" s="2">
        <v>538.0</v>
      </c>
      <c r="E4586" s="3">
        <f t="shared" si="1"/>
        <v>0.3341614907</v>
      </c>
      <c r="F4586" s="2">
        <v>202.0</v>
      </c>
      <c r="G4586" s="3">
        <f t="shared" si="2"/>
        <v>0.1254658385</v>
      </c>
      <c r="H4586" s="2">
        <v>324.0</v>
      </c>
      <c r="I4586" s="3">
        <f t="shared" si="3"/>
        <v>0.201242236</v>
      </c>
      <c r="J4586" s="2">
        <v>282.0</v>
      </c>
      <c r="K4586" s="3">
        <f t="shared" si="4"/>
        <v>0.1751552795</v>
      </c>
      <c r="L4586" s="2">
        <v>205.0</v>
      </c>
      <c r="M4586" s="3">
        <f t="shared" si="5"/>
        <v>0.6327160494</v>
      </c>
      <c r="N4586" s="2">
        <v>1776900.0</v>
      </c>
      <c r="O4586" s="4">
        <f t="shared" si="6"/>
        <v>5484.259259</v>
      </c>
      <c r="P4586" s="2">
        <v>0.0</v>
      </c>
      <c r="Q4586" s="3">
        <f t="shared" si="7"/>
        <v>0</v>
      </c>
      <c r="R4586" s="2">
        <v>150.0</v>
      </c>
      <c r="S4586" s="5">
        <f t="shared" si="8"/>
        <v>1</v>
      </c>
    </row>
    <row r="4587">
      <c r="A4587" s="2" t="s">
        <v>4589</v>
      </c>
      <c r="B4587" s="2">
        <v>1389.0</v>
      </c>
      <c r="C4587" s="2">
        <v>16477.0</v>
      </c>
      <c r="D4587" s="2">
        <v>5134.0</v>
      </c>
      <c r="E4587" s="3">
        <f t="shared" si="1"/>
        <v>0.3402704136</v>
      </c>
      <c r="F4587" s="2">
        <v>1893.0</v>
      </c>
      <c r="G4587" s="3">
        <f t="shared" si="2"/>
        <v>0.1254639449</v>
      </c>
      <c r="H4587" s="2">
        <v>3268.0</v>
      </c>
      <c r="I4587" s="3">
        <f t="shared" si="3"/>
        <v>0.2165959703</v>
      </c>
      <c r="J4587" s="2">
        <v>2597.0</v>
      </c>
      <c r="K4587" s="3">
        <f t="shared" si="4"/>
        <v>0.1721235419</v>
      </c>
      <c r="L4587" s="2">
        <v>1991.0</v>
      </c>
      <c r="M4587" s="3">
        <f t="shared" si="5"/>
        <v>0.6092411261</v>
      </c>
      <c r="N4587" s="2">
        <v>1.81199E7</v>
      </c>
      <c r="O4587" s="4">
        <f t="shared" si="6"/>
        <v>5544.645043</v>
      </c>
      <c r="P4587" s="2">
        <v>0.0</v>
      </c>
      <c r="Q4587" s="3">
        <f t="shared" si="7"/>
        <v>0</v>
      </c>
      <c r="R4587" s="2">
        <v>1389.0</v>
      </c>
      <c r="S4587" s="5">
        <f t="shared" si="8"/>
        <v>1</v>
      </c>
    </row>
    <row r="4588">
      <c r="A4588" s="2" t="s">
        <v>4590</v>
      </c>
      <c r="B4588" s="2">
        <v>129.0</v>
      </c>
      <c r="C4588" s="2">
        <v>1484.0</v>
      </c>
      <c r="D4588" s="2">
        <v>433.0</v>
      </c>
      <c r="E4588" s="3">
        <f t="shared" si="1"/>
        <v>0.3195571956</v>
      </c>
      <c r="F4588" s="2">
        <v>170.0</v>
      </c>
      <c r="G4588" s="3">
        <f t="shared" si="2"/>
        <v>0.1254612546</v>
      </c>
      <c r="H4588" s="2">
        <v>274.0</v>
      </c>
      <c r="I4588" s="3">
        <f t="shared" si="3"/>
        <v>0.2022140221</v>
      </c>
      <c r="J4588" s="2">
        <v>239.0</v>
      </c>
      <c r="K4588" s="3">
        <f t="shared" si="4"/>
        <v>0.1763837638</v>
      </c>
      <c r="L4588" s="2">
        <v>168.0</v>
      </c>
      <c r="M4588" s="3">
        <f t="shared" si="5"/>
        <v>0.6131386861</v>
      </c>
      <c r="N4588" s="2">
        <v>1559100.0</v>
      </c>
      <c r="O4588" s="4">
        <f t="shared" si="6"/>
        <v>5690.145985</v>
      </c>
      <c r="P4588" s="2">
        <v>0.0</v>
      </c>
      <c r="Q4588" s="3">
        <f t="shared" si="7"/>
        <v>0</v>
      </c>
      <c r="R4588" s="2">
        <v>129.0</v>
      </c>
      <c r="S4588" s="5">
        <f t="shared" si="8"/>
        <v>1</v>
      </c>
    </row>
    <row r="4589">
      <c r="A4589" s="2" t="s">
        <v>4591</v>
      </c>
      <c r="B4589" s="2">
        <v>2256.0</v>
      </c>
      <c r="C4589" s="2">
        <v>26561.0</v>
      </c>
      <c r="D4589" s="2">
        <v>8026.0</v>
      </c>
      <c r="E4589" s="3">
        <f t="shared" si="1"/>
        <v>0.3302201193</v>
      </c>
      <c r="F4589" s="2">
        <v>3049.0</v>
      </c>
      <c r="G4589" s="3">
        <f t="shared" si="2"/>
        <v>0.1254474388</v>
      </c>
      <c r="H4589" s="2">
        <v>5157.0</v>
      </c>
      <c r="I4589" s="3">
        <f t="shared" si="3"/>
        <v>0.2121785641</v>
      </c>
      <c r="J4589" s="2">
        <v>3697.0</v>
      </c>
      <c r="K4589" s="3">
        <f t="shared" si="4"/>
        <v>0.1521086196</v>
      </c>
      <c r="L4589" s="2">
        <v>3149.0</v>
      </c>
      <c r="M4589" s="3">
        <f t="shared" si="5"/>
        <v>0.6106263331</v>
      </c>
      <c r="N4589" s="2">
        <v>2.85491E7</v>
      </c>
      <c r="O4589" s="4">
        <f t="shared" si="6"/>
        <v>5535.989917</v>
      </c>
      <c r="P4589" s="2">
        <v>2.0</v>
      </c>
      <c r="Q4589" s="3">
        <f t="shared" si="7"/>
        <v>0.0008865248227</v>
      </c>
      <c r="R4589" s="2">
        <v>0.0</v>
      </c>
      <c r="S4589" s="5">
        <f t="shared" si="8"/>
        <v>0</v>
      </c>
    </row>
    <row r="4590">
      <c r="A4590" s="2" t="s">
        <v>4592</v>
      </c>
      <c r="B4590" s="2">
        <v>1052.0</v>
      </c>
      <c r="C4590" s="2">
        <v>12372.0</v>
      </c>
      <c r="D4590" s="2">
        <v>3716.0</v>
      </c>
      <c r="E4590" s="3">
        <f t="shared" si="1"/>
        <v>0.3282685512</v>
      </c>
      <c r="F4590" s="2">
        <v>1420.0</v>
      </c>
      <c r="G4590" s="3">
        <f t="shared" si="2"/>
        <v>0.1254416961</v>
      </c>
      <c r="H4590" s="2">
        <v>2386.0</v>
      </c>
      <c r="I4590" s="3">
        <f t="shared" si="3"/>
        <v>0.2107773852</v>
      </c>
      <c r="J4590" s="2">
        <v>1983.0</v>
      </c>
      <c r="K4590" s="3">
        <f t="shared" si="4"/>
        <v>0.1751766784</v>
      </c>
      <c r="L4590" s="2">
        <v>1391.0</v>
      </c>
      <c r="M4590" s="3">
        <f t="shared" si="5"/>
        <v>0.5829840738</v>
      </c>
      <c r="N4590" s="2">
        <v>1.39022E7</v>
      </c>
      <c r="O4590" s="4">
        <f t="shared" si="6"/>
        <v>5826.571668</v>
      </c>
      <c r="P4590" s="2">
        <v>1.0</v>
      </c>
      <c r="Q4590" s="3">
        <f t="shared" si="7"/>
        <v>0.0009505703422</v>
      </c>
      <c r="R4590" s="2">
        <v>881.0</v>
      </c>
      <c r="S4590" s="5">
        <f t="shared" si="8"/>
        <v>0.8374524715</v>
      </c>
    </row>
    <row r="4591">
      <c r="A4591" s="2" t="s">
        <v>4593</v>
      </c>
      <c r="B4591" s="2">
        <v>833.0</v>
      </c>
      <c r="C4591" s="2">
        <v>9682.0</v>
      </c>
      <c r="D4591" s="2">
        <v>3635.0</v>
      </c>
      <c r="E4591" s="3">
        <f t="shared" si="1"/>
        <v>0.4107808792</v>
      </c>
      <c r="F4591" s="2">
        <v>1110.0</v>
      </c>
      <c r="G4591" s="3">
        <f t="shared" si="2"/>
        <v>0.1254379026</v>
      </c>
      <c r="H4591" s="2">
        <v>1886.0</v>
      </c>
      <c r="I4591" s="3">
        <f t="shared" si="3"/>
        <v>0.2131314273</v>
      </c>
      <c r="J4591" s="2">
        <v>1500.0</v>
      </c>
      <c r="K4591" s="3">
        <f t="shared" si="4"/>
        <v>0.1695106792</v>
      </c>
      <c r="L4591" s="2">
        <v>1128.0</v>
      </c>
      <c r="M4591" s="3">
        <f t="shared" si="5"/>
        <v>0.5980911983</v>
      </c>
      <c r="N4591" s="2">
        <v>1.04305E7</v>
      </c>
      <c r="O4591" s="4">
        <f t="shared" si="6"/>
        <v>5530.487805</v>
      </c>
      <c r="P4591" s="2">
        <v>3.0</v>
      </c>
      <c r="Q4591" s="3">
        <f t="shared" si="7"/>
        <v>0.003601440576</v>
      </c>
      <c r="R4591" s="2">
        <v>20.0</v>
      </c>
      <c r="S4591" s="5">
        <f t="shared" si="8"/>
        <v>0.02400960384</v>
      </c>
    </row>
    <row r="4592">
      <c r="A4592" s="2" t="s">
        <v>4594</v>
      </c>
      <c r="B4592" s="2">
        <v>260.0</v>
      </c>
      <c r="C4592" s="2">
        <v>3138.0</v>
      </c>
      <c r="D4592" s="2">
        <v>1132.0</v>
      </c>
      <c r="E4592" s="3">
        <f t="shared" si="1"/>
        <v>0.3933287005</v>
      </c>
      <c r="F4592" s="2">
        <v>361.0</v>
      </c>
      <c r="G4592" s="3">
        <f t="shared" si="2"/>
        <v>0.1254343294</v>
      </c>
      <c r="H4592" s="2">
        <v>631.0</v>
      </c>
      <c r="I4592" s="3">
        <f t="shared" si="3"/>
        <v>0.2192494788</v>
      </c>
      <c r="J4592" s="2">
        <v>434.0</v>
      </c>
      <c r="K4592" s="3">
        <f t="shared" si="4"/>
        <v>0.1507991661</v>
      </c>
      <c r="L4592" s="2">
        <v>380.0</v>
      </c>
      <c r="M4592" s="3">
        <f t="shared" si="5"/>
        <v>0.6022187005</v>
      </c>
      <c r="N4592" s="2">
        <v>3323400.0</v>
      </c>
      <c r="O4592" s="4">
        <f t="shared" si="6"/>
        <v>5266.877971</v>
      </c>
      <c r="P4592" s="2">
        <v>1.0</v>
      </c>
      <c r="Q4592" s="3">
        <f t="shared" si="7"/>
        <v>0.003846153846</v>
      </c>
      <c r="R4592" s="2">
        <v>260.0</v>
      </c>
      <c r="S4592" s="5">
        <f t="shared" si="8"/>
        <v>1</v>
      </c>
    </row>
    <row r="4593">
      <c r="A4593" s="2" t="s">
        <v>4595</v>
      </c>
      <c r="B4593" s="2">
        <v>567.0</v>
      </c>
      <c r="C4593" s="2">
        <v>6618.0</v>
      </c>
      <c r="D4593" s="2">
        <v>1987.0</v>
      </c>
      <c r="E4593" s="3">
        <f t="shared" si="1"/>
        <v>0.3283754751</v>
      </c>
      <c r="F4593" s="2">
        <v>759.0</v>
      </c>
      <c r="G4593" s="3">
        <f t="shared" si="2"/>
        <v>0.1254338126</v>
      </c>
      <c r="H4593" s="2">
        <v>1243.0</v>
      </c>
      <c r="I4593" s="3">
        <f t="shared" si="3"/>
        <v>0.2054205916</v>
      </c>
      <c r="J4593" s="2">
        <v>1020.0</v>
      </c>
      <c r="K4593" s="3">
        <f t="shared" si="4"/>
        <v>0.168567179</v>
      </c>
      <c r="L4593" s="2">
        <v>765.0</v>
      </c>
      <c r="M4593" s="3">
        <f t="shared" si="5"/>
        <v>0.6154465004</v>
      </c>
      <c r="N4593" s="2">
        <v>6937600.0</v>
      </c>
      <c r="O4593" s="4">
        <f t="shared" si="6"/>
        <v>5581.335479</v>
      </c>
      <c r="P4593" s="2">
        <v>0.0</v>
      </c>
      <c r="Q4593" s="3">
        <f t="shared" si="7"/>
        <v>0</v>
      </c>
      <c r="R4593" s="2">
        <v>567.0</v>
      </c>
      <c r="S4593" s="5">
        <f t="shared" si="8"/>
        <v>1</v>
      </c>
    </row>
    <row r="4594">
      <c r="A4594" s="2" t="s">
        <v>4596</v>
      </c>
      <c r="B4594" s="2">
        <v>163.0</v>
      </c>
      <c r="C4594" s="2">
        <v>1909.0</v>
      </c>
      <c r="D4594" s="2">
        <v>618.0</v>
      </c>
      <c r="E4594" s="3">
        <f t="shared" si="1"/>
        <v>0.35395189</v>
      </c>
      <c r="F4594" s="2">
        <v>219.0</v>
      </c>
      <c r="G4594" s="3">
        <f t="shared" si="2"/>
        <v>0.1254295533</v>
      </c>
      <c r="H4594" s="2">
        <v>363.0</v>
      </c>
      <c r="I4594" s="3">
        <f t="shared" si="3"/>
        <v>0.2079037801</v>
      </c>
      <c r="J4594" s="2">
        <v>278.0</v>
      </c>
      <c r="K4594" s="3">
        <f t="shared" si="4"/>
        <v>0.1592210767</v>
      </c>
      <c r="L4594" s="2">
        <v>205.0</v>
      </c>
      <c r="M4594" s="3">
        <f t="shared" si="5"/>
        <v>0.564738292</v>
      </c>
      <c r="N4594" s="2">
        <v>2242100.0</v>
      </c>
      <c r="O4594" s="4">
        <f t="shared" si="6"/>
        <v>6176.584022</v>
      </c>
      <c r="P4594" s="2">
        <v>1.0</v>
      </c>
      <c r="Q4594" s="3">
        <f t="shared" si="7"/>
        <v>0.006134969325</v>
      </c>
      <c r="R4594" s="2">
        <v>90.0</v>
      </c>
      <c r="S4594" s="5">
        <f t="shared" si="8"/>
        <v>0.5521472393</v>
      </c>
    </row>
    <row r="4595">
      <c r="A4595" s="2" t="s">
        <v>4597</v>
      </c>
      <c r="B4595" s="2">
        <v>915.0</v>
      </c>
      <c r="C4595" s="2">
        <v>10913.0</v>
      </c>
      <c r="D4595" s="2">
        <v>3677.0</v>
      </c>
      <c r="E4595" s="3">
        <f t="shared" si="1"/>
        <v>0.3677735547</v>
      </c>
      <c r="F4595" s="2">
        <v>1254.0</v>
      </c>
      <c r="G4595" s="3">
        <f t="shared" si="2"/>
        <v>0.125425085</v>
      </c>
      <c r="H4595" s="2">
        <v>2141.0</v>
      </c>
      <c r="I4595" s="3">
        <f t="shared" si="3"/>
        <v>0.2141428286</v>
      </c>
      <c r="J4595" s="2">
        <v>1848.0</v>
      </c>
      <c r="K4595" s="3">
        <f t="shared" si="4"/>
        <v>0.1848369674</v>
      </c>
      <c r="L4595" s="2">
        <v>1264.0</v>
      </c>
      <c r="M4595" s="3">
        <f t="shared" si="5"/>
        <v>0.5903783279</v>
      </c>
      <c r="N4595" s="2">
        <v>1.19949E7</v>
      </c>
      <c r="O4595" s="4">
        <f t="shared" si="6"/>
        <v>5602.475479</v>
      </c>
      <c r="P4595" s="2">
        <v>1.0</v>
      </c>
      <c r="Q4595" s="3">
        <f t="shared" si="7"/>
        <v>0.001092896175</v>
      </c>
      <c r="R4595" s="2">
        <v>915.0</v>
      </c>
      <c r="S4595" s="5">
        <f t="shared" si="8"/>
        <v>1</v>
      </c>
    </row>
    <row r="4596">
      <c r="A4596" s="2" t="s">
        <v>4598</v>
      </c>
      <c r="B4596" s="2">
        <v>363.0</v>
      </c>
      <c r="C4596" s="2">
        <v>4246.0</v>
      </c>
      <c r="D4596" s="2">
        <v>1461.0</v>
      </c>
      <c r="E4596" s="3">
        <f t="shared" si="1"/>
        <v>0.3762554726</v>
      </c>
      <c r="F4596" s="2">
        <v>487.0</v>
      </c>
      <c r="G4596" s="3">
        <f t="shared" si="2"/>
        <v>0.1254184909</v>
      </c>
      <c r="H4596" s="2">
        <v>810.0</v>
      </c>
      <c r="I4596" s="3">
        <f t="shared" si="3"/>
        <v>0.2086015967</v>
      </c>
      <c r="J4596" s="2">
        <v>664.0</v>
      </c>
      <c r="K4596" s="3">
        <f t="shared" si="4"/>
        <v>0.1710018027</v>
      </c>
      <c r="L4596" s="2">
        <v>485.0</v>
      </c>
      <c r="M4596" s="3">
        <f t="shared" si="5"/>
        <v>0.5987654321</v>
      </c>
      <c r="N4596" s="2">
        <v>4390200.0</v>
      </c>
      <c r="O4596" s="4">
        <f t="shared" si="6"/>
        <v>5420</v>
      </c>
      <c r="P4596" s="2">
        <v>2.0</v>
      </c>
      <c r="Q4596" s="3">
        <f t="shared" si="7"/>
        <v>0.005509641873</v>
      </c>
      <c r="R4596" s="2">
        <v>0.0</v>
      </c>
      <c r="S4596" s="5">
        <f t="shared" si="8"/>
        <v>0</v>
      </c>
    </row>
    <row r="4597">
      <c r="A4597" s="2" t="s">
        <v>4599</v>
      </c>
      <c r="B4597" s="2">
        <v>140.0</v>
      </c>
      <c r="C4597" s="2">
        <v>1679.0</v>
      </c>
      <c r="D4597" s="2">
        <v>420.0</v>
      </c>
      <c r="E4597" s="3">
        <f t="shared" si="1"/>
        <v>0.2729044834</v>
      </c>
      <c r="F4597" s="2">
        <v>193.0</v>
      </c>
      <c r="G4597" s="3">
        <f t="shared" si="2"/>
        <v>0.1254061079</v>
      </c>
      <c r="H4597" s="2">
        <v>330.0</v>
      </c>
      <c r="I4597" s="3">
        <f t="shared" si="3"/>
        <v>0.2144249513</v>
      </c>
      <c r="J4597" s="2">
        <v>315.0</v>
      </c>
      <c r="K4597" s="3">
        <f t="shared" si="4"/>
        <v>0.2046783626</v>
      </c>
      <c r="L4597" s="2">
        <v>207.0</v>
      </c>
      <c r="M4597" s="3">
        <f t="shared" si="5"/>
        <v>0.6272727273</v>
      </c>
      <c r="N4597" s="2">
        <v>2031000.0</v>
      </c>
      <c r="O4597" s="4">
        <f t="shared" si="6"/>
        <v>6154.545455</v>
      </c>
      <c r="P4597" s="2">
        <v>1.0</v>
      </c>
      <c r="Q4597" s="3">
        <f t="shared" si="7"/>
        <v>0.007142857143</v>
      </c>
      <c r="R4597" s="2">
        <v>140.0</v>
      </c>
      <c r="S4597" s="5">
        <f t="shared" si="8"/>
        <v>1</v>
      </c>
    </row>
    <row r="4598">
      <c r="A4598" s="2" t="s">
        <v>4600</v>
      </c>
      <c r="B4598" s="2">
        <v>228.0</v>
      </c>
      <c r="C4598" s="2">
        <v>2692.0</v>
      </c>
      <c r="D4598" s="2">
        <v>882.0</v>
      </c>
      <c r="E4598" s="3">
        <f t="shared" si="1"/>
        <v>0.3579545455</v>
      </c>
      <c r="F4598" s="2">
        <v>309.0</v>
      </c>
      <c r="G4598" s="3">
        <f t="shared" si="2"/>
        <v>0.1254058442</v>
      </c>
      <c r="H4598" s="2">
        <v>513.0</v>
      </c>
      <c r="I4598" s="3">
        <f t="shared" si="3"/>
        <v>0.2081980519</v>
      </c>
      <c r="J4598" s="2">
        <v>462.0</v>
      </c>
      <c r="K4598" s="3">
        <f t="shared" si="4"/>
        <v>0.1875</v>
      </c>
      <c r="L4598" s="2">
        <v>319.0</v>
      </c>
      <c r="M4598" s="3">
        <f t="shared" si="5"/>
        <v>0.6218323587</v>
      </c>
      <c r="N4598" s="2">
        <v>2915900.0</v>
      </c>
      <c r="O4598" s="4">
        <f t="shared" si="6"/>
        <v>5684.015595</v>
      </c>
      <c r="P4598" s="2">
        <v>0.0</v>
      </c>
      <c r="Q4598" s="3">
        <f t="shared" si="7"/>
        <v>0</v>
      </c>
      <c r="R4598" s="2">
        <v>228.0</v>
      </c>
      <c r="S4598" s="5">
        <f t="shared" si="8"/>
        <v>1</v>
      </c>
    </row>
    <row r="4599">
      <c r="A4599" s="2" t="s">
        <v>4601</v>
      </c>
      <c r="B4599" s="2">
        <v>2421.0</v>
      </c>
      <c r="C4599" s="2">
        <v>28355.0</v>
      </c>
      <c r="D4599" s="2">
        <v>7121.0</v>
      </c>
      <c r="E4599" s="3">
        <f t="shared" si="1"/>
        <v>0.2745816303</v>
      </c>
      <c r="F4599" s="2">
        <v>3252.0</v>
      </c>
      <c r="G4599" s="3">
        <f t="shared" si="2"/>
        <v>0.1253952341</v>
      </c>
      <c r="H4599" s="2">
        <v>5300.0</v>
      </c>
      <c r="I4599" s="3">
        <f t="shared" si="3"/>
        <v>0.2043649264</v>
      </c>
      <c r="J4599" s="2">
        <v>4730.0</v>
      </c>
      <c r="K4599" s="3">
        <f t="shared" si="4"/>
        <v>0.1823860569</v>
      </c>
      <c r="L4599" s="2">
        <v>3173.0</v>
      </c>
      <c r="M4599" s="3">
        <f t="shared" si="5"/>
        <v>0.5986792453</v>
      </c>
      <c r="N4599" s="2">
        <v>3.26772E7</v>
      </c>
      <c r="O4599" s="4">
        <f t="shared" si="6"/>
        <v>6165.509434</v>
      </c>
      <c r="P4599" s="2">
        <v>8.0</v>
      </c>
      <c r="Q4599" s="3">
        <f t="shared" si="7"/>
        <v>0.003304419661</v>
      </c>
      <c r="R4599" s="2">
        <v>2421.0</v>
      </c>
      <c r="S4599" s="5">
        <f t="shared" si="8"/>
        <v>1</v>
      </c>
    </row>
    <row r="4600">
      <c r="A4600" s="2" t="s">
        <v>4602</v>
      </c>
      <c r="B4600" s="2">
        <v>59.0</v>
      </c>
      <c r="C4600" s="2">
        <v>697.0</v>
      </c>
      <c r="D4600" s="2">
        <v>186.0</v>
      </c>
      <c r="E4600" s="3">
        <f t="shared" si="1"/>
        <v>0.2915360502</v>
      </c>
      <c r="F4600" s="2">
        <v>80.0</v>
      </c>
      <c r="G4600" s="3">
        <f t="shared" si="2"/>
        <v>0.1253918495</v>
      </c>
      <c r="H4600" s="2">
        <v>134.0</v>
      </c>
      <c r="I4600" s="3">
        <f t="shared" si="3"/>
        <v>0.210031348</v>
      </c>
      <c r="J4600" s="2">
        <v>109.0</v>
      </c>
      <c r="K4600" s="3">
        <f t="shared" si="4"/>
        <v>0.170846395</v>
      </c>
      <c r="L4600" s="2">
        <v>83.0</v>
      </c>
      <c r="M4600" s="3">
        <f t="shared" si="5"/>
        <v>0.6194029851</v>
      </c>
      <c r="N4600" s="2">
        <v>723100.0</v>
      </c>
      <c r="O4600" s="4">
        <f t="shared" si="6"/>
        <v>5396.268657</v>
      </c>
      <c r="P4600" s="2">
        <v>0.0</v>
      </c>
      <c r="Q4600" s="3">
        <f t="shared" si="7"/>
        <v>0</v>
      </c>
      <c r="R4600" s="2">
        <v>59.0</v>
      </c>
      <c r="S4600" s="5">
        <f t="shared" si="8"/>
        <v>1</v>
      </c>
    </row>
    <row r="4601">
      <c r="A4601" s="2" t="s">
        <v>4603</v>
      </c>
      <c r="B4601" s="2">
        <v>186.0</v>
      </c>
      <c r="C4601" s="2">
        <v>2196.0</v>
      </c>
      <c r="D4601" s="2">
        <v>629.0</v>
      </c>
      <c r="E4601" s="3">
        <f t="shared" si="1"/>
        <v>0.3129353234</v>
      </c>
      <c r="F4601" s="2">
        <v>252.0</v>
      </c>
      <c r="G4601" s="3">
        <f t="shared" si="2"/>
        <v>0.1253731343</v>
      </c>
      <c r="H4601" s="2">
        <v>392.0</v>
      </c>
      <c r="I4601" s="3">
        <f t="shared" si="3"/>
        <v>0.1950248756</v>
      </c>
      <c r="J4601" s="2">
        <v>352.0</v>
      </c>
      <c r="K4601" s="3">
        <f t="shared" si="4"/>
        <v>0.1751243781</v>
      </c>
      <c r="L4601" s="2">
        <v>232.0</v>
      </c>
      <c r="M4601" s="3">
        <f t="shared" si="5"/>
        <v>0.5918367347</v>
      </c>
      <c r="N4601" s="2">
        <v>2127700.0</v>
      </c>
      <c r="O4601" s="4">
        <f t="shared" si="6"/>
        <v>5427.806122</v>
      </c>
      <c r="P4601" s="2">
        <v>1.0</v>
      </c>
      <c r="Q4601" s="3">
        <f t="shared" si="7"/>
        <v>0.005376344086</v>
      </c>
      <c r="R4601" s="2">
        <v>186.0</v>
      </c>
      <c r="S4601" s="5">
        <f t="shared" si="8"/>
        <v>1</v>
      </c>
    </row>
    <row r="4602">
      <c r="A4602" s="2" t="s">
        <v>4604</v>
      </c>
      <c r="B4602" s="2">
        <v>1042.0</v>
      </c>
      <c r="C4602" s="2">
        <v>12448.0</v>
      </c>
      <c r="D4602" s="2">
        <v>5233.0</v>
      </c>
      <c r="E4602" s="3">
        <f t="shared" si="1"/>
        <v>0.4587936174</v>
      </c>
      <c r="F4602" s="2">
        <v>1430.0</v>
      </c>
      <c r="G4602" s="3">
        <f t="shared" si="2"/>
        <v>0.1253726109</v>
      </c>
      <c r="H4602" s="2">
        <v>2531.0</v>
      </c>
      <c r="I4602" s="3">
        <f t="shared" si="3"/>
        <v>0.221900754</v>
      </c>
      <c r="J4602" s="2">
        <v>1633.0</v>
      </c>
      <c r="K4602" s="3">
        <f t="shared" si="4"/>
        <v>0.1431702613</v>
      </c>
      <c r="L4602" s="2">
        <v>1542.0</v>
      </c>
      <c r="M4602" s="3">
        <f t="shared" si="5"/>
        <v>0.6092453576</v>
      </c>
      <c r="N4602" s="2">
        <v>1.28252E7</v>
      </c>
      <c r="O4602" s="4">
        <f t="shared" si="6"/>
        <v>5067.246148</v>
      </c>
      <c r="P4602" s="2">
        <v>3.0</v>
      </c>
      <c r="Q4602" s="3">
        <f t="shared" si="7"/>
        <v>0.002879078695</v>
      </c>
      <c r="R4602" s="2">
        <v>1042.0</v>
      </c>
      <c r="S4602" s="5">
        <f t="shared" si="8"/>
        <v>1</v>
      </c>
    </row>
    <row r="4603">
      <c r="A4603" s="2" t="s">
        <v>4605</v>
      </c>
      <c r="B4603" s="2">
        <v>94.0</v>
      </c>
      <c r="C4603" s="2">
        <v>1107.0</v>
      </c>
      <c r="D4603" s="2">
        <v>346.0</v>
      </c>
      <c r="E4603" s="3">
        <f t="shared" si="1"/>
        <v>0.3415597236</v>
      </c>
      <c r="F4603" s="2">
        <v>127.0</v>
      </c>
      <c r="G4603" s="3">
        <f t="shared" si="2"/>
        <v>0.1253701876</v>
      </c>
      <c r="H4603" s="2">
        <v>220.0</v>
      </c>
      <c r="I4603" s="3">
        <f t="shared" si="3"/>
        <v>0.2171767029</v>
      </c>
      <c r="J4603" s="2">
        <v>162.0</v>
      </c>
      <c r="K4603" s="3">
        <f t="shared" si="4"/>
        <v>0.1599210267</v>
      </c>
      <c r="L4603" s="2">
        <v>133.0</v>
      </c>
      <c r="M4603" s="3">
        <f t="shared" si="5"/>
        <v>0.6045454545</v>
      </c>
      <c r="N4603" s="2">
        <v>1185400.0</v>
      </c>
      <c r="O4603" s="4">
        <f t="shared" si="6"/>
        <v>5388.181818</v>
      </c>
      <c r="P4603" s="2">
        <v>0.0</v>
      </c>
      <c r="Q4603" s="3">
        <f t="shared" si="7"/>
        <v>0</v>
      </c>
      <c r="R4603" s="2">
        <v>94.0</v>
      </c>
      <c r="S4603" s="5">
        <f t="shared" si="8"/>
        <v>1</v>
      </c>
    </row>
    <row r="4604">
      <c r="A4604" s="2" t="s">
        <v>4606</v>
      </c>
      <c r="B4604" s="2">
        <v>63.0</v>
      </c>
      <c r="C4604" s="2">
        <v>741.0</v>
      </c>
      <c r="D4604" s="2">
        <v>233.0</v>
      </c>
      <c r="E4604" s="3">
        <f t="shared" si="1"/>
        <v>0.3436578171</v>
      </c>
      <c r="F4604" s="2">
        <v>85.0</v>
      </c>
      <c r="G4604" s="3">
        <f t="shared" si="2"/>
        <v>0.1253687316</v>
      </c>
      <c r="H4604" s="2">
        <v>138.0</v>
      </c>
      <c r="I4604" s="3">
        <f t="shared" si="3"/>
        <v>0.203539823</v>
      </c>
      <c r="J4604" s="2">
        <v>98.0</v>
      </c>
      <c r="K4604" s="3">
        <f t="shared" si="4"/>
        <v>0.1445427729</v>
      </c>
      <c r="L4604" s="2">
        <v>90.0</v>
      </c>
      <c r="M4604" s="3">
        <f t="shared" si="5"/>
        <v>0.652173913</v>
      </c>
      <c r="N4604" s="2">
        <v>664800.0</v>
      </c>
      <c r="O4604" s="4">
        <f t="shared" si="6"/>
        <v>4817.391304</v>
      </c>
      <c r="P4604" s="2">
        <v>0.0</v>
      </c>
      <c r="Q4604" s="3">
        <f t="shared" si="7"/>
        <v>0</v>
      </c>
      <c r="R4604" s="2">
        <v>0.0</v>
      </c>
      <c r="S4604" s="5">
        <f t="shared" si="8"/>
        <v>0</v>
      </c>
    </row>
    <row r="4605">
      <c r="A4605" s="2" t="s">
        <v>4607</v>
      </c>
      <c r="B4605" s="2">
        <v>344.0</v>
      </c>
      <c r="C4605" s="2">
        <v>4077.0</v>
      </c>
      <c r="D4605" s="2">
        <v>1610.0</v>
      </c>
      <c r="E4605" s="3">
        <f t="shared" si="1"/>
        <v>0.4312885079</v>
      </c>
      <c r="F4605" s="2">
        <v>468.0</v>
      </c>
      <c r="G4605" s="3">
        <f t="shared" si="2"/>
        <v>0.1253683365</v>
      </c>
      <c r="H4605" s="2">
        <v>781.0</v>
      </c>
      <c r="I4605" s="3">
        <f t="shared" si="3"/>
        <v>0.2092151085</v>
      </c>
      <c r="J4605" s="2">
        <v>438.0</v>
      </c>
      <c r="K4605" s="3">
        <f t="shared" si="4"/>
        <v>0.1173319046</v>
      </c>
      <c r="L4605" s="2">
        <v>493.0</v>
      </c>
      <c r="M4605" s="3">
        <f t="shared" si="5"/>
        <v>0.6312419974</v>
      </c>
      <c r="N4605" s="2">
        <v>4034500.0</v>
      </c>
      <c r="O4605" s="4">
        <f t="shared" si="6"/>
        <v>5165.81306</v>
      </c>
      <c r="P4605" s="2">
        <v>2.0</v>
      </c>
      <c r="Q4605" s="3">
        <f t="shared" si="7"/>
        <v>0.005813953488</v>
      </c>
      <c r="R4605" s="2">
        <v>344.0</v>
      </c>
      <c r="S4605" s="5">
        <f t="shared" si="8"/>
        <v>1</v>
      </c>
    </row>
    <row r="4606">
      <c r="A4606" s="2" t="s">
        <v>4608</v>
      </c>
      <c r="B4606" s="2">
        <v>407.0</v>
      </c>
      <c r="C4606" s="2">
        <v>4842.0</v>
      </c>
      <c r="D4606" s="2">
        <v>1694.0</v>
      </c>
      <c r="E4606" s="3">
        <f t="shared" si="1"/>
        <v>0.3819616685</v>
      </c>
      <c r="F4606" s="2">
        <v>556.0</v>
      </c>
      <c r="G4606" s="3">
        <f t="shared" si="2"/>
        <v>0.1253664036</v>
      </c>
      <c r="H4606" s="2">
        <v>924.0</v>
      </c>
      <c r="I4606" s="3">
        <f t="shared" si="3"/>
        <v>0.2083427283</v>
      </c>
      <c r="J4606" s="2">
        <v>704.0</v>
      </c>
      <c r="K4606" s="3">
        <f t="shared" si="4"/>
        <v>0.1587373168</v>
      </c>
      <c r="L4606" s="2">
        <v>544.0</v>
      </c>
      <c r="M4606" s="3">
        <f t="shared" si="5"/>
        <v>0.5887445887</v>
      </c>
      <c r="N4606" s="2">
        <v>5217500.0</v>
      </c>
      <c r="O4606" s="4">
        <f t="shared" si="6"/>
        <v>5646.645022</v>
      </c>
      <c r="P4606" s="2">
        <v>3.0</v>
      </c>
      <c r="Q4606" s="3">
        <f t="shared" si="7"/>
        <v>0.007371007371</v>
      </c>
      <c r="R4606" s="2">
        <v>407.0</v>
      </c>
      <c r="S4606" s="5">
        <f t="shared" si="8"/>
        <v>1</v>
      </c>
    </row>
    <row r="4607">
      <c r="A4607" s="2" t="s">
        <v>4609</v>
      </c>
      <c r="B4607" s="2">
        <v>546.0</v>
      </c>
      <c r="C4607" s="2">
        <v>6401.0</v>
      </c>
      <c r="D4607" s="2">
        <v>2296.0</v>
      </c>
      <c r="E4607" s="3">
        <f t="shared" si="1"/>
        <v>0.3921434671</v>
      </c>
      <c r="F4607" s="2">
        <v>734.0</v>
      </c>
      <c r="G4607" s="3">
        <f t="shared" si="2"/>
        <v>0.1253629377</v>
      </c>
      <c r="H4607" s="2">
        <v>1247.0</v>
      </c>
      <c r="I4607" s="3">
        <f t="shared" si="3"/>
        <v>0.2129803587</v>
      </c>
      <c r="J4607" s="2">
        <v>964.0</v>
      </c>
      <c r="K4607" s="3">
        <f t="shared" si="4"/>
        <v>0.164645602</v>
      </c>
      <c r="L4607" s="2">
        <v>753.0</v>
      </c>
      <c r="M4607" s="3">
        <f t="shared" si="5"/>
        <v>0.6038492382</v>
      </c>
      <c r="N4607" s="2">
        <v>6818500.0</v>
      </c>
      <c r="O4607" s="4">
        <f t="shared" si="6"/>
        <v>5467.923015</v>
      </c>
      <c r="P4607" s="2">
        <v>2.0</v>
      </c>
      <c r="Q4607" s="3">
        <f t="shared" si="7"/>
        <v>0.003663003663</v>
      </c>
      <c r="R4607" s="2">
        <v>546.0</v>
      </c>
      <c r="S4607" s="5">
        <f t="shared" si="8"/>
        <v>1</v>
      </c>
    </row>
    <row r="4608">
      <c r="A4608" s="2" t="s">
        <v>4610</v>
      </c>
      <c r="B4608" s="2">
        <v>928.0</v>
      </c>
      <c r="C4608" s="2">
        <v>10923.0</v>
      </c>
      <c r="D4608" s="2">
        <v>3948.0</v>
      </c>
      <c r="E4608" s="3">
        <f t="shared" si="1"/>
        <v>0.3949974987</v>
      </c>
      <c r="F4608" s="2">
        <v>1253.0</v>
      </c>
      <c r="G4608" s="3">
        <f t="shared" si="2"/>
        <v>0.1253626813</v>
      </c>
      <c r="H4608" s="2">
        <v>2186.0</v>
      </c>
      <c r="I4608" s="3">
        <f t="shared" si="3"/>
        <v>0.2187093547</v>
      </c>
      <c r="J4608" s="2">
        <v>1670.0</v>
      </c>
      <c r="K4608" s="3">
        <f t="shared" si="4"/>
        <v>0.1670835418</v>
      </c>
      <c r="L4608" s="2">
        <v>1295.0</v>
      </c>
      <c r="M4608" s="3">
        <f t="shared" si="5"/>
        <v>0.5924062214</v>
      </c>
      <c r="N4608" s="2">
        <v>1.21238E7</v>
      </c>
      <c r="O4608" s="4">
        <f t="shared" si="6"/>
        <v>5546.111619</v>
      </c>
      <c r="P4608" s="2">
        <v>3.0</v>
      </c>
      <c r="Q4608" s="3">
        <f t="shared" si="7"/>
        <v>0.003232758621</v>
      </c>
      <c r="R4608" s="2">
        <v>626.0</v>
      </c>
      <c r="S4608" s="5">
        <f t="shared" si="8"/>
        <v>0.6745689655</v>
      </c>
    </row>
    <row r="4609">
      <c r="A4609" s="2" t="s">
        <v>4611</v>
      </c>
      <c r="B4609" s="2">
        <v>7515.0</v>
      </c>
      <c r="C4609" s="2">
        <v>87356.0</v>
      </c>
      <c r="D4609" s="2">
        <v>29025.0</v>
      </c>
      <c r="E4609" s="3">
        <f t="shared" si="1"/>
        <v>0.3635350259</v>
      </c>
      <c r="F4609" s="2">
        <v>10009.0</v>
      </c>
      <c r="G4609" s="3">
        <f t="shared" si="2"/>
        <v>0.1253616563</v>
      </c>
      <c r="H4609" s="2">
        <v>17630.0</v>
      </c>
      <c r="I4609" s="3">
        <f t="shared" si="3"/>
        <v>0.2208138676</v>
      </c>
      <c r="J4609" s="2">
        <v>13552.0</v>
      </c>
      <c r="K4609" s="3">
        <f t="shared" si="4"/>
        <v>0.169737353</v>
      </c>
      <c r="L4609" s="2">
        <v>10502.0</v>
      </c>
      <c r="M4609" s="3">
        <f t="shared" si="5"/>
        <v>0.5956891662</v>
      </c>
      <c r="N4609" s="2">
        <v>1.00751E8</v>
      </c>
      <c r="O4609" s="4">
        <f t="shared" si="6"/>
        <v>5714.747589</v>
      </c>
      <c r="P4609" s="2">
        <v>15.0</v>
      </c>
      <c r="Q4609" s="3">
        <f t="shared" si="7"/>
        <v>0.001996007984</v>
      </c>
      <c r="R4609" s="2">
        <v>7515.0</v>
      </c>
      <c r="S4609" s="5">
        <f t="shared" si="8"/>
        <v>1</v>
      </c>
    </row>
    <row r="4610">
      <c r="A4610" s="2" t="s">
        <v>4612</v>
      </c>
      <c r="B4610" s="2">
        <v>328.0</v>
      </c>
      <c r="C4610" s="2">
        <v>3830.0</v>
      </c>
      <c r="D4610" s="2">
        <v>1170.0</v>
      </c>
      <c r="E4610" s="3">
        <f t="shared" si="1"/>
        <v>0.334094803</v>
      </c>
      <c r="F4610" s="2">
        <v>439.0</v>
      </c>
      <c r="G4610" s="3">
        <f t="shared" si="2"/>
        <v>0.1253569389</v>
      </c>
      <c r="H4610" s="2">
        <v>742.0</v>
      </c>
      <c r="I4610" s="3">
        <f t="shared" si="3"/>
        <v>0.2118789263</v>
      </c>
      <c r="J4610" s="2">
        <v>626.0</v>
      </c>
      <c r="K4610" s="3">
        <f t="shared" si="4"/>
        <v>0.1787549971</v>
      </c>
      <c r="L4610" s="2">
        <v>451.0</v>
      </c>
      <c r="M4610" s="3">
        <f t="shared" si="5"/>
        <v>0.6078167116</v>
      </c>
      <c r="N4610" s="2">
        <v>4020500.0</v>
      </c>
      <c r="O4610" s="4">
        <f t="shared" si="6"/>
        <v>5418.463612</v>
      </c>
      <c r="P4610" s="2">
        <v>0.0</v>
      </c>
      <c r="Q4610" s="3">
        <f t="shared" si="7"/>
        <v>0</v>
      </c>
      <c r="R4610" s="2">
        <v>328.0</v>
      </c>
      <c r="S4610" s="5">
        <f t="shared" si="8"/>
        <v>1</v>
      </c>
    </row>
    <row r="4611">
      <c r="A4611" s="2" t="s">
        <v>4613</v>
      </c>
      <c r="B4611" s="2">
        <v>231.0</v>
      </c>
      <c r="C4611" s="2">
        <v>2784.0</v>
      </c>
      <c r="D4611" s="2">
        <v>812.0</v>
      </c>
      <c r="E4611" s="3">
        <f t="shared" si="1"/>
        <v>0.3180571876</v>
      </c>
      <c r="F4611" s="2">
        <v>320.0</v>
      </c>
      <c r="G4611" s="3">
        <f t="shared" si="2"/>
        <v>0.125342734</v>
      </c>
      <c r="H4611" s="2">
        <v>526.0</v>
      </c>
      <c r="I4611" s="3">
        <f t="shared" si="3"/>
        <v>0.2060321191</v>
      </c>
      <c r="J4611" s="2">
        <v>436.0</v>
      </c>
      <c r="K4611" s="3">
        <f t="shared" si="4"/>
        <v>0.1707794751</v>
      </c>
      <c r="L4611" s="2">
        <v>310.0</v>
      </c>
      <c r="M4611" s="3">
        <f t="shared" si="5"/>
        <v>0.5893536122</v>
      </c>
      <c r="N4611" s="2">
        <v>2968600.0</v>
      </c>
      <c r="O4611" s="4">
        <f t="shared" si="6"/>
        <v>5643.726236</v>
      </c>
      <c r="P4611" s="2">
        <v>0.0</v>
      </c>
      <c r="Q4611" s="3">
        <f t="shared" si="7"/>
        <v>0</v>
      </c>
      <c r="R4611" s="2">
        <v>231.0</v>
      </c>
      <c r="S4611" s="5">
        <f t="shared" si="8"/>
        <v>1</v>
      </c>
    </row>
    <row r="4612">
      <c r="A4612" s="2" t="s">
        <v>4614</v>
      </c>
      <c r="B4612" s="2">
        <v>1002.0</v>
      </c>
      <c r="C4612" s="2">
        <v>11781.0</v>
      </c>
      <c r="D4612" s="2">
        <v>3134.0</v>
      </c>
      <c r="E4612" s="3">
        <f t="shared" si="1"/>
        <v>0.2907505334</v>
      </c>
      <c r="F4612" s="2">
        <v>1351.0</v>
      </c>
      <c r="G4612" s="3">
        <f t="shared" si="2"/>
        <v>0.1253363021</v>
      </c>
      <c r="H4612" s="2">
        <v>2289.0</v>
      </c>
      <c r="I4612" s="3">
        <f t="shared" si="3"/>
        <v>0.2123573615</v>
      </c>
      <c r="J4612" s="2">
        <v>1921.0</v>
      </c>
      <c r="K4612" s="3">
        <f t="shared" si="4"/>
        <v>0.1782169032</v>
      </c>
      <c r="L4612" s="2">
        <v>1326.0</v>
      </c>
      <c r="M4612" s="3">
        <f t="shared" si="5"/>
        <v>0.5792922674</v>
      </c>
      <c r="N4612" s="2">
        <v>1.30661E7</v>
      </c>
      <c r="O4612" s="4">
        <f t="shared" si="6"/>
        <v>5708.213194</v>
      </c>
      <c r="P4612" s="2">
        <v>4.0</v>
      </c>
      <c r="Q4612" s="3">
        <f t="shared" si="7"/>
        <v>0.003992015968</v>
      </c>
      <c r="R4612" s="2">
        <v>871.0</v>
      </c>
      <c r="S4612" s="5">
        <f t="shared" si="8"/>
        <v>0.869261477</v>
      </c>
    </row>
    <row r="4613">
      <c r="A4613" s="2" t="s">
        <v>4615</v>
      </c>
      <c r="B4613" s="2">
        <v>1569.0</v>
      </c>
      <c r="C4613" s="2">
        <v>18692.0</v>
      </c>
      <c r="D4613" s="2">
        <v>5034.0</v>
      </c>
      <c r="E4613" s="3">
        <f t="shared" si="1"/>
        <v>0.293990539</v>
      </c>
      <c r="F4613" s="2">
        <v>2146.0</v>
      </c>
      <c r="G4613" s="3">
        <f t="shared" si="2"/>
        <v>0.1253285055</v>
      </c>
      <c r="H4613" s="2">
        <v>3496.0</v>
      </c>
      <c r="I4613" s="3">
        <f t="shared" si="3"/>
        <v>0.2041698301</v>
      </c>
      <c r="J4613" s="2">
        <v>2648.0</v>
      </c>
      <c r="K4613" s="3">
        <f t="shared" si="4"/>
        <v>0.154645798</v>
      </c>
      <c r="L4613" s="2">
        <v>2093.0</v>
      </c>
      <c r="M4613" s="3">
        <f t="shared" si="5"/>
        <v>0.5986842105</v>
      </c>
      <c r="N4613" s="2">
        <v>1.9767E7</v>
      </c>
      <c r="O4613" s="4">
        <f t="shared" si="6"/>
        <v>5654.176201</v>
      </c>
      <c r="P4613" s="2">
        <v>4.0</v>
      </c>
      <c r="Q4613" s="3">
        <f t="shared" si="7"/>
        <v>0.002549394519</v>
      </c>
      <c r="R4613" s="2">
        <v>0.0</v>
      </c>
      <c r="S4613" s="5">
        <f t="shared" si="8"/>
        <v>0</v>
      </c>
    </row>
    <row r="4614">
      <c r="A4614" s="2" t="s">
        <v>4616</v>
      </c>
      <c r="B4614" s="2">
        <v>280.0</v>
      </c>
      <c r="C4614" s="2">
        <v>3400.0</v>
      </c>
      <c r="D4614" s="2">
        <v>1157.0</v>
      </c>
      <c r="E4614" s="3">
        <f t="shared" si="1"/>
        <v>0.3708333333</v>
      </c>
      <c r="F4614" s="2">
        <v>391.0</v>
      </c>
      <c r="G4614" s="3">
        <f t="shared" si="2"/>
        <v>0.1253205128</v>
      </c>
      <c r="H4614" s="2">
        <v>621.0</v>
      </c>
      <c r="I4614" s="3">
        <f t="shared" si="3"/>
        <v>0.1990384615</v>
      </c>
      <c r="J4614" s="2">
        <v>474.0</v>
      </c>
      <c r="K4614" s="3">
        <f t="shared" si="4"/>
        <v>0.1519230769</v>
      </c>
      <c r="L4614" s="2">
        <v>396.0</v>
      </c>
      <c r="M4614" s="3">
        <f t="shared" si="5"/>
        <v>0.6376811594</v>
      </c>
      <c r="N4614" s="2">
        <v>3417800.0</v>
      </c>
      <c r="O4614" s="4">
        <f t="shared" si="6"/>
        <v>5503.703704</v>
      </c>
      <c r="P4614" s="2">
        <v>0.0</v>
      </c>
      <c r="Q4614" s="3">
        <f t="shared" si="7"/>
        <v>0</v>
      </c>
      <c r="R4614" s="2">
        <v>280.0</v>
      </c>
      <c r="S4614" s="5">
        <f t="shared" si="8"/>
        <v>1</v>
      </c>
    </row>
    <row r="4615">
      <c r="A4615" s="2" t="s">
        <v>4617</v>
      </c>
      <c r="B4615" s="2">
        <v>432.0</v>
      </c>
      <c r="C4615" s="2">
        <v>5140.0</v>
      </c>
      <c r="D4615" s="2">
        <v>1458.0</v>
      </c>
      <c r="E4615" s="3">
        <f t="shared" si="1"/>
        <v>0.3096856415</v>
      </c>
      <c r="F4615" s="2">
        <v>590.0</v>
      </c>
      <c r="G4615" s="3">
        <f t="shared" si="2"/>
        <v>0.1253186066</v>
      </c>
      <c r="H4615" s="2">
        <v>960.0</v>
      </c>
      <c r="I4615" s="3">
        <f t="shared" si="3"/>
        <v>0.2039082413</v>
      </c>
      <c r="J4615" s="2">
        <v>797.0</v>
      </c>
      <c r="K4615" s="3">
        <f t="shared" si="4"/>
        <v>0.1692863212</v>
      </c>
      <c r="L4615" s="2">
        <v>552.0</v>
      </c>
      <c r="M4615" s="3">
        <f t="shared" si="5"/>
        <v>0.575</v>
      </c>
      <c r="N4615" s="2">
        <v>5411000.0</v>
      </c>
      <c r="O4615" s="4">
        <f t="shared" si="6"/>
        <v>5636.458333</v>
      </c>
      <c r="P4615" s="2">
        <v>1.0</v>
      </c>
      <c r="Q4615" s="3">
        <f t="shared" si="7"/>
        <v>0.002314814815</v>
      </c>
      <c r="R4615" s="2">
        <v>0.0</v>
      </c>
      <c r="S4615" s="5">
        <f t="shared" si="8"/>
        <v>0</v>
      </c>
    </row>
    <row r="4616">
      <c r="A4616" s="2" t="s">
        <v>4618</v>
      </c>
      <c r="B4616" s="2">
        <v>1993.0</v>
      </c>
      <c r="C4616" s="2">
        <v>23579.0</v>
      </c>
      <c r="D4616" s="2">
        <v>7854.0</v>
      </c>
      <c r="E4616" s="3">
        <f t="shared" si="1"/>
        <v>0.3638469378</v>
      </c>
      <c r="F4616" s="2">
        <v>2705.0</v>
      </c>
      <c r="G4616" s="3">
        <f t="shared" si="2"/>
        <v>0.1253127027</v>
      </c>
      <c r="H4616" s="2">
        <v>4611.0</v>
      </c>
      <c r="I4616" s="3">
        <f t="shared" si="3"/>
        <v>0.2136106736</v>
      </c>
      <c r="J4616" s="2">
        <v>3517.0</v>
      </c>
      <c r="K4616" s="3">
        <f t="shared" si="4"/>
        <v>0.1629296766</v>
      </c>
      <c r="L4616" s="2">
        <v>2830.0</v>
      </c>
      <c r="M4616" s="3">
        <f t="shared" si="5"/>
        <v>0.6137497289</v>
      </c>
      <c r="N4616" s="2">
        <v>2.52195E7</v>
      </c>
      <c r="O4616" s="4">
        <f t="shared" si="6"/>
        <v>5469.42095</v>
      </c>
      <c r="P4616" s="2">
        <v>5.0</v>
      </c>
      <c r="Q4616" s="3">
        <f t="shared" si="7"/>
        <v>0.002508780733</v>
      </c>
      <c r="R4616" s="2">
        <v>2.0</v>
      </c>
      <c r="S4616" s="5">
        <f t="shared" si="8"/>
        <v>0.001003512293</v>
      </c>
    </row>
    <row r="4617">
      <c r="A4617" s="2" t="s">
        <v>4619</v>
      </c>
      <c r="B4617" s="2">
        <v>1536.0</v>
      </c>
      <c r="C4617" s="2">
        <v>17993.0</v>
      </c>
      <c r="D4617" s="2">
        <v>6096.0</v>
      </c>
      <c r="E4617" s="3">
        <f t="shared" si="1"/>
        <v>0.3704198821</v>
      </c>
      <c r="F4617" s="2">
        <v>2062.0</v>
      </c>
      <c r="G4617" s="3">
        <f t="shared" si="2"/>
        <v>0.1252962265</v>
      </c>
      <c r="H4617" s="2">
        <v>3541.0</v>
      </c>
      <c r="I4617" s="3">
        <f t="shared" si="3"/>
        <v>0.2151667983</v>
      </c>
      <c r="J4617" s="2">
        <v>3027.0</v>
      </c>
      <c r="K4617" s="3">
        <f t="shared" si="4"/>
        <v>0.1839338883</v>
      </c>
      <c r="L4617" s="2">
        <v>2061.0</v>
      </c>
      <c r="M4617" s="3">
        <f t="shared" si="5"/>
        <v>0.582038972</v>
      </c>
      <c r="N4617" s="2">
        <v>2.05207E7</v>
      </c>
      <c r="O4617" s="4">
        <f t="shared" si="6"/>
        <v>5795.170856</v>
      </c>
      <c r="P4617" s="2">
        <v>2.0</v>
      </c>
      <c r="Q4617" s="3">
        <f t="shared" si="7"/>
        <v>0.001302083333</v>
      </c>
      <c r="R4617" s="2">
        <v>849.0</v>
      </c>
      <c r="S4617" s="5">
        <f t="shared" si="8"/>
        <v>0.552734375</v>
      </c>
    </row>
    <row r="4618">
      <c r="A4618" s="2" t="s">
        <v>4620</v>
      </c>
      <c r="B4618" s="2">
        <v>446.0</v>
      </c>
      <c r="C4618" s="2">
        <v>5243.0</v>
      </c>
      <c r="D4618" s="2">
        <v>1478.0</v>
      </c>
      <c r="E4618" s="3">
        <f t="shared" si="1"/>
        <v>0.3081092349</v>
      </c>
      <c r="F4618" s="2">
        <v>601.0</v>
      </c>
      <c r="G4618" s="3">
        <f t="shared" si="2"/>
        <v>0.1252866375</v>
      </c>
      <c r="H4618" s="2">
        <v>972.0</v>
      </c>
      <c r="I4618" s="3">
        <f t="shared" si="3"/>
        <v>0.2026266417</v>
      </c>
      <c r="J4618" s="2">
        <v>873.0</v>
      </c>
      <c r="K4618" s="3">
        <f t="shared" si="4"/>
        <v>0.181988743</v>
      </c>
      <c r="L4618" s="2">
        <v>545.0</v>
      </c>
      <c r="M4618" s="3">
        <f t="shared" si="5"/>
        <v>0.5606995885</v>
      </c>
      <c r="N4618" s="2">
        <v>5309300.0</v>
      </c>
      <c r="O4618" s="4">
        <f t="shared" si="6"/>
        <v>5462.242798</v>
      </c>
      <c r="P4618" s="2">
        <v>1.0</v>
      </c>
      <c r="Q4618" s="3">
        <f t="shared" si="7"/>
        <v>0.002242152466</v>
      </c>
      <c r="R4618" s="2">
        <v>220.0</v>
      </c>
      <c r="S4618" s="5">
        <f t="shared" si="8"/>
        <v>0.4932735426</v>
      </c>
    </row>
    <row r="4619">
      <c r="A4619" s="2" t="s">
        <v>4621</v>
      </c>
      <c r="B4619" s="2">
        <v>775.0</v>
      </c>
      <c r="C4619" s="2">
        <v>9068.0</v>
      </c>
      <c r="D4619" s="2">
        <v>2706.0</v>
      </c>
      <c r="E4619" s="3">
        <f t="shared" si="1"/>
        <v>0.3262992886</v>
      </c>
      <c r="F4619" s="2">
        <v>1039.0</v>
      </c>
      <c r="G4619" s="3">
        <f t="shared" si="2"/>
        <v>0.1252863861</v>
      </c>
      <c r="H4619" s="2">
        <v>1666.0</v>
      </c>
      <c r="I4619" s="3">
        <f t="shared" si="3"/>
        <v>0.2008923188</v>
      </c>
      <c r="J4619" s="2">
        <v>1512.0</v>
      </c>
      <c r="K4619" s="3">
        <f t="shared" si="4"/>
        <v>0.1823224406</v>
      </c>
      <c r="L4619" s="2">
        <v>982.0</v>
      </c>
      <c r="M4619" s="3">
        <f t="shared" si="5"/>
        <v>0.5894357743</v>
      </c>
      <c r="N4619" s="2">
        <v>9941700.0</v>
      </c>
      <c r="O4619" s="4">
        <f t="shared" si="6"/>
        <v>5967.406963</v>
      </c>
      <c r="P4619" s="2">
        <v>3.0</v>
      </c>
      <c r="Q4619" s="3">
        <f t="shared" si="7"/>
        <v>0.003870967742</v>
      </c>
      <c r="R4619" s="2">
        <v>775.0</v>
      </c>
      <c r="S4619" s="5">
        <f t="shared" si="8"/>
        <v>1</v>
      </c>
    </row>
    <row r="4620">
      <c r="A4620" s="2" t="s">
        <v>4622</v>
      </c>
      <c r="B4620" s="2">
        <v>208.0</v>
      </c>
      <c r="C4620" s="2">
        <v>2395.0</v>
      </c>
      <c r="D4620" s="2">
        <v>741.0</v>
      </c>
      <c r="E4620" s="3">
        <f t="shared" si="1"/>
        <v>0.3388203018</v>
      </c>
      <c r="F4620" s="2">
        <v>274.0</v>
      </c>
      <c r="G4620" s="3">
        <f t="shared" si="2"/>
        <v>0.1252857796</v>
      </c>
      <c r="H4620" s="2">
        <v>407.0</v>
      </c>
      <c r="I4620" s="3">
        <f t="shared" si="3"/>
        <v>0.1860996799</v>
      </c>
      <c r="J4620" s="2">
        <v>377.0</v>
      </c>
      <c r="K4620" s="3">
        <f t="shared" si="4"/>
        <v>0.1723822588</v>
      </c>
      <c r="L4620" s="2">
        <v>256.0</v>
      </c>
      <c r="M4620" s="3">
        <f t="shared" si="5"/>
        <v>0.628992629</v>
      </c>
      <c r="N4620" s="2">
        <v>2282500.0</v>
      </c>
      <c r="O4620" s="4">
        <f t="shared" si="6"/>
        <v>5608.108108</v>
      </c>
      <c r="P4620" s="2">
        <v>0.0</v>
      </c>
      <c r="Q4620" s="3">
        <f t="shared" si="7"/>
        <v>0</v>
      </c>
      <c r="R4620" s="2">
        <v>208.0</v>
      </c>
      <c r="S4620" s="5">
        <f t="shared" si="8"/>
        <v>1</v>
      </c>
    </row>
    <row r="4621">
      <c r="A4621" s="2" t="s">
        <v>4623</v>
      </c>
      <c r="B4621" s="2">
        <v>248.0</v>
      </c>
      <c r="C4621" s="2">
        <v>2874.0</v>
      </c>
      <c r="D4621" s="2">
        <v>829.0</v>
      </c>
      <c r="E4621" s="3">
        <f t="shared" si="1"/>
        <v>0.3156892612</v>
      </c>
      <c r="F4621" s="2">
        <v>329.0</v>
      </c>
      <c r="G4621" s="3">
        <f t="shared" si="2"/>
        <v>0.1252856055</v>
      </c>
      <c r="H4621" s="2">
        <v>546.0</v>
      </c>
      <c r="I4621" s="3">
        <f t="shared" si="3"/>
        <v>0.2079207921</v>
      </c>
      <c r="J4621" s="2">
        <v>398.0</v>
      </c>
      <c r="K4621" s="3">
        <f t="shared" si="4"/>
        <v>0.15156131</v>
      </c>
      <c r="L4621" s="2">
        <v>337.0</v>
      </c>
      <c r="M4621" s="3">
        <f t="shared" si="5"/>
        <v>0.6172161172</v>
      </c>
      <c r="N4621" s="2">
        <v>3054800.0</v>
      </c>
      <c r="O4621" s="4">
        <f t="shared" si="6"/>
        <v>5594.871795</v>
      </c>
      <c r="P4621" s="2">
        <v>1.0</v>
      </c>
      <c r="Q4621" s="3">
        <f t="shared" si="7"/>
        <v>0.004032258065</v>
      </c>
      <c r="R4621" s="2">
        <v>248.0</v>
      </c>
      <c r="S4621" s="5">
        <f t="shared" si="8"/>
        <v>1</v>
      </c>
    </row>
    <row r="4622">
      <c r="A4622" s="2" t="s">
        <v>4624</v>
      </c>
      <c r="B4622" s="2">
        <v>2298.0</v>
      </c>
      <c r="C4622" s="2">
        <v>26994.0</v>
      </c>
      <c r="D4622" s="2">
        <v>9624.0</v>
      </c>
      <c r="E4622" s="3">
        <f t="shared" si="1"/>
        <v>0.3896987366</v>
      </c>
      <c r="F4622" s="2">
        <v>3094.0</v>
      </c>
      <c r="G4622" s="3">
        <f t="shared" si="2"/>
        <v>0.1252834467</v>
      </c>
      <c r="H4622" s="2">
        <v>5431.0</v>
      </c>
      <c r="I4622" s="3">
        <f t="shared" si="3"/>
        <v>0.2199141561</v>
      </c>
      <c r="J4622" s="2">
        <v>4287.0</v>
      </c>
      <c r="K4622" s="3">
        <f t="shared" si="4"/>
        <v>0.1735908649</v>
      </c>
      <c r="L4622" s="2">
        <v>3141.0</v>
      </c>
      <c r="M4622" s="3">
        <f t="shared" si="5"/>
        <v>0.5783465292</v>
      </c>
      <c r="N4622" s="2">
        <v>2.99626E7</v>
      </c>
      <c r="O4622" s="4">
        <f t="shared" si="6"/>
        <v>5516.958203</v>
      </c>
      <c r="P4622" s="2">
        <v>6.0</v>
      </c>
      <c r="Q4622" s="3">
        <f t="shared" si="7"/>
        <v>0.002610966057</v>
      </c>
      <c r="R4622" s="2">
        <v>23.0</v>
      </c>
      <c r="S4622" s="5">
        <f t="shared" si="8"/>
        <v>0.01000870322</v>
      </c>
    </row>
    <row r="4623">
      <c r="A4623" s="2" t="s">
        <v>4625</v>
      </c>
      <c r="B4623" s="2">
        <v>1499.0</v>
      </c>
      <c r="C4623" s="2">
        <v>17495.0</v>
      </c>
      <c r="D4623" s="2">
        <v>5902.0</v>
      </c>
      <c r="E4623" s="3">
        <f t="shared" si="1"/>
        <v>0.3689672418</v>
      </c>
      <c r="F4623" s="2">
        <v>2004.0</v>
      </c>
      <c r="G4623" s="3">
        <f t="shared" si="2"/>
        <v>0.1252813203</v>
      </c>
      <c r="H4623" s="2">
        <v>3447.0</v>
      </c>
      <c r="I4623" s="3">
        <f t="shared" si="3"/>
        <v>0.2154913728</v>
      </c>
      <c r="J4623" s="2">
        <v>2890.0</v>
      </c>
      <c r="K4623" s="3">
        <f t="shared" si="4"/>
        <v>0.1806701675</v>
      </c>
      <c r="L4623" s="2">
        <v>2040.0</v>
      </c>
      <c r="M4623" s="3">
        <f t="shared" si="5"/>
        <v>0.591818973</v>
      </c>
      <c r="N4623" s="2">
        <v>1.96624E7</v>
      </c>
      <c r="O4623" s="4">
        <f t="shared" si="6"/>
        <v>5704.206556</v>
      </c>
      <c r="P4623" s="2">
        <v>5.0</v>
      </c>
      <c r="Q4623" s="3">
        <f t="shared" si="7"/>
        <v>0.003335557038</v>
      </c>
      <c r="R4623" s="2">
        <v>1499.0</v>
      </c>
      <c r="S4623" s="5">
        <f t="shared" si="8"/>
        <v>1</v>
      </c>
    </row>
    <row r="4624">
      <c r="A4624" s="2" t="s">
        <v>4626</v>
      </c>
      <c r="B4624" s="2">
        <v>81.0</v>
      </c>
      <c r="C4624" s="2">
        <v>975.0</v>
      </c>
      <c r="D4624" s="2">
        <v>202.0</v>
      </c>
      <c r="E4624" s="3">
        <f t="shared" si="1"/>
        <v>0.225950783</v>
      </c>
      <c r="F4624" s="2">
        <v>112.0</v>
      </c>
      <c r="G4624" s="3">
        <f t="shared" si="2"/>
        <v>0.1252796421</v>
      </c>
      <c r="H4624" s="2">
        <v>152.0</v>
      </c>
      <c r="I4624" s="3">
        <f t="shared" si="3"/>
        <v>0.1700223714</v>
      </c>
      <c r="J4624" s="2">
        <v>126.0</v>
      </c>
      <c r="K4624" s="3">
        <f t="shared" si="4"/>
        <v>0.1409395973</v>
      </c>
      <c r="L4624" s="2">
        <v>92.0</v>
      </c>
      <c r="M4624" s="3">
        <f t="shared" si="5"/>
        <v>0.6052631579</v>
      </c>
      <c r="N4624" s="2">
        <v>989700.0</v>
      </c>
      <c r="O4624" s="4">
        <f t="shared" si="6"/>
        <v>6511.184211</v>
      </c>
      <c r="P4624" s="2">
        <v>0.0</v>
      </c>
      <c r="Q4624" s="3">
        <f t="shared" si="7"/>
        <v>0</v>
      </c>
      <c r="R4624" s="2">
        <v>0.0</v>
      </c>
      <c r="S4624" s="5">
        <f t="shared" si="8"/>
        <v>0</v>
      </c>
    </row>
    <row r="4625">
      <c r="A4625" s="2" t="s">
        <v>4627</v>
      </c>
      <c r="B4625" s="2">
        <v>304.0</v>
      </c>
      <c r="C4625" s="2">
        <v>3489.0</v>
      </c>
      <c r="D4625" s="2">
        <v>812.0</v>
      </c>
      <c r="E4625" s="3">
        <f t="shared" si="1"/>
        <v>0.2549450549</v>
      </c>
      <c r="F4625" s="2">
        <v>399.0</v>
      </c>
      <c r="G4625" s="3">
        <f t="shared" si="2"/>
        <v>0.1252747253</v>
      </c>
      <c r="H4625" s="2">
        <v>646.0</v>
      </c>
      <c r="I4625" s="3">
        <f t="shared" si="3"/>
        <v>0.2028257457</v>
      </c>
      <c r="J4625" s="2">
        <v>563.0</v>
      </c>
      <c r="K4625" s="3">
        <f t="shared" si="4"/>
        <v>0.1767660911</v>
      </c>
      <c r="L4625" s="2">
        <v>370.0</v>
      </c>
      <c r="M4625" s="3">
        <f t="shared" si="5"/>
        <v>0.572755418</v>
      </c>
      <c r="N4625" s="2">
        <v>3786400.0</v>
      </c>
      <c r="O4625" s="4">
        <f t="shared" si="6"/>
        <v>5861.30031</v>
      </c>
      <c r="P4625" s="2">
        <v>1.0</v>
      </c>
      <c r="Q4625" s="3">
        <f t="shared" si="7"/>
        <v>0.003289473684</v>
      </c>
      <c r="R4625" s="2">
        <v>304.0</v>
      </c>
      <c r="S4625" s="5">
        <f t="shared" si="8"/>
        <v>1</v>
      </c>
    </row>
    <row r="4626">
      <c r="A4626" s="2" t="s">
        <v>4628</v>
      </c>
      <c r="B4626" s="2">
        <v>88.0</v>
      </c>
      <c r="C4626" s="2">
        <v>998.0</v>
      </c>
      <c r="D4626" s="2">
        <v>244.0</v>
      </c>
      <c r="E4626" s="3">
        <f t="shared" si="1"/>
        <v>0.2681318681</v>
      </c>
      <c r="F4626" s="2">
        <v>114.0</v>
      </c>
      <c r="G4626" s="3">
        <f t="shared" si="2"/>
        <v>0.1252747253</v>
      </c>
      <c r="H4626" s="2">
        <v>170.0</v>
      </c>
      <c r="I4626" s="3">
        <f t="shared" si="3"/>
        <v>0.1868131868</v>
      </c>
      <c r="J4626" s="2">
        <v>147.0</v>
      </c>
      <c r="K4626" s="3">
        <f t="shared" si="4"/>
        <v>0.1615384615</v>
      </c>
      <c r="L4626" s="2">
        <v>98.0</v>
      </c>
      <c r="M4626" s="3">
        <f t="shared" si="5"/>
        <v>0.5764705882</v>
      </c>
      <c r="N4626" s="2">
        <v>942600.0</v>
      </c>
      <c r="O4626" s="4">
        <f t="shared" si="6"/>
        <v>5544.705882</v>
      </c>
      <c r="P4626" s="2">
        <v>1.0</v>
      </c>
      <c r="Q4626" s="3">
        <f t="shared" si="7"/>
        <v>0.01136363636</v>
      </c>
      <c r="R4626" s="2">
        <v>88.0</v>
      </c>
      <c r="S4626" s="5">
        <f t="shared" si="8"/>
        <v>1</v>
      </c>
    </row>
    <row r="4627">
      <c r="A4627" s="2" t="s">
        <v>4629</v>
      </c>
      <c r="B4627" s="2">
        <v>135.0</v>
      </c>
      <c r="C4627" s="2">
        <v>1596.0</v>
      </c>
      <c r="D4627" s="2">
        <v>510.0</v>
      </c>
      <c r="E4627" s="3">
        <f t="shared" si="1"/>
        <v>0.3490759754</v>
      </c>
      <c r="F4627" s="2">
        <v>183.0</v>
      </c>
      <c r="G4627" s="3">
        <f t="shared" si="2"/>
        <v>0.1252566735</v>
      </c>
      <c r="H4627" s="2">
        <v>358.0</v>
      </c>
      <c r="I4627" s="3">
        <f t="shared" si="3"/>
        <v>0.2450376454</v>
      </c>
      <c r="J4627" s="2">
        <v>278.0</v>
      </c>
      <c r="K4627" s="3">
        <f t="shared" si="4"/>
        <v>0.1902806297</v>
      </c>
      <c r="L4627" s="2">
        <v>208.0</v>
      </c>
      <c r="M4627" s="3">
        <f t="shared" si="5"/>
        <v>0.5810055866</v>
      </c>
      <c r="N4627" s="2">
        <v>1972300.0</v>
      </c>
      <c r="O4627" s="4">
        <f t="shared" si="6"/>
        <v>5509.217877</v>
      </c>
      <c r="P4627" s="2">
        <v>0.0</v>
      </c>
      <c r="Q4627" s="3">
        <f t="shared" si="7"/>
        <v>0</v>
      </c>
      <c r="R4627" s="2">
        <v>135.0</v>
      </c>
      <c r="S4627" s="5">
        <f t="shared" si="8"/>
        <v>1</v>
      </c>
    </row>
    <row r="4628">
      <c r="A4628" s="2" t="s">
        <v>4630</v>
      </c>
      <c r="B4628" s="2">
        <v>91.0</v>
      </c>
      <c r="C4628" s="2">
        <v>1097.0</v>
      </c>
      <c r="D4628" s="2">
        <v>306.0</v>
      </c>
      <c r="E4628" s="3">
        <f t="shared" si="1"/>
        <v>0.3041749503</v>
      </c>
      <c r="F4628" s="2">
        <v>126.0</v>
      </c>
      <c r="G4628" s="3">
        <f t="shared" si="2"/>
        <v>0.1252485089</v>
      </c>
      <c r="H4628" s="2">
        <v>175.0</v>
      </c>
      <c r="I4628" s="3">
        <f t="shared" si="3"/>
        <v>0.1739562624</v>
      </c>
      <c r="J4628" s="2">
        <v>164.0</v>
      </c>
      <c r="K4628" s="3">
        <f t="shared" si="4"/>
        <v>0.1630218688</v>
      </c>
      <c r="L4628" s="2">
        <v>91.0</v>
      </c>
      <c r="M4628" s="3">
        <f t="shared" si="5"/>
        <v>0.52</v>
      </c>
      <c r="N4628" s="2">
        <v>1042000.0</v>
      </c>
      <c r="O4628" s="4">
        <f t="shared" si="6"/>
        <v>5954.285714</v>
      </c>
      <c r="P4628" s="2">
        <v>1.0</v>
      </c>
      <c r="Q4628" s="3">
        <f t="shared" si="7"/>
        <v>0.01098901099</v>
      </c>
      <c r="R4628" s="2">
        <v>91.0</v>
      </c>
      <c r="S4628" s="5">
        <f t="shared" si="8"/>
        <v>1</v>
      </c>
    </row>
    <row r="4629">
      <c r="A4629" s="2" t="s">
        <v>4631</v>
      </c>
      <c r="B4629" s="2">
        <v>491.0</v>
      </c>
      <c r="C4629" s="2">
        <v>5737.0</v>
      </c>
      <c r="D4629" s="2">
        <v>1636.0</v>
      </c>
      <c r="E4629" s="3">
        <f t="shared" si="1"/>
        <v>0.3118566527</v>
      </c>
      <c r="F4629" s="2">
        <v>657.0</v>
      </c>
      <c r="G4629" s="3">
        <f t="shared" si="2"/>
        <v>0.1252382768</v>
      </c>
      <c r="H4629" s="2">
        <v>1071.0</v>
      </c>
      <c r="I4629" s="3">
        <f t="shared" si="3"/>
        <v>0.2041555471</v>
      </c>
      <c r="J4629" s="2">
        <v>957.0</v>
      </c>
      <c r="K4629" s="3">
        <f t="shared" si="4"/>
        <v>0.1824247045</v>
      </c>
      <c r="L4629" s="2">
        <v>631.0</v>
      </c>
      <c r="M4629" s="3">
        <f t="shared" si="5"/>
        <v>0.5891690009</v>
      </c>
      <c r="N4629" s="2">
        <v>5855900.0</v>
      </c>
      <c r="O4629" s="4">
        <f t="shared" si="6"/>
        <v>5467.693744</v>
      </c>
      <c r="P4629" s="2">
        <v>0.0</v>
      </c>
      <c r="Q4629" s="3">
        <f t="shared" si="7"/>
        <v>0</v>
      </c>
      <c r="R4629" s="2">
        <v>491.0</v>
      </c>
      <c r="S4629" s="5">
        <f t="shared" si="8"/>
        <v>1</v>
      </c>
    </row>
    <row r="4630">
      <c r="A4630" s="2" t="s">
        <v>4632</v>
      </c>
      <c r="B4630" s="2">
        <v>1234.0</v>
      </c>
      <c r="C4630" s="2">
        <v>14377.0</v>
      </c>
      <c r="D4630" s="2">
        <v>4846.0</v>
      </c>
      <c r="E4630" s="3">
        <f t="shared" si="1"/>
        <v>0.3687133836</v>
      </c>
      <c r="F4630" s="2">
        <v>1646.0</v>
      </c>
      <c r="G4630" s="3">
        <f t="shared" si="2"/>
        <v>0.1252377692</v>
      </c>
      <c r="H4630" s="2">
        <v>2997.0</v>
      </c>
      <c r="I4630" s="3">
        <f t="shared" si="3"/>
        <v>0.2280301301</v>
      </c>
      <c r="J4630" s="2">
        <v>2442.0</v>
      </c>
      <c r="K4630" s="3">
        <f t="shared" si="4"/>
        <v>0.1858023282</v>
      </c>
      <c r="L4630" s="2">
        <v>1807.0</v>
      </c>
      <c r="M4630" s="3">
        <f t="shared" si="5"/>
        <v>0.6029362696</v>
      </c>
      <c r="N4630" s="2">
        <v>1.65077E7</v>
      </c>
      <c r="O4630" s="4">
        <f t="shared" si="6"/>
        <v>5508.074741</v>
      </c>
      <c r="P4630" s="2">
        <v>2.0</v>
      </c>
      <c r="Q4630" s="3">
        <f t="shared" si="7"/>
        <v>0.001620745543</v>
      </c>
      <c r="R4630" s="2">
        <v>1010.0</v>
      </c>
      <c r="S4630" s="5">
        <f t="shared" si="8"/>
        <v>0.8184764992</v>
      </c>
    </row>
    <row r="4631">
      <c r="A4631" s="2" t="s">
        <v>4633</v>
      </c>
      <c r="B4631" s="2">
        <v>1236.0</v>
      </c>
      <c r="C4631" s="2">
        <v>14507.0</v>
      </c>
      <c r="D4631" s="2">
        <v>3764.0</v>
      </c>
      <c r="E4631" s="3">
        <f t="shared" si="1"/>
        <v>0.2836259513</v>
      </c>
      <c r="F4631" s="2">
        <v>1662.0</v>
      </c>
      <c r="G4631" s="3">
        <f t="shared" si="2"/>
        <v>0.1252354758</v>
      </c>
      <c r="H4631" s="2">
        <v>2713.0</v>
      </c>
      <c r="I4631" s="3">
        <f t="shared" si="3"/>
        <v>0.2044307136</v>
      </c>
      <c r="J4631" s="2">
        <v>2176.0</v>
      </c>
      <c r="K4631" s="3">
        <f t="shared" si="4"/>
        <v>0.1639665436</v>
      </c>
      <c r="L4631" s="2">
        <v>1651.0</v>
      </c>
      <c r="M4631" s="3">
        <f t="shared" si="5"/>
        <v>0.6085514191</v>
      </c>
      <c r="N4631" s="2">
        <v>1.51762E7</v>
      </c>
      <c r="O4631" s="4">
        <f t="shared" si="6"/>
        <v>5593.881312</v>
      </c>
      <c r="P4631" s="2">
        <v>2.0</v>
      </c>
      <c r="Q4631" s="3">
        <f t="shared" si="7"/>
        <v>0.001618122977</v>
      </c>
      <c r="R4631" s="2">
        <v>1236.0</v>
      </c>
      <c r="S4631" s="5">
        <f t="shared" si="8"/>
        <v>1</v>
      </c>
    </row>
    <row r="4632">
      <c r="A4632" s="2" t="s">
        <v>4634</v>
      </c>
      <c r="B4632" s="2">
        <v>787.0</v>
      </c>
      <c r="C4632" s="2">
        <v>9100.0</v>
      </c>
      <c r="D4632" s="2">
        <v>2856.0</v>
      </c>
      <c r="E4632" s="3">
        <f t="shared" si="1"/>
        <v>0.3435582822</v>
      </c>
      <c r="F4632" s="2">
        <v>1041.0</v>
      </c>
      <c r="G4632" s="3">
        <f t="shared" si="2"/>
        <v>0.1252255503</v>
      </c>
      <c r="H4632" s="2">
        <v>1811.0</v>
      </c>
      <c r="I4632" s="3">
        <f t="shared" si="3"/>
        <v>0.2178515578</v>
      </c>
      <c r="J4632" s="2">
        <v>1619.0</v>
      </c>
      <c r="K4632" s="3">
        <f t="shared" si="4"/>
        <v>0.1947552027</v>
      </c>
      <c r="L4632" s="2">
        <v>1077.0</v>
      </c>
      <c r="M4632" s="3">
        <f t="shared" si="5"/>
        <v>0.5946990613</v>
      </c>
      <c r="N4632" s="2">
        <v>1.04052E7</v>
      </c>
      <c r="O4632" s="4">
        <f t="shared" si="6"/>
        <v>5745.554942</v>
      </c>
      <c r="P4632" s="2">
        <v>1.0</v>
      </c>
      <c r="Q4632" s="3">
        <f t="shared" si="7"/>
        <v>0.00127064803</v>
      </c>
      <c r="R4632" s="2">
        <v>614.0</v>
      </c>
      <c r="S4632" s="5">
        <f t="shared" si="8"/>
        <v>0.7801778907</v>
      </c>
    </row>
    <row r="4633">
      <c r="A4633" s="2" t="s">
        <v>4635</v>
      </c>
      <c r="B4633" s="2">
        <v>1043.0</v>
      </c>
      <c r="C4633" s="2">
        <v>12135.0</v>
      </c>
      <c r="D4633" s="2">
        <v>3119.0</v>
      </c>
      <c r="E4633" s="3">
        <f t="shared" si="1"/>
        <v>0.2811936531</v>
      </c>
      <c r="F4633" s="2">
        <v>1389.0</v>
      </c>
      <c r="G4633" s="3">
        <f t="shared" si="2"/>
        <v>0.1252253877</v>
      </c>
      <c r="H4633" s="2">
        <v>2151.0</v>
      </c>
      <c r="I4633" s="3">
        <f t="shared" si="3"/>
        <v>0.1939235485</v>
      </c>
      <c r="J4633" s="2">
        <v>2002.0</v>
      </c>
      <c r="K4633" s="3">
        <f t="shared" si="4"/>
        <v>0.1804904436</v>
      </c>
      <c r="L4633" s="2">
        <v>1282.0</v>
      </c>
      <c r="M4633" s="3">
        <f t="shared" si="5"/>
        <v>0.5960018596</v>
      </c>
      <c r="N4633" s="2">
        <v>1.27314E7</v>
      </c>
      <c r="O4633" s="4">
        <f t="shared" si="6"/>
        <v>5918.828452</v>
      </c>
      <c r="P4633" s="2">
        <v>2.0</v>
      </c>
      <c r="Q4633" s="3">
        <f t="shared" si="7"/>
        <v>0.001917545542</v>
      </c>
      <c r="R4633" s="2">
        <v>1043.0</v>
      </c>
      <c r="S4633" s="5">
        <f t="shared" si="8"/>
        <v>1</v>
      </c>
    </row>
    <row r="4634">
      <c r="A4634" s="2" t="s">
        <v>4636</v>
      </c>
      <c r="B4634" s="2">
        <v>535.0</v>
      </c>
      <c r="C4634" s="2">
        <v>6293.0</v>
      </c>
      <c r="D4634" s="2">
        <v>2289.0</v>
      </c>
      <c r="E4634" s="3">
        <f t="shared" si="1"/>
        <v>0.3975338659</v>
      </c>
      <c r="F4634" s="2">
        <v>721.0</v>
      </c>
      <c r="G4634" s="3">
        <f t="shared" si="2"/>
        <v>0.1252170893</v>
      </c>
      <c r="H4634" s="2">
        <v>1228.0</v>
      </c>
      <c r="I4634" s="3">
        <f t="shared" si="3"/>
        <v>0.213268496</v>
      </c>
      <c r="J4634" s="2">
        <v>993.0</v>
      </c>
      <c r="K4634" s="3">
        <f t="shared" si="4"/>
        <v>0.1724557138</v>
      </c>
      <c r="L4634" s="2">
        <v>760.0</v>
      </c>
      <c r="M4634" s="3">
        <f t="shared" si="5"/>
        <v>0.6188925081</v>
      </c>
      <c r="N4634" s="2">
        <v>6477000.0</v>
      </c>
      <c r="O4634" s="4">
        <f t="shared" si="6"/>
        <v>5274.429967</v>
      </c>
      <c r="P4634" s="2">
        <v>3.0</v>
      </c>
      <c r="Q4634" s="3">
        <f t="shared" si="7"/>
        <v>0.005607476636</v>
      </c>
      <c r="R4634" s="2">
        <v>535.0</v>
      </c>
      <c r="S4634" s="5">
        <f t="shared" si="8"/>
        <v>1</v>
      </c>
    </row>
    <row r="4635">
      <c r="A4635" s="2" t="s">
        <v>4637</v>
      </c>
      <c r="B4635" s="2">
        <v>5311.0</v>
      </c>
      <c r="C4635" s="2">
        <v>61981.0</v>
      </c>
      <c r="D4635" s="2">
        <v>19511.0</v>
      </c>
      <c r="E4635" s="3">
        <f t="shared" si="1"/>
        <v>0.3442915123</v>
      </c>
      <c r="F4635" s="2">
        <v>7096.0</v>
      </c>
      <c r="G4635" s="3">
        <f t="shared" si="2"/>
        <v>0.1252161638</v>
      </c>
      <c r="H4635" s="2">
        <v>12999.0</v>
      </c>
      <c r="I4635" s="3">
        <f t="shared" si="3"/>
        <v>0.2293806247</v>
      </c>
      <c r="J4635" s="2">
        <v>10424.0</v>
      </c>
      <c r="K4635" s="3">
        <f t="shared" si="4"/>
        <v>0.1839421211</v>
      </c>
      <c r="L4635" s="2">
        <v>7936.0</v>
      </c>
      <c r="M4635" s="3">
        <f t="shared" si="5"/>
        <v>0.6105085007</v>
      </c>
      <c r="N4635" s="2">
        <v>6.89475E7</v>
      </c>
      <c r="O4635" s="4">
        <f t="shared" si="6"/>
        <v>5304.061851</v>
      </c>
      <c r="P4635" s="2">
        <v>14.0</v>
      </c>
      <c r="Q4635" s="3">
        <f t="shared" si="7"/>
        <v>0.002636038411</v>
      </c>
      <c r="R4635" s="2">
        <v>1089.0</v>
      </c>
      <c r="S4635" s="5">
        <f t="shared" si="8"/>
        <v>0.2050461307</v>
      </c>
    </row>
    <row r="4636">
      <c r="A4636" s="2" t="s">
        <v>4638</v>
      </c>
      <c r="B4636" s="2">
        <v>283.0</v>
      </c>
      <c r="C4636" s="2">
        <v>3278.0</v>
      </c>
      <c r="D4636" s="2">
        <v>934.0</v>
      </c>
      <c r="E4636" s="3">
        <f t="shared" si="1"/>
        <v>0.3118530885</v>
      </c>
      <c r="F4636" s="2">
        <v>375.0</v>
      </c>
      <c r="G4636" s="3">
        <f t="shared" si="2"/>
        <v>0.1252086811</v>
      </c>
      <c r="H4636" s="2">
        <v>582.0</v>
      </c>
      <c r="I4636" s="3">
        <f t="shared" si="3"/>
        <v>0.1943238731</v>
      </c>
      <c r="J4636" s="2">
        <v>481.0</v>
      </c>
      <c r="K4636" s="3">
        <f t="shared" si="4"/>
        <v>0.1606010017</v>
      </c>
      <c r="L4636" s="2">
        <v>335.0</v>
      </c>
      <c r="M4636" s="3">
        <f t="shared" si="5"/>
        <v>0.5756013746</v>
      </c>
      <c r="N4636" s="2">
        <v>3225400.0</v>
      </c>
      <c r="O4636" s="4">
        <f t="shared" si="6"/>
        <v>5541.924399</v>
      </c>
      <c r="P4636" s="2">
        <v>0.0</v>
      </c>
      <c r="Q4636" s="3">
        <f t="shared" si="7"/>
        <v>0</v>
      </c>
      <c r="R4636" s="2">
        <v>283.0</v>
      </c>
      <c r="S4636" s="5">
        <f t="shared" si="8"/>
        <v>1</v>
      </c>
    </row>
    <row r="4637">
      <c r="A4637" s="2" t="s">
        <v>4639</v>
      </c>
      <c r="B4637" s="2">
        <v>2038.0</v>
      </c>
      <c r="C4637" s="2">
        <v>23674.0</v>
      </c>
      <c r="D4637" s="2">
        <v>7257.0</v>
      </c>
      <c r="E4637" s="3">
        <f t="shared" si="1"/>
        <v>0.3354132002</v>
      </c>
      <c r="F4637" s="2">
        <v>2709.0</v>
      </c>
      <c r="G4637" s="3">
        <f t="shared" si="2"/>
        <v>0.1252079867</v>
      </c>
      <c r="H4637" s="2">
        <v>4513.0</v>
      </c>
      <c r="I4637" s="3">
        <f t="shared" si="3"/>
        <v>0.2085875393</v>
      </c>
      <c r="J4637" s="2">
        <v>3983.0</v>
      </c>
      <c r="K4637" s="3">
        <f t="shared" si="4"/>
        <v>0.1840913293</v>
      </c>
      <c r="L4637" s="2">
        <v>2759.0</v>
      </c>
      <c r="M4637" s="3">
        <f t="shared" si="5"/>
        <v>0.6113450033</v>
      </c>
      <c r="N4637" s="2">
        <v>2.60558E7</v>
      </c>
      <c r="O4637" s="4">
        <f t="shared" si="6"/>
        <v>5773.498781</v>
      </c>
      <c r="P4637" s="2">
        <v>1.0</v>
      </c>
      <c r="Q4637" s="3">
        <f t="shared" si="7"/>
        <v>0.0004906771344</v>
      </c>
      <c r="R4637" s="2">
        <v>1988.0</v>
      </c>
      <c r="S4637" s="5">
        <f t="shared" si="8"/>
        <v>0.9754661433</v>
      </c>
    </row>
    <row r="4638">
      <c r="A4638" s="2" t="s">
        <v>4640</v>
      </c>
      <c r="B4638" s="2">
        <v>2202.0</v>
      </c>
      <c r="C4638" s="2">
        <v>25605.0</v>
      </c>
      <c r="D4638" s="2">
        <v>7498.0</v>
      </c>
      <c r="E4638" s="3">
        <f t="shared" si="1"/>
        <v>0.3203862753</v>
      </c>
      <c r="F4638" s="2">
        <v>2930.0</v>
      </c>
      <c r="G4638" s="3">
        <f t="shared" si="2"/>
        <v>0.1251976242</v>
      </c>
      <c r="H4638" s="2">
        <v>5020.0</v>
      </c>
      <c r="I4638" s="3">
        <f t="shared" si="3"/>
        <v>0.2145024142</v>
      </c>
      <c r="J4638" s="2">
        <v>3638.0</v>
      </c>
      <c r="K4638" s="3">
        <f t="shared" si="4"/>
        <v>0.155450156</v>
      </c>
      <c r="L4638" s="2">
        <v>3067.0</v>
      </c>
      <c r="M4638" s="3">
        <f t="shared" si="5"/>
        <v>0.6109561753</v>
      </c>
      <c r="N4638" s="2">
        <v>2.80338E7</v>
      </c>
      <c r="O4638" s="4">
        <f t="shared" si="6"/>
        <v>5584.422311</v>
      </c>
      <c r="P4638" s="2">
        <v>6.0</v>
      </c>
      <c r="Q4638" s="3">
        <f t="shared" si="7"/>
        <v>0.00272479564</v>
      </c>
      <c r="R4638" s="2">
        <v>2119.0</v>
      </c>
      <c r="S4638" s="5">
        <f t="shared" si="8"/>
        <v>0.9623069936</v>
      </c>
    </row>
    <row r="4639">
      <c r="A4639" s="2" t="s">
        <v>4641</v>
      </c>
      <c r="B4639" s="2">
        <v>1346.0</v>
      </c>
      <c r="C4639" s="2">
        <v>15821.0</v>
      </c>
      <c r="D4639" s="2">
        <v>4888.0</v>
      </c>
      <c r="E4639" s="3">
        <f t="shared" si="1"/>
        <v>0.3376856649</v>
      </c>
      <c r="F4639" s="2">
        <v>1812.0</v>
      </c>
      <c r="G4639" s="3">
        <f t="shared" si="2"/>
        <v>0.1251813472</v>
      </c>
      <c r="H4639" s="2">
        <v>2870.0</v>
      </c>
      <c r="I4639" s="3">
        <f t="shared" si="3"/>
        <v>0.1982728843</v>
      </c>
      <c r="J4639" s="2">
        <v>1813.0</v>
      </c>
      <c r="K4639" s="3">
        <f t="shared" si="4"/>
        <v>0.1252504318</v>
      </c>
      <c r="L4639" s="2">
        <v>1764.0</v>
      </c>
      <c r="M4639" s="3">
        <f t="shared" si="5"/>
        <v>0.6146341463</v>
      </c>
      <c r="N4639" s="2">
        <v>1.57123E7</v>
      </c>
      <c r="O4639" s="4">
        <f t="shared" si="6"/>
        <v>5474.66899</v>
      </c>
      <c r="P4639" s="2">
        <v>5.0</v>
      </c>
      <c r="Q4639" s="3">
        <f t="shared" si="7"/>
        <v>0.003714710253</v>
      </c>
      <c r="R4639" s="2">
        <v>225.0</v>
      </c>
      <c r="S4639" s="5">
        <f t="shared" si="8"/>
        <v>0.1671619614</v>
      </c>
    </row>
    <row r="4640">
      <c r="A4640" s="2" t="s">
        <v>4642</v>
      </c>
      <c r="B4640" s="2">
        <v>338.0</v>
      </c>
      <c r="C4640" s="2">
        <v>3877.0</v>
      </c>
      <c r="D4640" s="2">
        <v>1082.0</v>
      </c>
      <c r="E4640" s="3">
        <f t="shared" si="1"/>
        <v>0.3057360836</v>
      </c>
      <c r="F4640" s="2">
        <v>443.0</v>
      </c>
      <c r="G4640" s="3">
        <f t="shared" si="2"/>
        <v>0.1251766036</v>
      </c>
      <c r="H4640" s="2">
        <v>744.0</v>
      </c>
      <c r="I4640" s="3">
        <f t="shared" si="3"/>
        <v>0.2102288782</v>
      </c>
      <c r="J4640" s="2">
        <v>582.0</v>
      </c>
      <c r="K4640" s="3">
        <f t="shared" si="4"/>
        <v>0.1644532354</v>
      </c>
      <c r="L4640" s="2">
        <v>468.0</v>
      </c>
      <c r="M4640" s="3">
        <f t="shared" si="5"/>
        <v>0.6290322581</v>
      </c>
      <c r="N4640" s="2">
        <v>4325700.0</v>
      </c>
      <c r="O4640" s="4">
        <f t="shared" si="6"/>
        <v>5814.112903</v>
      </c>
      <c r="P4640" s="2">
        <v>0.0</v>
      </c>
      <c r="Q4640" s="3">
        <f t="shared" si="7"/>
        <v>0</v>
      </c>
      <c r="R4640" s="2">
        <v>338.0</v>
      </c>
      <c r="S4640" s="5">
        <f t="shared" si="8"/>
        <v>1</v>
      </c>
    </row>
    <row r="4641">
      <c r="A4641" s="2" t="s">
        <v>4643</v>
      </c>
      <c r="B4641" s="2">
        <v>200.0</v>
      </c>
      <c r="C4641" s="2">
        <v>2349.0</v>
      </c>
      <c r="D4641" s="2">
        <v>823.0</v>
      </c>
      <c r="E4641" s="3">
        <f t="shared" si="1"/>
        <v>0.3829688227</v>
      </c>
      <c r="F4641" s="2">
        <v>269.0</v>
      </c>
      <c r="G4641" s="3">
        <f t="shared" si="2"/>
        <v>0.1251744998</v>
      </c>
      <c r="H4641" s="2">
        <v>451.0</v>
      </c>
      <c r="I4641" s="3">
        <f t="shared" si="3"/>
        <v>0.2098650535</v>
      </c>
      <c r="J4641" s="2">
        <v>306.0</v>
      </c>
      <c r="K4641" s="3">
        <f t="shared" si="4"/>
        <v>0.1423918101</v>
      </c>
      <c r="L4641" s="2">
        <v>280.0</v>
      </c>
      <c r="M4641" s="3">
        <f t="shared" si="5"/>
        <v>0.6208425721</v>
      </c>
      <c r="N4641" s="2">
        <v>2302200.0</v>
      </c>
      <c r="O4641" s="4">
        <f t="shared" si="6"/>
        <v>5104.656319</v>
      </c>
      <c r="P4641" s="2">
        <v>1.0</v>
      </c>
      <c r="Q4641" s="3">
        <f t="shared" si="7"/>
        <v>0.005</v>
      </c>
      <c r="R4641" s="2">
        <v>200.0</v>
      </c>
      <c r="S4641" s="5">
        <f t="shared" si="8"/>
        <v>1</v>
      </c>
    </row>
    <row r="4642">
      <c r="A4642" s="2" t="s">
        <v>4644</v>
      </c>
      <c r="B4642" s="2">
        <v>615.0</v>
      </c>
      <c r="C4642" s="2">
        <v>7110.0</v>
      </c>
      <c r="D4642" s="2">
        <v>2096.0</v>
      </c>
      <c r="E4642" s="3">
        <f t="shared" si="1"/>
        <v>0.3227097768</v>
      </c>
      <c r="F4642" s="2">
        <v>813.0</v>
      </c>
      <c r="G4642" s="3">
        <f t="shared" si="2"/>
        <v>0.1251732102</v>
      </c>
      <c r="H4642" s="2">
        <v>1280.0</v>
      </c>
      <c r="I4642" s="3">
        <f t="shared" si="3"/>
        <v>0.1970746728</v>
      </c>
      <c r="J4642" s="2">
        <v>1171.0</v>
      </c>
      <c r="K4642" s="3">
        <f t="shared" si="4"/>
        <v>0.1802925327</v>
      </c>
      <c r="L4642" s="2">
        <v>762.0</v>
      </c>
      <c r="M4642" s="3">
        <f t="shared" si="5"/>
        <v>0.5953125</v>
      </c>
      <c r="N4642" s="2">
        <v>7915500.0</v>
      </c>
      <c r="O4642" s="4">
        <f t="shared" si="6"/>
        <v>6183.984375</v>
      </c>
      <c r="P4642" s="2">
        <v>1.0</v>
      </c>
      <c r="Q4642" s="3">
        <f t="shared" si="7"/>
        <v>0.00162601626</v>
      </c>
      <c r="R4642" s="2">
        <v>615.0</v>
      </c>
      <c r="S4642" s="5">
        <f t="shared" si="8"/>
        <v>1</v>
      </c>
    </row>
    <row r="4643">
      <c r="A4643" s="2" t="s">
        <v>4645</v>
      </c>
      <c r="B4643" s="2">
        <v>3126.0</v>
      </c>
      <c r="C4643" s="2">
        <v>36800.0</v>
      </c>
      <c r="D4643" s="2">
        <v>12867.0</v>
      </c>
      <c r="E4643" s="3">
        <f t="shared" si="1"/>
        <v>0.382104888</v>
      </c>
      <c r="F4643" s="2">
        <v>4215.0</v>
      </c>
      <c r="G4643" s="3">
        <f t="shared" si="2"/>
        <v>0.1251707549</v>
      </c>
      <c r="H4643" s="2">
        <v>7538.0</v>
      </c>
      <c r="I4643" s="3">
        <f t="shared" si="3"/>
        <v>0.2238522302</v>
      </c>
      <c r="J4643" s="2">
        <v>5302.0</v>
      </c>
      <c r="K4643" s="3">
        <f t="shared" si="4"/>
        <v>0.1574508523</v>
      </c>
      <c r="L4643" s="2">
        <v>4664.0</v>
      </c>
      <c r="M4643" s="3">
        <f t="shared" si="5"/>
        <v>0.6187317591</v>
      </c>
      <c r="N4643" s="2">
        <v>4.02752E7</v>
      </c>
      <c r="O4643" s="4">
        <f t="shared" si="6"/>
        <v>5342.955691</v>
      </c>
      <c r="P4643" s="2">
        <v>9.0</v>
      </c>
      <c r="Q4643" s="3">
        <f t="shared" si="7"/>
        <v>0.002879078695</v>
      </c>
      <c r="R4643" s="2">
        <v>3126.0</v>
      </c>
      <c r="S4643" s="5">
        <f t="shared" si="8"/>
        <v>1</v>
      </c>
    </row>
    <row r="4644">
      <c r="A4644" s="2" t="s">
        <v>4646</v>
      </c>
      <c r="B4644" s="2">
        <v>966.0</v>
      </c>
      <c r="C4644" s="2">
        <v>11448.0</v>
      </c>
      <c r="D4644" s="2">
        <v>3440.0</v>
      </c>
      <c r="E4644" s="3">
        <f t="shared" si="1"/>
        <v>0.3281816447</v>
      </c>
      <c r="F4644" s="2">
        <v>1312.0</v>
      </c>
      <c r="G4644" s="3">
        <f t="shared" si="2"/>
        <v>0.1251669529</v>
      </c>
      <c r="H4644" s="2">
        <v>2102.0</v>
      </c>
      <c r="I4644" s="3">
        <f t="shared" si="3"/>
        <v>0.2005342492</v>
      </c>
      <c r="J4644" s="2">
        <v>1813.0</v>
      </c>
      <c r="K4644" s="3">
        <f t="shared" si="4"/>
        <v>0.172963175</v>
      </c>
      <c r="L4644" s="2">
        <v>1223.0</v>
      </c>
      <c r="M4644" s="3">
        <f t="shared" si="5"/>
        <v>0.5818268316</v>
      </c>
      <c r="N4644" s="2">
        <v>1.18991E7</v>
      </c>
      <c r="O4644" s="4">
        <f t="shared" si="6"/>
        <v>5660.846813</v>
      </c>
      <c r="P4644" s="2">
        <v>1.0</v>
      </c>
      <c r="Q4644" s="3">
        <f t="shared" si="7"/>
        <v>0.001035196687</v>
      </c>
      <c r="R4644" s="2">
        <v>966.0</v>
      </c>
      <c r="S4644" s="5">
        <f t="shared" si="8"/>
        <v>1</v>
      </c>
    </row>
    <row r="4645">
      <c r="A4645" s="2" t="s">
        <v>4647</v>
      </c>
      <c r="B4645" s="2">
        <v>1953.0</v>
      </c>
      <c r="C4645" s="2">
        <v>22941.0</v>
      </c>
      <c r="D4645" s="2">
        <v>6764.0</v>
      </c>
      <c r="E4645" s="3">
        <f t="shared" si="1"/>
        <v>0.3222793978</v>
      </c>
      <c r="F4645" s="2">
        <v>2627.0</v>
      </c>
      <c r="G4645" s="3">
        <f t="shared" si="2"/>
        <v>0.125166762</v>
      </c>
      <c r="H4645" s="2">
        <v>4355.0</v>
      </c>
      <c r="I4645" s="3">
        <f t="shared" si="3"/>
        <v>0.2074995235</v>
      </c>
      <c r="J4645" s="2">
        <v>3558.0</v>
      </c>
      <c r="K4645" s="3">
        <f t="shared" si="4"/>
        <v>0.1695254431</v>
      </c>
      <c r="L4645" s="2">
        <v>2580.0</v>
      </c>
      <c r="M4645" s="3">
        <f t="shared" si="5"/>
        <v>0.5924225029</v>
      </c>
      <c r="N4645" s="2">
        <v>2.37706E7</v>
      </c>
      <c r="O4645" s="4">
        <f t="shared" si="6"/>
        <v>5458.231917</v>
      </c>
      <c r="P4645" s="2">
        <v>4.0</v>
      </c>
      <c r="Q4645" s="3">
        <f t="shared" si="7"/>
        <v>0.00204813108</v>
      </c>
      <c r="R4645" s="2">
        <v>1953.0</v>
      </c>
      <c r="S4645" s="5">
        <f t="shared" si="8"/>
        <v>1</v>
      </c>
    </row>
    <row r="4646">
      <c r="A4646" s="2" t="s">
        <v>4648</v>
      </c>
      <c r="B4646" s="2">
        <v>487.0</v>
      </c>
      <c r="C4646" s="2">
        <v>5752.0</v>
      </c>
      <c r="D4646" s="2">
        <v>2086.0</v>
      </c>
      <c r="E4646" s="3">
        <f t="shared" si="1"/>
        <v>0.3962013295</v>
      </c>
      <c r="F4646" s="2">
        <v>659.0</v>
      </c>
      <c r="G4646" s="3">
        <f t="shared" si="2"/>
        <v>0.1251661918</v>
      </c>
      <c r="H4646" s="2">
        <v>1083.0</v>
      </c>
      <c r="I4646" s="3">
        <f t="shared" si="3"/>
        <v>0.2056980057</v>
      </c>
      <c r="J4646" s="2">
        <v>744.0</v>
      </c>
      <c r="K4646" s="3">
        <f t="shared" si="4"/>
        <v>0.1413105413</v>
      </c>
      <c r="L4646" s="2">
        <v>645.0</v>
      </c>
      <c r="M4646" s="3">
        <f t="shared" si="5"/>
        <v>0.595567867</v>
      </c>
      <c r="N4646" s="2">
        <v>5600700.0</v>
      </c>
      <c r="O4646" s="4">
        <f t="shared" si="6"/>
        <v>5171.468144</v>
      </c>
      <c r="P4646" s="2">
        <v>0.0</v>
      </c>
      <c r="Q4646" s="3">
        <f t="shared" si="7"/>
        <v>0</v>
      </c>
      <c r="R4646" s="2">
        <v>487.0</v>
      </c>
      <c r="S4646" s="5">
        <f t="shared" si="8"/>
        <v>1</v>
      </c>
    </row>
    <row r="4647">
      <c r="A4647" s="2" t="s">
        <v>4649</v>
      </c>
      <c r="B4647" s="2">
        <v>1269.0</v>
      </c>
      <c r="C4647" s="2">
        <v>14939.0</v>
      </c>
      <c r="D4647" s="2">
        <v>4747.0</v>
      </c>
      <c r="E4647" s="3">
        <f t="shared" si="1"/>
        <v>0.3472567666</v>
      </c>
      <c r="F4647" s="2">
        <v>1711.0</v>
      </c>
      <c r="G4647" s="3">
        <f t="shared" si="2"/>
        <v>0.125164594</v>
      </c>
      <c r="H4647" s="2">
        <v>2937.0</v>
      </c>
      <c r="I4647" s="3">
        <f t="shared" si="3"/>
        <v>0.2148500366</v>
      </c>
      <c r="J4647" s="2">
        <v>2537.0</v>
      </c>
      <c r="K4647" s="3">
        <f t="shared" si="4"/>
        <v>0.1855888808</v>
      </c>
      <c r="L4647" s="2">
        <v>1749.0</v>
      </c>
      <c r="M4647" s="3">
        <f t="shared" si="5"/>
        <v>0.595505618</v>
      </c>
      <c r="N4647" s="2">
        <v>1.67514E7</v>
      </c>
      <c r="O4647" s="4">
        <f t="shared" si="6"/>
        <v>5703.575077</v>
      </c>
      <c r="P4647" s="2">
        <v>4.0</v>
      </c>
      <c r="Q4647" s="3">
        <f t="shared" si="7"/>
        <v>0.003152088258</v>
      </c>
      <c r="R4647" s="2">
        <v>8.0</v>
      </c>
      <c r="S4647" s="5">
        <f t="shared" si="8"/>
        <v>0.006304176517</v>
      </c>
    </row>
    <row r="4648">
      <c r="A4648" s="2" t="s">
        <v>4650</v>
      </c>
      <c r="B4648" s="2">
        <v>367.0</v>
      </c>
      <c r="C4648" s="2">
        <v>4442.0</v>
      </c>
      <c r="D4648" s="2">
        <v>1223.0</v>
      </c>
      <c r="E4648" s="3">
        <f t="shared" si="1"/>
        <v>0.3001226994</v>
      </c>
      <c r="F4648" s="2">
        <v>510.0</v>
      </c>
      <c r="G4648" s="3">
        <f t="shared" si="2"/>
        <v>0.1251533742</v>
      </c>
      <c r="H4648" s="2">
        <v>800.0</v>
      </c>
      <c r="I4648" s="3">
        <f t="shared" si="3"/>
        <v>0.1963190184</v>
      </c>
      <c r="J4648" s="2">
        <v>706.0</v>
      </c>
      <c r="K4648" s="3">
        <f t="shared" si="4"/>
        <v>0.1732515337</v>
      </c>
      <c r="L4648" s="2">
        <v>475.0</v>
      </c>
      <c r="M4648" s="3">
        <f t="shared" si="5"/>
        <v>0.59375</v>
      </c>
      <c r="N4648" s="2">
        <v>4513600.0</v>
      </c>
      <c r="O4648" s="4">
        <f t="shared" si="6"/>
        <v>5642</v>
      </c>
      <c r="P4648" s="2">
        <v>2.0</v>
      </c>
      <c r="Q4648" s="3">
        <f t="shared" si="7"/>
        <v>0.005449591281</v>
      </c>
      <c r="R4648" s="2">
        <v>367.0</v>
      </c>
      <c r="S4648" s="5">
        <f t="shared" si="8"/>
        <v>1</v>
      </c>
    </row>
    <row r="4649">
      <c r="A4649" s="2" t="s">
        <v>4651</v>
      </c>
      <c r="B4649" s="2">
        <v>549.0</v>
      </c>
      <c r="C4649" s="2">
        <v>6502.0</v>
      </c>
      <c r="D4649" s="2">
        <v>2148.0</v>
      </c>
      <c r="E4649" s="3">
        <f t="shared" si="1"/>
        <v>0.360826474</v>
      </c>
      <c r="F4649" s="2">
        <v>745.0</v>
      </c>
      <c r="G4649" s="3">
        <f t="shared" si="2"/>
        <v>0.1251469847</v>
      </c>
      <c r="H4649" s="2">
        <v>1314.0</v>
      </c>
      <c r="I4649" s="3">
        <f t="shared" si="3"/>
        <v>0.2207290442</v>
      </c>
      <c r="J4649" s="2">
        <v>864.0</v>
      </c>
      <c r="K4649" s="3">
        <f t="shared" si="4"/>
        <v>0.1451369058</v>
      </c>
      <c r="L4649" s="2">
        <v>816.0</v>
      </c>
      <c r="M4649" s="3">
        <f t="shared" si="5"/>
        <v>0.6210045662</v>
      </c>
      <c r="N4649" s="2">
        <v>7207300.0</v>
      </c>
      <c r="O4649" s="4">
        <f t="shared" si="6"/>
        <v>5485.00761</v>
      </c>
      <c r="P4649" s="2">
        <v>0.0</v>
      </c>
      <c r="Q4649" s="3">
        <f t="shared" si="7"/>
        <v>0</v>
      </c>
      <c r="R4649" s="2">
        <v>0.0</v>
      </c>
      <c r="S4649" s="5">
        <f t="shared" si="8"/>
        <v>0</v>
      </c>
    </row>
    <row r="4650">
      <c r="A4650" s="2" t="s">
        <v>4652</v>
      </c>
      <c r="B4650" s="2">
        <v>955.0</v>
      </c>
      <c r="C4650" s="2">
        <v>11311.0</v>
      </c>
      <c r="D4650" s="2">
        <v>3846.0</v>
      </c>
      <c r="E4650" s="3">
        <f t="shared" si="1"/>
        <v>0.3713789108</v>
      </c>
      <c r="F4650" s="2">
        <v>1296.0</v>
      </c>
      <c r="G4650" s="3">
        <f t="shared" si="2"/>
        <v>0.1251448436</v>
      </c>
      <c r="H4650" s="2">
        <v>2104.0</v>
      </c>
      <c r="I4650" s="3">
        <f t="shared" si="3"/>
        <v>0.203167246</v>
      </c>
      <c r="J4650" s="2">
        <v>1653.0</v>
      </c>
      <c r="K4650" s="3">
        <f t="shared" si="4"/>
        <v>0.159617613</v>
      </c>
      <c r="L4650" s="2">
        <v>1237.0</v>
      </c>
      <c r="M4650" s="3">
        <f t="shared" si="5"/>
        <v>0.5879277567</v>
      </c>
      <c r="N4650" s="2">
        <v>1.13849E7</v>
      </c>
      <c r="O4650" s="4">
        <f t="shared" si="6"/>
        <v>5411.074144</v>
      </c>
      <c r="P4650" s="2">
        <v>3.0</v>
      </c>
      <c r="Q4650" s="3">
        <f t="shared" si="7"/>
        <v>0.003141361257</v>
      </c>
      <c r="R4650" s="2">
        <v>917.0</v>
      </c>
      <c r="S4650" s="5">
        <f t="shared" si="8"/>
        <v>0.9602094241</v>
      </c>
    </row>
    <row r="4651">
      <c r="A4651" s="2" t="s">
        <v>4653</v>
      </c>
      <c r="B4651" s="2">
        <v>161.0</v>
      </c>
      <c r="C4651" s="2">
        <v>1895.0</v>
      </c>
      <c r="D4651" s="2">
        <v>623.0</v>
      </c>
      <c r="E4651" s="3">
        <f t="shared" si="1"/>
        <v>0.3592848904</v>
      </c>
      <c r="F4651" s="2">
        <v>217.0</v>
      </c>
      <c r="G4651" s="3">
        <f t="shared" si="2"/>
        <v>0.1251441753</v>
      </c>
      <c r="H4651" s="2">
        <v>387.0</v>
      </c>
      <c r="I4651" s="3">
        <f t="shared" si="3"/>
        <v>0.223183391</v>
      </c>
      <c r="J4651" s="2">
        <v>296.0</v>
      </c>
      <c r="K4651" s="3">
        <f t="shared" si="4"/>
        <v>0.1707035755</v>
      </c>
      <c r="L4651" s="2">
        <v>222.0</v>
      </c>
      <c r="M4651" s="3">
        <f t="shared" si="5"/>
        <v>0.5736434109</v>
      </c>
      <c r="N4651" s="2">
        <v>2356200.0</v>
      </c>
      <c r="O4651" s="4">
        <f t="shared" si="6"/>
        <v>6088.372093</v>
      </c>
      <c r="P4651" s="2">
        <v>0.0</v>
      </c>
      <c r="Q4651" s="3">
        <f t="shared" si="7"/>
        <v>0</v>
      </c>
      <c r="R4651" s="2">
        <v>161.0</v>
      </c>
      <c r="S4651" s="5">
        <f t="shared" si="8"/>
        <v>1</v>
      </c>
    </row>
    <row r="4652">
      <c r="A4652" s="2" t="s">
        <v>4654</v>
      </c>
      <c r="B4652" s="2">
        <v>499.0</v>
      </c>
      <c r="C4652" s="2">
        <v>5765.0</v>
      </c>
      <c r="D4652" s="2">
        <v>1801.0</v>
      </c>
      <c r="E4652" s="3">
        <f t="shared" si="1"/>
        <v>0.3420053171</v>
      </c>
      <c r="F4652" s="2">
        <v>659.0</v>
      </c>
      <c r="G4652" s="3">
        <f t="shared" si="2"/>
        <v>0.1251424231</v>
      </c>
      <c r="H4652" s="2">
        <v>1088.0</v>
      </c>
      <c r="I4652" s="3">
        <f t="shared" si="3"/>
        <v>0.2066084314</v>
      </c>
      <c r="J4652" s="2">
        <v>1007.0</v>
      </c>
      <c r="K4652" s="3">
        <f t="shared" si="4"/>
        <v>0.1912267376</v>
      </c>
      <c r="L4652" s="2">
        <v>657.0</v>
      </c>
      <c r="M4652" s="3">
        <f t="shared" si="5"/>
        <v>0.6038602941</v>
      </c>
      <c r="N4652" s="2">
        <v>6286700.0</v>
      </c>
      <c r="O4652" s="4">
        <f t="shared" si="6"/>
        <v>5778.216912</v>
      </c>
      <c r="P4652" s="2">
        <v>2.0</v>
      </c>
      <c r="Q4652" s="3">
        <f t="shared" si="7"/>
        <v>0.004008016032</v>
      </c>
      <c r="R4652" s="2">
        <v>3.0</v>
      </c>
      <c r="S4652" s="5">
        <f t="shared" si="8"/>
        <v>0.006012024048</v>
      </c>
    </row>
    <row r="4653">
      <c r="A4653" s="2" t="s">
        <v>4655</v>
      </c>
      <c r="B4653" s="2">
        <v>183.0</v>
      </c>
      <c r="C4653" s="2">
        <v>2181.0</v>
      </c>
      <c r="D4653" s="2">
        <v>740.0</v>
      </c>
      <c r="E4653" s="3">
        <f t="shared" si="1"/>
        <v>0.3703703704</v>
      </c>
      <c r="F4653" s="2">
        <v>250.0</v>
      </c>
      <c r="G4653" s="3">
        <f t="shared" si="2"/>
        <v>0.1251251251</v>
      </c>
      <c r="H4653" s="2">
        <v>445.0</v>
      </c>
      <c r="I4653" s="3">
        <f t="shared" si="3"/>
        <v>0.2227227227</v>
      </c>
      <c r="J4653" s="2">
        <v>392.0</v>
      </c>
      <c r="K4653" s="3">
        <f t="shared" si="4"/>
        <v>0.1961961962</v>
      </c>
      <c r="L4653" s="2">
        <v>266.0</v>
      </c>
      <c r="M4653" s="3">
        <f t="shared" si="5"/>
        <v>0.597752809</v>
      </c>
      <c r="N4653" s="2">
        <v>2468200.0</v>
      </c>
      <c r="O4653" s="4">
        <f t="shared" si="6"/>
        <v>5546.516854</v>
      </c>
      <c r="P4653" s="2">
        <v>0.0</v>
      </c>
      <c r="Q4653" s="3">
        <f t="shared" si="7"/>
        <v>0</v>
      </c>
      <c r="R4653" s="2">
        <v>183.0</v>
      </c>
      <c r="S4653" s="5">
        <f t="shared" si="8"/>
        <v>1</v>
      </c>
    </row>
    <row r="4654">
      <c r="A4654" s="2" t="s">
        <v>4656</v>
      </c>
      <c r="B4654" s="2">
        <v>185.0</v>
      </c>
      <c r="C4654" s="2">
        <v>2223.0</v>
      </c>
      <c r="D4654" s="2">
        <v>706.0</v>
      </c>
      <c r="E4654" s="3">
        <f t="shared" si="1"/>
        <v>0.3464180569</v>
      </c>
      <c r="F4654" s="2">
        <v>255.0</v>
      </c>
      <c r="G4654" s="3">
        <f t="shared" si="2"/>
        <v>0.1251226693</v>
      </c>
      <c r="H4654" s="2">
        <v>407.0</v>
      </c>
      <c r="I4654" s="3">
        <f t="shared" si="3"/>
        <v>0.1997055937</v>
      </c>
      <c r="J4654" s="2">
        <v>228.0</v>
      </c>
      <c r="K4654" s="3">
        <f t="shared" si="4"/>
        <v>0.1118743867</v>
      </c>
      <c r="L4654" s="2">
        <v>261.0</v>
      </c>
      <c r="M4654" s="3">
        <f t="shared" si="5"/>
        <v>0.6412776413</v>
      </c>
      <c r="N4654" s="2">
        <v>2202300.0</v>
      </c>
      <c r="O4654" s="4">
        <f t="shared" si="6"/>
        <v>5411.056511</v>
      </c>
      <c r="P4654" s="2">
        <v>0.0</v>
      </c>
      <c r="Q4654" s="3">
        <f t="shared" si="7"/>
        <v>0</v>
      </c>
      <c r="R4654" s="2">
        <v>185.0</v>
      </c>
      <c r="S4654" s="5">
        <f t="shared" si="8"/>
        <v>1</v>
      </c>
    </row>
    <row r="4655">
      <c r="A4655" s="2" t="s">
        <v>4657</v>
      </c>
      <c r="B4655" s="2">
        <v>101.0</v>
      </c>
      <c r="C4655" s="2">
        <v>1204.0</v>
      </c>
      <c r="D4655" s="2">
        <v>406.0</v>
      </c>
      <c r="E4655" s="3">
        <f t="shared" si="1"/>
        <v>0.3680870354</v>
      </c>
      <c r="F4655" s="2">
        <v>138.0</v>
      </c>
      <c r="G4655" s="3">
        <f t="shared" si="2"/>
        <v>0.1251133273</v>
      </c>
      <c r="H4655" s="2">
        <v>233.0</v>
      </c>
      <c r="I4655" s="3">
        <f t="shared" si="3"/>
        <v>0.2112420671</v>
      </c>
      <c r="J4655" s="2">
        <v>145.0</v>
      </c>
      <c r="K4655" s="3">
        <f t="shared" si="4"/>
        <v>0.1314596555</v>
      </c>
      <c r="L4655" s="2">
        <v>146.0</v>
      </c>
      <c r="M4655" s="3">
        <f t="shared" si="5"/>
        <v>0.6266094421</v>
      </c>
      <c r="N4655" s="2">
        <v>1178400.0</v>
      </c>
      <c r="O4655" s="4">
        <f t="shared" si="6"/>
        <v>5057.51073</v>
      </c>
      <c r="P4655" s="2">
        <v>0.0</v>
      </c>
      <c r="Q4655" s="3">
        <f t="shared" si="7"/>
        <v>0</v>
      </c>
      <c r="R4655" s="2">
        <v>0.0</v>
      </c>
      <c r="S4655" s="5">
        <f t="shared" si="8"/>
        <v>0</v>
      </c>
    </row>
    <row r="4656">
      <c r="A4656" s="2" t="s">
        <v>4658</v>
      </c>
      <c r="B4656" s="2">
        <v>424.0</v>
      </c>
      <c r="C4656" s="2">
        <v>5012.0</v>
      </c>
      <c r="D4656" s="2">
        <v>1426.0</v>
      </c>
      <c r="E4656" s="3">
        <f t="shared" si="1"/>
        <v>0.3108108108</v>
      </c>
      <c r="F4656" s="2">
        <v>574.0</v>
      </c>
      <c r="G4656" s="3">
        <f t="shared" si="2"/>
        <v>0.1251089799</v>
      </c>
      <c r="H4656" s="2">
        <v>1005.0</v>
      </c>
      <c r="I4656" s="3">
        <f t="shared" si="3"/>
        <v>0.2190496949</v>
      </c>
      <c r="J4656" s="2">
        <v>885.0</v>
      </c>
      <c r="K4656" s="3">
        <f t="shared" si="4"/>
        <v>0.1928945074</v>
      </c>
      <c r="L4656" s="2">
        <v>606.0</v>
      </c>
      <c r="M4656" s="3">
        <f t="shared" si="5"/>
        <v>0.6029850746</v>
      </c>
      <c r="N4656" s="2">
        <v>5843200.0</v>
      </c>
      <c r="O4656" s="4">
        <f t="shared" si="6"/>
        <v>5814.129353</v>
      </c>
      <c r="P4656" s="2">
        <v>0.0</v>
      </c>
      <c r="Q4656" s="3">
        <f t="shared" si="7"/>
        <v>0</v>
      </c>
      <c r="R4656" s="2">
        <v>0.0</v>
      </c>
      <c r="S4656" s="5">
        <f t="shared" si="8"/>
        <v>0</v>
      </c>
    </row>
    <row r="4657">
      <c r="A4657" s="2" t="s">
        <v>4659</v>
      </c>
      <c r="B4657" s="2">
        <v>1449.0</v>
      </c>
      <c r="C4657" s="2">
        <v>16756.0</v>
      </c>
      <c r="D4657" s="2">
        <v>4987.0</v>
      </c>
      <c r="E4657" s="3">
        <f t="shared" si="1"/>
        <v>0.3257986542</v>
      </c>
      <c r="F4657" s="2">
        <v>1915.0</v>
      </c>
      <c r="G4657" s="3">
        <f t="shared" si="2"/>
        <v>0.1251061606</v>
      </c>
      <c r="H4657" s="2">
        <v>3170.0</v>
      </c>
      <c r="I4657" s="3">
        <f t="shared" si="3"/>
        <v>0.2070947932</v>
      </c>
      <c r="J4657" s="2">
        <v>2818.0</v>
      </c>
      <c r="K4657" s="3">
        <f t="shared" si="4"/>
        <v>0.1840987783</v>
      </c>
      <c r="L4657" s="2">
        <v>1911.0</v>
      </c>
      <c r="M4657" s="3">
        <f t="shared" si="5"/>
        <v>0.6028391167</v>
      </c>
      <c r="N4657" s="2">
        <v>1.87515E7</v>
      </c>
      <c r="O4657" s="4">
        <f t="shared" si="6"/>
        <v>5915.299685</v>
      </c>
      <c r="P4657" s="2">
        <v>3.0</v>
      </c>
      <c r="Q4657" s="3">
        <f t="shared" si="7"/>
        <v>0.002070393375</v>
      </c>
      <c r="R4657" s="2">
        <v>1117.0</v>
      </c>
      <c r="S4657" s="5">
        <f t="shared" si="8"/>
        <v>0.7708764665</v>
      </c>
    </row>
    <row r="4658">
      <c r="A4658" s="2" t="s">
        <v>4660</v>
      </c>
      <c r="B4658" s="2">
        <v>1835.0</v>
      </c>
      <c r="C4658" s="2">
        <v>21548.0</v>
      </c>
      <c r="D4658" s="2">
        <v>5515.0</v>
      </c>
      <c r="E4658" s="3">
        <f t="shared" si="1"/>
        <v>0.2797646223</v>
      </c>
      <c r="F4658" s="2">
        <v>2466.0</v>
      </c>
      <c r="G4658" s="3">
        <f t="shared" si="2"/>
        <v>0.1250951149</v>
      </c>
      <c r="H4658" s="2">
        <v>4100.0</v>
      </c>
      <c r="I4658" s="3">
        <f t="shared" si="3"/>
        <v>0.2079845787</v>
      </c>
      <c r="J4658" s="2">
        <v>3787.0</v>
      </c>
      <c r="K4658" s="3">
        <f t="shared" si="4"/>
        <v>0.1921067316</v>
      </c>
      <c r="L4658" s="2">
        <v>2400.0</v>
      </c>
      <c r="M4658" s="3">
        <f t="shared" si="5"/>
        <v>0.5853658537</v>
      </c>
      <c r="N4658" s="2">
        <v>2.40014E7</v>
      </c>
      <c r="O4658" s="4">
        <f t="shared" si="6"/>
        <v>5854</v>
      </c>
      <c r="P4658" s="2">
        <v>2.0</v>
      </c>
      <c r="Q4658" s="3">
        <f t="shared" si="7"/>
        <v>0.001089918256</v>
      </c>
      <c r="R4658" s="2">
        <v>10.0</v>
      </c>
      <c r="S4658" s="5">
        <f t="shared" si="8"/>
        <v>0.005449591281</v>
      </c>
    </row>
    <row r="4659">
      <c r="A4659" s="2" t="s">
        <v>4661</v>
      </c>
      <c r="B4659" s="2">
        <v>767.0</v>
      </c>
      <c r="C4659" s="2">
        <v>9033.0</v>
      </c>
      <c r="D4659" s="2">
        <v>3334.0</v>
      </c>
      <c r="E4659" s="3">
        <f t="shared" si="1"/>
        <v>0.4033389789</v>
      </c>
      <c r="F4659" s="2">
        <v>1034.0</v>
      </c>
      <c r="G4659" s="3">
        <f t="shared" si="2"/>
        <v>0.1250907331</v>
      </c>
      <c r="H4659" s="2">
        <v>1789.0</v>
      </c>
      <c r="I4659" s="3">
        <f t="shared" si="3"/>
        <v>0.2164287443</v>
      </c>
      <c r="J4659" s="2">
        <v>1127.0</v>
      </c>
      <c r="K4659" s="3">
        <f t="shared" si="4"/>
        <v>0.1363416405</v>
      </c>
      <c r="L4659" s="2">
        <v>1065.0</v>
      </c>
      <c r="M4659" s="3">
        <f t="shared" si="5"/>
        <v>0.5953046395</v>
      </c>
      <c r="N4659" s="2">
        <v>9010800.0</v>
      </c>
      <c r="O4659" s="4">
        <f t="shared" si="6"/>
        <v>5036.780324</v>
      </c>
      <c r="P4659" s="2">
        <v>4.0</v>
      </c>
      <c r="Q4659" s="3">
        <f t="shared" si="7"/>
        <v>0.005215123859</v>
      </c>
      <c r="R4659" s="2">
        <v>436.0</v>
      </c>
      <c r="S4659" s="5">
        <f t="shared" si="8"/>
        <v>0.5684485007</v>
      </c>
    </row>
    <row r="4660">
      <c r="A4660" s="2" t="s">
        <v>4662</v>
      </c>
      <c r="B4660" s="2">
        <v>386.0</v>
      </c>
      <c r="C4660" s="2">
        <v>4527.0</v>
      </c>
      <c r="D4660" s="2">
        <v>1786.0</v>
      </c>
      <c r="E4660" s="3">
        <f t="shared" si="1"/>
        <v>0.4312967882</v>
      </c>
      <c r="F4660" s="2">
        <v>518.0</v>
      </c>
      <c r="G4660" s="3">
        <f t="shared" si="2"/>
        <v>0.1250905578</v>
      </c>
      <c r="H4660" s="2">
        <v>892.0</v>
      </c>
      <c r="I4660" s="3">
        <f t="shared" si="3"/>
        <v>0.2154069065</v>
      </c>
      <c r="J4660" s="2">
        <v>664.0</v>
      </c>
      <c r="K4660" s="3">
        <f t="shared" si="4"/>
        <v>0.1603477421</v>
      </c>
      <c r="L4660" s="2">
        <v>547.0</v>
      </c>
      <c r="M4660" s="3">
        <f t="shared" si="5"/>
        <v>0.6132286996</v>
      </c>
      <c r="N4660" s="2">
        <v>4673900.0</v>
      </c>
      <c r="O4660" s="4">
        <f t="shared" si="6"/>
        <v>5239.798206</v>
      </c>
      <c r="P4660" s="2">
        <v>2.0</v>
      </c>
      <c r="Q4660" s="3">
        <f t="shared" si="7"/>
        <v>0.00518134715</v>
      </c>
      <c r="R4660" s="2">
        <v>386.0</v>
      </c>
      <c r="S4660" s="5">
        <f t="shared" si="8"/>
        <v>1</v>
      </c>
    </row>
    <row r="4661">
      <c r="A4661" s="2" t="s">
        <v>4663</v>
      </c>
      <c r="B4661" s="2">
        <v>1592.0</v>
      </c>
      <c r="C4661" s="2">
        <v>18676.0</v>
      </c>
      <c r="D4661" s="2">
        <v>6560.0</v>
      </c>
      <c r="E4661" s="3">
        <f t="shared" si="1"/>
        <v>0.3839850152</v>
      </c>
      <c r="F4661" s="2">
        <v>2137.0</v>
      </c>
      <c r="G4661" s="3">
        <f t="shared" si="2"/>
        <v>0.1250878015</v>
      </c>
      <c r="H4661" s="2">
        <v>3722.0</v>
      </c>
      <c r="I4661" s="3">
        <f t="shared" si="3"/>
        <v>0.2178646687</v>
      </c>
      <c r="J4661" s="2">
        <v>3116.0</v>
      </c>
      <c r="K4661" s="3">
        <f t="shared" si="4"/>
        <v>0.1823928822</v>
      </c>
      <c r="L4661" s="2">
        <v>2234.0</v>
      </c>
      <c r="M4661" s="3">
        <f t="shared" si="5"/>
        <v>0.6002149382</v>
      </c>
      <c r="N4661" s="2">
        <v>2.08795E7</v>
      </c>
      <c r="O4661" s="4">
        <f t="shared" si="6"/>
        <v>5609.752821</v>
      </c>
      <c r="P4661" s="2">
        <v>1.0</v>
      </c>
      <c r="Q4661" s="3">
        <f t="shared" si="7"/>
        <v>0.0006281407035</v>
      </c>
      <c r="R4661" s="2">
        <v>1592.0</v>
      </c>
      <c r="S4661" s="5">
        <f t="shared" si="8"/>
        <v>1</v>
      </c>
    </row>
    <row r="4662">
      <c r="A4662" s="2" t="s">
        <v>4664</v>
      </c>
      <c r="B4662" s="2">
        <v>2412.0</v>
      </c>
      <c r="C4662" s="2">
        <v>28595.0</v>
      </c>
      <c r="D4662" s="2">
        <v>9082.0</v>
      </c>
      <c r="E4662" s="3">
        <f t="shared" si="1"/>
        <v>0.3468662873</v>
      </c>
      <c r="F4662" s="2">
        <v>3275.0</v>
      </c>
      <c r="G4662" s="3">
        <f t="shared" si="2"/>
        <v>0.1250811595</v>
      </c>
      <c r="H4662" s="2">
        <v>5555.0</v>
      </c>
      <c r="I4662" s="3">
        <f t="shared" si="3"/>
        <v>0.2121605622</v>
      </c>
      <c r="J4662" s="2">
        <v>3452.0</v>
      </c>
      <c r="K4662" s="3">
        <f t="shared" si="4"/>
        <v>0.1318412711</v>
      </c>
      <c r="L4662" s="2">
        <v>3357.0</v>
      </c>
      <c r="M4662" s="3">
        <f t="shared" si="5"/>
        <v>0.604320432</v>
      </c>
      <c r="N4662" s="2">
        <v>2.83916E7</v>
      </c>
      <c r="O4662" s="4">
        <f t="shared" si="6"/>
        <v>5110.9991</v>
      </c>
      <c r="P4662" s="2">
        <v>7.0</v>
      </c>
      <c r="Q4662" s="3">
        <f t="shared" si="7"/>
        <v>0.002902155887</v>
      </c>
      <c r="R4662" s="2">
        <v>2412.0</v>
      </c>
      <c r="S4662" s="5">
        <f t="shared" si="8"/>
        <v>1</v>
      </c>
    </row>
    <row r="4663">
      <c r="A4663" s="2" t="s">
        <v>4665</v>
      </c>
      <c r="B4663" s="2">
        <v>2817.0</v>
      </c>
      <c r="C4663" s="2">
        <v>32798.0</v>
      </c>
      <c r="D4663" s="2">
        <v>10902.0</v>
      </c>
      <c r="E4663" s="3">
        <f t="shared" si="1"/>
        <v>0.3636302992</v>
      </c>
      <c r="F4663" s="2">
        <v>3750.0</v>
      </c>
      <c r="G4663" s="3">
        <f t="shared" si="2"/>
        <v>0.1250792168</v>
      </c>
      <c r="H4663" s="2">
        <v>6201.0</v>
      </c>
      <c r="I4663" s="3">
        <f t="shared" si="3"/>
        <v>0.206830993</v>
      </c>
      <c r="J4663" s="2">
        <v>5058.0</v>
      </c>
      <c r="K4663" s="3">
        <f t="shared" si="4"/>
        <v>0.1687068477</v>
      </c>
      <c r="L4663" s="2">
        <v>3753.0</v>
      </c>
      <c r="M4663" s="3">
        <f t="shared" si="5"/>
        <v>0.6052249637</v>
      </c>
      <c r="N4663" s="2">
        <v>3.55831E7</v>
      </c>
      <c r="O4663" s="4">
        <f t="shared" si="6"/>
        <v>5738.284148</v>
      </c>
      <c r="P4663" s="2">
        <v>9.0</v>
      </c>
      <c r="Q4663" s="3">
        <f t="shared" si="7"/>
        <v>0.003194888179</v>
      </c>
      <c r="R4663" s="2">
        <v>2817.0</v>
      </c>
      <c r="S4663" s="5">
        <f t="shared" si="8"/>
        <v>1</v>
      </c>
    </row>
    <row r="4664">
      <c r="A4664" s="2" t="s">
        <v>4666</v>
      </c>
      <c r="B4664" s="2">
        <v>891.0</v>
      </c>
      <c r="C4664" s="2">
        <v>10477.0</v>
      </c>
      <c r="D4664" s="2">
        <v>3775.0</v>
      </c>
      <c r="E4664" s="3">
        <f t="shared" si="1"/>
        <v>0.3938034634</v>
      </c>
      <c r="F4664" s="2">
        <v>1199.0</v>
      </c>
      <c r="G4664" s="3">
        <f t="shared" si="2"/>
        <v>0.1250782391</v>
      </c>
      <c r="H4664" s="2">
        <v>1982.0</v>
      </c>
      <c r="I4664" s="3">
        <f t="shared" si="3"/>
        <v>0.2067598581</v>
      </c>
      <c r="J4664" s="2">
        <v>1498.0</v>
      </c>
      <c r="K4664" s="3">
        <f t="shared" si="4"/>
        <v>0.1562695598</v>
      </c>
      <c r="L4664" s="2">
        <v>1173.0</v>
      </c>
      <c r="M4664" s="3">
        <f t="shared" si="5"/>
        <v>0.5918264379</v>
      </c>
      <c r="N4664" s="2">
        <v>1.06505E7</v>
      </c>
      <c r="O4664" s="4">
        <f t="shared" si="6"/>
        <v>5373.612513</v>
      </c>
      <c r="P4664" s="2">
        <v>1.0</v>
      </c>
      <c r="Q4664" s="3">
        <f t="shared" si="7"/>
        <v>0.001122334456</v>
      </c>
      <c r="R4664" s="2">
        <v>891.0</v>
      </c>
      <c r="S4664" s="5">
        <f t="shared" si="8"/>
        <v>1</v>
      </c>
    </row>
    <row r="4665">
      <c r="A4665" s="2" t="s">
        <v>4667</v>
      </c>
      <c r="B4665" s="2">
        <v>191.0</v>
      </c>
      <c r="C4665" s="2">
        <v>2302.0</v>
      </c>
      <c r="D4665" s="2">
        <v>850.0</v>
      </c>
      <c r="E4665" s="3">
        <f t="shared" si="1"/>
        <v>0.4026527712</v>
      </c>
      <c r="F4665" s="2">
        <v>264.0</v>
      </c>
      <c r="G4665" s="3">
        <f t="shared" si="2"/>
        <v>0.1250592136</v>
      </c>
      <c r="H4665" s="2">
        <v>429.0</v>
      </c>
      <c r="I4665" s="3">
        <f t="shared" si="3"/>
        <v>0.2032212222</v>
      </c>
      <c r="J4665" s="2">
        <v>321.0</v>
      </c>
      <c r="K4665" s="3">
        <f t="shared" si="4"/>
        <v>0.1520606348</v>
      </c>
      <c r="L4665" s="2">
        <v>267.0</v>
      </c>
      <c r="M4665" s="3">
        <f t="shared" si="5"/>
        <v>0.6223776224</v>
      </c>
      <c r="N4665" s="2">
        <v>2318000.0</v>
      </c>
      <c r="O4665" s="4">
        <f t="shared" si="6"/>
        <v>5403.263403</v>
      </c>
      <c r="P4665" s="2">
        <v>0.0</v>
      </c>
      <c r="Q4665" s="3">
        <f t="shared" si="7"/>
        <v>0</v>
      </c>
      <c r="R4665" s="2">
        <v>191.0</v>
      </c>
      <c r="S4665" s="5">
        <f t="shared" si="8"/>
        <v>1</v>
      </c>
    </row>
    <row r="4666">
      <c r="A4666" s="2" t="s">
        <v>4668</v>
      </c>
      <c r="B4666" s="2">
        <v>225.0</v>
      </c>
      <c r="C4666" s="2">
        <v>2712.0</v>
      </c>
      <c r="D4666" s="2">
        <v>670.0</v>
      </c>
      <c r="E4666" s="3">
        <f t="shared" si="1"/>
        <v>0.2694008846</v>
      </c>
      <c r="F4666" s="2">
        <v>311.0</v>
      </c>
      <c r="G4666" s="3">
        <f t="shared" si="2"/>
        <v>0.1250502614</v>
      </c>
      <c r="H4666" s="2">
        <v>493.0</v>
      </c>
      <c r="I4666" s="3">
        <f t="shared" si="3"/>
        <v>0.1982308002</v>
      </c>
      <c r="J4666" s="2">
        <v>482.0</v>
      </c>
      <c r="K4666" s="3">
        <f t="shared" si="4"/>
        <v>0.1938078006</v>
      </c>
      <c r="L4666" s="2">
        <v>289.0</v>
      </c>
      <c r="M4666" s="3">
        <f t="shared" si="5"/>
        <v>0.5862068966</v>
      </c>
      <c r="N4666" s="2">
        <v>2829200.0</v>
      </c>
      <c r="O4666" s="4">
        <f t="shared" si="6"/>
        <v>5738.742394</v>
      </c>
      <c r="P4666" s="2">
        <v>0.0</v>
      </c>
      <c r="Q4666" s="3">
        <f t="shared" si="7"/>
        <v>0</v>
      </c>
      <c r="R4666" s="2">
        <v>225.0</v>
      </c>
      <c r="S4666" s="5">
        <f t="shared" si="8"/>
        <v>1</v>
      </c>
    </row>
    <row r="4667">
      <c r="A4667" s="2" t="s">
        <v>4669</v>
      </c>
      <c r="B4667" s="2">
        <v>304.0</v>
      </c>
      <c r="C4667" s="2">
        <v>3559.0</v>
      </c>
      <c r="D4667" s="2">
        <v>1206.0</v>
      </c>
      <c r="E4667" s="3">
        <f t="shared" si="1"/>
        <v>0.3705069124</v>
      </c>
      <c r="F4667" s="2">
        <v>407.0</v>
      </c>
      <c r="G4667" s="3">
        <f t="shared" si="2"/>
        <v>0.1250384025</v>
      </c>
      <c r="H4667" s="2">
        <v>704.0</v>
      </c>
      <c r="I4667" s="3">
        <f t="shared" si="3"/>
        <v>0.2162826421</v>
      </c>
      <c r="J4667" s="2">
        <v>518.0</v>
      </c>
      <c r="K4667" s="3">
        <f t="shared" si="4"/>
        <v>0.1591397849</v>
      </c>
      <c r="L4667" s="2">
        <v>428.0</v>
      </c>
      <c r="M4667" s="3">
        <f t="shared" si="5"/>
        <v>0.6079545455</v>
      </c>
      <c r="N4667" s="2">
        <v>3492000.0</v>
      </c>
      <c r="O4667" s="4">
        <f t="shared" si="6"/>
        <v>4960.227273</v>
      </c>
      <c r="P4667" s="2">
        <v>1.0</v>
      </c>
      <c r="Q4667" s="3">
        <f t="shared" si="7"/>
        <v>0.003289473684</v>
      </c>
      <c r="R4667" s="2">
        <v>237.0</v>
      </c>
      <c r="S4667" s="5">
        <f t="shared" si="8"/>
        <v>0.7796052632</v>
      </c>
    </row>
    <row r="4668">
      <c r="A4668" s="2" t="s">
        <v>4670</v>
      </c>
      <c r="B4668" s="2">
        <v>627.0</v>
      </c>
      <c r="C4668" s="2">
        <v>7361.0</v>
      </c>
      <c r="D4668" s="2">
        <v>2536.0</v>
      </c>
      <c r="E4668" s="3">
        <f t="shared" si="1"/>
        <v>0.3765963766</v>
      </c>
      <c r="F4668" s="2">
        <v>842.0</v>
      </c>
      <c r="G4668" s="3">
        <f t="shared" si="2"/>
        <v>0.125037125</v>
      </c>
      <c r="H4668" s="2">
        <v>1312.0</v>
      </c>
      <c r="I4668" s="3">
        <f t="shared" si="3"/>
        <v>0.1948321948</v>
      </c>
      <c r="J4668" s="2">
        <v>1089.0</v>
      </c>
      <c r="K4668" s="3">
        <f t="shared" si="4"/>
        <v>0.1617166617</v>
      </c>
      <c r="L4668" s="2">
        <v>770.0</v>
      </c>
      <c r="M4668" s="3">
        <f t="shared" si="5"/>
        <v>0.5868902439</v>
      </c>
      <c r="N4668" s="2">
        <v>7410700.0</v>
      </c>
      <c r="O4668" s="4">
        <f t="shared" si="6"/>
        <v>5648.39939</v>
      </c>
      <c r="P4668" s="2">
        <v>3.0</v>
      </c>
      <c r="Q4668" s="3">
        <f t="shared" si="7"/>
        <v>0.004784688995</v>
      </c>
      <c r="R4668" s="2">
        <v>627.0</v>
      </c>
      <c r="S4668" s="5">
        <f t="shared" si="8"/>
        <v>1</v>
      </c>
    </row>
    <row r="4669">
      <c r="A4669" s="2" t="s">
        <v>4671</v>
      </c>
      <c r="B4669" s="2">
        <v>342.0</v>
      </c>
      <c r="C4669" s="2">
        <v>3973.0</v>
      </c>
      <c r="D4669" s="2">
        <v>1401.0</v>
      </c>
      <c r="E4669" s="3">
        <f t="shared" si="1"/>
        <v>0.3858441201</v>
      </c>
      <c r="F4669" s="2">
        <v>454.0</v>
      </c>
      <c r="G4669" s="3">
        <f t="shared" si="2"/>
        <v>0.1250344258</v>
      </c>
      <c r="H4669" s="2">
        <v>810.0</v>
      </c>
      <c r="I4669" s="3">
        <f t="shared" si="3"/>
        <v>0.2230790416</v>
      </c>
      <c r="J4669" s="2">
        <v>592.0</v>
      </c>
      <c r="K4669" s="3">
        <f t="shared" si="4"/>
        <v>0.1630404847</v>
      </c>
      <c r="L4669" s="2">
        <v>507.0</v>
      </c>
      <c r="M4669" s="3">
        <f t="shared" si="5"/>
        <v>0.6259259259</v>
      </c>
      <c r="N4669" s="2">
        <v>4289000.0</v>
      </c>
      <c r="O4669" s="4">
        <f t="shared" si="6"/>
        <v>5295.061728</v>
      </c>
      <c r="P4669" s="2">
        <v>0.0</v>
      </c>
      <c r="Q4669" s="3">
        <f t="shared" si="7"/>
        <v>0</v>
      </c>
      <c r="R4669" s="2">
        <v>0.0</v>
      </c>
      <c r="S4669" s="5">
        <f t="shared" si="8"/>
        <v>0</v>
      </c>
    </row>
    <row r="4670">
      <c r="A4670" s="2" t="s">
        <v>4672</v>
      </c>
      <c r="B4670" s="2">
        <v>729.0</v>
      </c>
      <c r="C4670" s="2">
        <v>8616.0</v>
      </c>
      <c r="D4670" s="2">
        <v>3382.0</v>
      </c>
      <c r="E4670" s="3">
        <f t="shared" si="1"/>
        <v>0.4288068974</v>
      </c>
      <c r="F4670" s="2">
        <v>986.0</v>
      </c>
      <c r="G4670" s="3">
        <f t="shared" si="2"/>
        <v>0.1250158489</v>
      </c>
      <c r="H4670" s="2">
        <v>1610.0</v>
      </c>
      <c r="I4670" s="3">
        <f t="shared" si="3"/>
        <v>0.204133384</v>
      </c>
      <c r="J4670" s="2">
        <v>1234.0</v>
      </c>
      <c r="K4670" s="3">
        <f t="shared" si="4"/>
        <v>0.1564599975</v>
      </c>
      <c r="L4670" s="2">
        <v>964.0</v>
      </c>
      <c r="M4670" s="3">
        <f t="shared" si="5"/>
        <v>0.598757764</v>
      </c>
      <c r="N4670" s="2">
        <v>8891900.0</v>
      </c>
      <c r="O4670" s="4">
        <f t="shared" si="6"/>
        <v>5522.919255</v>
      </c>
      <c r="P4670" s="2">
        <v>1.0</v>
      </c>
      <c r="Q4670" s="3">
        <f t="shared" si="7"/>
        <v>0.001371742112</v>
      </c>
      <c r="R4670" s="2">
        <v>729.0</v>
      </c>
      <c r="S4670" s="5">
        <f t="shared" si="8"/>
        <v>1</v>
      </c>
    </row>
    <row r="4671">
      <c r="A4671" s="2" t="s">
        <v>4673</v>
      </c>
      <c r="B4671" s="2">
        <v>1641.0</v>
      </c>
      <c r="C4671" s="2">
        <v>19240.0</v>
      </c>
      <c r="D4671" s="2">
        <v>5002.0</v>
      </c>
      <c r="E4671" s="3">
        <f t="shared" si="1"/>
        <v>0.2842206944</v>
      </c>
      <c r="F4671" s="2">
        <v>2200.0</v>
      </c>
      <c r="G4671" s="3">
        <f t="shared" si="2"/>
        <v>0.1250071027</v>
      </c>
      <c r="H4671" s="2">
        <v>3305.0</v>
      </c>
      <c r="I4671" s="3">
        <f t="shared" si="3"/>
        <v>0.1877947611</v>
      </c>
      <c r="J4671" s="2">
        <v>3273.0</v>
      </c>
      <c r="K4671" s="3">
        <f t="shared" si="4"/>
        <v>0.1859764759</v>
      </c>
      <c r="L4671" s="2">
        <v>1875.0</v>
      </c>
      <c r="M4671" s="3">
        <f t="shared" si="5"/>
        <v>0.567322239</v>
      </c>
      <c r="N4671" s="2">
        <v>2.07526E7</v>
      </c>
      <c r="O4671" s="4">
        <f t="shared" si="6"/>
        <v>6279.152799</v>
      </c>
      <c r="P4671" s="2">
        <v>6.0</v>
      </c>
      <c r="Q4671" s="3">
        <f t="shared" si="7"/>
        <v>0.00365630713</v>
      </c>
      <c r="R4671" s="2">
        <v>0.0</v>
      </c>
      <c r="S4671" s="5">
        <f t="shared" si="8"/>
        <v>0</v>
      </c>
    </row>
    <row r="4672">
      <c r="A4672" s="2" t="s">
        <v>4674</v>
      </c>
      <c r="B4672" s="2">
        <v>3.0</v>
      </c>
      <c r="C4672" s="2">
        <v>35.0</v>
      </c>
      <c r="D4672" s="2">
        <v>7.0</v>
      </c>
      <c r="E4672" s="3">
        <f t="shared" si="1"/>
        <v>0.21875</v>
      </c>
      <c r="F4672" s="2">
        <v>4.0</v>
      </c>
      <c r="G4672" s="3">
        <f t="shared" si="2"/>
        <v>0.125</v>
      </c>
      <c r="H4672" s="2">
        <v>5.0</v>
      </c>
      <c r="I4672" s="3">
        <f t="shared" si="3"/>
        <v>0.15625</v>
      </c>
      <c r="J4672" s="2">
        <v>9.0</v>
      </c>
      <c r="K4672" s="3">
        <f t="shared" si="4"/>
        <v>0.28125</v>
      </c>
      <c r="L4672" s="2">
        <v>4.0</v>
      </c>
      <c r="M4672" s="3">
        <f t="shared" si="5"/>
        <v>0.8</v>
      </c>
      <c r="N4672" s="2">
        <v>33500.0</v>
      </c>
      <c r="O4672" s="4">
        <f t="shared" si="6"/>
        <v>6700</v>
      </c>
      <c r="P4672" s="2">
        <v>0.0</v>
      </c>
      <c r="Q4672" s="3">
        <f t="shared" si="7"/>
        <v>0</v>
      </c>
      <c r="R4672" s="2">
        <v>3.0</v>
      </c>
      <c r="S4672" s="5">
        <f t="shared" si="8"/>
        <v>1</v>
      </c>
    </row>
    <row r="4673">
      <c r="A4673" s="2" t="s">
        <v>4675</v>
      </c>
      <c r="B4673" s="2">
        <v>4.0</v>
      </c>
      <c r="C4673" s="2">
        <v>44.0</v>
      </c>
      <c r="D4673" s="2">
        <v>9.0</v>
      </c>
      <c r="E4673" s="3">
        <f t="shared" si="1"/>
        <v>0.225</v>
      </c>
      <c r="F4673" s="2">
        <v>5.0</v>
      </c>
      <c r="G4673" s="3">
        <f t="shared" si="2"/>
        <v>0.125</v>
      </c>
      <c r="H4673" s="2">
        <v>9.0</v>
      </c>
      <c r="I4673" s="3">
        <f t="shared" si="3"/>
        <v>0.225</v>
      </c>
      <c r="J4673" s="2">
        <v>11.0</v>
      </c>
      <c r="K4673" s="3">
        <f t="shared" si="4"/>
        <v>0.275</v>
      </c>
      <c r="L4673" s="2">
        <v>4.0</v>
      </c>
      <c r="M4673" s="3">
        <f t="shared" si="5"/>
        <v>0.4444444444</v>
      </c>
      <c r="N4673" s="2">
        <v>64400.0</v>
      </c>
      <c r="O4673" s="4">
        <f t="shared" si="6"/>
        <v>7155.555556</v>
      </c>
      <c r="P4673" s="2">
        <v>0.0</v>
      </c>
      <c r="Q4673" s="3">
        <f t="shared" si="7"/>
        <v>0</v>
      </c>
      <c r="R4673" s="2">
        <v>4.0</v>
      </c>
      <c r="S4673" s="5">
        <f t="shared" si="8"/>
        <v>1</v>
      </c>
    </row>
    <row r="4674">
      <c r="A4674" s="2" t="s">
        <v>4676</v>
      </c>
      <c r="B4674" s="2">
        <v>9.0</v>
      </c>
      <c r="C4674" s="2">
        <v>105.0</v>
      </c>
      <c r="D4674" s="2">
        <v>30.0</v>
      </c>
      <c r="E4674" s="3">
        <f t="shared" si="1"/>
        <v>0.3125</v>
      </c>
      <c r="F4674" s="2">
        <v>12.0</v>
      </c>
      <c r="G4674" s="3">
        <f t="shared" si="2"/>
        <v>0.125</v>
      </c>
      <c r="H4674" s="2">
        <v>11.0</v>
      </c>
      <c r="I4674" s="3">
        <f t="shared" si="3"/>
        <v>0.1145833333</v>
      </c>
      <c r="J4674" s="2">
        <v>26.0</v>
      </c>
      <c r="K4674" s="3">
        <f t="shared" si="4"/>
        <v>0.2708333333</v>
      </c>
      <c r="L4674" s="2">
        <v>6.0</v>
      </c>
      <c r="M4674" s="3">
        <f t="shared" si="5"/>
        <v>0.5454545455</v>
      </c>
      <c r="N4674" s="2">
        <v>62500.0</v>
      </c>
      <c r="O4674" s="4">
        <f t="shared" si="6"/>
        <v>5681.818182</v>
      </c>
      <c r="P4674" s="2">
        <v>0.0</v>
      </c>
      <c r="Q4674" s="3">
        <f t="shared" si="7"/>
        <v>0</v>
      </c>
      <c r="R4674" s="2">
        <v>0.0</v>
      </c>
      <c r="S4674" s="5">
        <f t="shared" si="8"/>
        <v>0</v>
      </c>
    </row>
    <row r="4675">
      <c r="A4675" s="2" t="s">
        <v>4677</v>
      </c>
      <c r="B4675" s="2">
        <v>1.0</v>
      </c>
      <c r="C4675" s="2">
        <v>9.0</v>
      </c>
      <c r="D4675" s="2">
        <v>2.0</v>
      </c>
      <c r="E4675" s="3">
        <f t="shared" si="1"/>
        <v>0.25</v>
      </c>
      <c r="F4675" s="2">
        <v>1.0</v>
      </c>
      <c r="G4675" s="3">
        <f t="shared" si="2"/>
        <v>0.125</v>
      </c>
      <c r="H4675" s="2">
        <v>2.0</v>
      </c>
      <c r="I4675" s="3">
        <f t="shared" si="3"/>
        <v>0.25</v>
      </c>
      <c r="J4675" s="2">
        <v>2.0</v>
      </c>
      <c r="K4675" s="3">
        <f t="shared" si="4"/>
        <v>0.25</v>
      </c>
      <c r="L4675" s="2">
        <v>2.0</v>
      </c>
      <c r="M4675" s="3">
        <f t="shared" si="5"/>
        <v>1</v>
      </c>
      <c r="N4675" s="2">
        <v>9100.0</v>
      </c>
      <c r="O4675" s="4">
        <f t="shared" si="6"/>
        <v>4550</v>
      </c>
      <c r="P4675" s="2">
        <v>0.0</v>
      </c>
      <c r="Q4675" s="3">
        <f t="shared" si="7"/>
        <v>0</v>
      </c>
      <c r="R4675" s="2">
        <v>0.0</v>
      </c>
      <c r="S4675" s="5">
        <f t="shared" si="8"/>
        <v>0</v>
      </c>
    </row>
    <row r="4676">
      <c r="A4676" s="2" t="s">
        <v>4678</v>
      </c>
      <c r="B4676" s="2">
        <v>31.0</v>
      </c>
      <c r="C4676" s="2">
        <v>335.0</v>
      </c>
      <c r="D4676" s="2">
        <v>107.0</v>
      </c>
      <c r="E4676" s="3">
        <f t="shared" si="1"/>
        <v>0.3519736842</v>
      </c>
      <c r="F4676" s="2">
        <v>38.0</v>
      </c>
      <c r="G4676" s="3">
        <f t="shared" si="2"/>
        <v>0.125</v>
      </c>
      <c r="H4676" s="2">
        <v>69.0</v>
      </c>
      <c r="I4676" s="3">
        <f t="shared" si="3"/>
        <v>0.2269736842</v>
      </c>
      <c r="J4676" s="2">
        <v>60.0</v>
      </c>
      <c r="K4676" s="3">
        <f t="shared" si="4"/>
        <v>0.1973684211</v>
      </c>
      <c r="L4676" s="2">
        <v>40.0</v>
      </c>
      <c r="M4676" s="3">
        <f t="shared" si="5"/>
        <v>0.5797101449</v>
      </c>
      <c r="N4676" s="2">
        <v>380200.0</v>
      </c>
      <c r="O4676" s="4">
        <f t="shared" si="6"/>
        <v>5510.144928</v>
      </c>
      <c r="P4676" s="2">
        <v>0.0</v>
      </c>
      <c r="Q4676" s="3">
        <f t="shared" si="7"/>
        <v>0</v>
      </c>
      <c r="R4676" s="2">
        <v>31.0</v>
      </c>
      <c r="S4676" s="5">
        <f t="shared" si="8"/>
        <v>1</v>
      </c>
    </row>
    <row r="4677">
      <c r="A4677" s="2" t="s">
        <v>4679</v>
      </c>
      <c r="B4677" s="2">
        <v>55.0</v>
      </c>
      <c r="C4677" s="2">
        <v>679.0</v>
      </c>
      <c r="D4677" s="2">
        <v>184.0</v>
      </c>
      <c r="E4677" s="3">
        <f t="shared" si="1"/>
        <v>0.2948717949</v>
      </c>
      <c r="F4677" s="2">
        <v>78.0</v>
      </c>
      <c r="G4677" s="3">
        <f t="shared" si="2"/>
        <v>0.125</v>
      </c>
      <c r="H4677" s="2">
        <v>106.0</v>
      </c>
      <c r="I4677" s="3">
        <f t="shared" si="3"/>
        <v>0.1698717949</v>
      </c>
      <c r="J4677" s="2">
        <v>122.0</v>
      </c>
      <c r="K4677" s="3">
        <f t="shared" si="4"/>
        <v>0.1955128205</v>
      </c>
      <c r="L4677" s="2">
        <v>54.0</v>
      </c>
      <c r="M4677" s="3">
        <f t="shared" si="5"/>
        <v>0.5094339623</v>
      </c>
      <c r="N4677" s="2">
        <v>742900.0</v>
      </c>
      <c r="O4677" s="4">
        <f t="shared" si="6"/>
        <v>7008.490566</v>
      </c>
      <c r="P4677" s="2">
        <v>0.0</v>
      </c>
      <c r="Q4677" s="3">
        <f t="shared" si="7"/>
        <v>0</v>
      </c>
      <c r="R4677" s="2">
        <v>55.0</v>
      </c>
      <c r="S4677" s="5">
        <f t="shared" si="8"/>
        <v>1</v>
      </c>
    </row>
    <row r="4678">
      <c r="A4678" s="2" t="s">
        <v>4680</v>
      </c>
      <c r="B4678" s="2">
        <v>6.0</v>
      </c>
      <c r="C4678" s="2">
        <v>70.0</v>
      </c>
      <c r="D4678" s="2">
        <v>20.0</v>
      </c>
      <c r="E4678" s="3">
        <f t="shared" si="1"/>
        <v>0.3125</v>
      </c>
      <c r="F4678" s="2">
        <v>8.0</v>
      </c>
      <c r="G4678" s="3">
        <f t="shared" si="2"/>
        <v>0.125</v>
      </c>
      <c r="H4678" s="2">
        <v>10.0</v>
      </c>
      <c r="I4678" s="3">
        <f t="shared" si="3"/>
        <v>0.15625</v>
      </c>
      <c r="J4678" s="2">
        <v>12.0</v>
      </c>
      <c r="K4678" s="3">
        <f t="shared" si="4"/>
        <v>0.1875</v>
      </c>
      <c r="L4678" s="2">
        <v>4.0</v>
      </c>
      <c r="M4678" s="3">
        <f t="shared" si="5"/>
        <v>0.4</v>
      </c>
      <c r="N4678" s="2">
        <v>56800.0</v>
      </c>
      <c r="O4678" s="4">
        <f t="shared" si="6"/>
        <v>5680</v>
      </c>
      <c r="P4678" s="2">
        <v>0.0</v>
      </c>
      <c r="Q4678" s="3">
        <f t="shared" si="7"/>
        <v>0</v>
      </c>
      <c r="R4678" s="2">
        <v>0.0</v>
      </c>
      <c r="S4678" s="5">
        <f t="shared" si="8"/>
        <v>0</v>
      </c>
    </row>
    <row r="4679">
      <c r="A4679" s="2" t="s">
        <v>4681</v>
      </c>
      <c r="B4679" s="2">
        <v>1064.0</v>
      </c>
      <c r="C4679" s="2">
        <v>12408.0</v>
      </c>
      <c r="D4679" s="2">
        <v>4260.0</v>
      </c>
      <c r="E4679" s="3">
        <f t="shared" si="1"/>
        <v>0.375528914</v>
      </c>
      <c r="F4679" s="2">
        <v>1418.0</v>
      </c>
      <c r="G4679" s="3">
        <f t="shared" si="2"/>
        <v>0.125</v>
      </c>
      <c r="H4679" s="2">
        <v>2472.0</v>
      </c>
      <c r="I4679" s="3">
        <f t="shared" si="3"/>
        <v>0.2179125529</v>
      </c>
      <c r="J4679" s="2">
        <v>2009.0</v>
      </c>
      <c r="K4679" s="3">
        <f t="shared" si="4"/>
        <v>0.1770980254</v>
      </c>
      <c r="L4679" s="2">
        <v>1455.0</v>
      </c>
      <c r="M4679" s="3">
        <f t="shared" si="5"/>
        <v>0.588592233</v>
      </c>
      <c r="N4679" s="2">
        <v>1.43721E7</v>
      </c>
      <c r="O4679" s="4">
        <f t="shared" si="6"/>
        <v>5813.956311</v>
      </c>
      <c r="P4679" s="2">
        <v>3.0</v>
      </c>
      <c r="Q4679" s="3">
        <f t="shared" si="7"/>
        <v>0.002819548872</v>
      </c>
      <c r="R4679" s="2">
        <v>1064.0</v>
      </c>
      <c r="S4679" s="5">
        <f t="shared" si="8"/>
        <v>1</v>
      </c>
    </row>
    <row r="4680">
      <c r="A4680" s="2" t="s">
        <v>4682</v>
      </c>
      <c r="B4680" s="2">
        <v>40.0</v>
      </c>
      <c r="C4680" s="2">
        <v>480.0</v>
      </c>
      <c r="D4680" s="2">
        <v>170.0</v>
      </c>
      <c r="E4680" s="3">
        <f t="shared" si="1"/>
        <v>0.3863636364</v>
      </c>
      <c r="F4680" s="2">
        <v>55.0</v>
      </c>
      <c r="G4680" s="3">
        <f t="shared" si="2"/>
        <v>0.125</v>
      </c>
      <c r="H4680" s="2">
        <v>83.0</v>
      </c>
      <c r="I4680" s="3">
        <f t="shared" si="3"/>
        <v>0.1886363636</v>
      </c>
      <c r="J4680" s="2">
        <v>76.0</v>
      </c>
      <c r="K4680" s="3">
        <f t="shared" si="4"/>
        <v>0.1727272727</v>
      </c>
      <c r="L4680" s="2">
        <v>51.0</v>
      </c>
      <c r="M4680" s="3">
        <f t="shared" si="5"/>
        <v>0.6144578313</v>
      </c>
      <c r="N4680" s="2">
        <v>430900.0</v>
      </c>
      <c r="O4680" s="4">
        <f t="shared" si="6"/>
        <v>5191.566265</v>
      </c>
      <c r="P4680" s="2">
        <v>1.0</v>
      </c>
      <c r="Q4680" s="3">
        <f t="shared" si="7"/>
        <v>0.025</v>
      </c>
      <c r="R4680" s="2">
        <v>40.0</v>
      </c>
      <c r="S4680" s="5">
        <f t="shared" si="8"/>
        <v>1</v>
      </c>
    </row>
    <row r="4681">
      <c r="A4681" s="2" t="s">
        <v>4683</v>
      </c>
      <c r="B4681" s="2">
        <v>50.0</v>
      </c>
      <c r="C4681" s="2">
        <v>586.0</v>
      </c>
      <c r="D4681" s="2">
        <v>206.0</v>
      </c>
      <c r="E4681" s="3">
        <f t="shared" si="1"/>
        <v>0.3843283582</v>
      </c>
      <c r="F4681" s="2">
        <v>67.0</v>
      </c>
      <c r="G4681" s="3">
        <f t="shared" si="2"/>
        <v>0.125</v>
      </c>
      <c r="H4681" s="2">
        <v>92.0</v>
      </c>
      <c r="I4681" s="3">
        <f t="shared" si="3"/>
        <v>0.171641791</v>
      </c>
      <c r="J4681" s="2">
        <v>88.0</v>
      </c>
      <c r="K4681" s="3">
        <f t="shared" si="4"/>
        <v>0.1641791045</v>
      </c>
      <c r="L4681" s="2">
        <v>58.0</v>
      </c>
      <c r="M4681" s="3">
        <f t="shared" si="5"/>
        <v>0.6304347826</v>
      </c>
      <c r="N4681" s="2">
        <v>531400.0</v>
      </c>
      <c r="O4681" s="4">
        <f t="shared" si="6"/>
        <v>5776.086957</v>
      </c>
      <c r="P4681" s="2">
        <v>0.0</v>
      </c>
      <c r="Q4681" s="3">
        <f t="shared" si="7"/>
        <v>0</v>
      </c>
      <c r="R4681" s="2">
        <v>50.0</v>
      </c>
      <c r="S4681" s="5">
        <f t="shared" si="8"/>
        <v>1</v>
      </c>
    </row>
    <row r="4682">
      <c r="A4682" s="2" t="s">
        <v>4684</v>
      </c>
      <c r="B4682" s="2">
        <v>486.0</v>
      </c>
      <c r="C4682" s="2">
        <v>5870.0</v>
      </c>
      <c r="D4682" s="2">
        <v>1918.0</v>
      </c>
      <c r="E4682" s="3">
        <f t="shared" si="1"/>
        <v>0.3562407132</v>
      </c>
      <c r="F4682" s="2">
        <v>673.0</v>
      </c>
      <c r="G4682" s="3">
        <f t="shared" si="2"/>
        <v>0.125</v>
      </c>
      <c r="H4682" s="2">
        <v>1218.0</v>
      </c>
      <c r="I4682" s="3">
        <f t="shared" si="3"/>
        <v>0.2262258544</v>
      </c>
      <c r="J4682" s="2">
        <v>849.0</v>
      </c>
      <c r="K4682" s="3">
        <f t="shared" si="4"/>
        <v>0.1576894502</v>
      </c>
      <c r="L4682" s="2">
        <v>746.0</v>
      </c>
      <c r="M4682" s="3">
        <f t="shared" si="5"/>
        <v>0.6124794745</v>
      </c>
      <c r="N4682" s="2">
        <v>6407400.0</v>
      </c>
      <c r="O4682" s="4">
        <f t="shared" si="6"/>
        <v>5260.591133</v>
      </c>
      <c r="P4682" s="2">
        <v>1.0</v>
      </c>
      <c r="Q4682" s="3">
        <f t="shared" si="7"/>
        <v>0.002057613169</v>
      </c>
      <c r="R4682" s="2">
        <v>486.0</v>
      </c>
      <c r="S4682" s="5">
        <f t="shared" si="8"/>
        <v>1</v>
      </c>
    </row>
    <row r="4683">
      <c r="A4683" s="2" t="s">
        <v>4685</v>
      </c>
      <c r="B4683" s="2">
        <v>3.0</v>
      </c>
      <c r="C4683" s="2">
        <v>35.0</v>
      </c>
      <c r="D4683" s="2">
        <v>11.0</v>
      </c>
      <c r="E4683" s="3">
        <f t="shared" si="1"/>
        <v>0.34375</v>
      </c>
      <c r="F4683" s="2">
        <v>4.0</v>
      </c>
      <c r="G4683" s="3">
        <f t="shared" si="2"/>
        <v>0.125</v>
      </c>
      <c r="H4683" s="2">
        <v>6.0</v>
      </c>
      <c r="I4683" s="3">
        <f t="shared" si="3"/>
        <v>0.1875</v>
      </c>
      <c r="J4683" s="2">
        <v>5.0</v>
      </c>
      <c r="K4683" s="3">
        <f t="shared" si="4"/>
        <v>0.15625</v>
      </c>
      <c r="L4683" s="2">
        <v>2.0</v>
      </c>
      <c r="M4683" s="3">
        <f t="shared" si="5"/>
        <v>0.3333333333</v>
      </c>
      <c r="N4683" s="2">
        <v>26600.0</v>
      </c>
      <c r="O4683" s="4">
        <f t="shared" si="6"/>
        <v>4433.333333</v>
      </c>
      <c r="P4683" s="2">
        <v>0.0</v>
      </c>
      <c r="Q4683" s="3">
        <f t="shared" si="7"/>
        <v>0</v>
      </c>
      <c r="R4683" s="2">
        <v>0.0</v>
      </c>
      <c r="S4683" s="5">
        <f t="shared" si="8"/>
        <v>0</v>
      </c>
    </row>
    <row r="4684">
      <c r="A4684" s="2" t="s">
        <v>4686</v>
      </c>
      <c r="B4684" s="2">
        <v>21.0</v>
      </c>
      <c r="C4684" s="2">
        <v>253.0</v>
      </c>
      <c r="D4684" s="2">
        <v>78.0</v>
      </c>
      <c r="E4684" s="3">
        <f t="shared" si="1"/>
        <v>0.3362068966</v>
      </c>
      <c r="F4684" s="2">
        <v>29.0</v>
      </c>
      <c r="G4684" s="3">
        <f t="shared" si="2"/>
        <v>0.125</v>
      </c>
      <c r="H4684" s="2">
        <v>54.0</v>
      </c>
      <c r="I4684" s="3">
        <f t="shared" si="3"/>
        <v>0.2327586207</v>
      </c>
      <c r="J4684" s="2">
        <v>36.0</v>
      </c>
      <c r="K4684" s="3">
        <f t="shared" si="4"/>
        <v>0.1551724138</v>
      </c>
      <c r="L4684" s="2">
        <v>33.0</v>
      </c>
      <c r="M4684" s="3">
        <f t="shared" si="5"/>
        <v>0.6111111111</v>
      </c>
      <c r="N4684" s="2">
        <v>342800.0</v>
      </c>
      <c r="O4684" s="4">
        <f t="shared" si="6"/>
        <v>6348.148148</v>
      </c>
      <c r="P4684" s="2">
        <v>0.0</v>
      </c>
      <c r="Q4684" s="3">
        <f t="shared" si="7"/>
        <v>0</v>
      </c>
      <c r="R4684" s="2">
        <v>21.0</v>
      </c>
      <c r="S4684" s="5">
        <f t="shared" si="8"/>
        <v>1</v>
      </c>
    </row>
    <row r="4685">
      <c r="A4685" s="2" t="s">
        <v>4687</v>
      </c>
      <c r="B4685" s="2">
        <v>97.0</v>
      </c>
      <c r="C4685" s="2">
        <v>1129.0</v>
      </c>
      <c r="D4685" s="2">
        <v>341.0</v>
      </c>
      <c r="E4685" s="3">
        <f t="shared" si="1"/>
        <v>0.3304263566</v>
      </c>
      <c r="F4685" s="2">
        <v>129.0</v>
      </c>
      <c r="G4685" s="3">
        <f t="shared" si="2"/>
        <v>0.125</v>
      </c>
      <c r="H4685" s="2">
        <v>200.0</v>
      </c>
      <c r="I4685" s="3">
        <f t="shared" si="3"/>
        <v>0.1937984496</v>
      </c>
      <c r="J4685" s="2">
        <v>158.0</v>
      </c>
      <c r="K4685" s="3">
        <f t="shared" si="4"/>
        <v>0.1531007752</v>
      </c>
      <c r="L4685" s="2">
        <v>127.0</v>
      </c>
      <c r="M4685" s="3">
        <f t="shared" si="5"/>
        <v>0.635</v>
      </c>
      <c r="N4685" s="2">
        <v>1264300.0</v>
      </c>
      <c r="O4685" s="4">
        <f t="shared" si="6"/>
        <v>6321.5</v>
      </c>
      <c r="P4685" s="2">
        <v>0.0</v>
      </c>
      <c r="Q4685" s="3">
        <f t="shared" si="7"/>
        <v>0</v>
      </c>
      <c r="R4685" s="2">
        <v>97.0</v>
      </c>
      <c r="S4685" s="5">
        <f t="shared" si="8"/>
        <v>1</v>
      </c>
    </row>
    <row r="4686">
      <c r="A4686" s="2" t="s">
        <v>4688</v>
      </c>
      <c r="B4686" s="2">
        <v>19.0</v>
      </c>
      <c r="C4686" s="2">
        <v>235.0</v>
      </c>
      <c r="D4686" s="2">
        <v>81.0</v>
      </c>
      <c r="E4686" s="3">
        <f t="shared" si="1"/>
        <v>0.375</v>
      </c>
      <c r="F4686" s="2">
        <v>27.0</v>
      </c>
      <c r="G4686" s="3">
        <f t="shared" si="2"/>
        <v>0.125</v>
      </c>
      <c r="H4686" s="2">
        <v>40.0</v>
      </c>
      <c r="I4686" s="3">
        <f t="shared" si="3"/>
        <v>0.1851851852</v>
      </c>
      <c r="J4686" s="2">
        <v>33.0</v>
      </c>
      <c r="K4686" s="3">
        <f t="shared" si="4"/>
        <v>0.1527777778</v>
      </c>
      <c r="L4686" s="2">
        <v>23.0</v>
      </c>
      <c r="M4686" s="3">
        <f t="shared" si="5"/>
        <v>0.575</v>
      </c>
      <c r="N4686" s="2">
        <v>207100.0</v>
      </c>
      <c r="O4686" s="4">
        <f t="shared" si="6"/>
        <v>5177.5</v>
      </c>
      <c r="P4686" s="2">
        <v>0.0</v>
      </c>
      <c r="Q4686" s="3">
        <f t="shared" si="7"/>
        <v>0</v>
      </c>
      <c r="R4686" s="2">
        <v>19.0</v>
      </c>
      <c r="S4686" s="5">
        <f t="shared" si="8"/>
        <v>1</v>
      </c>
    </row>
    <row r="4687">
      <c r="A4687" s="2" t="s">
        <v>4689</v>
      </c>
      <c r="B4687" s="2">
        <v>174.0</v>
      </c>
      <c r="C4687" s="2">
        <v>2054.0</v>
      </c>
      <c r="D4687" s="2">
        <v>801.0</v>
      </c>
      <c r="E4687" s="3">
        <f t="shared" si="1"/>
        <v>0.4260638298</v>
      </c>
      <c r="F4687" s="2">
        <v>235.0</v>
      </c>
      <c r="G4687" s="3">
        <f t="shared" si="2"/>
        <v>0.125</v>
      </c>
      <c r="H4687" s="2">
        <v>397.0</v>
      </c>
      <c r="I4687" s="3">
        <f t="shared" si="3"/>
        <v>0.2111702128</v>
      </c>
      <c r="J4687" s="2">
        <v>284.0</v>
      </c>
      <c r="K4687" s="3">
        <f t="shared" si="4"/>
        <v>0.1510638298</v>
      </c>
      <c r="L4687" s="2">
        <v>247.0</v>
      </c>
      <c r="M4687" s="3">
        <f t="shared" si="5"/>
        <v>0.6221662469</v>
      </c>
      <c r="N4687" s="2">
        <v>2188900.0</v>
      </c>
      <c r="O4687" s="4">
        <f t="shared" si="6"/>
        <v>5513.602015</v>
      </c>
      <c r="P4687" s="2">
        <v>2.0</v>
      </c>
      <c r="Q4687" s="3">
        <f t="shared" si="7"/>
        <v>0.01149425287</v>
      </c>
      <c r="R4687" s="2">
        <v>174.0</v>
      </c>
      <c r="S4687" s="5">
        <f t="shared" si="8"/>
        <v>1</v>
      </c>
    </row>
    <row r="4688">
      <c r="A4688" s="2" t="s">
        <v>4690</v>
      </c>
      <c r="B4688" s="2">
        <v>69.0</v>
      </c>
      <c r="C4688" s="2">
        <v>789.0</v>
      </c>
      <c r="D4688" s="2">
        <v>253.0</v>
      </c>
      <c r="E4688" s="3">
        <f t="shared" si="1"/>
        <v>0.3513888889</v>
      </c>
      <c r="F4688" s="2">
        <v>90.0</v>
      </c>
      <c r="G4688" s="3">
        <f t="shared" si="2"/>
        <v>0.125</v>
      </c>
      <c r="H4688" s="2">
        <v>142.0</v>
      </c>
      <c r="I4688" s="3">
        <f t="shared" si="3"/>
        <v>0.1972222222</v>
      </c>
      <c r="J4688" s="2">
        <v>105.0</v>
      </c>
      <c r="K4688" s="3">
        <f t="shared" si="4"/>
        <v>0.1458333333</v>
      </c>
      <c r="L4688" s="2">
        <v>89.0</v>
      </c>
      <c r="M4688" s="3">
        <f t="shared" si="5"/>
        <v>0.6267605634</v>
      </c>
      <c r="N4688" s="2">
        <v>860400.0</v>
      </c>
      <c r="O4688" s="4">
        <f t="shared" si="6"/>
        <v>6059.15493</v>
      </c>
      <c r="P4688" s="2">
        <v>0.0</v>
      </c>
      <c r="Q4688" s="3">
        <f t="shared" si="7"/>
        <v>0</v>
      </c>
      <c r="R4688" s="2">
        <v>69.0</v>
      </c>
      <c r="S4688" s="5">
        <f t="shared" si="8"/>
        <v>1</v>
      </c>
    </row>
    <row r="4689">
      <c r="A4689" s="2" t="s">
        <v>4691</v>
      </c>
      <c r="B4689" s="2">
        <v>1212.0</v>
      </c>
      <c r="C4689" s="2">
        <v>14452.0</v>
      </c>
      <c r="D4689" s="2">
        <v>4884.0</v>
      </c>
      <c r="E4689" s="3">
        <f t="shared" si="1"/>
        <v>0.3688821752</v>
      </c>
      <c r="F4689" s="2">
        <v>1655.0</v>
      </c>
      <c r="G4689" s="3">
        <f t="shared" si="2"/>
        <v>0.125</v>
      </c>
      <c r="H4689" s="2">
        <v>2676.0</v>
      </c>
      <c r="I4689" s="3">
        <f t="shared" si="3"/>
        <v>0.2021148036</v>
      </c>
      <c r="J4689" s="2">
        <v>1921.0</v>
      </c>
      <c r="K4689" s="3">
        <f t="shared" si="4"/>
        <v>0.1450906344</v>
      </c>
      <c r="L4689" s="2">
        <v>1570.0</v>
      </c>
      <c r="M4689" s="3">
        <f t="shared" si="5"/>
        <v>0.586696562</v>
      </c>
      <c r="N4689" s="2">
        <v>1.49888E7</v>
      </c>
      <c r="O4689" s="4">
        <f t="shared" si="6"/>
        <v>5601.195815</v>
      </c>
      <c r="P4689" s="2">
        <v>2.0</v>
      </c>
      <c r="Q4689" s="3">
        <f t="shared" si="7"/>
        <v>0.001650165017</v>
      </c>
      <c r="R4689" s="2">
        <v>1212.0</v>
      </c>
      <c r="S4689" s="5">
        <f t="shared" si="8"/>
        <v>1</v>
      </c>
    </row>
    <row r="4690">
      <c r="A4690" s="2" t="s">
        <v>4692</v>
      </c>
      <c r="B4690" s="2">
        <v>31.0</v>
      </c>
      <c r="C4690" s="2">
        <v>383.0</v>
      </c>
      <c r="D4690" s="2">
        <v>102.0</v>
      </c>
      <c r="E4690" s="3">
        <f t="shared" si="1"/>
        <v>0.2897727273</v>
      </c>
      <c r="F4690" s="2">
        <v>44.0</v>
      </c>
      <c r="G4690" s="3">
        <f t="shared" si="2"/>
        <v>0.125</v>
      </c>
      <c r="H4690" s="2">
        <v>75.0</v>
      </c>
      <c r="I4690" s="3">
        <f t="shared" si="3"/>
        <v>0.2130681818</v>
      </c>
      <c r="J4690" s="2">
        <v>48.0</v>
      </c>
      <c r="K4690" s="3">
        <f t="shared" si="4"/>
        <v>0.1363636364</v>
      </c>
      <c r="L4690" s="2">
        <v>52.0</v>
      </c>
      <c r="M4690" s="3">
        <f t="shared" si="5"/>
        <v>0.6933333333</v>
      </c>
      <c r="N4690" s="2">
        <v>386000.0</v>
      </c>
      <c r="O4690" s="4">
        <f t="shared" si="6"/>
        <v>5146.666667</v>
      </c>
      <c r="P4690" s="2">
        <v>0.0</v>
      </c>
      <c r="Q4690" s="3">
        <f t="shared" si="7"/>
        <v>0</v>
      </c>
      <c r="R4690" s="2">
        <v>31.0</v>
      </c>
      <c r="S4690" s="5">
        <f t="shared" si="8"/>
        <v>1</v>
      </c>
    </row>
    <row r="4691">
      <c r="A4691" s="2" t="s">
        <v>4693</v>
      </c>
      <c r="B4691" s="2">
        <v>75.0</v>
      </c>
      <c r="C4691" s="2">
        <v>859.0</v>
      </c>
      <c r="D4691" s="2">
        <v>275.0</v>
      </c>
      <c r="E4691" s="3">
        <f t="shared" si="1"/>
        <v>0.3507653061</v>
      </c>
      <c r="F4691" s="2">
        <v>98.0</v>
      </c>
      <c r="G4691" s="3">
        <f t="shared" si="2"/>
        <v>0.125</v>
      </c>
      <c r="H4691" s="2">
        <v>130.0</v>
      </c>
      <c r="I4691" s="3">
        <f t="shared" si="3"/>
        <v>0.1658163265</v>
      </c>
      <c r="J4691" s="2">
        <v>99.0</v>
      </c>
      <c r="K4691" s="3">
        <f t="shared" si="4"/>
        <v>0.1262755102</v>
      </c>
      <c r="L4691" s="2">
        <v>75.0</v>
      </c>
      <c r="M4691" s="3">
        <f t="shared" si="5"/>
        <v>0.5769230769</v>
      </c>
      <c r="N4691" s="2">
        <v>663600.0</v>
      </c>
      <c r="O4691" s="4">
        <f t="shared" si="6"/>
        <v>5104.615385</v>
      </c>
      <c r="P4691" s="2">
        <v>0.0</v>
      </c>
      <c r="Q4691" s="3">
        <f t="shared" si="7"/>
        <v>0</v>
      </c>
      <c r="R4691" s="2">
        <v>0.0</v>
      </c>
      <c r="S4691" s="5">
        <f t="shared" si="8"/>
        <v>0</v>
      </c>
    </row>
    <row r="4692">
      <c r="A4692" s="2" t="s">
        <v>4694</v>
      </c>
      <c r="B4692" s="2">
        <v>7.0</v>
      </c>
      <c r="C4692" s="2">
        <v>87.0</v>
      </c>
      <c r="D4692" s="2">
        <v>26.0</v>
      </c>
      <c r="E4692" s="3">
        <f t="shared" si="1"/>
        <v>0.325</v>
      </c>
      <c r="F4692" s="2">
        <v>10.0</v>
      </c>
      <c r="G4692" s="3">
        <f t="shared" si="2"/>
        <v>0.125</v>
      </c>
      <c r="H4692" s="2">
        <v>22.0</v>
      </c>
      <c r="I4692" s="3">
        <f t="shared" si="3"/>
        <v>0.275</v>
      </c>
      <c r="J4692" s="2">
        <v>10.0</v>
      </c>
      <c r="K4692" s="3">
        <f t="shared" si="4"/>
        <v>0.125</v>
      </c>
      <c r="L4692" s="2">
        <v>14.0</v>
      </c>
      <c r="M4692" s="3">
        <f t="shared" si="5"/>
        <v>0.6363636364</v>
      </c>
      <c r="N4692" s="2">
        <v>122200.0</v>
      </c>
      <c r="O4692" s="4">
        <f t="shared" si="6"/>
        <v>5554.545455</v>
      </c>
      <c r="P4692" s="2">
        <v>0.0</v>
      </c>
      <c r="Q4692" s="3">
        <f t="shared" si="7"/>
        <v>0</v>
      </c>
      <c r="R4692" s="2">
        <v>7.0</v>
      </c>
      <c r="S4692" s="5">
        <f t="shared" si="8"/>
        <v>1</v>
      </c>
    </row>
    <row r="4693">
      <c r="A4693" s="2" t="s">
        <v>4695</v>
      </c>
      <c r="B4693" s="2">
        <v>1.0</v>
      </c>
      <c r="C4693" s="2">
        <v>17.0</v>
      </c>
      <c r="D4693" s="2">
        <v>4.0</v>
      </c>
      <c r="E4693" s="3">
        <f t="shared" si="1"/>
        <v>0.25</v>
      </c>
      <c r="F4693" s="2">
        <v>2.0</v>
      </c>
      <c r="G4693" s="3">
        <f t="shared" si="2"/>
        <v>0.125</v>
      </c>
      <c r="H4693" s="2">
        <v>4.0</v>
      </c>
      <c r="I4693" s="3">
        <f t="shared" si="3"/>
        <v>0.25</v>
      </c>
      <c r="J4693" s="2">
        <v>2.0</v>
      </c>
      <c r="K4693" s="3">
        <f t="shared" si="4"/>
        <v>0.125</v>
      </c>
      <c r="L4693" s="2">
        <v>3.0</v>
      </c>
      <c r="M4693" s="3">
        <f t="shared" si="5"/>
        <v>0.75</v>
      </c>
      <c r="N4693" s="2">
        <v>25300.0</v>
      </c>
      <c r="O4693" s="4">
        <f t="shared" si="6"/>
        <v>6325</v>
      </c>
      <c r="P4693" s="2">
        <v>0.0</v>
      </c>
      <c r="Q4693" s="3">
        <f t="shared" si="7"/>
        <v>0</v>
      </c>
      <c r="R4693" s="2">
        <v>0.0</v>
      </c>
      <c r="S4693" s="5">
        <f t="shared" si="8"/>
        <v>0</v>
      </c>
    </row>
    <row r="4694">
      <c r="A4694" s="2" t="s">
        <v>4696</v>
      </c>
      <c r="B4694" s="2">
        <v>2064.0</v>
      </c>
      <c r="C4694" s="2">
        <v>24249.0</v>
      </c>
      <c r="D4694" s="2">
        <v>8344.0</v>
      </c>
      <c r="E4694" s="3">
        <f t="shared" si="1"/>
        <v>0.3761099842</v>
      </c>
      <c r="F4694" s="2">
        <v>2773.0</v>
      </c>
      <c r="G4694" s="3">
        <f t="shared" si="2"/>
        <v>0.1249943656</v>
      </c>
      <c r="H4694" s="2">
        <v>4750.0</v>
      </c>
      <c r="I4694" s="3">
        <f t="shared" si="3"/>
        <v>0.214108632</v>
      </c>
      <c r="J4694" s="2">
        <v>3479.0</v>
      </c>
      <c r="K4694" s="3">
        <f t="shared" si="4"/>
        <v>0.1568176696</v>
      </c>
      <c r="L4694" s="2">
        <v>2745.0</v>
      </c>
      <c r="M4694" s="3">
        <f t="shared" si="5"/>
        <v>0.5778947368</v>
      </c>
      <c r="N4694" s="2">
        <v>2.7057E7</v>
      </c>
      <c r="O4694" s="4">
        <f t="shared" si="6"/>
        <v>5696.210526</v>
      </c>
      <c r="P4694" s="2">
        <v>3.0</v>
      </c>
      <c r="Q4694" s="3">
        <f t="shared" si="7"/>
        <v>0.001453488372</v>
      </c>
      <c r="R4694" s="2">
        <v>2064.0</v>
      </c>
      <c r="S4694" s="5">
        <f t="shared" si="8"/>
        <v>1</v>
      </c>
    </row>
    <row r="4695">
      <c r="A4695" s="2" t="s">
        <v>4697</v>
      </c>
      <c r="B4695" s="2">
        <v>748.0</v>
      </c>
      <c r="C4695" s="2">
        <v>8726.0</v>
      </c>
      <c r="D4695" s="2">
        <v>3185.0</v>
      </c>
      <c r="E4695" s="3">
        <f t="shared" si="1"/>
        <v>0.3992228629</v>
      </c>
      <c r="F4695" s="2">
        <v>997.0</v>
      </c>
      <c r="G4695" s="3">
        <f t="shared" si="2"/>
        <v>0.1249686638</v>
      </c>
      <c r="H4695" s="2">
        <v>1701.0</v>
      </c>
      <c r="I4695" s="3">
        <f t="shared" si="3"/>
        <v>0.2132113312</v>
      </c>
      <c r="J4695" s="2">
        <v>1408.0</v>
      </c>
      <c r="K4695" s="3">
        <f t="shared" si="4"/>
        <v>0.1764853347</v>
      </c>
      <c r="L4695" s="2">
        <v>1025.0</v>
      </c>
      <c r="M4695" s="3">
        <f t="shared" si="5"/>
        <v>0.6025867137</v>
      </c>
      <c r="N4695" s="2">
        <v>9432900.0</v>
      </c>
      <c r="O4695" s="4">
        <f t="shared" si="6"/>
        <v>5545.502646</v>
      </c>
      <c r="P4695" s="2">
        <v>1.0</v>
      </c>
      <c r="Q4695" s="3">
        <f t="shared" si="7"/>
        <v>0.001336898396</v>
      </c>
      <c r="R4695" s="2">
        <v>445.0</v>
      </c>
      <c r="S4695" s="5">
        <f t="shared" si="8"/>
        <v>0.5949197861</v>
      </c>
    </row>
    <row r="4696">
      <c r="A4696" s="2" t="s">
        <v>4698</v>
      </c>
      <c r="B4696" s="2">
        <v>2872.0</v>
      </c>
      <c r="C4696" s="2">
        <v>33777.0</v>
      </c>
      <c r="D4696" s="2">
        <v>11058.0</v>
      </c>
      <c r="E4696" s="3">
        <f t="shared" si="1"/>
        <v>0.3578061802</v>
      </c>
      <c r="F4696" s="2">
        <v>3862.0</v>
      </c>
      <c r="G4696" s="3">
        <f t="shared" si="2"/>
        <v>0.1249635981</v>
      </c>
      <c r="H4696" s="2">
        <v>6743.0</v>
      </c>
      <c r="I4696" s="3">
        <f t="shared" si="3"/>
        <v>0.2181847597</v>
      </c>
      <c r="J4696" s="2">
        <v>4371.0</v>
      </c>
      <c r="K4696" s="3">
        <f t="shared" si="4"/>
        <v>0.141433425</v>
      </c>
      <c r="L4696" s="2">
        <v>4161.0</v>
      </c>
      <c r="M4696" s="3">
        <f t="shared" si="5"/>
        <v>0.6170843838</v>
      </c>
      <c r="N4696" s="2">
        <v>3.69259E7</v>
      </c>
      <c r="O4696" s="4">
        <f t="shared" si="6"/>
        <v>5476.182708</v>
      </c>
      <c r="P4696" s="2">
        <v>5.0</v>
      </c>
      <c r="Q4696" s="3">
        <f t="shared" si="7"/>
        <v>0.001740947075</v>
      </c>
      <c r="R4696" s="2">
        <v>2872.0</v>
      </c>
      <c r="S4696" s="5">
        <f t="shared" si="8"/>
        <v>1</v>
      </c>
    </row>
    <row r="4697">
      <c r="A4697" s="2" t="s">
        <v>4699</v>
      </c>
      <c r="B4697" s="2">
        <v>4431.0</v>
      </c>
      <c r="C4697" s="2">
        <v>51392.0</v>
      </c>
      <c r="D4697" s="2">
        <v>14470.0</v>
      </c>
      <c r="E4697" s="3">
        <f t="shared" si="1"/>
        <v>0.3081280211</v>
      </c>
      <c r="F4697" s="2">
        <v>5868.0</v>
      </c>
      <c r="G4697" s="3">
        <f t="shared" si="2"/>
        <v>0.1249547497</v>
      </c>
      <c r="H4697" s="2">
        <v>9739.0</v>
      </c>
      <c r="I4697" s="3">
        <f t="shared" si="3"/>
        <v>0.2073848513</v>
      </c>
      <c r="J4697" s="2">
        <v>6902.0</v>
      </c>
      <c r="K4697" s="3">
        <f t="shared" si="4"/>
        <v>0.1469730202</v>
      </c>
      <c r="L4697" s="2">
        <v>5900.0</v>
      </c>
      <c r="M4697" s="3">
        <f t="shared" si="5"/>
        <v>0.605811685</v>
      </c>
      <c r="N4697" s="2">
        <v>5.56342E7</v>
      </c>
      <c r="O4697" s="4">
        <f t="shared" si="6"/>
        <v>5712.516685</v>
      </c>
      <c r="P4697" s="2">
        <v>5.0</v>
      </c>
      <c r="Q4697" s="3">
        <f t="shared" si="7"/>
        <v>0.001128413451</v>
      </c>
      <c r="R4697" s="2">
        <v>4431.0</v>
      </c>
      <c r="S4697" s="5">
        <f t="shared" si="8"/>
        <v>1</v>
      </c>
    </row>
    <row r="4698">
      <c r="A4698" s="2" t="s">
        <v>4700</v>
      </c>
      <c r="B4698" s="2">
        <v>245.0</v>
      </c>
      <c r="C4698" s="2">
        <v>2862.0</v>
      </c>
      <c r="D4698" s="2">
        <v>992.0</v>
      </c>
      <c r="E4698" s="3">
        <f t="shared" si="1"/>
        <v>0.3790599924</v>
      </c>
      <c r="F4698" s="2">
        <v>327.0</v>
      </c>
      <c r="G4698" s="3">
        <f t="shared" si="2"/>
        <v>0.1249522354</v>
      </c>
      <c r="H4698" s="2">
        <v>559.0</v>
      </c>
      <c r="I4698" s="3">
        <f t="shared" si="3"/>
        <v>0.2136033626</v>
      </c>
      <c r="J4698" s="2">
        <v>412.0</v>
      </c>
      <c r="K4698" s="3">
        <f t="shared" si="4"/>
        <v>0.1574321742</v>
      </c>
      <c r="L4698" s="2">
        <v>338.0</v>
      </c>
      <c r="M4698" s="3">
        <f t="shared" si="5"/>
        <v>0.6046511628</v>
      </c>
      <c r="N4698" s="2">
        <v>2756000.0</v>
      </c>
      <c r="O4698" s="4">
        <f t="shared" si="6"/>
        <v>4930.232558</v>
      </c>
      <c r="P4698" s="2">
        <v>1.0</v>
      </c>
      <c r="Q4698" s="3">
        <f t="shared" si="7"/>
        <v>0.004081632653</v>
      </c>
      <c r="R4698" s="2">
        <v>245.0</v>
      </c>
      <c r="S4698" s="5">
        <f t="shared" si="8"/>
        <v>1</v>
      </c>
    </row>
    <row r="4699">
      <c r="A4699" s="2" t="s">
        <v>4701</v>
      </c>
      <c r="B4699" s="2">
        <v>422.0</v>
      </c>
      <c r="C4699" s="2">
        <v>4944.0</v>
      </c>
      <c r="D4699" s="2">
        <v>1828.0</v>
      </c>
      <c r="E4699" s="3">
        <f t="shared" si="1"/>
        <v>0.4042459089</v>
      </c>
      <c r="F4699" s="2">
        <v>565.0</v>
      </c>
      <c r="G4699" s="3">
        <f t="shared" si="2"/>
        <v>0.1249447147</v>
      </c>
      <c r="H4699" s="2">
        <v>967.0</v>
      </c>
      <c r="I4699" s="3">
        <f t="shared" si="3"/>
        <v>0.2138434321</v>
      </c>
      <c r="J4699" s="2">
        <v>799.0</v>
      </c>
      <c r="K4699" s="3">
        <f t="shared" si="4"/>
        <v>0.1766917293</v>
      </c>
      <c r="L4699" s="2">
        <v>593.0</v>
      </c>
      <c r="M4699" s="3">
        <f t="shared" si="5"/>
        <v>0.6132368149</v>
      </c>
      <c r="N4699" s="2">
        <v>5221700.0</v>
      </c>
      <c r="O4699" s="4">
        <f t="shared" si="6"/>
        <v>5399.896587</v>
      </c>
      <c r="P4699" s="2">
        <v>1.0</v>
      </c>
      <c r="Q4699" s="3">
        <f t="shared" si="7"/>
        <v>0.002369668246</v>
      </c>
      <c r="R4699" s="2">
        <v>422.0</v>
      </c>
      <c r="S4699" s="5">
        <f t="shared" si="8"/>
        <v>1</v>
      </c>
    </row>
    <row r="4700">
      <c r="A4700" s="2" t="s">
        <v>4702</v>
      </c>
      <c r="B4700" s="2">
        <v>204.0</v>
      </c>
      <c r="C4700" s="2">
        <v>2397.0</v>
      </c>
      <c r="D4700" s="2">
        <v>760.0</v>
      </c>
      <c r="E4700" s="3">
        <f t="shared" si="1"/>
        <v>0.3465572275</v>
      </c>
      <c r="F4700" s="2">
        <v>274.0</v>
      </c>
      <c r="G4700" s="3">
        <f t="shared" si="2"/>
        <v>0.1249430005</v>
      </c>
      <c r="H4700" s="2">
        <v>441.0</v>
      </c>
      <c r="I4700" s="3">
        <f t="shared" si="3"/>
        <v>0.2010943912</v>
      </c>
      <c r="J4700" s="2">
        <v>400.0</v>
      </c>
      <c r="K4700" s="3">
        <f t="shared" si="4"/>
        <v>0.1823985408</v>
      </c>
      <c r="L4700" s="2">
        <v>263.0</v>
      </c>
      <c r="M4700" s="3">
        <f t="shared" si="5"/>
        <v>0.5963718821</v>
      </c>
      <c r="N4700" s="2">
        <v>2258700.0</v>
      </c>
      <c r="O4700" s="4">
        <f t="shared" si="6"/>
        <v>5121.768707</v>
      </c>
      <c r="P4700" s="2">
        <v>0.0</v>
      </c>
      <c r="Q4700" s="3">
        <f t="shared" si="7"/>
        <v>0</v>
      </c>
      <c r="R4700" s="2">
        <v>19.0</v>
      </c>
      <c r="S4700" s="5">
        <f t="shared" si="8"/>
        <v>0.0931372549</v>
      </c>
    </row>
    <row r="4701">
      <c r="A4701" s="2" t="s">
        <v>4703</v>
      </c>
      <c r="B4701" s="2">
        <v>600.0</v>
      </c>
      <c r="C4701" s="2">
        <v>6979.0</v>
      </c>
      <c r="D4701" s="2">
        <v>2377.0</v>
      </c>
      <c r="E4701" s="3">
        <f t="shared" si="1"/>
        <v>0.3726289387</v>
      </c>
      <c r="F4701" s="2">
        <v>797.0</v>
      </c>
      <c r="G4701" s="3">
        <f t="shared" si="2"/>
        <v>0.1249412134</v>
      </c>
      <c r="H4701" s="2">
        <v>1330.0</v>
      </c>
      <c r="I4701" s="3">
        <f t="shared" si="3"/>
        <v>0.2084966296</v>
      </c>
      <c r="J4701" s="2">
        <v>1040.0</v>
      </c>
      <c r="K4701" s="3">
        <f t="shared" si="4"/>
        <v>0.1630349585</v>
      </c>
      <c r="L4701" s="2">
        <v>811.0</v>
      </c>
      <c r="M4701" s="3">
        <f t="shared" si="5"/>
        <v>0.6097744361</v>
      </c>
      <c r="N4701" s="2">
        <v>7360200.0</v>
      </c>
      <c r="O4701" s="4">
        <f t="shared" si="6"/>
        <v>5533.984962</v>
      </c>
      <c r="P4701" s="2">
        <v>0.0</v>
      </c>
      <c r="Q4701" s="3">
        <f t="shared" si="7"/>
        <v>0</v>
      </c>
      <c r="R4701" s="2">
        <v>21.0</v>
      </c>
      <c r="S4701" s="5">
        <f t="shared" si="8"/>
        <v>0.035</v>
      </c>
    </row>
    <row r="4702">
      <c r="A4702" s="2" t="s">
        <v>4704</v>
      </c>
      <c r="B4702" s="2">
        <v>342.0</v>
      </c>
      <c r="C4702" s="2">
        <v>4040.0</v>
      </c>
      <c r="D4702" s="2">
        <v>1134.0</v>
      </c>
      <c r="E4702" s="3">
        <f t="shared" si="1"/>
        <v>0.3066522445</v>
      </c>
      <c r="F4702" s="2">
        <v>462.0</v>
      </c>
      <c r="G4702" s="3">
        <f t="shared" si="2"/>
        <v>0.1249323959</v>
      </c>
      <c r="H4702" s="2">
        <v>745.0</v>
      </c>
      <c r="I4702" s="3">
        <f t="shared" si="3"/>
        <v>0.2014602488</v>
      </c>
      <c r="J4702" s="2">
        <v>657.0</v>
      </c>
      <c r="K4702" s="3">
        <f t="shared" si="4"/>
        <v>0.1776636019</v>
      </c>
      <c r="L4702" s="2">
        <v>424.0</v>
      </c>
      <c r="M4702" s="3">
        <f t="shared" si="5"/>
        <v>0.5691275168</v>
      </c>
      <c r="N4702" s="2">
        <v>3950600.0</v>
      </c>
      <c r="O4702" s="4">
        <f t="shared" si="6"/>
        <v>5302.818792</v>
      </c>
      <c r="P4702" s="2">
        <v>0.0</v>
      </c>
      <c r="Q4702" s="3">
        <f t="shared" si="7"/>
        <v>0</v>
      </c>
      <c r="R4702" s="2">
        <v>0.0</v>
      </c>
      <c r="S4702" s="5">
        <f t="shared" si="8"/>
        <v>0</v>
      </c>
    </row>
    <row r="4703">
      <c r="A4703" s="2" t="s">
        <v>4705</v>
      </c>
      <c r="B4703" s="2">
        <v>2173.0</v>
      </c>
      <c r="C4703" s="2">
        <v>25516.0</v>
      </c>
      <c r="D4703" s="2">
        <v>8778.0</v>
      </c>
      <c r="E4703" s="3">
        <f t="shared" si="1"/>
        <v>0.3760442103</v>
      </c>
      <c r="F4703" s="2">
        <v>2916.0</v>
      </c>
      <c r="G4703" s="3">
        <f t="shared" si="2"/>
        <v>0.1249196761</v>
      </c>
      <c r="H4703" s="2">
        <v>5183.0</v>
      </c>
      <c r="I4703" s="3">
        <f t="shared" si="3"/>
        <v>0.2220365848</v>
      </c>
      <c r="J4703" s="2">
        <v>4353.0</v>
      </c>
      <c r="K4703" s="3">
        <f t="shared" si="4"/>
        <v>0.1864798869</v>
      </c>
      <c r="L4703" s="2">
        <v>3045.0</v>
      </c>
      <c r="M4703" s="3">
        <f t="shared" si="5"/>
        <v>0.5874975883</v>
      </c>
      <c r="N4703" s="2">
        <v>2.79768E7</v>
      </c>
      <c r="O4703" s="4">
        <f t="shared" si="6"/>
        <v>5397.800502</v>
      </c>
      <c r="P4703" s="2">
        <v>2.0</v>
      </c>
      <c r="Q4703" s="3">
        <f t="shared" si="7"/>
        <v>0.0009203865624</v>
      </c>
      <c r="R4703" s="2">
        <v>2173.0</v>
      </c>
      <c r="S4703" s="5">
        <f t="shared" si="8"/>
        <v>1</v>
      </c>
    </row>
    <row r="4704">
      <c r="A4704" s="2" t="s">
        <v>4706</v>
      </c>
      <c r="B4704" s="2">
        <v>2847.0</v>
      </c>
      <c r="C4704" s="2">
        <v>33135.0</v>
      </c>
      <c r="D4704" s="2">
        <v>13649.0</v>
      </c>
      <c r="E4704" s="3">
        <f t="shared" si="1"/>
        <v>0.4506405177</v>
      </c>
      <c r="F4704" s="2">
        <v>3783.0</v>
      </c>
      <c r="G4704" s="3">
        <f t="shared" si="2"/>
        <v>0.1249009509</v>
      </c>
      <c r="H4704" s="2">
        <v>6523.0</v>
      </c>
      <c r="I4704" s="3">
        <f t="shared" si="3"/>
        <v>0.2153658214</v>
      </c>
      <c r="J4704" s="2">
        <v>4697.0</v>
      </c>
      <c r="K4704" s="3">
        <f t="shared" si="4"/>
        <v>0.1550779186</v>
      </c>
      <c r="L4704" s="2">
        <v>3937.0</v>
      </c>
      <c r="M4704" s="3">
        <f t="shared" si="5"/>
        <v>0.6035566457</v>
      </c>
      <c r="N4704" s="2">
        <v>3.59037E7</v>
      </c>
      <c r="O4704" s="4">
        <f t="shared" si="6"/>
        <v>5504.16986</v>
      </c>
      <c r="P4704" s="2">
        <v>11.0</v>
      </c>
      <c r="Q4704" s="3">
        <f t="shared" si="7"/>
        <v>0.003863716192</v>
      </c>
      <c r="R4704" s="2">
        <v>2847.0</v>
      </c>
      <c r="S4704" s="5">
        <f t="shared" si="8"/>
        <v>1</v>
      </c>
    </row>
    <row r="4705">
      <c r="A4705" s="2" t="s">
        <v>4707</v>
      </c>
      <c r="B4705" s="2">
        <v>118.0</v>
      </c>
      <c r="C4705" s="2">
        <v>1375.0</v>
      </c>
      <c r="D4705" s="2">
        <v>390.0</v>
      </c>
      <c r="E4705" s="3">
        <f t="shared" si="1"/>
        <v>0.3102625298</v>
      </c>
      <c r="F4705" s="2">
        <v>157.0</v>
      </c>
      <c r="G4705" s="3">
        <f t="shared" si="2"/>
        <v>0.1249005569</v>
      </c>
      <c r="H4705" s="2">
        <v>239.0</v>
      </c>
      <c r="I4705" s="3">
        <f t="shared" si="3"/>
        <v>0.1901352426</v>
      </c>
      <c r="J4705" s="2">
        <v>228.0</v>
      </c>
      <c r="K4705" s="3">
        <f t="shared" si="4"/>
        <v>0.1813842482</v>
      </c>
      <c r="L4705" s="2">
        <v>154.0</v>
      </c>
      <c r="M4705" s="3">
        <f t="shared" si="5"/>
        <v>0.6443514644</v>
      </c>
      <c r="N4705" s="2">
        <v>1419600.0</v>
      </c>
      <c r="O4705" s="4">
        <f t="shared" si="6"/>
        <v>5939.748954</v>
      </c>
      <c r="P4705" s="2">
        <v>0.0</v>
      </c>
      <c r="Q4705" s="3">
        <f t="shared" si="7"/>
        <v>0</v>
      </c>
      <c r="R4705" s="2">
        <v>12.0</v>
      </c>
      <c r="S4705" s="5">
        <f t="shared" si="8"/>
        <v>0.1016949153</v>
      </c>
    </row>
    <row r="4706">
      <c r="A4706" s="2" t="s">
        <v>4708</v>
      </c>
      <c r="B4706" s="2">
        <v>1285.0</v>
      </c>
      <c r="C4706" s="2">
        <v>15104.0</v>
      </c>
      <c r="D4706" s="2">
        <v>4961.0</v>
      </c>
      <c r="E4706" s="3">
        <f t="shared" si="1"/>
        <v>0.3589984804</v>
      </c>
      <c r="F4706" s="2">
        <v>1726.0</v>
      </c>
      <c r="G4706" s="3">
        <f t="shared" si="2"/>
        <v>0.1249004993</v>
      </c>
      <c r="H4706" s="2">
        <v>2910.0</v>
      </c>
      <c r="I4706" s="3">
        <f t="shared" si="3"/>
        <v>0.2105796367</v>
      </c>
      <c r="J4706" s="2">
        <v>2347.0</v>
      </c>
      <c r="K4706" s="3">
        <f t="shared" si="4"/>
        <v>0.169838628</v>
      </c>
      <c r="L4706" s="2">
        <v>1790.0</v>
      </c>
      <c r="M4706" s="3">
        <f t="shared" si="5"/>
        <v>0.6151202749</v>
      </c>
      <c r="N4706" s="2">
        <v>1.58451E7</v>
      </c>
      <c r="O4706" s="4">
        <f t="shared" si="6"/>
        <v>5445.051546</v>
      </c>
      <c r="P4706" s="2">
        <v>2.0</v>
      </c>
      <c r="Q4706" s="3">
        <f t="shared" si="7"/>
        <v>0.001556420233</v>
      </c>
      <c r="R4706" s="2">
        <v>1285.0</v>
      </c>
      <c r="S4706" s="5">
        <f t="shared" si="8"/>
        <v>1</v>
      </c>
    </row>
    <row r="4707">
      <c r="A4707" s="2" t="s">
        <v>4709</v>
      </c>
      <c r="B4707" s="2">
        <v>113.0</v>
      </c>
      <c r="C4707" s="2">
        <v>1298.0</v>
      </c>
      <c r="D4707" s="2">
        <v>389.0</v>
      </c>
      <c r="E4707" s="3">
        <f t="shared" si="1"/>
        <v>0.3282700422</v>
      </c>
      <c r="F4707" s="2">
        <v>148.0</v>
      </c>
      <c r="G4707" s="3">
        <f t="shared" si="2"/>
        <v>0.1248945148</v>
      </c>
      <c r="H4707" s="2">
        <v>239.0</v>
      </c>
      <c r="I4707" s="3">
        <f t="shared" si="3"/>
        <v>0.2016877637</v>
      </c>
      <c r="J4707" s="2">
        <v>229.0</v>
      </c>
      <c r="K4707" s="3">
        <f t="shared" si="4"/>
        <v>0.1932489451</v>
      </c>
      <c r="L4707" s="2">
        <v>137.0</v>
      </c>
      <c r="M4707" s="3">
        <f t="shared" si="5"/>
        <v>0.5732217573</v>
      </c>
      <c r="N4707" s="2">
        <v>1385800.0</v>
      </c>
      <c r="O4707" s="4">
        <f t="shared" si="6"/>
        <v>5798.32636</v>
      </c>
      <c r="P4707" s="2">
        <v>0.0</v>
      </c>
      <c r="Q4707" s="3">
        <f t="shared" si="7"/>
        <v>0</v>
      </c>
      <c r="R4707" s="2">
        <v>113.0</v>
      </c>
      <c r="S4707" s="5">
        <f t="shared" si="8"/>
        <v>1</v>
      </c>
    </row>
    <row r="4708">
      <c r="A4708" s="2" t="s">
        <v>4710</v>
      </c>
      <c r="B4708" s="2">
        <v>473.0</v>
      </c>
      <c r="C4708" s="2">
        <v>5638.0</v>
      </c>
      <c r="D4708" s="2">
        <v>2022.0</v>
      </c>
      <c r="E4708" s="3">
        <f t="shared" si="1"/>
        <v>0.3914811229</v>
      </c>
      <c r="F4708" s="2">
        <v>645.0</v>
      </c>
      <c r="G4708" s="3">
        <f t="shared" si="2"/>
        <v>0.1248789932</v>
      </c>
      <c r="H4708" s="2">
        <v>1129.0</v>
      </c>
      <c r="I4708" s="3">
        <f t="shared" si="3"/>
        <v>0.2185866409</v>
      </c>
      <c r="J4708" s="2">
        <v>722.0</v>
      </c>
      <c r="K4708" s="3">
        <f t="shared" si="4"/>
        <v>0.1397870281</v>
      </c>
      <c r="L4708" s="2">
        <v>693.0</v>
      </c>
      <c r="M4708" s="3">
        <f t="shared" si="5"/>
        <v>0.6138175376</v>
      </c>
      <c r="N4708" s="2">
        <v>6347800.0</v>
      </c>
      <c r="O4708" s="4">
        <f t="shared" si="6"/>
        <v>5622.497786</v>
      </c>
      <c r="P4708" s="2">
        <v>0.0</v>
      </c>
      <c r="Q4708" s="3">
        <f t="shared" si="7"/>
        <v>0</v>
      </c>
      <c r="R4708" s="2">
        <v>473.0</v>
      </c>
      <c r="S4708" s="5">
        <f t="shared" si="8"/>
        <v>1</v>
      </c>
    </row>
    <row r="4709">
      <c r="A4709" s="2" t="s">
        <v>4711</v>
      </c>
      <c r="B4709" s="2">
        <v>279.0</v>
      </c>
      <c r="C4709" s="2">
        <v>3290.0</v>
      </c>
      <c r="D4709" s="2">
        <v>947.0</v>
      </c>
      <c r="E4709" s="3">
        <f t="shared" si="1"/>
        <v>0.3145134507</v>
      </c>
      <c r="F4709" s="2">
        <v>376.0</v>
      </c>
      <c r="G4709" s="3">
        <f t="shared" si="2"/>
        <v>0.1248754567</v>
      </c>
      <c r="H4709" s="2">
        <v>616.0</v>
      </c>
      <c r="I4709" s="3">
        <f t="shared" si="3"/>
        <v>0.204583195</v>
      </c>
      <c r="J4709" s="2">
        <v>577.0</v>
      </c>
      <c r="K4709" s="3">
        <f t="shared" si="4"/>
        <v>0.1916306875</v>
      </c>
      <c r="L4709" s="2">
        <v>381.0</v>
      </c>
      <c r="M4709" s="3">
        <f t="shared" si="5"/>
        <v>0.6185064935</v>
      </c>
      <c r="N4709" s="2">
        <v>3550400.0</v>
      </c>
      <c r="O4709" s="4">
        <f t="shared" si="6"/>
        <v>5763.636364</v>
      </c>
      <c r="P4709" s="2">
        <v>0.0</v>
      </c>
      <c r="Q4709" s="3">
        <f t="shared" si="7"/>
        <v>0</v>
      </c>
      <c r="R4709" s="2">
        <v>18.0</v>
      </c>
      <c r="S4709" s="5">
        <f t="shared" si="8"/>
        <v>0.06451612903</v>
      </c>
    </row>
    <row r="4710">
      <c r="A4710" s="2" t="s">
        <v>4712</v>
      </c>
      <c r="B4710" s="2">
        <v>3788.0</v>
      </c>
      <c r="C4710" s="2">
        <v>44693.0</v>
      </c>
      <c r="D4710" s="2">
        <v>14439.0</v>
      </c>
      <c r="E4710" s="3">
        <f t="shared" si="1"/>
        <v>0.3529886322</v>
      </c>
      <c r="F4710" s="2">
        <v>5108.0</v>
      </c>
      <c r="G4710" s="3">
        <f t="shared" si="2"/>
        <v>0.1248747097</v>
      </c>
      <c r="H4710" s="2">
        <v>9047.0</v>
      </c>
      <c r="I4710" s="3">
        <f t="shared" si="3"/>
        <v>0.221171006</v>
      </c>
      <c r="J4710" s="2">
        <v>6462.0</v>
      </c>
      <c r="K4710" s="3">
        <f t="shared" si="4"/>
        <v>0.1579757976</v>
      </c>
      <c r="L4710" s="2">
        <v>5525.0</v>
      </c>
      <c r="M4710" s="3">
        <f t="shared" si="5"/>
        <v>0.6106996795</v>
      </c>
      <c r="N4710" s="2">
        <v>4.94768E7</v>
      </c>
      <c r="O4710" s="4">
        <f t="shared" si="6"/>
        <v>5468.862606</v>
      </c>
      <c r="P4710" s="2">
        <v>4.0</v>
      </c>
      <c r="Q4710" s="3">
        <f t="shared" si="7"/>
        <v>0.001055966209</v>
      </c>
      <c r="R4710" s="2">
        <v>3560.0</v>
      </c>
      <c r="S4710" s="5">
        <f t="shared" si="8"/>
        <v>0.9398099261</v>
      </c>
    </row>
    <row r="4711">
      <c r="A4711" s="2" t="s">
        <v>4713</v>
      </c>
      <c r="B4711" s="2">
        <v>90.0</v>
      </c>
      <c r="C4711" s="2">
        <v>1067.0</v>
      </c>
      <c r="D4711" s="2">
        <v>373.0</v>
      </c>
      <c r="E4711" s="3">
        <f t="shared" si="1"/>
        <v>0.3817809621</v>
      </c>
      <c r="F4711" s="2">
        <v>122.0</v>
      </c>
      <c r="G4711" s="3">
        <f t="shared" si="2"/>
        <v>0.1248720573</v>
      </c>
      <c r="H4711" s="2">
        <v>216.0</v>
      </c>
      <c r="I4711" s="3">
        <f t="shared" si="3"/>
        <v>0.2210849539</v>
      </c>
      <c r="J4711" s="2">
        <v>169.0</v>
      </c>
      <c r="K4711" s="3">
        <f t="shared" si="4"/>
        <v>0.1729785056</v>
      </c>
      <c r="L4711" s="2">
        <v>132.0</v>
      </c>
      <c r="M4711" s="3">
        <f t="shared" si="5"/>
        <v>0.6111111111</v>
      </c>
      <c r="N4711" s="2">
        <v>1213700.0</v>
      </c>
      <c r="O4711" s="4">
        <f t="shared" si="6"/>
        <v>5618.981481</v>
      </c>
      <c r="P4711" s="2">
        <v>0.0</v>
      </c>
      <c r="Q4711" s="3">
        <f t="shared" si="7"/>
        <v>0</v>
      </c>
      <c r="R4711" s="2">
        <v>90.0</v>
      </c>
      <c r="S4711" s="5">
        <f t="shared" si="8"/>
        <v>1</v>
      </c>
    </row>
    <row r="4712">
      <c r="A4712" s="2" t="s">
        <v>4714</v>
      </c>
      <c r="B4712" s="2">
        <v>1481.0</v>
      </c>
      <c r="C4712" s="2">
        <v>17442.0</v>
      </c>
      <c r="D4712" s="2">
        <v>5375.0</v>
      </c>
      <c r="E4712" s="3">
        <f t="shared" si="1"/>
        <v>0.3367583485</v>
      </c>
      <c r="F4712" s="2">
        <v>1993.0</v>
      </c>
      <c r="G4712" s="3">
        <f t="shared" si="2"/>
        <v>0.124866863</v>
      </c>
      <c r="H4712" s="2">
        <v>3326.0</v>
      </c>
      <c r="I4712" s="3">
        <f t="shared" si="3"/>
        <v>0.2083829334</v>
      </c>
      <c r="J4712" s="2">
        <v>2334.0</v>
      </c>
      <c r="K4712" s="3">
        <f t="shared" si="4"/>
        <v>0.1462314391</v>
      </c>
      <c r="L4712" s="2">
        <v>2028.0</v>
      </c>
      <c r="M4712" s="3">
        <f t="shared" si="5"/>
        <v>0.6097414311</v>
      </c>
      <c r="N4712" s="2">
        <v>1.87646E7</v>
      </c>
      <c r="O4712" s="4">
        <f t="shared" si="6"/>
        <v>5641.791942</v>
      </c>
      <c r="P4712" s="2">
        <v>1.0</v>
      </c>
      <c r="Q4712" s="3">
        <f t="shared" si="7"/>
        <v>0.0006752194463</v>
      </c>
      <c r="R4712" s="2">
        <v>1481.0</v>
      </c>
      <c r="S4712" s="5">
        <f t="shared" si="8"/>
        <v>1</v>
      </c>
    </row>
    <row r="4713">
      <c r="A4713" s="2" t="s">
        <v>4715</v>
      </c>
      <c r="B4713" s="2">
        <v>517.0</v>
      </c>
      <c r="C4713" s="2">
        <v>6131.0</v>
      </c>
      <c r="D4713" s="2">
        <v>1953.0</v>
      </c>
      <c r="E4713" s="3">
        <f t="shared" si="1"/>
        <v>0.3478802993</v>
      </c>
      <c r="F4713" s="2">
        <v>701.0</v>
      </c>
      <c r="G4713" s="3">
        <f t="shared" si="2"/>
        <v>0.1248664054</v>
      </c>
      <c r="H4713" s="2">
        <v>1037.0</v>
      </c>
      <c r="I4713" s="3">
        <f t="shared" si="3"/>
        <v>0.1847167795</v>
      </c>
      <c r="J4713" s="2">
        <v>859.0</v>
      </c>
      <c r="K4713" s="3">
        <f t="shared" si="4"/>
        <v>0.1530103313</v>
      </c>
      <c r="L4713" s="2">
        <v>623.0</v>
      </c>
      <c r="M4713" s="3">
        <f t="shared" si="5"/>
        <v>0.6007714561</v>
      </c>
      <c r="N4713" s="2">
        <v>5881200.0</v>
      </c>
      <c r="O4713" s="4">
        <f t="shared" si="6"/>
        <v>5671.359691</v>
      </c>
      <c r="P4713" s="2">
        <v>0.0</v>
      </c>
      <c r="Q4713" s="3">
        <f t="shared" si="7"/>
        <v>0</v>
      </c>
      <c r="R4713" s="2">
        <v>517.0</v>
      </c>
      <c r="S4713" s="5">
        <f t="shared" si="8"/>
        <v>1</v>
      </c>
    </row>
    <row r="4714">
      <c r="A4714" s="2" t="s">
        <v>4716</v>
      </c>
      <c r="B4714" s="2">
        <v>167.0</v>
      </c>
      <c r="C4714" s="2">
        <v>2001.0</v>
      </c>
      <c r="D4714" s="2">
        <v>569.0</v>
      </c>
      <c r="E4714" s="3">
        <f t="shared" si="1"/>
        <v>0.3102508179</v>
      </c>
      <c r="F4714" s="2">
        <v>229.0</v>
      </c>
      <c r="G4714" s="3">
        <f t="shared" si="2"/>
        <v>0.1248636859</v>
      </c>
      <c r="H4714" s="2">
        <v>372.0</v>
      </c>
      <c r="I4714" s="3">
        <f t="shared" si="3"/>
        <v>0.2028353326</v>
      </c>
      <c r="J4714" s="2">
        <v>326.0</v>
      </c>
      <c r="K4714" s="3">
        <f t="shared" si="4"/>
        <v>0.1777535442</v>
      </c>
      <c r="L4714" s="2">
        <v>214.0</v>
      </c>
      <c r="M4714" s="3">
        <f t="shared" si="5"/>
        <v>0.5752688172</v>
      </c>
      <c r="N4714" s="2">
        <v>2164400.0</v>
      </c>
      <c r="O4714" s="4">
        <f t="shared" si="6"/>
        <v>5818.27957</v>
      </c>
      <c r="P4714" s="2">
        <v>0.0</v>
      </c>
      <c r="Q4714" s="3">
        <f t="shared" si="7"/>
        <v>0</v>
      </c>
      <c r="R4714" s="2">
        <v>167.0</v>
      </c>
      <c r="S4714" s="5">
        <f t="shared" si="8"/>
        <v>1</v>
      </c>
    </row>
    <row r="4715">
      <c r="A4715" s="2" t="s">
        <v>4717</v>
      </c>
      <c r="B4715" s="2">
        <v>345.0</v>
      </c>
      <c r="C4715" s="2">
        <v>3997.0</v>
      </c>
      <c r="D4715" s="2">
        <v>991.0</v>
      </c>
      <c r="E4715" s="3">
        <f t="shared" si="1"/>
        <v>0.2713581599</v>
      </c>
      <c r="F4715" s="2">
        <v>456.0</v>
      </c>
      <c r="G4715" s="3">
        <f t="shared" si="2"/>
        <v>0.1248630887</v>
      </c>
      <c r="H4715" s="2">
        <v>727.0</v>
      </c>
      <c r="I4715" s="3">
        <f t="shared" si="3"/>
        <v>0.1990690033</v>
      </c>
      <c r="J4715" s="2">
        <v>623.0</v>
      </c>
      <c r="K4715" s="3">
        <f t="shared" si="4"/>
        <v>0.1705914567</v>
      </c>
      <c r="L4715" s="2">
        <v>444.0</v>
      </c>
      <c r="M4715" s="3">
        <f t="shared" si="5"/>
        <v>0.6107290234</v>
      </c>
      <c r="N4715" s="2">
        <v>4219100.0</v>
      </c>
      <c r="O4715" s="4">
        <f t="shared" si="6"/>
        <v>5803.43879</v>
      </c>
      <c r="P4715" s="2">
        <v>0.0</v>
      </c>
      <c r="Q4715" s="3">
        <f t="shared" si="7"/>
        <v>0</v>
      </c>
      <c r="R4715" s="2">
        <v>345.0</v>
      </c>
      <c r="S4715" s="5">
        <f t="shared" si="8"/>
        <v>1</v>
      </c>
    </row>
    <row r="4716">
      <c r="A4716" s="2" t="s">
        <v>4718</v>
      </c>
      <c r="B4716" s="2">
        <v>920.0</v>
      </c>
      <c r="C4716" s="2">
        <v>10771.0</v>
      </c>
      <c r="D4716" s="2">
        <v>3329.0</v>
      </c>
      <c r="E4716" s="3">
        <f t="shared" si="1"/>
        <v>0.337935235</v>
      </c>
      <c r="F4716" s="2">
        <v>1230.0</v>
      </c>
      <c r="G4716" s="3">
        <f t="shared" si="2"/>
        <v>0.1248604203</v>
      </c>
      <c r="H4716" s="2">
        <v>2020.0</v>
      </c>
      <c r="I4716" s="3">
        <f t="shared" si="3"/>
        <v>0.2050553243</v>
      </c>
      <c r="J4716" s="2">
        <v>1708.0</v>
      </c>
      <c r="K4716" s="3">
        <f t="shared" si="4"/>
        <v>0.1733834129</v>
      </c>
      <c r="L4716" s="2">
        <v>1163.0</v>
      </c>
      <c r="M4716" s="3">
        <f t="shared" si="5"/>
        <v>0.5757425743</v>
      </c>
      <c r="N4716" s="2">
        <v>1.14931E7</v>
      </c>
      <c r="O4716" s="4">
        <f t="shared" si="6"/>
        <v>5689.653465</v>
      </c>
      <c r="P4716" s="2">
        <v>4.0</v>
      </c>
      <c r="Q4716" s="3">
        <f t="shared" si="7"/>
        <v>0.004347826087</v>
      </c>
      <c r="R4716" s="2">
        <v>920.0</v>
      </c>
      <c r="S4716" s="5">
        <f t="shared" si="8"/>
        <v>1</v>
      </c>
    </row>
    <row r="4717">
      <c r="A4717" s="2" t="s">
        <v>4719</v>
      </c>
      <c r="B4717" s="2">
        <v>964.0</v>
      </c>
      <c r="C4717" s="2">
        <v>11376.0</v>
      </c>
      <c r="D4717" s="2">
        <v>3475.0</v>
      </c>
      <c r="E4717" s="3">
        <f t="shared" si="1"/>
        <v>0.3337495198</v>
      </c>
      <c r="F4717" s="2">
        <v>1300.0</v>
      </c>
      <c r="G4717" s="3">
        <f t="shared" si="2"/>
        <v>0.1248559355</v>
      </c>
      <c r="H4717" s="2">
        <v>2121.0</v>
      </c>
      <c r="I4717" s="3">
        <f t="shared" si="3"/>
        <v>0.2037072609</v>
      </c>
      <c r="J4717" s="2">
        <v>1467.0</v>
      </c>
      <c r="K4717" s="3">
        <f t="shared" si="4"/>
        <v>0.140895121</v>
      </c>
      <c r="L4717" s="2">
        <v>1251.0</v>
      </c>
      <c r="M4717" s="3">
        <f t="shared" si="5"/>
        <v>0.5898161245</v>
      </c>
      <c r="N4717" s="2">
        <v>1.18706E7</v>
      </c>
      <c r="O4717" s="4">
        <f t="shared" si="6"/>
        <v>5596.69967</v>
      </c>
      <c r="P4717" s="2">
        <v>1.0</v>
      </c>
      <c r="Q4717" s="3">
        <f t="shared" si="7"/>
        <v>0.001037344398</v>
      </c>
      <c r="R4717" s="2">
        <v>139.0</v>
      </c>
      <c r="S4717" s="5">
        <f t="shared" si="8"/>
        <v>0.1441908714</v>
      </c>
    </row>
    <row r="4718">
      <c r="A4718" s="2" t="s">
        <v>4720</v>
      </c>
      <c r="B4718" s="2">
        <v>306.0</v>
      </c>
      <c r="C4718" s="2">
        <v>3518.0</v>
      </c>
      <c r="D4718" s="2">
        <v>909.0</v>
      </c>
      <c r="E4718" s="3">
        <f t="shared" si="1"/>
        <v>0.2830012453</v>
      </c>
      <c r="F4718" s="2">
        <v>401.0</v>
      </c>
      <c r="G4718" s="3">
        <f t="shared" si="2"/>
        <v>0.1248443337</v>
      </c>
      <c r="H4718" s="2">
        <v>659.0</v>
      </c>
      <c r="I4718" s="3">
        <f t="shared" si="3"/>
        <v>0.2051681196</v>
      </c>
      <c r="J4718" s="2">
        <v>588.0</v>
      </c>
      <c r="K4718" s="3">
        <f t="shared" si="4"/>
        <v>0.1830635118</v>
      </c>
      <c r="L4718" s="2">
        <v>393.0</v>
      </c>
      <c r="M4718" s="3">
        <f t="shared" si="5"/>
        <v>0.5963581184</v>
      </c>
      <c r="N4718" s="2">
        <v>4000100.0</v>
      </c>
      <c r="O4718" s="4">
        <f t="shared" si="6"/>
        <v>6069.954476</v>
      </c>
      <c r="P4718" s="2">
        <v>1.0</v>
      </c>
      <c r="Q4718" s="3">
        <f t="shared" si="7"/>
        <v>0.003267973856</v>
      </c>
      <c r="R4718" s="2">
        <v>306.0</v>
      </c>
      <c r="S4718" s="5">
        <f t="shared" si="8"/>
        <v>1</v>
      </c>
    </row>
    <row r="4719">
      <c r="A4719" s="2" t="s">
        <v>4721</v>
      </c>
      <c r="B4719" s="2">
        <v>217.0</v>
      </c>
      <c r="C4719" s="2">
        <v>2500.0</v>
      </c>
      <c r="D4719" s="2">
        <v>706.0</v>
      </c>
      <c r="E4719" s="3">
        <f t="shared" si="1"/>
        <v>0.3092422251</v>
      </c>
      <c r="F4719" s="2">
        <v>285.0</v>
      </c>
      <c r="G4719" s="3">
        <f t="shared" si="2"/>
        <v>0.1248357424</v>
      </c>
      <c r="H4719" s="2">
        <v>492.0</v>
      </c>
      <c r="I4719" s="3">
        <f t="shared" si="3"/>
        <v>0.2155059133</v>
      </c>
      <c r="J4719" s="2">
        <v>436.0</v>
      </c>
      <c r="K4719" s="3">
        <f t="shared" si="4"/>
        <v>0.1909767849</v>
      </c>
      <c r="L4719" s="2">
        <v>273.0</v>
      </c>
      <c r="M4719" s="3">
        <f t="shared" si="5"/>
        <v>0.5548780488</v>
      </c>
      <c r="N4719" s="2">
        <v>2981400.0</v>
      </c>
      <c r="O4719" s="4">
        <f t="shared" si="6"/>
        <v>6059.756098</v>
      </c>
      <c r="P4719" s="2">
        <v>0.0</v>
      </c>
      <c r="Q4719" s="3">
        <f t="shared" si="7"/>
        <v>0</v>
      </c>
      <c r="R4719" s="2">
        <v>5.0</v>
      </c>
      <c r="S4719" s="5">
        <f t="shared" si="8"/>
        <v>0.02304147465</v>
      </c>
    </row>
    <row r="4720">
      <c r="A4720" s="2" t="s">
        <v>4722</v>
      </c>
      <c r="B4720" s="2">
        <v>930.0</v>
      </c>
      <c r="C4720" s="2">
        <v>10784.0</v>
      </c>
      <c r="D4720" s="2">
        <v>2732.0</v>
      </c>
      <c r="E4720" s="3">
        <f t="shared" si="1"/>
        <v>0.2772478181</v>
      </c>
      <c r="F4720" s="2">
        <v>1230.0</v>
      </c>
      <c r="G4720" s="3">
        <f t="shared" si="2"/>
        <v>0.1248224071</v>
      </c>
      <c r="H4720" s="2">
        <v>1929.0</v>
      </c>
      <c r="I4720" s="3">
        <f t="shared" si="3"/>
        <v>0.1957580678</v>
      </c>
      <c r="J4720" s="2">
        <v>1666.0</v>
      </c>
      <c r="K4720" s="3">
        <f t="shared" si="4"/>
        <v>0.1690683986</v>
      </c>
      <c r="L4720" s="2">
        <v>1173.0</v>
      </c>
      <c r="M4720" s="3">
        <f t="shared" si="5"/>
        <v>0.6080870918</v>
      </c>
      <c r="N4720" s="2">
        <v>1.21267E7</v>
      </c>
      <c r="O4720" s="4">
        <f t="shared" si="6"/>
        <v>6286.521514</v>
      </c>
      <c r="P4720" s="2">
        <v>2.0</v>
      </c>
      <c r="Q4720" s="3">
        <f t="shared" si="7"/>
        <v>0.002150537634</v>
      </c>
      <c r="R4720" s="2">
        <v>930.0</v>
      </c>
      <c r="S4720" s="5">
        <f t="shared" si="8"/>
        <v>1</v>
      </c>
    </row>
    <row r="4721">
      <c r="A4721" s="2" t="s">
        <v>4723</v>
      </c>
      <c r="B4721" s="2">
        <v>639.0</v>
      </c>
      <c r="C4721" s="2">
        <v>7513.0</v>
      </c>
      <c r="D4721" s="2">
        <v>2525.0</v>
      </c>
      <c r="E4721" s="3">
        <f t="shared" si="1"/>
        <v>0.3673261565</v>
      </c>
      <c r="F4721" s="2">
        <v>858.0</v>
      </c>
      <c r="G4721" s="3">
        <f t="shared" si="2"/>
        <v>0.1248181554</v>
      </c>
      <c r="H4721" s="2">
        <v>1452.0</v>
      </c>
      <c r="I4721" s="3">
        <f t="shared" si="3"/>
        <v>0.2112307245</v>
      </c>
      <c r="J4721" s="2">
        <v>1234.0</v>
      </c>
      <c r="K4721" s="3">
        <f t="shared" si="4"/>
        <v>0.1795170207</v>
      </c>
      <c r="L4721" s="2">
        <v>888.0</v>
      </c>
      <c r="M4721" s="3">
        <f t="shared" si="5"/>
        <v>0.6115702479</v>
      </c>
      <c r="N4721" s="2">
        <v>7740200.0</v>
      </c>
      <c r="O4721" s="4">
        <f t="shared" si="6"/>
        <v>5330.716253</v>
      </c>
      <c r="P4721" s="2">
        <v>3.0</v>
      </c>
      <c r="Q4721" s="3">
        <f t="shared" si="7"/>
        <v>0.004694835681</v>
      </c>
      <c r="R4721" s="2">
        <v>637.0</v>
      </c>
      <c r="S4721" s="5">
        <f t="shared" si="8"/>
        <v>0.9968701095</v>
      </c>
    </row>
    <row r="4722">
      <c r="A4722" s="2" t="s">
        <v>4724</v>
      </c>
      <c r="B4722" s="2">
        <v>873.0</v>
      </c>
      <c r="C4722" s="2">
        <v>10431.0</v>
      </c>
      <c r="D4722" s="2">
        <v>3633.0</v>
      </c>
      <c r="E4722" s="3">
        <f t="shared" si="1"/>
        <v>0.3801004394</v>
      </c>
      <c r="F4722" s="2">
        <v>1193.0</v>
      </c>
      <c r="G4722" s="3">
        <f t="shared" si="2"/>
        <v>0.1248169073</v>
      </c>
      <c r="H4722" s="2">
        <v>2084.0</v>
      </c>
      <c r="I4722" s="3">
        <f t="shared" si="3"/>
        <v>0.2180372463</v>
      </c>
      <c r="J4722" s="2">
        <v>1639.0</v>
      </c>
      <c r="K4722" s="3">
        <f t="shared" si="4"/>
        <v>0.171479389</v>
      </c>
      <c r="L4722" s="2">
        <v>1213.0</v>
      </c>
      <c r="M4722" s="3">
        <f t="shared" si="5"/>
        <v>0.5820537428</v>
      </c>
      <c r="N4722" s="2">
        <v>1.10743E7</v>
      </c>
      <c r="O4722" s="4">
        <f t="shared" si="6"/>
        <v>5313.963532</v>
      </c>
      <c r="P4722" s="2">
        <v>0.0</v>
      </c>
      <c r="Q4722" s="3">
        <f t="shared" si="7"/>
        <v>0</v>
      </c>
      <c r="R4722" s="2">
        <v>865.0</v>
      </c>
      <c r="S4722" s="5">
        <f t="shared" si="8"/>
        <v>0.990836197</v>
      </c>
    </row>
    <row r="4723">
      <c r="A4723" s="2" t="s">
        <v>4725</v>
      </c>
      <c r="B4723" s="2">
        <v>883.0</v>
      </c>
      <c r="C4723" s="2">
        <v>10281.0</v>
      </c>
      <c r="D4723" s="2">
        <v>2893.0</v>
      </c>
      <c r="E4723" s="3">
        <f t="shared" si="1"/>
        <v>0.3078314535</v>
      </c>
      <c r="F4723" s="2">
        <v>1173.0</v>
      </c>
      <c r="G4723" s="3">
        <f t="shared" si="2"/>
        <v>0.1248137902</v>
      </c>
      <c r="H4723" s="2">
        <v>1969.0</v>
      </c>
      <c r="I4723" s="3">
        <f t="shared" si="3"/>
        <v>0.2095126623</v>
      </c>
      <c r="J4723" s="2">
        <v>1797.0</v>
      </c>
      <c r="K4723" s="3">
        <f t="shared" si="4"/>
        <v>0.1912108959</v>
      </c>
      <c r="L4723" s="2">
        <v>1190.0</v>
      </c>
      <c r="M4723" s="3">
        <f t="shared" si="5"/>
        <v>0.6043676993</v>
      </c>
      <c r="N4723" s="2">
        <v>1.15438E7</v>
      </c>
      <c r="O4723" s="4">
        <f t="shared" si="6"/>
        <v>5862.772981</v>
      </c>
      <c r="P4723" s="2">
        <v>3.0</v>
      </c>
      <c r="Q4723" s="3">
        <f t="shared" si="7"/>
        <v>0.003397508494</v>
      </c>
      <c r="R4723" s="2">
        <v>883.0</v>
      </c>
      <c r="S4723" s="5">
        <f t="shared" si="8"/>
        <v>1</v>
      </c>
    </row>
    <row r="4724">
      <c r="A4724" s="2" t="s">
        <v>4726</v>
      </c>
      <c r="B4724" s="2">
        <v>119.0</v>
      </c>
      <c r="C4724" s="2">
        <v>1361.0</v>
      </c>
      <c r="D4724" s="2">
        <v>425.0</v>
      </c>
      <c r="E4724" s="3">
        <f t="shared" si="1"/>
        <v>0.3421900161</v>
      </c>
      <c r="F4724" s="2">
        <v>155.0</v>
      </c>
      <c r="G4724" s="3">
        <f t="shared" si="2"/>
        <v>0.1247987118</v>
      </c>
      <c r="H4724" s="2">
        <v>272.0</v>
      </c>
      <c r="I4724" s="3">
        <f t="shared" si="3"/>
        <v>0.2190016103</v>
      </c>
      <c r="J4724" s="2">
        <v>268.0</v>
      </c>
      <c r="K4724" s="3">
        <f t="shared" si="4"/>
        <v>0.2157809984</v>
      </c>
      <c r="L4724" s="2">
        <v>174.0</v>
      </c>
      <c r="M4724" s="3">
        <f t="shared" si="5"/>
        <v>0.6397058824</v>
      </c>
      <c r="N4724" s="2">
        <v>1450700.0</v>
      </c>
      <c r="O4724" s="4">
        <f t="shared" si="6"/>
        <v>5333.455882</v>
      </c>
      <c r="P4724" s="2">
        <v>0.0</v>
      </c>
      <c r="Q4724" s="3">
        <f t="shared" si="7"/>
        <v>0</v>
      </c>
      <c r="R4724" s="2">
        <v>119.0</v>
      </c>
      <c r="S4724" s="5">
        <f t="shared" si="8"/>
        <v>1</v>
      </c>
    </row>
    <row r="4725">
      <c r="A4725" s="2" t="s">
        <v>4727</v>
      </c>
      <c r="B4725" s="2">
        <v>257.0</v>
      </c>
      <c r="C4725" s="2">
        <v>3054.0</v>
      </c>
      <c r="D4725" s="2">
        <v>971.0</v>
      </c>
      <c r="E4725" s="3">
        <f t="shared" si="1"/>
        <v>0.3471576689</v>
      </c>
      <c r="F4725" s="2">
        <v>349.0</v>
      </c>
      <c r="G4725" s="3">
        <f t="shared" si="2"/>
        <v>0.1247765463</v>
      </c>
      <c r="H4725" s="2">
        <v>603.0</v>
      </c>
      <c r="I4725" s="3">
        <f t="shared" si="3"/>
        <v>0.2155881301</v>
      </c>
      <c r="J4725" s="2">
        <v>482.0</v>
      </c>
      <c r="K4725" s="3">
        <f t="shared" si="4"/>
        <v>0.1723274937</v>
      </c>
      <c r="L4725" s="2">
        <v>350.0</v>
      </c>
      <c r="M4725" s="3">
        <f t="shared" si="5"/>
        <v>0.5804311774</v>
      </c>
      <c r="N4725" s="2">
        <v>3349700.0</v>
      </c>
      <c r="O4725" s="4">
        <f t="shared" si="6"/>
        <v>5555.058043</v>
      </c>
      <c r="P4725" s="2">
        <v>0.0</v>
      </c>
      <c r="Q4725" s="3">
        <f t="shared" si="7"/>
        <v>0</v>
      </c>
      <c r="R4725" s="2">
        <v>257.0</v>
      </c>
      <c r="S4725" s="5">
        <f t="shared" si="8"/>
        <v>1</v>
      </c>
    </row>
    <row r="4726">
      <c r="A4726" s="2" t="s">
        <v>4728</v>
      </c>
      <c r="B4726" s="2">
        <v>1089.0</v>
      </c>
      <c r="C4726" s="2">
        <v>12935.0</v>
      </c>
      <c r="D4726" s="2">
        <v>5132.0</v>
      </c>
      <c r="E4726" s="3">
        <f t="shared" si="1"/>
        <v>0.4332264055</v>
      </c>
      <c r="F4726" s="2">
        <v>1478.0</v>
      </c>
      <c r="G4726" s="3">
        <f t="shared" si="2"/>
        <v>0.1247678541</v>
      </c>
      <c r="H4726" s="2">
        <v>2667.0</v>
      </c>
      <c r="I4726" s="3">
        <f t="shared" si="3"/>
        <v>0.2251392875</v>
      </c>
      <c r="J4726" s="2">
        <v>1674.0</v>
      </c>
      <c r="K4726" s="3">
        <f t="shared" si="4"/>
        <v>0.1413135236</v>
      </c>
      <c r="L4726" s="2">
        <v>1657.0</v>
      </c>
      <c r="M4726" s="3">
        <f t="shared" si="5"/>
        <v>0.6212973378</v>
      </c>
      <c r="N4726" s="2">
        <v>1.33916E7</v>
      </c>
      <c r="O4726" s="4">
        <f t="shared" si="6"/>
        <v>5021.222347</v>
      </c>
      <c r="P4726" s="2">
        <v>6.0</v>
      </c>
      <c r="Q4726" s="3">
        <f t="shared" si="7"/>
        <v>0.005509641873</v>
      </c>
      <c r="R4726" s="2">
        <v>1089.0</v>
      </c>
      <c r="S4726" s="5">
        <f t="shared" si="8"/>
        <v>1</v>
      </c>
    </row>
    <row r="4727">
      <c r="A4727" s="2" t="s">
        <v>4729</v>
      </c>
      <c r="B4727" s="2">
        <v>1641.0</v>
      </c>
      <c r="C4727" s="2">
        <v>19290.0</v>
      </c>
      <c r="D4727" s="2">
        <v>5160.0</v>
      </c>
      <c r="E4727" s="3">
        <f t="shared" si="1"/>
        <v>0.2923678395</v>
      </c>
      <c r="F4727" s="2">
        <v>2202.0</v>
      </c>
      <c r="G4727" s="3">
        <f t="shared" si="2"/>
        <v>0.1247662757</v>
      </c>
      <c r="H4727" s="2">
        <v>3841.0</v>
      </c>
      <c r="I4727" s="3">
        <f t="shared" si="3"/>
        <v>0.2176327271</v>
      </c>
      <c r="J4727" s="2">
        <v>3281.0</v>
      </c>
      <c r="K4727" s="3">
        <f t="shared" si="4"/>
        <v>0.185902884</v>
      </c>
      <c r="L4727" s="2">
        <v>2375.0</v>
      </c>
      <c r="M4727" s="3">
        <f t="shared" si="5"/>
        <v>0.6183285603</v>
      </c>
      <c r="N4727" s="2">
        <v>2.18955E7</v>
      </c>
      <c r="O4727" s="4">
        <f t="shared" si="6"/>
        <v>5700.468628</v>
      </c>
      <c r="P4727" s="2">
        <v>3.0</v>
      </c>
      <c r="Q4727" s="3">
        <f t="shared" si="7"/>
        <v>0.001828153565</v>
      </c>
      <c r="R4727" s="2">
        <v>1641.0</v>
      </c>
      <c r="S4727" s="5">
        <f t="shared" si="8"/>
        <v>1</v>
      </c>
    </row>
    <row r="4728">
      <c r="A4728" s="2" t="s">
        <v>4730</v>
      </c>
      <c r="B4728" s="2">
        <v>6314.0</v>
      </c>
      <c r="C4728" s="2">
        <v>74237.0</v>
      </c>
      <c r="D4728" s="2">
        <v>19328.0</v>
      </c>
      <c r="E4728" s="3">
        <f t="shared" si="1"/>
        <v>0.2845575137</v>
      </c>
      <c r="F4728" s="2">
        <v>8474.0</v>
      </c>
      <c r="G4728" s="3">
        <f t="shared" si="2"/>
        <v>0.1247589182</v>
      </c>
      <c r="H4728" s="2">
        <v>13850.0</v>
      </c>
      <c r="I4728" s="3">
        <f t="shared" si="3"/>
        <v>0.2039073657</v>
      </c>
      <c r="J4728" s="2">
        <v>11707.0</v>
      </c>
      <c r="K4728" s="3">
        <f t="shared" si="4"/>
        <v>0.1723569336</v>
      </c>
      <c r="L4728" s="2">
        <v>8259.0</v>
      </c>
      <c r="M4728" s="3">
        <f t="shared" si="5"/>
        <v>0.5963176895</v>
      </c>
      <c r="N4728" s="2">
        <v>8.15358E7</v>
      </c>
      <c r="O4728" s="4">
        <f t="shared" si="6"/>
        <v>5887.061372</v>
      </c>
      <c r="P4728" s="2">
        <v>23.0</v>
      </c>
      <c r="Q4728" s="3">
        <f t="shared" si="7"/>
        <v>0.003642698765</v>
      </c>
      <c r="R4728" s="2">
        <v>6152.0</v>
      </c>
      <c r="S4728" s="5">
        <f t="shared" si="8"/>
        <v>0.9743427304</v>
      </c>
    </row>
    <row r="4729">
      <c r="A4729" s="2" t="s">
        <v>4731</v>
      </c>
      <c r="B4729" s="2">
        <v>226.0</v>
      </c>
      <c r="C4729" s="2">
        <v>2703.0</v>
      </c>
      <c r="D4729" s="2">
        <v>778.0</v>
      </c>
      <c r="E4729" s="3">
        <f t="shared" si="1"/>
        <v>0.3140896245</v>
      </c>
      <c r="F4729" s="2">
        <v>309.0</v>
      </c>
      <c r="G4729" s="3">
        <f t="shared" si="2"/>
        <v>0.1247476786</v>
      </c>
      <c r="H4729" s="2">
        <v>511.0</v>
      </c>
      <c r="I4729" s="3">
        <f t="shared" si="3"/>
        <v>0.2062979411</v>
      </c>
      <c r="J4729" s="2">
        <v>401.0</v>
      </c>
      <c r="K4729" s="3">
        <f t="shared" si="4"/>
        <v>0.1618893823</v>
      </c>
      <c r="L4729" s="2">
        <v>306.0</v>
      </c>
      <c r="M4729" s="3">
        <f t="shared" si="5"/>
        <v>0.5988258317</v>
      </c>
      <c r="N4729" s="2">
        <v>2802900.0</v>
      </c>
      <c r="O4729" s="4">
        <f t="shared" si="6"/>
        <v>5485.127202</v>
      </c>
      <c r="P4729" s="2">
        <v>1.0</v>
      </c>
      <c r="Q4729" s="3">
        <f t="shared" si="7"/>
        <v>0.004424778761</v>
      </c>
      <c r="R4729" s="2">
        <v>226.0</v>
      </c>
      <c r="S4729" s="5">
        <f t="shared" si="8"/>
        <v>1</v>
      </c>
    </row>
    <row r="4730">
      <c r="A4730" s="2" t="s">
        <v>4732</v>
      </c>
      <c r="B4730" s="2">
        <v>91.0</v>
      </c>
      <c r="C4730" s="2">
        <v>1061.0</v>
      </c>
      <c r="D4730" s="2">
        <v>266.0</v>
      </c>
      <c r="E4730" s="3">
        <f t="shared" si="1"/>
        <v>0.2742268041</v>
      </c>
      <c r="F4730" s="2">
        <v>121.0</v>
      </c>
      <c r="G4730" s="3">
        <f t="shared" si="2"/>
        <v>0.124742268</v>
      </c>
      <c r="H4730" s="2">
        <v>193.0</v>
      </c>
      <c r="I4730" s="3">
        <f t="shared" si="3"/>
        <v>0.1989690722</v>
      </c>
      <c r="J4730" s="2">
        <v>134.0</v>
      </c>
      <c r="K4730" s="3">
        <f t="shared" si="4"/>
        <v>0.1381443299</v>
      </c>
      <c r="L4730" s="2">
        <v>119.0</v>
      </c>
      <c r="M4730" s="3">
        <f t="shared" si="5"/>
        <v>0.6165803109</v>
      </c>
      <c r="N4730" s="2">
        <v>1195800.0</v>
      </c>
      <c r="O4730" s="4">
        <f t="shared" si="6"/>
        <v>6195.854922</v>
      </c>
      <c r="P4730" s="2">
        <v>0.0</v>
      </c>
      <c r="Q4730" s="3">
        <f t="shared" si="7"/>
        <v>0</v>
      </c>
      <c r="R4730" s="2">
        <v>91.0</v>
      </c>
      <c r="S4730" s="5">
        <f t="shared" si="8"/>
        <v>1</v>
      </c>
    </row>
    <row r="4731">
      <c r="A4731" s="2" t="s">
        <v>4733</v>
      </c>
      <c r="B4731" s="2">
        <v>223.0</v>
      </c>
      <c r="C4731" s="2">
        <v>2636.0</v>
      </c>
      <c r="D4731" s="2">
        <v>590.0</v>
      </c>
      <c r="E4731" s="3">
        <f t="shared" si="1"/>
        <v>0.2445089101</v>
      </c>
      <c r="F4731" s="2">
        <v>301.0</v>
      </c>
      <c r="G4731" s="3">
        <f t="shared" si="2"/>
        <v>0.1247409863</v>
      </c>
      <c r="H4731" s="2">
        <v>485.0</v>
      </c>
      <c r="I4731" s="3">
        <f t="shared" si="3"/>
        <v>0.2009946125</v>
      </c>
      <c r="J4731" s="2">
        <v>446.0</v>
      </c>
      <c r="K4731" s="3">
        <f t="shared" si="4"/>
        <v>0.1848321591</v>
      </c>
      <c r="L4731" s="2">
        <v>302.0</v>
      </c>
      <c r="M4731" s="3">
        <f t="shared" si="5"/>
        <v>0.6226804124</v>
      </c>
      <c r="N4731" s="2">
        <v>2670100.0</v>
      </c>
      <c r="O4731" s="4">
        <f t="shared" si="6"/>
        <v>5505.360825</v>
      </c>
      <c r="P4731" s="2">
        <v>0.0</v>
      </c>
      <c r="Q4731" s="3">
        <f t="shared" si="7"/>
        <v>0</v>
      </c>
      <c r="R4731" s="2">
        <v>223.0</v>
      </c>
      <c r="S4731" s="5">
        <f t="shared" si="8"/>
        <v>1</v>
      </c>
    </row>
    <row r="4732">
      <c r="A4732" s="2" t="s">
        <v>4734</v>
      </c>
      <c r="B4732" s="2">
        <v>666.0</v>
      </c>
      <c r="C4732" s="2">
        <v>7889.0</v>
      </c>
      <c r="D4732" s="2">
        <v>3177.0</v>
      </c>
      <c r="E4732" s="3">
        <f t="shared" si="1"/>
        <v>0.4398449398</v>
      </c>
      <c r="F4732" s="2">
        <v>901.0</v>
      </c>
      <c r="G4732" s="3">
        <f t="shared" si="2"/>
        <v>0.1247404126</v>
      </c>
      <c r="H4732" s="2">
        <v>1618.0</v>
      </c>
      <c r="I4732" s="3">
        <f t="shared" si="3"/>
        <v>0.2240066454</v>
      </c>
      <c r="J4732" s="2">
        <v>1197.0</v>
      </c>
      <c r="K4732" s="3">
        <f t="shared" si="4"/>
        <v>0.1657206147</v>
      </c>
      <c r="L4732" s="2">
        <v>985.0</v>
      </c>
      <c r="M4732" s="3">
        <f t="shared" si="5"/>
        <v>0.608776267</v>
      </c>
      <c r="N4732" s="2">
        <v>8538300.0</v>
      </c>
      <c r="O4732" s="4">
        <f t="shared" si="6"/>
        <v>5277.070457</v>
      </c>
      <c r="P4732" s="2">
        <v>1.0</v>
      </c>
      <c r="Q4732" s="3">
        <f t="shared" si="7"/>
        <v>0.001501501502</v>
      </c>
      <c r="R4732" s="2">
        <v>666.0</v>
      </c>
      <c r="S4732" s="5">
        <f t="shared" si="8"/>
        <v>1</v>
      </c>
    </row>
    <row r="4733">
      <c r="A4733" s="2" t="s">
        <v>4735</v>
      </c>
      <c r="B4733" s="2">
        <v>366.0</v>
      </c>
      <c r="C4733" s="2">
        <v>4190.0</v>
      </c>
      <c r="D4733" s="2">
        <v>1379.0</v>
      </c>
      <c r="E4733" s="3">
        <f t="shared" si="1"/>
        <v>0.3606171548</v>
      </c>
      <c r="F4733" s="2">
        <v>477.0</v>
      </c>
      <c r="G4733" s="3">
        <f t="shared" si="2"/>
        <v>0.1247384937</v>
      </c>
      <c r="H4733" s="2">
        <v>834.0</v>
      </c>
      <c r="I4733" s="3">
        <f t="shared" si="3"/>
        <v>0.2180962343</v>
      </c>
      <c r="J4733" s="2">
        <v>607.0</v>
      </c>
      <c r="K4733" s="3">
        <f t="shared" si="4"/>
        <v>0.1587343096</v>
      </c>
      <c r="L4733" s="2">
        <v>514.0</v>
      </c>
      <c r="M4733" s="3">
        <f t="shared" si="5"/>
        <v>0.6163069544</v>
      </c>
      <c r="N4733" s="2">
        <v>4655100.0</v>
      </c>
      <c r="O4733" s="4">
        <f t="shared" si="6"/>
        <v>5581.654676</v>
      </c>
      <c r="P4733" s="2">
        <v>1.0</v>
      </c>
      <c r="Q4733" s="3">
        <f t="shared" si="7"/>
        <v>0.002732240437</v>
      </c>
      <c r="R4733" s="2">
        <v>366.0</v>
      </c>
      <c r="S4733" s="5">
        <f t="shared" si="8"/>
        <v>1</v>
      </c>
    </row>
    <row r="4734">
      <c r="A4734" s="2" t="s">
        <v>4736</v>
      </c>
      <c r="B4734" s="2">
        <v>3723.0</v>
      </c>
      <c r="C4734" s="2">
        <v>43520.0</v>
      </c>
      <c r="D4734" s="2">
        <v>13426.0</v>
      </c>
      <c r="E4734" s="3">
        <f t="shared" si="1"/>
        <v>0.3373621127</v>
      </c>
      <c r="F4734" s="2">
        <v>4964.0</v>
      </c>
      <c r="G4734" s="3">
        <f t="shared" si="2"/>
        <v>0.1247330201</v>
      </c>
      <c r="H4734" s="2">
        <v>8189.0</v>
      </c>
      <c r="I4734" s="3">
        <f t="shared" si="3"/>
        <v>0.2057692791</v>
      </c>
      <c r="J4734" s="2">
        <v>5586.0</v>
      </c>
      <c r="K4734" s="3">
        <f t="shared" si="4"/>
        <v>0.1403623389</v>
      </c>
      <c r="L4734" s="2">
        <v>5027.0</v>
      </c>
      <c r="M4734" s="3">
        <f t="shared" si="5"/>
        <v>0.6138722677</v>
      </c>
      <c r="N4734" s="2">
        <v>4.5819E7</v>
      </c>
      <c r="O4734" s="4">
        <f t="shared" si="6"/>
        <v>5595.188668</v>
      </c>
      <c r="P4734" s="2">
        <v>16.0</v>
      </c>
      <c r="Q4734" s="3">
        <f t="shared" si="7"/>
        <v>0.004297609455</v>
      </c>
      <c r="R4734" s="2">
        <v>3625.0</v>
      </c>
      <c r="S4734" s="5">
        <f t="shared" si="8"/>
        <v>0.9736771421</v>
      </c>
    </row>
    <row r="4735">
      <c r="A4735" s="2" t="s">
        <v>4737</v>
      </c>
      <c r="B4735" s="2">
        <v>84.0</v>
      </c>
      <c r="C4735" s="2">
        <v>1006.0</v>
      </c>
      <c r="D4735" s="2">
        <v>290.0</v>
      </c>
      <c r="E4735" s="3">
        <f t="shared" si="1"/>
        <v>0.3145336226</v>
      </c>
      <c r="F4735" s="2">
        <v>115.0</v>
      </c>
      <c r="G4735" s="3">
        <f t="shared" si="2"/>
        <v>0.1247288503</v>
      </c>
      <c r="H4735" s="2">
        <v>179.0</v>
      </c>
      <c r="I4735" s="3">
        <f t="shared" si="3"/>
        <v>0.194143167</v>
      </c>
      <c r="J4735" s="2">
        <v>142.0</v>
      </c>
      <c r="K4735" s="3">
        <f t="shared" si="4"/>
        <v>0.1540130152</v>
      </c>
      <c r="L4735" s="2">
        <v>106.0</v>
      </c>
      <c r="M4735" s="3">
        <f t="shared" si="5"/>
        <v>0.5921787709</v>
      </c>
      <c r="N4735" s="2">
        <v>881200.0</v>
      </c>
      <c r="O4735" s="4">
        <f t="shared" si="6"/>
        <v>4922.905028</v>
      </c>
      <c r="P4735" s="2">
        <v>0.0</v>
      </c>
      <c r="Q4735" s="3">
        <f t="shared" si="7"/>
        <v>0</v>
      </c>
      <c r="R4735" s="2">
        <v>84.0</v>
      </c>
      <c r="S4735" s="5">
        <f t="shared" si="8"/>
        <v>1</v>
      </c>
    </row>
    <row r="4736">
      <c r="A4736" s="2" t="s">
        <v>4738</v>
      </c>
      <c r="B4736" s="2">
        <v>1330.0</v>
      </c>
      <c r="C4736" s="2">
        <v>15716.0</v>
      </c>
      <c r="D4736" s="2">
        <v>4928.0</v>
      </c>
      <c r="E4736" s="3">
        <f t="shared" si="1"/>
        <v>0.3425552621</v>
      </c>
      <c r="F4736" s="2">
        <v>1794.0</v>
      </c>
      <c r="G4736" s="3">
        <f t="shared" si="2"/>
        <v>0.1247045739</v>
      </c>
      <c r="H4736" s="2">
        <v>2964.0</v>
      </c>
      <c r="I4736" s="3">
        <f t="shared" si="3"/>
        <v>0.2060336438</v>
      </c>
      <c r="J4736" s="2">
        <v>2452.0</v>
      </c>
      <c r="K4736" s="3">
        <f t="shared" si="4"/>
        <v>0.1704434867</v>
      </c>
      <c r="L4736" s="2">
        <v>1747.0</v>
      </c>
      <c r="M4736" s="3">
        <f t="shared" si="5"/>
        <v>0.5894062078</v>
      </c>
      <c r="N4736" s="2">
        <v>1.69418E7</v>
      </c>
      <c r="O4736" s="4">
        <f t="shared" si="6"/>
        <v>5715.85695</v>
      </c>
      <c r="P4736" s="2">
        <v>3.0</v>
      </c>
      <c r="Q4736" s="3">
        <f t="shared" si="7"/>
        <v>0.002255639098</v>
      </c>
      <c r="R4736" s="2">
        <v>1330.0</v>
      </c>
      <c r="S4736" s="5">
        <f t="shared" si="8"/>
        <v>1</v>
      </c>
    </row>
    <row r="4737">
      <c r="A4737" s="2" t="s">
        <v>4739</v>
      </c>
      <c r="B4737" s="2">
        <v>390.0</v>
      </c>
      <c r="C4737" s="2">
        <v>4600.0</v>
      </c>
      <c r="D4737" s="2">
        <v>1314.0</v>
      </c>
      <c r="E4737" s="3">
        <f t="shared" si="1"/>
        <v>0.3121140143</v>
      </c>
      <c r="F4737" s="2">
        <v>525.0</v>
      </c>
      <c r="G4737" s="3">
        <f t="shared" si="2"/>
        <v>0.1247030879</v>
      </c>
      <c r="H4737" s="2">
        <v>908.0</v>
      </c>
      <c r="I4737" s="3">
        <f t="shared" si="3"/>
        <v>0.2156769596</v>
      </c>
      <c r="J4737" s="2">
        <v>826.0</v>
      </c>
      <c r="K4737" s="3">
        <f t="shared" si="4"/>
        <v>0.1961995249</v>
      </c>
      <c r="L4737" s="2">
        <v>514.0</v>
      </c>
      <c r="M4737" s="3">
        <f t="shared" si="5"/>
        <v>0.5660792952</v>
      </c>
      <c r="N4737" s="2">
        <v>5300600.0</v>
      </c>
      <c r="O4737" s="4">
        <f t="shared" si="6"/>
        <v>5837.665198</v>
      </c>
      <c r="P4737" s="2">
        <v>0.0</v>
      </c>
      <c r="Q4737" s="3">
        <f t="shared" si="7"/>
        <v>0</v>
      </c>
      <c r="R4737" s="2">
        <v>390.0</v>
      </c>
      <c r="S4737" s="5">
        <f t="shared" si="8"/>
        <v>1</v>
      </c>
    </row>
    <row r="4738">
      <c r="A4738" s="2" t="s">
        <v>4740</v>
      </c>
      <c r="B4738" s="2">
        <v>428.0</v>
      </c>
      <c r="C4738" s="2">
        <v>5055.0</v>
      </c>
      <c r="D4738" s="2">
        <v>1866.0</v>
      </c>
      <c r="E4738" s="3">
        <f t="shared" si="1"/>
        <v>0.4032850659</v>
      </c>
      <c r="F4738" s="2">
        <v>577.0</v>
      </c>
      <c r="G4738" s="3">
        <f t="shared" si="2"/>
        <v>0.1247028312</v>
      </c>
      <c r="H4738" s="2">
        <v>1087.0</v>
      </c>
      <c r="I4738" s="3">
        <f t="shared" si="3"/>
        <v>0.2349254376</v>
      </c>
      <c r="J4738" s="2">
        <v>843.0</v>
      </c>
      <c r="K4738" s="3">
        <f t="shared" si="4"/>
        <v>0.1821914848</v>
      </c>
      <c r="L4738" s="2">
        <v>652.0</v>
      </c>
      <c r="M4738" s="3">
        <f t="shared" si="5"/>
        <v>0.5998160074</v>
      </c>
      <c r="N4738" s="2">
        <v>5725100.0</v>
      </c>
      <c r="O4738" s="4">
        <f t="shared" si="6"/>
        <v>5266.881325</v>
      </c>
      <c r="P4738" s="2">
        <v>1.0</v>
      </c>
      <c r="Q4738" s="3">
        <f t="shared" si="7"/>
        <v>0.002336448598</v>
      </c>
      <c r="R4738" s="2">
        <v>428.0</v>
      </c>
      <c r="S4738" s="5">
        <f t="shared" si="8"/>
        <v>1</v>
      </c>
    </row>
    <row r="4739">
      <c r="A4739" s="2" t="s">
        <v>4741</v>
      </c>
      <c r="B4739" s="2">
        <v>39.0</v>
      </c>
      <c r="C4739" s="2">
        <v>456.0</v>
      </c>
      <c r="D4739" s="2">
        <v>186.0</v>
      </c>
      <c r="E4739" s="3">
        <f t="shared" si="1"/>
        <v>0.4460431655</v>
      </c>
      <c r="F4739" s="2">
        <v>52.0</v>
      </c>
      <c r="G4739" s="3">
        <f t="shared" si="2"/>
        <v>0.1247002398</v>
      </c>
      <c r="H4739" s="2">
        <v>101.0</v>
      </c>
      <c r="I4739" s="3">
        <f t="shared" si="3"/>
        <v>0.242206235</v>
      </c>
      <c r="J4739" s="2">
        <v>74.0</v>
      </c>
      <c r="K4739" s="3">
        <f t="shared" si="4"/>
        <v>0.1774580336</v>
      </c>
      <c r="L4739" s="2">
        <v>63.0</v>
      </c>
      <c r="M4739" s="3">
        <f t="shared" si="5"/>
        <v>0.6237623762</v>
      </c>
      <c r="N4739" s="2">
        <v>540700.0</v>
      </c>
      <c r="O4739" s="4">
        <f t="shared" si="6"/>
        <v>5353.465347</v>
      </c>
      <c r="P4739" s="2">
        <v>0.0</v>
      </c>
      <c r="Q4739" s="3">
        <f t="shared" si="7"/>
        <v>0</v>
      </c>
      <c r="R4739" s="2">
        <v>39.0</v>
      </c>
      <c r="S4739" s="5">
        <f t="shared" si="8"/>
        <v>1</v>
      </c>
    </row>
    <row r="4740">
      <c r="A4740" s="2" t="s">
        <v>4742</v>
      </c>
      <c r="B4740" s="2">
        <v>77.0</v>
      </c>
      <c r="C4740" s="2">
        <v>895.0</v>
      </c>
      <c r="D4740" s="2">
        <v>333.0</v>
      </c>
      <c r="E4740" s="3">
        <f t="shared" si="1"/>
        <v>0.4070904645</v>
      </c>
      <c r="F4740" s="2">
        <v>102.0</v>
      </c>
      <c r="G4740" s="3">
        <f t="shared" si="2"/>
        <v>0.1246943765</v>
      </c>
      <c r="H4740" s="2">
        <v>179.0</v>
      </c>
      <c r="I4740" s="3">
        <f t="shared" si="3"/>
        <v>0.2188264059</v>
      </c>
      <c r="J4740" s="2">
        <v>127.0</v>
      </c>
      <c r="K4740" s="3">
        <f t="shared" si="4"/>
        <v>0.1552567237</v>
      </c>
      <c r="L4740" s="2">
        <v>106.0</v>
      </c>
      <c r="M4740" s="3">
        <f t="shared" si="5"/>
        <v>0.5921787709</v>
      </c>
      <c r="N4740" s="2">
        <v>943900.0</v>
      </c>
      <c r="O4740" s="4">
        <f t="shared" si="6"/>
        <v>5273.184358</v>
      </c>
      <c r="P4740" s="2">
        <v>0.0</v>
      </c>
      <c r="Q4740" s="3">
        <f t="shared" si="7"/>
        <v>0</v>
      </c>
      <c r="R4740" s="2">
        <v>9.0</v>
      </c>
      <c r="S4740" s="5">
        <f t="shared" si="8"/>
        <v>0.1168831169</v>
      </c>
    </row>
    <row r="4741">
      <c r="A4741" s="2" t="s">
        <v>4743</v>
      </c>
      <c r="B4741" s="2">
        <v>660.0</v>
      </c>
      <c r="C4741" s="2">
        <v>7605.0</v>
      </c>
      <c r="D4741" s="2">
        <v>2414.0</v>
      </c>
      <c r="E4741" s="3">
        <f t="shared" si="1"/>
        <v>0.3475881929</v>
      </c>
      <c r="F4741" s="2">
        <v>866.0</v>
      </c>
      <c r="G4741" s="3">
        <f t="shared" si="2"/>
        <v>0.1246940245</v>
      </c>
      <c r="H4741" s="2">
        <v>1475.0</v>
      </c>
      <c r="I4741" s="3">
        <f t="shared" si="3"/>
        <v>0.2123830094</v>
      </c>
      <c r="J4741" s="2">
        <v>1335.0</v>
      </c>
      <c r="K4741" s="3">
        <f t="shared" si="4"/>
        <v>0.192224622</v>
      </c>
      <c r="L4741" s="2">
        <v>861.0</v>
      </c>
      <c r="M4741" s="3">
        <f t="shared" si="5"/>
        <v>0.5837288136</v>
      </c>
      <c r="N4741" s="2">
        <v>8827500.0</v>
      </c>
      <c r="O4741" s="4">
        <f t="shared" si="6"/>
        <v>5984.745763</v>
      </c>
      <c r="P4741" s="2">
        <v>2.0</v>
      </c>
      <c r="Q4741" s="3">
        <f t="shared" si="7"/>
        <v>0.00303030303</v>
      </c>
      <c r="R4741" s="2">
        <v>0.0</v>
      </c>
      <c r="S4741" s="5">
        <f t="shared" si="8"/>
        <v>0</v>
      </c>
    </row>
    <row r="4742">
      <c r="A4742" s="2" t="s">
        <v>4744</v>
      </c>
      <c r="B4742" s="2">
        <v>3005.0</v>
      </c>
      <c r="C4742" s="2">
        <v>35084.0</v>
      </c>
      <c r="D4742" s="2">
        <v>12143.0</v>
      </c>
      <c r="E4742" s="3">
        <f t="shared" si="1"/>
        <v>0.3785342436</v>
      </c>
      <c r="F4742" s="2">
        <v>4000.0</v>
      </c>
      <c r="G4742" s="3">
        <f t="shared" si="2"/>
        <v>0.1246921662</v>
      </c>
      <c r="H4742" s="2">
        <v>6762.0</v>
      </c>
      <c r="I4742" s="3">
        <f t="shared" si="3"/>
        <v>0.210792107</v>
      </c>
      <c r="J4742" s="2">
        <v>4697.0</v>
      </c>
      <c r="K4742" s="3">
        <f t="shared" si="4"/>
        <v>0.1464197762</v>
      </c>
      <c r="L4742" s="2">
        <v>4092.0</v>
      </c>
      <c r="M4742" s="3">
        <f t="shared" si="5"/>
        <v>0.6051464064</v>
      </c>
      <c r="N4742" s="2">
        <v>3.56053E7</v>
      </c>
      <c r="O4742" s="4">
        <f t="shared" si="6"/>
        <v>5265.498373</v>
      </c>
      <c r="P4742" s="2">
        <v>2.0</v>
      </c>
      <c r="Q4742" s="3">
        <f t="shared" si="7"/>
        <v>0.0006655574043</v>
      </c>
      <c r="R4742" s="2">
        <v>3005.0</v>
      </c>
      <c r="S4742" s="5">
        <f t="shared" si="8"/>
        <v>1</v>
      </c>
    </row>
    <row r="4743">
      <c r="A4743" s="2" t="s">
        <v>4745</v>
      </c>
      <c r="B4743" s="2">
        <v>227.0</v>
      </c>
      <c r="C4743" s="2">
        <v>2657.0</v>
      </c>
      <c r="D4743" s="2">
        <v>858.0</v>
      </c>
      <c r="E4743" s="3">
        <f t="shared" si="1"/>
        <v>0.3530864198</v>
      </c>
      <c r="F4743" s="2">
        <v>303.0</v>
      </c>
      <c r="G4743" s="3">
        <f t="shared" si="2"/>
        <v>0.124691358</v>
      </c>
      <c r="H4743" s="2">
        <v>500.0</v>
      </c>
      <c r="I4743" s="3">
        <f t="shared" si="3"/>
        <v>0.2057613169</v>
      </c>
      <c r="J4743" s="2">
        <v>439.0</v>
      </c>
      <c r="K4743" s="3">
        <f t="shared" si="4"/>
        <v>0.1806584362</v>
      </c>
      <c r="L4743" s="2">
        <v>274.0</v>
      </c>
      <c r="M4743" s="3">
        <f t="shared" si="5"/>
        <v>0.548</v>
      </c>
      <c r="N4743" s="2">
        <v>2661600.0</v>
      </c>
      <c r="O4743" s="4">
        <f t="shared" si="6"/>
        <v>5323.2</v>
      </c>
      <c r="P4743" s="2">
        <v>0.0</v>
      </c>
      <c r="Q4743" s="3">
        <f t="shared" si="7"/>
        <v>0</v>
      </c>
      <c r="R4743" s="2">
        <v>206.0</v>
      </c>
      <c r="S4743" s="5">
        <f t="shared" si="8"/>
        <v>0.9074889868</v>
      </c>
    </row>
    <row r="4744">
      <c r="A4744" s="2" t="s">
        <v>4746</v>
      </c>
      <c r="B4744" s="2">
        <v>336.0</v>
      </c>
      <c r="C4744" s="2">
        <v>3977.0</v>
      </c>
      <c r="D4744" s="2">
        <v>1438.0</v>
      </c>
      <c r="E4744" s="3">
        <f t="shared" si="1"/>
        <v>0.3949464433</v>
      </c>
      <c r="F4744" s="2">
        <v>454.0</v>
      </c>
      <c r="G4744" s="3">
        <f t="shared" si="2"/>
        <v>0.124691019</v>
      </c>
      <c r="H4744" s="2">
        <v>769.0</v>
      </c>
      <c r="I4744" s="3">
        <f t="shared" si="3"/>
        <v>0.2112057127</v>
      </c>
      <c r="J4744" s="2">
        <v>491.0</v>
      </c>
      <c r="K4744" s="3">
        <f t="shared" si="4"/>
        <v>0.1348530623</v>
      </c>
      <c r="L4744" s="2">
        <v>471.0</v>
      </c>
      <c r="M4744" s="3">
        <f t="shared" si="5"/>
        <v>0.6124837451</v>
      </c>
      <c r="N4744" s="2">
        <v>3942400.0</v>
      </c>
      <c r="O4744" s="4">
        <f t="shared" si="6"/>
        <v>5126.657997</v>
      </c>
      <c r="P4744" s="2">
        <v>0.0</v>
      </c>
      <c r="Q4744" s="3">
        <f t="shared" si="7"/>
        <v>0</v>
      </c>
      <c r="R4744" s="2">
        <v>336.0</v>
      </c>
      <c r="S4744" s="5">
        <f t="shared" si="8"/>
        <v>1</v>
      </c>
    </row>
    <row r="4745">
      <c r="A4745" s="2" t="s">
        <v>4747</v>
      </c>
      <c r="B4745" s="2">
        <v>417.0</v>
      </c>
      <c r="C4745" s="2">
        <v>4852.0</v>
      </c>
      <c r="D4745" s="2">
        <v>1644.0</v>
      </c>
      <c r="E4745" s="3">
        <f t="shared" si="1"/>
        <v>0.3706877114</v>
      </c>
      <c r="F4745" s="2">
        <v>553.0</v>
      </c>
      <c r="G4745" s="3">
        <f t="shared" si="2"/>
        <v>0.1246899662</v>
      </c>
      <c r="H4745" s="2">
        <v>969.0</v>
      </c>
      <c r="I4745" s="3">
        <f t="shared" si="3"/>
        <v>0.2184892897</v>
      </c>
      <c r="J4745" s="2">
        <v>766.0</v>
      </c>
      <c r="K4745" s="3">
        <f t="shared" si="4"/>
        <v>0.1727170237</v>
      </c>
      <c r="L4745" s="2">
        <v>578.0</v>
      </c>
      <c r="M4745" s="3">
        <f t="shared" si="5"/>
        <v>0.5964912281</v>
      </c>
      <c r="N4745" s="2">
        <v>5371000.0</v>
      </c>
      <c r="O4745" s="4">
        <f t="shared" si="6"/>
        <v>5542.827657</v>
      </c>
      <c r="P4745" s="2">
        <v>1.0</v>
      </c>
      <c r="Q4745" s="3">
        <f t="shared" si="7"/>
        <v>0.002398081535</v>
      </c>
      <c r="R4745" s="2">
        <v>417.0</v>
      </c>
      <c r="S4745" s="5">
        <f t="shared" si="8"/>
        <v>1</v>
      </c>
    </row>
    <row r="4746">
      <c r="A4746" s="2" t="s">
        <v>4748</v>
      </c>
      <c r="B4746" s="2">
        <v>4193.0</v>
      </c>
      <c r="C4746" s="2">
        <v>49602.0</v>
      </c>
      <c r="D4746" s="2">
        <v>16520.0</v>
      </c>
      <c r="E4746" s="3">
        <f t="shared" si="1"/>
        <v>0.3638045321</v>
      </c>
      <c r="F4746" s="2">
        <v>5662.0</v>
      </c>
      <c r="G4746" s="3">
        <f t="shared" si="2"/>
        <v>0.1246889383</v>
      </c>
      <c r="H4746" s="2">
        <v>9721.0</v>
      </c>
      <c r="I4746" s="3">
        <f t="shared" si="3"/>
        <v>0.2140765047</v>
      </c>
      <c r="J4746" s="2">
        <v>7536.0</v>
      </c>
      <c r="K4746" s="3">
        <f t="shared" si="4"/>
        <v>0.1659582902</v>
      </c>
      <c r="L4746" s="2">
        <v>5768.0</v>
      </c>
      <c r="M4746" s="3">
        <f t="shared" si="5"/>
        <v>0.5933545931</v>
      </c>
      <c r="N4746" s="2">
        <v>5.17669E7</v>
      </c>
      <c r="O4746" s="4">
        <f t="shared" si="6"/>
        <v>5325.26489</v>
      </c>
      <c r="P4746" s="2">
        <v>4.0</v>
      </c>
      <c r="Q4746" s="3">
        <f t="shared" si="7"/>
        <v>0.0009539709039</v>
      </c>
      <c r="R4746" s="2">
        <v>2141.0</v>
      </c>
      <c r="S4746" s="5">
        <f t="shared" si="8"/>
        <v>0.5106129263</v>
      </c>
    </row>
    <row r="4747">
      <c r="A4747" s="2" t="s">
        <v>4749</v>
      </c>
      <c r="B4747" s="2">
        <v>403.0</v>
      </c>
      <c r="C4747" s="2">
        <v>4774.0</v>
      </c>
      <c r="D4747" s="2">
        <v>1838.0</v>
      </c>
      <c r="E4747" s="3">
        <f t="shared" si="1"/>
        <v>0.4204987417</v>
      </c>
      <c r="F4747" s="2">
        <v>545.0</v>
      </c>
      <c r="G4747" s="3">
        <f t="shared" si="2"/>
        <v>0.1246854267</v>
      </c>
      <c r="H4747" s="2">
        <v>896.0</v>
      </c>
      <c r="I4747" s="3">
        <f t="shared" si="3"/>
        <v>0.2049874171</v>
      </c>
      <c r="J4747" s="2">
        <v>602.0</v>
      </c>
      <c r="K4747" s="3">
        <f t="shared" si="4"/>
        <v>0.1377259208</v>
      </c>
      <c r="L4747" s="2">
        <v>541.0</v>
      </c>
      <c r="M4747" s="3">
        <f t="shared" si="5"/>
        <v>0.6037946429</v>
      </c>
      <c r="N4747" s="2">
        <v>4732700.0</v>
      </c>
      <c r="O4747" s="4">
        <f t="shared" si="6"/>
        <v>5282.03125</v>
      </c>
      <c r="P4747" s="2">
        <v>0.0</v>
      </c>
      <c r="Q4747" s="3">
        <f t="shared" si="7"/>
        <v>0</v>
      </c>
      <c r="R4747" s="2">
        <v>403.0</v>
      </c>
      <c r="S4747" s="5">
        <f t="shared" si="8"/>
        <v>1</v>
      </c>
    </row>
    <row r="4748">
      <c r="A4748" s="2" t="s">
        <v>4750</v>
      </c>
      <c r="B4748" s="2">
        <v>298.0</v>
      </c>
      <c r="C4748" s="2">
        <v>3442.0</v>
      </c>
      <c r="D4748" s="2">
        <v>1117.0</v>
      </c>
      <c r="E4748" s="3">
        <f t="shared" si="1"/>
        <v>0.3552798982</v>
      </c>
      <c r="F4748" s="2">
        <v>392.0</v>
      </c>
      <c r="G4748" s="3">
        <f t="shared" si="2"/>
        <v>0.1246819338</v>
      </c>
      <c r="H4748" s="2">
        <v>657.0</v>
      </c>
      <c r="I4748" s="3">
        <f t="shared" si="3"/>
        <v>0.2089694656</v>
      </c>
      <c r="J4748" s="2">
        <v>538.0</v>
      </c>
      <c r="K4748" s="3">
        <f t="shared" si="4"/>
        <v>0.1711195929</v>
      </c>
      <c r="L4748" s="2">
        <v>408.0</v>
      </c>
      <c r="M4748" s="3">
        <f t="shared" si="5"/>
        <v>0.6210045662</v>
      </c>
      <c r="N4748" s="2">
        <v>3631800.0</v>
      </c>
      <c r="O4748" s="4">
        <f t="shared" si="6"/>
        <v>5527.853881</v>
      </c>
      <c r="P4748" s="2">
        <v>1.0</v>
      </c>
      <c r="Q4748" s="3">
        <f t="shared" si="7"/>
        <v>0.003355704698</v>
      </c>
      <c r="R4748" s="2">
        <v>124.0</v>
      </c>
      <c r="S4748" s="5">
        <f t="shared" si="8"/>
        <v>0.4161073826</v>
      </c>
    </row>
    <row r="4749">
      <c r="A4749" s="2" t="s">
        <v>4751</v>
      </c>
      <c r="B4749" s="2">
        <v>1945.0</v>
      </c>
      <c r="C4749" s="2">
        <v>22678.0</v>
      </c>
      <c r="D4749" s="2">
        <v>5293.0</v>
      </c>
      <c r="E4749" s="3">
        <f t="shared" si="1"/>
        <v>0.2552934935</v>
      </c>
      <c r="F4749" s="2">
        <v>2585.0</v>
      </c>
      <c r="G4749" s="3">
        <f t="shared" si="2"/>
        <v>0.1246804611</v>
      </c>
      <c r="H4749" s="2">
        <v>4251.0</v>
      </c>
      <c r="I4749" s="3">
        <f t="shared" si="3"/>
        <v>0.2050354507</v>
      </c>
      <c r="J4749" s="2">
        <v>3769.0</v>
      </c>
      <c r="K4749" s="3">
        <f t="shared" si="4"/>
        <v>0.1817874885</v>
      </c>
      <c r="L4749" s="2">
        <v>2514.0</v>
      </c>
      <c r="M4749" s="3">
        <f t="shared" si="5"/>
        <v>0.5913902611</v>
      </c>
      <c r="N4749" s="2">
        <v>2.5555E7</v>
      </c>
      <c r="O4749" s="4">
        <f t="shared" si="6"/>
        <v>6011.5267</v>
      </c>
      <c r="P4749" s="2">
        <v>2.0</v>
      </c>
      <c r="Q4749" s="3">
        <f t="shared" si="7"/>
        <v>0.001028277635</v>
      </c>
      <c r="R4749" s="2">
        <v>1945.0</v>
      </c>
      <c r="S4749" s="5">
        <f t="shared" si="8"/>
        <v>1</v>
      </c>
    </row>
    <row r="4750">
      <c r="A4750" s="2" t="s">
        <v>4752</v>
      </c>
      <c r="B4750" s="2">
        <v>3835.0</v>
      </c>
      <c r="C4750" s="2">
        <v>45022.0</v>
      </c>
      <c r="D4750" s="2">
        <v>14157.0</v>
      </c>
      <c r="E4750" s="3">
        <f t="shared" si="1"/>
        <v>0.3437249618</v>
      </c>
      <c r="F4750" s="2">
        <v>5135.0</v>
      </c>
      <c r="G4750" s="3">
        <f t="shared" si="2"/>
        <v>0.1246752616</v>
      </c>
      <c r="H4750" s="2">
        <v>8464.0</v>
      </c>
      <c r="I4750" s="3">
        <f t="shared" si="3"/>
        <v>0.205501736</v>
      </c>
      <c r="J4750" s="2">
        <v>6191.0</v>
      </c>
      <c r="K4750" s="3">
        <f t="shared" si="4"/>
        <v>0.1503144196</v>
      </c>
      <c r="L4750" s="2">
        <v>5158.0</v>
      </c>
      <c r="M4750" s="3">
        <f t="shared" si="5"/>
        <v>0.6094045369</v>
      </c>
      <c r="N4750" s="2">
        <v>4.60232E7</v>
      </c>
      <c r="O4750" s="4">
        <f t="shared" si="6"/>
        <v>5437.523629</v>
      </c>
      <c r="P4750" s="2">
        <v>11.0</v>
      </c>
      <c r="Q4750" s="3">
        <f t="shared" si="7"/>
        <v>0.002868318123</v>
      </c>
      <c r="R4750" s="2">
        <v>0.0</v>
      </c>
      <c r="S4750" s="5">
        <f t="shared" si="8"/>
        <v>0</v>
      </c>
    </row>
    <row r="4751">
      <c r="A4751" s="2" t="s">
        <v>4753</v>
      </c>
      <c r="B4751" s="2">
        <v>1019.0</v>
      </c>
      <c r="C4751" s="2">
        <v>11775.0</v>
      </c>
      <c r="D4751" s="2">
        <v>3780.0</v>
      </c>
      <c r="E4751" s="3">
        <f t="shared" si="1"/>
        <v>0.351431759</v>
      </c>
      <c r="F4751" s="2">
        <v>1341.0</v>
      </c>
      <c r="G4751" s="3">
        <f t="shared" si="2"/>
        <v>0.1246746002</v>
      </c>
      <c r="H4751" s="2">
        <v>2418.0</v>
      </c>
      <c r="I4751" s="3">
        <f t="shared" si="3"/>
        <v>0.2248047601</v>
      </c>
      <c r="J4751" s="2">
        <v>1930.0</v>
      </c>
      <c r="K4751" s="3">
        <f t="shared" si="4"/>
        <v>0.1794347341</v>
      </c>
      <c r="L4751" s="2">
        <v>1451.0</v>
      </c>
      <c r="M4751" s="3">
        <f t="shared" si="5"/>
        <v>0.600082713</v>
      </c>
      <c r="N4751" s="2">
        <v>1.32306E7</v>
      </c>
      <c r="O4751" s="4">
        <f t="shared" si="6"/>
        <v>5471.712159</v>
      </c>
      <c r="P4751" s="2">
        <v>3.0</v>
      </c>
      <c r="Q4751" s="3">
        <f t="shared" si="7"/>
        <v>0.002944062807</v>
      </c>
      <c r="R4751" s="2">
        <v>6.0</v>
      </c>
      <c r="S4751" s="5">
        <f t="shared" si="8"/>
        <v>0.005888125613</v>
      </c>
    </row>
    <row r="4752">
      <c r="A4752" s="2" t="s">
        <v>4754</v>
      </c>
      <c r="B4752" s="2">
        <v>280.0</v>
      </c>
      <c r="C4752" s="2">
        <v>3336.0</v>
      </c>
      <c r="D4752" s="2">
        <v>1163.0</v>
      </c>
      <c r="E4752" s="3">
        <f t="shared" si="1"/>
        <v>0.3805628272</v>
      </c>
      <c r="F4752" s="2">
        <v>381.0</v>
      </c>
      <c r="G4752" s="3">
        <f t="shared" si="2"/>
        <v>0.1246727749</v>
      </c>
      <c r="H4752" s="2">
        <v>654.0</v>
      </c>
      <c r="I4752" s="3">
        <f t="shared" si="3"/>
        <v>0.2140052356</v>
      </c>
      <c r="J4752" s="2">
        <v>476.0</v>
      </c>
      <c r="K4752" s="3">
        <f t="shared" si="4"/>
        <v>0.1557591623</v>
      </c>
      <c r="L4752" s="2">
        <v>406.0</v>
      </c>
      <c r="M4752" s="3">
        <f t="shared" si="5"/>
        <v>0.620795107</v>
      </c>
      <c r="N4752" s="2">
        <v>3608600.0</v>
      </c>
      <c r="O4752" s="4">
        <f t="shared" si="6"/>
        <v>5517.737003</v>
      </c>
      <c r="P4752" s="2">
        <v>1.0</v>
      </c>
      <c r="Q4752" s="3">
        <f t="shared" si="7"/>
        <v>0.003571428571</v>
      </c>
      <c r="R4752" s="2">
        <v>0.0</v>
      </c>
      <c r="S4752" s="5">
        <f t="shared" si="8"/>
        <v>0</v>
      </c>
    </row>
    <row r="4753">
      <c r="A4753" s="2" t="s">
        <v>4755</v>
      </c>
      <c r="B4753" s="2">
        <v>1092.0</v>
      </c>
      <c r="C4753" s="2">
        <v>13012.0</v>
      </c>
      <c r="D4753" s="2">
        <v>4129.0</v>
      </c>
      <c r="E4753" s="3">
        <f t="shared" si="1"/>
        <v>0.3463926174</v>
      </c>
      <c r="F4753" s="2">
        <v>1486.0</v>
      </c>
      <c r="G4753" s="3">
        <f t="shared" si="2"/>
        <v>0.1246644295</v>
      </c>
      <c r="H4753" s="2">
        <v>2500.0</v>
      </c>
      <c r="I4753" s="3">
        <f t="shared" si="3"/>
        <v>0.2097315436</v>
      </c>
      <c r="J4753" s="2">
        <v>2295.0</v>
      </c>
      <c r="K4753" s="3">
        <f t="shared" si="4"/>
        <v>0.192533557</v>
      </c>
      <c r="L4753" s="2">
        <v>1447.0</v>
      </c>
      <c r="M4753" s="3">
        <f t="shared" si="5"/>
        <v>0.5788</v>
      </c>
      <c r="N4753" s="2">
        <v>1.39611E7</v>
      </c>
      <c r="O4753" s="4">
        <f t="shared" si="6"/>
        <v>5584.44</v>
      </c>
      <c r="P4753" s="2">
        <v>0.0</v>
      </c>
      <c r="Q4753" s="3">
        <f t="shared" si="7"/>
        <v>0</v>
      </c>
      <c r="R4753" s="2">
        <v>1092.0</v>
      </c>
      <c r="S4753" s="5">
        <f t="shared" si="8"/>
        <v>1</v>
      </c>
    </row>
    <row r="4754">
      <c r="A4754" s="2" t="s">
        <v>4756</v>
      </c>
      <c r="B4754" s="2">
        <v>447.0</v>
      </c>
      <c r="C4754" s="2">
        <v>5276.0</v>
      </c>
      <c r="D4754" s="2">
        <v>1679.0</v>
      </c>
      <c r="E4754" s="3">
        <f t="shared" si="1"/>
        <v>0.3476910333</v>
      </c>
      <c r="F4754" s="2">
        <v>602.0</v>
      </c>
      <c r="G4754" s="3">
        <f t="shared" si="2"/>
        <v>0.1246634914</v>
      </c>
      <c r="H4754" s="2">
        <v>1031.0</v>
      </c>
      <c r="I4754" s="3">
        <f t="shared" si="3"/>
        <v>0.2135017602</v>
      </c>
      <c r="J4754" s="2">
        <v>844.0</v>
      </c>
      <c r="K4754" s="3">
        <f t="shared" si="4"/>
        <v>0.1747773866</v>
      </c>
      <c r="L4754" s="2">
        <v>618.0</v>
      </c>
      <c r="M4754" s="3">
        <f t="shared" si="5"/>
        <v>0.5994180407</v>
      </c>
      <c r="N4754" s="2">
        <v>5493700.0</v>
      </c>
      <c r="O4754" s="4">
        <f t="shared" si="6"/>
        <v>5328.516004</v>
      </c>
      <c r="P4754" s="2">
        <v>0.0</v>
      </c>
      <c r="Q4754" s="3">
        <f t="shared" si="7"/>
        <v>0</v>
      </c>
      <c r="R4754" s="2">
        <v>447.0</v>
      </c>
      <c r="S4754" s="5">
        <f t="shared" si="8"/>
        <v>1</v>
      </c>
    </row>
    <row r="4755">
      <c r="A4755" s="2" t="s">
        <v>4757</v>
      </c>
      <c r="B4755" s="2">
        <v>515.0</v>
      </c>
      <c r="C4755" s="2">
        <v>6074.0</v>
      </c>
      <c r="D4755" s="2">
        <v>2311.0</v>
      </c>
      <c r="E4755" s="3">
        <f t="shared" si="1"/>
        <v>0.4157222522</v>
      </c>
      <c r="F4755" s="2">
        <v>693.0</v>
      </c>
      <c r="G4755" s="3">
        <f t="shared" si="2"/>
        <v>0.1246627091</v>
      </c>
      <c r="H4755" s="2">
        <v>1255.0</v>
      </c>
      <c r="I4755" s="3">
        <f t="shared" si="3"/>
        <v>0.2257600288</v>
      </c>
      <c r="J4755" s="2">
        <v>704.0</v>
      </c>
      <c r="K4755" s="3">
        <f t="shared" si="4"/>
        <v>0.1266414823</v>
      </c>
      <c r="L4755" s="2">
        <v>799.0</v>
      </c>
      <c r="M4755" s="3">
        <f t="shared" si="5"/>
        <v>0.6366533865</v>
      </c>
      <c r="N4755" s="2">
        <v>6425000.0</v>
      </c>
      <c r="O4755" s="4">
        <f t="shared" si="6"/>
        <v>5119.521912</v>
      </c>
      <c r="P4755" s="2">
        <v>1.0</v>
      </c>
      <c r="Q4755" s="3">
        <f t="shared" si="7"/>
        <v>0.001941747573</v>
      </c>
      <c r="R4755" s="2">
        <v>515.0</v>
      </c>
      <c r="S4755" s="5">
        <f t="shared" si="8"/>
        <v>1</v>
      </c>
    </row>
    <row r="4756">
      <c r="A4756" s="2" t="s">
        <v>4758</v>
      </c>
      <c r="B4756" s="2">
        <v>1781.0</v>
      </c>
      <c r="C4756" s="2">
        <v>20865.0</v>
      </c>
      <c r="D4756" s="2">
        <v>6894.0</v>
      </c>
      <c r="E4756" s="3">
        <f t="shared" si="1"/>
        <v>0.361245022</v>
      </c>
      <c r="F4756" s="2">
        <v>2379.0</v>
      </c>
      <c r="G4756" s="3">
        <f t="shared" si="2"/>
        <v>0.1246594005</v>
      </c>
      <c r="H4756" s="2">
        <v>3924.0</v>
      </c>
      <c r="I4756" s="3">
        <f t="shared" si="3"/>
        <v>0.205617271</v>
      </c>
      <c r="J4756" s="2">
        <v>3368.0</v>
      </c>
      <c r="K4756" s="3">
        <f t="shared" si="4"/>
        <v>0.1764829176</v>
      </c>
      <c r="L4756" s="2">
        <v>2365.0</v>
      </c>
      <c r="M4756" s="3">
        <f t="shared" si="5"/>
        <v>0.6027013252</v>
      </c>
      <c r="N4756" s="2">
        <v>2.23946E7</v>
      </c>
      <c r="O4756" s="4">
        <f t="shared" si="6"/>
        <v>5707.084608</v>
      </c>
      <c r="P4756" s="2">
        <v>4.0</v>
      </c>
      <c r="Q4756" s="3">
        <f t="shared" si="7"/>
        <v>0.002245929253</v>
      </c>
      <c r="R4756" s="2">
        <v>1780.0</v>
      </c>
      <c r="S4756" s="5">
        <f t="shared" si="8"/>
        <v>0.9994385177</v>
      </c>
    </row>
    <row r="4757">
      <c r="A4757" s="2" t="s">
        <v>4759</v>
      </c>
      <c r="B4757" s="2">
        <v>166.0</v>
      </c>
      <c r="C4757" s="2">
        <v>1987.0</v>
      </c>
      <c r="D4757" s="2">
        <v>594.0</v>
      </c>
      <c r="E4757" s="3">
        <f t="shared" si="1"/>
        <v>0.3261943987</v>
      </c>
      <c r="F4757" s="2">
        <v>227.0</v>
      </c>
      <c r="G4757" s="3">
        <f t="shared" si="2"/>
        <v>0.124656782</v>
      </c>
      <c r="H4757" s="2">
        <v>365.0</v>
      </c>
      <c r="I4757" s="3">
        <f t="shared" si="3"/>
        <v>0.2004393191</v>
      </c>
      <c r="J4757" s="2">
        <v>327.0</v>
      </c>
      <c r="K4757" s="3">
        <f t="shared" si="4"/>
        <v>0.1795716639</v>
      </c>
      <c r="L4757" s="2">
        <v>216.0</v>
      </c>
      <c r="M4757" s="3">
        <f t="shared" si="5"/>
        <v>0.5917808219</v>
      </c>
      <c r="N4757" s="2">
        <v>2122200.0</v>
      </c>
      <c r="O4757" s="4">
        <f t="shared" si="6"/>
        <v>5814.246575</v>
      </c>
      <c r="P4757" s="2">
        <v>0.0</v>
      </c>
      <c r="Q4757" s="3">
        <f t="shared" si="7"/>
        <v>0</v>
      </c>
      <c r="R4757" s="2">
        <v>166.0</v>
      </c>
      <c r="S4757" s="5">
        <f t="shared" si="8"/>
        <v>1</v>
      </c>
    </row>
    <row r="4758">
      <c r="A4758" s="2" t="s">
        <v>4760</v>
      </c>
      <c r="B4758" s="2">
        <v>98.0</v>
      </c>
      <c r="C4758" s="2">
        <v>1149.0</v>
      </c>
      <c r="D4758" s="2">
        <v>283.0</v>
      </c>
      <c r="E4758" s="3">
        <f t="shared" si="1"/>
        <v>0.2692673644</v>
      </c>
      <c r="F4758" s="2">
        <v>131.0</v>
      </c>
      <c r="G4758" s="3">
        <f t="shared" si="2"/>
        <v>0.124643197</v>
      </c>
      <c r="H4758" s="2">
        <v>225.0</v>
      </c>
      <c r="I4758" s="3">
        <f t="shared" si="3"/>
        <v>0.2140818268</v>
      </c>
      <c r="J4758" s="2">
        <v>177.0</v>
      </c>
      <c r="K4758" s="3">
        <f t="shared" si="4"/>
        <v>0.1684110371</v>
      </c>
      <c r="L4758" s="2">
        <v>128.0</v>
      </c>
      <c r="M4758" s="3">
        <f t="shared" si="5"/>
        <v>0.5688888889</v>
      </c>
      <c r="N4758" s="2">
        <v>1330700.0</v>
      </c>
      <c r="O4758" s="4">
        <f t="shared" si="6"/>
        <v>5914.222222</v>
      </c>
      <c r="P4758" s="2">
        <v>0.0</v>
      </c>
      <c r="Q4758" s="3">
        <f t="shared" si="7"/>
        <v>0</v>
      </c>
      <c r="R4758" s="2">
        <v>98.0</v>
      </c>
      <c r="S4758" s="5">
        <f t="shared" si="8"/>
        <v>1</v>
      </c>
    </row>
    <row r="4759">
      <c r="A4759" s="2" t="s">
        <v>4761</v>
      </c>
      <c r="B4759" s="2">
        <v>641.0</v>
      </c>
      <c r="C4759" s="2">
        <v>7486.0</v>
      </c>
      <c r="D4759" s="2">
        <v>2187.0</v>
      </c>
      <c r="E4759" s="3">
        <f t="shared" si="1"/>
        <v>0.3195032871</v>
      </c>
      <c r="F4759" s="2">
        <v>853.0</v>
      </c>
      <c r="G4759" s="3">
        <f t="shared" si="2"/>
        <v>0.1246165084</v>
      </c>
      <c r="H4759" s="2">
        <v>1411.0</v>
      </c>
      <c r="I4759" s="3">
        <f t="shared" si="3"/>
        <v>0.2061358656</v>
      </c>
      <c r="J4759" s="2">
        <v>1204.0</v>
      </c>
      <c r="K4759" s="3">
        <f t="shared" si="4"/>
        <v>0.1758948137</v>
      </c>
      <c r="L4759" s="2">
        <v>841.0</v>
      </c>
      <c r="M4759" s="3">
        <f t="shared" si="5"/>
        <v>0.5960311836</v>
      </c>
      <c r="N4759" s="2">
        <v>8017900.0</v>
      </c>
      <c r="O4759" s="4">
        <f t="shared" si="6"/>
        <v>5682.423813</v>
      </c>
      <c r="P4759" s="2">
        <v>0.0</v>
      </c>
      <c r="Q4759" s="3">
        <f t="shared" si="7"/>
        <v>0</v>
      </c>
      <c r="R4759" s="2">
        <v>263.0</v>
      </c>
      <c r="S4759" s="5">
        <f t="shared" si="8"/>
        <v>0.4102964119</v>
      </c>
    </row>
    <row r="4760">
      <c r="A4760" s="2" t="s">
        <v>4762</v>
      </c>
      <c r="B4760" s="2">
        <v>349.0</v>
      </c>
      <c r="C4760" s="2">
        <v>4201.0</v>
      </c>
      <c r="D4760" s="2">
        <v>1328.0</v>
      </c>
      <c r="E4760" s="3">
        <f t="shared" si="1"/>
        <v>0.3447559709</v>
      </c>
      <c r="F4760" s="2">
        <v>480.0</v>
      </c>
      <c r="G4760" s="3">
        <f t="shared" si="2"/>
        <v>0.1246105919</v>
      </c>
      <c r="H4760" s="2">
        <v>781.0</v>
      </c>
      <c r="I4760" s="3">
        <f t="shared" si="3"/>
        <v>0.2027518172</v>
      </c>
      <c r="J4760" s="2">
        <v>505.0</v>
      </c>
      <c r="K4760" s="3">
        <f t="shared" si="4"/>
        <v>0.1311007269</v>
      </c>
      <c r="L4760" s="2">
        <v>476.0</v>
      </c>
      <c r="M4760" s="3">
        <f t="shared" si="5"/>
        <v>0.609475032</v>
      </c>
      <c r="N4760" s="2">
        <v>4187100.0</v>
      </c>
      <c r="O4760" s="4">
        <f t="shared" si="6"/>
        <v>5361.203585</v>
      </c>
      <c r="P4760" s="2">
        <v>1.0</v>
      </c>
      <c r="Q4760" s="3">
        <f t="shared" si="7"/>
        <v>0.002865329513</v>
      </c>
      <c r="R4760" s="2">
        <v>349.0</v>
      </c>
      <c r="S4760" s="5">
        <f t="shared" si="8"/>
        <v>1</v>
      </c>
    </row>
    <row r="4761">
      <c r="A4761" s="2" t="s">
        <v>4763</v>
      </c>
      <c r="B4761" s="2">
        <v>969.0</v>
      </c>
      <c r="C4761" s="2">
        <v>11555.0</v>
      </c>
      <c r="D4761" s="2">
        <v>4256.0</v>
      </c>
      <c r="E4761" s="3">
        <f t="shared" si="1"/>
        <v>0.4020404308</v>
      </c>
      <c r="F4761" s="2">
        <v>1319.0</v>
      </c>
      <c r="G4761" s="3">
        <f t="shared" si="2"/>
        <v>0.1245985264</v>
      </c>
      <c r="H4761" s="2">
        <v>2296.0</v>
      </c>
      <c r="I4761" s="3">
        <f t="shared" si="3"/>
        <v>0.2168902324</v>
      </c>
      <c r="J4761" s="2">
        <v>1494.0</v>
      </c>
      <c r="K4761" s="3">
        <f t="shared" si="4"/>
        <v>0.1411297941</v>
      </c>
      <c r="L4761" s="2">
        <v>1386.0</v>
      </c>
      <c r="M4761" s="3">
        <f t="shared" si="5"/>
        <v>0.6036585366</v>
      </c>
      <c r="N4761" s="2">
        <v>1.2093E7</v>
      </c>
      <c r="O4761" s="4">
        <f t="shared" si="6"/>
        <v>5266.986063</v>
      </c>
      <c r="P4761" s="2">
        <v>1.0</v>
      </c>
      <c r="Q4761" s="3">
        <f t="shared" si="7"/>
        <v>0.001031991744</v>
      </c>
      <c r="R4761" s="2">
        <v>585.0</v>
      </c>
      <c r="S4761" s="5">
        <f t="shared" si="8"/>
        <v>0.6037151703</v>
      </c>
    </row>
    <row r="4762">
      <c r="A4762" s="2" t="s">
        <v>4764</v>
      </c>
      <c r="B4762" s="2">
        <v>58.0</v>
      </c>
      <c r="C4762" s="2">
        <v>676.0</v>
      </c>
      <c r="D4762" s="2">
        <v>245.0</v>
      </c>
      <c r="E4762" s="3">
        <f t="shared" si="1"/>
        <v>0.3964401294</v>
      </c>
      <c r="F4762" s="2">
        <v>77.0</v>
      </c>
      <c r="G4762" s="3">
        <f t="shared" si="2"/>
        <v>0.1245954693</v>
      </c>
      <c r="H4762" s="2">
        <v>117.0</v>
      </c>
      <c r="I4762" s="3">
        <f t="shared" si="3"/>
        <v>0.1893203883</v>
      </c>
      <c r="J4762" s="2">
        <v>84.0</v>
      </c>
      <c r="K4762" s="3">
        <f t="shared" si="4"/>
        <v>0.1359223301</v>
      </c>
      <c r="L4762" s="2">
        <v>82.0</v>
      </c>
      <c r="M4762" s="3">
        <f t="shared" si="5"/>
        <v>0.7008547009</v>
      </c>
      <c r="N4762" s="2">
        <v>665000.0</v>
      </c>
      <c r="O4762" s="4">
        <f t="shared" si="6"/>
        <v>5683.760684</v>
      </c>
      <c r="P4762" s="2">
        <v>0.0</v>
      </c>
      <c r="Q4762" s="3">
        <f t="shared" si="7"/>
        <v>0</v>
      </c>
      <c r="R4762" s="2">
        <v>57.0</v>
      </c>
      <c r="S4762" s="5">
        <f t="shared" si="8"/>
        <v>0.9827586207</v>
      </c>
    </row>
    <row r="4763">
      <c r="A4763" s="2" t="s">
        <v>4765</v>
      </c>
      <c r="B4763" s="2">
        <v>648.0</v>
      </c>
      <c r="C4763" s="2">
        <v>7607.0</v>
      </c>
      <c r="D4763" s="2">
        <v>2163.0</v>
      </c>
      <c r="E4763" s="3">
        <f t="shared" si="1"/>
        <v>0.3108205202</v>
      </c>
      <c r="F4763" s="2">
        <v>867.0</v>
      </c>
      <c r="G4763" s="3">
        <f t="shared" si="2"/>
        <v>0.1245868659</v>
      </c>
      <c r="H4763" s="2">
        <v>1553.0</v>
      </c>
      <c r="I4763" s="3">
        <f t="shared" si="3"/>
        <v>0.2231642477</v>
      </c>
      <c r="J4763" s="2">
        <v>1254.0</v>
      </c>
      <c r="K4763" s="3">
        <f t="shared" si="4"/>
        <v>0.1801983044</v>
      </c>
      <c r="L4763" s="2">
        <v>910.0</v>
      </c>
      <c r="M4763" s="3">
        <f t="shared" si="5"/>
        <v>0.5859626529</v>
      </c>
      <c r="N4763" s="2">
        <v>8602400.0</v>
      </c>
      <c r="O4763" s="4">
        <f t="shared" si="6"/>
        <v>5539.214424</v>
      </c>
      <c r="P4763" s="2">
        <v>1.0</v>
      </c>
      <c r="Q4763" s="3">
        <f t="shared" si="7"/>
        <v>0.001543209877</v>
      </c>
      <c r="R4763" s="2">
        <v>648.0</v>
      </c>
      <c r="S4763" s="5">
        <f t="shared" si="8"/>
        <v>1</v>
      </c>
    </row>
    <row r="4764">
      <c r="A4764" s="2" t="s">
        <v>4766</v>
      </c>
      <c r="B4764" s="2">
        <v>113.0</v>
      </c>
      <c r="C4764" s="2">
        <v>1317.0</v>
      </c>
      <c r="D4764" s="2">
        <v>370.0</v>
      </c>
      <c r="E4764" s="3">
        <f t="shared" si="1"/>
        <v>0.3073089701</v>
      </c>
      <c r="F4764" s="2">
        <v>150.0</v>
      </c>
      <c r="G4764" s="3">
        <f t="shared" si="2"/>
        <v>0.1245847176</v>
      </c>
      <c r="H4764" s="2">
        <v>242.0</v>
      </c>
      <c r="I4764" s="3">
        <f t="shared" si="3"/>
        <v>0.2009966777</v>
      </c>
      <c r="J4764" s="2">
        <v>198.0</v>
      </c>
      <c r="K4764" s="3">
        <f t="shared" si="4"/>
        <v>0.1644518272</v>
      </c>
      <c r="L4764" s="2">
        <v>140.0</v>
      </c>
      <c r="M4764" s="3">
        <f t="shared" si="5"/>
        <v>0.5785123967</v>
      </c>
      <c r="N4764" s="2">
        <v>1411600.0</v>
      </c>
      <c r="O4764" s="4">
        <f t="shared" si="6"/>
        <v>5833.057851</v>
      </c>
      <c r="P4764" s="2">
        <v>0.0</v>
      </c>
      <c r="Q4764" s="3">
        <f t="shared" si="7"/>
        <v>0</v>
      </c>
      <c r="R4764" s="2">
        <v>113.0</v>
      </c>
      <c r="S4764" s="5">
        <f t="shared" si="8"/>
        <v>1</v>
      </c>
    </row>
    <row r="4765">
      <c r="A4765" s="2" t="s">
        <v>4767</v>
      </c>
      <c r="B4765" s="2">
        <v>907.0</v>
      </c>
      <c r="C4765" s="2">
        <v>10523.0</v>
      </c>
      <c r="D4765" s="2">
        <v>3401.0</v>
      </c>
      <c r="E4765" s="3">
        <f t="shared" si="1"/>
        <v>0.3536813644</v>
      </c>
      <c r="F4765" s="2">
        <v>1198.0</v>
      </c>
      <c r="G4765" s="3">
        <f t="shared" si="2"/>
        <v>0.1245840266</v>
      </c>
      <c r="H4765" s="2">
        <v>2091.0</v>
      </c>
      <c r="I4765" s="3">
        <f t="shared" si="3"/>
        <v>0.2174500832</v>
      </c>
      <c r="J4765" s="2">
        <v>1860.0</v>
      </c>
      <c r="K4765" s="3">
        <f t="shared" si="4"/>
        <v>0.1934276206</v>
      </c>
      <c r="L4765" s="2">
        <v>1215.0</v>
      </c>
      <c r="M4765" s="3">
        <f t="shared" si="5"/>
        <v>0.581061693</v>
      </c>
      <c r="N4765" s="2">
        <v>1.25375E7</v>
      </c>
      <c r="O4765" s="4">
        <f t="shared" si="6"/>
        <v>5995.934959</v>
      </c>
      <c r="P4765" s="2">
        <v>4.0</v>
      </c>
      <c r="Q4765" s="3">
        <f t="shared" si="7"/>
        <v>0.00441014333</v>
      </c>
      <c r="R4765" s="2">
        <v>430.0</v>
      </c>
      <c r="S4765" s="5">
        <f t="shared" si="8"/>
        <v>0.4740904079</v>
      </c>
    </row>
    <row r="4766">
      <c r="A4766" s="2" t="s">
        <v>4768</v>
      </c>
      <c r="B4766" s="2">
        <v>276.0</v>
      </c>
      <c r="C4766" s="2">
        <v>3262.0</v>
      </c>
      <c r="D4766" s="2">
        <v>1064.0</v>
      </c>
      <c r="E4766" s="3">
        <f t="shared" si="1"/>
        <v>0.3563295378</v>
      </c>
      <c r="F4766" s="2">
        <v>372.0</v>
      </c>
      <c r="G4766" s="3">
        <f t="shared" si="2"/>
        <v>0.1245813798</v>
      </c>
      <c r="H4766" s="2">
        <v>579.0</v>
      </c>
      <c r="I4766" s="3">
        <f t="shared" si="3"/>
        <v>0.1939048895</v>
      </c>
      <c r="J4766" s="2">
        <v>498.0</v>
      </c>
      <c r="K4766" s="3">
        <f t="shared" si="4"/>
        <v>0.1667782987</v>
      </c>
      <c r="L4766" s="2">
        <v>333.0</v>
      </c>
      <c r="M4766" s="3">
        <f t="shared" si="5"/>
        <v>0.5751295337</v>
      </c>
      <c r="N4766" s="2">
        <v>3295200.0</v>
      </c>
      <c r="O4766" s="4">
        <f t="shared" si="6"/>
        <v>5691.19171</v>
      </c>
      <c r="P4766" s="2">
        <v>0.0</v>
      </c>
      <c r="Q4766" s="3">
        <f t="shared" si="7"/>
        <v>0</v>
      </c>
      <c r="R4766" s="2">
        <v>274.0</v>
      </c>
      <c r="S4766" s="5">
        <f t="shared" si="8"/>
        <v>0.9927536232</v>
      </c>
    </row>
    <row r="4767">
      <c r="A4767" s="2" t="s">
        <v>4769</v>
      </c>
      <c r="B4767" s="2">
        <v>167.0</v>
      </c>
      <c r="C4767" s="2">
        <v>1949.0</v>
      </c>
      <c r="D4767" s="2">
        <v>606.0</v>
      </c>
      <c r="E4767" s="3">
        <f t="shared" si="1"/>
        <v>0.3400673401</v>
      </c>
      <c r="F4767" s="2">
        <v>222.0</v>
      </c>
      <c r="G4767" s="3">
        <f t="shared" si="2"/>
        <v>0.1245791246</v>
      </c>
      <c r="H4767" s="2">
        <v>343.0</v>
      </c>
      <c r="I4767" s="3">
        <f t="shared" si="3"/>
        <v>0.1924803591</v>
      </c>
      <c r="J4767" s="2">
        <v>273.0</v>
      </c>
      <c r="K4767" s="3">
        <f t="shared" si="4"/>
        <v>0.1531986532</v>
      </c>
      <c r="L4767" s="2">
        <v>210.0</v>
      </c>
      <c r="M4767" s="3">
        <f t="shared" si="5"/>
        <v>0.612244898</v>
      </c>
      <c r="N4767" s="2">
        <v>1985700.0</v>
      </c>
      <c r="O4767" s="4">
        <f t="shared" si="6"/>
        <v>5789.212828</v>
      </c>
      <c r="P4767" s="2">
        <v>0.0</v>
      </c>
      <c r="Q4767" s="3">
        <f t="shared" si="7"/>
        <v>0</v>
      </c>
      <c r="R4767" s="2">
        <v>167.0</v>
      </c>
      <c r="S4767" s="5">
        <f t="shared" si="8"/>
        <v>1</v>
      </c>
    </row>
    <row r="4768">
      <c r="A4768" s="2" t="s">
        <v>4770</v>
      </c>
      <c r="B4768" s="2">
        <v>140.0</v>
      </c>
      <c r="C4768" s="2">
        <v>1617.0</v>
      </c>
      <c r="D4768" s="2">
        <v>451.0</v>
      </c>
      <c r="E4768" s="3">
        <f t="shared" si="1"/>
        <v>0.3053486798</v>
      </c>
      <c r="F4768" s="2">
        <v>184.0</v>
      </c>
      <c r="G4768" s="3">
        <f t="shared" si="2"/>
        <v>0.124576845</v>
      </c>
      <c r="H4768" s="2">
        <v>266.0</v>
      </c>
      <c r="I4768" s="3">
        <f t="shared" si="3"/>
        <v>0.1800947867</v>
      </c>
      <c r="J4768" s="2">
        <v>221.0</v>
      </c>
      <c r="K4768" s="3">
        <f t="shared" si="4"/>
        <v>0.1496276236</v>
      </c>
      <c r="L4768" s="2">
        <v>154.0</v>
      </c>
      <c r="M4768" s="3">
        <f t="shared" si="5"/>
        <v>0.5789473684</v>
      </c>
      <c r="N4768" s="2">
        <v>1469800.0</v>
      </c>
      <c r="O4768" s="4">
        <f t="shared" si="6"/>
        <v>5525.56391</v>
      </c>
      <c r="P4768" s="2">
        <v>0.0</v>
      </c>
      <c r="Q4768" s="3">
        <f t="shared" si="7"/>
        <v>0</v>
      </c>
      <c r="R4768" s="2">
        <v>140.0</v>
      </c>
      <c r="S4768" s="5">
        <f t="shared" si="8"/>
        <v>1</v>
      </c>
    </row>
    <row r="4769">
      <c r="A4769" s="2" t="s">
        <v>4771</v>
      </c>
      <c r="B4769" s="2">
        <v>1130.0</v>
      </c>
      <c r="C4769" s="2">
        <v>13235.0</v>
      </c>
      <c r="D4769" s="2">
        <v>4385.0</v>
      </c>
      <c r="E4769" s="3">
        <f t="shared" si="1"/>
        <v>0.3622470054</v>
      </c>
      <c r="F4769" s="2">
        <v>1508.0</v>
      </c>
      <c r="G4769" s="3">
        <f t="shared" si="2"/>
        <v>0.1245766212</v>
      </c>
      <c r="H4769" s="2">
        <v>2636.0</v>
      </c>
      <c r="I4769" s="3">
        <f t="shared" si="3"/>
        <v>0.2177612557</v>
      </c>
      <c r="J4769" s="2">
        <v>1853.0</v>
      </c>
      <c r="K4769" s="3">
        <f t="shared" si="4"/>
        <v>0.1530772408</v>
      </c>
      <c r="L4769" s="2">
        <v>1646.0</v>
      </c>
      <c r="M4769" s="3">
        <f t="shared" si="5"/>
        <v>0.624430956</v>
      </c>
      <c r="N4769" s="2">
        <v>1.44188E7</v>
      </c>
      <c r="O4769" s="4">
        <f t="shared" si="6"/>
        <v>5469.954476</v>
      </c>
      <c r="P4769" s="2">
        <v>1.0</v>
      </c>
      <c r="Q4769" s="3">
        <f t="shared" si="7"/>
        <v>0.0008849557522</v>
      </c>
      <c r="R4769" s="2">
        <v>1130.0</v>
      </c>
      <c r="S4769" s="5">
        <f t="shared" si="8"/>
        <v>1</v>
      </c>
    </row>
    <row r="4770">
      <c r="A4770" s="2" t="s">
        <v>4772</v>
      </c>
      <c r="B4770" s="2">
        <v>576.0</v>
      </c>
      <c r="C4770" s="2">
        <v>6749.0</v>
      </c>
      <c r="D4770" s="2">
        <v>2363.0</v>
      </c>
      <c r="E4770" s="3">
        <f t="shared" si="1"/>
        <v>0.3827960473</v>
      </c>
      <c r="F4770" s="2">
        <v>769.0</v>
      </c>
      <c r="G4770" s="3">
        <f t="shared" si="2"/>
        <v>0.1245747611</v>
      </c>
      <c r="H4770" s="2">
        <v>1310.0</v>
      </c>
      <c r="I4770" s="3">
        <f t="shared" si="3"/>
        <v>0.2122144824</v>
      </c>
      <c r="J4770" s="2">
        <v>1071.0</v>
      </c>
      <c r="K4770" s="3">
        <f t="shared" si="4"/>
        <v>0.1734974891</v>
      </c>
      <c r="L4770" s="2">
        <v>759.0</v>
      </c>
      <c r="M4770" s="3">
        <f t="shared" si="5"/>
        <v>0.579389313</v>
      </c>
      <c r="N4770" s="2">
        <v>7848100.0</v>
      </c>
      <c r="O4770" s="4">
        <f t="shared" si="6"/>
        <v>5990.916031</v>
      </c>
      <c r="P4770" s="2">
        <v>1.0</v>
      </c>
      <c r="Q4770" s="3">
        <f t="shared" si="7"/>
        <v>0.001736111111</v>
      </c>
      <c r="R4770" s="2">
        <v>576.0</v>
      </c>
      <c r="S4770" s="5">
        <f t="shared" si="8"/>
        <v>1</v>
      </c>
    </row>
    <row r="4771">
      <c r="A4771" s="2" t="s">
        <v>4773</v>
      </c>
      <c r="B4771" s="2">
        <v>635.0</v>
      </c>
      <c r="C4771" s="2">
        <v>7386.0</v>
      </c>
      <c r="D4771" s="2">
        <v>2287.0</v>
      </c>
      <c r="E4771" s="3">
        <f t="shared" si="1"/>
        <v>0.3387646275</v>
      </c>
      <c r="F4771" s="2">
        <v>841.0</v>
      </c>
      <c r="G4771" s="3">
        <f t="shared" si="2"/>
        <v>0.1245741372</v>
      </c>
      <c r="H4771" s="2">
        <v>1398.0</v>
      </c>
      <c r="I4771" s="3">
        <f t="shared" si="3"/>
        <v>0.2070804325</v>
      </c>
      <c r="J4771" s="2">
        <v>1149.0</v>
      </c>
      <c r="K4771" s="3">
        <f t="shared" si="4"/>
        <v>0.1701970079</v>
      </c>
      <c r="L4771" s="2">
        <v>857.0</v>
      </c>
      <c r="M4771" s="3">
        <f t="shared" si="5"/>
        <v>0.613018598</v>
      </c>
      <c r="N4771" s="2">
        <v>7768500.0</v>
      </c>
      <c r="O4771" s="4">
        <f t="shared" si="6"/>
        <v>5556.866953</v>
      </c>
      <c r="P4771" s="2">
        <v>1.0</v>
      </c>
      <c r="Q4771" s="3">
        <f t="shared" si="7"/>
        <v>0.00157480315</v>
      </c>
      <c r="R4771" s="2">
        <v>635.0</v>
      </c>
      <c r="S4771" s="5">
        <f t="shared" si="8"/>
        <v>1</v>
      </c>
    </row>
    <row r="4772">
      <c r="A4772" s="2" t="s">
        <v>4774</v>
      </c>
      <c r="B4772" s="2">
        <v>55.0</v>
      </c>
      <c r="C4772" s="2">
        <v>641.0</v>
      </c>
      <c r="D4772" s="2">
        <v>174.0</v>
      </c>
      <c r="E4772" s="3">
        <f t="shared" si="1"/>
        <v>0.2969283276</v>
      </c>
      <c r="F4772" s="2">
        <v>73.0</v>
      </c>
      <c r="G4772" s="3">
        <f t="shared" si="2"/>
        <v>0.1245733788</v>
      </c>
      <c r="H4772" s="2">
        <v>105.0</v>
      </c>
      <c r="I4772" s="3">
        <f t="shared" si="3"/>
        <v>0.1791808874</v>
      </c>
      <c r="J4772" s="2">
        <v>88.0</v>
      </c>
      <c r="K4772" s="3">
        <f t="shared" si="4"/>
        <v>0.1501706485</v>
      </c>
      <c r="L4772" s="2">
        <v>67.0</v>
      </c>
      <c r="M4772" s="3">
        <f t="shared" si="5"/>
        <v>0.6380952381</v>
      </c>
      <c r="N4772" s="2">
        <v>624800.0</v>
      </c>
      <c r="O4772" s="4">
        <f t="shared" si="6"/>
        <v>5950.47619</v>
      </c>
      <c r="P4772" s="2">
        <v>0.0</v>
      </c>
      <c r="Q4772" s="3">
        <f t="shared" si="7"/>
        <v>0</v>
      </c>
      <c r="R4772" s="2">
        <v>55.0</v>
      </c>
      <c r="S4772" s="5">
        <f t="shared" si="8"/>
        <v>1</v>
      </c>
    </row>
    <row r="4773">
      <c r="A4773" s="2" t="s">
        <v>4775</v>
      </c>
      <c r="B4773" s="2">
        <v>512.0</v>
      </c>
      <c r="C4773" s="2">
        <v>6075.0</v>
      </c>
      <c r="D4773" s="2">
        <v>2415.0</v>
      </c>
      <c r="E4773" s="3">
        <f t="shared" si="1"/>
        <v>0.4341182815</v>
      </c>
      <c r="F4773" s="2">
        <v>693.0</v>
      </c>
      <c r="G4773" s="3">
        <f t="shared" si="2"/>
        <v>0.1245730721</v>
      </c>
      <c r="H4773" s="2">
        <v>1170.0</v>
      </c>
      <c r="I4773" s="3">
        <f t="shared" si="3"/>
        <v>0.2103181736</v>
      </c>
      <c r="J4773" s="2">
        <v>910.0</v>
      </c>
      <c r="K4773" s="3">
        <f t="shared" si="4"/>
        <v>0.1635808017</v>
      </c>
      <c r="L4773" s="2">
        <v>711.0</v>
      </c>
      <c r="M4773" s="3">
        <f t="shared" si="5"/>
        <v>0.6076923077</v>
      </c>
      <c r="N4773" s="2">
        <v>6534200.0</v>
      </c>
      <c r="O4773" s="4">
        <f t="shared" si="6"/>
        <v>5584.786325</v>
      </c>
      <c r="P4773" s="2">
        <v>1.0</v>
      </c>
      <c r="Q4773" s="3">
        <f t="shared" si="7"/>
        <v>0.001953125</v>
      </c>
      <c r="R4773" s="2">
        <v>494.0</v>
      </c>
      <c r="S4773" s="5">
        <f t="shared" si="8"/>
        <v>0.96484375</v>
      </c>
    </row>
    <row r="4774">
      <c r="A4774" s="2" t="s">
        <v>4776</v>
      </c>
      <c r="B4774" s="2">
        <v>365.0</v>
      </c>
      <c r="C4774" s="2">
        <v>4162.0</v>
      </c>
      <c r="D4774" s="2">
        <v>1251.0</v>
      </c>
      <c r="E4774" s="3">
        <f t="shared" si="1"/>
        <v>0.3294706347</v>
      </c>
      <c r="F4774" s="2">
        <v>473.0</v>
      </c>
      <c r="G4774" s="3">
        <f t="shared" si="2"/>
        <v>0.1245720306</v>
      </c>
      <c r="H4774" s="2">
        <v>841.0</v>
      </c>
      <c r="I4774" s="3">
        <f t="shared" si="3"/>
        <v>0.2214906505</v>
      </c>
      <c r="J4774" s="2">
        <v>655.0</v>
      </c>
      <c r="K4774" s="3">
        <f t="shared" si="4"/>
        <v>0.1725046089</v>
      </c>
      <c r="L4774" s="2">
        <v>489.0</v>
      </c>
      <c r="M4774" s="3">
        <f t="shared" si="5"/>
        <v>0.581450654</v>
      </c>
      <c r="N4774" s="2">
        <v>4823700.0</v>
      </c>
      <c r="O4774" s="4">
        <f t="shared" si="6"/>
        <v>5735.671819</v>
      </c>
      <c r="P4774" s="2">
        <v>1.0</v>
      </c>
      <c r="Q4774" s="3">
        <f t="shared" si="7"/>
        <v>0.002739726027</v>
      </c>
      <c r="R4774" s="2">
        <v>365.0</v>
      </c>
      <c r="S4774" s="5">
        <f t="shared" si="8"/>
        <v>1</v>
      </c>
    </row>
    <row r="4775">
      <c r="A4775" s="2" t="s">
        <v>4777</v>
      </c>
      <c r="B4775" s="2">
        <v>5457.0</v>
      </c>
      <c r="C4775" s="2">
        <v>64130.0</v>
      </c>
      <c r="D4775" s="2">
        <v>17695.0</v>
      </c>
      <c r="E4775" s="3">
        <f t="shared" si="1"/>
        <v>0.3015867605</v>
      </c>
      <c r="F4775" s="2">
        <v>7309.0</v>
      </c>
      <c r="G4775" s="3">
        <f t="shared" si="2"/>
        <v>0.1245717792</v>
      </c>
      <c r="H4775" s="2">
        <v>12015.0</v>
      </c>
      <c r="I4775" s="3">
        <f t="shared" si="3"/>
        <v>0.2047790295</v>
      </c>
      <c r="J4775" s="2">
        <v>11138.0</v>
      </c>
      <c r="K4775" s="3">
        <f t="shared" si="4"/>
        <v>0.1898317795</v>
      </c>
      <c r="L4775" s="2">
        <v>7096.0</v>
      </c>
      <c r="M4775" s="3">
        <f t="shared" si="5"/>
        <v>0.5905950895</v>
      </c>
      <c r="N4775" s="2">
        <v>7.03068E7</v>
      </c>
      <c r="O4775" s="4">
        <f t="shared" si="6"/>
        <v>5851.585518</v>
      </c>
      <c r="P4775" s="2">
        <v>8.0</v>
      </c>
      <c r="Q4775" s="3">
        <f t="shared" si="7"/>
        <v>0.001466006964</v>
      </c>
      <c r="R4775" s="2">
        <v>5457.0</v>
      </c>
      <c r="S4775" s="5">
        <f t="shared" si="8"/>
        <v>1</v>
      </c>
    </row>
    <row r="4776">
      <c r="A4776" s="2" t="s">
        <v>4778</v>
      </c>
      <c r="B4776" s="2">
        <v>55.0</v>
      </c>
      <c r="C4776" s="2">
        <v>633.0</v>
      </c>
      <c r="D4776" s="2">
        <v>273.0</v>
      </c>
      <c r="E4776" s="3">
        <f t="shared" si="1"/>
        <v>0.4723183391</v>
      </c>
      <c r="F4776" s="2">
        <v>72.0</v>
      </c>
      <c r="G4776" s="3">
        <f t="shared" si="2"/>
        <v>0.124567474</v>
      </c>
      <c r="H4776" s="2">
        <v>128.0</v>
      </c>
      <c r="I4776" s="3">
        <f t="shared" si="3"/>
        <v>0.2214532872</v>
      </c>
      <c r="J4776" s="2">
        <v>85.0</v>
      </c>
      <c r="K4776" s="3">
        <f t="shared" si="4"/>
        <v>0.1470588235</v>
      </c>
      <c r="L4776" s="2">
        <v>85.0</v>
      </c>
      <c r="M4776" s="3">
        <f t="shared" si="5"/>
        <v>0.6640625</v>
      </c>
      <c r="N4776" s="2">
        <v>603500.0</v>
      </c>
      <c r="O4776" s="4">
        <f t="shared" si="6"/>
        <v>4714.84375</v>
      </c>
      <c r="P4776" s="2">
        <v>0.0</v>
      </c>
      <c r="Q4776" s="3">
        <f t="shared" si="7"/>
        <v>0</v>
      </c>
      <c r="R4776" s="2">
        <v>55.0</v>
      </c>
      <c r="S4776" s="5">
        <f t="shared" si="8"/>
        <v>1</v>
      </c>
    </row>
    <row r="4777">
      <c r="A4777" s="2" t="s">
        <v>4779</v>
      </c>
      <c r="B4777" s="2">
        <v>2916.0</v>
      </c>
      <c r="C4777" s="2">
        <v>34498.0</v>
      </c>
      <c r="D4777" s="2">
        <v>10252.0</v>
      </c>
      <c r="E4777" s="3">
        <f t="shared" si="1"/>
        <v>0.3246152872</v>
      </c>
      <c r="F4777" s="2">
        <v>3934.0</v>
      </c>
      <c r="G4777" s="3">
        <f t="shared" si="2"/>
        <v>0.1245646254</v>
      </c>
      <c r="H4777" s="2">
        <v>7196.0</v>
      </c>
      <c r="I4777" s="3">
        <f t="shared" si="3"/>
        <v>0.2278513077</v>
      </c>
      <c r="J4777" s="2">
        <v>5734.0</v>
      </c>
      <c r="K4777" s="3">
        <f t="shared" si="4"/>
        <v>0.181559116</v>
      </c>
      <c r="L4777" s="2">
        <v>4322.0</v>
      </c>
      <c r="M4777" s="3">
        <f t="shared" si="5"/>
        <v>0.6006114508</v>
      </c>
      <c r="N4777" s="2">
        <v>3.85611E7</v>
      </c>
      <c r="O4777" s="4">
        <f t="shared" si="6"/>
        <v>5358.685381</v>
      </c>
      <c r="P4777" s="2">
        <v>7.0</v>
      </c>
      <c r="Q4777" s="3">
        <f t="shared" si="7"/>
        <v>0.002400548697</v>
      </c>
      <c r="R4777" s="2">
        <v>2916.0</v>
      </c>
      <c r="S4777" s="5">
        <f t="shared" si="8"/>
        <v>1</v>
      </c>
    </row>
    <row r="4778">
      <c r="A4778" s="2" t="s">
        <v>4780</v>
      </c>
      <c r="B4778" s="2">
        <v>1670.0</v>
      </c>
      <c r="C4778" s="2">
        <v>19429.0</v>
      </c>
      <c r="D4778" s="2">
        <v>6225.0</v>
      </c>
      <c r="E4778" s="3">
        <f t="shared" si="1"/>
        <v>0.3505264936</v>
      </c>
      <c r="F4778" s="2">
        <v>2212.0</v>
      </c>
      <c r="G4778" s="3">
        <f t="shared" si="2"/>
        <v>0.1245565629</v>
      </c>
      <c r="H4778" s="2">
        <v>3831.0</v>
      </c>
      <c r="I4778" s="3">
        <f t="shared" si="3"/>
        <v>0.2157216059</v>
      </c>
      <c r="J4778" s="2">
        <v>2791.0</v>
      </c>
      <c r="K4778" s="3">
        <f t="shared" si="4"/>
        <v>0.15715975</v>
      </c>
      <c r="L4778" s="2">
        <v>2335.0</v>
      </c>
      <c r="M4778" s="3">
        <f t="shared" si="5"/>
        <v>0.6095014357</v>
      </c>
      <c r="N4778" s="2">
        <v>2.17252E7</v>
      </c>
      <c r="O4778" s="4">
        <f t="shared" si="6"/>
        <v>5670.895328</v>
      </c>
      <c r="P4778" s="2">
        <v>5.0</v>
      </c>
      <c r="Q4778" s="3">
        <f t="shared" si="7"/>
        <v>0.002994011976</v>
      </c>
      <c r="R4778" s="2">
        <v>0.0</v>
      </c>
      <c r="S4778" s="5">
        <f t="shared" si="8"/>
        <v>0</v>
      </c>
    </row>
    <row r="4779">
      <c r="A4779" s="2" t="s">
        <v>4781</v>
      </c>
      <c r="B4779" s="2">
        <v>5405.0</v>
      </c>
      <c r="C4779" s="2">
        <v>64078.0</v>
      </c>
      <c r="D4779" s="2">
        <v>22265.0</v>
      </c>
      <c r="E4779" s="3">
        <f t="shared" si="1"/>
        <v>0.3794760793</v>
      </c>
      <c r="F4779" s="2">
        <v>7308.0</v>
      </c>
      <c r="G4779" s="3">
        <f t="shared" si="2"/>
        <v>0.1245547356</v>
      </c>
      <c r="H4779" s="2">
        <v>12988.0</v>
      </c>
      <c r="I4779" s="3">
        <f t="shared" si="3"/>
        <v>0.2213624666</v>
      </c>
      <c r="J4779" s="2">
        <v>9492.0</v>
      </c>
      <c r="K4779" s="3">
        <f t="shared" si="4"/>
        <v>0.1617779899</v>
      </c>
      <c r="L4779" s="2">
        <v>7783.0</v>
      </c>
      <c r="M4779" s="3">
        <f t="shared" si="5"/>
        <v>0.5992454573</v>
      </c>
      <c r="N4779" s="2">
        <v>6.83086E7</v>
      </c>
      <c r="O4779" s="4">
        <f t="shared" si="6"/>
        <v>5259.362488</v>
      </c>
      <c r="P4779" s="2">
        <v>8.0</v>
      </c>
      <c r="Q4779" s="3">
        <f t="shared" si="7"/>
        <v>0.001480111008</v>
      </c>
      <c r="R4779" s="2">
        <v>5405.0</v>
      </c>
      <c r="S4779" s="5">
        <f t="shared" si="8"/>
        <v>1</v>
      </c>
    </row>
    <row r="4780">
      <c r="A4780" s="2" t="s">
        <v>4782</v>
      </c>
      <c r="B4780" s="2">
        <v>674.0</v>
      </c>
      <c r="C4780" s="2">
        <v>7844.0</v>
      </c>
      <c r="D4780" s="2">
        <v>2620.0</v>
      </c>
      <c r="E4780" s="3">
        <f t="shared" si="1"/>
        <v>0.3654114365</v>
      </c>
      <c r="F4780" s="2">
        <v>893.0</v>
      </c>
      <c r="G4780" s="3">
        <f t="shared" si="2"/>
        <v>0.1245467225</v>
      </c>
      <c r="H4780" s="2">
        <v>1462.0</v>
      </c>
      <c r="I4780" s="3">
        <f t="shared" si="3"/>
        <v>0.2039051604</v>
      </c>
      <c r="J4780" s="2">
        <v>1248.0</v>
      </c>
      <c r="K4780" s="3">
        <f t="shared" si="4"/>
        <v>0.1740585774</v>
      </c>
      <c r="L4780" s="2">
        <v>891.0</v>
      </c>
      <c r="M4780" s="3">
        <f t="shared" si="5"/>
        <v>0.6094391245</v>
      </c>
      <c r="N4780" s="2">
        <v>8232800.0</v>
      </c>
      <c r="O4780" s="4">
        <f t="shared" si="6"/>
        <v>5631.19015</v>
      </c>
      <c r="P4780" s="2">
        <v>0.0</v>
      </c>
      <c r="Q4780" s="3">
        <f t="shared" si="7"/>
        <v>0</v>
      </c>
      <c r="R4780" s="2">
        <v>674.0</v>
      </c>
      <c r="S4780" s="5">
        <f t="shared" si="8"/>
        <v>1</v>
      </c>
    </row>
    <row r="4781">
      <c r="A4781" s="2" t="s">
        <v>4783</v>
      </c>
      <c r="B4781" s="2">
        <v>315.0</v>
      </c>
      <c r="C4781" s="2">
        <v>3615.0</v>
      </c>
      <c r="D4781" s="2">
        <v>1093.0</v>
      </c>
      <c r="E4781" s="3">
        <f t="shared" si="1"/>
        <v>0.3312121212</v>
      </c>
      <c r="F4781" s="2">
        <v>411.0</v>
      </c>
      <c r="G4781" s="3">
        <f t="shared" si="2"/>
        <v>0.1245454545</v>
      </c>
      <c r="H4781" s="2">
        <v>715.0</v>
      </c>
      <c r="I4781" s="3">
        <f t="shared" si="3"/>
        <v>0.2166666667</v>
      </c>
      <c r="J4781" s="2">
        <v>566.0</v>
      </c>
      <c r="K4781" s="3">
        <f t="shared" si="4"/>
        <v>0.1715151515</v>
      </c>
      <c r="L4781" s="2">
        <v>428.0</v>
      </c>
      <c r="M4781" s="3">
        <f t="shared" si="5"/>
        <v>0.5986013986</v>
      </c>
      <c r="N4781" s="2">
        <v>3977900.0</v>
      </c>
      <c r="O4781" s="4">
        <f t="shared" si="6"/>
        <v>5563.496503</v>
      </c>
      <c r="P4781" s="2">
        <v>1.0</v>
      </c>
      <c r="Q4781" s="3">
        <f t="shared" si="7"/>
        <v>0.003174603175</v>
      </c>
      <c r="R4781" s="2">
        <v>315.0</v>
      </c>
      <c r="S4781" s="5">
        <f t="shared" si="8"/>
        <v>1</v>
      </c>
    </row>
    <row r="4782">
      <c r="A4782" s="2" t="s">
        <v>4784</v>
      </c>
      <c r="B4782" s="2">
        <v>249.0</v>
      </c>
      <c r="C4782" s="2">
        <v>2915.0</v>
      </c>
      <c r="D4782" s="2">
        <v>904.0</v>
      </c>
      <c r="E4782" s="3">
        <f t="shared" si="1"/>
        <v>0.3390847712</v>
      </c>
      <c r="F4782" s="2">
        <v>332.0</v>
      </c>
      <c r="G4782" s="3">
        <f t="shared" si="2"/>
        <v>0.1245311328</v>
      </c>
      <c r="H4782" s="2">
        <v>515.0</v>
      </c>
      <c r="I4782" s="3">
        <f t="shared" si="3"/>
        <v>0.1931732933</v>
      </c>
      <c r="J4782" s="2">
        <v>382.0</v>
      </c>
      <c r="K4782" s="3">
        <f t="shared" si="4"/>
        <v>0.1432858215</v>
      </c>
      <c r="L4782" s="2">
        <v>309.0</v>
      </c>
      <c r="M4782" s="3">
        <f t="shared" si="5"/>
        <v>0.6</v>
      </c>
      <c r="N4782" s="2">
        <v>3081400.0</v>
      </c>
      <c r="O4782" s="4">
        <f t="shared" si="6"/>
        <v>5983.300971</v>
      </c>
      <c r="P4782" s="2">
        <v>2.0</v>
      </c>
      <c r="Q4782" s="3">
        <f t="shared" si="7"/>
        <v>0.008032128514</v>
      </c>
      <c r="R4782" s="2">
        <v>249.0</v>
      </c>
      <c r="S4782" s="5">
        <f t="shared" si="8"/>
        <v>1</v>
      </c>
    </row>
    <row r="4783">
      <c r="A4783" s="2" t="s">
        <v>4785</v>
      </c>
      <c r="B4783" s="2">
        <v>244.0</v>
      </c>
      <c r="C4783" s="2">
        <v>2886.0</v>
      </c>
      <c r="D4783" s="2">
        <v>953.0</v>
      </c>
      <c r="E4783" s="3">
        <f t="shared" si="1"/>
        <v>0.3607115821</v>
      </c>
      <c r="F4783" s="2">
        <v>329.0</v>
      </c>
      <c r="G4783" s="3">
        <f t="shared" si="2"/>
        <v>0.1245268736</v>
      </c>
      <c r="H4783" s="2">
        <v>517.0</v>
      </c>
      <c r="I4783" s="3">
        <f t="shared" si="3"/>
        <v>0.1956850871</v>
      </c>
      <c r="J4783" s="2">
        <v>383.0</v>
      </c>
      <c r="K4783" s="3">
        <f t="shared" si="4"/>
        <v>0.1449659349</v>
      </c>
      <c r="L4783" s="2">
        <v>304.0</v>
      </c>
      <c r="M4783" s="3">
        <f t="shared" si="5"/>
        <v>0.5880077369</v>
      </c>
      <c r="N4783" s="2">
        <v>2856000.0</v>
      </c>
      <c r="O4783" s="4">
        <f t="shared" si="6"/>
        <v>5524.17795</v>
      </c>
      <c r="P4783" s="2">
        <v>2.0</v>
      </c>
      <c r="Q4783" s="3">
        <f t="shared" si="7"/>
        <v>0.008196721311</v>
      </c>
      <c r="R4783" s="2">
        <v>244.0</v>
      </c>
      <c r="S4783" s="5">
        <f t="shared" si="8"/>
        <v>1</v>
      </c>
    </row>
    <row r="4784">
      <c r="A4784" s="2" t="s">
        <v>4786</v>
      </c>
      <c r="B4784" s="2">
        <v>1091.0</v>
      </c>
      <c r="C4784" s="2">
        <v>12872.0</v>
      </c>
      <c r="D4784" s="2">
        <v>4696.0</v>
      </c>
      <c r="E4784" s="3">
        <f t="shared" si="1"/>
        <v>0.398607928</v>
      </c>
      <c r="F4784" s="2">
        <v>1467.0</v>
      </c>
      <c r="G4784" s="3">
        <f t="shared" si="2"/>
        <v>0.1245225363</v>
      </c>
      <c r="H4784" s="2">
        <v>2569.0</v>
      </c>
      <c r="I4784" s="3">
        <f t="shared" si="3"/>
        <v>0.2180629828</v>
      </c>
      <c r="J4784" s="2">
        <v>1961.0</v>
      </c>
      <c r="K4784" s="3">
        <f t="shared" si="4"/>
        <v>0.1664544606</v>
      </c>
      <c r="L4784" s="2">
        <v>1588.0</v>
      </c>
      <c r="M4784" s="3">
        <f t="shared" si="5"/>
        <v>0.6181393538</v>
      </c>
      <c r="N4784" s="2">
        <v>1.33049E7</v>
      </c>
      <c r="O4784" s="4">
        <f t="shared" si="6"/>
        <v>5179.019074</v>
      </c>
      <c r="P4784" s="2">
        <v>0.0</v>
      </c>
      <c r="Q4784" s="3">
        <f t="shared" si="7"/>
        <v>0</v>
      </c>
      <c r="R4784" s="2">
        <v>1091.0</v>
      </c>
      <c r="S4784" s="5">
        <f t="shared" si="8"/>
        <v>1</v>
      </c>
    </row>
    <row r="4785">
      <c r="A4785" s="2" t="s">
        <v>4787</v>
      </c>
      <c r="B4785" s="2">
        <v>920.0</v>
      </c>
      <c r="C4785" s="2">
        <v>10862.0</v>
      </c>
      <c r="D4785" s="2">
        <v>3470.0</v>
      </c>
      <c r="E4785" s="3">
        <f t="shared" si="1"/>
        <v>0.3490243412</v>
      </c>
      <c r="F4785" s="2">
        <v>1238.0</v>
      </c>
      <c r="G4785" s="3">
        <f t="shared" si="2"/>
        <v>0.1245222289</v>
      </c>
      <c r="H4785" s="2">
        <v>2132.0</v>
      </c>
      <c r="I4785" s="3">
        <f t="shared" si="3"/>
        <v>0.2144437739</v>
      </c>
      <c r="J4785" s="2">
        <v>1611.0</v>
      </c>
      <c r="K4785" s="3">
        <f t="shared" si="4"/>
        <v>0.162039831</v>
      </c>
      <c r="L4785" s="2">
        <v>1287.0</v>
      </c>
      <c r="M4785" s="3">
        <f t="shared" si="5"/>
        <v>0.6036585366</v>
      </c>
      <c r="N4785" s="2">
        <v>1.15813E7</v>
      </c>
      <c r="O4785" s="4">
        <f t="shared" si="6"/>
        <v>5432.129456</v>
      </c>
      <c r="P4785" s="2">
        <v>1.0</v>
      </c>
      <c r="Q4785" s="3">
        <f t="shared" si="7"/>
        <v>0.001086956522</v>
      </c>
      <c r="R4785" s="2">
        <v>920.0</v>
      </c>
      <c r="S4785" s="5">
        <f t="shared" si="8"/>
        <v>1</v>
      </c>
    </row>
    <row r="4786">
      <c r="A4786" s="2" t="s">
        <v>4788</v>
      </c>
      <c r="B4786" s="2">
        <v>920.0</v>
      </c>
      <c r="C4786" s="2">
        <v>10927.0</v>
      </c>
      <c r="D4786" s="2">
        <v>3833.0</v>
      </c>
      <c r="E4786" s="3">
        <f t="shared" si="1"/>
        <v>0.3830318777</v>
      </c>
      <c r="F4786" s="2">
        <v>1246.0</v>
      </c>
      <c r="G4786" s="3">
        <f t="shared" si="2"/>
        <v>0.124512841</v>
      </c>
      <c r="H4786" s="2">
        <v>2122.0</v>
      </c>
      <c r="I4786" s="3">
        <f t="shared" si="3"/>
        <v>0.2120515639</v>
      </c>
      <c r="J4786" s="2">
        <v>1589.0</v>
      </c>
      <c r="K4786" s="3">
        <f t="shared" si="4"/>
        <v>0.1587888478</v>
      </c>
      <c r="L4786" s="2">
        <v>1271.0</v>
      </c>
      <c r="M4786" s="3">
        <f t="shared" si="5"/>
        <v>0.5989632422</v>
      </c>
      <c r="N4786" s="2">
        <v>1.18344E7</v>
      </c>
      <c r="O4786" s="4">
        <f t="shared" si="6"/>
        <v>5577.002828</v>
      </c>
      <c r="P4786" s="2">
        <v>2.0</v>
      </c>
      <c r="Q4786" s="3">
        <f t="shared" si="7"/>
        <v>0.002173913043</v>
      </c>
      <c r="R4786" s="2">
        <v>887.0</v>
      </c>
      <c r="S4786" s="5">
        <f t="shared" si="8"/>
        <v>0.9641304348</v>
      </c>
    </row>
    <row r="4787">
      <c r="A4787" s="2" t="s">
        <v>4789</v>
      </c>
      <c r="B4787" s="2">
        <v>46.0</v>
      </c>
      <c r="C4787" s="2">
        <v>552.0</v>
      </c>
      <c r="D4787" s="2">
        <v>177.0</v>
      </c>
      <c r="E4787" s="3">
        <f t="shared" si="1"/>
        <v>0.3498023715</v>
      </c>
      <c r="F4787" s="2">
        <v>63.0</v>
      </c>
      <c r="G4787" s="3">
        <f t="shared" si="2"/>
        <v>0.1245059289</v>
      </c>
      <c r="H4787" s="2">
        <v>89.0</v>
      </c>
      <c r="I4787" s="3">
        <f t="shared" si="3"/>
        <v>0.1758893281</v>
      </c>
      <c r="J4787" s="2">
        <v>91.0</v>
      </c>
      <c r="K4787" s="3">
        <f t="shared" si="4"/>
        <v>0.1798418972</v>
      </c>
      <c r="L4787" s="2">
        <v>50.0</v>
      </c>
      <c r="M4787" s="3">
        <f t="shared" si="5"/>
        <v>0.5617977528</v>
      </c>
      <c r="N4787" s="2">
        <v>445700.0</v>
      </c>
      <c r="O4787" s="4">
        <f t="shared" si="6"/>
        <v>5007.865169</v>
      </c>
      <c r="P4787" s="2">
        <v>0.0</v>
      </c>
      <c r="Q4787" s="3">
        <f t="shared" si="7"/>
        <v>0</v>
      </c>
      <c r="R4787" s="2">
        <v>46.0</v>
      </c>
      <c r="S4787" s="5">
        <f t="shared" si="8"/>
        <v>1</v>
      </c>
    </row>
    <row r="4788">
      <c r="A4788" s="2" t="s">
        <v>4790</v>
      </c>
      <c r="B4788" s="2">
        <v>72.0</v>
      </c>
      <c r="C4788" s="2">
        <v>811.0</v>
      </c>
      <c r="D4788" s="2">
        <v>269.0</v>
      </c>
      <c r="E4788" s="3">
        <f t="shared" si="1"/>
        <v>0.3640054127</v>
      </c>
      <c r="F4788" s="2">
        <v>92.0</v>
      </c>
      <c r="G4788" s="3">
        <f t="shared" si="2"/>
        <v>0.1244925575</v>
      </c>
      <c r="H4788" s="2">
        <v>137.0</v>
      </c>
      <c r="I4788" s="3">
        <f t="shared" si="3"/>
        <v>0.1853856563</v>
      </c>
      <c r="J4788" s="2">
        <v>109.0</v>
      </c>
      <c r="K4788" s="3">
        <f t="shared" si="4"/>
        <v>0.1474966171</v>
      </c>
      <c r="L4788" s="2">
        <v>79.0</v>
      </c>
      <c r="M4788" s="3">
        <f t="shared" si="5"/>
        <v>0.5766423358</v>
      </c>
      <c r="N4788" s="2">
        <v>772600.0</v>
      </c>
      <c r="O4788" s="4">
        <f t="shared" si="6"/>
        <v>5639.416058</v>
      </c>
      <c r="P4788" s="2">
        <v>0.0</v>
      </c>
      <c r="Q4788" s="3">
        <f t="shared" si="7"/>
        <v>0</v>
      </c>
      <c r="R4788" s="2">
        <v>50.0</v>
      </c>
      <c r="S4788" s="5">
        <f t="shared" si="8"/>
        <v>0.6944444444</v>
      </c>
    </row>
    <row r="4789">
      <c r="A4789" s="2" t="s">
        <v>4791</v>
      </c>
      <c r="B4789" s="2">
        <v>591.0</v>
      </c>
      <c r="C4789" s="2">
        <v>6905.0</v>
      </c>
      <c r="D4789" s="2">
        <v>2004.0</v>
      </c>
      <c r="E4789" s="3">
        <f t="shared" si="1"/>
        <v>0.3173899271</v>
      </c>
      <c r="F4789" s="2">
        <v>786.0</v>
      </c>
      <c r="G4789" s="3">
        <f t="shared" si="2"/>
        <v>0.1244852708</v>
      </c>
      <c r="H4789" s="2">
        <v>1240.0</v>
      </c>
      <c r="I4789" s="3">
        <f t="shared" si="3"/>
        <v>0.1963889769</v>
      </c>
      <c r="J4789" s="2">
        <v>1141.0</v>
      </c>
      <c r="K4789" s="3">
        <f t="shared" si="4"/>
        <v>0.1807095344</v>
      </c>
      <c r="L4789" s="2">
        <v>737.0</v>
      </c>
      <c r="M4789" s="3">
        <f t="shared" si="5"/>
        <v>0.5943548387</v>
      </c>
      <c r="N4789" s="2">
        <v>7184800.0</v>
      </c>
      <c r="O4789" s="4">
        <f t="shared" si="6"/>
        <v>5794.193548</v>
      </c>
      <c r="P4789" s="2">
        <v>0.0</v>
      </c>
      <c r="Q4789" s="3">
        <f t="shared" si="7"/>
        <v>0</v>
      </c>
      <c r="R4789" s="2">
        <v>591.0</v>
      </c>
      <c r="S4789" s="5">
        <f t="shared" si="8"/>
        <v>1</v>
      </c>
    </row>
    <row r="4790">
      <c r="A4790" s="2" t="s">
        <v>4792</v>
      </c>
      <c r="B4790" s="2">
        <v>301.0</v>
      </c>
      <c r="C4790" s="2">
        <v>3450.0</v>
      </c>
      <c r="D4790" s="2">
        <v>1085.0</v>
      </c>
      <c r="E4790" s="3">
        <f t="shared" si="1"/>
        <v>0.3445538266</v>
      </c>
      <c r="F4790" s="2">
        <v>392.0</v>
      </c>
      <c r="G4790" s="3">
        <f t="shared" si="2"/>
        <v>0.1244839632</v>
      </c>
      <c r="H4790" s="2">
        <v>632.0</v>
      </c>
      <c r="I4790" s="3">
        <f t="shared" si="3"/>
        <v>0.2006986345</v>
      </c>
      <c r="J4790" s="2">
        <v>598.0</v>
      </c>
      <c r="K4790" s="3">
        <f t="shared" si="4"/>
        <v>0.189901556</v>
      </c>
      <c r="L4790" s="2">
        <v>363.0</v>
      </c>
      <c r="M4790" s="3">
        <f t="shared" si="5"/>
        <v>0.5743670886</v>
      </c>
      <c r="N4790" s="2">
        <v>3712800.0</v>
      </c>
      <c r="O4790" s="4">
        <f t="shared" si="6"/>
        <v>5874.683544</v>
      </c>
      <c r="P4790" s="2">
        <v>0.0</v>
      </c>
      <c r="Q4790" s="3">
        <f t="shared" si="7"/>
        <v>0</v>
      </c>
      <c r="R4790" s="2">
        <v>301.0</v>
      </c>
      <c r="S4790" s="5">
        <f t="shared" si="8"/>
        <v>1</v>
      </c>
    </row>
    <row r="4791">
      <c r="A4791" s="2" t="s">
        <v>4793</v>
      </c>
      <c r="B4791" s="2">
        <v>2024.0</v>
      </c>
      <c r="C4791" s="2">
        <v>23682.0</v>
      </c>
      <c r="D4791" s="2">
        <v>7713.0</v>
      </c>
      <c r="E4791" s="3">
        <f t="shared" si="1"/>
        <v>0.3561270662</v>
      </c>
      <c r="F4791" s="2">
        <v>2696.0</v>
      </c>
      <c r="G4791" s="3">
        <f t="shared" si="2"/>
        <v>0.1244805615</v>
      </c>
      <c r="H4791" s="2">
        <v>4663.0</v>
      </c>
      <c r="I4791" s="3">
        <f t="shared" si="3"/>
        <v>0.2153015052</v>
      </c>
      <c r="J4791" s="2">
        <v>3765.0</v>
      </c>
      <c r="K4791" s="3">
        <f t="shared" si="4"/>
        <v>0.1738387663</v>
      </c>
      <c r="L4791" s="2">
        <v>2720.0</v>
      </c>
      <c r="M4791" s="3">
        <f t="shared" si="5"/>
        <v>0.5833154621</v>
      </c>
      <c r="N4791" s="2">
        <v>2.5982E7</v>
      </c>
      <c r="O4791" s="4">
        <f t="shared" si="6"/>
        <v>5571.949389</v>
      </c>
      <c r="P4791" s="2">
        <v>6.0</v>
      </c>
      <c r="Q4791" s="3">
        <f t="shared" si="7"/>
        <v>0.002964426877</v>
      </c>
      <c r="R4791" s="2">
        <v>390.0</v>
      </c>
      <c r="S4791" s="5">
        <f t="shared" si="8"/>
        <v>0.192687747</v>
      </c>
    </row>
    <row r="4792">
      <c r="A4792" s="2" t="s">
        <v>4794</v>
      </c>
      <c r="B4792" s="2">
        <v>452.0</v>
      </c>
      <c r="C4792" s="2">
        <v>5264.0</v>
      </c>
      <c r="D4792" s="2">
        <v>1621.0</v>
      </c>
      <c r="E4792" s="3">
        <f t="shared" si="1"/>
        <v>0.3368661679</v>
      </c>
      <c r="F4792" s="2">
        <v>599.0</v>
      </c>
      <c r="G4792" s="3">
        <f t="shared" si="2"/>
        <v>0.1244804655</v>
      </c>
      <c r="H4792" s="2">
        <v>966.0</v>
      </c>
      <c r="I4792" s="3">
        <f t="shared" si="3"/>
        <v>0.2007481297</v>
      </c>
      <c r="J4792" s="2">
        <v>903.0</v>
      </c>
      <c r="K4792" s="3">
        <f t="shared" si="4"/>
        <v>0.1876558603</v>
      </c>
      <c r="L4792" s="2">
        <v>548.0</v>
      </c>
      <c r="M4792" s="3">
        <f t="shared" si="5"/>
        <v>0.5672877847</v>
      </c>
      <c r="N4792" s="2">
        <v>5677000.0</v>
      </c>
      <c r="O4792" s="4">
        <f t="shared" si="6"/>
        <v>5876.811594</v>
      </c>
      <c r="P4792" s="2">
        <v>0.0</v>
      </c>
      <c r="Q4792" s="3">
        <f t="shared" si="7"/>
        <v>0</v>
      </c>
      <c r="R4792" s="2">
        <v>452.0</v>
      </c>
      <c r="S4792" s="5">
        <f t="shared" si="8"/>
        <v>1</v>
      </c>
    </row>
    <row r="4793">
      <c r="A4793" s="2" t="s">
        <v>4795</v>
      </c>
      <c r="B4793" s="2">
        <v>517.0</v>
      </c>
      <c r="C4793" s="2">
        <v>6044.0</v>
      </c>
      <c r="D4793" s="2">
        <v>2048.0</v>
      </c>
      <c r="E4793" s="3">
        <f t="shared" si="1"/>
        <v>0.3705445992</v>
      </c>
      <c r="F4793" s="2">
        <v>688.0</v>
      </c>
      <c r="G4793" s="3">
        <f t="shared" si="2"/>
        <v>0.1244798263</v>
      </c>
      <c r="H4793" s="2">
        <v>1157.0</v>
      </c>
      <c r="I4793" s="3">
        <f t="shared" si="3"/>
        <v>0.209335987</v>
      </c>
      <c r="J4793" s="2">
        <v>962.0</v>
      </c>
      <c r="K4793" s="3">
        <f t="shared" si="4"/>
        <v>0.1740546409</v>
      </c>
      <c r="L4793" s="2">
        <v>682.0</v>
      </c>
      <c r="M4793" s="3">
        <f t="shared" si="5"/>
        <v>0.5894554883</v>
      </c>
      <c r="N4793" s="2">
        <v>5913000.0</v>
      </c>
      <c r="O4793" s="4">
        <f t="shared" si="6"/>
        <v>5110.630942</v>
      </c>
      <c r="P4793" s="2">
        <v>0.0</v>
      </c>
      <c r="Q4793" s="3">
        <f t="shared" si="7"/>
        <v>0</v>
      </c>
      <c r="R4793" s="2">
        <v>517.0</v>
      </c>
      <c r="S4793" s="5">
        <f t="shared" si="8"/>
        <v>1</v>
      </c>
    </row>
    <row r="4794">
      <c r="A4794" s="2" t="s">
        <v>4796</v>
      </c>
      <c r="B4794" s="2">
        <v>530.0</v>
      </c>
      <c r="C4794" s="2">
        <v>6282.0</v>
      </c>
      <c r="D4794" s="2">
        <v>2003.0</v>
      </c>
      <c r="E4794" s="3">
        <f t="shared" si="1"/>
        <v>0.3482267038</v>
      </c>
      <c r="F4794" s="2">
        <v>716.0</v>
      </c>
      <c r="G4794" s="3">
        <f t="shared" si="2"/>
        <v>0.1244784423</v>
      </c>
      <c r="H4794" s="2">
        <v>1154.0</v>
      </c>
      <c r="I4794" s="3">
        <f t="shared" si="3"/>
        <v>0.2006258693</v>
      </c>
      <c r="J4794" s="2">
        <v>979.0</v>
      </c>
      <c r="K4794" s="3">
        <f t="shared" si="4"/>
        <v>0.170201669</v>
      </c>
      <c r="L4794" s="2">
        <v>695.0</v>
      </c>
      <c r="M4794" s="3">
        <f t="shared" si="5"/>
        <v>0.6022530329</v>
      </c>
      <c r="N4794" s="2">
        <v>6586800.0</v>
      </c>
      <c r="O4794" s="4">
        <f t="shared" si="6"/>
        <v>5707.79896</v>
      </c>
      <c r="P4794" s="2">
        <v>1.0</v>
      </c>
      <c r="Q4794" s="3">
        <f t="shared" si="7"/>
        <v>0.001886792453</v>
      </c>
      <c r="R4794" s="2">
        <v>317.0</v>
      </c>
      <c r="S4794" s="5">
        <f t="shared" si="8"/>
        <v>0.5981132075</v>
      </c>
    </row>
    <row r="4795">
      <c r="A4795" s="2" t="s">
        <v>4797</v>
      </c>
      <c r="B4795" s="2">
        <v>110.0</v>
      </c>
      <c r="C4795" s="2">
        <v>1299.0</v>
      </c>
      <c r="D4795" s="2">
        <v>380.0</v>
      </c>
      <c r="E4795" s="3">
        <f t="shared" si="1"/>
        <v>0.3195962994</v>
      </c>
      <c r="F4795" s="2">
        <v>148.0</v>
      </c>
      <c r="G4795" s="3">
        <f t="shared" si="2"/>
        <v>0.1244743482</v>
      </c>
      <c r="H4795" s="2">
        <v>240.0</v>
      </c>
      <c r="I4795" s="3">
        <f t="shared" si="3"/>
        <v>0.2018502944</v>
      </c>
      <c r="J4795" s="2">
        <v>124.0</v>
      </c>
      <c r="K4795" s="3">
        <f t="shared" si="4"/>
        <v>0.1042893188</v>
      </c>
      <c r="L4795" s="2">
        <v>145.0</v>
      </c>
      <c r="M4795" s="3">
        <f t="shared" si="5"/>
        <v>0.6041666667</v>
      </c>
      <c r="N4795" s="2">
        <v>1376200.0</v>
      </c>
      <c r="O4795" s="4">
        <f t="shared" si="6"/>
        <v>5734.166667</v>
      </c>
      <c r="P4795" s="2">
        <v>0.0</v>
      </c>
      <c r="Q4795" s="3">
        <f t="shared" si="7"/>
        <v>0</v>
      </c>
      <c r="R4795" s="2">
        <v>110.0</v>
      </c>
      <c r="S4795" s="5">
        <f t="shared" si="8"/>
        <v>1</v>
      </c>
    </row>
    <row r="4796">
      <c r="A4796" s="2" t="s">
        <v>4798</v>
      </c>
      <c r="B4796" s="2">
        <v>312.0</v>
      </c>
      <c r="C4796" s="2">
        <v>3630.0</v>
      </c>
      <c r="D4796" s="2">
        <v>1259.0</v>
      </c>
      <c r="E4796" s="3">
        <f t="shared" si="1"/>
        <v>0.3794454491</v>
      </c>
      <c r="F4796" s="2">
        <v>413.0</v>
      </c>
      <c r="G4796" s="3">
        <f t="shared" si="2"/>
        <v>0.1244725738</v>
      </c>
      <c r="H4796" s="2">
        <v>731.0</v>
      </c>
      <c r="I4796" s="3">
        <f t="shared" si="3"/>
        <v>0.2203134418</v>
      </c>
      <c r="J4796" s="2">
        <v>591.0</v>
      </c>
      <c r="K4796" s="3">
        <f t="shared" si="4"/>
        <v>0.178119349</v>
      </c>
      <c r="L4796" s="2">
        <v>432.0</v>
      </c>
      <c r="M4796" s="3">
        <f t="shared" si="5"/>
        <v>0.5909712722</v>
      </c>
      <c r="N4796" s="2">
        <v>3882700.0</v>
      </c>
      <c r="O4796" s="4">
        <f t="shared" si="6"/>
        <v>5311.491108</v>
      </c>
      <c r="P4796" s="2">
        <v>0.0</v>
      </c>
      <c r="Q4796" s="3">
        <f t="shared" si="7"/>
        <v>0</v>
      </c>
      <c r="R4796" s="2">
        <v>312.0</v>
      </c>
      <c r="S4796" s="5">
        <f t="shared" si="8"/>
        <v>1</v>
      </c>
    </row>
    <row r="4797">
      <c r="A4797" s="2" t="s">
        <v>4799</v>
      </c>
      <c r="B4797" s="2">
        <v>545.0</v>
      </c>
      <c r="C4797" s="2">
        <v>6298.0</v>
      </c>
      <c r="D4797" s="2">
        <v>1948.0</v>
      </c>
      <c r="E4797" s="3">
        <f t="shared" si="1"/>
        <v>0.3386059447</v>
      </c>
      <c r="F4797" s="2">
        <v>716.0</v>
      </c>
      <c r="G4797" s="3">
        <f t="shared" si="2"/>
        <v>0.1244568051</v>
      </c>
      <c r="H4797" s="2">
        <v>1150.0</v>
      </c>
      <c r="I4797" s="3">
        <f t="shared" si="3"/>
        <v>0.1998957066</v>
      </c>
      <c r="J4797" s="2">
        <v>1068.0</v>
      </c>
      <c r="K4797" s="3">
        <f t="shared" si="4"/>
        <v>0.1856422736</v>
      </c>
      <c r="L4797" s="2">
        <v>679.0</v>
      </c>
      <c r="M4797" s="3">
        <f t="shared" si="5"/>
        <v>0.5904347826</v>
      </c>
      <c r="N4797" s="2">
        <v>6598000.0</v>
      </c>
      <c r="O4797" s="4">
        <f t="shared" si="6"/>
        <v>5737.391304</v>
      </c>
      <c r="P4797" s="2">
        <v>0.0</v>
      </c>
      <c r="Q4797" s="3">
        <f t="shared" si="7"/>
        <v>0</v>
      </c>
      <c r="R4797" s="2">
        <v>545.0</v>
      </c>
      <c r="S4797" s="5">
        <f t="shared" si="8"/>
        <v>1</v>
      </c>
    </row>
    <row r="4798">
      <c r="A4798" s="2" t="s">
        <v>4800</v>
      </c>
      <c r="B4798" s="2">
        <v>85.0</v>
      </c>
      <c r="C4798" s="2">
        <v>1001.0</v>
      </c>
      <c r="D4798" s="2">
        <v>341.0</v>
      </c>
      <c r="E4798" s="3">
        <f t="shared" si="1"/>
        <v>0.3722707424</v>
      </c>
      <c r="F4798" s="2">
        <v>114.0</v>
      </c>
      <c r="G4798" s="3">
        <f t="shared" si="2"/>
        <v>0.1244541485</v>
      </c>
      <c r="H4798" s="2">
        <v>181.0</v>
      </c>
      <c r="I4798" s="3">
        <f t="shared" si="3"/>
        <v>0.1975982533</v>
      </c>
      <c r="J4798" s="2">
        <v>136.0</v>
      </c>
      <c r="K4798" s="3">
        <f t="shared" si="4"/>
        <v>0.1484716157</v>
      </c>
      <c r="L4798" s="2">
        <v>112.0</v>
      </c>
      <c r="M4798" s="3">
        <f t="shared" si="5"/>
        <v>0.6187845304</v>
      </c>
      <c r="N4798" s="2">
        <v>985500.0</v>
      </c>
      <c r="O4798" s="4">
        <f t="shared" si="6"/>
        <v>5444.751381</v>
      </c>
      <c r="P4798" s="2">
        <v>0.0</v>
      </c>
      <c r="Q4798" s="3">
        <f t="shared" si="7"/>
        <v>0</v>
      </c>
      <c r="R4798" s="2">
        <v>85.0</v>
      </c>
      <c r="S4798" s="5">
        <f t="shared" si="8"/>
        <v>1</v>
      </c>
    </row>
    <row r="4799">
      <c r="A4799" s="2" t="s">
        <v>4801</v>
      </c>
      <c r="B4799" s="2">
        <v>429.0</v>
      </c>
      <c r="C4799" s="2">
        <v>5001.0</v>
      </c>
      <c r="D4799" s="2">
        <v>1256.0</v>
      </c>
      <c r="E4799" s="3">
        <f t="shared" si="1"/>
        <v>0.2747156605</v>
      </c>
      <c r="F4799" s="2">
        <v>569.0</v>
      </c>
      <c r="G4799" s="3">
        <f t="shared" si="2"/>
        <v>0.1244531934</v>
      </c>
      <c r="H4799" s="2">
        <v>1001.0</v>
      </c>
      <c r="I4799" s="3">
        <f t="shared" si="3"/>
        <v>0.2189413823</v>
      </c>
      <c r="J4799" s="2">
        <v>849.0</v>
      </c>
      <c r="K4799" s="3">
        <f t="shared" si="4"/>
        <v>0.1856955381</v>
      </c>
      <c r="L4799" s="2">
        <v>615.0</v>
      </c>
      <c r="M4799" s="3">
        <f t="shared" si="5"/>
        <v>0.6143856144</v>
      </c>
      <c r="N4799" s="2">
        <v>6354400.0</v>
      </c>
      <c r="O4799" s="4">
        <f t="shared" si="6"/>
        <v>6348.051948</v>
      </c>
      <c r="P4799" s="2">
        <v>1.0</v>
      </c>
      <c r="Q4799" s="3">
        <f t="shared" si="7"/>
        <v>0.002331002331</v>
      </c>
      <c r="R4799" s="2">
        <v>429.0</v>
      </c>
      <c r="S4799" s="5">
        <f t="shared" si="8"/>
        <v>1</v>
      </c>
    </row>
    <row r="4800">
      <c r="A4800" s="2" t="s">
        <v>4802</v>
      </c>
      <c r="B4800" s="2">
        <v>875.0</v>
      </c>
      <c r="C4800" s="2">
        <v>10381.0</v>
      </c>
      <c r="D4800" s="2">
        <v>3087.0</v>
      </c>
      <c r="E4800" s="3">
        <f t="shared" si="1"/>
        <v>0.324742268</v>
      </c>
      <c r="F4800" s="2">
        <v>1183.0</v>
      </c>
      <c r="G4800" s="3">
        <f t="shared" si="2"/>
        <v>0.1244477172</v>
      </c>
      <c r="H4800" s="2">
        <v>1967.0</v>
      </c>
      <c r="I4800" s="3">
        <f t="shared" si="3"/>
        <v>0.206921944</v>
      </c>
      <c r="J4800" s="2">
        <v>1200.0</v>
      </c>
      <c r="K4800" s="3">
        <f t="shared" si="4"/>
        <v>0.1262360614</v>
      </c>
      <c r="L4800" s="2">
        <v>1180.0</v>
      </c>
      <c r="M4800" s="3">
        <f t="shared" si="5"/>
        <v>0.5998983223</v>
      </c>
      <c r="N4800" s="2">
        <v>1.03892E7</v>
      </c>
      <c r="O4800" s="4">
        <f t="shared" si="6"/>
        <v>5281.748856</v>
      </c>
      <c r="P4800" s="2">
        <v>0.0</v>
      </c>
      <c r="Q4800" s="3">
        <f t="shared" si="7"/>
        <v>0</v>
      </c>
      <c r="R4800" s="2">
        <v>875.0</v>
      </c>
      <c r="S4800" s="5">
        <f t="shared" si="8"/>
        <v>1</v>
      </c>
    </row>
    <row r="4801">
      <c r="A4801" s="2" t="s">
        <v>4803</v>
      </c>
      <c r="B4801" s="2">
        <v>209.0</v>
      </c>
      <c r="C4801" s="2">
        <v>2443.0</v>
      </c>
      <c r="D4801" s="2">
        <v>759.0</v>
      </c>
      <c r="E4801" s="3">
        <f t="shared" si="1"/>
        <v>0.3397493286</v>
      </c>
      <c r="F4801" s="2">
        <v>278.0</v>
      </c>
      <c r="G4801" s="3">
        <f t="shared" si="2"/>
        <v>0.1244404655</v>
      </c>
      <c r="H4801" s="2">
        <v>499.0</v>
      </c>
      <c r="I4801" s="3">
        <f t="shared" si="3"/>
        <v>0.2233661594</v>
      </c>
      <c r="J4801" s="2">
        <v>398.0</v>
      </c>
      <c r="K4801" s="3">
        <f t="shared" si="4"/>
        <v>0.1781557744</v>
      </c>
      <c r="L4801" s="2">
        <v>282.0</v>
      </c>
      <c r="M4801" s="3">
        <f t="shared" si="5"/>
        <v>0.5651302605</v>
      </c>
      <c r="N4801" s="2">
        <v>2975600.0</v>
      </c>
      <c r="O4801" s="4">
        <f t="shared" si="6"/>
        <v>5963.126253</v>
      </c>
      <c r="P4801" s="2">
        <v>1.0</v>
      </c>
      <c r="Q4801" s="3">
        <f t="shared" si="7"/>
        <v>0.004784688995</v>
      </c>
      <c r="R4801" s="2">
        <v>127.0</v>
      </c>
      <c r="S4801" s="5">
        <f t="shared" si="8"/>
        <v>0.6076555024</v>
      </c>
    </row>
    <row r="4802">
      <c r="A4802" s="2" t="s">
        <v>4804</v>
      </c>
      <c r="B4802" s="2">
        <v>6063.0</v>
      </c>
      <c r="C4802" s="2">
        <v>70552.0</v>
      </c>
      <c r="D4802" s="2">
        <v>29025.0</v>
      </c>
      <c r="E4802" s="3">
        <f t="shared" si="1"/>
        <v>0.4500767573</v>
      </c>
      <c r="F4802" s="2">
        <v>8025.0</v>
      </c>
      <c r="G4802" s="3">
        <f t="shared" si="2"/>
        <v>0.1244398269</v>
      </c>
      <c r="H4802" s="2">
        <v>13580.0</v>
      </c>
      <c r="I4802" s="3">
        <f t="shared" si="3"/>
        <v>0.2105785483</v>
      </c>
      <c r="J4802" s="2">
        <v>9982.0</v>
      </c>
      <c r="K4802" s="3">
        <f t="shared" si="4"/>
        <v>0.1547860875</v>
      </c>
      <c r="L4802" s="2">
        <v>8196.0</v>
      </c>
      <c r="M4802" s="3">
        <f t="shared" si="5"/>
        <v>0.6035346097</v>
      </c>
      <c r="N4802" s="2">
        <v>7.6098E7</v>
      </c>
      <c r="O4802" s="4">
        <f t="shared" si="6"/>
        <v>5603.681885</v>
      </c>
      <c r="P4802" s="2">
        <v>14.0</v>
      </c>
      <c r="Q4802" s="3">
        <f t="shared" si="7"/>
        <v>0.00230908791</v>
      </c>
      <c r="R4802" s="2">
        <v>6063.0</v>
      </c>
      <c r="S4802" s="5">
        <f t="shared" si="8"/>
        <v>1</v>
      </c>
    </row>
    <row r="4803">
      <c r="A4803" s="2" t="s">
        <v>4805</v>
      </c>
      <c r="B4803" s="2">
        <v>1754.0</v>
      </c>
      <c r="C4803" s="2">
        <v>20583.0</v>
      </c>
      <c r="D4803" s="2">
        <v>5605.0</v>
      </c>
      <c r="E4803" s="3">
        <f t="shared" si="1"/>
        <v>0.297679112</v>
      </c>
      <c r="F4803" s="2">
        <v>2343.0</v>
      </c>
      <c r="G4803" s="3">
        <f t="shared" si="2"/>
        <v>0.1244357109</v>
      </c>
      <c r="H4803" s="2">
        <v>4028.0</v>
      </c>
      <c r="I4803" s="3">
        <f t="shared" si="3"/>
        <v>0.213925328</v>
      </c>
      <c r="J4803" s="2">
        <v>3134.0</v>
      </c>
      <c r="K4803" s="3">
        <f t="shared" si="4"/>
        <v>0.1664453768</v>
      </c>
      <c r="L4803" s="2">
        <v>2447.0</v>
      </c>
      <c r="M4803" s="3">
        <f t="shared" si="5"/>
        <v>0.6074975174</v>
      </c>
      <c r="N4803" s="2">
        <v>2.24784E7</v>
      </c>
      <c r="O4803" s="4">
        <f t="shared" si="6"/>
        <v>5580.536246</v>
      </c>
      <c r="P4803" s="2">
        <v>4.0</v>
      </c>
      <c r="Q4803" s="3">
        <f t="shared" si="7"/>
        <v>0.00228050171</v>
      </c>
      <c r="R4803" s="2">
        <v>1754.0</v>
      </c>
      <c r="S4803" s="5">
        <f t="shared" si="8"/>
        <v>1</v>
      </c>
    </row>
    <row r="4804">
      <c r="A4804" s="2" t="s">
        <v>4806</v>
      </c>
      <c r="B4804" s="2">
        <v>564.0</v>
      </c>
      <c r="C4804" s="2">
        <v>6752.0</v>
      </c>
      <c r="D4804" s="2">
        <v>2398.0</v>
      </c>
      <c r="E4804" s="3">
        <f t="shared" si="1"/>
        <v>0.3875242405</v>
      </c>
      <c r="F4804" s="2">
        <v>770.0</v>
      </c>
      <c r="G4804" s="3">
        <f t="shared" si="2"/>
        <v>0.1244343891</v>
      </c>
      <c r="H4804" s="2">
        <v>1317.0</v>
      </c>
      <c r="I4804" s="3">
        <f t="shared" si="3"/>
        <v>0.2128312864</v>
      </c>
      <c r="J4804" s="2">
        <v>980.0</v>
      </c>
      <c r="K4804" s="3">
        <f t="shared" si="4"/>
        <v>0.1583710407</v>
      </c>
      <c r="L4804" s="2">
        <v>757.0</v>
      </c>
      <c r="M4804" s="3">
        <f t="shared" si="5"/>
        <v>0.5747911921</v>
      </c>
      <c r="N4804" s="2">
        <v>7029300.0</v>
      </c>
      <c r="O4804" s="4">
        <f t="shared" si="6"/>
        <v>5337.357631</v>
      </c>
      <c r="P4804" s="2">
        <v>1.0</v>
      </c>
      <c r="Q4804" s="3">
        <f t="shared" si="7"/>
        <v>0.001773049645</v>
      </c>
      <c r="R4804" s="2">
        <v>564.0</v>
      </c>
      <c r="S4804" s="5">
        <f t="shared" si="8"/>
        <v>1</v>
      </c>
    </row>
    <row r="4805">
      <c r="A4805" s="2" t="s">
        <v>4807</v>
      </c>
      <c r="B4805" s="2">
        <v>423.0</v>
      </c>
      <c r="C4805" s="2">
        <v>5036.0</v>
      </c>
      <c r="D4805" s="2">
        <v>1585.0</v>
      </c>
      <c r="E4805" s="3">
        <f t="shared" si="1"/>
        <v>0.3435941903</v>
      </c>
      <c r="F4805" s="2">
        <v>574.0</v>
      </c>
      <c r="G4805" s="3">
        <f t="shared" si="2"/>
        <v>0.124430956</v>
      </c>
      <c r="H4805" s="2">
        <v>885.0</v>
      </c>
      <c r="I4805" s="3">
        <f t="shared" si="3"/>
        <v>0.191849122</v>
      </c>
      <c r="J4805" s="2">
        <v>730.0</v>
      </c>
      <c r="K4805" s="3">
        <f t="shared" si="4"/>
        <v>0.1582484284</v>
      </c>
      <c r="L4805" s="2">
        <v>537.0</v>
      </c>
      <c r="M4805" s="3">
        <f t="shared" si="5"/>
        <v>0.606779661</v>
      </c>
      <c r="N4805" s="2">
        <v>5288200.0</v>
      </c>
      <c r="O4805" s="4">
        <f t="shared" si="6"/>
        <v>5975.367232</v>
      </c>
      <c r="P4805" s="2">
        <v>2.0</v>
      </c>
      <c r="Q4805" s="3">
        <f t="shared" si="7"/>
        <v>0.004728132388</v>
      </c>
      <c r="R4805" s="2">
        <v>423.0</v>
      </c>
      <c r="S4805" s="5">
        <f t="shared" si="8"/>
        <v>1</v>
      </c>
    </row>
    <row r="4806">
      <c r="A4806" s="2" t="s">
        <v>4808</v>
      </c>
      <c r="B4806" s="2">
        <v>383.0</v>
      </c>
      <c r="C4806" s="2">
        <v>4554.0</v>
      </c>
      <c r="D4806" s="2">
        <v>1608.0</v>
      </c>
      <c r="E4806" s="3">
        <f t="shared" si="1"/>
        <v>0.3855190602</v>
      </c>
      <c r="F4806" s="2">
        <v>519.0</v>
      </c>
      <c r="G4806" s="3">
        <f t="shared" si="2"/>
        <v>0.1244305922</v>
      </c>
      <c r="H4806" s="2">
        <v>892.0</v>
      </c>
      <c r="I4806" s="3">
        <f t="shared" si="3"/>
        <v>0.2138575881</v>
      </c>
      <c r="J4806" s="2">
        <v>595.0</v>
      </c>
      <c r="K4806" s="3">
        <f t="shared" si="4"/>
        <v>0.1426516423</v>
      </c>
      <c r="L4806" s="2">
        <v>546.0</v>
      </c>
      <c r="M4806" s="3">
        <f t="shared" si="5"/>
        <v>0.6121076233</v>
      </c>
      <c r="N4806" s="2">
        <v>4833300.0</v>
      </c>
      <c r="O4806" s="4">
        <f t="shared" si="6"/>
        <v>5418.497758</v>
      </c>
      <c r="P4806" s="2">
        <v>0.0</v>
      </c>
      <c r="Q4806" s="3">
        <f t="shared" si="7"/>
        <v>0</v>
      </c>
      <c r="R4806" s="2">
        <v>383.0</v>
      </c>
      <c r="S4806" s="5">
        <f t="shared" si="8"/>
        <v>1</v>
      </c>
    </row>
    <row r="4807">
      <c r="A4807" s="2" t="s">
        <v>4809</v>
      </c>
      <c r="B4807" s="2">
        <v>558.0</v>
      </c>
      <c r="C4807" s="2">
        <v>6473.0</v>
      </c>
      <c r="D4807" s="2">
        <v>2214.0</v>
      </c>
      <c r="E4807" s="3">
        <f t="shared" si="1"/>
        <v>0.3743026205</v>
      </c>
      <c r="F4807" s="2">
        <v>736.0</v>
      </c>
      <c r="G4807" s="3">
        <f t="shared" si="2"/>
        <v>0.1244294167</v>
      </c>
      <c r="H4807" s="2">
        <v>1282.0</v>
      </c>
      <c r="I4807" s="3">
        <f t="shared" si="3"/>
        <v>0.216737109</v>
      </c>
      <c r="J4807" s="2">
        <v>798.0</v>
      </c>
      <c r="K4807" s="3">
        <f t="shared" si="4"/>
        <v>0.1349112426</v>
      </c>
      <c r="L4807" s="2">
        <v>815.0</v>
      </c>
      <c r="M4807" s="3">
        <f t="shared" si="5"/>
        <v>0.635725429</v>
      </c>
      <c r="N4807" s="2">
        <v>7006500.0</v>
      </c>
      <c r="O4807" s="4">
        <f t="shared" si="6"/>
        <v>5465.288612</v>
      </c>
      <c r="P4807" s="2">
        <v>2.0</v>
      </c>
      <c r="Q4807" s="3">
        <f t="shared" si="7"/>
        <v>0.003584229391</v>
      </c>
      <c r="R4807" s="2">
        <v>524.0</v>
      </c>
      <c r="S4807" s="5">
        <f t="shared" si="8"/>
        <v>0.9390681004</v>
      </c>
    </row>
    <row r="4808">
      <c r="A4808" s="2" t="s">
        <v>4810</v>
      </c>
      <c r="B4808" s="2">
        <v>20.0</v>
      </c>
      <c r="C4808" s="2">
        <v>237.0</v>
      </c>
      <c r="D4808" s="2">
        <v>71.0</v>
      </c>
      <c r="E4808" s="3">
        <f t="shared" si="1"/>
        <v>0.3271889401</v>
      </c>
      <c r="F4808" s="2">
        <v>27.0</v>
      </c>
      <c r="G4808" s="3">
        <f t="shared" si="2"/>
        <v>0.1244239631</v>
      </c>
      <c r="H4808" s="2">
        <v>38.0</v>
      </c>
      <c r="I4808" s="3">
        <f t="shared" si="3"/>
        <v>0.1751152074</v>
      </c>
      <c r="J4808" s="2">
        <v>30.0</v>
      </c>
      <c r="K4808" s="3">
        <f t="shared" si="4"/>
        <v>0.1382488479</v>
      </c>
      <c r="L4808" s="2">
        <v>23.0</v>
      </c>
      <c r="M4808" s="3">
        <f t="shared" si="5"/>
        <v>0.6052631579</v>
      </c>
      <c r="N4808" s="2">
        <v>197700.0</v>
      </c>
      <c r="O4808" s="4">
        <f t="shared" si="6"/>
        <v>5202.631579</v>
      </c>
      <c r="P4808" s="2">
        <v>0.0</v>
      </c>
      <c r="Q4808" s="3">
        <f t="shared" si="7"/>
        <v>0</v>
      </c>
      <c r="R4808" s="2">
        <v>20.0</v>
      </c>
      <c r="S4808" s="5">
        <f t="shared" si="8"/>
        <v>1</v>
      </c>
    </row>
    <row r="4809">
      <c r="A4809" s="2" t="s">
        <v>4811</v>
      </c>
      <c r="B4809" s="2">
        <v>193.0</v>
      </c>
      <c r="C4809" s="2">
        <v>2355.0</v>
      </c>
      <c r="D4809" s="2">
        <v>752.0</v>
      </c>
      <c r="E4809" s="3">
        <f t="shared" si="1"/>
        <v>0.347826087</v>
      </c>
      <c r="F4809" s="2">
        <v>269.0</v>
      </c>
      <c r="G4809" s="3">
        <f t="shared" si="2"/>
        <v>0.1244218316</v>
      </c>
      <c r="H4809" s="2">
        <v>445.0</v>
      </c>
      <c r="I4809" s="3">
        <f t="shared" si="3"/>
        <v>0.2058279371</v>
      </c>
      <c r="J4809" s="2">
        <v>378.0</v>
      </c>
      <c r="K4809" s="3">
        <f t="shared" si="4"/>
        <v>0.1748381129</v>
      </c>
      <c r="L4809" s="2">
        <v>262.0</v>
      </c>
      <c r="M4809" s="3">
        <f t="shared" si="5"/>
        <v>0.5887640449</v>
      </c>
      <c r="N4809" s="2">
        <v>2264800.0</v>
      </c>
      <c r="O4809" s="4">
        <f t="shared" si="6"/>
        <v>5089.438202</v>
      </c>
      <c r="P4809" s="2">
        <v>0.0</v>
      </c>
      <c r="Q4809" s="3">
        <f t="shared" si="7"/>
        <v>0</v>
      </c>
      <c r="R4809" s="2">
        <v>193.0</v>
      </c>
      <c r="S4809" s="5">
        <f t="shared" si="8"/>
        <v>1</v>
      </c>
    </row>
    <row r="4810">
      <c r="A4810" s="2" t="s">
        <v>4812</v>
      </c>
      <c r="B4810" s="2">
        <v>704.0</v>
      </c>
      <c r="C4810" s="2">
        <v>8267.0</v>
      </c>
      <c r="D4810" s="2">
        <v>2163.0</v>
      </c>
      <c r="E4810" s="3">
        <f t="shared" si="1"/>
        <v>0.28599762</v>
      </c>
      <c r="F4810" s="2">
        <v>941.0</v>
      </c>
      <c r="G4810" s="3">
        <f t="shared" si="2"/>
        <v>0.1244215258</v>
      </c>
      <c r="H4810" s="2">
        <v>1531.0</v>
      </c>
      <c r="I4810" s="3">
        <f t="shared" si="3"/>
        <v>0.202432897</v>
      </c>
      <c r="J4810" s="2">
        <v>1402.0</v>
      </c>
      <c r="K4810" s="3">
        <f t="shared" si="4"/>
        <v>0.1853761735</v>
      </c>
      <c r="L4810" s="2">
        <v>894.0</v>
      </c>
      <c r="M4810" s="3">
        <f t="shared" si="5"/>
        <v>0.5839320705</v>
      </c>
      <c r="N4810" s="2">
        <v>9018300.0</v>
      </c>
      <c r="O4810" s="4">
        <f t="shared" si="6"/>
        <v>5890.463749</v>
      </c>
      <c r="P4810" s="2">
        <v>0.0</v>
      </c>
      <c r="Q4810" s="3">
        <f t="shared" si="7"/>
        <v>0</v>
      </c>
      <c r="R4810" s="2">
        <v>330.0</v>
      </c>
      <c r="S4810" s="5">
        <f t="shared" si="8"/>
        <v>0.46875</v>
      </c>
    </row>
    <row r="4811">
      <c r="A4811" s="2" t="s">
        <v>4813</v>
      </c>
      <c r="B4811" s="2">
        <v>835.0</v>
      </c>
      <c r="C4811" s="2">
        <v>9660.0</v>
      </c>
      <c r="D4811" s="2">
        <v>3141.0</v>
      </c>
      <c r="E4811" s="3">
        <f t="shared" si="1"/>
        <v>0.3559206799</v>
      </c>
      <c r="F4811" s="2">
        <v>1098.0</v>
      </c>
      <c r="G4811" s="3">
        <f t="shared" si="2"/>
        <v>0.1244192635</v>
      </c>
      <c r="H4811" s="2">
        <v>1926.0</v>
      </c>
      <c r="I4811" s="3">
        <f t="shared" si="3"/>
        <v>0.2182436261</v>
      </c>
      <c r="J4811" s="2">
        <v>1572.0</v>
      </c>
      <c r="K4811" s="3">
        <f t="shared" si="4"/>
        <v>0.1781303116</v>
      </c>
      <c r="L4811" s="2">
        <v>1153.0</v>
      </c>
      <c r="M4811" s="3">
        <f t="shared" si="5"/>
        <v>0.5986500519</v>
      </c>
      <c r="N4811" s="2">
        <v>1.09306E7</v>
      </c>
      <c r="O4811" s="4">
        <f t="shared" si="6"/>
        <v>5675.285566</v>
      </c>
      <c r="P4811" s="2">
        <v>3.0</v>
      </c>
      <c r="Q4811" s="3">
        <f t="shared" si="7"/>
        <v>0.003592814371</v>
      </c>
      <c r="R4811" s="2">
        <v>835.0</v>
      </c>
      <c r="S4811" s="5">
        <f t="shared" si="8"/>
        <v>1</v>
      </c>
    </row>
    <row r="4812">
      <c r="A4812" s="2" t="s">
        <v>4814</v>
      </c>
      <c r="B4812" s="2">
        <v>118.0</v>
      </c>
      <c r="C4812" s="2">
        <v>1404.0</v>
      </c>
      <c r="D4812" s="2">
        <v>533.0</v>
      </c>
      <c r="E4812" s="3">
        <f t="shared" si="1"/>
        <v>0.4144634526</v>
      </c>
      <c r="F4812" s="2">
        <v>160.0</v>
      </c>
      <c r="G4812" s="3">
        <f t="shared" si="2"/>
        <v>0.1244167963</v>
      </c>
      <c r="H4812" s="2">
        <v>275.0</v>
      </c>
      <c r="I4812" s="3">
        <f t="shared" si="3"/>
        <v>0.2138413686</v>
      </c>
      <c r="J4812" s="2">
        <v>209.0</v>
      </c>
      <c r="K4812" s="3">
        <f t="shared" si="4"/>
        <v>0.1625194401</v>
      </c>
      <c r="L4812" s="2">
        <v>170.0</v>
      </c>
      <c r="M4812" s="3">
        <f t="shared" si="5"/>
        <v>0.6181818182</v>
      </c>
      <c r="N4812" s="2">
        <v>1501400.0</v>
      </c>
      <c r="O4812" s="4">
        <f t="shared" si="6"/>
        <v>5459.636364</v>
      </c>
      <c r="P4812" s="2">
        <v>0.0</v>
      </c>
      <c r="Q4812" s="3">
        <f t="shared" si="7"/>
        <v>0</v>
      </c>
      <c r="R4812" s="2">
        <v>0.0</v>
      </c>
      <c r="S4812" s="5">
        <f t="shared" si="8"/>
        <v>0</v>
      </c>
    </row>
    <row r="4813">
      <c r="A4813" s="2" t="s">
        <v>4815</v>
      </c>
      <c r="B4813" s="2">
        <v>317.0</v>
      </c>
      <c r="C4813" s="2">
        <v>3725.0</v>
      </c>
      <c r="D4813" s="2">
        <v>1114.0</v>
      </c>
      <c r="E4813" s="3">
        <f t="shared" si="1"/>
        <v>0.3268779343</v>
      </c>
      <c r="F4813" s="2">
        <v>424.0</v>
      </c>
      <c r="G4813" s="3">
        <f t="shared" si="2"/>
        <v>0.1244131455</v>
      </c>
      <c r="H4813" s="2">
        <v>704.0</v>
      </c>
      <c r="I4813" s="3">
        <f t="shared" si="3"/>
        <v>0.20657277</v>
      </c>
      <c r="J4813" s="2">
        <v>522.0</v>
      </c>
      <c r="K4813" s="3">
        <f t="shared" si="4"/>
        <v>0.1531690141</v>
      </c>
      <c r="L4813" s="2">
        <v>418.0</v>
      </c>
      <c r="M4813" s="3">
        <f t="shared" si="5"/>
        <v>0.59375</v>
      </c>
      <c r="N4813" s="2">
        <v>3821000.0</v>
      </c>
      <c r="O4813" s="4">
        <f t="shared" si="6"/>
        <v>5427.556818</v>
      </c>
      <c r="P4813" s="2">
        <v>0.0</v>
      </c>
      <c r="Q4813" s="3">
        <f t="shared" si="7"/>
        <v>0</v>
      </c>
      <c r="R4813" s="2">
        <v>172.0</v>
      </c>
      <c r="S4813" s="5">
        <f t="shared" si="8"/>
        <v>0.5425867508</v>
      </c>
    </row>
    <row r="4814">
      <c r="A4814" s="2" t="s">
        <v>4816</v>
      </c>
      <c r="B4814" s="2">
        <v>323.0</v>
      </c>
      <c r="C4814" s="2">
        <v>3715.0</v>
      </c>
      <c r="D4814" s="2">
        <v>1072.0</v>
      </c>
      <c r="E4814" s="3">
        <f t="shared" si="1"/>
        <v>0.3160377358</v>
      </c>
      <c r="F4814" s="2">
        <v>422.0</v>
      </c>
      <c r="G4814" s="3">
        <f t="shared" si="2"/>
        <v>0.1244103774</v>
      </c>
      <c r="H4814" s="2">
        <v>687.0</v>
      </c>
      <c r="I4814" s="3">
        <f t="shared" si="3"/>
        <v>0.2025353774</v>
      </c>
      <c r="J4814" s="2">
        <v>573.0</v>
      </c>
      <c r="K4814" s="3">
        <f t="shared" si="4"/>
        <v>0.1689268868</v>
      </c>
      <c r="L4814" s="2">
        <v>414.0</v>
      </c>
      <c r="M4814" s="3">
        <f t="shared" si="5"/>
        <v>0.6026200873</v>
      </c>
      <c r="N4814" s="2">
        <v>4137900.0</v>
      </c>
      <c r="O4814" s="4">
        <f t="shared" si="6"/>
        <v>6023.144105</v>
      </c>
      <c r="P4814" s="2">
        <v>0.0</v>
      </c>
      <c r="Q4814" s="3">
        <f t="shared" si="7"/>
        <v>0</v>
      </c>
      <c r="R4814" s="2">
        <v>323.0</v>
      </c>
      <c r="S4814" s="5">
        <f t="shared" si="8"/>
        <v>1</v>
      </c>
    </row>
    <row r="4815">
      <c r="A4815" s="2" t="s">
        <v>4817</v>
      </c>
      <c r="B4815" s="2">
        <v>1180.0</v>
      </c>
      <c r="C4815" s="2">
        <v>14001.0</v>
      </c>
      <c r="D4815" s="2">
        <v>4393.0</v>
      </c>
      <c r="E4815" s="3">
        <f t="shared" si="1"/>
        <v>0.3426409796</v>
      </c>
      <c r="F4815" s="2">
        <v>1595.0</v>
      </c>
      <c r="G4815" s="3">
        <f t="shared" si="2"/>
        <v>0.1244052726</v>
      </c>
      <c r="H4815" s="2">
        <v>2615.0</v>
      </c>
      <c r="I4815" s="3">
        <f t="shared" si="3"/>
        <v>0.2039622494</v>
      </c>
      <c r="J4815" s="2">
        <v>2119.0</v>
      </c>
      <c r="K4815" s="3">
        <f t="shared" si="4"/>
        <v>0.1652757195</v>
      </c>
      <c r="L4815" s="2">
        <v>1517.0</v>
      </c>
      <c r="M4815" s="3">
        <f t="shared" si="5"/>
        <v>0.5801147228</v>
      </c>
      <c r="N4815" s="2">
        <v>1.46391E7</v>
      </c>
      <c r="O4815" s="4">
        <f t="shared" si="6"/>
        <v>5598.126195</v>
      </c>
      <c r="P4815" s="2">
        <v>4.0</v>
      </c>
      <c r="Q4815" s="3">
        <f t="shared" si="7"/>
        <v>0.003389830508</v>
      </c>
      <c r="R4815" s="2">
        <v>1179.0</v>
      </c>
      <c r="S4815" s="5">
        <f t="shared" si="8"/>
        <v>0.9991525424</v>
      </c>
    </row>
    <row r="4816">
      <c r="A4816" s="2" t="s">
        <v>4818</v>
      </c>
      <c r="B4816" s="2">
        <v>138.0</v>
      </c>
      <c r="C4816" s="2">
        <v>1585.0</v>
      </c>
      <c r="D4816" s="2">
        <v>372.0</v>
      </c>
      <c r="E4816" s="3">
        <f t="shared" si="1"/>
        <v>0.2570836213</v>
      </c>
      <c r="F4816" s="2">
        <v>180.0</v>
      </c>
      <c r="G4816" s="3">
        <f t="shared" si="2"/>
        <v>0.1243953006</v>
      </c>
      <c r="H4816" s="2">
        <v>282.0</v>
      </c>
      <c r="I4816" s="3">
        <f t="shared" si="3"/>
        <v>0.194885971</v>
      </c>
      <c r="J4816" s="2">
        <v>263.0</v>
      </c>
      <c r="K4816" s="3">
        <f t="shared" si="4"/>
        <v>0.1817553559</v>
      </c>
      <c r="L4816" s="2">
        <v>163.0</v>
      </c>
      <c r="M4816" s="3">
        <f t="shared" si="5"/>
        <v>0.5780141844</v>
      </c>
      <c r="N4816" s="2">
        <v>1829800.0</v>
      </c>
      <c r="O4816" s="4">
        <f t="shared" si="6"/>
        <v>6488.652482</v>
      </c>
      <c r="P4816" s="2">
        <v>1.0</v>
      </c>
      <c r="Q4816" s="3">
        <f t="shared" si="7"/>
        <v>0.007246376812</v>
      </c>
      <c r="R4816" s="2">
        <v>138.0</v>
      </c>
      <c r="S4816" s="5">
        <f t="shared" si="8"/>
        <v>1</v>
      </c>
    </row>
    <row r="4817">
      <c r="A4817" s="2" t="s">
        <v>4819</v>
      </c>
      <c r="B4817" s="2">
        <v>210.0</v>
      </c>
      <c r="C4817" s="2">
        <v>2477.0</v>
      </c>
      <c r="D4817" s="2">
        <v>679.0</v>
      </c>
      <c r="E4817" s="3">
        <f t="shared" si="1"/>
        <v>0.2995147772</v>
      </c>
      <c r="F4817" s="2">
        <v>282.0</v>
      </c>
      <c r="G4817" s="3">
        <f t="shared" si="2"/>
        <v>0.1243934715</v>
      </c>
      <c r="H4817" s="2">
        <v>493.0</v>
      </c>
      <c r="I4817" s="3">
        <f t="shared" si="3"/>
        <v>0.2174680194</v>
      </c>
      <c r="J4817" s="2">
        <v>353.0</v>
      </c>
      <c r="K4817" s="3">
        <f t="shared" si="4"/>
        <v>0.1557123952</v>
      </c>
      <c r="L4817" s="2">
        <v>295.0</v>
      </c>
      <c r="M4817" s="3">
        <f t="shared" si="5"/>
        <v>0.5983772819</v>
      </c>
      <c r="N4817" s="2">
        <v>2703500.0</v>
      </c>
      <c r="O4817" s="4">
        <f t="shared" si="6"/>
        <v>5483.772819</v>
      </c>
      <c r="P4817" s="2">
        <v>0.0</v>
      </c>
      <c r="Q4817" s="3">
        <f t="shared" si="7"/>
        <v>0</v>
      </c>
      <c r="R4817" s="2">
        <v>0.0</v>
      </c>
      <c r="S4817" s="5">
        <f t="shared" si="8"/>
        <v>0</v>
      </c>
    </row>
    <row r="4818">
      <c r="A4818" s="2" t="s">
        <v>4820</v>
      </c>
      <c r="B4818" s="2">
        <v>1477.0</v>
      </c>
      <c r="C4818" s="2">
        <v>17612.0</v>
      </c>
      <c r="D4818" s="2">
        <v>6086.0</v>
      </c>
      <c r="E4818" s="3">
        <f t="shared" si="1"/>
        <v>0.3771924388</v>
      </c>
      <c r="F4818" s="2">
        <v>2007.0</v>
      </c>
      <c r="G4818" s="3">
        <f t="shared" si="2"/>
        <v>0.1243879764</v>
      </c>
      <c r="H4818" s="2">
        <v>3533.0</v>
      </c>
      <c r="I4818" s="3">
        <f t="shared" si="3"/>
        <v>0.218964983</v>
      </c>
      <c r="J4818" s="2">
        <v>2910.0</v>
      </c>
      <c r="K4818" s="3">
        <f t="shared" si="4"/>
        <v>0.1803532693</v>
      </c>
      <c r="L4818" s="2">
        <v>2137.0</v>
      </c>
      <c r="M4818" s="3">
        <f t="shared" si="5"/>
        <v>0.6048683838</v>
      </c>
      <c r="N4818" s="2">
        <v>1.84692E7</v>
      </c>
      <c r="O4818" s="4">
        <f t="shared" si="6"/>
        <v>5227.625248</v>
      </c>
      <c r="P4818" s="2">
        <v>4.0</v>
      </c>
      <c r="Q4818" s="3">
        <f t="shared" si="7"/>
        <v>0.002708192282</v>
      </c>
      <c r="R4818" s="2">
        <v>1459.0</v>
      </c>
      <c r="S4818" s="5">
        <f t="shared" si="8"/>
        <v>0.9878131347</v>
      </c>
    </row>
    <row r="4819">
      <c r="A4819" s="2" t="s">
        <v>4821</v>
      </c>
      <c r="B4819" s="2">
        <v>2175.0</v>
      </c>
      <c r="C4819" s="2">
        <v>25548.0</v>
      </c>
      <c r="D4819" s="2">
        <v>7349.0</v>
      </c>
      <c r="E4819" s="3">
        <f t="shared" si="1"/>
        <v>0.3144226244</v>
      </c>
      <c r="F4819" s="2">
        <v>2907.0</v>
      </c>
      <c r="G4819" s="3">
        <f t="shared" si="2"/>
        <v>0.124374278</v>
      </c>
      <c r="H4819" s="2">
        <v>4839.0</v>
      </c>
      <c r="I4819" s="3">
        <f t="shared" si="3"/>
        <v>0.2070337569</v>
      </c>
      <c r="J4819" s="2">
        <v>3811.0</v>
      </c>
      <c r="K4819" s="3">
        <f t="shared" si="4"/>
        <v>0.1630513841</v>
      </c>
      <c r="L4819" s="2">
        <v>2794.0</v>
      </c>
      <c r="M4819" s="3">
        <f t="shared" si="5"/>
        <v>0.5773920231</v>
      </c>
      <c r="N4819" s="2">
        <v>2.78127E7</v>
      </c>
      <c r="O4819" s="4">
        <f t="shared" si="6"/>
        <v>5747.613143</v>
      </c>
      <c r="P4819" s="2">
        <v>5.0</v>
      </c>
      <c r="Q4819" s="3">
        <f t="shared" si="7"/>
        <v>0.002298850575</v>
      </c>
      <c r="R4819" s="2">
        <v>158.0</v>
      </c>
      <c r="S4819" s="5">
        <f t="shared" si="8"/>
        <v>0.07264367816</v>
      </c>
    </row>
    <row r="4820">
      <c r="A4820" s="2" t="s">
        <v>4822</v>
      </c>
      <c r="B4820" s="2">
        <v>111.0</v>
      </c>
      <c r="C4820" s="2">
        <v>1301.0</v>
      </c>
      <c r="D4820" s="2">
        <v>303.0</v>
      </c>
      <c r="E4820" s="3">
        <f t="shared" si="1"/>
        <v>0.2546218487</v>
      </c>
      <c r="F4820" s="2">
        <v>148.0</v>
      </c>
      <c r="G4820" s="3">
        <f t="shared" si="2"/>
        <v>0.1243697479</v>
      </c>
      <c r="H4820" s="2">
        <v>232.0</v>
      </c>
      <c r="I4820" s="3">
        <f t="shared" si="3"/>
        <v>0.1949579832</v>
      </c>
      <c r="J4820" s="2">
        <v>236.0</v>
      </c>
      <c r="K4820" s="3">
        <f t="shared" si="4"/>
        <v>0.1983193277</v>
      </c>
      <c r="L4820" s="2">
        <v>138.0</v>
      </c>
      <c r="M4820" s="3">
        <f t="shared" si="5"/>
        <v>0.5948275862</v>
      </c>
      <c r="N4820" s="2">
        <v>1431000.0</v>
      </c>
      <c r="O4820" s="4">
        <f t="shared" si="6"/>
        <v>6168.103448</v>
      </c>
      <c r="P4820" s="2">
        <v>0.0</v>
      </c>
      <c r="Q4820" s="3">
        <f t="shared" si="7"/>
        <v>0</v>
      </c>
      <c r="R4820" s="2">
        <v>0.0</v>
      </c>
      <c r="S4820" s="5">
        <f t="shared" si="8"/>
        <v>0</v>
      </c>
    </row>
    <row r="4821">
      <c r="A4821" s="2" t="s">
        <v>4823</v>
      </c>
      <c r="B4821" s="2">
        <v>286.0</v>
      </c>
      <c r="C4821" s="2">
        <v>3454.0</v>
      </c>
      <c r="D4821" s="2">
        <v>1239.0</v>
      </c>
      <c r="E4821" s="3">
        <f t="shared" si="1"/>
        <v>0.3910984848</v>
      </c>
      <c r="F4821" s="2">
        <v>394.0</v>
      </c>
      <c r="G4821" s="3">
        <f t="shared" si="2"/>
        <v>0.1243686869</v>
      </c>
      <c r="H4821" s="2">
        <v>690.0</v>
      </c>
      <c r="I4821" s="3">
        <f t="shared" si="3"/>
        <v>0.2178030303</v>
      </c>
      <c r="J4821" s="2">
        <v>541.0</v>
      </c>
      <c r="K4821" s="3">
        <f t="shared" si="4"/>
        <v>0.170770202</v>
      </c>
      <c r="L4821" s="2">
        <v>411.0</v>
      </c>
      <c r="M4821" s="3">
        <f t="shared" si="5"/>
        <v>0.5956521739</v>
      </c>
      <c r="N4821" s="2">
        <v>3432600.0</v>
      </c>
      <c r="O4821" s="4">
        <f t="shared" si="6"/>
        <v>4974.782609</v>
      </c>
      <c r="P4821" s="2">
        <v>0.0</v>
      </c>
      <c r="Q4821" s="3">
        <f t="shared" si="7"/>
        <v>0</v>
      </c>
      <c r="R4821" s="2">
        <v>286.0</v>
      </c>
      <c r="S4821" s="5">
        <f t="shared" si="8"/>
        <v>1</v>
      </c>
    </row>
    <row r="4822">
      <c r="A4822" s="2" t="s">
        <v>4824</v>
      </c>
      <c r="B4822" s="2">
        <v>1570.0</v>
      </c>
      <c r="C4822" s="2">
        <v>18584.0</v>
      </c>
      <c r="D4822" s="2">
        <v>5972.0</v>
      </c>
      <c r="E4822" s="3">
        <f t="shared" si="1"/>
        <v>0.3510050547</v>
      </c>
      <c r="F4822" s="2">
        <v>2116.0</v>
      </c>
      <c r="G4822" s="3">
        <f t="shared" si="2"/>
        <v>0.1243681674</v>
      </c>
      <c r="H4822" s="2">
        <v>3523.0</v>
      </c>
      <c r="I4822" s="3">
        <f t="shared" si="3"/>
        <v>0.2070647702</v>
      </c>
      <c r="J4822" s="2">
        <v>2898.0</v>
      </c>
      <c r="K4822" s="3">
        <f t="shared" si="4"/>
        <v>0.1703303162</v>
      </c>
      <c r="L4822" s="2">
        <v>2063.0</v>
      </c>
      <c r="M4822" s="3">
        <f t="shared" si="5"/>
        <v>0.5855804712</v>
      </c>
      <c r="N4822" s="2">
        <v>1.96027E7</v>
      </c>
      <c r="O4822" s="4">
        <f t="shared" si="6"/>
        <v>5564.206642</v>
      </c>
      <c r="P4822" s="2">
        <v>1.0</v>
      </c>
      <c r="Q4822" s="3">
        <f t="shared" si="7"/>
        <v>0.0006369426752</v>
      </c>
      <c r="R4822" s="2">
        <v>1570.0</v>
      </c>
      <c r="S4822" s="5">
        <f t="shared" si="8"/>
        <v>1</v>
      </c>
    </row>
    <row r="4823">
      <c r="A4823" s="2" t="s">
        <v>4825</v>
      </c>
      <c r="B4823" s="2">
        <v>1681.0</v>
      </c>
      <c r="C4823" s="2">
        <v>19684.0</v>
      </c>
      <c r="D4823" s="2">
        <v>5811.0</v>
      </c>
      <c r="E4823" s="3">
        <f t="shared" si="1"/>
        <v>0.3227795367</v>
      </c>
      <c r="F4823" s="2">
        <v>2239.0</v>
      </c>
      <c r="G4823" s="3">
        <f t="shared" si="2"/>
        <v>0.1243681609</v>
      </c>
      <c r="H4823" s="2">
        <v>3679.0</v>
      </c>
      <c r="I4823" s="3">
        <f t="shared" si="3"/>
        <v>0.2043548298</v>
      </c>
      <c r="J4823" s="2">
        <v>3016.0</v>
      </c>
      <c r="K4823" s="3">
        <f t="shared" si="4"/>
        <v>0.1675276343</v>
      </c>
      <c r="L4823" s="2">
        <v>2185.0</v>
      </c>
      <c r="M4823" s="3">
        <f t="shared" si="5"/>
        <v>0.593911389</v>
      </c>
      <c r="N4823" s="2">
        <v>2.04723E7</v>
      </c>
      <c r="O4823" s="4">
        <f t="shared" si="6"/>
        <v>5564.63713</v>
      </c>
      <c r="P4823" s="2">
        <v>2.0</v>
      </c>
      <c r="Q4823" s="3">
        <f t="shared" si="7"/>
        <v>0.001189767995</v>
      </c>
      <c r="R4823" s="2">
        <v>328.0</v>
      </c>
      <c r="S4823" s="5">
        <f t="shared" si="8"/>
        <v>0.1951219512</v>
      </c>
    </row>
    <row r="4824">
      <c r="A4824" s="2" t="s">
        <v>4826</v>
      </c>
      <c r="B4824" s="2">
        <v>221.0</v>
      </c>
      <c r="C4824" s="2">
        <v>2561.0</v>
      </c>
      <c r="D4824" s="2">
        <v>870.0</v>
      </c>
      <c r="E4824" s="3">
        <f t="shared" si="1"/>
        <v>0.3717948718</v>
      </c>
      <c r="F4824" s="2">
        <v>291.0</v>
      </c>
      <c r="G4824" s="3">
        <f t="shared" si="2"/>
        <v>0.1243589744</v>
      </c>
      <c r="H4824" s="2">
        <v>467.0</v>
      </c>
      <c r="I4824" s="3">
        <f t="shared" si="3"/>
        <v>0.1995726496</v>
      </c>
      <c r="J4824" s="2">
        <v>368.0</v>
      </c>
      <c r="K4824" s="3">
        <f t="shared" si="4"/>
        <v>0.1572649573</v>
      </c>
      <c r="L4824" s="2">
        <v>291.0</v>
      </c>
      <c r="M4824" s="3">
        <f t="shared" si="5"/>
        <v>0.6231263383</v>
      </c>
      <c r="N4824" s="2">
        <v>2530800.0</v>
      </c>
      <c r="O4824" s="4">
        <f t="shared" si="6"/>
        <v>5419.271949</v>
      </c>
      <c r="P4824" s="2">
        <v>0.0</v>
      </c>
      <c r="Q4824" s="3">
        <f t="shared" si="7"/>
        <v>0</v>
      </c>
      <c r="R4824" s="2">
        <v>221.0</v>
      </c>
      <c r="S4824" s="5">
        <f t="shared" si="8"/>
        <v>1</v>
      </c>
    </row>
    <row r="4825">
      <c r="A4825" s="2" t="s">
        <v>4827</v>
      </c>
      <c r="B4825" s="2">
        <v>78.0</v>
      </c>
      <c r="C4825" s="2">
        <v>858.0</v>
      </c>
      <c r="D4825" s="2">
        <v>293.0</v>
      </c>
      <c r="E4825" s="3">
        <f t="shared" si="1"/>
        <v>0.3756410256</v>
      </c>
      <c r="F4825" s="2">
        <v>97.0</v>
      </c>
      <c r="G4825" s="3">
        <f t="shared" si="2"/>
        <v>0.1243589744</v>
      </c>
      <c r="H4825" s="2">
        <v>156.0</v>
      </c>
      <c r="I4825" s="3">
        <f t="shared" si="3"/>
        <v>0.2</v>
      </c>
      <c r="J4825" s="2">
        <v>121.0</v>
      </c>
      <c r="K4825" s="3">
        <f t="shared" si="4"/>
        <v>0.1551282051</v>
      </c>
      <c r="L4825" s="2">
        <v>99.0</v>
      </c>
      <c r="M4825" s="3">
        <f t="shared" si="5"/>
        <v>0.6346153846</v>
      </c>
      <c r="N4825" s="2">
        <v>750600.0</v>
      </c>
      <c r="O4825" s="4">
        <f t="shared" si="6"/>
        <v>4811.538462</v>
      </c>
      <c r="P4825" s="2">
        <v>0.0</v>
      </c>
      <c r="Q4825" s="3">
        <f t="shared" si="7"/>
        <v>0</v>
      </c>
      <c r="R4825" s="2">
        <v>78.0</v>
      </c>
      <c r="S4825" s="5">
        <f t="shared" si="8"/>
        <v>1</v>
      </c>
    </row>
    <row r="4826">
      <c r="A4826" s="2" t="s">
        <v>4828</v>
      </c>
      <c r="B4826" s="2">
        <v>644.0</v>
      </c>
      <c r="C4826" s="2">
        <v>7665.0</v>
      </c>
      <c r="D4826" s="2">
        <v>2445.0</v>
      </c>
      <c r="E4826" s="3">
        <f t="shared" si="1"/>
        <v>0.3482409913</v>
      </c>
      <c r="F4826" s="2">
        <v>873.0</v>
      </c>
      <c r="G4826" s="3">
        <f t="shared" si="2"/>
        <v>0.1243412619</v>
      </c>
      <c r="H4826" s="2">
        <v>1431.0</v>
      </c>
      <c r="I4826" s="3">
        <f t="shared" si="3"/>
        <v>0.2038171201</v>
      </c>
      <c r="J4826" s="2">
        <v>1036.0</v>
      </c>
      <c r="K4826" s="3">
        <f t="shared" si="4"/>
        <v>0.147557328</v>
      </c>
      <c r="L4826" s="2">
        <v>849.0</v>
      </c>
      <c r="M4826" s="3">
        <f t="shared" si="5"/>
        <v>0.5932914046</v>
      </c>
      <c r="N4826" s="2">
        <v>8276300.0</v>
      </c>
      <c r="O4826" s="4">
        <f t="shared" si="6"/>
        <v>5783.577918</v>
      </c>
      <c r="P4826" s="2">
        <v>4.0</v>
      </c>
      <c r="Q4826" s="3">
        <f t="shared" si="7"/>
        <v>0.006211180124</v>
      </c>
      <c r="R4826" s="2">
        <v>644.0</v>
      </c>
      <c r="S4826" s="5">
        <f t="shared" si="8"/>
        <v>1</v>
      </c>
    </row>
    <row r="4827">
      <c r="A4827" s="2" t="s">
        <v>4829</v>
      </c>
      <c r="B4827" s="2">
        <v>495.0</v>
      </c>
      <c r="C4827" s="2">
        <v>5803.0</v>
      </c>
      <c r="D4827" s="2">
        <v>1745.0</v>
      </c>
      <c r="E4827" s="3">
        <f t="shared" si="1"/>
        <v>0.328749058</v>
      </c>
      <c r="F4827" s="2">
        <v>660.0</v>
      </c>
      <c r="G4827" s="3">
        <f t="shared" si="2"/>
        <v>0.1243406179</v>
      </c>
      <c r="H4827" s="2">
        <v>1132.0</v>
      </c>
      <c r="I4827" s="3">
        <f t="shared" si="3"/>
        <v>0.2132629992</v>
      </c>
      <c r="J4827" s="2">
        <v>882.0</v>
      </c>
      <c r="K4827" s="3">
        <f t="shared" si="4"/>
        <v>0.1661642803</v>
      </c>
      <c r="L4827" s="2">
        <v>695.0</v>
      </c>
      <c r="M4827" s="3">
        <f t="shared" si="5"/>
        <v>0.6139575972</v>
      </c>
      <c r="N4827" s="2">
        <v>6259500.0</v>
      </c>
      <c r="O4827" s="4">
        <f t="shared" si="6"/>
        <v>5529.59364</v>
      </c>
      <c r="P4827" s="2">
        <v>0.0</v>
      </c>
      <c r="Q4827" s="3">
        <f t="shared" si="7"/>
        <v>0</v>
      </c>
      <c r="R4827" s="2">
        <v>495.0</v>
      </c>
      <c r="S4827" s="5">
        <f t="shared" si="8"/>
        <v>1</v>
      </c>
    </row>
    <row r="4828">
      <c r="A4828" s="2" t="s">
        <v>4830</v>
      </c>
      <c r="B4828" s="2">
        <v>1082.0</v>
      </c>
      <c r="C4828" s="2">
        <v>12744.0</v>
      </c>
      <c r="D4828" s="2">
        <v>4013.0</v>
      </c>
      <c r="E4828" s="3">
        <f t="shared" si="1"/>
        <v>0.3441090722</v>
      </c>
      <c r="F4828" s="2">
        <v>1450.0</v>
      </c>
      <c r="G4828" s="3">
        <f t="shared" si="2"/>
        <v>0.1243354485</v>
      </c>
      <c r="H4828" s="2">
        <v>2510.0</v>
      </c>
      <c r="I4828" s="3">
        <f t="shared" si="3"/>
        <v>0.2152289487</v>
      </c>
      <c r="J4828" s="2">
        <v>1877.0</v>
      </c>
      <c r="K4828" s="3">
        <f t="shared" si="4"/>
        <v>0.1609500943</v>
      </c>
      <c r="L4828" s="2">
        <v>1550.0</v>
      </c>
      <c r="M4828" s="3">
        <f t="shared" si="5"/>
        <v>0.6175298805</v>
      </c>
      <c r="N4828" s="2">
        <v>1.41132E7</v>
      </c>
      <c r="O4828" s="4">
        <f t="shared" si="6"/>
        <v>5622.788845</v>
      </c>
      <c r="P4828" s="2">
        <v>2.0</v>
      </c>
      <c r="Q4828" s="3">
        <f t="shared" si="7"/>
        <v>0.001848428835</v>
      </c>
      <c r="R4828" s="2">
        <v>1082.0</v>
      </c>
      <c r="S4828" s="5">
        <f t="shared" si="8"/>
        <v>1</v>
      </c>
    </row>
    <row r="4829">
      <c r="A4829" s="2" t="s">
        <v>4831</v>
      </c>
      <c r="B4829" s="2">
        <v>266.0</v>
      </c>
      <c r="C4829" s="2">
        <v>3081.0</v>
      </c>
      <c r="D4829" s="2">
        <v>1089.0</v>
      </c>
      <c r="E4829" s="3">
        <f t="shared" si="1"/>
        <v>0.3868561279</v>
      </c>
      <c r="F4829" s="2">
        <v>350.0</v>
      </c>
      <c r="G4829" s="3">
        <f t="shared" si="2"/>
        <v>0.1243339254</v>
      </c>
      <c r="H4829" s="2">
        <v>618.0</v>
      </c>
      <c r="I4829" s="3">
        <f t="shared" si="3"/>
        <v>0.2195381883</v>
      </c>
      <c r="J4829" s="2">
        <v>432.0</v>
      </c>
      <c r="K4829" s="3">
        <f t="shared" si="4"/>
        <v>0.1534635879</v>
      </c>
      <c r="L4829" s="2">
        <v>371.0</v>
      </c>
      <c r="M4829" s="3">
        <f t="shared" si="5"/>
        <v>0.6003236246</v>
      </c>
      <c r="N4829" s="2">
        <v>3356800.0</v>
      </c>
      <c r="O4829" s="4">
        <f t="shared" si="6"/>
        <v>5431.71521</v>
      </c>
      <c r="P4829" s="2">
        <v>0.0</v>
      </c>
      <c r="Q4829" s="3">
        <f t="shared" si="7"/>
        <v>0</v>
      </c>
      <c r="R4829" s="2">
        <v>266.0</v>
      </c>
      <c r="S4829" s="5">
        <f t="shared" si="8"/>
        <v>1</v>
      </c>
    </row>
    <row r="4830">
      <c r="A4830" s="2" t="s">
        <v>4832</v>
      </c>
      <c r="B4830" s="2">
        <v>687.0</v>
      </c>
      <c r="C4830" s="2">
        <v>7998.0</v>
      </c>
      <c r="D4830" s="2">
        <v>2130.0</v>
      </c>
      <c r="E4830" s="3">
        <f t="shared" si="1"/>
        <v>0.2913418137</v>
      </c>
      <c r="F4830" s="2">
        <v>909.0</v>
      </c>
      <c r="G4830" s="3">
        <f t="shared" si="2"/>
        <v>0.1243331966</v>
      </c>
      <c r="H4830" s="2">
        <v>1661.0</v>
      </c>
      <c r="I4830" s="3">
        <f t="shared" si="3"/>
        <v>0.2271919026</v>
      </c>
      <c r="J4830" s="2">
        <v>1559.0</v>
      </c>
      <c r="K4830" s="3">
        <f t="shared" si="4"/>
        <v>0.2132403228</v>
      </c>
      <c r="L4830" s="2">
        <v>984.0</v>
      </c>
      <c r="M4830" s="3">
        <f t="shared" si="5"/>
        <v>0.5924142083</v>
      </c>
      <c r="N4830" s="2">
        <v>9147900.0</v>
      </c>
      <c r="O4830" s="4">
        <f t="shared" si="6"/>
        <v>5507.465382</v>
      </c>
      <c r="P4830" s="2">
        <v>0.0</v>
      </c>
      <c r="Q4830" s="3">
        <f t="shared" si="7"/>
        <v>0</v>
      </c>
      <c r="R4830" s="2">
        <v>687.0</v>
      </c>
      <c r="S4830" s="5">
        <f t="shared" si="8"/>
        <v>1</v>
      </c>
    </row>
    <row r="4831">
      <c r="A4831" s="2" t="s">
        <v>4833</v>
      </c>
      <c r="B4831" s="2">
        <v>2897.0</v>
      </c>
      <c r="C4831" s="2">
        <v>34377.0</v>
      </c>
      <c r="D4831" s="2">
        <v>11440.0</v>
      </c>
      <c r="E4831" s="3">
        <f t="shared" si="1"/>
        <v>0.3634053367</v>
      </c>
      <c r="F4831" s="2">
        <v>3914.0</v>
      </c>
      <c r="G4831" s="3">
        <f t="shared" si="2"/>
        <v>0.1243329098</v>
      </c>
      <c r="H4831" s="2">
        <v>6612.0</v>
      </c>
      <c r="I4831" s="3">
        <f t="shared" si="3"/>
        <v>0.2100381194</v>
      </c>
      <c r="J4831" s="2">
        <v>5453.0</v>
      </c>
      <c r="K4831" s="3">
        <f t="shared" si="4"/>
        <v>0.1732210928</v>
      </c>
      <c r="L4831" s="2">
        <v>3952.0</v>
      </c>
      <c r="M4831" s="3">
        <f t="shared" si="5"/>
        <v>0.5977011494</v>
      </c>
      <c r="N4831" s="2">
        <v>3.72551E7</v>
      </c>
      <c r="O4831" s="4">
        <f t="shared" si="6"/>
        <v>5634.467635</v>
      </c>
      <c r="P4831" s="2">
        <v>2.0</v>
      </c>
      <c r="Q4831" s="3">
        <f t="shared" si="7"/>
        <v>0.0006903693476</v>
      </c>
      <c r="R4831" s="2">
        <v>2897.0</v>
      </c>
      <c r="S4831" s="5">
        <f t="shared" si="8"/>
        <v>1</v>
      </c>
    </row>
    <row r="4832">
      <c r="A4832" s="2" t="s">
        <v>4834</v>
      </c>
      <c r="B4832" s="2">
        <v>1087.0</v>
      </c>
      <c r="C4832" s="2">
        <v>12711.0</v>
      </c>
      <c r="D4832" s="2">
        <v>4477.0</v>
      </c>
      <c r="E4832" s="3">
        <f t="shared" si="1"/>
        <v>0.3851514109</v>
      </c>
      <c r="F4832" s="2">
        <v>1445.0</v>
      </c>
      <c r="G4832" s="3">
        <f t="shared" si="2"/>
        <v>0.1243117688</v>
      </c>
      <c r="H4832" s="2">
        <v>2508.0</v>
      </c>
      <c r="I4832" s="3">
        <f t="shared" si="3"/>
        <v>0.2157604955</v>
      </c>
      <c r="J4832" s="2">
        <v>1907.0</v>
      </c>
      <c r="K4832" s="3">
        <f t="shared" si="4"/>
        <v>0.1640571232</v>
      </c>
      <c r="L4832" s="2">
        <v>1462.0</v>
      </c>
      <c r="M4832" s="3">
        <f t="shared" si="5"/>
        <v>0.5829346093</v>
      </c>
      <c r="N4832" s="2">
        <v>1.31741E7</v>
      </c>
      <c r="O4832" s="4">
        <f t="shared" si="6"/>
        <v>5252.830941</v>
      </c>
      <c r="P4832" s="2">
        <v>1.0</v>
      </c>
      <c r="Q4832" s="3">
        <f t="shared" si="7"/>
        <v>0.0009199632015</v>
      </c>
      <c r="R4832" s="2">
        <v>1087.0</v>
      </c>
      <c r="S4832" s="5">
        <f t="shared" si="8"/>
        <v>1</v>
      </c>
    </row>
    <row r="4833">
      <c r="A4833" s="2" t="s">
        <v>4835</v>
      </c>
      <c r="B4833" s="2">
        <v>413.0</v>
      </c>
      <c r="C4833" s="2">
        <v>4749.0</v>
      </c>
      <c r="D4833" s="2">
        <v>1538.0</v>
      </c>
      <c r="E4833" s="3">
        <f t="shared" si="1"/>
        <v>0.354704797</v>
      </c>
      <c r="F4833" s="2">
        <v>539.0</v>
      </c>
      <c r="G4833" s="3">
        <f t="shared" si="2"/>
        <v>0.1243081181</v>
      </c>
      <c r="H4833" s="2">
        <v>907.0</v>
      </c>
      <c r="I4833" s="3">
        <f t="shared" si="3"/>
        <v>0.2091789668</v>
      </c>
      <c r="J4833" s="2">
        <v>755.0</v>
      </c>
      <c r="K4833" s="3">
        <f t="shared" si="4"/>
        <v>0.1741236162</v>
      </c>
      <c r="L4833" s="2">
        <v>544.0</v>
      </c>
      <c r="M4833" s="3">
        <f t="shared" si="5"/>
        <v>0.5997794928</v>
      </c>
      <c r="N4833" s="2">
        <v>5071700.0</v>
      </c>
      <c r="O4833" s="4">
        <f t="shared" si="6"/>
        <v>5591.730981</v>
      </c>
      <c r="P4833" s="2">
        <v>3.0</v>
      </c>
      <c r="Q4833" s="3">
        <f t="shared" si="7"/>
        <v>0.007263922518</v>
      </c>
      <c r="R4833" s="2">
        <v>413.0</v>
      </c>
      <c r="S4833" s="5">
        <f t="shared" si="8"/>
        <v>1</v>
      </c>
    </row>
    <row r="4834">
      <c r="A4834" s="2" t="s">
        <v>4836</v>
      </c>
      <c r="B4834" s="2">
        <v>295.0</v>
      </c>
      <c r="C4834" s="2">
        <v>3529.0</v>
      </c>
      <c r="D4834" s="2">
        <v>1071.0</v>
      </c>
      <c r="E4834" s="3">
        <f t="shared" si="1"/>
        <v>0.3311688312</v>
      </c>
      <c r="F4834" s="2">
        <v>402.0</v>
      </c>
      <c r="G4834" s="3">
        <f t="shared" si="2"/>
        <v>0.1243042672</v>
      </c>
      <c r="H4834" s="2">
        <v>673.0</v>
      </c>
      <c r="I4834" s="3">
        <f t="shared" si="3"/>
        <v>0.2081014224</v>
      </c>
      <c r="J4834" s="2">
        <v>531.0</v>
      </c>
      <c r="K4834" s="3">
        <f t="shared" si="4"/>
        <v>0.1641929499</v>
      </c>
      <c r="L4834" s="2">
        <v>409.0</v>
      </c>
      <c r="M4834" s="3">
        <f t="shared" si="5"/>
        <v>0.6077265973</v>
      </c>
      <c r="N4834" s="2">
        <v>3795100.0</v>
      </c>
      <c r="O4834" s="4">
        <f t="shared" si="6"/>
        <v>5639.078752</v>
      </c>
      <c r="P4834" s="2">
        <v>1.0</v>
      </c>
      <c r="Q4834" s="3">
        <f t="shared" si="7"/>
        <v>0.003389830508</v>
      </c>
      <c r="R4834" s="2">
        <v>295.0</v>
      </c>
      <c r="S4834" s="5">
        <f t="shared" si="8"/>
        <v>1</v>
      </c>
    </row>
    <row r="4835">
      <c r="A4835" s="2" t="s">
        <v>4837</v>
      </c>
      <c r="B4835" s="2">
        <v>16.0</v>
      </c>
      <c r="C4835" s="2">
        <v>193.0</v>
      </c>
      <c r="D4835" s="2">
        <v>65.0</v>
      </c>
      <c r="E4835" s="3">
        <f t="shared" si="1"/>
        <v>0.3672316384</v>
      </c>
      <c r="F4835" s="2">
        <v>22.0</v>
      </c>
      <c r="G4835" s="3">
        <f t="shared" si="2"/>
        <v>0.1242937853</v>
      </c>
      <c r="H4835" s="2">
        <v>36.0</v>
      </c>
      <c r="I4835" s="3">
        <f t="shared" si="3"/>
        <v>0.2033898305</v>
      </c>
      <c r="J4835" s="2">
        <v>30.0</v>
      </c>
      <c r="K4835" s="3">
        <f t="shared" si="4"/>
        <v>0.1694915254</v>
      </c>
      <c r="L4835" s="2">
        <v>21.0</v>
      </c>
      <c r="M4835" s="3">
        <f t="shared" si="5"/>
        <v>0.5833333333</v>
      </c>
      <c r="N4835" s="2">
        <v>173600.0</v>
      </c>
      <c r="O4835" s="4">
        <f t="shared" si="6"/>
        <v>4822.222222</v>
      </c>
      <c r="P4835" s="2">
        <v>0.0</v>
      </c>
      <c r="Q4835" s="3">
        <f t="shared" si="7"/>
        <v>0</v>
      </c>
      <c r="R4835" s="2">
        <v>1.0</v>
      </c>
      <c r="S4835" s="5">
        <f t="shared" si="8"/>
        <v>0.0625</v>
      </c>
    </row>
    <row r="4836">
      <c r="A4836" s="2" t="s">
        <v>4838</v>
      </c>
      <c r="B4836" s="2">
        <v>3408.0</v>
      </c>
      <c r="C4836" s="2">
        <v>40243.0</v>
      </c>
      <c r="D4836" s="2">
        <v>14669.0</v>
      </c>
      <c r="E4836" s="3">
        <f t="shared" si="1"/>
        <v>0.398235374</v>
      </c>
      <c r="F4836" s="2">
        <v>4578.0</v>
      </c>
      <c r="G4836" s="3">
        <f t="shared" si="2"/>
        <v>0.1242839691</v>
      </c>
      <c r="H4836" s="2">
        <v>7975.0</v>
      </c>
      <c r="I4836" s="3">
        <f t="shared" si="3"/>
        <v>0.2165060405</v>
      </c>
      <c r="J4836" s="2">
        <v>5799.0</v>
      </c>
      <c r="K4836" s="3">
        <f t="shared" si="4"/>
        <v>0.1574317904</v>
      </c>
      <c r="L4836" s="2">
        <v>4840.0</v>
      </c>
      <c r="M4836" s="3">
        <f t="shared" si="5"/>
        <v>0.6068965517</v>
      </c>
      <c r="N4836" s="2">
        <v>4.16679E7</v>
      </c>
      <c r="O4836" s="4">
        <f t="shared" si="6"/>
        <v>5224.815047</v>
      </c>
      <c r="P4836" s="2">
        <v>2.0</v>
      </c>
      <c r="Q4836" s="3">
        <f t="shared" si="7"/>
        <v>0.0005868544601</v>
      </c>
      <c r="R4836" s="2">
        <v>3361.0</v>
      </c>
      <c r="S4836" s="5">
        <f t="shared" si="8"/>
        <v>0.9862089202</v>
      </c>
    </row>
    <row r="4837">
      <c r="A4837" s="2" t="s">
        <v>4839</v>
      </c>
      <c r="B4837" s="2">
        <v>551.0</v>
      </c>
      <c r="C4837" s="2">
        <v>6481.0</v>
      </c>
      <c r="D4837" s="2">
        <v>1909.0</v>
      </c>
      <c r="E4837" s="3">
        <f t="shared" si="1"/>
        <v>0.3219224283</v>
      </c>
      <c r="F4837" s="2">
        <v>737.0</v>
      </c>
      <c r="G4837" s="3">
        <f t="shared" si="2"/>
        <v>0.1242833052</v>
      </c>
      <c r="H4837" s="2">
        <v>1259.0</v>
      </c>
      <c r="I4837" s="3">
        <f t="shared" si="3"/>
        <v>0.2123102867</v>
      </c>
      <c r="J4837" s="2">
        <v>1076.0</v>
      </c>
      <c r="K4837" s="3">
        <f t="shared" si="4"/>
        <v>0.181450253</v>
      </c>
      <c r="L4837" s="2">
        <v>725.0</v>
      </c>
      <c r="M4837" s="3">
        <f t="shared" si="5"/>
        <v>0.5758538523</v>
      </c>
      <c r="N4837" s="2">
        <v>7161200.0</v>
      </c>
      <c r="O4837" s="4">
        <f t="shared" si="6"/>
        <v>5688.006354</v>
      </c>
      <c r="P4837" s="2">
        <v>1.0</v>
      </c>
      <c r="Q4837" s="3">
        <f t="shared" si="7"/>
        <v>0.001814882033</v>
      </c>
      <c r="R4837" s="2">
        <v>551.0</v>
      </c>
      <c r="S4837" s="5">
        <f t="shared" si="8"/>
        <v>1</v>
      </c>
    </row>
    <row r="4838">
      <c r="A4838" s="2" t="s">
        <v>4840</v>
      </c>
      <c r="B4838" s="2">
        <v>878.0</v>
      </c>
      <c r="C4838" s="2">
        <v>10292.0</v>
      </c>
      <c r="D4838" s="2">
        <v>3353.0</v>
      </c>
      <c r="E4838" s="3">
        <f t="shared" si="1"/>
        <v>0.3561716592</v>
      </c>
      <c r="F4838" s="2">
        <v>1170.0</v>
      </c>
      <c r="G4838" s="3">
        <f t="shared" si="2"/>
        <v>0.1242829828</v>
      </c>
      <c r="H4838" s="2">
        <v>2034.0</v>
      </c>
      <c r="I4838" s="3">
        <f t="shared" si="3"/>
        <v>0.2160611855</v>
      </c>
      <c r="J4838" s="2">
        <v>1652.0</v>
      </c>
      <c r="K4838" s="3">
        <f t="shared" si="4"/>
        <v>0.1754833227</v>
      </c>
      <c r="L4838" s="2">
        <v>1230.0</v>
      </c>
      <c r="M4838" s="3">
        <f t="shared" si="5"/>
        <v>0.604719764</v>
      </c>
      <c r="N4838" s="2">
        <v>1.09068E7</v>
      </c>
      <c r="O4838" s="4">
        <f t="shared" si="6"/>
        <v>5362.241888</v>
      </c>
      <c r="P4838" s="2">
        <v>1.0</v>
      </c>
      <c r="Q4838" s="3">
        <f t="shared" si="7"/>
        <v>0.001138952164</v>
      </c>
      <c r="R4838" s="2">
        <v>1.0</v>
      </c>
      <c r="S4838" s="5">
        <f t="shared" si="8"/>
        <v>0.001138952164</v>
      </c>
    </row>
    <row r="4839">
      <c r="A4839" s="2" t="s">
        <v>4841</v>
      </c>
      <c r="B4839" s="2">
        <v>1215.0</v>
      </c>
      <c r="C4839" s="2">
        <v>14250.0</v>
      </c>
      <c r="D4839" s="2">
        <v>4544.0</v>
      </c>
      <c r="E4839" s="3">
        <f t="shared" si="1"/>
        <v>0.3485999233</v>
      </c>
      <c r="F4839" s="2">
        <v>1620.0</v>
      </c>
      <c r="G4839" s="3">
        <f t="shared" si="2"/>
        <v>0.1242807825</v>
      </c>
      <c r="H4839" s="2">
        <v>2765.0</v>
      </c>
      <c r="I4839" s="3">
        <f t="shared" si="3"/>
        <v>0.2121212121</v>
      </c>
      <c r="J4839" s="2">
        <v>2148.0</v>
      </c>
      <c r="K4839" s="3">
        <f t="shared" si="4"/>
        <v>0.1647871116</v>
      </c>
      <c r="L4839" s="2">
        <v>1628.0</v>
      </c>
      <c r="M4839" s="3">
        <f t="shared" si="5"/>
        <v>0.5887884268</v>
      </c>
      <c r="N4839" s="2">
        <v>1.4707E7</v>
      </c>
      <c r="O4839" s="4">
        <f t="shared" si="6"/>
        <v>5318.987342</v>
      </c>
      <c r="P4839" s="2">
        <v>2.0</v>
      </c>
      <c r="Q4839" s="3">
        <f t="shared" si="7"/>
        <v>0.001646090535</v>
      </c>
      <c r="R4839" s="2">
        <v>921.0</v>
      </c>
      <c r="S4839" s="5">
        <f t="shared" si="8"/>
        <v>0.7580246914</v>
      </c>
    </row>
    <row r="4840">
      <c r="A4840" s="2" t="s">
        <v>4842</v>
      </c>
      <c r="B4840" s="2">
        <v>116.0</v>
      </c>
      <c r="C4840" s="2">
        <v>1331.0</v>
      </c>
      <c r="D4840" s="2">
        <v>311.0</v>
      </c>
      <c r="E4840" s="3">
        <f t="shared" si="1"/>
        <v>0.2559670782</v>
      </c>
      <c r="F4840" s="2">
        <v>151.0</v>
      </c>
      <c r="G4840" s="3">
        <f t="shared" si="2"/>
        <v>0.1242798354</v>
      </c>
      <c r="H4840" s="2">
        <v>256.0</v>
      </c>
      <c r="I4840" s="3">
        <f t="shared" si="3"/>
        <v>0.2106995885</v>
      </c>
      <c r="J4840" s="2">
        <v>218.0</v>
      </c>
      <c r="K4840" s="3">
        <f t="shared" si="4"/>
        <v>0.1794238683</v>
      </c>
      <c r="L4840" s="2">
        <v>174.0</v>
      </c>
      <c r="M4840" s="3">
        <f t="shared" si="5"/>
        <v>0.6796875</v>
      </c>
      <c r="N4840" s="2">
        <v>1704000.0</v>
      </c>
      <c r="O4840" s="4">
        <f t="shared" si="6"/>
        <v>6656.25</v>
      </c>
      <c r="P4840" s="2">
        <v>0.0</v>
      </c>
      <c r="Q4840" s="3">
        <f t="shared" si="7"/>
        <v>0</v>
      </c>
      <c r="R4840" s="2">
        <v>116.0</v>
      </c>
      <c r="S4840" s="5">
        <f t="shared" si="8"/>
        <v>1</v>
      </c>
    </row>
    <row r="4841">
      <c r="A4841" s="2" t="s">
        <v>4843</v>
      </c>
      <c r="B4841" s="2">
        <v>98.0</v>
      </c>
      <c r="C4841" s="2">
        <v>1136.0</v>
      </c>
      <c r="D4841" s="2">
        <v>281.0</v>
      </c>
      <c r="E4841" s="3">
        <f t="shared" si="1"/>
        <v>0.2707129094</v>
      </c>
      <c r="F4841" s="2">
        <v>129.0</v>
      </c>
      <c r="G4841" s="3">
        <f t="shared" si="2"/>
        <v>0.1242774566</v>
      </c>
      <c r="H4841" s="2">
        <v>205.0</v>
      </c>
      <c r="I4841" s="3">
        <f t="shared" si="3"/>
        <v>0.197495183</v>
      </c>
      <c r="J4841" s="2">
        <v>170.0</v>
      </c>
      <c r="K4841" s="3">
        <f t="shared" si="4"/>
        <v>0.1637764933</v>
      </c>
      <c r="L4841" s="2">
        <v>123.0</v>
      </c>
      <c r="M4841" s="3">
        <f t="shared" si="5"/>
        <v>0.6</v>
      </c>
      <c r="N4841" s="2">
        <v>1115200.0</v>
      </c>
      <c r="O4841" s="4">
        <f t="shared" si="6"/>
        <v>5440</v>
      </c>
      <c r="P4841" s="2">
        <v>0.0</v>
      </c>
      <c r="Q4841" s="3">
        <f t="shared" si="7"/>
        <v>0</v>
      </c>
      <c r="R4841" s="2">
        <v>58.0</v>
      </c>
      <c r="S4841" s="5">
        <f t="shared" si="8"/>
        <v>0.5918367347</v>
      </c>
    </row>
    <row r="4842">
      <c r="A4842" s="2" t="s">
        <v>4844</v>
      </c>
      <c r="B4842" s="2">
        <v>67.0</v>
      </c>
      <c r="C4842" s="2">
        <v>759.0</v>
      </c>
      <c r="D4842" s="2">
        <v>208.0</v>
      </c>
      <c r="E4842" s="3">
        <f t="shared" si="1"/>
        <v>0.3005780347</v>
      </c>
      <c r="F4842" s="2">
        <v>86.0</v>
      </c>
      <c r="G4842" s="3">
        <f t="shared" si="2"/>
        <v>0.1242774566</v>
      </c>
      <c r="H4842" s="2">
        <v>159.0</v>
      </c>
      <c r="I4842" s="3">
        <f t="shared" si="3"/>
        <v>0.2297687861</v>
      </c>
      <c r="J4842" s="2">
        <v>113.0</v>
      </c>
      <c r="K4842" s="3">
        <f t="shared" si="4"/>
        <v>0.1632947977</v>
      </c>
      <c r="L4842" s="2">
        <v>82.0</v>
      </c>
      <c r="M4842" s="3">
        <f t="shared" si="5"/>
        <v>0.5157232704</v>
      </c>
      <c r="N4842" s="2">
        <v>963900.0</v>
      </c>
      <c r="O4842" s="4">
        <f t="shared" si="6"/>
        <v>6062.264151</v>
      </c>
      <c r="P4842" s="2">
        <v>1.0</v>
      </c>
      <c r="Q4842" s="3">
        <f t="shared" si="7"/>
        <v>0.01492537313</v>
      </c>
      <c r="R4842" s="2">
        <v>0.0</v>
      </c>
      <c r="S4842" s="5">
        <f t="shared" si="8"/>
        <v>0</v>
      </c>
    </row>
    <row r="4843">
      <c r="A4843" s="2" t="s">
        <v>4845</v>
      </c>
      <c r="B4843" s="2">
        <v>31.0</v>
      </c>
      <c r="C4843" s="2">
        <v>369.0</v>
      </c>
      <c r="D4843" s="2">
        <v>70.0</v>
      </c>
      <c r="E4843" s="3">
        <f t="shared" si="1"/>
        <v>0.2071005917</v>
      </c>
      <c r="F4843" s="2">
        <v>42.0</v>
      </c>
      <c r="G4843" s="3">
        <f t="shared" si="2"/>
        <v>0.124260355</v>
      </c>
      <c r="H4843" s="2">
        <v>58.0</v>
      </c>
      <c r="I4843" s="3">
        <f t="shared" si="3"/>
        <v>0.1715976331</v>
      </c>
      <c r="J4843" s="2">
        <v>57.0</v>
      </c>
      <c r="K4843" s="3">
        <f t="shared" si="4"/>
        <v>0.1686390533</v>
      </c>
      <c r="L4843" s="2">
        <v>32.0</v>
      </c>
      <c r="M4843" s="3">
        <f t="shared" si="5"/>
        <v>0.5517241379</v>
      </c>
      <c r="N4843" s="2">
        <v>401900.0</v>
      </c>
      <c r="O4843" s="4">
        <f t="shared" si="6"/>
        <v>6929.310345</v>
      </c>
      <c r="P4843" s="2">
        <v>0.0</v>
      </c>
      <c r="Q4843" s="3">
        <f t="shared" si="7"/>
        <v>0</v>
      </c>
      <c r="R4843" s="2">
        <v>31.0</v>
      </c>
      <c r="S4843" s="5">
        <f t="shared" si="8"/>
        <v>1</v>
      </c>
    </row>
    <row r="4844">
      <c r="A4844" s="2" t="s">
        <v>4846</v>
      </c>
      <c r="B4844" s="2">
        <v>567.0</v>
      </c>
      <c r="C4844" s="2">
        <v>6651.0</v>
      </c>
      <c r="D4844" s="2">
        <v>2278.0</v>
      </c>
      <c r="E4844" s="3">
        <f t="shared" si="1"/>
        <v>0.3744247206</v>
      </c>
      <c r="F4844" s="2">
        <v>756.0</v>
      </c>
      <c r="G4844" s="3">
        <f t="shared" si="2"/>
        <v>0.124260355</v>
      </c>
      <c r="H4844" s="2">
        <v>1229.0</v>
      </c>
      <c r="I4844" s="3">
        <f t="shared" si="3"/>
        <v>0.2020052597</v>
      </c>
      <c r="J4844" s="2">
        <v>965.0</v>
      </c>
      <c r="K4844" s="3">
        <f t="shared" si="4"/>
        <v>0.1586127548</v>
      </c>
      <c r="L4844" s="2">
        <v>731.0</v>
      </c>
      <c r="M4844" s="3">
        <f t="shared" si="5"/>
        <v>0.5947925142</v>
      </c>
      <c r="N4844" s="2">
        <v>6993000.0</v>
      </c>
      <c r="O4844" s="4">
        <f t="shared" si="6"/>
        <v>5689.991863</v>
      </c>
      <c r="P4844" s="2">
        <v>2.0</v>
      </c>
      <c r="Q4844" s="3">
        <f t="shared" si="7"/>
        <v>0.003527336861</v>
      </c>
      <c r="R4844" s="2">
        <v>567.0</v>
      </c>
      <c r="S4844" s="5">
        <f t="shared" si="8"/>
        <v>1</v>
      </c>
    </row>
    <row r="4845">
      <c r="A4845" s="2" t="s">
        <v>4847</v>
      </c>
      <c r="B4845" s="2">
        <v>1740.0</v>
      </c>
      <c r="C4845" s="2">
        <v>20685.0</v>
      </c>
      <c r="D4845" s="2">
        <v>7590.0</v>
      </c>
      <c r="E4845" s="3">
        <f t="shared" si="1"/>
        <v>0.4006334125</v>
      </c>
      <c r="F4845" s="2">
        <v>2354.0</v>
      </c>
      <c r="G4845" s="3">
        <f t="shared" si="2"/>
        <v>0.1242544207</v>
      </c>
      <c r="H4845" s="2">
        <v>3991.0</v>
      </c>
      <c r="I4845" s="3">
        <f t="shared" si="3"/>
        <v>0.2106624439</v>
      </c>
      <c r="J4845" s="2">
        <v>3048.0</v>
      </c>
      <c r="K4845" s="3">
        <f t="shared" si="4"/>
        <v>0.1608867775</v>
      </c>
      <c r="L4845" s="2">
        <v>2399.0</v>
      </c>
      <c r="M4845" s="3">
        <f t="shared" si="5"/>
        <v>0.6011024806</v>
      </c>
      <c r="N4845" s="2">
        <v>2.18874E7</v>
      </c>
      <c r="O4845" s="4">
        <f t="shared" si="6"/>
        <v>5484.189426</v>
      </c>
      <c r="P4845" s="2">
        <v>1.0</v>
      </c>
      <c r="Q4845" s="3">
        <f t="shared" si="7"/>
        <v>0.0005747126437</v>
      </c>
      <c r="R4845" s="2">
        <v>1728.0</v>
      </c>
      <c r="S4845" s="5">
        <f t="shared" si="8"/>
        <v>0.9931034483</v>
      </c>
    </row>
    <row r="4846">
      <c r="A4846" s="2" t="s">
        <v>4848</v>
      </c>
      <c r="B4846" s="2">
        <v>588.0</v>
      </c>
      <c r="C4846" s="2">
        <v>6898.0</v>
      </c>
      <c r="D4846" s="2">
        <v>2391.0</v>
      </c>
      <c r="E4846" s="3">
        <f t="shared" si="1"/>
        <v>0.3789223455</v>
      </c>
      <c r="F4846" s="2">
        <v>784.0</v>
      </c>
      <c r="G4846" s="3">
        <f t="shared" si="2"/>
        <v>0.1242472266</v>
      </c>
      <c r="H4846" s="2">
        <v>1354.0</v>
      </c>
      <c r="I4846" s="3">
        <f t="shared" si="3"/>
        <v>0.2145800317</v>
      </c>
      <c r="J4846" s="2">
        <v>1166.0</v>
      </c>
      <c r="K4846" s="3">
        <f t="shared" si="4"/>
        <v>0.1847860539</v>
      </c>
      <c r="L4846" s="2">
        <v>796.0</v>
      </c>
      <c r="M4846" s="3">
        <f t="shared" si="5"/>
        <v>0.58788774</v>
      </c>
      <c r="N4846" s="2">
        <v>7825800.0</v>
      </c>
      <c r="O4846" s="4">
        <f t="shared" si="6"/>
        <v>5779.763663</v>
      </c>
      <c r="P4846" s="2">
        <v>3.0</v>
      </c>
      <c r="Q4846" s="3">
        <f t="shared" si="7"/>
        <v>0.005102040816</v>
      </c>
      <c r="R4846" s="2">
        <v>587.0</v>
      </c>
      <c r="S4846" s="5">
        <f t="shared" si="8"/>
        <v>0.9982993197</v>
      </c>
    </row>
    <row r="4847">
      <c r="A4847" s="2" t="s">
        <v>4849</v>
      </c>
      <c r="B4847" s="2">
        <v>2183.0</v>
      </c>
      <c r="C4847" s="2">
        <v>25548.0</v>
      </c>
      <c r="D4847" s="2">
        <v>8619.0</v>
      </c>
      <c r="E4847" s="3">
        <f t="shared" si="1"/>
        <v>0.3688850845</v>
      </c>
      <c r="F4847" s="2">
        <v>2903.0</v>
      </c>
      <c r="G4847" s="3">
        <f t="shared" si="2"/>
        <v>0.1242456666</v>
      </c>
      <c r="H4847" s="2">
        <v>4997.0</v>
      </c>
      <c r="I4847" s="3">
        <f t="shared" si="3"/>
        <v>0.2138668949</v>
      </c>
      <c r="J4847" s="2">
        <v>4120.0</v>
      </c>
      <c r="K4847" s="3">
        <f t="shared" si="4"/>
        <v>0.1763321207</v>
      </c>
      <c r="L4847" s="2">
        <v>2958.0</v>
      </c>
      <c r="M4847" s="3">
        <f t="shared" si="5"/>
        <v>0.5919551731</v>
      </c>
      <c r="N4847" s="2">
        <v>2.70765E7</v>
      </c>
      <c r="O4847" s="4">
        <f t="shared" si="6"/>
        <v>5418.551131</v>
      </c>
      <c r="P4847" s="2">
        <v>4.0</v>
      </c>
      <c r="Q4847" s="3">
        <f t="shared" si="7"/>
        <v>0.001832340815</v>
      </c>
      <c r="R4847" s="2">
        <v>2183.0</v>
      </c>
      <c r="S4847" s="5">
        <f t="shared" si="8"/>
        <v>1</v>
      </c>
    </row>
    <row r="4848">
      <c r="A4848" s="2" t="s">
        <v>4850</v>
      </c>
      <c r="B4848" s="2">
        <v>9772.0</v>
      </c>
      <c r="C4848" s="2">
        <v>114485.0</v>
      </c>
      <c r="D4848" s="2">
        <v>35661.0</v>
      </c>
      <c r="E4848" s="3">
        <f t="shared" si="1"/>
        <v>0.3405594339</v>
      </c>
      <c r="F4848" s="2">
        <v>13010.0</v>
      </c>
      <c r="G4848" s="3">
        <f t="shared" si="2"/>
        <v>0.1242443632</v>
      </c>
      <c r="H4848" s="2">
        <v>23035.0</v>
      </c>
      <c r="I4848" s="3">
        <f t="shared" si="3"/>
        <v>0.2199822372</v>
      </c>
      <c r="J4848" s="2">
        <v>19351.0</v>
      </c>
      <c r="K4848" s="3">
        <f t="shared" si="4"/>
        <v>0.1848003591</v>
      </c>
      <c r="L4848" s="2">
        <v>13796.0</v>
      </c>
      <c r="M4848" s="3">
        <f t="shared" si="5"/>
        <v>0.598914695</v>
      </c>
      <c r="N4848" s="2">
        <v>1.320815E8</v>
      </c>
      <c r="O4848" s="4">
        <f t="shared" si="6"/>
        <v>5733.948339</v>
      </c>
      <c r="P4848" s="2">
        <v>29.0</v>
      </c>
      <c r="Q4848" s="3">
        <f t="shared" si="7"/>
        <v>0.00296766271</v>
      </c>
      <c r="R4848" s="2">
        <v>9772.0</v>
      </c>
      <c r="S4848" s="5">
        <f t="shared" si="8"/>
        <v>1</v>
      </c>
    </row>
    <row r="4849">
      <c r="A4849" s="2" t="s">
        <v>4851</v>
      </c>
      <c r="B4849" s="2">
        <v>43.0</v>
      </c>
      <c r="C4849" s="2">
        <v>534.0</v>
      </c>
      <c r="D4849" s="2">
        <v>196.0</v>
      </c>
      <c r="E4849" s="3">
        <f t="shared" si="1"/>
        <v>0.399185336</v>
      </c>
      <c r="F4849" s="2">
        <v>61.0</v>
      </c>
      <c r="G4849" s="3">
        <f t="shared" si="2"/>
        <v>0.1242362525</v>
      </c>
      <c r="H4849" s="2">
        <v>96.0</v>
      </c>
      <c r="I4849" s="3">
        <f t="shared" si="3"/>
        <v>0.1955193483</v>
      </c>
      <c r="J4849" s="2">
        <v>62.0</v>
      </c>
      <c r="K4849" s="3">
        <f t="shared" si="4"/>
        <v>0.1262729124</v>
      </c>
      <c r="L4849" s="2">
        <v>61.0</v>
      </c>
      <c r="M4849" s="3">
        <f t="shared" si="5"/>
        <v>0.6354166667</v>
      </c>
      <c r="N4849" s="2">
        <v>540000.0</v>
      </c>
      <c r="O4849" s="4">
        <f t="shared" si="6"/>
        <v>5625</v>
      </c>
      <c r="P4849" s="2">
        <v>0.0</v>
      </c>
      <c r="Q4849" s="3">
        <f t="shared" si="7"/>
        <v>0</v>
      </c>
      <c r="R4849" s="2">
        <v>43.0</v>
      </c>
      <c r="S4849" s="5">
        <f t="shared" si="8"/>
        <v>1</v>
      </c>
    </row>
    <row r="4850">
      <c r="A4850" s="2" t="s">
        <v>4852</v>
      </c>
      <c r="B4850" s="2">
        <v>739.0</v>
      </c>
      <c r="C4850" s="2">
        <v>8756.0</v>
      </c>
      <c r="D4850" s="2">
        <v>3017.0</v>
      </c>
      <c r="E4850" s="3">
        <f t="shared" si="1"/>
        <v>0.3763253087</v>
      </c>
      <c r="F4850" s="2">
        <v>996.0</v>
      </c>
      <c r="G4850" s="3">
        <f t="shared" si="2"/>
        <v>0.1242359985</v>
      </c>
      <c r="H4850" s="2">
        <v>1660.0</v>
      </c>
      <c r="I4850" s="3">
        <f t="shared" si="3"/>
        <v>0.2070599975</v>
      </c>
      <c r="J4850" s="2">
        <v>1323.0</v>
      </c>
      <c r="K4850" s="3">
        <f t="shared" si="4"/>
        <v>0.1650243233</v>
      </c>
      <c r="L4850" s="2">
        <v>970.0</v>
      </c>
      <c r="M4850" s="3">
        <f t="shared" si="5"/>
        <v>0.5843373494</v>
      </c>
      <c r="N4850" s="2">
        <v>9151900.0</v>
      </c>
      <c r="O4850" s="4">
        <f t="shared" si="6"/>
        <v>5513.192771</v>
      </c>
      <c r="P4850" s="2">
        <v>1.0</v>
      </c>
      <c r="Q4850" s="3">
        <f t="shared" si="7"/>
        <v>0.001353179973</v>
      </c>
      <c r="R4850" s="2">
        <v>739.0</v>
      </c>
      <c r="S4850" s="5">
        <f t="shared" si="8"/>
        <v>1</v>
      </c>
    </row>
    <row r="4851">
      <c r="A4851" s="2" t="s">
        <v>4853</v>
      </c>
      <c r="B4851" s="2">
        <v>279.0</v>
      </c>
      <c r="C4851" s="2">
        <v>3217.0</v>
      </c>
      <c r="D4851" s="2">
        <v>1141.0</v>
      </c>
      <c r="E4851" s="3">
        <f t="shared" si="1"/>
        <v>0.3883594282</v>
      </c>
      <c r="F4851" s="2">
        <v>365.0</v>
      </c>
      <c r="G4851" s="3">
        <f t="shared" si="2"/>
        <v>0.1242341729</v>
      </c>
      <c r="H4851" s="2">
        <v>606.0</v>
      </c>
      <c r="I4851" s="3">
        <f t="shared" si="3"/>
        <v>0.2062627638</v>
      </c>
      <c r="J4851" s="2">
        <v>448.0</v>
      </c>
      <c r="K4851" s="3">
        <f t="shared" si="4"/>
        <v>0.1524846835</v>
      </c>
      <c r="L4851" s="2">
        <v>353.0</v>
      </c>
      <c r="M4851" s="3">
        <f t="shared" si="5"/>
        <v>0.5825082508</v>
      </c>
      <c r="N4851" s="2">
        <v>3261300.0</v>
      </c>
      <c r="O4851" s="4">
        <f t="shared" si="6"/>
        <v>5381.683168</v>
      </c>
      <c r="P4851" s="2">
        <v>2.0</v>
      </c>
      <c r="Q4851" s="3">
        <f t="shared" si="7"/>
        <v>0.007168458781</v>
      </c>
      <c r="R4851" s="2">
        <v>279.0</v>
      </c>
      <c r="S4851" s="5">
        <f t="shared" si="8"/>
        <v>1</v>
      </c>
    </row>
    <row r="4852">
      <c r="A4852" s="2" t="s">
        <v>4854</v>
      </c>
      <c r="B4852" s="2">
        <v>46.0</v>
      </c>
      <c r="C4852" s="2">
        <v>529.0</v>
      </c>
      <c r="D4852" s="2">
        <v>185.0</v>
      </c>
      <c r="E4852" s="3">
        <f t="shared" si="1"/>
        <v>0.3830227743</v>
      </c>
      <c r="F4852" s="2">
        <v>60.0</v>
      </c>
      <c r="G4852" s="3">
        <f t="shared" si="2"/>
        <v>0.1242236025</v>
      </c>
      <c r="H4852" s="2">
        <v>102.0</v>
      </c>
      <c r="I4852" s="3">
        <f t="shared" si="3"/>
        <v>0.2111801242</v>
      </c>
      <c r="J4852" s="2">
        <v>57.0</v>
      </c>
      <c r="K4852" s="3">
        <f t="shared" si="4"/>
        <v>0.1180124224</v>
      </c>
      <c r="L4852" s="2">
        <v>61.0</v>
      </c>
      <c r="M4852" s="3">
        <f t="shared" si="5"/>
        <v>0.5980392157</v>
      </c>
      <c r="N4852" s="2">
        <v>522700.0</v>
      </c>
      <c r="O4852" s="4">
        <f t="shared" si="6"/>
        <v>5124.509804</v>
      </c>
      <c r="P4852" s="2">
        <v>0.0</v>
      </c>
      <c r="Q4852" s="3">
        <f t="shared" si="7"/>
        <v>0</v>
      </c>
      <c r="R4852" s="2">
        <v>46.0</v>
      </c>
      <c r="S4852" s="5">
        <f t="shared" si="8"/>
        <v>1</v>
      </c>
    </row>
    <row r="4853">
      <c r="A4853" s="2" t="s">
        <v>4855</v>
      </c>
      <c r="B4853" s="2">
        <v>2165.0</v>
      </c>
      <c r="C4853" s="2">
        <v>25318.0</v>
      </c>
      <c r="D4853" s="2">
        <v>7821.0</v>
      </c>
      <c r="E4853" s="3">
        <f t="shared" si="1"/>
        <v>0.3377963979</v>
      </c>
      <c r="F4853" s="2">
        <v>2876.0</v>
      </c>
      <c r="G4853" s="3">
        <f t="shared" si="2"/>
        <v>0.1242171641</v>
      </c>
      <c r="H4853" s="2">
        <v>4675.0</v>
      </c>
      <c r="I4853" s="3">
        <f t="shared" si="3"/>
        <v>0.2019176781</v>
      </c>
      <c r="J4853" s="2">
        <v>3751.0</v>
      </c>
      <c r="K4853" s="3">
        <f t="shared" si="4"/>
        <v>0.1620092429</v>
      </c>
      <c r="L4853" s="2">
        <v>2805.0</v>
      </c>
      <c r="M4853" s="3">
        <f t="shared" si="5"/>
        <v>0.6</v>
      </c>
      <c r="N4853" s="2">
        <v>2.79903E7</v>
      </c>
      <c r="O4853" s="4">
        <f t="shared" si="6"/>
        <v>5987.229947</v>
      </c>
      <c r="P4853" s="2">
        <v>7.0</v>
      </c>
      <c r="Q4853" s="3">
        <f t="shared" si="7"/>
        <v>0.003233256351</v>
      </c>
      <c r="R4853" s="2">
        <v>2165.0</v>
      </c>
      <c r="S4853" s="5">
        <f t="shared" si="8"/>
        <v>1</v>
      </c>
    </row>
    <row r="4854">
      <c r="A4854" s="2" t="s">
        <v>4856</v>
      </c>
      <c r="B4854" s="2">
        <v>88.0</v>
      </c>
      <c r="C4854" s="2">
        <v>1046.0</v>
      </c>
      <c r="D4854" s="2">
        <v>407.0</v>
      </c>
      <c r="E4854" s="3">
        <f t="shared" si="1"/>
        <v>0.4248434238</v>
      </c>
      <c r="F4854" s="2">
        <v>119.0</v>
      </c>
      <c r="G4854" s="3">
        <f t="shared" si="2"/>
        <v>0.124217119</v>
      </c>
      <c r="H4854" s="2">
        <v>200.0</v>
      </c>
      <c r="I4854" s="3">
        <f t="shared" si="3"/>
        <v>0.2087682672</v>
      </c>
      <c r="J4854" s="2">
        <v>152.0</v>
      </c>
      <c r="K4854" s="3">
        <f t="shared" si="4"/>
        <v>0.1586638831</v>
      </c>
      <c r="L4854" s="2">
        <v>118.0</v>
      </c>
      <c r="M4854" s="3">
        <f t="shared" si="5"/>
        <v>0.59</v>
      </c>
      <c r="N4854" s="2">
        <v>1063000.0</v>
      </c>
      <c r="O4854" s="4">
        <f t="shared" si="6"/>
        <v>5315</v>
      </c>
      <c r="P4854" s="2">
        <v>0.0</v>
      </c>
      <c r="Q4854" s="3">
        <f t="shared" si="7"/>
        <v>0</v>
      </c>
      <c r="R4854" s="2">
        <v>88.0</v>
      </c>
      <c r="S4854" s="5">
        <f t="shared" si="8"/>
        <v>1</v>
      </c>
    </row>
    <row r="4855">
      <c r="A4855" s="2" t="s">
        <v>4857</v>
      </c>
      <c r="B4855" s="2">
        <v>536.0</v>
      </c>
      <c r="C4855" s="2">
        <v>6260.0</v>
      </c>
      <c r="D4855" s="2">
        <v>2035.0</v>
      </c>
      <c r="E4855" s="3">
        <f t="shared" si="1"/>
        <v>0.355520615</v>
      </c>
      <c r="F4855" s="2">
        <v>711.0</v>
      </c>
      <c r="G4855" s="3">
        <f t="shared" si="2"/>
        <v>0.1242138365</v>
      </c>
      <c r="H4855" s="2">
        <v>1181.0</v>
      </c>
      <c r="I4855" s="3">
        <f t="shared" si="3"/>
        <v>0.2063242488</v>
      </c>
      <c r="J4855" s="2">
        <v>895.0</v>
      </c>
      <c r="K4855" s="3">
        <f t="shared" si="4"/>
        <v>0.1563591894</v>
      </c>
      <c r="L4855" s="2">
        <v>707.0</v>
      </c>
      <c r="M4855" s="3">
        <f t="shared" si="5"/>
        <v>0.5986452159</v>
      </c>
      <c r="N4855" s="2">
        <v>6426600.0</v>
      </c>
      <c r="O4855" s="4">
        <f t="shared" si="6"/>
        <v>5441.65961</v>
      </c>
      <c r="P4855" s="2">
        <v>1.0</v>
      </c>
      <c r="Q4855" s="3">
        <f t="shared" si="7"/>
        <v>0.001865671642</v>
      </c>
      <c r="R4855" s="2">
        <v>536.0</v>
      </c>
      <c r="S4855" s="5">
        <f t="shared" si="8"/>
        <v>1</v>
      </c>
    </row>
    <row r="4856">
      <c r="A4856" s="2" t="s">
        <v>4858</v>
      </c>
      <c r="B4856" s="2">
        <v>221.0</v>
      </c>
      <c r="C4856" s="2">
        <v>2604.0</v>
      </c>
      <c r="D4856" s="2">
        <v>760.0</v>
      </c>
      <c r="E4856" s="3">
        <f t="shared" si="1"/>
        <v>0.3189257239</v>
      </c>
      <c r="F4856" s="2">
        <v>296.0</v>
      </c>
      <c r="G4856" s="3">
        <f t="shared" si="2"/>
        <v>0.1242131767</v>
      </c>
      <c r="H4856" s="2">
        <v>472.0</v>
      </c>
      <c r="I4856" s="3">
        <f t="shared" si="3"/>
        <v>0.1980696601</v>
      </c>
      <c r="J4856" s="2">
        <v>435.0</v>
      </c>
      <c r="K4856" s="3">
        <f t="shared" si="4"/>
        <v>0.182543013</v>
      </c>
      <c r="L4856" s="2">
        <v>280.0</v>
      </c>
      <c r="M4856" s="3">
        <f t="shared" si="5"/>
        <v>0.593220339</v>
      </c>
      <c r="N4856" s="2">
        <v>2676400.0</v>
      </c>
      <c r="O4856" s="4">
        <f t="shared" si="6"/>
        <v>5670.338983</v>
      </c>
      <c r="P4856" s="2">
        <v>0.0</v>
      </c>
      <c r="Q4856" s="3">
        <f t="shared" si="7"/>
        <v>0</v>
      </c>
      <c r="R4856" s="2">
        <v>221.0</v>
      </c>
      <c r="S4856" s="5">
        <f t="shared" si="8"/>
        <v>1</v>
      </c>
    </row>
    <row r="4857">
      <c r="A4857" s="2" t="s">
        <v>4859</v>
      </c>
      <c r="B4857" s="2">
        <v>194.0</v>
      </c>
      <c r="C4857" s="2">
        <v>2255.0</v>
      </c>
      <c r="D4857" s="2">
        <v>723.0</v>
      </c>
      <c r="E4857" s="3">
        <f t="shared" si="1"/>
        <v>0.3508005822</v>
      </c>
      <c r="F4857" s="2">
        <v>256.0</v>
      </c>
      <c r="G4857" s="3">
        <f t="shared" si="2"/>
        <v>0.1242115478</v>
      </c>
      <c r="H4857" s="2">
        <v>392.0</v>
      </c>
      <c r="I4857" s="3">
        <f t="shared" si="3"/>
        <v>0.1901989326</v>
      </c>
      <c r="J4857" s="2">
        <v>339.0</v>
      </c>
      <c r="K4857" s="3">
        <f t="shared" si="4"/>
        <v>0.1644832606</v>
      </c>
      <c r="L4857" s="2">
        <v>235.0</v>
      </c>
      <c r="M4857" s="3">
        <f t="shared" si="5"/>
        <v>0.5994897959</v>
      </c>
      <c r="N4857" s="2">
        <v>2267700.0</v>
      </c>
      <c r="O4857" s="4">
        <f t="shared" si="6"/>
        <v>5784.94898</v>
      </c>
      <c r="P4857" s="2">
        <v>2.0</v>
      </c>
      <c r="Q4857" s="3">
        <f t="shared" si="7"/>
        <v>0.01030927835</v>
      </c>
      <c r="R4857" s="2">
        <v>194.0</v>
      </c>
      <c r="S4857" s="5">
        <f t="shared" si="8"/>
        <v>1</v>
      </c>
    </row>
    <row r="4858">
      <c r="A4858" s="2" t="s">
        <v>4860</v>
      </c>
      <c r="B4858" s="2">
        <v>2701.0</v>
      </c>
      <c r="C4858" s="2">
        <v>31789.0</v>
      </c>
      <c r="D4858" s="2">
        <v>10725.0</v>
      </c>
      <c r="E4858" s="3">
        <f t="shared" si="1"/>
        <v>0.3687087459</v>
      </c>
      <c r="F4858" s="2">
        <v>3613.0</v>
      </c>
      <c r="G4858" s="3">
        <f t="shared" si="2"/>
        <v>0.1242092959</v>
      </c>
      <c r="H4858" s="2">
        <v>6173.0</v>
      </c>
      <c r="I4858" s="3">
        <f t="shared" si="3"/>
        <v>0.2122180968</v>
      </c>
      <c r="J4858" s="2">
        <v>4810.0</v>
      </c>
      <c r="K4858" s="3">
        <f t="shared" si="4"/>
        <v>0.165360286</v>
      </c>
      <c r="L4858" s="2">
        <v>3643.0</v>
      </c>
      <c r="M4858" s="3">
        <f t="shared" si="5"/>
        <v>0.5901506561</v>
      </c>
      <c r="N4858" s="2">
        <v>3.42785E7</v>
      </c>
      <c r="O4858" s="4">
        <f t="shared" si="6"/>
        <v>5552.972623</v>
      </c>
      <c r="P4858" s="2">
        <v>7.0</v>
      </c>
      <c r="Q4858" s="3">
        <f t="shared" si="7"/>
        <v>0.002591632729</v>
      </c>
      <c r="R4858" s="2">
        <v>2700.0</v>
      </c>
      <c r="S4858" s="5">
        <f t="shared" si="8"/>
        <v>0.9996297668</v>
      </c>
    </row>
    <row r="4859">
      <c r="A4859" s="2" t="s">
        <v>4861</v>
      </c>
      <c r="B4859" s="2">
        <v>2741.0</v>
      </c>
      <c r="C4859" s="2">
        <v>32290.0</v>
      </c>
      <c r="D4859" s="2">
        <v>9741.0</v>
      </c>
      <c r="E4859" s="3">
        <f t="shared" si="1"/>
        <v>0.3296558259</v>
      </c>
      <c r="F4859" s="2">
        <v>3670.0</v>
      </c>
      <c r="G4859" s="3">
        <f t="shared" si="2"/>
        <v>0.1242004806</v>
      </c>
      <c r="H4859" s="2">
        <v>6398.0</v>
      </c>
      <c r="I4859" s="3">
        <f t="shared" si="3"/>
        <v>0.2165217097</v>
      </c>
      <c r="J4859" s="2">
        <v>5616.0</v>
      </c>
      <c r="K4859" s="3">
        <f t="shared" si="4"/>
        <v>0.1900571931</v>
      </c>
      <c r="L4859" s="2">
        <v>3754.0</v>
      </c>
      <c r="M4859" s="3">
        <f t="shared" si="5"/>
        <v>0.5867458581</v>
      </c>
      <c r="N4859" s="2">
        <v>3.57943E7</v>
      </c>
      <c r="O4859" s="4">
        <f t="shared" si="6"/>
        <v>5594.60769</v>
      </c>
      <c r="P4859" s="2">
        <v>5.0</v>
      </c>
      <c r="Q4859" s="3">
        <f t="shared" si="7"/>
        <v>0.001824151769</v>
      </c>
      <c r="R4859" s="2">
        <v>2741.0</v>
      </c>
      <c r="S4859" s="5">
        <f t="shared" si="8"/>
        <v>1</v>
      </c>
    </row>
    <row r="4860">
      <c r="A4860" s="2" t="s">
        <v>4862</v>
      </c>
      <c r="B4860" s="2">
        <v>732.0</v>
      </c>
      <c r="C4860" s="2">
        <v>8695.0</v>
      </c>
      <c r="D4860" s="2">
        <v>3414.0</v>
      </c>
      <c r="E4860" s="3">
        <f t="shared" si="1"/>
        <v>0.4287328896</v>
      </c>
      <c r="F4860" s="2">
        <v>989.0</v>
      </c>
      <c r="G4860" s="3">
        <f t="shared" si="2"/>
        <v>0.1241994223</v>
      </c>
      <c r="H4860" s="2">
        <v>1701.0</v>
      </c>
      <c r="I4860" s="3">
        <f t="shared" si="3"/>
        <v>0.2136129599</v>
      </c>
      <c r="J4860" s="2">
        <v>1011.0</v>
      </c>
      <c r="K4860" s="3">
        <f t="shared" si="4"/>
        <v>0.1269622002</v>
      </c>
      <c r="L4860" s="2">
        <v>1058.0</v>
      </c>
      <c r="M4860" s="3">
        <f t="shared" si="5"/>
        <v>0.6219870664</v>
      </c>
      <c r="N4860" s="2">
        <v>8533400.0</v>
      </c>
      <c r="O4860" s="4">
        <f t="shared" si="6"/>
        <v>5016.696061</v>
      </c>
      <c r="P4860" s="2">
        <v>3.0</v>
      </c>
      <c r="Q4860" s="3">
        <f t="shared" si="7"/>
        <v>0.004098360656</v>
      </c>
      <c r="R4860" s="2">
        <v>0.0</v>
      </c>
      <c r="S4860" s="5">
        <f t="shared" si="8"/>
        <v>0</v>
      </c>
    </row>
    <row r="4861">
      <c r="A4861" s="2" t="s">
        <v>4863</v>
      </c>
      <c r="B4861" s="2">
        <v>118.0</v>
      </c>
      <c r="C4861" s="2">
        <v>1358.0</v>
      </c>
      <c r="D4861" s="2">
        <v>383.0</v>
      </c>
      <c r="E4861" s="3">
        <f t="shared" si="1"/>
        <v>0.3088709677</v>
      </c>
      <c r="F4861" s="2">
        <v>154.0</v>
      </c>
      <c r="G4861" s="3">
        <f t="shared" si="2"/>
        <v>0.1241935484</v>
      </c>
      <c r="H4861" s="2">
        <v>219.0</v>
      </c>
      <c r="I4861" s="3">
        <f t="shared" si="3"/>
        <v>0.1766129032</v>
      </c>
      <c r="J4861" s="2">
        <v>218.0</v>
      </c>
      <c r="K4861" s="3">
        <f t="shared" si="4"/>
        <v>0.1758064516</v>
      </c>
      <c r="L4861" s="2">
        <v>128.0</v>
      </c>
      <c r="M4861" s="3">
        <f t="shared" si="5"/>
        <v>0.5844748858</v>
      </c>
      <c r="N4861" s="2">
        <v>1270700.0</v>
      </c>
      <c r="O4861" s="4">
        <f t="shared" si="6"/>
        <v>5802.283105</v>
      </c>
      <c r="P4861" s="2">
        <v>1.0</v>
      </c>
      <c r="Q4861" s="3">
        <f t="shared" si="7"/>
        <v>0.008474576271</v>
      </c>
      <c r="R4861" s="2">
        <v>118.0</v>
      </c>
      <c r="S4861" s="5">
        <f t="shared" si="8"/>
        <v>1</v>
      </c>
    </row>
    <row r="4862">
      <c r="A4862" s="2" t="s">
        <v>4864</v>
      </c>
      <c r="B4862" s="2">
        <v>114.0</v>
      </c>
      <c r="C4862" s="2">
        <v>1354.0</v>
      </c>
      <c r="D4862" s="2">
        <v>434.0</v>
      </c>
      <c r="E4862" s="3">
        <f t="shared" si="1"/>
        <v>0.35</v>
      </c>
      <c r="F4862" s="2">
        <v>154.0</v>
      </c>
      <c r="G4862" s="3">
        <f t="shared" si="2"/>
        <v>0.1241935484</v>
      </c>
      <c r="H4862" s="2">
        <v>246.0</v>
      </c>
      <c r="I4862" s="3">
        <f t="shared" si="3"/>
        <v>0.1983870968</v>
      </c>
      <c r="J4862" s="2">
        <v>195.0</v>
      </c>
      <c r="K4862" s="3">
        <f t="shared" si="4"/>
        <v>0.1572580645</v>
      </c>
      <c r="L4862" s="2">
        <v>136.0</v>
      </c>
      <c r="M4862" s="3">
        <f t="shared" si="5"/>
        <v>0.5528455285</v>
      </c>
      <c r="N4862" s="2">
        <v>1356000.0</v>
      </c>
      <c r="O4862" s="4">
        <f t="shared" si="6"/>
        <v>5512.195122</v>
      </c>
      <c r="P4862" s="2">
        <v>0.0</v>
      </c>
      <c r="Q4862" s="3">
        <f t="shared" si="7"/>
        <v>0</v>
      </c>
      <c r="R4862" s="2">
        <v>0.0</v>
      </c>
      <c r="S4862" s="5">
        <f t="shared" si="8"/>
        <v>0</v>
      </c>
    </row>
    <row r="4863">
      <c r="A4863" s="2" t="s">
        <v>4865</v>
      </c>
      <c r="B4863" s="2">
        <v>2574.0</v>
      </c>
      <c r="C4863" s="2">
        <v>30080.0</v>
      </c>
      <c r="D4863" s="2">
        <v>8950.0</v>
      </c>
      <c r="E4863" s="3">
        <f t="shared" si="1"/>
        <v>0.3253835527</v>
      </c>
      <c r="F4863" s="2">
        <v>3416.0</v>
      </c>
      <c r="G4863" s="3">
        <f t="shared" si="2"/>
        <v>0.1241910856</v>
      </c>
      <c r="H4863" s="2">
        <v>5833.0</v>
      </c>
      <c r="I4863" s="3">
        <f t="shared" si="3"/>
        <v>0.2120628227</v>
      </c>
      <c r="J4863" s="2">
        <v>4489.0</v>
      </c>
      <c r="K4863" s="3">
        <f t="shared" si="4"/>
        <v>0.1632007562</v>
      </c>
      <c r="L4863" s="2">
        <v>3453.0</v>
      </c>
      <c r="M4863" s="3">
        <f t="shared" si="5"/>
        <v>0.5919766844</v>
      </c>
      <c r="N4863" s="2">
        <v>3.36271E7</v>
      </c>
      <c r="O4863" s="4">
        <f t="shared" si="6"/>
        <v>5764.975141</v>
      </c>
      <c r="P4863" s="2">
        <v>5.0</v>
      </c>
      <c r="Q4863" s="3">
        <f t="shared" si="7"/>
        <v>0.001942501943</v>
      </c>
      <c r="R4863" s="2">
        <v>2574.0</v>
      </c>
      <c r="S4863" s="5">
        <f t="shared" si="8"/>
        <v>1</v>
      </c>
    </row>
    <row r="4864">
      <c r="A4864" s="2" t="s">
        <v>4866</v>
      </c>
      <c r="B4864" s="2">
        <v>59.0</v>
      </c>
      <c r="C4864" s="2">
        <v>671.0</v>
      </c>
      <c r="D4864" s="2">
        <v>106.0</v>
      </c>
      <c r="E4864" s="3">
        <f t="shared" si="1"/>
        <v>0.1732026144</v>
      </c>
      <c r="F4864" s="2">
        <v>76.0</v>
      </c>
      <c r="G4864" s="3">
        <f t="shared" si="2"/>
        <v>0.1241830065</v>
      </c>
      <c r="H4864" s="2">
        <v>114.0</v>
      </c>
      <c r="I4864" s="3">
        <f t="shared" si="3"/>
        <v>0.1862745098</v>
      </c>
      <c r="J4864" s="2">
        <v>131.0</v>
      </c>
      <c r="K4864" s="3">
        <f t="shared" si="4"/>
        <v>0.2140522876</v>
      </c>
      <c r="L4864" s="2">
        <v>66.0</v>
      </c>
      <c r="M4864" s="3">
        <f t="shared" si="5"/>
        <v>0.5789473684</v>
      </c>
      <c r="N4864" s="2">
        <v>777400.0</v>
      </c>
      <c r="O4864" s="4">
        <f t="shared" si="6"/>
        <v>6819.298246</v>
      </c>
      <c r="P4864" s="2">
        <v>1.0</v>
      </c>
      <c r="Q4864" s="3">
        <f t="shared" si="7"/>
        <v>0.01694915254</v>
      </c>
      <c r="R4864" s="2">
        <v>59.0</v>
      </c>
      <c r="S4864" s="5">
        <f t="shared" si="8"/>
        <v>1</v>
      </c>
    </row>
    <row r="4865">
      <c r="A4865" s="2" t="s">
        <v>4867</v>
      </c>
      <c r="B4865" s="2">
        <v>13.0</v>
      </c>
      <c r="C4865" s="2">
        <v>166.0</v>
      </c>
      <c r="D4865" s="2">
        <v>56.0</v>
      </c>
      <c r="E4865" s="3">
        <f t="shared" si="1"/>
        <v>0.3660130719</v>
      </c>
      <c r="F4865" s="2">
        <v>19.0</v>
      </c>
      <c r="G4865" s="3">
        <f t="shared" si="2"/>
        <v>0.1241830065</v>
      </c>
      <c r="H4865" s="2">
        <v>40.0</v>
      </c>
      <c r="I4865" s="3">
        <f t="shared" si="3"/>
        <v>0.2614379085</v>
      </c>
      <c r="J4865" s="2">
        <v>27.0</v>
      </c>
      <c r="K4865" s="3">
        <f t="shared" si="4"/>
        <v>0.1764705882</v>
      </c>
      <c r="L4865" s="2">
        <v>31.0</v>
      </c>
      <c r="M4865" s="3">
        <f t="shared" si="5"/>
        <v>0.775</v>
      </c>
      <c r="N4865" s="2">
        <v>226300.0</v>
      </c>
      <c r="O4865" s="4">
        <f t="shared" si="6"/>
        <v>5657.5</v>
      </c>
      <c r="P4865" s="2">
        <v>0.0</v>
      </c>
      <c r="Q4865" s="3">
        <f t="shared" si="7"/>
        <v>0</v>
      </c>
      <c r="R4865" s="2">
        <v>13.0</v>
      </c>
      <c r="S4865" s="5">
        <f t="shared" si="8"/>
        <v>1</v>
      </c>
    </row>
    <row r="4866">
      <c r="A4866" s="2" t="s">
        <v>4868</v>
      </c>
      <c r="B4866" s="2">
        <v>138.0</v>
      </c>
      <c r="C4866" s="2">
        <v>1652.0</v>
      </c>
      <c r="D4866" s="2">
        <v>338.0</v>
      </c>
      <c r="E4866" s="3">
        <f t="shared" si="1"/>
        <v>0.2232496697</v>
      </c>
      <c r="F4866" s="2">
        <v>188.0</v>
      </c>
      <c r="G4866" s="3">
        <f t="shared" si="2"/>
        <v>0.1241743725</v>
      </c>
      <c r="H4866" s="2">
        <v>279.0</v>
      </c>
      <c r="I4866" s="3">
        <f t="shared" si="3"/>
        <v>0.1842800528</v>
      </c>
      <c r="J4866" s="2">
        <v>295.0</v>
      </c>
      <c r="K4866" s="3">
        <f t="shared" si="4"/>
        <v>0.1948480845</v>
      </c>
      <c r="L4866" s="2">
        <v>156.0</v>
      </c>
      <c r="M4866" s="3">
        <f t="shared" si="5"/>
        <v>0.5591397849</v>
      </c>
      <c r="N4866" s="2">
        <v>1738900.0</v>
      </c>
      <c r="O4866" s="4">
        <f t="shared" si="6"/>
        <v>6232.616487</v>
      </c>
      <c r="P4866" s="2">
        <v>2.0</v>
      </c>
      <c r="Q4866" s="3">
        <f t="shared" si="7"/>
        <v>0.01449275362</v>
      </c>
      <c r="R4866" s="2">
        <v>138.0</v>
      </c>
      <c r="S4866" s="5">
        <f t="shared" si="8"/>
        <v>1</v>
      </c>
    </row>
    <row r="4867">
      <c r="A4867" s="2" t="s">
        <v>4869</v>
      </c>
      <c r="B4867" s="2">
        <v>934.0</v>
      </c>
      <c r="C4867" s="2">
        <v>10896.0</v>
      </c>
      <c r="D4867" s="2">
        <v>3734.0</v>
      </c>
      <c r="E4867" s="3">
        <f t="shared" si="1"/>
        <v>0.3748243325</v>
      </c>
      <c r="F4867" s="2">
        <v>1237.0</v>
      </c>
      <c r="G4867" s="3">
        <f t="shared" si="2"/>
        <v>0.124171853</v>
      </c>
      <c r="H4867" s="2">
        <v>2082.0</v>
      </c>
      <c r="I4867" s="3">
        <f t="shared" si="3"/>
        <v>0.2089941779</v>
      </c>
      <c r="J4867" s="2">
        <v>1736.0</v>
      </c>
      <c r="K4867" s="3">
        <f t="shared" si="4"/>
        <v>0.1742621963</v>
      </c>
      <c r="L4867" s="2">
        <v>1238.0</v>
      </c>
      <c r="M4867" s="3">
        <f t="shared" si="5"/>
        <v>0.5946205572</v>
      </c>
      <c r="N4867" s="2">
        <v>1.21771E7</v>
      </c>
      <c r="O4867" s="4">
        <f t="shared" si="6"/>
        <v>5848.751201</v>
      </c>
      <c r="P4867" s="2">
        <v>1.0</v>
      </c>
      <c r="Q4867" s="3">
        <f t="shared" si="7"/>
        <v>0.001070663812</v>
      </c>
      <c r="R4867" s="2">
        <v>909.0</v>
      </c>
      <c r="S4867" s="5">
        <f t="shared" si="8"/>
        <v>0.9732334047</v>
      </c>
    </row>
    <row r="4868">
      <c r="A4868" s="2" t="s">
        <v>4870</v>
      </c>
      <c r="B4868" s="2">
        <v>2380.0</v>
      </c>
      <c r="C4868" s="2">
        <v>27716.0</v>
      </c>
      <c r="D4868" s="2">
        <v>7207.0</v>
      </c>
      <c r="E4868" s="3">
        <f t="shared" si="1"/>
        <v>0.2844568993</v>
      </c>
      <c r="F4868" s="2">
        <v>3146.0</v>
      </c>
      <c r="G4868" s="3">
        <f t="shared" si="2"/>
        <v>0.1241711399</v>
      </c>
      <c r="H4868" s="2">
        <v>5114.0</v>
      </c>
      <c r="I4868" s="3">
        <f t="shared" si="3"/>
        <v>0.201847174</v>
      </c>
      <c r="J4868" s="2">
        <v>4631.0</v>
      </c>
      <c r="K4868" s="3">
        <f t="shared" si="4"/>
        <v>0.1827833912</v>
      </c>
      <c r="L4868" s="2">
        <v>3025.0</v>
      </c>
      <c r="M4868" s="3">
        <f t="shared" si="5"/>
        <v>0.5915134924</v>
      </c>
      <c r="N4868" s="2">
        <v>2.91839E7</v>
      </c>
      <c r="O4868" s="4">
        <f t="shared" si="6"/>
        <v>5706.66797</v>
      </c>
      <c r="P4868" s="2">
        <v>1.0</v>
      </c>
      <c r="Q4868" s="3">
        <f t="shared" si="7"/>
        <v>0.0004201680672</v>
      </c>
      <c r="R4868" s="2">
        <v>1001.0</v>
      </c>
      <c r="S4868" s="5">
        <f t="shared" si="8"/>
        <v>0.4205882353</v>
      </c>
    </row>
    <row r="4869">
      <c r="A4869" s="2" t="s">
        <v>4871</v>
      </c>
      <c r="B4869" s="2">
        <v>723.0</v>
      </c>
      <c r="C4869" s="2">
        <v>8398.0</v>
      </c>
      <c r="D4869" s="2">
        <v>2570.0</v>
      </c>
      <c r="E4869" s="3">
        <f t="shared" si="1"/>
        <v>0.3348534202</v>
      </c>
      <c r="F4869" s="2">
        <v>953.0</v>
      </c>
      <c r="G4869" s="3">
        <f t="shared" si="2"/>
        <v>0.1241693811</v>
      </c>
      <c r="H4869" s="2">
        <v>1527.0</v>
      </c>
      <c r="I4869" s="3">
        <f t="shared" si="3"/>
        <v>0.1989576547</v>
      </c>
      <c r="J4869" s="2">
        <v>1133.0</v>
      </c>
      <c r="K4869" s="3">
        <f t="shared" si="4"/>
        <v>0.1476221498</v>
      </c>
      <c r="L4869" s="2">
        <v>934.0</v>
      </c>
      <c r="M4869" s="3">
        <f t="shared" si="5"/>
        <v>0.6116568435</v>
      </c>
      <c r="N4869" s="2">
        <v>8728600.0</v>
      </c>
      <c r="O4869" s="4">
        <f t="shared" si="6"/>
        <v>5716.175508</v>
      </c>
      <c r="P4869" s="2">
        <v>2.0</v>
      </c>
      <c r="Q4869" s="3">
        <f t="shared" si="7"/>
        <v>0.002766251729</v>
      </c>
      <c r="R4869" s="2">
        <v>723.0</v>
      </c>
      <c r="S4869" s="5">
        <f t="shared" si="8"/>
        <v>1</v>
      </c>
    </row>
    <row r="4870">
      <c r="A4870" s="2" t="s">
        <v>4872</v>
      </c>
      <c r="B4870" s="2">
        <v>1170.0</v>
      </c>
      <c r="C4870" s="2">
        <v>14104.0</v>
      </c>
      <c r="D4870" s="2">
        <v>5136.0</v>
      </c>
      <c r="E4870" s="3">
        <f t="shared" si="1"/>
        <v>0.3970929334</v>
      </c>
      <c r="F4870" s="2">
        <v>1606.0</v>
      </c>
      <c r="G4870" s="3">
        <f t="shared" si="2"/>
        <v>0.1241688573</v>
      </c>
      <c r="H4870" s="2">
        <v>2751.0</v>
      </c>
      <c r="I4870" s="3">
        <f t="shared" si="3"/>
        <v>0.2126952219</v>
      </c>
      <c r="J4870" s="2">
        <v>1913.0</v>
      </c>
      <c r="K4870" s="3">
        <f t="shared" si="4"/>
        <v>0.1479047472</v>
      </c>
      <c r="L4870" s="2">
        <v>1612.0</v>
      </c>
      <c r="M4870" s="3">
        <f t="shared" si="5"/>
        <v>0.5859687386</v>
      </c>
      <c r="N4870" s="2">
        <v>1.4505E7</v>
      </c>
      <c r="O4870" s="4">
        <f t="shared" si="6"/>
        <v>5272.628135</v>
      </c>
      <c r="P4870" s="2">
        <v>1.0</v>
      </c>
      <c r="Q4870" s="3">
        <f t="shared" si="7"/>
        <v>0.0008547008547</v>
      </c>
      <c r="R4870" s="2">
        <v>1170.0</v>
      </c>
      <c r="S4870" s="5">
        <f t="shared" si="8"/>
        <v>1</v>
      </c>
    </row>
    <row r="4871">
      <c r="A4871" s="2" t="s">
        <v>4873</v>
      </c>
      <c r="B4871" s="2">
        <v>56.0</v>
      </c>
      <c r="C4871" s="2">
        <v>644.0</v>
      </c>
      <c r="D4871" s="2">
        <v>221.0</v>
      </c>
      <c r="E4871" s="3">
        <f t="shared" si="1"/>
        <v>0.3758503401</v>
      </c>
      <c r="F4871" s="2">
        <v>73.0</v>
      </c>
      <c r="G4871" s="3">
        <f t="shared" si="2"/>
        <v>0.1241496599</v>
      </c>
      <c r="H4871" s="2">
        <v>107.0</v>
      </c>
      <c r="I4871" s="3">
        <f t="shared" si="3"/>
        <v>0.1819727891</v>
      </c>
      <c r="J4871" s="2">
        <v>93.0</v>
      </c>
      <c r="K4871" s="3">
        <f t="shared" si="4"/>
        <v>0.1581632653</v>
      </c>
      <c r="L4871" s="2">
        <v>59.0</v>
      </c>
      <c r="M4871" s="3">
        <f t="shared" si="5"/>
        <v>0.5514018692</v>
      </c>
      <c r="N4871" s="2">
        <v>522800.0</v>
      </c>
      <c r="O4871" s="4">
        <f t="shared" si="6"/>
        <v>4885.981308</v>
      </c>
      <c r="P4871" s="2">
        <v>0.0</v>
      </c>
      <c r="Q4871" s="3">
        <f t="shared" si="7"/>
        <v>0</v>
      </c>
      <c r="R4871" s="2">
        <v>0.0</v>
      </c>
      <c r="S4871" s="5">
        <f t="shared" si="8"/>
        <v>0</v>
      </c>
    </row>
    <row r="4872">
      <c r="A4872" s="2" t="s">
        <v>4874</v>
      </c>
      <c r="B4872" s="2">
        <v>277.0</v>
      </c>
      <c r="C4872" s="2">
        <v>3209.0</v>
      </c>
      <c r="D4872" s="2">
        <v>1225.0</v>
      </c>
      <c r="E4872" s="3">
        <f t="shared" si="1"/>
        <v>0.4178035471</v>
      </c>
      <c r="F4872" s="2">
        <v>364.0</v>
      </c>
      <c r="G4872" s="3">
        <f t="shared" si="2"/>
        <v>0.1241473397</v>
      </c>
      <c r="H4872" s="2">
        <v>629.0</v>
      </c>
      <c r="I4872" s="3">
        <f t="shared" si="3"/>
        <v>0.2145293315</v>
      </c>
      <c r="J4872" s="2">
        <v>536.0</v>
      </c>
      <c r="K4872" s="3">
        <f t="shared" si="4"/>
        <v>0.1828103683</v>
      </c>
      <c r="L4872" s="2">
        <v>359.0</v>
      </c>
      <c r="M4872" s="3">
        <f t="shared" si="5"/>
        <v>0.5707472178</v>
      </c>
      <c r="N4872" s="2">
        <v>3463200.0</v>
      </c>
      <c r="O4872" s="4">
        <f t="shared" si="6"/>
        <v>5505.882353</v>
      </c>
      <c r="P4872" s="2">
        <v>0.0</v>
      </c>
      <c r="Q4872" s="3">
        <f t="shared" si="7"/>
        <v>0</v>
      </c>
      <c r="R4872" s="2">
        <v>277.0</v>
      </c>
      <c r="S4872" s="5">
        <f t="shared" si="8"/>
        <v>1</v>
      </c>
    </row>
    <row r="4873">
      <c r="A4873" s="2" t="s">
        <v>4875</v>
      </c>
      <c r="B4873" s="2">
        <v>342.0</v>
      </c>
      <c r="C4873" s="2">
        <v>4112.0</v>
      </c>
      <c r="D4873" s="2">
        <v>1305.0</v>
      </c>
      <c r="E4873" s="3">
        <f t="shared" si="1"/>
        <v>0.3461538462</v>
      </c>
      <c r="F4873" s="2">
        <v>468.0</v>
      </c>
      <c r="G4873" s="3">
        <f t="shared" si="2"/>
        <v>0.124137931</v>
      </c>
      <c r="H4873" s="2">
        <v>728.0</v>
      </c>
      <c r="I4873" s="3">
        <f t="shared" si="3"/>
        <v>0.1931034483</v>
      </c>
      <c r="J4873" s="2">
        <v>579.0</v>
      </c>
      <c r="K4873" s="3">
        <f t="shared" si="4"/>
        <v>0.1535809019</v>
      </c>
      <c r="L4873" s="2">
        <v>422.0</v>
      </c>
      <c r="M4873" s="3">
        <f t="shared" si="5"/>
        <v>0.5796703297</v>
      </c>
      <c r="N4873" s="2">
        <v>4081300.0</v>
      </c>
      <c r="O4873" s="4">
        <f t="shared" si="6"/>
        <v>5606.181319</v>
      </c>
      <c r="P4873" s="2">
        <v>2.0</v>
      </c>
      <c r="Q4873" s="3">
        <f t="shared" si="7"/>
        <v>0.005847953216</v>
      </c>
      <c r="R4873" s="2">
        <v>342.0</v>
      </c>
      <c r="S4873" s="5">
        <f t="shared" si="8"/>
        <v>1</v>
      </c>
    </row>
    <row r="4874">
      <c r="A4874" s="2" t="s">
        <v>4876</v>
      </c>
      <c r="B4874" s="2">
        <v>41.0</v>
      </c>
      <c r="C4874" s="2">
        <v>476.0</v>
      </c>
      <c r="D4874" s="2">
        <v>163.0</v>
      </c>
      <c r="E4874" s="3">
        <f t="shared" si="1"/>
        <v>0.3747126437</v>
      </c>
      <c r="F4874" s="2">
        <v>54.0</v>
      </c>
      <c r="G4874" s="3">
        <f t="shared" si="2"/>
        <v>0.124137931</v>
      </c>
      <c r="H4874" s="2">
        <v>108.0</v>
      </c>
      <c r="I4874" s="3">
        <f t="shared" si="3"/>
        <v>0.2482758621</v>
      </c>
      <c r="J4874" s="2">
        <v>56.0</v>
      </c>
      <c r="K4874" s="3">
        <f t="shared" si="4"/>
        <v>0.1287356322</v>
      </c>
      <c r="L4874" s="2">
        <v>63.0</v>
      </c>
      <c r="M4874" s="3">
        <f t="shared" si="5"/>
        <v>0.5833333333</v>
      </c>
      <c r="N4874" s="2">
        <v>514300.0</v>
      </c>
      <c r="O4874" s="4">
        <f t="shared" si="6"/>
        <v>4762.037037</v>
      </c>
      <c r="P4874" s="2">
        <v>0.0</v>
      </c>
      <c r="Q4874" s="3">
        <f t="shared" si="7"/>
        <v>0</v>
      </c>
      <c r="R4874" s="2">
        <v>41.0</v>
      </c>
      <c r="S4874" s="5">
        <f t="shared" si="8"/>
        <v>1</v>
      </c>
    </row>
    <row r="4875">
      <c r="A4875" s="2" t="s">
        <v>4877</v>
      </c>
      <c r="B4875" s="2">
        <v>158.0</v>
      </c>
      <c r="C4875" s="2">
        <v>1882.0</v>
      </c>
      <c r="D4875" s="2">
        <v>645.0</v>
      </c>
      <c r="E4875" s="3">
        <f t="shared" si="1"/>
        <v>0.3741299304</v>
      </c>
      <c r="F4875" s="2">
        <v>214.0</v>
      </c>
      <c r="G4875" s="3">
        <f t="shared" si="2"/>
        <v>0.1241299304</v>
      </c>
      <c r="H4875" s="2">
        <v>357.0</v>
      </c>
      <c r="I4875" s="3">
        <f t="shared" si="3"/>
        <v>0.2070765661</v>
      </c>
      <c r="J4875" s="2">
        <v>280.0</v>
      </c>
      <c r="K4875" s="3">
        <f t="shared" si="4"/>
        <v>0.162412993</v>
      </c>
      <c r="L4875" s="2">
        <v>210.0</v>
      </c>
      <c r="M4875" s="3">
        <f t="shared" si="5"/>
        <v>0.5882352941</v>
      </c>
      <c r="N4875" s="2">
        <v>2093400.0</v>
      </c>
      <c r="O4875" s="4">
        <f t="shared" si="6"/>
        <v>5863.865546</v>
      </c>
      <c r="P4875" s="2">
        <v>0.0</v>
      </c>
      <c r="Q4875" s="3">
        <f t="shared" si="7"/>
        <v>0</v>
      </c>
      <c r="R4875" s="2">
        <v>158.0</v>
      </c>
      <c r="S4875" s="5">
        <f t="shared" si="8"/>
        <v>1</v>
      </c>
    </row>
    <row r="4876">
      <c r="A4876" s="2" t="s">
        <v>4878</v>
      </c>
      <c r="B4876" s="2">
        <v>900.0</v>
      </c>
      <c r="C4876" s="2">
        <v>10503.0</v>
      </c>
      <c r="D4876" s="2">
        <v>3189.0</v>
      </c>
      <c r="E4876" s="3">
        <f t="shared" si="1"/>
        <v>0.3320837238</v>
      </c>
      <c r="F4876" s="2">
        <v>1192.0</v>
      </c>
      <c r="G4876" s="3">
        <f t="shared" si="2"/>
        <v>0.1241278767</v>
      </c>
      <c r="H4876" s="2">
        <v>2053.0</v>
      </c>
      <c r="I4876" s="3">
        <f t="shared" si="3"/>
        <v>0.2137873581</v>
      </c>
      <c r="J4876" s="2">
        <v>1669.0</v>
      </c>
      <c r="K4876" s="3">
        <f t="shared" si="4"/>
        <v>0.1737998542</v>
      </c>
      <c r="L4876" s="2">
        <v>1207.0</v>
      </c>
      <c r="M4876" s="3">
        <f t="shared" si="5"/>
        <v>0.5879201169</v>
      </c>
      <c r="N4876" s="2">
        <v>1.14079E7</v>
      </c>
      <c r="O4876" s="4">
        <f t="shared" si="6"/>
        <v>5556.697516</v>
      </c>
      <c r="P4876" s="2">
        <v>2.0</v>
      </c>
      <c r="Q4876" s="3">
        <f t="shared" si="7"/>
        <v>0.002222222222</v>
      </c>
      <c r="R4876" s="2">
        <v>900.0</v>
      </c>
      <c r="S4876" s="5">
        <f t="shared" si="8"/>
        <v>1</v>
      </c>
    </row>
    <row r="4877">
      <c r="A4877" s="2" t="s">
        <v>4879</v>
      </c>
      <c r="B4877" s="2">
        <v>812.0</v>
      </c>
      <c r="C4877" s="2">
        <v>9553.0</v>
      </c>
      <c r="D4877" s="2">
        <v>3145.0</v>
      </c>
      <c r="E4877" s="3">
        <f t="shared" si="1"/>
        <v>0.35979865</v>
      </c>
      <c r="F4877" s="2">
        <v>1085.0</v>
      </c>
      <c r="G4877" s="3">
        <f t="shared" si="2"/>
        <v>0.1241276742</v>
      </c>
      <c r="H4877" s="2">
        <v>1846.0</v>
      </c>
      <c r="I4877" s="3">
        <f t="shared" si="3"/>
        <v>0.2111886512</v>
      </c>
      <c r="J4877" s="2">
        <v>1441.0</v>
      </c>
      <c r="K4877" s="3">
        <f t="shared" si="4"/>
        <v>0.1648552797</v>
      </c>
      <c r="L4877" s="2">
        <v>1111.0</v>
      </c>
      <c r="M4877" s="3">
        <f t="shared" si="5"/>
        <v>0.6018418202</v>
      </c>
      <c r="N4877" s="2">
        <v>1.02507E7</v>
      </c>
      <c r="O4877" s="4">
        <f t="shared" si="6"/>
        <v>5552.925244</v>
      </c>
      <c r="P4877" s="2">
        <v>3.0</v>
      </c>
      <c r="Q4877" s="3">
        <f t="shared" si="7"/>
        <v>0.003694581281</v>
      </c>
      <c r="R4877" s="2">
        <v>748.0</v>
      </c>
      <c r="S4877" s="5">
        <f t="shared" si="8"/>
        <v>0.921182266</v>
      </c>
    </row>
    <row r="4878">
      <c r="A4878" s="2" t="s">
        <v>4880</v>
      </c>
      <c r="B4878" s="2">
        <v>1300.0</v>
      </c>
      <c r="C4878" s="2">
        <v>15189.0</v>
      </c>
      <c r="D4878" s="2">
        <v>4575.0</v>
      </c>
      <c r="E4878" s="3">
        <f t="shared" si="1"/>
        <v>0.3293973648</v>
      </c>
      <c r="F4878" s="2">
        <v>1724.0</v>
      </c>
      <c r="G4878" s="3">
        <f t="shared" si="2"/>
        <v>0.124127007</v>
      </c>
      <c r="H4878" s="2">
        <v>2805.0</v>
      </c>
      <c r="I4878" s="3">
        <f t="shared" si="3"/>
        <v>0.2019583843</v>
      </c>
      <c r="J4878" s="2">
        <v>2236.0</v>
      </c>
      <c r="K4878" s="3">
        <f t="shared" si="4"/>
        <v>0.1609907121</v>
      </c>
      <c r="L4878" s="2">
        <v>1657.0</v>
      </c>
      <c r="M4878" s="3">
        <f t="shared" si="5"/>
        <v>0.5907308378</v>
      </c>
      <c r="N4878" s="2">
        <v>1.55259E7</v>
      </c>
      <c r="O4878" s="4">
        <f t="shared" si="6"/>
        <v>5535.080214</v>
      </c>
      <c r="P4878" s="2">
        <v>1.0</v>
      </c>
      <c r="Q4878" s="3">
        <f t="shared" si="7"/>
        <v>0.0007692307692</v>
      </c>
      <c r="R4878" s="2">
        <v>65.0</v>
      </c>
      <c r="S4878" s="5">
        <f t="shared" si="8"/>
        <v>0.05</v>
      </c>
    </row>
    <row r="4879">
      <c r="A4879" s="2" t="s">
        <v>4881</v>
      </c>
      <c r="B4879" s="2">
        <v>52.0</v>
      </c>
      <c r="C4879" s="2">
        <v>624.0</v>
      </c>
      <c r="D4879" s="2">
        <v>158.0</v>
      </c>
      <c r="E4879" s="3">
        <f t="shared" si="1"/>
        <v>0.2762237762</v>
      </c>
      <c r="F4879" s="2">
        <v>71.0</v>
      </c>
      <c r="G4879" s="3">
        <f t="shared" si="2"/>
        <v>0.1241258741</v>
      </c>
      <c r="H4879" s="2">
        <v>126.0</v>
      </c>
      <c r="I4879" s="3">
        <f t="shared" si="3"/>
        <v>0.2202797203</v>
      </c>
      <c r="J4879" s="2">
        <v>91.0</v>
      </c>
      <c r="K4879" s="3">
        <f t="shared" si="4"/>
        <v>0.1590909091</v>
      </c>
      <c r="L4879" s="2">
        <v>66.0</v>
      </c>
      <c r="M4879" s="3">
        <f t="shared" si="5"/>
        <v>0.5238095238</v>
      </c>
      <c r="N4879" s="2">
        <v>743500.0</v>
      </c>
      <c r="O4879" s="4">
        <f t="shared" si="6"/>
        <v>5900.793651</v>
      </c>
      <c r="P4879" s="2">
        <v>0.0</v>
      </c>
      <c r="Q4879" s="3">
        <f t="shared" si="7"/>
        <v>0</v>
      </c>
      <c r="R4879" s="2">
        <v>52.0</v>
      </c>
      <c r="S4879" s="5">
        <f t="shared" si="8"/>
        <v>1</v>
      </c>
    </row>
    <row r="4880">
      <c r="A4880" s="2" t="s">
        <v>4882</v>
      </c>
      <c r="B4880" s="2">
        <v>39.0</v>
      </c>
      <c r="C4880" s="2">
        <v>466.0</v>
      </c>
      <c r="D4880" s="2">
        <v>166.0</v>
      </c>
      <c r="E4880" s="3">
        <f t="shared" si="1"/>
        <v>0.3887587822</v>
      </c>
      <c r="F4880" s="2">
        <v>53.0</v>
      </c>
      <c r="G4880" s="3">
        <f t="shared" si="2"/>
        <v>0.1241217799</v>
      </c>
      <c r="H4880" s="2">
        <v>96.0</v>
      </c>
      <c r="I4880" s="3">
        <f t="shared" si="3"/>
        <v>0.224824356</v>
      </c>
      <c r="J4880" s="2">
        <v>77.0</v>
      </c>
      <c r="K4880" s="3">
        <f t="shared" si="4"/>
        <v>0.1803278689</v>
      </c>
      <c r="L4880" s="2">
        <v>64.0</v>
      </c>
      <c r="M4880" s="3">
        <f t="shared" si="5"/>
        <v>0.6666666667</v>
      </c>
      <c r="N4880" s="2">
        <v>567400.0</v>
      </c>
      <c r="O4880" s="4">
        <f t="shared" si="6"/>
        <v>5910.416667</v>
      </c>
      <c r="P4880" s="2">
        <v>0.0</v>
      </c>
      <c r="Q4880" s="3">
        <f t="shared" si="7"/>
        <v>0</v>
      </c>
      <c r="R4880" s="2">
        <v>39.0</v>
      </c>
      <c r="S4880" s="5">
        <f t="shared" si="8"/>
        <v>1</v>
      </c>
    </row>
    <row r="4881">
      <c r="A4881" s="2" t="s">
        <v>4883</v>
      </c>
      <c r="B4881" s="2">
        <v>745.0</v>
      </c>
      <c r="C4881" s="2">
        <v>8681.0</v>
      </c>
      <c r="D4881" s="2">
        <v>3330.0</v>
      </c>
      <c r="E4881" s="3">
        <f t="shared" si="1"/>
        <v>0.4196068548</v>
      </c>
      <c r="F4881" s="2">
        <v>985.0</v>
      </c>
      <c r="G4881" s="3">
        <f t="shared" si="2"/>
        <v>0.1241179435</v>
      </c>
      <c r="H4881" s="2">
        <v>1791.0</v>
      </c>
      <c r="I4881" s="3">
        <f t="shared" si="3"/>
        <v>0.2256804435</v>
      </c>
      <c r="J4881" s="2">
        <v>1481.0</v>
      </c>
      <c r="K4881" s="3">
        <f t="shared" si="4"/>
        <v>0.1866179435</v>
      </c>
      <c r="L4881" s="2">
        <v>1074.0</v>
      </c>
      <c r="M4881" s="3">
        <f t="shared" si="5"/>
        <v>0.5996649916</v>
      </c>
      <c r="N4881" s="2">
        <v>9764600.0</v>
      </c>
      <c r="O4881" s="4">
        <f t="shared" si="6"/>
        <v>5452.037968</v>
      </c>
      <c r="P4881" s="2">
        <v>1.0</v>
      </c>
      <c r="Q4881" s="3">
        <f t="shared" si="7"/>
        <v>0.001342281879</v>
      </c>
      <c r="R4881" s="2">
        <v>458.0</v>
      </c>
      <c r="S4881" s="5">
        <f t="shared" si="8"/>
        <v>0.6147651007</v>
      </c>
    </row>
    <row r="4882">
      <c r="A4882" s="2" t="s">
        <v>4884</v>
      </c>
      <c r="B4882" s="2">
        <v>1274.0</v>
      </c>
      <c r="C4882" s="2">
        <v>14947.0</v>
      </c>
      <c r="D4882" s="2">
        <v>5205.0</v>
      </c>
      <c r="E4882" s="3">
        <f t="shared" si="1"/>
        <v>0.3806772471</v>
      </c>
      <c r="F4882" s="2">
        <v>1697.0</v>
      </c>
      <c r="G4882" s="3">
        <f t="shared" si="2"/>
        <v>0.1241132158</v>
      </c>
      <c r="H4882" s="2">
        <v>2685.0</v>
      </c>
      <c r="I4882" s="3">
        <f t="shared" si="3"/>
        <v>0.1963724128</v>
      </c>
      <c r="J4882" s="2">
        <v>2044.0</v>
      </c>
      <c r="K4882" s="3">
        <f t="shared" si="4"/>
        <v>0.149491699</v>
      </c>
      <c r="L4882" s="2">
        <v>1613.0</v>
      </c>
      <c r="M4882" s="3">
        <f t="shared" si="5"/>
        <v>0.600744879</v>
      </c>
      <c r="N4882" s="2">
        <v>1.53281E7</v>
      </c>
      <c r="O4882" s="4">
        <f t="shared" si="6"/>
        <v>5708.789572</v>
      </c>
      <c r="P4882" s="2">
        <v>1.0</v>
      </c>
      <c r="Q4882" s="3">
        <f t="shared" si="7"/>
        <v>0.0007849293564</v>
      </c>
      <c r="R4882" s="2">
        <v>1265.0</v>
      </c>
      <c r="S4882" s="5">
        <f t="shared" si="8"/>
        <v>0.9929356358</v>
      </c>
    </row>
    <row r="4883">
      <c r="A4883" s="2" t="s">
        <v>4885</v>
      </c>
      <c r="B4883" s="2">
        <v>4961.0</v>
      </c>
      <c r="C4883" s="2">
        <v>58058.0</v>
      </c>
      <c r="D4883" s="2">
        <v>17006.0</v>
      </c>
      <c r="E4883" s="3">
        <f t="shared" si="1"/>
        <v>0.3202817485</v>
      </c>
      <c r="F4883" s="2">
        <v>6590.0</v>
      </c>
      <c r="G4883" s="3">
        <f t="shared" si="2"/>
        <v>0.1241124734</v>
      </c>
      <c r="H4883" s="2">
        <v>11774.0</v>
      </c>
      <c r="I4883" s="3">
        <f t="shared" si="3"/>
        <v>0.221745108</v>
      </c>
      <c r="J4883" s="2">
        <v>9600.0</v>
      </c>
      <c r="K4883" s="3">
        <f t="shared" si="4"/>
        <v>0.1808011752</v>
      </c>
      <c r="L4883" s="2">
        <v>7164.0</v>
      </c>
      <c r="M4883" s="3">
        <f t="shared" si="5"/>
        <v>0.6084593171</v>
      </c>
      <c r="N4883" s="2">
        <v>6.69484E7</v>
      </c>
      <c r="O4883" s="4">
        <f t="shared" si="6"/>
        <v>5686.121964</v>
      </c>
      <c r="P4883" s="2">
        <v>12.0</v>
      </c>
      <c r="Q4883" s="3">
        <f t="shared" si="7"/>
        <v>0.002418867164</v>
      </c>
      <c r="R4883" s="2">
        <v>4960.0</v>
      </c>
      <c r="S4883" s="5">
        <f t="shared" si="8"/>
        <v>0.9997984277</v>
      </c>
    </row>
    <row r="4884">
      <c r="A4884" s="2" t="s">
        <v>4886</v>
      </c>
      <c r="B4884" s="2">
        <v>331.0</v>
      </c>
      <c r="C4884" s="2">
        <v>3949.0</v>
      </c>
      <c r="D4884" s="2">
        <v>1289.0</v>
      </c>
      <c r="E4884" s="3">
        <f t="shared" si="1"/>
        <v>0.3562741846</v>
      </c>
      <c r="F4884" s="2">
        <v>449.0</v>
      </c>
      <c r="G4884" s="3">
        <f t="shared" si="2"/>
        <v>0.1241017137</v>
      </c>
      <c r="H4884" s="2">
        <v>685.0</v>
      </c>
      <c r="I4884" s="3">
        <f t="shared" si="3"/>
        <v>0.1893311222</v>
      </c>
      <c r="J4884" s="2">
        <v>609.0</v>
      </c>
      <c r="K4884" s="3">
        <f t="shared" si="4"/>
        <v>0.1683250415</v>
      </c>
      <c r="L4884" s="2">
        <v>425.0</v>
      </c>
      <c r="M4884" s="3">
        <f t="shared" si="5"/>
        <v>0.6204379562</v>
      </c>
      <c r="N4884" s="2">
        <v>4054900.0</v>
      </c>
      <c r="O4884" s="4">
        <f t="shared" si="6"/>
        <v>5919.562044</v>
      </c>
      <c r="P4884" s="2">
        <v>0.0</v>
      </c>
      <c r="Q4884" s="3">
        <f t="shared" si="7"/>
        <v>0</v>
      </c>
      <c r="R4884" s="2">
        <v>331.0</v>
      </c>
      <c r="S4884" s="5">
        <f t="shared" si="8"/>
        <v>1</v>
      </c>
    </row>
    <row r="4885">
      <c r="A4885" s="2" t="s">
        <v>4887</v>
      </c>
      <c r="B4885" s="2">
        <v>430.0</v>
      </c>
      <c r="C4885" s="2">
        <v>5152.0</v>
      </c>
      <c r="D4885" s="2">
        <v>1731.0</v>
      </c>
      <c r="E4885" s="3">
        <f t="shared" si="1"/>
        <v>0.3665819568</v>
      </c>
      <c r="F4885" s="2">
        <v>586.0</v>
      </c>
      <c r="G4885" s="3">
        <f t="shared" si="2"/>
        <v>0.1240999576</v>
      </c>
      <c r="H4885" s="2">
        <v>992.0</v>
      </c>
      <c r="I4885" s="3">
        <f t="shared" si="3"/>
        <v>0.2100804744</v>
      </c>
      <c r="J4885" s="2">
        <v>778.0</v>
      </c>
      <c r="K4885" s="3">
        <f t="shared" si="4"/>
        <v>0.1647606946</v>
      </c>
      <c r="L4885" s="2">
        <v>581.0</v>
      </c>
      <c r="M4885" s="3">
        <f t="shared" si="5"/>
        <v>0.5856854839</v>
      </c>
      <c r="N4885" s="2">
        <v>5379100.0</v>
      </c>
      <c r="O4885" s="4">
        <f t="shared" si="6"/>
        <v>5422.479839</v>
      </c>
      <c r="P4885" s="2">
        <v>1.0</v>
      </c>
      <c r="Q4885" s="3">
        <f t="shared" si="7"/>
        <v>0.002325581395</v>
      </c>
      <c r="R4885" s="2">
        <v>430.0</v>
      </c>
      <c r="S4885" s="5">
        <f t="shared" si="8"/>
        <v>1</v>
      </c>
    </row>
    <row r="4886">
      <c r="A4886" s="2" t="s">
        <v>4888</v>
      </c>
      <c r="B4886" s="2">
        <v>949.0</v>
      </c>
      <c r="C4886" s="2">
        <v>11215.0</v>
      </c>
      <c r="D4886" s="2">
        <v>4040.0</v>
      </c>
      <c r="E4886" s="3">
        <f t="shared" si="1"/>
        <v>0.3935320475</v>
      </c>
      <c r="F4886" s="2">
        <v>1274.0</v>
      </c>
      <c r="G4886" s="3">
        <f t="shared" si="2"/>
        <v>0.1240989675</v>
      </c>
      <c r="H4886" s="2">
        <v>2249.0</v>
      </c>
      <c r="I4886" s="3">
        <f t="shared" si="3"/>
        <v>0.2190726671</v>
      </c>
      <c r="J4886" s="2">
        <v>1705.0</v>
      </c>
      <c r="K4886" s="3">
        <f t="shared" si="4"/>
        <v>0.1660822131</v>
      </c>
      <c r="L4886" s="2">
        <v>1348.0</v>
      </c>
      <c r="M4886" s="3">
        <f t="shared" si="5"/>
        <v>0.5993775011</v>
      </c>
      <c r="N4886" s="2">
        <v>1.20231E7</v>
      </c>
      <c r="O4886" s="4">
        <f t="shared" si="6"/>
        <v>5345.975989</v>
      </c>
      <c r="P4886" s="2">
        <v>2.0</v>
      </c>
      <c r="Q4886" s="3">
        <f t="shared" si="7"/>
        <v>0.00210748156</v>
      </c>
      <c r="R4886" s="2">
        <v>0.0</v>
      </c>
      <c r="S4886" s="5">
        <f t="shared" si="8"/>
        <v>0</v>
      </c>
    </row>
    <row r="4887">
      <c r="A4887" s="2" t="s">
        <v>4889</v>
      </c>
      <c r="B4887" s="2">
        <v>386.0</v>
      </c>
      <c r="C4887" s="2">
        <v>4536.0</v>
      </c>
      <c r="D4887" s="2">
        <v>1535.0</v>
      </c>
      <c r="E4887" s="3">
        <f t="shared" si="1"/>
        <v>0.3698795181</v>
      </c>
      <c r="F4887" s="2">
        <v>515.0</v>
      </c>
      <c r="G4887" s="3">
        <f t="shared" si="2"/>
        <v>0.1240963855</v>
      </c>
      <c r="H4887" s="2">
        <v>921.0</v>
      </c>
      <c r="I4887" s="3">
        <f t="shared" si="3"/>
        <v>0.2219277108</v>
      </c>
      <c r="J4887" s="2">
        <v>667.0</v>
      </c>
      <c r="K4887" s="3">
        <f t="shared" si="4"/>
        <v>0.1607228916</v>
      </c>
      <c r="L4887" s="2">
        <v>555.0</v>
      </c>
      <c r="M4887" s="3">
        <f t="shared" si="5"/>
        <v>0.6026058632</v>
      </c>
      <c r="N4887" s="2">
        <v>5267100.0</v>
      </c>
      <c r="O4887" s="4">
        <f t="shared" si="6"/>
        <v>5718.892508</v>
      </c>
      <c r="P4887" s="2">
        <v>2.0</v>
      </c>
      <c r="Q4887" s="3">
        <f t="shared" si="7"/>
        <v>0.00518134715</v>
      </c>
      <c r="R4887" s="2">
        <v>386.0</v>
      </c>
      <c r="S4887" s="5">
        <f t="shared" si="8"/>
        <v>1</v>
      </c>
    </row>
    <row r="4888">
      <c r="A4888" s="2" t="s">
        <v>4890</v>
      </c>
      <c r="B4888" s="2">
        <v>1593.0</v>
      </c>
      <c r="C4888" s="2">
        <v>18613.0</v>
      </c>
      <c r="D4888" s="2">
        <v>5124.0</v>
      </c>
      <c r="E4888" s="3">
        <f t="shared" si="1"/>
        <v>0.3010575793</v>
      </c>
      <c r="F4888" s="2">
        <v>2112.0</v>
      </c>
      <c r="G4888" s="3">
        <f t="shared" si="2"/>
        <v>0.1240893067</v>
      </c>
      <c r="H4888" s="2">
        <v>3378.0</v>
      </c>
      <c r="I4888" s="3">
        <f t="shared" si="3"/>
        <v>0.1984723854</v>
      </c>
      <c r="J4888" s="2">
        <v>2296.0</v>
      </c>
      <c r="K4888" s="3">
        <f t="shared" si="4"/>
        <v>0.1349001175</v>
      </c>
      <c r="L4888" s="2">
        <v>2046.0</v>
      </c>
      <c r="M4888" s="3">
        <f t="shared" si="5"/>
        <v>0.6056838366</v>
      </c>
      <c r="N4888" s="2">
        <v>1.92043E7</v>
      </c>
      <c r="O4888" s="4">
        <f t="shared" si="6"/>
        <v>5685.109532</v>
      </c>
      <c r="P4888" s="2">
        <v>4.0</v>
      </c>
      <c r="Q4888" s="3">
        <f t="shared" si="7"/>
        <v>0.002510985562</v>
      </c>
      <c r="R4888" s="2">
        <v>1593.0</v>
      </c>
      <c r="S4888" s="5">
        <f t="shared" si="8"/>
        <v>1</v>
      </c>
    </row>
    <row r="4889">
      <c r="A4889" s="2" t="s">
        <v>4891</v>
      </c>
      <c r="B4889" s="2">
        <v>129.0</v>
      </c>
      <c r="C4889" s="2">
        <v>1499.0</v>
      </c>
      <c r="D4889" s="2">
        <v>384.0</v>
      </c>
      <c r="E4889" s="3">
        <f t="shared" si="1"/>
        <v>0.2802919708</v>
      </c>
      <c r="F4889" s="2">
        <v>170.0</v>
      </c>
      <c r="G4889" s="3">
        <f t="shared" si="2"/>
        <v>0.1240875912</v>
      </c>
      <c r="H4889" s="2">
        <v>276.0</v>
      </c>
      <c r="I4889" s="3">
        <f t="shared" si="3"/>
        <v>0.201459854</v>
      </c>
      <c r="J4889" s="2">
        <v>233.0</v>
      </c>
      <c r="K4889" s="3">
        <f t="shared" si="4"/>
        <v>0.1700729927</v>
      </c>
      <c r="L4889" s="2">
        <v>155.0</v>
      </c>
      <c r="M4889" s="3">
        <f t="shared" si="5"/>
        <v>0.5615942029</v>
      </c>
      <c r="N4889" s="2">
        <v>1611300.0</v>
      </c>
      <c r="O4889" s="4">
        <f t="shared" si="6"/>
        <v>5838.043478</v>
      </c>
      <c r="P4889" s="2">
        <v>0.0</v>
      </c>
      <c r="Q4889" s="3">
        <f t="shared" si="7"/>
        <v>0</v>
      </c>
      <c r="R4889" s="2">
        <v>129.0</v>
      </c>
      <c r="S4889" s="5">
        <f t="shared" si="8"/>
        <v>1</v>
      </c>
    </row>
    <row r="4890">
      <c r="A4890" s="2" t="s">
        <v>4892</v>
      </c>
      <c r="B4890" s="2">
        <v>12.0</v>
      </c>
      <c r="C4890" s="2">
        <v>149.0</v>
      </c>
      <c r="D4890" s="2">
        <v>39.0</v>
      </c>
      <c r="E4890" s="3">
        <f t="shared" si="1"/>
        <v>0.2846715328</v>
      </c>
      <c r="F4890" s="2">
        <v>17.0</v>
      </c>
      <c r="G4890" s="3">
        <f t="shared" si="2"/>
        <v>0.1240875912</v>
      </c>
      <c r="H4890" s="2">
        <v>36.0</v>
      </c>
      <c r="I4890" s="3">
        <f t="shared" si="3"/>
        <v>0.2627737226</v>
      </c>
      <c r="J4890" s="2">
        <v>16.0</v>
      </c>
      <c r="K4890" s="3">
        <f t="shared" si="4"/>
        <v>0.1167883212</v>
      </c>
      <c r="L4890" s="2">
        <v>20.0</v>
      </c>
      <c r="M4890" s="3">
        <f t="shared" si="5"/>
        <v>0.5555555556</v>
      </c>
      <c r="N4890" s="2">
        <v>223800.0</v>
      </c>
      <c r="O4890" s="4">
        <f t="shared" si="6"/>
        <v>6216.666667</v>
      </c>
      <c r="P4890" s="2">
        <v>0.0</v>
      </c>
      <c r="Q4890" s="3">
        <f t="shared" si="7"/>
        <v>0</v>
      </c>
      <c r="R4890" s="2">
        <v>12.0</v>
      </c>
      <c r="S4890" s="5">
        <f t="shared" si="8"/>
        <v>1</v>
      </c>
    </row>
    <row r="4891">
      <c r="A4891" s="2" t="s">
        <v>4893</v>
      </c>
      <c r="B4891" s="2">
        <v>1686.0</v>
      </c>
      <c r="C4891" s="2">
        <v>19351.0</v>
      </c>
      <c r="D4891" s="2">
        <v>5947.0</v>
      </c>
      <c r="E4891" s="3">
        <f t="shared" si="1"/>
        <v>0.3366544014</v>
      </c>
      <c r="F4891" s="2">
        <v>2192.0</v>
      </c>
      <c r="G4891" s="3">
        <f t="shared" si="2"/>
        <v>0.124087178</v>
      </c>
      <c r="H4891" s="2">
        <v>3959.0</v>
      </c>
      <c r="I4891" s="3">
        <f t="shared" si="3"/>
        <v>0.2241154826</v>
      </c>
      <c r="J4891" s="2">
        <v>3715.0</v>
      </c>
      <c r="K4891" s="3">
        <f t="shared" si="4"/>
        <v>0.2103028588</v>
      </c>
      <c r="L4891" s="2">
        <v>2476.0</v>
      </c>
      <c r="M4891" s="3">
        <f t="shared" si="5"/>
        <v>0.6254104572</v>
      </c>
      <c r="N4891" s="2">
        <v>2.28756E7</v>
      </c>
      <c r="O4891" s="4">
        <f t="shared" si="6"/>
        <v>5778.125789</v>
      </c>
      <c r="P4891" s="2">
        <v>3.0</v>
      </c>
      <c r="Q4891" s="3">
        <f t="shared" si="7"/>
        <v>0.001779359431</v>
      </c>
      <c r="R4891" s="2">
        <v>1686.0</v>
      </c>
      <c r="S4891" s="5">
        <f t="shared" si="8"/>
        <v>1</v>
      </c>
    </row>
    <row r="4892">
      <c r="A4892" s="2" t="s">
        <v>4894</v>
      </c>
      <c r="B4892" s="2">
        <v>379.0</v>
      </c>
      <c r="C4892" s="2">
        <v>4481.0</v>
      </c>
      <c r="D4892" s="2">
        <v>1616.0</v>
      </c>
      <c r="E4892" s="3">
        <f t="shared" si="1"/>
        <v>0.3939541687</v>
      </c>
      <c r="F4892" s="2">
        <v>509.0</v>
      </c>
      <c r="G4892" s="3">
        <f t="shared" si="2"/>
        <v>0.1240858118</v>
      </c>
      <c r="H4892" s="2">
        <v>861.0</v>
      </c>
      <c r="I4892" s="3">
        <f t="shared" si="3"/>
        <v>0.2098976109</v>
      </c>
      <c r="J4892" s="2">
        <v>702.0</v>
      </c>
      <c r="K4892" s="3">
        <f t="shared" si="4"/>
        <v>0.1711360312</v>
      </c>
      <c r="L4892" s="2">
        <v>510.0</v>
      </c>
      <c r="M4892" s="3">
        <f t="shared" si="5"/>
        <v>0.5923344948</v>
      </c>
      <c r="N4892" s="2">
        <v>4459700.0</v>
      </c>
      <c r="O4892" s="4">
        <f t="shared" si="6"/>
        <v>5179.674797</v>
      </c>
      <c r="P4892" s="2">
        <v>1.0</v>
      </c>
      <c r="Q4892" s="3">
        <f t="shared" si="7"/>
        <v>0.002638522427</v>
      </c>
      <c r="R4892" s="2">
        <v>294.0</v>
      </c>
      <c r="S4892" s="5">
        <f t="shared" si="8"/>
        <v>0.7757255937</v>
      </c>
    </row>
    <row r="4893">
      <c r="A4893" s="2" t="s">
        <v>4895</v>
      </c>
      <c r="B4893" s="2">
        <v>2900.0</v>
      </c>
      <c r="C4893" s="2">
        <v>34234.0</v>
      </c>
      <c r="D4893" s="2">
        <v>12024.0</v>
      </c>
      <c r="E4893" s="3">
        <f t="shared" si="1"/>
        <v>0.3837365162</v>
      </c>
      <c r="F4893" s="2">
        <v>3888.0</v>
      </c>
      <c r="G4893" s="3">
        <f t="shared" si="2"/>
        <v>0.1240824663</v>
      </c>
      <c r="H4893" s="2">
        <v>6564.0</v>
      </c>
      <c r="I4893" s="3">
        <f t="shared" si="3"/>
        <v>0.2094849046</v>
      </c>
      <c r="J4893" s="2">
        <v>4890.0</v>
      </c>
      <c r="K4893" s="3">
        <f t="shared" si="4"/>
        <v>0.1560605094</v>
      </c>
      <c r="L4893" s="2">
        <v>4057.0</v>
      </c>
      <c r="M4893" s="3">
        <f t="shared" si="5"/>
        <v>0.6180682511</v>
      </c>
      <c r="N4893" s="2">
        <v>3.70558E7</v>
      </c>
      <c r="O4893" s="4">
        <f t="shared" si="6"/>
        <v>5645.307739</v>
      </c>
      <c r="P4893" s="2">
        <v>5.0</v>
      </c>
      <c r="Q4893" s="3">
        <f t="shared" si="7"/>
        <v>0.001724137931</v>
      </c>
      <c r="R4893" s="2">
        <v>2900.0</v>
      </c>
      <c r="S4893" s="5">
        <f t="shared" si="8"/>
        <v>1</v>
      </c>
    </row>
    <row r="4894">
      <c r="A4894" s="2" t="s">
        <v>4896</v>
      </c>
      <c r="B4894" s="2">
        <v>501.0</v>
      </c>
      <c r="C4894" s="2">
        <v>5804.0</v>
      </c>
      <c r="D4894" s="2">
        <v>1795.0</v>
      </c>
      <c r="E4894" s="3">
        <f t="shared" si="1"/>
        <v>0.3384876485</v>
      </c>
      <c r="F4894" s="2">
        <v>658.0</v>
      </c>
      <c r="G4894" s="3">
        <f t="shared" si="2"/>
        <v>0.124080709</v>
      </c>
      <c r="H4894" s="2">
        <v>1052.0</v>
      </c>
      <c r="I4894" s="3">
        <f t="shared" si="3"/>
        <v>0.1983782764</v>
      </c>
      <c r="J4894" s="2">
        <v>856.0</v>
      </c>
      <c r="K4894" s="3">
        <f t="shared" si="4"/>
        <v>0.1614180652</v>
      </c>
      <c r="L4894" s="2">
        <v>607.0</v>
      </c>
      <c r="M4894" s="3">
        <f t="shared" si="5"/>
        <v>0.5769961977</v>
      </c>
      <c r="N4894" s="2">
        <v>6268000.0</v>
      </c>
      <c r="O4894" s="4">
        <f t="shared" si="6"/>
        <v>5958.174905</v>
      </c>
      <c r="P4894" s="2">
        <v>1.0</v>
      </c>
      <c r="Q4894" s="3">
        <f t="shared" si="7"/>
        <v>0.001996007984</v>
      </c>
      <c r="R4894" s="2">
        <v>501.0</v>
      </c>
      <c r="S4894" s="5">
        <f t="shared" si="8"/>
        <v>1</v>
      </c>
    </row>
    <row r="4895">
      <c r="A4895" s="2" t="s">
        <v>4897</v>
      </c>
      <c r="B4895" s="2">
        <v>1360.0</v>
      </c>
      <c r="C4895" s="2">
        <v>16044.0</v>
      </c>
      <c r="D4895" s="2">
        <v>4904.0</v>
      </c>
      <c r="E4895" s="3">
        <f t="shared" si="1"/>
        <v>0.3339689458</v>
      </c>
      <c r="F4895" s="2">
        <v>1822.0</v>
      </c>
      <c r="G4895" s="3">
        <f t="shared" si="2"/>
        <v>0.124080632</v>
      </c>
      <c r="H4895" s="2">
        <v>3043.0</v>
      </c>
      <c r="I4895" s="3">
        <f t="shared" si="3"/>
        <v>0.2072323618</v>
      </c>
      <c r="J4895" s="2">
        <v>2439.0</v>
      </c>
      <c r="K4895" s="3">
        <f t="shared" si="4"/>
        <v>0.1660991555</v>
      </c>
      <c r="L4895" s="2">
        <v>1867.0</v>
      </c>
      <c r="M4895" s="3">
        <f t="shared" si="5"/>
        <v>0.6135392705</v>
      </c>
      <c r="N4895" s="2">
        <v>1.72096E7</v>
      </c>
      <c r="O4895" s="4">
        <f t="shared" si="6"/>
        <v>5655.471574</v>
      </c>
      <c r="P4895" s="2">
        <v>2.0</v>
      </c>
      <c r="Q4895" s="3">
        <f t="shared" si="7"/>
        <v>0.001470588235</v>
      </c>
      <c r="R4895" s="2">
        <v>0.0</v>
      </c>
      <c r="S4895" s="5">
        <f t="shared" si="8"/>
        <v>0</v>
      </c>
    </row>
    <row r="4896">
      <c r="A4896" s="2" t="s">
        <v>4898</v>
      </c>
      <c r="B4896" s="2">
        <v>641.0</v>
      </c>
      <c r="C4896" s="2">
        <v>7589.0</v>
      </c>
      <c r="D4896" s="2">
        <v>2153.0</v>
      </c>
      <c r="E4896" s="3">
        <f t="shared" si="1"/>
        <v>0.3098733448</v>
      </c>
      <c r="F4896" s="2">
        <v>862.0</v>
      </c>
      <c r="G4896" s="3">
        <f t="shared" si="2"/>
        <v>0.124064479</v>
      </c>
      <c r="H4896" s="2">
        <v>1443.0</v>
      </c>
      <c r="I4896" s="3">
        <f t="shared" si="3"/>
        <v>0.2076856649</v>
      </c>
      <c r="J4896" s="2">
        <v>1069.0</v>
      </c>
      <c r="K4896" s="3">
        <f t="shared" si="4"/>
        <v>0.1538572251</v>
      </c>
      <c r="L4896" s="2">
        <v>825.0</v>
      </c>
      <c r="M4896" s="3">
        <f t="shared" si="5"/>
        <v>0.5717255717</v>
      </c>
      <c r="N4896" s="2">
        <v>8316000.0</v>
      </c>
      <c r="O4896" s="4">
        <f t="shared" si="6"/>
        <v>5762.993763</v>
      </c>
      <c r="P4896" s="2">
        <v>3.0</v>
      </c>
      <c r="Q4896" s="3">
        <f t="shared" si="7"/>
        <v>0.004680187207</v>
      </c>
      <c r="R4896" s="2">
        <v>0.0</v>
      </c>
      <c r="S4896" s="5">
        <f t="shared" si="8"/>
        <v>0</v>
      </c>
    </row>
    <row r="4897">
      <c r="A4897" s="2" t="s">
        <v>4899</v>
      </c>
      <c r="B4897" s="2">
        <v>48.0</v>
      </c>
      <c r="C4897" s="2">
        <v>580.0</v>
      </c>
      <c r="D4897" s="2">
        <v>211.0</v>
      </c>
      <c r="E4897" s="3">
        <f t="shared" si="1"/>
        <v>0.3966165414</v>
      </c>
      <c r="F4897" s="2">
        <v>66.0</v>
      </c>
      <c r="G4897" s="3">
        <f t="shared" si="2"/>
        <v>0.1240601504</v>
      </c>
      <c r="H4897" s="2">
        <v>111.0</v>
      </c>
      <c r="I4897" s="3">
        <f t="shared" si="3"/>
        <v>0.2086466165</v>
      </c>
      <c r="J4897" s="2">
        <v>102.0</v>
      </c>
      <c r="K4897" s="3">
        <f t="shared" si="4"/>
        <v>0.1917293233</v>
      </c>
      <c r="L4897" s="2">
        <v>73.0</v>
      </c>
      <c r="M4897" s="3">
        <f t="shared" si="5"/>
        <v>0.6576576577</v>
      </c>
      <c r="N4897" s="2">
        <v>599900.0</v>
      </c>
      <c r="O4897" s="4">
        <f t="shared" si="6"/>
        <v>5404.504505</v>
      </c>
      <c r="P4897" s="2">
        <v>0.0</v>
      </c>
      <c r="Q4897" s="3">
        <f t="shared" si="7"/>
        <v>0</v>
      </c>
      <c r="R4897" s="2">
        <v>48.0</v>
      </c>
      <c r="S4897" s="5">
        <f t="shared" si="8"/>
        <v>1</v>
      </c>
    </row>
    <row r="4898">
      <c r="A4898" s="2" t="s">
        <v>4900</v>
      </c>
      <c r="B4898" s="2">
        <v>60.0</v>
      </c>
      <c r="C4898" s="2">
        <v>721.0</v>
      </c>
      <c r="D4898" s="2">
        <v>258.0</v>
      </c>
      <c r="E4898" s="3">
        <f t="shared" si="1"/>
        <v>0.3903177005</v>
      </c>
      <c r="F4898" s="2">
        <v>82.0</v>
      </c>
      <c r="G4898" s="3">
        <f t="shared" si="2"/>
        <v>0.1240544629</v>
      </c>
      <c r="H4898" s="2">
        <v>139.0</v>
      </c>
      <c r="I4898" s="3">
        <f t="shared" si="3"/>
        <v>0.2102874433</v>
      </c>
      <c r="J4898" s="2">
        <v>104.0</v>
      </c>
      <c r="K4898" s="3">
        <f t="shared" si="4"/>
        <v>0.1573373676</v>
      </c>
      <c r="L4898" s="2">
        <v>75.0</v>
      </c>
      <c r="M4898" s="3">
        <f t="shared" si="5"/>
        <v>0.5395683453</v>
      </c>
      <c r="N4898" s="2">
        <v>701300.0</v>
      </c>
      <c r="O4898" s="4">
        <f t="shared" si="6"/>
        <v>5045.323741</v>
      </c>
      <c r="P4898" s="2">
        <v>0.0</v>
      </c>
      <c r="Q4898" s="3">
        <f t="shared" si="7"/>
        <v>0</v>
      </c>
      <c r="R4898" s="2">
        <v>60.0</v>
      </c>
      <c r="S4898" s="5">
        <f t="shared" si="8"/>
        <v>1</v>
      </c>
    </row>
    <row r="4899">
      <c r="A4899" s="2" t="s">
        <v>4901</v>
      </c>
      <c r="B4899" s="2">
        <v>1370.0</v>
      </c>
      <c r="C4899" s="2">
        <v>16203.0</v>
      </c>
      <c r="D4899" s="2">
        <v>5023.0</v>
      </c>
      <c r="E4899" s="3">
        <f t="shared" si="1"/>
        <v>0.3386368233</v>
      </c>
      <c r="F4899" s="2">
        <v>1840.0</v>
      </c>
      <c r="G4899" s="3">
        <f t="shared" si="2"/>
        <v>0.1240477314</v>
      </c>
      <c r="H4899" s="2">
        <v>3027.0</v>
      </c>
      <c r="I4899" s="3">
        <f t="shared" si="3"/>
        <v>0.2040720016</v>
      </c>
      <c r="J4899" s="2">
        <v>2437.0</v>
      </c>
      <c r="K4899" s="3">
        <f t="shared" si="4"/>
        <v>0.1642958269</v>
      </c>
      <c r="L4899" s="2">
        <v>1830.0</v>
      </c>
      <c r="M4899" s="3">
        <f t="shared" si="5"/>
        <v>0.6045589693</v>
      </c>
      <c r="N4899" s="2">
        <v>1.68887E7</v>
      </c>
      <c r="O4899" s="4">
        <f t="shared" si="6"/>
        <v>5579.352494</v>
      </c>
      <c r="P4899" s="2">
        <v>5.0</v>
      </c>
      <c r="Q4899" s="3">
        <f t="shared" si="7"/>
        <v>0.003649635036</v>
      </c>
      <c r="R4899" s="2">
        <v>12.0</v>
      </c>
      <c r="S4899" s="5">
        <f t="shared" si="8"/>
        <v>0.008759124088</v>
      </c>
    </row>
    <row r="4900">
      <c r="A4900" s="2" t="s">
        <v>4902</v>
      </c>
      <c r="B4900" s="2">
        <v>155.0</v>
      </c>
      <c r="C4900" s="2">
        <v>1840.0</v>
      </c>
      <c r="D4900" s="2">
        <v>670.0</v>
      </c>
      <c r="E4900" s="3">
        <f t="shared" si="1"/>
        <v>0.3976261128</v>
      </c>
      <c r="F4900" s="2">
        <v>209.0</v>
      </c>
      <c r="G4900" s="3">
        <f t="shared" si="2"/>
        <v>0.1240356083</v>
      </c>
      <c r="H4900" s="2">
        <v>361.0</v>
      </c>
      <c r="I4900" s="3">
        <f t="shared" si="3"/>
        <v>0.2142433234</v>
      </c>
      <c r="J4900" s="2">
        <v>292.0</v>
      </c>
      <c r="K4900" s="3">
        <f t="shared" si="4"/>
        <v>0.1732937685</v>
      </c>
      <c r="L4900" s="2">
        <v>222.0</v>
      </c>
      <c r="M4900" s="3">
        <f t="shared" si="5"/>
        <v>0.6149584488</v>
      </c>
      <c r="N4900" s="2">
        <v>1807100.0</v>
      </c>
      <c r="O4900" s="4">
        <f t="shared" si="6"/>
        <v>5005.817175</v>
      </c>
      <c r="P4900" s="2">
        <v>0.0</v>
      </c>
      <c r="Q4900" s="3">
        <f t="shared" si="7"/>
        <v>0</v>
      </c>
      <c r="R4900" s="2">
        <v>9.0</v>
      </c>
      <c r="S4900" s="5">
        <f t="shared" si="8"/>
        <v>0.05806451613</v>
      </c>
    </row>
    <row r="4901">
      <c r="A4901" s="2" t="s">
        <v>4903</v>
      </c>
      <c r="B4901" s="2">
        <v>974.0</v>
      </c>
      <c r="C4901" s="2">
        <v>11342.0</v>
      </c>
      <c r="D4901" s="2">
        <v>3328.0</v>
      </c>
      <c r="E4901" s="3">
        <f t="shared" si="1"/>
        <v>0.3209876543</v>
      </c>
      <c r="F4901" s="2">
        <v>1286.0</v>
      </c>
      <c r="G4901" s="3">
        <f t="shared" si="2"/>
        <v>0.1240354938</v>
      </c>
      <c r="H4901" s="2">
        <v>2081.0</v>
      </c>
      <c r="I4901" s="3">
        <f t="shared" si="3"/>
        <v>0.2007137346</v>
      </c>
      <c r="J4901" s="2">
        <v>1709.0</v>
      </c>
      <c r="K4901" s="3">
        <f t="shared" si="4"/>
        <v>0.1648341049</v>
      </c>
      <c r="L4901" s="2">
        <v>1266.0</v>
      </c>
      <c r="M4901" s="3">
        <f t="shared" si="5"/>
        <v>0.6083613647</v>
      </c>
      <c r="N4901" s="2">
        <v>1.20129E7</v>
      </c>
      <c r="O4901" s="4">
        <f t="shared" si="6"/>
        <v>5772.657376</v>
      </c>
      <c r="P4901" s="2">
        <v>3.0</v>
      </c>
      <c r="Q4901" s="3">
        <f t="shared" si="7"/>
        <v>0.003080082136</v>
      </c>
      <c r="R4901" s="2">
        <v>974.0</v>
      </c>
      <c r="S4901" s="5">
        <f t="shared" si="8"/>
        <v>1</v>
      </c>
    </row>
    <row r="4902">
      <c r="A4902" s="2" t="s">
        <v>4904</v>
      </c>
      <c r="B4902" s="2">
        <v>192.0</v>
      </c>
      <c r="C4902" s="2">
        <v>2264.0</v>
      </c>
      <c r="D4902" s="2">
        <v>700.0</v>
      </c>
      <c r="E4902" s="3">
        <f t="shared" si="1"/>
        <v>0.3378378378</v>
      </c>
      <c r="F4902" s="2">
        <v>257.0</v>
      </c>
      <c r="G4902" s="3">
        <f t="shared" si="2"/>
        <v>0.124034749</v>
      </c>
      <c r="H4902" s="2">
        <v>431.0</v>
      </c>
      <c r="I4902" s="3">
        <f t="shared" si="3"/>
        <v>0.208011583</v>
      </c>
      <c r="J4902" s="2">
        <v>373.0</v>
      </c>
      <c r="K4902" s="3">
        <f t="shared" si="4"/>
        <v>0.180019305</v>
      </c>
      <c r="L4902" s="2">
        <v>262.0</v>
      </c>
      <c r="M4902" s="3">
        <f t="shared" si="5"/>
        <v>0.6078886311</v>
      </c>
      <c r="N4902" s="2">
        <v>2461500.0</v>
      </c>
      <c r="O4902" s="4">
        <f t="shared" si="6"/>
        <v>5711.136891</v>
      </c>
      <c r="P4902" s="2">
        <v>1.0</v>
      </c>
      <c r="Q4902" s="3">
        <f t="shared" si="7"/>
        <v>0.005208333333</v>
      </c>
      <c r="R4902" s="2">
        <v>182.0</v>
      </c>
      <c r="S4902" s="5">
        <f t="shared" si="8"/>
        <v>0.9479166667</v>
      </c>
    </row>
    <row r="4903">
      <c r="A4903" s="2" t="s">
        <v>4905</v>
      </c>
      <c r="B4903" s="2">
        <v>804.0</v>
      </c>
      <c r="C4903" s="2">
        <v>9342.0</v>
      </c>
      <c r="D4903" s="2">
        <v>2645.0</v>
      </c>
      <c r="E4903" s="3">
        <f t="shared" si="1"/>
        <v>0.3097915203</v>
      </c>
      <c r="F4903" s="2">
        <v>1059.0</v>
      </c>
      <c r="G4903" s="3">
        <f t="shared" si="2"/>
        <v>0.1240337316</v>
      </c>
      <c r="H4903" s="2">
        <v>1780.0</v>
      </c>
      <c r="I4903" s="3">
        <f t="shared" si="3"/>
        <v>0.2084797376</v>
      </c>
      <c r="J4903" s="2">
        <v>1683.0</v>
      </c>
      <c r="K4903" s="3">
        <f t="shared" si="4"/>
        <v>0.1971187632</v>
      </c>
      <c r="L4903" s="2">
        <v>1051.0</v>
      </c>
      <c r="M4903" s="3">
        <f t="shared" si="5"/>
        <v>0.5904494382</v>
      </c>
      <c r="N4903" s="2">
        <v>1.07206E7</v>
      </c>
      <c r="O4903" s="4">
        <f t="shared" si="6"/>
        <v>6022.808989</v>
      </c>
      <c r="P4903" s="2">
        <v>1.0</v>
      </c>
      <c r="Q4903" s="3">
        <f t="shared" si="7"/>
        <v>0.001243781095</v>
      </c>
      <c r="R4903" s="2">
        <v>804.0</v>
      </c>
      <c r="S4903" s="5">
        <f t="shared" si="8"/>
        <v>1</v>
      </c>
    </row>
    <row r="4904">
      <c r="A4904" s="2" t="s">
        <v>4906</v>
      </c>
      <c r="B4904" s="2">
        <v>514.0</v>
      </c>
      <c r="C4904" s="2">
        <v>6069.0</v>
      </c>
      <c r="D4904" s="2">
        <v>2217.0</v>
      </c>
      <c r="E4904" s="3">
        <f t="shared" si="1"/>
        <v>0.39909991</v>
      </c>
      <c r="F4904" s="2">
        <v>689.0</v>
      </c>
      <c r="G4904" s="3">
        <f t="shared" si="2"/>
        <v>0.1240324032</v>
      </c>
      <c r="H4904" s="2">
        <v>1202.0</v>
      </c>
      <c r="I4904" s="3">
        <f t="shared" si="3"/>
        <v>0.2163816382</v>
      </c>
      <c r="J4904" s="2">
        <v>935.0</v>
      </c>
      <c r="K4904" s="3">
        <f t="shared" si="4"/>
        <v>0.1683168317</v>
      </c>
      <c r="L4904" s="2">
        <v>734.0</v>
      </c>
      <c r="M4904" s="3">
        <f t="shared" si="5"/>
        <v>0.6106489185</v>
      </c>
      <c r="N4904" s="2">
        <v>6365100.0</v>
      </c>
      <c r="O4904" s="4">
        <f t="shared" si="6"/>
        <v>5295.424293</v>
      </c>
      <c r="P4904" s="2">
        <v>0.0</v>
      </c>
      <c r="Q4904" s="3">
        <f t="shared" si="7"/>
        <v>0</v>
      </c>
      <c r="R4904" s="2">
        <v>514.0</v>
      </c>
      <c r="S4904" s="5">
        <f t="shared" si="8"/>
        <v>1</v>
      </c>
    </row>
    <row r="4905">
      <c r="A4905" s="2" t="s">
        <v>4907</v>
      </c>
      <c r="B4905" s="2">
        <v>82.0</v>
      </c>
      <c r="C4905" s="2">
        <v>985.0</v>
      </c>
      <c r="D4905" s="2">
        <v>250.0</v>
      </c>
      <c r="E4905" s="3">
        <f t="shared" si="1"/>
        <v>0.276854928</v>
      </c>
      <c r="F4905" s="2">
        <v>112.0</v>
      </c>
      <c r="G4905" s="3">
        <f t="shared" si="2"/>
        <v>0.1240310078</v>
      </c>
      <c r="H4905" s="2">
        <v>183.0</v>
      </c>
      <c r="I4905" s="3">
        <f t="shared" si="3"/>
        <v>0.2026578073</v>
      </c>
      <c r="J4905" s="2">
        <v>163.0</v>
      </c>
      <c r="K4905" s="3">
        <f t="shared" si="4"/>
        <v>0.1805094131</v>
      </c>
      <c r="L4905" s="2">
        <v>100.0</v>
      </c>
      <c r="M4905" s="3">
        <f t="shared" si="5"/>
        <v>0.5464480874</v>
      </c>
      <c r="N4905" s="2">
        <v>1146300.0</v>
      </c>
      <c r="O4905" s="4">
        <f t="shared" si="6"/>
        <v>6263.934426</v>
      </c>
      <c r="P4905" s="2">
        <v>1.0</v>
      </c>
      <c r="Q4905" s="3">
        <f t="shared" si="7"/>
        <v>0.01219512195</v>
      </c>
      <c r="R4905" s="2">
        <v>45.0</v>
      </c>
      <c r="S4905" s="5">
        <f t="shared" si="8"/>
        <v>0.5487804878</v>
      </c>
    </row>
    <row r="4906">
      <c r="A4906" s="2" t="s">
        <v>4908</v>
      </c>
      <c r="B4906" s="2">
        <v>1271.0</v>
      </c>
      <c r="C4906" s="2">
        <v>14945.0</v>
      </c>
      <c r="D4906" s="2">
        <v>5582.0</v>
      </c>
      <c r="E4906" s="3">
        <f t="shared" si="1"/>
        <v>0.4082199795</v>
      </c>
      <c r="F4906" s="2">
        <v>1696.0</v>
      </c>
      <c r="G4906" s="3">
        <f t="shared" si="2"/>
        <v>0.1240310078</v>
      </c>
      <c r="H4906" s="2">
        <v>2929.0</v>
      </c>
      <c r="I4906" s="3">
        <f t="shared" si="3"/>
        <v>0.2142021354</v>
      </c>
      <c r="J4906" s="2">
        <v>2359.0</v>
      </c>
      <c r="K4906" s="3">
        <f t="shared" si="4"/>
        <v>0.1725171859</v>
      </c>
      <c r="L4906" s="2">
        <v>1756.0</v>
      </c>
      <c r="M4906" s="3">
        <f t="shared" si="5"/>
        <v>0.5995220212</v>
      </c>
      <c r="N4906" s="2">
        <v>1.60519E7</v>
      </c>
      <c r="O4906" s="4">
        <f t="shared" si="6"/>
        <v>5480.334585</v>
      </c>
      <c r="P4906" s="2">
        <v>6.0</v>
      </c>
      <c r="Q4906" s="3">
        <f t="shared" si="7"/>
        <v>0.004720692368</v>
      </c>
      <c r="R4906" s="2">
        <v>648.0</v>
      </c>
      <c r="S4906" s="5">
        <f t="shared" si="8"/>
        <v>0.5098347758</v>
      </c>
    </row>
    <row r="4907">
      <c r="A4907" s="2" t="s">
        <v>4909</v>
      </c>
      <c r="B4907" s="2">
        <v>1638.0</v>
      </c>
      <c r="C4907" s="2">
        <v>19368.0</v>
      </c>
      <c r="D4907" s="2">
        <v>5696.0</v>
      </c>
      <c r="E4907" s="3">
        <f t="shared" si="1"/>
        <v>0.3212633954</v>
      </c>
      <c r="F4907" s="2">
        <v>2199.0</v>
      </c>
      <c r="G4907" s="3">
        <f t="shared" si="2"/>
        <v>0.1240270728</v>
      </c>
      <c r="H4907" s="2">
        <v>3637.0</v>
      </c>
      <c r="I4907" s="3">
        <f t="shared" si="3"/>
        <v>0.2051325437</v>
      </c>
      <c r="J4907" s="2">
        <v>2703.0</v>
      </c>
      <c r="K4907" s="3">
        <f t="shared" si="4"/>
        <v>0.1524534687</v>
      </c>
      <c r="L4907" s="2">
        <v>2177.0</v>
      </c>
      <c r="M4907" s="3">
        <f t="shared" si="5"/>
        <v>0.5985702502</v>
      </c>
      <c r="N4907" s="2">
        <v>1.98369E7</v>
      </c>
      <c r="O4907" s="4">
        <f t="shared" si="6"/>
        <v>5454.193016</v>
      </c>
      <c r="P4907" s="2">
        <v>5.0</v>
      </c>
      <c r="Q4907" s="3">
        <f t="shared" si="7"/>
        <v>0.003052503053</v>
      </c>
      <c r="R4907" s="2">
        <v>1638.0</v>
      </c>
      <c r="S4907" s="5">
        <f t="shared" si="8"/>
        <v>1</v>
      </c>
    </row>
    <row r="4908">
      <c r="A4908" s="2" t="s">
        <v>4910</v>
      </c>
      <c r="B4908" s="2">
        <v>1334.0</v>
      </c>
      <c r="C4908" s="2">
        <v>15727.0</v>
      </c>
      <c r="D4908" s="2">
        <v>4997.0</v>
      </c>
      <c r="E4908" s="3">
        <f t="shared" si="1"/>
        <v>0.3471826582</v>
      </c>
      <c r="F4908" s="2">
        <v>1785.0</v>
      </c>
      <c r="G4908" s="3">
        <f t="shared" si="2"/>
        <v>0.1240186202</v>
      </c>
      <c r="H4908" s="2">
        <v>3111.0</v>
      </c>
      <c r="I4908" s="3">
        <f t="shared" si="3"/>
        <v>0.216146738</v>
      </c>
      <c r="J4908" s="2">
        <v>2548.0</v>
      </c>
      <c r="K4908" s="3">
        <f t="shared" si="4"/>
        <v>0.1770305009</v>
      </c>
      <c r="L4908" s="2">
        <v>1805.0</v>
      </c>
      <c r="M4908" s="3">
        <f t="shared" si="5"/>
        <v>0.5801992928</v>
      </c>
      <c r="N4908" s="2">
        <v>1.74249E7</v>
      </c>
      <c r="O4908" s="4">
        <f t="shared" si="6"/>
        <v>5601.060752</v>
      </c>
      <c r="P4908" s="2">
        <v>5.0</v>
      </c>
      <c r="Q4908" s="3">
        <f t="shared" si="7"/>
        <v>0.003748125937</v>
      </c>
      <c r="R4908" s="2">
        <v>1334.0</v>
      </c>
      <c r="S4908" s="5">
        <f t="shared" si="8"/>
        <v>1</v>
      </c>
    </row>
    <row r="4909">
      <c r="A4909" s="2" t="s">
        <v>4911</v>
      </c>
      <c r="B4909" s="2">
        <v>3235.0</v>
      </c>
      <c r="C4909" s="2">
        <v>37788.0</v>
      </c>
      <c r="D4909" s="2">
        <v>11201.0</v>
      </c>
      <c r="E4909" s="3">
        <f t="shared" si="1"/>
        <v>0.3241686684</v>
      </c>
      <c r="F4909" s="2">
        <v>4285.0</v>
      </c>
      <c r="G4909" s="3">
        <f t="shared" si="2"/>
        <v>0.1240123868</v>
      </c>
      <c r="H4909" s="2">
        <v>7147.0</v>
      </c>
      <c r="I4909" s="3">
        <f t="shared" si="3"/>
        <v>0.2068416635</v>
      </c>
      <c r="J4909" s="2">
        <v>6141.0</v>
      </c>
      <c r="K4909" s="3">
        <f t="shared" si="4"/>
        <v>0.1777269702</v>
      </c>
      <c r="L4909" s="2">
        <v>4199.0</v>
      </c>
      <c r="M4909" s="3">
        <f t="shared" si="5"/>
        <v>0.5875192388</v>
      </c>
      <c r="N4909" s="2">
        <v>4.15933E7</v>
      </c>
      <c r="O4909" s="4">
        <f t="shared" si="6"/>
        <v>5819.686582</v>
      </c>
      <c r="P4909" s="2">
        <v>7.0</v>
      </c>
      <c r="Q4909" s="3">
        <f t="shared" si="7"/>
        <v>0.002163833076</v>
      </c>
      <c r="R4909" s="2">
        <v>3235.0</v>
      </c>
      <c r="S4909" s="5">
        <f t="shared" si="8"/>
        <v>1</v>
      </c>
    </row>
    <row r="4910">
      <c r="A4910" s="2" t="s">
        <v>4912</v>
      </c>
      <c r="B4910" s="2">
        <v>1482.0</v>
      </c>
      <c r="C4910" s="2">
        <v>17545.0</v>
      </c>
      <c r="D4910" s="2">
        <v>5696.0</v>
      </c>
      <c r="E4910" s="3">
        <f t="shared" si="1"/>
        <v>0.3546037477</v>
      </c>
      <c r="F4910" s="2">
        <v>1992.0</v>
      </c>
      <c r="G4910" s="3">
        <f t="shared" si="2"/>
        <v>0.1240117039</v>
      </c>
      <c r="H4910" s="2">
        <v>3429.0</v>
      </c>
      <c r="I4910" s="3">
        <f t="shared" si="3"/>
        <v>0.2134719542</v>
      </c>
      <c r="J4910" s="2">
        <v>2938.0</v>
      </c>
      <c r="K4910" s="3">
        <f t="shared" si="4"/>
        <v>0.1829048123</v>
      </c>
      <c r="L4910" s="2">
        <v>2012.0</v>
      </c>
      <c r="M4910" s="3">
        <f t="shared" si="5"/>
        <v>0.5867599883</v>
      </c>
      <c r="N4910" s="2">
        <v>1.87369E7</v>
      </c>
      <c r="O4910" s="4">
        <f t="shared" si="6"/>
        <v>5464.246136</v>
      </c>
      <c r="P4910" s="2">
        <v>2.0</v>
      </c>
      <c r="Q4910" s="3">
        <f t="shared" si="7"/>
        <v>0.001349527665</v>
      </c>
      <c r="R4910" s="2">
        <v>1479.0</v>
      </c>
      <c r="S4910" s="5">
        <f t="shared" si="8"/>
        <v>0.9979757085</v>
      </c>
    </row>
    <row r="4911">
      <c r="A4911" s="2" t="s">
        <v>4913</v>
      </c>
      <c r="B4911" s="2">
        <v>224.0</v>
      </c>
      <c r="C4911" s="2">
        <v>2627.0</v>
      </c>
      <c r="D4911" s="2">
        <v>829.0</v>
      </c>
      <c r="E4911" s="3">
        <f t="shared" si="1"/>
        <v>0.3449854349</v>
      </c>
      <c r="F4911" s="2">
        <v>298.0</v>
      </c>
      <c r="G4911" s="3">
        <f t="shared" si="2"/>
        <v>0.1240116521</v>
      </c>
      <c r="H4911" s="2">
        <v>483.0</v>
      </c>
      <c r="I4911" s="3">
        <f t="shared" si="3"/>
        <v>0.2009987516</v>
      </c>
      <c r="J4911" s="2">
        <v>496.0</v>
      </c>
      <c r="K4911" s="3">
        <f t="shared" si="4"/>
        <v>0.2064086558</v>
      </c>
      <c r="L4911" s="2">
        <v>287.0</v>
      </c>
      <c r="M4911" s="3">
        <f t="shared" si="5"/>
        <v>0.5942028986</v>
      </c>
      <c r="N4911" s="2">
        <v>3017200.0</v>
      </c>
      <c r="O4911" s="4">
        <f t="shared" si="6"/>
        <v>6246.79089</v>
      </c>
      <c r="P4911" s="2">
        <v>0.0</v>
      </c>
      <c r="Q4911" s="3">
        <f t="shared" si="7"/>
        <v>0</v>
      </c>
      <c r="R4911" s="2">
        <v>224.0</v>
      </c>
      <c r="S4911" s="5">
        <f t="shared" si="8"/>
        <v>1</v>
      </c>
    </row>
    <row r="4912">
      <c r="A4912" s="2" t="s">
        <v>4914</v>
      </c>
      <c r="B4912" s="2">
        <v>63.0</v>
      </c>
      <c r="C4912" s="2">
        <v>692.0</v>
      </c>
      <c r="D4912" s="2">
        <v>267.0</v>
      </c>
      <c r="E4912" s="3">
        <f t="shared" si="1"/>
        <v>0.4244833068</v>
      </c>
      <c r="F4912" s="2">
        <v>78.0</v>
      </c>
      <c r="G4912" s="3">
        <f t="shared" si="2"/>
        <v>0.1240063593</v>
      </c>
      <c r="H4912" s="2">
        <v>109.0</v>
      </c>
      <c r="I4912" s="3">
        <f t="shared" si="3"/>
        <v>0.173290938</v>
      </c>
      <c r="J4912" s="2">
        <v>107.0</v>
      </c>
      <c r="K4912" s="3">
        <f t="shared" si="4"/>
        <v>0.1701112878</v>
      </c>
      <c r="L4912" s="2">
        <v>70.0</v>
      </c>
      <c r="M4912" s="3">
        <f t="shared" si="5"/>
        <v>0.6422018349</v>
      </c>
      <c r="N4912" s="2">
        <v>591400.0</v>
      </c>
      <c r="O4912" s="4">
        <f t="shared" si="6"/>
        <v>5425.688073</v>
      </c>
      <c r="P4912" s="2">
        <v>0.0</v>
      </c>
      <c r="Q4912" s="3">
        <f t="shared" si="7"/>
        <v>0</v>
      </c>
      <c r="R4912" s="2">
        <v>63.0</v>
      </c>
      <c r="S4912" s="5">
        <f t="shared" si="8"/>
        <v>1</v>
      </c>
    </row>
    <row r="4913">
      <c r="A4913" s="2" t="s">
        <v>4915</v>
      </c>
      <c r="B4913" s="2">
        <v>1078.0</v>
      </c>
      <c r="C4913" s="2">
        <v>12755.0</v>
      </c>
      <c r="D4913" s="2">
        <v>4524.0</v>
      </c>
      <c r="E4913" s="3">
        <f t="shared" si="1"/>
        <v>0.3874282778</v>
      </c>
      <c r="F4913" s="2">
        <v>1448.0</v>
      </c>
      <c r="G4913" s="3">
        <f t="shared" si="2"/>
        <v>0.1240044532</v>
      </c>
      <c r="H4913" s="2">
        <v>2500.0</v>
      </c>
      <c r="I4913" s="3">
        <f t="shared" si="3"/>
        <v>0.2140960863</v>
      </c>
      <c r="J4913" s="2">
        <v>1781.0</v>
      </c>
      <c r="K4913" s="3">
        <f t="shared" si="4"/>
        <v>0.1525220519</v>
      </c>
      <c r="L4913" s="2">
        <v>1520.0</v>
      </c>
      <c r="M4913" s="3">
        <f t="shared" si="5"/>
        <v>0.608</v>
      </c>
      <c r="N4913" s="2">
        <v>1.34194E7</v>
      </c>
      <c r="O4913" s="4">
        <f t="shared" si="6"/>
        <v>5367.76</v>
      </c>
      <c r="P4913" s="2">
        <v>4.0</v>
      </c>
      <c r="Q4913" s="3">
        <f t="shared" si="7"/>
        <v>0.003710575139</v>
      </c>
      <c r="R4913" s="2">
        <v>1078.0</v>
      </c>
      <c r="S4913" s="5">
        <f t="shared" si="8"/>
        <v>1</v>
      </c>
    </row>
    <row r="4914">
      <c r="A4914" s="2" t="s">
        <v>4916</v>
      </c>
      <c r="B4914" s="2">
        <v>256.0</v>
      </c>
      <c r="C4914" s="2">
        <v>3014.0</v>
      </c>
      <c r="D4914" s="2">
        <v>843.0</v>
      </c>
      <c r="E4914" s="3">
        <f t="shared" si="1"/>
        <v>0.3056562727</v>
      </c>
      <c r="F4914" s="2">
        <v>342.0</v>
      </c>
      <c r="G4914" s="3">
        <f t="shared" si="2"/>
        <v>0.1240029007</v>
      </c>
      <c r="H4914" s="2">
        <v>544.0</v>
      </c>
      <c r="I4914" s="3">
        <f t="shared" si="3"/>
        <v>0.19724438</v>
      </c>
      <c r="J4914" s="2">
        <v>531.0</v>
      </c>
      <c r="K4914" s="3">
        <f t="shared" si="4"/>
        <v>0.1925308194</v>
      </c>
      <c r="L4914" s="2">
        <v>300.0</v>
      </c>
      <c r="M4914" s="3">
        <f t="shared" si="5"/>
        <v>0.5514705882</v>
      </c>
      <c r="N4914" s="2">
        <v>2906500.0</v>
      </c>
      <c r="O4914" s="4">
        <f t="shared" si="6"/>
        <v>5342.830882</v>
      </c>
      <c r="P4914" s="2">
        <v>1.0</v>
      </c>
      <c r="Q4914" s="3">
        <f t="shared" si="7"/>
        <v>0.00390625</v>
      </c>
      <c r="R4914" s="2">
        <v>256.0</v>
      </c>
      <c r="S4914" s="5">
        <f t="shared" si="8"/>
        <v>1</v>
      </c>
    </row>
    <row r="4915">
      <c r="A4915" s="2" t="s">
        <v>4917</v>
      </c>
      <c r="B4915" s="2">
        <v>650.0</v>
      </c>
      <c r="C4915" s="2">
        <v>7731.0</v>
      </c>
      <c r="D4915" s="2">
        <v>2188.0</v>
      </c>
      <c r="E4915" s="3">
        <f t="shared" si="1"/>
        <v>0.3089959045</v>
      </c>
      <c r="F4915" s="2">
        <v>878.0</v>
      </c>
      <c r="G4915" s="3">
        <f t="shared" si="2"/>
        <v>0.1239937862</v>
      </c>
      <c r="H4915" s="2">
        <v>1316.0</v>
      </c>
      <c r="I4915" s="3">
        <f t="shared" si="3"/>
        <v>0.1858494563</v>
      </c>
      <c r="J4915" s="2">
        <v>1160.0</v>
      </c>
      <c r="K4915" s="3">
        <f t="shared" si="4"/>
        <v>0.1638186697</v>
      </c>
      <c r="L4915" s="2">
        <v>771.0</v>
      </c>
      <c r="M4915" s="3">
        <f t="shared" si="5"/>
        <v>0.5858662614</v>
      </c>
      <c r="N4915" s="2">
        <v>7793800.0</v>
      </c>
      <c r="O4915" s="4">
        <f t="shared" si="6"/>
        <v>5922.340426</v>
      </c>
      <c r="P4915" s="2">
        <v>1.0</v>
      </c>
      <c r="Q4915" s="3">
        <f t="shared" si="7"/>
        <v>0.001538461538</v>
      </c>
      <c r="R4915" s="2">
        <v>650.0</v>
      </c>
      <c r="S4915" s="5">
        <f t="shared" si="8"/>
        <v>1</v>
      </c>
    </row>
    <row r="4916">
      <c r="A4916" s="2" t="s">
        <v>4918</v>
      </c>
      <c r="B4916" s="2">
        <v>1722.0</v>
      </c>
      <c r="C4916" s="2">
        <v>20102.0</v>
      </c>
      <c r="D4916" s="2">
        <v>6443.0</v>
      </c>
      <c r="E4916" s="3">
        <f t="shared" si="1"/>
        <v>0.3505440696</v>
      </c>
      <c r="F4916" s="2">
        <v>2279.0</v>
      </c>
      <c r="G4916" s="3">
        <f t="shared" si="2"/>
        <v>0.1239934712</v>
      </c>
      <c r="H4916" s="2">
        <v>3841.0</v>
      </c>
      <c r="I4916" s="3">
        <f t="shared" si="3"/>
        <v>0.2089771491</v>
      </c>
      <c r="J4916" s="2">
        <v>3531.0</v>
      </c>
      <c r="K4916" s="3">
        <f t="shared" si="4"/>
        <v>0.1921109902</v>
      </c>
      <c r="L4916" s="2">
        <v>2283.0</v>
      </c>
      <c r="M4916" s="3">
        <f t="shared" si="5"/>
        <v>0.5943764645</v>
      </c>
      <c r="N4916" s="2">
        <v>2.23268E7</v>
      </c>
      <c r="O4916" s="4">
        <f t="shared" si="6"/>
        <v>5812.757095</v>
      </c>
      <c r="P4916" s="2">
        <v>2.0</v>
      </c>
      <c r="Q4916" s="3">
        <f t="shared" si="7"/>
        <v>0.001161440186</v>
      </c>
      <c r="R4916" s="2">
        <v>0.0</v>
      </c>
      <c r="S4916" s="5">
        <f t="shared" si="8"/>
        <v>0</v>
      </c>
    </row>
    <row r="4917">
      <c r="A4917" s="2" t="s">
        <v>4919</v>
      </c>
      <c r="B4917" s="2">
        <v>596.0</v>
      </c>
      <c r="C4917" s="2">
        <v>6911.0</v>
      </c>
      <c r="D4917" s="2">
        <v>1866.0</v>
      </c>
      <c r="E4917" s="3">
        <f t="shared" si="1"/>
        <v>0.2954869359</v>
      </c>
      <c r="F4917" s="2">
        <v>783.0</v>
      </c>
      <c r="G4917" s="3">
        <f t="shared" si="2"/>
        <v>0.1239904988</v>
      </c>
      <c r="H4917" s="2">
        <v>1303.0</v>
      </c>
      <c r="I4917" s="3">
        <f t="shared" si="3"/>
        <v>0.2063341251</v>
      </c>
      <c r="J4917" s="2">
        <v>1193.0</v>
      </c>
      <c r="K4917" s="3">
        <f t="shared" si="4"/>
        <v>0.1889152811</v>
      </c>
      <c r="L4917" s="2">
        <v>785.0</v>
      </c>
      <c r="M4917" s="3">
        <f t="shared" si="5"/>
        <v>0.6024558711</v>
      </c>
      <c r="N4917" s="2">
        <v>7857600.0</v>
      </c>
      <c r="O4917" s="4">
        <f t="shared" si="6"/>
        <v>6030.391404</v>
      </c>
      <c r="P4917" s="2">
        <v>1.0</v>
      </c>
      <c r="Q4917" s="3">
        <f t="shared" si="7"/>
        <v>0.001677852349</v>
      </c>
      <c r="R4917" s="2">
        <v>389.0</v>
      </c>
      <c r="S4917" s="5">
        <f t="shared" si="8"/>
        <v>0.6526845638</v>
      </c>
    </row>
    <row r="4918">
      <c r="A4918" s="2" t="s">
        <v>4920</v>
      </c>
      <c r="B4918" s="2">
        <v>857.0</v>
      </c>
      <c r="C4918" s="2">
        <v>10012.0</v>
      </c>
      <c r="D4918" s="2">
        <v>3434.0</v>
      </c>
      <c r="E4918" s="3">
        <f t="shared" si="1"/>
        <v>0.3750955762</v>
      </c>
      <c r="F4918" s="2">
        <v>1135.0</v>
      </c>
      <c r="G4918" s="3">
        <f t="shared" si="2"/>
        <v>0.1239759694</v>
      </c>
      <c r="H4918" s="2">
        <v>1998.0</v>
      </c>
      <c r="I4918" s="3">
        <f t="shared" si="3"/>
        <v>0.2182413981</v>
      </c>
      <c r="J4918" s="2">
        <v>1469.0</v>
      </c>
      <c r="K4918" s="3">
        <f t="shared" si="4"/>
        <v>0.1604587657</v>
      </c>
      <c r="L4918" s="2">
        <v>1218.0</v>
      </c>
      <c r="M4918" s="3">
        <f t="shared" si="5"/>
        <v>0.6096096096</v>
      </c>
      <c r="N4918" s="2">
        <v>1.03834E7</v>
      </c>
      <c r="O4918" s="4">
        <f t="shared" si="6"/>
        <v>5196.896897</v>
      </c>
      <c r="P4918" s="2">
        <v>1.0</v>
      </c>
      <c r="Q4918" s="3">
        <f t="shared" si="7"/>
        <v>0.001166861144</v>
      </c>
      <c r="R4918" s="2">
        <v>857.0</v>
      </c>
      <c r="S4918" s="5">
        <f t="shared" si="8"/>
        <v>1</v>
      </c>
    </row>
    <row r="4919">
      <c r="A4919" s="2" t="s">
        <v>4921</v>
      </c>
      <c r="B4919" s="2">
        <v>715.0</v>
      </c>
      <c r="C4919" s="2">
        <v>8338.0</v>
      </c>
      <c r="D4919" s="2">
        <v>2601.0</v>
      </c>
      <c r="E4919" s="3">
        <f t="shared" si="1"/>
        <v>0.3412042503</v>
      </c>
      <c r="F4919" s="2">
        <v>945.0</v>
      </c>
      <c r="G4919" s="3">
        <f t="shared" si="2"/>
        <v>0.1239669421</v>
      </c>
      <c r="H4919" s="2">
        <v>1594.0</v>
      </c>
      <c r="I4919" s="3">
        <f t="shared" si="3"/>
        <v>0.2091040273</v>
      </c>
      <c r="J4919" s="2">
        <v>1422.0</v>
      </c>
      <c r="K4919" s="3">
        <f t="shared" si="4"/>
        <v>0.186540732</v>
      </c>
      <c r="L4919" s="2">
        <v>943.0</v>
      </c>
      <c r="M4919" s="3">
        <f t="shared" si="5"/>
        <v>0.5915934755</v>
      </c>
      <c r="N4919" s="2">
        <v>8765800.0</v>
      </c>
      <c r="O4919" s="4">
        <f t="shared" si="6"/>
        <v>5499.247177</v>
      </c>
      <c r="P4919" s="2">
        <v>1.0</v>
      </c>
      <c r="Q4919" s="3">
        <f t="shared" si="7"/>
        <v>0.001398601399</v>
      </c>
      <c r="R4919" s="2">
        <v>715.0</v>
      </c>
      <c r="S4919" s="5">
        <f t="shared" si="8"/>
        <v>1</v>
      </c>
    </row>
    <row r="4920">
      <c r="A4920" s="2" t="s">
        <v>4922</v>
      </c>
      <c r="B4920" s="2">
        <v>42.0</v>
      </c>
      <c r="C4920" s="2">
        <v>518.0</v>
      </c>
      <c r="D4920" s="2">
        <v>214.0</v>
      </c>
      <c r="E4920" s="3">
        <f t="shared" si="1"/>
        <v>0.4495798319</v>
      </c>
      <c r="F4920" s="2">
        <v>59.0</v>
      </c>
      <c r="G4920" s="3">
        <f t="shared" si="2"/>
        <v>0.1239495798</v>
      </c>
      <c r="H4920" s="2">
        <v>111.0</v>
      </c>
      <c r="I4920" s="3">
        <f t="shared" si="3"/>
        <v>0.2331932773</v>
      </c>
      <c r="J4920" s="2">
        <v>92.0</v>
      </c>
      <c r="K4920" s="3">
        <f t="shared" si="4"/>
        <v>0.1932773109</v>
      </c>
      <c r="L4920" s="2">
        <v>63.0</v>
      </c>
      <c r="M4920" s="3">
        <f t="shared" si="5"/>
        <v>0.5675675676</v>
      </c>
      <c r="N4920" s="2">
        <v>474600.0</v>
      </c>
      <c r="O4920" s="4">
        <f t="shared" si="6"/>
        <v>4275.675676</v>
      </c>
      <c r="P4920" s="2">
        <v>0.0</v>
      </c>
      <c r="Q4920" s="3">
        <f t="shared" si="7"/>
        <v>0</v>
      </c>
      <c r="R4920" s="2">
        <v>26.0</v>
      </c>
      <c r="S4920" s="5">
        <f t="shared" si="8"/>
        <v>0.619047619</v>
      </c>
    </row>
    <row r="4921">
      <c r="A4921" s="2" t="s">
        <v>4923</v>
      </c>
      <c r="B4921" s="2">
        <v>507.0</v>
      </c>
      <c r="C4921" s="2">
        <v>5969.0</v>
      </c>
      <c r="D4921" s="2">
        <v>2043.0</v>
      </c>
      <c r="E4921" s="3">
        <f t="shared" si="1"/>
        <v>0.3740388136</v>
      </c>
      <c r="F4921" s="2">
        <v>677.0</v>
      </c>
      <c r="G4921" s="3">
        <f t="shared" si="2"/>
        <v>0.1239472721</v>
      </c>
      <c r="H4921" s="2">
        <v>1181.0</v>
      </c>
      <c r="I4921" s="3">
        <f t="shared" si="3"/>
        <v>0.2162211644</v>
      </c>
      <c r="J4921" s="2">
        <v>896.0</v>
      </c>
      <c r="K4921" s="3">
        <f t="shared" si="4"/>
        <v>0.1640424753</v>
      </c>
      <c r="L4921" s="2">
        <v>724.0</v>
      </c>
      <c r="M4921" s="3">
        <f t="shared" si="5"/>
        <v>0.6130397968</v>
      </c>
      <c r="N4921" s="2">
        <v>6432200.0</v>
      </c>
      <c r="O4921" s="4">
        <f t="shared" si="6"/>
        <v>5446.401355</v>
      </c>
      <c r="P4921" s="2">
        <v>0.0</v>
      </c>
      <c r="Q4921" s="3">
        <f t="shared" si="7"/>
        <v>0</v>
      </c>
      <c r="R4921" s="2">
        <v>507.0</v>
      </c>
      <c r="S4921" s="5">
        <f t="shared" si="8"/>
        <v>1</v>
      </c>
    </row>
    <row r="4922">
      <c r="A4922" s="2" t="s">
        <v>4924</v>
      </c>
      <c r="B4922" s="2">
        <v>4357.0</v>
      </c>
      <c r="C4922" s="2">
        <v>51725.0</v>
      </c>
      <c r="D4922" s="2">
        <v>18785.0</v>
      </c>
      <c r="E4922" s="3">
        <f t="shared" si="1"/>
        <v>0.3965757473</v>
      </c>
      <c r="F4922" s="2">
        <v>5871.0</v>
      </c>
      <c r="G4922" s="3">
        <f t="shared" si="2"/>
        <v>0.1239444351</v>
      </c>
      <c r="H4922" s="2">
        <v>10000.0</v>
      </c>
      <c r="I4922" s="3">
        <f t="shared" si="3"/>
        <v>0.2111129877</v>
      </c>
      <c r="J4922" s="2">
        <v>7313.0</v>
      </c>
      <c r="K4922" s="3">
        <f t="shared" si="4"/>
        <v>0.1543869279</v>
      </c>
      <c r="L4922" s="2">
        <v>6011.0</v>
      </c>
      <c r="M4922" s="3">
        <f t="shared" si="5"/>
        <v>0.6011</v>
      </c>
      <c r="N4922" s="2">
        <v>5.5058E7</v>
      </c>
      <c r="O4922" s="4">
        <f t="shared" si="6"/>
        <v>5505.8</v>
      </c>
      <c r="P4922" s="2">
        <v>9.0</v>
      </c>
      <c r="Q4922" s="3">
        <f t="shared" si="7"/>
        <v>0.002065641496</v>
      </c>
      <c r="R4922" s="2">
        <v>1.0</v>
      </c>
      <c r="S4922" s="5">
        <f t="shared" si="8"/>
        <v>0.0002295157218</v>
      </c>
    </row>
    <row r="4923">
      <c r="A4923" s="2" t="s">
        <v>4925</v>
      </c>
      <c r="B4923" s="2">
        <v>2328.0</v>
      </c>
      <c r="C4923" s="2">
        <v>27477.0</v>
      </c>
      <c r="D4923" s="2">
        <v>9006.0</v>
      </c>
      <c r="E4923" s="3">
        <f t="shared" si="1"/>
        <v>0.3581056901</v>
      </c>
      <c r="F4923" s="2">
        <v>3117.0</v>
      </c>
      <c r="G4923" s="3">
        <f t="shared" si="2"/>
        <v>0.1239413098</v>
      </c>
      <c r="H4923" s="2">
        <v>5441.0</v>
      </c>
      <c r="I4923" s="3">
        <f t="shared" si="3"/>
        <v>0.2163505507</v>
      </c>
      <c r="J4923" s="2">
        <v>4037.0</v>
      </c>
      <c r="K4923" s="3">
        <f t="shared" si="4"/>
        <v>0.1605232812</v>
      </c>
      <c r="L4923" s="2">
        <v>3274.0</v>
      </c>
      <c r="M4923" s="3">
        <f t="shared" si="5"/>
        <v>0.6017276236</v>
      </c>
      <c r="N4923" s="2">
        <v>2.91389E7</v>
      </c>
      <c r="O4923" s="4">
        <f t="shared" si="6"/>
        <v>5355.430987</v>
      </c>
      <c r="P4923" s="2">
        <v>2.0</v>
      </c>
      <c r="Q4923" s="3">
        <f t="shared" si="7"/>
        <v>0.0008591065292</v>
      </c>
      <c r="R4923" s="2">
        <v>0.0</v>
      </c>
      <c r="S4923" s="5">
        <f t="shared" si="8"/>
        <v>0</v>
      </c>
    </row>
    <row r="4924">
      <c r="A4924" s="2" t="s">
        <v>4926</v>
      </c>
      <c r="B4924" s="2">
        <v>625.0</v>
      </c>
      <c r="C4924" s="2">
        <v>7306.0</v>
      </c>
      <c r="D4924" s="2">
        <v>2418.0</v>
      </c>
      <c r="E4924" s="3">
        <f t="shared" si="1"/>
        <v>0.361921868</v>
      </c>
      <c r="F4924" s="2">
        <v>828.0</v>
      </c>
      <c r="G4924" s="3">
        <f t="shared" si="2"/>
        <v>0.1239335429</v>
      </c>
      <c r="H4924" s="2">
        <v>1507.0</v>
      </c>
      <c r="I4924" s="3">
        <f t="shared" si="3"/>
        <v>0.2255650352</v>
      </c>
      <c r="J4924" s="2">
        <v>1076.0</v>
      </c>
      <c r="K4924" s="3">
        <f t="shared" si="4"/>
        <v>0.1610537345</v>
      </c>
      <c r="L4924" s="2">
        <v>930.0</v>
      </c>
      <c r="M4924" s="3">
        <f t="shared" si="5"/>
        <v>0.6171201062</v>
      </c>
      <c r="N4924" s="2">
        <v>8027800.0</v>
      </c>
      <c r="O4924" s="4">
        <f t="shared" si="6"/>
        <v>5327.007299</v>
      </c>
      <c r="P4924" s="2">
        <v>1.0</v>
      </c>
      <c r="Q4924" s="3">
        <f t="shared" si="7"/>
        <v>0.0016</v>
      </c>
      <c r="R4924" s="2">
        <v>625.0</v>
      </c>
      <c r="S4924" s="5">
        <f t="shared" si="8"/>
        <v>1</v>
      </c>
    </row>
    <row r="4925">
      <c r="A4925" s="2" t="s">
        <v>4927</v>
      </c>
      <c r="B4925" s="2">
        <v>903.0</v>
      </c>
      <c r="C4925" s="2">
        <v>10691.0</v>
      </c>
      <c r="D4925" s="2">
        <v>2368.0</v>
      </c>
      <c r="E4925" s="3">
        <f t="shared" si="1"/>
        <v>0.2419288925</v>
      </c>
      <c r="F4925" s="2">
        <v>1213.0</v>
      </c>
      <c r="G4925" s="3">
        <f t="shared" si="2"/>
        <v>0.1239272579</v>
      </c>
      <c r="H4925" s="2">
        <v>1865.0</v>
      </c>
      <c r="I4925" s="3">
        <f t="shared" si="3"/>
        <v>0.190539436</v>
      </c>
      <c r="J4925" s="2">
        <v>1784.0</v>
      </c>
      <c r="K4925" s="3">
        <f t="shared" si="4"/>
        <v>0.1822639967</v>
      </c>
      <c r="L4925" s="2">
        <v>1092.0</v>
      </c>
      <c r="M4925" s="3">
        <f t="shared" si="5"/>
        <v>0.5855227882</v>
      </c>
      <c r="N4925" s="2">
        <v>1.11299E7</v>
      </c>
      <c r="O4925" s="4">
        <f t="shared" si="6"/>
        <v>5967.774799</v>
      </c>
      <c r="P4925" s="2">
        <v>0.0</v>
      </c>
      <c r="Q4925" s="3">
        <f t="shared" si="7"/>
        <v>0</v>
      </c>
      <c r="R4925" s="2">
        <v>903.0</v>
      </c>
      <c r="S4925" s="5">
        <f t="shared" si="8"/>
        <v>1</v>
      </c>
    </row>
    <row r="4926">
      <c r="A4926" s="2" t="s">
        <v>4928</v>
      </c>
      <c r="B4926" s="2">
        <v>86.0</v>
      </c>
      <c r="C4926" s="2">
        <v>1014.0</v>
      </c>
      <c r="D4926" s="2">
        <v>376.0</v>
      </c>
      <c r="E4926" s="3">
        <f t="shared" si="1"/>
        <v>0.4051724138</v>
      </c>
      <c r="F4926" s="2">
        <v>115.0</v>
      </c>
      <c r="G4926" s="3">
        <f t="shared" si="2"/>
        <v>0.1239224138</v>
      </c>
      <c r="H4926" s="2">
        <v>191.0</v>
      </c>
      <c r="I4926" s="3">
        <f t="shared" si="3"/>
        <v>0.2058189655</v>
      </c>
      <c r="J4926" s="2">
        <v>137.0</v>
      </c>
      <c r="K4926" s="3">
        <f t="shared" si="4"/>
        <v>0.1476293103</v>
      </c>
      <c r="L4926" s="2">
        <v>115.0</v>
      </c>
      <c r="M4926" s="3">
        <f t="shared" si="5"/>
        <v>0.6020942408</v>
      </c>
      <c r="N4926" s="2">
        <v>910300.0</v>
      </c>
      <c r="O4926" s="4">
        <f t="shared" si="6"/>
        <v>4765.968586</v>
      </c>
      <c r="P4926" s="2">
        <v>0.0</v>
      </c>
      <c r="Q4926" s="3">
        <f t="shared" si="7"/>
        <v>0</v>
      </c>
      <c r="R4926" s="2">
        <v>0.0</v>
      </c>
      <c r="S4926" s="5">
        <f t="shared" si="8"/>
        <v>0</v>
      </c>
    </row>
    <row r="4927">
      <c r="A4927" s="2" t="s">
        <v>4929</v>
      </c>
      <c r="B4927" s="2">
        <v>1039.0</v>
      </c>
      <c r="C4927" s="2">
        <v>12167.0</v>
      </c>
      <c r="D4927" s="2">
        <v>4551.0</v>
      </c>
      <c r="E4927" s="3">
        <f t="shared" si="1"/>
        <v>0.4089683681</v>
      </c>
      <c r="F4927" s="2">
        <v>1379.0</v>
      </c>
      <c r="G4927" s="3">
        <f t="shared" si="2"/>
        <v>0.1239216391</v>
      </c>
      <c r="H4927" s="2">
        <v>2415.0</v>
      </c>
      <c r="I4927" s="3">
        <f t="shared" si="3"/>
        <v>0.2170201294</v>
      </c>
      <c r="J4927" s="2">
        <v>1838.0</v>
      </c>
      <c r="K4927" s="3">
        <f t="shared" si="4"/>
        <v>0.1651689432</v>
      </c>
      <c r="L4927" s="2">
        <v>1442.0</v>
      </c>
      <c r="M4927" s="3">
        <f t="shared" si="5"/>
        <v>0.5971014493</v>
      </c>
      <c r="N4927" s="2">
        <v>1.23626E7</v>
      </c>
      <c r="O4927" s="4">
        <f t="shared" si="6"/>
        <v>5119.089027</v>
      </c>
      <c r="P4927" s="2">
        <v>2.0</v>
      </c>
      <c r="Q4927" s="3">
        <f t="shared" si="7"/>
        <v>0.001924927815</v>
      </c>
      <c r="R4927" s="2">
        <v>1039.0</v>
      </c>
      <c r="S4927" s="5">
        <f t="shared" si="8"/>
        <v>1</v>
      </c>
    </row>
    <row r="4928">
      <c r="A4928" s="2" t="s">
        <v>4930</v>
      </c>
      <c r="B4928" s="2">
        <v>1822.0</v>
      </c>
      <c r="C4928" s="2">
        <v>21295.0</v>
      </c>
      <c r="D4928" s="2">
        <v>6180.0</v>
      </c>
      <c r="E4928" s="3">
        <f t="shared" si="1"/>
        <v>0.3173625019</v>
      </c>
      <c r="F4928" s="2">
        <v>2413.0</v>
      </c>
      <c r="G4928" s="3">
        <f t="shared" si="2"/>
        <v>0.1239151646</v>
      </c>
      <c r="H4928" s="2">
        <v>4201.0</v>
      </c>
      <c r="I4928" s="3">
        <f t="shared" si="3"/>
        <v>0.2157346069</v>
      </c>
      <c r="J4928" s="2">
        <v>3203.0</v>
      </c>
      <c r="K4928" s="3">
        <f t="shared" si="4"/>
        <v>0.1644841576</v>
      </c>
      <c r="L4928" s="2">
        <v>2470.0</v>
      </c>
      <c r="M4928" s="3">
        <f t="shared" si="5"/>
        <v>0.5879552488</v>
      </c>
      <c r="N4928" s="2">
        <v>2.2378E7</v>
      </c>
      <c r="O4928" s="4">
        <f t="shared" si="6"/>
        <v>5326.826946</v>
      </c>
      <c r="P4928" s="2">
        <v>3.0</v>
      </c>
      <c r="Q4928" s="3">
        <f t="shared" si="7"/>
        <v>0.001646542261</v>
      </c>
      <c r="R4928" s="2">
        <v>1822.0</v>
      </c>
      <c r="S4928" s="5">
        <f t="shared" si="8"/>
        <v>1</v>
      </c>
    </row>
    <row r="4929">
      <c r="A4929" s="2" t="s">
        <v>4931</v>
      </c>
      <c r="B4929" s="2">
        <v>243.0</v>
      </c>
      <c r="C4929" s="2">
        <v>2777.0</v>
      </c>
      <c r="D4929" s="2">
        <v>795.0</v>
      </c>
      <c r="E4929" s="3">
        <f t="shared" si="1"/>
        <v>0.3137332281</v>
      </c>
      <c r="F4929" s="2">
        <v>314.0</v>
      </c>
      <c r="G4929" s="3">
        <f t="shared" si="2"/>
        <v>0.1239147593</v>
      </c>
      <c r="H4929" s="2">
        <v>547.0</v>
      </c>
      <c r="I4929" s="3">
        <f t="shared" si="3"/>
        <v>0.2158642463</v>
      </c>
      <c r="J4929" s="2">
        <v>527.0</v>
      </c>
      <c r="K4929" s="3">
        <f t="shared" si="4"/>
        <v>0.2079715864</v>
      </c>
      <c r="L4929" s="2">
        <v>325.0</v>
      </c>
      <c r="M4929" s="3">
        <f t="shared" si="5"/>
        <v>0.5941499086</v>
      </c>
      <c r="N4929" s="2">
        <v>3050500.0</v>
      </c>
      <c r="O4929" s="4">
        <f t="shared" si="6"/>
        <v>5576.78245</v>
      </c>
      <c r="P4929" s="2">
        <v>1.0</v>
      </c>
      <c r="Q4929" s="3">
        <f t="shared" si="7"/>
        <v>0.004115226337</v>
      </c>
      <c r="R4929" s="2">
        <v>243.0</v>
      </c>
      <c r="S4929" s="5">
        <f t="shared" si="8"/>
        <v>1</v>
      </c>
    </row>
    <row r="4930">
      <c r="A4930" s="2" t="s">
        <v>4932</v>
      </c>
      <c r="B4930" s="2">
        <v>480.0</v>
      </c>
      <c r="C4930" s="2">
        <v>5637.0</v>
      </c>
      <c r="D4930" s="2">
        <v>1579.0</v>
      </c>
      <c r="E4930" s="3">
        <f t="shared" si="1"/>
        <v>0.3061857669</v>
      </c>
      <c r="F4930" s="2">
        <v>639.0</v>
      </c>
      <c r="G4930" s="3">
        <f t="shared" si="2"/>
        <v>0.1239092496</v>
      </c>
      <c r="H4930" s="2">
        <v>1126.0</v>
      </c>
      <c r="I4930" s="3">
        <f t="shared" si="3"/>
        <v>0.2183439984</v>
      </c>
      <c r="J4930" s="2">
        <v>890.0</v>
      </c>
      <c r="K4930" s="3">
        <f t="shared" si="4"/>
        <v>0.1725809579</v>
      </c>
      <c r="L4930" s="2">
        <v>664.0</v>
      </c>
      <c r="M4930" s="3">
        <f t="shared" si="5"/>
        <v>0.5896980462</v>
      </c>
      <c r="N4930" s="2">
        <v>5978200.0</v>
      </c>
      <c r="O4930" s="4">
        <f t="shared" si="6"/>
        <v>5309.236234</v>
      </c>
      <c r="P4930" s="2">
        <v>2.0</v>
      </c>
      <c r="Q4930" s="3">
        <f t="shared" si="7"/>
        <v>0.004166666667</v>
      </c>
      <c r="R4930" s="2">
        <v>480.0</v>
      </c>
      <c r="S4930" s="5">
        <f t="shared" si="8"/>
        <v>1</v>
      </c>
    </row>
    <row r="4931">
      <c r="A4931" s="2" t="s">
        <v>4933</v>
      </c>
      <c r="B4931" s="2">
        <v>463.0</v>
      </c>
      <c r="C4931" s="2">
        <v>5467.0</v>
      </c>
      <c r="D4931" s="2">
        <v>2095.0</v>
      </c>
      <c r="E4931" s="3">
        <f t="shared" si="1"/>
        <v>0.4186650679</v>
      </c>
      <c r="F4931" s="2">
        <v>620.0</v>
      </c>
      <c r="G4931" s="3">
        <f t="shared" si="2"/>
        <v>0.1239008793</v>
      </c>
      <c r="H4931" s="2">
        <v>1040.0</v>
      </c>
      <c r="I4931" s="3">
        <f t="shared" si="3"/>
        <v>0.207833733</v>
      </c>
      <c r="J4931" s="2">
        <v>842.0</v>
      </c>
      <c r="K4931" s="3">
        <f t="shared" si="4"/>
        <v>0.1682653877</v>
      </c>
      <c r="L4931" s="2">
        <v>618.0</v>
      </c>
      <c r="M4931" s="3">
        <f t="shared" si="5"/>
        <v>0.5942307692</v>
      </c>
      <c r="N4931" s="2">
        <v>5626400.0</v>
      </c>
      <c r="O4931" s="4">
        <f t="shared" si="6"/>
        <v>5410</v>
      </c>
      <c r="P4931" s="2">
        <v>0.0</v>
      </c>
      <c r="Q4931" s="3">
        <f t="shared" si="7"/>
        <v>0</v>
      </c>
      <c r="R4931" s="2">
        <v>344.0</v>
      </c>
      <c r="S4931" s="5">
        <f t="shared" si="8"/>
        <v>0.7429805616</v>
      </c>
    </row>
    <row r="4932">
      <c r="A4932" s="2" t="s">
        <v>4934</v>
      </c>
      <c r="B4932" s="2">
        <v>240.0</v>
      </c>
      <c r="C4932" s="2">
        <v>2726.0</v>
      </c>
      <c r="D4932" s="2">
        <v>767.0</v>
      </c>
      <c r="E4932" s="3">
        <f t="shared" si="1"/>
        <v>0.3085277554</v>
      </c>
      <c r="F4932" s="2">
        <v>308.0</v>
      </c>
      <c r="G4932" s="3">
        <f t="shared" si="2"/>
        <v>0.1238938053</v>
      </c>
      <c r="H4932" s="2">
        <v>486.0</v>
      </c>
      <c r="I4932" s="3">
        <f t="shared" si="3"/>
        <v>0.1954947707</v>
      </c>
      <c r="J4932" s="2">
        <v>465.0</v>
      </c>
      <c r="K4932" s="3">
        <f t="shared" si="4"/>
        <v>0.1870474658</v>
      </c>
      <c r="L4932" s="2">
        <v>276.0</v>
      </c>
      <c r="M4932" s="3">
        <f t="shared" si="5"/>
        <v>0.5679012346</v>
      </c>
      <c r="N4932" s="2">
        <v>2715400.0</v>
      </c>
      <c r="O4932" s="4">
        <f t="shared" si="6"/>
        <v>5587.242798</v>
      </c>
      <c r="P4932" s="2">
        <v>0.0</v>
      </c>
      <c r="Q4932" s="3">
        <f t="shared" si="7"/>
        <v>0</v>
      </c>
      <c r="R4932" s="2">
        <v>72.0</v>
      </c>
      <c r="S4932" s="5">
        <f t="shared" si="8"/>
        <v>0.3</v>
      </c>
    </row>
    <row r="4933">
      <c r="A4933" s="2" t="s">
        <v>4935</v>
      </c>
      <c r="B4933" s="2">
        <v>267.0</v>
      </c>
      <c r="C4933" s="2">
        <v>3068.0</v>
      </c>
      <c r="D4933" s="2">
        <v>1153.0</v>
      </c>
      <c r="E4933" s="3">
        <f t="shared" si="1"/>
        <v>0.4116387005</v>
      </c>
      <c r="F4933" s="2">
        <v>347.0</v>
      </c>
      <c r="G4933" s="3">
        <f t="shared" si="2"/>
        <v>0.123884327</v>
      </c>
      <c r="H4933" s="2">
        <v>592.0</v>
      </c>
      <c r="I4933" s="3">
        <f t="shared" si="3"/>
        <v>0.2113530882</v>
      </c>
      <c r="J4933" s="2">
        <v>388.0</v>
      </c>
      <c r="K4933" s="3">
        <f t="shared" si="4"/>
        <v>0.1385219564</v>
      </c>
      <c r="L4933" s="2">
        <v>354.0</v>
      </c>
      <c r="M4933" s="3">
        <f t="shared" si="5"/>
        <v>0.597972973</v>
      </c>
      <c r="N4933" s="2">
        <v>3290100.0</v>
      </c>
      <c r="O4933" s="4">
        <f t="shared" si="6"/>
        <v>5557.601351</v>
      </c>
      <c r="P4933" s="2">
        <v>0.0</v>
      </c>
      <c r="Q4933" s="3">
        <f t="shared" si="7"/>
        <v>0</v>
      </c>
      <c r="R4933" s="2">
        <v>267.0</v>
      </c>
      <c r="S4933" s="5">
        <f t="shared" si="8"/>
        <v>1</v>
      </c>
    </row>
    <row r="4934">
      <c r="A4934" s="2" t="s">
        <v>4936</v>
      </c>
      <c r="B4934" s="2">
        <v>217.0</v>
      </c>
      <c r="C4934" s="2">
        <v>2558.0</v>
      </c>
      <c r="D4934" s="2">
        <v>870.0</v>
      </c>
      <c r="E4934" s="3">
        <f t="shared" si="1"/>
        <v>0.371636053</v>
      </c>
      <c r="F4934" s="2">
        <v>290.0</v>
      </c>
      <c r="G4934" s="3">
        <f t="shared" si="2"/>
        <v>0.1238786843</v>
      </c>
      <c r="H4934" s="2">
        <v>470.0</v>
      </c>
      <c r="I4934" s="3">
        <f t="shared" si="3"/>
        <v>0.2007689022</v>
      </c>
      <c r="J4934" s="2">
        <v>378.0</v>
      </c>
      <c r="K4934" s="3">
        <f t="shared" si="4"/>
        <v>0.1614694575</v>
      </c>
      <c r="L4934" s="2">
        <v>290.0</v>
      </c>
      <c r="M4934" s="3">
        <f t="shared" si="5"/>
        <v>0.6170212766</v>
      </c>
      <c r="N4934" s="2">
        <v>2512100.0</v>
      </c>
      <c r="O4934" s="4">
        <f t="shared" si="6"/>
        <v>5344.893617</v>
      </c>
      <c r="P4934" s="2">
        <v>0.0</v>
      </c>
      <c r="Q4934" s="3">
        <f t="shared" si="7"/>
        <v>0</v>
      </c>
      <c r="R4934" s="2">
        <v>217.0</v>
      </c>
      <c r="S4934" s="5">
        <f t="shared" si="8"/>
        <v>1</v>
      </c>
    </row>
    <row r="4935">
      <c r="A4935" s="2" t="s">
        <v>4937</v>
      </c>
      <c r="B4935" s="2">
        <v>215.0</v>
      </c>
      <c r="C4935" s="2">
        <v>2548.0</v>
      </c>
      <c r="D4935" s="2">
        <v>748.0</v>
      </c>
      <c r="E4935" s="3">
        <f t="shared" si="1"/>
        <v>0.320617231</v>
      </c>
      <c r="F4935" s="2">
        <v>289.0</v>
      </c>
      <c r="G4935" s="3">
        <f t="shared" si="2"/>
        <v>0.1238748393</v>
      </c>
      <c r="H4935" s="2">
        <v>516.0</v>
      </c>
      <c r="I4935" s="3">
        <f t="shared" si="3"/>
        <v>0.2211744535</v>
      </c>
      <c r="J4935" s="2">
        <v>460.0</v>
      </c>
      <c r="K4935" s="3">
        <f t="shared" si="4"/>
        <v>0.1971710244</v>
      </c>
      <c r="L4935" s="2">
        <v>299.0</v>
      </c>
      <c r="M4935" s="3">
        <f t="shared" si="5"/>
        <v>0.5794573643</v>
      </c>
      <c r="N4935" s="2">
        <v>2604900.0</v>
      </c>
      <c r="O4935" s="4">
        <f t="shared" si="6"/>
        <v>5048.255814</v>
      </c>
      <c r="P4935" s="2">
        <v>0.0</v>
      </c>
      <c r="Q4935" s="3">
        <f t="shared" si="7"/>
        <v>0</v>
      </c>
      <c r="R4935" s="2">
        <v>213.0</v>
      </c>
      <c r="S4935" s="5">
        <f t="shared" si="8"/>
        <v>0.9906976744</v>
      </c>
    </row>
    <row r="4936">
      <c r="A4936" s="2" t="s">
        <v>4938</v>
      </c>
      <c r="B4936" s="2">
        <v>4854.0</v>
      </c>
      <c r="C4936" s="2">
        <v>56845.0</v>
      </c>
      <c r="D4936" s="2">
        <v>13681.0</v>
      </c>
      <c r="E4936" s="3">
        <f t="shared" si="1"/>
        <v>0.2631416976</v>
      </c>
      <c r="F4936" s="2">
        <v>6440.0</v>
      </c>
      <c r="G4936" s="3">
        <f t="shared" si="2"/>
        <v>0.1238675925</v>
      </c>
      <c r="H4936" s="2">
        <v>10565.0</v>
      </c>
      <c r="I4936" s="3">
        <f t="shared" si="3"/>
        <v>0.2032082476</v>
      </c>
      <c r="J4936" s="2">
        <v>10294.0</v>
      </c>
      <c r="K4936" s="3">
        <f t="shared" si="4"/>
        <v>0.197995807</v>
      </c>
      <c r="L4936" s="2">
        <v>6182.0</v>
      </c>
      <c r="M4936" s="3">
        <f t="shared" si="5"/>
        <v>0.5851396119</v>
      </c>
      <c r="N4936" s="2">
        <v>6.3095E7</v>
      </c>
      <c r="O4936" s="4">
        <f t="shared" si="6"/>
        <v>5972.077615</v>
      </c>
      <c r="P4936" s="2">
        <v>11.0</v>
      </c>
      <c r="Q4936" s="3">
        <f t="shared" si="7"/>
        <v>0.002266172229</v>
      </c>
      <c r="R4936" s="2">
        <v>4854.0</v>
      </c>
      <c r="S4936" s="5">
        <f t="shared" si="8"/>
        <v>1</v>
      </c>
    </row>
    <row r="4937">
      <c r="A4937" s="2" t="s">
        <v>4939</v>
      </c>
      <c r="B4937" s="2">
        <v>3137.0</v>
      </c>
      <c r="C4937" s="2">
        <v>37174.0</v>
      </c>
      <c r="D4937" s="2">
        <v>14708.0</v>
      </c>
      <c r="E4937" s="3">
        <f t="shared" si="1"/>
        <v>0.4321179892</v>
      </c>
      <c r="F4937" s="2">
        <v>4216.0</v>
      </c>
      <c r="G4937" s="3">
        <f t="shared" si="2"/>
        <v>0.1238652055</v>
      </c>
      <c r="H4937" s="2">
        <v>7346.0</v>
      </c>
      <c r="I4937" s="3">
        <f t="shared" si="3"/>
        <v>0.2158239563</v>
      </c>
      <c r="J4937" s="2">
        <v>5513.0</v>
      </c>
      <c r="K4937" s="3">
        <f t="shared" si="4"/>
        <v>0.1619707965</v>
      </c>
      <c r="L4937" s="2">
        <v>4421.0</v>
      </c>
      <c r="M4937" s="3">
        <f t="shared" si="5"/>
        <v>0.601824122</v>
      </c>
      <c r="N4937" s="2">
        <v>4.01323E7</v>
      </c>
      <c r="O4937" s="4">
        <f t="shared" si="6"/>
        <v>5463.150014</v>
      </c>
      <c r="P4937" s="2">
        <v>10.0</v>
      </c>
      <c r="Q4937" s="3">
        <f t="shared" si="7"/>
        <v>0.003187759005</v>
      </c>
      <c r="R4937" s="2">
        <v>2982.0</v>
      </c>
      <c r="S4937" s="5">
        <f t="shared" si="8"/>
        <v>0.9505897354</v>
      </c>
    </row>
    <row r="4938">
      <c r="A4938" s="2" t="s">
        <v>4940</v>
      </c>
      <c r="B4938" s="2">
        <v>73.0</v>
      </c>
      <c r="C4938" s="2">
        <v>840.0</v>
      </c>
      <c r="D4938" s="2">
        <v>237.0</v>
      </c>
      <c r="E4938" s="3">
        <f t="shared" si="1"/>
        <v>0.3089960887</v>
      </c>
      <c r="F4938" s="2">
        <v>95.0</v>
      </c>
      <c r="G4938" s="3">
        <f t="shared" si="2"/>
        <v>0.1238591917</v>
      </c>
      <c r="H4938" s="2">
        <v>153.0</v>
      </c>
      <c r="I4938" s="3">
        <f t="shared" si="3"/>
        <v>0.1994784876</v>
      </c>
      <c r="J4938" s="2">
        <v>111.0</v>
      </c>
      <c r="K4938" s="3">
        <f t="shared" si="4"/>
        <v>0.1447196871</v>
      </c>
      <c r="L4938" s="2">
        <v>83.0</v>
      </c>
      <c r="M4938" s="3">
        <f t="shared" si="5"/>
        <v>0.5424836601</v>
      </c>
      <c r="N4938" s="2">
        <v>791500.0</v>
      </c>
      <c r="O4938" s="4">
        <f t="shared" si="6"/>
        <v>5173.202614</v>
      </c>
      <c r="P4938" s="2">
        <v>0.0</v>
      </c>
      <c r="Q4938" s="3">
        <f t="shared" si="7"/>
        <v>0</v>
      </c>
      <c r="R4938" s="2">
        <v>0.0</v>
      </c>
      <c r="S4938" s="5">
        <f t="shared" si="8"/>
        <v>0</v>
      </c>
    </row>
    <row r="4939">
      <c r="A4939" s="2" t="s">
        <v>4941</v>
      </c>
      <c r="B4939" s="2">
        <v>1391.0</v>
      </c>
      <c r="C4939" s="2">
        <v>16433.0</v>
      </c>
      <c r="D4939" s="2">
        <v>5752.0</v>
      </c>
      <c r="E4939" s="3">
        <f t="shared" si="1"/>
        <v>0.382395958</v>
      </c>
      <c r="F4939" s="2">
        <v>1863.0</v>
      </c>
      <c r="G4939" s="3">
        <f t="shared" si="2"/>
        <v>0.123853211</v>
      </c>
      <c r="H4939" s="2">
        <v>3271.0</v>
      </c>
      <c r="I4939" s="3">
        <f t="shared" si="3"/>
        <v>0.2174577849</v>
      </c>
      <c r="J4939" s="2">
        <v>2275.0</v>
      </c>
      <c r="K4939" s="3">
        <f t="shared" si="4"/>
        <v>0.1512431857</v>
      </c>
      <c r="L4939" s="2">
        <v>1963.0</v>
      </c>
      <c r="M4939" s="3">
        <f t="shared" si="5"/>
        <v>0.6001222868</v>
      </c>
      <c r="N4939" s="2">
        <v>1.81638E7</v>
      </c>
      <c r="O4939" s="4">
        <f t="shared" si="6"/>
        <v>5552.98074</v>
      </c>
      <c r="P4939" s="2">
        <v>2.0</v>
      </c>
      <c r="Q4939" s="3">
        <f t="shared" si="7"/>
        <v>0.001437814522</v>
      </c>
      <c r="R4939" s="2">
        <v>0.0</v>
      </c>
      <c r="S4939" s="5">
        <f t="shared" si="8"/>
        <v>0</v>
      </c>
    </row>
    <row r="4940">
      <c r="A4940" s="2" t="s">
        <v>4942</v>
      </c>
      <c r="B4940" s="2">
        <v>1262.0</v>
      </c>
      <c r="C4940" s="2">
        <v>14657.0</v>
      </c>
      <c r="D4940" s="2">
        <v>4268.0</v>
      </c>
      <c r="E4940" s="3">
        <f t="shared" si="1"/>
        <v>0.3186263531</v>
      </c>
      <c r="F4940" s="2">
        <v>1659.0</v>
      </c>
      <c r="G4940" s="3">
        <f t="shared" si="2"/>
        <v>0.1238521837</v>
      </c>
      <c r="H4940" s="2">
        <v>2684.0</v>
      </c>
      <c r="I4940" s="3">
        <f t="shared" si="3"/>
        <v>0.2003732736</v>
      </c>
      <c r="J4940" s="2">
        <v>2430.0</v>
      </c>
      <c r="K4940" s="3">
        <f t="shared" si="4"/>
        <v>0.1814109742</v>
      </c>
      <c r="L4940" s="2">
        <v>1552.0</v>
      </c>
      <c r="M4940" s="3">
        <f t="shared" si="5"/>
        <v>0.5782414307</v>
      </c>
      <c r="N4940" s="2">
        <v>1.58213E7</v>
      </c>
      <c r="O4940" s="4">
        <f t="shared" si="6"/>
        <v>5894.672131</v>
      </c>
      <c r="P4940" s="2">
        <v>5.0</v>
      </c>
      <c r="Q4940" s="3">
        <f t="shared" si="7"/>
        <v>0.003961965135</v>
      </c>
      <c r="R4940" s="2">
        <v>1262.0</v>
      </c>
      <c r="S4940" s="5">
        <f t="shared" si="8"/>
        <v>1</v>
      </c>
    </row>
    <row r="4941">
      <c r="A4941" s="2" t="s">
        <v>4943</v>
      </c>
      <c r="B4941" s="2">
        <v>364.0</v>
      </c>
      <c r="C4941" s="2">
        <v>4256.0</v>
      </c>
      <c r="D4941" s="2">
        <v>1374.0</v>
      </c>
      <c r="E4941" s="3">
        <f t="shared" si="1"/>
        <v>0.3530318602</v>
      </c>
      <c r="F4941" s="2">
        <v>482.0</v>
      </c>
      <c r="G4941" s="3">
        <f t="shared" si="2"/>
        <v>0.1238437821</v>
      </c>
      <c r="H4941" s="2">
        <v>814.0</v>
      </c>
      <c r="I4941" s="3">
        <f t="shared" si="3"/>
        <v>0.2091469681</v>
      </c>
      <c r="J4941" s="2">
        <v>773.0</v>
      </c>
      <c r="K4941" s="3">
        <f t="shared" si="4"/>
        <v>0.1986125385</v>
      </c>
      <c r="L4941" s="2">
        <v>464.0</v>
      </c>
      <c r="M4941" s="3">
        <f t="shared" si="5"/>
        <v>0.57002457</v>
      </c>
      <c r="N4941" s="2">
        <v>4476900.0</v>
      </c>
      <c r="O4941" s="4">
        <f t="shared" si="6"/>
        <v>5499.87715</v>
      </c>
      <c r="P4941" s="2">
        <v>0.0</v>
      </c>
      <c r="Q4941" s="3">
        <f t="shared" si="7"/>
        <v>0</v>
      </c>
      <c r="R4941" s="2">
        <v>0.0</v>
      </c>
      <c r="S4941" s="5">
        <f t="shared" si="8"/>
        <v>0</v>
      </c>
    </row>
    <row r="4942">
      <c r="A4942" s="2" t="s">
        <v>4944</v>
      </c>
      <c r="B4942" s="2">
        <v>261.0</v>
      </c>
      <c r="C4942" s="2">
        <v>3063.0</v>
      </c>
      <c r="D4942" s="2">
        <v>562.0</v>
      </c>
      <c r="E4942" s="3">
        <f t="shared" si="1"/>
        <v>0.2005710207</v>
      </c>
      <c r="F4942" s="2">
        <v>347.0</v>
      </c>
      <c r="G4942" s="3">
        <f t="shared" si="2"/>
        <v>0.1238401142</v>
      </c>
      <c r="H4942" s="2">
        <v>478.0</v>
      </c>
      <c r="I4942" s="3">
        <f t="shared" si="3"/>
        <v>0.170592434</v>
      </c>
      <c r="J4942" s="2">
        <v>483.0</v>
      </c>
      <c r="K4942" s="3">
        <f t="shared" si="4"/>
        <v>0.1723768737</v>
      </c>
      <c r="L4942" s="2">
        <v>283.0</v>
      </c>
      <c r="M4942" s="3">
        <f t="shared" si="5"/>
        <v>0.5920502092</v>
      </c>
      <c r="N4942" s="2">
        <v>3307400.0</v>
      </c>
      <c r="O4942" s="4">
        <f t="shared" si="6"/>
        <v>6919.246862</v>
      </c>
      <c r="P4942" s="2">
        <v>1.0</v>
      </c>
      <c r="Q4942" s="3">
        <f t="shared" si="7"/>
        <v>0.003831417625</v>
      </c>
      <c r="R4942" s="2">
        <v>261.0</v>
      </c>
      <c r="S4942" s="5">
        <f t="shared" si="8"/>
        <v>1</v>
      </c>
    </row>
    <row r="4943">
      <c r="A4943" s="2" t="s">
        <v>4945</v>
      </c>
      <c r="B4943" s="2">
        <v>1625.0</v>
      </c>
      <c r="C4943" s="2">
        <v>18817.0</v>
      </c>
      <c r="D4943" s="2">
        <v>5918.0</v>
      </c>
      <c r="E4943" s="3">
        <f t="shared" si="1"/>
        <v>0.3442298744</v>
      </c>
      <c r="F4943" s="2">
        <v>2129.0</v>
      </c>
      <c r="G4943" s="3">
        <f t="shared" si="2"/>
        <v>0.1238366682</v>
      </c>
      <c r="H4943" s="2">
        <v>3729.0</v>
      </c>
      <c r="I4943" s="3">
        <f t="shared" si="3"/>
        <v>0.2169032108</v>
      </c>
      <c r="J4943" s="2">
        <v>3088.0</v>
      </c>
      <c r="K4943" s="3">
        <f t="shared" si="4"/>
        <v>0.1796184272</v>
      </c>
      <c r="L4943" s="2">
        <v>2266.0</v>
      </c>
      <c r="M4943" s="3">
        <f t="shared" si="5"/>
        <v>0.6076696165</v>
      </c>
      <c r="N4943" s="2">
        <v>2.19866E7</v>
      </c>
      <c r="O4943" s="4">
        <f t="shared" si="6"/>
        <v>5896.111558</v>
      </c>
      <c r="P4943" s="2">
        <v>8.0</v>
      </c>
      <c r="Q4943" s="3">
        <f t="shared" si="7"/>
        <v>0.004923076923</v>
      </c>
      <c r="R4943" s="2">
        <v>1625.0</v>
      </c>
      <c r="S4943" s="5">
        <f t="shared" si="8"/>
        <v>1</v>
      </c>
    </row>
    <row r="4944">
      <c r="A4944" s="2" t="s">
        <v>4946</v>
      </c>
      <c r="B4944" s="2">
        <v>395.0</v>
      </c>
      <c r="C4944" s="2">
        <v>4683.0</v>
      </c>
      <c r="D4944" s="2">
        <v>1533.0</v>
      </c>
      <c r="E4944" s="3">
        <f t="shared" si="1"/>
        <v>0.3575093284</v>
      </c>
      <c r="F4944" s="2">
        <v>531.0</v>
      </c>
      <c r="G4944" s="3">
        <f t="shared" si="2"/>
        <v>0.1238339552</v>
      </c>
      <c r="H4944" s="2">
        <v>890.0</v>
      </c>
      <c r="I4944" s="3">
        <f t="shared" si="3"/>
        <v>0.2075559701</v>
      </c>
      <c r="J4944" s="2">
        <v>680.0</v>
      </c>
      <c r="K4944" s="3">
        <f t="shared" si="4"/>
        <v>0.1585820896</v>
      </c>
      <c r="L4944" s="2">
        <v>553.0</v>
      </c>
      <c r="M4944" s="3">
        <f t="shared" si="5"/>
        <v>0.6213483146</v>
      </c>
      <c r="N4944" s="2">
        <v>4614200.0</v>
      </c>
      <c r="O4944" s="4">
        <f t="shared" si="6"/>
        <v>5184.494382</v>
      </c>
      <c r="P4944" s="2">
        <v>2.0</v>
      </c>
      <c r="Q4944" s="3">
        <f t="shared" si="7"/>
        <v>0.005063291139</v>
      </c>
      <c r="R4944" s="2">
        <v>128.0</v>
      </c>
      <c r="S4944" s="5">
        <f t="shared" si="8"/>
        <v>0.3240506329</v>
      </c>
    </row>
    <row r="4945">
      <c r="A4945" s="2" t="s">
        <v>4947</v>
      </c>
      <c r="B4945" s="2">
        <v>675.0</v>
      </c>
      <c r="C4945" s="2">
        <v>7912.0</v>
      </c>
      <c r="D4945" s="2">
        <v>2519.0</v>
      </c>
      <c r="E4945" s="3">
        <f t="shared" si="1"/>
        <v>0.3480724057</v>
      </c>
      <c r="F4945" s="2">
        <v>896.0</v>
      </c>
      <c r="G4945" s="3">
        <f t="shared" si="2"/>
        <v>0.1238082078</v>
      </c>
      <c r="H4945" s="2">
        <v>1436.0</v>
      </c>
      <c r="I4945" s="3">
        <f t="shared" si="3"/>
        <v>0.1984247616</v>
      </c>
      <c r="J4945" s="2">
        <v>1068.0</v>
      </c>
      <c r="K4945" s="3">
        <f t="shared" si="4"/>
        <v>0.147574962</v>
      </c>
      <c r="L4945" s="2">
        <v>862.0</v>
      </c>
      <c r="M4945" s="3">
        <f t="shared" si="5"/>
        <v>0.6002785515</v>
      </c>
      <c r="N4945" s="2">
        <v>8033300.0</v>
      </c>
      <c r="O4945" s="4">
        <f t="shared" si="6"/>
        <v>5594.220056</v>
      </c>
      <c r="P4945" s="2">
        <v>3.0</v>
      </c>
      <c r="Q4945" s="3">
        <f t="shared" si="7"/>
        <v>0.004444444444</v>
      </c>
      <c r="R4945" s="2">
        <v>0.0</v>
      </c>
      <c r="S4945" s="5">
        <f t="shared" si="8"/>
        <v>0</v>
      </c>
    </row>
    <row r="4946">
      <c r="A4946" s="2" t="s">
        <v>4948</v>
      </c>
      <c r="B4946" s="2">
        <v>440.0</v>
      </c>
      <c r="C4946" s="2">
        <v>5093.0</v>
      </c>
      <c r="D4946" s="2">
        <v>1646.0</v>
      </c>
      <c r="E4946" s="3">
        <f t="shared" si="1"/>
        <v>0.3537502686</v>
      </c>
      <c r="F4946" s="2">
        <v>576.0</v>
      </c>
      <c r="G4946" s="3">
        <f t="shared" si="2"/>
        <v>0.1237911025</v>
      </c>
      <c r="H4946" s="2">
        <v>998.0</v>
      </c>
      <c r="I4946" s="3">
        <f t="shared" si="3"/>
        <v>0.2144852783</v>
      </c>
      <c r="J4946" s="2">
        <v>884.0</v>
      </c>
      <c r="K4946" s="3">
        <f t="shared" si="4"/>
        <v>0.1899849559</v>
      </c>
      <c r="L4946" s="2">
        <v>601.0</v>
      </c>
      <c r="M4946" s="3">
        <f t="shared" si="5"/>
        <v>0.6022044088</v>
      </c>
      <c r="N4946" s="2">
        <v>5801300.0</v>
      </c>
      <c r="O4946" s="4">
        <f t="shared" si="6"/>
        <v>5812.925852</v>
      </c>
      <c r="P4946" s="2">
        <v>2.0</v>
      </c>
      <c r="Q4946" s="3">
        <f t="shared" si="7"/>
        <v>0.004545454545</v>
      </c>
      <c r="R4946" s="2">
        <v>440.0</v>
      </c>
      <c r="S4946" s="5">
        <f t="shared" si="8"/>
        <v>1</v>
      </c>
    </row>
    <row r="4947">
      <c r="A4947" s="2" t="s">
        <v>4949</v>
      </c>
      <c r="B4947" s="2">
        <v>307.0</v>
      </c>
      <c r="C4947" s="2">
        <v>3603.0</v>
      </c>
      <c r="D4947" s="2">
        <v>1094.0</v>
      </c>
      <c r="E4947" s="3">
        <f t="shared" si="1"/>
        <v>0.3319174757</v>
      </c>
      <c r="F4947" s="2">
        <v>408.0</v>
      </c>
      <c r="G4947" s="3">
        <f t="shared" si="2"/>
        <v>0.1237864078</v>
      </c>
      <c r="H4947" s="2">
        <v>664.0</v>
      </c>
      <c r="I4947" s="3">
        <f t="shared" si="3"/>
        <v>0.2014563107</v>
      </c>
      <c r="J4947" s="2">
        <v>541.0</v>
      </c>
      <c r="K4947" s="3">
        <f t="shared" si="4"/>
        <v>0.1641383495</v>
      </c>
      <c r="L4947" s="2">
        <v>398.0</v>
      </c>
      <c r="M4947" s="3">
        <f t="shared" si="5"/>
        <v>0.5993975904</v>
      </c>
      <c r="N4947" s="2">
        <v>3720700.0</v>
      </c>
      <c r="O4947" s="4">
        <f t="shared" si="6"/>
        <v>5603.463855</v>
      </c>
      <c r="P4947" s="2">
        <v>0.0</v>
      </c>
      <c r="Q4947" s="3">
        <f t="shared" si="7"/>
        <v>0</v>
      </c>
      <c r="R4947" s="2">
        <v>0.0</v>
      </c>
      <c r="S4947" s="5">
        <f t="shared" si="8"/>
        <v>0</v>
      </c>
    </row>
    <row r="4948">
      <c r="A4948" s="2" t="s">
        <v>4950</v>
      </c>
      <c r="B4948" s="2">
        <v>1390.0</v>
      </c>
      <c r="C4948" s="2">
        <v>16303.0</v>
      </c>
      <c r="D4948" s="2">
        <v>5301.0</v>
      </c>
      <c r="E4948" s="3">
        <f t="shared" si="1"/>
        <v>0.3554616777</v>
      </c>
      <c r="F4948" s="2">
        <v>1846.0</v>
      </c>
      <c r="G4948" s="3">
        <f t="shared" si="2"/>
        <v>0.1237846174</v>
      </c>
      <c r="H4948" s="2">
        <v>3053.0</v>
      </c>
      <c r="I4948" s="3">
        <f t="shared" si="3"/>
        <v>0.2047207135</v>
      </c>
      <c r="J4948" s="2">
        <v>2865.0</v>
      </c>
      <c r="K4948" s="3">
        <f t="shared" si="4"/>
        <v>0.1921142627</v>
      </c>
      <c r="L4948" s="2">
        <v>1804.0</v>
      </c>
      <c r="M4948" s="3">
        <f t="shared" si="5"/>
        <v>0.5908942024</v>
      </c>
      <c r="N4948" s="2">
        <v>1.84562E7</v>
      </c>
      <c r="O4948" s="4">
        <f t="shared" si="6"/>
        <v>6045.266951</v>
      </c>
      <c r="P4948" s="2">
        <v>7.0</v>
      </c>
      <c r="Q4948" s="3">
        <f t="shared" si="7"/>
        <v>0.005035971223</v>
      </c>
      <c r="R4948" s="2">
        <v>1390.0</v>
      </c>
      <c r="S4948" s="5">
        <f t="shared" si="8"/>
        <v>1</v>
      </c>
    </row>
    <row r="4949">
      <c r="A4949" s="2" t="s">
        <v>4951</v>
      </c>
      <c r="B4949" s="2">
        <v>185.0</v>
      </c>
      <c r="C4949" s="2">
        <v>2197.0</v>
      </c>
      <c r="D4949" s="2">
        <v>589.0</v>
      </c>
      <c r="E4949" s="3">
        <f t="shared" si="1"/>
        <v>0.2927435388</v>
      </c>
      <c r="F4949" s="2">
        <v>249.0</v>
      </c>
      <c r="G4949" s="3">
        <f t="shared" si="2"/>
        <v>0.1237574553</v>
      </c>
      <c r="H4949" s="2">
        <v>386.0</v>
      </c>
      <c r="I4949" s="3">
        <f t="shared" si="3"/>
        <v>0.1918489066</v>
      </c>
      <c r="J4949" s="2">
        <v>389.0</v>
      </c>
      <c r="K4949" s="3">
        <f t="shared" si="4"/>
        <v>0.1933399602</v>
      </c>
      <c r="L4949" s="2">
        <v>220.0</v>
      </c>
      <c r="M4949" s="3">
        <f t="shared" si="5"/>
        <v>0.5699481865</v>
      </c>
      <c r="N4949" s="2">
        <v>2320700.0</v>
      </c>
      <c r="O4949" s="4">
        <f t="shared" si="6"/>
        <v>6012.176166</v>
      </c>
      <c r="P4949" s="2">
        <v>0.0</v>
      </c>
      <c r="Q4949" s="3">
        <f t="shared" si="7"/>
        <v>0</v>
      </c>
      <c r="R4949" s="2">
        <v>185.0</v>
      </c>
      <c r="S4949" s="5">
        <f t="shared" si="8"/>
        <v>1</v>
      </c>
    </row>
    <row r="4950">
      <c r="A4950" s="2" t="s">
        <v>4952</v>
      </c>
      <c r="B4950" s="2">
        <v>338.0</v>
      </c>
      <c r="C4950" s="2">
        <v>3958.0</v>
      </c>
      <c r="D4950" s="2">
        <v>976.0</v>
      </c>
      <c r="E4950" s="3">
        <f t="shared" si="1"/>
        <v>0.2696132597</v>
      </c>
      <c r="F4950" s="2">
        <v>448.0</v>
      </c>
      <c r="G4950" s="3">
        <f t="shared" si="2"/>
        <v>0.1237569061</v>
      </c>
      <c r="H4950" s="2">
        <v>753.0</v>
      </c>
      <c r="I4950" s="3">
        <f t="shared" si="3"/>
        <v>0.2080110497</v>
      </c>
      <c r="J4950" s="2">
        <v>603.0</v>
      </c>
      <c r="K4950" s="3">
        <f t="shared" si="4"/>
        <v>0.1665745856</v>
      </c>
      <c r="L4950" s="2">
        <v>471.0</v>
      </c>
      <c r="M4950" s="3">
        <f t="shared" si="5"/>
        <v>0.625498008</v>
      </c>
      <c r="N4950" s="2">
        <v>4464300.0</v>
      </c>
      <c r="O4950" s="4">
        <f t="shared" si="6"/>
        <v>5928.685259</v>
      </c>
      <c r="P4950" s="2">
        <v>1.0</v>
      </c>
      <c r="Q4950" s="3">
        <f t="shared" si="7"/>
        <v>0.002958579882</v>
      </c>
      <c r="R4950" s="2">
        <v>338.0</v>
      </c>
      <c r="S4950" s="5">
        <f t="shared" si="8"/>
        <v>1</v>
      </c>
    </row>
    <row r="4951">
      <c r="A4951" s="2" t="s">
        <v>4953</v>
      </c>
      <c r="B4951" s="2">
        <v>1082.0</v>
      </c>
      <c r="C4951" s="2">
        <v>12686.0</v>
      </c>
      <c r="D4951" s="2">
        <v>4174.0</v>
      </c>
      <c r="E4951" s="3">
        <f t="shared" si="1"/>
        <v>0.3597035505</v>
      </c>
      <c r="F4951" s="2">
        <v>1436.0</v>
      </c>
      <c r="G4951" s="3">
        <f t="shared" si="2"/>
        <v>0.1237504309</v>
      </c>
      <c r="H4951" s="2">
        <v>2430.0</v>
      </c>
      <c r="I4951" s="3">
        <f t="shared" si="3"/>
        <v>0.2094105481</v>
      </c>
      <c r="J4951" s="2">
        <v>2128.0</v>
      </c>
      <c r="K4951" s="3">
        <f t="shared" si="4"/>
        <v>0.1833850396</v>
      </c>
      <c r="L4951" s="2">
        <v>1437.0</v>
      </c>
      <c r="M4951" s="3">
        <f t="shared" si="5"/>
        <v>0.5913580247</v>
      </c>
      <c r="N4951" s="2">
        <v>1.38736E7</v>
      </c>
      <c r="O4951" s="4">
        <f t="shared" si="6"/>
        <v>5709.300412</v>
      </c>
      <c r="P4951" s="2">
        <v>4.0</v>
      </c>
      <c r="Q4951" s="3">
        <f t="shared" si="7"/>
        <v>0.003696857671</v>
      </c>
      <c r="R4951" s="2">
        <v>370.0</v>
      </c>
      <c r="S4951" s="5">
        <f t="shared" si="8"/>
        <v>0.3419593346</v>
      </c>
    </row>
    <row r="4952">
      <c r="A4952" s="2" t="s">
        <v>4954</v>
      </c>
      <c r="B4952" s="2">
        <v>129.0</v>
      </c>
      <c r="C4952" s="2">
        <v>1527.0</v>
      </c>
      <c r="D4952" s="2">
        <v>511.0</v>
      </c>
      <c r="E4952" s="3">
        <f t="shared" si="1"/>
        <v>0.3655221745</v>
      </c>
      <c r="F4952" s="2">
        <v>173.0</v>
      </c>
      <c r="G4952" s="3">
        <f t="shared" si="2"/>
        <v>0.1237482117</v>
      </c>
      <c r="H4952" s="2">
        <v>289.0</v>
      </c>
      <c r="I4952" s="3">
        <f t="shared" si="3"/>
        <v>0.2067238913</v>
      </c>
      <c r="J4952" s="2">
        <v>235.0</v>
      </c>
      <c r="K4952" s="3">
        <f t="shared" si="4"/>
        <v>0.1680972818</v>
      </c>
      <c r="L4952" s="2">
        <v>174.0</v>
      </c>
      <c r="M4952" s="3">
        <f t="shared" si="5"/>
        <v>0.6020761246</v>
      </c>
      <c r="N4952" s="2">
        <v>1518300.0</v>
      </c>
      <c r="O4952" s="4">
        <f t="shared" si="6"/>
        <v>5253.633218</v>
      </c>
      <c r="P4952" s="2">
        <v>0.0</v>
      </c>
      <c r="Q4952" s="3">
        <f t="shared" si="7"/>
        <v>0</v>
      </c>
      <c r="R4952" s="2">
        <v>129.0</v>
      </c>
      <c r="S4952" s="5">
        <f t="shared" si="8"/>
        <v>1</v>
      </c>
    </row>
    <row r="4953">
      <c r="A4953" s="2" t="s">
        <v>4955</v>
      </c>
      <c r="B4953" s="2">
        <v>407.0</v>
      </c>
      <c r="C4953" s="2">
        <v>4747.0</v>
      </c>
      <c r="D4953" s="2">
        <v>1681.0</v>
      </c>
      <c r="E4953" s="3">
        <f t="shared" si="1"/>
        <v>0.3873271889</v>
      </c>
      <c r="F4953" s="2">
        <v>537.0</v>
      </c>
      <c r="G4953" s="3">
        <f t="shared" si="2"/>
        <v>0.1237327189</v>
      </c>
      <c r="H4953" s="2">
        <v>938.0</v>
      </c>
      <c r="I4953" s="3">
        <f t="shared" si="3"/>
        <v>0.2161290323</v>
      </c>
      <c r="J4953" s="2">
        <v>742.0</v>
      </c>
      <c r="K4953" s="3">
        <f t="shared" si="4"/>
        <v>0.1709677419</v>
      </c>
      <c r="L4953" s="2">
        <v>604.0</v>
      </c>
      <c r="M4953" s="3">
        <f t="shared" si="5"/>
        <v>0.6439232409</v>
      </c>
      <c r="N4953" s="2">
        <v>5142800.0</v>
      </c>
      <c r="O4953" s="4">
        <f t="shared" si="6"/>
        <v>5482.729211</v>
      </c>
      <c r="P4953" s="2">
        <v>0.0</v>
      </c>
      <c r="Q4953" s="3">
        <f t="shared" si="7"/>
        <v>0</v>
      </c>
      <c r="R4953" s="2">
        <v>406.0</v>
      </c>
      <c r="S4953" s="5">
        <f t="shared" si="8"/>
        <v>0.9975429975</v>
      </c>
    </row>
    <row r="4954">
      <c r="A4954" s="2" t="s">
        <v>4956</v>
      </c>
      <c r="B4954" s="2">
        <v>2832.0</v>
      </c>
      <c r="C4954" s="2">
        <v>33447.0</v>
      </c>
      <c r="D4954" s="2">
        <v>10501.0</v>
      </c>
      <c r="E4954" s="3">
        <f t="shared" si="1"/>
        <v>0.3430017965</v>
      </c>
      <c r="F4954" s="2">
        <v>3788.0</v>
      </c>
      <c r="G4954" s="3">
        <f t="shared" si="2"/>
        <v>0.1237301976</v>
      </c>
      <c r="H4954" s="2">
        <v>6353.0</v>
      </c>
      <c r="I4954" s="3">
        <f t="shared" si="3"/>
        <v>0.2075126572</v>
      </c>
      <c r="J4954" s="2">
        <v>5441.0</v>
      </c>
      <c r="K4954" s="3">
        <f t="shared" si="4"/>
        <v>0.1777233382</v>
      </c>
      <c r="L4954" s="2">
        <v>3820.0</v>
      </c>
      <c r="M4954" s="3">
        <f t="shared" si="5"/>
        <v>0.6012907288</v>
      </c>
      <c r="N4954" s="2">
        <v>3.59453E7</v>
      </c>
      <c r="O4954" s="4">
        <f t="shared" si="6"/>
        <v>5658.004093</v>
      </c>
      <c r="P4954" s="2">
        <v>4.0</v>
      </c>
      <c r="Q4954" s="3">
        <f t="shared" si="7"/>
        <v>0.001412429379</v>
      </c>
      <c r="R4954" s="2">
        <v>2832.0</v>
      </c>
      <c r="S4954" s="5">
        <f t="shared" si="8"/>
        <v>1</v>
      </c>
    </row>
    <row r="4955">
      <c r="A4955" s="2" t="s">
        <v>4957</v>
      </c>
      <c r="B4955" s="2">
        <v>710.0</v>
      </c>
      <c r="C4955" s="2">
        <v>8380.0</v>
      </c>
      <c r="D4955" s="2">
        <v>2558.0</v>
      </c>
      <c r="E4955" s="3">
        <f t="shared" si="1"/>
        <v>0.3335071708</v>
      </c>
      <c r="F4955" s="2">
        <v>949.0</v>
      </c>
      <c r="G4955" s="3">
        <f t="shared" si="2"/>
        <v>0.1237288136</v>
      </c>
      <c r="H4955" s="2">
        <v>1590.0</v>
      </c>
      <c r="I4955" s="3">
        <f t="shared" si="3"/>
        <v>0.2073011734</v>
      </c>
      <c r="J4955" s="2">
        <v>1334.0</v>
      </c>
      <c r="K4955" s="3">
        <f t="shared" si="4"/>
        <v>0.1739243807</v>
      </c>
      <c r="L4955" s="2">
        <v>929.0</v>
      </c>
      <c r="M4955" s="3">
        <f t="shared" si="5"/>
        <v>0.5842767296</v>
      </c>
      <c r="N4955" s="2">
        <v>8691000.0</v>
      </c>
      <c r="O4955" s="4">
        <f t="shared" si="6"/>
        <v>5466.037736</v>
      </c>
      <c r="P4955" s="2">
        <v>0.0</v>
      </c>
      <c r="Q4955" s="3">
        <f t="shared" si="7"/>
        <v>0</v>
      </c>
      <c r="R4955" s="2">
        <v>694.0</v>
      </c>
      <c r="S4955" s="5">
        <f t="shared" si="8"/>
        <v>0.9774647887</v>
      </c>
    </row>
    <row r="4956">
      <c r="A4956" s="2" t="s">
        <v>4958</v>
      </c>
      <c r="B4956" s="2">
        <v>1400.0</v>
      </c>
      <c r="C4956" s="2">
        <v>16215.0</v>
      </c>
      <c r="D4956" s="2">
        <v>4506.0</v>
      </c>
      <c r="E4956" s="3">
        <f t="shared" si="1"/>
        <v>0.3041511981</v>
      </c>
      <c r="F4956" s="2">
        <v>1833.0</v>
      </c>
      <c r="G4956" s="3">
        <f t="shared" si="2"/>
        <v>0.1237259534</v>
      </c>
      <c r="H4956" s="2">
        <v>3046.0</v>
      </c>
      <c r="I4956" s="3">
        <f t="shared" si="3"/>
        <v>0.20560243</v>
      </c>
      <c r="J4956" s="2">
        <v>2347.0</v>
      </c>
      <c r="K4956" s="3">
        <f t="shared" si="4"/>
        <v>0.1584205197</v>
      </c>
      <c r="L4956" s="2">
        <v>1823.0</v>
      </c>
      <c r="M4956" s="3">
        <f t="shared" si="5"/>
        <v>0.5984898227</v>
      </c>
      <c r="N4956" s="2">
        <v>1.77479E7</v>
      </c>
      <c r="O4956" s="4">
        <f t="shared" si="6"/>
        <v>5826.625082</v>
      </c>
      <c r="P4956" s="2">
        <v>2.0</v>
      </c>
      <c r="Q4956" s="3">
        <f t="shared" si="7"/>
        <v>0.001428571429</v>
      </c>
      <c r="R4956" s="2">
        <v>1400.0</v>
      </c>
      <c r="S4956" s="5">
        <f t="shared" si="8"/>
        <v>1</v>
      </c>
    </row>
    <row r="4957">
      <c r="A4957" s="2" t="s">
        <v>4959</v>
      </c>
      <c r="B4957" s="2">
        <v>76.0</v>
      </c>
      <c r="C4957" s="2">
        <v>860.0</v>
      </c>
      <c r="D4957" s="2">
        <v>301.0</v>
      </c>
      <c r="E4957" s="3">
        <f t="shared" si="1"/>
        <v>0.3839285714</v>
      </c>
      <c r="F4957" s="2">
        <v>97.0</v>
      </c>
      <c r="G4957" s="3">
        <f t="shared" si="2"/>
        <v>0.1237244898</v>
      </c>
      <c r="H4957" s="2">
        <v>190.0</v>
      </c>
      <c r="I4957" s="3">
        <f t="shared" si="3"/>
        <v>0.2423469388</v>
      </c>
      <c r="J4957" s="2">
        <v>166.0</v>
      </c>
      <c r="K4957" s="3">
        <f t="shared" si="4"/>
        <v>0.2117346939</v>
      </c>
      <c r="L4957" s="2">
        <v>114.0</v>
      </c>
      <c r="M4957" s="3">
        <f t="shared" si="5"/>
        <v>0.6</v>
      </c>
      <c r="N4957" s="2">
        <v>1020100.0</v>
      </c>
      <c r="O4957" s="4">
        <f t="shared" si="6"/>
        <v>5368.947368</v>
      </c>
      <c r="P4957" s="2">
        <v>0.0</v>
      </c>
      <c r="Q4957" s="3">
        <f t="shared" si="7"/>
        <v>0</v>
      </c>
      <c r="R4957" s="2">
        <v>19.0</v>
      </c>
      <c r="S4957" s="5">
        <f t="shared" si="8"/>
        <v>0.25</v>
      </c>
    </row>
    <row r="4958">
      <c r="A4958" s="2" t="s">
        <v>4960</v>
      </c>
      <c r="B4958" s="2">
        <v>263.0</v>
      </c>
      <c r="C4958" s="2">
        <v>3100.0</v>
      </c>
      <c r="D4958" s="2">
        <v>997.0</v>
      </c>
      <c r="E4958" s="3">
        <f t="shared" si="1"/>
        <v>0.3514275643</v>
      </c>
      <c r="F4958" s="2">
        <v>351.0</v>
      </c>
      <c r="G4958" s="3">
        <f t="shared" si="2"/>
        <v>0.1237222418</v>
      </c>
      <c r="H4958" s="2">
        <v>578.0</v>
      </c>
      <c r="I4958" s="3">
        <f t="shared" si="3"/>
        <v>0.2037363412</v>
      </c>
      <c r="J4958" s="2">
        <v>517.0</v>
      </c>
      <c r="K4958" s="3">
        <f t="shared" si="4"/>
        <v>0.182234755</v>
      </c>
      <c r="L4958" s="2">
        <v>341.0</v>
      </c>
      <c r="M4958" s="3">
        <f t="shared" si="5"/>
        <v>0.5899653979</v>
      </c>
      <c r="N4958" s="2">
        <v>3319900.0</v>
      </c>
      <c r="O4958" s="4">
        <f t="shared" si="6"/>
        <v>5743.771626</v>
      </c>
      <c r="P4958" s="2">
        <v>1.0</v>
      </c>
      <c r="Q4958" s="3">
        <f t="shared" si="7"/>
        <v>0.003802281369</v>
      </c>
      <c r="R4958" s="2">
        <v>263.0</v>
      </c>
      <c r="S4958" s="5">
        <f t="shared" si="8"/>
        <v>1</v>
      </c>
    </row>
    <row r="4959">
      <c r="A4959" s="2" t="s">
        <v>4961</v>
      </c>
      <c r="B4959" s="2">
        <v>118.0</v>
      </c>
      <c r="C4959" s="2">
        <v>1387.0</v>
      </c>
      <c r="D4959" s="2">
        <v>350.0</v>
      </c>
      <c r="E4959" s="3">
        <f t="shared" si="1"/>
        <v>0.2758077226</v>
      </c>
      <c r="F4959" s="2">
        <v>157.0</v>
      </c>
      <c r="G4959" s="3">
        <f t="shared" si="2"/>
        <v>0.1237194641</v>
      </c>
      <c r="H4959" s="2">
        <v>236.0</v>
      </c>
      <c r="I4959" s="3">
        <f t="shared" si="3"/>
        <v>0.1859732072</v>
      </c>
      <c r="J4959" s="2">
        <v>250.0</v>
      </c>
      <c r="K4959" s="3">
        <f t="shared" si="4"/>
        <v>0.1970055162</v>
      </c>
      <c r="L4959" s="2">
        <v>134.0</v>
      </c>
      <c r="M4959" s="3">
        <f t="shared" si="5"/>
        <v>0.5677966102</v>
      </c>
      <c r="N4959" s="2">
        <v>1456900.0</v>
      </c>
      <c r="O4959" s="4">
        <f t="shared" si="6"/>
        <v>6173.305085</v>
      </c>
      <c r="P4959" s="2">
        <v>1.0</v>
      </c>
      <c r="Q4959" s="3">
        <f t="shared" si="7"/>
        <v>0.008474576271</v>
      </c>
      <c r="R4959" s="2">
        <v>118.0</v>
      </c>
      <c r="S4959" s="5">
        <f t="shared" si="8"/>
        <v>1</v>
      </c>
    </row>
    <row r="4960">
      <c r="A4960" s="2" t="s">
        <v>4962</v>
      </c>
      <c r="B4960" s="2">
        <v>1360.0</v>
      </c>
      <c r="C4960" s="2">
        <v>15788.0</v>
      </c>
      <c r="D4960" s="2">
        <v>5173.0</v>
      </c>
      <c r="E4960" s="3">
        <f t="shared" si="1"/>
        <v>0.358538952</v>
      </c>
      <c r="F4960" s="2">
        <v>1785.0</v>
      </c>
      <c r="G4960" s="3">
        <f t="shared" si="2"/>
        <v>0.123717771</v>
      </c>
      <c r="H4960" s="2">
        <v>3127.0</v>
      </c>
      <c r="I4960" s="3">
        <f t="shared" si="3"/>
        <v>0.2167313557</v>
      </c>
      <c r="J4960" s="2">
        <v>2617.0</v>
      </c>
      <c r="K4960" s="3">
        <f t="shared" si="4"/>
        <v>0.1813834211</v>
      </c>
      <c r="L4960" s="2">
        <v>1908.0</v>
      </c>
      <c r="M4960" s="3">
        <f t="shared" si="5"/>
        <v>0.6101694915</v>
      </c>
      <c r="N4960" s="2">
        <v>1.71933E7</v>
      </c>
      <c r="O4960" s="4">
        <f t="shared" si="6"/>
        <v>5498.337064</v>
      </c>
      <c r="P4960" s="2">
        <v>1.0</v>
      </c>
      <c r="Q4960" s="3">
        <f t="shared" si="7"/>
        <v>0.0007352941176</v>
      </c>
      <c r="R4960" s="2">
        <v>1360.0</v>
      </c>
      <c r="S4960" s="5">
        <f t="shared" si="8"/>
        <v>1</v>
      </c>
    </row>
    <row r="4961">
      <c r="A4961" s="2" t="s">
        <v>4963</v>
      </c>
      <c r="B4961" s="2">
        <v>4216.0</v>
      </c>
      <c r="C4961" s="2">
        <v>49530.0</v>
      </c>
      <c r="D4961" s="2">
        <v>11542.0</v>
      </c>
      <c r="E4961" s="3">
        <f t="shared" si="1"/>
        <v>0.2547115682</v>
      </c>
      <c r="F4961" s="2">
        <v>5606.0</v>
      </c>
      <c r="G4961" s="3">
        <f t="shared" si="2"/>
        <v>0.1237145253</v>
      </c>
      <c r="H4961" s="2">
        <v>8868.0</v>
      </c>
      <c r="I4961" s="3">
        <f t="shared" si="3"/>
        <v>0.1957011078</v>
      </c>
      <c r="J4961" s="2">
        <v>7373.0</v>
      </c>
      <c r="K4961" s="3">
        <f t="shared" si="4"/>
        <v>0.1627090965</v>
      </c>
      <c r="L4961" s="2">
        <v>5350.0</v>
      </c>
      <c r="M4961" s="3">
        <f t="shared" si="5"/>
        <v>0.6032927379</v>
      </c>
      <c r="N4961" s="2">
        <v>5.45356E7</v>
      </c>
      <c r="O4961" s="4">
        <f t="shared" si="6"/>
        <v>6149.706811</v>
      </c>
      <c r="P4961" s="2">
        <v>15.0</v>
      </c>
      <c r="Q4961" s="3">
        <f t="shared" si="7"/>
        <v>0.003557874763</v>
      </c>
      <c r="R4961" s="2">
        <v>4216.0</v>
      </c>
      <c r="S4961" s="5">
        <f t="shared" si="8"/>
        <v>1</v>
      </c>
    </row>
    <row r="4962">
      <c r="A4962" s="2" t="s">
        <v>4964</v>
      </c>
      <c r="B4962" s="2">
        <v>445.0</v>
      </c>
      <c r="C4962" s="2">
        <v>5198.0</v>
      </c>
      <c r="D4962" s="2">
        <v>1794.0</v>
      </c>
      <c r="E4962" s="3">
        <f t="shared" si="1"/>
        <v>0.3774458237</v>
      </c>
      <c r="F4962" s="2">
        <v>588.0</v>
      </c>
      <c r="G4962" s="3">
        <f t="shared" si="2"/>
        <v>0.1237113402</v>
      </c>
      <c r="H4962" s="2">
        <v>1058.0</v>
      </c>
      <c r="I4962" s="3">
        <f t="shared" si="3"/>
        <v>0.222596255</v>
      </c>
      <c r="J4962" s="2">
        <v>820.0</v>
      </c>
      <c r="K4962" s="3">
        <f t="shared" si="4"/>
        <v>0.1725226173</v>
      </c>
      <c r="L4962" s="2">
        <v>638.0</v>
      </c>
      <c r="M4962" s="3">
        <f t="shared" si="5"/>
        <v>0.6030245747</v>
      </c>
      <c r="N4962" s="2">
        <v>5752300.0</v>
      </c>
      <c r="O4962" s="4">
        <f t="shared" si="6"/>
        <v>5436.956522</v>
      </c>
      <c r="P4962" s="2">
        <v>1.0</v>
      </c>
      <c r="Q4962" s="3">
        <f t="shared" si="7"/>
        <v>0.002247191011</v>
      </c>
      <c r="R4962" s="2">
        <v>72.0</v>
      </c>
      <c r="S4962" s="5">
        <f t="shared" si="8"/>
        <v>0.1617977528</v>
      </c>
    </row>
    <row r="4963">
      <c r="A4963" s="2" t="s">
        <v>4965</v>
      </c>
      <c r="B4963" s="2">
        <v>326.0</v>
      </c>
      <c r="C4963" s="2">
        <v>3810.0</v>
      </c>
      <c r="D4963" s="2">
        <v>1208.0</v>
      </c>
      <c r="E4963" s="3">
        <f t="shared" si="1"/>
        <v>0.346727899</v>
      </c>
      <c r="F4963" s="2">
        <v>431.0</v>
      </c>
      <c r="G4963" s="3">
        <f t="shared" si="2"/>
        <v>0.1237083812</v>
      </c>
      <c r="H4963" s="2">
        <v>717.0</v>
      </c>
      <c r="I4963" s="3">
        <f t="shared" si="3"/>
        <v>0.2057979334</v>
      </c>
      <c r="J4963" s="2">
        <v>638.0</v>
      </c>
      <c r="K4963" s="3">
        <f t="shared" si="4"/>
        <v>0.1831228473</v>
      </c>
      <c r="L4963" s="2">
        <v>443.0</v>
      </c>
      <c r="M4963" s="3">
        <f t="shared" si="5"/>
        <v>0.6178521618</v>
      </c>
      <c r="N4963" s="2">
        <v>4138700.0</v>
      </c>
      <c r="O4963" s="4">
        <f t="shared" si="6"/>
        <v>5772.245467</v>
      </c>
      <c r="P4963" s="2">
        <v>1.0</v>
      </c>
      <c r="Q4963" s="3">
        <f t="shared" si="7"/>
        <v>0.003067484663</v>
      </c>
      <c r="R4963" s="2">
        <v>2.0</v>
      </c>
      <c r="S4963" s="5">
        <f t="shared" si="8"/>
        <v>0.006134969325</v>
      </c>
    </row>
    <row r="4964">
      <c r="A4964" s="2" t="s">
        <v>4966</v>
      </c>
      <c r="B4964" s="2">
        <v>863.0</v>
      </c>
      <c r="C4964" s="2">
        <v>9957.0</v>
      </c>
      <c r="D4964" s="2">
        <v>3453.0</v>
      </c>
      <c r="E4964" s="3">
        <f t="shared" si="1"/>
        <v>0.3797009017</v>
      </c>
      <c r="F4964" s="2">
        <v>1125.0</v>
      </c>
      <c r="G4964" s="3">
        <f t="shared" si="2"/>
        <v>0.1237079393</v>
      </c>
      <c r="H4964" s="2">
        <v>1833.0</v>
      </c>
      <c r="I4964" s="3">
        <f t="shared" si="3"/>
        <v>0.2015614691</v>
      </c>
      <c r="J4964" s="2">
        <v>1522.0</v>
      </c>
      <c r="K4964" s="3">
        <f t="shared" si="4"/>
        <v>0.1673630965</v>
      </c>
      <c r="L4964" s="2">
        <v>1094.0</v>
      </c>
      <c r="M4964" s="3">
        <f t="shared" si="5"/>
        <v>0.5968357883</v>
      </c>
      <c r="N4964" s="2">
        <v>1.05003E7</v>
      </c>
      <c r="O4964" s="4">
        <f t="shared" si="6"/>
        <v>5728.477905</v>
      </c>
      <c r="P4964" s="2">
        <v>2.0</v>
      </c>
      <c r="Q4964" s="3">
        <f t="shared" si="7"/>
        <v>0.002317497103</v>
      </c>
      <c r="R4964" s="2">
        <v>863.0</v>
      </c>
      <c r="S4964" s="5">
        <f t="shared" si="8"/>
        <v>1</v>
      </c>
    </row>
    <row r="4965">
      <c r="A4965" s="2" t="s">
        <v>4967</v>
      </c>
      <c r="B4965" s="2">
        <v>2299.0</v>
      </c>
      <c r="C4965" s="2">
        <v>26891.0</v>
      </c>
      <c r="D4965" s="2">
        <v>6707.0</v>
      </c>
      <c r="E4965" s="3">
        <f t="shared" si="1"/>
        <v>0.2727309694</v>
      </c>
      <c r="F4965" s="2">
        <v>3042.0</v>
      </c>
      <c r="G4965" s="3">
        <f t="shared" si="2"/>
        <v>0.1236987638</v>
      </c>
      <c r="H4965" s="2">
        <v>4895.0</v>
      </c>
      <c r="I4965" s="3">
        <f t="shared" si="3"/>
        <v>0.199048471</v>
      </c>
      <c r="J4965" s="2">
        <v>4394.0</v>
      </c>
      <c r="K4965" s="3">
        <f t="shared" si="4"/>
        <v>0.1786759922</v>
      </c>
      <c r="L4965" s="2">
        <v>2939.0</v>
      </c>
      <c r="M4965" s="3">
        <f t="shared" si="5"/>
        <v>0.6004085802</v>
      </c>
      <c r="N4965" s="2">
        <v>3.01546E7</v>
      </c>
      <c r="O4965" s="4">
        <f t="shared" si="6"/>
        <v>6160.286006</v>
      </c>
      <c r="P4965" s="2">
        <v>10.0</v>
      </c>
      <c r="Q4965" s="3">
        <f t="shared" si="7"/>
        <v>0.004349717268</v>
      </c>
      <c r="R4965" s="2">
        <v>2299.0</v>
      </c>
      <c r="S4965" s="5">
        <f t="shared" si="8"/>
        <v>1</v>
      </c>
    </row>
    <row r="4966">
      <c r="A4966" s="2" t="s">
        <v>4968</v>
      </c>
      <c r="B4966" s="2">
        <v>1239.0</v>
      </c>
      <c r="C4966" s="2">
        <v>14556.0</v>
      </c>
      <c r="D4966" s="2">
        <v>3874.0</v>
      </c>
      <c r="E4966" s="3">
        <f t="shared" si="1"/>
        <v>0.2909063603</v>
      </c>
      <c r="F4966" s="2">
        <v>1647.0</v>
      </c>
      <c r="G4966" s="3">
        <f t="shared" si="2"/>
        <v>0.1236765037</v>
      </c>
      <c r="H4966" s="2">
        <v>2556.0</v>
      </c>
      <c r="I4966" s="3">
        <f t="shared" si="3"/>
        <v>0.1919351205</v>
      </c>
      <c r="J4966" s="2">
        <v>2096.0</v>
      </c>
      <c r="K4966" s="3">
        <f t="shared" si="4"/>
        <v>0.1573928062</v>
      </c>
      <c r="L4966" s="2">
        <v>1583.0</v>
      </c>
      <c r="M4966" s="3">
        <f t="shared" si="5"/>
        <v>0.6193270736</v>
      </c>
      <c r="N4966" s="2">
        <v>1.43155E7</v>
      </c>
      <c r="O4966" s="4">
        <f t="shared" si="6"/>
        <v>5600.743349</v>
      </c>
      <c r="P4966" s="2">
        <v>2.0</v>
      </c>
      <c r="Q4966" s="3">
        <f t="shared" si="7"/>
        <v>0.001614205004</v>
      </c>
      <c r="R4966" s="2">
        <v>1239.0</v>
      </c>
      <c r="S4966" s="5">
        <f t="shared" si="8"/>
        <v>1</v>
      </c>
    </row>
    <row r="4967">
      <c r="A4967" s="2" t="s">
        <v>4969</v>
      </c>
      <c r="B4967" s="2">
        <v>44.0</v>
      </c>
      <c r="C4967" s="2">
        <v>513.0</v>
      </c>
      <c r="D4967" s="2">
        <v>152.0</v>
      </c>
      <c r="E4967" s="3">
        <f t="shared" si="1"/>
        <v>0.3240938166</v>
      </c>
      <c r="F4967" s="2">
        <v>58.0</v>
      </c>
      <c r="G4967" s="3">
        <f t="shared" si="2"/>
        <v>0.1236673774</v>
      </c>
      <c r="H4967" s="2">
        <v>105.0</v>
      </c>
      <c r="I4967" s="3">
        <f t="shared" si="3"/>
        <v>0.223880597</v>
      </c>
      <c r="J4967" s="2">
        <v>72.0</v>
      </c>
      <c r="K4967" s="3">
        <f t="shared" si="4"/>
        <v>0.1535181237</v>
      </c>
      <c r="L4967" s="2">
        <v>59.0</v>
      </c>
      <c r="M4967" s="3">
        <f t="shared" si="5"/>
        <v>0.5619047619</v>
      </c>
      <c r="N4967" s="2">
        <v>518500.0</v>
      </c>
      <c r="O4967" s="4">
        <f t="shared" si="6"/>
        <v>4938.095238</v>
      </c>
      <c r="P4967" s="2">
        <v>0.0</v>
      </c>
      <c r="Q4967" s="3">
        <f t="shared" si="7"/>
        <v>0</v>
      </c>
      <c r="R4967" s="2">
        <v>44.0</v>
      </c>
      <c r="S4967" s="5">
        <f t="shared" si="8"/>
        <v>1</v>
      </c>
    </row>
    <row r="4968">
      <c r="A4968" s="2" t="s">
        <v>4970</v>
      </c>
      <c r="B4968" s="2">
        <v>486.0</v>
      </c>
      <c r="C4968" s="2">
        <v>5710.0</v>
      </c>
      <c r="D4968" s="2">
        <v>1920.0</v>
      </c>
      <c r="E4968" s="3">
        <f t="shared" si="1"/>
        <v>0.3675344564</v>
      </c>
      <c r="F4968" s="2">
        <v>646.0</v>
      </c>
      <c r="G4968" s="3">
        <f t="shared" si="2"/>
        <v>0.1236600306</v>
      </c>
      <c r="H4968" s="2">
        <v>1078.0</v>
      </c>
      <c r="I4968" s="3">
        <f t="shared" si="3"/>
        <v>0.2063552833</v>
      </c>
      <c r="J4968" s="2">
        <v>801.0</v>
      </c>
      <c r="K4968" s="3">
        <f t="shared" si="4"/>
        <v>0.153330781</v>
      </c>
      <c r="L4968" s="2">
        <v>637.0</v>
      </c>
      <c r="M4968" s="3">
        <f t="shared" si="5"/>
        <v>0.5909090909</v>
      </c>
      <c r="N4968" s="2">
        <v>5753800.0</v>
      </c>
      <c r="O4968" s="4">
        <f t="shared" si="6"/>
        <v>5337.476809</v>
      </c>
      <c r="P4968" s="2">
        <v>1.0</v>
      </c>
      <c r="Q4968" s="3">
        <f t="shared" si="7"/>
        <v>0.002057613169</v>
      </c>
      <c r="R4968" s="2">
        <v>486.0</v>
      </c>
      <c r="S4968" s="5">
        <f t="shared" si="8"/>
        <v>1</v>
      </c>
    </row>
    <row r="4969">
      <c r="A4969" s="2" t="s">
        <v>4971</v>
      </c>
      <c r="B4969" s="2">
        <v>250.0</v>
      </c>
      <c r="C4969" s="2">
        <v>2935.0</v>
      </c>
      <c r="D4969" s="2">
        <v>927.0</v>
      </c>
      <c r="E4969" s="3">
        <f t="shared" si="1"/>
        <v>0.3452513966</v>
      </c>
      <c r="F4969" s="2">
        <v>332.0</v>
      </c>
      <c r="G4969" s="3">
        <f t="shared" si="2"/>
        <v>0.1236499069</v>
      </c>
      <c r="H4969" s="2">
        <v>548.0</v>
      </c>
      <c r="I4969" s="3">
        <f t="shared" si="3"/>
        <v>0.2040968343</v>
      </c>
      <c r="J4969" s="2">
        <v>433.0</v>
      </c>
      <c r="K4969" s="3">
        <f t="shared" si="4"/>
        <v>0.1612662942</v>
      </c>
      <c r="L4969" s="2">
        <v>337.0</v>
      </c>
      <c r="M4969" s="3">
        <f t="shared" si="5"/>
        <v>0.6149635036</v>
      </c>
      <c r="N4969" s="2">
        <v>2753400.0</v>
      </c>
      <c r="O4969" s="4">
        <f t="shared" si="6"/>
        <v>5024.452555</v>
      </c>
      <c r="P4969" s="2">
        <v>0.0</v>
      </c>
      <c r="Q4969" s="3">
        <f t="shared" si="7"/>
        <v>0</v>
      </c>
      <c r="R4969" s="2">
        <v>250.0</v>
      </c>
      <c r="S4969" s="5">
        <f t="shared" si="8"/>
        <v>1</v>
      </c>
    </row>
    <row r="4970">
      <c r="A4970" s="2" t="s">
        <v>4972</v>
      </c>
      <c r="B4970" s="2">
        <v>370.0</v>
      </c>
      <c r="C4970" s="2">
        <v>4252.0</v>
      </c>
      <c r="D4970" s="2">
        <v>1232.0</v>
      </c>
      <c r="E4970" s="3">
        <f t="shared" si="1"/>
        <v>0.3173621844</v>
      </c>
      <c r="F4970" s="2">
        <v>480.0</v>
      </c>
      <c r="G4970" s="3">
        <f t="shared" si="2"/>
        <v>0.1236476043</v>
      </c>
      <c r="H4970" s="2">
        <v>759.0</v>
      </c>
      <c r="I4970" s="3">
        <f t="shared" si="3"/>
        <v>0.1955177743</v>
      </c>
      <c r="J4970" s="2">
        <v>612.0</v>
      </c>
      <c r="K4970" s="3">
        <f t="shared" si="4"/>
        <v>0.1576506955</v>
      </c>
      <c r="L4970" s="2">
        <v>454.0</v>
      </c>
      <c r="M4970" s="3">
        <f t="shared" si="5"/>
        <v>0.5981554677</v>
      </c>
      <c r="N4970" s="2">
        <v>4443100.0</v>
      </c>
      <c r="O4970" s="4">
        <f t="shared" si="6"/>
        <v>5853.886693</v>
      </c>
      <c r="P4970" s="2">
        <v>0.0</v>
      </c>
      <c r="Q4970" s="3">
        <f t="shared" si="7"/>
        <v>0</v>
      </c>
      <c r="R4970" s="2">
        <v>370.0</v>
      </c>
      <c r="S4970" s="5">
        <f t="shared" si="8"/>
        <v>1</v>
      </c>
    </row>
    <row r="4971">
      <c r="A4971" s="2" t="s">
        <v>4973</v>
      </c>
      <c r="B4971" s="2">
        <v>155.0</v>
      </c>
      <c r="C4971" s="2">
        <v>1813.0</v>
      </c>
      <c r="D4971" s="2">
        <v>655.0</v>
      </c>
      <c r="E4971" s="3">
        <f t="shared" si="1"/>
        <v>0.3950542823</v>
      </c>
      <c r="F4971" s="2">
        <v>205.0</v>
      </c>
      <c r="G4971" s="3">
        <f t="shared" si="2"/>
        <v>0.1236429433</v>
      </c>
      <c r="H4971" s="2">
        <v>340.0</v>
      </c>
      <c r="I4971" s="3">
        <f t="shared" si="3"/>
        <v>0.205066345</v>
      </c>
      <c r="J4971" s="2">
        <v>237.0</v>
      </c>
      <c r="K4971" s="3">
        <f t="shared" si="4"/>
        <v>0.1429433052</v>
      </c>
      <c r="L4971" s="2">
        <v>204.0</v>
      </c>
      <c r="M4971" s="3">
        <f t="shared" si="5"/>
        <v>0.6</v>
      </c>
      <c r="N4971" s="2">
        <v>1659000.0</v>
      </c>
      <c r="O4971" s="4">
        <f t="shared" si="6"/>
        <v>4879.411765</v>
      </c>
      <c r="P4971" s="2">
        <v>0.0</v>
      </c>
      <c r="Q4971" s="3">
        <f t="shared" si="7"/>
        <v>0</v>
      </c>
      <c r="R4971" s="2">
        <v>19.0</v>
      </c>
      <c r="S4971" s="5">
        <f t="shared" si="8"/>
        <v>0.1225806452</v>
      </c>
    </row>
    <row r="4972">
      <c r="A4972" s="2" t="s">
        <v>4974</v>
      </c>
      <c r="B4972" s="2">
        <v>1280.0</v>
      </c>
      <c r="C4972" s="2">
        <v>15159.0</v>
      </c>
      <c r="D4972" s="2">
        <v>4978.0</v>
      </c>
      <c r="E4972" s="3">
        <f t="shared" si="1"/>
        <v>0.358671374</v>
      </c>
      <c r="F4972" s="2">
        <v>1716.0</v>
      </c>
      <c r="G4972" s="3">
        <f t="shared" si="2"/>
        <v>0.1236400317</v>
      </c>
      <c r="H4972" s="2">
        <v>3100.0</v>
      </c>
      <c r="I4972" s="3">
        <f t="shared" si="3"/>
        <v>0.2233590316</v>
      </c>
      <c r="J4972" s="2">
        <v>2435.0</v>
      </c>
      <c r="K4972" s="3">
        <f t="shared" si="4"/>
        <v>0.1754449168</v>
      </c>
      <c r="L4972" s="2">
        <v>1860.0</v>
      </c>
      <c r="M4972" s="3">
        <f t="shared" si="5"/>
        <v>0.6</v>
      </c>
      <c r="N4972" s="2">
        <v>1.67658E7</v>
      </c>
      <c r="O4972" s="4">
        <f t="shared" si="6"/>
        <v>5408.322581</v>
      </c>
      <c r="P4972" s="2">
        <v>2.0</v>
      </c>
      <c r="Q4972" s="3">
        <f t="shared" si="7"/>
        <v>0.0015625</v>
      </c>
      <c r="R4972" s="2">
        <v>241.0</v>
      </c>
      <c r="S4972" s="5">
        <f t="shared" si="8"/>
        <v>0.18828125</v>
      </c>
    </row>
    <row r="4973">
      <c r="A4973" s="2" t="s">
        <v>4975</v>
      </c>
      <c r="B4973" s="2">
        <v>713.0</v>
      </c>
      <c r="C4973" s="2">
        <v>8397.0</v>
      </c>
      <c r="D4973" s="2">
        <v>1789.0</v>
      </c>
      <c r="E4973" s="3">
        <f t="shared" si="1"/>
        <v>0.2328214472</v>
      </c>
      <c r="F4973" s="2">
        <v>950.0</v>
      </c>
      <c r="G4973" s="3">
        <f t="shared" si="2"/>
        <v>0.1236335242</v>
      </c>
      <c r="H4973" s="2">
        <v>1469.0</v>
      </c>
      <c r="I4973" s="3">
        <f t="shared" si="3"/>
        <v>0.1911764706</v>
      </c>
      <c r="J4973" s="2">
        <v>1240.0</v>
      </c>
      <c r="K4973" s="3">
        <f t="shared" si="4"/>
        <v>0.1613742842</v>
      </c>
      <c r="L4973" s="2">
        <v>897.0</v>
      </c>
      <c r="M4973" s="3">
        <f t="shared" si="5"/>
        <v>0.610619469</v>
      </c>
      <c r="N4973" s="2">
        <v>8609300.0</v>
      </c>
      <c r="O4973" s="4">
        <f t="shared" si="6"/>
        <v>5860.653506</v>
      </c>
      <c r="P4973" s="2">
        <v>1.0</v>
      </c>
      <c r="Q4973" s="3">
        <f t="shared" si="7"/>
        <v>0.001402524544</v>
      </c>
      <c r="R4973" s="2">
        <v>713.0</v>
      </c>
      <c r="S4973" s="5">
        <f t="shared" si="8"/>
        <v>1</v>
      </c>
    </row>
    <row r="4974">
      <c r="A4974" s="2" t="s">
        <v>4976</v>
      </c>
      <c r="B4974" s="2">
        <v>730.0</v>
      </c>
      <c r="C4974" s="2">
        <v>8673.0</v>
      </c>
      <c r="D4974" s="2">
        <v>2590.0</v>
      </c>
      <c r="E4974" s="3">
        <f t="shared" si="1"/>
        <v>0.3260732721</v>
      </c>
      <c r="F4974" s="2">
        <v>982.0</v>
      </c>
      <c r="G4974" s="3">
        <f t="shared" si="2"/>
        <v>0.1236308699</v>
      </c>
      <c r="H4974" s="2">
        <v>1673.0</v>
      </c>
      <c r="I4974" s="3">
        <f t="shared" si="3"/>
        <v>0.2106257082</v>
      </c>
      <c r="J4974" s="2">
        <v>1261.0</v>
      </c>
      <c r="K4974" s="3">
        <f t="shared" si="4"/>
        <v>0.1587561375</v>
      </c>
      <c r="L4974" s="2">
        <v>1024.0</v>
      </c>
      <c r="M4974" s="3">
        <f t="shared" si="5"/>
        <v>0.6120741184</v>
      </c>
      <c r="N4974" s="2">
        <v>9169600.0</v>
      </c>
      <c r="O4974" s="4">
        <f t="shared" si="6"/>
        <v>5480.932457</v>
      </c>
      <c r="P4974" s="2">
        <v>1.0</v>
      </c>
      <c r="Q4974" s="3">
        <f t="shared" si="7"/>
        <v>0.001369863014</v>
      </c>
      <c r="R4974" s="2">
        <v>730.0</v>
      </c>
      <c r="S4974" s="5">
        <f t="shared" si="8"/>
        <v>1</v>
      </c>
    </row>
    <row r="4975">
      <c r="A4975" s="2" t="s">
        <v>4977</v>
      </c>
      <c r="B4975" s="2">
        <v>281.0</v>
      </c>
      <c r="C4975" s="2">
        <v>3274.0</v>
      </c>
      <c r="D4975" s="2">
        <v>1226.0</v>
      </c>
      <c r="E4975" s="3">
        <f t="shared" si="1"/>
        <v>0.4096224524</v>
      </c>
      <c r="F4975" s="2">
        <v>370.0</v>
      </c>
      <c r="G4975" s="3">
        <f t="shared" si="2"/>
        <v>0.1236217842</v>
      </c>
      <c r="H4975" s="2">
        <v>638.0</v>
      </c>
      <c r="I4975" s="3">
        <f t="shared" si="3"/>
        <v>0.2131640494</v>
      </c>
      <c r="J4975" s="2">
        <v>554.0</v>
      </c>
      <c r="K4975" s="3">
        <f t="shared" si="4"/>
        <v>0.1850985633</v>
      </c>
      <c r="L4975" s="2">
        <v>358.0</v>
      </c>
      <c r="M4975" s="3">
        <f t="shared" si="5"/>
        <v>0.5611285266</v>
      </c>
      <c r="N4975" s="2">
        <v>3568100.0</v>
      </c>
      <c r="O4975" s="4">
        <f t="shared" si="6"/>
        <v>5592.633229</v>
      </c>
      <c r="P4975" s="2">
        <v>1.0</v>
      </c>
      <c r="Q4975" s="3">
        <f t="shared" si="7"/>
        <v>0.003558718861</v>
      </c>
      <c r="R4975" s="2">
        <v>280.0</v>
      </c>
      <c r="S4975" s="5">
        <f t="shared" si="8"/>
        <v>0.9964412811</v>
      </c>
    </row>
    <row r="4976">
      <c r="A4976" s="2" t="s">
        <v>4978</v>
      </c>
      <c r="B4976" s="2">
        <v>1056.0</v>
      </c>
      <c r="C4976" s="2">
        <v>12543.0</v>
      </c>
      <c r="D4976" s="2">
        <v>4248.0</v>
      </c>
      <c r="E4976" s="3">
        <f t="shared" si="1"/>
        <v>0.3698093497</v>
      </c>
      <c r="F4976" s="2">
        <v>1420.0</v>
      </c>
      <c r="G4976" s="3">
        <f t="shared" si="2"/>
        <v>0.123618003</v>
      </c>
      <c r="H4976" s="2">
        <v>2412.0</v>
      </c>
      <c r="I4976" s="3">
        <f t="shared" si="3"/>
        <v>0.2099764952</v>
      </c>
      <c r="J4976" s="2">
        <v>1973.0</v>
      </c>
      <c r="K4976" s="3">
        <f t="shared" si="4"/>
        <v>0.1717593802</v>
      </c>
      <c r="L4976" s="2">
        <v>1432.0</v>
      </c>
      <c r="M4976" s="3">
        <f t="shared" si="5"/>
        <v>0.5936981758</v>
      </c>
      <c r="N4976" s="2">
        <v>1.32611E7</v>
      </c>
      <c r="O4976" s="4">
        <f t="shared" si="6"/>
        <v>5497.968491</v>
      </c>
      <c r="P4976" s="2">
        <v>0.0</v>
      </c>
      <c r="Q4976" s="3">
        <f t="shared" si="7"/>
        <v>0</v>
      </c>
      <c r="R4976" s="2">
        <v>1014.0</v>
      </c>
      <c r="S4976" s="5">
        <f t="shared" si="8"/>
        <v>0.9602272727</v>
      </c>
    </row>
    <row r="4977">
      <c r="A4977" s="2" t="s">
        <v>4979</v>
      </c>
      <c r="B4977" s="2">
        <v>69.0</v>
      </c>
      <c r="C4977" s="2">
        <v>789.0</v>
      </c>
      <c r="D4977" s="2">
        <v>229.0</v>
      </c>
      <c r="E4977" s="3">
        <f t="shared" si="1"/>
        <v>0.3180555556</v>
      </c>
      <c r="F4977" s="2">
        <v>89.0</v>
      </c>
      <c r="G4977" s="3">
        <f t="shared" si="2"/>
        <v>0.1236111111</v>
      </c>
      <c r="H4977" s="2">
        <v>153.0</v>
      </c>
      <c r="I4977" s="3">
        <f t="shared" si="3"/>
        <v>0.2125</v>
      </c>
      <c r="J4977" s="2">
        <v>156.0</v>
      </c>
      <c r="K4977" s="3">
        <f t="shared" si="4"/>
        <v>0.2166666667</v>
      </c>
      <c r="L4977" s="2">
        <v>90.0</v>
      </c>
      <c r="M4977" s="3">
        <f t="shared" si="5"/>
        <v>0.5882352941</v>
      </c>
      <c r="N4977" s="2">
        <v>895500.0</v>
      </c>
      <c r="O4977" s="4">
        <f t="shared" si="6"/>
        <v>5852.941176</v>
      </c>
      <c r="P4977" s="2">
        <v>0.0</v>
      </c>
      <c r="Q4977" s="3">
        <f t="shared" si="7"/>
        <v>0</v>
      </c>
      <c r="R4977" s="2">
        <v>0.0</v>
      </c>
      <c r="S4977" s="5">
        <f t="shared" si="8"/>
        <v>0</v>
      </c>
    </row>
    <row r="4978">
      <c r="A4978" s="2" t="s">
        <v>4980</v>
      </c>
      <c r="B4978" s="2">
        <v>241.0</v>
      </c>
      <c r="C4978" s="2">
        <v>2757.0</v>
      </c>
      <c r="D4978" s="2">
        <v>615.0</v>
      </c>
      <c r="E4978" s="3">
        <f t="shared" si="1"/>
        <v>0.2444356121</v>
      </c>
      <c r="F4978" s="2">
        <v>311.0</v>
      </c>
      <c r="G4978" s="3">
        <f t="shared" si="2"/>
        <v>0.123608903</v>
      </c>
      <c r="H4978" s="2">
        <v>465.0</v>
      </c>
      <c r="I4978" s="3">
        <f t="shared" si="3"/>
        <v>0.1848171701</v>
      </c>
      <c r="J4978" s="2">
        <v>404.0</v>
      </c>
      <c r="K4978" s="3">
        <f t="shared" si="4"/>
        <v>0.160572337</v>
      </c>
      <c r="L4978" s="2">
        <v>271.0</v>
      </c>
      <c r="M4978" s="3">
        <f t="shared" si="5"/>
        <v>0.5827956989</v>
      </c>
      <c r="N4978" s="2">
        <v>2800800.0</v>
      </c>
      <c r="O4978" s="4">
        <f t="shared" si="6"/>
        <v>6023.225806</v>
      </c>
      <c r="P4978" s="2">
        <v>1.0</v>
      </c>
      <c r="Q4978" s="3">
        <f t="shared" si="7"/>
        <v>0.004149377593</v>
      </c>
      <c r="R4978" s="2">
        <v>241.0</v>
      </c>
      <c r="S4978" s="5">
        <f t="shared" si="8"/>
        <v>1</v>
      </c>
    </row>
    <row r="4979">
      <c r="A4979" s="2" t="s">
        <v>4981</v>
      </c>
      <c r="B4979" s="2">
        <v>74.0</v>
      </c>
      <c r="C4979" s="2">
        <v>875.0</v>
      </c>
      <c r="D4979" s="2">
        <v>189.0</v>
      </c>
      <c r="E4979" s="3">
        <f t="shared" si="1"/>
        <v>0.2359550562</v>
      </c>
      <c r="F4979" s="2">
        <v>99.0</v>
      </c>
      <c r="G4979" s="3">
        <f t="shared" si="2"/>
        <v>0.1235955056</v>
      </c>
      <c r="H4979" s="2">
        <v>154.0</v>
      </c>
      <c r="I4979" s="3">
        <f t="shared" si="3"/>
        <v>0.1922596754</v>
      </c>
      <c r="J4979" s="2">
        <v>170.0</v>
      </c>
      <c r="K4979" s="3">
        <f t="shared" si="4"/>
        <v>0.2122347066</v>
      </c>
      <c r="L4979" s="2">
        <v>82.0</v>
      </c>
      <c r="M4979" s="3">
        <f t="shared" si="5"/>
        <v>0.5324675325</v>
      </c>
      <c r="N4979" s="2">
        <v>882600.0</v>
      </c>
      <c r="O4979" s="4">
        <f t="shared" si="6"/>
        <v>5731.168831</v>
      </c>
      <c r="P4979" s="2">
        <v>0.0</v>
      </c>
      <c r="Q4979" s="3">
        <f t="shared" si="7"/>
        <v>0</v>
      </c>
      <c r="R4979" s="2">
        <v>74.0</v>
      </c>
      <c r="S4979" s="5">
        <f t="shared" si="8"/>
        <v>1</v>
      </c>
    </row>
    <row r="4980">
      <c r="A4980" s="2" t="s">
        <v>4982</v>
      </c>
      <c r="B4980" s="2">
        <v>25.0</v>
      </c>
      <c r="C4980" s="2">
        <v>292.0</v>
      </c>
      <c r="D4980" s="2">
        <v>66.0</v>
      </c>
      <c r="E4980" s="3">
        <f t="shared" si="1"/>
        <v>0.2471910112</v>
      </c>
      <c r="F4980" s="2">
        <v>33.0</v>
      </c>
      <c r="G4980" s="3">
        <f t="shared" si="2"/>
        <v>0.1235955056</v>
      </c>
      <c r="H4980" s="2">
        <v>36.0</v>
      </c>
      <c r="I4980" s="3">
        <f t="shared" si="3"/>
        <v>0.1348314607</v>
      </c>
      <c r="J4980" s="2">
        <v>47.0</v>
      </c>
      <c r="K4980" s="3">
        <f t="shared" si="4"/>
        <v>0.1760299625</v>
      </c>
      <c r="L4980" s="2">
        <v>20.0</v>
      </c>
      <c r="M4980" s="3">
        <f t="shared" si="5"/>
        <v>0.5555555556</v>
      </c>
      <c r="N4980" s="2">
        <v>231100.0</v>
      </c>
      <c r="O4980" s="4">
        <f t="shared" si="6"/>
        <v>6419.444444</v>
      </c>
      <c r="P4980" s="2">
        <v>0.0</v>
      </c>
      <c r="Q4980" s="3">
        <f t="shared" si="7"/>
        <v>0</v>
      </c>
      <c r="R4980" s="2">
        <v>25.0</v>
      </c>
      <c r="S4980" s="5">
        <f t="shared" si="8"/>
        <v>1</v>
      </c>
    </row>
    <row r="4981">
      <c r="A4981" s="2" t="s">
        <v>4983</v>
      </c>
      <c r="B4981" s="2">
        <v>69.0</v>
      </c>
      <c r="C4981" s="2">
        <v>870.0</v>
      </c>
      <c r="D4981" s="2">
        <v>309.0</v>
      </c>
      <c r="E4981" s="3">
        <f t="shared" si="1"/>
        <v>0.3857677903</v>
      </c>
      <c r="F4981" s="2">
        <v>99.0</v>
      </c>
      <c r="G4981" s="3">
        <f t="shared" si="2"/>
        <v>0.1235955056</v>
      </c>
      <c r="H4981" s="2">
        <v>147.0</v>
      </c>
      <c r="I4981" s="3">
        <f t="shared" si="3"/>
        <v>0.1835205993</v>
      </c>
      <c r="J4981" s="2">
        <v>137.0</v>
      </c>
      <c r="K4981" s="3">
        <f t="shared" si="4"/>
        <v>0.1710362047</v>
      </c>
      <c r="L4981" s="2">
        <v>84.0</v>
      </c>
      <c r="M4981" s="3">
        <f t="shared" si="5"/>
        <v>0.5714285714</v>
      </c>
      <c r="N4981" s="2">
        <v>876700.0</v>
      </c>
      <c r="O4981" s="4">
        <f t="shared" si="6"/>
        <v>5963.945578</v>
      </c>
      <c r="P4981" s="2">
        <v>0.0</v>
      </c>
      <c r="Q4981" s="3">
        <f t="shared" si="7"/>
        <v>0</v>
      </c>
      <c r="R4981" s="2">
        <v>69.0</v>
      </c>
      <c r="S4981" s="5">
        <f t="shared" si="8"/>
        <v>1</v>
      </c>
    </row>
    <row r="4982">
      <c r="A4982" s="2" t="s">
        <v>4984</v>
      </c>
      <c r="B4982" s="2">
        <v>65.0</v>
      </c>
      <c r="C4982" s="2">
        <v>777.0</v>
      </c>
      <c r="D4982" s="2">
        <v>275.0</v>
      </c>
      <c r="E4982" s="3">
        <f t="shared" si="1"/>
        <v>0.3862359551</v>
      </c>
      <c r="F4982" s="2">
        <v>88.0</v>
      </c>
      <c r="G4982" s="3">
        <f t="shared" si="2"/>
        <v>0.1235955056</v>
      </c>
      <c r="H4982" s="2">
        <v>136.0</v>
      </c>
      <c r="I4982" s="3">
        <f t="shared" si="3"/>
        <v>0.191011236</v>
      </c>
      <c r="J4982" s="2">
        <v>117.0</v>
      </c>
      <c r="K4982" s="3">
        <f t="shared" si="4"/>
        <v>0.1643258427</v>
      </c>
      <c r="L4982" s="2">
        <v>77.0</v>
      </c>
      <c r="M4982" s="3">
        <f t="shared" si="5"/>
        <v>0.5661764706</v>
      </c>
      <c r="N4982" s="2">
        <v>743200.0</v>
      </c>
      <c r="O4982" s="4">
        <f t="shared" si="6"/>
        <v>5464.705882</v>
      </c>
      <c r="P4982" s="2">
        <v>0.0</v>
      </c>
      <c r="Q4982" s="3">
        <f t="shared" si="7"/>
        <v>0</v>
      </c>
      <c r="R4982" s="2">
        <v>65.0</v>
      </c>
      <c r="S4982" s="5">
        <f t="shared" si="8"/>
        <v>1</v>
      </c>
    </row>
    <row r="4983">
      <c r="A4983" s="2" t="s">
        <v>4985</v>
      </c>
      <c r="B4983" s="2">
        <v>129.0</v>
      </c>
      <c r="C4983" s="2">
        <v>1464.0</v>
      </c>
      <c r="D4983" s="2">
        <v>476.0</v>
      </c>
      <c r="E4983" s="3">
        <f t="shared" si="1"/>
        <v>0.3565543071</v>
      </c>
      <c r="F4983" s="2">
        <v>165.0</v>
      </c>
      <c r="G4983" s="3">
        <f t="shared" si="2"/>
        <v>0.1235955056</v>
      </c>
      <c r="H4983" s="2">
        <v>245.0</v>
      </c>
      <c r="I4983" s="3">
        <f t="shared" si="3"/>
        <v>0.1835205993</v>
      </c>
      <c r="J4983" s="2">
        <v>215.0</v>
      </c>
      <c r="K4983" s="3">
        <f t="shared" si="4"/>
        <v>0.1610486891</v>
      </c>
      <c r="L4983" s="2">
        <v>153.0</v>
      </c>
      <c r="M4983" s="3">
        <f t="shared" si="5"/>
        <v>0.6244897959</v>
      </c>
      <c r="N4983" s="2">
        <v>1357900.0</v>
      </c>
      <c r="O4983" s="4">
        <f t="shared" si="6"/>
        <v>5542.44898</v>
      </c>
      <c r="P4983" s="2">
        <v>1.0</v>
      </c>
      <c r="Q4983" s="3">
        <f t="shared" si="7"/>
        <v>0.007751937984</v>
      </c>
      <c r="R4983" s="2">
        <v>129.0</v>
      </c>
      <c r="S4983" s="5">
        <f t="shared" si="8"/>
        <v>1</v>
      </c>
    </row>
    <row r="4984">
      <c r="A4984" s="2" t="s">
        <v>4986</v>
      </c>
      <c r="B4984" s="2">
        <v>3008.0</v>
      </c>
      <c r="C4984" s="2">
        <v>34944.0</v>
      </c>
      <c r="D4984" s="2">
        <v>11328.0</v>
      </c>
      <c r="E4984" s="3">
        <f t="shared" si="1"/>
        <v>0.3547094188</v>
      </c>
      <c r="F4984" s="2">
        <v>3947.0</v>
      </c>
      <c r="G4984" s="3">
        <f t="shared" si="2"/>
        <v>0.1235909319</v>
      </c>
      <c r="H4984" s="2">
        <v>6915.0</v>
      </c>
      <c r="I4984" s="3">
        <f t="shared" si="3"/>
        <v>0.2165268036</v>
      </c>
      <c r="J4984" s="2">
        <v>5383.0</v>
      </c>
      <c r="K4984" s="3">
        <f t="shared" si="4"/>
        <v>0.1685558617</v>
      </c>
      <c r="L4984" s="2">
        <v>4123.0</v>
      </c>
      <c r="M4984" s="3">
        <f t="shared" si="5"/>
        <v>0.5962400578</v>
      </c>
      <c r="N4984" s="2">
        <v>3.94685E7</v>
      </c>
      <c r="O4984" s="4">
        <f t="shared" si="6"/>
        <v>5707.664497</v>
      </c>
      <c r="P4984" s="2">
        <v>8.0</v>
      </c>
      <c r="Q4984" s="3">
        <f t="shared" si="7"/>
        <v>0.002659574468</v>
      </c>
      <c r="R4984" s="2">
        <v>2229.0</v>
      </c>
      <c r="S4984" s="5">
        <f t="shared" si="8"/>
        <v>0.7410239362</v>
      </c>
    </row>
    <row r="4985">
      <c r="A4985" s="2" t="s">
        <v>4987</v>
      </c>
      <c r="B4985" s="2">
        <v>225.0</v>
      </c>
      <c r="C4985" s="2">
        <v>2620.0</v>
      </c>
      <c r="D4985" s="2">
        <v>842.0</v>
      </c>
      <c r="E4985" s="3">
        <f t="shared" si="1"/>
        <v>0.351565762</v>
      </c>
      <c r="F4985" s="2">
        <v>296.0</v>
      </c>
      <c r="G4985" s="3">
        <f t="shared" si="2"/>
        <v>0.1235908142</v>
      </c>
      <c r="H4985" s="2">
        <v>447.0</v>
      </c>
      <c r="I4985" s="3">
        <f t="shared" si="3"/>
        <v>0.1866388309</v>
      </c>
      <c r="J4985" s="2">
        <v>422.0</v>
      </c>
      <c r="K4985" s="3">
        <f t="shared" si="4"/>
        <v>0.1762004175</v>
      </c>
      <c r="L4985" s="2">
        <v>262.0</v>
      </c>
      <c r="M4985" s="3">
        <f t="shared" si="5"/>
        <v>0.5861297539</v>
      </c>
      <c r="N4985" s="2">
        <v>2603900.0</v>
      </c>
      <c r="O4985" s="4">
        <f t="shared" si="6"/>
        <v>5825.279642</v>
      </c>
      <c r="P4985" s="2">
        <v>0.0</v>
      </c>
      <c r="Q4985" s="3">
        <f t="shared" si="7"/>
        <v>0</v>
      </c>
      <c r="R4985" s="2">
        <v>225.0</v>
      </c>
      <c r="S4985" s="5">
        <f t="shared" si="8"/>
        <v>1</v>
      </c>
    </row>
    <row r="4986">
      <c r="A4986" s="2" t="s">
        <v>4988</v>
      </c>
      <c r="B4986" s="2">
        <v>655.0</v>
      </c>
      <c r="C4986" s="2">
        <v>7654.0</v>
      </c>
      <c r="D4986" s="2">
        <v>2058.0</v>
      </c>
      <c r="E4986" s="3">
        <f t="shared" si="1"/>
        <v>0.294042006</v>
      </c>
      <c r="F4986" s="2">
        <v>865.0</v>
      </c>
      <c r="G4986" s="3">
        <f t="shared" si="2"/>
        <v>0.1235890842</v>
      </c>
      <c r="H4986" s="2">
        <v>1323.0</v>
      </c>
      <c r="I4986" s="3">
        <f t="shared" si="3"/>
        <v>0.1890270039</v>
      </c>
      <c r="J4986" s="2">
        <v>1114.0</v>
      </c>
      <c r="K4986" s="3">
        <f t="shared" si="4"/>
        <v>0.1591655951</v>
      </c>
      <c r="L4986" s="2">
        <v>810.0</v>
      </c>
      <c r="M4986" s="3">
        <f t="shared" si="5"/>
        <v>0.612244898</v>
      </c>
      <c r="N4986" s="2">
        <v>7987200.0</v>
      </c>
      <c r="O4986" s="4">
        <f t="shared" si="6"/>
        <v>6037.188209</v>
      </c>
      <c r="P4986" s="2">
        <v>2.0</v>
      </c>
      <c r="Q4986" s="3">
        <f t="shared" si="7"/>
        <v>0.003053435115</v>
      </c>
      <c r="R4986" s="2">
        <v>655.0</v>
      </c>
      <c r="S4986" s="5">
        <f t="shared" si="8"/>
        <v>1</v>
      </c>
    </row>
    <row r="4987">
      <c r="A4987" s="2" t="s">
        <v>4989</v>
      </c>
      <c r="B4987" s="2">
        <v>399.0</v>
      </c>
      <c r="C4987" s="2">
        <v>4785.0</v>
      </c>
      <c r="D4987" s="2">
        <v>1750.0</v>
      </c>
      <c r="E4987" s="3">
        <f t="shared" si="1"/>
        <v>0.398996808</v>
      </c>
      <c r="F4987" s="2">
        <v>542.0</v>
      </c>
      <c r="G4987" s="3">
        <f t="shared" si="2"/>
        <v>0.1235750114</v>
      </c>
      <c r="H4987" s="2">
        <v>891.0</v>
      </c>
      <c r="I4987" s="3">
        <f t="shared" si="3"/>
        <v>0.2031463748</v>
      </c>
      <c r="J4987" s="2">
        <v>576.0</v>
      </c>
      <c r="K4987" s="3">
        <f t="shared" si="4"/>
        <v>0.1313269494</v>
      </c>
      <c r="L4987" s="2">
        <v>526.0</v>
      </c>
      <c r="M4987" s="3">
        <f t="shared" si="5"/>
        <v>0.5903479237</v>
      </c>
      <c r="N4987" s="2">
        <v>4805600.0</v>
      </c>
      <c r="O4987" s="4">
        <f t="shared" si="6"/>
        <v>5393.49046</v>
      </c>
      <c r="P4987" s="2">
        <v>0.0</v>
      </c>
      <c r="Q4987" s="3">
        <f t="shared" si="7"/>
        <v>0</v>
      </c>
      <c r="R4987" s="2">
        <v>399.0</v>
      </c>
      <c r="S4987" s="5">
        <f t="shared" si="8"/>
        <v>1</v>
      </c>
    </row>
    <row r="4988">
      <c r="A4988" s="2" t="s">
        <v>4990</v>
      </c>
      <c r="B4988" s="2">
        <v>49.0</v>
      </c>
      <c r="C4988" s="2">
        <v>575.0</v>
      </c>
      <c r="D4988" s="2">
        <v>157.0</v>
      </c>
      <c r="E4988" s="3">
        <f t="shared" si="1"/>
        <v>0.2984790875</v>
      </c>
      <c r="F4988" s="2">
        <v>65.0</v>
      </c>
      <c r="G4988" s="3">
        <f t="shared" si="2"/>
        <v>0.1235741445</v>
      </c>
      <c r="H4988" s="2">
        <v>101.0</v>
      </c>
      <c r="I4988" s="3">
        <f t="shared" si="3"/>
        <v>0.1920152091</v>
      </c>
      <c r="J4988" s="2">
        <v>99.0</v>
      </c>
      <c r="K4988" s="3">
        <f t="shared" si="4"/>
        <v>0.1882129278</v>
      </c>
      <c r="L4988" s="2">
        <v>63.0</v>
      </c>
      <c r="M4988" s="3">
        <f t="shared" si="5"/>
        <v>0.6237623762</v>
      </c>
      <c r="N4988" s="2">
        <v>532600.0</v>
      </c>
      <c r="O4988" s="4">
        <f t="shared" si="6"/>
        <v>5273.267327</v>
      </c>
      <c r="P4988" s="2">
        <v>0.0</v>
      </c>
      <c r="Q4988" s="3">
        <f t="shared" si="7"/>
        <v>0</v>
      </c>
      <c r="R4988" s="2">
        <v>49.0</v>
      </c>
      <c r="S4988" s="5">
        <f t="shared" si="8"/>
        <v>1</v>
      </c>
    </row>
    <row r="4989">
      <c r="A4989" s="2" t="s">
        <v>4991</v>
      </c>
      <c r="B4989" s="2">
        <v>884.0</v>
      </c>
      <c r="C4989" s="2">
        <v>10320.0</v>
      </c>
      <c r="D4989" s="2">
        <v>3591.0</v>
      </c>
      <c r="E4989" s="3">
        <f t="shared" si="1"/>
        <v>0.3805637982</v>
      </c>
      <c r="F4989" s="2">
        <v>1166.0</v>
      </c>
      <c r="G4989" s="3">
        <f t="shared" si="2"/>
        <v>0.123569309</v>
      </c>
      <c r="H4989" s="2">
        <v>1976.0</v>
      </c>
      <c r="I4989" s="3">
        <f t="shared" si="3"/>
        <v>0.2094107673</v>
      </c>
      <c r="J4989" s="2">
        <v>1468.0</v>
      </c>
      <c r="K4989" s="3">
        <f t="shared" si="4"/>
        <v>0.1555743959</v>
      </c>
      <c r="L4989" s="2">
        <v>1190.0</v>
      </c>
      <c r="M4989" s="3">
        <f t="shared" si="5"/>
        <v>0.6022267206</v>
      </c>
      <c r="N4989" s="2">
        <v>1.08462E7</v>
      </c>
      <c r="O4989" s="4">
        <f t="shared" si="6"/>
        <v>5488.967611</v>
      </c>
      <c r="P4989" s="2">
        <v>3.0</v>
      </c>
      <c r="Q4989" s="3">
        <f t="shared" si="7"/>
        <v>0.003393665158</v>
      </c>
      <c r="R4989" s="2">
        <v>884.0</v>
      </c>
      <c r="S4989" s="5">
        <f t="shared" si="8"/>
        <v>1</v>
      </c>
    </row>
    <row r="4990">
      <c r="A4990" s="2" t="s">
        <v>4992</v>
      </c>
      <c r="B4990" s="2">
        <v>112.0</v>
      </c>
      <c r="C4990" s="2">
        <v>1334.0</v>
      </c>
      <c r="D4990" s="2">
        <v>432.0</v>
      </c>
      <c r="E4990" s="3">
        <f t="shared" si="1"/>
        <v>0.3535188216</v>
      </c>
      <c r="F4990" s="2">
        <v>151.0</v>
      </c>
      <c r="G4990" s="3">
        <f t="shared" si="2"/>
        <v>0.1235679214</v>
      </c>
      <c r="H4990" s="2">
        <v>237.0</v>
      </c>
      <c r="I4990" s="3">
        <f t="shared" si="3"/>
        <v>0.1939443535</v>
      </c>
      <c r="J4990" s="2">
        <v>189.0</v>
      </c>
      <c r="K4990" s="3">
        <f t="shared" si="4"/>
        <v>0.1546644845</v>
      </c>
      <c r="L4990" s="2">
        <v>149.0</v>
      </c>
      <c r="M4990" s="3">
        <f t="shared" si="5"/>
        <v>0.6286919831</v>
      </c>
      <c r="N4990" s="2">
        <v>1285100.0</v>
      </c>
      <c r="O4990" s="4">
        <f t="shared" si="6"/>
        <v>5422.362869</v>
      </c>
      <c r="P4990" s="2">
        <v>0.0</v>
      </c>
      <c r="Q4990" s="3">
        <f t="shared" si="7"/>
        <v>0</v>
      </c>
      <c r="R4990" s="2">
        <v>112.0</v>
      </c>
      <c r="S4990" s="5">
        <f t="shared" si="8"/>
        <v>1</v>
      </c>
    </row>
    <row r="4991">
      <c r="A4991" s="2" t="s">
        <v>4993</v>
      </c>
      <c r="B4991" s="2">
        <v>644.0</v>
      </c>
      <c r="C4991" s="2">
        <v>7434.0</v>
      </c>
      <c r="D4991" s="2">
        <v>2569.0</v>
      </c>
      <c r="E4991" s="3">
        <f t="shared" si="1"/>
        <v>0.3783505155</v>
      </c>
      <c r="F4991" s="2">
        <v>839.0</v>
      </c>
      <c r="G4991" s="3">
        <f t="shared" si="2"/>
        <v>0.1235640648</v>
      </c>
      <c r="H4991" s="2">
        <v>1542.0</v>
      </c>
      <c r="I4991" s="3">
        <f t="shared" si="3"/>
        <v>0.2270986745</v>
      </c>
      <c r="J4991" s="2">
        <v>1332.0</v>
      </c>
      <c r="K4991" s="3">
        <f t="shared" si="4"/>
        <v>0.1961708395</v>
      </c>
      <c r="L4991" s="2">
        <v>921.0</v>
      </c>
      <c r="M4991" s="3">
        <f t="shared" si="5"/>
        <v>0.5972762646</v>
      </c>
      <c r="N4991" s="2">
        <v>8909100.0</v>
      </c>
      <c r="O4991" s="4">
        <f t="shared" si="6"/>
        <v>5777.626459</v>
      </c>
      <c r="P4991" s="2">
        <v>3.0</v>
      </c>
      <c r="Q4991" s="3">
        <f t="shared" si="7"/>
        <v>0.004658385093</v>
      </c>
      <c r="R4991" s="2">
        <v>644.0</v>
      </c>
      <c r="S4991" s="5">
        <f t="shared" si="8"/>
        <v>1</v>
      </c>
    </row>
    <row r="4992">
      <c r="A4992" s="2" t="s">
        <v>4994</v>
      </c>
      <c r="B4992" s="2">
        <v>516.0</v>
      </c>
      <c r="C4992" s="2">
        <v>5971.0</v>
      </c>
      <c r="D4992" s="2">
        <v>2008.0</v>
      </c>
      <c r="E4992" s="3">
        <f t="shared" si="1"/>
        <v>0.3681026581</v>
      </c>
      <c r="F4992" s="2">
        <v>674.0</v>
      </c>
      <c r="G4992" s="3">
        <f t="shared" si="2"/>
        <v>0.1235563703</v>
      </c>
      <c r="H4992" s="2">
        <v>1152.0</v>
      </c>
      <c r="I4992" s="3">
        <f t="shared" si="3"/>
        <v>0.2111824015</v>
      </c>
      <c r="J4992" s="2">
        <v>962.0</v>
      </c>
      <c r="K4992" s="3">
        <f t="shared" si="4"/>
        <v>0.1763519707</v>
      </c>
      <c r="L4992" s="2">
        <v>726.0</v>
      </c>
      <c r="M4992" s="3">
        <f t="shared" si="5"/>
        <v>0.6302083333</v>
      </c>
      <c r="N4992" s="2">
        <v>6667500.0</v>
      </c>
      <c r="O4992" s="4">
        <f t="shared" si="6"/>
        <v>5787.760417</v>
      </c>
      <c r="P4992" s="2">
        <v>2.0</v>
      </c>
      <c r="Q4992" s="3">
        <f t="shared" si="7"/>
        <v>0.003875968992</v>
      </c>
      <c r="R4992" s="2">
        <v>516.0</v>
      </c>
      <c r="S4992" s="5">
        <f t="shared" si="8"/>
        <v>1</v>
      </c>
    </row>
    <row r="4993">
      <c r="A4993" s="2" t="s">
        <v>4995</v>
      </c>
      <c r="B4993" s="2">
        <v>192.0</v>
      </c>
      <c r="C4993" s="2">
        <v>2264.0</v>
      </c>
      <c r="D4993" s="2">
        <v>733.0</v>
      </c>
      <c r="E4993" s="3">
        <f t="shared" si="1"/>
        <v>0.3537644788</v>
      </c>
      <c r="F4993" s="2">
        <v>256.0</v>
      </c>
      <c r="G4993" s="3">
        <f t="shared" si="2"/>
        <v>0.1235521236</v>
      </c>
      <c r="H4993" s="2">
        <v>431.0</v>
      </c>
      <c r="I4993" s="3">
        <f t="shared" si="3"/>
        <v>0.208011583</v>
      </c>
      <c r="J4993" s="2">
        <v>388.0</v>
      </c>
      <c r="K4993" s="3">
        <f t="shared" si="4"/>
        <v>0.1872586873</v>
      </c>
      <c r="L4993" s="2">
        <v>259.0</v>
      </c>
      <c r="M4993" s="3">
        <f t="shared" si="5"/>
        <v>0.6009280742</v>
      </c>
      <c r="N4993" s="2">
        <v>2448900.0</v>
      </c>
      <c r="O4993" s="4">
        <f t="shared" si="6"/>
        <v>5681.902552</v>
      </c>
      <c r="P4993" s="2">
        <v>1.0</v>
      </c>
      <c r="Q4993" s="3">
        <f t="shared" si="7"/>
        <v>0.005208333333</v>
      </c>
      <c r="R4993" s="2">
        <v>192.0</v>
      </c>
      <c r="S4993" s="5">
        <f t="shared" si="8"/>
        <v>1</v>
      </c>
    </row>
    <row r="4994">
      <c r="A4994" s="2" t="s">
        <v>4996</v>
      </c>
      <c r="B4994" s="2">
        <v>68.0</v>
      </c>
      <c r="C4994" s="2">
        <v>845.0</v>
      </c>
      <c r="D4994" s="2">
        <v>211.0</v>
      </c>
      <c r="E4994" s="3">
        <f t="shared" si="1"/>
        <v>0.2715572716</v>
      </c>
      <c r="F4994" s="2">
        <v>96.0</v>
      </c>
      <c r="G4994" s="3">
        <f t="shared" si="2"/>
        <v>0.1235521236</v>
      </c>
      <c r="H4994" s="2">
        <v>148.0</v>
      </c>
      <c r="I4994" s="3">
        <f t="shared" si="3"/>
        <v>0.1904761905</v>
      </c>
      <c r="J4994" s="2">
        <v>138.0</v>
      </c>
      <c r="K4994" s="3">
        <f t="shared" si="4"/>
        <v>0.1776061776</v>
      </c>
      <c r="L4994" s="2">
        <v>78.0</v>
      </c>
      <c r="M4994" s="3">
        <f t="shared" si="5"/>
        <v>0.527027027</v>
      </c>
      <c r="N4994" s="2">
        <v>936800.0</v>
      </c>
      <c r="O4994" s="4">
        <f t="shared" si="6"/>
        <v>6329.72973</v>
      </c>
      <c r="P4994" s="2">
        <v>0.0</v>
      </c>
      <c r="Q4994" s="3">
        <f t="shared" si="7"/>
        <v>0</v>
      </c>
      <c r="R4994" s="2">
        <v>0.0</v>
      </c>
      <c r="S4994" s="5">
        <f t="shared" si="8"/>
        <v>0</v>
      </c>
    </row>
    <row r="4995">
      <c r="A4995" s="2" t="s">
        <v>4997</v>
      </c>
      <c r="B4995" s="2">
        <v>417.0</v>
      </c>
      <c r="C4995" s="2">
        <v>4974.0</v>
      </c>
      <c r="D4995" s="2">
        <v>1790.0</v>
      </c>
      <c r="E4995" s="3">
        <f t="shared" si="1"/>
        <v>0.3928022822</v>
      </c>
      <c r="F4995" s="2">
        <v>563.0</v>
      </c>
      <c r="G4995" s="3">
        <f t="shared" si="2"/>
        <v>0.1235461927</v>
      </c>
      <c r="H4995" s="2">
        <v>957.0</v>
      </c>
      <c r="I4995" s="3">
        <f t="shared" si="3"/>
        <v>0.2100065833</v>
      </c>
      <c r="J4995" s="2">
        <v>745.0</v>
      </c>
      <c r="K4995" s="3">
        <f t="shared" si="4"/>
        <v>0.1634847487</v>
      </c>
      <c r="L4995" s="2">
        <v>569.0</v>
      </c>
      <c r="M4995" s="3">
        <f t="shared" si="5"/>
        <v>0.5945663532</v>
      </c>
      <c r="N4995" s="2">
        <v>5235400.0</v>
      </c>
      <c r="O4995" s="4">
        <f t="shared" si="6"/>
        <v>5470.637409</v>
      </c>
      <c r="P4995" s="2">
        <v>1.0</v>
      </c>
      <c r="Q4995" s="3">
        <f t="shared" si="7"/>
        <v>0.002398081535</v>
      </c>
      <c r="R4995" s="2">
        <v>7.0</v>
      </c>
      <c r="S4995" s="5">
        <f t="shared" si="8"/>
        <v>0.01678657074</v>
      </c>
    </row>
    <row r="4996">
      <c r="A4996" s="2" t="s">
        <v>4998</v>
      </c>
      <c r="B4996" s="2">
        <v>167.0</v>
      </c>
      <c r="C4996" s="2">
        <v>1972.0</v>
      </c>
      <c r="D4996" s="2">
        <v>673.0</v>
      </c>
      <c r="E4996" s="3">
        <f t="shared" si="1"/>
        <v>0.3728531856</v>
      </c>
      <c r="F4996" s="2">
        <v>223.0</v>
      </c>
      <c r="G4996" s="3">
        <f t="shared" si="2"/>
        <v>0.1235457064</v>
      </c>
      <c r="H4996" s="2">
        <v>364.0</v>
      </c>
      <c r="I4996" s="3">
        <f t="shared" si="3"/>
        <v>0.2016620499</v>
      </c>
      <c r="J4996" s="2">
        <v>284.0</v>
      </c>
      <c r="K4996" s="3">
        <f t="shared" si="4"/>
        <v>0.1573407202</v>
      </c>
      <c r="L4996" s="2">
        <v>187.0</v>
      </c>
      <c r="M4996" s="3">
        <f t="shared" si="5"/>
        <v>0.5137362637</v>
      </c>
      <c r="N4996" s="2">
        <v>2036500.0</v>
      </c>
      <c r="O4996" s="4">
        <f t="shared" si="6"/>
        <v>5594.78022</v>
      </c>
      <c r="P4996" s="2">
        <v>0.0</v>
      </c>
      <c r="Q4996" s="3">
        <f t="shared" si="7"/>
        <v>0</v>
      </c>
      <c r="R4996" s="2">
        <v>164.0</v>
      </c>
      <c r="S4996" s="5">
        <f t="shared" si="8"/>
        <v>0.9820359281</v>
      </c>
    </row>
    <row r="4997">
      <c r="A4997" s="2" t="s">
        <v>4999</v>
      </c>
      <c r="B4997" s="2">
        <v>412.0</v>
      </c>
      <c r="C4997" s="2">
        <v>4953.0</v>
      </c>
      <c r="D4997" s="2">
        <v>1523.0</v>
      </c>
      <c r="E4997" s="3">
        <f t="shared" si="1"/>
        <v>0.3353886809</v>
      </c>
      <c r="F4997" s="2">
        <v>561.0</v>
      </c>
      <c r="G4997" s="3">
        <f t="shared" si="2"/>
        <v>0.1235410702</v>
      </c>
      <c r="H4997" s="2">
        <v>916.0</v>
      </c>
      <c r="I4997" s="3">
        <f t="shared" si="3"/>
        <v>0.2017176833</v>
      </c>
      <c r="J4997" s="2">
        <v>686.0</v>
      </c>
      <c r="K4997" s="3">
        <f t="shared" si="4"/>
        <v>0.1510680467</v>
      </c>
      <c r="L4997" s="2">
        <v>545.0</v>
      </c>
      <c r="M4997" s="3">
        <f t="shared" si="5"/>
        <v>0.5949781659</v>
      </c>
      <c r="N4997" s="2">
        <v>5058300.0</v>
      </c>
      <c r="O4997" s="4">
        <f t="shared" si="6"/>
        <v>5522.161572</v>
      </c>
      <c r="P4997" s="2">
        <v>2.0</v>
      </c>
      <c r="Q4997" s="3">
        <f t="shared" si="7"/>
        <v>0.004854368932</v>
      </c>
      <c r="R4997" s="2">
        <v>84.0</v>
      </c>
      <c r="S4997" s="5">
        <f t="shared" si="8"/>
        <v>0.2038834951</v>
      </c>
    </row>
    <row r="4998">
      <c r="A4998" s="2" t="s">
        <v>5000</v>
      </c>
      <c r="B4998" s="2">
        <v>623.0</v>
      </c>
      <c r="C4998" s="2">
        <v>7196.0</v>
      </c>
      <c r="D4998" s="2">
        <v>2412.0</v>
      </c>
      <c r="E4998" s="3">
        <f t="shared" si="1"/>
        <v>0.366955728</v>
      </c>
      <c r="F4998" s="2">
        <v>812.0</v>
      </c>
      <c r="G4998" s="3">
        <f t="shared" si="2"/>
        <v>0.1235356763</v>
      </c>
      <c r="H4998" s="2">
        <v>1416.0</v>
      </c>
      <c r="I4998" s="3">
        <f t="shared" si="3"/>
        <v>0.2154267458</v>
      </c>
      <c r="J4998" s="2">
        <v>1176.0</v>
      </c>
      <c r="K4998" s="3">
        <f t="shared" si="4"/>
        <v>0.178913738</v>
      </c>
      <c r="L4998" s="2">
        <v>821.0</v>
      </c>
      <c r="M4998" s="3">
        <f t="shared" si="5"/>
        <v>0.5798022599</v>
      </c>
      <c r="N4998" s="2">
        <v>7800300.0</v>
      </c>
      <c r="O4998" s="4">
        <f t="shared" si="6"/>
        <v>5508.686441</v>
      </c>
      <c r="P4998" s="2">
        <v>0.0</v>
      </c>
      <c r="Q4998" s="3">
        <f t="shared" si="7"/>
        <v>0</v>
      </c>
      <c r="R4998" s="2">
        <v>623.0</v>
      </c>
      <c r="S4998" s="5">
        <f t="shared" si="8"/>
        <v>1</v>
      </c>
    </row>
    <row r="4999">
      <c r="A4999" s="2" t="s">
        <v>5001</v>
      </c>
      <c r="B4999" s="2">
        <v>712.0</v>
      </c>
      <c r="C4999" s="2">
        <v>8370.0</v>
      </c>
      <c r="D4999" s="2">
        <v>2747.0</v>
      </c>
      <c r="E4999" s="3">
        <f t="shared" si="1"/>
        <v>0.3587098459</v>
      </c>
      <c r="F4999" s="2">
        <v>946.0</v>
      </c>
      <c r="G4999" s="3">
        <f t="shared" si="2"/>
        <v>0.123530948</v>
      </c>
      <c r="H4999" s="2">
        <v>1602.0</v>
      </c>
      <c r="I4999" s="3">
        <f t="shared" si="3"/>
        <v>0.2091930008</v>
      </c>
      <c r="J4999" s="2">
        <v>1117.0</v>
      </c>
      <c r="K4999" s="3">
        <f t="shared" si="4"/>
        <v>0.145860538</v>
      </c>
      <c r="L4999" s="2">
        <v>996.0</v>
      </c>
      <c r="M4999" s="3">
        <f t="shared" si="5"/>
        <v>0.6217228464</v>
      </c>
      <c r="N4999" s="2">
        <v>8838600.0</v>
      </c>
      <c r="O4999" s="4">
        <f t="shared" si="6"/>
        <v>5517.228464</v>
      </c>
      <c r="P4999" s="2">
        <v>3.0</v>
      </c>
      <c r="Q4999" s="3">
        <f t="shared" si="7"/>
        <v>0.004213483146</v>
      </c>
      <c r="R4999" s="2">
        <v>0.0</v>
      </c>
      <c r="S4999" s="5">
        <f t="shared" si="8"/>
        <v>0</v>
      </c>
    </row>
    <row r="5000">
      <c r="A5000" s="2" t="s">
        <v>5002</v>
      </c>
      <c r="B5000" s="2">
        <v>337.0</v>
      </c>
      <c r="C5000" s="2">
        <v>4045.0</v>
      </c>
      <c r="D5000" s="2">
        <v>1432.0</v>
      </c>
      <c r="E5000" s="3">
        <f t="shared" si="1"/>
        <v>0.3861920173</v>
      </c>
      <c r="F5000" s="2">
        <v>458.0</v>
      </c>
      <c r="G5000" s="3">
        <f t="shared" si="2"/>
        <v>0.1235167206</v>
      </c>
      <c r="H5000" s="2">
        <v>748.0</v>
      </c>
      <c r="I5000" s="3">
        <f t="shared" si="3"/>
        <v>0.2017259978</v>
      </c>
      <c r="J5000" s="2">
        <v>627.0</v>
      </c>
      <c r="K5000" s="3">
        <f t="shared" si="4"/>
        <v>0.1690938511</v>
      </c>
      <c r="L5000" s="2">
        <v>418.0</v>
      </c>
      <c r="M5000" s="3">
        <f t="shared" si="5"/>
        <v>0.5588235294</v>
      </c>
      <c r="N5000" s="2">
        <v>4060600.0</v>
      </c>
      <c r="O5000" s="4">
        <f t="shared" si="6"/>
        <v>5428.609626</v>
      </c>
      <c r="P5000" s="2">
        <v>0.0</v>
      </c>
      <c r="Q5000" s="3">
        <f t="shared" si="7"/>
        <v>0</v>
      </c>
      <c r="R5000" s="2">
        <v>337.0</v>
      </c>
      <c r="S5000" s="5">
        <f t="shared" si="8"/>
        <v>1</v>
      </c>
    </row>
    <row r="5001">
      <c r="A5001" s="2" t="s">
        <v>5003</v>
      </c>
      <c r="B5001" s="2">
        <v>520.0</v>
      </c>
      <c r="C5001" s="2">
        <v>6074.0</v>
      </c>
      <c r="D5001" s="2">
        <v>1988.0</v>
      </c>
      <c r="E5001" s="3">
        <f t="shared" si="1"/>
        <v>0.3579402233</v>
      </c>
      <c r="F5001" s="2">
        <v>686.0</v>
      </c>
      <c r="G5001" s="3">
        <f t="shared" si="2"/>
        <v>0.1235145841</v>
      </c>
      <c r="H5001" s="2">
        <v>1121.0</v>
      </c>
      <c r="I5001" s="3">
        <f t="shared" si="3"/>
        <v>0.2018365142</v>
      </c>
      <c r="J5001" s="2">
        <v>958.0</v>
      </c>
      <c r="K5001" s="3">
        <f t="shared" si="4"/>
        <v>0.1724882967</v>
      </c>
      <c r="L5001" s="2">
        <v>677.0</v>
      </c>
      <c r="M5001" s="3">
        <f t="shared" si="5"/>
        <v>0.6039250669</v>
      </c>
      <c r="N5001" s="2">
        <v>6090600.0</v>
      </c>
      <c r="O5001" s="4">
        <f t="shared" si="6"/>
        <v>5433.184657</v>
      </c>
      <c r="P5001" s="2">
        <v>1.0</v>
      </c>
      <c r="Q5001" s="3">
        <f t="shared" si="7"/>
        <v>0.001923076923</v>
      </c>
      <c r="R5001" s="2">
        <v>57.0</v>
      </c>
      <c r="S5001" s="5">
        <f t="shared" si="8"/>
        <v>0.1096153846</v>
      </c>
    </row>
    <row r="5002">
      <c r="A5002" s="2" t="s">
        <v>5004</v>
      </c>
      <c r="B5002" s="2">
        <v>802.0</v>
      </c>
      <c r="C5002" s="2">
        <v>9465.0</v>
      </c>
      <c r="D5002" s="2">
        <v>2972.0</v>
      </c>
      <c r="E5002" s="3">
        <f t="shared" si="1"/>
        <v>0.3430682212</v>
      </c>
      <c r="F5002" s="2">
        <v>1070.0</v>
      </c>
      <c r="G5002" s="3">
        <f t="shared" si="2"/>
        <v>0.1235137943</v>
      </c>
      <c r="H5002" s="2">
        <v>1815.0</v>
      </c>
      <c r="I5002" s="3">
        <f t="shared" si="3"/>
        <v>0.2095117165</v>
      </c>
      <c r="J5002" s="2">
        <v>1465.0</v>
      </c>
      <c r="K5002" s="3">
        <f t="shared" si="4"/>
        <v>0.1691100081</v>
      </c>
      <c r="L5002" s="2">
        <v>1069.0</v>
      </c>
      <c r="M5002" s="3">
        <f t="shared" si="5"/>
        <v>0.5889807163</v>
      </c>
      <c r="N5002" s="2">
        <v>1.04606E7</v>
      </c>
      <c r="O5002" s="4">
        <f t="shared" si="6"/>
        <v>5763.415978</v>
      </c>
      <c r="P5002" s="2">
        <v>5.0</v>
      </c>
      <c r="Q5002" s="3">
        <f t="shared" si="7"/>
        <v>0.006234413965</v>
      </c>
      <c r="R5002" s="2">
        <v>802.0</v>
      </c>
      <c r="S5002" s="5">
        <f t="shared" si="8"/>
        <v>1</v>
      </c>
    </row>
    <row r="5003">
      <c r="A5003" s="2" t="s">
        <v>5005</v>
      </c>
      <c r="B5003" s="2">
        <v>930.0</v>
      </c>
      <c r="C5003" s="2">
        <v>10937.0</v>
      </c>
      <c r="D5003" s="2">
        <v>4070.0</v>
      </c>
      <c r="E5003" s="3">
        <f t="shared" si="1"/>
        <v>0.4067152993</v>
      </c>
      <c r="F5003" s="2">
        <v>1236.0</v>
      </c>
      <c r="G5003" s="3">
        <f t="shared" si="2"/>
        <v>0.1235135405</v>
      </c>
      <c r="H5003" s="2">
        <v>2126.0</v>
      </c>
      <c r="I5003" s="3">
        <f t="shared" si="3"/>
        <v>0.2124512841</v>
      </c>
      <c r="J5003" s="2">
        <v>1523.0</v>
      </c>
      <c r="K5003" s="3">
        <f t="shared" si="4"/>
        <v>0.1521934646</v>
      </c>
      <c r="L5003" s="2">
        <v>1254.0</v>
      </c>
      <c r="M5003" s="3">
        <f t="shared" si="5"/>
        <v>0.5898400753</v>
      </c>
      <c r="N5003" s="2">
        <v>1.11959E7</v>
      </c>
      <c r="O5003" s="4">
        <f t="shared" si="6"/>
        <v>5266.180621</v>
      </c>
      <c r="P5003" s="2">
        <v>3.0</v>
      </c>
      <c r="Q5003" s="3">
        <f t="shared" si="7"/>
        <v>0.003225806452</v>
      </c>
      <c r="R5003" s="2">
        <v>0.0</v>
      </c>
      <c r="S5003" s="5">
        <f t="shared" si="8"/>
        <v>0</v>
      </c>
    </row>
    <row r="5004">
      <c r="A5004" s="2" t="s">
        <v>5006</v>
      </c>
      <c r="B5004" s="2">
        <v>771.0</v>
      </c>
      <c r="C5004" s="2">
        <v>9054.0</v>
      </c>
      <c r="D5004" s="2">
        <v>2688.0</v>
      </c>
      <c r="E5004" s="3">
        <f t="shared" si="1"/>
        <v>0.3245201014</v>
      </c>
      <c r="F5004" s="2">
        <v>1023.0</v>
      </c>
      <c r="G5004" s="3">
        <f t="shared" si="2"/>
        <v>0.1235059761</v>
      </c>
      <c r="H5004" s="2">
        <v>1705.0</v>
      </c>
      <c r="I5004" s="3">
        <f t="shared" si="3"/>
        <v>0.2058432935</v>
      </c>
      <c r="J5004" s="2">
        <v>1574.0</v>
      </c>
      <c r="K5004" s="3">
        <f t="shared" si="4"/>
        <v>0.1900277677</v>
      </c>
      <c r="L5004" s="2">
        <v>1020.0</v>
      </c>
      <c r="M5004" s="3">
        <f t="shared" si="5"/>
        <v>0.5982404692</v>
      </c>
      <c r="N5004" s="2">
        <v>9560600.0</v>
      </c>
      <c r="O5004" s="4">
        <f t="shared" si="6"/>
        <v>5607.390029</v>
      </c>
      <c r="P5004" s="2">
        <v>1.0</v>
      </c>
      <c r="Q5004" s="3">
        <f t="shared" si="7"/>
        <v>0.001297016861</v>
      </c>
      <c r="R5004" s="2">
        <v>770.0</v>
      </c>
      <c r="S5004" s="5">
        <f t="shared" si="8"/>
        <v>0.9987029831</v>
      </c>
    </row>
    <row r="5005">
      <c r="A5005" s="2" t="s">
        <v>5007</v>
      </c>
      <c r="B5005" s="2">
        <v>95.0</v>
      </c>
      <c r="C5005" s="2">
        <v>1075.0</v>
      </c>
      <c r="D5005" s="2">
        <v>345.0</v>
      </c>
      <c r="E5005" s="3">
        <f t="shared" si="1"/>
        <v>0.3520408163</v>
      </c>
      <c r="F5005" s="2">
        <v>121.0</v>
      </c>
      <c r="G5005" s="3">
        <f t="shared" si="2"/>
        <v>0.1234693878</v>
      </c>
      <c r="H5005" s="2">
        <v>180.0</v>
      </c>
      <c r="I5005" s="3">
        <f t="shared" si="3"/>
        <v>0.1836734694</v>
      </c>
      <c r="J5005" s="2">
        <v>193.0</v>
      </c>
      <c r="K5005" s="3">
        <f t="shared" si="4"/>
        <v>0.1969387755</v>
      </c>
      <c r="L5005" s="2">
        <v>107.0</v>
      </c>
      <c r="M5005" s="3">
        <f t="shared" si="5"/>
        <v>0.5944444444</v>
      </c>
      <c r="N5005" s="2">
        <v>964100.0</v>
      </c>
      <c r="O5005" s="4">
        <f t="shared" si="6"/>
        <v>5356.111111</v>
      </c>
      <c r="P5005" s="2">
        <v>1.0</v>
      </c>
      <c r="Q5005" s="3">
        <f t="shared" si="7"/>
        <v>0.01052631579</v>
      </c>
      <c r="R5005" s="2">
        <v>95.0</v>
      </c>
      <c r="S5005" s="5">
        <f t="shared" si="8"/>
        <v>1</v>
      </c>
    </row>
    <row r="5006">
      <c r="A5006" s="2" t="s">
        <v>5008</v>
      </c>
      <c r="B5006" s="2">
        <v>1318.0</v>
      </c>
      <c r="C5006" s="2">
        <v>15605.0</v>
      </c>
      <c r="D5006" s="2">
        <v>4419.0</v>
      </c>
      <c r="E5006" s="3">
        <f t="shared" si="1"/>
        <v>0.3093021628</v>
      </c>
      <c r="F5006" s="2">
        <v>1764.0</v>
      </c>
      <c r="G5006" s="3">
        <f t="shared" si="2"/>
        <v>0.1234688878</v>
      </c>
      <c r="H5006" s="2">
        <v>2968.0</v>
      </c>
      <c r="I5006" s="3">
        <f t="shared" si="3"/>
        <v>0.2077413033</v>
      </c>
      <c r="J5006" s="2">
        <v>2489.0</v>
      </c>
      <c r="K5006" s="3">
        <f t="shared" si="4"/>
        <v>0.1742143207</v>
      </c>
      <c r="L5006" s="2">
        <v>1813.0</v>
      </c>
      <c r="M5006" s="3">
        <f t="shared" si="5"/>
        <v>0.6108490566</v>
      </c>
      <c r="N5006" s="2">
        <v>1.74479E7</v>
      </c>
      <c r="O5006" s="4">
        <f t="shared" si="6"/>
        <v>5878.672507</v>
      </c>
      <c r="P5006" s="2">
        <v>2.0</v>
      </c>
      <c r="Q5006" s="3">
        <f t="shared" si="7"/>
        <v>0.001517450683</v>
      </c>
      <c r="R5006" s="2">
        <v>0.0</v>
      </c>
      <c r="S5006" s="5">
        <f t="shared" si="8"/>
        <v>0</v>
      </c>
    </row>
    <row r="5007">
      <c r="A5007" s="2" t="s">
        <v>5009</v>
      </c>
      <c r="B5007" s="2">
        <v>674.0</v>
      </c>
      <c r="C5007" s="2">
        <v>7842.0</v>
      </c>
      <c r="D5007" s="2">
        <v>2748.0</v>
      </c>
      <c r="E5007" s="3">
        <f t="shared" si="1"/>
        <v>0.3833705357</v>
      </c>
      <c r="F5007" s="2">
        <v>885.0</v>
      </c>
      <c r="G5007" s="3">
        <f t="shared" si="2"/>
        <v>0.1234654018</v>
      </c>
      <c r="H5007" s="2">
        <v>1581.0</v>
      </c>
      <c r="I5007" s="3">
        <f t="shared" si="3"/>
        <v>0.2205636161</v>
      </c>
      <c r="J5007" s="2">
        <v>1253.0</v>
      </c>
      <c r="K5007" s="3">
        <f t="shared" si="4"/>
        <v>0.1748046875</v>
      </c>
      <c r="L5007" s="2">
        <v>929.0</v>
      </c>
      <c r="M5007" s="3">
        <f t="shared" si="5"/>
        <v>0.587602783</v>
      </c>
      <c r="N5007" s="2">
        <v>8894400.0</v>
      </c>
      <c r="O5007" s="4">
        <f t="shared" si="6"/>
        <v>5625.806452</v>
      </c>
      <c r="P5007" s="2">
        <v>3.0</v>
      </c>
      <c r="Q5007" s="3">
        <f t="shared" si="7"/>
        <v>0.004451038576</v>
      </c>
      <c r="R5007" s="2">
        <v>0.0</v>
      </c>
      <c r="S5007" s="5">
        <f t="shared" si="8"/>
        <v>0</v>
      </c>
    </row>
    <row r="5008">
      <c r="A5008" s="2" t="s">
        <v>5010</v>
      </c>
      <c r="B5008" s="2">
        <v>780.0</v>
      </c>
      <c r="C5008" s="2">
        <v>9066.0</v>
      </c>
      <c r="D5008" s="2">
        <v>3011.0</v>
      </c>
      <c r="E5008" s="3">
        <f t="shared" si="1"/>
        <v>0.3633840212</v>
      </c>
      <c r="F5008" s="2">
        <v>1023.0</v>
      </c>
      <c r="G5008" s="3">
        <f t="shared" si="2"/>
        <v>0.12346126</v>
      </c>
      <c r="H5008" s="2">
        <v>1655.0</v>
      </c>
      <c r="I5008" s="3">
        <f t="shared" si="3"/>
        <v>0.1997344919</v>
      </c>
      <c r="J5008" s="2">
        <v>1444.0</v>
      </c>
      <c r="K5008" s="3">
        <f t="shared" si="4"/>
        <v>0.1742698528</v>
      </c>
      <c r="L5008" s="2">
        <v>963.0</v>
      </c>
      <c r="M5008" s="3">
        <f t="shared" si="5"/>
        <v>0.5818731118</v>
      </c>
      <c r="N5008" s="2">
        <v>9472100.0</v>
      </c>
      <c r="O5008" s="4">
        <f t="shared" si="6"/>
        <v>5723.323263</v>
      </c>
      <c r="P5008" s="2">
        <v>0.0</v>
      </c>
      <c r="Q5008" s="3">
        <f t="shared" si="7"/>
        <v>0</v>
      </c>
      <c r="R5008" s="2">
        <v>374.0</v>
      </c>
      <c r="S5008" s="5">
        <f t="shared" si="8"/>
        <v>0.4794871795</v>
      </c>
    </row>
    <row r="5009">
      <c r="A5009" s="2" t="s">
        <v>5011</v>
      </c>
      <c r="B5009" s="2">
        <v>45.0</v>
      </c>
      <c r="C5009" s="2">
        <v>531.0</v>
      </c>
      <c r="D5009" s="2">
        <v>150.0</v>
      </c>
      <c r="E5009" s="3">
        <f t="shared" si="1"/>
        <v>0.3086419753</v>
      </c>
      <c r="F5009" s="2">
        <v>60.0</v>
      </c>
      <c r="G5009" s="3">
        <f t="shared" si="2"/>
        <v>0.1234567901</v>
      </c>
      <c r="H5009" s="2">
        <v>97.0</v>
      </c>
      <c r="I5009" s="3">
        <f t="shared" si="3"/>
        <v>0.1995884774</v>
      </c>
      <c r="J5009" s="2">
        <v>85.0</v>
      </c>
      <c r="K5009" s="3">
        <f t="shared" si="4"/>
        <v>0.1748971193</v>
      </c>
      <c r="L5009" s="2">
        <v>54.0</v>
      </c>
      <c r="M5009" s="3">
        <f t="shared" si="5"/>
        <v>0.5567010309</v>
      </c>
      <c r="N5009" s="2">
        <v>534800.0</v>
      </c>
      <c r="O5009" s="4">
        <f t="shared" si="6"/>
        <v>5513.402062</v>
      </c>
      <c r="P5009" s="2">
        <v>0.0</v>
      </c>
      <c r="Q5009" s="3">
        <f t="shared" si="7"/>
        <v>0</v>
      </c>
      <c r="R5009" s="2">
        <v>45.0</v>
      </c>
      <c r="S5009" s="5">
        <f t="shared" si="8"/>
        <v>1</v>
      </c>
    </row>
    <row r="5010">
      <c r="A5010" s="2" t="s">
        <v>5012</v>
      </c>
      <c r="B5010" s="2">
        <v>773.0</v>
      </c>
      <c r="C5010" s="2">
        <v>9157.0</v>
      </c>
      <c r="D5010" s="2">
        <v>2854.0</v>
      </c>
      <c r="E5010" s="3">
        <f t="shared" si="1"/>
        <v>0.3404103053</v>
      </c>
      <c r="F5010" s="2">
        <v>1035.0</v>
      </c>
      <c r="G5010" s="3">
        <f t="shared" si="2"/>
        <v>0.1234494275</v>
      </c>
      <c r="H5010" s="2">
        <v>1699.0</v>
      </c>
      <c r="I5010" s="3">
        <f t="shared" si="3"/>
        <v>0.2026479008</v>
      </c>
      <c r="J5010" s="2">
        <v>1412.0</v>
      </c>
      <c r="K5010" s="3">
        <f t="shared" si="4"/>
        <v>0.1684160305</v>
      </c>
      <c r="L5010" s="2">
        <v>1073.0</v>
      </c>
      <c r="M5010" s="3">
        <f t="shared" si="5"/>
        <v>0.6315479694</v>
      </c>
      <c r="N5010" s="2">
        <v>9725100.0</v>
      </c>
      <c r="O5010" s="4">
        <f t="shared" si="6"/>
        <v>5724.014126</v>
      </c>
      <c r="P5010" s="2">
        <v>1.0</v>
      </c>
      <c r="Q5010" s="3">
        <f t="shared" si="7"/>
        <v>0.001293661061</v>
      </c>
      <c r="R5010" s="2">
        <v>739.0</v>
      </c>
      <c r="S5010" s="5">
        <f t="shared" si="8"/>
        <v>0.9560155239</v>
      </c>
    </row>
    <row r="5011">
      <c r="A5011" s="2" t="s">
        <v>5013</v>
      </c>
      <c r="B5011" s="2">
        <v>2073.0</v>
      </c>
      <c r="C5011" s="2">
        <v>24052.0</v>
      </c>
      <c r="D5011" s="2">
        <v>7910.0</v>
      </c>
      <c r="E5011" s="3">
        <f t="shared" si="1"/>
        <v>0.3598889849</v>
      </c>
      <c r="F5011" s="2">
        <v>2713.0</v>
      </c>
      <c r="G5011" s="3">
        <f t="shared" si="2"/>
        <v>0.1234360071</v>
      </c>
      <c r="H5011" s="2">
        <v>4816.0</v>
      </c>
      <c r="I5011" s="3">
        <f t="shared" si="3"/>
        <v>0.2191182492</v>
      </c>
      <c r="J5011" s="2">
        <v>3994.0</v>
      </c>
      <c r="K5011" s="3">
        <f t="shared" si="4"/>
        <v>0.1817189135</v>
      </c>
      <c r="L5011" s="2">
        <v>2852.0</v>
      </c>
      <c r="M5011" s="3">
        <f t="shared" si="5"/>
        <v>0.592192691</v>
      </c>
      <c r="N5011" s="2">
        <v>2.73869E7</v>
      </c>
      <c r="O5011" s="4">
        <f t="shared" si="6"/>
        <v>5686.648671</v>
      </c>
      <c r="P5011" s="2">
        <v>3.0</v>
      </c>
      <c r="Q5011" s="3">
        <f t="shared" si="7"/>
        <v>0.001447178003</v>
      </c>
      <c r="R5011" s="2">
        <v>2042.0</v>
      </c>
      <c r="S5011" s="5">
        <f t="shared" si="8"/>
        <v>0.9850458273</v>
      </c>
    </row>
    <row r="5012">
      <c r="A5012" s="2" t="s">
        <v>5014</v>
      </c>
      <c r="B5012" s="2">
        <v>321.0</v>
      </c>
      <c r="C5012" s="2">
        <v>3902.0</v>
      </c>
      <c r="D5012" s="2">
        <v>1355.0</v>
      </c>
      <c r="E5012" s="3">
        <f t="shared" si="1"/>
        <v>0.3783859257</v>
      </c>
      <c r="F5012" s="2">
        <v>442.0</v>
      </c>
      <c r="G5012" s="3">
        <f t="shared" si="2"/>
        <v>0.1234292097</v>
      </c>
      <c r="H5012" s="2">
        <v>735.0</v>
      </c>
      <c r="I5012" s="3">
        <f t="shared" si="3"/>
        <v>0.2052499302</v>
      </c>
      <c r="J5012" s="2">
        <v>560.0</v>
      </c>
      <c r="K5012" s="3">
        <f t="shared" si="4"/>
        <v>0.1563808992</v>
      </c>
      <c r="L5012" s="2">
        <v>411.0</v>
      </c>
      <c r="M5012" s="3">
        <f t="shared" si="5"/>
        <v>0.5591836735</v>
      </c>
      <c r="N5012" s="2">
        <v>3857700.0</v>
      </c>
      <c r="O5012" s="4">
        <f t="shared" si="6"/>
        <v>5248.571429</v>
      </c>
      <c r="P5012" s="2">
        <v>1.0</v>
      </c>
      <c r="Q5012" s="3">
        <f t="shared" si="7"/>
        <v>0.003115264798</v>
      </c>
      <c r="R5012" s="2">
        <v>6.0</v>
      </c>
      <c r="S5012" s="5">
        <f t="shared" si="8"/>
        <v>0.01869158879</v>
      </c>
    </row>
    <row r="5013">
      <c r="A5013" s="2" t="s">
        <v>5015</v>
      </c>
      <c r="B5013" s="2">
        <v>2539.0</v>
      </c>
      <c r="C5013" s="2">
        <v>29940.0</v>
      </c>
      <c r="D5013" s="2">
        <v>9799.0</v>
      </c>
      <c r="E5013" s="3">
        <f t="shared" si="1"/>
        <v>0.3576146856</v>
      </c>
      <c r="F5013" s="2">
        <v>3382.0</v>
      </c>
      <c r="G5013" s="3">
        <f t="shared" si="2"/>
        <v>0.1234261523</v>
      </c>
      <c r="H5013" s="2">
        <v>6145.0</v>
      </c>
      <c r="I5013" s="3">
        <f t="shared" si="3"/>
        <v>0.2242618883</v>
      </c>
      <c r="J5013" s="2">
        <v>4515.0</v>
      </c>
      <c r="K5013" s="3">
        <f t="shared" si="4"/>
        <v>0.1647750082</v>
      </c>
      <c r="L5013" s="2">
        <v>3673.0</v>
      </c>
      <c r="M5013" s="3">
        <f t="shared" si="5"/>
        <v>0.597721725</v>
      </c>
      <c r="N5013" s="2">
        <v>3.26998E7</v>
      </c>
      <c r="O5013" s="4">
        <f t="shared" si="6"/>
        <v>5321.366965</v>
      </c>
      <c r="P5013" s="2">
        <v>2.0</v>
      </c>
      <c r="Q5013" s="3">
        <f t="shared" si="7"/>
        <v>0.0007877116975</v>
      </c>
      <c r="R5013" s="2">
        <v>2539.0</v>
      </c>
      <c r="S5013" s="5">
        <f t="shared" si="8"/>
        <v>1</v>
      </c>
    </row>
    <row r="5014">
      <c r="A5014" s="2" t="s">
        <v>5016</v>
      </c>
      <c r="B5014" s="2">
        <v>485.0</v>
      </c>
      <c r="C5014" s="2">
        <v>5557.0</v>
      </c>
      <c r="D5014" s="2">
        <v>1431.0</v>
      </c>
      <c r="E5014" s="3">
        <f t="shared" si="1"/>
        <v>0.282137224</v>
      </c>
      <c r="F5014" s="2">
        <v>626.0</v>
      </c>
      <c r="G5014" s="3">
        <f t="shared" si="2"/>
        <v>0.1234227129</v>
      </c>
      <c r="H5014" s="2">
        <v>1046.0</v>
      </c>
      <c r="I5014" s="3">
        <f t="shared" si="3"/>
        <v>0.2062302839</v>
      </c>
      <c r="J5014" s="2">
        <v>827.0</v>
      </c>
      <c r="K5014" s="3">
        <f t="shared" si="4"/>
        <v>0.1630520505</v>
      </c>
      <c r="L5014" s="2">
        <v>625.0</v>
      </c>
      <c r="M5014" s="3">
        <f t="shared" si="5"/>
        <v>0.5975143403</v>
      </c>
      <c r="N5014" s="2">
        <v>6094500.0</v>
      </c>
      <c r="O5014" s="4">
        <f t="shared" si="6"/>
        <v>5826.481836</v>
      </c>
      <c r="P5014" s="2">
        <v>2.0</v>
      </c>
      <c r="Q5014" s="3">
        <f t="shared" si="7"/>
        <v>0.00412371134</v>
      </c>
      <c r="R5014" s="2">
        <v>485.0</v>
      </c>
      <c r="S5014" s="5">
        <f t="shared" si="8"/>
        <v>1</v>
      </c>
    </row>
    <row r="5015">
      <c r="A5015" s="2" t="s">
        <v>5017</v>
      </c>
      <c r="B5015" s="2">
        <v>694.0</v>
      </c>
      <c r="C5015" s="2">
        <v>8116.0</v>
      </c>
      <c r="D5015" s="2">
        <v>2099.0</v>
      </c>
      <c r="E5015" s="3">
        <f t="shared" si="1"/>
        <v>0.2828078685</v>
      </c>
      <c r="F5015" s="2">
        <v>916.0</v>
      </c>
      <c r="G5015" s="3">
        <f t="shared" si="2"/>
        <v>0.1234168688</v>
      </c>
      <c r="H5015" s="2">
        <v>1570.0</v>
      </c>
      <c r="I5015" s="3">
        <f t="shared" si="3"/>
        <v>0.2115332794</v>
      </c>
      <c r="J5015" s="2">
        <v>1163.0</v>
      </c>
      <c r="K5015" s="3">
        <f t="shared" si="4"/>
        <v>0.1566963083</v>
      </c>
      <c r="L5015" s="2">
        <v>947.0</v>
      </c>
      <c r="M5015" s="3">
        <f t="shared" si="5"/>
        <v>0.6031847134</v>
      </c>
      <c r="N5015" s="2">
        <v>8620500.0</v>
      </c>
      <c r="O5015" s="4">
        <f t="shared" si="6"/>
        <v>5490.764331</v>
      </c>
      <c r="P5015" s="2">
        <v>5.0</v>
      </c>
      <c r="Q5015" s="3">
        <f t="shared" si="7"/>
        <v>0.007204610951</v>
      </c>
      <c r="R5015" s="2">
        <v>0.0</v>
      </c>
      <c r="S5015" s="5">
        <f t="shared" si="8"/>
        <v>0</v>
      </c>
    </row>
    <row r="5016">
      <c r="A5016" s="2" t="s">
        <v>5018</v>
      </c>
      <c r="B5016" s="2">
        <v>230.0</v>
      </c>
      <c r="C5016" s="2">
        <v>2750.0</v>
      </c>
      <c r="D5016" s="2">
        <v>859.0</v>
      </c>
      <c r="E5016" s="3">
        <f t="shared" si="1"/>
        <v>0.3408730159</v>
      </c>
      <c r="F5016" s="2">
        <v>311.0</v>
      </c>
      <c r="G5016" s="3">
        <f t="shared" si="2"/>
        <v>0.1234126984</v>
      </c>
      <c r="H5016" s="2">
        <v>488.0</v>
      </c>
      <c r="I5016" s="3">
        <f t="shared" si="3"/>
        <v>0.1936507937</v>
      </c>
      <c r="J5016" s="2">
        <v>379.0</v>
      </c>
      <c r="K5016" s="3">
        <f t="shared" si="4"/>
        <v>0.1503968254</v>
      </c>
      <c r="L5016" s="2">
        <v>280.0</v>
      </c>
      <c r="M5016" s="3">
        <f t="shared" si="5"/>
        <v>0.5737704918</v>
      </c>
      <c r="N5016" s="2">
        <v>2909400.0</v>
      </c>
      <c r="O5016" s="4">
        <f t="shared" si="6"/>
        <v>5961.885246</v>
      </c>
      <c r="P5016" s="2">
        <v>0.0</v>
      </c>
      <c r="Q5016" s="3">
        <f t="shared" si="7"/>
        <v>0</v>
      </c>
      <c r="R5016" s="2">
        <v>230.0</v>
      </c>
      <c r="S5016" s="5">
        <f t="shared" si="8"/>
        <v>1</v>
      </c>
    </row>
    <row r="5017">
      <c r="A5017" s="2" t="s">
        <v>5019</v>
      </c>
      <c r="B5017" s="2">
        <v>22.0</v>
      </c>
      <c r="C5017" s="2">
        <v>257.0</v>
      </c>
      <c r="D5017" s="2">
        <v>83.0</v>
      </c>
      <c r="E5017" s="3">
        <f t="shared" si="1"/>
        <v>0.3531914894</v>
      </c>
      <c r="F5017" s="2">
        <v>29.0</v>
      </c>
      <c r="G5017" s="3">
        <f t="shared" si="2"/>
        <v>0.1234042553</v>
      </c>
      <c r="H5017" s="2">
        <v>44.0</v>
      </c>
      <c r="I5017" s="3">
        <f t="shared" si="3"/>
        <v>0.1872340426</v>
      </c>
      <c r="J5017" s="2">
        <v>30.0</v>
      </c>
      <c r="K5017" s="3">
        <f t="shared" si="4"/>
        <v>0.1276595745</v>
      </c>
      <c r="L5017" s="2">
        <v>29.0</v>
      </c>
      <c r="M5017" s="3">
        <f t="shared" si="5"/>
        <v>0.6590909091</v>
      </c>
      <c r="N5017" s="2">
        <v>230100.0</v>
      </c>
      <c r="O5017" s="4">
        <f t="shared" si="6"/>
        <v>5229.545455</v>
      </c>
      <c r="P5017" s="2">
        <v>0.0</v>
      </c>
      <c r="Q5017" s="3">
        <f t="shared" si="7"/>
        <v>0</v>
      </c>
      <c r="R5017" s="2">
        <v>22.0</v>
      </c>
      <c r="S5017" s="5">
        <f t="shared" si="8"/>
        <v>1</v>
      </c>
    </row>
    <row r="5018">
      <c r="A5018" s="2" t="s">
        <v>5020</v>
      </c>
      <c r="B5018" s="2">
        <v>514.0</v>
      </c>
      <c r="C5018" s="2">
        <v>6146.0</v>
      </c>
      <c r="D5018" s="2">
        <v>1943.0</v>
      </c>
      <c r="E5018" s="3">
        <f t="shared" si="1"/>
        <v>0.3449928977</v>
      </c>
      <c r="F5018" s="2">
        <v>695.0</v>
      </c>
      <c r="G5018" s="3">
        <f t="shared" si="2"/>
        <v>0.1234019886</v>
      </c>
      <c r="H5018" s="2">
        <v>1159.0</v>
      </c>
      <c r="I5018" s="3">
        <f t="shared" si="3"/>
        <v>0.2057883523</v>
      </c>
      <c r="J5018" s="2">
        <v>921.0</v>
      </c>
      <c r="K5018" s="3">
        <f t="shared" si="4"/>
        <v>0.1635298295</v>
      </c>
      <c r="L5018" s="2">
        <v>683.0</v>
      </c>
      <c r="M5018" s="3">
        <f t="shared" si="5"/>
        <v>0.5893011217</v>
      </c>
      <c r="N5018" s="2">
        <v>6731100.0</v>
      </c>
      <c r="O5018" s="4">
        <f t="shared" si="6"/>
        <v>5807.679034</v>
      </c>
      <c r="P5018" s="2">
        <v>5.0</v>
      </c>
      <c r="Q5018" s="3">
        <f t="shared" si="7"/>
        <v>0.009727626459</v>
      </c>
      <c r="R5018" s="2">
        <v>456.0</v>
      </c>
      <c r="S5018" s="5">
        <f t="shared" si="8"/>
        <v>0.8871595331</v>
      </c>
    </row>
    <row r="5019">
      <c r="A5019" s="2" t="s">
        <v>5021</v>
      </c>
      <c r="B5019" s="2">
        <v>144.0</v>
      </c>
      <c r="C5019" s="2">
        <v>1708.0</v>
      </c>
      <c r="D5019" s="2">
        <v>539.0</v>
      </c>
      <c r="E5019" s="3">
        <f t="shared" si="1"/>
        <v>0.344629156</v>
      </c>
      <c r="F5019" s="2">
        <v>193.0</v>
      </c>
      <c r="G5019" s="3">
        <f t="shared" si="2"/>
        <v>0.1234015345</v>
      </c>
      <c r="H5019" s="2">
        <v>295.0</v>
      </c>
      <c r="I5019" s="3">
        <f t="shared" si="3"/>
        <v>0.1886189258</v>
      </c>
      <c r="J5019" s="2">
        <v>216.0</v>
      </c>
      <c r="K5019" s="3">
        <f t="shared" si="4"/>
        <v>0.1381074169</v>
      </c>
      <c r="L5019" s="2">
        <v>181.0</v>
      </c>
      <c r="M5019" s="3">
        <f t="shared" si="5"/>
        <v>0.613559322</v>
      </c>
      <c r="N5019" s="2">
        <v>1624200.0</v>
      </c>
      <c r="O5019" s="4">
        <f t="shared" si="6"/>
        <v>5505.762712</v>
      </c>
      <c r="P5019" s="2">
        <v>0.0</v>
      </c>
      <c r="Q5019" s="3">
        <f t="shared" si="7"/>
        <v>0</v>
      </c>
      <c r="R5019" s="2">
        <v>0.0</v>
      </c>
      <c r="S5019" s="5">
        <f t="shared" si="8"/>
        <v>0</v>
      </c>
    </row>
    <row r="5020">
      <c r="A5020" s="2" t="s">
        <v>5022</v>
      </c>
      <c r="B5020" s="2">
        <v>1167.0</v>
      </c>
      <c r="C5020" s="2">
        <v>13671.0</v>
      </c>
      <c r="D5020" s="2">
        <v>4984.0</v>
      </c>
      <c r="E5020" s="3">
        <f t="shared" si="1"/>
        <v>0.3985924504</v>
      </c>
      <c r="F5020" s="2">
        <v>1543.0</v>
      </c>
      <c r="G5020" s="3">
        <f t="shared" si="2"/>
        <v>0.1234005118</v>
      </c>
      <c r="H5020" s="2">
        <v>2654.0</v>
      </c>
      <c r="I5020" s="3">
        <f t="shared" si="3"/>
        <v>0.2122520793</v>
      </c>
      <c r="J5020" s="2">
        <v>1885.0</v>
      </c>
      <c r="K5020" s="3">
        <f t="shared" si="4"/>
        <v>0.1507517594</v>
      </c>
      <c r="L5020" s="2">
        <v>1620.0</v>
      </c>
      <c r="M5020" s="3">
        <f t="shared" si="5"/>
        <v>0.6103993971</v>
      </c>
      <c r="N5020" s="2">
        <v>1.43286E7</v>
      </c>
      <c r="O5020" s="4">
        <f t="shared" si="6"/>
        <v>5398.869631</v>
      </c>
      <c r="P5020" s="2">
        <v>4.0</v>
      </c>
      <c r="Q5020" s="3">
        <f t="shared" si="7"/>
        <v>0.003427592117</v>
      </c>
      <c r="R5020" s="2">
        <v>1167.0</v>
      </c>
      <c r="S5020" s="5">
        <f t="shared" si="8"/>
        <v>1</v>
      </c>
    </row>
    <row r="5021">
      <c r="A5021" s="2" t="s">
        <v>5023</v>
      </c>
      <c r="B5021" s="2">
        <v>1016.0</v>
      </c>
      <c r="C5021" s="2">
        <v>11786.0</v>
      </c>
      <c r="D5021" s="2">
        <v>4740.0</v>
      </c>
      <c r="E5021" s="3">
        <f t="shared" si="1"/>
        <v>0.4401114206</v>
      </c>
      <c r="F5021" s="2">
        <v>1329.0</v>
      </c>
      <c r="G5021" s="3">
        <f t="shared" si="2"/>
        <v>0.1233983287</v>
      </c>
      <c r="H5021" s="2">
        <v>2407.0</v>
      </c>
      <c r="I5021" s="3">
        <f t="shared" si="3"/>
        <v>0.2234911792</v>
      </c>
      <c r="J5021" s="2">
        <v>1863.0</v>
      </c>
      <c r="K5021" s="3">
        <f t="shared" si="4"/>
        <v>0.1729805014</v>
      </c>
      <c r="L5021" s="2">
        <v>1377.0</v>
      </c>
      <c r="M5021" s="3">
        <f t="shared" si="5"/>
        <v>0.5720814292</v>
      </c>
      <c r="N5021" s="2">
        <v>1.30662E7</v>
      </c>
      <c r="O5021" s="4">
        <f t="shared" si="6"/>
        <v>5428.417117</v>
      </c>
      <c r="P5021" s="2">
        <v>5.0</v>
      </c>
      <c r="Q5021" s="3">
        <f t="shared" si="7"/>
        <v>0.004921259843</v>
      </c>
      <c r="R5021" s="2">
        <v>5.0</v>
      </c>
      <c r="S5021" s="5">
        <f t="shared" si="8"/>
        <v>0.004921259843</v>
      </c>
    </row>
    <row r="5022">
      <c r="A5022" s="2" t="s">
        <v>5024</v>
      </c>
      <c r="B5022" s="2">
        <v>130.0</v>
      </c>
      <c r="C5022" s="2">
        <v>1532.0</v>
      </c>
      <c r="D5022" s="2">
        <v>451.0</v>
      </c>
      <c r="E5022" s="3">
        <f t="shared" si="1"/>
        <v>0.3216833096</v>
      </c>
      <c r="F5022" s="2">
        <v>173.0</v>
      </c>
      <c r="G5022" s="3">
        <f t="shared" si="2"/>
        <v>0.1233951498</v>
      </c>
      <c r="H5022" s="2">
        <v>276.0</v>
      </c>
      <c r="I5022" s="3">
        <f t="shared" si="3"/>
        <v>0.1968616262</v>
      </c>
      <c r="J5022" s="2">
        <v>260.0</v>
      </c>
      <c r="K5022" s="3">
        <f t="shared" si="4"/>
        <v>0.1854493581</v>
      </c>
      <c r="L5022" s="2">
        <v>158.0</v>
      </c>
      <c r="M5022" s="3">
        <f t="shared" si="5"/>
        <v>0.5724637681</v>
      </c>
      <c r="N5022" s="2">
        <v>1690200.0</v>
      </c>
      <c r="O5022" s="4">
        <f t="shared" si="6"/>
        <v>6123.913043</v>
      </c>
      <c r="P5022" s="2">
        <v>0.0</v>
      </c>
      <c r="Q5022" s="3">
        <f t="shared" si="7"/>
        <v>0</v>
      </c>
      <c r="R5022" s="2">
        <v>130.0</v>
      </c>
      <c r="S5022" s="5">
        <f t="shared" si="8"/>
        <v>1</v>
      </c>
    </row>
    <row r="5023">
      <c r="A5023" s="2" t="s">
        <v>5025</v>
      </c>
      <c r="B5023" s="2">
        <v>36.0</v>
      </c>
      <c r="C5023" s="2">
        <v>425.0</v>
      </c>
      <c r="D5023" s="2">
        <v>164.0</v>
      </c>
      <c r="E5023" s="3">
        <f t="shared" si="1"/>
        <v>0.4215938303</v>
      </c>
      <c r="F5023" s="2">
        <v>48.0</v>
      </c>
      <c r="G5023" s="3">
        <f t="shared" si="2"/>
        <v>0.1233933162</v>
      </c>
      <c r="H5023" s="2">
        <v>78.0</v>
      </c>
      <c r="I5023" s="3">
        <f t="shared" si="3"/>
        <v>0.2005141388</v>
      </c>
      <c r="J5023" s="2">
        <v>66.0</v>
      </c>
      <c r="K5023" s="3">
        <f t="shared" si="4"/>
        <v>0.1696658098</v>
      </c>
      <c r="L5023" s="2">
        <v>45.0</v>
      </c>
      <c r="M5023" s="3">
        <f t="shared" si="5"/>
        <v>0.5769230769</v>
      </c>
      <c r="N5023" s="2">
        <v>406900.0</v>
      </c>
      <c r="O5023" s="4">
        <f t="shared" si="6"/>
        <v>5216.666667</v>
      </c>
      <c r="P5023" s="2">
        <v>0.0</v>
      </c>
      <c r="Q5023" s="3">
        <f t="shared" si="7"/>
        <v>0</v>
      </c>
      <c r="R5023" s="2">
        <v>36.0</v>
      </c>
      <c r="S5023" s="5">
        <f t="shared" si="8"/>
        <v>1</v>
      </c>
    </row>
    <row r="5024">
      <c r="A5024" s="2" t="s">
        <v>5026</v>
      </c>
      <c r="B5024" s="2">
        <v>1904.0</v>
      </c>
      <c r="C5024" s="2">
        <v>22278.0</v>
      </c>
      <c r="D5024" s="2">
        <v>7447.0</v>
      </c>
      <c r="E5024" s="3">
        <f t="shared" si="1"/>
        <v>0.3655148719</v>
      </c>
      <c r="F5024" s="2">
        <v>2514.0</v>
      </c>
      <c r="G5024" s="3">
        <f t="shared" si="2"/>
        <v>0.1233925591</v>
      </c>
      <c r="H5024" s="2">
        <v>4093.0</v>
      </c>
      <c r="I5024" s="3">
        <f t="shared" si="3"/>
        <v>0.2008932954</v>
      </c>
      <c r="J5024" s="2">
        <v>3225.0</v>
      </c>
      <c r="K5024" s="3">
        <f t="shared" si="4"/>
        <v>0.1582899774</v>
      </c>
      <c r="L5024" s="2">
        <v>2467.0</v>
      </c>
      <c r="M5024" s="3">
        <f t="shared" si="5"/>
        <v>0.6027363792</v>
      </c>
      <c r="N5024" s="2">
        <v>2.3696E7</v>
      </c>
      <c r="O5024" s="4">
        <f t="shared" si="6"/>
        <v>5789.396531</v>
      </c>
      <c r="P5024" s="2">
        <v>3.0</v>
      </c>
      <c r="Q5024" s="3">
        <f t="shared" si="7"/>
        <v>0.001575630252</v>
      </c>
      <c r="R5024" s="2">
        <v>1903.0</v>
      </c>
      <c r="S5024" s="5">
        <f t="shared" si="8"/>
        <v>0.9994747899</v>
      </c>
    </row>
    <row r="5025">
      <c r="A5025" s="2" t="s">
        <v>5027</v>
      </c>
      <c r="B5025" s="2">
        <v>286.0</v>
      </c>
      <c r="C5025" s="2">
        <v>3317.0</v>
      </c>
      <c r="D5025" s="2">
        <v>995.0</v>
      </c>
      <c r="E5025" s="3">
        <f t="shared" si="1"/>
        <v>0.3282744969</v>
      </c>
      <c r="F5025" s="2">
        <v>374.0</v>
      </c>
      <c r="G5025" s="3">
        <f t="shared" si="2"/>
        <v>0.1233916199</v>
      </c>
      <c r="H5025" s="2">
        <v>577.0</v>
      </c>
      <c r="I5025" s="3">
        <f t="shared" si="3"/>
        <v>0.1903662158</v>
      </c>
      <c r="J5025" s="2">
        <v>533.0</v>
      </c>
      <c r="K5025" s="3">
        <f t="shared" si="4"/>
        <v>0.1758495546</v>
      </c>
      <c r="L5025" s="2">
        <v>335.0</v>
      </c>
      <c r="M5025" s="3">
        <f t="shared" si="5"/>
        <v>0.5805892548</v>
      </c>
      <c r="N5025" s="2">
        <v>3394400.0</v>
      </c>
      <c r="O5025" s="4">
        <f t="shared" si="6"/>
        <v>5882.842288</v>
      </c>
      <c r="P5025" s="2">
        <v>0.0</v>
      </c>
      <c r="Q5025" s="3">
        <f t="shared" si="7"/>
        <v>0</v>
      </c>
      <c r="R5025" s="2">
        <v>286.0</v>
      </c>
      <c r="S5025" s="5">
        <f t="shared" si="8"/>
        <v>1</v>
      </c>
    </row>
    <row r="5026">
      <c r="A5026" s="2" t="s">
        <v>5028</v>
      </c>
      <c r="B5026" s="2">
        <v>88.0</v>
      </c>
      <c r="C5026" s="2">
        <v>1020.0</v>
      </c>
      <c r="D5026" s="2">
        <v>321.0</v>
      </c>
      <c r="E5026" s="3">
        <f t="shared" si="1"/>
        <v>0.3444206009</v>
      </c>
      <c r="F5026" s="2">
        <v>115.0</v>
      </c>
      <c r="G5026" s="3">
        <f t="shared" si="2"/>
        <v>0.1233905579</v>
      </c>
      <c r="H5026" s="2">
        <v>193.0</v>
      </c>
      <c r="I5026" s="3">
        <f t="shared" si="3"/>
        <v>0.2070815451</v>
      </c>
      <c r="J5026" s="2">
        <v>153.0</v>
      </c>
      <c r="K5026" s="3">
        <f t="shared" si="4"/>
        <v>0.1641630901</v>
      </c>
      <c r="L5026" s="2">
        <v>118.0</v>
      </c>
      <c r="M5026" s="3">
        <f t="shared" si="5"/>
        <v>0.6113989637</v>
      </c>
      <c r="N5026" s="2">
        <v>1016500.0</v>
      </c>
      <c r="O5026" s="4">
        <f t="shared" si="6"/>
        <v>5266.839378</v>
      </c>
      <c r="P5026" s="2">
        <v>0.0</v>
      </c>
      <c r="Q5026" s="3">
        <f t="shared" si="7"/>
        <v>0</v>
      </c>
      <c r="R5026" s="2">
        <v>88.0</v>
      </c>
      <c r="S5026" s="5">
        <f t="shared" si="8"/>
        <v>1</v>
      </c>
    </row>
    <row r="5027">
      <c r="A5027" s="2" t="s">
        <v>5029</v>
      </c>
      <c r="B5027" s="2">
        <v>275.0</v>
      </c>
      <c r="C5027" s="2">
        <v>3298.0</v>
      </c>
      <c r="D5027" s="2">
        <v>1266.0</v>
      </c>
      <c r="E5027" s="3">
        <f t="shared" si="1"/>
        <v>0.4187892822</v>
      </c>
      <c r="F5027" s="2">
        <v>373.0</v>
      </c>
      <c r="G5027" s="3">
        <f t="shared" si="2"/>
        <v>0.1233873635</v>
      </c>
      <c r="H5027" s="2">
        <v>618.0</v>
      </c>
      <c r="I5027" s="3">
        <f t="shared" si="3"/>
        <v>0.2044326828</v>
      </c>
      <c r="J5027" s="2">
        <v>495.0</v>
      </c>
      <c r="K5027" s="3">
        <f t="shared" si="4"/>
        <v>0.1637446245</v>
      </c>
      <c r="L5027" s="2">
        <v>375.0</v>
      </c>
      <c r="M5027" s="3">
        <f t="shared" si="5"/>
        <v>0.6067961165</v>
      </c>
      <c r="N5027" s="2">
        <v>3175200.0</v>
      </c>
      <c r="O5027" s="4">
        <f t="shared" si="6"/>
        <v>5137.864078</v>
      </c>
      <c r="P5027" s="2">
        <v>0.0</v>
      </c>
      <c r="Q5027" s="3">
        <f t="shared" si="7"/>
        <v>0</v>
      </c>
      <c r="R5027" s="2">
        <v>0.0</v>
      </c>
      <c r="S5027" s="5">
        <f t="shared" si="8"/>
        <v>0</v>
      </c>
    </row>
    <row r="5028">
      <c r="A5028" s="2" t="s">
        <v>5030</v>
      </c>
      <c r="B5028" s="2">
        <v>30.0</v>
      </c>
      <c r="C5028" s="2">
        <v>338.0</v>
      </c>
      <c r="D5028" s="2">
        <v>140.0</v>
      </c>
      <c r="E5028" s="3">
        <f t="shared" si="1"/>
        <v>0.4545454545</v>
      </c>
      <c r="F5028" s="2">
        <v>38.0</v>
      </c>
      <c r="G5028" s="3">
        <f t="shared" si="2"/>
        <v>0.1233766234</v>
      </c>
      <c r="H5028" s="2">
        <v>62.0</v>
      </c>
      <c r="I5028" s="3">
        <f t="shared" si="3"/>
        <v>0.2012987013</v>
      </c>
      <c r="J5028" s="2">
        <v>51.0</v>
      </c>
      <c r="K5028" s="3">
        <f t="shared" si="4"/>
        <v>0.1655844156</v>
      </c>
      <c r="L5028" s="2">
        <v>32.0</v>
      </c>
      <c r="M5028" s="3">
        <f t="shared" si="5"/>
        <v>0.5161290323</v>
      </c>
      <c r="N5028" s="2">
        <v>317000.0</v>
      </c>
      <c r="O5028" s="4">
        <f t="shared" si="6"/>
        <v>5112.903226</v>
      </c>
      <c r="P5028" s="2">
        <v>0.0</v>
      </c>
      <c r="Q5028" s="3">
        <f t="shared" si="7"/>
        <v>0</v>
      </c>
      <c r="R5028" s="2">
        <v>30.0</v>
      </c>
      <c r="S5028" s="5">
        <f t="shared" si="8"/>
        <v>1</v>
      </c>
    </row>
    <row r="5029">
      <c r="A5029" s="2" t="s">
        <v>5031</v>
      </c>
      <c r="B5029" s="2">
        <v>100.0</v>
      </c>
      <c r="C5029" s="2">
        <v>1170.0</v>
      </c>
      <c r="D5029" s="2">
        <v>412.0</v>
      </c>
      <c r="E5029" s="3">
        <f t="shared" si="1"/>
        <v>0.385046729</v>
      </c>
      <c r="F5029" s="2">
        <v>132.0</v>
      </c>
      <c r="G5029" s="3">
        <f t="shared" si="2"/>
        <v>0.123364486</v>
      </c>
      <c r="H5029" s="2">
        <v>214.0</v>
      </c>
      <c r="I5029" s="3">
        <f t="shared" si="3"/>
        <v>0.2</v>
      </c>
      <c r="J5029" s="2">
        <v>182.0</v>
      </c>
      <c r="K5029" s="3">
        <f t="shared" si="4"/>
        <v>0.1700934579</v>
      </c>
      <c r="L5029" s="2">
        <v>139.0</v>
      </c>
      <c r="M5029" s="3">
        <f t="shared" si="5"/>
        <v>0.6495327103</v>
      </c>
      <c r="N5029" s="2">
        <v>1084800.0</v>
      </c>
      <c r="O5029" s="4">
        <f t="shared" si="6"/>
        <v>5069.158879</v>
      </c>
      <c r="P5029" s="2">
        <v>0.0</v>
      </c>
      <c r="Q5029" s="3">
        <f t="shared" si="7"/>
        <v>0</v>
      </c>
      <c r="R5029" s="2">
        <v>5.0</v>
      </c>
      <c r="S5029" s="5">
        <f t="shared" si="8"/>
        <v>0.05</v>
      </c>
    </row>
    <row r="5030">
      <c r="A5030" s="2" t="s">
        <v>5032</v>
      </c>
      <c r="B5030" s="2">
        <v>683.0</v>
      </c>
      <c r="C5030" s="2">
        <v>7768.0</v>
      </c>
      <c r="D5030" s="2">
        <v>3054.0</v>
      </c>
      <c r="E5030" s="3">
        <f t="shared" si="1"/>
        <v>0.4310515173</v>
      </c>
      <c r="F5030" s="2">
        <v>874.0</v>
      </c>
      <c r="G5030" s="3">
        <f t="shared" si="2"/>
        <v>0.1233592096</v>
      </c>
      <c r="H5030" s="2">
        <v>1473.0</v>
      </c>
      <c r="I5030" s="3">
        <f t="shared" si="3"/>
        <v>0.2079040226</v>
      </c>
      <c r="J5030" s="2">
        <v>1275.0</v>
      </c>
      <c r="K5030" s="3">
        <f t="shared" si="4"/>
        <v>0.179957657</v>
      </c>
      <c r="L5030" s="2">
        <v>879.0</v>
      </c>
      <c r="M5030" s="3">
        <f t="shared" si="5"/>
        <v>0.5967413442</v>
      </c>
      <c r="N5030" s="2">
        <v>8091400.0</v>
      </c>
      <c r="O5030" s="4">
        <f t="shared" si="6"/>
        <v>5493.143245</v>
      </c>
      <c r="P5030" s="2">
        <v>1.0</v>
      </c>
      <c r="Q5030" s="3">
        <f t="shared" si="7"/>
        <v>0.001464128843</v>
      </c>
      <c r="R5030" s="2">
        <v>683.0</v>
      </c>
      <c r="S5030" s="5">
        <f t="shared" si="8"/>
        <v>1</v>
      </c>
    </row>
    <row r="5031">
      <c r="A5031" s="2" t="s">
        <v>5033</v>
      </c>
      <c r="B5031" s="2">
        <v>802.0</v>
      </c>
      <c r="C5031" s="2">
        <v>9403.0</v>
      </c>
      <c r="D5031" s="2">
        <v>2758.0</v>
      </c>
      <c r="E5031" s="3">
        <f t="shared" si="1"/>
        <v>0.3206603883</v>
      </c>
      <c r="F5031" s="2">
        <v>1061.0</v>
      </c>
      <c r="G5031" s="3">
        <f t="shared" si="2"/>
        <v>0.1233577491</v>
      </c>
      <c r="H5031" s="2">
        <v>1779.0</v>
      </c>
      <c r="I5031" s="3">
        <f t="shared" si="3"/>
        <v>0.2068364144</v>
      </c>
      <c r="J5031" s="2">
        <v>1328.0</v>
      </c>
      <c r="K5031" s="3">
        <f t="shared" si="4"/>
        <v>0.1544006511</v>
      </c>
      <c r="L5031" s="2">
        <v>1046.0</v>
      </c>
      <c r="M5031" s="3">
        <f t="shared" si="5"/>
        <v>0.5879707701</v>
      </c>
      <c r="N5031" s="2">
        <v>9971600.0</v>
      </c>
      <c r="O5031" s="4">
        <f t="shared" si="6"/>
        <v>5605.171445</v>
      </c>
      <c r="P5031" s="2">
        <v>3.0</v>
      </c>
      <c r="Q5031" s="3">
        <f t="shared" si="7"/>
        <v>0.003740648379</v>
      </c>
      <c r="R5031" s="2">
        <v>0.0</v>
      </c>
      <c r="S5031" s="5">
        <f t="shared" si="8"/>
        <v>0</v>
      </c>
    </row>
    <row r="5032">
      <c r="A5032" s="2" t="s">
        <v>5034</v>
      </c>
      <c r="B5032" s="2">
        <v>183.0</v>
      </c>
      <c r="C5032" s="2">
        <v>2153.0</v>
      </c>
      <c r="D5032" s="2">
        <v>839.0</v>
      </c>
      <c r="E5032" s="3">
        <f t="shared" si="1"/>
        <v>0.4258883249</v>
      </c>
      <c r="F5032" s="2">
        <v>243.0</v>
      </c>
      <c r="G5032" s="3">
        <f t="shared" si="2"/>
        <v>0.1233502538</v>
      </c>
      <c r="H5032" s="2">
        <v>415.0</v>
      </c>
      <c r="I5032" s="3">
        <f t="shared" si="3"/>
        <v>0.2106598985</v>
      </c>
      <c r="J5032" s="2">
        <v>291.0</v>
      </c>
      <c r="K5032" s="3">
        <f t="shared" si="4"/>
        <v>0.147715736</v>
      </c>
      <c r="L5032" s="2">
        <v>259.0</v>
      </c>
      <c r="M5032" s="3">
        <f t="shared" si="5"/>
        <v>0.6240963855</v>
      </c>
      <c r="N5032" s="2">
        <v>2323000.0</v>
      </c>
      <c r="O5032" s="4">
        <f t="shared" si="6"/>
        <v>5597.590361</v>
      </c>
      <c r="P5032" s="2">
        <v>0.0</v>
      </c>
      <c r="Q5032" s="3">
        <f t="shared" si="7"/>
        <v>0</v>
      </c>
      <c r="R5032" s="2">
        <v>183.0</v>
      </c>
      <c r="S5032" s="5">
        <f t="shared" si="8"/>
        <v>1</v>
      </c>
    </row>
    <row r="5033">
      <c r="A5033" s="2" t="s">
        <v>5035</v>
      </c>
      <c r="B5033" s="2">
        <v>739.0</v>
      </c>
      <c r="C5033" s="2">
        <v>8538.0</v>
      </c>
      <c r="D5033" s="2">
        <v>2998.0</v>
      </c>
      <c r="E5033" s="3">
        <f t="shared" si="1"/>
        <v>0.3844082575</v>
      </c>
      <c r="F5033" s="2">
        <v>962.0</v>
      </c>
      <c r="G5033" s="3">
        <f t="shared" si="2"/>
        <v>0.1233491473</v>
      </c>
      <c r="H5033" s="2">
        <v>1631.0</v>
      </c>
      <c r="I5033" s="3">
        <f t="shared" si="3"/>
        <v>0.2091293756</v>
      </c>
      <c r="J5033" s="2">
        <v>1387.0</v>
      </c>
      <c r="K5033" s="3">
        <f t="shared" si="4"/>
        <v>0.1778433132</v>
      </c>
      <c r="L5033" s="2">
        <v>962.0</v>
      </c>
      <c r="M5033" s="3">
        <f t="shared" si="5"/>
        <v>0.589822195</v>
      </c>
      <c r="N5033" s="2">
        <v>9372500.0</v>
      </c>
      <c r="O5033" s="4">
        <f t="shared" si="6"/>
        <v>5746.474555</v>
      </c>
      <c r="P5033" s="2">
        <v>1.0</v>
      </c>
      <c r="Q5033" s="3">
        <f t="shared" si="7"/>
        <v>0.001353179973</v>
      </c>
      <c r="R5033" s="2">
        <v>739.0</v>
      </c>
      <c r="S5033" s="5">
        <f t="shared" si="8"/>
        <v>1</v>
      </c>
    </row>
    <row r="5034">
      <c r="A5034" s="2" t="s">
        <v>5036</v>
      </c>
      <c r="B5034" s="2">
        <v>526.0</v>
      </c>
      <c r="C5034" s="2">
        <v>6201.0</v>
      </c>
      <c r="D5034" s="2">
        <v>2211.0</v>
      </c>
      <c r="E5034" s="3">
        <f t="shared" si="1"/>
        <v>0.3896035242</v>
      </c>
      <c r="F5034" s="2">
        <v>700.0</v>
      </c>
      <c r="G5034" s="3">
        <f t="shared" si="2"/>
        <v>0.1233480176</v>
      </c>
      <c r="H5034" s="2">
        <v>1231.0</v>
      </c>
      <c r="I5034" s="3">
        <f t="shared" si="3"/>
        <v>0.2169162996</v>
      </c>
      <c r="J5034" s="2">
        <v>924.0</v>
      </c>
      <c r="K5034" s="3">
        <f t="shared" si="4"/>
        <v>0.1628193833</v>
      </c>
      <c r="L5034" s="2">
        <v>717.0</v>
      </c>
      <c r="M5034" s="3">
        <f t="shared" si="5"/>
        <v>0.58245329</v>
      </c>
      <c r="N5034" s="2">
        <v>6486500.0</v>
      </c>
      <c r="O5034" s="4">
        <f t="shared" si="6"/>
        <v>5269.293258</v>
      </c>
      <c r="P5034" s="2">
        <v>1.0</v>
      </c>
      <c r="Q5034" s="3">
        <f t="shared" si="7"/>
        <v>0.001901140684</v>
      </c>
      <c r="R5034" s="2">
        <v>322.0</v>
      </c>
      <c r="S5034" s="5">
        <f t="shared" si="8"/>
        <v>0.6121673004</v>
      </c>
    </row>
    <row r="5035">
      <c r="A5035" s="2" t="s">
        <v>5037</v>
      </c>
      <c r="B5035" s="2">
        <v>64.0</v>
      </c>
      <c r="C5035" s="2">
        <v>745.0</v>
      </c>
      <c r="D5035" s="2">
        <v>262.0</v>
      </c>
      <c r="E5035" s="3">
        <f t="shared" si="1"/>
        <v>0.3847283407</v>
      </c>
      <c r="F5035" s="2">
        <v>84.0</v>
      </c>
      <c r="G5035" s="3">
        <f t="shared" si="2"/>
        <v>0.1233480176</v>
      </c>
      <c r="H5035" s="2">
        <v>137.0</v>
      </c>
      <c r="I5035" s="3">
        <f t="shared" si="3"/>
        <v>0.201174743</v>
      </c>
      <c r="J5035" s="2">
        <v>105.0</v>
      </c>
      <c r="K5035" s="3">
        <f t="shared" si="4"/>
        <v>0.154185022</v>
      </c>
      <c r="L5035" s="2">
        <v>76.0</v>
      </c>
      <c r="M5035" s="3">
        <f t="shared" si="5"/>
        <v>0.5547445255</v>
      </c>
      <c r="N5035" s="2">
        <v>725800.0</v>
      </c>
      <c r="O5035" s="4">
        <f t="shared" si="6"/>
        <v>5297.810219</v>
      </c>
      <c r="P5035" s="2">
        <v>0.0</v>
      </c>
      <c r="Q5035" s="3">
        <f t="shared" si="7"/>
        <v>0</v>
      </c>
      <c r="R5035" s="2">
        <v>64.0</v>
      </c>
      <c r="S5035" s="5">
        <f t="shared" si="8"/>
        <v>1</v>
      </c>
    </row>
    <row r="5036">
      <c r="A5036" s="2" t="s">
        <v>5038</v>
      </c>
      <c r="B5036" s="2">
        <v>705.0</v>
      </c>
      <c r="C5036" s="2">
        <v>8261.0</v>
      </c>
      <c r="D5036" s="2">
        <v>2813.0</v>
      </c>
      <c r="E5036" s="3">
        <f t="shared" si="1"/>
        <v>0.3722869243</v>
      </c>
      <c r="F5036" s="2">
        <v>932.0</v>
      </c>
      <c r="G5036" s="3">
        <f t="shared" si="2"/>
        <v>0.1233456855</v>
      </c>
      <c r="H5036" s="2">
        <v>1712.0</v>
      </c>
      <c r="I5036" s="3">
        <f t="shared" si="3"/>
        <v>0.2265749074</v>
      </c>
      <c r="J5036" s="2">
        <v>1375.0</v>
      </c>
      <c r="K5036" s="3">
        <f t="shared" si="4"/>
        <v>0.1819745897</v>
      </c>
      <c r="L5036" s="2">
        <v>1045.0</v>
      </c>
      <c r="M5036" s="3">
        <f t="shared" si="5"/>
        <v>0.6103971963</v>
      </c>
      <c r="N5036" s="2">
        <v>9734800.0</v>
      </c>
      <c r="O5036" s="4">
        <f t="shared" si="6"/>
        <v>5686.214953</v>
      </c>
      <c r="P5036" s="2">
        <v>1.0</v>
      </c>
      <c r="Q5036" s="3">
        <f t="shared" si="7"/>
        <v>0.001418439716</v>
      </c>
      <c r="R5036" s="2">
        <v>705.0</v>
      </c>
      <c r="S5036" s="5">
        <f t="shared" si="8"/>
        <v>1</v>
      </c>
    </row>
    <row r="5037">
      <c r="A5037" s="2" t="s">
        <v>5039</v>
      </c>
      <c r="B5037" s="2">
        <v>111.0</v>
      </c>
      <c r="C5037" s="2">
        <v>1392.0</v>
      </c>
      <c r="D5037" s="2">
        <v>460.0</v>
      </c>
      <c r="E5037" s="3">
        <f t="shared" si="1"/>
        <v>0.3590944575</v>
      </c>
      <c r="F5037" s="2">
        <v>158.0</v>
      </c>
      <c r="G5037" s="3">
        <f t="shared" si="2"/>
        <v>0.1233411397</v>
      </c>
      <c r="H5037" s="2">
        <v>231.0</v>
      </c>
      <c r="I5037" s="3">
        <f t="shared" si="3"/>
        <v>0.1803278689</v>
      </c>
      <c r="J5037" s="2">
        <v>177.0</v>
      </c>
      <c r="K5037" s="3">
        <f t="shared" si="4"/>
        <v>0.1381733021</v>
      </c>
      <c r="L5037" s="2">
        <v>144.0</v>
      </c>
      <c r="M5037" s="3">
        <f t="shared" si="5"/>
        <v>0.6233766234</v>
      </c>
      <c r="N5037" s="2">
        <v>1278200.0</v>
      </c>
      <c r="O5037" s="4">
        <f t="shared" si="6"/>
        <v>5533.333333</v>
      </c>
      <c r="P5037" s="2">
        <v>0.0</v>
      </c>
      <c r="Q5037" s="3">
        <f t="shared" si="7"/>
        <v>0</v>
      </c>
      <c r="R5037" s="2">
        <v>111.0</v>
      </c>
      <c r="S5037" s="5">
        <f t="shared" si="8"/>
        <v>1</v>
      </c>
    </row>
    <row r="5038">
      <c r="A5038" s="2" t="s">
        <v>5040</v>
      </c>
      <c r="B5038" s="2">
        <v>604.0</v>
      </c>
      <c r="C5038" s="2">
        <v>7074.0</v>
      </c>
      <c r="D5038" s="2">
        <v>2202.0</v>
      </c>
      <c r="E5038" s="3">
        <f t="shared" si="1"/>
        <v>0.3403400309</v>
      </c>
      <c r="F5038" s="2">
        <v>798.0</v>
      </c>
      <c r="G5038" s="3">
        <f t="shared" si="2"/>
        <v>0.1233384853</v>
      </c>
      <c r="H5038" s="2">
        <v>1378.0</v>
      </c>
      <c r="I5038" s="3">
        <f t="shared" si="3"/>
        <v>0.2129829985</v>
      </c>
      <c r="J5038" s="2">
        <v>1158.0</v>
      </c>
      <c r="K5038" s="3">
        <f t="shared" si="4"/>
        <v>0.1789799073</v>
      </c>
      <c r="L5038" s="2">
        <v>834.0</v>
      </c>
      <c r="M5038" s="3">
        <f t="shared" si="5"/>
        <v>0.6052249637</v>
      </c>
      <c r="N5038" s="2">
        <v>7229100.0</v>
      </c>
      <c r="O5038" s="4">
        <f t="shared" si="6"/>
        <v>5246.081277</v>
      </c>
      <c r="P5038" s="2">
        <v>1.0</v>
      </c>
      <c r="Q5038" s="3">
        <f t="shared" si="7"/>
        <v>0.001655629139</v>
      </c>
      <c r="R5038" s="2">
        <v>604.0</v>
      </c>
      <c r="S5038" s="5">
        <f t="shared" si="8"/>
        <v>1</v>
      </c>
    </row>
    <row r="5039">
      <c r="A5039" s="2" t="s">
        <v>5041</v>
      </c>
      <c r="B5039" s="2">
        <v>331.0</v>
      </c>
      <c r="C5039" s="2">
        <v>3866.0</v>
      </c>
      <c r="D5039" s="2">
        <v>1299.0</v>
      </c>
      <c r="E5039" s="3">
        <f t="shared" si="1"/>
        <v>0.3674681754</v>
      </c>
      <c r="F5039" s="2">
        <v>436.0</v>
      </c>
      <c r="G5039" s="3">
        <f t="shared" si="2"/>
        <v>0.1233380481</v>
      </c>
      <c r="H5039" s="2">
        <v>733.0</v>
      </c>
      <c r="I5039" s="3">
        <f t="shared" si="3"/>
        <v>0.2073550212</v>
      </c>
      <c r="J5039" s="2">
        <v>503.0</v>
      </c>
      <c r="K5039" s="3">
        <f t="shared" si="4"/>
        <v>0.142291372</v>
      </c>
      <c r="L5039" s="2">
        <v>418.0</v>
      </c>
      <c r="M5039" s="3">
        <f t="shared" si="5"/>
        <v>0.5702592087</v>
      </c>
      <c r="N5039" s="2">
        <v>3741000.0</v>
      </c>
      <c r="O5039" s="4">
        <f t="shared" si="6"/>
        <v>5103.683492</v>
      </c>
      <c r="P5039" s="2">
        <v>0.0</v>
      </c>
      <c r="Q5039" s="3">
        <f t="shared" si="7"/>
        <v>0</v>
      </c>
      <c r="R5039" s="2">
        <v>331.0</v>
      </c>
      <c r="S5039" s="5">
        <f t="shared" si="8"/>
        <v>1</v>
      </c>
    </row>
    <row r="5040">
      <c r="A5040" s="2" t="s">
        <v>5042</v>
      </c>
      <c r="B5040" s="2">
        <v>589.0</v>
      </c>
      <c r="C5040" s="2">
        <v>6824.0</v>
      </c>
      <c r="D5040" s="2">
        <v>2317.0</v>
      </c>
      <c r="E5040" s="3">
        <f t="shared" si="1"/>
        <v>0.3716118685</v>
      </c>
      <c r="F5040" s="2">
        <v>769.0</v>
      </c>
      <c r="G5040" s="3">
        <f t="shared" si="2"/>
        <v>0.1233360064</v>
      </c>
      <c r="H5040" s="2">
        <v>1325.0</v>
      </c>
      <c r="I5040" s="3">
        <f t="shared" si="3"/>
        <v>0.2125100241</v>
      </c>
      <c r="J5040" s="2">
        <v>1060.0</v>
      </c>
      <c r="K5040" s="3">
        <f t="shared" si="4"/>
        <v>0.1700080192</v>
      </c>
      <c r="L5040" s="2">
        <v>776.0</v>
      </c>
      <c r="M5040" s="3">
        <f t="shared" si="5"/>
        <v>0.5856603774</v>
      </c>
      <c r="N5040" s="2">
        <v>8009500.0</v>
      </c>
      <c r="O5040" s="4">
        <f t="shared" si="6"/>
        <v>6044.90566</v>
      </c>
      <c r="P5040" s="2">
        <v>1.0</v>
      </c>
      <c r="Q5040" s="3">
        <f t="shared" si="7"/>
        <v>0.001697792869</v>
      </c>
      <c r="R5040" s="2">
        <v>589.0</v>
      </c>
      <c r="S5040" s="5">
        <f t="shared" si="8"/>
        <v>1</v>
      </c>
    </row>
    <row r="5041">
      <c r="A5041" s="2" t="s">
        <v>5043</v>
      </c>
      <c r="B5041" s="2">
        <v>254.0</v>
      </c>
      <c r="C5041" s="2">
        <v>3027.0</v>
      </c>
      <c r="D5041" s="2">
        <v>959.0</v>
      </c>
      <c r="E5041" s="3">
        <f t="shared" si="1"/>
        <v>0.3458348359</v>
      </c>
      <c r="F5041" s="2">
        <v>342.0</v>
      </c>
      <c r="G5041" s="3">
        <f t="shared" si="2"/>
        <v>0.1233321313</v>
      </c>
      <c r="H5041" s="2">
        <v>584.0</v>
      </c>
      <c r="I5041" s="3">
        <f t="shared" si="3"/>
        <v>0.2106022358</v>
      </c>
      <c r="J5041" s="2">
        <v>550.0</v>
      </c>
      <c r="K5041" s="3">
        <f t="shared" si="4"/>
        <v>0.1983411468</v>
      </c>
      <c r="L5041" s="2">
        <v>334.0</v>
      </c>
      <c r="M5041" s="3">
        <f t="shared" si="5"/>
        <v>0.5719178082</v>
      </c>
      <c r="N5041" s="2">
        <v>3309700.0</v>
      </c>
      <c r="O5041" s="4">
        <f t="shared" si="6"/>
        <v>5667.294521</v>
      </c>
      <c r="P5041" s="2">
        <v>0.0</v>
      </c>
      <c r="Q5041" s="3">
        <f t="shared" si="7"/>
        <v>0</v>
      </c>
      <c r="R5041" s="2">
        <v>32.0</v>
      </c>
      <c r="S5041" s="5">
        <f t="shared" si="8"/>
        <v>0.125984252</v>
      </c>
    </row>
    <row r="5042">
      <c r="A5042" s="2" t="s">
        <v>5044</v>
      </c>
      <c r="B5042" s="2">
        <v>385.0</v>
      </c>
      <c r="C5042" s="2">
        <v>4431.0</v>
      </c>
      <c r="D5042" s="2">
        <v>1317.0</v>
      </c>
      <c r="E5042" s="3">
        <f t="shared" si="1"/>
        <v>0.3255066733</v>
      </c>
      <c r="F5042" s="2">
        <v>499.0</v>
      </c>
      <c r="G5042" s="3">
        <f t="shared" si="2"/>
        <v>0.1233316856</v>
      </c>
      <c r="H5042" s="2">
        <v>851.0</v>
      </c>
      <c r="I5042" s="3">
        <f t="shared" si="3"/>
        <v>0.2103311913</v>
      </c>
      <c r="J5042" s="2">
        <v>776.0</v>
      </c>
      <c r="K5042" s="3">
        <f t="shared" si="4"/>
        <v>0.1917943648</v>
      </c>
      <c r="L5042" s="2">
        <v>519.0</v>
      </c>
      <c r="M5042" s="3">
        <f t="shared" si="5"/>
        <v>0.6098707403</v>
      </c>
      <c r="N5042" s="2">
        <v>4866800.0</v>
      </c>
      <c r="O5042" s="4">
        <f t="shared" si="6"/>
        <v>5718.918919</v>
      </c>
      <c r="P5042" s="2">
        <v>1.0</v>
      </c>
      <c r="Q5042" s="3">
        <f t="shared" si="7"/>
        <v>0.002597402597</v>
      </c>
      <c r="R5042" s="2">
        <v>385.0</v>
      </c>
      <c r="S5042" s="5">
        <f t="shared" si="8"/>
        <v>1</v>
      </c>
    </row>
    <row r="5043">
      <c r="A5043" s="2" t="s">
        <v>5045</v>
      </c>
      <c r="B5043" s="2">
        <v>673.0</v>
      </c>
      <c r="C5043" s="2">
        <v>8011.0</v>
      </c>
      <c r="D5043" s="2">
        <v>2405.0</v>
      </c>
      <c r="E5043" s="3">
        <f t="shared" si="1"/>
        <v>0.3277459798</v>
      </c>
      <c r="F5043" s="2">
        <v>905.0</v>
      </c>
      <c r="G5043" s="3">
        <f t="shared" si="2"/>
        <v>0.1233306078</v>
      </c>
      <c r="H5043" s="2">
        <v>1519.0</v>
      </c>
      <c r="I5043" s="3">
        <f t="shared" si="3"/>
        <v>0.2070046334</v>
      </c>
      <c r="J5043" s="2">
        <v>1401.0</v>
      </c>
      <c r="K5043" s="3">
        <f t="shared" si="4"/>
        <v>0.1909239575</v>
      </c>
      <c r="L5043" s="2">
        <v>885.0</v>
      </c>
      <c r="M5043" s="3">
        <f t="shared" si="5"/>
        <v>0.5826201448</v>
      </c>
      <c r="N5043" s="2">
        <v>8900100.0</v>
      </c>
      <c r="O5043" s="4">
        <f t="shared" si="6"/>
        <v>5859.183673</v>
      </c>
      <c r="P5043" s="2">
        <v>2.0</v>
      </c>
      <c r="Q5043" s="3">
        <f t="shared" si="7"/>
        <v>0.002971768202</v>
      </c>
      <c r="R5043" s="2">
        <v>0.0</v>
      </c>
      <c r="S5043" s="5">
        <f t="shared" si="8"/>
        <v>0</v>
      </c>
    </row>
    <row r="5044">
      <c r="A5044" s="2" t="s">
        <v>5046</v>
      </c>
      <c r="B5044" s="2">
        <v>2224.0</v>
      </c>
      <c r="C5044" s="2">
        <v>26282.0</v>
      </c>
      <c r="D5044" s="2">
        <v>7949.0</v>
      </c>
      <c r="E5044" s="3">
        <f t="shared" si="1"/>
        <v>0.3304098429</v>
      </c>
      <c r="F5044" s="2">
        <v>2967.0</v>
      </c>
      <c r="G5044" s="3">
        <f t="shared" si="2"/>
        <v>0.1233269598</v>
      </c>
      <c r="H5044" s="2">
        <v>4803.0</v>
      </c>
      <c r="I5044" s="3">
        <f t="shared" si="3"/>
        <v>0.1996425306</v>
      </c>
      <c r="J5044" s="2">
        <v>3320.0</v>
      </c>
      <c r="K5044" s="3">
        <f t="shared" si="4"/>
        <v>0.1379998337</v>
      </c>
      <c r="L5044" s="2">
        <v>2919.0</v>
      </c>
      <c r="M5044" s="3">
        <f t="shared" si="5"/>
        <v>0.6077451593</v>
      </c>
      <c r="N5044" s="2">
        <v>2.80076E7</v>
      </c>
      <c r="O5044" s="4">
        <f t="shared" si="6"/>
        <v>5831.272122</v>
      </c>
      <c r="P5044" s="2">
        <v>7.0</v>
      </c>
      <c r="Q5044" s="3">
        <f t="shared" si="7"/>
        <v>0.003147482014</v>
      </c>
      <c r="R5044" s="2">
        <v>2224.0</v>
      </c>
      <c r="S5044" s="5">
        <f t="shared" si="8"/>
        <v>1</v>
      </c>
    </row>
    <row r="5045">
      <c r="A5045" s="2" t="s">
        <v>5047</v>
      </c>
      <c r="B5045" s="2">
        <v>1443.0</v>
      </c>
      <c r="C5045" s="2">
        <v>16730.0</v>
      </c>
      <c r="D5045" s="2">
        <v>4578.0</v>
      </c>
      <c r="E5045" s="3">
        <f t="shared" si="1"/>
        <v>0.299470138</v>
      </c>
      <c r="F5045" s="2">
        <v>1885.0</v>
      </c>
      <c r="G5045" s="3">
        <f t="shared" si="2"/>
        <v>0.1233073854</v>
      </c>
      <c r="H5045" s="2">
        <v>3407.0</v>
      </c>
      <c r="I5045" s="3">
        <f t="shared" si="3"/>
        <v>0.2228691045</v>
      </c>
      <c r="J5045" s="2">
        <v>2413.0</v>
      </c>
      <c r="K5045" s="3">
        <f t="shared" si="4"/>
        <v>0.1578465363</v>
      </c>
      <c r="L5045" s="2">
        <v>2077.0</v>
      </c>
      <c r="M5045" s="3">
        <f t="shared" si="5"/>
        <v>0.609627238</v>
      </c>
      <c r="N5045" s="2">
        <v>1.97575E7</v>
      </c>
      <c r="O5045" s="4">
        <f t="shared" si="6"/>
        <v>5799.090109</v>
      </c>
      <c r="P5045" s="2">
        <v>4.0</v>
      </c>
      <c r="Q5045" s="3">
        <f t="shared" si="7"/>
        <v>0.002772002772</v>
      </c>
      <c r="R5045" s="2">
        <v>1443.0</v>
      </c>
      <c r="S5045" s="5">
        <f t="shared" si="8"/>
        <v>1</v>
      </c>
    </row>
    <row r="5046">
      <c r="A5046" s="2" t="s">
        <v>5048</v>
      </c>
      <c r="B5046" s="2">
        <v>2399.0</v>
      </c>
      <c r="C5046" s="2">
        <v>28303.0</v>
      </c>
      <c r="D5046" s="2">
        <v>8423.0</v>
      </c>
      <c r="E5046" s="3">
        <f t="shared" si="1"/>
        <v>0.3251621371</v>
      </c>
      <c r="F5046" s="2">
        <v>3194.0</v>
      </c>
      <c r="G5046" s="3">
        <f t="shared" si="2"/>
        <v>0.1233014206</v>
      </c>
      <c r="H5046" s="2">
        <v>5458.0</v>
      </c>
      <c r="I5046" s="3">
        <f t="shared" si="3"/>
        <v>0.21070105</v>
      </c>
      <c r="J5046" s="2">
        <v>4250.0</v>
      </c>
      <c r="K5046" s="3">
        <f t="shared" si="4"/>
        <v>0.1640673255</v>
      </c>
      <c r="L5046" s="2">
        <v>3252.0</v>
      </c>
      <c r="M5046" s="3">
        <f t="shared" si="5"/>
        <v>0.5958226457</v>
      </c>
      <c r="N5046" s="2">
        <v>3.03905E7</v>
      </c>
      <c r="O5046" s="4">
        <f t="shared" si="6"/>
        <v>5568.065225</v>
      </c>
      <c r="P5046" s="2">
        <v>4.0</v>
      </c>
      <c r="Q5046" s="3">
        <f t="shared" si="7"/>
        <v>0.001667361401</v>
      </c>
      <c r="R5046" s="2">
        <v>2399.0</v>
      </c>
      <c r="S5046" s="5">
        <f t="shared" si="8"/>
        <v>1</v>
      </c>
    </row>
    <row r="5047">
      <c r="A5047" s="2" t="s">
        <v>5049</v>
      </c>
      <c r="B5047" s="2">
        <v>2115.0</v>
      </c>
      <c r="C5047" s="2">
        <v>24582.0</v>
      </c>
      <c r="D5047" s="2">
        <v>7555.0</v>
      </c>
      <c r="E5047" s="3">
        <f t="shared" si="1"/>
        <v>0.3362709752</v>
      </c>
      <c r="F5047" s="2">
        <v>2770.0</v>
      </c>
      <c r="G5047" s="3">
        <f t="shared" si="2"/>
        <v>0.1232919393</v>
      </c>
      <c r="H5047" s="2">
        <v>4836.0</v>
      </c>
      <c r="I5047" s="3">
        <f t="shared" si="3"/>
        <v>0.2152490319</v>
      </c>
      <c r="J5047" s="2">
        <v>3736.0</v>
      </c>
      <c r="K5047" s="3">
        <f t="shared" si="4"/>
        <v>0.166288334</v>
      </c>
      <c r="L5047" s="2">
        <v>2901.0</v>
      </c>
      <c r="M5047" s="3">
        <f t="shared" si="5"/>
        <v>0.5998759305</v>
      </c>
      <c r="N5047" s="2">
        <v>2.83748E7</v>
      </c>
      <c r="O5047" s="4">
        <f t="shared" si="6"/>
        <v>5867.411084</v>
      </c>
      <c r="P5047" s="2">
        <v>3.0</v>
      </c>
      <c r="Q5047" s="3">
        <f t="shared" si="7"/>
        <v>0.001418439716</v>
      </c>
      <c r="R5047" s="2">
        <v>2115.0</v>
      </c>
      <c r="S5047" s="5">
        <f t="shared" si="8"/>
        <v>1</v>
      </c>
    </row>
    <row r="5048">
      <c r="A5048" s="2" t="s">
        <v>5050</v>
      </c>
      <c r="B5048" s="2">
        <v>13.0</v>
      </c>
      <c r="C5048" s="2">
        <v>159.0</v>
      </c>
      <c r="D5048" s="2">
        <v>48.0</v>
      </c>
      <c r="E5048" s="3">
        <f t="shared" si="1"/>
        <v>0.3287671233</v>
      </c>
      <c r="F5048" s="2">
        <v>18.0</v>
      </c>
      <c r="G5048" s="3">
        <f t="shared" si="2"/>
        <v>0.1232876712</v>
      </c>
      <c r="H5048" s="2">
        <v>36.0</v>
      </c>
      <c r="I5048" s="3">
        <f t="shared" si="3"/>
        <v>0.2465753425</v>
      </c>
      <c r="J5048" s="2">
        <v>34.0</v>
      </c>
      <c r="K5048" s="3">
        <f t="shared" si="4"/>
        <v>0.2328767123</v>
      </c>
      <c r="L5048" s="2">
        <v>25.0</v>
      </c>
      <c r="M5048" s="3">
        <f t="shared" si="5"/>
        <v>0.6944444444</v>
      </c>
      <c r="N5048" s="2">
        <v>166100.0</v>
      </c>
      <c r="O5048" s="4">
        <f t="shared" si="6"/>
        <v>4613.888889</v>
      </c>
      <c r="P5048" s="2">
        <v>0.0</v>
      </c>
      <c r="Q5048" s="3">
        <f t="shared" si="7"/>
        <v>0</v>
      </c>
      <c r="R5048" s="2">
        <v>0.0</v>
      </c>
      <c r="S5048" s="5">
        <f t="shared" si="8"/>
        <v>0</v>
      </c>
    </row>
    <row r="5049">
      <c r="A5049" s="2" t="s">
        <v>5051</v>
      </c>
      <c r="B5049" s="2">
        <v>189.0</v>
      </c>
      <c r="C5049" s="2">
        <v>2233.0</v>
      </c>
      <c r="D5049" s="2">
        <v>704.0</v>
      </c>
      <c r="E5049" s="3">
        <f t="shared" si="1"/>
        <v>0.3444227006</v>
      </c>
      <c r="F5049" s="2">
        <v>252.0</v>
      </c>
      <c r="G5049" s="3">
        <f t="shared" si="2"/>
        <v>0.1232876712</v>
      </c>
      <c r="H5049" s="2">
        <v>414.0</v>
      </c>
      <c r="I5049" s="3">
        <f t="shared" si="3"/>
        <v>0.2025440313</v>
      </c>
      <c r="J5049" s="2">
        <v>330.0</v>
      </c>
      <c r="K5049" s="3">
        <f t="shared" si="4"/>
        <v>0.1614481409</v>
      </c>
      <c r="L5049" s="2">
        <v>258.0</v>
      </c>
      <c r="M5049" s="3">
        <f t="shared" si="5"/>
        <v>0.6231884058</v>
      </c>
      <c r="N5049" s="2">
        <v>2276400.0</v>
      </c>
      <c r="O5049" s="4">
        <f t="shared" si="6"/>
        <v>5498.550725</v>
      </c>
      <c r="P5049" s="2">
        <v>0.0</v>
      </c>
      <c r="Q5049" s="3">
        <f t="shared" si="7"/>
        <v>0</v>
      </c>
      <c r="R5049" s="2">
        <v>189.0</v>
      </c>
      <c r="S5049" s="5">
        <f t="shared" si="8"/>
        <v>1</v>
      </c>
    </row>
    <row r="5050">
      <c r="A5050" s="2" t="s">
        <v>5052</v>
      </c>
      <c r="B5050" s="2">
        <v>142.0</v>
      </c>
      <c r="C5050" s="2">
        <v>1659.0</v>
      </c>
      <c r="D5050" s="2">
        <v>530.0</v>
      </c>
      <c r="E5050" s="3">
        <f t="shared" si="1"/>
        <v>0.349373764</v>
      </c>
      <c r="F5050" s="2">
        <v>187.0</v>
      </c>
      <c r="G5050" s="3">
        <f t="shared" si="2"/>
        <v>0.1232696111</v>
      </c>
      <c r="H5050" s="2">
        <v>298.0</v>
      </c>
      <c r="I5050" s="3">
        <f t="shared" si="3"/>
        <v>0.1964403428</v>
      </c>
      <c r="J5050" s="2">
        <v>281.0</v>
      </c>
      <c r="K5050" s="3">
        <f t="shared" si="4"/>
        <v>0.1852340145</v>
      </c>
      <c r="L5050" s="2">
        <v>177.0</v>
      </c>
      <c r="M5050" s="3">
        <f t="shared" si="5"/>
        <v>0.5939597315</v>
      </c>
      <c r="N5050" s="2">
        <v>1618800.0</v>
      </c>
      <c r="O5050" s="4">
        <f t="shared" si="6"/>
        <v>5432.214765</v>
      </c>
      <c r="P5050" s="2">
        <v>0.0</v>
      </c>
      <c r="Q5050" s="3">
        <f t="shared" si="7"/>
        <v>0</v>
      </c>
      <c r="R5050" s="2">
        <v>0.0</v>
      </c>
      <c r="S5050" s="5">
        <f t="shared" si="8"/>
        <v>0</v>
      </c>
    </row>
    <row r="5051">
      <c r="A5051" s="2" t="s">
        <v>5053</v>
      </c>
      <c r="B5051" s="2">
        <v>224.0</v>
      </c>
      <c r="C5051" s="2">
        <v>2585.0</v>
      </c>
      <c r="D5051" s="2">
        <v>632.0</v>
      </c>
      <c r="E5051" s="3">
        <f t="shared" si="1"/>
        <v>0.2676831851</v>
      </c>
      <c r="F5051" s="2">
        <v>291.0</v>
      </c>
      <c r="G5051" s="3">
        <f t="shared" si="2"/>
        <v>0.123252859</v>
      </c>
      <c r="H5051" s="2">
        <v>494.0</v>
      </c>
      <c r="I5051" s="3">
        <f t="shared" si="3"/>
        <v>0.2092333757</v>
      </c>
      <c r="J5051" s="2">
        <v>461.0</v>
      </c>
      <c r="K5051" s="3">
        <f t="shared" si="4"/>
        <v>0.1952562474</v>
      </c>
      <c r="L5051" s="2">
        <v>295.0</v>
      </c>
      <c r="M5051" s="3">
        <f t="shared" si="5"/>
        <v>0.5971659919</v>
      </c>
      <c r="N5051" s="2">
        <v>2828400.0</v>
      </c>
      <c r="O5051" s="4">
        <f t="shared" si="6"/>
        <v>5725.506073</v>
      </c>
      <c r="P5051" s="2">
        <v>0.0</v>
      </c>
      <c r="Q5051" s="3">
        <f t="shared" si="7"/>
        <v>0</v>
      </c>
      <c r="R5051" s="2">
        <v>224.0</v>
      </c>
      <c r="S5051" s="5">
        <f t="shared" si="8"/>
        <v>1</v>
      </c>
    </row>
    <row r="5052">
      <c r="A5052" s="2" t="s">
        <v>5054</v>
      </c>
      <c r="B5052" s="2">
        <v>195.0</v>
      </c>
      <c r="C5052" s="2">
        <v>2264.0</v>
      </c>
      <c r="D5052" s="2">
        <v>712.0</v>
      </c>
      <c r="E5052" s="3">
        <f t="shared" si="1"/>
        <v>0.3441275979</v>
      </c>
      <c r="F5052" s="2">
        <v>255.0</v>
      </c>
      <c r="G5052" s="3">
        <f t="shared" si="2"/>
        <v>0.1232479459</v>
      </c>
      <c r="H5052" s="2">
        <v>392.0</v>
      </c>
      <c r="I5052" s="3">
        <f t="shared" si="3"/>
        <v>0.1894635089</v>
      </c>
      <c r="J5052" s="2">
        <v>315.0</v>
      </c>
      <c r="K5052" s="3">
        <f t="shared" si="4"/>
        <v>0.1522474625</v>
      </c>
      <c r="L5052" s="2">
        <v>231.0</v>
      </c>
      <c r="M5052" s="3">
        <f t="shared" si="5"/>
        <v>0.5892857143</v>
      </c>
      <c r="N5052" s="2">
        <v>2253700.0</v>
      </c>
      <c r="O5052" s="4">
        <f t="shared" si="6"/>
        <v>5749.234694</v>
      </c>
      <c r="P5052" s="2">
        <v>1.0</v>
      </c>
      <c r="Q5052" s="3">
        <f t="shared" si="7"/>
        <v>0.005128205128</v>
      </c>
      <c r="R5052" s="2">
        <v>195.0</v>
      </c>
      <c r="S5052" s="5">
        <f t="shared" si="8"/>
        <v>1</v>
      </c>
    </row>
    <row r="5053">
      <c r="A5053" s="2" t="s">
        <v>5055</v>
      </c>
      <c r="B5053" s="2">
        <v>1804.0</v>
      </c>
      <c r="C5053" s="2">
        <v>21107.0</v>
      </c>
      <c r="D5053" s="2">
        <v>6557.0</v>
      </c>
      <c r="E5053" s="3">
        <f t="shared" si="1"/>
        <v>0.3396881314</v>
      </c>
      <c r="F5053" s="2">
        <v>2379.0</v>
      </c>
      <c r="G5053" s="3">
        <f t="shared" si="2"/>
        <v>0.1232450914</v>
      </c>
      <c r="H5053" s="2">
        <v>4096.0</v>
      </c>
      <c r="I5053" s="3">
        <f t="shared" si="3"/>
        <v>0.2121949956</v>
      </c>
      <c r="J5053" s="2">
        <v>3569.0</v>
      </c>
      <c r="K5053" s="3">
        <f t="shared" si="4"/>
        <v>0.1848935399</v>
      </c>
      <c r="L5053" s="2">
        <v>2400.0</v>
      </c>
      <c r="M5053" s="3">
        <f t="shared" si="5"/>
        <v>0.5859375</v>
      </c>
      <c r="N5053" s="2">
        <v>2.36164E7</v>
      </c>
      <c r="O5053" s="4">
        <f t="shared" si="6"/>
        <v>5765.722656</v>
      </c>
      <c r="P5053" s="2">
        <v>4.0</v>
      </c>
      <c r="Q5053" s="3">
        <f t="shared" si="7"/>
        <v>0.0022172949</v>
      </c>
      <c r="R5053" s="2">
        <v>639.0</v>
      </c>
      <c r="S5053" s="5">
        <f t="shared" si="8"/>
        <v>0.3542128603</v>
      </c>
    </row>
    <row r="5054">
      <c r="A5054" s="2" t="s">
        <v>5056</v>
      </c>
      <c r="B5054" s="2">
        <v>1316.0</v>
      </c>
      <c r="C5054" s="2">
        <v>15548.0</v>
      </c>
      <c r="D5054" s="2">
        <v>5510.0</v>
      </c>
      <c r="E5054" s="3">
        <f t="shared" si="1"/>
        <v>0.3871557055</v>
      </c>
      <c r="F5054" s="2">
        <v>1754.0</v>
      </c>
      <c r="G5054" s="3">
        <f t="shared" si="2"/>
        <v>0.1232433952</v>
      </c>
      <c r="H5054" s="2">
        <v>2861.0</v>
      </c>
      <c r="I5054" s="3">
        <f t="shared" si="3"/>
        <v>0.2010258572</v>
      </c>
      <c r="J5054" s="2">
        <v>1797.0</v>
      </c>
      <c r="K5054" s="3">
        <f t="shared" si="4"/>
        <v>0.1262647555</v>
      </c>
      <c r="L5054" s="2">
        <v>1748.0</v>
      </c>
      <c r="M5054" s="3">
        <f t="shared" si="5"/>
        <v>0.6109751835</v>
      </c>
      <c r="N5054" s="2">
        <v>1.61386E7</v>
      </c>
      <c r="O5054" s="4">
        <f t="shared" si="6"/>
        <v>5640.894792</v>
      </c>
      <c r="P5054" s="2">
        <v>8.0</v>
      </c>
      <c r="Q5054" s="3">
        <f t="shared" si="7"/>
        <v>0.006079027356</v>
      </c>
      <c r="R5054" s="2">
        <v>1316.0</v>
      </c>
      <c r="S5054" s="5">
        <f t="shared" si="8"/>
        <v>1</v>
      </c>
    </row>
    <row r="5055">
      <c r="A5055" s="2" t="s">
        <v>5057</v>
      </c>
      <c r="B5055" s="2">
        <v>172.0</v>
      </c>
      <c r="C5055" s="2">
        <v>2022.0</v>
      </c>
      <c r="D5055" s="2">
        <v>590.0</v>
      </c>
      <c r="E5055" s="3">
        <f t="shared" si="1"/>
        <v>0.3189189189</v>
      </c>
      <c r="F5055" s="2">
        <v>228.0</v>
      </c>
      <c r="G5055" s="3">
        <f t="shared" si="2"/>
        <v>0.1232432432</v>
      </c>
      <c r="H5055" s="2">
        <v>394.0</v>
      </c>
      <c r="I5055" s="3">
        <f t="shared" si="3"/>
        <v>0.212972973</v>
      </c>
      <c r="J5055" s="2">
        <v>295.0</v>
      </c>
      <c r="K5055" s="3">
        <f t="shared" si="4"/>
        <v>0.1594594595</v>
      </c>
      <c r="L5055" s="2">
        <v>231.0</v>
      </c>
      <c r="M5055" s="3">
        <f t="shared" si="5"/>
        <v>0.5862944162</v>
      </c>
      <c r="N5055" s="2">
        <v>2149900.0</v>
      </c>
      <c r="O5055" s="4">
        <f t="shared" si="6"/>
        <v>5456.598985</v>
      </c>
      <c r="P5055" s="2">
        <v>1.0</v>
      </c>
      <c r="Q5055" s="3">
        <f t="shared" si="7"/>
        <v>0.005813953488</v>
      </c>
      <c r="R5055" s="2">
        <v>172.0</v>
      </c>
      <c r="S5055" s="5">
        <f t="shared" si="8"/>
        <v>1</v>
      </c>
    </row>
    <row r="5056">
      <c r="A5056" s="2" t="s">
        <v>5058</v>
      </c>
      <c r="B5056" s="2">
        <v>445.0</v>
      </c>
      <c r="C5056" s="2">
        <v>5273.0</v>
      </c>
      <c r="D5056" s="2">
        <v>1718.0</v>
      </c>
      <c r="E5056" s="3">
        <f t="shared" si="1"/>
        <v>0.3558409279</v>
      </c>
      <c r="F5056" s="2">
        <v>595.0</v>
      </c>
      <c r="G5056" s="3">
        <f t="shared" si="2"/>
        <v>0.1232394366</v>
      </c>
      <c r="H5056" s="2">
        <v>1020.0</v>
      </c>
      <c r="I5056" s="3">
        <f t="shared" si="3"/>
        <v>0.2112676056</v>
      </c>
      <c r="J5056" s="2">
        <v>886.0</v>
      </c>
      <c r="K5056" s="3">
        <f t="shared" si="4"/>
        <v>0.1835128418</v>
      </c>
      <c r="L5056" s="2">
        <v>588.0</v>
      </c>
      <c r="M5056" s="3">
        <f t="shared" si="5"/>
        <v>0.5764705882</v>
      </c>
      <c r="N5056" s="2">
        <v>5858600.0</v>
      </c>
      <c r="O5056" s="4">
        <f t="shared" si="6"/>
        <v>5743.72549</v>
      </c>
      <c r="P5056" s="2">
        <v>0.0</v>
      </c>
      <c r="Q5056" s="3">
        <f t="shared" si="7"/>
        <v>0</v>
      </c>
      <c r="R5056" s="2">
        <v>0.0</v>
      </c>
      <c r="S5056" s="5">
        <f t="shared" si="8"/>
        <v>0</v>
      </c>
    </row>
    <row r="5057">
      <c r="A5057" s="2" t="s">
        <v>5059</v>
      </c>
      <c r="B5057" s="2">
        <v>45.0</v>
      </c>
      <c r="C5057" s="2">
        <v>540.0</v>
      </c>
      <c r="D5057" s="2">
        <v>167.0</v>
      </c>
      <c r="E5057" s="3">
        <f t="shared" si="1"/>
        <v>0.3373737374</v>
      </c>
      <c r="F5057" s="2">
        <v>61.0</v>
      </c>
      <c r="G5057" s="3">
        <f t="shared" si="2"/>
        <v>0.1232323232</v>
      </c>
      <c r="H5057" s="2">
        <v>93.0</v>
      </c>
      <c r="I5057" s="3">
        <f t="shared" si="3"/>
        <v>0.1878787879</v>
      </c>
      <c r="J5057" s="2">
        <v>89.0</v>
      </c>
      <c r="K5057" s="3">
        <f t="shared" si="4"/>
        <v>0.1797979798</v>
      </c>
      <c r="L5057" s="2">
        <v>58.0</v>
      </c>
      <c r="M5057" s="3">
        <f t="shared" si="5"/>
        <v>0.623655914</v>
      </c>
      <c r="N5057" s="2">
        <v>481200.0</v>
      </c>
      <c r="O5057" s="4">
        <f t="shared" si="6"/>
        <v>5174.193548</v>
      </c>
      <c r="P5057" s="2">
        <v>0.0</v>
      </c>
      <c r="Q5057" s="3">
        <f t="shared" si="7"/>
        <v>0</v>
      </c>
      <c r="R5057" s="2">
        <v>0.0</v>
      </c>
      <c r="S5057" s="5">
        <f t="shared" si="8"/>
        <v>0</v>
      </c>
    </row>
    <row r="5058">
      <c r="A5058" s="2" t="s">
        <v>5060</v>
      </c>
      <c r="B5058" s="2">
        <v>367.0</v>
      </c>
      <c r="C5058" s="2">
        <v>4246.0</v>
      </c>
      <c r="D5058" s="2">
        <v>1481.0</v>
      </c>
      <c r="E5058" s="3">
        <f t="shared" si="1"/>
        <v>0.3817994328</v>
      </c>
      <c r="F5058" s="2">
        <v>478.0</v>
      </c>
      <c r="G5058" s="3">
        <f t="shared" si="2"/>
        <v>0.123227636</v>
      </c>
      <c r="H5058" s="2">
        <v>816.0</v>
      </c>
      <c r="I5058" s="3">
        <f t="shared" si="3"/>
        <v>0.2103634957</v>
      </c>
      <c r="J5058" s="2">
        <v>679.0</v>
      </c>
      <c r="K5058" s="3">
        <f t="shared" si="4"/>
        <v>0.1750451147</v>
      </c>
      <c r="L5058" s="2">
        <v>481.0</v>
      </c>
      <c r="M5058" s="3">
        <f t="shared" si="5"/>
        <v>0.5894607843</v>
      </c>
      <c r="N5058" s="2">
        <v>4297800.0</v>
      </c>
      <c r="O5058" s="4">
        <f t="shared" si="6"/>
        <v>5266.911765</v>
      </c>
      <c r="P5058" s="2">
        <v>1.0</v>
      </c>
      <c r="Q5058" s="3">
        <f t="shared" si="7"/>
        <v>0.00272479564</v>
      </c>
      <c r="R5058" s="2">
        <v>299.0</v>
      </c>
      <c r="S5058" s="5">
        <f t="shared" si="8"/>
        <v>0.8147138965</v>
      </c>
    </row>
    <row r="5059">
      <c r="A5059" s="2" t="s">
        <v>5061</v>
      </c>
      <c r="B5059" s="2">
        <v>281.0</v>
      </c>
      <c r="C5059" s="2">
        <v>3381.0</v>
      </c>
      <c r="D5059" s="2">
        <v>931.0</v>
      </c>
      <c r="E5059" s="3">
        <f t="shared" si="1"/>
        <v>0.3003225806</v>
      </c>
      <c r="F5059" s="2">
        <v>382.0</v>
      </c>
      <c r="G5059" s="3">
        <f t="shared" si="2"/>
        <v>0.1232258065</v>
      </c>
      <c r="H5059" s="2">
        <v>643.0</v>
      </c>
      <c r="I5059" s="3">
        <f t="shared" si="3"/>
        <v>0.2074193548</v>
      </c>
      <c r="J5059" s="2">
        <v>565.0</v>
      </c>
      <c r="K5059" s="3">
        <f t="shared" si="4"/>
        <v>0.1822580645</v>
      </c>
      <c r="L5059" s="2">
        <v>385.0</v>
      </c>
      <c r="M5059" s="3">
        <f t="shared" si="5"/>
        <v>0.598755832</v>
      </c>
      <c r="N5059" s="2">
        <v>3632500.0</v>
      </c>
      <c r="O5059" s="4">
        <f t="shared" si="6"/>
        <v>5649.300156</v>
      </c>
      <c r="P5059" s="2">
        <v>0.0</v>
      </c>
      <c r="Q5059" s="3">
        <f t="shared" si="7"/>
        <v>0</v>
      </c>
      <c r="R5059" s="2">
        <v>281.0</v>
      </c>
      <c r="S5059" s="5">
        <f t="shared" si="8"/>
        <v>1</v>
      </c>
    </row>
    <row r="5060">
      <c r="A5060" s="2" t="s">
        <v>5062</v>
      </c>
      <c r="B5060" s="2">
        <v>18.0</v>
      </c>
      <c r="C5060" s="2">
        <v>229.0</v>
      </c>
      <c r="D5060" s="2">
        <v>75.0</v>
      </c>
      <c r="E5060" s="3">
        <f t="shared" si="1"/>
        <v>0.355450237</v>
      </c>
      <c r="F5060" s="2">
        <v>26.0</v>
      </c>
      <c r="G5060" s="3">
        <f t="shared" si="2"/>
        <v>0.1232227488</v>
      </c>
      <c r="H5060" s="2">
        <v>35.0</v>
      </c>
      <c r="I5060" s="3">
        <f t="shared" si="3"/>
        <v>0.1658767773</v>
      </c>
      <c r="J5060" s="2">
        <v>42.0</v>
      </c>
      <c r="K5060" s="3">
        <f t="shared" si="4"/>
        <v>0.1990521327</v>
      </c>
      <c r="L5060" s="2">
        <v>17.0</v>
      </c>
      <c r="M5060" s="3">
        <f t="shared" si="5"/>
        <v>0.4857142857</v>
      </c>
      <c r="N5060" s="2">
        <v>179100.0</v>
      </c>
      <c r="O5060" s="4">
        <f t="shared" si="6"/>
        <v>5117.142857</v>
      </c>
      <c r="P5060" s="2">
        <v>0.0</v>
      </c>
      <c r="Q5060" s="3">
        <f t="shared" si="7"/>
        <v>0</v>
      </c>
      <c r="R5060" s="2">
        <v>6.0</v>
      </c>
      <c r="S5060" s="5">
        <f t="shared" si="8"/>
        <v>0.3333333333</v>
      </c>
    </row>
    <row r="5061">
      <c r="A5061" s="2" t="s">
        <v>5063</v>
      </c>
      <c r="B5061" s="2">
        <v>542.0</v>
      </c>
      <c r="C5061" s="2">
        <v>6450.0</v>
      </c>
      <c r="D5061" s="2">
        <v>1739.0</v>
      </c>
      <c r="E5061" s="3">
        <f t="shared" si="1"/>
        <v>0.2943466486</v>
      </c>
      <c r="F5061" s="2">
        <v>728.0</v>
      </c>
      <c r="G5061" s="3">
        <f t="shared" si="2"/>
        <v>0.1232227488</v>
      </c>
      <c r="H5061" s="2">
        <v>1220.0</v>
      </c>
      <c r="I5061" s="3">
        <f t="shared" si="3"/>
        <v>0.2064996615</v>
      </c>
      <c r="J5061" s="2">
        <v>910.0</v>
      </c>
      <c r="K5061" s="3">
        <f t="shared" si="4"/>
        <v>0.154028436</v>
      </c>
      <c r="L5061" s="2">
        <v>707.0</v>
      </c>
      <c r="M5061" s="3">
        <f t="shared" si="5"/>
        <v>0.5795081967</v>
      </c>
      <c r="N5061" s="2">
        <v>7049100.0</v>
      </c>
      <c r="O5061" s="4">
        <f t="shared" si="6"/>
        <v>5777.95082</v>
      </c>
      <c r="P5061" s="2">
        <v>0.0</v>
      </c>
      <c r="Q5061" s="3">
        <f t="shared" si="7"/>
        <v>0</v>
      </c>
      <c r="R5061" s="2">
        <v>542.0</v>
      </c>
      <c r="S5061" s="5">
        <f t="shared" si="8"/>
        <v>1</v>
      </c>
    </row>
    <row r="5062">
      <c r="A5062" s="2" t="s">
        <v>5064</v>
      </c>
      <c r="B5062" s="2">
        <v>295.0</v>
      </c>
      <c r="C5062" s="2">
        <v>3436.0</v>
      </c>
      <c r="D5062" s="2">
        <v>1203.0</v>
      </c>
      <c r="E5062" s="3">
        <f t="shared" si="1"/>
        <v>0.3829990449</v>
      </c>
      <c r="F5062" s="2">
        <v>387.0</v>
      </c>
      <c r="G5062" s="3">
        <f t="shared" si="2"/>
        <v>0.1232091691</v>
      </c>
      <c r="H5062" s="2">
        <v>676.0</v>
      </c>
      <c r="I5062" s="3">
        <f t="shared" si="3"/>
        <v>0.2152180834</v>
      </c>
      <c r="J5062" s="2">
        <v>504.0</v>
      </c>
      <c r="K5062" s="3">
        <f t="shared" si="4"/>
        <v>0.1604584527</v>
      </c>
      <c r="L5062" s="2">
        <v>423.0</v>
      </c>
      <c r="M5062" s="3">
        <f t="shared" si="5"/>
        <v>0.625739645</v>
      </c>
      <c r="N5062" s="2">
        <v>3672400.0</v>
      </c>
      <c r="O5062" s="4">
        <f t="shared" si="6"/>
        <v>5432.544379</v>
      </c>
      <c r="P5062" s="2">
        <v>1.0</v>
      </c>
      <c r="Q5062" s="3">
        <f t="shared" si="7"/>
        <v>0.003389830508</v>
      </c>
      <c r="R5062" s="2">
        <v>295.0</v>
      </c>
      <c r="S5062" s="5">
        <f t="shared" si="8"/>
        <v>1</v>
      </c>
    </row>
    <row r="5063">
      <c r="A5063" s="2" t="s">
        <v>5065</v>
      </c>
      <c r="B5063" s="2">
        <v>33.0</v>
      </c>
      <c r="C5063" s="2">
        <v>382.0</v>
      </c>
      <c r="D5063" s="2">
        <v>119.0</v>
      </c>
      <c r="E5063" s="3">
        <f t="shared" si="1"/>
        <v>0.340974212</v>
      </c>
      <c r="F5063" s="2">
        <v>43.0</v>
      </c>
      <c r="G5063" s="3">
        <f t="shared" si="2"/>
        <v>0.1232091691</v>
      </c>
      <c r="H5063" s="2">
        <v>64.0</v>
      </c>
      <c r="I5063" s="3">
        <f t="shared" si="3"/>
        <v>0.1833810888</v>
      </c>
      <c r="J5063" s="2">
        <v>54.0</v>
      </c>
      <c r="K5063" s="3">
        <f t="shared" si="4"/>
        <v>0.1547277937</v>
      </c>
      <c r="L5063" s="2">
        <v>36.0</v>
      </c>
      <c r="M5063" s="3">
        <f t="shared" si="5"/>
        <v>0.5625</v>
      </c>
      <c r="N5063" s="2">
        <v>353600.0</v>
      </c>
      <c r="O5063" s="4">
        <f t="shared" si="6"/>
        <v>5525</v>
      </c>
      <c r="P5063" s="2">
        <v>0.0</v>
      </c>
      <c r="Q5063" s="3">
        <f t="shared" si="7"/>
        <v>0</v>
      </c>
      <c r="R5063" s="2">
        <v>33.0</v>
      </c>
      <c r="S5063" s="5">
        <f t="shared" si="8"/>
        <v>1</v>
      </c>
    </row>
    <row r="5064">
      <c r="A5064" s="2" t="s">
        <v>5066</v>
      </c>
      <c r="B5064" s="2">
        <v>1759.0</v>
      </c>
      <c r="C5064" s="2">
        <v>20477.0</v>
      </c>
      <c r="D5064" s="2">
        <v>4023.0</v>
      </c>
      <c r="E5064" s="3">
        <f t="shared" si="1"/>
        <v>0.2149268084</v>
      </c>
      <c r="F5064" s="2">
        <v>2306.0</v>
      </c>
      <c r="G5064" s="3">
        <f t="shared" si="2"/>
        <v>0.1231969227</v>
      </c>
      <c r="H5064" s="2">
        <v>3606.0</v>
      </c>
      <c r="I5064" s="3">
        <f t="shared" si="3"/>
        <v>0.1926487873</v>
      </c>
      <c r="J5064" s="2">
        <v>3452.0</v>
      </c>
      <c r="K5064" s="3">
        <f t="shared" si="4"/>
        <v>0.1844214125</v>
      </c>
      <c r="L5064" s="2">
        <v>2127.0</v>
      </c>
      <c r="M5064" s="3">
        <f t="shared" si="5"/>
        <v>0.5898502496</v>
      </c>
      <c r="N5064" s="2">
        <v>2.10467E7</v>
      </c>
      <c r="O5064" s="4">
        <f t="shared" si="6"/>
        <v>5836.577926</v>
      </c>
      <c r="P5064" s="2">
        <v>3.0</v>
      </c>
      <c r="Q5064" s="3">
        <f t="shared" si="7"/>
        <v>0.001705514497</v>
      </c>
      <c r="R5064" s="2">
        <v>490.0</v>
      </c>
      <c r="S5064" s="5">
        <f t="shared" si="8"/>
        <v>0.2785673678</v>
      </c>
    </row>
    <row r="5065">
      <c r="A5065" s="2" t="s">
        <v>5067</v>
      </c>
      <c r="B5065" s="2">
        <v>744.0</v>
      </c>
      <c r="C5065" s="2">
        <v>8715.0</v>
      </c>
      <c r="D5065" s="2">
        <v>3029.0</v>
      </c>
      <c r="E5065" s="3">
        <f t="shared" si="1"/>
        <v>0.3800025091</v>
      </c>
      <c r="F5065" s="2">
        <v>982.0</v>
      </c>
      <c r="G5065" s="3">
        <f t="shared" si="2"/>
        <v>0.1231965876</v>
      </c>
      <c r="H5065" s="2">
        <v>1714.0</v>
      </c>
      <c r="I5065" s="3">
        <f t="shared" si="3"/>
        <v>0.2150294819</v>
      </c>
      <c r="J5065" s="2">
        <v>1383.0</v>
      </c>
      <c r="K5065" s="3">
        <f t="shared" si="4"/>
        <v>0.1735039518</v>
      </c>
      <c r="L5065" s="2">
        <v>1010.0</v>
      </c>
      <c r="M5065" s="3">
        <f t="shared" si="5"/>
        <v>0.5892648775</v>
      </c>
      <c r="N5065" s="2">
        <v>9077000.0</v>
      </c>
      <c r="O5065" s="4">
        <f t="shared" si="6"/>
        <v>5295.7993</v>
      </c>
      <c r="P5065" s="2">
        <v>1.0</v>
      </c>
      <c r="Q5065" s="3">
        <f t="shared" si="7"/>
        <v>0.001344086022</v>
      </c>
      <c r="R5065" s="2">
        <v>669.0</v>
      </c>
      <c r="S5065" s="5">
        <f t="shared" si="8"/>
        <v>0.8991935484</v>
      </c>
    </row>
    <row r="5066">
      <c r="A5066" s="2" t="s">
        <v>5068</v>
      </c>
      <c r="B5066" s="2">
        <v>87.0</v>
      </c>
      <c r="C5066" s="2">
        <v>988.0</v>
      </c>
      <c r="D5066" s="2">
        <v>365.0</v>
      </c>
      <c r="E5066" s="3">
        <f t="shared" si="1"/>
        <v>0.4051054384</v>
      </c>
      <c r="F5066" s="2">
        <v>111.0</v>
      </c>
      <c r="G5066" s="3">
        <f t="shared" si="2"/>
        <v>0.1231964484</v>
      </c>
      <c r="H5066" s="2">
        <v>192.0</v>
      </c>
      <c r="I5066" s="3">
        <f t="shared" si="3"/>
        <v>0.2130965594</v>
      </c>
      <c r="J5066" s="2">
        <v>162.0</v>
      </c>
      <c r="K5066" s="3">
        <f t="shared" si="4"/>
        <v>0.179800222</v>
      </c>
      <c r="L5066" s="2">
        <v>119.0</v>
      </c>
      <c r="M5066" s="3">
        <f t="shared" si="5"/>
        <v>0.6197916667</v>
      </c>
      <c r="N5066" s="2">
        <v>1059600.0</v>
      </c>
      <c r="O5066" s="4">
        <f t="shared" si="6"/>
        <v>5518.75</v>
      </c>
      <c r="P5066" s="2">
        <v>0.0</v>
      </c>
      <c r="Q5066" s="3">
        <f t="shared" si="7"/>
        <v>0</v>
      </c>
      <c r="R5066" s="2">
        <v>9.0</v>
      </c>
      <c r="S5066" s="5">
        <f t="shared" si="8"/>
        <v>0.1034482759</v>
      </c>
    </row>
    <row r="5067">
      <c r="A5067" s="2" t="s">
        <v>5069</v>
      </c>
      <c r="B5067" s="2">
        <v>4207.0</v>
      </c>
      <c r="C5067" s="2">
        <v>49162.0</v>
      </c>
      <c r="D5067" s="2">
        <v>15374.0</v>
      </c>
      <c r="E5067" s="3">
        <f t="shared" si="1"/>
        <v>0.3419864309</v>
      </c>
      <c r="F5067" s="2">
        <v>5538.0</v>
      </c>
      <c r="G5067" s="3">
        <f t="shared" si="2"/>
        <v>0.1231898565</v>
      </c>
      <c r="H5067" s="2">
        <v>9623.0</v>
      </c>
      <c r="I5067" s="3">
        <f t="shared" si="3"/>
        <v>0.2140585029</v>
      </c>
      <c r="J5067" s="2">
        <v>8284.0</v>
      </c>
      <c r="K5067" s="3">
        <f t="shared" si="4"/>
        <v>0.1842731621</v>
      </c>
      <c r="L5067" s="2">
        <v>5821.0</v>
      </c>
      <c r="M5067" s="3">
        <f t="shared" si="5"/>
        <v>0.6049049153</v>
      </c>
      <c r="N5067" s="2">
        <v>5.35661E7</v>
      </c>
      <c r="O5067" s="4">
        <f t="shared" si="6"/>
        <v>5566.465759</v>
      </c>
      <c r="P5067" s="2">
        <v>7.0</v>
      </c>
      <c r="Q5067" s="3">
        <f t="shared" si="7"/>
        <v>0.001663893511</v>
      </c>
      <c r="R5067" s="2">
        <v>4207.0</v>
      </c>
      <c r="S5067" s="5">
        <f t="shared" si="8"/>
        <v>1</v>
      </c>
    </row>
    <row r="5068">
      <c r="A5068" s="2" t="s">
        <v>5070</v>
      </c>
      <c r="B5068" s="2">
        <v>13.0</v>
      </c>
      <c r="C5068" s="2">
        <v>151.0</v>
      </c>
      <c r="D5068" s="2">
        <v>55.0</v>
      </c>
      <c r="E5068" s="3">
        <f t="shared" si="1"/>
        <v>0.3985507246</v>
      </c>
      <c r="F5068" s="2">
        <v>17.0</v>
      </c>
      <c r="G5068" s="3">
        <f t="shared" si="2"/>
        <v>0.1231884058</v>
      </c>
      <c r="H5068" s="2">
        <v>30.0</v>
      </c>
      <c r="I5068" s="3">
        <f t="shared" si="3"/>
        <v>0.2173913043</v>
      </c>
      <c r="J5068" s="2">
        <v>30.0</v>
      </c>
      <c r="K5068" s="3">
        <f t="shared" si="4"/>
        <v>0.2173913043</v>
      </c>
      <c r="L5068" s="2">
        <v>14.0</v>
      </c>
      <c r="M5068" s="3">
        <f t="shared" si="5"/>
        <v>0.4666666667</v>
      </c>
      <c r="N5068" s="2">
        <v>147900.0</v>
      </c>
      <c r="O5068" s="4">
        <f t="shared" si="6"/>
        <v>4930</v>
      </c>
      <c r="P5068" s="2">
        <v>0.0</v>
      </c>
      <c r="Q5068" s="3">
        <f t="shared" si="7"/>
        <v>0</v>
      </c>
      <c r="R5068" s="2">
        <v>13.0</v>
      </c>
      <c r="S5068" s="5">
        <f t="shared" si="8"/>
        <v>1</v>
      </c>
    </row>
    <row r="5069">
      <c r="A5069" s="2" t="s">
        <v>5071</v>
      </c>
      <c r="B5069" s="2">
        <v>349.0</v>
      </c>
      <c r="C5069" s="2">
        <v>4051.0</v>
      </c>
      <c r="D5069" s="2">
        <v>1152.0</v>
      </c>
      <c r="E5069" s="3">
        <f t="shared" si="1"/>
        <v>0.3111831442</v>
      </c>
      <c r="F5069" s="2">
        <v>456.0</v>
      </c>
      <c r="G5069" s="3">
        <f t="shared" si="2"/>
        <v>0.1231766613</v>
      </c>
      <c r="H5069" s="2">
        <v>731.0</v>
      </c>
      <c r="I5069" s="3">
        <f t="shared" si="3"/>
        <v>0.197460832</v>
      </c>
      <c r="J5069" s="2">
        <v>666.0</v>
      </c>
      <c r="K5069" s="3">
        <f t="shared" si="4"/>
        <v>0.1799027553</v>
      </c>
      <c r="L5069" s="2">
        <v>430.0</v>
      </c>
      <c r="M5069" s="3">
        <f t="shared" si="5"/>
        <v>0.5882352941</v>
      </c>
      <c r="N5069" s="2">
        <v>4282700.0</v>
      </c>
      <c r="O5069" s="4">
        <f t="shared" si="6"/>
        <v>5858.686731</v>
      </c>
      <c r="P5069" s="2">
        <v>0.0</v>
      </c>
      <c r="Q5069" s="3">
        <f t="shared" si="7"/>
        <v>0</v>
      </c>
      <c r="R5069" s="2">
        <v>0.0</v>
      </c>
      <c r="S5069" s="5">
        <f t="shared" si="8"/>
        <v>0</v>
      </c>
    </row>
    <row r="5070">
      <c r="A5070" s="2" t="s">
        <v>5072</v>
      </c>
      <c r="B5070" s="2">
        <v>751.0</v>
      </c>
      <c r="C5070" s="2">
        <v>8764.0</v>
      </c>
      <c r="D5070" s="2">
        <v>3145.0</v>
      </c>
      <c r="E5070" s="3">
        <f t="shared" si="1"/>
        <v>0.3924872083</v>
      </c>
      <c r="F5070" s="2">
        <v>987.0</v>
      </c>
      <c r="G5070" s="3">
        <f t="shared" si="2"/>
        <v>0.1231748409</v>
      </c>
      <c r="H5070" s="2">
        <v>1634.0</v>
      </c>
      <c r="I5070" s="3">
        <f t="shared" si="3"/>
        <v>0.2039186322</v>
      </c>
      <c r="J5070" s="2">
        <v>1439.0</v>
      </c>
      <c r="K5070" s="3">
        <f t="shared" si="4"/>
        <v>0.1795831773</v>
      </c>
      <c r="L5070" s="2">
        <v>970.0</v>
      </c>
      <c r="M5070" s="3">
        <f t="shared" si="5"/>
        <v>0.5936352509</v>
      </c>
      <c r="N5070" s="2">
        <v>9899800.0</v>
      </c>
      <c r="O5070" s="4">
        <f t="shared" si="6"/>
        <v>6058.629131</v>
      </c>
      <c r="P5070" s="2">
        <v>1.0</v>
      </c>
      <c r="Q5070" s="3">
        <f t="shared" si="7"/>
        <v>0.001331557923</v>
      </c>
      <c r="R5070" s="2">
        <v>751.0</v>
      </c>
      <c r="S5070" s="5">
        <f t="shared" si="8"/>
        <v>1</v>
      </c>
    </row>
    <row r="5071">
      <c r="A5071" s="2" t="s">
        <v>5073</v>
      </c>
      <c r="B5071" s="2">
        <v>88.0</v>
      </c>
      <c r="C5071" s="2">
        <v>1046.0</v>
      </c>
      <c r="D5071" s="2">
        <v>316.0</v>
      </c>
      <c r="E5071" s="3">
        <f t="shared" si="1"/>
        <v>0.3298538622</v>
      </c>
      <c r="F5071" s="2">
        <v>118.0</v>
      </c>
      <c r="G5071" s="3">
        <f t="shared" si="2"/>
        <v>0.1231732777</v>
      </c>
      <c r="H5071" s="2">
        <v>225.0</v>
      </c>
      <c r="I5071" s="3">
        <f t="shared" si="3"/>
        <v>0.2348643006</v>
      </c>
      <c r="J5071" s="2">
        <v>223.0</v>
      </c>
      <c r="K5071" s="3">
        <f t="shared" si="4"/>
        <v>0.232776618</v>
      </c>
      <c r="L5071" s="2">
        <v>128.0</v>
      </c>
      <c r="M5071" s="3">
        <f t="shared" si="5"/>
        <v>0.5688888889</v>
      </c>
      <c r="N5071" s="2">
        <v>1323200.0</v>
      </c>
      <c r="O5071" s="4">
        <f t="shared" si="6"/>
        <v>5880.888889</v>
      </c>
      <c r="P5071" s="2">
        <v>0.0</v>
      </c>
      <c r="Q5071" s="3">
        <f t="shared" si="7"/>
        <v>0</v>
      </c>
      <c r="R5071" s="2">
        <v>88.0</v>
      </c>
      <c r="S5071" s="5">
        <f t="shared" si="8"/>
        <v>1</v>
      </c>
    </row>
    <row r="5072">
      <c r="A5072" s="2" t="s">
        <v>5074</v>
      </c>
      <c r="B5072" s="2">
        <v>476.0</v>
      </c>
      <c r="C5072" s="2">
        <v>5607.0</v>
      </c>
      <c r="D5072" s="2">
        <v>1797.0</v>
      </c>
      <c r="E5072" s="3">
        <f t="shared" si="1"/>
        <v>0.3502241279</v>
      </c>
      <c r="F5072" s="2">
        <v>632.0</v>
      </c>
      <c r="G5072" s="3">
        <f t="shared" si="2"/>
        <v>0.1231728708</v>
      </c>
      <c r="H5072" s="2">
        <v>1132.0</v>
      </c>
      <c r="I5072" s="3">
        <f t="shared" si="3"/>
        <v>0.2206197622</v>
      </c>
      <c r="J5072" s="2">
        <v>981.0</v>
      </c>
      <c r="K5072" s="3">
        <f t="shared" si="4"/>
        <v>0.191190801</v>
      </c>
      <c r="L5072" s="2">
        <v>691.0</v>
      </c>
      <c r="M5072" s="3">
        <f t="shared" si="5"/>
        <v>0.6104240283</v>
      </c>
      <c r="N5072" s="2">
        <v>6286100.0</v>
      </c>
      <c r="O5072" s="4">
        <f t="shared" si="6"/>
        <v>5553.091873</v>
      </c>
      <c r="P5072" s="2">
        <v>1.0</v>
      </c>
      <c r="Q5072" s="3">
        <f t="shared" si="7"/>
        <v>0.002100840336</v>
      </c>
      <c r="R5072" s="2">
        <v>476.0</v>
      </c>
      <c r="S5072" s="5">
        <f t="shared" si="8"/>
        <v>1</v>
      </c>
    </row>
    <row r="5073">
      <c r="A5073" s="2" t="s">
        <v>5075</v>
      </c>
      <c r="B5073" s="2">
        <v>1510.0</v>
      </c>
      <c r="C5073" s="2">
        <v>17627.0</v>
      </c>
      <c r="D5073" s="2">
        <v>5852.0</v>
      </c>
      <c r="E5073" s="3">
        <f t="shared" si="1"/>
        <v>0.3630948688</v>
      </c>
      <c r="F5073" s="2">
        <v>1985.0</v>
      </c>
      <c r="G5073" s="3">
        <f t="shared" si="2"/>
        <v>0.1231618788</v>
      </c>
      <c r="H5073" s="2">
        <v>3346.0</v>
      </c>
      <c r="I5073" s="3">
        <f t="shared" si="3"/>
        <v>0.2076068747</v>
      </c>
      <c r="J5073" s="2">
        <v>2882.0</v>
      </c>
      <c r="K5073" s="3">
        <f t="shared" si="4"/>
        <v>0.1788173978</v>
      </c>
      <c r="L5073" s="2">
        <v>1971.0</v>
      </c>
      <c r="M5073" s="3">
        <f t="shared" si="5"/>
        <v>0.589061566</v>
      </c>
      <c r="N5073" s="2">
        <v>1.91302E7</v>
      </c>
      <c r="O5073" s="4">
        <f t="shared" si="6"/>
        <v>5717.33413</v>
      </c>
      <c r="P5073" s="2">
        <v>5.0</v>
      </c>
      <c r="Q5073" s="3">
        <f t="shared" si="7"/>
        <v>0.003311258278</v>
      </c>
      <c r="R5073" s="2">
        <v>1510.0</v>
      </c>
      <c r="S5073" s="5">
        <f t="shared" si="8"/>
        <v>1</v>
      </c>
    </row>
    <row r="5074">
      <c r="A5074" s="2" t="s">
        <v>5076</v>
      </c>
      <c r="B5074" s="2">
        <v>468.0</v>
      </c>
      <c r="C5074" s="2">
        <v>5365.0</v>
      </c>
      <c r="D5074" s="2">
        <v>1624.0</v>
      </c>
      <c r="E5074" s="3">
        <f t="shared" si="1"/>
        <v>0.3316316112</v>
      </c>
      <c r="F5074" s="2">
        <v>603.0</v>
      </c>
      <c r="G5074" s="3">
        <f t="shared" si="2"/>
        <v>0.1231366143</v>
      </c>
      <c r="H5074" s="2">
        <v>1052.0</v>
      </c>
      <c r="I5074" s="3">
        <f t="shared" si="3"/>
        <v>0.2148254033</v>
      </c>
      <c r="J5074" s="2">
        <v>849.0</v>
      </c>
      <c r="K5074" s="3">
        <f t="shared" si="4"/>
        <v>0.1733714519</v>
      </c>
      <c r="L5074" s="2">
        <v>636.0</v>
      </c>
      <c r="M5074" s="3">
        <f t="shared" si="5"/>
        <v>0.6045627376</v>
      </c>
      <c r="N5074" s="2">
        <v>5983200.0</v>
      </c>
      <c r="O5074" s="4">
        <f t="shared" si="6"/>
        <v>5687.452471</v>
      </c>
      <c r="P5074" s="2">
        <v>1.0</v>
      </c>
      <c r="Q5074" s="3">
        <f t="shared" si="7"/>
        <v>0.002136752137</v>
      </c>
      <c r="R5074" s="2">
        <v>0.0</v>
      </c>
      <c r="S5074" s="5">
        <f t="shared" si="8"/>
        <v>0</v>
      </c>
    </row>
    <row r="5075">
      <c r="A5075" s="2" t="s">
        <v>5077</v>
      </c>
      <c r="B5075" s="2">
        <v>5903.0</v>
      </c>
      <c r="C5075" s="2">
        <v>69095.0</v>
      </c>
      <c r="D5075" s="2">
        <v>20767.0</v>
      </c>
      <c r="E5075" s="3">
        <f t="shared" si="1"/>
        <v>0.3286333713</v>
      </c>
      <c r="F5075" s="2">
        <v>7781.0</v>
      </c>
      <c r="G5075" s="3">
        <f t="shared" si="2"/>
        <v>0.123132675</v>
      </c>
      <c r="H5075" s="2">
        <v>13149.0</v>
      </c>
      <c r="I5075" s="3">
        <f t="shared" si="3"/>
        <v>0.2080801367</v>
      </c>
      <c r="J5075" s="2">
        <v>9217.0</v>
      </c>
      <c r="K5075" s="3">
        <f t="shared" si="4"/>
        <v>0.1458570705</v>
      </c>
      <c r="L5075" s="2">
        <v>7956.0</v>
      </c>
      <c r="M5075" s="3">
        <f t="shared" si="5"/>
        <v>0.605065024</v>
      </c>
      <c r="N5075" s="2">
        <v>7.45859E7</v>
      </c>
      <c r="O5075" s="4">
        <f t="shared" si="6"/>
        <v>5672.362917</v>
      </c>
      <c r="P5075" s="2">
        <v>22.0</v>
      </c>
      <c r="Q5075" s="3">
        <f t="shared" si="7"/>
        <v>0.003726918516</v>
      </c>
      <c r="R5075" s="2">
        <v>5900.0</v>
      </c>
      <c r="S5075" s="5">
        <f t="shared" si="8"/>
        <v>0.9994917838</v>
      </c>
    </row>
    <row r="5076">
      <c r="A5076" s="2" t="s">
        <v>5078</v>
      </c>
      <c r="B5076" s="2">
        <v>189.0</v>
      </c>
      <c r="C5076" s="2">
        <v>2130.0</v>
      </c>
      <c r="D5076" s="2">
        <v>747.0</v>
      </c>
      <c r="E5076" s="3">
        <f t="shared" si="1"/>
        <v>0.3848531685</v>
      </c>
      <c r="F5076" s="2">
        <v>239.0</v>
      </c>
      <c r="G5076" s="3">
        <f t="shared" si="2"/>
        <v>0.123132406</v>
      </c>
      <c r="H5076" s="2">
        <v>400.0</v>
      </c>
      <c r="I5076" s="3">
        <f t="shared" si="3"/>
        <v>0.2060793405</v>
      </c>
      <c r="J5076" s="2">
        <v>290.0</v>
      </c>
      <c r="K5076" s="3">
        <f t="shared" si="4"/>
        <v>0.1494075219</v>
      </c>
      <c r="L5076" s="2">
        <v>239.0</v>
      </c>
      <c r="M5076" s="3">
        <f t="shared" si="5"/>
        <v>0.5975</v>
      </c>
      <c r="N5076" s="2">
        <v>2118600.0</v>
      </c>
      <c r="O5076" s="4">
        <f t="shared" si="6"/>
        <v>5296.5</v>
      </c>
      <c r="P5076" s="2">
        <v>0.0</v>
      </c>
      <c r="Q5076" s="3">
        <f t="shared" si="7"/>
        <v>0</v>
      </c>
      <c r="R5076" s="2">
        <v>189.0</v>
      </c>
      <c r="S5076" s="5">
        <f t="shared" si="8"/>
        <v>1</v>
      </c>
    </row>
    <row r="5077">
      <c r="A5077" s="2" t="s">
        <v>5079</v>
      </c>
      <c r="B5077" s="2">
        <v>569.0</v>
      </c>
      <c r="C5077" s="2">
        <v>6717.0</v>
      </c>
      <c r="D5077" s="2">
        <v>2460.0</v>
      </c>
      <c r="E5077" s="3">
        <f t="shared" si="1"/>
        <v>0.4001301236</v>
      </c>
      <c r="F5077" s="2">
        <v>757.0</v>
      </c>
      <c r="G5077" s="3">
        <f t="shared" si="2"/>
        <v>0.123129473</v>
      </c>
      <c r="H5077" s="2">
        <v>1279.0</v>
      </c>
      <c r="I5077" s="3">
        <f t="shared" si="3"/>
        <v>0.2080351334</v>
      </c>
      <c r="J5077" s="2">
        <v>954.0</v>
      </c>
      <c r="K5077" s="3">
        <f t="shared" si="4"/>
        <v>0.1551724138</v>
      </c>
      <c r="L5077" s="2">
        <v>736.0</v>
      </c>
      <c r="M5077" s="3">
        <f t="shared" si="5"/>
        <v>0.57544957</v>
      </c>
      <c r="N5077" s="2">
        <v>6924500.0</v>
      </c>
      <c r="O5077" s="4">
        <f t="shared" si="6"/>
        <v>5413.995309</v>
      </c>
      <c r="P5077" s="2">
        <v>1.0</v>
      </c>
      <c r="Q5077" s="3">
        <f t="shared" si="7"/>
        <v>0.001757469244</v>
      </c>
      <c r="R5077" s="2">
        <v>569.0</v>
      </c>
      <c r="S5077" s="5">
        <f t="shared" si="8"/>
        <v>1</v>
      </c>
    </row>
    <row r="5078">
      <c r="A5078" s="2" t="s">
        <v>5080</v>
      </c>
      <c r="B5078" s="2">
        <v>496.0</v>
      </c>
      <c r="C5078" s="2">
        <v>5840.0</v>
      </c>
      <c r="D5078" s="2">
        <v>1636.0</v>
      </c>
      <c r="E5078" s="3">
        <f t="shared" si="1"/>
        <v>0.3061377246</v>
      </c>
      <c r="F5078" s="2">
        <v>658.0</v>
      </c>
      <c r="G5078" s="3">
        <f t="shared" si="2"/>
        <v>0.1231287425</v>
      </c>
      <c r="H5078" s="2">
        <v>1062.0</v>
      </c>
      <c r="I5078" s="3">
        <f t="shared" si="3"/>
        <v>0.1987275449</v>
      </c>
      <c r="J5078" s="2">
        <v>960.0</v>
      </c>
      <c r="K5078" s="3">
        <f t="shared" si="4"/>
        <v>0.1796407186</v>
      </c>
      <c r="L5078" s="2">
        <v>626.0</v>
      </c>
      <c r="M5078" s="3">
        <f t="shared" si="5"/>
        <v>0.5894538606</v>
      </c>
      <c r="N5078" s="2">
        <v>6123100.0</v>
      </c>
      <c r="O5078" s="4">
        <f t="shared" si="6"/>
        <v>5765.630885</v>
      </c>
      <c r="P5078" s="2">
        <v>1.0</v>
      </c>
      <c r="Q5078" s="3">
        <f t="shared" si="7"/>
        <v>0.002016129032</v>
      </c>
      <c r="R5078" s="2">
        <v>496.0</v>
      </c>
      <c r="S5078" s="5">
        <f t="shared" si="8"/>
        <v>1</v>
      </c>
    </row>
    <row r="5079">
      <c r="A5079" s="2" t="s">
        <v>5081</v>
      </c>
      <c r="B5079" s="2">
        <v>122.0</v>
      </c>
      <c r="C5079" s="2">
        <v>1446.0</v>
      </c>
      <c r="D5079" s="2">
        <v>497.0</v>
      </c>
      <c r="E5079" s="3">
        <f t="shared" si="1"/>
        <v>0.3753776435</v>
      </c>
      <c r="F5079" s="2">
        <v>163.0</v>
      </c>
      <c r="G5079" s="3">
        <f t="shared" si="2"/>
        <v>0.1231117825</v>
      </c>
      <c r="H5079" s="2">
        <v>281.0</v>
      </c>
      <c r="I5079" s="3">
        <f t="shared" si="3"/>
        <v>0.2122356495</v>
      </c>
      <c r="J5079" s="2">
        <v>249.0</v>
      </c>
      <c r="K5079" s="3">
        <f t="shared" si="4"/>
        <v>0.1880664653</v>
      </c>
      <c r="L5079" s="2">
        <v>172.0</v>
      </c>
      <c r="M5079" s="3">
        <f t="shared" si="5"/>
        <v>0.6120996441</v>
      </c>
      <c r="N5079" s="2">
        <v>1523200.0</v>
      </c>
      <c r="O5079" s="4">
        <f t="shared" si="6"/>
        <v>5420.640569</v>
      </c>
      <c r="P5079" s="2">
        <v>0.0</v>
      </c>
      <c r="Q5079" s="3">
        <f t="shared" si="7"/>
        <v>0</v>
      </c>
      <c r="R5079" s="2">
        <v>0.0</v>
      </c>
      <c r="S5079" s="5">
        <f t="shared" si="8"/>
        <v>0</v>
      </c>
    </row>
    <row r="5080">
      <c r="A5080" s="2" t="s">
        <v>5082</v>
      </c>
      <c r="B5080" s="2">
        <v>44.0</v>
      </c>
      <c r="C5080" s="2">
        <v>507.0</v>
      </c>
      <c r="D5080" s="2">
        <v>129.0</v>
      </c>
      <c r="E5080" s="3">
        <f t="shared" si="1"/>
        <v>0.2786177106</v>
      </c>
      <c r="F5080" s="2">
        <v>57.0</v>
      </c>
      <c r="G5080" s="3">
        <f t="shared" si="2"/>
        <v>0.1231101512</v>
      </c>
      <c r="H5080" s="2">
        <v>109.0</v>
      </c>
      <c r="I5080" s="3">
        <f t="shared" si="3"/>
        <v>0.2354211663</v>
      </c>
      <c r="J5080" s="2">
        <v>67.0</v>
      </c>
      <c r="K5080" s="3">
        <f t="shared" si="4"/>
        <v>0.1447084233</v>
      </c>
      <c r="L5080" s="2">
        <v>64.0</v>
      </c>
      <c r="M5080" s="3">
        <f t="shared" si="5"/>
        <v>0.5871559633</v>
      </c>
      <c r="N5080" s="2">
        <v>617800.0</v>
      </c>
      <c r="O5080" s="4">
        <f t="shared" si="6"/>
        <v>5667.889908</v>
      </c>
      <c r="P5080" s="2">
        <v>0.0</v>
      </c>
      <c r="Q5080" s="3">
        <f t="shared" si="7"/>
        <v>0</v>
      </c>
      <c r="R5080" s="2">
        <v>44.0</v>
      </c>
      <c r="S5080" s="5">
        <f t="shared" si="8"/>
        <v>1</v>
      </c>
    </row>
    <row r="5081">
      <c r="A5081" s="2" t="s">
        <v>5083</v>
      </c>
      <c r="B5081" s="2">
        <v>376.0</v>
      </c>
      <c r="C5081" s="2">
        <v>4405.0</v>
      </c>
      <c r="D5081" s="2">
        <v>1409.0</v>
      </c>
      <c r="E5081" s="3">
        <f t="shared" si="1"/>
        <v>0.3497145694</v>
      </c>
      <c r="F5081" s="2">
        <v>496.0</v>
      </c>
      <c r="G5081" s="3">
        <f t="shared" si="2"/>
        <v>0.1231074708</v>
      </c>
      <c r="H5081" s="2">
        <v>868.0</v>
      </c>
      <c r="I5081" s="3">
        <f t="shared" si="3"/>
        <v>0.215438074</v>
      </c>
      <c r="J5081" s="2">
        <v>764.0</v>
      </c>
      <c r="K5081" s="3">
        <f t="shared" si="4"/>
        <v>0.1896252172</v>
      </c>
      <c r="L5081" s="2">
        <v>526.0</v>
      </c>
      <c r="M5081" s="3">
        <f t="shared" si="5"/>
        <v>0.6059907834</v>
      </c>
      <c r="N5081" s="2">
        <v>4808200.0</v>
      </c>
      <c r="O5081" s="4">
        <f t="shared" si="6"/>
        <v>5539.400922</v>
      </c>
      <c r="P5081" s="2">
        <v>3.0</v>
      </c>
      <c r="Q5081" s="3">
        <f t="shared" si="7"/>
        <v>0.007978723404</v>
      </c>
      <c r="R5081" s="2">
        <v>376.0</v>
      </c>
      <c r="S5081" s="5">
        <f t="shared" si="8"/>
        <v>1</v>
      </c>
    </row>
    <row r="5082">
      <c r="A5082" s="2" t="s">
        <v>5084</v>
      </c>
      <c r="B5082" s="2">
        <v>122.0</v>
      </c>
      <c r="C5082" s="2">
        <v>1438.0</v>
      </c>
      <c r="D5082" s="2">
        <v>423.0</v>
      </c>
      <c r="E5082" s="3">
        <f t="shared" si="1"/>
        <v>0.3214285714</v>
      </c>
      <c r="F5082" s="2">
        <v>162.0</v>
      </c>
      <c r="G5082" s="3">
        <f t="shared" si="2"/>
        <v>0.123100304</v>
      </c>
      <c r="H5082" s="2">
        <v>250.0</v>
      </c>
      <c r="I5082" s="3">
        <f t="shared" si="3"/>
        <v>0.1899696049</v>
      </c>
      <c r="J5082" s="2">
        <v>231.0</v>
      </c>
      <c r="K5082" s="3">
        <f t="shared" si="4"/>
        <v>0.1755319149</v>
      </c>
      <c r="L5082" s="2">
        <v>152.0</v>
      </c>
      <c r="M5082" s="3">
        <f t="shared" si="5"/>
        <v>0.608</v>
      </c>
      <c r="N5082" s="2">
        <v>1387900.0</v>
      </c>
      <c r="O5082" s="4">
        <f t="shared" si="6"/>
        <v>5551.6</v>
      </c>
      <c r="P5082" s="2">
        <v>1.0</v>
      </c>
      <c r="Q5082" s="3">
        <f t="shared" si="7"/>
        <v>0.008196721311</v>
      </c>
      <c r="R5082" s="2">
        <v>72.0</v>
      </c>
      <c r="S5082" s="5">
        <f t="shared" si="8"/>
        <v>0.5901639344</v>
      </c>
    </row>
    <row r="5083">
      <c r="A5083" s="2" t="s">
        <v>5085</v>
      </c>
      <c r="B5083" s="2">
        <v>375.0</v>
      </c>
      <c r="C5083" s="2">
        <v>4453.0</v>
      </c>
      <c r="D5083" s="2">
        <v>1226.0</v>
      </c>
      <c r="E5083" s="3">
        <f t="shared" si="1"/>
        <v>0.3006375674</v>
      </c>
      <c r="F5083" s="2">
        <v>502.0</v>
      </c>
      <c r="G5083" s="3">
        <f t="shared" si="2"/>
        <v>0.1230995586</v>
      </c>
      <c r="H5083" s="2">
        <v>908.0</v>
      </c>
      <c r="I5083" s="3">
        <f t="shared" si="3"/>
        <v>0.2226581658</v>
      </c>
      <c r="J5083" s="2">
        <v>553.0</v>
      </c>
      <c r="K5083" s="3">
        <f t="shared" si="4"/>
        <v>0.1356056891</v>
      </c>
      <c r="L5083" s="2">
        <v>570.0</v>
      </c>
      <c r="M5083" s="3">
        <f t="shared" si="5"/>
        <v>0.627753304</v>
      </c>
      <c r="N5083" s="2">
        <v>4525100.0</v>
      </c>
      <c r="O5083" s="4">
        <f t="shared" si="6"/>
        <v>4983.590308</v>
      </c>
      <c r="P5083" s="2">
        <v>0.0</v>
      </c>
      <c r="Q5083" s="3">
        <f t="shared" si="7"/>
        <v>0</v>
      </c>
      <c r="R5083" s="2">
        <v>375.0</v>
      </c>
      <c r="S5083" s="5">
        <f t="shared" si="8"/>
        <v>1</v>
      </c>
    </row>
    <row r="5084">
      <c r="A5084" s="2" t="s">
        <v>5086</v>
      </c>
      <c r="B5084" s="2">
        <v>3104.0</v>
      </c>
      <c r="C5084" s="2">
        <v>35891.0</v>
      </c>
      <c r="D5084" s="2">
        <v>10007.0</v>
      </c>
      <c r="E5084" s="3">
        <f t="shared" si="1"/>
        <v>0.3052124318</v>
      </c>
      <c r="F5084" s="2">
        <v>4036.0</v>
      </c>
      <c r="G5084" s="3">
        <f t="shared" si="2"/>
        <v>0.1230975692</v>
      </c>
      <c r="H5084" s="2">
        <v>6679.0</v>
      </c>
      <c r="I5084" s="3">
        <f t="shared" si="3"/>
        <v>0.203708787</v>
      </c>
      <c r="J5084" s="2">
        <v>6300.0</v>
      </c>
      <c r="K5084" s="3">
        <f t="shared" si="4"/>
        <v>0.1921493275</v>
      </c>
      <c r="L5084" s="2">
        <v>3979.0</v>
      </c>
      <c r="M5084" s="3">
        <f t="shared" si="5"/>
        <v>0.5957478664</v>
      </c>
      <c r="N5084" s="2">
        <v>3.98593E7</v>
      </c>
      <c r="O5084" s="4">
        <f t="shared" si="6"/>
        <v>5967.854469</v>
      </c>
      <c r="P5084" s="2">
        <v>4.0</v>
      </c>
      <c r="Q5084" s="3">
        <f t="shared" si="7"/>
        <v>0.001288659794</v>
      </c>
      <c r="R5084" s="2">
        <v>3104.0</v>
      </c>
      <c r="S5084" s="5">
        <f t="shared" si="8"/>
        <v>1</v>
      </c>
    </row>
    <row r="5085">
      <c r="A5085" s="2" t="s">
        <v>5087</v>
      </c>
      <c r="B5085" s="2">
        <v>413.0</v>
      </c>
      <c r="C5085" s="2">
        <v>5076.0</v>
      </c>
      <c r="D5085" s="2">
        <v>1650.0</v>
      </c>
      <c r="E5085" s="3">
        <f t="shared" si="1"/>
        <v>0.3538494531</v>
      </c>
      <c r="F5085" s="2">
        <v>574.0</v>
      </c>
      <c r="G5085" s="3">
        <f t="shared" si="2"/>
        <v>0.1230967189</v>
      </c>
      <c r="H5085" s="2">
        <v>1027.0</v>
      </c>
      <c r="I5085" s="3">
        <f t="shared" si="3"/>
        <v>0.2202444778</v>
      </c>
      <c r="J5085" s="2">
        <v>749.0</v>
      </c>
      <c r="K5085" s="3">
        <f t="shared" si="4"/>
        <v>0.1606262063</v>
      </c>
      <c r="L5085" s="2">
        <v>625.0</v>
      </c>
      <c r="M5085" s="3">
        <f t="shared" si="5"/>
        <v>0.6085686465</v>
      </c>
      <c r="N5085" s="2">
        <v>5287000.0</v>
      </c>
      <c r="O5085" s="4">
        <f t="shared" si="6"/>
        <v>5148.003895</v>
      </c>
      <c r="P5085" s="2">
        <v>0.0</v>
      </c>
      <c r="Q5085" s="3">
        <f t="shared" si="7"/>
        <v>0</v>
      </c>
      <c r="R5085" s="2">
        <v>413.0</v>
      </c>
      <c r="S5085" s="5">
        <f t="shared" si="8"/>
        <v>1</v>
      </c>
    </row>
    <row r="5086">
      <c r="A5086" s="2" t="s">
        <v>5088</v>
      </c>
      <c r="B5086" s="2">
        <v>184.0</v>
      </c>
      <c r="C5086" s="2">
        <v>2142.0</v>
      </c>
      <c r="D5086" s="2">
        <v>544.0</v>
      </c>
      <c r="E5086" s="3">
        <f t="shared" si="1"/>
        <v>0.277834525</v>
      </c>
      <c r="F5086" s="2">
        <v>241.0</v>
      </c>
      <c r="G5086" s="3">
        <f t="shared" si="2"/>
        <v>0.1230847804</v>
      </c>
      <c r="H5086" s="2">
        <v>419.0</v>
      </c>
      <c r="I5086" s="3">
        <f t="shared" si="3"/>
        <v>0.2139938713</v>
      </c>
      <c r="J5086" s="2">
        <v>321.0</v>
      </c>
      <c r="K5086" s="3">
        <f t="shared" si="4"/>
        <v>0.1639427988</v>
      </c>
      <c r="L5086" s="2">
        <v>262.0</v>
      </c>
      <c r="M5086" s="3">
        <f t="shared" si="5"/>
        <v>0.6252983294</v>
      </c>
      <c r="N5086" s="2">
        <v>2396500.0</v>
      </c>
      <c r="O5086" s="4">
        <f t="shared" si="6"/>
        <v>5719.570406</v>
      </c>
      <c r="P5086" s="2">
        <v>0.0</v>
      </c>
      <c r="Q5086" s="3">
        <f t="shared" si="7"/>
        <v>0</v>
      </c>
      <c r="R5086" s="2">
        <v>184.0</v>
      </c>
      <c r="S5086" s="5">
        <f t="shared" si="8"/>
        <v>1</v>
      </c>
    </row>
    <row r="5087">
      <c r="A5087" s="2" t="s">
        <v>5089</v>
      </c>
      <c r="B5087" s="2">
        <v>306.0</v>
      </c>
      <c r="C5087" s="2">
        <v>3621.0</v>
      </c>
      <c r="D5087" s="2">
        <v>883.0</v>
      </c>
      <c r="E5087" s="3">
        <f t="shared" si="1"/>
        <v>0.2663650075</v>
      </c>
      <c r="F5087" s="2">
        <v>408.0</v>
      </c>
      <c r="G5087" s="3">
        <f t="shared" si="2"/>
        <v>0.1230769231</v>
      </c>
      <c r="H5087" s="2">
        <v>678.0</v>
      </c>
      <c r="I5087" s="3">
        <f t="shared" si="3"/>
        <v>0.2045248869</v>
      </c>
      <c r="J5087" s="2">
        <v>630.0</v>
      </c>
      <c r="K5087" s="3">
        <f t="shared" si="4"/>
        <v>0.1900452489</v>
      </c>
      <c r="L5087" s="2">
        <v>385.0</v>
      </c>
      <c r="M5087" s="3">
        <f t="shared" si="5"/>
        <v>0.5678466077</v>
      </c>
      <c r="N5087" s="2">
        <v>3784300.0</v>
      </c>
      <c r="O5087" s="4">
        <f t="shared" si="6"/>
        <v>5581.563422</v>
      </c>
      <c r="P5087" s="2">
        <v>0.0</v>
      </c>
      <c r="Q5087" s="3">
        <f t="shared" si="7"/>
        <v>0</v>
      </c>
      <c r="R5087" s="2">
        <v>0.0</v>
      </c>
      <c r="S5087" s="5">
        <f t="shared" si="8"/>
        <v>0</v>
      </c>
    </row>
    <row r="5088">
      <c r="A5088" s="2" t="s">
        <v>5090</v>
      </c>
      <c r="B5088" s="2">
        <v>107.0</v>
      </c>
      <c r="C5088" s="2">
        <v>1212.0</v>
      </c>
      <c r="D5088" s="2">
        <v>360.0</v>
      </c>
      <c r="E5088" s="3">
        <f t="shared" si="1"/>
        <v>0.3257918552</v>
      </c>
      <c r="F5088" s="2">
        <v>136.0</v>
      </c>
      <c r="G5088" s="3">
        <f t="shared" si="2"/>
        <v>0.1230769231</v>
      </c>
      <c r="H5088" s="2">
        <v>234.0</v>
      </c>
      <c r="I5088" s="3">
        <f t="shared" si="3"/>
        <v>0.2117647059</v>
      </c>
      <c r="J5088" s="2">
        <v>184.0</v>
      </c>
      <c r="K5088" s="3">
        <f t="shared" si="4"/>
        <v>0.1665158371</v>
      </c>
      <c r="L5088" s="2">
        <v>150.0</v>
      </c>
      <c r="M5088" s="3">
        <f t="shared" si="5"/>
        <v>0.641025641</v>
      </c>
      <c r="N5088" s="2">
        <v>1251900.0</v>
      </c>
      <c r="O5088" s="4">
        <f t="shared" si="6"/>
        <v>5350</v>
      </c>
      <c r="P5088" s="2">
        <v>0.0</v>
      </c>
      <c r="Q5088" s="3">
        <f t="shared" si="7"/>
        <v>0</v>
      </c>
      <c r="R5088" s="2">
        <v>107.0</v>
      </c>
      <c r="S5088" s="5">
        <f t="shared" si="8"/>
        <v>1</v>
      </c>
    </row>
    <row r="5089">
      <c r="A5089" s="2" t="s">
        <v>5091</v>
      </c>
      <c r="B5089" s="2">
        <v>1458.0</v>
      </c>
      <c r="C5089" s="2">
        <v>17376.0</v>
      </c>
      <c r="D5089" s="2">
        <v>5719.0</v>
      </c>
      <c r="E5089" s="3">
        <f t="shared" si="1"/>
        <v>0.3592788039</v>
      </c>
      <c r="F5089" s="2">
        <v>1959.0</v>
      </c>
      <c r="G5089" s="3">
        <f t="shared" si="2"/>
        <v>0.1230682247</v>
      </c>
      <c r="H5089" s="2">
        <v>3390.0</v>
      </c>
      <c r="I5089" s="3">
        <f t="shared" si="3"/>
        <v>0.2129664531</v>
      </c>
      <c r="J5089" s="2">
        <v>2416.0</v>
      </c>
      <c r="K5089" s="3">
        <f t="shared" si="4"/>
        <v>0.1517778615</v>
      </c>
      <c r="L5089" s="2">
        <v>2033.0</v>
      </c>
      <c r="M5089" s="3">
        <f t="shared" si="5"/>
        <v>0.5997050147</v>
      </c>
      <c r="N5089" s="2">
        <v>1.78183E7</v>
      </c>
      <c r="O5089" s="4">
        <f t="shared" si="6"/>
        <v>5256.135693</v>
      </c>
      <c r="P5089" s="2">
        <v>2.0</v>
      </c>
      <c r="Q5089" s="3">
        <f t="shared" si="7"/>
        <v>0.001371742112</v>
      </c>
      <c r="R5089" s="2">
        <v>1458.0</v>
      </c>
      <c r="S5089" s="5">
        <f t="shared" si="8"/>
        <v>1</v>
      </c>
    </row>
    <row r="5090">
      <c r="A5090" s="2" t="s">
        <v>5092</v>
      </c>
      <c r="B5090" s="2">
        <v>3955.0</v>
      </c>
      <c r="C5090" s="2">
        <v>46915.0</v>
      </c>
      <c r="D5090" s="2">
        <v>15973.0</v>
      </c>
      <c r="E5090" s="3">
        <f t="shared" si="1"/>
        <v>0.371810987</v>
      </c>
      <c r="F5090" s="2">
        <v>5287.0</v>
      </c>
      <c r="G5090" s="3">
        <f t="shared" si="2"/>
        <v>0.1230679702</v>
      </c>
      <c r="H5090" s="2">
        <v>9469.0</v>
      </c>
      <c r="I5090" s="3">
        <f t="shared" si="3"/>
        <v>0.2204143389</v>
      </c>
      <c r="J5090" s="2">
        <v>7753.0</v>
      </c>
      <c r="K5090" s="3">
        <f t="shared" si="4"/>
        <v>0.1804702048</v>
      </c>
      <c r="L5090" s="2">
        <v>5593.0</v>
      </c>
      <c r="M5090" s="3">
        <f t="shared" si="5"/>
        <v>0.5906642729</v>
      </c>
      <c r="N5090" s="2">
        <v>5.06029E7</v>
      </c>
      <c r="O5090" s="4">
        <f t="shared" si="6"/>
        <v>5344.059563</v>
      </c>
      <c r="P5090" s="2">
        <v>6.0</v>
      </c>
      <c r="Q5090" s="3">
        <f t="shared" si="7"/>
        <v>0.001517067004</v>
      </c>
      <c r="R5090" s="2">
        <v>3951.0</v>
      </c>
      <c r="S5090" s="5">
        <f t="shared" si="8"/>
        <v>0.998988622</v>
      </c>
    </row>
    <row r="5091">
      <c r="A5091" s="2" t="s">
        <v>5093</v>
      </c>
      <c r="B5091" s="2">
        <v>2078.0</v>
      </c>
      <c r="C5091" s="2">
        <v>24765.0</v>
      </c>
      <c r="D5091" s="2">
        <v>9398.0</v>
      </c>
      <c r="E5091" s="3">
        <f t="shared" si="1"/>
        <v>0.414246044</v>
      </c>
      <c r="F5091" s="2">
        <v>2792.0</v>
      </c>
      <c r="G5091" s="3">
        <f t="shared" si="2"/>
        <v>0.1230660731</v>
      </c>
      <c r="H5091" s="2">
        <v>4796.0</v>
      </c>
      <c r="I5091" s="3">
        <f t="shared" si="3"/>
        <v>0.2113985983</v>
      </c>
      <c r="J5091" s="2">
        <v>3320.0</v>
      </c>
      <c r="K5091" s="3">
        <f t="shared" si="4"/>
        <v>0.1463393133</v>
      </c>
      <c r="L5091" s="2">
        <v>2856.0</v>
      </c>
      <c r="M5091" s="3">
        <f t="shared" si="5"/>
        <v>0.5954962469</v>
      </c>
      <c r="N5091" s="2">
        <v>2.47117E7</v>
      </c>
      <c r="O5091" s="4">
        <f t="shared" si="6"/>
        <v>5152.564637</v>
      </c>
      <c r="P5091" s="2">
        <v>2.0</v>
      </c>
      <c r="Q5091" s="3">
        <f t="shared" si="7"/>
        <v>0.0009624639076</v>
      </c>
      <c r="R5091" s="2">
        <v>2070.0</v>
      </c>
      <c r="S5091" s="5">
        <f t="shared" si="8"/>
        <v>0.9961501444</v>
      </c>
    </row>
    <row r="5092">
      <c r="A5092" s="2" t="s">
        <v>5094</v>
      </c>
      <c r="B5092" s="2">
        <v>1150.0</v>
      </c>
      <c r="C5092" s="2">
        <v>13242.0</v>
      </c>
      <c r="D5092" s="2">
        <v>3529.0</v>
      </c>
      <c r="E5092" s="3">
        <f t="shared" si="1"/>
        <v>0.2918458485</v>
      </c>
      <c r="F5092" s="2">
        <v>1488.0</v>
      </c>
      <c r="G5092" s="3">
        <f t="shared" si="2"/>
        <v>0.1230565663</v>
      </c>
      <c r="H5092" s="2">
        <v>2412.0</v>
      </c>
      <c r="I5092" s="3">
        <f t="shared" si="3"/>
        <v>0.1994707244</v>
      </c>
      <c r="J5092" s="2">
        <v>2228.0</v>
      </c>
      <c r="K5092" s="3">
        <f t="shared" si="4"/>
        <v>0.1842540523</v>
      </c>
      <c r="L5092" s="2">
        <v>1418.0</v>
      </c>
      <c r="M5092" s="3">
        <f t="shared" si="5"/>
        <v>0.587893864</v>
      </c>
      <c r="N5092" s="2">
        <v>1.41271E7</v>
      </c>
      <c r="O5092" s="4">
        <f t="shared" si="6"/>
        <v>5857.006633</v>
      </c>
      <c r="P5092" s="2">
        <v>3.0</v>
      </c>
      <c r="Q5092" s="3">
        <f t="shared" si="7"/>
        <v>0.002608695652</v>
      </c>
      <c r="R5092" s="2">
        <v>0.0</v>
      </c>
      <c r="S5092" s="5">
        <f t="shared" si="8"/>
        <v>0</v>
      </c>
    </row>
    <row r="5093">
      <c r="A5093" s="2" t="s">
        <v>5095</v>
      </c>
      <c r="B5093" s="2">
        <v>288.0</v>
      </c>
      <c r="C5093" s="2">
        <v>3482.0</v>
      </c>
      <c r="D5093" s="2">
        <v>1137.0</v>
      </c>
      <c r="E5093" s="3">
        <f t="shared" si="1"/>
        <v>0.3559799624</v>
      </c>
      <c r="F5093" s="2">
        <v>393.0</v>
      </c>
      <c r="G5093" s="3">
        <f t="shared" si="2"/>
        <v>0.123043206</v>
      </c>
      <c r="H5093" s="2">
        <v>639.0</v>
      </c>
      <c r="I5093" s="3">
        <f t="shared" si="3"/>
        <v>0.2000626174</v>
      </c>
      <c r="J5093" s="2">
        <v>540.0</v>
      </c>
      <c r="K5093" s="3">
        <f t="shared" si="4"/>
        <v>0.1690670006</v>
      </c>
      <c r="L5093" s="2">
        <v>391.0</v>
      </c>
      <c r="M5093" s="3">
        <f t="shared" si="5"/>
        <v>0.6118935837</v>
      </c>
      <c r="N5093" s="2">
        <v>3572300.0</v>
      </c>
      <c r="O5093" s="4">
        <f t="shared" si="6"/>
        <v>5590.453834</v>
      </c>
      <c r="P5093" s="2">
        <v>1.0</v>
      </c>
      <c r="Q5093" s="3">
        <f t="shared" si="7"/>
        <v>0.003472222222</v>
      </c>
      <c r="R5093" s="2">
        <v>288.0</v>
      </c>
      <c r="S5093" s="5">
        <f t="shared" si="8"/>
        <v>1</v>
      </c>
    </row>
    <row r="5094">
      <c r="A5094" s="2" t="s">
        <v>5096</v>
      </c>
      <c r="B5094" s="2">
        <v>406.0</v>
      </c>
      <c r="C5094" s="2">
        <v>4795.0</v>
      </c>
      <c r="D5094" s="2">
        <v>1754.0</v>
      </c>
      <c r="E5094" s="3">
        <f t="shared" si="1"/>
        <v>0.3996354523</v>
      </c>
      <c r="F5094" s="2">
        <v>540.0</v>
      </c>
      <c r="G5094" s="3">
        <f t="shared" si="2"/>
        <v>0.1230348599</v>
      </c>
      <c r="H5094" s="2">
        <v>995.0</v>
      </c>
      <c r="I5094" s="3">
        <f t="shared" si="3"/>
        <v>0.2267031214</v>
      </c>
      <c r="J5094" s="2">
        <v>626.0</v>
      </c>
      <c r="K5094" s="3">
        <f t="shared" si="4"/>
        <v>0.1426293005</v>
      </c>
      <c r="L5094" s="2">
        <v>634.0</v>
      </c>
      <c r="M5094" s="3">
        <f t="shared" si="5"/>
        <v>0.6371859296</v>
      </c>
      <c r="N5094" s="2">
        <v>5206600.0</v>
      </c>
      <c r="O5094" s="4">
        <f t="shared" si="6"/>
        <v>5232.763819</v>
      </c>
      <c r="P5094" s="2">
        <v>1.0</v>
      </c>
      <c r="Q5094" s="3">
        <f t="shared" si="7"/>
        <v>0.002463054187</v>
      </c>
      <c r="R5094" s="2">
        <v>406.0</v>
      </c>
      <c r="S5094" s="5">
        <f t="shared" si="8"/>
        <v>1</v>
      </c>
    </row>
    <row r="5095">
      <c r="A5095" s="2" t="s">
        <v>5097</v>
      </c>
      <c r="B5095" s="2">
        <v>128.0</v>
      </c>
      <c r="C5095" s="2">
        <v>1526.0</v>
      </c>
      <c r="D5095" s="2">
        <v>497.0</v>
      </c>
      <c r="E5095" s="3">
        <f t="shared" si="1"/>
        <v>0.3555078684</v>
      </c>
      <c r="F5095" s="2">
        <v>172.0</v>
      </c>
      <c r="G5095" s="3">
        <f t="shared" si="2"/>
        <v>0.1230329041</v>
      </c>
      <c r="H5095" s="2">
        <v>301.0</v>
      </c>
      <c r="I5095" s="3">
        <f t="shared" si="3"/>
        <v>0.2153075823</v>
      </c>
      <c r="J5095" s="2">
        <v>258.0</v>
      </c>
      <c r="K5095" s="3">
        <f t="shared" si="4"/>
        <v>0.1845493562</v>
      </c>
      <c r="L5095" s="2">
        <v>173.0</v>
      </c>
      <c r="M5095" s="3">
        <f t="shared" si="5"/>
        <v>0.5747508306</v>
      </c>
      <c r="N5095" s="2">
        <v>1676300.0</v>
      </c>
      <c r="O5095" s="4">
        <f t="shared" si="6"/>
        <v>5569.10299</v>
      </c>
      <c r="P5095" s="2">
        <v>0.0</v>
      </c>
      <c r="Q5095" s="3">
        <f t="shared" si="7"/>
        <v>0</v>
      </c>
      <c r="R5095" s="2">
        <v>0.0</v>
      </c>
      <c r="S5095" s="5">
        <f t="shared" si="8"/>
        <v>0</v>
      </c>
    </row>
    <row r="5096">
      <c r="A5096" s="2" t="s">
        <v>5098</v>
      </c>
      <c r="B5096" s="2">
        <v>1666.0</v>
      </c>
      <c r="C5096" s="2">
        <v>19686.0</v>
      </c>
      <c r="D5096" s="2">
        <v>5599.0</v>
      </c>
      <c r="E5096" s="3">
        <f t="shared" si="1"/>
        <v>0.3107103219</v>
      </c>
      <c r="F5096" s="2">
        <v>2217.0</v>
      </c>
      <c r="G5096" s="3">
        <f t="shared" si="2"/>
        <v>0.1230299667</v>
      </c>
      <c r="H5096" s="2">
        <v>3693.0</v>
      </c>
      <c r="I5096" s="3">
        <f t="shared" si="3"/>
        <v>0.2049389567</v>
      </c>
      <c r="J5096" s="2">
        <v>3358.0</v>
      </c>
      <c r="K5096" s="3">
        <f t="shared" si="4"/>
        <v>0.1863485017</v>
      </c>
      <c r="L5096" s="2">
        <v>2193.0</v>
      </c>
      <c r="M5096" s="3">
        <f t="shared" si="5"/>
        <v>0.5938261576</v>
      </c>
      <c r="N5096" s="2">
        <v>2.16673E7</v>
      </c>
      <c r="O5096" s="4">
        <f t="shared" si="6"/>
        <v>5867.126997</v>
      </c>
      <c r="P5096" s="2">
        <v>2.0</v>
      </c>
      <c r="Q5096" s="3">
        <f t="shared" si="7"/>
        <v>0.001200480192</v>
      </c>
      <c r="R5096" s="2">
        <v>1284.0</v>
      </c>
      <c r="S5096" s="5">
        <f t="shared" si="8"/>
        <v>0.7707082833</v>
      </c>
    </row>
    <row r="5097">
      <c r="A5097" s="2" t="s">
        <v>5099</v>
      </c>
      <c r="B5097" s="2">
        <v>270.0</v>
      </c>
      <c r="C5097" s="2">
        <v>3188.0</v>
      </c>
      <c r="D5097" s="2">
        <v>1011.0</v>
      </c>
      <c r="E5097" s="3">
        <f t="shared" si="1"/>
        <v>0.3464701851</v>
      </c>
      <c r="F5097" s="2">
        <v>359.0</v>
      </c>
      <c r="G5097" s="3">
        <f t="shared" si="2"/>
        <v>0.1230294722</v>
      </c>
      <c r="H5097" s="2">
        <v>562.0</v>
      </c>
      <c r="I5097" s="3">
        <f t="shared" si="3"/>
        <v>0.1925976696</v>
      </c>
      <c r="J5097" s="2">
        <v>420.0</v>
      </c>
      <c r="K5097" s="3">
        <f t="shared" si="4"/>
        <v>0.1439342015</v>
      </c>
      <c r="L5097" s="2">
        <v>331.0</v>
      </c>
      <c r="M5097" s="3">
        <f t="shared" si="5"/>
        <v>0.5889679715</v>
      </c>
      <c r="N5097" s="2">
        <v>3122300.0</v>
      </c>
      <c r="O5097" s="4">
        <f t="shared" si="6"/>
        <v>5555.69395</v>
      </c>
      <c r="P5097" s="2">
        <v>0.0</v>
      </c>
      <c r="Q5097" s="3">
        <f t="shared" si="7"/>
        <v>0</v>
      </c>
      <c r="R5097" s="2">
        <v>270.0</v>
      </c>
      <c r="S5097" s="5">
        <f t="shared" si="8"/>
        <v>1</v>
      </c>
    </row>
    <row r="5098">
      <c r="A5098" s="2" t="s">
        <v>5100</v>
      </c>
      <c r="B5098" s="2">
        <v>1974.0</v>
      </c>
      <c r="C5098" s="2">
        <v>22929.0</v>
      </c>
      <c r="D5098" s="2">
        <v>7019.0</v>
      </c>
      <c r="E5098" s="3">
        <f t="shared" si="1"/>
        <v>0.3349558578</v>
      </c>
      <c r="F5098" s="2">
        <v>2578.0</v>
      </c>
      <c r="G5098" s="3">
        <f t="shared" si="2"/>
        <v>0.1230255309</v>
      </c>
      <c r="H5098" s="2">
        <v>4536.0</v>
      </c>
      <c r="I5098" s="3">
        <f t="shared" si="3"/>
        <v>0.2164638511</v>
      </c>
      <c r="J5098" s="2">
        <v>3835.0</v>
      </c>
      <c r="K5098" s="3">
        <f t="shared" si="4"/>
        <v>0.1830112145</v>
      </c>
      <c r="L5098" s="2">
        <v>2693.0</v>
      </c>
      <c r="M5098" s="3">
        <f t="shared" si="5"/>
        <v>0.5936948854</v>
      </c>
      <c r="N5098" s="2">
        <v>2.59962E7</v>
      </c>
      <c r="O5098" s="4">
        <f t="shared" si="6"/>
        <v>5731.084656</v>
      </c>
      <c r="P5098" s="2">
        <v>4.0</v>
      </c>
      <c r="Q5098" s="3">
        <f t="shared" si="7"/>
        <v>0.002026342452</v>
      </c>
      <c r="R5098" s="2">
        <v>1974.0</v>
      </c>
      <c r="S5098" s="5">
        <f t="shared" si="8"/>
        <v>1</v>
      </c>
    </row>
    <row r="5099">
      <c r="A5099" s="2" t="s">
        <v>5101</v>
      </c>
      <c r="B5099" s="2">
        <v>193.0</v>
      </c>
      <c r="C5099" s="2">
        <v>2217.0</v>
      </c>
      <c r="D5099" s="2">
        <v>711.0</v>
      </c>
      <c r="E5099" s="3">
        <f t="shared" si="1"/>
        <v>0.351284585</v>
      </c>
      <c r="F5099" s="2">
        <v>249.0</v>
      </c>
      <c r="G5099" s="3">
        <f t="shared" si="2"/>
        <v>0.1230237154</v>
      </c>
      <c r="H5099" s="2">
        <v>420.0</v>
      </c>
      <c r="I5099" s="3">
        <f t="shared" si="3"/>
        <v>0.2075098814</v>
      </c>
      <c r="J5099" s="2">
        <v>353.0</v>
      </c>
      <c r="K5099" s="3">
        <f t="shared" si="4"/>
        <v>0.1744071146</v>
      </c>
      <c r="L5099" s="2">
        <v>228.0</v>
      </c>
      <c r="M5099" s="3">
        <f t="shared" si="5"/>
        <v>0.5428571429</v>
      </c>
      <c r="N5099" s="2">
        <v>2633800.0</v>
      </c>
      <c r="O5099" s="4">
        <f t="shared" si="6"/>
        <v>6270.952381</v>
      </c>
      <c r="P5099" s="2">
        <v>0.0</v>
      </c>
      <c r="Q5099" s="3">
        <f t="shared" si="7"/>
        <v>0</v>
      </c>
      <c r="R5099" s="2">
        <v>193.0</v>
      </c>
      <c r="S5099" s="5">
        <f t="shared" si="8"/>
        <v>1</v>
      </c>
    </row>
    <row r="5100">
      <c r="A5100" s="2" t="s">
        <v>5102</v>
      </c>
      <c r="B5100" s="2">
        <v>1247.0</v>
      </c>
      <c r="C5100" s="2">
        <v>14758.0</v>
      </c>
      <c r="D5100" s="2">
        <v>4812.0</v>
      </c>
      <c r="E5100" s="3">
        <f t="shared" si="1"/>
        <v>0.3561542447</v>
      </c>
      <c r="F5100" s="2">
        <v>1662.0</v>
      </c>
      <c r="G5100" s="3">
        <f t="shared" si="2"/>
        <v>0.12301088</v>
      </c>
      <c r="H5100" s="2">
        <v>2903.0</v>
      </c>
      <c r="I5100" s="3">
        <f t="shared" si="3"/>
        <v>0.2148619643</v>
      </c>
      <c r="J5100" s="2">
        <v>1837.0</v>
      </c>
      <c r="K5100" s="3">
        <f t="shared" si="4"/>
        <v>0.1359632892</v>
      </c>
      <c r="L5100" s="2">
        <v>1805.0</v>
      </c>
      <c r="M5100" s="3">
        <f t="shared" si="5"/>
        <v>0.6217705822</v>
      </c>
      <c r="N5100" s="2">
        <v>1.56101E7</v>
      </c>
      <c r="O5100" s="4">
        <f t="shared" si="6"/>
        <v>5377.230451</v>
      </c>
      <c r="P5100" s="2">
        <v>1.0</v>
      </c>
      <c r="Q5100" s="3">
        <f t="shared" si="7"/>
        <v>0.0008019246191</v>
      </c>
      <c r="R5100" s="2">
        <v>1247.0</v>
      </c>
      <c r="S5100" s="5">
        <f t="shared" si="8"/>
        <v>1</v>
      </c>
    </row>
    <row r="5101">
      <c r="A5101" s="2" t="s">
        <v>5103</v>
      </c>
      <c r="B5101" s="2">
        <v>203.0</v>
      </c>
      <c r="C5101" s="2">
        <v>2463.0</v>
      </c>
      <c r="D5101" s="2">
        <v>691.0</v>
      </c>
      <c r="E5101" s="3">
        <f t="shared" si="1"/>
        <v>0.3057522124</v>
      </c>
      <c r="F5101" s="2">
        <v>278.0</v>
      </c>
      <c r="G5101" s="3">
        <f t="shared" si="2"/>
        <v>0.1230088496</v>
      </c>
      <c r="H5101" s="2">
        <v>447.0</v>
      </c>
      <c r="I5101" s="3">
        <f t="shared" si="3"/>
        <v>0.1977876106</v>
      </c>
      <c r="J5101" s="2">
        <v>395.0</v>
      </c>
      <c r="K5101" s="3">
        <f t="shared" si="4"/>
        <v>0.1747787611</v>
      </c>
      <c r="L5101" s="2">
        <v>257.0</v>
      </c>
      <c r="M5101" s="3">
        <f t="shared" si="5"/>
        <v>0.5749440716</v>
      </c>
      <c r="N5101" s="2">
        <v>2427100.0</v>
      </c>
      <c r="O5101" s="4">
        <f t="shared" si="6"/>
        <v>5429.753915</v>
      </c>
      <c r="P5101" s="2">
        <v>0.0</v>
      </c>
      <c r="Q5101" s="3">
        <f t="shared" si="7"/>
        <v>0</v>
      </c>
      <c r="R5101" s="2">
        <v>0.0</v>
      </c>
      <c r="S5101" s="5">
        <f t="shared" si="8"/>
        <v>0</v>
      </c>
    </row>
    <row r="5102">
      <c r="A5102" s="2" t="s">
        <v>5104</v>
      </c>
      <c r="B5102" s="2">
        <v>176.0</v>
      </c>
      <c r="C5102" s="2">
        <v>2119.0</v>
      </c>
      <c r="D5102" s="2">
        <v>674.0</v>
      </c>
      <c r="E5102" s="3">
        <f t="shared" si="1"/>
        <v>0.3468862584</v>
      </c>
      <c r="F5102" s="2">
        <v>239.0</v>
      </c>
      <c r="G5102" s="3">
        <f t="shared" si="2"/>
        <v>0.1230056613</v>
      </c>
      <c r="H5102" s="2">
        <v>397.0</v>
      </c>
      <c r="I5102" s="3">
        <f t="shared" si="3"/>
        <v>0.2043232115</v>
      </c>
      <c r="J5102" s="2">
        <v>232.0</v>
      </c>
      <c r="K5102" s="3">
        <f t="shared" si="4"/>
        <v>0.1194029851</v>
      </c>
      <c r="L5102" s="2">
        <v>236.0</v>
      </c>
      <c r="M5102" s="3">
        <f t="shared" si="5"/>
        <v>0.5944584383</v>
      </c>
      <c r="N5102" s="2">
        <v>2181300.0</v>
      </c>
      <c r="O5102" s="4">
        <f t="shared" si="6"/>
        <v>5494.458438</v>
      </c>
      <c r="P5102" s="2">
        <v>0.0</v>
      </c>
      <c r="Q5102" s="3">
        <f t="shared" si="7"/>
        <v>0</v>
      </c>
      <c r="R5102" s="2">
        <v>176.0</v>
      </c>
      <c r="S5102" s="5">
        <f t="shared" si="8"/>
        <v>1</v>
      </c>
    </row>
    <row r="5103">
      <c r="A5103" s="2" t="s">
        <v>5105</v>
      </c>
      <c r="B5103" s="2">
        <v>1752.0</v>
      </c>
      <c r="C5103" s="2">
        <v>20394.0</v>
      </c>
      <c r="D5103" s="2">
        <v>5258.0</v>
      </c>
      <c r="E5103" s="3">
        <f t="shared" si="1"/>
        <v>0.2820512821</v>
      </c>
      <c r="F5103" s="2">
        <v>2293.0</v>
      </c>
      <c r="G5103" s="3">
        <f t="shared" si="2"/>
        <v>0.1230018238</v>
      </c>
      <c r="H5103" s="2">
        <v>3827.0</v>
      </c>
      <c r="I5103" s="3">
        <f t="shared" si="3"/>
        <v>0.2052891321</v>
      </c>
      <c r="J5103" s="2">
        <v>2530.0</v>
      </c>
      <c r="K5103" s="3">
        <f t="shared" si="4"/>
        <v>0.135715052</v>
      </c>
      <c r="L5103" s="2">
        <v>2304.0</v>
      </c>
      <c r="M5103" s="3">
        <f t="shared" si="5"/>
        <v>0.60203815</v>
      </c>
      <c r="N5103" s="2">
        <v>2.2687E7</v>
      </c>
      <c r="O5103" s="4">
        <f t="shared" si="6"/>
        <v>5928.142148</v>
      </c>
      <c r="P5103" s="2">
        <v>12.0</v>
      </c>
      <c r="Q5103" s="3">
        <f t="shared" si="7"/>
        <v>0.006849315068</v>
      </c>
      <c r="R5103" s="2">
        <v>1752.0</v>
      </c>
      <c r="S5103" s="5">
        <f t="shared" si="8"/>
        <v>1</v>
      </c>
    </row>
    <row r="5104">
      <c r="A5104" s="2" t="s">
        <v>5106</v>
      </c>
      <c r="B5104" s="2">
        <v>337.0</v>
      </c>
      <c r="C5104" s="2">
        <v>3963.0</v>
      </c>
      <c r="D5104" s="2">
        <v>1189.0</v>
      </c>
      <c r="E5104" s="3">
        <f t="shared" si="1"/>
        <v>0.3279095422</v>
      </c>
      <c r="F5104" s="2">
        <v>446.0</v>
      </c>
      <c r="G5104" s="3">
        <f t="shared" si="2"/>
        <v>0.1230005516</v>
      </c>
      <c r="H5104" s="2">
        <v>747.0</v>
      </c>
      <c r="I5104" s="3">
        <f t="shared" si="3"/>
        <v>0.2060121346</v>
      </c>
      <c r="J5104" s="2">
        <v>519.0</v>
      </c>
      <c r="K5104" s="3">
        <f t="shared" si="4"/>
        <v>0.1431329288</v>
      </c>
      <c r="L5104" s="2">
        <v>451.0</v>
      </c>
      <c r="M5104" s="3">
        <f t="shared" si="5"/>
        <v>0.6037483266</v>
      </c>
      <c r="N5104" s="2">
        <v>4218600.0</v>
      </c>
      <c r="O5104" s="4">
        <f t="shared" si="6"/>
        <v>5647.389558</v>
      </c>
      <c r="P5104" s="2">
        <v>2.0</v>
      </c>
      <c r="Q5104" s="3">
        <f t="shared" si="7"/>
        <v>0.005934718101</v>
      </c>
      <c r="R5104" s="2">
        <v>0.0</v>
      </c>
      <c r="S5104" s="5">
        <f t="shared" si="8"/>
        <v>0</v>
      </c>
    </row>
    <row r="5105">
      <c r="A5105" s="2" t="s">
        <v>5107</v>
      </c>
      <c r="B5105" s="2">
        <v>796.0</v>
      </c>
      <c r="C5105" s="2">
        <v>9390.0</v>
      </c>
      <c r="D5105" s="2">
        <v>2659.0</v>
      </c>
      <c r="E5105" s="3">
        <f t="shared" si="1"/>
        <v>0.3094019083</v>
      </c>
      <c r="F5105" s="2">
        <v>1057.0</v>
      </c>
      <c r="G5105" s="3">
        <f t="shared" si="2"/>
        <v>0.1229927857</v>
      </c>
      <c r="H5105" s="2">
        <v>1599.0</v>
      </c>
      <c r="I5105" s="3">
        <f t="shared" si="3"/>
        <v>0.1860600419</v>
      </c>
      <c r="J5105" s="2">
        <v>1544.0</v>
      </c>
      <c r="K5105" s="3">
        <f t="shared" si="4"/>
        <v>0.1796602281</v>
      </c>
      <c r="L5105" s="2">
        <v>963.0</v>
      </c>
      <c r="M5105" s="3">
        <f t="shared" si="5"/>
        <v>0.6022514071</v>
      </c>
      <c r="N5105" s="2">
        <v>9588400.0</v>
      </c>
      <c r="O5105" s="4">
        <f t="shared" si="6"/>
        <v>5996.497811</v>
      </c>
      <c r="P5105" s="2">
        <v>1.0</v>
      </c>
      <c r="Q5105" s="3">
        <f t="shared" si="7"/>
        <v>0.001256281407</v>
      </c>
      <c r="R5105" s="2">
        <v>796.0</v>
      </c>
      <c r="S5105" s="5">
        <f t="shared" si="8"/>
        <v>1</v>
      </c>
    </row>
    <row r="5106">
      <c r="A5106" s="2" t="s">
        <v>5108</v>
      </c>
      <c r="B5106" s="2">
        <v>81.0</v>
      </c>
      <c r="C5106" s="2">
        <v>951.0</v>
      </c>
      <c r="D5106" s="2">
        <v>372.0</v>
      </c>
      <c r="E5106" s="3">
        <f t="shared" si="1"/>
        <v>0.4275862069</v>
      </c>
      <c r="F5106" s="2">
        <v>107.0</v>
      </c>
      <c r="G5106" s="3">
        <f t="shared" si="2"/>
        <v>0.1229885057</v>
      </c>
      <c r="H5106" s="2">
        <v>168.0</v>
      </c>
      <c r="I5106" s="3">
        <f t="shared" si="3"/>
        <v>0.1931034483</v>
      </c>
      <c r="J5106" s="2">
        <v>144.0</v>
      </c>
      <c r="K5106" s="3">
        <f t="shared" si="4"/>
        <v>0.1655172414</v>
      </c>
      <c r="L5106" s="2">
        <v>106.0</v>
      </c>
      <c r="M5106" s="3">
        <f t="shared" si="5"/>
        <v>0.630952381</v>
      </c>
      <c r="N5106" s="2">
        <v>882900.0</v>
      </c>
      <c r="O5106" s="4">
        <f t="shared" si="6"/>
        <v>5255.357143</v>
      </c>
      <c r="P5106" s="2">
        <v>0.0</v>
      </c>
      <c r="Q5106" s="3">
        <f t="shared" si="7"/>
        <v>0</v>
      </c>
      <c r="R5106" s="2">
        <v>81.0</v>
      </c>
      <c r="S5106" s="5">
        <f t="shared" si="8"/>
        <v>1</v>
      </c>
    </row>
    <row r="5107">
      <c r="A5107" s="2" t="s">
        <v>5109</v>
      </c>
      <c r="B5107" s="2">
        <v>4477.0</v>
      </c>
      <c r="C5107" s="2">
        <v>52238.0</v>
      </c>
      <c r="D5107" s="2">
        <v>18265.0</v>
      </c>
      <c r="E5107" s="3">
        <f t="shared" si="1"/>
        <v>0.3824249911</v>
      </c>
      <c r="F5107" s="2">
        <v>5874.0</v>
      </c>
      <c r="G5107" s="3">
        <f t="shared" si="2"/>
        <v>0.1229873746</v>
      </c>
      <c r="H5107" s="2">
        <v>10304.0</v>
      </c>
      <c r="I5107" s="3">
        <f t="shared" si="3"/>
        <v>0.2157408764</v>
      </c>
      <c r="J5107" s="2">
        <v>8397.0</v>
      </c>
      <c r="K5107" s="3">
        <f t="shared" si="4"/>
        <v>0.1758129017</v>
      </c>
      <c r="L5107" s="2">
        <v>6133.0</v>
      </c>
      <c r="M5107" s="3">
        <f t="shared" si="5"/>
        <v>0.5952057453</v>
      </c>
      <c r="N5107" s="2">
        <v>5.89765E7</v>
      </c>
      <c r="O5107" s="4">
        <f t="shared" si="6"/>
        <v>5723.651009</v>
      </c>
      <c r="P5107" s="2">
        <v>13.0</v>
      </c>
      <c r="Q5107" s="3">
        <f t="shared" si="7"/>
        <v>0.002903730176</v>
      </c>
      <c r="R5107" s="2">
        <v>4447.0</v>
      </c>
      <c r="S5107" s="5">
        <f t="shared" si="8"/>
        <v>0.9932990842</v>
      </c>
    </row>
    <row r="5108">
      <c r="A5108" s="2" t="s">
        <v>5110</v>
      </c>
      <c r="B5108" s="2">
        <v>2355.0</v>
      </c>
      <c r="C5108" s="2">
        <v>27553.0</v>
      </c>
      <c r="D5108" s="2">
        <v>7449.0</v>
      </c>
      <c r="E5108" s="3">
        <f t="shared" si="1"/>
        <v>0.2956186999</v>
      </c>
      <c r="F5108" s="2">
        <v>3099.0</v>
      </c>
      <c r="G5108" s="3">
        <f t="shared" si="2"/>
        <v>0.1229859513</v>
      </c>
      <c r="H5108" s="2">
        <v>5274.0</v>
      </c>
      <c r="I5108" s="3">
        <f t="shared" si="3"/>
        <v>0.2093023256</v>
      </c>
      <c r="J5108" s="2">
        <v>3851.0</v>
      </c>
      <c r="K5108" s="3">
        <f t="shared" si="4"/>
        <v>0.1528295896</v>
      </c>
      <c r="L5108" s="2">
        <v>3267.0</v>
      </c>
      <c r="M5108" s="3">
        <f t="shared" si="5"/>
        <v>0.6194539249</v>
      </c>
      <c r="N5108" s="2">
        <v>3.12157E7</v>
      </c>
      <c r="O5108" s="4">
        <f t="shared" si="6"/>
        <v>5918.790292</v>
      </c>
      <c r="P5108" s="2">
        <v>9.0</v>
      </c>
      <c r="Q5108" s="3">
        <f t="shared" si="7"/>
        <v>0.003821656051</v>
      </c>
      <c r="R5108" s="2">
        <v>2355.0</v>
      </c>
      <c r="S5108" s="5">
        <f t="shared" si="8"/>
        <v>1</v>
      </c>
    </row>
    <row r="5109">
      <c r="A5109" s="2" t="s">
        <v>5111</v>
      </c>
      <c r="B5109" s="2">
        <v>859.0</v>
      </c>
      <c r="C5109" s="2">
        <v>9974.0</v>
      </c>
      <c r="D5109" s="2">
        <v>2466.0</v>
      </c>
      <c r="E5109" s="3">
        <f t="shared" si="1"/>
        <v>0.2705430609</v>
      </c>
      <c r="F5109" s="2">
        <v>1121.0</v>
      </c>
      <c r="G5109" s="3">
        <f t="shared" si="2"/>
        <v>0.1229840922</v>
      </c>
      <c r="H5109" s="2">
        <v>1786.0</v>
      </c>
      <c r="I5109" s="3">
        <f t="shared" si="3"/>
        <v>0.195940757</v>
      </c>
      <c r="J5109" s="2">
        <v>1750.0</v>
      </c>
      <c r="K5109" s="3">
        <f t="shared" si="4"/>
        <v>0.1919912233</v>
      </c>
      <c r="L5109" s="2">
        <v>1025.0</v>
      </c>
      <c r="M5109" s="3">
        <f t="shared" si="5"/>
        <v>0.5739081747</v>
      </c>
      <c r="N5109" s="2">
        <v>1.082E7</v>
      </c>
      <c r="O5109" s="4">
        <f t="shared" si="6"/>
        <v>6058.230683</v>
      </c>
      <c r="P5109" s="2">
        <v>2.0</v>
      </c>
      <c r="Q5109" s="3">
        <f t="shared" si="7"/>
        <v>0.002328288708</v>
      </c>
      <c r="R5109" s="2">
        <v>859.0</v>
      </c>
      <c r="S5109" s="5">
        <f t="shared" si="8"/>
        <v>1</v>
      </c>
    </row>
    <row r="5110">
      <c r="A5110" s="2" t="s">
        <v>5112</v>
      </c>
      <c r="B5110" s="2">
        <v>251.0</v>
      </c>
      <c r="C5110" s="2">
        <v>2975.0</v>
      </c>
      <c r="D5110" s="2">
        <v>1101.0</v>
      </c>
      <c r="E5110" s="3">
        <f t="shared" si="1"/>
        <v>0.404185022</v>
      </c>
      <c r="F5110" s="2">
        <v>335.0</v>
      </c>
      <c r="G5110" s="3">
        <f t="shared" si="2"/>
        <v>0.1229809104</v>
      </c>
      <c r="H5110" s="2">
        <v>558.0</v>
      </c>
      <c r="I5110" s="3">
        <f t="shared" si="3"/>
        <v>0.204845815</v>
      </c>
      <c r="J5110" s="2">
        <v>512.0</v>
      </c>
      <c r="K5110" s="3">
        <f t="shared" si="4"/>
        <v>0.187958884</v>
      </c>
      <c r="L5110" s="2">
        <v>323.0</v>
      </c>
      <c r="M5110" s="3">
        <f t="shared" si="5"/>
        <v>0.5788530466</v>
      </c>
      <c r="N5110" s="2">
        <v>3056400.0</v>
      </c>
      <c r="O5110" s="4">
        <f t="shared" si="6"/>
        <v>5477.419355</v>
      </c>
      <c r="P5110" s="2">
        <v>0.0</v>
      </c>
      <c r="Q5110" s="3">
        <f t="shared" si="7"/>
        <v>0</v>
      </c>
      <c r="R5110" s="2">
        <v>251.0</v>
      </c>
      <c r="S5110" s="5">
        <f t="shared" si="8"/>
        <v>1</v>
      </c>
    </row>
    <row r="5111">
      <c r="A5111" s="2" t="s">
        <v>5113</v>
      </c>
      <c r="B5111" s="2">
        <v>1283.0</v>
      </c>
      <c r="C5111" s="2">
        <v>15172.0</v>
      </c>
      <c r="D5111" s="2">
        <v>4782.0</v>
      </c>
      <c r="E5111" s="3">
        <f t="shared" si="1"/>
        <v>0.3443012456</v>
      </c>
      <c r="F5111" s="2">
        <v>1708.0</v>
      </c>
      <c r="G5111" s="3">
        <f t="shared" si="2"/>
        <v>0.1229750162</v>
      </c>
      <c r="H5111" s="2">
        <v>2737.0</v>
      </c>
      <c r="I5111" s="3">
        <f t="shared" si="3"/>
        <v>0.1970624235</v>
      </c>
      <c r="J5111" s="2">
        <v>1895.0</v>
      </c>
      <c r="K5111" s="3">
        <f t="shared" si="4"/>
        <v>0.1364389085</v>
      </c>
      <c r="L5111" s="2">
        <v>1634.0</v>
      </c>
      <c r="M5111" s="3">
        <f t="shared" si="5"/>
        <v>0.597004019</v>
      </c>
      <c r="N5111" s="2">
        <v>1.52747E7</v>
      </c>
      <c r="O5111" s="4">
        <f t="shared" si="6"/>
        <v>5580.818414</v>
      </c>
      <c r="P5111" s="2">
        <v>5.0</v>
      </c>
      <c r="Q5111" s="3">
        <f t="shared" si="7"/>
        <v>0.003897116134</v>
      </c>
      <c r="R5111" s="2">
        <v>0.0</v>
      </c>
      <c r="S5111" s="5">
        <f t="shared" si="8"/>
        <v>0</v>
      </c>
    </row>
    <row r="5112">
      <c r="A5112" s="2" t="s">
        <v>5114</v>
      </c>
      <c r="B5112" s="2">
        <v>235.0</v>
      </c>
      <c r="C5112" s="2">
        <v>2699.0</v>
      </c>
      <c r="D5112" s="2">
        <v>687.0</v>
      </c>
      <c r="E5112" s="3">
        <f t="shared" si="1"/>
        <v>0.2788149351</v>
      </c>
      <c r="F5112" s="2">
        <v>303.0</v>
      </c>
      <c r="G5112" s="3">
        <f t="shared" si="2"/>
        <v>0.1229707792</v>
      </c>
      <c r="H5112" s="2">
        <v>520.0</v>
      </c>
      <c r="I5112" s="3">
        <f t="shared" si="3"/>
        <v>0.211038961</v>
      </c>
      <c r="J5112" s="2">
        <v>402.0</v>
      </c>
      <c r="K5112" s="3">
        <f t="shared" si="4"/>
        <v>0.1631493506</v>
      </c>
      <c r="L5112" s="2">
        <v>320.0</v>
      </c>
      <c r="M5112" s="3">
        <f t="shared" si="5"/>
        <v>0.6153846154</v>
      </c>
      <c r="N5112" s="2">
        <v>3039600.0</v>
      </c>
      <c r="O5112" s="4">
        <f t="shared" si="6"/>
        <v>5845.384615</v>
      </c>
      <c r="P5112" s="2">
        <v>1.0</v>
      </c>
      <c r="Q5112" s="3">
        <f t="shared" si="7"/>
        <v>0.004255319149</v>
      </c>
      <c r="R5112" s="2">
        <v>235.0</v>
      </c>
      <c r="S5112" s="5">
        <f t="shared" si="8"/>
        <v>1</v>
      </c>
    </row>
    <row r="5113">
      <c r="A5113" s="2" t="s">
        <v>5115</v>
      </c>
      <c r="B5113" s="2">
        <v>8806.0</v>
      </c>
      <c r="C5113" s="2">
        <v>103821.0</v>
      </c>
      <c r="D5113" s="2">
        <v>30004.0</v>
      </c>
      <c r="E5113" s="3">
        <f t="shared" si="1"/>
        <v>0.3157817187</v>
      </c>
      <c r="F5113" s="2">
        <v>11683.0</v>
      </c>
      <c r="G5113" s="3">
        <f t="shared" si="2"/>
        <v>0.1229595327</v>
      </c>
      <c r="H5113" s="2">
        <v>19833.0</v>
      </c>
      <c r="I5113" s="3">
        <f t="shared" si="3"/>
        <v>0.2087354628</v>
      </c>
      <c r="J5113" s="2">
        <v>14772.0</v>
      </c>
      <c r="K5113" s="3">
        <f t="shared" si="4"/>
        <v>0.1554701889</v>
      </c>
      <c r="L5113" s="2">
        <v>11947.0</v>
      </c>
      <c r="M5113" s="3">
        <f t="shared" si="5"/>
        <v>0.6023798719</v>
      </c>
      <c r="N5113" s="2">
        <v>1.131799E8</v>
      </c>
      <c r="O5113" s="4">
        <f t="shared" si="6"/>
        <v>5706.64549</v>
      </c>
      <c r="P5113" s="2">
        <v>26.0</v>
      </c>
      <c r="Q5113" s="3">
        <f t="shared" si="7"/>
        <v>0.002952532364</v>
      </c>
      <c r="R5113" s="2">
        <v>8806.0</v>
      </c>
      <c r="S5113" s="5">
        <f t="shared" si="8"/>
        <v>1</v>
      </c>
    </row>
    <row r="5114">
      <c r="A5114" s="2" t="s">
        <v>5116</v>
      </c>
      <c r="B5114" s="2">
        <v>308.0</v>
      </c>
      <c r="C5114" s="2">
        <v>3667.0</v>
      </c>
      <c r="D5114" s="2">
        <v>1018.0</v>
      </c>
      <c r="E5114" s="3">
        <f t="shared" si="1"/>
        <v>0.3030663888</v>
      </c>
      <c r="F5114" s="2">
        <v>413.0</v>
      </c>
      <c r="G5114" s="3">
        <f t="shared" si="2"/>
        <v>0.1229532599</v>
      </c>
      <c r="H5114" s="2">
        <v>687.0</v>
      </c>
      <c r="I5114" s="3">
        <f t="shared" si="3"/>
        <v>0.2045251563</v>
      </c>
      <c r="J5114" s="2">
        <v>555.0</v>
      </c>
      <c r="K5114" s="3">
        <f t="shared" si="4"/>
        <v>0.1652277464</v>
      </c>
      <c r="L5114" s="2">
        <v>419.0</v>
      </c>
      <c r="M5114" s="3">
        <f t="shared" si="5"/>
        <v>0.6098981077</v>
      </c>
      <c r="N5114" s="2">
        <v>3955400.0</v>
      </c>
      <c r="O5114" s="4">
        <f t="shared" si="6"/>
        <v>5757.496361</v>
      </c>
      <c r="P5114" s="2">
        <v>1.0</v>
      </c>
      <c r="Q5114" s="3">
        <f t="shared" si="7"/>
        <v>0.003246753247</v>
      </c>
      <c r="R5114" s="2">
        <v>308.0</v>
      </c>
      <c r="S5114" s="5">
        <f t="shared" si="8"/>
        <v>1</v>
      </c>
    </row>
    <row r="5115">
      <c r="A5115" s="2" t="s">
        <v>5117</v>
      </c>
      <c r="B5115" s="2">
        <v>572.0</v>
      </c>
      <c r="C5115" s="2">
        <v>6737.0</v>
      </c>
      <c r="D5115" s="2">
        <v>2011.0</v>
      </c>
      <c r="E5115" s="3">
        <f t="shared" si="1"/>
        <v>0.3261962693</v>
      </c>
      <c r="F5115" s="2">
        <v>758.0</v>
      </c>
      <c r="G5115" s="3">
        <f t="shared" si="2"/>
        <v>0.1229521492</v>
      </c>
      <c r="H5115" s="2">
        <v>1236.0</v>
      </c>
      <c r="I5115" s="3">
        <f t="shared" si="3"/>
        <v>0.200486618</v>
      </c>
      <c r="J5115" s="2">
        <v>1034.0</v>
      </c>
      <c r="K5115" s="3">
        <f t="shared" si="4"/>
        <v>0.1677210057</v>
      </c>
      <c r="L5115" s="2">
        <v>750.0</v>
      </c>
      <c r="M5115" s="3">
        <f t="shared" si="5"/>
        <v>0.6067961165</v>
      </c>
      <c r="N5115" s="2">
        <v>6878500.0</v>
      </c>
      <c r="O5115" s="4">
        <f t="shared" si="6"/>
        <v>5565.12945</v>
      </c>
      <c r="P5115" s="2">
        <v>0.0</v>
      </c>
      <c r="Q5115" s="3">
        <f t="shared" si="7"/>
        <v>0</v>
      </c>
      <c r="R5115" s="2">
        <v>572.0</v>
      </c>
      <c r="S5115" s="5">
        <f t="shared" si="8"/>
        <v>1</v>
      </c>
    </row>
    <row r="5116">
      <c r="A5116" s="2" t="s">
        <v>5118</v>
      </c>
      <c r="B5116" s="2">
        <v>11.0</v>
      </c>
      <c r="C5116" s="2">
        <v>133.0</v>
      </c>
      <c r="D5116" s="2">
        <v>38.0</v>
      </c>
      <c r="E5116" s="3">
        <f t="shared" si="1"/>
        <v>0.3114754098</v>
      </c>
      <c r="F5116" s="2">
        <v>15.0</v>
      </c>
      <c r="G5116" s="3">
        <f t="shared" si="2"/>
        <v>0.1229508197</v>
      </c>
      <c r="H5116" s="2">
        <v>13.0</v>
      </c>
      <c r="I5116" s="3">
        <f t="shared" si="3"/>
        <v>0.106557377</v>
      </c>
      <c r="J5116" s="2">
        <v>18.0</v>
      </c>
      <c r="K5116" s="3">
        <f t="shared" si="4"/>
        <v>0.1475409836</v>
      </c>
      <c r="L5116" s="2">
        <v>7.0</v>
      </c>
      <c r="M5116" s="3">
        <f t="shared" si="5"/>
        <v>0.5384615385</v>
      </c>
      <c r="N5116" s="2">
        <v>84500.0</v>
      </c>
      <c r="O5116" s="4">
        <f t="shared" si="6"/>
        <v>6500</v>
      </c>
      <c r="P5116" s="2">
        <v>0.0</v>
      </c>
      <c r="Q5116" s="3">
        <f t="shared" si="7"/>
        <v>0</v>
      </c>
      <c r="R5116" s="2">
        <v>1.0</v>
      </c>
      <c r="S5116" s="5">
        <f t="shared" si="8"/>
        <v>0.09090909091</v>
      </c>
    </row>
    <row r="5117">
      <c r="A5117" s="2" t="s">
        <v>5119</v>
      </c>
      <c r="B5117" s="2">
        <v>81.0</v>
      </c>
      <c r="C5117" s="2">
        <v>935.0</v>
      </c>
      <c r="D5117" s="2">
        <v>240.0</v>
      </c>
      <c r="E5117" s="3">
        <f t="shared" si="1"/>
        <v>0.281030445</v>
      </c>
      <c r="F5117" s="2">
        <v>105.0</v>
      </c>
      <c r="G5117" s="3">
        <f t="shared" si="2"/>
        <v>0.1229508197</v>
      </c>
      <c r="H5117" s="2">
        <v>166.0</v>
      </c>
      <c r="I5117" s="3">
        <f t="shared" si="3"/>
        <v>0.1943793911</v>
      </c>
      <c r="J5117" s="2">
        <v>109.0</v>
      </c>
      <c r="K5117" s="3">
        <f t="shared" si="4"/>
        <v>0.1276346604</v>
      </c>
      <c r="L5117" s="2">
        <v>98.0</v>
      </c>
      <c r="M5117" s="3">
        <f t="shared" si="5"/>
        <v>0.5903614458</v>
      </c>
      <c r="N5117" s="2">
        <v>970300.0</v>
      </c>
      <c r="O5117" s="4">
        <f t="shared" si="6"/>
        <v>5845.180723</v>
      </c>
      <c r="P5117" s="2">
        <v>2.0</v>
      </c>
      <c r="Q5117" s="3">
        <f t="shared" si="7"/>
        <v>0.02469135802</v>
      </c>
      <c r="R5117" s="2">
        <v>0.0</v>
      </c>
      <c r="S5117" s="5">
        <f t="shared" si="8"/>
        <v>0</v>
      </c>
    </row>
    <row r="5118">
      <c r="A5118" s="2" t="s">
        <v>5120</v>
      </c>
      <c r="B5118" s="2">
        <v>472.0</v>
      </c>
      <c r="C5118" s="2">
        <v>5523.0</v>
      </c>
      <c r="D5118" s="2">
        <v>1748.0</v>
      </c>
      <c r="E5118" s="3">
        <f t="shared" si="1"/>
        <v>0.3460700851</v>
      </c>
      <c r="F5118" s="2">
        <v>621.0</v>
      </c>
      <c r="G5118" s="3">
        <f t="shared" si="2"/>
        <v>0.1229459513</v>
      </c>
      <c r="H5118" s="2">
        <v>1067.0</v>
      </c>
      <c r="I5118" s="3">
        <f t="shared" si="3"/>
        <v>0.211245298</v>
      </c>
      <c r="J5118" s="2">
        <v>720.0</v>
      </c>
      <c r="K5118" s="3">
        <f t="shared" si="4"/>
        <v>0.1425460305</v>
      </c>
      <c r="L5118" s="2">
        <v>663.0</v>
      </c>
      <c r="M5118" s="3">
        <f t="shared" si="5"/>
        <v>0.6213683224</v>
      </c>
      <c r="N5118" s="2">
        <v>5452300.0</v>
      </c>
      <c r="O5118" s="4">
        <f t="shared" si="6"/>
        <v>5109.934396</v>
      </c>
      <c r="P5118" s="2">
        <v>0.0</v>
      </c>
      <c r="Q5118" s="3">
        <f t="shared" si="7"/>
        <v>0</v>
      </c>
      <c r="R5118" s="2">
        <v>472.0</v>
      </c>
      <c r="S5118" s="5">
        <f t="shared" si="8"/>
        <v>1</v>
      </c>
    </row>
    <row r="5119">
      <c r="A5119" s="2" t="s">
        <v>5121</v>
      </c>
      <c r="B5119" s="2">
        <v>106.0</v>
      </c>
      <c r="C5119" s="2">
        <v>1261.0</v>
      </c>
      <c r="D5119" s="2">
        <v>354.0</v>
      </c>
      <c r="E5119" s="3">
        <f t="shared" si="1"/>
        <v>0.3064935065</v>
      </c>
      <c r="F5119" s="2">
        <v>142.0</v>
      </c>
      <c r="G5119" s="3">
        <f t="shared" si="2"/>
        <v>0.1229437229</v>
      </c>
      <c r="H5119" s="2">
        <v>231.0</v>
      </c>
      <c r="I5119" s="3">
        <f t="shared" si="3"/>
        <v>0.2</v>
      </c>
      <c r="J5119" s="2">
        <v>192.0</v>
      </c>
      <c r="K5119" s="3">
        <f t="shared" si="4"/>
        <v>0.1662337662</v>
      </c>
      <c r="L5119" s="2">
        <v>123.0</v>
      </c>
      <c r="M5119" s="3">
        <f t="shared" si="5"/>
        <v>0.5324675325</v>
      </c>
      <c r="N5119" s="2">
        <v>1460500.0</v>
      </c>
      <c r="O5119" s="4">
        <f t="shared" si="6"/>
        <v>6322.510823</v>
      </c>
      <c r="P5119" s="2">
        <v>1.0</v>
      </c>
      <c r="Q5119" s="3">
        <f t="shared" si="7"/>
        <v>0.009433962264</v>
      </c>
      <c r="R5119" s="2">
        <v>106.0</v>
      </c>
      <c r="S5119" s="5">
        <f t="shared" si="8"/>
        <v>1</v>
      </c>
    </row>
    <row r="5120">
      <c r="A5120" s="2" t="s">
        <v>5122</v>
      </c>
      <c r="B5120" s="2">
        <v>1260.0</v>
      </c>
      <c r="C5120" s="2">
        <v>14876.0</v>
      </c>
      <c r="D5120" s="2">
        <v>4780.0</v>
      </c>
      <c r="E5120" s="3">
        <f t="shared" si="1"/>
        <v>0.3510575793</v>
      </c>
      <c r="F5120" s="2">
        <v>1674.0</v>
      </c>
      <c r="G5120" s="3">
        <f t="shared" si="2"/>
        <v>0.1229435958</v>
      </c>
      <c r="H5120" s="2">
        <v>2825.0</v>
      </c>
      <c r="I5120" s="3">
        <f t="shared" si="3"/>
        <v>0.2074764982</v>
      </c>
      <c r="J5120" s="2">
        <v>2009.0</v>
      </c>
      <c r="K5120" s="3">
        <f t="shared" si="4"/>
        <v>0.1475470035</v>
      </c>
      <c r="L5120" s="2">
        <v>1674.0</v>
      </c>
      <c r="M5120" s="3">
        <f t="shared" si="5"/>
        <v>0.5925663717</v>
      </c>
      <c r="N5120" s="2">
        <v>1.53562E7</v>
      </c>
      <c r="O5120" s="4">
        <f t="shared" si="6"/>
        <v>5435.823009</v>
      </c>
      <c r="P5120" s="2">
        <v>3.0</v>
      </c>
      <c r="Q5120" s="3">
        <f t="shared" si="7"/>
        <v>0.002380952381</v>
      </c>
      <c r="R5120" s="2">
        <v>1260.0</v>
      </c>
      <c r="S5120" s="5">
        <f t="shared" si="8"/>
        <v>1</v>
      </c>
    </row>
    <row r="5121">
      <c r="A5121" s="2" t="s">
        <v>5123</v>
      </c>
      <c r="B5121" s="2">
        <v>97.0</v>
      </c>
      <c r="C5121" s="2">
        <v>1130.0</v>
      </c>
      <c r="D5121" s="2">
        <v>346.0</v>
      </c>
      <c r="E5121" s="3">
        <f t="shared" si="1"/>
        <v>0.334946757</v>
      </c>
      <c r="F5121" s="2">
        <v>127.0</v>
      </c>
      <c r="G5121" s="3">
        <f t="shared" si="2"/>
        <v>0.1229428848</v>
      </c>
      <c r="H5121" s="2">
        <v>246.0</v>
      </c>
      <c r="I5121" s="3">
        <f t="shared" si="3"/>
        <v>0.2381413359</v>
      </c>
      <c r="J5121" s="2">
        <v>184.0</v>
      </c>
      <c r="K5121" s="3">
        <f t="shared" si="4"/>
        <v>0.1781219748</v>
      </c>
      <c r="L5121" s="2">
        <v>146.0</v>
      </c>
      <c r="M5121" s="3">
        <f t="shared" si="5"/>
        <v>0.593495935</v>
      </c>
      <c r="N5121" s="2">
        <v>1464500.0</v>
      </c>
      <c r="O5121" s="4">
        <f t="shared" si="6"/>
        <v>5953.252033</v>
      </c>
      <c r="P5121" s="2">
        <v>1.0</v>
      </c>
      <c r="Q5121" s="3">
        <f t="shared" si="7"/>
        <v>0.01030927835</v>
      </c>
      <c r="R5121" s="2">
        <v>97.0</v>
      </c>
      <c r="S5121" s="5">
        <f t="shared" si="8"/>
        <v>1</v>
      </c>
    </row>
    <row r="5122">
      <c r="A5122" s="2" t="s">
        <v>5124</v>
      </c>
      <c r="B5122" s="2">
        <v>156.0</v>
      </c>
      <c r="C5122" s="2">
        <v>1856.0</v>
      </c>
      <c r="D5122" s="2">
        <v>592.0</v>
      </c>
      <c r="E5122" s="3">
        <f t="shared" si="1"/>
        <v>0.3482352941</v>
      </c>
      <c r="F5122" s="2">
        <v>209.0</v>
      </c>
      <c r="G5122" s="3">
        <f t="shared" si="2"/>
        <v>0.1229411765</v>
      </c>
      <c r="H5122" s="2">
        <v>349.0</v>
      </c>
      <c r="I5122" s="3">
        <f t="shared" si="3"/>
        <v>0.2052941176</v>
      </c>
      <c r="J5122" s="2">
        <v>258.0</v>
      </c>
      <c r="K5122" s="3">
        <f t="shared" si="4"/>
        <v>0.1517647059</v>
      </c>
      <c r="L5122" s="2">
        <v>216.0</v>
      </c>
      <c r="M5122" s="3">
        <f t="shared" si="5"/>
        <v>0.6189111748</v>
      </c>
      <c r="N5122" s="2">
        <v>1935700.0</v>
      </c>
      <c r="O5122" s="4">
        <f t="shared" si="6"/>
        <v>5546.418338</v>
      </c>
      <c r="P5122" s="2">
        <v>1.0</v>
      </c>
      <c r="Q5122" s="3">
        <f t="shared" si="7"/>
        <v>0.00641025641</v>
      </c>
      <c r="R5122" s="2">
        <v>142.0</v>
      </c>
      <c r="S5122" s="5">
        <f t="shared" si="8"/>
        <v>0.9102564103</v>
      </c>
    </row>
    <row r="5123">
      <c r="A5123" s="2" t="s">
        <v>5125</v>
      </c>
      <c r="B5123" s="2">
        <v>87.0</v>
      </c>
      <c r="C5123" s="2">
        <v>1055.0</v>
      </c>
      <c r="D5123" s="2">
        <v>322.0</v>
      </c>
      <c r="E5123" s="3">
        <f t="shared" si="1"/>
        <v>0.3326446281</v>
      </c>
      <c r="F5123" s="2">
        <v>119.0</v>
      </c>
      <c r="G5123" s="3">
        <f t="shared" si="2"/>
        <v>0.1229338843</v>
      </c>
      <c r="H5123" s="2">
        <v>171.0</v>
      </c>
      <c r="I5123" s="3">
        <f t="shared" si="3"/>
        <v>0.1766528926</v>
      </c>
      <c r="J5123" s="2">
        <v>164.0</v>
      </c>
      <c r="K5123" s="3">
        <f t="shared" si="4"/>
        <v>0.1694214876</v>
      </c>
      <c r="L5123" s="2">
        <v>107.0</v>
      </c>
      <c r="M5123" s="3">
        <f t="shared" si="5"/>
        <v>0.6257309942</v>
      </c>
      <c r="N5123" s="2">
        <v>920200.0</v>
      </c>
      <c r="O5123" s="4">
        <f t="shared" si="6"/>
        <v>5381.28655</v>
      </c>
      <c r="P5123" s="2">
        <v>0.0</v>
      </c>
      <c r="Q5123" s="3">
        <f t="shared" si="7"/>
        <v>0</v>
      </c>
      <c r="R5123" s="2">
        <v>87.0</v>
      </c>
      <c r="S5123" s="5">
        <f t="shared" si="8"/>
        <v>1</v>
      </c>
    </row>
    <row r="5124">
      <c r="A5124" s="2" t="s">
        <v>5126</v>
      </c>
      <c r="B5124" s="2">
        <v>170.0</v>
      </c>
      <c r="C5124" s="2">
        <v>1984.0</v>
      </c>
      <c r="D5124" s="2">
        <v>404.0</v>
      </c>
      <c r="E5124" s="3">
        <f t="shared" si="1"/>
        <v>0.2227122381</v>
      </c>
      <c r="F5124" s="2">
        <v>223.0</v>
      </c>
      <c r="G5124" s="3">
        <f t="shared" si="2"/>
        <v>0.1229327453</v>
      </c>
      <c r="H5124" s="2">
        <v>348.0</v>
      </c>
      <c r="I5124" s="3">
        <f t="shared" si="3"/>
        <v>0.1918412348</v>
      </c>
      <c r="J5124" s="2">
        <v>330.0</v>
      </c>
      <c r="K5124" s="3">
        <f t="shared" si="4"/>
        <v>0.1819184123</v>
      </c>
      <c r="L5124" s="2">
        <v>204.0</v>
      </c>
      <c r="M5124" s="3">
        <f t="shared" si="5"/>
        <v>0.5862068966</v>
      </c>
      <c r="N5124" s="2">
        <v>1930000.0</v>
      </c>
      <c r="O5124" s="4">
        <f t="shared" si="6"/>
        <v>5545.977011</v>
      </c>
      <c r="P5124" s="2">
        <v>0.0</v>
      </c>
      <c r="Q5124" s="3">
        <f t="shared" si="7"/>
        <v>0</v>
      </c>
      <c r="R5124" s="2">
        <v>0.0</v>
      </c>
      <c r="S5124" s="5">
        <f t="shared" si="8"/>
        <v>0</v>
      </c>
    </row>
    <row r="5125">
      <c r="A5125" s="2" t="s">
        <v>5127</v>
      </c>
      <c r="B5125" s="2">
        <v>771.0</v>
      </c>
      <c r="C5125" s="2">
        <v>9052.0</v>
      </c>
      <c r="D5125" s="2">
        <v>2356.0</v>
      </c>
      <c r="E5125" s="3">
        <f t="shared" si="1"/>
        <v>0.2845067021</v>
      </c>
      <c r="F5125" s="2">
        <v>1018.0</v>
      </c>
      <c r="G5125" s="3">
        <f t="shared" si="2"/>
        <v>0.122932013</v>
      </c>
      <c r="H5125" s="2">
        <v>1698.0</v>
      </c>
      <c r="I5125" s="3">
        <f t="shared" si="3"/>
        <v>0.2050476996</v>
      </c>
      <c r="J5125" s="2">
        <v>1650.0</v>
      </c>
      <c r="K5125" s="3">
        <f t="shared" si="4"/>
        <v>0.1992512982</v>
      </c>
      <c r="L5125" s="2">
        <v>956.0</v>
      </c>
      <c r="M5125" s="3">
        <f t="shared" si="5"/>
        <v>0.5630153121</v>
      </c>
      <c r="N5125" s="2">
        <v>1.007E7</v>
      </c>
      <c r="O5125" s="4">
        <f t="shared" si="6"/>
        <v>5930.506478</v>
      </c>
      <c r="P5125" s="2">
        <v>1.0</v>
      </c>
      <c r="Q5125" s="3">
        <f t="shared" si="7"/>
        <v>0.001297016861</v>
      </c>
      <c r="R5125" s="2">
        <v>771.0</v>
      </c>
      <c r="S5125" s="5">
        <f t="shared" si="8"/>
        <v>1</v>
      </c>
    </row>
    <row r="5126">
      <c r="A5126" s="2" t="s">
        <v>5128</v>
      </c>
      <c r="B5126" s="2">
        <v>241.0</v>
      </c>
      <c r="C5126" s="2">
        <v>2828.0</v>
      </c>
      <c r="D5126" s="2">
        <v>1062.0</v>
      </c>
      <c r="E5126" s="3">
        <f t="shared" si="1"/>
        <v>0.410514109</v>
      </c>
      <c r="F5126" s="2">
        <v>318.0</v>
      </c>
      <c r="G5126" s="3">
        <f t="shared" si="2"/>
        <v>0.1229223038</v>
      </c>
      <c r="H5126" s="2">
        <v>557.0</v>
      </c>
      <c r="I5126" s="3">
        <f t="shared" si="3"/>
        <v>0.2153073058</v>
      </c>
      <c r="J5126" s="2">
        <v>474.0</v>
      </c>
      <c r="K5126" s="3">
        <f t="shared" si="4"/>
        <v>0.1832238114</v>
      </c>
      <c r="L5126" s="2">
        <v>326.0</v>
      </c>
      <c r="M5126" s="3">
        <f t="shared" si="5"/>
        <v>0.5852782765</v>
      </c>
      <c r="N5126" s="2">
        <v>3267100.0</v>
      </c>
      <c r="O5126" s="4">
        <f t="shared" si="6"/>
        <v>5865.529623</v>
      </c>
      <c r="P5126" s="2">
        <v>1.0</v>
      </c>
      <c r="Q5126" s="3">
        <f t="shared" si="7"/>
        <v>0.004149377593</v>
      </c>
      <c r="R5126" s="2">
        <v>149.0</v>
      </c>
      <c r="S5126" s="5">
        <f t="shared" si="8"/>
        <v>0.6182572614</v>
      </c>
    </row>
    <row r="5127">
      <c r="A5127" s="2" t="s">
        <v>5129</v>
      </c>
      <c r="B5127" s="2">
        <v>929.0</v>
      </c>
      <c r="C5127" s="2">
        <v>10854.0</v>
      </c>
      <c r="D5127" s="2">
        <v>3210.0</v>
      </c>
      <c r="E5127" s="3">
        <f t="shared" si="1"/>
        <v>0.3234256927</v>
      </c>
      <c r="F5127" s="2">
        <v>1220.0</v>
      </c>
      <c r="G5127" s="3">
        <f t="shared" si="2"/>
        <v>0.1229219144</v>
      </c>
      <c r="H5127" s="2">
        <v>1976.0</v>
      </c>
      <c r="I5127" s="3">
        <f t="shared" si="3"/>
        <v>0.199093199</v>
      </c>
      <c r="J5127" s="2">
        <v>1597.0</v>
      </c>
      <c r="K5127" s="3">
        <f t="shared" si="4"/>
        <v>0.160906801</v>
      </c>
      <c r="L5127" s="2">
        <v>1219.0</v>
      </c>
      <c r="M5127" s="3">
        <f t="shared" si="5"/>
        <v>0.616902834</v>
      </c>
      <c r="N5127" s="2">
        <v>1.06682E7</v>
      </c>
      <c r="O5127" s="4">
        <f t="shared" si="6"/>
        <v>5398.88664</v>
      </c>
      <c r="P5127" s="2">
        <v>0.0</v>
      </c>
      <c r="Q5127" s="3">
        <f t="shared" si="7"/>
        <v>0</v>
      </c>
      <c r="R5127" s="2">
        <v>929.0</v>
      </c>
      <c r="S5127" s="5">
        <f t="shared" si="8"/>
        <v>1</v>
      </c>
    </row>
    <row r="5128">
      <c r="A5128" s="2" t="s">
        <v>5130</v>
      </c>
      <c r="B5128" s="2">
        <v>1401.0</v>
      </c>
      <c r="C5128" s="2">
        <v>16623.0</v>
      </c>
      <c r="D5128" s="2">
        <v>5702.0</v>
      </c>
      <c r="E5128" s="3">
        <f t="shared" si="1"/>
        <v>0.3745894101</v>
      </c>
      <c r="F5128" s="2">
        <v>1871.0</v>
      </c>
      <c r="G5128" s="3">
        <f t="shared" si="2"/>
        <v>0.1229142031</v>
      </c>
      <c r="H5128" s="2">
        <v>3160.0</v>
      </c>
      <c r="I5128" s="3">
        <f t="shared" si="3"/>
        <v>0.2075942714</v>
      </c>
      <c r="J5128" s="2">
        <v>2238.0</v>
      </c>
      <c r="K5128" s="3">
        <f t="shared" si="4"/>
        <v>0.1470240441</v>
      </c>
      <c r="L5128" s="2">
        <v>1902.0</v>
      </c>
      <c r="M5128" s="3">
        <f t="shared" si="5"/>
        <v>0.6018987342</v>
      </c>
      <c r="N5128" s="2">
        <v>1.76611E7</v>
      </c>
      <c r="O5128" s="4">
        <f t="shared" si="6"/>
        <v>5588.955696</v>
      </c>
      <c r="P5128" s="2">
        <v>6.0</v>
      </c>
      <c r="Q5128" s="3">
        <f t="shared" si="7"/>
        <v>0.004282655246</v>
      </c>
      <c r="R5128" s="2">
        <v>1078.0</v>
      </c>
      <c r="S5128" s="5">
        <f t="shared" si="8"/>
        <v>0.7694503926</v>
      </c>
    </row>
    <row r="5129">
      <c r="A5129" s="2" t="s">
        <v>5131</v>
      </c>
      <c r="B5129" s="2">
        <v>686.0</v>
      </c>
      <c r="C5129" s="2">
        <v>7927.0</v>
      </c>
      <c r="D5129" s="2">
        <v>2423.0</v>
      </c>
      <c r="E5129" s="3">
        <f t="shared" si="1"/>
        <v>0.3346222897</v>
      </c>
      <c r="F5129" s="2">
        <v>890.0</v>
      </c>
      <c r="G5129" s="3">
        <f t="shared" si="2"/>
        <v>0.1229112001</v>
      </c>
      <c r="H5129" s="2">
        <v>1522.0</v>
      </c>
      <c r="I5129" s="3">
        <f t="shared" si="3"/>
        <v>0.2101919624</v>
      </c>
      <c r="J5129" s="2">
        <v>1199.0</v>
      </c>
      <c r="K5129" s="3">
        <f t="shared" si="4"/>
        <v>0.165584864</v>
      </c>
      <c r="L5129" s="2">
        <v>933.0</v>
      </c>
      <c r="M5129" s="3">
        <f t="shared" si="5"/>
        <v>0.6130091984</v>
      </c>
      <c r="N5129" s="2">
        <v>8454500.0</v>
      </c>
      <c r="O5129" s="4">
        <f t="shared" si="6"/>
        <v>5554.862024</v>
      </c>
      <c r="P5129" s="2">
        <v>0.0</v>
      </c>
      <c r="Q5129" s="3">
        <f t="shared" si="7"/>
        <v>0</v>
      </c>
      <c r="R5129" s="2">
        <v>162.0</v>
      </c>
      <c r="S5129" s="5">
        <f t="shared" si="8"/>
        <v>0.2361516035</v>
      </c>
    </row>
    <row r="5130">
      <c r="A5130" s="2" t="s">
        <v>5132</v>
      </c>
      <c r="B5130" s="2">
        <v>628.0</v>
      </c>
      <c r="C5130" s="2">
        <v>7446.0</v>
      </c>
      <c r="D5130" s="2">
        <v>2014.0</v>
      </c>
      <c r="E5130" s="3">
        <f t="shared" si="1"/>
        <v>0.2953945439</v>
      </c>
      <c r="F5130" s="2">
        <v>838.0</v>
      </c>
      <c r="G5130" s="3">
        <f t="shared" si="2"/>
        <v>0.1229099443</v>
      </c>
      <c r="H5130" s="2">
        <v>1247.0</v>
      </c>
      <c r="I5130" s="3">
        <f t="shared" si="3"/>
        <v>0.1828982106</v>
      </c>
      <c r="J5130" s="2">
        <v>1050.0</v>
      </c>
      <c r="K5130" s="3">
        <f t="shared" si="4"/>
        <v>0.1540041068</v>
      </c>
      <c r="L5130" s="2">
        <v>708.0</v>
      </c>
      <c r="M5130" s="3">
        <f t="shared" si="5"/>
        <v>0.5677626303</v>
      </c>
      <c r="N5130" s="2">
        <v>7744300.0</v>
      </c>
      <c r="O5130" s="4">
        <f t="shared" si="6"/>
        <v>6210.344828</v>
      </c>
      <c r="P5130" s="2">
        <v>3.0</v>
      </c>
      <c r="Q5130" s="3">
        <f t="shared" si="7"/>
        <v>0.004777070064</v>
      </c>
      <c r="R5130" s="2">
        <v>628.0</v>
      </c>
      <c r="S5130" s="5">
        <f t="shared" si="8"/>
        <v>1</v>
      </c>
    </row>
    <row r="5131">
      <c r="A5131" s="2" t="s">
        <v>5133</v>
      </c>
      <c r="B5131" s="2">
        <v>467.0</v>
      </c>
      <c r="C5131" s="2">
        <v>5422.0</v>
      </c>
      <c r="D5131" s="2">
        <v>1554.0</v>
      </c>
      <c r="E5131" s="3">
        <f t="shared" si="1"/>
        <v>0.3136226034</v>
      </c>
      <c r="F5131" s="2">
        <v>609.0</v>
      </c>
      <c r="G5131" s="3">
        <f t="shared" si="2"/>
        <v>0.1229061554</v>
      </c>
      <c r="H5131" s="2">
        <v>975.0</v>
      </c>
      <c r="I5131" s="3">
        <f t="shared" si="3"/>
        <v>0.1967709384</v>
      </c>
      <c r="J5131" s="2">
        <v>938.0</v>
      </c>
      <c r="K5131" s="3">
        <f t="shared" si="4"/>
        <v>0.1893037336</v>
      </c>
      <c r="L5131" s="2">
        <v>554.0</v>
      </c>
      <c r="M5131" s="3">
        <f t="shared" si="5"/>
        <v>0.5682051282</v>
      </c>
      <c r="N5131" s="2">
        <v>5764300.0</v>
      </c>
      <c r="O5131" s="4">
        <f t="shared" si="6"/>
        <v>5912.102564</v>
      </c>
      <c r="P5131" s="2">
        <v>0.0</v>
      </c>
      <c r="Q5131" s="3">
        <f t="shared" si="7"/>
        <v>0</v>
      </c>
      <c r="R5131" s="2">
        <v>467.0</v>
      </c>
      <c r="S5131" s="5">
        <f t="shared" si="8"/>
        <v>1</v>
      </c>
    </row>
    <row r="5132">
      <c r="A5132" s="2" t="s">
        <v>5134</v>
      </c>
      <c r="B5132" s="2">
        <v>2795.0</v>
      </c>
      <c r="C5132" s="2">
        <v>32867.0</v>
      </c>
      <c r="D5132" s="2">
        <v>10133.0</v>
      </c>
      <c r="E5132" s="3">
        <f t="shared" si="1"/>
        <v>0.3369579675</v>
      </c>
      <c r="F5132" s="2">
        <v>3696.0</v>
      </c>
      <c r="G5132" s="3">
        <f t="shared" si="2"/>
        <v>0.1229050279</v>
      </c>
      <c r="H5132" s="2">
        <v>6342.0</v>
      </c>
      <c r="I5132" s="3">
        <f t="shared" si="3"/>
        <v>0.2108938547</v>
      </c>
      <c r="J5132" s="2">
        <v>5614.0</v>
      </c>
      <c r="K5132" s="3">
        <f t="shared" si="4"/>
        <v>0.1866852886</v>
      </c>
      <c r="L5132" s="2">
        <v>3712.0</v>
      </c>
      <c r="M5132" s="3">
        <f t="shared" si="5"/>
        <v>0.5853043204</v>
      </c>
      <c r="N5132" s="2">
        <v>3.56196E7</v>
      </c>
      <c r="O5132" s="4">
        <f t="shared" si="6"/>
        <v>5616.461684</v>
      </c>
      <c r="P5132" s="2">
        <v>4.0</v>
      </c>
      <c r="Q5132" s="3">
        <f t="shared" si="7"/>
        <v>0.001431127013</v>
      </c>
      <c r="R5132" s="2">
        <v>2222.0</v>
      </c>
      <c r="S5132" s="5">
        <f t="shared" si="8"/>
        <v>0.7949910555</v>
      </c>
    </row>
    <row r="5133">
      <c r="A5133" s="2" t="s">
        <v>5135</v>
      </c>
      <c r="B5133" s="2">
        <v>1131.0</v>
      </c>
      <c r="C5133" s="2">
        <v>13287.0</v>
      </c>
      <c r="D5133" s="2">
        <v>4183.0</v>
      </c>
      <c r="E5133" s="3">
        <f t="shared" si="1"/>
        <v>0.3441099046</v>
      </c>
      <c r="F5133" s="2">
        <v>1494.0</v>
      </c>
      <c r="G5133" s="3">
        <f t="shared" si="2"/>
        <v>0.1229022705</v>
      </c>
      <c r="H5133" s="2">
        <v>2499.0</v>
      </c>
      <c r="I5133" s="3">
        <f t="shared" si="3"/>
        <v>0.2055774926</v>
      </c>
      <c r="J5133" s="2">
        <v>1986.0</v>
      </c>
      <c r="K5133" s="3">
        <f t="shared" si="4"/>
        <v>0.1633761106</v>
      </c>
      <c r="L5133" s="2">
        <v>1532.0</v>
      </c>
      <c r="M5133" s="3">
        <f t="shared" si="5"/>
        <v>0.6130452181</v>
      </c>
      <c r="N5133" s="2">
        <v>1.42438E7</v>
      </c>
      <c r="O5133" s="4">
        <f t="shared" si="6"/>
        <v>5699.79992</v>
      </c>
      <c r="P5133" s="2">
        <v>3.0</v>
      </c>
      <c r="Q5133" s="3">
        <f t="shared" si="7"/>
        <v>0.002652519894</v>
      </c>
      <c r="R5133" s="2">
        <v>1131.0</v>
      </c>
      <c r="S5133" s="5">
        <f t="shared" si="8"/>
        <v>1</v>
      </c>
    </row>
    <row r="5134">
      <c r="A5134" s="2" t="s">
        <v>5136</v>
      </c>
      <c r="B5134" s="2">
        <v>1641.0</v>
      </c>
      <c r="C5134" s="2">
        <v>19159.0</v>
      </c>
      <c r="D5134" s="2">
        <v>6199.0</v>
      </c>
      <c r="E5134" s="3">
        <f t="shared" si="1"/>
        <v>0.3538645964</v>
      </c>
      <c r="F5134" s="2">
        <v>2153.0</v>
      </c>
      <c r="G5134" s="3">
        <f t="shared" si="2"/>
        <v>0.1229021578</v>
      </c>
      <c r="H5134" s="2">
        <v>3791.0</v>
      </c>
      <c r="I5134" s="3">
        <f t="shared" si="3"/>
        <v>0.2164059824</v>
      </c>
      <c r="J5134" s="2">
        <v>2672.0</v>
      </c>
      <c r="K5134" s="3">
        <f t="shared" si="4"/>
        <v>0.1525288275</v>
      </c>
      <c r="L5134" s="2">
        <v>2310.0</v>
      </c>
      <c r="M5134" s="3">
        <f t="shared" si="5"/>
        <v>0.6093379056</v>
      </c>
      <c r="N5134" s="2">
        <v>2.03245E7</v>
      </c>
      <c r="O5134" s="4">
        <f t="shared" si="6"/>
        <v>5361.25033</v>
      </c>
      <c r="P5134" s="2">
        <v>2.0</v>
      </c>
      <c r="Q5134" s="3">
        <f t="shared" si="7"/>
        <v>0.001218769043</v>
      </c>
      <c r="R5134" s="2">
        <v>1641.0</v>
      </c>
      <c r="S5134" s="5">
        <f t="shared" si="8"/>
        <v>1</v>
      </c>
    </row>
    <row r="5135">
      <c r="A5135" s="2" t="s">
        <v>5137</v>
      </c>
      <c r="B5135" s="2">
        <v>2978.0</v>
      </c>
      <c r="C5135" s="2">
        <v>34785.0</v>
      </c>
      <c r="D5135" s="2">
        <v>11238.0</v>
      </c>
      <c r="E5135" s="3">
        <f t="shared" si="1"/>
        <v>0.3533184519</v>
      </c>
      <c r="F5135" s="2">
        <v>3909.0</v>
      </c>
      <c r="G5135" s="3">
        <f t="shared" si="2"/>
        <v>0.1228974754</v>
      </c>
      <c r="H5135" s="2">
        <v>6709.0</v>
      </c>
      <c r="I5135" s="3">
        <f t="shared" si="3"/>
        <v>0.210928412</v>
      </c>
      <c r="J5135" s="2">
        <v>5699.0</v>
      </c>
      <c r="K5135" s="3">
        <f t="shared" si="4"/>
        <v>0.1791743956</v>
      </c>
      <c r="L5135" s="2">
        <v>4011.0</v>
      </c>
      <c r="M5135" s="3">
        <f t="shared" si="5"/>
        <v>0.5978536295</v>
      </c>
      <c r="N5135" s="2">
        <v>3.83832E7</v>
      </c>
      <c r="O5135" s="4">
        <f t="shared" si="6"/>
        <v>5721.150693</v>
      </c>
      <c r="P5135" s="2">
        <v>5.0</v>
      </c>
      <c r="Q5135" s="3">
        <f t="shared" si="7"/>
        <v>0.001678979181</v>
      </c>
      <c r="R5135" s="2">
        <v>2978.0</v>
      </c>
      <c r="S5135" s="5">
        <f t="shared" si="8"/>
        <v>1</v>
      </c>
    </row>
    <row r="5136">
      <c r="A5136" s="2" t="s">
        <v>5138</v>
      </c>
      <c r="B5136" s="2">
        <v>384.0</v>
      </c>
      <c r="C5136" s="2">
        <v>4485.0</v>
      </c>
      <c r="D5136" s="2">
        <v>1440.0</v>
      </c>
      <c r="E5136" s="3">
        <f t="shared" si="1"/>
        <v>0.3511338698</v>
      </c>
      <c r="F5136" s="2">
        <v>504.0</v>
      </c>
      <c r="G5136" s="3">
        <f t="shared" si="2"/>
        <v>0.1228968544</v>
      </c>
      <c r="H5136" s="2">
        <v>791.0</v>
      </c>
      <c r="I5136" s="3">
        <f t="shared" si="3"/>
        <v>0.1928797854</v>
      </c>
      <c r="J5136" s="2">
        <v>495.0</v>
      </c>
      <c r="K5136" s="3">
        <f t="shared" si="4"/>
        <v>0.1207022677</v>
      </c>
      <c r="L5136" s="2">
        <v>507.0</v>
      </c>
      <c r="M5136" s="3">
        <f t="shared" si="5"/>
        <v>0.6409608091</v>
      </c>
      <c r="N5136" s="2">
        <v>4381300.0</v>
      </c>
      <c r="O5136" s="4">
        <f t="shared" si="6"/>
        <v>5538.938053</v>
      </c>
      <c r="P5136" s="2">
        <v>1.0</v>
      </c>
      <c r="Q5136" s="3">
        <f t="shared" si="7"/>
        <v>0.002604166667</v>
      </c>
      <c r="R5136" s="2">
        <v>384.0</v>
      </c>
      <c r="S5136" s="5">
        <f t="shared" si="8"/>
        <v>1</v>
      </c>
    </row>
    <row r="5137">
      <c r="A5137" s="2" t="s">
        <v>5139</v>
      </c>
      <c r="B5137" s="2">
        <v>187.0</v>
      </c>
      <c r="C5137" s="2">
        <v>2140.0</v>
      </c>
      <c r="D5137" s="2">
        <v>689.0</v>
      </c>
      <c r="E5137" s="3">
        <f t="shared" si="1"/>
        <v>0.3527905786</v>
      </c>
      <c r="F5137" s="2">
        <v>240.0</v>
      </c>
      <c r="G5137" s="3">
        <f t="shared" si="2"/>
        <v>0.1228878648</v>
      </c>
      <c r="H5137" s="2">
        <v>397.0</v>
      </c>
      <c r="I5137" s="3">
        <f t="shared" si="3"/>
        <v>0.2032770097</v>
      </c>
      <c r="J5137" s="2">
        <v>363.0</v>
      </c>
      <c r="K5137" s="3">
        <f t="shared" si="4"/>
        <v>0.1858678955</v>
      </c>
      <c r="L5137" s="2">
        <v>236.0</v>
      </c>
      <c r="M5137" s="3">
        <f t="shared" si="5"/>
        <v>0.5944584383</v>
      </c>
      <c r="N5137" s="2">
        <v>2287000.0</v>
      </c>
      <c r="O5137" s="4">
        <f t="shared" si="6"/>
        <v>5760.70529</v>
      </c>
      <c r="P5137" s="2">
        <v>0.0</v>
      </c>
      <c r="Q5137" s="3">
        <f t="shared" si="7"/>
        <v>0</v>
      </c>
      <c r="R5137" s="2">
        <v>0.0</v>
      </c>
      <c r="S5137" s="5">
        <f t="shared" si="8"/>
        <v>0</v>
      </c>
    </row>
    <row r="5138">
      <c r="A5138" s="2" t="s">
        <v>5140</v>
      </c>
      <c r="B5138" s="2">
        <v>215.0</v>
      </c>
      <c r="C5138" s="2">
        <v>2461.0</v>
      </c>
      <c r="D5138" s="2">
        <v>804.0</v>
      </c>
      <c r="E5138" s="3">
        <f t="shared" si="1"/>
        <v>0.357969724</v>
      </c>
      <c r="F5138" s="2">
        <v>276.0</v>
      </c>
      <c r="G5138" s="3">
        <f t="shared" si="2"/>
        <v>0.1228851291</v>
      </c>
      <c r="H5138" s="2">
        <v>487.0</v>
      </c>
      <c r="I5138" s="3">
        <f t="shared" si="3"/>
        <v>0.2168299199</v>
      </c>
      <c r="J5138" s="2">
        <v>347.0</v>
      </c>
      <c r="K5138" s="3">
        <f t="shared" si="4"/>
        <v>0.1544968833</v>
      </c>
      <c r="L5138" s="2">
        <v>330.0</v>
      </c>
      <c r="M5138" s="3">
        <f t="shared" si="5"/>
        <v>0.6776180698</v>
      </c>
      <c r="N5138" s="2">
        <v>2540100.0</v>
      </c>
      <c r="O5138" s="4">
        <f t="shared" si="6"/>
        <v>5215.811088</v>
      </c>
      <c r="P5138" s="2">
        <v>0.0</v>
      </c>
      <c r="Q5138" s="3">
        <f t="shared" si="7"/>
        <v>0</v>
      </c>
      <c r="R5138" s="2">
        <v>0.0</v>
      </c>
      <c r="S5138" s="5">
        <f t="shared" si="8"/>
        <v>0</v>
      </c>
    </row>
    <row r="5139">
      <c r="A5139" s="2" t="s">
        <v>5141</v>
      </c>
      <c r="B5139" s="2">
        <v>700.0</v>
      </c>
      <c r="C5139" s="2">
        <v>8138.0</v>
      </c>
      <c r="D5139" s="2">
        <v>2811.0</v>
      </c>
      <c r="E5139" s="3">
        <f t="shared" si="1"/>
        <v>0.3779241732</v>
      </c>
      <c r="F5139" s="2">
        <v>914.0</v>
      </c>
      <c r="G5139" s="3">
        <f t="shared" si="2"/>
        <v>0.1228824953</v>
      </c>
      <c r="H5139" s="2">
        <v>1600.0</v>
      </c>
      <c r="I5139" s="3">
        <f t="shared" si="3"/>
        <v>0.2151115891</v>
      </c>
      <c r="J5139" s="2">
        <v>1365.0</v>
      </c>
      <c r="K5139" s="3">
        <f t="shared" si="4"/>
        <v>0.1835170745</v>
      </c>
      <c r="L5139" s="2">
        <v>906.0</v>
      </c>
      <c r="M5139" s="3">
        <f t="shared" si="5"/>
        <v>0.56625</v>
      </c>
      <c r="N5139" s="2">
        <v>8757900.0</v>
      </c>
      <c r="O5139" s="4">
        <f t="shared" si="6"/>
        <v>5473.6875</v>
      </c>
      <c r="P5139" s="2">
        <v>1.0</v>
      </c>
      <c r="Q5139" s="3">
        <f t="shared" si="7"/>
        <v>0.001428571429</v>
      </c>
      <c r="R5139" s="2">
        <v>690.0</v>
      </c>
      <c r="S5139" s="5">
        <f t="shared" si="8"/>
        <v>0.9857142857</v>
      </c>
    </row>
    <row r="5140">
      <c r="A5140" s="2" t="s">
        <v>5142</v>
      </c>
      <c r="B5140" s="2">
        <v>859.0</v>
      </c>
      <c r="C5140" s="2">
        <v>9909.0</v>
      </c>
      <c r="D5140" s="2">
        <v>2902.0</v>
      </c>
      <c r="E5140" s="3">
        <f t="shared" si="1"/>
        <v>0.3206629834</v>
      </c>
      <c r="F5140" s="2">
        <v>1112.0</v>
      </c>
      <c r="G5140" s="3">
        <f t="shared" si="2"/>
        <v>0.1228729282</v>
      </c>
      <c r="H5140" s="2">
        <v>1935.0</v>
      </c>
      <c r="I5140" s="3">
        <f t="shared" si="3"/>
        <v>0.2138121547</v>
      </c>
      <c r="J5140" s="2">
        <v>1715.0</v>
      </c>
      <c r="K5140" s="3">
        <f t="shared" si="4"/>
        <v>0.1895027624</v>
      </c>
      <c r="L5140" s="2">
        <v>1146.0</v>
      </c>
      <c r="M5140" s="3">
        <f t="shared" si="5"/>
        <v>0.592248062</v>
      </c>
      <c r="N5140" s="2">
        <v>1.11004E7</v>
      </c>
      <c r="O5140" s="4">
        <f t="shared" si="6"/>
        <v>5736.640827</v>
      </c>
      <c r="P5140" s="2">
        <v>1.0</v>
      </c>
      <c r="Q5140" s="3">
        <f t="shared" si="7"/>
        <v>0.001164144354</v>
      </c>
      <c r="R5140" s="2">
        <v>0.0</v>
      </c>
      <c r="S5140" s="5">
        <f t="shared" si="8"/>
        <v>0</v>
      </c>
    </row>
    <row r="5141">
      <c r="A5141" s="2" t="s">
        <v>5143</v>
      </c>
      <c r="B5141" s="2">
        <v>218.0</v>
      </c>
      <c r="C5141" s="2">
        <v>2627.0</v>
      </c>
      <c r="D5141" s="2">
        <v>872.0</v>
      </c>
      <c r="E5141" s="3">
        <f t="shared" si="1"/>
        <v>0.3619759236</v>
      </c>
      <c r="F5141" s="2">
        <v>296.0</v>
      </c>
      <c r="G5141" s="3">
        <f t="shared" si="2"/>
        <v>0.1228725612</v>
      </c>
      <c r="H5141" s="2">
        <v>478.0</v>
      </c>
      <c r="I5141" s="3">
        <f t="shared" si="3"/>
        <v>0.198422582</v>
      </c>
      <c r="J5141" s="2">
        <v>359.0</v>
      </c>
      <c r="K5141" s="3">
        <f t="shared" si="4"/>
        <v>0.1490244915</v>
      </c>
      <c r="L5141" s="2">
        <v>290.0</v>
      </c>
      <c r="M5141" s="3">
        <f t="shared" si="5"/>
        <v>0.6066945607</v>
      </c>
      <c r="N5141" s="2">
        <v>2599600.0</v>
      </c>
      <c r="O5141" s="4">
        <f t="shared" si="6"/>
        <v>5438.493724</v>
      </c>
      <c r="P5141" s="2">
        <v>1.0</v>
      </c>
      <c r="Q5141" s="3">
        <f t="shared" si="7"/>
        <v>0.004587155963</v>
      </c>
      <c r="R5141" s="2">
        <v>14.0</v>
      </c>
      <c r="S5141" s="5">
        <f t="shared" si="8"/>
        <v>0.06422018349</v>
      </c>
    </row>
    <row r="5142">
      <c r="A5142" s="2" t="s">
        <v>5144</v>
      </c>
      <c r="B5142" s="2">
        <v>524.0</v>
      </c>
      <c r="C5142" s="2">
        <v>6099.0</v>
      </c>
      <c r="D5142" s="2">
        <v>2082.0</v>
      </c>
      <c r="E5142" s="3">
        <f t="shared" si="1"/>
        <v>0.3734529148</v>
      </c>
      <c r="F5142" s="2">
        <v>685.0</v>
      </c>
      <c r="G5142" s="3">
        <f t="shared" si="2"/>
        <v>0.1228699552</v>
      </c>
      <c r="H5142" s="2">
        <v>1246.0</v>
      </c>
      <c r="I5142" s="3">
        <f t="shared" si="3"/>
        <v>0.2234977578</v>
      </c>
      <c r="J5142" s="2">
        <v>926.0</v>
      </c>
      <c r="K5142" s="3">
        <f t="shared" si="4"/>
        <v>0.1660986547</v>
      </c>
      <c r="L5142" s="2">
        <v>786.0</v>
      </c>
      <c r="M5142" s="3">
        <f t="shared" si="5"/>
        <v>0.6308186196</v>
      </c>
      <c r="N5142" s="2">
        <v>6734700.0</v>
      </c>
      <c r="O5142" s="4">
        <f t="shared" si="6"/>
        <v>5405.05618</v>
      </c>
      <c r="P5142" s="2">
        <v>1.0</v>
      </c>
      <c r="Q5142" s="3">
        <f t="shared" si="7"/>
        <v>0.001908396947</v>
      </c>
      <c r="R5142" s="2">
        <v>524.0</v>
      </c>
      <c r="S5142" s="5">
        <f t="shared" si="8"/>
        <v>1</v>
      </c>
    </row>
    <row r="5143">
      <c r="A5143" s="2" t="s">
        <v>5145</v>
      </c>
      <c r="B5143" s="2">
        <v>1050.0</v>
      </c>
      <c r="C5143" s="2">
        <v>12550.0</v>
      </c>
      <c r="D5143" s="2">
        <v>3141.0</v>
      </c>
      <c r="E5143" s="3">
        <f t="shared" si="1"/>
        <v>0.2731304348</v>
      </c>
      <c r="F5143" s="2">
        <v>1413.0</v>
      </c>
      <c r="G5143" s="3">
        <f t="shared" si="2"/>
        <v>0.1228695652</v>
      </c>
      <c r="H5143" s="2">
        <v>2251.0</v>
      </c>
      <c r="I5143" s="3">
        <f t="shared" si="3"/>
        <v>0.1957391304</v>
      </c>
      <c r="J5143" s="2">
        <v>1783.0</v>
      </c>
      <c r="K5143" s="3">
        <f t="shared" si="4"/>
        <v>0.1550434783</v>
      </c>
      <c r="L5143" s="2">
        <v>1337.0</v>
      </c>
      <c r="M5143" s="3">
        <f t="shared" si="5"/>
        <v>0.5939582408</v>
      </c>
      <c r="N5143" s="2">
        <v>1.31562E7</v>
      </c>
      <c r="O5143" s="4">
        <f t="shared" si="6"/>
        <v>5844.602399</v>
      </c>
      <c r="P5143" s="2">
        <v>3.0</v>
      </c>
      <c r="Q5143" s="3">
        <f t="shared" si="7"/>
        <v>0.002857142857</v>
      </c>
      <c r="R5143" s="2">
        <v>704.0</v>
      </c>
      <c r="S5143" s="5">
        <f t="shared" si="8"/>
        <v>0.6704761905</v>
      </c>
    </row>
    <row r="5144">
      <c r="A5144" s="2" t="s">
        <v>5146</v>
      </c>
      <c r="B5144" s="2">
        <v>140.0</v>
      </c>
      <c r="C5144" s="2">
        <v>1662.0</v>
      </c>
      <c r="D5144" s="2">
        <v>543.0</v>
      </c>
      <c r="E5144" s="3">
        <f t="shared" si="1"/>
        <v>0.3567674113</v>
      </c>
      <c r="F5144" s="2">
        <v>187.0</v>
      </c>
      <c r="G5144" s="3">
        <f t="shared" si="2"/>
        <v>0.1228646518</v>
      </c>
      <c r="H5144" s="2">
        <v>302.0</v>
      </c>
      <c r="I5144" s="3">
        <f t="shared" si="3"/>
        <v>0.1984231275</v>
      </c>
      <c r="J5144" s="2">
        <v>277.0</v>
      </c>
      <c r="K5144" s="3">
        <f t="shared" si="4"/>
        <v>0.1819973719</v>
      </c>
      <c r="L5144" s="2">
        <v>170.0</v>
      </c>
      <c r="M5144" s="3">
        <f t="shared" si="5"/>
        <v>0.5629139073</v>
      </c>
      <c r="N5144" s="2">
        <v>1820200.0</v>
      </c>
      <c r="O5144" s="4">
        <f t="shared" si="6"/>
        <v>6027.152318</v>
      </c>
      <c r="P5144" s="2">
        <v>1.0</v>
      </c>
      <c r="Q5144" s="3">
        <f t="shared" si="7"/>
        <v>0.007142857143</v>
      </c>
      <c r="R5144" s="2">
        <v>140.0</v>
      </c>
      <c r="S5144" s="5">
        <f t="shared" si="8"/>
        <v>1</v>
      </c>
    </row>
    <row r="5145">
      <c r="A5145" s="2" t="s">
        <v>5147</v>
      </c>
      <c r="B5145" s="2">
        <v>263.0</v>
      </c>
      <c r="C5145" s="2">
        <v>3006.0</v>
      </c>
      <c r="D5145" s="2">
        <v>909.0</v>
      </c>
      <c r="E5145" s="3">
        <f t="shared" si="1"/>
        <v>0.3313889902</v>
      </c>
      <c r="F5145" s="2">
        <v>337.0</v>
      </c>
      <c r="G5145" s="3">
        <f t="shared" si="2"/>
        <v>0.1228581845</v>
      </c>
      <c r="H5145" s="2">
        <v>578.0</v>
      </c>
      <c r="I5145" s="3">
        <f t="shared" si="3"/>
        <v>0.2107181918</v>
      </c>
      <c r="J5145" s="2">
        <v>480.0</v>
      </c>
      <c r="K5145" s="3">
        <f t="shared" si="4"/>
        <v>0.1749908859</v>
      </c>
      <c r="L5145" s="2">
        <v>341.0</v>
      </c>
      <c r="M5145" s="3">
        <f t="shared" si="5"/>
        <v>0.5899653979</v>
      </c>
      <c r="N5145" s="2">
        <v>3277500.0</v>
      </c>
      <c r="O5145" s="4">
        <f t="shared" si="6"/>
        <v>5670.415225</v>
      </c>
      <c r="P5145" s="2">
        <v>0.0</v>
      </c>
      <c r="Q5145" s="3">
        <f t="shared" si="7"/>
        <v>0</v>
      </c>
      <c r="R5145" s="2">
        <v>263.0</v>
      </c>
      <c r="S5145" s="5">
        <f t="shared" si="8"/>
        <v>1</v>
      </c>
    </row>
    <row r="5146">
      <c r="A5146" s="2" t="s">
        <v>5148</v>
      </c>
      <c r="B5146" s="2">
        <v>860.0</v>
      </c>
      <c r="C5146" s="2">
        <v>10066.0</v>
      </c>
      <c r="D5146" s="2">
        <v>3601.0</v>
      </c>
      <c r="E5146" s="3">
        <f t="shared" si="1"/>
        <v>0.3911579405</v>
      </c>
      <c r="F5146" s="2">
        <v>1131.0</v>
      </c>
      <c r="G5146" s="3">
        <f t="shared" si="2"/>
        <v>0.12285466</v>
      </c>
      <c r="H5146" s="2">
        <v>1961.0</v>
      </c>
      <c r="I5146" s="3">
        <f t="shared" si="3"/>
        <v>0.2130132522</v>
      </c>
      <c r="J5146" s="2">
        <v>1438.0</v>
      </c>
      <c r="K5146" s="3">
        <f t="shared" si="4"/>
        <v>0.1562024766</v>
      </c>
      <c r="L5146" s="2">
        <v>1170.0</v>
      </c>
      <c r="M5146" s="3">
        <f t="shared" si="5"/>
        <v>0.5966343702</v>
      </c>
      <c r="N5146" s="2">
        <v>1.04899E7</v>
      </c>
      <c r="O5146" s="4">
        <f t="shared" si="6"/>
        <v>5349.260581</v>
      </c>
      <c r="P5146" s="2">
        <v>2.0</v>
      </c>
      <c r="Q5146" s="3">
        <f t="shared" si="7"/>
        <v>0.002325581395</v>
      </c>
      <c r="R5146" s="2">
        <v>860.0</v>
      </c>
      <c r="S5146" s="5">
        <f t="shared" si="8"/>
        <v>1</v>
      </c>
    </row>
    <row r="5147">
      <c r="A5147" s="2" t="s">
        <v>5149</v>
      </c>
      <c r="B5147" s="2">
        <v>44.0</v>
      </c>
      <c r="C5147" s="2">
        <v>508.0</v>
      </c>
      <c r="D5147" s="2">
        <v>159.0</v>
      </c>
      <c r="E5147" s="3">
        <f t="shared" si="1"/>
        <v>0.3426724138</v>
      </c>
      <c r="F5147" s="2">
        <v>57.0</v>
      </c>
      <c r="G5147" s="3">
        <f t="shared" si="2"/>
        <v>0.1228448276</v>
      </c>
      <c r="H5147" s="2">
        <v>100.0</v>
      </c>
      <c r="I5147" s="3">
        <f t="shared" si="3"/>
        <v>0.2155172414</v>
      </c>
      <c r="J5147" s="2">
        <v>67.0</v>
      </c>
      <c r="K5147" s="3">
        <f t="shared" si="4"/>
        <v>0.1443965517</v>
      </c>
      <c r="L5147" s="2">
        <v>50.0</v>
      </c>
      <c r="M5147" s="3">
        <f t="shared" si="5"/>
        <v>0.5</v>
      </c>
      <c r="N5147" s="2">
        <v>574100.0</v>
      </c>
      <c r="O5147" s="4">
        <f t="shared" si="6"/>
        <v>5741</v>
      </c>
      <c r="P5147" s="2">
        <v>0.0</v>
      </c>
      <c r="Q5147" s="3">
        <f t="shared" si="7"/>
        <v>0</v>
      </c>
      <c r="R5147" s="2">
        <v>44.0</v>
      </c>
      <c r="S5147" s="5">
        <f t="shared" si="8"/>
        <v>1</v>
      </c>
    </row>
    <row r="5148">
      <c r="A5148" s="2" t="s">
        <v>5150</v>
      </c>
      <c r="B5148" s="2">
        <v>175.0</v>
      </c>
      <c r="C5148" s="2">
        <v>2088.0</v>
      </c>
      <c r="D5148" s="2">
        <v>692.0</v>
      </c>
      <c r="E5148" s="3">
        <f t="shared" si="1"/>
        <v>0.361735494</v>
      </c>
      <c r="F5148" s="2">
        <v>235.0</v>
      </c>
      <c r="G5148" s="3">
        <f t="shared" si="2"/>
        <v>0.122843701</v>
      </c>
      <c r="H5148" s="2">
        <v>386.0</v>
      </c>
      <c r="I5148" s="3">
        <f t="shared" si="3"/>
        <v>0.2017773131</v>
      </c>
      <c r="J5148" s="2">
        <v>348.0</v>
      </c>
      <c r="K5148" s="3">
        <f t="shared" si="4"/>
        <v>0.1819132253</v>
      </c>
      <c r="L5148" s="2">
        <v>209.0</v>
      </c>
      <c r="M5148" s="3">
        <f t="shared" si="5"/>
        <v>0.5414507772</v>
      </c>
      <c r="N5148" s="2">
        <v>2308600.0</v>
      </c>
      <c r="O5148" s="4">
        <f t="shared" si="6"/>
        <v>5980.829016</v>
      </c>
      <c r="P5148" s="2">
        <v>1.0</v>
      </c>
      <c r="Q5148" s="3">
        <f t="shared" si="7"/>
        <v>0.005714285714</v>
      </c>
      <c r="R5148" s="2">
        <v>175.0</v>
      </c>
      <c r="S5148" s="5">
        <f t="shared" si="8"/>
        <v>1</v>
      </c>
    </row>
    <row r="5149">
      <c r="A5149" s="2" t="s">
        <v>5151</v>
      </c>
      <c r="B5149" s="2">
        <v>415.0</v>
      </c>
      <c r="C5149" s="2">
        <v>4819.0</v>
      </c>
      <c r="D5149" s="2">
        <v>1597.0</v>
      </c>
      <c r="E5149" s="3">
        <f t="shared" si="1"/>
        <v>0.3626248865</v>
      </c>
      <c r="F5149" s="2">
        <v>541.0</v>
      </c>
      <c r="G5149" s="3">
        <f t="shared" si="2"/>
        <v>0.1228428701</v>
      </c>
      <c r="H5149" s="2">
        <v>946.0</v>
      </c>
      <c r="I5149" s="3">
        <f t="shared" si="3"/>
        <v>0.214804723</v>
      </c>
      <c r="J5149" s="2">
        <v>656.0</v>
      </c>
      <c r="K5149" s="3">
        <f t="shared" si="4"/>
        <v>0.148955495</v>
      </c>
      <c r="L5149" s="2">
        <v>589.0</v>
      </c>
      <c r="M5149" s="3">
        <f t="shared" si="5"/>
        <v>0.6226215645</v>
      </c>
      <c r="N5149" s="2">
        <v>4983600.0</v>
      </c>
      <c r="O5149" s="4">
        <f t="shared" si="6"/>
        <v>5268.07611</v>
      </c>
      <c r="P5149" s="2">
        <v>1.0</v>
      </c>
      <c r="Q5149" s="3">
        <f t="shared" si="7"/>
        <v>0.002409638554</v>
      </c>
      <c r="R5149" s="2">
        <v>415.0</v>
      </c>
      <c r="S5149" s="5">
        <f t="shared" si="8"/>
        <v>1</v>
      </c>
    </row>
    <row r="5150">
      <c r="A5150" s="2" t="s">
        <v>5152</v>
      </c>
      <c r="B5150" s="2">
        <v>489.0</v>
      </c>
      <c r="C5150" s="2">
        <v>5626.0</v>
      </c>
      <c r="D5150" s="2">
        <v>1675.0</v>
      </c>
      <c r="E5150" s="3">
        <f t="shared" si="1"/>
        <v>0.3260657972</v>
      </c>
      <c r="F5150" s="2">
        <v>631.0</v>
      </c>
      <c r="G5150" s="3">
        <f t="shared" si="2"/>
        <v>0.1228343391</v>
      </c>
      <c r="H5150" s="2">
        <v>1040.0</v>
      </c>
      <c r="I5150" s="3">
        <f t="shared" si="3"/>
        <v>0.2024527935</v>
      </c>
      <c r="J5150" s="2">
        <v>825.0</v>
      </c>
      <c r="K5150" s="3">
        <f t="shared" si="4"/>
        <v>0.1605995717</v>
      </c>
      <c r="L5150" s="2">
        <v>619.0</v>
      </c>
      <c r="M5150" s="3">
        <f t="shared" si="5"/>
        <v>0.5951923077</v>
      </c>
      <c r="N5150" s="2">
        <v>6027600.0</v>
      </c>
      <c r="O5150" s="4">
        <f t="shared" si="6"/>
        <v>5795.769231</v>
      </c>
      <c r="P5150" s="2">
        <v>2.0</v>
      </c>
      <c r="Q5150" s="3">
        <f t="shared" si="7"/>
        <v>0.00408997955</v>
      </c>
      <c r="R5150" s="2">
        <v>489.0</v>
      </c>
      <c r="S5150" s="5">
        <f t="shared" si="8"/>
        <v>1</v>
      </c>
    </row>
    <row r="5151">
      <c r="A5151" s="2" t="s">
        <v>5153</v>
      </c>
      <c r="B5151" s="2">
        <v>11160.0</v>
      </c>
      <c r="C5151" s="2">
        <v>130935.0</v>
      </c>
      <c r="D5151" s="2">
        <v>40519.0</v>
      </c>
      <c r="E5151" s="3">
        <f t="shared" si="1"/>
        <v>0.338292632</v>
      </c>
      <c r="F5151" s="2">
        <v>14711.0</v>
      </c>
      <c r="G5151" s="3">
        <f t="shared" si="2"/>
        <v>0.1228219578</v>
      </c>
      <c r="H5151" s="2">
        <v>25273.0</v>
      </c>
      <c r="I5151" s="3">
        <f t="shared" si="3"/>
        <v>0.2110039658</v>
      </c>
      <c r="J5151" s="2">
        <v>21060.0</v>
      </c>
      <c r="K5151" s="3">
        <f t="shared" si="4"/>
        <v>0.1758296807</v>
      </c>
      <c r="L5151" s="2">
        <v>15172.0</v>
      </c>
      <c r="M5151" s="3">
        <f t="shared" si="5"/>
        <v>0.6003244569</v>
      </c>
      <c r="N5151" s="2">
        <v>1.475656E8</v>
      </c>
      <c r="O5151" s="4">
        <f t="shared" si="6"/>
        <v>5838.863609</v>
      </c>
      <c r="P5151" s="2">
        <v>28.0</v>
      </c>
      <c r="Q5151" s="3">
        <f t="shared" si="7"/>
        <v>0.002508960573</v>
      </c>
      <c r="R5151" s="2">
        <v>11160.0</v>
      </c>
      <c r="S5151" s="5">
        <f t="shared" si="8"/>
        <v>1</v>
      </c>
    </row>
    <row r="5152">
      <c r="A5152" s="2" t="s">
        <v>5154</v>
      </c>
      <c r="B5152" s="2">
        <v>2003.0</v>
      </c>
      <c r="C5152" s="2">
        <v>23579.0</v>
      </c>
      <c r="D5152" s="2">
        <v>7906.0</v>
      </c>
      <c r="E5152" s="3">
        <f t="shared" si="1"/>
        <v>0.3664256581</v>
      </c>
      <c r="F5152" s="2">
        <v>2650.0</v>
      </c>
      <c r="G5152" s="3">
        <f t="shared" si="2"/>
        <v>0.1228216537</v>
      </c>
      <c r="H5152" s="2">
        <v>4624.0</v>
      </c>
      <c r="I5152" s="3">
        <f t="shared" si="3"/>
        <v>0.2143121987</v>
      </c>
      <c r="J5152" s="2">
        <v>3864.0</v>
      </c>
      <c r="K5152" s="3">
        <f t="shared" si="4"/>
        <v>0.1790878754</v>
      </c>
      <c r="L5152" s="2">
        <v>2773.0</v>
      </c>
      <c r="M5152" s="3">
        <f t="shared" si="5"/>
        <v>0.5996972318</v>
      </c>
      <c r="N5152" s="2">
        <v>2.64233E7</v>
      </c>
      <c r="O5152" s="4">
        <f t="shared" si="6"/>
        <v>5714.381488</v>
      </c>
      <c r="P5152" s="2">
        <v>1.0</v>
      </c>
      <c r="Q5152" s="3">
        <f t="shared" si="7"/>
        <v>0.0004992511233</v>
      </c>
      <c r="R5152" s="2">
        <v>2003.0</v>
      </c>
      <c r="S5152" s="5">
        <f t="shared" si="8"/>
        <v>1</v>
      </c>
    </row>
    <row r="5153">
      <c r="A5153" s="2" t="s">
        <v>5155</v>
      </c>
      <c r="B5153" s="2">
        <v>235.0</v>
      </c>
      <c r="C5153" s="2">
        <v>2816.0</v>
      </c>
      <c r="D5153" s="2">
        <v>804.0</v>
      </c>
      <c r="E5153" s="3">
        <f t="shared" si="1"/>
        <v>0.3115071678</v>
      </c>
      <c r="F5153" s="2">
        <v>317.0</v>
      </c>
      <c r="G5153" s="3">
        <f t="shared" si="2"/>
        <v>0.1228206122</v>
      </c>
      <c r="H5153" s="2">
        <v>572.0</v>
      </c>
      <c r="I5153" s="3">
        <f t="shared" si="3"/>
        <v>0.2216195273</v>
      </c>
      <c r="J5153" s="2">
        <v>479.0</v>
      </c>
      <c r="K5153" s="3">
        <f t="shared" si="4"/>
        <v>0.1855869818</v>
      </c>
      <c r="L5153" s="2">
        <v>336.0</v>
      </c>
      <c r="M5153" s="3">
        <f t="shared" si="5"/>
        <v>0.5874125874</v>
      </c>
      <c r="N5153" s="2">
        <v>3287300.0</v>
      </c>
      <c r="O5153" s="4">
        <f t="shared" si="6"/>
        <v>5747.027972</v>
      </c>
      <c r="P5153" s="2">
        <v>0.0</v>
      </c>
      <c r="Q5153" s="3">
        <f t="shared" si="7"/>
        <v>0</v>
      </c>
      <c r="R5153" s="2">
        <v>235.0</v>
      </c>
      <c r="S5153" s="5">
        <f t="shared" si="8"/>
        <v>1</v>
      </c>
    </row>
    <row r="5154">
      <c r="A5154" s="2" t="s">
        <v>5156</v>
      </c>
      <c r="B5154" s="2">
        <v>479.0</v>
      </c>
      <c r="C5154" s="2">
        <v>5617.0</v>
      </c>
      <c r="D5154" s="2">
        <v>2031.0</v>
      </c>
      <c r="E5154" s="3">
        <f t="shared" si="1"/>
        <v>0.3952899961</v>
      </c>
      <c r="F5154" s="2">
        <v>631.0</v>
      </c>
      <c r="G5154" s="3">
        <f t="shared" si="2"/>
        <v>0.1228104321</v>
      </c>
      <c r="H5154" s="2">
        <v>1102.0</v>
      </c>
      <c r="I5154" s="3">
        <f t="shared" si="3"/>
        <v>0.2144803425</v>
      </c>
      <c r="J5154" s="2">
        <v>846.0</v>
      </c>
      <c r="K5154" s="3">
        <f t="shared" si="4"/>
        <v>0.164655508</v>
      </c>
      <c r="L5154" s="2">
        <v>692.0</v>
      </c>
      <c r="M5154" s="3">
        <f t="shared" si="5"/>
        <v>0.6279491833</v>
      </c>
      <c r="N5154" s="2">
        <v>6009000.0</v>
      </c>
      <c r="O5154" s="4">
        <f t="shared" si="6"/>
        <v>5452.813067</v>
      </c>
      <c r="P5154" s="2">
        <v>1.0</v>
      </c>
      <c r="Q5154" s="3">
        <f t="shared" si="7"/>
        <v>0.002087682672</v>
      </c>
      <c r="R5154" s="2">
        <v>472.0</v>
      </c>
      <c r="S5154" s="5">
        <f t="shared" si="8"/>
        <v>0.9853862213</v>
      </c>
    </row>
    <row r="5155">
      <c r="A5155" s="2" t="s">
        <v>5157</v>
      </c>
      <c r="B5155" s="2">
        <v>45.0</v>
      </c>
      <c r="C5155" s="2">
        <v>501.0</v>
      </c>
      <c r="D5155" s="2">
        <v>186.0</v>
      </c>
      <c r="E5155" s="3">
        <f t="shared" si="1"/>
        <v>0.4078947368</v>
      </c>
      <c r="F5155" s="2">
        <v>56.0</v>
      </c>
      <c r="G5155" s="3">
        <f t="shared" si="2"/>
        <v>0.1228070175</v>
      </c>
      <c r="H5155" s="2">
        <v>85.0</v>
      </c>
      <c r="I5155" s="3">
        <f t="shared" si="3"/>
        <v>0.1864035088</v>
      </c>
      <c r="J5155" s="2">
        <v>82.0</v>
      </c>
      <c r="K5155" s="3">
        <f t="shared" si="4"/>
        <v>0.1798245614</v>
      </c>
      <c r="L5155" s="2">
        <v>53.0</v>
      </c>
      <c r="M5155" s="3">
        <f t="shared" si="5"/>
        <v>0.6235294118</v>
      </c>
      <c r="N5155" s="2">
        <v>427300.0</v>
      </c>
      <c r="O5155" s="4">
        <f t="shared" si="6"/>
        <v>5027.058824</v>
      </c>
      <c r="P5155" s="2">
        <v>0.0</v>
      </c>
      <c r="Q5155" s="3">
        <f t="shared" si="7"/>
        <v>0</v>
      </c>
      <c r="R5155" s="2">
        <v>45.0</v>
      </c>
      <c r="S5155" s="5">
        <f t="shared" si="8"/>
        <v>1</v>
      </c>
    </row>
    <row r="5156">
      <c r="A5156" s="2" t="s">
        <v>5158</v>
      </c>
      <c r="B5156" s="2">
        <v>77.0</v>
      </c>
      <c r="C5156" s="2">
        <v>875.0</v>
      </c>
      <c r="D5156" s="2">
        <v>275.0</v>
      </c>
      <c r="E5156" s="3">
        <f t="shared" si="1"/>
        <v>0.3446115288</v>
      </c>
      <c r="F5156" s="2">
        <v>98.0</v>
      </c>
      <c r="G5156" s="3">
        <f t="shared" si="2"/>
        <v>0.1228070175</v>
      </c>
      <c r="H5156" s="2">
        <v>137.0</v>
      </c>
      <c r="I5156" s="3">
        <f t="shared" si="3"/>
        <v>0.171679198</v>
      </c>
      <c r="J5156" s="2">
        <v>134.0</v>
      </c>
      <c r="K5156" s="3">
        <f t="shared" si="4"/>
        <v>0.1679197995</v>
      </c>
      <c r="L5156" s="2">
        <v>90.0</v>
      </c>
      <c r="M5156" s="3">
        <f t="shared" si="5"/>
        <v>0.6569343066</v>
      </c>
      <c r="N5156" s="2">
        <v>822100.0</v>
      </c>
      <c r="O5156" s="4">
        <f t="shared" si="6"/>
        <v>6000.729927</v>
      </c>
      <c r="P5156" s="2">
        <v>0.0</v>
      </c>
      <c r="Q5156" s="3">
        <f t="shared" si="7"/>
        <v>0</v>
      </c>
      <c r="R5156" s="2">
        <v>77.0</v>
      </c>
      <c r="S5156" s="5">
        <f t="shared" si="8"/>
        <v>1</v>
      </c>
    </row>
    <row r="5157">
      <c r="A5157" s="2" t="s">
        <v>5159</v>
      </c>
      <c r="B5157" s="2">
        <v>88.0</v>
      </c>
      <c r="C5157" s="2">
        <v>1057.0</v>
      </c>
      <c r="D5157" s="2">
        <v>361.0</v>
      </c>
      <c r="E5157" s="3">
        <f t="shared" si="1"/>
        <v>0.3725490196</v>
      </c>
      <c r="F5157" s="2">
        <v>119.0</v>
      </c>
      <c r="G5157" s="3">
        <f t="shared" si="2"/>
        <v>0.1228070175</v>
      </c>
      <c r="H5157" s="2">
        <v>178.0</v>
      </c>
      <c r="I5157" s="3">
        <f t="shared" si="3"/>
        <v>0.1836945304</v>
      </c>
      <c r="J5157" s="2">
        <v>142.0</v>
      </c>
      <c r="K5157" s="3">
        <f t="shared" si="4"/>
        <v>0.1465428277</v>
      </c>
      <c r="L5157" s="2">
        <v>102.0</v>
      </c>
      <c r="M5157" s="3">
        <f t="shared" si="5"/>
        <v>0.5730337079</v>
      </c>
      <c r="N5157" s="2">
        <v>976700.0</v>
      </c>
      <c r="O5157" s="4">
        <f t="shared" si="6"/>
        <v>5487.078652</v>
      </c>
      <c r="P5157" s="2">
        <v>0.0</v>
      </c>
      <c r="Q5157" s="3">
        <f t="shared" si="7"/>
        <v>0</v>
      </c>
      <c r="R5157" s="2">
        <v>88.0</v>
      </c>
      <c r="S5157" s="5">
        <f t="shared" si="8"/>
        <v>1</v>
      </c>
    </row>
    <row r="5158">
      <c r="A5158" s="2" t="s">
        <v>5160</v>
      </c>
      <c r="B5158" s="2">
        <v>711.0</v>
      </c>
      <c r="C5158" s="2">
        <v>8276.0</v>
      </c>
      <c r="D5158" s="2">
        <v>2675.0</v>
      </c>
      <c r="E5158" s="3">
        <f t="shared" si="1"/>
        <v>0.353602115</v>
      </c>
      <c r="F5158" s="2">
        <v>929.0</v>
      </c>
      <c r="G5158" s="3">
        <f t="shared" si="2"/>
        <v>0.1228023794</v>
      </c>
      <c r="H5158" s="2">
        <v>1551.0</v>
      </c>
      <c r="I5158" s="3">
        <f t="shared" si="3"/>
        <v>0.2050231328</v>
      </c>
      <c r="J5158" s="2">
        <v>1332.0</v>
      </c>
      <c r="K5158" s="3">
        <f t="shared" si="4"/>
        <v>0.1760740251</v>
      </c>
      <c r="L5158" s="2">
        <v>934.0</v>
      </c>
      <c r="M5158" s="3">
        <f t="shared" si="5"/>
        <v>0.6021921341</v>
      </c>
      <c r="N5158" s="2">
        <v>8792400.0</v>
      </c>
      <c r="O5158" s="4">
        <f t="shared" si="6"/>
        <v>5668.858801</v>
      </c>
      <c r="P5158" s="2">
        <v>0.0</v>
      </c>
      <c r="Q5158" s="3">
        <f t="shared" si="7"/>
        <v>0</v>
      </c>
      <c r="R5158" s="2">
        <v>44.0</v>
      </c>
      <c r="S5158" s="5">
        <f t="shared" si="8"/>
        <v>0.06188466948</v>
      </c>
    </row>
    <row r="5159">
      <c r="A5159" s="2" t="s">
        <v>5161</v>
      </c>
      <c r="B5159" s="2">
        <v>1305.0</v>
      </c>
      <c r="C5159" s="2">
        <v>15222.0</v>
      </c>
      <c r="D5159" s="2">
        <v>5057.0</v>
      </c>
      <c r="E5159" s="3">
        <f t="shared" si="1"/>
        <v>0.3633685421</v>
      </c>
      <c r="F5159" s="2">
        <v>1709.0</v>
      </c>
      <c r="G5159" s="3">
        <f t="shared" si="2"/>
        <v>0.1227994539</v>
      </c>
      <c r="H5159" s="2">
        <v>2940.0</v>
      </c>
      <c r="I5159" s="3">
        <f t="shared" si="3"/>
        <v>0.2112524251</v>
      </c>
      <c r="J5159" s="2">
        <v>2404.0</v>
      </c>
      <c r="K5159" s="3">
        <f t="shared" si="4"/>
        <v>0.1727383775</v>
      </c>
      <c r="L5159" s="2">
        <v>1752.0</v>
      </c>
      <c r="M5159" s="3">
        <f t="shared" si="5"/>
        <v>0.5959183673</v>
      </c>
      <c r="N5159" s="2">
        <v>1.63806E7</v>
      </c>
      <c r="O5159" s="4">
        <f t="shared" si="6"/>
        <v>5571.632653</v>
      </c>
      <c r="P5159" s="2">
        <v>5.0</v>
      </c>
      <c r="Q5159" s="3">
        <f t="shared" si="7"/>
        <v>0.003831417625</v>
      </c>
      <c r="R5159" s="2">
        <v>1303.0</v>
      </c>
      <c r="S5159" s="5">
        <f t="shared" si="8"/>
        <v>0.998467433</v>
      </c>
    </row>
    <row r="5160">
      <c r="A5160" s="2" t="s">
        <v>5162</v>
      </c>
      <c r="B5160" s="2">
        <v>346.0</v>
      </c>
      <c r="C5160" s="2">
        <v>4092.0</v>
      </c>
      <c r="D5160" s="2">
        <v>1181.0</v>
      </c>
      <c r="E5160" s="3">
        <f t="shared" si="1"/>
        <v>0.3152696209</v>
      </c>
      <c r="F5160" s="2">
        <v>460.0</v>
      </c>
      <c r="G5160" s="3">
        <f t="shared" si="2"/>
        <v>0.1227976508</v>
      </c>
      <c r="H5160" s="2">
        <v>806.0</v>
      </c>
      <c r="I5160" s="3">
        <f t="shared" si="3"/>
        <v>0.2151628404</v>
      </c>
      <c r="J5160" s="2">
        <v>620.0</v>
      </c>
      <c r="K5160" s="3">
        <f t="shared" si="4"/>
        <v>0.1655098772</v>
      </c>
      <c r="L5160" s="2">
        <v>481.0</v>
      </c>
      <c r="M5160" s="3">
        <f t="shared" si="5"/>
        <v>0.5967741935</v>
      </c>
      <c r="N5160" s="2">
        <v>4532700.0</v>
      </c>
      <c r="O5160" s="4">
        <f t="shared" si="6"/>
        <v>5623.69727</v>
      </c>
      <c r="P5160" s="2">
        <v>2.0</v>
      </c>
      <c r="Q5160" s="3">
        <f t="shared" si="7"/>
        <v>0.005780346821</v>
      </c>
      <c r="R5160" s="2">
        <v>346.0</v>
      </c>
      <c r="S5160" s="5">
        <f t="shared" si="8"/>
        <v>1</v>
      </c>
    </row>
    <row r="5161">
      <c r="A5161" s="2" t="s">
        <v>5163</v>
      </c>
      <c r="B5161" s="2">
        <v>344.0</v>
      </c>
      <c r="C5161" s="2">
        <v>3919.0</v>
      </c>
      <c r="D5161" s="2">
        <v>1194.0</v>
      </c>
      <c r="E5161" s="3">
        <f t="shared" si="1"/>
        <v>0.333986014</v>
      </c>
      <c r="F5161" s="2">
        <v>439.0</v>
      </c>
      <c r="G5161" s="3">
        <f t="shared" si="2"/>
        <v>0.1227972028</v>
      </c>
      <c r="H5161" s="2">
        <v>783.0</v>
      </c>
      <c r="I5161" s="3">
        <f t="shared" si="3"/>
        <v>0.219020979</v>
      </c>
      <c r="J5161" s="2">
        <v>619.0</v>
      </c>
      <c r="K5161" s="3">
        <f t="shared" si="4"/>
        <v>0.1731468531</v>
      </c>
      <c r="L5161" s="2">
        <v>467.0</v>
      </c>
      <c r="M5161" s="3">
        <f t="shared" si="5"/>
        <v>0.5964240102</v>
      </c>
      <c r="N5161" s="2">
        <v>4777700.0</v>
      </c>
      <c r="O5161" s="4">
        <f t="shared" si="6"/>
        <v>6101.787995</v>
      </c>
      <c r="P5161" s="2">
        <v>0.0</v>
      </c>
      <c r="Q5161" s="3">
        <f t="shared" si="7"/>
        <v>0</v>
      </c>
      <c r="R5161" s="2">
        <v>344.0</v>
      </c>
      <c r="S5161" s="5">
        <f t="shared" si="8"/>
        <v>1</v>
      </c>
    </row>
    <row r="5162">
      <c r="A5162" s="2" t="s">
        <v>5164</v>
      </c>
      <c r="B5162" s="2">
        <v>161.0</v>
      </c>
      <c r="C5162" s="2">
        <v>1863.0</v>
      </c>
      <c r="D5162" s="2">
        <v>591.0</v>
      </c>
      <c r="E5162" s="3">
        <f t="shared" si="1"/>
        <v>0.3472385429</v>
      </c>
      <c r="F5162" s="2">
        <v>209.0</v>
      </c>
      <c r="G5162" s="3">
        <f t="shared" si="2"/>
        <v>0.1227967098</v>
      </c>
      <c r="H5162" s="2">
        <v>338.0</v>
      </c>
      <c r="I5162" s="3">
        <f t="shared" si="3"/>
        <v>0.1985898942</v>
      </c>
      <c r="J5162" s="2">
        <v>292.0</v>
      </c>
      <c r="K5162" s="3">
        <f t="shared" si="4"/>
        <v>0.1715628672</v>
      </c>
      <c r="L5162" s="2">
        <v>209.0</v>
      </c>
      <c r="M5162" s="3">
        <f t="shared" si="5"/>
        <v>0.6183431953</v>
      </c>
      <c r="N5162" s="2">
        <v>1899200.0</v>
      </c>
      <c r="O5162" s="4">
        <f t="shared" si="6"/>
        <v>5618.934911</v>
      </c>
      <c r="P5162" s="2">
        <v>0.0</v>
      </c>
      <c r="Q5162" s="3">
        <f t="shared" si="7"/>
        <v>0</v>
      </c>
      <c r="R5162" s="2">
        <v>161.0</v>
      </c>
      <c r="S5162" s="5">
        <f t="shared" si="8"/>
        <v>1</v>
      </c>
    </row>
    <row r="5163">
      <c r="A5163" s="2" t="s">
        <v>5165</v>
      </c>
      <c r="B5163" s="2">
        <v>450.0</v>
      </c>
      <c r="C5163" s="2">
        <v>5271.0</v>
      </c>
      <c r="D5163" s="2">
        <v>1678.0</v>
      </c>
      <c r="E5163" s="3">
        <f t="shared" si="1"/>
        <v>0.3480605683</v>
      </c>
      <c r="F5163" s="2">
        <v>592.0</v>
      </c>
      <c r="G5163" s="3">
        <f t="shared" si="2"/>
        <v>0.1227961004</v>
      </c>
      <c r="H5163" s="2">
        <v>999.0</v>
      </c>
      <c r="I5163" s="3">
        <f t="shared" si="3"/>
        <v>0.2072184194</v>
      </c>
      <c r="J5163" s="2">
        <v>880.0</v>
      </c>
      <c r="K5163" s="3">
        <f t="shared" si="4"/>
        <v>0.1825347438</v>
      </c>
      <c r="L5163" s="2">
        <v>595.0</v>
      </c>
      <c r="M5163" s="3">
        <f t="shared" si="5"/>
        <v>0.5955955956</v>
      </c>
      <c r="N5163" s="2">
        <v>5584600.0</v>
      </c>
      <c r="O5163" s="4">
        <f t="shared" si="6"/>
        <v>5590.19019</v>
      </c>
      <c r="P5163" s="2">
        <v>0.0</v>
      </c>
      <c r="Q5163" s="3">
        <f t="shared" si="7"/>
        <v>0</v>
      </c>
      <c r="R5163" s="2">
        <v>450.0</v>
      </c>
      <c r="S5163" s="5">
        <f t="shared" si="8"/>
        <v>1</v>
      </c>
    </row>
    <row r="5164">
      <c r="A5164" s="2" t="s">
        <v>5166</v>
      </c>
      <c r="B5164" s="2">
        <v>832.0</v>
      </c>
      <c r="C5164" s="2">
        <v>9717.0</v>
      </c>
      <c r="D5164" s="2">
        <v>3198.0</v>
      </c>
      <c r="E5164" s="3">
        <f t="shared" si="1"/>
        <v>0.3599324705</v>
      </c>
      <c r="F5164" s="2">
        <v>1091.0</v>
      </c>
      <c r="G5164" s="3">
        <f t="shared" si="2"/>
        <v>0.1227912212</v>
      </c>
      <c r="H5164" s="2">
        <v>1899.0</v>
      </c>
      <c r="I5164" s="3">
        <f t="shared" si="3"/>
        <v>0.2137310073</v>
      </c>
      <c r="J5164" s="2">
        <v>1376.0</v>
      </c>
      <c r="K5164" s="3">
        <f t="shared" si="4"/>
        <v>0.1548677546</v>
      </c>
      <c r="L5164" s="2">
        <v>1142.0</v>
      </c>
      <c r="M5164" s="3">
        <f t="shared" si="5"/>
        <v>0.6013691417</v>
      </c>
      <c r="N5164" s="2">
        <v>1.01503E7</v>
      </c>
      <c r="O5164" s="4">
        <f t="shared" si="6"/>
        <v>5345.076356</v>
      </c>
      <c r="P5164" s="2">
        <v>0.0</v>
      </c>
      <c r="Q5164" s="3">
        <f t="shared" si="7"/>
        <v>0</v>
      </c>
      <c r="R5164" s="2">
        <v>832.0</v>
      </c>
      <c r="S5164" s="5">
        <f t="shared" si="8"/>
        <v>1</v>
      </c>
    </row>
    <row r="5165">
      <c r="A5165" s="2" t="s">
        <v>5167</v>
      </c>
      <c r="B5165" s="2">
        <v>98.0</v>
      </c>
      <c r="C5165" s="2">
        <v>1173.0</v>
      </c>
      <c r="D5165" s="2">
        <v>387.0</v>
      </c>
      <c r="E5165" s="3">
        <f t="shared" si="1"/>
        <v>0.36</v>
      </c>
      <c r="F5165" s="2">
        <v>132.0</v>
      </c>
      <c r="G5165" s="3">
        <f t="shared" si="2"/>
        <v>0.1227906977</v>
      </c>
      <c r="H5165" s="2">
        <v>232.0</v>
      </c>
      <c r="I5165" s="3">
        <f t="shared" si="3"/>
        <v>0.2158139535</v>
      </c>
      <c r="J5165" s="2">
        <v>130.0</v>
      </c>
      <c r="K5165" s="3">
        <f t="shared" si="4"/>
        <v>0.1209302326</v>
      </c>
      <c r="L5165" s="2">
        <v>140.0</v>
      </c>
      <c r="M5165" s="3">
        <f t="shared" si="5"/>
        <v>0.6034482759</v>
      </c>
      <c r="N5165" s="2">
        <v>1210400.0</v>
      </c>
      <c r="O5165" s="4">
        <f t="shared" si="6"/>
        <v>5217.241379</v>
      </c>
      <c r="P5165" s="2">
        <v>0.0</v>
      </c>
      <c r="Q5165" s="3">
        <f t="shared" si="7"/>
        <v>0</v>
      </c>
      <c r="R5165" s="2">
        <v>98.0</v>
      </c>
      <c r="S5165" s="5">
        <f t="shared" si="8"/>
        <v>1</v>
      </c>
    </row>
    <row r="5166">
      <c r="A5166" s="2" t="s">
        <v>5168</v>
      </c>
      <c r="B5166" s="2">
        <v>2187.0</v>
      </c>
      <c r="C5166" s="2">
        <v>25879.0</v>
      </c>
      <c r="D5166" s="2">
        <v>8970.0</v>
      </c>
      <c r="E5166" s="3">
        <f t="shared" si="1"/>
        <v>0.3786088131</v>
      </c>
      <c r="F5166" s="2">
        <v>2909.0</v>
      </c>
      <c r="G5166" s="3">
        <f t="shared" si="2"/>
        <v>0.1227840621</v>
      </c>
      <c r="H5166" s="2">
        <v>5078.0</v>
      </c>
      <c r="I5166" s="3">
        <f t="shared" si="3"/>
        <v>0.2143339524</v>
      </c>
      <c r="J5166" s="2">
        <v>4289.0</v>
      </c>
      <c r="K5166" s="3">
        <f t="shared" si="4"/>
        <v>0.1810315718</v>
      </c>
      <c r="L5166" s="2">
        <v>3036.0</v>
      </c>
      <c r="M5166" s="3">
        <f t="shared" si="5"/>
        <v>0.5978731784</v>
      </c>
      <c r="N5166" s="2">
        <v>2.8485E7</v>
      </c>
      <c r="O5166" s="4">
        <f t="shared" si="6"/>
        <v>5609.491926</v>
      </c>
      <c r="P5166" s="2">
        <v>3.0</v>
      </c>
      <c r="Q5166" s="3">
        <f t="shared" si="7"/>
        <v>0.001371742112</v>
      </c>
      <c r="R5166" s="2">
        <v>2187.0</v>
      </c>
      <c r="S5166" s="5">
        <f t="shared" si="8"/>
        <v>1</v>
      </c>
    </row>
    <row r="5167">
      <c r="A5167" s="2" t="s">
        <v>5169</v>
      </c>
      <c r="B5167" s="2">
        <v>323.0</v>
      </c>
      <c r="C5167" s="2">
        <v>3817.0</v>
      </c>
      <c r="D5167" s="2">
        <v>1143.0</v>
      </c>
      <c r="E5167" s="3">
        <f t="shared" si="1"/>
        <v>0.3271322267</v>
      </c>
      <c r="F5167" s="2">
        <v>429.0</v>
      </c>
      <c r="G5167" s="3">
        <f t="shared" si="2"/>
        <v>0.1227819118</v>
      </c>
      <c r="H5167" s="2">
        <v>756.0</v>
      </c>
      <c r="I5167" s="3">
        <f t="shared" si="3"/>
        <v>0.2163709216</v>
      </c>
      <c r="J5167" s="2">
        <v>521.0</v>
      </c>
      <c r="K5167" s="3">
        <f t="shared" si="4"/>
        <v>0.1491127647</v>
      </c>
      <c r="L5167" s="2">
        <v>462.0</v>
      </c>
      <c r="M5167" s="3">
        <f t="shared" si="5"/>
        <v>0.6111111111</v>
      </c>
      <c r="N5167" s="2">
        <v>3896900.0</v>
      </c>
      <c r="O5167" s="4">
        <f t="shared" si="6"/>
        <v>5154.62963</v>
      </c>
      <c r="P5167" s="2">
        <v>0.0</v>
      </c>
      <c r="Q5167" s="3">
        <f t="shared" si="7"/>
        <v>0</v>
      </c>
      <c r="R5167" s="2">
        <v>0.0</v>
      </c>
      <c r="S5167" s="5">
        <f t="shared" si="8"/>
        <v>0</v>
      </c>
    </row>
    <row r="5168">
      <c r="A5168" s="2" t="s">
        <v>5170</v>
      </c>
      <c r="B5168" s="2">
        <v>353.0</v>
      </c>
      <c r="C5168" s="2">
        <v>4108.0</v>
      </c>
      <c r="D5168" s="2">
        <v>1304.0</v>
      </c>
      <c r="E5168" s="3">
        <f t="shared" si="1"/>
        <v>0.3472703063</v>
      </c>
      <c r="F5168" s="2">
        <v>461.0</v>
      </c>
      <c r="G5168" s="3">
        <f t="shared" si="2"/>
        <v>0.1227696405</v>
      </c>
      <c r="H5168" s="2">
        <v>828.0</v>
      </c>
      <c r="I5168" s="3">
        <f t="shared" si="3"/>
        <v>0.220505992</v>
      </c>
      <c r="J5168" s="2">
        <v>718.0</v>
      </c>
      <c r="K5168" s="3">
        <f t="shared" si="4"/>
        <v>0.1912117177</v>
      </c>
      <c r="L5168" s="2">
        <v>500.0</v>
      </c>
      <c r="M5168" s="3">
        <f t="shared" si="5"/>
        <v>0.6038647343</v>
      </c>
      <c r="N5168" s="2">
        <v>4331600.0</v>
      </c>
      <c r="O5168" s="4">
        <f t="shared" si="6"/>
        <v>5231.400966</v>
      </c>
      <c r="P5168" s="2">
        <v>1.0</v>
      </c>
      <c r="Q5168" s="3">
        <f t="shared" si="7"/>
        <v>0.00283286119</v>
      </c>
      <c r="R5168" s="2">
        <v>0.0</v>
      </c>
      <c r="S5168" s="5">
        <f t="shared" si="8"/>
        <v>0</v>
      </c>
    </row>
    <row r="5169">
      <c r="A5169" s="2" t="s">
        <v>5171</v>
      </c>
      <c r="B5169" s="2">
        <v>447.0</v>
      </c>
      <c r="C5169" s="2">
        <v>5090.0</v>
      </c>
      <c r="D5169" s="2">
        <v>1611.0</v>
      </c>
      <c r="E5169" s="3">
        <f t="shared" si="1"/>
        <v>0.3469739393</v>
      </c>
      <c r="F5169" s="2">
        <v>570.0</v>
      </c>
      <c r="G5169" s="3">
        <f t="shared" si="2"/>
        <v>0.1227654534</v>
      </c>
      <c r="H5169" s="2">
        <v>963.0</v>
      </c>
      <c r="I5169" s="3">
        <f t="shared" si="3"/>
        <v>0.2074090028</v>
      </c>
      <c r="J5169" s="2">
        <v>806.0</v>
      </c>
      <c r="K5169" s="3">
        <f t="shared" si="4"/>
        <v>0.1735946586</v>
      </c>
      <c r="L5169" s="2">
        <v>586.0</v>
      </c>
      <c r="M5169" s="3">
        <f t="shared" si="5"/>
        <v>0.6085150571</v>
      </c>
      <c r="N5169" s="2">
        <v>5330900.0</v>
      </c>
      <c r="O5169" s="4">
        <f t="shared" si="6"/>
        <v>5535.721703</v>
      </c>
      <c r="P5169" s="2">
        <v>0.0</v>
      </c>
      <c r="Q5169" s="3">
        <f t="shared" si="7"/>
        <v>0</v>
      </c>
      <c r="R5169" s="2">
        <v>438.0</v>
      </c>
      <c r="S5169" s="5">
        <f t="shared" si="8"/>
        <v>0.9798657718</v>
      </c>
    </row>
    <row r="5170">
      <c r="A5170" s="2" t="s">
        <v>5172</v>
      </c>
      <c r="B5170" s="2">
        <v>453.0</v>
      </c>
      <c r="C5170" s="2">
        <v>5259.0</v>
      </c>
      <c r="D5170" s="2">
        <v>1423.0</v>
      </c>
      <c r="E5170" s="3">
        <f t="shared" si="1"/>
        <v>0.2960882231</v>
      </c>
      <c r="F5170" s="2">
        <v>590.0</v>
      </c>
      <c r="G5170" s="3">
        <f t="shared" si="2"/>
        <v>0.1227632127</v>
      </c>
      <c r="H5170" s="2">
        <v>998.0</v>
      </c>
      <c r="I5170" s="3">
        <f t="shared" si="3"/>
        <v>0.2076570953</v>
      </c>
      <c r="J5170" s="2">
        <v>822.0</v>
      </c>
      <c r="K5170" s="3">
        <f t="shared" si="4"/>
        <v>0.1710362047</v>
      </c>
      <c r="L5170" s="2">
        <v>599.0</v>
      </c>
      <c r="M5170" s="3">
        <f t="shared" si="5"/>
        <v>0.6002004008</v>
      </c>
      <c r="N5170" s="2">
        <v>5454500.0</v>
      </c>
      <c r="O5170" s="4">
        <f t="shared" si="6"/>
        <v>5465.430862</v>
      </c>
      <c r="P5170" s="2">
        <v>2.0</v>
      </c>
      <c r="Q5170" s="3">
        <f t="shared" si="7"/>
        <v>0.004415011038</v>
      </c>
      <c r="R5170" s="2">
        <v>453.0</v>
      </c>
      <c r="S5170" s="5">
        <f t="shared" si="8"/>
        <v>1</v>
      </c>
    </row>
    <row r="5171">
      <c r="A5171" s="2" t="s">
        <v>5173</v>
      </c>
      <c r="B5171" s="2">
        <v>1534.0</v>
      </c>
      <c r="C5171" s="2">
        <v>18062.0</v>
      </c>
      <c r="D5171" s="2">
        <v>5210.0</v>
      </c>
      <c r="E5171" s="3">
        <f t="shared" si="1"/>
        <v>0.3152226525</v>
      </c>
      <c r="F5171" s="2">
        <v>2029.0</v>
      </c>
      <c r="G5171" s="3">
        <f t="shared" si="2"/>
        <v>0.1227613746</v>
      </c>
      <c r="H5171" s="2">
        <v>3435.0</v>
      </c>
      <c r="I5171" s="3">
        <f t="shared" si="3"/>
        <v>0.2078291384</v>
      </c>
      <c r="J5171" s="2">
        <v>2701.0</v>
      </c>
      <c r="K5171" s="3">
        <f t="shared" si="4"/>
        <v>0.1634196515</v>
      </c>
      <c r="L5171" s="2">
        <v>2054.0</v>
      </c>
      <c r="M5171" s="3">
        <f t="shared" si="5"/>
        <v>0.5979621543</v>
      </c>
      <c r="N5171" s="2">
        <v>1.96352E7</v>
      </c>
      <c r="O5171" s="4">
        <f t="shared" si="6"/>
        <v>5716.215429</v>
      </c>
      <c r="P5171" s="2">
        <v>3.0</v>
      </c>
      <c r="Q5171" s="3">
        <f t="shared" si="7"/>
        <v>0.001955671447</v>
      </c>
      <c r="R5171" s="2">
        <v>816.0</v>
      </c>
      <c r="S5171" s="5">
        <f t="shared" si="8"/>
        <v>0.5319426336</v>
      </c>
    </row>
    <row r="5172">
      <c r="A5172" s="2" t="s">
        <v>5174</v>
      </c>
      <c r="B5172" s="2">
        <v>1396.0</v>
      </c>
      <c r="C5172" s="2">
        <v>16296.0</v>
      </c>
      <c r="D5172" s="2">
        <v>5541.0</v>
      </c>
      <c r="E5172" s="3">
        <f t="shared" si="1"/>
        <v>0.3718791946</v>
      </c>
      <c r="F5172" s="2">
        <v>1829.0</v>
      </c>
      <c r="G5172" s="3">
        <f t="shared" si="2"/>
        <v>0.1227516779</v>
      </c>
      <c r="H5172" s="2">
        <v>3147.0</v>
      </c>
      <c r="I5172" s="3">
        <f t="shared" si="3"/>
        <v>0.2112080537</v>
      </c>
      <c r="J5172" s="2">
        <v>2657.0</v>
      </c>
      <c r="K5172" s="3">
        <f t="shared" si="4"/>
        <v>0.1783221477</v>
      </c>
      <c r="L5172" s="2">
        <v>1897.0</v>
      </c>
      <c r="M5172" s="3">
        <f t="shared" si="5"/>
        <v>0.6027963139</v>
      </c>
      <c r="N5172" s="2">
        <v>1.82659E7</v>
      </c>
      <c r="O5172" s="4">
        <f t="shared" si="6"/>
        <v>5804.226247</v>
      </c>
      <c r="P5172" s="2">
        <v>3.0</v>
      </c>
      <c r="Q5172" s="3">
        <f t="shared" si="7"/>
        <v>0.002148997135</v>
      </c>
      <c r="R5172" s="2">
        <v>781.0</v>
      </c>
      <c r="S5172" s="5">
        <f t="shared" si="8"/>
        <v>0.5594555874</v>
      </c>
    </row>
    <row r="5173">
      <c r="A5173" s="2" t="s">
        <v>5175</v>
      </c>
      <c r="B5173" s="2">
        <v>1683.0</v>
      </c>
      <c r="C5173" s="2">
        <v>19721.0</v>
      </c>
      <c r="D5173" s="2">
        <v>6365.0</v>
      </c>
      <c r="E5173" s="3">
        <f t="shared" si="1"/>
        <v>0.3528661714</v>
      </c>
      <c r="F5173" s="2">
        <v>2214.0</v>
      </c>
      <c r="G5173" s="3">
        <f t="shared" si="2"/>
        <v>0.1227408804</v>
      </c>
      <c r="H5173" s="2">
        <v>3794.0</v>
      </c>
      <c r="I5173" s="3">
        <f t="shared" si="3"/>
        <v>0.2103337399</v>
      </c>
      <c r="J5173" s="2">
        <v>3412.0</v>
      </c>
      <c r="K5173" s="3">
        <f t="shared" si="4"/>
        <v>0.1891562257</v>
      </c>
      <c r="L5173" s="2">
        <v>2350.0</v>
      </c>
      <c r="M5173" s="3">
        <f t="shared" si="5"/>
        <v>0.6193990511</v>
      </c>
      <c r="N5173" s="2">
        <v>2.18039E7</v>
      </c>
      <c r="O5173" s="4">
        <f t="shared" si="6"/>
        <v>5746.942541</v>
      </c>
      <c r="P5173" s="2">
        <v>1.0</v>
      </c>
      <c r="Q5173" s="3">
        <f t="shared" si="7"/>
        <v>0.0005941770648</v>
      </c>
      <c r="R5173" s="2">
        <v>1683.0</v>
      </c>
      <c r="S5173" s="5">
        <f t="shared" si="8"/>
        <v>1</v>
      </c>
    </row>
    <row r="5174">
      <c r="A5174" s="2" t="s">
        <v>5176</v>
      </c>
      <c r="B5174" s="2">
        <v>21.0</v>
      </c>
      <c r="C5174" s="2">
        <v>241.0</v>
      </c>
      <c r="D5174" s="2">
        <v>81.0</v>
      </c>
      <c r="E5174" s="3">
        <f t="shared" si="1"/>
        <v>0.3681818182</v>
      </c>
      <c r="F5174" s="2">
        <v>27.0</v>
      </c>
      <c r="G5174" s="3">
        <f t="shared" si="2"/>
        <v>0.1227272727</v>
      </c>
      <c r="H5174" s="2">
        <v>36.0</v>
      </c>
      <c r="I5174" s="3">
        <f t="shared" si="3"/>
        <v>0.1636363636</v>
      </c>
      <c r="J5174" s="2">
        <v>44.0</v>
      </c>
      <c r="K5174" s="3">
        <f t="shared" si="4"/>
        <v>0.2</v>
      </c>
      <c r="L5174" s="2">
        <v>16.0</v>
      </c>
      <c r="M5174" s="3">
        <f t="shared" si="5"/>
        <v>0.4444444444</v>
      </c>
      <c r="N5174" s="2">
        <v>220800.0</v>
      </c>
      <c r="O5174" s="4">
        <f t="shared" si="6"/>
        <v>6133.333333</v>
      </c>
      <c r="P5174" s="2">
        <v>0.0</v>
      </c>
      <c r="Q5174" s="3">
        <f t="shared" si="7"/>
        <v>0</v>
      </c>
      <c r="R5174" s="2">
        <v>21.0</v>
      </c>
      <c r="S5174" s="5">
        <f t="shared" si="8"/>
        <v>1</v>
      </c>
    </row>
    <row r="5175">
      <c r="A5175" s="2" t="s">
        <v>5177</v>
      </c>
      <c r="B5175" s="2">
        <v>39.0</v>
      </c>
      <c r="C5175" s="2">
        <v>479.0</v>
      </c>
      <c r="D5175" s="2">
        <v>184.0</v>
      </c>
      <c r="E5175" s="3">
        <f t="shared" si="1"/>
        <v>0.4181818182</v>
      </c>
      <c r="F5175" s="2">
        <v>54.0</v>
      </c>
      <c r="G5175" s="3">
        <f t="shared" si="2"/>
        <v>0.1227272727</v>
      </c>
      <c r="H5175" s="2">
        <v>93.0</v>
      </c>
      <c r="I5175" s="3">
        <f t="shared" si="3"/>
        <v>0.2113636364</v>
      </c>
      <c r="J5175" s="2">
        <v>63.0</v>
      </c>
      <c r="K5175" s="3">
        <f t="shared" si="4"/>
        <v>0.1431818182</v>
      </c>
      <c r="L5175" s="2">
        <v>62.0</v>
      </c>
      <c r="M5175" s="3">
        <f t="shared" si="5"/>
        <v>0.6666666667</v>
      </c>
      <c r="N5175" s="2">
        <v>578900.0</v>
      </c>
      <c r="O5175" s="4">
        <f t="shared" si="6"/>
        <v>6224.731183</v>
      </c>
      <c r="P5175" s="2">
        <v>0.0</v>
      </c>
      <c r="Q5175" s="3">
        <f t="shared" si="7"/>
        <v>0</v>
      </c>
      <c r="R5175" s="2">
        <v>39.0</v>
      </c>
      <c r="S5175" s="5">
        <f t="shared" si="8"/>
        <v>1</v>
      </c>
    </row>
    <row r="5176">
      <c r="A5176" s="2" t="s">
        <v>5178</v>
      </c>
      <c r="B5176" s="2">
        <v>4601.0</v>
      </c>
      <c r="C5176" s="2">
        <v>53924.0</v>
      </c>
      <c r="D5176" s="2">
        <v>16411.0</v>
      </c>
      <c r="E5176" s="3">
        <f t="shared" si="1"/>
        <v>0.3327250978</v>
      </c>
      <c r="F5176" s="2">
        <v>6052.0</v>
      </c>
      <c r="G5176" s="3">
        <f t="shared" si="2"/>
        <v>0.1227013766</v>
      </c>
      <c r="H5176" s="2">
        <v>10708.0</v>
      </c>
      <c r="I5176" s="3">
        <f t="shared" si="3"/>
        <v>0.2170995276</v>
      </c>
      <c r="J5176" s="2">
        <v>9135.0</v>
      </c>
      <c r="K5176" s="3">
        <f t="shared" si="4"/>
        <v>0.1852077124</v>
      </c>
      <c r="L5176" s="2">
        <v>6338.0</v>
      </c>
      <c r="M5176" s="3">
        <f t="shared" si="5"/>
        <v>0.5918939111</v>
      </c>
      <c r="N5176" s="2">
        <v>5.899E7</v>
      </c>
      <c r="O5176" s="4">
        <f t="shared" si="6"/>
        <v>5508.96526</v>
      </c>
      <c r="P5176" s="2">
        <v>12.0</v>
      </c>
      <c r="Q5176" s="3">
        <f t="shared" si="7"/>
        <v>0.002608128668</v>
      </c>
      <c r="R5176" s="2">
        <v>4601.0</v>
      </c>
      <c r="S5176" s="5">
        <f t="shared" si="8"/>
        <v>1</v>
      </c>
    </row>
    <row r="5177">
      <c r="A5177" s="2" t="s">
        <v>5179</v>
      </c>
      <c r="B5177" s="2">
        <v>253.0</v>
      </c>
      <c r="C5177" s="2">
        <v>2959.0</v>
      </c>
      <c r="D5177" s="2">
        <v>711.0</v>
      </c>
      <c r="E5177" s="3">
        <f t="shared" si="1"/>
        <v>0.2627494457</v>
      </c>
      <c r="F5177" s="2">
        <v>332.0</v>
      </c>
      <c r="G5177" s="3">
        <f t="shared" si="2"/>
        <v>0.1226903178</v>
      </c>
      <c r="H5177" s="2">
        <v>532.0</v>
      </c>
      <c r="I5177" s="3">
        <f t="shared" si="3"/>
        <v>0.1966001478</v>
      </c>
      <c r="J5177" s="2">
        <v>450.0</v>
      </c>
      <c r="K5177" s="3">
        <f t="shared" si="4"/>
        <v>0.1662971175</v>
      </c>
      <c r="L5177" s="2">
        <v>324.0</v>
      </c>
      <c r="M5177" s="3">
        <f t="shared" si="5"/>
        <v>0.6090225564</v>
      </c>
      <c r="N5177" s="2">
        <v>3427700.0</v>
      </c>
      <c r="O5177" s="4">
        <f t="shared" si="6"/>
        <v>6443.045113</v>
      </c>
      <c r="P5177" s="2">
        <v>1.0</v>
      </c>
      <c r="Q5177" s="3">
        <f t="shared" si="7"/>
        <v>0.00395256917</v>
      </c>
      <c r="R5177" s="2">
        <v>253.0</v>
      </c>
      <c r="S5177" s="5">
        <f t="shared" si="8"/>
        <v>1</v>
      </c>
    </row>
    <row r="5178">
      <c r="A5178" s="2" t="s">
        <v>5180</v>
      </c>
      <c r="B5178" s="2">
        <v>2861.0</v>
      </c>
      <c r="C5178" s="2">
        <v>33305.0</v>
      </c>
      <c r="D5178" s="2">
        <v>9958.0</v>
      </c>
      <c r="E5178" s="3">
        <f t="shared" si="1"/>
        <v>0.3270923663</v>
      </c>
      <c r="F5178" s="2">
        <v>3735.0</v>
      </c>
      <c r="G5178" s="3">
        <f t="shared" si="2"/>
        <v>0.1226842728</v>
      </c>
      <c r="H5178" s="2">
        <v>6495.0</v>
      </c>
      <c r="I5178" s="3">
        <f t="shared" si="3"/>
        <v>0.2133425305</v>
      </c>
      <c r="J5178" s="2">
        <v>5672.0</v>
      </c>
      <c r="K5178" s="3">
        <f t="shared" si="4"/>
        <v>0.1863092892</v>
      </c>
      <c r="L5178" s="2">
        <v>3857.0</v>
      </c>
      <c r="M5178" s="3">
        <f t="shared" si="5"/>
        <v>0.5938414165</v>
      </c>
      <c r="N5178" s="2">
        <v>3.89355E7</v>
      </c>
      <c r="O5178" s="4">
        <f t="shared" si="6"/>
        <v>5994.688222</v>
      </c>
      <c r="P5178" s="2">
        <v>7.0</v>
      </c>
      <c r="Q5178" s="3">
        <f t="shared" si="7"/>
        <v>0.002446696959</v>
      </c>
      <c r="R5178" s="2">
        <v>2861.0</v>
      </c>
      <c r="S5178" s="5">
        <f t="shared" si="8"/>
        <v>1</v>
      </c>
    </row>
    <row r="5179">
      <c r="A5179" s="2" t="s">
        <v>5181</v>
      </c>
      <c r="B5179" s="2">
        <v>248.0</v>
      </c>
      <c r="C5179" s="2">
        <v>2938.0</v>
      </c>
      <c r="D5179" s="2">
        <v>832.0</v>
      </c>
      <c r="E5179" s="3">
        <f t="shared" si="1"/>
        <v>0.3092936803</v>
      </c>
      <c r="F5179" s="2">
        <v>330.0</v>
      </c>
      <c r="G5179" s="3">
        <f t="shared" si="2"/>
        <v>0.1226765799</v>
      </c>
      <c r="H5179" s="2">
        <v>491.0</v>
      </c>
      <c r="I5179" s="3">
        <f t="shared" si="3"/>
        <v>0.182527881</v>
      </c>
      <c r="J5179" s="2">
        <v>421.0</v>
      </c>
      <c r="K5179" s="3">
        <f t="shared" si="4"/>
        <v>0.1565055762</v>
      </c>
      <c r="L5179" s="2">
        <v>300.0</v>
      </c>
      <c r="M5179" s="3">
        <f t="shared" si="5"/>
        <v>0.6109979633</v>
      </c>
      <c r="N5179" s="2">
        <v>2975400.0</v>
      </c>
      <c r="O5179" s="4">
        <f t="shared" si="6"/>
        <v>6059.8778</v>
      </c>
      <c r="P5179" s="2">
        <v>2.0</v>
      </c>
      <c r="Q5179" s="3">
        <f t="shared" si="7"/>
        <v>0.008064516129</v>
      </c>
      <c r="R5179" s="2">
        <v>248.0</v>
      </c>
      <c r="S5179" s="5">
        <f t="shared" si="8"/>
        <v>1</v>
      </c>
    </row>
    <row r="5180">
      <c r="A5180" s="2" t="s">
        <v>5182</v>
      </c>
      <c r="B5180" s="2">
        <v>2983.0</v>
      </c>
      <c r="C5180" s="2">
        <v>34872.0</v>
      </c>
      <c r="D5180" s="2">
        <v>9901.0</v>
      </c>
      <c r="E5180" s="3">
        <f t="shared" si="1"/>
        <v>0.3104832387</v>
      </c>
      <c r="F5180" s="2">
        <v>3912.0</v>
      </c>
      <c r="G5180" s="3">
        <f t="shared" si="2"/>
        <v>0.1226755307</v>
      </c>
      <c r="H5180" s="2">
        <v>6711.0</v>
      </c>
      <c r="I5180" s="3">
        <f t="shared" si="3"/>
        <v>0.2104487441</v>
      </c>
      <c r="J5180" s="2">
        <v>5733.0</v>
      </c>
      <c r="K5180" s="3">
        <f t="shared" si="4"/>
        <v>0.1797798614</v>
      </c>
      <c r="L5180" s="2">
        <v>4028.0</v>
      </c>
      <c r="M5180" s="3">
        <f t="shared" si="5"/>
        <v>0.6002086127</v>
      </c>
      <c r="N5180" s="2">
        <v>3.81181E7</v>
      </c>
      <c r="O5180" s="4">
        <f t="shared" si="6"/>
        <v>5679.943377</v>
      </c>
      <c r="P5180" s="2">
        <v>6.0</v>
      </c>
      <c r="Q5180" s="3">
        <f t="shared" si="7"/>
        <v>0.002011397922</v>
      </c>
      <c r="R5180" s="2">
        <v>697.0</v>
      </c>
      <c r="S5180" s="5">
        <f t="shared" si="8"/>
        <v>0.2336573919</v>
      </c>
    </row>
    <row r="5181">
      <c r="A5181" s="2" t="s">
        <v>5183</v>
      </c>
      <c r="B5181" s="2">
        <v>2185.0</v>
      </c>
      <c r="C5181" s="2">
        <v>25678.0</v>
      </c>
      <c r="D5181" s="2">
        <v>7513.0</v>
      </c>
      <c r="E5181" s="3">
        <f t="shared" si="1"/>
        <v>0.3197973865</v>
      </c>
      <c r="F5181" s="2">
        <v>2882.0</v>
      </c>
      <c r="G5181" s="3">
        <f t="shared" si="2"/>
        <v>0.1226748393</v>
      </c>
      <c r="H5181" s="2">
        <v>4749.0</v>
      </c>
      <c r="I5181" s="3">
        <f t="shared" si="3"/>
        <v>0.2021453199</v>
      </c>
      <c r="J5181" s="2">
        <v>3985.0</v>
      </c>
      <c r="K5181" s="3">
        <f t="shared" si="4"/>
        <v>0.1696249947</v>
      </c>
      <c r="L5181" s="2">
        <v>2806.0</v>
      </c>
      <c r="M5181" s="3">
        <f t="shared" si="5"/>
        <v>0.5908612339</v>
      </c>
      <c r="N5181" s="2">
        <v>2.69688E7</v>
      </c>
      <c r="O5181" s="4">
        <f t="shared" si="6"/>
        <v>5678.83765</v>
      </c>
      <c r="P5181" s="2">
        <v>3.0</v>
      </c>
      <c r="Q5181" s="3">
        <f t="shared" si="7"/>
        <v>0.001372997712</v>
      </c>
      <c r="R5181" s="2">
        <v>2185.0</v>
      </c>
      <c r="S5181" s="5">
        <f t="shared" si="8"/>
        <v>1</v>
      </c>
    </row>
    <row r="5182">
      <c r="A5182" s="2" t="s">
        <v>5184</v>
      </c>
      <c r="B5182" s="2">
        <v>1695.0</v>
      </c>
      <c r="C5182" s="2">
        <v>20118.0</v>
      </c>
      <c r="D5182" s="2">
        <v>7864.0</v>
      </c>
      <c r="E5182" s="3">
        <f t="shared" si="1"/>
        <v>0.4268577322</v>
      </c>
      <c r="F5182" s="2">
        <v>2260.0</v>
      </c>
      <c r="G5182" s="3">
        <f t="shared" si="2"/>
        <v>0.122672746</v>
      </c>
      <c r="H5182" s="2">
        <v>3953.0</v>
      </c>
      <c r="I5182" s="3">
        <f t="shared" si="3"/>
        <v>0.2145687456</v>
      </c>
      <c r="J5182" s="2">
        <v>2420.0</v>
      </c>
      <c r="K5182" s="3">
        <f t="shared" si="4"/>
        <v>0.1313575422</v>
      </c>
      <c r="L5182" s="2">
        <v>2383.0</v>
      </c>
      <c r="M5182" s="3">
        <f t="shared" si="5"/>
        <v>0.6028332912</v>
      </c>
      <c r="N5182" s="2">
        <v>2.03907E7</v>
      </c>
      <c r="O5182" s="4">
        <f t="shared" si="6"/>
        <v>5158.284847</v>
      </c>
      <c r="P5182" s="2">
        <v>5.0</v>
      </c>
      <c r="Q5182" s="3">
        <f t="shared" si="7"/>
        <v>0.002949852507</v>
      </c>
      <c r="R5182" s="2">
        <v>1695.0</v>
      </c>
      <c r="S5182" s="5">
        <f t="shared" si="8"/>
        <v>1</v>
      </c>
    </row>
    <row r="5183">
      <c r="A5183" s="2" t="s">
        <v>5185</v>
      </c>
      <c r="B5183" s="2">
        <v>483.0</v>
      </c>
      <c r="C5183" s="2">
        <v>5611.0</v>
      </c>
      <c r="D5183" s="2">
        <v>1803.0</v>
      </c>
      <c r="E5183" s="3">
        <f t="shared" si="1"/>
        <v>0.351599064</v>
      </c>
      <c r="F5183" s="2">
        <v>629.0</v>
      </c>
      <c r="G5183" s="3">
        <f t="shared" si="2"/>
        <v>0.1226599064</v>
      </c>
      <c r="H5183" s="2">
        <v>1116.0</v>
      </c>
      <c r="I5183" s="3">
        <f t="shared" si="3"/>
        <v>0.2176287051</v>
      </c>
      <c r="J5183" s="2">
        <v>958.0</v>
      </c>
      <c r="K5183" s="3">
        <f t="shared" si="4"/>
        <v>0.1868174727</v>
      </c>
      <c r="L5183" s="2">
        <v>669.0</v>
      </c>
      <c r="M5183" s="3">
        <f t="shared" si="5"/>
        <v>0.5994623656</v>
      </c>
      <c r="N5183" s="2">
        <v>6409400.0</v>
      </c>
      <c r="O5183" s="4">
        <f t="shared" si="6"/>
        <v>5743.189964</v>
      </c>
      <c r="P5183" s="2">
        <v>0.0</v>
      </c>
      <c r="Q5183" s="3">
        <f t="shared" si="7"/>
        <v>0</v>
      </c>
      <c r="R5183" s="2">
        <v>483.0</v>
      </c>
      <c r="S5183" s="5">
        <f t="shared" si="8"/>
        <v>1</v>
      </c>
    </row>
    <row r="5184">
      <c r="A5184" s="2" t="s">
        <v>5186</v>
      </c>
      <c r="B5184" s="2">
        <v>235.0</v>
      </c>
      <c r="C5184" s="2">
        <v>2795.0</v>
      </c>
      <c r="D5184" s="2">
        <v>979.0</v>
      </c>
      <c r="E5184" s="3">
        <f t="shared" si="1"/>
        <v>0.382421875</v>
      </c>
      <c r="F5184" s="2">
        <v>314.0</v>
      </c>
      <c r="G5184" s="3">
        <f t="shared" si="2"/>
        <v>0.12265625</v>
      </c>
      <c r="H5184" s="2">
        <v>507.0</v>
      </c>
      <c r="I5184" s="3">
        <f t="shared" si="3"/>
        <v>0.198046875</v>
      </c>
      <c r="J5184" s="2">
        <v>417.0</v>
      </c>
      <c r="K5184" s="3">
        <f t="shared" si="4"/>
        <v>0.162890625</v>
      </c>
      <c r="L5184" s="2">
        <v>299.0</v>
      </c>
      <c r="M5184" s="3">
        <f t="shared" si="5"/>
        <v>0.5897435897</v>
      </c>
      <c r="N5184" s="2">
        <v>2708100.0</v>
      </c>
      <c r="O5184" s="4">
        <f t="shared" si="6"/>
        <v>5341.420118</v>
      </c>
      <c r="P5184" s="2">
        <v>0.0</v>
      </c>
      <c r="Q5184" s="3">
        <f t="shared" si="7"/>
        <v>0</v>
      </c>
      <c r="R5184" s="2">
        <v>235.0</v>
      </c>
      <c r="S5184" s="5">
        <f t="shared" si="8"/>
        <v>1</v>
      </c>
    </row>
    <row r="5185">
      <c r="A5185" s="2" t="s">
        <v>5187</v>
      </c>
      <c r="B5185" s="2">
        <v>439.0</v>
      </c>
      <c r="C5185" s="2">
        <v>5233.0</v>
      </c>
      <c r="D5185" s="2">
        <v>1684.0</v>
      </c>
      <c r="E5185" s="3">
        <f t="shared" si="1"/>
        <v>0.3512724239</v>
      </c>
      <c r="F5185" s="2">
        <v>588.0</v>
      </c>
      <c r="G5185" s="3">
        <f t="shared" si="2"/>
        <v>0.1226533166</v>
      </c>
      <c r="H5185" s="2">
        <v>998.0</v>
      </c>
      <c r="I5185" s="3">
        <f t="shared" si="3"/>
        <v>0.2081768878</v>
      </c>
      <c r="J5185" s="2">
        <v>840.0</v>
      </c>
      <c r="K5185" s="3">
        <f t="shared" si="4"/>
        <v>0.1752190238</v>
      </c>
      <c r="L5185" s="2">
        <v>590.0</v>
      </c>
      <c r="M5185" s="3">
        <f t="shared" si="5"/>
        <v>0.5911823647</v>
      </c>
      <c r="N5185" s="2">
        <v>5546900.0</v>
      </c>
      <c r="O5185" s="4">
        <f t="shared" si="6"/>
        <v>5558.016032</v>
      </c>
      <c r="P5185" s="2">
        <v>0.0</v>
      </c>
      <c r="Q5185" s="3">
        <f t="shared" si="7"/>
        <v>0</v>
      </c>
      <c r="R5185" s="2">
        <v>0.0</v>
      </c>
      <c r="S5185" s="5">
        <f t="shared" si="8"/>
        <v>0</v>
      </c>
    </row>
    <row r="5186">
      <c r="A5186" s="2" t="s">
        <v>5188</v>
      </c>
      <c r="B5186" s="2">
        <v>724.0</v>
      </c>
      <c r="C5186" s="2">
        <v>8486.0</v>
      </c>
      <c r="D5186" s="2">
        <v>2485.0</v>
      </c>
      <c r="E5186" s="3">
        <f t="shared" si="1"/>
        <v>0.320149446</v>
      </c>
      <c r="F5186" s="2">
        <v>952.0</v>
      </c>
      <c r="G5186" s="3">
        <f t="shared" si="2"/>
        <v>0.1226488019</v>
      </c>
      <c r="H5186" s="2">
        <v>1703.0</v>
      </c>
      <c r="I5186" s="3">
        <f t="shared" si="3"/>
        <v>0.2194022159</v>
      </c>
      <c r="J5186" s="2">
        <v>1513.0</v>
      </c>
      <c r="K5186" s="3">
        <f t="shared" si="4"/>
        <v>0.1949239887</v>
      </c>
      <c r="L5186" s="2">
        <v>1017.0</v>
      </c>
      <c r="M5186" s="3">
        <f t="shared" si="5"/>
        <v>0.5971814445</v>
      </c>
      <c r="N5186" s="2">
        <v>1.03006E7</v>
      </c>
      <c r="O5186" s="4">
        <f t="shared" si="6"/>
        <v>6048.502642</v>
      </c>
      <c r="P5186" s="2">
        <v>0.0</v>
      </c>
      <c r="Q5186" s="3">
        <f t="shared" si="7"/>
        <v>0</v>
      </c>
      <c r="R5186" s="2">
        <v>0.0</v>
      </c>
      <c r="S5186" s="5">
        <f t="shared" si="8"/>
        <v>0</v>
      </c>
    </row>
    <row r="5187">
      <c r="A5187" s="2" t="s">
        <v>5189</v>
      </c>
      <c r="B5187" s="2">
        <v>2071.0</v>
      </c>
      <c r="C5187" s="2">
        <v>24216.0</v>
      </c>
      <c r="D5187" s="2">
        <v>7774.0</v>
      </c>
      <c r="E5187" s="3">
        <f t="shared" si="1"/>
        <v>0.3510498984</v>
      </c>
      <c r="F5187" s="2">
        <v>2716.0</v>
      </c>
      <c r="G5187" s="3">
        <f t="shared" si="2"/>
        <v>0.1226461955</v>
      </c>
      <c r="H5187" s="2">
        <v>4498.0</v>
      </c>
      <c r="I5187" s="3">
        <f t="shared" si="3"/>
        <v>0.2031158275</v>
      </c>
      <c r="J5187" s="2">
        <v>3288.0</v>
      </c>
      <c r="K5187" s="3">
        <f t="shared" si="4"/>
        <v>0.1484759539</v>
      </c>
      <c r="L5187" s="2">
        <v>2732.0</v>
      </c>
      <c r="M5187" s="3">
        <f t="shared" si="5"/>
        <v>0.6073810582</v>
      </c>
      <c r="N5187" s="2">
        <v>2.55417E7</v>
      </c>
      <c r="O5187" s="4">
        <f t="shared" si="6"/>
        <v>5678.457092</v>
      </c>
      <c r="P5187" s="2">
        <v>6.0</v>
      </c>
      <c r="Q5187" s="3">
        <f t="shared" si="7"/>
        <v>0.002897151135</v>
      </c>
      <c r="R5187" s="2">
        <v>2071.0</v>
      </c>
      <c r="S5187" s="5">
        <f t="shared" si="8"/>
        <v>1</v>
      </c>
    </row>
    <row r="5188">
      <c r="A5188" s="2" t="s">
        <v>5190</v>
      </c>
      <c r="B5188" s="2">
        <v>2646.0</v>
      </c>
      <c r="C5188" s="2">
        <v>31208.0</v>
      </c>
      <c r="D5188" s="2">
        <v>9787.0</v>
      </c>
      <c r="E5188" s="3">
        <f t="shared" si="1"/>
        <v>0.3426580772</v>
      </c>
      <c r="F5188" s="2">
        <v>3503.0</v>
      </c>
      <c r="G5188" s="3">
        <f t="shared" si="2"/>
        <v>0.122645473</v>
      </c>
      <c r="H5188" s="2">
        <v>6029.0</v>
      </c>
      <c r="I5188" s="3">
        <f t="shared" si="3"/>
        <v>0.2110846579</v>
      </c>
      <c r="J5188" s="2">
        <v>4447.0</v>
      </c>
      <c r="K5188" s="3">
        <f t="shared" si="4"/>
        <v>0.1556963798</v>
      </c>
      <c r="L5188" s="2">
        <v>3669.0</v>
      </c>
      <c r="M5188" s="3">
        <f t="shared" si="5"/>
        <v>0.6085586333</v>
      </c>
      <c r="N5188" s="2">
        <v>3.18684E7</v>
      </c>
      <c r="O5188" s="4">
        <f t="shared" si="6"/>
        <v>5285.851717</v>
      </c>
      <c r="P5188" s="2">
        <v>2.0</v>
      </c>
      <c r="Q5188" s="3">
        <f t="shared" si="7"/>
        <v>0.0007558578987</v>
      </c>
      <c r="R5188" s="2">
        <v>2646.0</v>
      </c>
      <c r="S5188" s="5">
        <f t="shared" si="8"/>
        <v>1</v>
      </c>
    </row>
    <row r="5189">
      <c r="A5189" s="2" t="s">
        <v>5191</v>
      </c>
      <c r="B5189" s="2">
        <v>11.0</v>
      </c>
      <c r="C5189" s="2">
        <v>117.0</v>
      </c>
      <c r="D5189" s="2">
        <v>29.0</v>
      </c>
      <c r="E5189" s="3">
        <f t="shared" si="1"/>
        <v>0.2735849057</v>
      </c>
      <c r="F5189" s="2">
        <v>13.0</v>
      </c>
      <c r="G5189" s="3">
        <f t="shared" si="2"/>
        <v>0.1226415094</v>
      </c>
      <c r="H5189" s="2">
        <v>24.0</v>
      </c>
      <c r="I5189" s="3">
        <f t="shared" si="3"/>
        <v>0.2264150943</v>
      </c>
      <c r="J5189" s="2">
        <v>18.0</v>
      </c>
      <c r="K5189" s="3">
        <f t="shared" si="4"/>
        <v>0.1698113208</v>
      </c>
      <c r="L5189" s="2">
        <v>15.0</v>
      </c>
      <c r="M5189" s="3">
        <f t="shared" si="5"/>
        <v>0.625</v>
      </c>
      <c r="N5189" s="2">
        <v>133600.0</v>
      </c>
      <c r="O5189" s="4">
        <f t="shared" si="6"/>
        <v>5566.666667</v>
      </c>
      <c r="P5189" s="2">
        <v>0.0</v>
      </c>
      <c r="Q5189" s="3">
        <f t="shared" si="7"/>
        <v>0</v>
      </c>
      <c r="R5189" s="2">
        <v>11.0</v>
      </c>
      <c r="S5189" s="5">
        <f t="shared" si="8"/>
        <v>1</v>
      </c>
    </row>
    <row r="5190">
      <c r="A5190" s="2" t="s">
        <v>5192</v>
      </c>
      <c r="B5190" s="2">
        <v>220.0</v>
      </c>
      <c r="C5190" s="2">
        <v>2658.0</v>
      </c>
      <c r="D5190" s="2">
        <v>924.0</v>
      </c>
      <c r="E5190" s="3">
        <f t="shared" si="1"/>
        <v>0.3789991797</v>
      </c>
      <c r="F5190" s="2">
        <v>299.0</v>
      </c>
      <c r="G5190" s="3">
        <f t="shared" si="2"/>
        <v>0.1226415094</v>
      </c>
      <c r="H5190" s="2">
        <v>478.0</v>
      </c>
      <c r="I5190" s="3">
        <f t="shared" si="3"/>
        <v>0.1960623462</v>
      </c>
      <c r="J5190" s="2">
        <v>366.0</v>
      </c>
      <c r="K5190" s="3">
        <f t="shared" si="4"/>
        <v>0.1501230517</v>
      </c>
      <c r="L5190" s="2">
        <v>291.0</v>
      </c>
      <c r="M5190" s="3">
        <f t="shared" si="5"/>
        <v>0.6087866109</v>
      </c>
      <c r="N5190" s="2">
        <v>2429800.0</v>
      </c>
      <c r="O5190" s="4">
        <f t="shared" si="6"/>
        <v>5083.263598</v>
      </c>
      <c r="P5190" s="2">
        <v>0.0</v>
      </c>
      <c r="Q5190" s="3">
        <f t="shared" si="7"/>
        <v>0</v>
      </c>
      <c r="R5190" s="2">
        <v>220.0</v>
      </c>
      <c r="S5190" s="5">
        <f t="shared" si="8"/>
        <v>1</v>
      </c>
    </row>
    <row r="5191">
      <c r="A5191" s="2" t="s">
        <v>5193</v>
      </c>
      <c r="B5191" s="2">
        <v>296.0</v>
      </c>
      <c r="C5191" s="2">
        <v>3419.0</v>
      </c>
      <c r="D5191" s="2">
        <v>1152.0</v>
      </c>
      <c r="E5191" s="3">
        <f t="shared" si="1"/>
        <v>0.3688760807</v>
      </c>
      <c r="F5191" s="2">
        <v>383.0</v>
      </c>
      <c r="G5191" s="3">
        <f t="shared" si="2"/>
        <v>0.1226384886</v>
      </c>
      <c r="H5191" s="2">
        <v>694.0</v>
      </c>
      <c r="I5191" s="3">
        <f t="shared" si="3"/>
        <v>0.2222222222</v>
      </c>
      <c r="J5191" s="2">
        <v>601.0</v>
      </c>
      <c r="K5191" s="3">
        <f t="shared" si="4"/>
        <v>0.1924431636</v>
      </c>
      <c r="L5191" s="2">
        <v>410.0</v>
      </c>
      <c r="M5191" s="3">
        <f t="shared" si="5"/>
        <v>0.590778098</v>
      </c>
      <c r="N5191" s="2">
        <v>4023800.0</v>
      </c>
      <c r="O5191" s="4">
        <f t="shared" si="6"/>
        <v>5797.982709</v>
      </c>
      <c r="P5191" s="2">
        <v>2.0</v>
      </c>
      <c r="Q5191" s="3">
        <f t="shared" si="7"/>
        <v>0.006756756757</v>
      </c>
      <c r="R5191" s="2">
        <v>296.0</v>
      </c>
      <c r="S5191" s="5">
        <f t="shared" si="8"/>
        <v>1</v>
      </c>
    </row>
    <row r="5192">
      <c r="A5192" s="2" t="s">
        <v>5194</v>
      </c>
      <c r="B5192" s="2">
        <v>531.0</v>
      </c>
      <c r="C5192" s="2">
        <v>6296.0</v>
      </c>
      <c r="D5192" s="2">
        <v>2007.0</v>
      </c>
      <c r="E5192" s="3">
        <f t="shared" si="1"/>
        <v>0.3481352992</v>
      </c>
      <c r="F5192" s="2">
        <v>707.0</v>
      </c>
      <c r="G5192" s="3">
        <f t="shared" si="2"/>
        <v>0.1226366002</v>
      </c>
      <c r="H5192" s="2">
        <v>1218.0</v>
      </c>
      <c r="I5192" s="3">
        <f t="shared" si="3"/>
        <v>0.211274935</v>
      </c>
      <c r="J5192" s="2">
        <v>963.0</v>
      </c>
      <c r="K5192" s="3">
        <f t="shared" si="4"/>
        <v>0.1670424978</v>
      </c>
      <c r="L5192" s="2">
        <v>730.0</v>
      </c>
      <c r="M5192" s="3">
        <f t="shared" si="5"/>
        <v>0.5993431856</v>
      </c>
      <c r="N5192" s="2">
        <v>6876000.0</v>
      </c>
      <c r="O5192" s="4">
        <f t="shared" si="6"/>
        <v>5645.320197</v>
      </c>
      <c r="P5192" s="2">
        <v>1.0</v>
      </c>
      <c r="Q5192" s="3">
        <f t="shared" si="7"/>
        <v>0.001883239171</v>
      </c>
      <c r="R5192" s="2">
        <v>531.0</v>
      </c>
      <c r="S5192" s="5">
        <f t="shared" si="8"/>
        <v>1</v>
      </c>
    </row>
    <row r="5193">
      <c r="A5193" s="2" t="s">
        <v>5195</v>
      </c>
      <c r="B5193" s="2">
        <v>3376.0</v>
      </c>
      <c r="C5193" s="2">
        <v>39491.0</v>
      </c>
      <c r="D5193" s="2">
        <v>12641.0</v>
      </c>
      <c r="E5193" s="3">
        <f t="shared" si="1"/>
        <v>0.350020767</v>
      </c>
      <c r="F5193" s="2">
        <v>4429.0</v>
      </c>
      <c r="G5193" s="3">
        <f t="shared" si="2"/>
        <v>0.1226360238</v>
      </c>
      <c r="H5193" s="2">
        <v>7887.0</v>
      </c>
      <c r="I5193" s="3">
        <f t="shared" si="3"/>
        <v>0.2183857123</v>
      </c>
      <c r="J5193" s="2">
        <v>6070.0</v>
      </c>
      <c r="K5193" s="3">
        <f t="shared" si="4"/>
        <v>0.1680742074</v>
      </c>
      <c r="L5193" s="2">
        <v>4698.0</v>
      </c>
      <c r="M5193" s="3">
        <f t="shared" si="5"/>
        <v>0.5956637505</v>
      </c>
      <c r="N5193" s="2">
        <v>4.43145E7</v>
      </c>
      <c r="O5193" s="4">
        <f t="shared" si="6"/>
        <v>5618.676303</v>
      </c>
      <c r="P5193" s="2">
        <v>4.0</v>
      </c>
      <c r="Q5193" s="3">
        <f t="shared" si="7"/>
        <v>0.001184834123</v>
      </c>
      <c r="R5193" s="2">
        <v>3376.0</v>
      </c>
      <c r="S5193" s="5">
        <f t="shared" si="8"/>
        <v>1</v>
      </c>
    </row>
    <row r="5194">
      <c r="A5194" s="2" t="s">
        <v>5196</v>
      </c>
      <c r="B5194" s="2">
        <v>3047.0</v>
      </c>
      <c r="C5194" s="2">
        <v>35719.0</v>
      </c>
      <c r="D5194" s="2">
        <v>10266.0</v>
      </c>
      <c r="E5194" s="3">
        <f t="shared" si="1"/>
        <v>0.3142140059</v>
      </c>
      <c r="F5194" s="2">
        <v>4006.0</v>
      </c>
      <c r="G5194" s="3">
        <f t="shared" si="2"/>
        <v>0.1226126347</v>
      </c>
      <c r="H5194" s="2">
        <v>7263.0</v>
      </c>
      <c r="I5194" s="3">
        <f t="shared" si="3"/>
        <v>0.2223004407</v>
      </c>
      <c r="J5194" s="2">
        <v>4308.0</v>
      </c>
      <c r="K5194" s="3">
        <f t="shared" si="4"/>
        <v>0.1318560235</v>
      </c>
      <c r="L5194" s="2">
        <v>4397.0</v>
      </c>
      <c r="M5194" s="3">
        <f t="shared" si="5"/>
        <v>0.6053972188</v>
      </c>
      <c r="N5194" s="2">
        <v>3.88394E7</v>
      </c>
      <c r="O5194" s="4">
        <f t="shared" si="6"/>
        <v>5347.569875</v>
      </c>
      <c r="P5194" s="2">
        <v>8.0</v>
      </c>
      <c r="Q5194" s="3">
        <f t="shared" si="7"/>
        <v>0.002625533311</v>
      </c>
      <c r="R5194" s="2">
        <v>3047.0</v>
      </c>
      <c r="S5194" s="5">
        <f t="shared" si="8"/>
        <v>1</v>
      </c>
    </row>
    <row r="5195">
      <c r="A5195" s="2" t="s">
        <v>5197</v>
      </c>
      <c r="B5195" s="2">
        <v>136.0</v>
      </c>
      <c r="C5195" s="2">
        <v>1547.0</v>
      </c>
      <c r="D5195" s="2">
        <v>414.0</v>
      </c>
      <c r="E5195" s="3">
        <f t="shared" si="1"/>
        <v>0.2934089298</v>
      </c>
      <c r="F5195" s="2">
        <v>173.0</v>
      </c>
      <c r="G5195" s="3">
        <f t="shared" si="2"/>
        <v>0.1226080794</v>
      </c>
      <c r="H5195" s="2">
        <v>301.0</v>
      </c>
      <c r="I5195" s="3">
        <f t="shared" si="3"/>
        <v>0.2133238838</v>
      </c>
      <c r="J5195" s="2">
        <v>273.0</v>
      </c>
      <c r="K5195" s="3">
        <f t="shared" si="4"/>
        <v>0.1934798016</v>
      </c>
      <c r="L5195" s="2">
        <v>184.0</v>
      </c>
      <c r="M5195" s="3">
        <f t="shared" si="5"/>
        <v>0.6112956811</v>
      </c>
      <c r="N5195" s="2">
        <v>1673100.0</v>
      </c>
      <c r="O5195" s="4">
        <f t="shared" si="6"/>
        <v>5558.471761</v>
      </c>
      <c r="P5195" s="2">
        <v>0.0</v>
      </c>
      <c r="Q5195" s="3">
        <f t="shared" si="7"/>
        <v>0</v>
      </c>
      <c r="R5195" s="2">
        <v>136.0</v>
      </c>
      <c r="S5195" s="5">
        <f t="shared" si="8"/>
        <v>1</v>
      </c>
    </row>
    <row r="5196">
      <c r="A5196" s="2" t="s">
        <v>5198</v>
      </c>
      <c r="B5196" s="2">
        <v>715.0</v>
      </c>
      <c r="C5196" s="2">
        <v>8341.0</v>
      </c>
      <c r="D5196" s="2">
        <v>2775.0</v>
      </c>
      <c r="E5196" s="3">
        <f t="shared" si="1"/>
        <v>0.3638867034</v>
      </c>
      <c r="F5196" s="2">
        <v>935.0</v>
      </c>
      <c r="G5196" s="3">
        <f t="shared" si="2"/>
        <v>0.1226068712</v>
      </c>
      <c r="H5196" s="2">
        <v>1635.0</v>
      </c>
      <c r="I5196" s="3">
        <f t="shared" si="3"/>
        <v>0.2143981117</v>
      </c>
      <c r="J5196" s="2">
        <v>1058.0</v>
      </c>
      <c r="K5196" s="3">
        <f t="shared" si="4"/>
        <v>0.1387359035</v>
      </c>
      <c r="L5196" s="2">
        <v>1005.0</v>
      </c>
      <c r="M5196" s="3">
        <f t="shared" si="5"/>
        <v>0.6146788991</v>
      </c>
      <c r="N5196" s="2">
        <v>8277300.0</v>
      </c>
      <c r="O5196" s="4">
        <f t="shared" si="6"/>
        <v>5062.568807</v>
      </c>
      <c r="P5196" s="2">
        <v>0.0</v>
      </c>
      <c r="Q5196" s="3">
        <f t="shared" si="7"/>
        <v>0</v>
      </c>
      <c r="R5196" s="2">
        <v>715.0</v>
      </c>
      <c r="S5196" s="5">
        <f t="shared" si="8"/>
        <v>1</v>
      </c>
    </row>
    <row r="5197">
      <c r="A5197" s="2" t="s">
        <v>5199</v>
      </c>
      <c r="B5197" s="2">
        <v>136.0</v>
      </c>
      <c r="C5197" s="2">
        <v>1702.0</v>
      </c>
      <c r="D5197" s="2">
        <v>504.0</v>
      </c>
      <c r="E5197" s="3">
        <f t="shared" si="1"/>
        <v>0.3218390805</v>
      </c>
      <c r="F5197" s="2">
        <v>192.0</v>
      </c>
      <c r="G5197" s="3">
        <f t="shared" si="2"/>
        <v>0.122605364</v>
      </c>
      <c r="H5197" s="2">
        <v>323.0</v>
      </c>
      <c r="I5197" s="3">
        <f t="shared" si="3"/>
        <v>0.2062579821</v>
      </c>
      <c r="J5197" s="2">
        <v>279.0</v>
      </c>
      <c r="K5197" s="3">
        <f t="shared" si="4"/>
        <v>0.1781609195</v>
      </c>
      <c r="L5197" s="2">
        <v>193.0</v>
      </c>
      <c r="M5197" s="3">
        <f t="shared" si="5"/>
        <v>0.5975232198</v>
      </c>
      <c r="N5197" s="2">
        <v>1791500.0</v>
      </c>
      <c r="O5197" s="4">
        <f t="shared" si="6"/>
        <v>5546.439628</v>
      </c>
      <c r="P5197" s="2">
        <v>0.0</v>
      </c>
      <c r="Q5197" s="3">
        <f t="shared" si="7"/>
        <v>0</v>
      </c>
      <c r="R5197" s="2">
        <v>27.0</v>
      </c>
      <c r="S5197" s="5">
        <f t="shared" si="8"/>
        <v>0.1985294118</v>
      </c>
    </row>
    <row r="5198">
      <c r="A5198" s="2" t="s">
        <v>5200</v>
      </c>
      <c r="B5198" s="2">
        <v>78.0</v>
      </c>
      <c r="C5198" s="2">
        <v>910.0</v>
      </c>
      <c r="D5198" s="2">
        <v>240.0</v>
      </c>
      <c r="E5198" s="3">
        <f t="shared" si="1"/>
        <v>0.2884615385</v>
      </c>
      <c r="F5198" s="2">
        <v>102.0</v>
      </c>
      <c r="G5198" s="3">
        <f t="shared" si="2"/>
        <v>0.1225961538</v>
      </c>
      <c r="H5198" s="2">
        <v>154.0</v>
      </c>
      <c r="I5198" s="3">
        <f t="shared" si="3"/>
        <v>0.1850961538</v>
      </c>
      <c r="J5198" s="2">
        <v>137.0</v>
      </c>
      <c r="K5198" s="3">
        <f t="shared" si="4"/>
        <v>0.1646634615</v>
      </c>
      <c r="L5198" s="2">
        <v>99.0</v>
      </c>
      <c r="M5198" s="3">
        <f t="shared" si="5"/>
        <v>0.6428571429</v>
      </c>
      <c r="N5198" s="2">
        <v>923000.0</v>
      </c>
      <c r="O5198" s="4">
        <f t="shared" si="6"/>
        <v>5993.506494</v>
      </c>
      <c r="P5198" s="2">
        <v>1.0</v>
      </c>
      <c r="Q5198" s="3">
        <f t="shared" si="7"/>
        <v>0.01282051282</v>
      </c>
      <c r="R5198" s="2">
        <v>78.0</v>
      </c>
      <c r="S5198" s="5">
        <f t="shared" si="8"/>
        <v>1</v>
      </c>
    </row>
    <row r="5199">
      <c r="A5199" s="2" t="s">
        <v>5201</v>
      </c>
      <c r="B5199" s="2">
        <v>4206.0</v>
      </c>
      <c r="C5199" s="2">
        <v>49053.0</v>
      </c>
      <c r="D5199" s="2">
        <v>15926.0</v>
      </c>
      <c r="E5199" s="3">
        <f t="shared" si="1"/>
        <v>0.3551185141</v>
      </c>
      <c r="F5199" s="2">
        <v>5498.0</v>
      </c>
      <c r="G5199" s="3">
        <f t="shared" si="2"/>
        <v>0.1225945994</v>
      </c>
      <c r="H5199" s="2">
        <v>9761.0</v>
      </c>
      <c r="I5199" s="3">
        <f t="shared" si="3"/>
        <v>0.2176511249</v>
      </c>
      <c r="J5199" s="2">
        <v>8179.0</v>
      </c>
      <c r="K5199" s="3">
        <f t="shared" si="4"/>
        <v>0.1823756327</v>
      </c>
      <c r="L5199" s="2">
        <v>5820.0</v>
      </c>
      <c r="M5199" s="3">
        <f t="shared" si="5"/>
        <v>0.5962503842</v>
      </c>
      <c r="N5199" s="2">
        <v>5.67852E7</v>
      </c>
      <c r="O5199" s="4">
        <f t="shared" si="6"/>
        <v>5817.559676</v>
      </c>
      <c r="P5199" s="2">
        <v>3.0</v>
      </c>
      <c r="Q5199" s="3">
        <f t="shared" si="7"/>
        <v>0.0007132667618</v>
      </c>
      <c r="R5199" s="2">
        <v>2477.0</v>
      </c>
      <c r="S5199" s="5">
        <f t="shared" si="8"/>
        <v>0.5889205896</v>
      </c>
    </row>
    <row r="5200">
      <c r="A5200" s="2" t="s">
        <v>5202</v>
      </c>
      <c r="B5200" s="2">
        <v>299.0</v>
      </c>
      <c r="C5200" s="2">
        <v>3464.0</v>
      </c>
      <c r="D5200" s="2">
        <v>1051.0</v>
      </c>
      <c r="E5200" s="3">
        <f t="shared" si="1"/>
        <v>0.3320695103</v>
      </c>
      <c r="F5200" s="2">
        <v>388.0</v>
      </c>
      <c r="G5200" s="3">
        <f t="shared" si="2"/>
        <v>0.1225908373</v>
      </c>
      <c r="H5200" s="2">
        <v>653.0</v>
      </c>
      <c r="I5200" s="3">
        <f t="shared" si="3"/>
        <v>0.2063191153</v>
      </c>
      <c r="J5200" s="2">
        <v>536.0</v>
      </c>
      <c r="K5200" s="3">
        <f t="shared" si="4"/>
        <v>0.1693522907</v>
      </c>
      <c r="L5200" s="2">
        <v>382.0</v>
      </c>
      <c r="M5200" s="3">
        <f t="shared" si="5"/>
        <v>0.584992343</v>
      </c>
      <c r="N5200" s="2">
        <v>3657000.0</v>
      </c>
      <c r="O5200" s="4">
        <f t="shared" si="6"/>
        <v>5600.306279</v>
      </c>
      <c r="P5200" s="2">
        <v>0.0</v>
      </c>
      <c r="Q5200" s="3">
        <f t="shared" si="7"/>
        <v>0</v>
      </c>
      <c r="R5200" s="2">
        <v>299.0</v>
      </c>
      <c r="S5200" s="5">
        <f t="shared" si="8"/>
        <v>1</v>
      </c>
    </row>
    <row r="5201">
      <c r="A5201" s="2" t="s">
        <v>5203</v>
      </c>
      <c r="B5201" s="2">
        <v>238.0</v>
      </c>
      <c r="C5201" s="2">
        <v>2824.0</v>
      </c>
      <c r="D5201" s="2">
        <v>961.0</v>
      </c>
      <c r="E5201" s="3">
        <f t="shared" si="1"/>
        <v>0.371616396</v>
      </c>
      <c r="F5201" s="2">
        <v>317.0</v>
      </c>
      <c r="G5201" s="3">
        <f t="shared" si="2"/>
        <v>0.12258314</v>
      </c>
      <c r="H5201" s="2">
        <v>512.0</v>
      </c>
      <c r="I5201" s="3">
        <f t="shared" si="3"/>
        <v>0.1979891725</v>
      </c>
      <c r="J5201" s="2">
        <v>497.0</v>
      </c>
      <c r="K5201" s="3">
        <f t="shared" si="4"/>
        <v>0.1921887084</v>
      </c>
      <c r="L5201" s="2">
        <v>291.0</v>
      </c>
      <c r="M5201" s="3">
        <f t="shared" si="5"/>
        <v>0.568359375</v>
      </c>
      <c r="N5201" s="2">
        <v>2867600.0</v>
      </c>
      <c r="O5201" s="4">
        <f t="shared" si="6"/>
        <v>5600.78125</v>
      </c>
      <c r="P5201" s="2">
        <v>0.0</v>
      </c>
      <c r="Q5201" s="3">
        <f t="shared" si="7"/>
        <v>0</v>
      </c>
      <c r="R5201" s="2">
        <v>234.0</v>
      </c>
      <c r="S5201" s="5">
        <f t="shared" si="8"/>
        <v>0.9831932773</v>
      </c>
    </row>
    <row r="5202">
      <c r="A5202" s="2" t="s">
        <v>5204</v>
      </c>
      <c r="B5202" s="2">
        <v>572.0</v>
      </c>
      <c r="C5202" s="2">
        <v>6666.0</v>
      </c>
      <c r="D5202" s="2">
        <v>2442.0</v>
      </c>
      <c r="E5202" s="3">
        <f t="shared" si="1"/>
        <v>0.4007220217</v>
      </c>
      <c r="F5202" s="2">
        <v>747.0</v>
      </c>
      <c r="G5202" s="3">
        <f t="shared" si="2"/>
        <v>0.1225795865</v>
      </c>
      <c r="H5202" s="2">
        <v>1257.0</v>
      </c>
      <c r="I5202" s="3">
        <f t="shared" si="3"/>
        <v>0.2062684608</v>
      </c>
      <c r="J5202" s="2">
        <v>1046.0</v>
      </c>
      <c r="K5202" s="3">
        <f t="shared" si="4"/>
        <v>0.1716442402</v>
      </c>
      <c r="L5202" s="2">
        <v>716.0</v>
      </c>
      <c r="M5202" s="3">
        <f t="shared" si="5"/>
        <v>0.569610183</v>
      </c>
      <c r="N5202" s="2">
        <v>7215900.0</v>
      </c>
      <c r="O5202" s="4">
        <f t="shared" si="6"/>
        <v>5740.572792</v>
      </c>
      <c r="P5202" s="2">
        <v>2.0</v>
      </c>
      <c r="Q5202" s="3">
        <f t="shared" si="7"/>
        <v>0.003496503497</v>
      </c>
      <c r="R5202" s="2">
        <v>225.0</v>
      </c>
      <c r="S5202" s="5">
        <f t="shared" si="8"/>
        <v>0.3933566434</v>
      </c>
    </row>
    <row r="5203">
      <c r="A5203" s="2" t="s">
        <v>5205</v>
      </c>
      <c r="B5203" s="2">
        <v>446.0</v>
      </c>
      <c r="C5203" s="2">
        <v>5325.0</v>
      </c>
      <c r="D5203" s="2">
        <v>2057.0</v>
      </c>
      <c r="E5203" s="3">
        <f t="shared" si="1"/>
        <v>0.4216027875</v>
      </c>
      <c r="F5203" s="2">
        <v>598.0</v>
      </c>
      <c r="G5203" s="3">
        <f t="shared" si="2"/>
        <v>0.1225660996</v>
      </c>
      <c r="H5203" s="2">
        <v>967.0</v>
      </c>
      <c r="I5203" s="3">
        <f t="shared" si="3"/>
        <v>0.1981963517</v>
      </c>
      <c r="J5203" s="2">
        <v>817.0</v>
      </c>
      <c r="K5203" s="3">
        <f t="shared" si="4"/>
        <v>0.1674523468</v>
      </c>
      <c r="L5203" s="2">
        <v>564.0</v>
      </c>
      <c r="M5203" s="3">
        <f t="shared" si="5"/>
        <v>0.5832471562</v>
      </c>
      <c r="N5203" s="2">
        <v>5498300.0</v>
      </c>
      <c r="O5203" s="4">
        <f t="shared" si="6"/>
        <v>5685.935884</v>
      </c>
      <c r="P5203" s="2">
        <v>1.0</v>
      </c>
      <c r="Q5203" s="3">
        <f t="shared" si="7"/>
        <v>0.002242152466</v>
      </c>
      <c r="R5203" s="2">
        <v>446.0</v>
      </c>
      <c r="S5203" s="5">
        <f t="shared" si="8"/>
        <v>1</v>
      </c>
    </row>
    <row r="5204">
      <c r="A5204" s="2" t="s">
        <v>5206</v>
      </c>
      <c r="B5204" s="2">
        <v>216.0</v>
      </c>
      <c r="C5204" s="2">
        <v>2525.0</v>
      </c>
      <c r="D5204" s="2">
        <v>706.0</v>
      </c>
      <c r="E5204" s="3">
        <f t="shared" si="1"/>
        <v>0.3057600693</v>
      </c>
      <c r="F5204" s="2">
        <v>283.0</v>
      </c>
      <c r="G5204" s="3">
        <f t="shared" si="2"/>
        <v>0.1225638805</v>
      </c>
      <c r="H5204" s="2">
        <v>489.0</v>
      </c>
      <c r="I5204" s="3">
        <f t="shared" si="3"/>
        <v>0.2117799913</v>
      </c>
      <c r="J5204" s="2">
        <v>400.0</v>
      </c>
      <c r="K5204" s="3">
        <f t="shared" si="4"/>
        <v>0.1732351667</v>
      </c>
      <c r="L5204" s="2">
        <v>292.0</v>
      </c>
      <c r="M5204" s="3">
        <f t="shared" si="5"/>
        <v>0.5971370143</v>
      </c>
      <c r="N5204" s="2">
        <v>2707400.0</v>
      </c>
      <c r="O5204" s="4">
        <f t="shared" si="6"/>
        <v>5536.605317</v>
      </c>
      <c r="P5204" s="2">
        <v>0.0</v>
      </c>
      <c r="Q5204" s="3">
        <f t="shared" si="7"/>
        <v>0</v>
      </c>
      <c r="R5204" s="2">
        <v>216.0</v>
      </c>
      <c r="S5204" s="5">
        <f t="shared" si="8"/>
        <v>1</v>
      </c>
    </row>
    <row r="5205">
      <c r="A5205" s="2" t="s">
        <v>5207</v>
      </c>
      <c r="B5205" s="2">
        <v>500.0</v>
      </c>
      <c r="C5205" s="2">
        <v>5902.0</v>
      </c>
      <c r="D5205" s="2">
        <v>2147.0</v>
      </c>
      <c r="E5205" s="3">
        <f t="shared" si="1"/>
        <v>0.3974453906</v>
      </c>
      <c r="F5205" s="2">
        <v>662.0</v>
      </c>
      <c r="G5205" s="3">
        <f t="shared" si="2"/>
        <v>0.1225472047</v>
      </c>
      <c r="H5205" s="2">
        <v>1206.0</v>
      </c>
      <c r="I5205" s="3">
        <f t="shared" si="3"/>
        <v>0.2232506479</v>
      </c>
      <c r="J5205" s="2">
        <v>935.0</v>
      </c>
      <c r="K5205" s="3">
        <f t="shared" si="4"/>
        <v>0.1730840429</v>
      </c>
      <c r="L5205" s="2">
        <v>695.0</v>
      </c>
      <c r="M5205" s="3">
        <f t="shared" si="5"/>
        <v>0.5762852405</v>
      </c>
      <c r="N5205" s="2">
        <v>6391200.0</v>
      </c>
      <c r="O5205" s="4">
        <f t="shared" si="6"/>
        <v>5299.502488</v>
      </c>
      <c r="P5205" s="2">
        <v>1.0</v>
      </c>
      <c r="Q5205" s="3">
        <f t="shared" si="7"/>
        <v>0.002</v>
      </c>
      <c r="R5205" s="2">
        <v>500.0</v>
      </c>
      <c r="S5205" s="5">
        <f t="shared" si="8"/>
        <v>1</v>
      </c>
    </row>
    <row r="5206">
      <c r="A5206" s="2" t="s">
        <v>5208</v>
      </c>
      <c r="B5206" s="2">
        <v>101.0</v>
      </c>
      <c r="C5206" s="2">
        <v>1219.0</v>
      </c>
      <c r="D5206" s="2">
        <v>348.0</v>
      </c>
      <c r="E5206" s="3">
        <f t="shared" si="1"/>
        <v>0.3112701252</v>
      </c>
      <c r="F5206" s="2">
        <v>137.0</v>
      </c>
      <c r="G5206" s="3">
        <f t="shared" si="2"/>
        <v>0.1225402504</v>
      </c>
      <c r="H5206" s="2">
        <v>219.0</v>
      </c>
      <c r="I5206" s="3">
        <f t="shared" si="3"/>
        <v>0.1958855098</v>
      </c>
      <c r="J5206" s="2">
        <v>179.0</v>
      </c>
      <c r="K5206" s="3">
        <f t="shared" si="4"/>
        <v>0.1601073345</v>
      </c>
      <c r="L5206" s="2">
        <v>141.0</v>
      </c>
      <c r="M5206" s="3">
        <f t="shared" si="5"/>
        <v>0.6438356164</v>
      </c>
      <c r="N5206" s="2">
        <v>1175000.0</v>
      </c>
      <c r="O5206" s="4">
        <f t="shared" si="6"/>
        <v>5365.296804</v>
      </c>
      <c r="P5206" s="2">
        <v>0.0</v>
      </c>
      <c r="Q5206" s="3">
        <f t="shared" si="7"/>
        <v>0</v>
      </c>
      <c r="R5206" s="2">
        <v>101.0</v>
      </c>
      <c r="S5206" s="5">
        <f t="shared" si="8"/>
        <v>1</v>
      </c>
    </row>
    <row r="5207">
      <c r="A5207" s="2" t="s">
        <v>5209</v>
      </c>
      <c r="B5207" s="2">
        <v>6139.0</v>
      </c>
      <c r="C5207" s="2">
        <v>71668.0</v>
      </c>
      <c r="D5207" s="2">
        <v>21417.0</v>
      </c>
      <c r="E5207" s="3">
        <f t="shared" si="1"/>
        <v>0.3268323948</v>
      </c>
      <c r="F5207" s="2">
        <v>8029.0</v>
      </c>
      <c r="G5207" s="3">
        <f t="shared" si="2"/>
        <v>0.1225259046</v>
      </c>
      <c r="H5207" s="2">
        <v>14001.0</v>
      </c>
      <c r="I5207" s="3">
        <f t="shared" si="3"/>
        <v>0.2136611271</v>
      </c>
      <c r="J5207" s="2">
        <v>12719.0</v>
      </c>
      <c r="K5207" s="3">
        <f t="shared" si="4"/>
        <v>0.1940972699</v>
      </c>
      <c r="L5207" s="2">
        <v>8374.0</v>
      </c>
      <c r="M5207" s="3">
        <f t="shared" si="5"/>
        <v>0.5981001357</v>
      </c>
      <c r="N5207" s="2">
        <v>8.13268E7</v>
      </c>
      <c r="O5207" s="4">
        <f t="shared" si="6"/>
        <v>5808.64224</v>
      </c>
      <c r="P5207" s="2">
        <v>6.0</v>
      </c>
      <c r="Q5207" s="3">
        <f t="shared" si="7"/>
        <v>0.0009773578759</v>
      </c>
      <c r="R5207" s="2">
        <v>6139.0</v>
      </c>
      <c r="S5207" s="5">
        <f t="shared" si="8"/>
        <v>1</v>
      </c>
    </row>
    <row r="5208">
      <c r="A5208" s="2" t="s">
        <v>5210</v>
      </c>
      <c r="B5208" s="2">
        <v>1296.0</v>
      </c>
      <c r="C5208" s="2">
        <v>15049.0</v>
      </c>
      <c r="D5208" s="2">
        <v>4328.0</v>
      </c>
      <c r="E5208" s="3">
        <f t="shared" si="1"/>
        <v>0.3146949756</v>
      </c>
      <c r="F5208" s="2">
        <v>1685.0</v>
      </c>
      <c r="G5208" s="3">
        <f t="shared" si="2"/>
        <v>0.1225187232</v>
      </c>
      <c r="H5208" s="2">
        <v>2716.0</v>
      </c>
      <c r="I5208" s="3">
        <f t="shared" si="3"/>
        <v>0.1974841853</v>
      </c>
      <c r="J5208" s="2">
        <v>2062.0</v>
      </c>
      <c r="K5208" s="3">
        <f t="shared" si="4"/>
        <v>0.1499309242</v>
      </c>
      <c r="L5208" s="2">
        <v>1640.0</v>
      </c>
      <c r="M5208" s="3">
        <f t="shared" si="5"/>
        <v>0.6038291605</v>
      </c>
      <c r="N5208" s="2">
        <v>1.54291E7</v>
      </c>
      <c r="O5208" s="4">
        <f t="shared" si="6"/>
        <v>5680.817378</v>
      </c>
      <c r="P5208" s="2">
        <v>6.0</v>
      </c>
      <c r="Q5208" s="3">
        <f t="shared" si="7"/>
        <v>0.00462962963</v>
      </c>
      <c r="R5208" s="2">
        <v>1296.0</v>
      </c>
      <c r="S5208" s="5">
        <f t="shared" si="8"/>
        <v>1</v>
      </c>
    </row>
    <row r="5209">
      <c r="A5209" s="2" t="s">
        <v>5211</v>
      </c>
      <c r="B5209" s="2">
        <v>188.0</v>
      </c>
      <c r="C5209" s="2">
        <v>2253.0</v>
      </c>
      <c r="D5209" s="2">
        <v>787.0</v>
      </c>
      <c r="E5209" s="3">
        <f t="shared" si="1"/>
        <v>0.3811138015</v>
      </c>
      <c r="F5209" s="2">
        <v>253.0</v>
      </c>
      <c r="G5209" s="3">
        <f t="shared" si="2"/>
        <v>0.1225181598</v>
      </c>
      <c r="H5209" s="2">
        <v>392.0</v>
      </c>
      <c r="I5209" s="3">
        <f t="shared" si="3"/>
        <v>0.1898305085</v>
      </c>
      <c r="J5209" s="2">
        <v>292.0</v>
      </c>
      <c r="K5209" s="3">
        <f t="shared" si="4"/>
        <v>0.1414043584</v>
      </c>
      <c r="L5209" s="2">
        <v>233.0</v>
      </c>
      <c r="M5209" s="3">
        <f t="shared" si="5"/>
        <v>0.5943877551</v>
      </c>
      <c r="N5209" s="2">
        <v>2073300.0</v>
      </c>
      <c r="O5209" s="4">
        <f t="shared" si="6"/>
        <v>5289.030612</v>
      </c>
      <c r="P5209" s="2">
        <v>1.0</v>
      </c>
      <c r="Q5209" s="3">
        <f t="shared" si="7"/>
        <v>0.005319148936</v>
      </c>
      <c r="R5209" s="2">
        <v>3.0</v>
      </c>
      <c r="S5209" s="5">
        <f t="shared" si="8"/>
        <v>0.01595744681</v>
      </c>
    </row>
    <row r="5210">
      <c r="A5210" s="2" t="s">
        <v>5212</v>
      </c>
      <c r="B5210" s="2">
        <v>1421.0</v>
      </c>
      <c r="C5210" s="2">
        <v>16570.0</v>
      </c>
      <c r="D5210" s="2">
        <v>4701.0</v>
      </c>
      <c r="E5210" s="3">
        <f t="shared" si="1"/>
        <v>0.3103175127</v>
      </c>
      <c r="F5210" s="2">
        <v>1856.0</v>
      </c>
      <c r="G5210" s="3">
        <f t="shared" si="2"/>
        <v>0.1225163377</v>
      </c>
      <c r="H5210" s="2">
        <v>3163.0</v>
      </c>
      <c r="I5210" s="3">
        <f t="shared" si="3"/>
        <v>0.2087926596</v>
      </c>
      <c r="J5210" s="2">
        <v>2594.0</v>
      </c>
      <c r="K5210" s="3">
        <f t="shared" si="4"/>
        <v>0.1712324246</v>
      </c>
      <c r="L5210" s="2">
        <v>1870.0</v>
      </c>
      <c r="M5210" s="3">
        <f t="shared" si="5"/>
        <v>0.5912108758</v>
      </c>
      <c r="N5210" s="2">
        <v>1.81995E7</v>
      </c>
      <c r="O5210" s="4">
        <f t="shared" si="6"/>
        <v>5753.872905</v>
      </c>
      <c r="P5210" s="2">
        <v>1.0</v>
      </c>
      <c r="Q5210" s="3">
        <f t="shared" si="7"/>
        <v>0.0007037297678</v>
      </c>
      <c r="R5210" s="2">
        <v>1421.0</v>
      </c>
      <c r="S5210" s="5">
        <f t="shared" si="8"/>
        <v>1</v>
      </c>
    </row>
    <row r="5211">
      <c r="A5211" s="2" t="s">
        <v>5213</v>
      </c>
      <c r="B5211" s="2">
        <v>3497.0</v>
      </c>
      <c r="C5211" s="2">
        <v>40751.0</v>
      </c>
      <c r="D5211" s="2">
        <v>13595.0</v>
      </c>
      <c r="E5211" s="3">
        <f t="shared" si="1"/>
        <v>0.3649272561</v>
      </c>
      <c r="F5211" s="2">
        <v>4564.0</v>
      </c>
      <c r="G5211" s="3">
        <f t="shared" si="2"/>
        <v>0.1225103345</v>
      </c>
      <c r="H5211" s="2">
        <v>7717.0</v>
      </c>
      <c r="I5211" s="3">
        <f t="shared" si="3"/>
        <v>0.2071455414</v>
      </c>
      <c r="J5211" s="2">
        <v>6591.0</v>
      </c>
      <c r="K5211" s="3">
        <f t="shared" si="4"/>
        <v>0.1769205991</v>
      </c>
      <c r="L5211" s="2">
        <v>4507.0</v>
      </c>
      <c r="M5211" s="3">
        <f t="shared" si="5"/>
        <v>0.5840352469</v>
      </c>
      <c r="N5211" s="2">
        <v>4.36152E7</v>
      </c>
      <c r="O5211" s="4">
        <f t="shared" si="6"/>
        <v>5651.833614</v>
      </c>
      <c r="P5211" s="2">
        <v>3.0</v>
      </c>
      <c r="Q5211" s="3">
        <f t="shared" si="7"/>
        <v>0.0008578781813</v>
      </c>
      <c r="R5211" s="2">
        <v>3497.0</v>
      </c>
      <c r="S5211" s="5">
        <f t="shared" si="8"/>
        <v>1</v>
      </c>
    </row>
    <row r="5212">
      <c r="A5212" s="2" t="s">
        <v>5214</v>
      </c>
      <c r="B5212" s="2">
        <v>1349.0</v>
      </c>
      <c r="C5212" s="2">
        <v>15805.0</v>
      </c>
      <c r="D5212" s="2">
        <v>4807.0</v>
      </c>
      <c r="E5212" s="3">
        <f t="shared" si="1"/>
        <v>0.3325262867</v>
      </c>
      <c r="F5212" s="2">
        <v>1771.0</v>
      </c>
      <c r="G5212" s="3">
        <f t="shared" si="2"/>
        <v>0.1225096846</v>
      </c>
      <c r="H5212" s="2">
        <v>2962.0</v>
      </c>
      <c r="I5212" s="3">
        <f t="shared" si="3"/>
        <v>0.2048976204</v>
      </c>
      <c r="J5212" s="2">
        <v>2791.0</v>
      </c>
      <c r="K5212" s="3">
        <f t="shared" si="4"/>
        <v>0.193068622</v>
      </c>
      <c r="L5212" s="2">
        <v>1762.0</v>
      </c>
      <c r="M5212" s="3">
        <f t="shared" si="5"/>
        <v>0.5948683322</v>
      </c>
      <c r="N5212" s="2">
        <v>1.7941E7</v>
      </c>
      <c r="O5212" s="4">
        <f t="shared" si="6"/>
        <v>6057.056043</v>
      </c>
      <c r="P5212" s="2">
        <v>4.0</v>
      </c>
      <c r="Q5212" s="3">
        <f t="shared" si="7"/>
        <v>0.002965159377</v>
      </c>
      <c r="R5212" s="2">
        <v>1349.0</v>
      </c>
      <c r="S5212" s="5">
        <f t="shared" si="8"/>
        <v>1</v>
      </c>
    </row>
    <row r="5213">
      <c r="A5213" s="2" t="s">
        <v>5215</v>
      </c>
      <c r="B5213" s="2">
        <v>128.0</v>
      </c>
      <c r="C5213" s="2">
        <v>1532.0</v>
      </c>
      <c r="D5213" s="2">
        <v>483.0</v>
      </c>
      <c r="E5213" s="3">
        <f t="shared" si="1"/>
        <v>0.344017094</v>
      </c>
      <c r="F5213" s="2">
        <v>172.0</v>
      </c>
      <c r="G5213" s="3">
        <f t="shared" si="2"/>
        <v>0.1225071225</v>
      </c>
      <c r="H5213" s="2">
        <v>276.0</v>
      </c>
      <c r="I5213" s="3">
        <f t="shared" si="3"/>
        <v>0.1965811966</v>
      </c>
      <c r="J5213" s="2">
        <v>205.0</v>
      </c>
      <c r="K5213" s="3">
        <f t="shared" si="4"/>
        <v>0.146011396</v>
      </c>
      <c r="L5213" s="2">
        <v>172.0</v>
      </c>
      <c r="M5213" s="3">
        <f t="shared" si="5"/>
        <v>0.6231884058</v>
      </c>
      <c r="N5213" s="2">
        <v>1646600.0</v>
      </c>
      <c r="O5213" s="4">
        <f t="shared" si="6"/>
        <v>5965.942029</v>
      </c>
      <c r="P5213" s="2">
        <v>0.0</v>
      </c>
      <c r="Q5213" s="3">
        <f t="shared" si="7"/>
        <v>0</v>
      </c>
      <c r="R5213" s="2">
        <v>128.0</v>
      </c>
      <c r="S5213" s="5">
        <f t="shared" si="8"/>
        <v>1</v>
      </c>
    </row>
    <row r="5214">
      <c r="A5214" s="2" t="s">
        <v>5216</v>
      </c>
      <c r="B5214" s="2">
        <v>636.0</v>
      </c>
      <c r="C5214" s="2">
        <v>7591.0</v>
      </c>
      <c r="D5214" s="2">
        <v>2496.0</v>
      </c>
      <c r="E5214" s="3">
        <f t="shared" si="1"/>
        <v>0.3588785047</v>
      </c>
      <c r="F5214" s="2">
        <v>852.0</v>
      </c>
      <c r="G5214" s="3">
        <f t="shared" si="2"/>
        <v>0.1225017973</v>
      </c>
      <c r="H5214" s="2">
        <v>1485.0</v>
      </c>
      <c r="I5214" s="3">
        <f t="shared" si="3"/>
        <v>0.2135154565</v>
      </c>
      <c r="J5214" s="2">
        <v>1414.0</v>
      </c>
      <c r="K5214" s="3">
        <f t="shared" si="4"/>
        <v>0.2033069734</v>
      </c>
      <c r="L5214" s="2">
        <v>835.0</v>
      </c>
      <c r="M5214" s="3">
        <f t="shared" si="5"/>
        <v>0.5622895623</v>
      </c>
      <c r="N5214" s="2">
        <v>8385100.0</v>
      </c>
      <c r="O5214" s="4">
        <f t="shared" si="6"/>
        <v>5646.531987</v>
      </c>
      <c r="P5214" s="2">
        <v>1.0</v>
      </c>
      <c r="Q5214" s="3">
        <f t="shared" si="7"/>
        <v>0.001572327044</v>
      </c>
      <c r="R5214" s="2">
        <v>36.0</v>
      </c>
      <c r="S5214" s="5">
        <f t="shared" si="8"/>
        <v>0.05660377358</v>
      </c>
    </row>
    <row r="5215">
      <c r="A5215" s="2" t="s">
        <v>5217</v>
      </c>
      <c r="B5215" s="2">
        <v>1476.0</v>
      </c>
      <c r="C5215" s="2">
        <v>17182.0</v>
      </c>
      <c r="D5215" s="2">
        <v>5364.0</v>
      </c>
      <c r="E5215" s="3">
        <f t="shared" si="1"/>
        <v>0.3415255316</v>
      </c>
      <c r="F5215" s="2">
        <v>1924.0</v>
      </c>
      <c r="G5215" s="3">
        <f t="shared" si="2"/>
        <v>0.122500955</v>
      </c>
      <c r="H5215" s="2">
        <v>3258.0</v>
      </c>
      <c r="I5215" s="3">
        <f t="shared" si="3"/>
        <v>0.2074366484</v>
      </c>
      <c r="J5215" s="2">
        <v>3074.0</v>
      </c>
      <c r="K5215" s="3">
        <f t="shared" si="4"/>
        <v>0.1957213804</v>
      </c>
      <c r="L5215" s="2">
        <v>1859.0</v>
      </c>
      <c r="M5215" s="3">
        <f t="shared" si="5"/>
        <v>0.5705954573</v>
      </c>
      <c r="N5215" s="2">
        <v>1.94577E7</v>
      </c>
      <c r="O5215" s="4">
        <f t="shared" si="6"/>
        <v>5972.28361</v>
      </c>
      <c r="P5215" s="2">
        <v>2.0</v>
      </c>
      <c r="Q5215" s="3">
        <f t="shared" si="7"/>
        <v>0.00135501355</v>
      </c>
      <c r="R5215" s="2">
        <v>1476.0</v>
      </c>
      <c r="S5215" s="5">
        <f t="shared" si="8"/>
        <v>1</v>
      </c>
    </row>
    <row r="5216">
      <c r="A5216" s="2" t="s">
        <v>5218</v>
      </c>
      <c r="B5216" s="2">
        <v>574.0</v>
      </c>
      <c r="C5216" s="2">
        <v>6721.0</v>
      </c>
      <c r="D5216" s="2">
        <v>1974.0</v>
      </c>
      <c r="E5216" s="3">
        <f t="shared" si="1"/>
        <v>0.3211322596</v>
      </c>
      <c r="F5216" s="2">
        <v>753.0</v>
      </c>
      <c r="G5216" s="3">
        <f t="shared" si="2"/>
        <v>0.1224987799</v>
      </c>
      <c r="H5216" s="2">
        <v>1271.0</v>
      </c>
      <c r="I5216" s="3">
        <f t="shared" si="3"/>
        <v>0.2067675289</v>
      </c>
      <c r="J5216" s="2">
        <v>1143.0</v>
      </c>
      <c r="K5216" s="3">
        <f t="shared" si="4"/>
        <v>0.1859443631</v>
      </c>
      <c r="L5216" s="2">
        <v>752.0</v>
      </c>
      <c r="M5216" s="3">
        <f t="shared" si="5"/>
        <v>0.5916601101</v>
      </c>
      <c r="N5216" s="2">
        <v>7800300.0</v>
      </c>
      <c r="O5216" s="4">
        <f t="shared" si="6"/>
        <v>6137.136113</v>
      </c>
      <c r="P5216" s="2">
        <v>0.0</v>
      </c>
      <c r="Q5216" s="3">
        <f t="shared" si="7"/>
        <v>0</v>
      </c>
      <c r="R5216" s="2">
        <v>574.0</v>
      </c>
      <c r="S5216" s="5">
        <f t="shared" si="8"/>
        <v>1</v>
      </c>
    </row>
    <row r="5217">
      <c r="A5217" s="2" t="s">
        <v>5219</v>
      </c>
      <c r="B5217" s="2">
        <v>2646.0</v>
      </c>
      <c r="C5217" s="2">
        <v>31088.0</v>
      </c>
      <c r="D5217" s="2">
        <v>9806.0</v>
      </c>
      <c r="E5217" s="3">
        <f t="shared" si="1"/>
        <v>0.3447718163</v>
      </c>
      <c r="F5217" s="2">
        <v>3484.0</v>
      </c>
      <c r="G5217" s="3">
        <f t="shared" si="2"/>
        <v>0.1224949019</v>
      </c>
      <c r="H5217" s="2">
        <v>5820.0</v>
      </c>
      <c r="I5217" s="3">
        <f t="shared" si="3"/>
        <v>0.2046269601</v>
      </c>
      <c r="J5217" s="2">
        <v>4675.0</v>
      </c>
      <c r="K5217" s="3">
        <f t="shared" si="4"/>
        <v>0.1643695943</v>
      </c>
      <c r="L5217" s="2">
        <v>3459.0</v>
      </c>
      <c r="M5217" s="3">
        <f t="shared" si="5"/>
        <v>0.5943298969</v>
      </c>
      <c r="N5217" s="2">
        <v>3.53094E7</v>
      </c>
      <c r="O5217" s="4">
        <f t="shared" si="6"/>
        <v>6066.907216</v>
      </c>
      <c r="P5217" s="2">
        <v>5.0</v>
      </c>
      <c r="Q5217" s="3">
        <f t="shared" si="7"/>
        <v>0.001889644747</v>
      </c>
      <c r="R5217" s="2">
        <v>2646.0</v>
      </c>
      <c r="S5217" s="5">
        <f t="shared" si="8"/>
        <v>1</v>
      </c>
    </row>
    <row r="5218">
      <c r="A5218" s="2" t="s">
        <v>5220</v>
      </c>
      <c r="B5218" s="2">
        <v>120.0</v>
      </c>
      <c r="C5218" s="2">
        <v>1410.0</v>
      </c>
      <c r="D5218" s="2">
        <v>450.0</v>
      </c>
      <c r="E5218" s="3">
        <f t="shared" si="1"/>
        <v>0.3488372093</v>
      </c>
      <c r="F5218" s="2">
        <v>158.0</v>
      </c>
      <c r="G5218" s="3">
        <f t="shared" si="2"/>
        <v>0.1224806202</v>
      </c>
      <c r="H5218" s="2">
        <v>282.0</v>
      </c>
      <c r="I5218" s="3">
        <f t="shared" si="3"/>
        <v>0.2186046512</v>
      </c>
      <c r="J5218" s="2">
        <v>263.0</v>
      </c>
      <c r="K5218" s="3">
        <f t="shared" si="4"/>
        <v>0.203875969</v>
      </c>
      <c r="L5218" s="2">
        <v>166.0</v>
      </c>
      <c r="M5218" s="3">
        <f t="shared" si="5"/>
        <v>0.5886524823</v>
      </c>
      <c r="N5218" s="2">
        <v>1396100.0</v>
      </c>
      <c r="O5218" s="4">
        <f t="shared" si="6"/>
        <v>4950.70922</v>
      </c>
      <c r="P5218" s="2">
        <v>0.0</v>
      </c>
      <c r="Q5218" s="3">
        <f t="shared" si="7"/>
        <v>0</v>
      </c>
      <c r="R5218" s="2">
        <v>120.0</v>
      </c>
      <c r="S5218" s="5">
        <f t="shared" si="8"/>
        <v>1</v>
      </c>
    </row>
    <row r="5219">
      <c r="A5219" s="2" t="s">
        <v>5221</v>
      </c>
      <c r="B5219" s="2">
        <v>527.0</v>
      </c>
      <c r="C5219" s="2">
        <v>6177.0</v>
      </c>
      <c r="D5219" s="2">
        <v>2083.0</v>
      </c>
      <c r="E5219" s="3">
        <f t="shared" si="1"/>
        <v>0.3686725664</v>
      </c>
      <c r="F5219" s="2">
        <v>692.0</v>
      </c>
      <c r="G5219" s="3">
        <f t="shared" si="2"/>
        <v>0.1224778761</v>
      </c>
      <c r="H5219" s="2">
        <v>1156.0</v>
      </c>
      <c r="I5219" s="3">
        <f t="shared" si="3"/>
        <v>0.2046017699</v>
      </c>
      <c r="J5219" s="2">
        <v>810.0</v>
      </c>
      <c r="K5219" s="3">
        <f t="shared" si="4"/>
        <v>0.1433628319</v>
      </c>
      <c r="L5219" s="2">
        <v>717.0</v>
      </c>
      <c r="M5219" s="3">
        <f t="shared" si="5"/>
        <v>0.6202422145</v>
      </c>
      <c r="N5219" s="2">
        <v>6119100.0</v>
      </c>
      <c r="O5219" s="4">
        <f t="shared" si="6"/>
        <v>5293.3391</v>
      </c>
      <c r="P5219" s="2">
        <v>1.0</v>
      </c>
      <c r="Q5219" s="3">
        <f t="shared" si="7"/>
        <v>0.001897533207</v>
      </c>
      <c r="R5219" s="2">
        <v>527.0</v>
      </c>
      <c r="S5219" s="5">
        <f t="shared" si="8"/>
        <v>1</v>
      </c>
    </row>
    <row r="5220">
      <c r="A5220" s="2" t="s">
        <v>5222</v>
      </c>
      <c r="B5220" s="2">
        <v>454.0</v>
      </c>
      <c r="C5220" s="2">
        <v>5296.0</v>
      </c>
      <c r="D5220" s="2">
        <v>1552.0</v>
      </c>
      <c r="E5220" s="3">
        <f t="shared" si="1"/>
        <v>0.3205287071</v>
      </c>
      <c r="F5220" s="2">
        <v>593.0</v>
      </c>
      <c r="G5220" s="3">
        <f t="shared" si="2"/>
        <v>0.1224700537</v>
      </c>
      <c r="H5220" s="2">
        <v>1007.0</v>
      </c>
      <c r="I5220" s="3">
        <f t="shared" si="3"/>
        <v>0.2079719124</v>
      </c>
      <c r="J5220" s="2">
        <v>778.0</v>
      </c>
      <c r="K5220" s="3">
        <f t="shared" si="4"/>
        <v>0.160677406</v>
      </c>
      <c r="L5220" s="2">
        <v>576.0</v>
      </c>
      <c r="M5220" s="3">
        <f t="shared" si="5"/>
        <v>0.5719960278</v>
      </c>
      <c r="N5220" s="2">
        <v>5544100.0</v>
      </c>
      <c r="O5220" s="4">
        <f t="shared" si="6"/>
        <v>5505.561072</v>
      </c>
      <c r="P5220" s="2">
        <v>0.0</v>
      </c>
      <c r="Q5220" s="3">
        <f t="shared" si="7"/>
        <v>0</v>
      </c>
      <c r="R5220" s="2">
        <v>454.0</v>
      </c>
      <c r="S5220" s="5">
        <f t="shared" si="8"/>
        <v>1</v>
      </c>
    </row>
    <row r="5221">
      <c r="A5221" s="2" t="s">
        <v>5223</v>
      </c>
      <c r="B5221" s="2">
        <v>674.0</v>
      </c>
      <c r="C5221" s="2">
        <v>7982.0</v>
      </c>
      <c r="D5221" s="2">
        <v>2496.0</v>
      </c>
      <c r="E5221" s="3">
        <f t="shared" si="1"/>
        <v>0.341543514</v>
      </c>
      <c r="F5221" s="2">
        <v>895.0</v>
      </c>
      <c r="G5221" s="3">
        <f t="shared" si="2"/>
        <v>0.1224685276</v>
      </c>
      <c r="H5221" s="2">
        <v>1477.0</v>
      </c>
      <c r="I5221" s="3">
        <f t="shared" si="3"/>
        <v>0.2021072797</v>
      </c>
      <c r="J5221" s="2">
        <v>1125.0</v>
      </c>
      <c r="K5221" s="3">
        <f t="shared" si="4"/>
        <v>0.1539408867</v>
      </c>
      <c r="L5221" s="2">
        <v>876.0</v>
      </c>
      <c r="M5221" s="3">
        <f t="shared" si="5"/>
        <v>0.5930941097</v>
      </c>
      <c r="N5221" s="2">
        <v>8101000.0</v>
      </c>
      <c r="O5221" s="4">
        <f t="shared" si="6"/>
        <v>5484.766418</v>
      </c>
      <c r="P5221" s="2">
        <v>0.0</v>
      </c>
      <c r="Q5221" s="3">
        <f t="shared" si="7"/>
        <v>0</v>
      </c>
      <c r="R5221" s="2">
        <v>98.0</v>
      </c>
      <c r="S5221" s="5">
        <f t="shared" si="8"/>
        <v>0.1454005935</v>
      </c>
    </row>
    <row r="5222">
      <c r="A5222" s="2" t="s">
        <v>5224</v>
      </c>
      <c r="B5222" s="2">
        <v>933.0</v>
      </c>
      <c r="C5222" s="2">
        <v>10871.0</v>
      </c>
      <c r="D5222" s="2">
        <v>3616.0</v>
      </c>
      <c r="E5222" s="3">
        <f t="shared" si="1"/>
        <v>0.3638559066</v>
      </c>
      <c r="F5222" s="2">
        <v>1217.0</v>
      </c>
      <c r="G5222" s="3">
        <f t="shared" si="2"/>
        <v>0.1224592473</v>
      </c>
      <c r="H5222" s="2">
        <v>2026.0</v>
      </c>
      <c r="I5222" s="3">
        <f t="shared" si="3"/>
        <v>0.2038639565</v>
      </c>
      <c r="J5222" s="2">
        <v>1579.0</v>
      </c>
      <c r="K5222" s="3">
        <f t="shared" si="4"/>
        <v>0.1588850875</v>
      </c>
      <c r="L5222" s="2">
        <v>1192.0</v>
      </c>
      <c r="M5222" s="3">
        <f t="shared" si="5"/>
        <v>0.5883514314</v>
      </c>
      <c r="N5222" s="2">
        <v>1.15459E7</v>
      </c>
      <c r="O5222" s="4">
        <f t="shared" si="6"/>
        <v>5698.864758</v>
      </c>
      <c r="P5222" s="2">
        <v>0.0</v>
      </c>
      <c r="Q5222" s="3">
        <f t="shared" si="7"/>
        <v>0</v>
      </c>
      <c r="R5222" s="2">
        <v>933.0</v>
      </c>
      <c r="S5222" s="5">
        <f t="shared" si="8"/>
        <v>1</v>
      </c>
    </row>
    <row r="5223">
      <c r="A5223" s="2" t="s">
        <v>5225</v>
      </c>
      <c r="B5223" s="2">
        <v>636.0</v>
      </c>
      <c r="C5223" s="2">
        <v>7569.0</v>
      </c>
      <c r="D5223" s="2">
        <v>1941.0</v>
      </c>
      <c r="E5223" s="3">
        <f t="shared" si="1"/>
        <v>0.279965383</v>
      </c>
      <c r="F5223" s="2">
        <v>849.0</v>
      </c>
      <c r="G5223" s="3">
        <f t="shared" si="2"/>
        <v>0.1224578105</v>
      </c>
      <c r="H5223" s="2">
        <v>1467.0</v>
      </c>
      <c r="I5223" s="3">
        <f t="shared" si="3"/>
        <v>0.2115967114</v>
      </c>
      <c r="J5223" s="2">
        <v>1348.0</v>
      </c>
      <c r="K5223" s="3">
        <f t="shared" si="4"/>
        <v>0.1944324246</v>
      </c>
      <c r="L5223" s="2">
        <v>865.0</v>
      </c>
      <c r="M5223" s="3">
        <f t="shared" si="5"/>
        <v>0.5896387185</v>
      </c>
      <c r="N5223" s="2">
        <v>8652200.0</v>
      </c>
      <c r="O5223" s="4">
        <f t="shared" si="6"/>
        <v>5897.886844</v>
      </c>
      <c r="P5223" s="2">
        <v>1.0</v>
      </c>
      <c r="Q5223" s="3">
        <f t="shared" si="7"/>
        <v>0.001572327044</v>
      </c>
      <c r="R5223" s="2">
        <v>636.0</v>
      </c>
      <c r="S5223" s="5">
        <f t="shared" si="8"/>
        <v>1</v>
      </c>
    </row>
    <row r="5224">
      <c r="A5224" s="2" t="s">
        <v>5226</v>
      </c>
      <c r="B5224" s="2">
        <v>10.0</v>
      </c>
      <c r="C5224" s="2">
        <v>108.0</v>
      </c>
      <c r="D5224" s="2">
        <v>37.0</v>
      </c>
      <c r="E5224" s="3">
        <f t="shared" si="1"/>
        <v>0.3775510204</v>
      </c>
      <c r="F5224" s="2">
        <v>12.0</v>
      </c>
      <c r="G5224" s="3">
        <f t="shared" si="2"/>
        <v>0.1224489796</v>
      </c>
      <c r="H5224" s="2">
        <v>16.0</v>
      </c>
      <c r="I5224" s="3">
        <f t="shared" si="3"/>
        <v>0.1632653061</v>
      </c>
      <c r="J5224" s="2">
        <v>10.0</v>
      </c>
      <c r="K5224" s="3">
        <f t="shared" si="4"/>
        <v>0.1020408163</v>
      </c>
      <c r="L5224" s="2">
        <v>12.0</v>
      </c>
      <c r="M5224" s="3">
        <f t="shared" si="5"/>
        <v>0.75</v>
      </c>
      <c r="N5224" s="2">
        <v>97600.0</v>
      </c>
      <c r="O5224" s="4">
        <f t="shared" si="6"/>
        <v>6100</v>
      </c>
      <c r="P5224" s="2">
        <v>0.0</v>
      </c>
      <c r="Q5224" s="3">
        <f t="shared" si="7"/>
        <v>0</v>
      </c>
      <c r="R5224" s="2">
        <v>10.0</v>
      </c>
      <c r="S5224" s="5">
        <f t="shared" si="8"/>
        <v>1</v>
      </c>
    </row>
    <row r="5225">
      <c r="A5225" s="2" t="s">
        <v>5227</v>
      </c>
      <c r="B5225" s="2">
        <v>799.0</v>
      </c>
      <c r="C5225" s="2">
        <v>9415.0</v>
      </c>
      <c r="D5225" s="2">
        <v>3040.0</v>
      </c>
      <c r="E5225" s="3">
        <f t="shared" si="1"/>
        <v>0.3528319406</v>
      </c>
      <c r="F5225" s="2">
        <v>1055.0</v>
      </c>
      <c r="G5225" s="3">
        <f t="shared" si="2"/>
        <v>0.122446611</v>
      </c>
      <c r="H5225" s="2">
        <v>1755.0</v>
      </c>
      <c r="I5225" s="3">
        <f t="shared" si="3"/>
        <v>0.2036908078</v>
      </c>
      <c r="J5225" s="2">
        <v>1445.0</v>
      </c>
      <c r="K5225" s="3">
        <f t="shared" si="4"/>
        <v>0.1677112349</v>
      </c>
      <c r="L5225" s="2">
        <v>1054.0</v>
      </c>
      <c r="M5225" s="3">
        <f t="shared" si="5"/>
        <v>0.6005698006</v>
      </c>
      <c r="N5225" s="2">
        <v>9928600.0</v>
      </c>
      <c r="O5225" s="4">
        <f t="shared" si="6"/>
        <v>5657.321937</v>
      </c>
      <c r="P5225" s="2">
        <v>4.0</v>
      </c>
      <c r="Q5225" s="3">
        <f t="shared" si="7"/>
        <v>0.005006257822</v>
      </c>
      <c r="R5225" s="2">
        <v>799.0</v>
      </c>
      <c r="S5225" s="5">
        <f t="shared" si="8"/>
        <v>1</v>
      </c>
    </row>
    <row r="5226">
      <c r="A5226" s="2" t="s">
        <v>5228</v>
      </c>
      <c r="B5226" s="2">
        <v>622.0</v>
      </c>
      <c r="C5226" s="2">
        <v>7377.0</v>
      </c>
      <c r="D5226" s="2">
        <v>2266.0</v>
      </c>
      <c r="E5226" s="3">
        <f t="shared" si="1"/>
        <v>0.3354552184</v>
      </c>
      <c r="F5226" s="2">
        <v>827.0</v>
      </c>
      <c r="G5226" s="3">
        <f t="shared" si="2"/>
        <v>0.1224278312</v>
      </c>
      <c r="H5226" s="2">
        <v>1415.0</v>
      </c>
      <c r="I5226" s="3">
        <f t="shared" si="3"/>
        <v>0.2094744634</v>
      </c>
      <c r="J5226" s="2">
        <v>1068.0</v>
      </c>
      <c r="K5226" s="3">
        <f t="shared" si="4"/>
        <v>0.1581051073</v>
      </c>
      <c r="L5226" s="2">
        <v>873.0</v>
      </c>
      <c r="M5226" s="3">
        <f t="shared" si="5"/>
        <v>0.6169611307</v>
      </c>
      <c r="N5226" s="2">
        <v>7776800.0</v>
      </c>
      <c r="O5226" s="4">
        <f t="shared" si="6"/>
        <v>5495.971731</v>
      </c>
      <c r="P5226" s="2">
        <v>0.0</v>
      </c>
      <c r="Q5226" s="3">
        <f t="shared" si="7"/>
        <v>0</v>
      </c>
      <c r="R5226" s="2">
        <v>622.0</v>
      </c>
      <c r="S5226" s="5">
        <f t="shared" si="8"/>
        <v>1</v>
      </c>
    </row>
    <row r="5227">
      <c r="A5227" s="2" t="s">
        <v>5229</v>
      </c>
      <c r="B5227" s="2">
        <v>84.0</v>
      </c>
      <c r="C5227" s="2">
        <v>958.0</v>
      </c>
      <c r="D5227" s="2">
        <v>363.0</v>
      </c>
      <c r="E5227" s="3">
        <f t="shared" si="1"/>
        <v>0.4153318078</v>
      </c>
      <c r="F5227" s="2">
        <v>107.0</v>
      </c>
      <c r="G5227" s="3">
        <f t="shared" si="2"/>
        <v>0.1224256293</v>
      </c>
      <c r="H5227" s="2">
        <v>212.0</v>
      </c>
      <c r="I5227" s="3">
        <f t="shared" si="3"/>
        <v>0.2425629291</v>
      </c>
      <c r="J5227" s="2">
        <v>129.0</v>
      </c>
      <c r="K5227" s="3">
        <f t="shared" si="4"/>
        <v>0.147597254</v>
      </c>
      <c r="L5227" s="2">
        <v>141.0</v>
      </c>
      <c r="M5227" s="3">
        <f t="shared" si="5"/>
        <v>0.6650943396</v>
      </c>
      <c r="N5227" s="2">
        <v>1064100.0</v>
      </c>
      <c r="O5227" s="4">
        <f t="shared" si="6"/>
        <v>5019.339623</v>
      </c>
      <c r="P5227" s="2">
        <v>0.0</v>
      </c>
      <c r="Q5227" s="3">
        <f t="shared" si="7"/>
        <v>0</v>
      </c>
      <c r="R5227" s="2">
        <v>20.0</v>
      </c>
      <c r="S5227" s="5">
        <f t="shared" si="8"/>
        <v>0.2380952381</v>
      </c>
    </row>
    <row r="5228">
      <c r="A5228" s="2" t="s">
        <v>5230</v>
      </c>
      <c r="B5228" s="2">
        <v>144.0</v>
      </c>
      <c r="C5228" s="2">
        <v>1696.0</v>
      </c>
      <c r="D5228" s="2">
        <v>710.0</v>
      </c>
      <c r="E5228" s="3">
        <f t="shared" si="1"/>
        <v>0.4574742268</v>
      </c>
      <c r="F5228" s="2">
        <v>190.0</v>
      </c>
      <c r="G5228" s="3">
        <f t="shared" si="2"/>
        <v>0.1224226804</v>
      </c>
      <c r="H5228" s="2">
        <v>359.0</v>
      </c>
      <c r="I5228" s="3">
        <f t="shared" si="3"/>
        <v>0.231314433</v>
      </c>
      <c r="J5228" s="2">
        <v>250.0</v>
      </c>
      <c r="K5228" s="3">
        <f t="shared" si="4"/>
        <v>0.1610824742</v>
      </c>
      <c r="L5228" s="2">
        <v>221.0</v>
      </c>
      <c r="M5228" s="3">
        <f t="shared" si="5"/>
        <v>0.6155988858</v>
      </c>
      <c r="N5228" s="2">
        <v>1796000.0</v>
      </c>
      <c r="O5228" s="4">
        <f t="shared" si="6"/>
        <v>5002.785515</v>
      </c>
      <c r="P5228" s="2">
        <v>0.0</v>
      </c>
      <c r="Q5228" s="3">
        <f t="shared" si="7"/>
        <v>0</v>
      </c>
      <c r="R5228" s="2">
        <v>0.0</v>
      </c>
      <c r="S5228" s="5">
        <f t="shared" si="8"/>
        <v>0</v>
      </c>
    </row>
    <row r="5229">
      <c r="A5229" s="2" t="s">
        <v>5231</v>
      </c>
      <c r="B5229" s="2">
        <v>4006.0</v>
      </c>
      <c r="C5229" s="2">
        <v>47137.0</v>
      </c>
      <c r="D5229" s="2">
        <v>13988.0</v>
      </c>
      <c r="E5229" s="3">
        <f t="shared" si="1"/>
        <v>0.3243142983</v>
      </c>
      <c r="F5229" s="2">
        <v>5280.0</v>
      </c>
      <c r="G5229" s="3">
        <f t="shared" si="2"/>
        <v>0.1224177506</v>
      </c>
      <c r="H5229" s="2">
        <v>9013.0</v>
      </c>
      <c r="I5229" s="3">
        <f t="shared" si="3"/>
        <v>0.2089680276</v>
      </c>
      <c r="J5229" s="2">
        <v>7280.0</v>
      </c>
      <c r="K5229" s="3">
        <f t="shared" si="4"/>
        <v>0.1687881106</v>
      </c>
      <c r="L5229" s="2">
        <v>5308.0</v>
      </c>
      <c r="M5229" s="3">
        <f t="shared" si="5"/>
        <v>0.5889271053</v>
      </c>
      <c r="N5229" s="2">
        <v>4.89852E7</v>
      </c>
      <c r="O5229" s="4">
        <f t="shared" si="6"/>
        <v>5434.949517</v>
      </c>
      <c r="P5229" s="2">
        <v>6.0</v>
      </c>
      <c r="Q5229" s="3">
        <f t="shared" si="7"/>
        <v>0.00149775337</v>
      </c>
      <c r="R5229" s="2">
        <v>4006.0</v>
      </c>
      <c r="S5229" s="5">
        <f t="shared" si="8"/>
        <v>1</v>
      </c>
    </row>
    <row r="5230">
      <c r="A5230" s="2" t="s">
        <v>5232</v>
      </c>
      <c r="B5230" s="2">
        <v>3302.0</v>
      </c>
      <c r="C5230" s="2">
        <v>38951.0</v>
      </c>
      <c r="D5230" s="2">
        <v>12200.0</v>
      </c>
      <c r="E5230" s="3">
        <f t="shared" si="1"/>
        <v>0.3422255884</v>
      </c>
      <c r="F5230" s="2">
        <v>4364.0</v>
      </c>
      <c r="G5230" s="3">
        <f t="shared" si="2"/>
        <v>0.122415776</v>
      </c>
      <c r="H5230" s="2">
        <v>7930.0</v>
      </c>
      <c r="I5230" s="3">
        <f t="shared" si="3"/>
        <v>0.2224466324</v>
      </c>
      <c r="J5230" s="2">
        <v>5856.0</v>
      </c>
      <c r="K5230" s="3">
        <f t="shared" si="4"/>
        <v>0.1642682824</v>
      </c>
      <c r="L5230" s="2">
        <v>4697.0</v>
      </c>
      <c r="M5230" s="3">
        <f t="shared" si="5"/>
        <v>0.5923076923</v>
      </c>
      <c r="N5230" s="2">
        <v>4.30549E7</v>
      </c>
      <c r="O5230" s="4">
        <f t="shared" si="6"/>
        <v>5429.369483</v>
      </c>
      <c r="P5230" s="2">
        <v>4.0</v>
      </c>
      <c r="Q5230" s="3">
        <f t="shared" si="7"/>
        <v>0.001211387038</v>
      </c>
      <c r="R5230" s="2">
        <v>3302.0</v>
      </c>
      <c r="S5230" s="5">
        <f t="shared" si="8"/>
        <v>1</v>
      </c>
    </row>
    <row r="5231">
      <c r="A5231" s="2" t="s">
        <v>5233</v>
      </c>
      <c r="B5231" s="2">
        <v>337.0</v>
      </c>
      <c r="C5231" s="2">
        <v>4013.0</v>
      </c>
      <c r="D5231" s="2">
        <v>1130.0</v>
      </c>
      <c r="E5231" s="3">
        <f t="shared" si="1"/>
        <v>0.3073993471</v>
      </c>
      <c r="F5231" s="2">
        <v>450.0</v>
      </c>
      <c r="G5231" s="3">
        <f t="shared" si="2"/>
        <v>0.1224156692</v>
      </c>
      <c r="H5231" s="2">
        <v>717.0</v>
      </c>
      <c r="I5231" s="3">
        <f t="shared" si="3"/>
        <v>0.1950489663</v>
      </c>
      <c r="J5231" s="2">
        <v>652.0</v>
      </c>
      <c r="K5231" s="3">
        <f t="shared" si="4"/>
        <v>0.1773667029</v>
      </c>
      <c r="L5231" s="2">
        <v>436.0</v>
      </c>
      <c r="M5231" s="3">
        <f t="shared" si="5"/>
        <v>0.6080892608</v>
      </c>
      <c r="N5231" s="2">
        <v>4122900.0</v>
      </c>
      <c r="O5231" s="4">
        <f t="shared" si="6"/>
        <v>5750.209205</v>
      </c>
      <c r="P5231" s="2">
        <v>1.0</v>
      </c>
      <c r="Q5231" s="3">
        <f t="shared" si="7"/>
        <v>0.00296735905</v>
      </c>
      <c r="R5231" s="2">
        <v>337.0</v>
      </c>
      <c r="S5231" s="5">
        <f t="shared" si="8"/>
        <v>1</v>
      </c>
    </row>
    <row r="5232">
      <c r="A5232" s="2" t="s">
        <v>5234</v>
      </c>
      <c r="B5232" s="2">
        <v>679.0</v>
      </c>
      <c r="C5232" s="2">
        <v>7999.0</v>
      </c>
      <c r="D5232" s="2">
        <v>2715.0</v>
      </c>
      <c r="E5232" s="3">
        <f t="shared" si="1"/>
        <v>0.3709016393</v>
      </c>
      <c r="F5232" s="2">
        <v>896.0</v>
      </c>
      <c r="G5232" s="3">
        <f t="shared" si="2"/>
        <v>0.1224043716</v>
      </c>
      <c r="H5232" s="2">
        <v>1509.0</v>
      </c>
      <c r="I5232" s="3">
        <f t="shared" si="3"/>
        <v>0.206147541</v>
      </c>
      <c r="J5232" s="2">
        <v>1151.0</v>
      </c>
      <c r="K5232" s="3">
        <f t="shared" si="4"/>
        <v>0.1572404372</v>
      </c>
      <c r="L5232" s="2">
        <v>939.0</v>
      </c>
      <c r="M5232" s="3">
        <f t="shared" si="5"/>
        <v>0.6222664016</v>
      </c>
      <c r="N5232" s="2">
        <v>8458500.0</v>
      </c>
      <c r="O5232" s="4">
        <f t="shared" si="6"/>
        <v>5605.367793</v>
      </c>
      <c r="P5232" s="2">
        <v>2.0</v>
      </c>
      <c r="Q5232" s="3">
        <f t="shared" si="7"/>
        <v>0.0029455081</v>
      </c>
      <c r="R5232" s="2">
        <v>679.0</v>
      </c>
      <c r="S5232" s="5">
        <f t="shared" si="8"/>
        <v>1</v>
      </c>
    </row>
    <row r="5233">
      <c r="A5233" s="2" t="s">
        <v>5235</v>
      </c>
      <c r="B5233" s="2">
        <v>429.0</v>
      </c>
      <c r="C5233" s="2">
        <v>4890.0</v>
      </c>
      <c r="D5233" s="2">
        <v>1426.0</v>
      </c>
      <c r="E5233" s="3">
        <f t="shared" si="1"/>
        <v>0.3196592692</v>
      </c>
      <c r="F5233" s="2">
        <v>546.0</v>
      </c>
      <c r="G5233" s="3">
        <f t="shared" si="2"/>
        <v>0.122394082</v>
      </c>
      <c r="H5233" s="2">
        <v>922.0</v>
      </c>
      <c r="I5233" s="3">
        <f t="shared" si="3"/>
        <v>0.2066801166</v>
      </c>
      <c r="J5233" s="2">
        <v>763.0</v>
      </c>
      <c r="K5233" s="3">
        <f t="shared" si="4"/>
        <v>0.1710378839</v>
      </c>
      <c r="L5233" s="2">
        <v>559.0</v>
      </c>
      <c r="M5233" s="3">
        <f t="shared" si="5"/>
        <v>0.6062906725</v>
      </c>
      <c r="N5233" s="2">
        <v>5306700.0</v>
      </c>
      <c r="O5233" s="4">
        <f t="shared" si="6"/>
        <v>5755.639913</v>
      </c>
      <c r="P5233" s="2">
        <v>0.0</v>
      </c>
      <c r="Q5233" s="3">
        <f t="shared" si="7"/>
        <v>0</v>
      </c>
      <c r="R5233" s="2">
        <v>429.0</v>
      </c>
      <c r="S5233" s="5">
        <f t="shared" si="8"/>
        <v>1</v>
      </c>
    </row>
    <row r="5234">
      <c r="A5234" s="2" t="s">
        <v>5236</v>
      </c>
      <c r="B5234" s="2">
        <v>172.0</v>
      </c>
      <c r="C5234" s="2">
        <v>1945.0</v>
      </c>
      <c r="D5234" s="2">
        <v>595.0</v>
      </c>
      <c r="E5234" s="3">
        <f t="shared" si="1"/>
        <v>0.3355893965</v>
      </c>
      <c r="F5234" s="2">
        <v>217.0</v>
      </c>
      <c r="G5234" s="3">
        <f t="shared" si="2"/>
        <v>0.122391427</v>
      </c>
      <c r="H5234" s="2">
        <v>360.0</v>
      </c>
      <c r="I5234" s="3">
        <f t="shared" si="3"/>
        <v>0.2030456853</v>
      </c>
      <c r="J5234" s="2">
        <v>342.0</v>
      </c>
      <c r="K5234" s="3">
        <f t="shared" si="4"/>
        <v>0.192893401</v>
      </c>
      <c r="L5234" s="2">
        <v>217.0</v>
      </c>
      <c r="M5234" s="3">
        <f t="shared" si="5"/>
        <v>0.6027777778</v>
      </c>
      <c r="N5234" s="2">
        <v>1952400.0</v>
      </c>
      <c r="O5234" s="4">
        <f t="shared" si="6"/>
        <v>5423.333333</v>
      </c>
      <c r="P5234" s="2">
        <v>0.0</v>
      </c>
      <c r="Q5234" s="3">
        <f t="shared" si="7"/>
        <v>0</v>
      </c>
      <c r="R5234" s="2">
        <v>0.0</v>
      </c>
      <c r="S5234" s="5">
        <f t="shared" si="8"/>
        <v>0</v>
      </c>
    </row>
    <row r="5235">
      <c r="A5235" s="2" t="s">
        <v>5237</v>
      </c>
      <c r="B5235" s="2">
        <v>592.0</v>
      </c>
      <c r="C5235" s="2">
        <v>7023.0</v>
      </c>
      <c r="D5235" s="2">
        <v>1918.0</v>
      </c>
      <c r="E5235" s="3">
        <f t="shared" si="1"/>
        <v>0.298242886</v>
      </c>
      <c r="F5235" s="2">
        <v>787.0</v>
      </c>
      <c r="G5235" s="3">
        <f t="shared" si="2"/>
        <v>0.1223759913</v>
      </c>
      <c r="H5235" s="2">
        <v>1288.0</v>
      </c>
      <c r="I5235" s="3">
        <f t="shared" si="3"/>
        <v>0.2002798943</v>
      </c>
      <c r="J5235" s="2">
        <v>1091.0</v>
      </c>
      <c r="K5235" s="3">
        <f t="shared" si="4"/>
        <v>0.1696470222</v>
      </c>
      <c r="L5235" s="2">
        <v>732.0</v>
      </c>
      <c r="M5235" s="3">
        <f t="shared" si="5"/>
        <v>0.5683229814</v>
      </c>
      <c r="N5235" s="2">
        <v>7575800.0</v>
      </c>
      <c r="O5235" s="4">
        <f t="shared" si="6"/>
        <v>5881.832298</v>
      </c>
      <c r="P5235" s="2">
        <v>0.0</v>
      </c>
      <c r="Q5235" s="3">
        <f t="shared" si="7"/>
        <v>0</v>
      </c>
      <c r="R5235" s="2">
        <v>580.0</v>
      </c>
      <c r="S5235" s="5">
        <f t="shared" si="8"/>
        <v>0.9797297297</v>
      </c>
    </row>
    <row r="5236">
      <c r="A5236" s="2" t="s">
        <v>5238</v>
      </c>
      <c r="B5236" s="2">
        <v>75.0</v>
      </c>
      <c r="C5236" s="2">
        <v>884.0</v>
      </c>
      <c r="D5236" s="2">
        <v>268.0</v>
      </c>
      <c r="E5236" s="3">
        <f t="shared" si="1"/>
        <v>0.3312731768</v>
      </c>
      <c r="F5236" s="2">
        <v>99.0</v>
      </c>
      <c r="G5236" s="3">
        <f t="shared" si="2"/>
        <v>0.1223733004</v>
      </c>
      <c r="H5236" s="2">
        <v>156.0</v>
      </c>
      <c r="I5236" s="3">
        <f t="shared" si="3"/>
        <v>0.1928306551</v>
      </c>
      <c r="J5236" s="2">
        <v>118.0</v>
      </c>
      <c r="K5236" s="3">
        <f t="shared" si="4"/>
        <v>0.1458590853</v>
      </c>
      <c r="L5236" s="2">
        <v>92.0</v>
      </c>
      <c r="M5236" s="3">
        <f t="shared" si="5"/>
        <v>0.5897435897</v>
      </c>
      <c r="N5236" s="2">
        <v>839800.0</v>
      </c>
      <c r="O5236" s="4">
        <f t="shared" si="6"/>
        <v>5383.333333</v>
      </c>
      <c r="P5236" s="2">
        <v>0.0</v>
      </c>
      <c r="Q5236" s="3">
        <f t="shared" si="7"/>
        <v>0</v>
      </c>
      <c r="R5236" s="2">
        <v>75.0</v>
      </c>
      <c r="S5236" s="5">
        <f t="shared" si="8"/>
        <v>1</v>
      </c>
    </row>
    <row r="5237">
      <c r="A5237" s="2" t="s">
        <v>5239</v>
      </c>
      <c r="B5237" s="2">
        <v>1936.0</v>
      </c>
      <c r="C5237" s="2">
        <v>22897.0</v>
      </c>
      <c r="D5237" s="2">
        <v>7826.0</v>
      </c>
      <c r="E5237" s="3">
        <f t="shared" si="1"/>
        <v>0.3733600496</v>
      </c>
      <c r="F5237" s="2">
        <v>2565.0</v>
      </c>
      <c r="G5237" s="3">
        <f t="shared" si="2"/>
        <v>0.1223701159</v>
      </c>
      <c r="H5237" s="2">
        <v>4520.0</v>
      </c>
      <c r="I5237" s="3">
        <f t="shared" si="3"/>
        <v>0.2156385669</v>
      </c>
      <c r="J5237" s="2">
        <v>3552.0</v>
      </c>
      <c r="K5237" s="3">
        <f t="shared" si="4"/>
        <v>0.169457564</v>
      </c>
      <c r="L5237" s="2">
        <v>2723.0</v>
      </c>
      <c r="M5237" s="3">
        <f t="shared" si="5"/>
        <v>0.6024336283</v>
      </c>
      <c r="N5237" s="2">
        <v>2.46318E7</v>
      </c>
      <c r="O5237" s="4">
        <f t="shared" si="6"/>
        <v>5449.513274</v>
      </c>
      <c r="P5237" s="2">
        <v>3.0</v>
      </c>
      <c r="Q5237" s="3">
        <f t="shared" si="7"/>
        <v>0.001549586777</v>
      </c>
      <c r="R5237" s="2">
        <v>1936.0</v>
      </c>
      <c r="S5237" s="5">
        <f t="shared" si="8"/>
        <v>1</v>
      </c>
    </row>
    <row r="5238">
      <c r="A5238" s="2" t="s">
        <v>5240</v>
      </c>
      <c r="B5238" s="2">
        <v>946.0</v>
      </c>
      <c r="C5238" s="2">
        <v>10933.0</v>
      </c>
      <c r="D5238" s="2">
        <v>2202.0</v>
      </c>
      <c r="E5238" s="3">
        <f t="shared" si="1"/>
        <v>0.2204866326</v>
      </c>
      <c r="F5238" s="2">
        <v>1222.0</v>
      </c>
      <c r="G5238" s="3">
        <f t="shared" si="2"/>
        <v>0.1223590668</v>
      </c>
      <c r="H5238" s="2">
        <v>1842.0</v>
      </c>
      <c r="I5238" s="3">
        <f t="shared" si="3"/>
        <v>0.1844397717</v>
      </c>
      <c r="J5238" s="2">
        <v>1345.0</v>
      </c>
      <c r="K5238" s="3">
        <f t="shared" si="4"/>
        <v>0.1346750776</v>
      </c>
      <c r="L5238" s="2">
        <v>1089.0</v>
      </c>
      <c r="M5238" s="3">
        <f t="shared" si="5"/>
        <v>0.5912052117</v>
      </c>
      <c r="N5238" s="2">
        <v>1.13477E7</v>
      </c>
      <c r="O5238" s="4">
        <f t="shared" si="6"/>
        <v>6160.53203</v>
      </c>
      <c r="P5238" s="2">
        <v>6.0</v>
      </c>
      <c r="Q5238" s="3">
        <f t="shared" si="7"/>
        <v>0.006342494715</v>
      </c>
      <c r="R5238" s="2">
        <v>946.0</v>
      </c>
      <c r="S5238" s="5">
        <f t="shared" si="8"/>
        <v>1</v>
      </c>
    </row>
    <row r="5239">
      <c r="A5239" s="2" t="s">
        <v>5241</v>
      </c>
      <c r="B5239" s="2">
        <v>443.0</v>
      </c>
      <c r="C5239" s="2">
        <v>5159.0</v>
      </c>
      <c r="D5239" s="2">
        <v>1301.0</v>
      </c>
      <c r="E5239" s="3">
        <f t="shared" si="1"/>
        <v>0.2758693808</v>
      </c>
      <c r="F5239" s="2">
        <v>577.0</v>
      </c>
      <c r="G5239" s="3">
        <f t="shared" si="2"/>
        <v>0.1223494487</v>
      </c>
      <c r="H5239" s="2">
        <v>902.0</v>
      </c>
      <c r="I5239" s="3">
        <f t="shared" si="3"/>
        <v>0.1912637829</v>
      </c>
      <c r="J5239" s="2">
        <v>712.0</v>
      </c>
      <c r="K5239" s="3">
        <f t="shared" si="4"/>
        <v>0.1509754029</v>
      </c>
      <c r="L5239" s="2">
        <v>551.0</v>
      </c>
      <c r="M5239" s="3">
        <f t="shared" si="5"/>
        <v>0.610864745</v>
      </c>
      <c r="N5239" s="2">
        <v>4993200.0</v>
      </c>
      <c r="O5239" s="4">
        <f t="shared" si="6"/>
        <v>5535.698448</v>
      </c>
      <c r="P5239" s="2">
        <v>3.0</v>
      </c>
      <c r="Q5239" s="3">
        <f t="shared" si="7"/>
        <v>0.006772009029</v>
      </c>
      <c r="R5239" s="2">
        <v>443.0</v>
      </c>
      <c r="S5239" s="5">
        <f t="shared" si="8"/>
        <v>1</v>
      </c>
    </row>
    <row r="5240">
      <c r="A5240" s="2" t="s">
        <v>5242</v>
      </c>
      <c r="B5240" s="2">
        <v>1086.0</v>
      </c>
      <c r="C5240" s="2">
        <v>12823.0</v>
      </c>
      <c r="D5240" s="2">
        <v>3553.0</v>
      </c>
      <c r="E5240" s="3">
        <f t="shared" si="1"/>
        <v>0.3027179007</v>
      </c>
      <c r="F5240" s="2">
        <v>1436.0</v>
      </c>
      <c r="G5240" s="3">
        <f t="shared" si="2"/>
        <v>0.1223481298</v>
      </c>
      <c r="H5240" s="2">
        <v>2407.0</v>
      </c>
      <c r="I5240" s="3">
        <f t="shared" si="3"/>
        <v>0.2050779586</v>
      </c>
      <c r="J5240" s="2">
        <v>1993.0</v>
      </c>
      <c r="K5240" s="3">
        <f t="shared" si="4"/>
        <v>0.1698048905</v>
      </c>
      <c r="L5240" s="2">
        <v>1462.0</v>
      </c>
      <c r="M5240" s="3">
        <f t="shared" si="5"/>
        <v>0.6073950976</v>
      </c>
      <c r="N5240" s="2">
        <v>1.34566E7</v>
      </c>
      <c r="O5240" s="4">
        <f t="shared" si="6"/>
        <v>5590.610719</v>
      </c>
      <c r="P5240" s="2">
        <v>1.0</v>
      </c>
      <c r="Q5240" s="3">
        <f t="shared" si="7"/>
        <v>0.0009208103131</v>
      </c>
      <c r="R5240" s="2">
        <v>1086.0</v>
      </c>
      <c r="S5240" s="5">
        <f t="shared" si="8"/>
        <v>1</v>
      </c>
    </row>
    <row r="5241">
      <c r="A5241" s="2" t="s">
        <v>5243</v>
      </c>
      <c r="B5241" s="2">
        <v>270.0</v>
      </c>
      <c r="C5241" s="2">
        <v>3180.0</v>
      </c>
      <c r="D5241" s="2">
        <v>794.0</v>
      </c>
      <c r="E5241" s="3">
        <f t="shared" si="1"/>
        <v>0.2728522337</v>
      </c>
      <c r="F5241" s="2">
        <v>356.0</v>
      </c>
      <c r="G5241" s="3">
        <f t="shared" si="2"/>
        <v>0.1223367698</v>
      </c>
      <c r="H5241" s="2">
        <v>594.0</v>
      </c>
      <c r="I5241" s="3">
        <f t="shared" si="3"/>
        <v>0.2041237113</v>
      </c>
      <c r="J5241" s="2">
        <v>437.0</v>
      </c>
      <c r="K5241" s="3">
        <f t="shared" si="4"/>
        <v>0.1501718213</v>
      </c>
      <c r="L5241" s="2">
        <v>337.0</v>
      </c>
      <c r="M5241" s="3">
        <f t="shared" si="5"/>
        <v>0.5673400673</v>
      </c>
      <c r="N5241" s="2">
        <v>3412600.0</v>
      </c>
      <c r="O5241" s="4">
        <f t="shared" si="6"/>
        <v>5745.117845</v>
      </c>
      <c r="P5241" s="2">
        <v>0.0</v>
      </c>
      <c r="Q5241" s="3">
        <f t="shared" si="7"/>
        <v>0</v>
      </c>
      <c r="R5241" s="2">
        <v>270.0</v>
      </c>
      <c r="S5241" s="5">
        <f t="shared" si="8"/>
        <v>1</v>
      </c>
    </row>
    <row r="5242">
      <c r="A5242" s="2" t="s">
        <v>5244</v>
      </c>
      <c r="B5242" s="2">
        <v>166.0</v>
      </c>
      <c r="C5242" s="2">
        <v>1899.0</v>
      </c>
      <c r="D5242" s="2">
        <v>524.0</v>
      </c>
      <c r="E5242" s="3">
        <f t="shared" si="1"/>
        <v>0.3023658396</v>
      </c>
      <c r="F5242" s="2">
        <v>212.0</v>
      </c>
      <c r="G5242" s="3">
        <f t="shared" si="2"/>
        <v>0.1223312175</v>
      </c>
      <c r="H5242" s="2">
        <v>354.0</v>
      </c>
      <c r="I5242" s="3">
        <f t="shared" si="3"/>
        <v>0.2042700519</v>
      </c>
      <c r="J5242" s="2">
        <v>310.0</v>
      </c>
      <c r="K5242" s="3">
        <f t="shared" si="4"/>
        <v>0.178880554</v>
      </c>
      <c r="L5242" s="2">
        <v>205.0</v>
      </c>
      <c r="M5242" s="3">
        <f t="shared" si="5"/>
        <v>0.5790960452</v>
      </c>
      <c r="N5242" s="2">
        <v>1974500.0</v>
      </c>
      <c r="O5242" s="4">
        <f t="shared" si="6"/>
        <v>5577.683616</v>
      </c>
      <c r="P5242" s="2">
        <v>1.0</v>
      </c>
      <c r="Q5242" s="3">
        <f t="shared" si="7"/>
        <v>0.006024096386</v>
      </c>
      <c r="R5242" s="2">
        <v>166.0</v>
      </c>
      <c r="S5242" s="5">
        <f t="shared" si="8"/>
        <v>1</v>
      </c>
    </row>
    <row r="5243">
      <c r="A5243" s="2" t="s">
        <v>5245</v>
      </c>
      <c r="B5243" s="2">
        <v>524.0</v>
      </c>
      <c r="C5243" s="2">
        <v>6377.0</v>
      </c>
      <c r="D5243" s="2">
        <v>2251.0</v>
      </c>
      <c r="E5243" s="3">
        <f t="shared" si="1"/>
        <v>0.3845890996</v>
      </c>
      <c r="F5243" s="2">
        <v>716.0</v>
      </c>
      <c r="G5243" s="3">
        <f t="shared" si="2"/>
        <v>0.1223304288</v>
      </c>
      <c r="H5243" s="2">
        <v>1295.0</v>
      </c>
      <c r="I5243" s="3">
        <f t="shared" si="3"/>
        <v>0.2212540577</v>
      </c>
      <c r="J5243" s="2">
        <v>957.0</v>
      </c>
      <c r="K5243" s="3">
        <f t="shared" si="4"/>
        <v>0.1635058944</v>
      </c>
      <c r="L5243" s="2">
        <v>777.0</v>
      </c>
      <c r="M5243" s="3">
        <f t="shared" si="5"/>
        <v>0.6</v>
      </c>
      <c r="N5243" s="2">
        <v>6930200.0</v>
      </c>
      <c r="O5243" s="4">
        <f t="shared" si="6"/>
        <v>5351.505792</v>
      </c>
      <c r="P5243" s="2">
        <v>0.0</v>
      </c>
      <c r="Q5243" s="3">
        <f t="shared" si="7"/>
        <v>0</v>
      </c>
      <c r="R5243" s="2">
        <v>524.0</v>
      </c>
      <c r="S5243" s="5">
        <f t="shared" si="8"/>
        <v>1</v>
      </c>
    </row>
    <row r="5244">
      <c r="A5244" s="2" t="s">
        <v>5246</v>
      </c>
      <c r="B5244" s="2">
        <v>1599.0</v>
      </c>
      <c r="C5244" s="2">
        <v>18774.0</v>
      </c>
      <c r="D5244" s="2">
        <v>5961.0</v>
      </c>
      <c r="E5244" s="3">
        <f t="shared" si="1"/>
        <v>0.3470742358</v>
      </c>
      <c r="F5244" s="2">
        <v>2101.0</v>
      </c>
      <c r="G5244" s="3">
        <f t="shared" si="2"/>
        <v>0.1223289665</v>
      </c>
      <c r="H5244" s="2">
        <v>3592.0</v>
      </c>
      <c r="I5244" s="3">
        <f t="shared" si="3"/>
        <v>0.2091411936</v>
      </c>
      <c r="J5244" s="2">
        <v>2740.0</v>
      </c>
      <c r="K5244" s="3">
        <f t="shared" si="4"/>
        <v>0.1595342067</v>
      </c>
      <c r="L5244" s="2">
        <v>2100.0</v>
      </c>
      <c r="M5244" s="3">
        <f t="shared" si="5"/>
        <v>0.5846325167</v>
      </c>
      <c r="N5244" s="2">
        <v>2.06031E7</v>
      </c>
      <c r="O5244" s="4">
        <f t="shared" si="6"/>
        <v>5735.829621</v>
      </c>
      <c r="P5244" s="2">
        <v>3.0</v>
      </c>
      <c r="Q5244" s="3">
        <f t="shared" si="7"/>
        <v>0.001876172608</v>
      </c>
      <c r="R5244" s="2">
        <v>1599.0</v>
      </c>
      <c r="S5244" s="5">
        <f t="shared" si="8"/>
        <v>1</v>
      </c>
    </row>
    <row r="5245">
      <c r="A5245" s="2" t="s">
        <v>5247</v>
      </c>
      <c r="B5245" s="2">
        <v>3820.0</v>
      </c>
      <c r="C5245" s="2">
        <v>45078.0</v>
      </c>
      <c r="D5245" s="2">
        <v>12957.0</v>
      </c>
      <c r="E5245" s="3">
        <f t="shared" si="1"/>
        <v>0.3140481846</v>
      </c>
      <c r="F5245" s="2">
        <v>5047.0</v>
      </c>
      <c r="G5245" s="3">
        <f t="shared" si="2"/>
        <v>0.122327791</v>
      </c>
      <c r="H5245" s="2">
        <v>8434.0</v>
      </c>
      <c r="I5245" s="3">
        <f t="shared" si="3"/>
        <v>0.2044209608</v>
      </c>
      <c r="J5245" s="2">
        <v>7175.0</v>
      </c>
      <c r="K5245" s="3">
        <f t="shared" si="4"/>
        <v>0.1739056668</v>
      </c>
      <c r="L5245" s="2">
        <v>4973.0</v>
      </c>
      <c r="M5245" s="3">
        <f t="shared" si="5"/>
        <v>0.5896371828</v>
      </c>
      <c r="N5245" s="2">
        <v>4.93901E7</v>
      </c>
      <c r="O5245" s="4">
        <f t="shared" si="6"/>
        <v>5856.070666</v>
      </c>
      <c r="P5245" s="2">
        <v>15.0</v>
      </c>
      <c r="Q5245" s="3">
        <f t="shared" si="7"/>
        <v>0.003926701571</v>
      </c>
      <c r="R5245" s="2">
        <v>3783.0</v>
      </c>
      <c r="S5245" s="5">
        <f t="shared" si="8"/>
        <v>0.9903141361</v>
      </c>
    </row>
    <row r="5246">
      <c r="A5246" s="2" t="s">
        <v>5248</v>
      </c>
      <c r="B5246" s="2">
        <v>29.0</v>
      </c>
      <c r="C5246" s="2">
        <v>356.0</v>
      </c>
      <c r="D5246" s="2">
        <v>122.0</v>
      </c>
      <c r="E5246" s="3">
        <f t="shared" si="1"/>
        <v>0.373088685</v>
      </c>
      <c r="F5246" s="2">
        <v>40.0</v>
      </c>
      <c r="G5246" s="3">
        <f t="shared" si="2"/>
        <v>0.122324159</v>
      </c>
      <c r="H5246" s="2">
        <v>67.0</v>
      </c>
      <c r="I5246" s="3">
        <f t="shared" si="3"/>
        <v>0.2048929664</v>
      </c>
      <c r="J5246" s="2">
        <v>69.0</v>
      </c>
      <c r="K5246" s="3">
        <f t="shared" si="4"/>
        <v>0.2110091743</v>
      </c>
      <c r="L5246" s="2">
        <v>38.0</v>
      </c>
      <c r="M5246" s="3">
        <f t="shared" si="5"/>
        <v>0.5671641791</v>
      </c>
      <c r="N5246" s="2">
        <v>306500.0</v>
      </c>
      <c r="O5246" s="4">
        <f t="shared" si="6"/>
        <v>4574.626866</v>
      </c>
      <c r="P5246" s="2">
        <v>0.0</v>
      </c>
      <c r="Q5246" s="3">
        <f t="shared" si="7"/>
        <v>0</v>
      </c>
      <c r="R5246" s="2">
        <v>29.0</v>
      </c>
      <c r="S5246" s="5">
        <f t="shared" si="8"/>
        <v>1</v>
      </c>
    </row>
    <row r="5247">
      <c r="A5247" s="2" t="s">
        <v>5249</v>
      </c>
      <c r="B5247" s="2">
        <v>498.0</v>
      </c>
      <c r="C5247" s="2">
        <v>5812.0</v>
      </c>
      <c r="D5247" s="2">
        <v>1971.0</v>
      </c>
      <c r="E5247" s="3">
        <f t="shared" si="1"/>
        <v>0.370907038</v>
      </c>
      <c r="F5247" s="2">
        <v>650.0</v>
      </c>
      <c r="G5247" s="3">
        <f t="shared" si="2"/>
        <v>0.1223184042</v>
      </c>
      <c r="H5247" s="2">
        <v>1087.0</v>
      </c>
      <c r="I5247" s="3">
        <f t="shared" si="3"/>
        <v>0.2045540083</v>
      </c>
      <c r="J5247" s="2">
        <v>778.0</v>
      </c>
      <c r="K5247" s="3">
        <f t="shared" si="4"/>
        <v>0.1464057207</v>
      </c>
      <c r="L5247" s="2">
        <v>665.0</v>
      </c>
      <c r="M5247" s="3">
        <f t="shared" si="5"/>
        <v>0.611775529</v>
      </c>
      <c r="N5247" s="2">
        <v>6065400.0</v>
      </c>
      <c r="O5247" s="4">
        <f t="shared" si="6"/>
        <v>5579.944802</v>
      </c>
      <c r="P5247" s="2">
        <v>1.0</v>
      </c>
      <c r="Q5247" s="3">
        <f t="shared" si="7"/>
        <v>0.002008032129</v>
      </c>
      <c r="R5247" s="2">
        <v>498.0</v>
      </c>
      <c r="S5247" s="5">
        <f t="shared" si="8"/>
        <v>1</v>
      </c>
    </row>
    <row r="5248">
      <c r="A5248" s="2" t="s">
        <v>5250</v>
      </c>
      <c r="B5248" s="2">
        <v>337.0</v>
      </c>
      <c r="C5248" s="2">
        <v>3877.0</v>
      </c>
      <c r="D5248" s="2">
        <v>1460.0</v>
      </c>
      <c r="E5248" s="3">
        <f t="shared" si="1"/>
        <v>0.4124293785</v>
      </c>
      <c r="F5248" s="2">
        <v>433.0</v>
      </c>
      <c r="G5248" s="3">
        <f t="shared" si="2"/>
        <v>0.1223163842</v>
      </c>
      <c r="H5248" s="2">
        <v>724.0</v>
      </c>
      <c r="I5248" s="3">
        <f t="shared" si="3"/>
        <v>0.204519774</v>
      </c>
      <c r="J5248" s="2">
        <v>535.0</v>
      </c>
      <c r="K5248" s="3">
        <f t="shared" si="4"/>
        <v>0.1511299435</v>
      </c>
      <c r="L5248" s="2">
        <v>421.0</v>
      </c>
      <c r="M5248" s="3">
        <f t="shared" si="5"/>
        <v>0.5814917127</v>
      </c>
      <c r="N5248" s="2">
        <v>3959900.0</v>
      </c>
      <c r="O5248" s="4">
        <f t="shared" si="6"/>
        <v>5469.475138</v>
      </c>
      <c r="P5248" s="2">
        <v>0.0</v>
      </c>
      <c r="Q5248" s="3">
        <f t="shared" si="7"/>
        <v>0</v>
      </c>
      <c r="R5248" s="2">
        <v>337.0</v>
      </c>
      <c r="S5248" s="5">
        <f t="shared" si="8"/>
        <v>1</v>
      </c>
    </row>
    <row r="5249">
      <c r="A5249" s="2" t="s">
        <v>5251</v>
      </c>
      <c r="B5249" s="2">
        <v>163.0</v>
      </c>
      <c r="C5249" s="2">
        <v>1929.0</v>
      </c>
      <c r="D5249" s="2">
        <v>580.0</v>
      </c>
      <c r="E5249" s="3">
        <f t="shared" si="1"/>
        <v>0.3284258211</v>
      </c>
      <c r="F5249" s="2">
        <v>216.0</v>
      </c>
      <c r="G5249" s="3">
        <f t="shared" si="2"/>
        <v>0.1223103058</v>
      </c>
      <c r="H5249" s="2">
        <v>328.0</v>
      </c>
      <c r="I5249" s="3">
        <f t="shared" si="3"/>
        <v>0.1857304643</v>
      </c>
      <c r="J5249" s="2">
        <v>353.0</v>
      </c>
      <c r="K5249" s="3">
        <f t="shared" si="4"/>
        <v>0.1998867497</v>
      </c>
      <c r="L5249" s="2">
        <v>204.0</v>
      </c>
      <c r="M5249" s="3">
        <f t="shared" si="5"/>
        <v>0.6219512195</v>
      </c>
      <c r="N5249" s="2">
        <v>1932800.0</v>
      </c>
      <c r="O5249" s="4">
        <f t="shared" si="6"/>
        <v>5892.682927</v>
      </c>
      <c r="P5249" s="2">
        <v>0.0</v>
      </c>
      <c r="Q5249" s="3">
        <f t="shared" si="7"/>
        <v>0</v>
      </c>
      <c r="R5249" s="2">
        <v>163.0</v>
      </c>
      <c r="S5249" s="5">
        <f t="shared" si="8"/>
        <v>1</v>
      </c>
    </row>
    <row r="5250">
      <c r="A5250" s="2" t="s">
        <v>5252</v>
      </c>
      <c r="B5250" s="2">
        <v>1129.0</v>
      </c>
      <c r="C5250" s="2">
        <v>13303.0</v>
      </c>
      <c r="D5250" s="2">
        <v>2991.0</v>
      </c>
      <c r="E5250" s="3">
        <f t="shared" si="1"/>
        <v>0.2456875308</v>
      </c>
      <c r="F5250" s="2">
        <v>1489.0</v>
      </c>
      <c r="G5250" s="3">
        <f t="shared" si="2"/>
        <v>0.1223098406</v>
      </c>
      <c r="H5250" s="2">
        <v>2529.0</v>
      </c>
      <c r="I5250" s="3">
        <f t="shared" si="3"/>
        <v>0.2077378019</v>
      </c>
      <c r="J5250" s="2">
        <v>2324.0</v>
      </c>
      <c r="K5250" s="3">
        <f t="shared" si="4"/>
        <v>0.1908986364</v>
      </c>
      <c r="L5250" s="2">
        <v>1519.0</v>
      </c>
      <c r="M5250" s="3">
        <f t="shared" si="5"/>
        <v>0.6006326611</v>
      </c>
      <c r="N5250" s="2">
        <v>1.52107E7</v>
      </c>
      <c r="O5250" s="4">
        <f t="shared" si="6"/>
        <v>6014.511665</v>
      </c>
      <c r="P5250" s="2">
        <v>0.0</v>
      </c>
      <c r="Q5250" s="3">
        <f t="shared" si="7"/>
        <v>0</v>
      </c>
      <c r="R5250" s="2">
        <v>1129.0</v>
      </c>
      <c r="S5250" s="5">
        <f t="shared" si="8"/>
        <v>1</v>
      </c>
    </row>
    <row r="5251">
      <c r="A5251" s="2" t="s">
        <v>5253</v>
      </c>
      <c r="B5251" s="2">
        <v>2584.0</v>
      </c>
      <c r="C5251" s="2">
        <v>30649.0</v>
      </c>
      <c r="D5251" s="2">
        <v>9372.0</v>
      </c>
      <c r="E5251" s="3">
        <f t="shared" si="1"/>
        <v>0.33393907</v>
      </c>
      <c r="F5251" s="2">
        <v>3432.0</v>
      </c>
      <c r="G5251" s="3">
        <f t="shared" si="2"/>
        <v>0.1222875468</v>
      </c>
      <c r="H5251" s="2">
        <v>5362.0</v>
      </c>
      <c r="I5251" s="3">
        <f t="shared" si="3"/>
        <v>0.191056476</v>
      </c>
      <c r="J5251" s="2">
        <v>4124.0</v>
      </c>
      <c r="K5251" s="3">
        <f t="shared" si="4"/>
        <v>0.1469445929</v>
      </c>
      <c r="L5251" s="2">
        <v>3198.0</v>
      </c>
      <c r="M5251" s="3">
        <f t="shared" si="5"/>
        <v>0.5964192465</v>
      </c>
      <c r="N5251" s="2">
        <v>3.25967E7</v>
      </c>
      <c r="O5251" s="4">
        <f t="shared" si="6"/>
        <v>6079.20552</v>
      </c>
      <c r="P5251" s="2">
        <v>6.0</v>
      </c>
      <c r="Q5251" s="3">
        <f t="shared" si="7"/>
        <v>0.002321981424</v>
      </c>
      <c r="R5251" s="2">
        <v>2329.0</v>
      </c>
      <c r="S5251" s="5">
        <f t="shared" si="8"/>
        <v>0.9013157895</v>
      </c>
    </row>
    <row r="5252">
      <c r="A5252" s="2" t="s">
        <v>5254</v>
      </c>
      <c r="B5252" s="2">
        <v>1642.0</v>
      </c>
      <c r="C5252" s="2">
        <v>19454.0</v>
      </c>
      <c r="D5252" s="2">
        <v>6378.0</v>
      </c>
      <c r="E5252" s="3">
        <f t="shared" si="1"/>
        <v>0.3580732091</v>
      </c>
      <c r="F5252" s="2">
        <v>2178.0</v>
      </c>
      <c r="G5252" s="3">
        <f t="shared" si="2"/>
        <v>0.1222771166</v>
      </c>
      <c r="H5252" s="2">
        <v>3702.0</v>
      </c>
      <c r="I5252" s="3">
        <f t="shared" si="3"/>
        <v>0.207837413</v>
      </c>
      <c r="J5252" s="2">
        <v>3144.0</v>
      </c>
      <c r="K5252" s="3">
        <f t="shared" si="4"/>
        <v>0.1765102178</v>
      </c>
      <c r="L5252" s="2">
        <v>2202.0</v>
      </c>
      <c r="M5252" s="3">
        <f t="shared" si="5"/>
        <v>0.5948136143</v>
      </c>
      <c r="N5252" s="2">
        <v>2.11581E7</v>
      </c>
      <c r="O5252" s="4">
        <f t="shared" si="6"/>
        <v>5715.316045</v>
      </c>
      <c r="P5252" s="2">
        <v>1.0</v>
      </c>
      <c r="Q5252" s="3">
        <f t="shared" si="7"/>
        <v>0.0006090133983</v>
      </c>
      <c r="R5252" s="2">
        <v>1642.0</v>
      </c>
      <c r="S5252" s="5">
        <f t="shared" si="8"/>
        <v>1</v>
      </c>
    </row>
    <row r="5253">
      <c r="A5253" s="2" t="s">
        <v>5255</v>
      </c>
      <c r="B5253" s="2">
        <v>2487.0</v>
      </c>
      <c r="C5253" s="2">
        <v>29036.0</v>
      </c>
      <c r="D5253" s="2">
        <v>9737.0</v>
      </c>
      <c r="E5253" s="3">
        <f t="shared" si="1"/>
        <v>0.36675581</v>
      </c>
      <c r="F5253" s="2">
        <v>3246.0</v>
      </c>
      <c r="G5253" s="3">
        <f t="shared" si="2"/>
        <v>0.1222644921</v>
      </c>
      <c r="H5253" s="2">
        <v>5684.0</v>
      </c>
      <c r="I5253" s="3">
        <f t="shared" si="3"/>
        <v>0.2140946928</v>
      </c>
      <c r="J5253" s="2">
        <v>4192.0</v>
      </c>
      <c r="K5253" s="3">
        <f t="shared" si="4"/>
        <v>0.1578967193</v>
      </c>
      <c r="L5253" s="2">
        <v>3387.0</v>
      </c>
      <c r="M5253" s="3">
        <f t="shared" si="5"/>
        <v>0.5958831809</v>
      </c>
      <c r="N5253" s="2">
        <v>3.14342E7</v>
      </c>
      <c r="O5253" s="4">
        <f t="shared" si="6"/>
        <v>5530.295567</v>
      </c>
      <c r="P5253" s="2">
        <v>4.0</v>
      </c>
      <c r="Q5253" s="3">
        <f t="shared" si="7"/>
        <v>0.00160836349</v>
      </c>
      <c r="R5253" s="2">
        <v>2487.0</v>
      </c>
      <c r="S5253" s="5">
        <f t="shared" si="8"/>
        <v>1</v>
      </c>
    </row>
    <row r="5254">
      <c r="A5254" s="2" t="s">
        <v>5256</v>
      </c>
      <c r="B5254" s="2">
        <v>82.0</v>
      </c>
      <c r="C5254" s="2">
        <v>949.0</v>
      </c>
      <c r="D5254" s="2">
        <v>292.0</v>
      </c>
      <c r="E5254" s="3">
        <f t="shared" si="1"/>
        <v>0.3367935409</v>
      </c>
      <c r="F5254" s="2">
        <v>106.0</v>
      </c>
      <c r="G5254" s="3">
        <f t="shared" si="2"/>
        <v>0.122260669</v>
      </c>
      <c r="H5254" s="2">
        <v>184.0</v>
      </c>
      <c r="I5254" s="3">
        <f t="shared" si="3"/>
        <v>0.2122260669</v>
      </c>
      <c r="J5254" s="2">
        <v>152.0</v>
      </c>
      <c r="K5254" s="3">
        <f t="shared" si="4"/>
        <v>0.1753171857</v>
      </c>
      <c r="L5254" s="2">
        <v>111.0</v>
      </c>
      <c r="M5254" s="3">
        <f t="shared" si="5"/>
        <v>0.6032608696</v>
      </c>
      <c r="N5254" s="2">
        <v>1063200.0</v>
      </c>
      <c r="O5254" s="4">
        <f t="shared" si="6"/>
        <v>5778.26087</v>
      </c>
      <c r="P5254" s="2">
        <v>0.0</v>
      </c>
      <c r="Q5254" s="3">
        <f t="shared" si="7"/>
        <v>0</v>
      </c>
      <c r="R5254" s="2">
        <v>82.0</v>
      </c>
      <c r="S5254" s="5">
        <f t="shared" si="8"/>
        <v>1</v>
      </c>
    </row>
    <row r="5255">
      <c r="A5255" s="2" t="s">
        <v>5257</v>
      </c>
      <c r="B5255" s="2">
        <v>8883.0</v>
      </c>
      <c r="C5255" s="2">
        <v>104257.0</v>
      </c>
      <c r="D5255" s="2">
        <v>32711.0</v>
      </c>
      <c r="E5255" s="3">
        <f t="shared" si="1"/>
        <v>0.3429760731</v>
      </c>
      <c r="F5255" s="2">
        <v>11660.0</v>
      </c>
      <c r="G5255" s="3">
        <f t="shared" si="2"/>
        <v>0.1222555413</v>
      </c>
      <c r="H5255" s="2">
        <v>20122.0</v>
      </c>
      <c r="I5255" s="3">
        <f t="shared" si="3"/>
        <v>0.2109799316</v>
      </c>
      <c r="J5255" s="2">
        <v>16090.0</v>
      </c>
      <c r="K5255" s="3">
        <f t="shared" si="4"/>
        <v>0.168704259</v>
      </c>
      <c r="L5255" s="2">
        <v>12082.0</v>
      </c>
      <c r="M5255" s="3">
        <f t="shared" si="5"/>
        <v>0.6004373323</v>
      </c>
      <c r="N5255" s="2">
        <v>1.102106E8</v>
      </c>
      <c r="O5255" s="4">
        <f t="shared" si="6"/>
        <v>5477.119571</v>
      </c>
      <c r="P5255" s="2">
        <v>8.0</v>
      </c>
      <c r="Q5255" s="3">
        <f t="shared" si="7"/>
        <v>0.0009005966453</v>
      </c>
      <c r="R5255" s="2">
        <v>8883.0</v>
      </c>
      <c r="S5255" s="5">
        <f t="shared" si="8"/>
        <v>1</v>
      </c>
    </row>
    <row r="5256">
      <c r="A5256" s="2" t="s">
        <v>5258</v>
      </c>
      <c r="B5256" s="2">
        <v>2348.0</v>
      </c>
      <c r="C5256" s="2">
        <v>27657.0</v>
      </c>
      <c r="D5256" s="2">
        <v>9068.0</v>
      </c>
      <c r="E5256" s="3">
        <f t="shared" si="1"/>
        <v>0.3582915169</v>
      </c>
      <c r="F5256" s="2">
        <v>3094.0</v>
      </c>
      <c r="G5256" s="3">
        <f t="shared" si="2"/>
        <v>0.1222490023</v>
      </c>
      <c r="H5256" s="2">
        <v>5276.0</v>
      </c>
      <c r="I5256" s="3">
        <f t="shared" si="3"/>
        <v>0.2084633925</v>
      </c>
      <c r="J5256" s="2">
        <v>4437.0</v>
      </c>
      <c r="K5256" s="3">
        <f t="shared" si="4"/>
        <v>0.1753131297</v>
      </c>
      <c r="L5256" s="2">
        <v>3131.0</v>
      </c>
      <c r="M5256" s="3">
        <f t="shared" si="5"/>
        <v>0.5934420015</v>
      </c>
      <c r="N5256" s="2">
        <v>2.98758E7</v>
      </c>
      <c r="O5256" s="4">
        <f t="shared" si="6"/>
        <v>5662.585292</v>
      </c>
      <c r="P5256" s="2">
        <v>5.0</v>
      </c>
      <c r="Q5256" s="3">
        <f t="shared" si="7"/>
        <v>0.002129471891</v>
      </c>
      <c r="R5256" s="2">
        <v>2085.0</v>
      </c>
      <c r="S5256" s="5">
        <f t="shared" si="8"/>
        <v>0.8879897785</v>
      </c>
    </row>
    <row r="5257">
      <c r="A5257" s="2" t="s">
        <v>5259</v>
      </c>
      <c r="B5257" s="2">
        <v>444.0</v>
      </c>
      <c r="C5257" s="2">
        <v>5303.0</v>
      </c>
      <c r="D5257" s="2">
        <v>1717.0</v>
      </c>
      <c r="E5257" s="3">
        <f t="shared" si="1"/>
        <v>0.3533648899</v>
      </c>
      <c r="F5257" s="2">
        <v>594.0</v>
      </c>
      <c r="G5257" s="3">
        <f t="shared" si="2"/>
        <v>0.122247376</v>
      </c>
      <c r="H5257" s="2">
        <v>947.0</v>
      </c>
      <c r="I5257" s="3">
        <f t="shared" si="3"/>
        <v>0.1948960692</v>
      </c>
      <c r="J5257" s="2">
        <v>719.0</v>
      </c>
      <c r="K5257" s="3">
        <f t="shared" si="4"/>
        <v>0.1479728339</v>
      </c>
      <c r="L5257" s="2">
        <v>560.0</v>
      </c>
      <c r="M5257" s="3">
        <f t="shared" si="5"/>
        <v>0.5913410771</v>
      </c>
      <c r="N5257" s="2">
        <v>5370900.0</v>
      </c>
      <c r="O5257" s="4">
        <f t="shared" si="6"/>
        <v>5671.488912</v>
      </c>
      <c r="P5257" s="2">
        <v>0.0</v>
      </c>
      <c r="Q5257" s="3">
        <f t="shared" si="7"/>
        <v>0</v>
      </c>
      <c r="R5257" s="2">
        <v>307.0</v>
      </c>
      <c r="S5257" s="5">
        <f t="shared" si="8"/>
        <v>0.6914414414</v>
      </c>
    </row>
    <row r="5258">
      <c r="A5258" s="2" t="s">
        <v>5260</v>
      </c>
      <c r="B5258" s="2">
        <v>714.0</v>
      </c>
      <c r="C5258" s="2">
        <v>8518.0</v>
      </c>
      <c r="D5258" s="2">
        <v>2418.0</v>
      </c>
      <c r="E5258" s="3">
        <f t="shared" si="1"/>
        <v>0.3098411071</v>
      </c>
      <c r="F5258" s="2">
        <v>954.0</v>
      </c>
      <c r="G5258" s="3">
        <f t="shared" si="2"/>
        <v>0.1222450026</v>
      </c>
      <c r="H5258" s="2">
        <v>1608.0</v>
      </c>
      <c r="I5258" s="3">
        <f t="shared" si="3"/>
        <v>0.2060481804</v>
      </c>
      <c r="J5258" s="2">
        <v>1300.0</v>
      </c>
      <c r="K5258" s="3">
        <f t="shared" si="4"/>
        <v>0.1665812404</v>
      </c>
      <c r="L5258" s="2">
        <v>948.0</v>
      </c>
      <c r="M5258" s="3">
        <f t="shared" si="5"/>
        <v>0.5895522388</v>
      </c>
      <c r="N5258" s="2">
        <v>8864600.0</v>
      </c>
      <c r="O5258" s="4">
        <f t="shared" si="6"/>
        <v>5512.810945</v>
      </c>
      <c r="P5258" s="2">
        <v>2.0</v>
      </c>
      <c r="Q5258" s="3">
        <f t="shared" si="7"/>
        <v>0.002801120448</v>
      </c>
      <c r="R5258" s="2">
        <v>0.0</v>
      </c>
      <c r="S5258" s="5">
        <f t="shared" si="8"/>
        <v>0</v>
      </c>
    </row>
    <row r="5259">
      <c r="A5259" s="2" t="s">
        <v>5261</v>
      </c>
      <c r="B5259" s="2">
        <v>240.0</v>
      </c>
      <c r="C5259" s="2">
        <v>2735.0</v>
      </c>
      <c r="D5259" s="2">
        <v>877.0</v>
      </c>
      <c r="E5259" s="3">
        <f t="shared" si="1"/>
        <v>0.351503006</v>
      </c>
      <c r="F5259" s="2">
        <v>305.0</v>
      </c>
      <c r="G5259" s="3">
        <f t="shared" si="2"/>
        <v>0.122244489</v>
      </c>
      <c r="H5259" s="2">
        <v>507.0</v>
      </c>
      <c r="I5259" s="3">
        <f t="shared" si="3"/>
        <v>0.2032064128</v>
      </c>
      <c r="J5259" s="2">
        <v>430.0</v>
      </c>
      <c r="K5259" s="3">
        <f t="shared" si="4"/>
        <v>0.1723446894</v>
      </c>
      <c r="L5259" s="2">
        <v>275.0</v>
      </c>
      <c r="M5259" s="3">
        <f t="shared" si="5"/>
        <v>0.5424063116</v>
      </c>
      <c r="N5259" s="2">
        <v>2956100.0</v>
      </c>
      <c r="O5259" s="4">
        <f t="shared" si="6"/>
        <v>5830.571992</v>
      </c>
      <c r="P5259" s="2">
        <v>0.0</v>
      </c>
      <c r="Q5259" s="3">
        <f t="shared" si="7"/>
        <v>0</v>
      </c>
      <c r="R5259" s="2">
        <v>240.0</v>
      </c>
      <c r="S5259" s="5">
        <f t="shared" si="8"/>
        <v>1</v>
      </c>
    </row>
    <row r="5260">
      <c r="A5260" s="2" t="s">
        <v>5262</v>
      </c>
      <c r="B5260" s="2">
        <v>2739.0</v>
      </c>
      <c r="C5260" s="2">
        <v>32296.0</v>
      </c>
      <c r="D5260" s="2">
        <v>10149.0</v>
      </c>
      <c r="E5260" s="3">
        <f t="shared" si="1"/>
        <v>0.3433704368</v>
      </c>
      <c r="F5260" s="2">
        <v>3613.0</v>
      </c>
      <c r="G5260" s="3">
        <f t="shared" si="2"/>
        <v>0.1222383868</v>
      </c>
      <c r="H5260" s="2">
        <v>6295.0</v>
      </c>
      <c r="I5260" s="3">
        <f t="shared" si="3"/>
        <v>0.2129783131</v>
      </c>
      <c r="J5260" s="2">
        <v>4687.0</v>
      </c>
      <c r="K5260" s="3">
        <f t="shared" si="4"/>
        <v>0.1585749569</v>
      </c>
      <c r="L5260" s="2">
        <v>3766.0</v>
      </c>
      <c r="M5260" s="3">
        <f t="shared" si="5"/>
        <v>0.5982525814</v>
      </c>
      <c r="N5260" s="2">
        <v>3.61523E7</v>
      </c>
      <c r="O5260" s="4">
        <f t="shared" si="6"/>
        <v>5743.018268</v>
      </c>
      <c r="P5260" s="2">
        <v>5.0</v>
      </c>
      <c r="Q5260" s="3">
        <f t="shared" si="7"/>
        <v>0.001825483753</v>
      </c>
      <c r="R5260" s="2">
        <v>2739.0</v>
      </c>
      <c r="S5260" s="5">
        <f t="shared" si="8"/>
        <v>1</v>
      </c>
    </row>
    <row r="5261">
      <c r="A5261" s="2" t="s">
        <v>5263</v>
      </c>
      <c r="B5261" s="2">
        <v>501.0</v>
      </c>
      <c r="C5261" s="2">
        <v>5794.0</v>
      </c>
      <c r="D5261" s="2">
        <v>1862.0</v>
      </c>
      <c r="E5261" s="3">
        <f t="shared" si="1"/>
        <v>0.3517853769</v>
      </c>
      <c r="F5261" s="2">
        <v>647.0</v>
      </c>
      <c r="G5261" s="3">
        <f t="shared" si="2"/>
        <v>0.1222369167</v>
      </c>
      <c r="H5261" s="2">
        <v>1200.0</v>
      </c>
      <c r="I5261" s="3">
        <f t="shared" si="3"/>
        <v>0.2267145286</v>
      </c>
      <c r="J5261" s="2">
        <v>997.0</v>
      </c>
      <c r="K5261" s="3">
        <f t="shared" si="4"/>
        <v>0.1883619875</v>
      </c>
      <c r="L5261" s="2">
        <v>708.0</v>
      </c>
      <c r="M5261" s="3">
        <f t="shared" si="5"/>
        <v>0.59</v>
      </c>
      <c r="N5261" s="2">
        <v>6557100.0</v>
      </c>
      <c r="O5261" s="4">
        <f t="shared" si="6"/>
        <v>5464.25</v>
      </c>
      <c r="P5261" s="2">
        <v>1.0</v>
      </c>
      <c r="Q5261" s="3">
        <f t="shared" si="7"/>
        <v>0.001996007984</v>
      </c>
      <c r="R5261" s="2">
        <v>501.0</v>
      </c>
      <c r="S5261" s="5">
        <f t="shared" si="8"/>
        <v>1</v>
      </c>
    </row>
    <row r="5262">
      <c r="A5262" s="2" t="s">
        <v>5264</v>
      </c>
      <c r="B5262" s="2">
        <v>89.0</v>
      </c>
      <c r="C5262" s="2">
        <v>1038.0</v>
      </c>
      <c r="D5262" s="2">
        <v>318.0</v>
      </c>
      <c r="E5262" s="3">
        <f t="shared" si="1"/>
        <v>0.335089568</v>
      </c>
      <c r="F5262" s="2">
        <v>116.0</v>
      </c>
      <c r="G5262" s="3">
        <f t="shared" si="2"/>
        <v>0.1222339305</v>
      </c>
      <c r="H5262" s="2">
        <v>198.0</v>
      </c>
      <c r="I5262" s="3">
        <f t="shared" si="3"/>
        <v>0.2086406744</v>
      </c>
      <c r="J5262" s="2">
        <v>170.0</v>
      </c>
      <c r="K5262" s="3">
        <f t="shared" si="4"/>
        <v>0.1791359326</v>
      </c>
      <c r="L5262" s="2">
        <v>112.0</v>
      </c>
      <c r="M5262" s="3">
        <f t="shared" si="5"/>
        <v>0.5656565657</v>
      </c>
      <c r="N5262" s="2">
        <v>1110200.0</v>
      </c>
      <c r="O5262" s="4">
        <f t="shared" si="6"/>
        <v>5607.070707</v>
      </c>
      <c r="P5262" s="2">
        <v>0.0</v>
      </c>
      <c r="Q5262" s="3">
        <f t="shared" si="7"/>
        <v>0</v>
      </c>
      <c r="R5262" s="2">
        <v>89.0</v>
      </c>
      <c r="S5262" s="5">
        <f t="shared" si="8"/>
        <v>1</v>
      </c>
    </row>
    <row r="5263">
      <c r="A5263" s="2" t="s">
        <v>5265</v>
      </c>
      <c r="B5263" s="2">
        <v>656.0</v>
      </c>
      <c r="C5263" s="2">
        <v>7839.0</v>
      </c>
      <c r="D5263" s="2">
        <v>2636.0</v>
      </c>
      <c r="E5263" s="3">
        <f t="shared" si="1"/>
        <v>0.366977586</v>
      </c>
      <c r="F5263" s="2">
        <v>878.0</v>
      </c>
      <c r="G5263" s="3">
        <f t="shared" si="2"/>
        <v>0.1222330503</v>
      </c>
      <c r="H5263" s="2">
        <v>1485.0</v>
      </c>
      <c r="I5263" s="3">
        <f t="shared" si="3"/>
        <v>0.2067381317</v>
      </c>
      <c r="J5263" s="2">
        <v>1071.0</v>
      </c>
      <c r="K5263" s="3">
        <f t="shared" si="4"/>
        <v>0.1491020465</v>
      </c>
      <c r="L5263" s="2">
        <v>892.0</v>
      </c>
      <c r="M5263" s="3">
        <f t="shared" si="5"/>
        <v>0.6006734007</v>
      </c>
      <c r="N5263" s="2">
        <v>7865100.0</v>
      </c>
      <c r="O5263" s="4">
        <f t="shared" si="6"/>
        <v>5296.363636</v>
      </c>
      <c r="P5263" s="2">
        <v>2.0</v>
      </c>
      <c r="Q5263" s="3">
        <f t="shared" si="7"/>
        <v>0.003048780488</v>
      </c>
      <c r="R5263" s="2">
        <v>656.0</v>
      </c>
      <c r="S5263" s="5">
        <f t="shared" si="8"/>
        <v>1</v>
      </c>
    </row>
    <row r="5264">
      <c r="A5264" s="2" t="s">
        <v>5266</v>
      </c>
      <c r="B5264" s="2">
        <v>119.0</v>
      </c>
      <c r="C5264" s="2">
        <v>1428.0</v>
      </c>
      <c r="D5264" s="2">
        <v>409.0</v>
      </c>
      <c r="E5264" s="3">
        <f t="shared" si="1"/>
        <v>0.3124522536</v>
      </c>
      <c r="F5264" s="2">
        <v>160.0</v>
      </c>
      <c r="G5264" s="3">
        <f t="shared" si="2"/>
        <v>0.1222307105</v>
      </c>
      <c r="H5264" s="2">
        <v>241.0</v>
      </c>
      <c r="I5264" s="3">
        <f t="shared" si="3"/>
        <v>0.1841100076</v>
      </c>
      <c r="J5264" s="2">
        <v>219.0</v>
      </c>
      <c r="K5264" s="3">
        <f t="shared" si="4"/>
        <v>0.167303285</v>
      </c>
      <c r="L5264" s="2">
        <v>141.0</v>
      </c>
      <c r="M5264" s="3">
        <f t="shared" si="5"/>
        <v>0.5850622407</v>
      </c>
      <c r="N5264" s="2">
        <v>1459500.0</v>
      </c>
      <c r="O5264" s="4">
        <f t="shared" si="6"/>
        <v>6056.016598</v>
      </c>
      <c r="P5264" s="2">
        <v>0.0</v>
      </c>
      <c r="Q5264" s="3">
        <f t="shared" si="7"/>
        <v>0</v>
      </c>
      <c r="R5264" s="2">
        <v>119.0</v>
      </c>
      <c r="S5264" s="5">
        <f t="shared" si="8"/>
        <v>1</v>
      </c>
    </row>
    <row r="5265">
      <c r="A5265" s="2" t="s">
        <v>5267</v>
      </c>
      <c r="B5265" s="2">
        <v>403.0</v>
      </c>
      <c r="C5265" s="2">
        <v>4780.0</v>
      </c>
      <c r="D5265" s="2">
        <v>1556.0</v>
      </c>
      <c r="E5265" s="3">
        <f t="shared" si="1"/>
        <v>0.355494631</v>
      </c>
      <c r="F5265" s="2">
        <v>535.0</v>
      </c>
      <c r="G5265" s="3">
        <f t="shared" si="2"/>
        <v>0.1222298378</v>
      </c>
      <c r="H5265" s="2">
        <v>863.0</v>
      </c>
      <c r="I5265" s="3">
        <f t="shared" si="3"/>
        <v>0.1971670094</v>
      </c>
      <c r="J5265" s="2">
        <v>756.0</v>
      </c>
      <c r="K5265" s="3">
        <f t="shared" si="4"/>
        <v>0.1727210418</v>
      </c>
      <c r="L5265" s="2">
        <v>533.0</v>
      </c>
      <c r="M5265" s="3">
        <f t="shared" si="5"/>
        <v>0.617612978</v>
      </c>
      <c r="N5265" s="2">
        <v>5090400.0</v>
      </c>
      <c r="O5265" s="4">
        <f t="shared" si="6"/>
        <v>5898.493627</v>
      </c>
      <c r="P5265" s="2">
        <v>0.0</v>
      </c>
      <c r="Q5265" s="3">
        <f t="shared" si="7"/>
        <v>0</v>
      </c>
      <c r="R5265" s="2">
        <v>403.0</v>
      </c>
      <c r="S5265" s="5">
        <f t="shared" si="8"/>
        <v>1</v>
      </c>
    </row>
    <row r="5266">
      <c r="A5266" s="2" t="s">
        <v>5268</v>
      </c>
      <c r="B5266" s="2">
        <v>170.0</v>
      </c>
      <c r="C5266" s="2">
        <v>2019.0</v>
      </c>
      <c r="D5266" s="2">
        <v>755.0</v>
      </c>
      <c r="E5266" s="3">
        <f t="shared" si="1"/>
        <v>0.4083288264</v>
      </c>
      <c r="F5266" s="2">
        <v>226.0</v>
      </c>
      <c r="G5266" s="3">
        <f t="shared" si="2"/>
        <v>0.1222282315</v>
      </c>
      <c r="H5266" s="2">
        <v>373.0</v>
      </c>
      <c r="I5266" s="3">
        <f t="shared" si="3"/>
        <v>0.2017306652</v>
      </c>
      <c r="J5266" s="2">
        <v>296.0</v>
      </c>
      <c r="K5266" s="3">
        <f t="shared" si="4"/>
        <v>0.1600865333</v>
      </c>
      <c r="L5266" s="2">
        <v>228.0</v>
      </c>
      <c r="M5266" s="3">
        <f t="shared" si="5"/>
        <v>0.6112600536</v>
      </c>
      <c r="N5266" s="2">
        <v>2021600.0</v>
      </c>
      <c r="O5266" s="4">
        <f t="shared" si="6"/>
        <v>5419.839142</v>
      </c>
      <c r="P5266" s="2">
        <v>0.0</v>
      </c>
      <c r="Q5266" s="3">
        <f t="shared" si="7"/>
        <v>0</v>
      </c>
      <c r="R5266" s="2">
        <v>0.0</v>
      </c>
      <c r="S5266" s="5">
        <f t="shared" si="8"/>
        <v>0</v>
      </c>
    </row>
    <row r="5267">
      <c r="A5267" s="2" t="s">
        <v>5269</v>
      </c>
      <c r="B5267" s="2">
        <v>33.0</v>
      </c>
      <c r="C5267" s="2">
        <v>393.0</v>
      </c>
      <c r="D5267" s="2">
        <v>92.0</v>
      </c>
      <c r="E5267" s="3">
        <f t="shared" si="1"/>
        <v>0.2555555556</v>
      </c>
      <c r="F5267" s="2">
        <v>44.0</v>
      </c>
      <c r="G5267" s="3">
        <f t="shared" si="2"/>
        <v>0.1222222222</v>
      </c>
      <c r="H5267" s="2">
        <v>56.0</v>
      </c>
      <c r="I5267" s="3">
        <f t="shared" si="3"/>
        <v>0.1555555556</v>
      </c>
      <c r="J5267" s="2">
        <v>62.0</v>
      </c>
      <c r="K5267" s="3">
        <f t="shared" si="4"/>
        <v>0.1722222222</v>
      </c>
      <c r="L5267" s="2">
        <v>36.0</v>
      </c>
      <c r="M5267" s="3">
        <f t="shared" si="5"/>
        <v>0.6428571429</v>
      </c>
      <c r="N5267" s="2">
        <v>305400.0</v>
      </c>
      <c r="O5267" s="4">
        <f t="shared" si="6"/>
        <v>5453.571429</v>
      </c>
      <c r="P5267" s="2">
        <v>0.0</v>
      </c>
      <c r="Q5267" s="3">
        <f t="shared" si="7"/>
        <v>0</v>
      </c>
      <c r="R5267" s="2">
        <v>33.0</v>
      </c>
      <c r="S5267" s="5">
        <f t="shared" si="8"/>
        <v>1</v>
      </c>
    </row>
    <row r="5268">
      <c r="A5268" s="2" t="s">
        <v>5270</v>
      </c>
      <c r="B5268" s="2">
        <v>8.0</v>
      </c>
      <c r="C5268" s="2">
        <v>98.0</v>
      </c>
      <c r="D5268" s="2">
        <v>38.0</v>
      </c>
      <c r="E5268" s="3">
        <f t="shared" si="1"/>
        <v>0.4222222222</v>
      </c>
      <c r="F5268" s="2">
        <v>11.0</v>
      </c>
      <c r="G5268" s="3">
        <f t="shared" si="2"/>
        <v>0.1222222222</v>
      </c>
      <c r="H5268" s="2">
        <v>22.0</v>
      </c>
      <c r="I5268" s="3">
        <f t="shared" si="3"/>
        <v>0.2444444444</v>
      </c>
      <c r="J5268" s="2">
        <v>14.0</v>
      </c>
      <c r="K5268" s="3">
        <f t="shared" si="4"/>
        <v>0.1555555556</v>
      </c>
      <c r="L5268" s="2">
        <v>18.0</v>
      </c>
      <c r="M5268" s="3">
        <f t="shared" si="5"/>
        <v>0.8181818182</v>
      </c>
      <c r="N5268" s="2">
        <v>136100.0</v>
      </c>
      <c r="O5268" s="4">
        <f t="shared" si="6"/>
        <v>6186.363636</v>
      </c>
      <c r="P5268" s="2">
        <v>0.0</v>
      </c>
      <c r="Q5268" s="3">
        <f t="shared" si="7"/>
        <v>0</v>
      </c>
      <c r="R5268" s="2">
        <v>8.0</v>
      </c>
      <c r="S5268" s="5">
        <f t="shared" si="8"/>
        <v>1</v>
      </c>
    </row>
    <row r="5269">
      <c r="A5269" s="2" t="s">
        <v>5271</v>
      </c>
      <c r="B5269" s="2">
        <v>94.0</v>
      </c>
      <c r="C5269" s="2">
        <v>1084.0</v>
      </c>
      <c r="D5269" s="2">
        <v>316.0</v>
      </c>
      <c r="E5269" s="3">
        <f t="shared" si="1"/>
        <v>0.3191919192</v>
      </c>
      <c r="F5269" s="2">
        <v>121.0</v>
      </c>
      <c r="G5269" s="3">
        <f t="shared" si="2"/>
        <v>0.1222222222</v>
      </c>
      <c r="H5269" s="2">
        <v>190.0</v>
      </c>
      <c r="I5269" s="3">
        <f t="shared" si="3"/>
        <v>0.1919191919</v>
      </c>
      <c r="J5269" s="2">
        <v>146.0</v>
      </c>
      <c r="K5269" s="3">
        <f t="shared" si="4"/>
        <v>0.1474747475</v>
      </c>
      <c r="L5269" s="2">
        <v>115.0</v>
      </c>
      <c r="M5269" s="3">
        <f t="shared" si="5"/>
        <v>0.6052631579</v>
      </c>
      <c r="N5269" s="2">
        <v>964200.0</v>
      </c>
      <c r="O5269" s="4">
        <f t="shared" si="6"/>
        <v>5074.736842</v>
      </c>
      <c r="P5269" s="2">
        <v>0.0</v>
      </c>
      <c r="Q5269" s="3">
        <f t="shared" si="7"/>
        <v>0</v>
      </c>
      <c r="R5269" s="2">
        <v>94.0</v>
      </c>
      <c r="S5269" s="5">
        <f t="shared" si="8"/>
        <v>1</v>
      </c>
    </row>
    <row r="5270">
      <c r="A5270" s="2" t="s">
        <v>5272</v>
      </c>
      <c r="B5270" s="2">
        <v>166.0</v>
      </c>
      <c r="C5270" s="2">
        <v>1966.0</v>
      </c>
      <c r="D5270" s="2">
        <v>750.0</v>
      </c>
      <c r="E5270" s="3">
        <f t="shared" si="1"/>
        <v>0.4166666667</v>
      </c>
      <c r="F5270" s="2">
        <v>220.0</v>
      </c>
      <c r="G5270" s="3">
        <f t="shared" si="2"/>
        <v>0.1222222222</v>
      </c>
      <c r="H5270" s="2">
        <v>392.0</v>
      </c>
      <c r="I5270" s="3">
        <f t="shared" si="3"/>
        <v>0.2177777778</v>
      </c>
      <c r="J5270" s="2">
        <v>247.0</v>
      </c>
      <c r="K5270" s="3">
        <f t="shared" si="4"/>
        <v>0.1372222222</v>
      </c>
      <c r="L5270" s="2">
        <v>244.0</v>
      </c>
      <c r="M5270" s="3">
        <f t="shared" si="5"/>
        <v>0.6224489796</v>
      </c>
      <c r="N5270" s="2">
        <v>2091900.0</v>
      </c>
      <c r="O5270" s="4">
        <f t="shared" si="6"/>
        <v>5336.479592</v>
      </c>
      <c r="P5270" s="2">
        <v>1.0</v>
      </c>
      <c r="Q5270" s="3">
        <f t="shared" si="7"/>
        <v>0.006024096386</v>
      </c>
      <c r="R5270" s="2">
        <v>166.0</v>
      </c>
      <c r="S5270" s="5">
        <f t="shared" si="8"/>
        <v>1</v>
      </c>
    </row>
    <row r="5271">
      <c r="A5271" s="2" t="s">
        <v>5273</v>
      </c>
      <c r="B5271" s="2">
        <v>1279.0</v>
      </c>
      <c r="C5271" s="2">
        <v>14984.0</v>
      </c>
      <c r="D5271" s="2">
        <v>4441.0</v>
      </c>
      <c r="E5271" s="3">
        <f t="shared" si="1"/>
        <v>0.3240423203</v>
      </c>
      <c r="F5271" s="2">
        <v>1675.0</v>
      </c>
      <c r="G5271" s="3">
        <f t="shared" si="2"/>
        <v>0.1222181686</v>
      </c>
      <c r="H5271" s="2">
        <v>2876.0</v>
      </c>
      <c r="I5271" s="3">
        <f t="shared" si="3"/>
        <v>0.2098504196</v>
      </c>
      <c r="J5271" s="2">
        <v>2644.0</v>
      </c>
      <c r="K5271" s="3">
        <f t="shared" si="4"/>
        <v>0.1929222911</v>
      </c>
      <c r="L5271" s="2">
        <v>1679.0</v>
      </c>
      <c r="M5271" s="3">
        <f t="shared" si="5"/>
        <v>0.5837969402</v>
      </c>
      <c r="N5271" s="2">
        <v>1.59672E7</v>
      </c>
      <c r="O5271" s="4">
        <f t="shared" si="6"/>
        <v>5551.877608</v>
      </c>
      <c r="P5271" s="2">
        <v>6.0</v>
      </c>
      <c r="Q5271" s="3">
        <f t="shared" si="7"/>
        <v>0.004691164973</v>
      </c>
      <c r="R5271" s="2">
        <v>568.0</v>
      </c>
      <c r="S5271" s="5">
        <f t="shared" si="8"/>
        <v>0.4440969507</v>
      </c>
    </row>
    <row r="5272">
      <c r="A5272" s="2" t="s">
        <v>5274</v>
      </c>
      <c r="B5272" s="2">
        <v>5912.0</v>
      </c>
      <c r="C5272" s="2">
        <v>69006.0</v>
      </c>
      <c r="D5272" s="2">
        <v>22447.0</v>
      </c>
      <c r="E5272" s="3">
        <f t="shared" si="1"/>
        <v>0.3557707547</v>
      </c>
      <c r="F5272" s="2">
        <v>7711.0</v>
      </c>
      <c r="G5272" s="3">
        <f t="shared" si="2"/>
        <v>0.1222144736</v>
      </c>
      <c r="H5272" s="2">
        <v>13796.0</v>
      </c>
      <c r="I5272" s="3">
        <f t="shared" si="3"/>
        <v>0.2186578756</v>
      </c>
      <c r="J5272" s="2">
        <v>11923.0</v>
      </c>
      <c r="K5272" s="3">
        <f t="shared" si="4"/>
        <v>0.18897201</v>
      </c>
      <c r="L5272" s="2">
        <v>8155.0</v>
      </c>
      <c r="M5272" s="3">
        <f t="shared" si="5"/>
        <v>0.5911133662</v>
      </c>
      <c r="N5272" s="2">
        <v>7.65309E7</v>
      </c>
      <c r="O5272" s="4">
        <f t="shared" si="6"/>
        <v>5547.325312</v>
      </c>
      <c r="P5272" s="2">
        <v>11.0</v>
      </c>
      <c r="Q5272" s="3">
        <f t="shared" si="7"/>
        <v>0.001860622463</v>
      </c>
      <c r="R5272" s="2">
        <v>5912.0</v>
      </c>
      <c r="S5272" s="5">
        <f t="shared" si="8"/>
        <v>1</v>
      </c>
    </row>
    <row r="5273">
      <c r="A5273" s="2" t="s">
        <v>5275</v>
      </c>
      <c r="B5273" s="2">
        <v>572.0</v>
      </c>
      <c r="C5273" s="2">
        <v>6709.0</v>
      </c>
      <c r="D5273" s="2">
        <v>2297.0</v>
      </c>
      <c r="E5273" s="3">
        <f t="shared" si="1"/>
        <v>0.374287111</v>
      </c>
      <c r="F5273" s="2">
        <v>750.0</v>
      </c>
      <c r="G5273" s="3">
        <f t="shared" si="2"/>
        <v>0.1222095486</v>
      </c>
      <c r="H5273" s="2">
        <v>1305.0</v>
      </c>
      <c r="I5273" s="3">
        <f t="shared" si="3"/>
        <v>0.2126446146</v>
      </c>
      <c r="J5273" s="2">
        <v>938.0</v>
      </c>
      <c r="K5273" s="3">
        <f t="shared" si="4"/>
        <v>0.1528434088</v>
      </c>
      <c r="L5273" s="2">
        <v>802.0</v>
      </c>
      <c r="M5273" s="3">
        <f t="shared" si="5"/>
        <v>0.614559387</v>
      </c>
      <c r="N5273" s="2">
        <v>7297800.0</v>
      </c>
      <c r="O5273" s="4">
        <f t="shared" si="6"/>
        <v>5592.183908</v>
      </c>
      <c r="P5273" s="2">
        <v>1.0</v>
      </c>
      <c r="Q5273" s="3">
        <f t="shared" si="7"/>
        <v>0.001748251748</v>
      </c>
      <c r="R5273" s="2">
        <v>572.0</v>
      </c>
      <c r="S5273" s="5">
        <f t="shared" si="8"/>
        <v>1</v>
      </c>
    </row>
    <row r="5274">
      <c r="A5274" s="2" t="s">
        <v>5276</v>
      </c>
      <c r="B5274" s="2">
        <v>872.0</v>
      </c>
      <c r="C5274" s="2">
        <v>10397.0</v>
      </c>
      <c r="D5274" s="2">
        <v>3935.0</v>
      </c>
      <c r="E5274" s="3">
        <f t="shared" si="1"/>
        <v>0.4131233596</v>
      </c>
      <c r="F5274" s="2">
        <v>1164.0</v>
      </c>
      <c r="G5274" s="3">
        <f t="shared" si="2"/>
        <v>0.1222047244</v>
      </c>
      <c r="H5274" s="2">
        <v>2043.0</v>
      </c>
      <c r="I5274" s="3">
        <f t="shared" si="3"/>
        <v>0.214488189</v>
      </c>
      <c r="J5274" s="2">
        <v>1227.0</v>
      </c>
      <c r="K5274" s="3">
        <f t="shared" si="4"/>
        <v>0.1288188976</v>
      </c>
      <c r="L5274" s="2">
        <v>1239.0</v>
      </c>
      <c r="M5274" s="3">
        <f t="shared" si="5"/>
        <v>0.6064610866</v>
      </c>
      <c r="N5274" s="2">
        <v>1.09803E7</v>
      </c>
      <c r="O5274" s="4">
        <f t="shared" si="6"/>
        <v>5374.596182</v>
      </c>
      <c r="P5274" s="2">
        <v>5.0</v>
      </c>
      <c r="Q5274" s="3">
        <f t="shared" si="7"/>
        <v>0.005733944954</v>
      </c>
      <c r="R5274" s="2">
        <v>872.0</v>
      </c>
      <c r="S5274" s="5">
        <f t="shared" si="8"/>
        <v>1</v>
      </c>
    </row>
    <row r="5275">
      <c r="A5275" s="2" t="s">
        <v>5277</v>
      </c>
      <c r="B5275" s="2">
        <v>55.0</v>
      </c>
      <c r="C5275" s="2">
        <v>636.0</v>
      </c>
      <c r="D5275" s="2">
        <v>210.0</v>
      </c>
      <c r="E5275" s="3">
        <f t="shared" si="1"/>
        <v>0.3614457831</v>
      </c>
      <c r="F5275" s="2">
        <v>71.0</v>
      </c>
      <c r="G5275" s="3">
        <f t="shared" si="2"/>
        <v>0.1222030981</v>
      </c>
      <c r="H5275" s="2">
        <v>123.0</v>
      </c>
      <c r="I5275" s="3">
        <f t="shared" si="3"/>
        <v>0.2117039587</v>
      </c>
      <c r="J5275" s="2">
        <v>109.0</v>
      </c>
      <c r="K5275" s="3">
        <f t="shared" si="4"/>
        <v>0.1876075731</v>
      </c>
      <c r="L5275" s="2">
        <v>73.0</v>
      </c>
      <c r="M5275" s="3">
        <f t="shared" si="5"/>
        <v>0.593495935</v>
      </c>
      <c r="N5275" s="2">
        <v>672600.0</v>
      </c>
      <c r="O5275" s="4">
        <f t="shared" si="6"/>
        <v>5468.292683</v>
      </c>
      <c r="P5275" s="2">
        <v>0.0</v>
      </c>
      <c r="Q5275" s="3">
        <f t="shared" si="7"/>
        <v>0</v>
      </c>
      <c r="R5275" s="2">
        <v>0.0</v>
      </c>
      <c r="S5275" s="5">
        <f t="shared" si="8"/>
        <v>0</v>
      </c>
    </row>
    <row r="5276">
      <c r="A5276" s="2" t="s">
        <v>5278</v>
      </c>
      <c r="B5276" s="2">
        <v>6143.0</v>
      </c>
      <c r="C5276" s="2">
        <v>71764.0</v>
      </c>
      <c r="D5276" s="2">
        <v>21718.0</v>
      </c>
      <c r="E5276" s="3">
        <f t="shared" si="1"/>
        <v>0.3309611252</v>
      </c>
      <c r="F5276" s="2">
        <v>8019.0</v>
      </c>
      <c r="G5276" s="3">
        <f t="shared" si="2"/>
        <v>0.1222017342</v>
      </c>
      <c r="H5276" s="2">
        <v>13835.0</v>
      </c>
      <c r="I5276" s="3">
        <f t="shared" si="3"/>
        <v>0.2108318983</v>
      </c>
      <c r="J5276" s="2">
        <v>12693.0</v>
      </c>
      <c r="K5276" s="3">
        <f t="shared" si="4"/>
        <v>0.1934289328</v>
      </c>
      <c r="L5276" s="2">
        <v>8077.0</v>
      </c>
      <c r="M5276" s="3">
        <f t="shared" si="5"/>
        <v>0.5838091796</v>
      </c>
      <c r="N5276" s="2">
        <v>8.00874E7</v>
      </c>
      <c r="O5276" s="4">
        <f t="shared" si="6"/>
        <v>5788.753162</v>
      </c>
      <c r="P5276" s="2">
        <v>8.0</v>
      </c>
      <c r="Q5276" s="3">
        <f t="shared" si="7"/>
        <v>0.001302295295</v>
      </c>
      <c r="R5276" s="2">
        <v>6143.0</v>
      </c>
      <c r="S5276" s="5">
        <f t="shared" si="8"/>
        <v>1</v>
      </c>
    </row>
    <row r="5277">
      <c r="A5277" s="2" t="s">
        <v>5279</v>
      </c>
      <c r="B5277" s="2">
        <v>385.0</v>
      </c>
      <c r="C5277" s="2">
        <v>4493.0</v>
      </c>
      <c r="D5277" s="2">
        <v>1021.0</v>
      </c>
      <c r="E5277" s="3">
        <f t="shared" si="1"/>
        <v>0.2485394352</v>
      </c>
      <c r="F5277" s="2">
        <v>502.0</v>
      </c>
      <c r="G5277" s="3">
        <f t="shared" si="2"/>
        <v>0.1222005842</v>
      </c>
      <c r="H5277" s="2">
        <v>792.0</v>
      </c>
      <c r="I5277" s="3">
        <f t="shared" si="3"/>
        <v>0.1927945472</v>
      </c>
      <c r="J5277" s="2">
        <v>711.0</v>
      </c>
      <c r="K5277" s="3">
        <f t="shared" si="4"/>
        <v>0.1730769231</v>
      </c>
      <c r="L5277" s="2">
        <v>465.0</v>
      </c>
      <c r="M5277" s="3">
        <f t="shared" si="5"/>
        <v>0.5871212121</v>
      </c>
      <c r="N5277" s="2">
        <v>4720300.0</v>
      </c>
      <c r="O5277" s="4">
        <f t="shared" si="6"/>
        <v>5959.974747</v>
      </c>
      <c r="P5277" s="2">
        <v>1.0</v>
      </c>
      <c r="Q5277" s="3">
        <f t="shared" si="7"/>
        <v>0.002597402597</v>
      </c>
      <c r="R5277" s="2">
        <v>385.0</v>
      </c>
      <c r="S5277" s="5">
        <f t="shared" si="8"/>
        <v>1</v>
      </c>
    </row>
    <row r="5278">
      <c r="A5278" s="2" t="s">
        <v>5280</v>
      </c>
      <c r="B5278" s="2">
        <v>259.0</v>
      </c>
      <c r="C5278" s="2">
        <v>3025.0</v>
      </c>
      <c r="D5278" s="2">
        <v>998.0</v>
      </c>
      <c r="E5278" s="3">
        <f t="shared" si="1"/>
        <v>0.3608098337</v>
      </c>
      <c r="F5278" s="2">
        <v>338.0</v>
      </c>
      <c r="G5278" s="3">
        <f t="shared" si="2"/>
        <v>0.12219812</v>
      </c>
      <c r="H5278" s="2">
        <v>564.0</v>
      </c>
      <c r="I5278" s="3">
        <f t="shared" si="3"/>
        <v>0.2039045553</v>
      </c>
      <c r="J5278" s="2">
        <v>470.0</v>
      </c>
      <c r="K5278" s="3">
        <f t="shared" si="4"/>
        <v>0.1699204628</v>
      </c>
      <c r="L5278" s="2">
        <v>345.0</v>
      </c>
      <c r="M5278" s="3">
        <f t="shared" si="5"/>
        <v>0.6117021277</v>
      </c>
      <c r="N5278" s="2">
        <v>3137300.0</v>
      </c>
      <c r="O5278" s="4">
        <f t="shared" si="6"/>
        <v>5562.588652</v>
      </c>
      <c r="P5278" s="2">
        <v>1.0</v>
      </c>
      <c r="Q5278" s="3">
        <f t="shared" si="7"/>
        <v>0.003861003861</v>
      </c>
      <c r="R5278" s="2">
        <v>259.0</v>
      </c>
      <c r="S5278" s="5">
        <f t="shared" si="8"/>
        <v>1</v>
      </c>
    </row>
    <row r="5279">
      <c r="A5279" s="2" t="s">
        <v>5281</v>
      </c>
      <c r="B5279" s="2">
        <v>261.0</v>
      </c>
      <c r="C5279" s="2">
        <v>3060.0</v>
      </c>
      <c r="D5279" s="2">
        <v>1129.0</v>
      </c>
      <c r="E5279" s="3">
        <f t="shared" si="1"/>
        <v>0.4033583423</v>
      </c>
      <c r="F5279" s="2">
        <v>342.0</v>
      </c>
      <c r="G5279" s="3">
        <f t="shared" si="2"/>
        <v>0.1221864952</v>
      </c>
      <c r="H5279" s="2">
        <v>572.0</v>
      </c>
      <c r="I5279" s="3">
        <f t="shared" si="3"/>
        <v>0.2043586995</v>
      </c>
      <c r="J5279" s="2">
        <v>419.0</v>
      </c>
      <c r="K5279" s="3">
        <f t="shared" si="4"/>
        <v>0.1496963201</v>
      </c>
      <c r="L5279" s="2">
        <v>336.0</v>
      </c>
      <c r="M5279" s="3">
        <f t="shared" si="5"/>
        <v>0.5874125874</v>
      </c>
      <c r="N5279" s="2">
        <v>2897500.0</v>
      </c>
      <c r="O5279" s="4">
        <f t="shared" si="6"/>
        <v>5065.559441</v>
      </c>
      <c r="P5279" s="2">
        <v>1.0</v>
      </c>
      <c r="Q5279" s="3">
        <f t="shared" si="7"/>
        <v>0.003831417625</v>
      </c>
      <c r="R5279" s="2">
        <v>161.0</v>
      </c>
      <c r="S5279" s="5">
        <f t="shared" si="8"/>
        <v>0.6168582375</v>
      </c>
    </row>
    <row r="5280">
      <c r="A5280" s="2" t="s">
        <v>5282</v>
      </c>
      <c r="B5280" s="2">
        <v>431.0</v>
      </c>
      <c r="C5280" s="2">
        <v>5129.0</v>
      </c>
      <c r="D5280" s="2">
        <v>1484.0</v>
      </c>
      <c r="E5280" s="3">
        <f t="shared" si="1"/>
        <v>0.3158790975</v>
      </c>
      <c r="F5280" s="2">
        <v>574.0</v>
      </c>
      <c r="G5280" s="3">
        <f t="shared" si="2"/>
        <v>0.1221796509</v>
      </c>
      <c r="H5280" s="2">
        <v>1000.0</v>
      </c>
      <c r="I5280" s="3">
        <f t="shared" si="3"/>
        <v>0.2128565347</v>
      </c>
      <c r="J5280" s="2">
        <v>726.0</v>
      </c>
      <c r="K5280" s="3">
        <f t="shared" si="4"/>
        <v>0.1545338442</v>
      </c>
      <c r="L5280" s="2">
        <v>606.0</v>
      </c>
      <c r="M5280" s="3">
        <f t="shared" si="5"/>
        <v>0.606</v>
      </c>
      <c r="N5280" s="2">
        <v>5484800.0</v>
      </c>
      <c r="O5280" s="4">
        <f t="shared" si="6"/>
        <v>5484.8</v>
      </c>
      <c r="P5280" s="2">
        <v>2.0</v>
      </c>
      <c r="Q5280" s="3">
        <f t="shared" si="7"/>
        <v>0.00464037123</v>
      </c>
      <c r="R5280" s="2">
        <v>431.0</v>
      </c>
      <c r="S5280" s="5">
        <f t="shared" si="8"/>
        <v>1</v>
      </c>
    </row>
    <row r="5281">
      <c r="A5281" s="2" t="s">
        <v>5283</v>
      </c>
      <c r="B5281" s="2">
        <v>647.0</v>
      </c>
      <c r="C5281" s="2">
        <v>7695.0</v>
      </c>
      <c r="D5281" s="2">
        <v>2554.0</v>
      </c>
      <c r="E5281" s="3">
        <f t="shared" si="1"/>
        <v>0.3623723042</v>
      </c>
      <c r="F5281" s="2">
        <v>861.0</v>
      </c>
      <c r="G5281" s="3">
        <f t="shared" si="2"/>
        <v>0.1221623156</v>
      </c>
      <c r="H5281" s="2">
        <v>1490.0</v>
      </c>
      <c r="I5281" s="3">
        <f t="shared" si="3"/>
        <v>0.2114074915</v>
      </c>
      <c r="J5281" s="2">
        <v>1085.0</v>
      </c>
      <c r="K5281" s="3">
        <f t="shared" si="4"/>
        <v>0.1539443814</v>
      </c>
      <c r="L5281" s="2">
        <v>885.0</v>
      </c>
      <c r="M5281" s="3">
        <f t="shared" si="5"/>
        <v>0.5939597315</v>
      </c>
      <c r="N5281" s="2">
        <v>7778000.0</v>
      </c>
      <c r="O5281" s="4">
        <f t="shared" si="6"/>
        <v>5220.134228</v>
      </c>
      <c r="P5281" s="2">
        <v>2.0</v>
      </c>
      <c r="Q5281" s="3">
        <f t="shared" si="7"/>
        <v>0.003091190108</v>
      </c>
      <c r="R5281" s="2">
        <v>647.0</v>
      </c>
      <c r="S5281" s="5">
        <f t="shared" si="8"/>
        <v>1</v>
      </c>
    </row>
    <row r="5282">
      <c r="A5282" s="2" t="s">
        <v>5284</v>
      </c>
      <c r="B5282" s="2">
        <v>559.0</v>
      </c>
      <c r="C5282" s="2">
        <v>6625.0</v>
      </c>
      <c r="D5282" s="2">
        <v>2285.0</v>
      </c>
      <c r="E5282" s="3">
        <f t="shared" si="1"/>
        <v>0.3766897461</v>
      </c>
      <c r="F5282" s="2">
        <v>741.0</v>
      </c>
      <c r="G5282" s="3">
        <f t="shared" si="2"/>
        <v>0.1221562809</v>
      </c>
      <c r="H5282" s="2">
        <v>1220.0</v>
      </c>
      <c r="I5282" s="3">
        <f t="shared" si="3"/>
        <v>0.2011210023</v>
      </c>
      <c r="J5282" s="2">
        <v>987.0</v>
      </c>
      <c r="K5282" s="3">
        <f t="shared" si="4"/>
        <v>0.1627101879</v>
      </c>
      <c r="L5282" s="2">
        <v>742.0</v>
      </c>
      <c r="M5282" s="3">
        <f t="shared" si="5"/>
        <v>0.6081967213</v>
      </c>
      <c r="N5282" s="2">
        <v>6648900.0</v>
      </c>
      <c r="O5282" s="4">
        <f t="shared" si="6"/>
        <v>5449.918033</v>
      </c>
      <c r="P5282" s="2">
        <v>0.0</v>
      </c>
      <c r="Q5282" s="3">
        <f t="shared" si="7"/>
        <v>0</v>
      </c>
      <c r="R5282" s="2">
        <v>559.0</v>
      </c>
      <c r="S5282" s="5">
        <f t="shared" si="8"/>
        <v>1</v>
      </c>
    </row>
    <row r="5283">
      <c r="A5283" s="2" t="s">
        <v>5285</v>
      </c>
      <c r="B5283" s="2">
        <v>588.0</v>
      </c>
      <c r="C5283" s="2">
        <v>6867.0</v>
      </c>
      <c r="D5283" s="2">
        <v>2006.0</v>
      </c>
      <c r="E5283" s="3">
        <f t="shared" si="1"/>
        <v>0.3194776238</v>
      </c>
      <c r="F5283" s="2">
        <v>767.0</v>
      </c>
      <c r="G5283" s="3">
        <f t="shared" si="2"/>
        <v>0.1221532091</v>
      </c>
      <c r="H5283" s="2">
        <v>1301.0</v>
      </c>
      <c r="I5283" s="3">
        <f t="shared" si="3"/>
        <v>0.2071985985</v>
      </c>
      <c r="J5283" s="2">
        <v>1014.0</v>
      </c>
      <c r="K5283" s="3">
        <f t="shared" si="4"/>
        <v>0.1614906832</v>
      </c>
      <c r="L5283" s="2">
        <v>771.0</v>
      </c>
      <c r="M5283" s="3">
        <f t="shared" si="5"/>
        <v>0.5926210607</v>
      </c>
      <c r="N5283" s="2">
        <v>7474100.0</v>
      </c>
      <c r="O5283" s="4">
        <f t="shared" si="6"/>
        <v>5744.888547</v>
      </c>
      <c r="P5283" s="2">
        <v>1.0</v>
      </c>
      <c r="Q5283" s="3">
        <f t="shared" si="7"/>
        <v>0.001700680272</v>
      </c>
      <c r="R5283" s="2">
        <v>588.0</v>
      </c>
      <c r="S5283" s="5">
        <f t="shared" si="8"/>
        <v>1</v>
      </c>
    </row>
    <row r="5284">
      <c r="A5284" s="2" t="s">
        <v>5286</v>
      </c>
      <c r="B5284" s="2">
        <v>495.0</v>
      </c>
      <c r="C5284" s="2">
        <v>5759.0</v>
      </c>
      <c r="D5284" s="2">
        <v>1766.0</v>
      </c>
      <c r="E5284" s="3">
        <f t="shared" si="1"/>
        <v>0.3354863222</v>
      </c>
      <c r="F5284" s="2">
        <v>643.0</v>
      </c>
      <c r="G5284" s="3">
        <f t="shared" si="2"/>
        <v>0.1221504559</v>
      </c>
      <c r="H5284" s="2">
        <v>1153.0</v>
      </c>
      <c r="I5284" s="3">
        <f t="shared" si="3"/>
        <v>0.2190349544</v>
      </c>
      <c r="J5284" s="2">
        <v>849.0</v>
      </c>
      <c r="K5284" s="3">
        <f t="shared" si="4"/>
        <v>0.1612841945</v>
      </c>
      <c r="L5284" s="2">
        <v>679.0</v>
      </c>
      <c r="M5284" s="3">
        <f t="shared" si="5"/>
        <v>0.5888985256</v>
      </c>
      <c r="N5284" s="2">
        <v>6608300.0</v>
      </c>
      <c r="O5284" s="4">
        <f t="shared" si="6"/>
        <v>5731.396357</v>
      </c>
      <c r="P5284" s="2">
        <v>2.0</v>
      </c>
      <c r="Q5284" s="3">
        <f t="shared" si="7"/>
        <v>0.00404040404</v>
      </c>
      <c r="R5284" s="2">
        <v>495.0</v>
      </c>
      <c r="S5284" s="5">
        <f t="shared" si="8"/>
        <v>1</v>
      </c>
    </row>
    <row r="5285">
      <c r="A5285" s="2" t="s">
        <v>5287</v>
      </c>
      <c r="B5285" s="2">
        <v>126.0</v>
      </c>
      <c r="C5285" s="2">
        <v>1485.0</v>
      </c>
      <c r="D5285" s="2">
        <v>433.0</v>
      </c>
      <c r="E5285" s="3">
        <f t="shared" si="1"/>
        <v>0.3186166299</v>
      </c>
      <c r="F5285" s="2">
        <v>166.0</v>
      </c>
      <c r="G5285" s="3">
        <f t="shared" si="2"/>
        <v>0.1221486387</v>
      </c>
      <c r="H5285" s="2">
        <v>272.0</v>
      </c>
      <c r="I5285" s="3">
        <f t="shared" si="3"/>
        <v>0.200147167</v>
      </c>
      <c r="J5285" s="2">
        <v>202.0</v>
      </c>
      <c r="K5285" s="3">
        <f t="shared" si="4"/>
        <v>0.1486387049</v>
      </c>
      <c r="L5285" s="2">
        <v>153.0</v>
      </c>
      <c r="M5285" s="3">
        <f t="shared" si="5"/>
        <v>0.5625</v>
      </c>
      <c r="N5285" s="2">
        <v>1475800.0</v>
      </c>
      <c r="O5285" s="4">
        <f t="shared" si="6"/>
        <v>5425.735294</v>
      </c>
      <c r="P5285" s="2">
        <v>1.0</v>
      </c>
      <c r="Q5285" s="3">
        <f t="shared" si="7"/>
        <v>0.007936507937</v>
      </c>
      <c r="R5285" s="2">
        <v>0.0</v>
      </c>
      <c r="S5285" s="5">
        <f t="shared" si="8"/>
        <v>0</v>
      </c>
    </row>
    <row r="5286">
      <c r="A5286" s="2" t="s">
        <v>5288</v>
      </c>
      <c r="B5286" s="2">
        <v>329.0</v>
      </c>
      <c r="C5286" s="2">
        <v>3923.0</v>
      </c>
      <c r="D5286" s="2">
        <v>1312.0</v>
      </c>
      <c r="E5286" s="3">
        <f t="shared" si="1"/>
        <v>0.3650528659</v>
      </c>
      <c r="F5286" s="2">
        <v>439.0</v>
      </c>
      <c r="G5286" s="3">
        <f t="shared" si="2"/>
        <v>0.1221480245</v>
      </c>
      <c r="H5286" s="2">
        <v>675.0</v>
      </c>
      <c r="I5286" s="3">
        <f t="shared" si="3"/>
        <v>0.1878130217</v>
      </c>
      <c r="J5286" s="2">
        <v>564.0</v>
      </c>
      <c r="K5286" s="3">
        <f t="shared" si="4"/>
        <v>0.1569282137</v>
      </c>
      <c r="L5286" s="2">
        <v>413.0</v>
      </c>
      <c r="M5286" s="3">
        <f t="shared" si="5"/>
        <v>0.6118518519</v>
      </c>
      <c r="N5286" s="2">
        <v>3882200.0</v>
      </c>
      <c r="O5286" s="4">
        <f t="shared" si="6"/>
        <v>5751.407407</v>
      </c>
      <c r="P5286" s="2">
        <v>2.0</v>
      </c>
      <c r="Q5286" s="3">
        <f t="shared" si="7"/>
        <v>0.006079027356</v>
      </c>
      <c r="R5286" s="2">
        <v>0.0</v>
      </c>
      <c r="S5286" s="5">
        <f t="shared" si="8"/>
        <v>0</v>
      </c>
    </row>
    <row r="5287">
      <c r="A5287" s="2" t="s">
        <v>5289</v>
      </c>
      <c r="B5287" s="2">
        <v>900.0</v>
      </c>
      <c r="C5287" s="2">
        <v>10537.0</v>
      </c>
      <c r="D5287" s="2">
        <v>3667.0</v>
      </c>
      <c r="E5287" s="3">
        <f t="shared" si="1"/>
        <v>0.3805126077</v>
      </c>
      <c r="F5287" s="2">
        <v>1177.0</v>
      </c>
      <c r="G5287" s="3">
        <f t="shared" si="2"/>
        <v>0.122133444</v>
      </c>
      <c r="H5287" s="2">
        <v>2006.0</v>
      </c>
      <c r="I5287" s="3">
        <f t="shared" si="3"/>
        <v>0.2081560652</v>
      </c>
      <c r="J5287" s="2">
        <v>1551.0</v>
      </c>
      <c r="K5287" s="3">
        <f t="shared" si="4"/>
        <v>0.1609422019</v>
      </c>
      <c r="L5287" s="2">
        <v>1183.0</v>
      </c>
      <c r="M5287" s="3">
        <f t="shared" si="5"/>
        <v>0.5897308076</v>
      </c>
      <c r="N5287" s="2">
        <v>1.08569E7</v>
      </c>
      <c r="O5287" s="4">
        <f t="shared" si="6"/>
        <v>5412.21336</v>
      </c>
      <c r="P5287" s="2">
        <v>2.0</v>
      </c>
      <c r="Q5287" s="3">
        <f t="shared" si="7"/>
        <v>0.002222222222</v>
      </c>
      <c r="R5287" s="2">
        <v>798.0</v>
      </c>
      <c r="S5287" s="5">
        <f t="shared" si="8"/>
        <v>0.8866666667</v>
      </c>
    </row>
    <row r="5288">
      <c r="A5288" s="2" t="s">
        <v>5290</v>
      </c>
      <c r="B5288" s="2">
        <v>133.0</v>
      </c>
      <c r="C5288" s="2">
        <v>1615.0</v>
      </c>
      <c r="D5288" s="2">
        <v>550.0</v>
      </c>
      <c r="E5288" s="3">
        <f t="shared" si="1"/>
        <v>0.371120108</v>
      </c>
      <c r="F5288" s="2">
        <v>181.0</v>
      </c>
      <c r="G5288" s="3">
        <f t="shared" si="2"/>
        <v>0.1221322537</v>
      </c>
      <c r="H5288" s="2">
        <v>285.0</v>
      </c>
      <c r="I5288" s="3">
        <f t="shared" si="3"/>
        <v>0.1923076923</v>
      </c>
      <c r="J5288" s="2">
        <v>228.0</v>
      </c>
      <c r="K5288" s="3">
        <f t="shared" si="4"/>
        <v>0.1538461538</v>
      </c>
      <c r="L5288" s="2">
        <v>157.0</v>
      </c>
      <c r="M5288" s="3">
        <f t="shared" si="5"/>
        <v>0.550877193</v>
      </c>
      <c r="N5288" s="2">
        <v>1673000.0</v>
      </c>
      <c r="O5288" s="4">
        <f t="shared" si="6"/>
        <v>5870.175439</v>
      </c>
      <c r="P5288" s="2">
        <v>0.0</v>
      </c>
      <c r="Q5288" s="3">
        <f t="shared" si="7"/>
        <v>0</v>
      </c>
      <c r="R5288" s="2">
        <v>133.0</v>
      </c>
      <c r="S5288" s="5">
        <f t="shared" si="8"/>
        <v>1</v>
      </c>
    </row>
    <row r="5289">
      <c r="A5289" s="2" t="s">
        <v>5291</v>
      </c>
      <c r="B5289" s="2">
        <v>549.0</v>
      </c>
      <c r="C5289" s="2">
        <v>6420.0</v>
      </c>
      <c r="D5289" s="2">
        <v>2127.0</v>
      </c>
      <c r="E5289" s="3">
        <f t="shared" si="1"/>
        <v>0.3622892182</v>
      </c>
      <c r="F5289" s="2">
        <v>717.0</v>
      </c>
      <c r="G5289" s="3">
        <f t="shared" si="2"/>
        <v>0.1221257026</v>
      </c>
      <c r="H5289" s="2">
        <v>1207.0</v>
      </c>
      <c r="I5289" s="3">
        <f t="shared" si="3"/>
        <v>0.2055867825</v>
      </c>
      <c r="J5289" s="2">
        <v>929.0</v>
      </c>
      <c r="K5289" s="3">
        <f t="shared" si="4"/>
        <v>0.1582353943</v>
      </c>
      <c r="L5289" s="2">
        <v>758.0</v>
      </c>
      <c r="M5289" s="3">
        <f t="shared" si="5"/>
        <v>0.628003314</v>
      </c>
      <c r="N5289" s="2">
        <v>6250900.0</v>
      </c>
      <c r="O5289" s="4">
        <f t="shared" si="6"/>
        <v>5178.873239</v>
      </c>
      <c r="P5289" s="2">
        <v>1.0</v>
      </c>
      <c r="Q5289" s="3">
        <f t="shared" si="7"/>
        <v>0.001821493625</v>
      </c>
      <c r="R5289" s="2">
        <v>549.0</v>
      </c>
      <c r="S5289" s="5">
        <f t="shared" si="8"/>
        <v>1</v>
      </c>
    </row>
    <row r="5290">
      <c r="A5290" s="2" t="s">
        <v>5292</v>
      </c>
      <c r="B5290" s="2">
        <v>172.0</v>
      </c>
      <c r="C5290" s="2">
        <v>1998.0</v>
      </c>
      <c r="D5290" s="2">
        <v>662.0</v>
      </c>
      <c r="E5290" s="3">
        <f t="shared" si="1"/>
        <v>0.3625410734</v>
      </c>
      <c r="F5290" s="2">
        <v>223.0</v>
      </c>
      <c r="G5290" s="3">
        <f t="shared" si="2"/>
        <v>0.1221248631</v>
      </c>
      <c r="H5290" s="2">
        <v>356.0</v>
      </c>
      <c r="I5290" s="3">
        <f t="shared" si="3"/>
        <v>0.1949616648</v>
      </c>
      <c r="J5290" s="2">
        <v>256.0</v>
      </c>
      <c r="K5290" s="3">
        <f t="shared" si="4"/>
        <v>0.1401971522</v>
      </c>
      <c r="L5290" s="2">
        <v>234.0</v>
      </c>
      <c r="M5290" s="3">
        <f t="shared" si="5"/>
        <v>0.6573033708</v>
      </c>
      <c r="N5290" s="2">
        <v>1949900.0</v>
      </c>
      <c r="O5290" s="4">
        <f t="shared" si="6"/>
        <v>5477.247191</v>
      </c>
      <c r="P5290" s="2">
        <v>0.0</v>
      </c>
      <c r="Q5290" s="3">
        <f t="shared" si="7"/>
        <v>0</v>
      </c>
      <c r="R5290" s="2">
        <v>0.0</v>
      </c>
      <c r="S5290" s="5">
        <f t="shared" si="8"/>
        <v>0</v>
      </c>
    </row>
    <row r="5291">
      <c r="A5291" s="2" t="s">
        <v>5293</v>
      </c>
      <c r="B5291" s="2">
        <v>1587.0</v>
      </c>
      <c r="C5291" s="2">
        <v>18556.0</v>
      </c>
      <c r="D5291" s="2">
        <v>5778.0</v>
      </c>
      <c r="E5291" s="3">
        <f t="shared" si="1"/>
        <v>0.3405032707</v>
      </c>
      <c r="F5291" s="2">
        <v>2072.0</v>
      </c>
      <c r="G5291" s="3">
        <f t="shared" si="2"/>
        <v>0.122105015</v>
      </c>
      <c r="H5291" s="2">
        <v>3702.0</v>
      </c>
      <c r="I5291" s="3">
        <f t="shared" si="3"/>
        <v>0.2181625317</v>
      </c>
      <c r="J5291" s="2">
        <v>3003.0</v>
      </c>
      <c r="K5291" s="3">
        <f t="shared" si="4"/>
        <v>0.1769697684</v>
      </c>
      <c r="L5291" s="2">
        <v>2185.0</v>
      </c>
      <c r="M5291" s="3">
        <f t="shared" si="5"/>
        <v>0.5902215019</v>
      </c>
      <c r="N5291" s="2">
        <v>2.08645E7</v>
      </c>
      <c r="O5291" s="4">
        <f t="shared" si="6"/>
        <v>5636.007563</v>
      </c>
      <c r="P5291" s="2">
        <v>4.0</v>
      </c>
      <c r="Q5291" s="3">
        <f t="shared" si="7"/>
        <v>0.002520478891</v>
      </c>
      <c r="R5291" s="2">
        <v>1587.0</v>
      </c>
      <c r="S5291" s="5">
        <f t="shared" si="8"/>
        <v>1</v>
      </c>
    </row>
    <row r="5292">
      <c r="A5292" s="2" t="s">
        <v>5294</v>
      </c>
      <c r="B5292" s="2">
        <v>477.0</v>
      </c>
      <c r="C5292" s="2">
        <v>5522.0</v>
      </c>
      <c r="D5292" s="2">
        <v>1546.0</v>
      </c>
      <c r="E5292" s="3">
        <f t="shared" si="1"/>
        <v>0.3064420218</v>
      </c>
      <c r="F5292" s="2">
        <v>616.0</v>
      </c>
      <c r="G5292" s="3">
        <f t="shared" si="2"/>
        <v>0.1221010902</v>
      </c>
      <c r="H5292" s="2">
        <v>1066.0</v>
      </c>
      <c r="I5292" s="3">
        <f t="shared" si="3"/>
        <v>0.2112983152</v>
      </c>
      <c r="J5292" s="2">
        <v>783.0</v>
      </c>
      <c r="K5292" s="3">
        <f t="shared" si="4"/>
        <v>0.1552031715</v>
      </c>
      <c r="L5292" s="2">
        <v>651.0</v>
      </c>
      <c r="M5292" s="3">
        <f t="shared" si="5"/>
        <v>0.6106941839</v>
      </c>
      <c r="N5292" s="2">
        <v>5798200.0</v>
      </c>
      <c r="O5292" s="4">
        <f t="shared" si="6"/>
        <v>5439.212008</v>
      </c>
      <c r="P5292" s="2">
        <v>2.0</v>
      </c>
      <c r="Q5292" s="3">
        <f t="shared" si="7"/>
        <v>0.004192872117</v>
      </c>
      <c r="R5292" s="2">
        <v>132.0</v>
      </c>
      <c r="S5292" s="5">
        <f t="shared" si="8"/>
        <v>0.2767295597</v>
      </c>
    </row>
    <row r="5293">
      <c r="A5293" s="2" t="s">
        <v>5295</v>
      </c>
      <c r="B5293" s="2">
        <v>284.0</v>
      </c>
      <c r="C5293" s="2">
        <v>3388.0</v>
      </c>
      <c r="D5293" s="2">
        <v>965.0</v>
      </c>
      <c r="E5293" s="3">
        <f t="shared" si="1"/>
        <v>0.3108891753</v>
      </c>
      <c r="F5293" s="2">
        <v>379.0</v>
      </c>
      <c r="G5293" s="3">
        <f t="shared" si="2"/>
        <v>0.1221005155</v>
      </c>
      <c r="H5293" s="2">
        <v>663.0</v>
      </c>
      <c r="I5293" s="3">
        <f t="shared" si="3"/>
        <v>0.2135953608</v>
      </c>
      <c r="J5293" s="2">
        <v>529.0</v>
      </c>
      <c r="K5293" s="3">
        <f t="shared" si="4"/>
        <v>0.1704252577</v>
      </c>
      <c r="L5293" s="2">
        <v>385.0</v>
      </c>
      <c r="M5293" s="3">
        <f t="shared" si="5"/>
        <v>0.580693816</v>
      </c>
      <c r="N5293" s="2">
        <v>3736400.0</v>
      </c>
      <c r="O5293" s="4">
        <f t="shared" si="6"/>
        <v>5635.595777</v>
      </c>
      <c r="P5293" s="2">
        <v>3.0</v>
      </c>
      <c r="Q5293" s="3">
        <f t="shared" si="7"/>
        <v>0.01056338028</v>
      </c>
      <c r="R5293" s="2">
        <v>281.0</v>
      </c>
      <c r="S5293" s="5">
        <f t="shared" si="8"/>
        <v>0.9894366197</v>
      </c>
    </row>
    <row r="5294">
      <c r="A5294" s="2" t="s">
        <v>5296</v>
      </c>
      <c r="B5294" s="2">
        <v>7514.0</v>
      </c>
      <c r="C5294" s="2">
        <v>88063.0</v>
      </c>
      <c r="D5294" s="2">
        <v>22607.0</v>
      </c>
      <c r="E5294" s="3">
        <f t="shared" si="1"/>
        <v>0.2806614607</v>
      </c>
      <c r="F5294" s="2">
        <v>9835.0</v>
      </c>
      <c r="G5294" s="3">
        <f t="shared" si="2"/>
        <v>0.1220995916</v>
      </c>
      <c r="H5294" s="2">
        <v>17167.0</v>
      </c>
      <c r="I5294" s="3">
        <f t="shared" si="3"/>
        <v>0.2131249302</v>
      </c>
      <c r="J5294" s="2">
        <v>12831.0</v>
      </c>
      <c r="K5294" s="3">
        <f t="shared" si="4"/>
        <v>0.1592943426</v>
      </c>
      <c r="L5294" s="2">
        <v>10365.0</v>
      </c>
      <c r="M5294" s="3">
        <f t="shared" si="5"/>
        <v>0.603774684</v>
      </c>
      <c r="N5294" s="2">
        <v>9.73381E7</v>
      </c>
      <c r="O5294" s="4">
        <f t="shared" si="6"/>
        <v>5670.070484</v>
      </c>
      <c r="P5294" s="2">
        <v>16.0</v>
      </c>
      <c r="Q5294" s="3">
        <f t="shared" si="7"/>
        <v>0.002129358531</v>
      </c>
      <c r="R5294" s="2">
        <v>7514.0</v>
      </c>
      <c r="S5294" s="5">
        <f t="shared" si="8"/>
        <v>1</v>
      </c>
    </row>
    <row r="5295">
      <c r="A5295" s="2" t="s">
        <v>5297</v>
      </c>
      <c r="B5295" s="2">
        <v>691.0</v>
      </c>
      <c r="C5295" s="2">
        <v>8095.0</v>
      </c>
      <c r="D5295" s="2">
        <v>3327.0</v>
      </c>
      <c r="E5295" s="3">
        <f t="shared" si="1"/>
        <v>0.4493517018</v>
      </c>
      <c r="F5295" s="2">
        <v>904.0</v>
      </c>
      <c r="G5295" s="3">
        <f t="shared" si="2"/>
        <v>0.1220961642</v>
      </c>
      <c r="H5295" s="2">
        <v>1483.0</v>
      </c>
      <c r="I5295" s="3">
        <f t="shared" si="3"/>
        <v>0.2002971367</v>
      </c>
      <c r="J5295" s="2">
        <v>1145.0</v>
      </c>
      <c r="K5295" s="3">
        <f t="shared" si="4"/>
        <v>0.1546461372</v>
      </c>
      <c r="L5295" s="2">
        <v>902.0</v>
      </c>
      <c r="M5295" s="3">
        <f t="shared" si="5"/>
        <v>0.6082265678</v>
      </c>
      <c r="N5295" s="2">
        <v>7866700.0</v>
      </c>
      <c r="O5295" s="4">
        <f t="shared" si="6"/>
        <v>5304.5853</v>
      </c>
      <c r="P5295" s="2">
        <v>1.0</v>
      </c>
      <c r="Q5295" s="3">
        <f t="shared" si="7"/>
        <v>0.001447178003</v>
      </c>
      <c r="R5295" s="2">
        <v>685.0</v>
      </c>
      <c r="S5295" s="5">
        <f t="shared" si="8"/>
        <v>0.991316932</v>
      </c>
    </row>
    <row r="5296">
      <c r="A5296" s="2" t="s">
        <v>5298</v>
      </c>
      <c r="B5296" s="2">
        <v>105.0</v>
      </c>
      <c r="C5296" s="2">
        <v>1219.0</v>
      </c>
      <c r="D5296" s="2">
        <v>332.0</v>
      </c>
      <c r="E5296" s="3">
        <f t="shared" si="1"/>
        <v>0.2980251346</v>
      </c>
      <c r="F5296" s="2">
        <v>136.0</v>
      </c>
      <c r="G5296" s="3">
        <f t="shared" si="2"/>
        <v>0.1220825853</v>
      </c>
      <c r="H5296" s="2">
        <v>194.0</v>
      </c>
      <c r="I5296" s="3">
        <f t="shared" si="3"/>
        <v>0.1741472172</v>
      </c>
      <c r="J5296" s="2">
        <v>175.0</v>
      </c>
      <c r="K5296" s="3">
        <f t="shared" si="4"/>
        <v>0.1570915619</v>
      </c>
      <c r="L5296" s="2">
        <v>112.0</v>
      </c>
      <c r="M5296" s="3">
        <f t="shared" si="5"/>
        <v>0.5773195876</v>
      </c>
      <c r="N5296" s="2">
        <v>1164500.0</v>
      </c>
      <c r="O5296" s="4">
        <f t="shared" si="6"/>
        <v>6002.57732</v>
      </c>
      <c r="P5296" s="2">
        <v>0.0</v>
      </c>
      <c r="Q5296" s="3">
        <f t="shared" si="7"/>
        <v>0</v>
      </c>
      <c r="R5296" s="2">
        <v>105.0</v>
      </c>
      <c r="S5296" s="5">
        <f t="shared" si="8"/>
        <v>1</v>
      </c>
    </row>
    <row r="5297">
      <c r="A5297" s="2" t="s">
        <v>5299</v>
      </c>
      <c r="B5297" s="2">
        <v>1026.0</v>
      </c>
      <c r="C5297" s="2">
        <v>12207.0</v>
      </c>
      <c r="D5297" s="2">
        <v>4195.0</v>
      </c>
      <c r="E5297" s="3">
        <f t="shared" si="1"/>
        <v>0.3751900546</v>
      </c>
      <c r="F5297" s="2">
        <v>1365.0</v>
      </c>
      <c r="G5297" s="3">
        <f t="shared" si="2"/>
        <v>0.1220821036</v>
      </c>
      <c r="H5297" s="2">
        <v>2343.0</v>
      </c>
      <c r="I5297" s="3">
        <f t="shared" si="3"/>
        <v>0.2095519184</v>
      </c>
      <c r="J5297" s="2">
        <v>1760.0</v>
      </c>
      <c r="K5297" s="3">
        <f t="shared" si="4"/>
        <v>0.1574098918</v>
      </c>
      <c r="L5297" s="2">
        <v>1443.0</v>
      </c>
      <c r="M5297" s="3">
        <f t="shared" si="5"/>
        <v>0.6158770807</v>
      </c>
      <c r="N5297" s="2">
        <v>1.25529E7</v>
      </c>
      <c r="O5297" s="4">
        <f t="shared" si="6"/>
        <v>5357.618438</v>
      </c>
      <c r="P5297" s="2">
        <v>3.0</v>
      </c>
      <c r="Q5297" s="3">
        <f t="shared" si="7"/>
        <v>0.002923976608</v>
      </c>
      <c r="R5297" s="2">
        <v>1026.0</v>
      </c>
      <c r="S5297" s="5">
        <f t="shared" si="8"/>
        <v>1</v>
      </c>
    </row>
    <row r="5298">
      <c r="A5298" s="2" t="s">
        <v>5300</v>
      </c>
      <c r="B5298" s="2">
        <v>189.0</v>
      </c>
      <c r="C5298" s="2">
        <v>2237.0</v>
      </c>
      <c r="D5298" s="2">
        <v>775.0</v>
      </c>
      <c r="E5298" s="3">
        <f t="shared" si="1"/>
        <v>0.3784179688</v>
      </c>
      <c r="F5298" s="2">
        <v>250.0</v>
      </c>
      <c r="G5298" s="3">
        <f t="shared" si="2"/>
        <v>0.1220703125</v>
      </c>
      <c r="H5298" s="2">
        <v>461.0</v>
      </c>
      <c r="I5298" s="3">
        <f t="shared" si="3"/>
        <v>0.2250976563</v>
      </c>
      <c r="J5298" s="2">
        <v>331.0</v>
      </c>
      <c r="K5298" s="3">
        <f t="shared" si="4"/>
        <v>0.1616210938</v>
      </c>
      <c r="L5298" s="2">
        <v>277.0</v>
      </c>
      <c r="M5298" s="3">
        <f t="shared" si="5"/>
        <v>0.600867679</v>
      </c>
      <c r="N5298" s="2">
        <v>2434400.0</v>
      </c>
      <c r="O5298" s="4">
        <f t="shared" si="6"/>
        <v>5280.694143</v>
      </c>
      <c r="P5298" s="2">
        <v>0.0</v>
      </c>
      <c r="Q5298" s="3">
        <f t="shared" si="7"/>
        <v>0</v>
      </c>
      <c r="R5298" s="2">
        <v>189.0</v>
      </c>
      <c r="S5298" s="5">
        <f t="shared" si="8"/>
        <v>1</v>
      </c>
    </row>
    <row r="5299">
      <c r="A5299" s="2" t="s">
        <v>5301</v>
      </c>
      <c r="B5299" s="2">
        <v>410.0</v>
      </c>
      <c r="C5299" s="2">
        <v>4744.0</v>
      </c>
      <c r="D5299" s="2">
        <v>1553.0</v>
      </c>
      <c r="E5299" s="3">
        <f t="shared" si="1"/>
        <v>0.3583294878</v>
      </c>
      <c r="F5299" s="2">
        <v>529.0</v>
      </c>
      <c r="G5299" s="3">
        <f t="shared" si="2"/>
        <v>0.1220581449</v>
      </c>
      <c r="H5299" s="2">
        <v>890.0</v>
      </c>
      <c r="I5299" s="3">
        <f t="shared" si="3"/>
        <v>0.2053530226</v>
      </c>
      <c r="J5299" s="2">
        <v>776.0</v>
      </c>
      <c r="K5299" s="3">
        <f t="shared" si="4"/>
        <v>0.179049377</v>
      </c>
      <c r="L5299" s="2">
        <v>505.0</v>
      </c>
      <c r="M5299" s="3">
        <f t="shared" si="5"/>
        <v>0.5674157303</v>
      </c>
      <c r="N5299" s="2">
        <v>5113200.0</v>
      </c>
      <c r="O5299" s="4">
        <f t="shared" si="6"/>
        <v>5745.168539</v>
      </c>
      <c r="P5299" s="2">
        <v>1.0</v>
      </c>
      <c r="Q5299" s="3">
        <f t="shared" si="7"/>
        <v>0.00243902439</v>
      </c>
      <c r="R5299" s="2">
        <v>410.0</v>
      </c>
      <c r="S5299" s="5">
        <f t="shared" si="8"/>
        <v>1</v>
      </c>
    </row>
    <row r="5300">
      <c r="A5300" s="2" t="s">
        <v>5302</v>
      </c>
      <c r="B5300" s="2">
        <v>1191.0</v>
      </c>
      <c r="C5300" s="2">
        <v>14013.0</v>
      </c>
      <c r="D5300" s="2">
        <v>4265.0</v>
      </c>
      <c r="E5300" s="3">
        <f t="shared" si="1"/>
        <v>0.3326314148</v>
      </c>
      <c r="F5300" s="2">
        <v>1565.0</v>
      </c>
      <c r="G5300" s="3">
        <f t="shared" si="2"/>
        <v>0.1220558415</v>
      </c>
      <c r="H5300" s="2">
        <v>2656.0</v>
      </c>
      <c r="I5300" s="3">
        <f t="shared" si="3"/>
        <v>0.2071439713</v>
      </c>
      <c r="J5300" s="2">
        <v>1890.0</v>
      </c>
      <c r="K5300" s="3">
        <f t="shared" si="4"/>
        <v>0.1474029013</v>
      </c>
      <c r="L5300" s="2">
        <v>1596.0</v>
      </c>
      <c r="M5300" s="3">
        <f t="shared" si="5"/>
        <v>0.6009036145</v>
      </c>
      <c r="N5300" s="2">
        <v>1.42559E7</v>
      </c>
      <c r="O5300" s="4">
        <f t="shared" si="6"/>
        <v>5367.432229</v>
      </c>
      <c r="P5300" s="2">
        <v>2.0</v>
      </c>
      <c r="Q5300" s="3">
        <f t="shared" si="7"/>
        <v>0.001679261125</v>
      </c>
      <c r="R5300" s="2">
        <v>792.0</v>
      </c>
      <c r="S5300" s="5">
        <f t="shared" si="8"/>
        <v>0.6649874055</v>
      </c>
    </row>
    <row r="5301">
      <c r="A5301" s="2" t="s">
        <v>5303</v>
      </c>
      <c r="B5301" s="2">
        <v>1167.0</v>
      </c>
      <c r="C5301" s="2">
        <v>13899.0</v>
      </c>
      <c r="D5301" s="2">
        <v>4453.0</v>
      </c>
      <c r="E5301" s="3">
        <f t="shared" si="1"/>
        <v>0.3497486648</v>
      </c>
      <c r="F5301" s="2">
        <v>1554.0</v>
      </c>
      <c r="G5301" s="3">
        <f t="shared" si="2"/>
        <v>0.1220546654</v>
      </c>
      <c r="H5301" s="2">
        <v>2631.0</v>
      </c>
      <c r="I5301" s="3">
        <f t="shared" si="3"/>
        <v>0.2066446748</v>
      </c>
      <c r="J5301" s="2">
        <v>1811.0</v>
      </c>
      <c r="K5301" s="3">
        <f t="shared" si="4"/>
        <v>0.1422400251</v>
      </c>
      <c r="L5301" s="2">
        <v>1596.0</v>
      </c>
      <c r="M5301" s="3">
        <f t="shared" si="5"/>
        <v>0.606613455</v>
      </c>
      <c r="N5301" s="2">
        <v>1.42666E7</v>
      </c>
      <c r="O5301" s="4">
        <f t="shared" si="6"/>
        <v>5422.50095</v>
      </c>
      <c r="P5301" s="2">
        <v>1.0</v>
      </c>
      <c r="Q5301" s="3">
        <f t="shared" si="7"/>
        <v>0.0008568980291</v>
      </c>
      <c r="R5301" s="2">
        <v>270.0</v>
      </c>
      <c r="S5301" s="5">
        <f t="shared" si="8"/>
        <v>0.2313624679</v>
      </c>
    </row>
    <row r="5302">
      <c r="A5302" s="2" t="s">
        <v>5304</v>
      </c>
      <c r="B5302" s="2">
        <v>1885.0</v>
      </c>
      <c r="C5302" s="2">
        <v>21985.0</v>
      </c>
      <c r="D5302" s="2">
        <v>7472.0</v>
      </c>
      <c r="E5302" s="3">
        <f t="shared" si="1"/>
        <v>0.3717412935</v>
      </c>
      <c r="F5302" s="2">
        <v>2453.0</v>
      </c>
      <c r="G5302" s="3">
        <f t="shared" si="2"/>
        <v>0.122039801</v>
      </c>
      <c r="H5302" s="2">
        <v>4330.0</v>
      </c>
      <c r="I5302" s="3">
        <f t="shared" si="3"/>
        <v>0.2154228856</v>
      </c>
      <c r="J5302" s="2">
        <v>3603.0</v>
      </c>
      <c r="K5302" s="3">
        <f t="shared" si="4"/>
        <v>0.1792537313</v>
      </c>
      <c r="L5302" s="2">
        <v>2572.0</v>
      </c>
      <c r="M5302" s="3">
        <f t="shared" si="5"/>
        <v>0.5939953811</v>
      </c>
      <c r="N5302" s="2">
        <v>2.41752E7</v>
      </c>
      <c r="O5302" s="4">
        <f t="shared" si="6"/>
        <v>5583.187067</v>
      </c>
      <c r="P5302" s="2">
        <v>2.0</v>
      </c>
      <c r="Q5302" s="3">
        <f t="shared" si="7"/>
        <v>0.001061007958</v>
      </c>
      <c r="R5302" s="2">
        <v>1885.0</v>
      </c>
      <c r="S5302" s="5">
        <f t="shared" si="8"/>
        <v>1</v>
      </c>
    </row>
    <row r="5303">
      <c r="A5303" s="2" t="s">
        <v>5305</v>
      </c>
      <c r="B5303" s="2">
        <v>267.0</v>
      </c>
      <c r="C5303" s="2">
        <v>3135.0</v>
      </c>
      <c r="D5303" s="2">
        <v>763.0</v>
      </c>
      <c r="E5303" s="3">
        <f t="shared" si="1"/>
        <v>0.2660390516</v>
      </c>
      <c r="F5303" s="2">
        <v>350.0</v>
      </c>
      <c r="G5303" s="3">
        <f t="shared" si="2"/>
        <v>0.1220362622</v>
      </c>
      <c r="H5303" s="2">
        <v>540.0</v>
      </c>
      <c r="I5303" s="3">
        <f t="shared" si="3"/>
        <v>0.1882845188</v>
      </c>
      <c r="J5303" s="2">
        <v>434.0</v>
      </c>
      <c r="K5303" s="3">
        <f t="shared" si="4"/>
        <v>0.1513249651</v>
      </c>
      <c r="L5303" s="2">
        <v>323.0</v>
      </c>
      <c r="M5303" s="3">
        <f t="shared" si="5"/>
        <v>0.5981481481</v>
      </c>
      <c r="N5303" s="2">
        <v>3136000.0</v>
      </c>
      <c r="O5303" s="4">
        <f t="shared" si="6"/>
        <v>5807.407407</v>
      </c>
      <c r="P5303" s="2">
        <v>1.0</v>
      </c>
      <c r="Q5303" s="3">
        <f t="shared" si="7"/>
        <v>0.003745318352</v>
      </c>
      <c r="R5303" s="2">
        <v>0.0</v>
      </c>
      <c r="S5303" s="5">
        <f t="shared" si="8"/>
        <v>0</v>
      </c>
    </row>
    <row r="5304">
      <c r="A5304" s="2" t="s">
        <v>5306</v>
      </c>
      <c r="B5304" s="2">
        <v>2738.0</v>
      </c>
      <c r="C5304" s="2">
        <v>31739.0</v>
      </c>
      <c r="D5304" s="2">
        <v>8326.0</v>
      </c>
      <c r="E5304" s="3">
        <f t="shared" si="1"/>
        <v>0.2870935485</v>
      </c>
      <c r="F5304" s="2">
        <v>3539.0</v>
      </c>
      <c r="G5304" s="3">
        <f t="shared" si="2"/>
        <v>0.1220302748</v>
      </c>
      <c r="H5304" s="2">
        <v>6221.0</v>
      </c>
      <c r="I5304" s="3">
        <f t="shared" si="3"/>
        <v>0.2145098445</v>
      </c>
      <c r="J5304" s="2">
        <v>5340.0</v>
      </c>
      <c r="K5304" s="3">
        <f t="shared" si="4"/>
        <v>0.1841315817</v>
      </c>
      <c r="L5304" s="2">
        <v>3730.0</v>
      </c>
      <c r="M5304" s="3">
        <f t="shared" si="5"/>
        <v>0.5995820608</v>
      </c>
      <c r="N5304" s="2">
        <v>3.50889E7</v>
      </c>
      <c r="O5304" s="4">
        <f t="shared" si="6"/>
        <v>5640.395435</v>
      </c>
      <c r="P5304" s="2">
        <v>2.0</v>
      </c>
      <c r="Q5304" s="3">
        <f t="shared" si="7"/>
        <v>0.0007304601899</v>
      </c>
      <c r="R5304" s="2">
        <v>1417.0</v>
      </c>
      <c r="S5304" s="5">
        <f t="shared" si="8"/>
        <v>0.5175310446</v>
      </c>
    </row>
    <row r="5305">
      <c r="A5305" s="2" t="s">
        <v>5307</v>
      </c>
      <c r="B5305" s="2">
        <v>911.0</v>
      </c>
      <c r="C5305" s="2">
        <v>10802.0</v>
      </c>
      <c r="D5305" s="2">
        <v>4006.0</v>
      </c>
      <c r="E5305" s="3">
        <f t="shared" si="1"/>
        <v>0.4050146598</v>
      </c>
      <c r="F5305" s="2">
        <v>1207.0</v>
      </c>
      <c r="G5305" s="3">
        <f t="shared" si="2"/>
        <v>0.1220301284</v>
      </c>
      <c r="H5305" s="2">
        <v>2173.0</v>
      </c>
      <c r="I5305" s="3">
        <f t="shared" si="3"/>
        <v>0.2196946719</v>
      </c>
      <c r="J5305" s="2">
        <v>1545.0</v>
      </c>
      <c r="K5305" s="3">
        <f t="shared" si="4"/>
        <v>0.1562026084</v>
      </c>
      <c r="L5305" s="2">
        <v>1324.0</v>
      </c>
      <c r="M5305" s="3">
        <f t="shared" si="5"/>
        <v>0.6092959043</v>
      </c>
      <c r="N5305" s="2">
        <v>1.14177E7</v>
      </c>
      <c r="O5305" s="4">
        <f t="shared" si="6"/>
        <v>5254.348827</v>
      </c>
      <c r="P5305" s="2">
        <v>2.0</v>
      </c>
      <c r="Q5305" s="3">
        <f t="shared" si="7"/>
        <v>0.002195389682</v>
      </c>
      <c r="R5305" s="2">
        <v>453.0</v>
      </c>
      <c r="S5305" s="5">
        <f t="shared" si="8"/>
        <v>0.4972557629</v>
      </c>
    </row>
    <row r="5306">
      <c r="A5306" s="2" t="s">
        <v>5308</v>
      </c>
      <c r="B5306" s="2">
        <v>828.0</v>
      </c>
      <c r="C5306" s="2">
        <v>9744.0</v>
      </c>
      <c r="D5306" s="2">
        <v>3748.0</v>
      </c>
      <c r="E5306" s="3">
        <f t="shared" si="1"/>
        <v>0.420367878</v>
      </c>
      <c r="F5306" s="2">
        <v>1088.0</v>
      </c>
      <c r="G5306" s="3">
        <f t="shared" si="2"/>
        <v>0.1220278152</v>
      </c>
      <c r="H5306" s="2">
        <v>1903.0</v>
      </c>
      <c r="I5306" s="3">
        <f t="shared" si="3"/>
        <v>0.2134365186</v>
      </c>
      <c r="J5306" s="2">
        <v>1276.0</v>
      </c>
      <c r="K5306" s="3">
        <f t="shared" si="4"/>
        <v>0.1431135038</v>
      </c>
      <c r="L5306" s="2">
        <v>1141.0</v>
      </c>
      <c r="M5306" s="3">
        <f t="shared" si="5"/>
        <v>0.5995796111</v>
      </c>
      <c r="N5306" s="2">
        <v>9582300.0</v>
      </c>
      <c r="O5306" s="4">
        <f t="shared" si="6"/>
        <v>5035.365213</v>
      </c>
      <c r="P5306" s="2">
        <v>0.0</v>
      </c>
      <c r="Q5306" s="3">
        <f t="shared" si="7"/>
        <v>0</v>
      </c>
      <c r="R5306" s="2">
        <v>828.0</v>
      </c>
      <c r="S5306" s="5">
        <f t="shared" si="8"/>
        <v>1</v>
      </c>
    </row>
    <row r="5307">
      <c r="A5307" s="2" t="s">
        <v>5309</v>
      </c>
      <c r="B5307" s="2">
        <v>596.0</v>
      </c>
      <c r="C5307" s="2">
        <v>7095.0</v>
      </c>
      <c r="D5307" s="2">
        <v>2475.0</v>
      </c>
      <c r="E5307" s="3">
        <f t="shared" si="1"/>
        <v>0.3808278197</v>
      </c>
      <c r="F5307" s="2">
        <v>793.0</v>
      </c>
      <c r="G5307" s="3">
        <f t="shared" si="2"/>
        <v>0.1220187721</v>
      </c>
      <c r="H5307" s="2">
        <v>1358.0</v>
      </c>
      <c r="I5307" s="3">
        <f t="shared" si="3"/>
        <v>0.2089552239</v>
      </c>
      <c r="J5307" s="2">
        <v>1075.0</v>
      </c>
      <c r="K5307" s="3">
        <f t="shared" si="4"/>
        <v>0.1654100631</v>
      </c>
      <c r="L5307" s="2">
        <v>790.0</v>
      </c>
      <c r="M5307" s="3">
        <f t="shared" si="5"/>
        <v>0.5817378498</v>
      </c>
      <c r="N5307" s="2">
        <v>7427800.0</v>
      </c>
      <c r="O5307" s="4">
        <f t="shared" si="6"/>
        <v>5469.661267</v>
      </c>
      <c r="P5307" s="2">
        <v>1.0</v>
      </c>
      <c r="Q5307" s="3">
        <f t="shared" si="7"/>
        <v>0.001677852349</v>
      </c>
      <c r="R5307" s="2">
        <v>596.0</v>
      </c>
      <c r="S5307" s="5">
        <f t="shared" si="8"/>
        <v>1</v>
      </c>
    </row>
    <row r="5308">
      <c r="A5308" s="2" t="s">
        <v>5310</v>
      </c>
      <c r="B5308" s="2">
        <v>1659.0</v>
      </c>
      <c r="C5308" s="2">
        <v>19460.0</v>
      </c>
      <c r="D5308" s="2">
        <v>4855.0</v>
      </c>
      <c r="E5308" s="3">
        <f t="shared" si="1"/>
        <v>0.2727374867</v>
      </c>
      <c r="F5308" s="2">
        <v>2172.0</v>
      </c>
      <c r="G5308" s="3">
        <f t="shared" si="2"/>
        <v>0.1220156171</v>
      </c>
      <c r="H5308" s="2">
        <v>3575.0</v>
      </c>
      <c r="I5308" s="3">
        <f t="shared" si="3"/>
        <v>0.200831414</v>
      </c>
      <c r="J5308" s="2">
        <v>2893.0</v>
      </c>
      <c r="K5308" s="3">
        <f t="shared" si="4"/>
        <v>0.1625189596</v>
      </c>
      <c r="L5308" s="2">
        <v>2104.0</v>
      </c>
      <c r="M5308" s="3">
        <f t="shared" si="5"/>
        <v>0.5885314685</v>
      </c>
      <c r="N5308" s="2">
        <v>2.07516E7</v>
      </c>
      <c r="O5308" s="4">
        <f t="shared" si="6"/>
        <v>5804.643357</v>
      </c>
      <c r="P5308" s="2">
        <v>3.0</v>
      </c>
      <c r="Q5308" s="3">
        <f t="shared" si="7"/>
        <v>0.001808318264</v>
      </c>
      <c r="R5308" s="2">
        <v>1659.0</v>
      </c>
      <c r="S5308" s="5">
        <f t="shared" si="8"/>
        <v>1</v>
      </c>
    </row>
    <row r="5309">
      <c r="A5309" s="2" t="s">
        <v>5311</v>
      </c>
      <c r="B5309" s="2">
        <v>574.0</v>
      </c>
      <c r="C5309" s="2">
        <v>6836.0</v>
      </c>
      <c r="D5309" s="2">
        <v>2267.0</v>
      </c>
      <c r="E5309" s="3">
        <f t="shared" si="1"/>
        <v>0.3620249122</v>
      </c>
      <c r="F5309" s="2">
        <v>764.0</v>
      </c>
      <c r="G5309" s="3">
        <f t="shared" si="2"/>
        <v>0.122005749</v>
      </c>
      <c r="H5309" s="2">
        <v>1360.0</v>
      </c>
      <c r="I5309" s="3">
        <f t="shared" si="3"/>
        <v>0.2171830086</v>
      </c>
      <c r="J5309" s="2">
        <v>925.0</v>
      </c>
      <c r="K5309" s="3">
        <f t="shared" si="4"/>
        <v>0.1477163845</v>
      </c>
      <c r="L5309" s="2">
        <v>825.0</v>
      </c>
      <c r="M5309" s="3">
        <f t="shared" si="5"/>
        <v>0.6066176471</v>
      </c>
      <c r="N5309" s="2">
        <v>7643100.0</v>
      </c>
      <c r="O5309" s="4">
        <f t="shared" si="6"/>
        <v>5619.926471</v>
      </c>
      <c r="P5309" s="2">
        <v>1.0</v>
      </c>
      <c r="Q5309" s="3">
        <f t="shared" si="7"/>
        <v>0.001742160279</v>
      </c>
      <c r="R5309" s="2">
        <v>574.0</v>
      </c>
      <c r="S5309" s="5">
        <f t="shared" si="8"/>
        <v>1</v>
      </c>
    </row>
    <row r="5310">
      <c r="A5310" s="2" t="s">
        <v>5312</v>
      </c>
      <c r="B5310" s="2">
        <v>146.0</v>
      </c>
      <c r="C5310" s="2">
        <v>1728.0</v>
      </c>
      <c r="D5310" s="2">
        <v>654.0</v>
      </c>
      <c r="E5310" s="3">
        <f t="shared" si="1"/>
        <v>0.4134007585</v>
      </c>
      <c r="F5310" s="2">
        <v>193.0</v>
      </c>
      <c r="G5310" s="3">
        <f t="shared" si="2"/>
        <v>0.1219974716</v>
      </c>
      <c r="H5310" s="2">
        <v>342.0</v>
      </c>
      <c r="I5310" s="3">
        <f t="shared" si="3"/>
        <v>0.216182048</v>
      </c>
      <c r="J5310" s="2">
        <v>241.0</v>
      </c>
      <c r="K5310" s="3">
        <f t="shared" si="4"/>
        <v>0.1523388116</v>
      </c>
      <c r="L5310" s="2">
        <v>196.0</v>
      </c>
      <c r="M5310" s="3">
        <f t="shared" si="5"/>
        <v>0.5730994152</v>
      </c>
      <c r="N5310" s="2">
        <v>1831900.0</v>
      </c>
      <c r="O5310" s="4">
        <f t="shared" si="6"/>
        <v>5356.432749</v>
      </c>
      <c r="P5310" s="2">
        <v>0.0</v>
      </c>
      <c r="Q5310" s="3">
        <f t="shared" si="7"/>
        <v>0</v>
      </c>
      <c r="R5310" s="2">
        <v>146.0</v>
      </c>
      <c r="S5310" s="5">
        <f t="shared" si="8"/>
        <v>1</v>
      </c>
    </row>
    <row r="5311">
      <c r="A5311" s="2" t="s">
        <v>5313</v>
      </c>
      <c r="B5311" s="2">
        <v>2036.0</v>
      </c>
      <c r="C5311" s="2">
        <v>23636.0</v>
      </c>
      <c r="D5311" s="2">
        <v>6953.0</v>
      </c>
      <c r="E5311" s="3">
        <f t="shared" si="1"/>
        <v>0.3218981481</v>
      </c>
      <c r="F5311" s="2">
        <v>2635.0</v>
      </c>
      <c r="G5311" s="3">
        <f t="shared" si="2"/>
        <v>0.1219907407</v>
      </c>
      <c r="H5311" s="2">
        <v>4591.0</v>
      </c>
      <c r="I5311" s="3">
        <f t="shared" si="3"/>
        <v>0.2125462963</v>
      </c>
      <c r="J5311" s="2">
        <v>4129.0</v>
      </c>
      <c r="K5311" s="3">
        <f t="shared" si="4"/>
        <v>0.1911574074</v>
      </c>
      <c r="L5311" s="2">
        <v>2670.0</v>
      </c>
      <c r="M5311" s="3">
        <f t="shared" si="5"/>
        <v>0.5815726421</v>
      </c>
      <c r="N5311" s="2">
        <v>2.70634E7</v>
      </c>
      <c r="O5311" s="4">
        <f t="shared" si="6"/>
        <v>5894.881289</v>
      </c>
      <c r="P5311" s="2">
        <v>3.0</v>
      </c>
      <c r="Q5311" s="3">
        <f t="shared" si="7"/>
        <v>0.001473477407</v>
      </c>
      <c r="R5311" s="2">
        <v>0.0</v>
      </c>
      <c r="S5311" s="5">
        <f t="shared" si="8"/>
        <v>0</v>
      </c>
    </row>
    <row r="5312">
      <c r="A5312" s="2" t="s">
        <v>5314</v>
      </c>
      <c r="B5312" s="2">
        <v>1091.0</v>
      </c>
      <c r="C5312" s="2">
        <v>12756.0</v>
      </c>
      <c r="D5312" s="2">
        <v>3890.0</v>
      </c>
      <c r="E5312" s="3">
        <f t="shared" si="1"/>
        <v>0.3334762109</v>
      </c>
      <c r="F5312" s="2">
        <v>1423.0</v>
      </c>
      <c r="G5312" s="3">
        <f t="shared" si="2"/>
        <v>0.1219888556</v>
      </c>
      <c r="H5312" s="2">
        <v>2561.0</v>
      </c>
      <c r="I5312" s="3">
        <f t="shared" si="3"/>
        <v>0.2195456494</v>
      </c>
      <c r="J5312" s="2">
        <v>2280.0</v>
      </c>
      <c r="K5312" s="3">
        <f t="shared" si="4"/>
        <v>0.1954564938</v>
      </c>
      <c r="L5312" s="2">
        <v>1502.0</v>
      </c>
      <c r="M5312" s="3">
        <f t="shared" si="5"/>
        <v>0.5864896525</v>
      </c>
      <c r="N5312" s="2">
        <v>1.47526E7</v>
      </c>
      <c r="O5312" s="4">
        <f t="shared" si="6"/>
        <v>5760.484186</v>
      </c>
      <c r="P5312" s="2">
        <v>3.0</v>
      </c>
      <c r="Q5312" s="3">
        <f t="shared" si="7"/>
        <v>0.002749770852</v>
      </c>
      <c r="R5312" s="2">
        <v>1091.0</v>
      </c>
      <c r="S5312" s="5">
        <f t="shared" si="8"/>
        <v>1</v>
      </c>
    </row>
    <row r="5313">
      <c r="A5313" s="2" t="s">
        <v>5315</v>
      </c>
      <c r="B5313" s="2">
        <v>85.0</v>
      </c>
      <c r="C5313" s="2">
        <v>995.0</v>
      </c>
      <c r="D5313" s="2">
        <v>357.0</v>
      </c>
      <c r="E5313" s="3">
        <f t="shared" si="1"/>
        <v>0.3923076923</v>
      </c>
      <c r="F5313" s="2">
        <v>111.0</v>
      </c>
      <c r="G5313" s="3">
        <f t="shared" si="2"/>
        <v>0.121978022</v>
      </c>
      <c r="H5313" s="2">
        <v>191.0</v>
      </c>
      <c r="I5313" s="3">
        <f t="shared" si="3"/>
        <v>0.2098901099</v>
      </c>
      <c r="J5313" s="2">
        <v>124.0</v>
      </c>
      <c r="K5313" s="3">
        <f t="shared" si="4"/>
        <v>0.1362637363</v>
      </c>
      <c r="L5313" s="2">
        <v>121.0</v>
      </c>
      <c r="M5313" s="3">
        <f t="shared" si="5"/>
        <v>0.6335078534</v>
      </c>
      <c r="N5313" s="2">
        <v>1044400.0</v>
      </c>
      <c r="O5313" s="4">
        <f t="shared" si="6"/>
        <v>5468.062827</v>
      </c>
      <c r="P5313" s="2">
        <v>0.0</v>
      </c>
      <c r="Q5313" s="3">
        <f t="shared" si="7"/>
        <v>0</v>
      </c>
      <c r="R5313" s="2">
        <v>85.0</v>
      </c>
      <c r="S5313" s="5">
        <f t="shared" si="8"/>
        <v>1</v>
      </c>
    </row>
    <row r="5314">
      <c r="A5314" s="2" t="s">
        <v>5316</v>
      </c>
      <c r="B5314" s="2">
        <v>1342.0</v>
      </c>
      <c r="C5314" s="2">
        <v>15796.0</v>
      </c>
      <c r="D5314" s="2">
        <v>5561.0</v>
      </c>
      <c r="E5314" s="3">
        <f t="shared" si="1"/>
        <v>0.3847377888</v>
      </c>
      <c r="F5314" s="2">
        <v>1763.0</v>
      </c>
      <c r="G5314" s="3">
        <f t="shared" si="2"/>
        <v>0.1219731562</v>
      </c>
      <c r="H5314" s="2">
        <v>2932.0</v>
      </c>
      <c r="I5314" s="3">
        <f t="shared" si="3"/>
        <v>0.202850422</v>
      </c>
      <c r="J5314" s="2">
        <v>2269.0</v>
      </c>
      <c r="K5314" s="3">
        <f t="shared" si="4"/>
        <v>0.1569807666</v>
      </c>
      <c r="L5314" s="2">
        <v>1751.0</v>
      </c>
      <c r="M5314" s="3">
        <f t="shared" si="5"/>
        <v>0.5972032742</v>
      </c>
      <c r="N5314" s="2">
        <v>1.58535E7</v>
      </c>
      <c r="O5314" s="4">
        <f t="shared" si="6"/>
        <v>5407.060027</v>
      </c>
      <c r="P5314" s="2">
        <v>5.0</v>
      </c>
      <c r="Q5314" s="3">
        <f t="shared" si="7"/>
        <v>0.003725782414</v>
      </c>
      <c r="R5314" s="2">
        <v>1342.0</v>
      </c>
      <c r="S5314" s="5">
        <f t="shared" si="8"/>
        <v>1</v>
      </c>
    </row>
    <row r="5315">
      <c r="A5315" s="2" t="s">
        <v>5317</v>
      </c>
      <c r="B5315" s="2">
        <v>211.0</v>
      </c>
      <c r="C5315" s="2">
        <v>2441.0</v>
      </c>
      <c r="D5315" s="2">
        <v>692.0</v>
      </c>
      <c r="E5315" s="3">
        <f t="shared" si="1"/>
        <v>0.3103139013</v>
      </c>
      <c r="F5315" s="2">
        <v>272.0</v>
      </c>
      <c r="G5315" s="3">
        <f t="shared" si="2"/>
        <v>0.1219730942</v>
      </c>
      <c r="H5315" s="2">
        <v>435.0</v>
      </c>
      <c r="I5315" s="3">
        <f t="shared" si="3"/>
        <v>0.1950672646</v>
      </c>
      <c r="J5315" s="2">
        <v>391.0</v>
      </c>
      <c r="K5315" s="3">
        <f t="shared" si="4"/>
        <v>0.1753363229</v>
      </c>
      <c r="L5315" s="2">
        <v>268.0</v>
      </c>
      <c r="M5315" s="3">
        <f t="shared" si="5"/>
        <v>0.616091954</v>
      </c>
      <c r="N5315" s="2">
        <v>2627900.0</v>
      </c>
      <c r="O5315" s="4">
        <f t="shared" si="6"/>
        <v>6041.149425</v>
      </c>
      <c r="P5315" s="2">
        <v>1.0</v>
      </c>
      <c r="Q5315" s="3">
        <f t="shared" si="7"/>
        <v>0.004739336493</v>
      </c>
      <c r="R5315" s="2">
        <v>211.0</v>
      </c>
      <c r="S5315" s="5">
        <f t="shared" si="8"/>
        <v>1</v>
      </c>
    </row>
    <row r="5316">
      <c r="A5316" s="2" t="s">
        <v>5318</v>
      </c>
      <c r="B5316" s="2">
        <v>757.0</v>
      </c>
      <c r="C5316" s="2">
        <v>8964.0</v>
      </c>
      <c r="D5316" s="2">
        <v>2840.0</v>
      </c>
      <c r="E5316" s="3">
        <f t="shared" si="1"/>
        <v>0.3460460582</v>
      </c>
      <c r="F5316" s="2">
        <v>1001.0</v>
      </c>
      <c r="G5316" s="3">
        <f t="shared" si="2"/>
        <v>0.1219690508</v>
      </c>
      <c r="H5316" s="2">
        <v>1821.0</v>
      </c>
      <c r="I5316" s="3">
        <f t="shared" si="3"/>
        <v>0.2218837578</v>
      </c>
      <c r="J5316" s="2">
        <v>1383.0</v>
      </c>
      <c r="K5316" s="3">
        <f t="shared" si="4"/>
        <v>0.1685146826</v>
      </c>
      <c r="L5316" s="2">
        <v>1107.0</v>
      </c>
      <c r="M5316" s="3">
        <f t="shared" si="5"/>
        <v>0.607907743</v>
      </c>
      <c r="N5316" s="2">
        <v>1.01297E7</v>
      </c>
      <c r="O5316" s="4">
        <f t="shared" si="6"/>
        <v>5562.712795</v>
      </c>
      <c r="P5316" s="2">
        <v>2.0</v>
      </c>
      <c r="Q5316" s="3">
        <f t="shared" si="7"/>
        <v>0.002642007926</v>
      </c>
      <c r="R5316" s="2">
        <v>757.0</v>
      </c>
      <c r="S5316" s="5">
        <f t="shared" si="8"/>
        <v>1</v>
      </c>
    </row>
    <row r="5317">
      <c r="A5317" s="2" t="s">
        <v>5319</v>
      </c>
      <c r="B5317" s="2">
        <v>339.0</v>
      </c>
      <c r="C5317" s="2">
        <v>4004.0</v>
      </c>
      <c r="D5317" s="2">
        <v>1688.0</v>
      </c>
      <c r="E5317" s="3">
        <f t="shared" si="1"/>
        <v>0.4605729877</v>
      </c>
      <c r="F5317" s="2">
        <v>447.0</v>
      </c>
      <c r="G5317" s="3">
        <f t="shared" si="2"/>
        <v>0.1219645293</v>
      </c>
      <c r="H5317" s="2">
        <v>770.0</v>
      </c>
      <c r="I5317" s="3">
        <f t="shared" si="3"/>
        <v>0.210095498</v>
      </c>
      <c r="J5317" s="2">
        <v>496.0</v>
      </c>
      <c r="K5317" s="3">
        <f t="shared" si="4"/>
        <v>0.1353342428</v>
      </c>
      <c r="L5317" s="2">
        <v>410.0</v>
      </c>
      <c r="M5317" s="3">
        <f t="shared" si="5"/>
        <v>0.5324675325</v>
      </c>
      <c r="N5317" s="2">
        <v>4213000.0</v>
      </c>
      <c r="O5317" s="4">
        <f t="shared" si="6"/>
        <v>5471.428571</v>
      </c>
      <c r="P5317" s="2">
        <v>1.0</v>
      </c>
      <c r="Q5317" s="3">
        <f t="shared" si="7"/>
        <v>0.002949852507</v>
      </c>
      <c r="R5317" s="2">
        <v>0.0</v>
      </c>
      <c r="S5317" s="5">
        <f t="shared" si="8"/>
        <v>0</v>
      </c>
    </row>
    <row r="5318">
      <c r="A5318" s="2" t="s">
        <v>5320</v>
      </c>
      <c r="B5318" s="2">
        <v>5143.0</v>
      </c>
      <c r="C5318" s="2">
        <v>60381.0</v>
      </c>
      <c r="D5318" s="2">
        <v>19632.0</v>
      </c>
      <c r="E5318" s="3">
        <f t="shared" si="1"/>
        <v>0.3554075093</v>
      </c>
      <c r="F5318" s="2">
        <v>6737.0</v>
      </c>
      <c r="G5318" s="3">
        <f t="shared" si="2"/>
        <v>0.1219631413</v>
      </c>
      <c r="H5318" s="2">
        <v>11868.0</v>
      </c>
      <c r="I5318" s="3">
        <f t="shared" si="3"/>
        <v>0.2148520946</v>
      </c>
      <c r="J5318" s="2">
        <v>9823.0</v>
      </c>
      <c r="K5318" s="3">
        <f t="shared" si="4"/>
        <v>0.177830479</v>
      </c>
      <c r="L5318" s="2">
        <v>7171.0</v>
      </c>
      <c r="M5318" s="3">
        <f t="shared" si="5"/>
        <v>0.6042298618</v>
      </c>
      <c r="N5318" s="2">
        <v>6.60618E7</v>
      </c>
      <c r="O5318" s="4">
        <f t="shared" si="6"/>
        <v>5566.380182</v>
      </c>
      <c r="P5318" s="2">
        <v>9.0</v>
      </c>
      <c r="Q5318" s="3">
        <f t="shared" si="7"/>
        <v>0.00174995139</v>
      </c>
      <c r="R5318" s="2">
        <v>5132.0</v>
      </c>
      <c r="S5318" s="5">
        <f t="shared" si="8"/>
        <v>0.9978611705</v>
      </c>
    </row>
    <row r="5319">
      <c r="A5319" s="2" t="s">
        <v>5321</v>
      </c>
      <c r="B5319" s="2">
        <v>778.0</v>
      </c>
      <c r="C5319" s="2">
        <v>9051.0</v>
      </c>
      <c r="D5319" s="2">
        <v>2620.0</v>
      </c>
      <c r="E5319" s="3">
        <f t="shared" si="1"/>
        <v>0.3166928563</v>
      </c>
      <c r="F5319" s="2">
        <v>1009.0</v>
      </c>
      <c r="G5319" s="3">
        <f t="shared" si="2"/>
        <v>0.1219630122</v>
      </c>
      <c r="H5319" s="2">
        <v>1695.0</v>
      </c>
      <c r="I5319" s="3">
        <f t="shared" si="3"/>
        <v>0.2048833555</v>
      </c>
      <c r="J5319" s="2">
        <v>1566.0</v>
      </c>
      <c r="K5319" s="3">
        <f t="shared" si="4"/>
        <v>0.189290463</v>
      </c>
      <c r="L5319" s="2">
        <v>1027.0</v>
      </c>
      <c r="M5319" s="3">
        <f t="shared" si="5"/>
        <v>0.605899705</v>
      </c>
      <c r="N5319" s="2">
        <v>1.01345E7</v>
      </c>
      <c r="O5319" s="4">
        <f t="shared" si="6"/>
        <v>5979.056047</v>
      </c>
      <c r="P5319" s="2">
        <v>1.0</v>
      </c>
      <c r="Q5319" s="3">
        <f t="shared" si="7"/>
        <v>0.001285347044</v>
      </c>
      <c r="R5319" s="2">
        <v>778.0</v>
      </c>
      <c r="S5319" s="5">
        <f t="shared" si="8"/>
        <v>1</v>
      </c>
    </row>
    <row r="5320">
      <c r="A5320" s="2" t="s">
        <v>5322</v>
      </c>
      <c r="B5320" s="2">
        <v>999.0</v>
      </c>
      <c r="C5320" s="2">
        <v>11675.0</v>
      </c>
      <c r="D5320" s="2">
        <v>3097.0</v>
      </c>
      <c r="E5320" s="3">
        <f t="shared" si="1"/>
        <v>0.2900899213</v>
      </c>
      <c r="F5320" s="2">
        <v>1302.0</v>
      </c>
      <c r="G5320" s="3">
        <f t="shared" si="2"/>
        <v>0.1219557887</v>
      </c>
      <c r="H5320" s="2">
        <v>2275.0</v>
      </c>
      <c r="I5320" s="3">
        <f t="shared" si="3"/>
        <v>0.2130947921</v>
      </c>
      <c r="J5320" s="2">
        <v>2045.0</v>
      </c>
      <c r="K5320" s="3">
        <f t="shared" si="4"/>
        <v>0.1915511428</v>
      </c>
      <c r="L5320" s="2">
        <v>1367.0</v>
      </c>
      <c r="M5320" s="3">
        <f t="shared" si="5"/>
        <v>0.6008791209</v>
      </c>
      <c r="N5320" s="2">
        <v>1.28663E7</v>
      </c>
      <c r="O5320" s="4">
        <f t="shared" si="6"/>
        <v>5655.516484</v>
      </c>
      <c r="P5320" s="2">
        <v>1.0</v>
      </c>
      <c r="Q5320" s="3">
        <f t="shared" si="7"/>
        <v>0.001001001001</v>
      </c>
      <c r="R5320" s="2">
        <v>0.0</v>
      </c>
      <c r="S5320" s="5">
        <f t="shared" si="8"/>
        <v>0</v>
      </c>
    </row>
    <row r="5321">
      <c r="A5321" s="2" t="s">
        <v>5323</v>
      </c>
      <c r="B5321" s="2">
        <v>4.0</v>
      </c>
      <c r="C5321" s="2">
        <v>45.0</v>
      </c>
      <c r="D5321" s="2">
        <v>15.0</v>
      </c>
      <c r="E5321" s="3">
        <f t="shared" si="1"/>
        <v>0.3658536585</v>
      </c>
      <c r="F5321" s="2">
        <v>5.0</v>
      </c>
      <c r="G5321" s="3">
        <f t="shared" si="2"/>
        <v>0.1219512195</v>
      </c>
      <c r="H5321" s="2">
        <v>11.0</v>
      </c>
      <c r="I5321" s="3">
        <f t="shared" si="3"/>
        <v>0.2682926829</v>
      </c>
      <c r="J5321" s="2">
        <v>10.0</v>
      </c>
      <c r="K5321" s="3">
        <f t="shared" si="4"/>
        <v>0.243902439</v>
      </c>
      <c r="L5321" s="2">
        <v>6.0</v>
      </c>
      <c r="M5321" s="3">
        <f t="shared" si="5"/>
        <v>0.5454545455</v>
      </c>
      <c r="N5321" s="2">
        <v>71100.0</v>
      </c>
      <c r="O5321" s="4">
        <f t="shared" si="6"/>
        <v>6463.636364</v>
      </c>
      <c r="P5321" s="2">
        <v>0.0</v>
      </c>
      <c r="Q5321" s="3">
        <f t="shared" si="7"/>
        <v>0</v>
      </c>
      <c r="R5321" s="2">
        <v>4.0</v>
      </c>
      <c r="S5321" s="5">
        <f t="shared" si="8"/>
        <v>1</v>
      </c>
    </row>
    <row r="5322">
      <c r="A5322" s="2" t="s">
        <v>5324</v>
      </c>
      <c r="B5322" s="2">
        <v>26.0</v>
      </c>
      <c r="C5322" s="2">
        <v>313.0</v>
      </c>
      <c r="D5322" s="2">
        <v>85.0</v>
      </c>
      <c r="E5322" s="3">
        <f t="shared" si="1"/>
        <v>0.2961672474</v>
      </c>
      <c r="F5322" s="2">
        <v>35.0</v>
      </c>
      <c r="G5322" s="3">
        <f t="shared" si="2"/>
        <v>0.1219512195</v>
      </c>
      <c r="H5322" s="2">
        <v>51.0</v>
      </c>
      <c r="I5322" s="3">
        <f t="shared" si="3"/>
        <v>0.1777003484</v>
      </c>
      <c r="J5322" s="2">
        <v>59.0</v>
      </c>
      <c r="K5322" s="3">
        <f t="shared" si="4"/>
        <v>0.2055749129</v>
      </c>
      <c r="L5322" s="2">
        <v>29.0</v>
      </c>
      <c r="M5322" s="3">
        <f t="shared" si="5"/>
        <v>0.568627451</v>
      </c>
      <c r="N5322" s="2">
        <v>310200.0</v>
      </c>
      <c r="O5322" s="4">
        <f t="shared" si="6"/>
        <v>6082.352941</v>
      </c>
      <c r="P5322" s="2">
        <v>0.0</v>
      </c>
      <c r="Q5322" s="3">
        <f t="shared" si="7"/>
        <v>0</v>
      </c>
      <c r="R5322" s="2">
        <v>26.0</v>
      </c>
      <c r="S5322" s="5">
        <f t="shared" si="8"/>
        <v>1</v>
      </c>
    </row>
    <row r="5323">
      <c r="A5323" s="2" t="s">
        <v>5325</v>
      </c>
      <c r="B5323" s="2">
        <v>97.0</v>
      </c>
      <c r="C5323" s="2">
        <v>1122.0</v>
      </c>
      <c r="D5323" s="2">
        <v>311.0</v>
      </c>
      <c r="E5323" s="3">
        <f t="shared" si="1"/>
        <v>0.3034146341</v>
      </c>
      <c r="F5323" s="2">
        <v>125.0</v>
      </c>
      <c r="G5323" s="3">
        <f t="shared" si="2"/>
        <v>0.1219512195</v>
      </c>
      <c r="H5323" s="2">
        <v>194.0</v>
      </c>
      <c r="I5323" s="3">
        <f t="shared" si="3"/>
        <v>0.1892682927</v>
      </c>
      <c r="J5323" s="2">
        <v>185.0</v>
      </c>
      <c r="K5323" s="3">
        <f t="shared" si="4"/>
        <v>0.1804878049</v>
      </c>
      <c r="L5323" s="2">
        <v>114.0</v>
      </c>
      <c r="M5323" s="3">
        <f t="shared" si="5"/>
        <v>0.587628866</v>
      </c>
      <c r="N5323" s="2">
        <v>1077000.0</v>
      </c>
      <c r="O5323" s="4">
        <f t="shared" si="6"/>
        <v>5551.546392</v>
      </c>
      <c r="P5323" s="2">
        <v>0.0</v>
      </c>
      <c r="Q5323" s="3">
        <f t="shared" si="7"/>
        <v>0</v>
      </c>
      <c r="R5323" s="2">
        <v>97.0</v>
      </c>
      <c r="S5323" s="5">
        <f t="shared" si="8"/>
        <v>1</v>
      </c>
    </row>
    <row r="5324">
      <c r="A5324" s="2" t="s">
        <v>5326</v>
      </c>
      <c r="B5324" s="2">
        <v>2099.0</v>
      </c>
      <c r="C5324" s="2">
        <v>24559.0</v>
      </c>
      <c r="D5324" s="2">
        <v>8464.0</v>
      </c>
      <c r="E5324" s="3">
        <f t="shared" si="1"/>
        <v>0.3768477293</v>
      </c>
      <c r="F5324" s="2">
        <v>2739.0</v>
      </c>
      <c r="G5324" s="3">
        <f t="shared" si="2"/>
        <v>0.1219501336</v>
      </c>
      <c r="H5324" s="2">
        <v>4503.0</v>
      </c>
      <c r="I5324" s="3">
        <f t="shared" si="3"/>
        <v>0.2004897596</v>
      </c>
      <c r="J5324" s="2">
        <v>3956.0</v>
      </c>
      <c r="K5324" s="3">
        <f t="shared" si="4"/>
        <v>0.1761353517</v>
      </c>
      <c r="L5324" s="2">
        <v>2624.0</v>
      </c>
      <c r="M5324" s="3">
        <f t="shared" si="5"/>
        <v>0.5827226294</v>
      </c>
      <c r="N5324" s="2">
        <v>2.62187E7</v>
      </c>
      <c r="O5324" s="4">
        <f t="shared" si="6"/>
        <v>5822.496114</v>
      </c>
      <c r="P5324" s="2">
        <v>3.0</v>
      </c>
      <c r="Q5324" s="3">
        <f t="shared" si="7"/>
        <v>0.001429252025</v>
      </c>
      <c r="R5324" s="2">
        <v>2099.0</v>
      </c>
      <c r="S5324" s="5">
        <f t="shared" si="8"/>
        <v>1</v>
      </c>
    </row>
    <row r="5325">
      <c r="A5325" s="2" t="s">
        <v>5327</v>
      </c>
      <c r="B5325" s="2">
        <v>480.0</v>
      </c>
      <c r="C5325" s="2">
        <v>5671.0</v>
      </c>
      <c r="D5325" s="2">
        <v>2212.0</v>
      </c>
      <c r="E5325" s="3">
        <f t="shared" si="1"/>
        <v>0.4261221345</v>
      </c>
      <c r="F5325" s="2">
        <v>633.0</v>
      </c>
      <c r="G5325" s="3">
        <f t="shared" si="2"/>
        <v>0.1219418224</v>
      </c>
      <c r="H5325" s="2">
        <v>1048.0</v>
      </c>
      <c r="I5325" s="3">
        <f t="shared" si="3"/>
        <v>0.2018878829</v>
      </c>
      <c r="J5325" s="2">
        <v>746.0</v>
      </c>
      <c r="K5325" s="3">
        <f t="shared" si="4"/>
        <v>0.1437102678</v>
      </c>
      <c r="L5325" s="2">
        <v>631.0</v>
      </c>
      <c r="M5325" s="3">
        <f t="shared" si="5"/>
        <v>0.6020992366</v>
      </c>
      <c r="N5325" s="2">
        <v>5772000.0</v>
      </c>
      <c r="O5325" s="4">
        <f t="shared" si="6"/>
        <v>5507.633588</v>
      </c>
      <c r="P5325" s="2">
        <v>1.0</v>
      </c>
      <c r="Q5325" s="3">
        <f t="shared" si="7"/>
        <v>0.002083333333</v>
      </c>
      <c r="R5325" s="2">
        <v>480.0</v>
      </c>
      <c r="S5325" s="5">
        <f t="shared" si="8"/>
        <v>1</v>
      </c>
    </row>
    <row r="5326">
      <c r="A5326" s="2" t="s">
        <v>5328</v>
      </c>
      <c r="B5326" s="2">
        <v>3061.0</v>
      </c>
      <c r="C5326" s="2">
        <v>36053.0</v>
      </c>
      <c r="D5326" s="2">
        <v>12507.0</v>
      </c>
      <c r="E5326" s="3">
        <f t="shared" si="1"/>
        <v>0.3790919011</v>
      </c>
      <c r="F5326" s="2">
        <v>4023.0</v>
      </c>
      <c r="G5326" s="3">
        <f t="shared" si="2"/>
        <v>0.1219386518</v>
      </c>
      <c r="H5326" s="2">
        <v>7036.0</v>
      </c>
      <c r="I5326" s="3">
        <f t="shared" si="3"/>
        <v>0.2132638215</v>
      </c>
      <c r="J5326" s="2">
        <v>5224.0</v>
      </c>
      <c r="K5326" s="3">
        <f t="shared" si="4"/>
        <v>0.1583414161</v>
      </c>
      <c r="L5326" s="2">
        <v>4223.0</v>
      </c>
      <c r="M5326" s="3">
        <f t="shared" si="5"/>
        <v>0.6001989767</v>
      </c>
      <c r="N5326" s="2">
        <v>3.72568E7</v>
      </c>
      <c r="O5326" s="4">
        <f t="shared" si="6"/>
        <v>5295.167709</v>
      </c>
      <c r="P5326" s="2">
        <v>1.0</v>
      </c>
      <c r="Q5326" s="3">
        <f t="shared" si="7"/>
        <v>0.000326690624</v>
      </c>
      <c r="R5326" s="2">
        <v>2342.0</v>
      </c>
      <c r="S5326" s="5">
        <f t="shared" si="8"/>
        <v>0.7651094414</v>
      </c>
    </row>
    <row r="5327">
      <c r="A5327" s="2" t="s">
        <v>5329</v>
      </c>
      <c r="B5327" s="2">
        <v>1996.0</v>
      </c>
      <c r="C5327" s="2">
        <v>23450.0</v>
      </c>
      <c r="D5327" s="2">
        <v>7287.0</v>
      </c>
      <c r="E5327" s="3">
        <f t="shared" si="1"/>
        <v>0.3396569404</v>
      </c>
      <c r="F5327" s="2">
        <v>2616.0</v>
      </c>
      <c r="G5327" s="3">
        <f t="shared" si="2"/>
        <v>0.1219353034</v>
      </c>
      <c r="H5327" s="2">
        <v>4576.0</v>
      </c>
      <c r="I5327" s="3">
        <f t="shared" si="3"/>
        <v>0.2132935583</v>
      </c>
      <c r="J5327" s="2">
        <v>3821.0</v>
      </c>
      <c r="K5327" s="3">
        <f t="shared" si="4"/>
        <v>0.1781019856</v>
      </c>
      <c r="L5327" s="2">
        <v>2732.0</v>
      </c>
      <c r="M5327" s="3">
        <f t="shared" si="5"/>
        <v>0.597027972</v>
      </c>
      <c r="N5327" s="2">
        <v>2.51203E7</v>
      </c>
      <c r="O5327" s="4">
        <f t="shared" si="6"/>
        <v>5489.576049</v>
      </c>
      <c r="P5327" s="2">
        <v>3.0</v>
      </c>
      <c r="Q5327" s="3">
        <f t="shared" si="7"/>
        <v>0.001503006012</v>
      </c>
      <c r="R5327" s="2">
        <v>1996.0</v>
      </c>
      <c r="S5327" s="5">
        <f t="shared" si="8"/>
        <v>1</v>
      </c>
    </row>
    <row r="5328">
      <c r="A5328" s="2" t="s">
        <v>5330</v>
      </c>
      <c r="B5328" s="2">
        <v>123.0</v>
      </c>
      <c r="C5328" s="2">
        <v>1468.0</v>
      </c>
      <c r="D5328" s="2">
        <v>464.0</v>
      </c>
      <c r="E5328" s="3">
        <f t="shared" si="1"/>
        <v>0.3449814126</v>
      </c>
      <c r="F5328" s="2">
        <v>164.0</v>
      </c>
      <c r="G5328" s="3">
        <f t="shared" si="2"/>
        <v>0.1219330855</v>
      </c>
      <c r="H5328" s="2">
        <v>276.0</v>
      </c>
      <c r="I5328" s="3">
        <f t="shared" si="3"/>
        <v>0.205204461</v>
      </c>
      <c r="J5328" s="2">
        <v>231.0</v>
      </c>
      <c r="K5328" s="3">
        <f t="shared" si="4"/>
        <v>0.1717472119</v>
      </c>
      <c r="L5328" s="2">
        <v>156.0</v>
      </c>
      <c r="M5328" s="3">
        <f t="shared" si="5"/>
        <v>0.5652173913</v>
      </c>
      <c r="N5328" s="2">
        <v>1484500.0</v>
      </c>
      <c r="O5328" s="4">
        <f t="shared" si="6"/>
        <v>5378.623188</v>
      </c>
      <c r="P5328" s="2">
        <v>0.0</v>
      </c>
      <c r="Q5328" s="3">
        <f t="shared" si="7"/>
        <v>0</v>
      </c>
      <c r="R5328" s="2">
        <v>123.0</v>
      </c>
      <c r="S5328" s="5">
        <f t="shared" si="8"/>
        <v>1</v>
      </c>
    </row>
    <row r="5329">
      <c r="A5329" s="2" t="s">
        <v>5331</v>
      </c>
      <c r="B5329" s="2">
        <v>1081.0</v>
      </c>
      <c r="C5329" s="2">
        <v>12489.0</v>
      </c>
      <c r="D5329" s="2">
        <v>3512.0</v>
      </c>
      <c r="E5329" s="3">
        <f t="shared" si="1"/>
        <v>0.3078541374</v>
      </c>
      <c r="F5329" s="2">
        <v>1391.0</v>
      </c>
      <c r="G5329" s="3">
        <f t="shared" si="2"/>
        <v>0.1219319776</v>
      </c>
      <c r="H5329" s="2">
        <v>2325.0</v>
      </c>
      <c r="I5329" s="3">
        <f t="shared" si="3"/>
        <v>0.2038043478</v>
      </c>
      <c r="J5329" s="2">
        <v>2122.0</v>
      </c>
      <c r="K5329" s="3">
        <f t="shared" si="4"/>
        <v>0.1860098177</v>
      </c>
      <c r="L5329" s="2">
        <v>1409.0</v>
      </c>
      <c r="M5329" s="3">
        <f t="shared" si="5"/>
        <v>0.6060215054</v>
      </c>
      <c r="N5329" s="2">
        <v>1.35533E7</v>
      </c>
      <c r="O5329" s="4">
        <f t="shared" si="6"/>
        <v>5829.376344</v>
      </c>
      <c r="P5329" s="2">
        <v>0.0</v>
      </c>
      <c r="Q5329" s="3">
        <f t="shared" si="7"/>
        <v>0</v>
      </c>
      <c r="R5329" s="2">
        <v>5.0</v>
      </c>
      <c r="S5329" s="5">
        <f t="shared" si="8"/>
        <v>0.004625346901</v>
      </c>
    </row>
    <row r="5330">
      <c r="A5330" s="2" t="s">
        <v>5332</v>
      </c>
      <c r="B5330" s="2">
        <v>59.0</v>
      </c>
      <c r="C5330" s="2">
        <v>707.0</v>
      </c>
      <c r="D5330" s="2">
        <v>219.0</v>
      </c>
      <c r="E5330" s="3">
        <f t="shared" si="1"/>
        <v>0.337962963</v>
      </c>
      <c r="F5330" s="2">
        <v>79.0</v>
      </c>
      <c r="G5330" s="3">
        <f t="shared" si="2"/>
        <v>0.1219135802</v>
      </c>
      <c r="H5330" s="2">
        <v>114.0</v>
      </c>
      <c r="I5330" s="3">
        <f t="shared" si="3"/>
        <v>0.1759259259</v>
      </c>
      <c r="J5330" s="2">
        <v>98.0</v>
      </c>
      <c r="K5330" s="3">
        <f t="shared" si="4"/>
        <v>0.1512345679</v>
      </c>
      <c r="L5330" s="2">
        <v>78.0</v>
      </c>
      <c r="M5330" s="3">
        <f t="shared" si="5"/>
        <v>0.6842105263</v>
      </c>
      <c r="N5330" s="2">
        <v>601700.0</v>
      </c>
      <c r="O5330" s="4">
        <f t="shared" si="6"/>
        <v>5278.070175</v>
      </c>
      <c r="P5330" s="2">
        <v>0.0</v>
      </c>
      <c r="Q5330" s="3">
        <f t="shared" si="7"/>
        <v>0</v>
      </c>
      <c r="R5330" s="2">
        <v>59.0</v>
      </c>
      <c r="S5330" s="5">
        <f t="shared" si="8"/>
        <v>1</v>
      </c>
    </row>
    <row r="5331">
      <c r="A5331" s="2" t="s">
        <v>5333</v>
      </c>
      <c r="B5331" s="2">
        <v>304.0</v>
      </c>
      <c r="C5331" s="2">
        <v>3569.0</v>
      </c>
      <c r="D5331" s="2">
        <v>1002.0</v>
      </c>
      <c r="E5331" s="3">
        <f t="shared" si="1"/>
        <v>0.3068912711</v>
      </c>
      <c r="F5331" s="2">
        <v>398.0</v>
      </c>
      <c r="G5331" s="3">
        <f t="shared" si="2"/>
        <v>0.121898928</v>
      </c>
      <c r="H5331" s="2">
        <v>690.0</v>
      </c>
      <c r="I5331" s="3">
        <f t="shared" si="3"/>
        <v>0.2113323124</v>
      </c>
      <c r="J5331" s="2">
        <v>679.0</v>
      </c>
      <c r="K5331" s="3">
        <f t="shared" si="4"/>
        <v>0.2079632466</v>
      </c>
      <c r="L5331" s="2">
        <v>410.0</v>
      </c>
      <c r="M5331" s="3">
        <f t="shared" si="5"/>
        <v>0.5942028986</v>
      </c>
      <c r="N5331" s="2">
        <v>4011800.0</v>
      </c>
      <c r="O5331" s="4">
        <f t="shared" si="6"/>
        <v>5814.202899</v>
      </c>
      <c r="P5331" s="2">
        <v>1.0</v>
      </c>
      <c r="Q5331" s="3">
        <f t="shared" si="7"/>
        <v>0.003289473684</v>
      </c>
      <c r="R5331" s="2">
        <v>13.0</v>
      </c>
      <c r="S5331" s="5">
        <f t="shared" si="8"/>
        <v>0.04276315789</v>
      </c>
    </row>
    <row r="5332">
      <c r="A5332" s="2" t="s">
        <v>5334</v>
      </c>
      <c r="B5332" s="2">
        <v>38.0</v>
      </c>
      <c r="C5332" s="2">
        <v>440.0</v>
      </c>
      <c r="D5332" s="2">
        <v>141.0</v>
      </c>
      <c r="E5332" s="3">
        <f t="shared" si="1"/>
        <v>0.3507462687</v>
      </c>
      <c r="F5332" s="2">
        <v>49.0</v>
      </c>
      <c r="G5332" s="3">
        <f t="shared" si="2"/>
        <v>0.1218905473</v>
      </c>
      <c r="H5332" s="2">
        <v>87.0</v>
      </c>
      <c r="I5332" s="3">
        <f t="shared" si="3"/>
        <v>0.2164179104</v>
      </c>
      <c r="J5332" s="2">
        <v>79.0</v>
      </c>
      <c r="K5332" s="3">
        <f t="shared" si="4"/>
        <v>0.1965174129</v>
      </c>
      <c r="L5332" s="2">
        <v>48.0</v>
      </c>
      <c r="M5332" s="3">
        <f t="shared" si="5"/>
        <v>0.5517241379</v>
      </c>
      <c r="N5332" s="2">
        <v>508400.0</v>
      </c>
      <c r="O5332" s="4">
        <f t="shared" si="6"/>
        <v>5843.678161</v>
      </c>
      <c r="P5332" s="2">
        <v>1.0</v>
      </c>
      <c r="Q5332" s="3">
        <f t="shared" si="7"/>
        <v>0.02631578947</v>
      </c>
      <c r="R5332" s="2">
        <v>38.0</v>
      </c>
      <c r="S5332" s="5">
        <f t="shared" si="8"/>
        <v>1</v>
      </c>
    </row>
    <row r="5333">
      <c r="A5333" s="2" t="s">
        <v>5335</v>
      </c>
      <c r="B5333" s="2">
        <v>245.0</v>
      </c>
      <c r="C5333" s="2">
        <v>2895.0</v>
      </c>
      <c r="D5333" s="2">
        <v>993.0</v>
      </c>
      <c r="E5333" s="3">
        <f t="shared" si="1"/>
        <v>0.3747169811</v>
      </c>
      <c r="F5333" s="2">
        <v>323.0</v>
      </c>
      <c r="G5333" s="3">
        <f t="shared" si="2"/>
        <v>0.1218867925</v>
      </c>
      <c r="H5333" s="2">
        <v>531.0</v>
      </c>
      <c r="I5333" s="3">
        <f t="shared" si="3"/>
        <v>0.2003773585</v>
      </c>
      <c r="J5333" s="2">
        <v>417.0</v>
      </c>
      <c r="K5333" s="3">
        <f t="shared" si="4"/>
        <v>0.1573584906</v>
      </c>
      <c r="L5333" s="2">
        <v>322.0</v>
      </c>
      <c r="M5333" s="3">
        <f t="shared" si="5"/>
        <v>0.6064030132</v>
      </c>
      <c r="N5333" s="2">
        <v>2660900.0</v>
      </c>
      <c r="O5333" s="4">
        <f t="shared" si="6"/>
        <v>5011.111111</v>
      </c>
      <c r="P5333" s="2">
        <v>0.0</v>
      </c>
      <c r="Q5333" s="3">
        <f t="shared" si="7"/>
        <v>0</v>
      </c>
      <c r="R5333" s="2">
        <v>245.0</v>
      </c>
      <c r="S5333" s="5">
        <f t="shared" si="8"/>
        <v>1</v>
      </c>
    </row>
    <row r="5334">
      <c r="A5334" s="2" t="s">
        <v>5336</v>
      </c>
      <c r="B5334" s="2">
        <v>93.0</v>
      </c>
      <c r="C5334" s="2">
        <v>1135.0</v>
      </c>
      <c r="D5334" s="2">
        <v>392.0</v>
      </c>
      <c r="E5334" s="3">
        <f t="shared" si="1"/>
        <v>0.3761996161</v>
      </c>
      <c r="F5334" s="2">
        <v>127.0</v>
      </c>
      <c r="G5334" s="3">
        <f t="shared" si="2"/>
        <v>0.1218809981</v>
      </c>
      <c r="H5334" s="2">
        <v>211.0</v>
      </c>
      <c r="I5334" s="3">
        <f t="shared" si="3"/>
        <v>0.2024952015</v>
      </c>
      <c r="J5334" s="2">
        <v>133.0</v>
      </c>
      <c r="K5334" s="3">
        <f t="shared" si="4"/>
        <v>0.1276391555</v>
      </c>
      <c r="L5334" s="2">
        <v>128.0</v>
      </c>
      <c r="M5334" s="3">
        <f t="shared" si="5"/>
        <v>0.6066350711</v>
      </c>
      <c r="N5334" s="2">
        <v>1206800.0</v>
      </c>
      <c r="O5334" s="4">
        <f t="shared" si="6"/>
        <v>5719.43128</v>
      </c>
      <c r="P5334" s="2">
        <v>2.0</v>
      </c>
      <c r="Q5334" s="3">
        <f t="shared" si="7"/>
        <v>0.02150537634</v>
      </c>
      <c r="R5334" s="2">
        <v>93.0</v>
      </c>
      <c r="S5334" s="5">
        <f t="shared" si="8"/>
        <v>1</v>
      </c>
    </row>
    <row r="5335">
      <c r="A5335" s="2" t="s">
        <v>5337</v>
      </c>
      <c r="B5335" s="2">
        <v>1912.0</v>
      </c>
      <c r="C5335" s="2">
        <v>22252.0</v>
      </c>
      <c r="D5335" s="2">
        <v>7840.0</v>
      </c>
      <c r="E5335" s="3">
        <f t="shared" si="1"/>
        <v>0.3854473943</v>
      </c>
      <c r="F5335" s="2">
        <v>2479.0</v>
      </c>
      <c r="G5335" s="3">
        <f t="shared" si="2"/>
        <v>0.1218780728</v>
      </c>
      <c r="H5335" s="2">
        <v>4422.0</v>
      </c>
      <c r="I5335" s="3">
        <f t="shared" si="3"/>
        <v>0.2174041298</v>
      </c>
      <c r="J5335" s="2">
        <v>3635.0</v>
      </c>
      <c r="K5335" s="3">
        <f t="shared" si="4"/>
        <v>0.1787118977</v>
      </c>
      <c r="L5335" s="2">
        <v>2594.0</v>
      </c>
      <c r="M5335" s="3">
        <f t="shared" si="5"/>
        <v>0.5866123926</v>
      </c>
      <c r="N5335" s="2">
        <v>2.42086E7</v>
      </c>
      <c r="O5335" s="4">
        <f t="shared" si="6"/>
        <v>5474.581637</v>
      </c>
      <c r="P5335" s="2">
        <v>3.0</v>
      </c>
      <c r="Q5335" s="3">
        <f t="shared" si="7"/>
        <v>0.001569037657</v>
      </c>
      <c r="R5335" s="2">
        <v>1906.0</v>
      </c>
      <c r="S5335" s="5">
        <f t="shared" si="8"/>
        <v>0.9968619247</v>
      </c>
    </row>
    <row r="5336">
      <c r="A5336" s="2" t="s">
        <v>5338</v>
      </c>
      <c r="B5336" s="2">
        <v>294.0</v>
      </c>
      <c r="C5336" s="2">
        <v>3486.0</v>
      </c>
      <c r="D5336" s="2">
        <v>1018.0</v>
      </c>
      <c r="E5336" s="3">
        <f t="shared" si="1"/>
        <v>0.3189223058</v>
      </c>
      <c r="F5336" s="2">
        <v>389.0</v>
      </c>
      <c r="G5336" s="3">
        <f t="shared" si="2"/>
        <v>0.1218671679</v>
      </c>
      <c r="H5336" s="2">
        <v>631.0</v>
      </c>
      <c r="I5336" s="3">
        <f t="shared" si="3"/>
        <v>0.1976817043</v>
      </c>
      <c r="J5336" s="2">
        <v>480.0</v>
      </c>
      <c r="K5336" s="3">
        <f t="shared" si="4"/>
        <v>0.1503759398</v>
      </c>
      <c r="L5336" s="2">
        <v>372.0</v>
      </c>
      <c r="M5336" s="3">
        <f t="shared" si="5"/>
        <v>0.589540412</v>
      </c>
      <c r="N5336" s="2">
        <v>3826900.0</v>
      </c>
      <c r="O5336" s="4">
        <f t="shared" si="6"/>
        <v>6064.81775</v>
      </c>
      <c r="P5336" s="2">
        <v>2.0</v>
      </c>
      <c r="Q5336" s="3">
        <f t="shared" si="7"/>
        <v>0.006802721088</v>
      </c>
      <c r="R5336" s="2">
        <v>294.0</v>
      </c>
      <c r="S5336" s="5">
        <f t="shared" si="8"/>
        <v>1</v>
      </c>
    </row>
    <row r="5337">
      <c r="A5337" s="2" t="s">
        <v>5339</v>
      </c>
      <c r="B5337" s="2">
        <v>105.0</v>
      </c>
      <c r="C5337" s="2">
        <v>1221.0</v>
      </c>
      <c r="D5337" s="2">
        <v>363.0</v>
      </c>
      <c r="E5337" s="3">
        <f t="shared" si="1"/>
        <v>0.3252688172</v>
      </c>
      <c r="F5337" s="2">
        <v>136.0</v>
      </c>
      <c r="G5337" s="3">
        <f t="shared" si="2"/>
        <v>0.1218637993</v>
      </c>
      <c r="H5337" s="2">
        <v>241.0</v>
      </c>
      <c r="I5337" s="3">
        <f t="shared" si="3"/>
        <v>0.2159498208</v>
      </c>
      <c r="J5337" s="2">
        <v>174.0</v>
      </c>
      <c r="K5337" s="3">
        <f t="shared" si="4"/>
        <v>0.1559139785</v>
      </c>
      <c r="L5337" s="2">
        <v>137.0</v>
      </c>
      <c r="M5337" s="3">
        <f t="shared" si="5"/>
        <v>0.5684647303</v>
      </c>
      <c r="N5337" s="2">
        <v>1260400.0</v>
      </c>
      <c r="O5337" s="4">
        <f t="shared" si="6"/>
        <v>5229.875519</v>
      </c>
      <c r="P5337" s="2">
        <v>0.0</v>
      </c>
      <c r="Q5337" s="3">
        <f t="shared" si="7"/>
        <v>0</v>
      </c>
      <c r="R5337" s="2">
        <v>105.0</v>
      </c>
      <c r="S5337" s="5">
        <f t="shared" si="8"/>
        <v>1</v>
      </c>
    </row>
    <row r="5338">
      <c r="A5338" s="2" t="s">
        <v>5340</v>
      </c>
      <c r="B5338" s="2">
        <v>1375.0</v>
      </c>
      <c r="C5338" s="2">
        <v>16204.0</v>
      </c>
      <c r="D5338" s="2">
        <v>5246.0</v>
      </c>
      <c r="E5338" s="3">
        <f t="shared" si="1"/>
        <v>0.3537662688</v>
      </c>
      <c r="F5338" s="2">
        <v>1807.0</v>
      </c>
      <c r="G5338" s="3">
        <f t="shared" si="2"/>
        <v>0.121855823</v>
      </c>
      <c r="H5338" s="2">
        <v>3078.0</v>
      </c>
      <c r="I5338" s="3">
        <f t="shared" si="3"/>
        <v>0.2075662553</v>
      </c>
      <c r="J5338" s="2">
        <v>2241.0</v>
      </c>
      <c r="K5338" s="3">
        <f t="shared" si="4"/>
        <v>0.1511227999</v>
      </c>
      <c r="L5338" s="2">
        <v>1877.0</v>
      </c>
      <c r="M5338" s="3">
        <f t="shared" si="5"/>
        <v>0.609811566</v>
      </c>
      <c r="N5338" s="2">
        <v>1.71154E7</v>
      </c>
      <c r="O5338" s="4">
        <f t="shared" si="6"/>
        <v>5560.558804</v>
      </c>
      <c r="P5338" s="2">
        <v>4.0</v>
      </c>
      <c r="Q5338" s="3">
        <f t="shared" si="7"/>
        <v>0.002909090909</v>
      </c>
      <c r="R5338" s="2">
        <v>1375.0</v>
      </c>
      <c r="S5338" s="5">
        <f t="shared" si="8"/>
        <v>1</v>
      </c>
    </row>
    <row r="5339">
      <c r="A5339" s="2" t="s">
        <v>5341</v>
      </c>
      <c r="B5339" s="2">
        <v>788.0</v>
      </c>
      <c r="C5339" s="2">
        <v>9175.0</v>
      </c>
      <c r="D5339" s="2">
        <v>2690.0</v>
      </c>
      <c r="E5339" s="3">
        <f t="shared" si="1"/>
        <v>0.32073447</v>
      </c>
      <c r="F5339" s="2">
        <v>1022.0</v>
      </c>
      <c r="G5339" s="3">
        <f t="shared" si="2"/>
        <v>0.1218552522</v>
      </c>
      <c r="H5339" s="2">
        <v>1746.0</v>
      </c>
      <c r="I5339" s="3">
        <f t="shared" si="3"/>
        <v>0.2081793251</v>
      </c>
      <c r="J5339" s="2">
        <v>1566.0</v>
      </c>
      <c r="K5339" s="3">
        <f t="shared" si="4"/>
        <v>0.186717539</v>
      </c>
      <c r="L5339" s="2">
        <v>1080.0</v>
      </c>
      <c r="M5339" s="3">
        <f t="shared" si="5"/>
        <v>0.618556701</v>
      </c>
      <c r="N5339" s="2">
        <v>1.05096E7</v>
      </c>
      <c r="O5339" s="4">
        <f t="shared" si="6"/>
        <v>6019.243986</v>
      </c>
      <c r="P5339" s="2">
        <v>1.0</v>
      </c>
      <c r="Q5339" s="3">
        <f t="shared" si="7"/>
        <v>0.001269035533</v>
      </c>
      <c r="R5339" s="2">
        <v>788.0</v>
      </c>
      <c r="S5339" s="5">
        <f t="shared" si="8"/>
        <v>1</v>
      </c>
    </row>
    <row r="5340">
      <c r="A5340" s="2" t="s">
        <v>5342</v>
      </c>
      <c r="B5340" s="2">
        <v>177.0</v>
      </c>
      <c r="C5340" s="2">
        <v>2081.0</v>
      </c>
      <c r="D5340" s="2">
        <v>646.0</v>
      </c>
      <c r="E5340" s="3">
        <f t="shared" si="1"/>
        <v>0.3392857143</v>
      </c>
      <c r="F5340" s="2">
        <v>232.0</v>
      </c>
      <c r="G5340" s="3">
        <f t="shared" si="2"/>
        <v>0.1218487395</v>
      </c>
      <c r="H5340" s="2">
        <v>430.0</v>
      </c>
      <c r="I5340" s="3">
        <f t="shared" si="3"/>
        <v>0.2258403361</v>
      </c>
      <c r="J5340" s="2">
        <v>376.0</v>
      </c>
      <c r="K5340" s="3">
        <f t="shared" si="4"/>
        <v>0.1974789916</v>
      </c>
      <c r="L5340" s="2">
        <v>245.0</v>
      </c>
      <c r="M5340" s="3">
        <f t="shared" si="5"/>
        <v>0.5697674419</v>
      </c>
      <c r="N5340" s="2">
        <v>2538400.0</v>
      </c>
      <c r="O5340" s="4">
        <f t="shared" si="6"/>
        <v>5903.255814</v>
      </c>
      <c r="P5340" s="2">
        <v>0.0</v>
      </c>
      <c r="Q5340" s="3">
        <f t="shared" si="7"/>
        <v>0</v>
      </c>
      <c r="R5340" s="2">
        <v>177.0</v>
      </c>
      <c r="S5340" s="5">
        <f t="shared" si="8"/>
        <v>1</v>
      </c>
    </row>
    <row r="5341">
      <c r="A5341" s="2" t="s">
        <v>5343</v>
      </c>
      <c r="B5341" s="2">
        <v>101.0</v>
      </c>
      <c r="C5341" s="2">
        <v>1209.0</v>
      </c>
      <c r="D5341" s="2">
        <v>364.0</v>
      </c>
      <c r="E5341" s="3">
        <f t="shared" si="1"/>
        <v>0.3285198556</v>
      </c>
      <c r="F5341" s="2">
        <v>135.0</v>
      </c>
      <c r="G5341" s="3">
        <f t="shared" si="2"/>
        <v>0.1218411552</v>
      </c>
      <c r="H5341" s="2">
        <v>215.0</v>
      </c>
      <c r="I5341" s="3">
        <f t="shared" si="3"/>
        <v>0.1940433213</v>
      </c>
      <c r="J5341" s="2">
        <v>199.0</v>
      </c>
      <c r="K5341" s="3">
        <f t="shared" si="4"/>
        <v>0.1796028881</v>
      </c>
      <c r="L5341" s="2">
        <v>124.0</v>
      </c>
      <c r="M5341" s="3">
        <f t="shared" si="5"/>
        <v>0.576744186</v>
      </c>
      <c r="N5341" s="2">
        <v>1164600.0</v>
      </c>
      <c r="O5341" s="4">
        <f t="shared" si="6"/>
        <v>5416.744186</v>
      </c>
      <c r="P5341" s="2">
        <v>0.0</v>
      </c>
      <c r="Q5341" s="3">
        <f t="shared" si="7"/>
        <v>0</v>
      </c>
      <c r="R5341" s="2">
        <v>101.0</v>
      </c>
      <c r="S5341" s="5">
        <f t="shared" si="8"/>
        <v>1</v>
      </c>
    </row>
    <row r="5342">
      <c r="A5342" s="2" t="s">
        <v>5344</v>
      </c>
      <c r="B5342" s="2">
        <v>328.0</v>
      </c>
      <c r="C5342" s="2">
        <v>3800.0</v>
      </c>
      <c r="D5342" s="2">
        <v>1386.0</v>
      </c>
      <c r="E5342" s="3">
        <f t="shared" si="1"/>
        <v>0.3991935484</v>
      </c>
      <c r="F5342" s="2">
        <v>423.0</v>
      </c>
      <c r="G5342" s="3">
        <f t="shared" si="2"/>
        <v>0.1218317972</v>
      </c>
      <c r="H5342" s="2">
        <v>683.0</v>
      </c>
      <c r="I5342" s="3">
        <f t="shared" si="3"/>
        <v>0.1967165899</v>
      </c>
      <c r="J5342" s="2">
        <v>540.0</v>
      </c>
      <c r="K5342" s="3">
        <f t="shared" si="4"/>
        <v>0.1555299539</v>
      </c>
      <c r="L5342" s="2">
        <v>410.0</v>
      </c>
      <c r="M5342" s="3">
        <f t="shared" si="5"/>
        <v>0.6002928258</v>
      </c>
      <c r="N5342" s="2">
        <v>3577900.0</v>
      </c>
      <c r="O5342" s="4">
        <f t="shared" si="6"/>
        <v>5238.506589</v>
      </c>
      <c r="P5342" s="2">
        <v>1.0</v>
      </c>
      <c r="Q5342" s="3">
        <f t="shared" si="7"/>
        <v>0.003048780488</v>
      </c>
      <c r="R5342" s="2">
        <v>27.0</v>
      </c>
      <c r="S5342" s="5">
        <f t="shared" si="8"/>
        <v>0.08231707317</v>
      </c>
    </row>
    <row r="5343">
      <c r="A5343" s="2" t="s">
        <v>5345</v>
      </c>
      <c r="B5343" s="2">
        <v>1009.0</v>
      </c>
      <c r="C5343" s="2">
        <v>11934.0</v>
      </c>
      <c r="D5343" s="2">
        <v>3216.0</v>
      </c>
      <c r="E5343" s="3">
        <f t="shared" si="1"/>
        <v>0.2943707094</v>
      </c>
      <c r="F5343" s="2">
        <v>1331.0</v>
      </c>
      <c r="G5343" s="3">
        <f t="shared" si="2"/>
        <v>0.1218306636</v>
      </c>
      <c r="H5343" s="2">
        <v>2116.0</v>
      </c>
      <c r="I5343" s="3">
        <f t="shared" si="3"/>
        <v>0.1936842105</v>
      </c>
      <c r="J5343" s="2">
        <v>2077.0</v>
      </c>
      <c r="K5343" s="3">
        <f t="shared" si="4"/>
        <v>0.1901144165</v>
      </c>
      <c r="L5343" s="2">
        <v>1233.0</v>
      </c>
      <c r="M5343" s="3">
        <f t="shared" si="5"/>
        <v>0.5827032136</v>
      </c>
      <c r="N5343" s="2">
        <v>1.22419E7</v>
      </c>
      <c r="O5343" s="4">
        <f t="shared" si="6"/>
        <v>5785.396975</v>
      </c>
      <c r="P5343" s="2">
        <v>1.0</v>
      </c>
      <c r="Q5343" s="3">
        <f t="shared" si="7"/>
        <v>0.0009910802775</v>
      </c>
      <c r="R5343" s="2">
        <v>0.0</v>
      </c>
      <c r="S5343" s="5">
        <f t="shared" si="8"/>
        <v>0</v>
      </c>
    </row>
    <row r="5344">
      <c r="A5344" s="2" t="s">
        <v>5346</v>
      </c>
      <c r="B5344" s="2">
        <v>641.0</v>
      </c>
      <c r="C5344" s="2">
        <v>7462.0</v>
      </c>
      <c r="D5344" s="2">
        <v>2666.0</v>
      </c>
      <c r="E5344" s="3">
        <f t="shared" si="1"/>
        <v>0.3908517813</v>
      </c>
      <c r="F5344" s="2">
        <v>831.0</v>
      </c>
      <c r="G5344" s="3">
        <f t="shared" si="2"/>
        <v>0.1218296437</v>
      </c>
      <c r="H5344" s="2">
        <v>1428.0</v>
      </c>
      <c r="I5344" s="3">
        <f t="shared" si="3"/>
        <v>0.2093534672</v>
      </c>
      <c r="J5344" s="2">
        <v>1078.0</v>
      </c>
      <c r="K5344" s="3">
        <f t="shared" si="4"/>
        <v>0.1580413429</v>
      </c>
      <c r="L5344" s="2">
        <v>878.0</v>
      </c>
      <c r="M5344" s="3">
        <f t="shared" si="5"/>
        <v>0.6148459384</v>
      </c>
      <c r="N5344" s="2">
        <v>7469600.0</v>
      </c>
      <c r="O5344" s="4">
        <f t="shared" si="6"/>
        <v>5230.812325</v>
      </c>
      <c r="P5344" s="2">
        <v>2.0</v>
      </c>
      <c r="Q5344" s="3">
        <f t="shared" si="7"/>
        <v>0.003120124805</v>
      </c>
      <c r="R5344" s="2">
        <v>641.0</v>
      </c>
      <c r="S5344" s="5">
        <f t="shared" si="8"/>
        <v>1</v>
      </c>
    </row>
    <row r="5345">
      <c r="A5345" s="2" t="s">
        <v>5347</v>
      </c>
      <c r="B5345" s="2">
        <v>30.0</v>
      </c>
      <c r="C5345" s="2">
        <v>383.0</v>
      </c>
      <c r="D5345" s="2">
        <v>91.0</v>
      </c>
      <c r="E5345" s="3">
        <f t="shared" si="1"/>
        <v>0.2577903683</v>
      </c>
      <c r="F5345" s="2">
        <v>43.0</v>
      </c>
      <c r="G5345" s="3">
        <f t="shared" si="2"/>
        <v>0.1218130312</v>
      </c>
      <c r="H5345" s="2">
        <v>62.0</v>
      </c>
      <c r="I5345" s="3">
        <f t="shared" si="3"/>
        <v>0.1756373938</v>
      </c>
      <c r="J5345" s="2">
        <v>73.0</v>
      </c>
      <c r="K5345" s="3">
        <f t="shared" si="4"/>
        <v>0.2067988669</v>
      </c>
      <c r="L5345" s="2">
        <v>40.0</v>
      </c>
      <c r="M5345" s="3">
        <f t="shared" si="5"/>
        <v>0.6451612903</v>
      </c>
      <c r="N5345" s="2">
        <v>387600.0</v>
      </c>
      <c r="O5345" s="4">
        <f t="shared" si="6"/>
        <v>6251.612903</v>
      </c>
      <c r="P5345" s="2">
        <v>0.0</v>
      </c>
      <c r="Q5345" s="3">
        <f t="shared" si="7"/>
        <v>0</v>
      </c>
      <c r="R5345" s="2">
        <v>29.0</v>
      </c>
      <c r="S5345" s="5">
        <f t="shared" si="8"/>
        <v>0.9666666667</v>
      </c>
    </row>
    <row r="5346">
      <c r="A5346" s="2" t="s">
        <v>5348</v>
      </c>
      <c r="B5346" s="2">
        <v>48.0</v>
      </c>
      <c r="C5346" s="2">
        <v>557.0</v>
      </c>
      <c r="D5346" s="2">
        <v>87.0</v>
      </c>
      <c r="E5346" s="3">
        <f t="shared" si="1"/>
        <v>0.1709233792</v>
      </c>
      <c r="F5346" s="2">
        <v>62.0</v>
      </c>
      <c r="G5346" s="3">
        <f t="shared" si="2"/>
        <v>0.1218074656</v>
      </c>
      <c r="H5346" s="2">
        <v>98.0</v>
      </c>
      <c r="I5346" s="3">
        <f t="shared" si="3"/>
        <v>0.1925343811</v>
      </c>
      <c r="J5346" s="2">
        <v>98.0</v>
      </c>
      <c r="K5346" s="3">
        <f t="shared" si="4"/>
        <v>0.1925343811</v>
      </c>
      <c r="L5346" s="2">
        <v>56.0</v>
      </c>
      <c r="M5346" s="3">
        <f t="shared" si="5"/>
        <v>0.5714285714</v>
      </c>
      <c r="N5346" s="2">
        <v>676000.0</v>
      </c>
      <c r="O5346" s="4">
        <f t="shared" si="6"/>
        <v>6897.959184</v>
      </c>
      <c r="P5346" s="2">
        <v>0.0</v>
      </c>
      <c r="Q5346" s="3">
        <f t="shared" si="7"/>
        <v>0</v>
      </c>
      <c r="R5346" s="2">
        <v>48.0</v>
      </c>
      <c r="S5346" s="5">
        <f t="shared" si="8"/>
        <v>1</v>
      </c>
    </row>
    <row r="5347">
      <c r="A5347" s="2" t="s">
        <v>5349</v>
      </c>
      <c r="B5347" s="2">
        <v>50.0</v>
      </c>
      <c r="C5347" s="2">
        <v>559.0</v>
      </c>
      <c r="D5347" s="2">
        <v>124.0</v>
      </c>
      <c r="E5347" s="3">
        <f t="shared" si="1"/>
        <v>0.2436149312</v>
      </c>
      <c r="F5347" s="2">
        <v>62.0</v>
      </c>
      <c r="G5347" s="3">
        <f t="shared" si="2"/>
        <v>0.1218074656</v>
      </c>
      <c r="H5347" s="2">
        <v>79.0</v>
      </c>
      <c r="I5347" s="3">
        <f t="shared" si="3"/>
        <v>0.1552062868</v>
      </c>
      <c r="J5347" s="2">
        <v>91.0</v>
      </c>
      <c r="K5347" s="3">
        <f t="shared" si="4"/>
        <v>0.1787819253</v>
      </c>
      <c r="L5347" s="2">
        <v>51.0</v>
      </c>
      <c r="M5347" s="3">
        <f t="shared" si="5"/>
        <v>0.6455696203</v>
      </c>
      <c r="N5347" s="2">
        <v>429900.0</v>
      </c>
      <c r="O5347" s="4">
        <f t="shared" si="6"/>
        <v>5441.772152</v>
      </c>
      <c r="P5347" s="2">
        <v>0.0</v>
      </c>
      <c r="Q5347" s="3">
        <f t="shared" si="7"/>
        <v>0</v>
      </c>
      <c r="R5347" s="2">
        <v>50.0</v>
      </c>
      <c r="S5347" s="5">
        <f t="shared" si="8"/>
        <v>1</v>
      </c>
    </row>
    <row r="5348">
      <c r="A5348" s="2" t="s">
        <v>5350</v>
      </c>
      <c r="B5348" s="2">
        <v>145.0</v>
      </c>
      <c r="C5348" s="2">
        <v>1672.0</v>
      </c>
      <c r="D5348" s="2">
        <v>469.0</v>
      </c>
      <c r="E5348" s="3">
        <f t="shared" si="1"/>
        <v>0.3071381794</v>
      </c>
      <c r="F5348" s="2">
        <v>186.0</v>
      </c>
      <c r="G5348" s="3">
        <f t="shared" si="2"/>
        <v>0.1218074656</v>
      </c>
      <c r="H5348" s="2">
        <v>303.0</v>
      </c>
      <c r="I5348" s="3">
        <f t="shared" si="3"/>
        <v>0.1984282908</v>
      </c>
      <c r="J5348" s="2">
        <v>236.0</v>
      </c>
      <c r="K5348" s="3">
        <f t="shared" si="4"/>
        <v>0.154551408</v>
      </c>
      <c r="L5348" s="2">
        <v>174.0</v>
      </c>
      <c r="M5348" s="3">
        <f t="shared" si="5"/>
        <v>0.5742574257</v>
      </c>
      <c r="N5348" s="2">
        <v>1669500.0</v>
      </c>
      <c r="O5348" s="4">
        <f t="shared" si="6"/>
        <v>5509.90099</v>
      </c>
      <c r="P5348" s="2">
        <v>0.0</v>
      </c>
      <c r="Q5348" s="3">
        <f t="shared" si="7"/>
        <v>0</v>
      </c>
      <c r="R5348" s="2">
        <v>145.0</v>
      </c>
      <c r="S5348" s="5">
        <f t="shared" si="8"/>
        <v>1</v>
      </c>
    </row>
    <row r="5349">
      <c r="A5349" s="2" t="s">
        <v>5351</v>
      </c>
      <c r="B5349" s="2">
        <v>267.0</v>
      </c>
      <c r="C5349" s="2">
        <v>3124.0</v>
      </c>
      <c r="D5349" s="2">
        <v>1090.0</v>
      </c>
      <c r="E5349" s="3">
        <f t="shared" si="1"/>
        <v>0.381519076</v>
      </c>
      <c r="F5349" s="2">
        <v>348.0</v>
      </c>
      <c r="G5349" s="3">
        <f t="shared" si="2"/>
        <v>0.1218060903</v>
      </c>
      <c r="H5349" s="2">
        <v>627.0</v>
      </c>
      <c r="I5349" s="3">
        <f t="shared" si="3"/>
        <v>0.219460973</v>
      </c>
      <c r="J5349" s="2">
        <v>459.0</v>
      </c>
      <c r="K5349" s="3">
        <f t="shared" si="4"/>
        <v>0.1606580329</v>
      </c>
      <c r="L5349" s="2">
        <v>361.0</v>
      </c>
      <c r="M5349" s="3">
        <f t="shared" si="5"/>
        <v>0.5757575758</v>
      </c>
      <c r="N5349" s="2">
        <v>3465400.0</v>
      </c>
      <c r="O5349" s="4">
        <f t="shared" si="6"/>
        <v>5526.953748</v>
      </c>
      <c r="P5349" s="2">
        <v>2.0</v>
      </c>
      <c r="Q5349" s="3">
        <f t="shared" si="7"/>
        <v>0.007490636704</v>
      </c>
      <c r="R5349" s="2">
        <v>267.0</v>
      </c>
      <c r="S5349" s="5">
        <f t="shared" si="8"/>
        <v>1</v>
      </c>
    </row>
    <row r="5350">
      <c r="A5350" s="2" t="s">
        <v>5352</v>
      </c>
      <c r="B5350" s="2">
        <v>339.0</v>
      </c>
      <c r="C5350" s="2">
        <v>3976.0</v>
      </c>
      <c r="D5350" s="2">
        <v>1073.0</v>
      </c>
      <c r="E5350" s="3">
        <f t="shared" si="1"/>
        <v>0.2950233709</v>
      </c>
      <c r="F5350" s="2">
        <v>443.0</v>
      </c>
      <c r="G5350" s="3">
        <f t="shared" si="2"/>
        <v>0.1218036844</v>
      </c>
      <c r="H5350" s="2">
        <v>720.0</v>
      </c>
      <c r="I5350" s="3">
        <f t="shared" si="3"/>
        <v>0.1979653561</v>
      </c>
      <c r="J5350" s="2">
        <v>534.0</v>
      </c>
      <c r="K5350" s="3">
        <f t="shared" si="4"/>
        <v>0.1468243057</v>
      </c>
      <c r="L5350" s="2">
        <v>424.0</v>
      </c>
      <c r="M5350" s="3">
        <f t="shared" si="5"/>
        <v>0.5888888889</v>
      </c>
      <c r="N5350" s="2">
        <v>4124600.0</v>
      </c>
      <c r="O5350" s="4">
        <f t="shared" si="6"/>
        <v>5728.611111</v>
      </c>
      <c r="P5350" s="2">
        <v>1.0</v>
      </c>
      <c r="Q5350" s="3">
        <f t="shared" si="7"/>
        <v>0.002949852507</v>
      </c>
      <c r="R5350" s="2">
        <v>339.0</v>
      </c>
      <c r="S5350" s="5">
        <f t="shared" si="8"/>
        <v>1</v>
      </c>
    </row>
    <row r="5351">
      <c r="A5351" s="2" t="s">
        <v>5353</v>
      </c>
      <c r="B5351" s="2">
        <v>2597.0</v>
      </c>
      <c r="C5351" s="2">
        <v>30315.0</v>
      </c>
      <c r="D5351" s="2">
        <v>9604.0</v>
      </c>
      <c r="E5351" s="3">
        <f t="shared" si="1"/>
        <v>0.3464896457</v>
      </c>
      <c r="F5351" s="2">
        <v>3376.0</v>
      </c>
      <c r="G5351" s="3">
        <f t="shared" si="2"/>
        <v>0.1217981095</v>
      </c>
      <c r="H5351" s="2">
        <v>5703.0</v>
      </c>
      <c r="I5351" s="3">
        <f t="shared" si="3"/>
        <v>0.2057507757</v>
      </c>
      <c r="J5351" s="2">
        <v>4678.0</v>
      </c>
      <c r="K5351" s="3">
        <f t="shared" si="4"/>
        <v>0.1687711956</v>
      </c>
      <c r="L5351" s="2">
        <v>3424.0</v>
      </c>
      <c r="M5351" s="3">
        <f t="shared" si="5"/>
        <v>0.6003857619</v>
      </c>
      <c r="N5351" s="2">
        <v>3.32477E7</v>
      </c>
      <c r="O5351" s="4">
        <f t="shared" si="6"/>
        <v>5829.861476</v>
      </c>
      <c r="P5351" s="2">
        <v>3.0</v>
      </c>
      <c r="Q5351" s="3">
        <f t="shared" si="7"/>
        <v>0.001155179053</v>
      </c>
      <c r="R5351" s="2">
        <v>2597.0</v>
      </c>
      <c r="S5351" s="5">
        <f t="shared" si="8"/>
        <v>1</v>
      </c>
    </row>
    <row r="5352">
      <c r="A5352" s="2" t="s">
        <v>5354</v>
      </c>
      <c r="B5352" s="2">
        <v>171.0</v>
      </c>
      <c r="C5352" s="2">
        <v>2043.0</v>
      </c>
      <c r="D5352" s="2">
        <v>711.0</v>
      </c>
      <c r="E5352" s="3">
        <f t="shared" si="1"/>
        <v>0.3798076923</v>
      </c>
      <c r="F5352" s="2">
        <v>228.0</v>
      </c>
      <c r="G5352" s="3">
        <f t="shared" si="2"/>
        <v>0.1217948718</v>
      </c>
      <c r="H5352" s="2">
        <v>399.0</v>
      </c>
      <c r="I5352" s="3">
        <f t="shared" si="3"/>
        <v>0.2131410256</v>
      </c>
      <c r="J5352" s="2">
        <v>289.0</v>
      </c>
      <c r="K5352" s="3">
        <f t="shared" si="4"/>
        <v>0.1543803419</v>
      </c>
      <c r="L5352" s="2">
        <v>229.0</v>
      </c>
      <c r="M5352" s="3">
        <f t="shared" si="5"/>
        <v>0.5739348371</v>
      </c>
      <c r="N5352" s="2">
        <v>2151700.0</v>
      </c>
      <c r="O5352" s="4">
        <f t="shared" si="6"/>
        <v>5392.73183</v>
      </c>
      <c r="P5352" s="2">
        <v>0.0</v>
      </c>
      <c r="Q5352" s="3">
        <f t="shared" si="7"/>
        <v>0</v>
      </c>
      <c r="R5352" s="2">
        <v>97.0</v>
      </c>
      <c r="S5352" s="5">
        <f t="shared" si="8"/>
        <v>0.567251462</v>
      </c>
    </row>
    <row r="5353">
      <c r="A5353" s="2" t="s">
        <v>5355</v>
      </c>
      <c r="B5353" s="2">
        <v>97.0</v>
      </c>
      <c r="C5353" s="2">
        <v>1148.0</v>
      </c>
      <c r="D5353" s="2">
        <v>348.0</v>
      </c>
      <c r="E5353" s="3">
        <f t="shared" si="1"/>
        <v>0.3311132255</v>
      </c>
      <c r="F5353" s="2">
        <v>128.0</v>
      </c>
      <c r="G5353" s="3">
        <f t="shared" si="2"/>
        <v>0.1217887726</v>
      </c>
      <c r="H5353" s="2">
        <v>215.0</v>
      </c>
      <c r="I5353" s="3">
        <f t="shared" si="3"/>
        <v>0.204567079</v>
      </c>
      <c r="J5353" s="2">
        <v>205.0</v>
      </c>
      <c r="K5353" s="3">
        <f t="shared" si="4"/>
        <v>0.1950523311</v>
      </c>
      <c r="L5353" s="2">
        <v>141.0</v>
      </c>
      <c r="M5353" s="3">
        <f t="shared" si="5"/>
        <v>0.6558139535</v>
      </c>
      <c r="N5353" s="2">
        <v>1296100.0</v>
      </c>
      <c r="O5353" s="4">
        <f t="shared" si="6"/>
        <v>6028.372093</v>
      </c>
      <c r="P5353" s="2">
        <v>1.0</v>
      </c>
      <c r="Q5353" s="3">
        <f t="shared" si="7"/>
        <v>0.01030927835</v>
      </c>
      <c r="R5353" s="2">
        <v>97.0</v>
      </c>
      <c r="S5353" s="5">
        <f t="shared" si="8"/>
        <v>1</v>
      </c>
    </row>
    <row r="5354">
      <c r="A5354" s="2" t="s">
        <v>5356</v>
      </c>
      <c r="B5354" s="2">
        <v>999.0</v>
      </c>
      <c r="C5354" s="2">
        <v>11772.0</v>
      </c>
      <c r="D5354" s="2">
        <v>4050.0</v>
      </c>
      <c r="E5354" s="3">
        <f t="shared" si="1"/>
        <v>0.3759398496</v>
      </c>
      <c r="F5354" s="2">
        <v>1312.0</v>
      </c>
      <c r="G5354" s="3">
        <f t="shared" si="2"/>
        <v>0.1217859463</v>
      </c>
      <c r="H5354" s="2">
        <v>2230.0</v>
      </c>
      <c r="I5354" s="3">
        <f t="shared" si="3"/>
        <v>0.2069989789</v>
      </c>
      <c r="J5354" s="2">
        <v>1738.0</v>
      </c>
      <c r="K5354" s="3">
        <f t="shared" si="4"/>
        <v>0.161329249</v>
      </c>
      <c r="L5354" s="2">
        <v>1325.0</v>
      </c>
      <c r="M5354" s="3">
        <f t="shared" si="5"/>
        <v>0.5941704036</v>
      </c>
      <c r="N5354" s="2">
        <v>1.21082E7</v>
      </c>
      <c r="O5354" s="4">
        <f t="shared" si="6"/>
        <v>5429.686099</v>
      </c>
      <c r="P5354" s="2">
        <v>1.0</v>
      </c>
      <c r="Q5354" s="3">
        <f t="shared" si="7"/>
        <v>0.001001001001</v>
      </c>
      <c r="R5354" s="2">
        <v>0.0</v>
      </c>
      <c r="S5354" s="5">
        <f t="shared" si="8"/>
        <v>0</v>
      </c>
    </row>
    <row r="5355">
      <c r="A5355" s="2" t="s">
        <v>5357</v>
      </c>
      <c r="B5355" s="2">
        <v>631.0</v>
      </c>
      <c r="C5355" s="2">
        <v>7471.0</v>
      </c>
      <c r="D5355" s="2">
        <v>1909.0</v>
      </c>
      <c r="E5355" s="3">
        <f t="shared" si="1"/>
        <v>0.2790935673</v>
      </c>
      <c r="F5355" s="2">
        <v>833.0</v>
      </c>
      <c r="G5355" s="3">
        <f t="shared" si="2"/>
        <v>0.1217836257</v>
      </c>
      <c r="H5355" s="2">
        <v>1415.0</v>
      </c>
      <c r="I5355" s="3">
        <f t="shared" si="3"/>
        <v>0.206871345</v>
      </c>
      <c r="J5355" s="2">
        <v>1286.0</v>
      </c>
      <c r="K5355" s="3">
        <f t="shared" si="4"/>
        <v>0.1880116959</v>
      </c>
      <c r="L5355" s="2">
        <v>870.0</v>
      </c>
      <c r="M5355" s="3">
        <f t="shared" si="5"/>
        <v>0.6148409894</v>
      </c>
      <c r="N5355" s="2">
        <v>7968200.0</v>
      </c>
      <c r="O5355" s="4">
        <f t="shared" si="6"/>
        <v>5631.236749</v>
      </c>
      <c r="P5355" s="2">
        <v>0.0</v>
      </c>
      <c r="Q5355" s="3">
        <f t="shared" si="7"/>
        <v>0</v>
      </c>
      <c r="R5355" s="2">
        <v>631.0</v>
      </c>
      <c r="S5355" s="5">
        <f t="shared" si="8"/>
        <v>1</v>
      </c>
    </row>
    <row r="5356">
      <c r="A5356" s="2" t="s">
        <v>5358</v>
      </c>
      <c r="B5356" s="2">
        <v>1597.0</v>
      </c>
      <c r="C5356" s="2">
        <v>18588.0</v>
      </c>
      <c r="D5356" s="2">
        <v>6020.0</v>
      </c>
      <c r="E5356" s="3">
        <f t="shared" si="1"/>
        <v>0.3543052204</v>
      </c>
      <c r="F5356" s="2">
        <v>2069.0</v>
      </c>
      <c r="G5356" s="3">
        <f t="shared" si="2"/>
        <v>0.121770349</v>
      </c>
      <c r="H5356" s="2">
        <v>3560.0</v>
      </c>
      <c r="I5356" s="3">
        <f t="shared" si="3"/>
        <v>0.2095226885</v>
      </c>
      <c r="J5356" s="2">
        <v>3389.0</v>
      </c>
      <c r="K5356" s="3">
        <f t="shared" si="4"/>
        <v>0.1994585369</v>
      </c>
      <c r="L5356" s="2">
        <v>2091.0</v>
      </c>
      <c r="M5356" s="3">
        <f t="shared" si="5"/>
        <v>0.5873595506</v>
      </c>
      <c r="N5356" s="2">
        <v>2.01253E7</v>
      </c>
      <c r="O5356" s="4">
        <f t="shared" si="6"/>
        <v>5653.174157</v>
      </c>
      <c r="P5356" s="2">
        <v>2.0</v>
      </c>
      <c r="Q5356" s="3">
        <f t="shared" si="7"/>
        <v>0.001252348153</v>
      </c>
      <c r="R5356" s="2">
        <v>1597.0</v>
      </c>
      <c r="S5356" s="5">
        <f t="shared" si="8"/>
        <v>1</v>
      </c>
    </row>
    <row r="5357">
      <c r="A5357" s="2" t="s">
        <v>5359</v>
      </c>
      <c r="B5357" s="2">
        <v>228.0</v>
      </c>
      <c r="C5357" s="2">
        <v>2741.0</v>
      </c>
      <c r="D5357" s="2">
        <v>999.0</v>
      </c>
      <c r="E5357" s="3">
        <f t="shared" si="1"/>
        <v>0.3975328293</v>
      </c>
      <c r="F5357" s="2">
        <v>306.0</v>
      </c>
      <c r="G5357" s="3">
        <f t="shared" si="2"/>
        <v>0.1217668126</v>
      </c>
      <c r="H5357" s="2">
        <v>585.0</v>
      </c>
      <c r="I5357" s="3">
        <f t="shared" si="3"/>
        <v>0.2327894946</v>
      </c>
      <c r="J5357" s="2">
        <v>462.0</v>
      </c>
      <c r="K5357" s="3">
        <f t="shared" si="4"/>
        <v>0.1838440111</v>
      </c>
      <c r="L5357" s="2">
        <v>331.0</v>
      </c>
      <c r="M5357" s="3">
        <f t="shared" si="5"/>
        <v>0.5658119658</v>
      </c>
      <c r="N5357" s="2">
        <v>3148100.0</v>
      </c>
      <c r="O5357" s="4">
        <f t="shared" si="6"/>
        <v>5381.367521</v>
      </c>
      <c r="P5357" s="2">
        <v>0.0</v>
      </c>
      <c r="Q5357" s="3">
        <f t="shared" si="7"/>
        <v>0</v>
      </c>
      <c r="R5357" s="2">
        <v>9.0</v>
      </c>
      <c r="S5357" s="5">
        <f t="shared" si="8"/>
        <v>0.03947368421</v>
      </c>
    </row>
    <row r="5358">
      <c r="A5358" s="2" t="s">
        <v>5360</v>
      </c>
      <c r="B5358" s="2">
        <v>2306.0</v>
      </c>
      <c r="C5358" s="2">
        <v>26674.0</v>
      </c>
      <c r="D5358" s="2">
        <v>8393.0</v>
      </c>
      <c r="E5358" s="3">
        <f t="shared" si="1"/>
        <v>0.3444271175</v>
      </c>
      <c r="F5358" s="2">
        <v>2967.0</v>
      </c>
      <c r="G5358" s="3">
        <f t="shared" si="2"/>
        <v>0.1217580433</v>
      </c>
      <c r="H5358" s="2">
        <v>5046.0</v>
      </c>
      <c r="I5358" s="3">
        <f t="shared" si="3"/>
        <v>0.2070748523</v>
      </c>
      <c r="J5358" s="2">
        <v>4208.0</v>
      </c>
      <c r="K5358" s="3">
        <f t="shared" si="4"/>
        <v>0.1726854892</v>
      </c>
      <c r="L5358" s="2">
        <v>3030.0</v>
      </c>
      <c r="M5358" s="3">
        <f t="shared" si="5"/>
        <v>0.6004756243</v>
      </c>
      <c r="N5358" s="2">
        <v>2.93252E7</v>
      </c>
      <c r="O5358" s="4">
        <f t="shared" si="6"/>
        <v>5811.573524</v>
      </c>
      <c r="P5358" s="2">
        <v>2.0</v>
      </c>
      <c r="Q5358" s="3">
        <f t="shared" si="7"/>
        <v>0.0008673026886</v>
      </c>
      <c r="R5358" s="2">
        <v>2306.0</v>
      </c>
      <c r="S5358" s="5">
        <f t="shared" si="8"/>
        <v>1</v>
      </c>
    </row>
    <row r="5359">
      <c r="A5359" s="2" t="s">
        <v>5361</v>
      </c>
      <c r="B5359" s="2">
        <v>2605.0</v>
      </c>
      <c r="C5359" s="2">
        <v>31015.0</v>
      </c>
      <c r="D5359" s="2">
        <v>10527.0</v>
      </c>
      <c r="E5359" s="3">
        <f t="shared" si="1"/>
        <v>0.3705385428</v>
      </c>
      <c r="F5359" s="2">
        <v>3459.0</v>
      </c>
      <c r="G5359" s="3">
        <f t="shared" si="2"/>
        <v>0.1217529039</v>
      </c>
      <c r="H5359" s="2">
        <v>6136.0</v>
      </c>
      <c r="I5359" s="3">
        <f t="shared" si="3"/>
        <v>0.2159802886</v>
      </c>
      <c r="J5359" s="2">
        <v>4072.0</v>
      </c>
      <c r="K5359" s="3">
        <f t="shared" si="4"/>
        <v>0.1433298134</v>
      </c>
      <c r="L5359" s="2">
        <v>3764.0</v>
      </c>
      <c r="M5359" s="3">
        <f t="shared" si="5"/>
        <v>0.6134289439</v>
      </c>
      <c r="N5359" s="2">
        <v>3.2077E7</v>
      </c>
      <c r="O5359" s="4">
        <f t="shared" si="6"/>
        <v>5227.672751</v>
      </c>
      <c r="P5359" s="2">
        <v>4.0</v>
      </c>
      <c r="Q5359" s="3">
        <f t="shared" si="7"/>
        <v>0.001535508637</v>
      </c>
      <c r="R5359" s="2">
        <v>2605.0</v>
      </c>
      <c r="S5359" s="5">
        <f t="shared" si="8"/>
        <v>1</v>
      </c>
    </row>
    <row r="5360">
      <c r="A5360" s="2" t="s">
        <v>5362</v>
      </c>
      <c r="B5360" s="2">
        <v>683.0</v>
      </c>
      <c r="C5360" s="2">
        <v>8035.0</v>
      </c>
      <c r="D5360" s="2">
        <v>2527.0</v>
      </c>
      <c r="E5360" s="3">
        <f t="shared" si="1"/>
        <v>0.3437159956</v>
      </c>
      <c r="F5360" s="2">
        <v>895.0</v>
      </c>
      <c r="G5360" s="3">
        <f t="shared" si="2"/>
        <v>0.1217355822</v>
      </c>
      <c r="H5360" s="2">
        <v>1477.0</v>
      </c>
      <c r="I5360" s="3">
        <f t="shared" si="3"/>
        <v>0.2008977149</v>
      </c>
      <c r="J5360" s="2">
        <v>1166.0</v>
      </c>
      <c r="K5360" s="3">
        <f t="shared" si="4"/>
        <v>0.1585963003</v>
      </c>
      <c r="L5360" s="2">
        <v>894.0</v>
      </c>
      <c r="M5360" s="3">
        <f t="shared" si="5"/>
        <v>0.6052809749</v>
      </c>
      <c r="N5360" s="2">
        <v>8134000.0</v>
      </c>
      <c r="O5360" s="4">
        <f t="shared" si="6"/>
        <v>5507.109005</v>
      </c>
      <c r="P5360" s="2">
        <v>3.0</v>
      </c>
      <c r="Q5360" s="3">
        <f t="shared" si="7"/>
        <v>0.00439238653</v>
      </c>
      <c r="R5360" s="2">
        <v>679.0</v>
      </c>
      <c r="S5360" s="5">
        <f t="shared" si="8"/>
        <v>0.9941434846</v>
      </c>
    </row>
    <row r="5361">
      <c r="A5361" s="2" t="s">
        <v>5363</v>
      </c>
      <c r="B5361" s="2">
        <v>1973.0</v>
      </c>
      <c r="C5361" s="2">
        <v>22748.0</v>
      </c>
      <c r="D5361" s="2">
        <v>7051.0</v>
      </c>
      <c r="E5361" s="3">
        <f t="shared" si="1"/>
        <v>0.3393983153</v>
      </c>
      <c r="F5361" s="2">
        <v>2529.0</v>
      </c>
      <c r="G5361" s="3">
        <f t="shared" si="2"/>
        <v>0.121732852</v>
      </c>
      <c r="H5361" s="2">
        <v>4387.0</v>
      </c>
      <c r="I5361" s="3">
        <f t="shared" si="3"/>
        <v>0.2111672684</v>
      </c>
      <c r="J5361" s="2">
        <v>3520.0</v>
      </c>
      <c r="K5361" s="3">
        <f t="shared" si="4"/>
        <v>0.1694344164</v>
      </c>
      <c r="L5361" s="2">
        <v>2575.0</v>
      </c>
      <c r="M5361" s="3">
        <f t="shared" si="5"/>
        <v>0.5869614771</v>
      </c>
      <c r="N5361" s="2">
        <v>2.57982E7</v>
      </c>
      <c r="O5361" s="4">
        <f t="shared" si="6"/>
        <v>5880.601778</v>
      </c>
      <c r="P5361" s="2">
        <v>2.0</v>
      </c>
      <c r="Q5361" s="3">
        <f t="shared" si="7"/>
        <v>0.001013684744</v>
      </c>
      <c r="R5361" s="2">
        <v>1973.0</v>
      </c>
      <c r="S5361" s="5">
        <f t="shared" si="8"/>
        <v>1</v>
      </c>
    </row>
    <row r="5362">
      <c r="A5362" s="2" t="s">
        <v>5364</v>
      </c>
      <c r="B5362" s="2">
        <v>79.0</v>
      </c>
      <c r="C5362" s="2">
        <v>958.0</v>
      </c>
      <c r="D5362" s="2">
        <v>311.0</v>
      </c>
      <c r="E5362" s="3">
        <f t="shared" si="1"/>
        <v>0.353811149</v>
      </c>
      <c r="F5362" s="2">
        <v>107.0</v>
      </c>
      <c r="G5362" s="3">
        <f t="shared" si="2"/>
        <v>0.1217292378</v>
      </c>
      <c r="H5362" s="2">
        <v>173.0</v>
      </c>
      <c r="I5362" s="3">
        <f t="shared" si="3"/>
        <v>0.196814562</v>
      </c>
      <c r="J5362" s="2">
        <v>137.0</v>
      </c>
      <c r="K5362" s="3">
        <f t="shared" si="4"/>
        <v>0.1558589306</v>
      </c>
      <c r="L5362" s="2">
        <v>94.0</v>
      </c>
      <c r="M5362" s="3">
        <f t="shared" si="5"/>
        <v>0.5433526012</v>
      </c>
      <c r="N5362" s="2">
        <v>887600.0</v>
      </c>
      <c r="O5362" s="4">
        <f t="shared" si="6"/>
        <v>5130.635838</v>
      </c>
      <c r="P5362" s="2">
        <v>0.0</v>
      </c>
      <c r="Q5362" s="3">
        <f t="shared" si="7"/>
        <v>0</v>
      </c>
      <c r="R5362" s="2">
        <v>0.0</v>
      </c>
      <c r="S5362" s="5">
        <f t="shared" si="8"/>
        <v>0</v>
      </c>
    </row>
    <row r="5363">
      <c r="A5363" s="2" t="s">
        <v>5365</v>
      </c>
      <c r="B5363" s="2">
        <v>891.0</v>
      </c>
      <c r="C5363" s="2">
        <v>10511.0</v>
      </c>
      <c r="D5363" s="2">
        <v>2903.0</v>
      </c>
      <c r="E5363" s="3">
        <f t="shared" si="1"/>
        <v>0.3017671518</v>
      </c>
      <c r="F5363" s="2">
        <v>1171.0</v>
      </c>
      <c r="G5363" s="3">
        <f t="shared" si="2"/>
        <v>0.1217255717</v>
      </c>
      <c r="H5363" s="2">
        <v>1975.0</v>
      </c>
      <c r="I5363" s="3">
        <f t="shared" si="3"/>
        <v>0.2053014553</v>
      </c>
      <c r="J5363" s="2">
        <v>1689.0</v>
      </c>
      <c r="K5363" s="3">
        <f t="shared" si="4"/>
        <v>0.1755717256</v>
      </c>
      <c r="L5363" s="2">
        <v>1183.0</v>
      </c>
      <c r="M5363" s="3">
        <f t="shared" si="5"/>
        <v>0.5989873418</v>
      </c>
      <c r="N5363" s="2">
        <v>1.11777E7</v>
      </c>
      <c r="O5363" s="4">
        <f t="shared" si="6"/>
        <v>5659.594937</v>
      </c>
      <c r="P5363" s="2">
        <v>0.0</v>
      </c>
      <c r="Q5363" s="3">
        <f t="shared" si="7"/>
        <v>0</v>
      </c>
      <c r="R5363" s="2">
        <v>52.0</v>
      </c>
      <c r="S5363" s="5">
        <f t="shared" si="8"/>
        <v>0.05836139169</v>
      </c>
    </row>
    <row r="5364">
      <c r="A5364" s="2" t="s">
        <v>5366</v>
      </c>
      <c r="B5364" s="2">
        <v>310.0</v>
      </c>
      <c r="C5364" s="2">
        <v>3703.0</v>
      </c>
      <c r="D5364" s="2">
        <v>1127.0</v>
      </c>
      <c r="E5364" s="3">
        <f t="shared" si="1"/>
        <v>0.3321544356</v>
      </c>
      <c r="F5364" s="2">
        <v>413.0</v>
      </c>
      <c r="G5364" s="3">
        <f t="shared" si="2"/>
        <v>0.1217211907</v>
      </c>
      <c r="H5364" s="2">
        <v>711.0</v>
      </c>
      <c r="I5364" s="3">
        <f t="shared" si="3"/>
        <v>0.2095490716</v>
      </c>
      <c r="J5364" s="2">
        <v>645.0</v>
      </c>
      <c r="K5364" s="3">
        <f t="shared" si="4"/>
        <v>0.1900972591</v>
      </c>
      <c r="L5364" s="2">
        <v>449.0</v>
      </c>
      <c r="M5364" s="3">
        <f t="shared" si="5"/>
        <v>0.6315049226</v>
      </c>
      <c r="N5364" s="2">
        <v>4035800.0</v>
      </c>
      <c r="O5364" s="4">
        <f t="shared" si="6"/>
        <v>5676.230661</v>
      </c>
      <c r="P5364" s="2">
        <v>1.0</v>
      </c>
      <c r="Q5364" s="3">
        <f t="shared" si="7"/>
        <v>0.003225806452</v>
      </c>
      <c r="R5364" s="2">
        <v>310.0</v>
      </c>
      <c r="S5364" s="5">
        <f t="shared" si="8"/>
        <v>1</v>
      </c>
    </row>
    <row r="5365">
      <c r="A5365" s="2" t="s">
        <v>5367</v>
      </c>
      <c r="B5365" s="2">
        <v>4917.0</v>
      </c>
      <c r="C5365" s="2">
        <v>57933.0</v>
      </c>
      <c r="D5365" s="2">
        <v>16616.0</v>
      </c>
      <c r="E5365" s="3">
        <f t="shared" si="1"/>
        <v>0.3134148182</v>
      </c>
      <c r="F5365" s="2">
        <v>6453.0</v>
      </c>
      <c r="G5365" s="3">
        <f t="shared" si="2"/>
        <v>0.1217179719</v>
      </c>
      <c r="H5365" s="2">
        <v>10722.0</v>
      </c>
      <c r="I5365" s="3">
        <f t="shared" si="3"/>
        <v>0.202240833</v>
      </c>
      <c r="J5365" s="2">
        <v>9056.0</v>
      </c>
      <c r="K5365" s="3">
        <f t="shared" si="4"/>
        <v>0.1708163573</v>
      </c>
      <c r="L5365" s="2">
        <v>6321.0</v>
      </c>
      <c r="M5365" s="3">
        <f t="shared" si="5"/>
        <v>0.5895355344</v>
      </c>
      <c r="N5365" s="2">
        <v>6.23409E7</v>
      </c>
      <c r="O5365" s="4">
        <f t="shared" si="6"/>
        <v>5814.297706</v>
      </c>
      <c r="P5365" s="2">
        <v>7.0</v>
      </c>
      <c r="Q5365" s="3">
        <f t="shared" si="7"/>
        <v>0.001423632296</v>
      </c>
      <c r="R5365" s="2">
        <v>4917.0</v>
      </c>
      <c r="S5365" s="5">
        <f t="shared" si="8"/>
        <v>1</v>
      </c>
    </row>
    <row r="5366">
      <c r="A5366" s="2" t="s">
        <v>5368</v>
      </c>
      <c r="B5366" s="2">
        <v>140.0</v>
      </c>
      <c r="C5366" s="2">
        <v>1660.0</v>
      </c>
      <c r="D5366" s="2">
        <v>549.0</v>
      </c>
      <c r="E5366" s="3">
        <f t="shared" si="1"/>
        <v>0.3611842105</v>
      </c>
      <c r="F5366" s="2">
        <v>185.0</v>
      </c>
      <c r="G5366" s="3">
        <f t="shared" si="2"/>
        <v>0.1217105263</v>
      </c>
      <c r="H5366" s="2">
        <v>295.0</v>
      </c>
      <c r="I5366" s="3">
        <f t="shared" si="3"/>
        <v>0.1940789474</v>
      </c>
      <c r="J5366" s="2">
        <v>253.0</v>
      </c>
      <c r="K5366" s="3">
        <f t="shared" si="4"/>
        <v>0.1664473684</v>
      </c>
      <c r="L5366" s="2">
        <v>187.0</v>
      </c>
      <c r="M5366" s="3">
        <f t="shared" si="5"/>
        <v>0.6338983051</v>
      </c>
      <c r="N5366" s="2">
        <v>1612700.0</v>
      </c>
      <c r="O5366" s="4">
        <f t="shared" si="6"/>
        <v>5466.779661</v>
      </c>
      <c r="P5366" s="2">
        <v>0.0</v>
      </c>
      <c r="Q5366" s="3">
        <f t="shared" si="7"/>
        <v>0</v>
      </c>
      <c r="R5366" s="2">
        <v>140.0</v>
      </c>
      <c r="S5366" s="5">
        <f t="shared" si="8"/>
        <v>1</v>
      </c>
    </row>
    <row r="5367">
      <c r="A5367" s="2" t="s">
        <v>5369</v>
      </c>
      <c r="B5367" s="2">
        <v>2651.0</v>
      </c>
      <c r="C5367" s="2">
        <v>31023.0</v>
      </c>
      <c r="D5367" s="2">
        <v>10103.0</v>
      </c>
      <c r="E5367" s="3">
        <f t="shared" si="1"/>
        <v>0.3560905118</v>
      </c>
      <c r="F5367" s="2">
        <v>3453.0</v>
      </c>
      <c r="G5367" s="3">
        <f t="shared" si="2"/>
        <v>0.1217044974</v>
      </c>
      <c r="H5367" s="2">
        <v>6032.0</v>
      </c>
      <c r="I5367" s="3">
        <f t="shared" si="3"/>
        <v>0.2126039758</v>
      </c>
      <c r="J5367" s="2">
        <v>4879.0</v>
      </c>
      <c r="K5367" s="3">
        <f t="shared" si="4"/>
        <v>0.1719653179</v>
      </c>
      <c r="L5367" s="2">
        <v>3602.0</v>
      </c>
      <c r="M5367" s="3">
        <f t="shared" si="5"/>
        <v>0.5971485411</v>
      </c>
      <c r="N5367" s="2">
        <v>3.26267E7</v>
      </c>
      <c r="O5367" s="4">
        <f t="shared" si="6"/>
        <v>5408.935676</v>
      </c>
      <c r="P5367" s="2">
        <v>5.0</v>
      </c>
      <c r="Q5367" s="3">
        <f t="shared" si="7"/>
        <v>0.001886080724</v>
      </c>
      <c r="R5367" s="2">
        <v>2651.0</v>
      </c>
      <c r="S5367" s="5">
        <f t="shared" si="8"/>
        <v>1</v>
      </c>
    </row>
    <row r="5368">
      <c r="A5368" s="2" t="s">
        <v>5370</v>
      </c>
      <c r="B5368" s="2">
        <v>1082.0</v>
      </c>
      <c r="C5368" s="2">
        <v>12939.0</v>
      </c>
      <c r="D5368" s="2">
        <v>4512.0</v>
      </c>
      <c r="E5368" s="3">
        <f t="shared" si="1"/>
        <v>0.3805347052</v>
      </c>
      <c r="F5368" s="2">
        <v>1443.0</v>
      </c>
      <c r="G5368" s="3">
        <f t="shared" si="2"/>
        <v>0.1217002614</v>
      </c>
      <c r="H5368" s="2">
        <v>2455.0</v>
      </c>
      <c r="I5368" s="3">
        <f t="shared" si="3"/>
        <v>0.2070506874</v>
      </c>
      <c r="J5368" s="2">
        <v>1888.0</v>
      </c>
      <c r="K5368" s="3">
        <f t="shared" si="4"/>
        <v>0.1592308341</v>
      </c>
      <c r="L5368" s="2">
        <v>1451.0</v>
      </c>
      <c r="M5368" s="3">
        <f t="shared" si="5"/>
        <v>0.5910386965</v>
      </c>
      <c r="N5368" s="2">
        <v>1.33747E7</v>
      </c>
      <c r="O5368" s="4">
        <f t="shared" si="6"/>
        <v>5447.942974</v>
      </c>
      <c r="P5368" s="2">
        <v>2.0</v>
      </c>
      <c r="Q5368" s="3">
        <f t="shared" si="7"/>
        <v>0.001848428835</v>
      </c>
      <c r="R5368" s="2">
        <v>995.0</v>
      </c>
      <c r="S5368" s="5">
        <f t="shared" si="8"/>
        <v>0.9195933457</v>
      </c>
    </row>
    <row r="5369">
      <c r="A5369" s="2" t="s">
        <v>5371</v>
      </c>
      <c r="B5369" s="2">
        <v>770.0</v>
      </c>
      <c r="C5369" s="2">
        <v>9028.0</v>
      </c>
      <c r="D5369" s="2">
        <v>2822.0</v>
      </c>
      <c r="E5369" s="3">
        <f t="shared" si="1"/>
        <v>0.3417292323</v>
      </c>
      <c r="F5369" s="2">
        <v>1005.0</v>
      </c>
      <c r="G5369" s="3">
        <f t="shared" si="2"/>
        <v>0.1217001695</v>
      </c>
      <c r="H5369" s="2">
        <v>1766.0</v>
      </c>
      <c r="I5369" s="3">
        <f t="shared" si="3"/>
        <v>0.2138532332</v>
      </c>
      <c r="J5369" s="2">
        <v>1513.0</v>
      </c>
      <c r="K5369" s="3">
        <f t="shared" si="4"/>
        <v>0.1832162751</v>
      </c>
      <c r="L5369" s="2">
        <v>1042.0</v>
      </c>
      <c r="M5369" s="3">
        <f t="shared" si="5"/>
        <v>0.5900339751</v>
      </c>
      <c r="N5369" s="2">
        <v>9727600.0</v>
      </c>
      <c r="O5369" s="4">
        <f t="shared" si="6"/>
        <v>5508.267271</v>
      </c>
      <c r="P5369" s="2">
        <v>3.0</v>
      </c>
      <c r="Q5369" s="3">
        <f t="shared" si="7"/>
        <v>0.003896103896</v>
      </c>
      <c r="R5369" s="2">
        <v>770.0</v>
      </c>
      <c r="S5369" s="5">
        <f t="shared" si="8"/>
        <v>1</v>
      </c>
    </row>
    <row r="5370">
      <c r="A5370" s="2" t="s">
        <v>5372</v>
      </c>
      <c r="B5370" s="2">
        <v>539.0</v>
      </c>
      <c r="C5370" s="2">
        <v>6406.0</v>
      </c>
      <c r="D5370" s="2">
        <v>1930.0</v>
      </c>
      <c r="E5370" s="3">
        <f t="shared" si="1"/>
        <v>0.3289585819</v>
      </c>
      <c r="F5370" s="2">
        <v>714.0</v>
      </c>
      <c r="G5370" s="3">
        <f t="shared" si="2"/>
        <v>0.1216976308</v>
      </c>
      <c r="H5370" s="2">
        <v>1189.0</v>
      </c>
      <c r="I5370" s="3">
        <f t="shared" si="3"/>
        <v>0.2026589398</v>
      </c>
      <c r="J5370" s="2">
        <v>1104.0</v>
      </c>
      <c r="K5370" s="3">
        <f t="shared" si="4"/>
        <v>0.1881711266</v>
      </c>
      <c r="L5370" s="2">
        <v>688.0</v>
      </c>
      <c r="M5370" s="3">
        <f t="shared" si="5"/>
        <v>0.5786375105</v>
      </c>
      <c r="N5370" s="2">
        <v>6773900.0</v>
      </c>
      <c r="O5370" s="4">
        <f t="shared" si="6"/>
        <v>5697.140454</v>
      </c>
      <c r="P5370" s="2">
        <v>3.0</v>
      </c>
      <c r="Q5370" s="3">
        <f t="shared" si="7"/>
        <v>0.005565862709</v>
      </c>
      <c r="R5370" s="2">
        <v>539.0</v>
      </c>
      <c r="S5370" s="5">
        <f t="shared" si="8"/>
        <v>1</v>
      </c>
    </row>
    <row r="5371">
      <c r="A5371" s="2" t="s">
        <v>5373</v>
      </c>
      <c r="B5371" s="2">
        <v>521.0</v>
      </c>
      <c r="C5371" s="2">
        <v>6191.0</v>
      </c>
      <c r="D5371" s="2">
        <v>2021.0</v>
      </c>
      <c r="E5371" s="3">
        <f t="shared" si="1"/>
        <v>0.3564373898</v>
      </c>
      <c r="F5371" s="2">
        <v>690.0</v>
      </c>
      <c r="G5371" s="3">
        <f t="shared" si="2"/>
        <v>0.1216931217</v>
      </c>
      <c r="H5371" s="2">
        <v>1177.0</v>
      </c>
      <c r="I5371" s="3">
        <f t="shared" si="3"/>
        <v>0.2075837743</v>
      </c>
      <c r="J5371" s="2">
        <v>821.0</v>
      </c>
      <c r="K5371" s="3">
        <f t="shared" si="4"/>
        <v>0.1447971781</v>
      </c>
      <c r="L5371" s="2">
        <v>707.0</v>
      </c>
      <c r="M5371" s="3">
        <f t="shared" si="5"/>
        <v>0.6006796941</v>
      </c>
      <c r="N5371" s="2">
        <v>6441500.0</v>
      </c>
      <c r="O5371" s="4">
        <f t="shared" si="6"/>
        <v>5472.812234</v>
      </c>
      <c r="P5371" s="2">
        <v>1.0</v>
      </c>
      <c r="Q5371" s="3">
        <f t="shared" si="7"/>
        <v>0.001919385797</v>
      </c>
      <c r="R5371" s="2">
        <v>503.0</v>
      </c>
      <c r="S5371" s="5">
        <f t="shared" si="8"/>
        <v>0.9654510557</v>
      </c>
    </row>
    <row r="5372">
      <c r="A5372" s="2" t="s">
        <v>5374</v>
      </c>
      <c r="B5372" s="2">
        <v>901.0</v>
      </c>
      <c r="C5372" s="2">
        <v>10606.0</v>
      </c>
      <c r="D5372" s="2">
        <v>3306.0</v>
      </c>
      <c r="E5372" s="3">
        <f t="shared" si="1"/>
        <v>0.3406491499</v>
      </c>
      <c r="F5372" s="2">
        <v>1181.0</v>
      </c>
      <c r="G5372" s="3">
        <f t="shared" si="2"/>
        <v>0.1216898506</v>
      </c>
      <c r="H5372" s="2">
        <v>2064.0</v>
      </c>
      <c r="I5372" s="3">
        <f t="shared" si="3"/>
        <v>0.2126738794</v>
      </c>
      <c r="J5372" s="2">
        <v>1790.0</v>
      </c>
      <c r="K5372" s="3">
        <f t="shared" si="4"/>
        <v>0.1844410098</v>
      </c>
      <c r="L5372" s="2">
        <v>1211.0</v>
      </c>
      <c r="M5372" s="3">
        <f t="shared" si="5"/>
        <v>0.5867248062</v>
      </c>
      <c r="N5372" s="2">
        <v>1.13671E7</v>
      </c>
      <c r="O5372" s="4">
        <f t="shared" si="6"/>
        <v>5507.315891</v>
      </c>
      <c r="P5372" s="2">
        <v>2.0</v>
      </c>
      <c r="Q5372" s="3">
        <f t="shared" si="7"/>
        <v>0.002219755827</v>
      </c>
      <c r="R5372" s="2">
        <v>678.0</v>
      </c>
      <c r="S5372" s="5">
        <f t="shared" si="8"/>
        <v>0.7524972253</v>
      </c>
    </row>
    <row r="5373">
      <c r="A5373" s="2" t="s">
        <v>5375</v>
      </c>
      <c r="B5373" s="2">
        <v>115.0</v>
      </c>
      <c r="C5373" s="2">
        <v>1323.0</v>
      </c>
      <c r="D5373" s="2">
        <v>420.0</v>
      </c>
      <c r="E5373" s="3">
        <f t="shared" si="1"/>
        <v>0.3476821192</v>
      </c>
      <c r="F5373" s="2">
        <v>147.0</v>
      </c>
      <c r="G5373" s="3">
        <f t="shared" si="2"/>
        <v>0.1216887417</v>
      </c>
      <c r="H5373" s="2">
        <v>250.0</v>
      </c>
      <c r="I5373" s="3">
        <f t="shared" si="3"/>
        <v>0.2069536424</v>
      </c>
      <c r="J5373" s="2">
        <v>236.0</v>
      </c>
      <c r="K5373" s="3">
        <f t="shared" si="4"/>
        <v>0.1953642384</v>
      </c>
      <c r="L5373" s="2">
        <v>156.0</v>
      </c>
      <c r="M5373" s="3">
        <f t="shared" si="5"/>
        <v>0.624</v>
      </c>
      <c r="N5373" s="2">
        <v>1309400.0</v>
      </c>
      <c r="O5373" s="4">
        <f t="shared" si="6"/>
        <v>5237.6</v>
      </c>
      <c r="P5373" s="2">
        <v>0.0</v>
      </c>
      <c r="Q5373" s="3">
        <f t="shared" si="7"/>
        <v>0</v>
      </c>
      <c r="R5373" s="2">
        <v>115.0</v>
      </c>
      <c r="S5373" s="5">
        <f t="shared" si="8"/>
        <v>1</v>
      </c>
    </row>
    <row r="5374">
      <c r="A5374" s="2" t="s">
        <v>5376</v>
      </c>
      <c r="B5374" s="2">
        <v>373.0</v>
      </c>
      <c r="C5374" s="2">
        <v>4449.0</v>
      </c>
      <c r="D5374" s="2">
        <v>1505.0</v>
      </c>
      <c r="E5374" s="3">
        <f t="shared" si="1"/>
        <v>0.3692345437</v>
      </c>
      <c r="F5374" s="2">
        <v>496.0</v>
      </c>
      <c r="G5374" s="3">
        <f t="shared" si="2"/>
        <v>0.1216879293</v>
      </c>
      <c r="H5374" s="2">
        <v>849.0</v>
      </c>
      <c r="I5374" s="3">
        <f t="shared" si="3"/>
        <v>0.2082924436</v>
      </c>
      <c r="J5374" s="2">
        <v>681.0</v>
      </c>
      <c r="K5374" s="3">
        <f t="shared" si="4"/>
        <v>0.1670755643</v>
      </c>
      <c r="L5374" s="2">
        <v>507.0</v>
      </c>
      <c r="M5374" s="3">
        <f t="shared" si="5"/>
        <v>0.5971731449</v>
      </c>
      <c r="N5374" s="2">
        <v>4665700.0</v>
      </c>
      <c r="O5374" s="4">
        <f t="shared" si="6"/>
        <v>5495.524146</v>
      </c>
      <c r="P5374" s="2">
        <v>1.0</v>
      </c>
      <c r="Q5374" s="3">
        <f t="shared" si="7"/>
        <v>0.002680965147</v>
      </c>
      <c r="R5374" s="2">
        <v>373.0</v>
      </c>
      <c r="S5374" s="5">
        <f t="shared" si="8"/>
        <v>1</v>
      </c>
    </row>
    <row r="5375">
      <c r="A5375" s="2" t="s">
        <v>5377</v>
      </c>
      <c r="B5375" s="2">
        <v>9347.0</v>
      </c>
      <c r="C5375" s="2">
        <v>109474.0</v>
      </c>
      <c r="D5375" s="2">
        <v>37457.0</v>
      </c>
      <c r="E5375" s="3">
        <f t="shared" si="1"/>
        <v>0.3740948995</v>
      </c>
      <c r="F5375" s="2">
        <v>12184.0</v>
      </c>
      <c r="G5375" s="3">
        <f t="shared" si="2"/>
        <v>0.1216854595</v>
      </c>
      <c r="H5375" s="2">
        <v>22259.0</v>
      </c>
      <c r="I5375" s="3">
        <f t="shared" si="3"/>
        <v>0.2223076693</v>
      </c>
      <c r="J5375" s="2">
        <v>15227.0</v>
      </c>
      <c r="K5375" s="3">
        <f t="shared" si="4"/>
        <v>0.1520768624</v>
      </c>
      <c r="L5375" s="2">
        <v>13413.0</v>
      </c>
      <c r="M5375" s="3">
        <f t="shared" si="5"/>
        <v>0.6025877173</v>
      </c>
      <c r="N5375" s="2">
        <v>1.190943E8</v>
      </c>
      <c r="O5375" s="4">
        <f t="shared" si="6"/>
        <v>5350.388607</v>
      </c>
      <c r="P5375" s="2">
        <v>21.0</v>
      </c>
      <c r="Q5375" s="3">
        <f t="shared" si="7"/>
        <v>0.002246710174</v>
      </c>
      <c r="R5375" s="2">
        <v>9347.0</v>
      </c>
      <c r="S5375" s="5">
        <f t="shared" si="8"/>
        <v>1</v>
      </c>
    </row>
    <row r="5376">
      <c r="A5376" s="2" t="s">
        <v>5378</v>
      </c>
      <c r="B5376" s="2">
        <v>214.0</v>
      </c>
      <c r="C5376" s="2">
        <v>2474.0</v>
      </c>
      <c r="D5376" s="2">
        <v>801.0</v>
      </c>
      <c r="E5376" s="3">
        <f t="shared" si="1"/>
        <v>0.3544247788</v>
      </c>
      <c r="F5376" s="2">
        <v>275.0</v>
      </c>
      <c r="G5376" s="3">
        <f t="shared" si="2"/>
        <v>0.1216814159</v>
      </c>
      <c r="H5376" s="2">
        <v>525.0</v>
      </c>
      <c r="I5376" s="3">
        <f t="shared" si="3"/>
        <v>0.232300885</v>
      </c>
      <c r="J5376" s="2">
        <v>452.0</v>
      </c>
      <c r="K5376" s="3">
        <f t="shared" si="4"/>
        <v>0.2</v>
      </c>
      <c r="L5376" s="2">
        <v>297.0</v>
      </c>
      <c r="M5376" s="3">
        <f t="shared" si="5"/>
        <v>0.5657142857</v>
      </c>
      <c r="N5376" s="2">
        <v>2947300.0</v>
      </c>
      <c r="O5376" s="4">
        <f t="shared" si="6"/>
        <v>5613.904762</v>
      </c>
      <c r="P5376" s="2">
        <v>0.0</v>
      </c>
      <c r="Q5376" s="3">
        <f t="shared" si="7"/>
        <v>0</v>
      </c>
      <c r="R5376" s="2">
        <v>214.0</v>
      </c>
      <c r="S5376" s="5">
        <f t="shared" si="8"/>
        <v>1</v>
      </c>
    </row>
    <row r="5377">
      <c r="A5377" s="2" t="s">
        <v>5379</v>
      </c>
      <c r="B5377" s="2">
        <v>901.0</v>
      </c>
      <c r="C5377" s="2">
        <v>10418.0</v>
      </c>
      <c r="D5377" s="2">
        <v>3649.0</v>
      </c>
      <c r="E5377" s="3">
        <f t="shared" si="1"/>
        <v>0.3834191447</v>
      </c>
      <c r="F5377" s="2">
        <v>1158.0</v>
      </c>
      <c r="G5377" s="3">
        <f t="shared" si="2"/>
        <v>0.1216769991</v>
      </c>
      <c r="H5377" s="2">
        <v>2137.0</v>
      </c>
      <c r="I5377" s="3">
        <f t="shared" si="3"/>
        <v>0.2245455501</v>
      </c>
      <c r="J5377" s="2">
        <v>1689.0</v>
      </c>
      <c r="K5377" s="3">
        <f t="shared" si="4"/>
        <v>0.1774718924</v>
      </c>
      <c r="L5377" s="2">
        <v>1302.0</v>
      </c>
      <c r="M5377" s="3">
        <f t="shared" si="5"/>
        <v>0.6092653252</v>
      </c>
      <c r="N5377" s="2">
        <v>1.13118E7</v>
      </c>
      <c r="O5377" s="4">
        <f t="shared" si="6"/>
        <v>5293.308376</v>
      </c>
      <c r="P5377" s="2">
        <v>4.0</v>
      </c>
      <c r="Q5377" s="3">
        <f t="shared" si="7"/>
        <v>0.004439511654</v>
      </c>
      <c r="R5377" s="2">
        <v>901.0</v>
      </c>
      <c r="S5377" s="5">
        <f t="shared" si="8"/>
        <v>1</v>
      </c>
    </row>
    <row r="5378">
      <c r="A5378" s="2" t="s">
        <v>5380</v>
      </c>
      <c r="B5378" s="2">
        <v>142.0</v>
      </c>
      <c r="C5378" s="2">
        <v>1646.0</v>
      </c>
      <c r="D5378" s="2">
        <v>419.0</v>
      </c>
      <c r="E5378" s="3">
        <f t="shared" si="1"/>
        <v>0.2785904255</v>
      </c>
      <c r="F5378" s="2">
        <v>183.0</v>
      </c>
      <c r="G5378" s="3">
        <f t="shared" si="2"/>
        <v>0.1216755319</v>
      </c>
      <c r="H5378" s="2">
        <v>293.0</v>
      </c>
      <c r="I5378" s="3">
        <f t="shared" si="3"/>
        <v>0.1948138298</v>
      </c>
      <c r="J5378" s="2">
        <v>280.0</v>
      </c>
      <c r="K5378" s="3">
        <f t="shared" si="4"/>
        <v>0.1861702128</v>
      </c>
      <c r="L5378" s="2">
        <v>174.0</v>
      </c>
      <c r="M5378" s="3">
        <f t="shared" si="5"/>
        <v>0.5938566553</v>
      </c>
      <c r="N5378" s="2">
        <v>1718800.0</v>
      </c>
      <c r="O5378" s="4">
        <f t="shared" si="6"/>
        <v>5866.211604</v>
      </c>
      <c r="P5378" s="2">
        <v>0.0</v>
      </c>
      <c r="Q5378" s="3">
        <f t="shared" si="7"/>
        <v>0</v>
      </c>
      <c r="R5378" s="2">
        <v>142.0</v>
      </c>
      <c r="S5378" s="5">
        <f t="shared" si="8"/>
        <v>1</v>
      </c>
    </row>
    <row r="5379">
      <c r="A5379" s="2" t="s">
        <v>5381</v>
      </c>
      <c r="B5379" s="2">
        <v>1428.0</v>
      </c>
      <c r="C5379" s="2">
        <v>16690.0</v>
      </c>
      <c r="D5379" s="2">
        <v>4507.0</v>
      </c>
      <c r="E5379" s="3">
        <f t="shared" si="1"/>
        <v>0.2953086096</v>
      </c>
      <c r="F5379" s="2">
        <v>1857.0</v>
      </c>
      <c r="G5379" s="3">
        <f t="shared" si="2"/>
        <v>0.1216747477</v>
      </c>
      <c r="H5379" s="2">
        <v>3062.0</v>
      </c>
      <c r="I5379" s="3">
        <f t="shared" si="3"/>
        <v>0.2006290132</v>
      </c>
      <c r="J5379" s="2">
        <v>2975.0</v>
      </c>
      <c r="K5379" s="3">
        <f t="shared" si="4"/>
        <v>0.1949285808</v>
      </c>
      <c r="L5379" s="2">
        <v>1776.0</v>
      </c>
      <c r="M5379" s="3">
        <f t="shared" si="5"/>
        <v>0.5800130634</v>
      </c>
      <c r="N5379" s="2">
        <v>1.87795E7</v>
      </c>
      <c r="O5379" s="4">
        <f t="shared" si="6"/>
        <v>6133.082952</v>
      </c>
      <c r="P5379" s="2">
        <v>4.0</v>
      </c>
      <c r="Q5379" s="3">
        <f t="shared" si="7"/>
        <v>0.002801120448</v>
      </c>
      <c r="R5379" s="2">
        <v>1428.0</v>
      </c>
      <c r="S5379" s="5">
        <f t="shared" si="8"/>
        <v>1</v>
      </c>
    </row>
    <row r="5380">
      <c r="A5380" s="2" t="s">
        <v>5382</v>
      </c>
      <c r="B5380" s="2">
        <v>75.0</v>
      </c>
      <c r="C5380" s="2">
        <v>864.0</v>
      </c>
      <c r="D5380" s="2">
        <v>288.0</v>
      </c>
      <c r="E5380" s="3">
        <f t="shared" si="1"/>
        <v>0.3650190114</v>
      </c>
      <c r="F5380" s="2">
        <v>96.0</v>
      </c>
      <c r="G5380" s="3">
        <f t="shared" si="2"/>
        <v>0.1216730038</v>
      </c>
      <c r="H5380" s="2">
        <v>183.0</v>
      </c>
      <c r="I5380" s="3">
        <f t="shared" si="3"/>
        <v>0.2319391635</v>
      </c>
      <c r="J5380" s="2">
        <v>140.0</v>
      </c>
      <c r="K5380" s="3">
        <f t="shared" si="4"/>
        <v>0.1774397972</v>
      </c>
      <c r="L5380" s="2">
        <v>118.0</v>
      </c>
      <c r="M5380" s="3">
        <f t="shared" si="5"/>
        <v>0.6448087432</v>
      </c>
      <c r="N5380" s="2">
        <v>1007300.0</v>
      </c>
      <c r="O5380" s="4">
        <f t="shared" si="6"/>
        <v>5504.371585</v>
      </c>
      <c r="P5380" s="2">
        <v>0.0</v>
      </c>
      <c r="Q5380" s="3">
        <f t="shared" si="7"/>
        <v>0</v>
      </c>
      <c r="R5380" s="2">
        <v>0.0</v>
      </c>
      <c r="S5380" s="5">
        <f t="shared" si="8"/>
        <v>0</v>
      </c>
    </row>
    <row r="5381">
      <c r="A5381" s="2" t="s">
        <v>5383</v>
      </c>
      <c r="B5381" s="2">
        <v>47.0</v>
      </c>
      <c r="C5381" s="2">
        <v>573.0</v>
      </c>
      <c r="D5381" s="2">
        <v>150.0</v>
      </c>
      <c r="E5381" s="3">
        <f t="shared" si="1"/>
        <v>0.2851711027</v>
      </c>
      <c r="F5381" s="2">
        <v>64.0</v>
      </c>
      <c r="G5381" s="3">
        <f t="shared" si="2"/>
        <v>0.1216730038</v>
      </c>
      <c r="H5381" s="2">
        <v>104.0</v>
      </c>
      <c r="I5381" s="3">
        <f t="shared" si="3"/>
        <v>0.1977186312</v>
      </c>
      <c r="J5381" s="2">
        <v>70.0</v>
      </c>
      <c r="K5381" s="3">
        <f t="shared" si="4"/>
        <v>0.1330798479</v>
      </c>
      <c r="L5381" s="2">
        <v>70.0</v>
      </c>
      <c r="M5381" s="3">
        <f t="shared" si="5"/>
        <v>0.6730769231</v>
      </c>
      <c r="N5381" s="2">
        <v>578700.0</v>
      </c>
      <c r="O5381" s="4">
        <f t="shared" si="6"/>
        <v>5564.423077</v>
      </c>
      <c r="P5381" s="2">
        <v>0.0</v>
      </c>
      <c r="Q5381" s="3">
        <f t="shared" si="7"/>
        <v>0</v>
      </c>
      <c r="R5381" s="2">
        <v>47.0</v>
      </c>
      <c r="S5381" s="5">
        <f t="shared" si="8"/>
        <v>1</v>
      </c>
    </row>
    <row r="5382">
      <c r="A5382" s="2" t="s">
        <v>5384</v>
      </c>
      <c r="B5382" s="2">
        <v>948.0</v>
      </c>
      <c r="C5382" s="2">
        <v>11100.0</v>
      </c>
      <c r="D5382" s="2">
        <v>3514.0</v>
      </c>
      <c r="E5382" s="3">
        <f t="shared" si="1"/>
        <v>0.3461386919</v>
      </c>
      <c r="F5382" s="2">
        <v>1235.0</v>
      </c>
      <c r="G5382" s="3">
        <f t="shared" si="2"/>
        <v>0.1216509062</v>
      </c>
      <c r="H5382" s="2">
        <v>2152.0</v>
      </c>
      <c r="I5382" s="3">
        <f t="shared" si="3"/>
        <v>0.2119779354</v>
      </c>
      <c r="J5382" s="2">
        <v>1695.0</v>
      </c>
      <c r="K5382" s="3">
        <f t="shared" si="4"/>
        <v>0.1669621749</v>
      </c>
      <c r="L5382" s="2">
        <v>1310.0</v>
      </c>
      <c r="M5382" s="3">
        <f t="shared" si="5"/>
        <v>0.6087360595</v>
      </c>
      <c r="N5382" s="2">
        <v>1.25609E7</v>
      </c>
      <c r="O5382" s="4">
        <f t="shared" si="6"/>
        <v>5836.849442</v>
      </c>
      <c r="P5382" s="2">
        <v>1.0</v>
      </c>
      <c r="Q5382" s="3">
        <f t="shared" si="7"/>
        <v>0.001054852321</v>
      </c>
      <c r="R5382" s="2">
        <v>948.0</v>
      </c>
      <c r="S5382" s="5">
        <f t="shared" si="8"/>
        <v>1</v>
      </c>
    </row>
    <row r="5383">
      <c r="A5383" s="2" t="s">
        <v>5385</v>
      </c>
      <c r="B5383" s="2">
        <v>605.0</v>
      </c>
      <c r="C5383" s="2">
        <v>7083.0</v>
      </c>
      <c r="D5383" s="2">
        <v>2530.0</v>
      </c>
      <c r="E5383" s="3">
        <f t="shared" si="1"/>
        <v>0.3905526397</v>
      </c>
      <c r="F5383" s="2">
        <v>788.0</v>
      </c>
      <c r="G5383" s="3">
        <f t="shared" si="2"/>
        <v>0.1216424822</v>
      </c>
      <c r="H5383" s="2">
        <v>1241.0</v>
      </c>
      <c r="I5383" s="3">
        <f t="shared" si="3"/>
        <v>0.1915714727</v>
      </c>
      <c r="J5383" s="2">
        <v>962.0</v>
      </c>
      <c r="K5383" s="3">
        <f t="shared" si="4"/>
        <v>0.1485026243</v>
      </c>
      <c r="L5383" s="2">
        <v>763.0</v>
      </c>
      <c r="M5383" s="3">
        <f t="shared" si="5"/>
        <v>0.6148267526</v>
      </c>
      <c r="N5383" s="2">
        <v>6900900.0</v>
      </c>
      <c r="O5383" s="4">
        <f t="shared" si="6"/>
        <v>5560.757454</v>
      </c>
      <c r="P5383" s="2">
        <v>3.0</v>
      </c>
      <c r="Q5383" s="3">
        <f t="shared" si="7"/>
        <v>0.004958677686</v>
      </c>
      <c r="R5383" s="2">
        <v>605.0</v>
      </c>
      <c r="S5383" s="5">
        <f t="shared" si="8"/>
        <v>1</v>
      </c>
    </row>
    <row r="5384">
      <c r="A5384" s="2" t="s">
        <v>5386</v>
      </c>
      <c r="B5384" s="2">
        <v>396.0</v>
      </c>
      <c r="C5384" s="2">
        <v>4638.0</v>
      </c>
      <c r="D5384" s="2">
        <v>1276.0</v>
      </c>
      <c r="E5384" s="3">
        <f t="shared" si="1"/>
        <v>0.3008015087</v>
      </c>
      <c r="F5384" s="2">
        <v>516.0</v>
      </c>
      <c r="G5384" s="3">
        <f t="shared" si="2"/>
        <v>0.1216407355</v>
      </c>
      <c r="H5384" s="2">
        <v>820.0</v>
      </c>
      <c r="I5384" s="3">
        <f t="shared" si="3"/>
        <v>0.1933050448</v>
      </c>
      <c r="J5384" s="2">
        <v>715.0</v>
      </c>
      <c r="K5384" s="3">
        <f t="shared" si="4"/>
        <v>0.1685525695</v>
      </c>
      <c r="L5384" s="2">
        <v>495.0</v>
      </c>
      <c r="M5384" s="3">
        <f t="shared" si="5"/>
        <v>0.6036585366</v>
      </c>
      <c r="N5384" s="2">
        <v>4869200.0</v>
      </c>
      <c r="O5384" s="4">
        <f t="shared" si="6"/>
        <v>5938.04878</v>
      </c>
      <c r="P5384" s="2">
        <v>2.0</v>
      </c>
      <c r="Q5384" s="3">
        <f t="shared" si="7"/>
        <v>0.005050505051</v>
      </c>
      <c r="R5384" s="2">
        <v>396.0</v>
      </c>
      <c r="S5384" s="5">
        <f t="shared" si="8"/>
        <v>1</v>
      </c>
    </row>
    <row r="5385">
      <c r="A5385" s="2" t="s">
        <v>5387</v>
      </c>
      <c r="B5385" s="2">
        <v>28.0</v>
      </c>
      <c r="C5385" s="2">
        <v>324.0</v>
      </c>
      <c r="D5385" s="2">
        <v>109.0</v>
      </c>
      <c r="E5385" s="3">
        <f t="shared" si="1"/>
        <v>0.3682432432</v>
      </c>
      <c r="F5385" s="2">
        <v>36.0</v>
      </c>
      <c r="G5385" s="3">
        <f t="shared" si="2"/>
        <v>0.1216216216</v>
      </c>
      <c r="H5385" s="2">
        <v>60.0</v>
      </c>
      <c r="I5385" s="3">
        <f t="shared" si="3"/>
        <v>0.2027027027</v>
      </c>
      <c r="J5385" s="2">
        <v>55.0</v>
      </c>
      <c r="K5385" s="3">
        <f t="shared" si="4"/>
        <v>0.1858108108</v>
      </c>
      <c r="L5385" s="2">
        <v>35.0</v>
      </c>
      <c r="M5385" s="3">
        <f t="shared" si="5"/>
        <v>0.5833333333</v>
      </c>
      <c r="N5385" s="2">
        <v>323100.0</v>
      </c>
      <c r="O5385" s="4">
        <f t="shared" si="6"/>
        <v>5385</v>
      </c>
      <c r="P5385" s="2">
        <v>0.0</v>
      </c>
      <c r="Q5385" s="3">
        <f t="shared" si="7"/>
        <v>0</v>
      </c>
      <c r="R5385" s="2">
        <v>28.0</v>
      </c>
      <c r="S5385" s="5">
        <f t="shared" si="8"/>
        <v>1</v>
      </c>
    </row>
    <row r="5386">
      <c r="A5386" s="2" t="s">
        <v>5388</v>
      </c>
      <c r="B5386" s="2">
        <v>57.0</v>
      </c>
      <c r="C5386" s="2">
        <v>649.0</v>
      </c>
      <c r="D5386" s="2">
        <v>204.0</v>
      </c>
      <c r="E5386" s="3">
        <f t="shared" si="1"/>
        <v>0.3445945946</v>
      </c>
      <c r="F5386" s="2">
        <v>72.0</v>
      </c>
      <c r="G5386" s="3">
        <f t="shared" si="2"/>
        <v>0.1216216216</v>
      </c>
      <c r="H5386" s="2">
        <v>116.0</v>
      </c>
      <c r="I5386" s="3">
        <f t="shared" si="3"/>
        <v>0.1959459459</v>
      </c>
      <c r="J5386" s="2">
        <v>91.0</v>
      </c>
      <c r="K5386" s="3">
        <f t="shared" si="4"/>
        <v>0.1537162162</v>
      </c>
      <c r="L5386" s="2">
        <v>73.0</v>
      </c>
      <c r="M5386" s="3">
        <f t="shared" si="5"/>
        <v>0.6293103448</v>
      </c>
      <c r="N5386" s="2">
        <v>560100.0</v>
      </c>
      <c r="O5386" s="4">
        <f t="shared" si="6"/>
        <v>4828.448276</v>
      </c>
      <c r="P5386" s="2">
        <v>0.0</v>
      </c>
      <c r="Q5386" s="3">
        <f t="shared" si="7"/>
        <v>0</v>
      </c>
      <c r="R5386" s="2">
        <v>57.0</v>
      </c>
      <c r="S5386" s="5">
        <f t="shared" si="8"/>
        <v>1</v>
      </c>
    </row>
    <row r="5387">
      <c r="A5387" s="2" t="s">
        <v>5389</v>
      </c>
      <c r="B5387" s="2">
        <v>426.0</v>
      </c>
      <c r="C5387" s="2">
        <v>4932.0</v>
      </c>
      <c r="D5387" s="2">
        <v>1588.0</v>
      </c>
      <c r="E5387" s="3">
        <f t="shared" si="1"/>
        <v>0.3524189969</v>
      </c>
      <c r="F5387" s="2">
        <v>548.0</v>
      </c>
      <c r="G5387" s="3">
        <f t="shared" si="2"/>
        <v>0.1216156236</v>
      </c>
      <c r="H5387" s="2">
        <v>989.0</v>
      </c>
      <c r="I5387" s="3">
        <f t="shared" si="3"/>
        <v>0.2194851309</v>
      </c>
      <c r="J5387" s="2">
        <v>695.0</v>
      </c>
      <c r="K5387" s="3">
        <f t="shared" si="4"/>
        <v>0.1542387927</v>
      </c>
      <c r="L5387" s="2">
        <v>609.0</v>
      </c>
      <c r="M5387" s="3">
        <f t="shared" si="5"/>
        <v>0.6157735086</v>
      </c>
      <c r="N5387" s="2">
        <v>5481300.0</v>
      </c>
      <c r="O5387" s="4">
        <f t="shared" si="6"/>
        <v>5542.264914</v>
      </c>
      <c r="P5387" s="2">
        <v>0.0</v>
      </c>
      <c r="Q5387" s="3">
        <f t="shared" si="7"/>
        <v>0</v>
      </c>
      <c r="R5387" s="2">
        <v>426.0</v>
      </c>
      <c r="S5387" s="5">
        <f t="shared" si="8"/>
        <v>1</v>
      </c>
    </row>
    <row r="5388">
      <c r="A5388" s="2" t="s">
        <v>5390</v>
      </c>
      <c r="B5388" s="2">
        <v>67.0</v>
      </c>
      <c r="C5388" s="2">
        <v>766.0</v>
      </c>
      <c r="D5388" s="2">
        <v>237.0</v>
      </c>
      <c r="E5388" s="3">
        <f t="shared" si="1"/>
        <v>0.339055794</v>
      </c>
      <c r="F5388" s="2">
        <v>85.0</v>
      </c>
      <c r="G5388" s="3">
        <f t="shared" si="2"/>
        <v>0.121602289</v>
      </c>
      <c r="H5388" s="2">
        <v>138.0</v>
      </c>
      <c r="I5388" s="3">
        <f t="shared" si="3"/>
        <v>0.1974248927</v>
      </c>
      <c r="J5388" s="2">
        <v>119.0</v>
      </c>
      <c r="K5388" s="3">
        <f t="shared" si="4"/>
        <v>0.1702432046</v>
      </c>
      <c r="L5388" s="2">
        <v>85.0</v>
      </c>
      <c r="M5388" s="3">
        <f t="shared" si="5"/>
        <v>0.615942029</v>
      </c>
      <c r="N5388" s="2">
        <v>807100.0</v>
      </c>
      <c r="O5388" s="4">
        <f t="shared" si="6"/>
        <v>5848.550725</v>
      </c>
      <c r="P5388" s="2">
        <v>0.0</v>
      </c>
      <c r="Q5388" s="3">
        <f t="shared" si="7"/>
        <v>0</v>
      </c>
      <c r="R5388" s="2">
        <v>1.0</v>
      </c>
      <c r="S5388" s="5">
        <f t="shared" si="8"/>
        <v>0.01492537313</v>
      </c>
    </row>
    <row r="5389">
      <c r="A5389" s="2" t="s">
        <v>5391</v>
      </c>
      <c r="B5389" s="2">
        <v>135.0</v>
      </c>
      <c r="C5389" s="2">
        <v>1640.0</v>
      </c>
      <c r="D5389" s="2">
        <v>559.0</v>
      </c>
      <c r="E5389" s="3">
        <f t="shared" si="1"/>
        <v>0.3714285714</v>
      </c>
      <c r="F5389" s="2">
        <v>183.0</v>
      </c>
      <c r="G5389" s="3">
        <f t="shared" si="2"/>
        <v>0.1215946844</v>
      </c>
      <c r="H5389" s="2">
        <v>332.0</v>
      </c>
      <c r="I5389" s="3">
        <f t="shared" si="3"/>
        <v>0.2205980066</v>
      </c>
      <c r="J5389" s="2">
        <v>242.0</v>
      </c>
      <c r="K5389" s="3">
        <f t="shared" si="4"/>
        <v>0.1607973422</v>
      </c>
      <c r="L5389" s="2">
        <v>205.0</v>
      </c>
      <c r="M5389" s="3">
        <f t="shared" si="5"/>
        <v>0.6174698795</v>
      </c>
      <c r="N5389" s="2">
        <v>1729900.0</v>
      </c>
      <c r="O5389" s="4">
        <f t="shared" si="6"/>
        <v>5210.542169</v>
      </c>
      <c r="P5389" s="2">
        <v>0.0</v>
      </c>
      <c r="Q5389" s="3">
        <f t="shared" si="7"/>
        <v>0</v>
      </c>
      <c r="R5389" s="2">
        <v>135.0</v>
      </c>
      <c r="S5389" s="5">
        <f t="shared" si="8"/>
        <v>1</v>
      </c>
    </row>
    <row r="5390">
      <c r="A5390" s="2" t="s">
        <v>5392</v>
      </c>
      <c r="B5390" s="2">
        <v>2289.0</v>
      </c>
      <c r="C5390" s="2">
        <v>26690.0</v>
      </c>
      <c r="D5390" s="2">
        <v>7813.0</v>
      </c>
      <c r="E5390" s="3">
        <f t="shared" si="1"/>
        <v>0.3201917954</v>
      </c>
      <c r="F5390" s="2">
        <v>2967.0</v>
      </c>
      <c r="G5390" s="3">
        <f t="shared" si="2"/>
        <v>0.1215933773</v>
      </c>
      <c r="H5390" s="2">
        <v>5272.0</v>
      </c>
      <c r="I5390" s="3">
        <f t="shared" si="3"/>
        <v>0.216056719</v>
      </c>
      <c r="J5390" s="2">
        <v>4418.0</v>
      </c>
      <c r="K5390" s="3">
        <f t="shared" si="4"/>
        <v>0.1810581534</v>
      </c>
      <c r="L5390" s="2">
        <v>3144.0</v>
      </c>
      <c r="M5390" s="3">
        <f t="shared" si="5"/>
        <v>0.5963581184</v>
      </c>
      <c r="N5390" s="2">
        <v>3.02158E7</v>
      </c>
      <c r="O5390" s="4">
        <f t="shared" si="6"/>
        <v>5731.373293</v>
      </c>
      <c r="P5390" s="2">
        <v>6.0</v>
      </c>
      <c r="Q5390" s="3">
        <f t="shared" si="7"/>
        <v>0.002621231979</v>
      </c>
      <c r="R5390" s="2">
        <v>2289.0</v>
      </c>
      <c r="S5390" s="5">
        <f t="shared" si="8"/>
        <v>1</v>
      </c>
    </row>
    <row r="5391">
      <c r="A5391" s="2" t="s">
        <v>5393</v>
      </c>
      <c r="B5391" s="2">
        <v>360.0</v>
      </c>
      <c r="C5391" s="2">
        <v>4201.0</v>
      </c>
      <c r="D5391" s="2">
        <v>1349.0</v>
      </c>
      <c r="E5391" s="3">
        <f t="shared" si="1"/>
        <v>0.3512106222</v>
      </c>
      <c r="F5391" s="2">
        <v>467.0</v>
      </c>
      <c r="G5391" s="3">
        <f t="shared" si="2"/>
        <v>0.1215829211</v>
      </c>
      <c r="H5391" s="2">
        <v>798.0</v>
      </c>
      <c r="I5391" s="3">
        <f t="shared" si="3"/>
        <v>0.2077583963</v>
      </c>
      <c r="J5391" s="2">
        <v>593.0</v>
      </c>
      <c r="K5391" s="3">
        <f t="shared" si="4"/>
        <v>0.1543868784</v>
      </c>
      <c r="L5391" s="2">
        <v>481.0</v>
      </c>
      <c r="M5391" s="3">
        <f t="shared" si="5"/>
        <v>0.6027568922</v>
      </c>
      <c r="N5391" s="2">
        <v>4536800.0</v>
      </c>
      <c r="O5391" s="4">
        <f t="shared" si="6"/>
        <v>5685.213033</v>
      </c>
      <c r="P5391" s="2">
        <v>1.0</v>
      </c>
      <c r="Q5391" s="3">
        <f t="shared" si="7"/>
        <v>0.002777777778</v>
      </c>
      <c r="R5391" s="2">
        <v>360.0</v>
      </c>
      <c r="S5391" s="5">
        <f t="shared" si="8"/>
        <v>1</v>
      </c>
    </row>
    <row r="5392">
      <c r="A5392" s="2" t="s">
        <v>5394</v>
      </c>
      <c r="B5392" s="2">
        <v>93.0</v>
      </c>
      <c r="C5392" s="2">
        <v>1080.0</v>
      </c>
      <c r="D5392" s="2">
        <v>342.0</v>
      </c>
      <c r="E5392" s="3">
        <f t="shared" si="1"/>
        <v>0.3465045593</v>
      </c>
      <c r="F5392" s="2">
        <v>120.0</v>
      </c>
      <c r="G5392" s="3">
        <f t="shared" si="2"/>
        <v>0.1215805471</v>
      </c>
      <c r="H5392" s="2">
        <v>194.0</v>
      </c>
      <c r="I5392" s="3">
        <f t="shared" si="3"/>
        <v>0.1965552178</v>
      </c>
      <c r="J5392" s="2">
        <v>175.0</v>
      </c>
      <c r="K5392" s="3">
        <f t="shared" si="4"/>
        <v>0.1773049645</v>
      </c>
      <c r="L5392" s="2">
        <v>122.0</v>
      </c>
      <c r="M5392" s="3">
        <f t="shared" si="5"/>
        <v>0.6288659794</v>
      </c>
      <c r="N5392" s="2">
        <v>1122300.0</v>
      </c>
      <c r="O5392" s="4">
        <f t="shared" si="6"/>
        <v>5785.051546</v>
      </c>
      <c r="P5392" s="2">
        <v>0.0</v>
      </c>
      <c r="Q5392" s="3">
        <f t="shared" si="7"/>
        <v>0</v>
      </c>
      <c r="R5392" s="2">
        <v>93.0</v>
      </c>
      <c r="S5392" s="5">
        <f t="shared" si="8"/>
        <v>1</v>
      </c>
    </row>
    <row r="5393">
      <c r="A5393" s="2" t="s">
        <v>5395</v>
      </c>
      <c r="B5393" s="2">
        <v>256.0</v>
      </c>
      <c r="C5393" s="2">
        <v>2921.0</v>
      </c>
      <c r="D5393" s="2">
        <v>749.0</v>
      </c>
      <c r="E5393" s="3">
        <f t="shared" si="1"/>
        <v>0.2810506567</v>
      </c>
      <c r="F5393" s="2">
        <v>324.0</v>
      </c>
      <c r="G5393" s="3">
        <f t="shared" si="2"/>
        <v>0.121575985</v>
      </c>
      <c r="H5393" s="2">
        <v>531.0</v>
      </c>
      <c r="I5393" s="3">
        <f t="shared" si="3"/>
        <v>0.199249531</v>
      </c>
      <c r="J5393" s="2">
        <v>517.0</v>
      </c>
      <c r="K5393" s="3">
        <f t="shared" si="4"/>
        <v>0.1939962477</v>
      </c>
      <c r="L5393" s="2">
        <v>323.0</v>
      </c>
      <c r="M5393" s="3">
        <f t="shared" si="5"/>
        <v>0.6082862524</v>
      </c>
      <c r="N5393" s="2">
        <v>3157400.0</v>
      </c>
      <c r="O5393" s="4">
        <f t="shared" si="6"/>
        <v>5946.13936</v>
      </c>
      <c r="P5393" s="2">
        <v>0.0</v>
      </c>
      <c r="Q5393" s="3">
        <f t="shared" si="7"/>
        <v>0</v>
      </c>
      <c r="R5393" s="2">
        <v>256.0</v>
      </c>
      <c r="S5393" s="5">
        <f t="shared" si="8"/>
        <v>1</v>
      </c>
    </row>
    <row r="5394">
      <c r="A5394" s="2" t="s">
        <v>5396</v>
      </c>
      <c r="B5394" s="2">
        <v>460.0</v>
      </c>
      <c r="C5394" s="2">
        <v>5461.0</v>
      </c>
      <c r="D5394" s="2">
        <v>1865.0</v>
      </c>
      <c r="E5394" s="3">
        <f t="shared" si="1"/>
        <v>0.3729254149</v>
      </c>
      <c r="F5394" s="2">
        <v>608.0</v>
      </c>
      <c r="G5394" s="3">
        <f t="shared" si="2"/>
        <v>0.1215756849</v>
      </c>
      <c r="H5394" s="2">
        <v>942.0</v>
      </c>
      <c r="I5394" s="3">
        <f t="shared" si="3"/>
        <v>0.1883623275</v>
      </c>
      <c r="J5394" s="2">
        <v>742.0</v>
      </c>
      <c r="K5394" s="3">
        <f t="shared" si="4"/>
        <v>0.1483703259</v>
      </c>
      <c r="L5394" s="2">
        <v>541.0</v>
      </c>
      <c r="M5394" s="3">
        <f t="shared" si="5"/>
        <v>0.5743099788</v>
      </c>
      <c r="N5394" s="2">
        <v>5368900.0</v>
      </c>
      <c r="O5394" s="4">
        <f t="shared" si="6"/>
        <v>5699.469214</v>
      </c>
      <c r="P5394" s="2">
        <v>0.0</v>
      </c>
      <c r="Q5394" s="3">
        <f t="shared" si="7"/>
        <v>0</v>
      </c>
      <c r="R5394" s="2">
        <v>460.0</v>
      </c>
      <c r="S5394" s="5">
        <f t="shared" si="8"/>
        <v>1</v>
      </c>
    </row>
    <row r="5395">
      <c r="A5395" s="2" t="s">
        <v>5397</v>
      </c>
      <c r="B5395" s="2">
        <v>310.0</v>
      </c>
      <c r="C5395" s="2">
        <v>3625.0</v>
      </c>
      <c r="D5395" s="2">
        <v>1182.0</v>
      </c>
      <c r="E5395" s="3">
        <f t="shared" si="1"/>
        <v>0.356561086</v>
      </c>
      <c r="F5395" s="2">
        <v>403.0</v>
      </c>
      <c r="G5395" s="3">
        <f t="shared" si="2"/>
        <v>0.1215686275</v>
      </c>
      <c r="H5395" s="2">
        <v>688.0</v>
      </c>
      <c r="I5395" s="3">
        <f t="shared" si="3"/>
        <v>0.2075414781</v>
      </c>
      <c r="J5395" s="2">
        <v>462.0</v>
      </c>
      <c r="K5395" s="3">
        <f t="shared" si="4"/>
        <v>0.1393665158</v>
      </c>
      <c r="L5395" s="2">
        <v>399.0</v>
      </c>
      <c r="M5395" s="3">
        <f t="shared" si="5"/>
        <v>0.5799418605</v>
      </c>
      <c r="N5395" s="2">
        <v>3646000.0</v>
      </c>
      <c r="O5395" s="4">
        <f t="shared" si="6"/>
        <v>5299.418605</v>
      </c>
      <c r="P5395" s="2">
        <v>1.0</v>
      </c>
      <c r="Q5395" s="3">
        <f t="shared" si="7"/>
        <v>0.003225806452</v>
      </c>
      <c r="R5395" s="2">
        <v>310.0</v>
      </c>
      <c r="S5395" s="5">
        <f t="shared" si="8"/>
        <v>1</v>
      </c>
    </row>
    <row r="5396">
      <c r="A5396" s="2" t="s">
        <v>5398</v>
      </c>
      <c r="B5396" s="2">
        <v>533.0</v>
      </c>
      <c r="C5396" s="2">
        <v>6250.0</v>
      </c>
      <c r="D5396" s="2">
        <v>2027.0</v>
      </c>
      <c r="E5396" s="3">
        <f t="shared" si="1"/>
        <v>0.3545565856</v>
      </c>
      <c r="F5396" s="2">
        <v>695.0</v>
      </c>
      <c r="G5396" s="3">
        <f t="shared" si="2"/>
        <v>0.1215672556</v>
      </c>
      <c r="H5396" s="2">
        <v>1226.0</v>
      </c>
      <c r="I5396" s="3">
        <f t="shared" si="3"/>
        <v>0.2144481371</v>
      </c>
      <c r="J5396" s="2">
        <v>1041.0</v>
      </c>
      <c r="K5396" s="3">
        <f t="shared" si="4"/>
        <v>0.182088508</v>
      </c>
      <c r="L5396" s="2">
        <v>723.0</v>
      </c>
      <c r="M5396" s="3">
        <f t="shared" si="5"/>
        <v>0.5897226754</v>
      </c>
      <c r="N5396" s="2">
        <v>6670900.0</v>
      </c>
      <c r="O5396" s="4">
        <f t="shared" si="6"/>
        <v>5441.190865</v>
      </c>
      <c r="P5396" s="2">
        <v>0.0</v>
      </c>
      <c r="Q5396" s="3">
        <f t="shared" si="7"/>
        <v>0</v>
      </c>
      <c r="R5396" s="2">
        <v>531.0</v>
      </c>
      <c r="S5396" s="5">
        <f t="shared" si="8"/>
        <v>0.9962476548</v>
      </c>
    </row>
    <row r="5397">
      <c r="A5397" s="2" t="s">
        <v>5399</v>
      </c>
      <c r="B5397" s="2">
        <v>302.0</v>
      </c>
      <c r="C5397" s="2">
        <v>3535.0</v>
      </c>
      <c r="D5397" s="2">
        <v>1122.0</v>
      </c>
      <c r="E5397" s="3">
        <f t="shared" si="1"/>
        <v>0.3470460872</v>
      </c>
      <c r="F5397" s="2">
        <v>393.0</v>
      </c>
      <c r="G5397" s="3">
        <f t="shared" si="2"/>
        <v>0.1215589236</v>
      </c>
      <c r="H5397" s="2">
        <v>661.0</v>
      </c>
      <c r="I5397" s="3">
        <f t="shared" si="3"/>
        <v>0.2044540674</v>
      </c>
      <c r="J5397" s="2">
        <v>554.0</v>
      </c>
      <c r="K5397" s="3">
        <f t="shared" si="4"/>
        <v>0.1713578719</v>
      </c>
      <c r="L5397" s="2">
        <v>383.0</v>
      </c>
      <c r="M5397" s="3">
        <f t="shared" si="5"/>
        <v>0.5794251135</v>
      </c>
      <c r="N5397" s="2">
        <v>3699800.0</v>
      </c>
      <c r="O5397" s="4">
        <f t="shared" si="6"/>
        <v>5597.276853</v>
      </c>
      <c r="P5397" s="2">
        <v>1.0</v>
      </c>
      <c r="Q5397" s="3">
        <f t="shared" si="7"/>
        <v>0.003311258278</v>
      </c>
      <c r="R5397" s="2">
        <v>74.0</v>
      </c>
      <c r="S5397" s="5">
        <f t="shared" si="8"/>
        <v>0.2450331126</v>
      </c>
    </row>
    <row r="5398">
      <c r="A5398" s="2" t="s">
        <v>5400</v>
      </c>
      <c r="B5398" s="2">
        <v>411.0</v>
      </c>
      <c r="C5398" s="2">
        <v>4878.0</v>
      </c>
      <c r="D5398" s="2">
        <v>1753.0</v>
      </c>
      <c r="E5398" s="3">
        <f t="shared" si="1"/>
        <v>0.3924334005</v>
      </c>
      <c r="F5398" s="2">
        <v>543.0</v>
      </c>
      <c r="G5398" s="3">
        <f t="shared" si="2"/>
        <v>0.1215580927</v>
      </c>
      <c r="H5398" s="2">
        <v>934.0</v>
      </c>
      <c r="I5398" s="3">
        <f t="shared" si="3"/>
        <v>0.209088874</v>
      </c>
      <c r="J5398" s="2">
        <v>684.0</v>
      </c>
      <c r="K5398" s="3">
        <f t="shared" si="4"/>
        <v>0.1531229013</v>
      </c>
      <c r="L5398" s="2">
        <v>572.0</v>
      </c>
      <c r="M5398" s="3">
        <f t="shared" si="5"/>
        <v>0.6124197002</v>
      </c>
      <c r="N5398" s="2">
        <v>4963400.0</v>
      </c>
      <c r="O5398" s="4">
        <f t="shared" si="6"/>
        <v>5314.132762</v>
      </c>
      <c r="P5398" s="2">
        <v>0.0</v>
      </c>
      <c r="Q5398" s="3">
        <f t="shared" si="7"/>
        <v>0</v>
      </c>
      <c r="R5398" s="2">
        <v>411.0</v>
      </c>
      <c r="S5398" s="5">
        <f t="shared" si="8"/>
        <v>1</v>
      </c>
    </row>
    <row r="5399">
      <c r="A5399" s="2" t="s">
        <v>5401</v>
      </c>
      <c r="B5399" s="2">
        <v>17.0</v>
      </c>
      <c r="C5399" s="2">
        <v>198.0</v>
      </c>
      <c r="D5399" s="2">
        <v>45.0</v>
      </c>
      <c r="E5399" s="3">
        <f t="shared" si="1"/>
        <v>0.2486187845</v>
      </c>
      <c r="F5399" s="2">
        <v>22.0</v>
      </c>
      <c r="G5399" s="3">
        <f t="shared" si="2"/>
        <v>0.1215469613</v>
      </c>
      <c r="H5399" s="2">
        <v>30.0</v>
      </c>
      <c r="I5399" s="3">
        <f t="shared" si="3"/>
        <v>0.1657458564</v>
      </c>
      <c r="J5399" s="2">
        <v>39.0</v>
      </c>
      <c r="K5399" s="3">
        <f t="shared" si="4"/>
        <v>0.2154696133</v>
      </c>
      <c r="L5399" s="2">
        <v>17.0</v>
      </c>
      <c r="M5399" s="3">
        <f t="shared" si="5"/>
        <v>0.5666666667</v>
      </c>
      <c r="N5399" s="2">
        <v>173500.0</v>
      </c>
      <c r="O5399" s="4">
        <f t="shared" si="6"/>
        <v>5783.333333</v>
      </c>
      <c r="P5399" s="2">
        <v>0.0</v>
      </c>
      <c r="Q5399" s="3">
        <f t="shared" si="7"/>
        <v>0</v>
      </c>
      <c r="R5399" s="2">
        <v>17.0</v>
      </c>
      <c r="S5399" s="5">
        <f t="shared" si="8"/>
        <v>1</v>
      </c>
    </row>
    <row r="5400">
      <c r="A5400" s="2" t="s">
        <v>5402</v>
      </c>
      <c r="B5400" s="2">
        <v>237.0</v>
      </c>
      <c r="C5400" s="2">
        <v>2771.0</v>
      </c>
      <c r="D5400" s="2">
        <v>926.0</v>
      </c>
      <c r="E5400" s="3">
        <f t="shared" si="1"/>
        <v>0.36543015</v>
      </c>
      <c r="F5400" s="2">
        <v>308.0</v>
      </c>
      <c r="G5400" s="3">
        <f t="shared" si="2"/>
        <v>0.1215469613</v>
      </c>
      <c r="H5400" s="2">
        <v>545.0</v>
      </c>
      <c r="I5400" s="3">
        <f t="shared" si="3"/>
        <v>0.2150749803</v>
      </c>
      <c r="J5400" s="2">
        <v>473.0</v>
      </c>
      <c r="K5400" s="3">
        <f t="shared" si="4"/>
        <v>0.1866614049</v>
      </c>
      <c r="L5400" s="2">
        <v>336.0</v>
      </c>
      <c r="M5400" s="3">
        <f t="shared" si="5"/>
        <v>0.6165137615</v>
      </c>
      <c r="N5400" s="2">
        <v>3171300.0</v>
      </c>
      <c r="O5400" s="4">
        <f t="shared" si="6"/>
        <v>5818.899083</v>
      </c>
      <c r="P5400" s="2">
        <v>0.0</v>
      </c>
      <c r="Q5400" s="3">
        <f t="shared" si="7"/>
        <v>0</v>
      </c>
      <c r="R5400" s="2">
        <v>237.0</v>
      </c>
      <c r="S5400" s="5">
        <f t="shared" si="8"/>
        <v>1</v>
      </c>
    </row>
    <row r="5401">
      <c r="A5401" s="2" t="s">
        <v>5403</v>
      </c>
      <c r="B5401" s="2">
        <v>48.0</v>
      </c>
      <c r="C5401" s="2">
        <v>591.0</v>
      </c>
      <c r="D5401" s="2">
        <v>159.0</v>
      </c>
      <c r="E5401" s="3">
        <f t="shared" si="1"/>
        <v>0.2928176796</v>
      </c>
      <c r="F5401" s="2">
        <v>66.0</v>
      </c>
      <c r="G5401" s="3">
        <f t="shared" si="2"/>
        <v>0.1215469613</v>
      </c>
      <c r="H5401" s="2">
        <v>93.0</v>
      </c>
      <c r="I5401" s="3">
        <f t="shared" si="3"/>
        <v>0.1712707182</v>
      </c>
      <c r="J5401" s="2">
        <v>80.0</v>
      </c>
      <c r="K5401" s="3">
        <f t="shared" si="4"/>
        <v>0.1473296501</v>
      </c>
      <c r="L5401" s="2">
        <v>57.0</v>
      </c>
      <c r="M5401" s="3">
        <f t="shared" si="5"/>
        <v>0.6129032258</v>
      </c>
      <c r="N5401" s="2">
        <v>538200.0</v>
      </c>
      <c r="O5401" s="4">
        <f t="shared" si="6"/>
        <v>5787.096774</v>
      </c>
      <c r="P5401" s="2">
        <v>0.0</v>
      </c>
      <c r="Q5401" s="3">
        <f t="shared" si="7"/>
        <v>0</v>
      </c>
      <c r="R5401" s="2">
        <v>48.0</v>
      </c>
      <c r="S5401" s="5">
        <f t="shared" si="8"/>
        <v>1</v>
      </c>
    </row>
    <row r="5402">
      <c r="A5402" s="2" t="s">
        <v>5404</v>
      </c>
      <c r="B5402" s="2">
        <v>499.0</v>
      </c>
      <c r="C5402" s="2">
        <v>5814.0</v>
      </c>
      <c r="D5402" s="2">
        <v>2056.0</v>
      </c>
      <c r="E5402" s="3">
        <f t="shared" si="1"/>
        <v>0.3868297272</v>
      </c>
      <c r="F5402" s="2">
        <v>646.0</v>
      </c>
      <c r="G5402" s="3">
        <f t="shared" si="2"/>
        <v>0.1215428034</v>
      </c>
      <c r="H5402" s="2">
        <v>1090.0</v>
      </c>
      <c r="I5402" s="3">
        <f t="shared" si="3"/>
        <v>0.2050799624</v>
      </c>
      <c r="J5402" s="2">
        <v>796.0</v>
      </c>
      <c r="K5402" s="3">
        <f t="shared" si="4"/>
        <v>0.1497648166</v>
      </c>
      <c r="L5402" s="2">
        <v>654.0</v>
      </c>
      <c r="M5402" s="3">
        <f t="shared" si="5"/>
        <v>0.6</v>
      </c>
      <c r="N5402" s="2">
        <v>6006900.0</v>
      </c>
      <c r="O5402" s="4">
        <f t="shared" si="6"/>
        <v>5510.917431</v>
      </c>
      <c r="P5402" s="2">
        <v>1.0</v>
      </c>
      <c r="Q5402" s="3">
        <f t="shared" si="7"/>
        <v>0.002004008016</v>
      </c>
      <c r="R5402" s="2">
        <v>499.0</v>
      </c>
      <c r="S5402" s="5">
        <f t="shared" si="8"/>
        <v>1</v>
      </c>
    </row>
    <row r="5403">
      <c r="A5403" s="2" t="s">
        <v>5405</v>
      </c>
      <c r="B5403" s="2">
        <v>709.0</v>
      </c>
      <c r="C5403" s="2">
        <v>8229.0</v>
      </c>
      <c r="D5403" s="2">
        <v>2152.0</v>
      </c>
      <c r="E5403" s="3">
        <f t="shared" si="1"/>
        <v>0.2861702128</v>
      </c>
      <c r="F5403" s="2">
        <v>914.0</v>
      </c>
      <c r="G5403" s="3">
        <f t="shared" si="2"/>
        <v>0.1215425532</v>
      </c>
      <c r="H5403" s="2">
        <v>1507.0</v>
      </c>
      <c r="I5403" s="3">
        <f t="shared" si="3"/>
        <v>0.2003989362</v>
      </c>
      <c r="J5403" s="2">
        <v>1490.0</v>
      </c>
      <c r="K5403" s="3">
        <f t="shared" si="4"/>
        <v>0.1981382979</v>
      </c>
      <c r="L5403" s="2">
        <v>891.0</v>
      </c>
      <c r="M5403" s="3">
        <f t="shared" si="5"/>
        <v>0.5912408759</v>
      </c>
      <c r="N5403" s="2">
        <v>9414500.0</v>
      </c>
      <c r="O5403" s="4">
        <f t="shared" si="6"/>
        <v>6247.179827</v>
      </c>
      <c r="P5403" s="2">
        <v>0.0</v>
      </c>
      <c r="Q5403" s="3">
        <f t="shared" si="7"/>
        <v>0</v>
      </c>
      <c r="R5403" s="2">
        <v>0.0</v>
      </c>
      <c r="S5403" s="5">
        <f t="shared" si="8"/>
        <v>0</v>
      </c>
    </row>
    <row r="5404">
      <c r="A5404" s="2" t="s">
        <v>5406</v>
      </c>
      <c r="B5404" s="2">
        <v>277.0</v>
      </c>
      <c r="C5404" s="2">
        <v>3412.0</v>
      </c>
      <c r="D5404" s="2">
        <v>968.0</v>
      </c>
      <c r="E5404" s="3">
        <f t="shared" si="1"/>
        <v>0.3087719298</v>
      </c>
      <c r="F5404" s="2">
        <v>381.0</v>
      </c>
      <c r="G5404" s="3">
        <f t="shared" si="2"/>
        <v>0.1215311005</v>
      </c>
      <c r="H5404" s="2">
        <v>594.0</v>
      </c>
      <c r="I5404" s="3">
        <f t="shared" si="3"/>
        <v>0.1894736842</v>
      </c>
      <c r="J5404" s="2">
        <v>463.0</v>
      </c>
      <c r="K5404" s="3">
        <f t="shared" si="4"/>
        <v>0.1476874003</v>
      </c>
      <c r="L5404" s="2">
        <v>340.0</v>
      </c>
      <c r="M5404" s="3">
        <f t="shared" si="5"/>
        <v>0.5723905724</v>
      </c>
      <c r="N5404" s="2">
        <v>3317000.0</v>
      </c>
      <c r="O5404" s="4">
        <f t="shared" si="6"/>
        <v>5584.175084</v>
      </c>
      <c r="P5404" s="2">
        <v>1.0</v>
      </c>
      <c r="Q5404" s="3">
        <f t="shared" si="7"/>
        <v>0.003610108303</v>
      </c>
      <c r="R5404" s="2">
        <v>277.0</v>
      </c>
      <c r="S5404" s="5">
        <f t="shared" si="8"/>
        <v>1</v>
      </c>
    </row>
    <row r="5405">
      <c r="A5405" s="2" t="s">
        <v>5407</v>
      </c>
      <c r="B5405" s="2">
        <v>37.0</v>
      </c>
      <c r="C5405" s="2">
        <v>432.0</v>
      </c>
      <c r="D5405" s="2">
        <v>115.0</v>
      </c>
      <c r="E5405" s="3">
        <f t="shared" si="1"/>
        <v>0.2911392405</v>
      </c>
      <c r="F5405" s="2">
        <v>48.0</v>
      </c>
      <c r="G5405" s="3">
        <f t="shared" si="2"/>
        <v>0.1215189873</v>
      </c>
      <c r="H5405" s="2">
        <v>81.0</v>
      </c>
      <c r="I5405" s="3">
        <f t="shared" si="3"/>
        <v>0.2050632911</v>
      </c>
      <c r="J5405" s="2">
        <v>58.0</v>
      </c>
      <c r="K5405" s="3">
        <f t="shared" si="4"/>
        <v>0.146835443</v>
      </c>
      <c r="L5405" s="2">
        <v>47.0</v>
      </c>
      <c r="M5405" s="3">
        <f t="shared" si="5"/>
        <v>0.5802469136</v>
      </c>
      <c r="N5405" s="2">
        <v>486900.0</v>
      </c>
      <c r="O5405" s="4">
        <f t="shared" si="6"/>
        <v>6011.111111</v>
      </c>
      <c r="P5405" s="2">
        <v>1.0</v>
      </c>
      <c r="Q5405" s="3">
        <f t="shared" si="7"/>
        <v>0.02702702703</v>
      </c>
      <c r="R5405" s="2">
        <v>37.0</v>
      </c>
      <c r="S5405" s="5">
        <f t="shared" si="8"/>
        <v>1</v>
      </c>
    </row>
    <row r="5406">
      <c r="A5406" s="2" t="s">
        <v>5408</v>
      </c>
      <c r="B5406" s="2">
        <v>2209.0</v>
      </c>
      <c r="C5406" s="2">
        <v>25753.0</v>
      </c>
      <c r="D5406" s="2">
        <v>7374.0</v>
      </c>
      <c r="E5406" s="3">
        <f t="shared" si="1"/>
        <v>0.3132008155</v>
      </c>
      <c r="F5406" s="2">
        <v>2861.0</v>
      </c>
      <c r="G5406" s="3">
        <f t="shared" si="2"/>
        <v>0.1215171594</v>
      </c>
      <c r="H5406" s="2">
        <v>4856.0</v>
      </c>
      <c r="I5406" s="3">
        <f t="shared" si="3"/>
        <v>0.2062521237</v>
      </c>
      <c r="J5406" s="2">
        <v>3746.0</v>
      </c>
      <c r="K5406" s="3">
        <f t="shared" si="4"/>
        <v>0.1591063541</v>
      </c>
      <c r="L5406" s="2">
        <v>2911.0</v>
      </c>
      <c r="M5406" s="3">
        <f t="shared" si="5"/>
        <v>0.5994645799</v>
      </c>
      <c r="N5406" s="2">
        <v>2.73461E7</v>
      </c>
      <c r="O5406" s="4">
        <f t="shared" si="6"/>
        <v>5631.404448</v>
      </c>
      <c r="P5406" s="2">
        <v>8.0</v>
      </c>
      <c r="Q5406" s="3">
        <f t="shared" si="7"/>
        <v>0.003621548212</v>
      </c>
      <c r="R5406" s="2">
        <v>2209.0</v>
      </c>
      <c r="S5406" s="5">
        <f t="shared" si="8"/>
        <v>1</v>
      </c>
    </row>
    <row r="5407">
      <c r="A5407" s="2" t="s">
        <v>5409</v>
      </c>
      <c r="B5407" s="2">
        <v>531.0</v>
      </c>
      <c r="C5407" s="2">
        <v>6325.0</v>
      </c>
      <c r="D5407" s="2">
        <v>2064.0</v>
      </c>
      <c r="E5407" s="3">
        <f t="shared" si="1"/>
        <v>0.3562305834</v>
      </c>
      <c r="F5407" s="2">
        <v>704.0</v>
      </c>
      <c r="G5407" s="3">
        <f t="shared" si="2"/>
        <v>0.1215050052</v>
      </c>
      <c r="H5407" s="2">
        <v>1257.0</v>
      </c>
      <c r="I5407" s="3">
        <f t="shared" si="3"/>
        <v>0.2169485675</v>
      </c>
      <c r="J5407" s="2">
        <v>1025.0</v>
      </c>
      <c r="K5407" s="3">
        <f t="shared" si="4"/>
        <v>0.1769071453</v>
      </c>
      <c r="L5407" s="2">
        <v>785.0</v>
      </c>
      <c r="M5407" s="3">
        <f t="shared" si="5"/>
        <v>0.6245027844</v>
      </c>
      <c r="N5407" s="2">
        <v>6792900.0</v>
      </c>
      <c r="O5407" s="4">
        <f t="shared" si="6"/>
        <v>5404.057279</v>
      </c>
      <c r="P5407" s="2">
        <v>1.0</v>
      </c>
      <c r="Q5407" s="3">
        <f t="shared" si="7"/>
        <v>0.001883239171</v>
      </c>
      <c r="R5407" s="2">
        <v>312.0</v>
      </c>
      <c r="S5407" s="5">
        <f t="shared" si="8"/>
        <v>0.5875706215</v>
      </c>
    </row>
    <row r="5408">
      <c r="A5408" s="2" t="s">
        <v>5410</v>
      </c>
      <c r="B5408" s="2">
        <v>897.0</v>
      </c>
      <c r="C5408" s="2">
        <v>10551.0</v>
      </c>
      <c r="D5408" s="2">
        <v>3738.0</v>
      </c>
      <c r="E5408" s="3">
        <f t="shared" si="1"/>
        <v>0.3871970168</v>
      </c>
      <c r="F5408" s="2">
        <v>1173.0</v>
      </c>
      <c r="G5408" s="3">
        <f t="shared" si="2"/>
        <v>0.1215040398</v>
      </c>
      <c r="H5408" s="2">
        <v>2069.0</v>
      </c>
      <c r="I5408" s="3">
        <f t="shared" si="3"/>
        <v>0.2143153097</v>
      </c>
      <c r="J5408" s="2">
        <v>1765.0</v>
      </c>
      <c r="K5408" s="3">
        <f t="shared" si="4"/>
        <v>0.1828257717</v>
      </c>
      <c r="L5408" s="2">
        <v>1184.0</v>
      </c>
      <c r="M5408" s="3">
        <f t="shared" si="5"/>
        <v>0.572257129</v>
      </c>
      <c r="N5408" s="2">
        <v>1.14902E7</v>
      </c>
      <c r="O5408" s="4">
        <f t="shared" si="6"/>
        <v>5553.504108</v>
      </c>
      <c r="P5408" s="2">
        <v>1.0</v>
      </c>
      <c r="Q5408" s="3">
        <f t="shared" si="7"/>
        <v>0.001114827202</v>
      </c>
      <c r="R5408" s="2">
        <v>897.0</v>
      </c>
      <c r="S5408" s="5">
        <f t="shared" si="8"/>
        <v>1</v>
      </c>
    </row>
    <row r="5409">
      <c r="A5409" s="2" t="s">
        <v>5411</v>
      </c>
      <c r="B5409" s="2">
        <v>6809.0</v>
      </c>
      <c r="C5409" s="2">
        <v>80175.0</v>
      </c>
      <c r="D5409" s="2">
        <v>27492.0</v>
      </c>
      <c r="E5409" s="3">
        <f t="shared" si="1"/>
        <v>0.3747239866</v>
      </c>
      <c r="F5409" s="2">
        <v>8914.0</v>
      </c>
      <c r="G5409" s="3">
        <f t="shared" si="2"/>
        <v>0.1215004225</v>
      </c>
      <c r="H5409" s="2">
        <v>15994.0</v>
      </c>
      <c r="I5409" s="3">
        <f t="shared" si="3"/>
        <v>0.2180028896</v>
      </c>
      <c r="J5409" s="2">
        <v>11759.0</v>
      </c>
      <c r="K5409" s="3">
        <f t="shared" si="4"/>
        <v>0.1602786032</v>
      </c>
      <c r="L5409" s="2">
        <v>9465.0</v>
      </c>
      <c r="M5409" s="3">
        <f t="shared" si="5"/>
        <v>0.5917844192</v>
      </c>
      <c r="N5409" s="2">
        <v>8.57817E7</v>
      </c>
      <c r="O5409" s="4">
        <f t="shared" si="6"/>
        <v>5363.367513</v>
      </c>
      <c r="P5409" s="2">
        <v>10.0</v>
      </c>
      <c r="Q5409" s="3">
        <f t="shared" si="7"/>
        <v>0.001468644441</v>
      </c>
      <c r="R5409" s="2">
        <v>6809.0</v>
      </c>
      <c r="S5409" s="5">
        <f t="shared" si="8"/>
        <v>1</v>
      </c>
    </row>
    <row r="5410">
      <c r="A5410" s="2" t="s">
        <v>5412</v>
      </c>
      <c r="B5410" s="2">
        <v>198.0</v>
      </c>
      <c r="C5410" s="2">
        <v>2305.0</v>
      </c>
      <c r="D5410" s="2">
        <v>657.0</v>
      </c>
      <c r="E5410" s="3">
        <f t="shared" si="1"/>
        <v>0.3118177504</v>
      </c>
      <c r="F5410" s="2">
        <v>256.0</v>
      </c>
      <c r="G5410" s="3">
        <f t="shared" si="2"/>
        <v>0.1214997627</v>
      </c>
      <c r="H5410" s="2">
        <v>457.0</v>
      </c>
      <c r="I5410" s="3">
        <f t="shared" si="3"/>
        <v>0.2168960607</v>
      </c>
      <c r="J5410" s="2">
        <v>362.0</v>
      </c>
      <c r="K5410" s="3">
        <f t="shared" si="4"/>
        <v>0.1718082582</v>
      </c>
      <c r="L5410" s="2">
        <v>294.0</v>
      </c>
      <c r="M5410" s="3">
        <f t="shared" si="5"/>
        <v>0.6433260394</v>
      </c>
      <c r="N5410" s="2">
        <v>2427400.0</v>
      </c>
      <c r="O5410" s="4">
        <f t="shared" si="6"/>
        <v>5311.597374</v>
      </c>
      <c r="P5410" s="2">
        <v>0.0</v>
      </c>
      <c r="Q5410" s="3">
        <f t="shared" si="7"/>
        <v>0</v>
      </c>
      <c r="R5410" s="2">
        <v>198.0</v>
      </c>
      <c r="S5410" s="5">
        <f t="shared" si="8"/>
        <v>1</v>
      </c>
    </row>
    <row r="5411">
      <c r="A5411" s="2" t="s">
        <v>5413</v>
      </c>
      <c r="B5411" s="2">
        <v>7736.0</v>
      </c>
      <c r="C5411" s="2">
        <v>90710.0</v>
      </c>
      <c r="D5411" s="2">
        <v>27461.0</v>
      </c>
      <c r="E5411" s="3">
        <f t="shared" si="1"/>
        <v>0.3309590956</v>
      </c>
      <c r="F5411" s="2">
        <v>10081.0</v>
      </c>
      <c r="G5411" s="3">
        <f t="shared" si="2"/>
        <v>0.1214958903</v>
      </c>
      <c r="H5411" s="2">
        <v>18235.0</v>
      </c>
      <c r="I5411" s="3">
        <f t="shared" si="3"/>
        <v>0.2197676381</v>
      </c>
      <c r="J5411" s="2">
        <v>13493.0</v>
      </c>
      <c r="K5411" s="3">
        <f t="shared" si="4"/>
        <v>0.1626172054</v>
      </c>
      <c r="L5411" s="2">
        <v>11020.0</v>
      </c>
      <c r="M5411" s="3">
        <f t="shared" si="5"/>
        <v>0.6043323279</v>
      </c>
      <c r="N5411" s="2">
        <v>1.02526E8</v>
      </c>
      <c r="O5411" s="4">
        <f t="shared" si="6"/>
        <v>5622.484234</v>
      </c>
      <c r="P5411" s="2">
        <v>24.0</v>
      </c>
      <c r="Q5411" s="3">
        <f t="shared" si="7"/>
        <v>0.00310237849</v>
      </c>
      <c r="R5411" s="2">
        <v>7400.0</v>
      </c>
      <c r="S5411" s="5">
        <f t="shared" si="8"/>
        <v>0.9565667011</v>
      </c>
    </row>
    <row r="5412">
      <c r="A5412" s="2" t="s">
        <v>5414</v>
      </c>
      <c r="B5412" s="2">
        <v>449.0</v>
      </c>
      <c r="C5412" s="2">
        <v>5264.0</v>
      </c>
      <c r="D5412" s="2">
        <v>1316.0</v>
      </c>
      <c r="E5412" s="3">
        <f t="shared" si="1"/>
        <v>0.2733125649</v>
      </c>
      <c r="F5412" s="2">
        <v>585.0</v>
      </c>
      <c r="G5412" s="3">
        <f t="shared" si="2"/>
        <v>0.1214953271</v>
      </c>
      <c r="H5412" s="2">
        <v>970.0</v>
      </c>
      <c r="I5412" s="3">
        <f t="shared" si="3"/>
        <v>0.2014537902</v>
      </c>
      <c r="J5412" s="2">
        <v>813.0</v>
      </c>
      <c r="K5412" s="3">
        <f t="shared" si="4"/>
        <v>0.168847352</v>
      </c>
      <c r="L5412" s="2">
        <v>570.0</v>
      </c>
      <c r="M5412" s="3">
        <f t="shared" si="5"/>
        <v>0.587628866</v>
      </c>
      <c r="N5412" s="2">
        <v>5605100.0</v>
      </c>
      <c r="O5412" s="4">
        <f t="shared" si="6"/>
        <v>5778.453608</v>
      </c>
      <c r="P5412" s="2">
        <v>1.0</v>
      </c>
      <c r="Q5412" s="3">
        <f t="shared" si="7"/>
        <v>0.002227171492</v>
      </c>
      <c r="R5412" s="2">
        <v>449.0</v>
      </c>
      <c r="S5412" s="5">
        <f t="shared" si="8"/>
        <v>1</v>
      </c>
    </row>
    <row r="5413">
      <c r="A5413" s="2" t="s">
        <v>5415</v>
      </c>
      <c r="B5413" s="2">
        <v>639.0</v>
      </c>
      <c r="C5413" s="2">
        <v>7331.0</v>
      </c>
      <c r="D5413" s="2">
        <v>2434.0</v>
      </c>
      <c r="E5413" s="3">
        <f t="shared" si="1"/>
        <v>0.3637178721</v>
      </c>
      <c r="F5413" s="2">
        <v>813.0</v>
      </c>
      <c r="G5413" s="3">
        <f t="shared" si="2"/>
        <v>0.1214883443</v>
      </c>
      <c r="H5413" s="2">
        <v>1400.0</v>
      </c>
      <c r="I5413" s="3">
        <f t="shared" si="3"/>
        <v>0.2092050209</v>
      </c>
      <c r="J5413" s="2">
        <v>1047.0</v>
      </c>
      <c r="K5413" s="3">
        <f t="shared" si="4"/>
        <v>0.1564554692</v>
      </c>
      <c r="L5413" s="2">
        <v>836.0</v>
      </c>
      <c r="M5413" s="3">
        <f t="shared" si="5"/>
        <v>0.5971428571</v>
      </c>
      <c r="N5413" s="2">
        <v>7645100.0</v>
      </c>
      <c r="O5413" s="4">
        <f t="shared" si="6"/>
        <v>5460.785714</v>
      </c>
      <c r="P5413" s="2">
        <v>6.0</v>
      </c>
      <c r="Q5413" s="3">
        <f t="shared" si="7"/>
        <v>0.009389671362</v>
      </c>
      <c r="R5413" s="2">
        <v>188.0</v>
      </c>
      <c r="S5413" s="5">
        <f t="shared" si="8"/>
        <v>0.2942097027</v>
      </c>
    </row>
    <row r="5414">
      <c r="A5414" s="2" t="s">
        <v>5416</v>
      </c>
      <c r="B5414" s="2">
        <v>878.0</v>
      </c>
      <c r="C5414" s="2">
        <v>10369.0</v>
      </c>
      <c r="D5414" s="2">
        <v>3201.0</v>
      </c>
      <c r="E5414" s="3">
        <f t="shared" si="1"/>
        <v>0.3372668844</v>
      </c>
      <c r="F5414" s="2">
        <v>1153.0</v>
      </c>
      <c r="G5414" s="3">
        <f t="shared" si="2"/>
        <v>0.1214835107</v>
      </c>
      <c r="H5414" s="2">
        <v>1993.0</v>
      </c>
      <c r="I5414" s="3">
        <f t="shared" si="3"/>
        <v>0.2099884101</v>
      </c>
      <c r="J5414" s="2">
        <v>1745.0</v>
      </c>
      <c r="K5414" s="3">
        <f t="shared" si="4"/>
        <v>0.1838583922</v>
      </c>
      <c r="L5414" s="2">
        <v>1195.0</v>
      </c>
      <c r="M5414" s="3">
        <f t="shared" si="5"/>
        <v>0.5995985951</v>
      </c>
      <c r="N5414" s="2">
        <v>1.07313E7</v>
      </c>
      <c r="O5414" s="4">
        <f t="shared" si="6"/>
        <v>5384.495735</v>
      </c>
      <c r="P5414" s="2">
        <v>1.0</v>
      </c>
      <c r="Q5414" s="3">
        <f t="shared" si="7"/>
        <v>0.001138952164</v>
      </c>
      <c r="R5414" s="2">
        <v>878.0</v>
      </c>
      <c r="S5414" s="5">
        <f t="shared" si="8"/>
        <v>1</v>
      </c>
    </row>
    <row r="5415">
      <c r="A5415" s="2" t="s">
        <v>5417</v>
      </c>
      <c r="B5415" s="2">
        <v>2034.0</v>
      </c>
      <c r="C5415" s="2">
        <v>23834.0</v>
      </c>
      <c r="D5415" s="2">
        <v>7246.0</v>
      </c>
      <c r="E5415" s="3">
        <f t="shared" si="1"/>
        <v>0.3323853211</v>
      </c>
      <c r="F5415" s="2">
        <v>2648.0</v>
      </c>
      <c r="G5415" s="3">
        <f t="shared" si="2"/>
        <v>0.1214678899</v>
      </c>
      <c r="H5415" s="2">
        <v>4596.0</v>
      </c>
      <c r="I5415" s="3">
        <f t="shared" si="3"/>
        <v>0.2108256881</v>
      </c>
      <c r="J5415" s="2">
        <v>3607.0</v>
      </c>
      <c r="K5415" s="3">
        <f t="shared" si="4"/>
        <v>0.1654587156</v>
      </c>
      <c r="L5415" s="2">
        <v>2752.0</v>
      </c>
      <c r="M5415" s="3">
        <f t="shared" si="5"/>
        <v>0.5987815492</v>
      </c>
      <c r="N5415" s="2">
        <v>2.66846E7</v>
      </c>
      <c r="O5415" s="4">
        <f t="shared" si="6"/>
        <v>5806.048738</v>
      </c>
      <c r="P5415" s="2">
        <v>6.0</v>
      </c>
      <c r="Q5415" s="3">
        <f t="shared" si="7"/>
        <v>0.002949852507</v>
      </c>
      <c r="R5415" s="2">
        <v>2034.0</v>
      </c>
      <c r="S5415" s="5">
        <f t="shared" si="8"/>
        <v>1</v>
      </c>
    </row>
    <row r="5416">
      <c r="A5416" s="2" t="s">
        <v>5418</v>
      </c>
      <c r="B5416" s="2">
        <v>158.0</v>
      </c>
      <c r="C5416" s="2">
        <v>1854.0</v>
      </c>
      <c r="D5416" s="2">
        <v>630.0</v>
      </c>
      <c r="E5416" s="3">
        <f t="shared" si="1"/>
        <v>0.3714622642</v>
      </c>
      <c r="F5416" s="2">
        <v>206.0</v>
      </c>
      <c r="G5416" s="3">
        <f t="shared" si="2"/>
        <v>0.1214622642</v>
      </c>
      <c r="H5416" s="2">
        <v>362.0</v>
      </c>
      <c r="I5416" s="3">
        <f t="shared" si="3"/>
        <v>0.2134433962</v>
      </c>
      <c r="J5416" s="2">
        <v>270.0</v>
      </c>
      <c r="K5416" s="3">
        <f t="shared" si="4"/>
        <v>0.1591981132</v>
      </c>
      <c r="L5416" s="2">
        <v>234.0</v>
      </c>
      <c r="M5416" s="3">
        <f t="shared" si="5"/>
        <v>0.6464088398</v>
      </c>
      <c r="N5416" s="2">
        <v>2082700.0</v>
      </c>
      <c r="O5416" s="4">
        <f t="shared" si="6"/>
        <v>5753.314917</v>
      </c>
      <c r="P5416" s="2">
        <v>0.0</v>
      </c>
      <c r="Q5416" s="3">
        <f t="shared" si="7"/>
        <v>0</v>
      </c>
      <c r="R5416" s="2">
        <v>158.0</v>
      </c>
      <c r="S5416" s="5">
        <f t="shared" si="8"/>
        <v>1</v>
      </c>
    </row>
    <row r="5417">
      <c r="A5417" s="2" t="s">
        <v>5419</v>
      </c>
      <c r="B5417" s="2">
        <v>990.0</v>
      </c>
      <c r="C5417" s="2">
        <v>11645.0</v>
      </c>
      <c r="D5417" s="2">
        <v>2731.0</v>
      </c>
      <c r="E5417" s="3">
        <f t="shared" si="1"/>
        <v>0.2563115908</v>
      </c>
      <c r="F5417" s="2">
        <v>1294.0</v>
      </c>
      <c r="G5417" s="3">
        <f t="shared" si="2"/>
        <v>0.1214453308</v>
      </c>
      <c r="H5417" s="2">
        <v>2206.0</v>
      </c>
      <c r="I5417" s="3">
        <f t="shared" si="3"/>
        <v>0.2070389489</v>
      </c>
      <c r="J5417" s="2">
        <v>1908.0</v>
      </c>
      <c r="K5417" s="3">
        <f t="shared" si="4"/>
        <v>0.1790708588</v>
      </c>
      <c r="L5417" s="2">
        <v>1281.0</v>
      </c>
      <c r="M5417" s="3">
        <f t="shared" si="5"/>
        <v>0.5806890299</v>
      </c>
      <c r="N5417" s="2">
        <v>1.30721E7</v>
      </c>
      <c r="O5417" s="4">
        <f t="shared" si="6"/>
        <v>5925.702629</v>
      </c>
      <c r="P5417" s="2">
        <v>2.0</v>
      </c>
      <c r="Q5417" s="3">
        <f t="shared" si="7"/>
        <v>0.00202020202</v>
      </c>
      <c r="R5417" s="2">
        <v>990.0</v>
      </c>
      <c r="S5417" s="5">
        <f t="shared" si="8"/>
        <v>1</v>
      </c>
    </row>
    <row r="5418">
      <c r="A5418" s="2" t="s">
        <v>5420</v>
      </c>
      <c r="B5418" s="2">
        <v>4716.0</v>
      </c>
      <c r="C5418" s="2">
        <v>55558.0</v>
      </c>
      <c r="D5418" s="2">
        <v>20112.0</v>
      </c>
      <c r="E5418" s="3">
        <f t="shared" si="1"/>
        <v>0.3955784588</v>
      </c>
      <c r="F5418" s="2">
        <v>6174.0</v>
      </c>
      <c r="G5418" s="3">
        <f t="shared" si="2"/>
        <v>0.121435034</v>
      </c>
      <c r="H5418" s="2">
        <v>11004.0</v>
      </c>
      <c r="I5418" s="3">
        <f t="shared" si="3"/>
        <v>0.2164352307</v>
      </c>
      <c r="J5418" s="2">
        <v>8103.0</v>
      </c>
      <c r="K5418" s="3">
        <f t="shared" si="4"/>
        <v>0.1593761064</v>
      </c>
      <c r="L5418" s="2">
        <v>6606.0</v>
      </c>
      <c r="M5418" s="3">
        <f t="shared" si="5"/>
        <v>0.6003271538</v>
      </c>
      <c r="N5418" s="2">
        <v>5.89327E7</v>
      </c>
      <c r="O5418" s="4">
        <f t="shared" si="6"/>
        <v>5355.570702</v>
      </c>
      <c r="P5418" s="2">
        <v>9.0</v>
      </c>
      <c r="Q5418" s="3">
        <f t="shared" si="7"/>
        <v>0.001908396947</v>
      </c>
      <c r="R5418" s="2">
        <v>0.0</v>
      </c>
      <c r="S5418" s="5">
        <f t="shared" si="8"/>
        <v>0</v>
      </c>
    </row>
    <row r="5419">
      <c r="A5419" s="2" t="s">
        <v>5421</v>
      </c>
      <c r="B5419" s="2">
        <v>659.0</v>
      </c>
      <c r="C5419" s="2">
        <v>7700.0</v>
      </c>
      <c r="D5419" s="2">
        <v>2824.0</v>
      </c>
      <c r="E5419" s="3">
        <f t="shared" si="1"/>
        <v>0.4010793921</v>
      </c>
      <c r="F5419" s="2">
        <v>855.0</v>
      </c>
      <c r="G5419" s="3">
        <f t="shared" si="2"/>
        <v>0.1214316148</v>
      </c>
      <c r="H5419" s="2">
        <v>1534.0</v>
      </c>
      <c r="I5419" s="3">
        <f t="shared" si="3"/>
        <v>0.2178667803</v>
      </c>
      <c r="J5419" s="2">
        <v>942.0</v>
      </c>
      <c r="K5419" s="3">
        <f t="shared" si="4"/>
        <v>0.1337878142</v>
      </c>
      <c r="L5419" s="2">
        <v>922.0</v>
      </c>
      <c r="M5419" s="3">
        <f t="shared" si="5"/>
        <v>0.6010430248</v>
      </c>
      <c r="N5419" s="2">
        <v>8143600.0</v>
      </c>
      <c r="O5419" s="4">
        <f t="shared" si="6"/>
        <v>5308.735332</v>
      </c>
      <c r="P5419" s="2">
        <v>0.0</v>
      </c>
      <c r="Q5419" s="3">
        <f t="shared" si="7"/>
        <v>0</v>
      </c>
      <c r="R5419" s="2">
        <v>659.0</v>
      </c>
      <c r="S5419" s="5">
        <f t="shared" si="8"/>
        <v>1</v>
      </c>
    </row>
    <row r="5420">
      <c r="A5420" s="2" t="s">
        <v>5422</v>
      </c>
      <c r="B5420" s="2">
        <v>14.0</v>
      </c>
      <c r="C5420" s="2">
        <v>154.0</v>
      </c>
      <c r="D5420" s="2">
        <v>40.0</v>
      </c>
      <c r="E5420" s="3">
        <f t="shared" si="1"/>
        <v>0.2857142857</v>
      </c>
      <c r="F5420" s="2">
        <v>17.0</v>
      </c>
      <c r="G5420" s="3">
        <f t="shared" si="2"/>
        <v>0.1214285714</v>
      </c>
      <c r="H5420" s="2">
        <v>32.0</v>
      </c>
      <c r="I5420" s="3">
        <f t="shared" si="3"/>
        <v>0.2285714286</v>
      </c>
      <c r="J5420" s="2">
        <v>24.0</v>
      </c>
      <c r="K5420" s="3">
        <f t="shared" si="4"/>
        <v>0.1714285714</v>
      </c>
      <c r="L5420" s="2">
        <v>21.0</v>
      </c>
      <c r="M5420" s="3">
        <f t="shared" si="5"/>
        <v>0.65625</v>
      </c>
      <c r="N5420" s="2">
        <v>195100.0</v>
      </c>
      <c r="O5420" s="4">
        <f t="shared" si="6"/>
        <v>6096.875</v>
      </c>
      <c r="P5420" s="2">
        <v>0.0</v>
      </c>
      <c r="Q5420" s="3">
        <f t="shared" si="7"/>
        <v>0</v>
      </c>
      <c r="R5420" s="2">
        <v>14.0</v>
      </c>
      <c r="S5420" s="5">
        <f t="shared" si="8"/>
        <v>1</v>
      </c>
    </row>
    <row r="5421">
      <c r="A5421" s="2" t="s">
        <v>5423</v>
      </c>
      <c r="B5421" s="2">
        <v>25.0</v>
      </c>
      <c r="C5421" s="2">
        <v>305.0</v>
      </c>
      <c r="D5421" s="2">
        <v>97.0</v>
      </c>
      <c r="E5421" s="3">
        <f t="shared" si="1"/>
        <v>0.3464285714</v>
      </c>
      <c r="F5421" s="2">
        <v>34.0</v>
      </c>
      <c r="G5421" s="3">
        <f t="shared" si="2"/>
        <v>0.1214285714</v>
      </c>
      <c r="H5421" s="2">
        <v>49.0</v>
      </c>
      <c r="I5421" s="3">
        <f t="shared" si="3"/>
        <v>0.175</v>
      </c>
      <c r="J5421" s="2">
        <v>43.0</v>
      </c>
      <c r="K5421" s="3">
        <f t="shared" si="4"/>
        <v>0.1535714286</v>
      </c>
      <c r="L5421" s="2">
        <v>29.0</v>
      </c>
      <c r="M5421" s="3">
        <f t="shared" si="5"/>
        <v>0.5918367347</v>
      </c>
      <c r="N5421" s="2">
        <v>284900.0</v>
      </c>
      <c r="O5421" s="4">
        <f t="shared" si="6"/>
        <v>5814.285714</v>
      </c>
      <c r="P5421" s="2">
        <v>0.0</v>
      </c>
      <c r="Q5421" s="3">
        <f t="shared" si="7"/>
        <v>0</v>
      </c>
      <c r="R5421" s="2">
        <v>0.0</v>
      </c>
      <c r="S5421" s="5">
        <f t="shared" si="8"/>
        <v>0</v>
      </c>
    </row>
    <row r="5422">
      <c r="A5422" s="2" t="s">
        <v>5424</v>
      </c>
      <c r="B5422" s="2">
        <v>1002.0</v>
      </c>
      <c r="C5422" s="2">
        <v>11799.0</v>
      </c>
      <c r="D5422" s="2">
        <v>3821.0</v>
      </c>
      <c r="E5422" s="3">
        <f t="shared" si="1"/>
        <v>0.3538946004</v>
      </c>
      <c r="F5422" s="2">
        <v>1311.0</v>
      </c>
      <c r="G5422" s="3">
        <f t="shared" si="2"/>
        <v>0.1214226174</v>
      </c>
      <c r="H5422" s="2">
        <v>2330.0</v>
      </c>
      <c r="I5422" s="3">
        <f t="shared" si="3"/>
        <v>0.2158006854</v>
      </c>
      <c r="J5422" s="2">
        <v>1809.0</v>
      </c>
      <c r="K5422" s="3">
        <f t="shared" si="4"/>
        <v>0.1675465407</v>
      </c>
      <c r="L5422" s="2">
        <v>1385.0</v>
      </c>
      <c r="M5422" s="3">
        <f t="shared" si="5"/>
        <v>0.5944206009</v>
      </c>
      <c r="N5422" s="2">
        <v>1.28175E7</v>
      </c>
      <c r="O5422" s="4">
        <f t="shared" si="6"/>
        <v>5501.072961</v>
      </c>
      <c r="P5422" s="2">
        <v>3.0</v>
      </c>
      <c r="Q5422" s="3">
        <f t="shared" si="7"/>
        <v>0.002994011976</v>
      </c>
      <c r="R5422" s="2">
        <v>943.0</v>
      </c>
      <c r="S5422" s="5">
        <f t="shared" si="8"/>
        <v>0.9411177645</v>
      </c>
    </row>
    <row r="5423">
      <c r="A5423" s="2" t="s">
        <v>5425</v>
      </c>
      <c r="B5423" s="2">
        <v>105.0</v>
      </c>
      <c r="C5423" s="2">
        <v>1217.0</v>
      </c>
      <c r="D5423" s="2">
        <v>142.0</v>
      </c>
      <c r="E5423" s="3">
        <f t="shared" si="1"/>
        <v>0.1276978417</v>
      </c>
      <c r="F5423" s="2">
        <v>135.0</v>
      </c>
      <c r="G5423" s="3">
        <f t="shared" si="2"/>
        <v>0.1214028777</v>
      </c>
      <c r="H5423" s="2">
        <v>207.0</v>
      </c>
      <c r="I5423" s="3">
        <f t="shared" si="3"/>
        <v>0.1861510791</v>
      </c>
      <c r="J5423" s="2">
        <v>216.0</v>
      </c>
      <c r="K5423" s="3">
        <f t="shared" si="4"/>
        <v>0.1942446043</v>
      </c>
      <c r="L5423" s="2">
        <v>126.0</v>
      </c>
      <c r="M5423" s="3">
        <f t="shared" si="5"/>
        <v>0.6086956522</v>
      </c>
      <c r="N5423" s="2">
        <v>1214600.0</v>
      </c>
      <c r="O5423" s="4">
        <f t="shared" si="6"/>
        <v>5867.63285</v>
      </c>
      <c r="P5423" s="2">
        <v>0.0</v>
      </c>
      <c r="Q5423" s="3">
        <f t="shared" si="7"/>
        <v>0</v>
      </c>
      <c r="R5423" s="2">
        <v>105.0</v>
      </c>
      <c r="S5423" s="5">
        <f t="shared" si="8"/>
        <v>1</v>
      </c>
    </row>
    <row r="5424">
      <c r="A5424" s="2" t="s">
        <v>5426</v>
      </c>
      <c r="B5424" s="2">
        <v>101.0</v>
      </c>
      <c r="C5424" s="2">
        <v>1213.0</v>
      </c>
      <c r="D5424" s="2">
        <v>439.0</v>
      </c>
      <c r="E5424" s="3">
        <f t="shared" si="1"/>
        <v>0.3947841727</v>
      </c>
      <c r="F5424" s="2">
        <v>135.0</v>
      </c>
      <c r="G5424" s="3">
        <f t="shared" si="2"/>
        <v>0.1214028777</v>
      </c>
      <c r="H5424" s="2">
        <v>249.0</v>
      </c>
      <c r="I5424" s="3">
        <f t="shared" si="3"/>
        <v>0.2239208633</v>
      </c>
      <c r="J5424" s="2">
        <v>155.0</v>
      </c>
      <c r="K5424" s="3">
        <f t="shared" si="4"/>
        <v>0.1393884892</v>
      </c>
      <c r="L5424" s="2">
        <v>161.0</v>
      </c>
      <c r="M5424" s="3">
        <f t="shared" si="5"/>
        <v>0.6465863454</v>
      </c>
      <c r="N5424" s="2">
        <v>1216700.0</v>
      </c>
      <c r="O5424" s="4">
        <f t="shared" si="6"/>
        <v>4886.345382</v>
      </c>
      <c r="P5424" s="2">
        <v>1.0</v>
      </c>
      <c r="Q5424" s="3">
        <f t="shared" si="7"/>
        <v>0.009900990099</v>
      </c>
      <c r="R5424" s="2">
        <v>101.0</v>
      </c>
      <c r="S5424" s="5">
        <f t="shared" si="8"/>
        <v>1</v>
      </c>
    </row>
    <row r="5425">
      <c r="A5425" s="2" t="s">
        <v>5427</v>
      </c>
      <c r="B5425" s="2">
        <v>1457.0</v>
      </c>
      <c r="C5425" s="2">
        <v>17231.0</v>
      </c>
      <c r="D5425" s="2">
        <v>5701.0</v>
      </c>
      <c r="E5425" s="3">
        <f t="shared" si="1"/>
        <v>0.3614175225</v>
      </c>
      <c r="F5425" s="2">
        <v>1915.0</v>
      </c>
      <c r="G5425" s="3">
        <f t="shared" si="2"/>
        <v>0.1214023076</v>
      </c>
      <c r="H5425" s="2">
        <v>3570.0</v>
      </c>
      <c r="I5425" s="3">
        <f t="shared" si="3"/>
        <v>0.2263217954</v>
      </c>
      <c r="J5425" s="2">
        <v>2770.0</v>
      </c>
      <c r="K5425" s="3">
        <f t="shared" si="4"/>
        <v>0.1756054267</v>
      </c>
      <c r="L5425" s="2">
        <v>2179.0</v>
      </c>
      <c r="M5425" s="3">
        <f t="shared" si="5"/>
        <v>0.6103641457</v>
      </c>
      <c r="N5425" s="2">
        <v>1.84116E7</v>
      </c>
      <c r="O5425" s="4">
        <f t="shared" si="6"/>
        <v>5157.310924</v>
      </c>
      <c r="P5425" s="2">
        <v>3.0</v>
      </c>
      <c r="Q5425" s="3">
        <f t="shared" si="7"/>
        <v>0.002059025395</v>
      </c>
      <c r="R5425" s="2">
        <v>0.0</v>
      </c>
      <c r="S5425" s="5">
        <f t="shared" si="8"/>
        <v>0</v>
      </c>
    </row>
    <row r="5426">
      <c r="A5426" s="2" t="s">
        <v>5428</v>
      </c>
      <c r="B5426" s="2">
        <v>2265.0</v>
      </c>
      <c r="C5426" s="2">
        <v>26507.0</v>
      </c>
      <c r="D5426" s="2">
        <v>9167.0</v>
      </c>
      <c r="E5426" s="3">
        <f t="shared" si="1"/>
        <v>0.3781453675</v>
      </c>
      <c r="F5426" s="2">
        <v>2943.0</v>
      </c>
      <c r="G5426" s="3">
        <f t="shared" si="2"/>
        <v>0.1214008745</v>
      </c>
      <c r="H5426" s="2">
        <v>5171.0</v>
      </c>
      <c r="I5426" s="3">
        <f t="shared" si="3"/>
        <v>0.2133074829</v>
      </c>
      <c r="J5426" s="2">
        <v>4125.0</v>
      </c>
      <c r="K5426" s="3">
        <f t="shared" si="4"/>
        <v>0.1701592278</v>
      </c>
      <c r="L5426" s="2">
        <v>3116.0</v>
      </c>
      <c r="M5426" s="3">
        <f t="shared" si="5"/>
        <v>0.602591375</v>
      </c>
      <c r="N5426" s="2">
        <v>2.83041E7</v>
      </c>
      <c r="O5426" s="4">
        <f t="shared" si="6"/>
        <v>5473.622123</v>
      </c>
      <c r="P5426" s="2">
        <v>2.0</v>
      </c>
      <c r="Q5426" s="3">
        <f t="shared" si="7"/>
        <v>0.0008830022075</v>
      </c>
      <c r="R5426" s="2">
        <v>1299.0</v>
      </c>
      <c r="S5426" s="5">
        <f t="shared" si="8"/>
        <v>0.5735099338</v>
      </c>
    </row>
    <row r="5427">
      <c r="A5427" s="2" t="s">
        <v>5429</v>
      </c>
      <c r="B5427" s="2">
        <v>46.0</v>
      </c>
      <c r="C5427" s="2">
        <v>532.0</v>
      </c>
      <c r="D5427" s="2">
        <v>144.0</v>
      </c>
      <c r="E5427" s="3">
        <f t="shared" si="1"/>
        <v>0.2962962963</v>
      </c>
      <c r="F5427" s="2">
        <v>59.0</v>
      </c>
      <c r="G5427" s="3">
        <f t="shared" si="2"/>
        <v>0.121399177</v>
      </c>
      <c r="H5427" s="2">
        <v>93.0</v>
      </c>
      <c r="I5427" s="3">
        <f t="shared" si="3"/>
        <v>0.1913580247</v>
      </c>
      <c r="J5427" s="2">
        <v>89.0</v>
      </c>
      <c r="K5427" s="3">
        <f t="shared" si="4"/>
        <v>0.183127572</v>
      </c>
      <c r="L5427" s="2">
        <v>58.0</v>
      </c>
      <c r="M5427" s="3">
        <f t="shared" si="5"/>
        <v>0.623655914</v>
      </c>
      <c r="N5427" s="2">
        <v>544500.0</v>
      </c>
      <c r="O5427" s="4">
        <f t="shared" si="6"/>
        <v>5854.83871</v>
      </c>
      <c r="P5427" s="2">
        <v>0.0</v>
      </c>
      <c r="Q5427" s="3">
        <f t="shared" si="7"/>
        <v>0</v>
      </c>
      <c r="R5427" s="2">
        <v>46.0</v>
      </c>
      <c r="S5427" s="5">
        <f t="shared" si="8"/>
        <v>1</v>
      </c>
    </row>
    <row r="5428">
      <c r="A5428" s="2" t="s">
        <v>5430</v>
      </c>
      <c r="B5428" s="2">
        <v>201.0</v>
      </c>
      <c r="C5428" s="2">
        <v>2318.0</v>
      </c>
      <c r="D5428" s="2">
        <v>591.0</v>
      </c>
      <c r="E5428" s="3">
        <f t="shared" si="1"/>
        <v>0.2791686349</v>
      </c>
      <c r="F5428" s="2">
        <v>257.0</v>
      </c>
      <c r="G5428" s="3">
        <f t="shared" si="2"/>
        <v>0.121398205</v>
      </c>
      <c r="H5428" s="2">
        <v>412.0</v>
      </c>
      <c r="I5428" s="3">
        <f t="shared" si="3"/>
        <v>0.1946150213</v>
      </c>
      <c r="J5428" s="2">
        <v>409.0</v>
      </c>
      <c r="K5428" s="3">
        <f t="shared" si="4"/>
        <v>0.1931979216</v>
      </c>
      <c r="L5428" s="2">
        <v>241.0</v>
      </c>
      <c r="M5428" s="3">
        <f t="shared" si="5"/>
        <v>0.5849514563</v>
      </c>
      <c r="N5428" s="2">
        <v>2416700.0</v>
      </c>
      <c r="O5428" s="4">
        <f t="shared" si="6"/>
        <v>5865.776699</v>
      </c>
      <c r="P5428" s="2">
        <v>0.0</v>
      </c>
      <c r="Q5428" s="3">
        <f t="shared" si="7"/>
        <v>0</v>
      </c>
      <c r="R5428" s="2">
        <v>0.0</v>
      </c>
      <c r="S5428" s="5">
        <f t="shared" si="8"/>
        <v>0</v>
      </c>
    </row>
    <row r="5429">
      <c r="A5429" s="2" t="s">
        <v>5431</v>
      </c>
      <c r="B5429" s="2">
        <v>275.0</v>
      </c>
      <c r="C5429" s="2">
        <v>3290.0</v>
      </c>
      <c r="D5429" s="2">
        <v>1119.0</v>
      </c>
      <c r="E5429" s="3">
        <f t="shared" si="1"/>
        <v>0.3711442786</v>
      </c>
      <c r="F5429" s="2">
        <v>366.0</v>
      </c>
      <c r="G5429" s="3">
        <f t="shared" si="2"/>
        <v>0.1213930348</v>
      </c>
      <c r="H5429" s="2">
        <v>619.0</v>
      </c>
      <c r="I5429" s="3">
        <f t="shared" si="3"/>
        <v>0.2053067993</v>
      </c>
      <c r="J5429" s="2">
        <v>514.0</v>
      </c>
      <c r="K5429" s="3">
        <f t="shared" si="4"/>
        <v>0.1704809287</v>
      </c>
      <c r="L5429" s="2">
        <v>338.0</v>
      </c>
      <c r="M5429" s="3">
        <f t="shared" si="5"/>
        <v>0.5460420032</v>
      </c>
      <c r="N5429" s="2">
        <v>3188300.0</v>
      </c>
      <c r="O5429" s="4">
        <f t="shared" si="6"/>
        <v>5150.726979</v>
      </c>
      <c r="P5429" s="2">
        <v>0.0</v>
      </c>
      <c r="Q5429" s="3">
        <f t="shared" si="7"/>
        <v>0</v>
      </c>
      <c r="R5429" s="2">
        <v>267.0</v>
      </c>
      <c r="S5429" s="5">
        <f t="shared" si="8"/>
        <v>0.9709090909</v>
      </c>
    </row>
    <row r="5430">
      <c r="A5430" s="2" t="s">
        <v>5432</v>
      </c>
      <c r="B5430" s="2">
        <v>364.0</v>
      </c>
      <c r="C5430" s="2">
        <v>4310.0</v>
      </c>
      <c r="D5430" s="2">
        <v>1554.0</v>
      </c>
      <c r="E5430" s="3">
        <f t="shared" si="1"/>
        <v>0.3938165231</v>
      </c>
      <c r="F5430" s="2">
        <v>479.0</v>
      </c>
      <c r="G5430" s="3">
        <f t="shared" si="2"/>
        <v>0.1213887481</v>
      </c>
      <c r="H5430" s="2">
        <v>790.0</v>
      </c>
      <c r="I5430" s="3">
        <f t="shared" si="3"/>
        <v>0.2002027369</v>
      </c>
      <c r="J5430" s="2">
        <v>570.0</v>
      </c>
      <c r="K5430" s="3">
        <f t="shared" si="4"/>
        <v>0.144450076</v>
      </c>
      <c r="L5430" s="2">
        <v>473.0</v>
      </c>
      <c r="M5430" s="3">
        <f t="shared" si="5"/>
        <v>0.5987341772</v>
      </c>
      <c r="N5430" s="2">
        <v>4125100.0</v>
      </c>
      <c r="O5430" s="4">
        <f t="shared" si="6"/>
        <v>5221.64557</v>
      </c>
      <c r="P5430" s="2">
        <v>1.0</v>
      </c>
      <c r="Q5430" s="3">
        <f t="shared" si="7"/>
        <v>0.002747252747</v>
      </c>
      <c r="R5430" s="2">
        <v>0.0</v>
      </c>
      <c r="S5430" s="5">
        <f t="shared" si="8"/>
        <v>0</v>
      </c>
    </row>
    <row r="5431">
      <c r="A5431" s="2" t="s">
        <v>5433</v>
      </c>
      <c r="B5431" s="2">
        <v>1434.0</v>
      </c>
      <c r="C5431" s="2">
        <v>16807.0</v>
      </c>
      <c r="D5431" s="2">
        <v>5085.0</v>
      </c>
      <c r="E5431" s="3">
        <f t="shared" si="1"/>
        <v>0.3307747349</v>
      </c>
      <c r="F5431" s="2">
        <v>1866.0</v>
      </c>
      <c r="G5431" s="3">
        <f t="shared" si="2"/>
        <v>0.1213816431</v>
      </c>
      <c r="H5431" s="2">
        <v>3229.0</v>
      </c>
      <c r="I5431" s="3">
        <f t="shared" si="3"/>
        <v>0.2100435829</v>
      </c>
      <c r="J5431" s="2">
        <v>2763.0</v>
      </c>
      <c r="K5431" s="3">
        <f t="shared" si="4"/>
        <v>0.1797306967</v>
      </c>
      <c r="L5431" s="2">
        <v>1888.0</v>
      </c>
      <c r="M5431" s="3">
        <f t="shared" si="5"/>
        <v>0.5847011459</v>
      </c>
      <c r="N5431" s="2">
        <v>1.90211E7</v>
      </c>
      <c r="O5431" s="4">
        <f t="shared" si="6"/>
        <v>5890.709198</v>
      </c>
      <c r="P5431" s="2">
        <v>3.0</v>
      </c>
      <c r="Q5431" s="3">
        <f t="shared" si="7"/>
        <v>0.002092050209</v>
      </c>
      <c r="R5431" s="2">
        <v>1274.0</v>
      </c>
      <c r="S5431" s="5">
        <f t="shared" si="8"/>
        <v>0.8884239888</v>
      </c>
    </row>
    <row r="5432">
      <c r="A5432" s="2" t="s">
        <v>5434</v>
      </c>
      <c r="B5432" s="2">
        <v>623.0</v>
      </c>
      <c r="C5432" s="2">
        <v>7428.0</v>
      </c>
      <c r="D5432" s="2">
        <v>2770.0</v>
      </c>
      <c r="E5432" s="3">
        <f t="shared" si="1"/>
        <v>0.407053637</v>
      </c>
      <c r="F5432" s="2">
        <v>826.0</v>
      </c>
      <c r="G5432" s="3">
        <f t="shared" si="2"/>
        <v>0.1213813373</v>
      </c>
      <c r="H5432" s="2">
        <v>1411.0</v>
      </c>
      <c r="I5432" s="3">
        <f t="shared" si="3"/>
        <v>0.2073475386</v>
      </c>
      <c r="J5432" s="2">
        <v>1059.0</v>
      </c>
      <c r="K5432" s="3">
        <f t="shared" si="4"/>
        <v>0.155620867</v>
      </c>
      <c r="L5432" s="2">
        <v>822.0</v>
      </c>
      <c r="M5432" s="3">
        <f t="shared" si="5"/>
        <v>0.5825655563</v>
      </c>
      <c r="N5432" s="2">
        <v>7680500.0</v>
      </c>
      <c r="O5432" s="4">
        <f t="shared" si="6"/>
        <v>5443.302622</v>
      </c>
      <c r="P5432" s="2">
        <v>2.0</v>
      </c>
      <c r="Q5432" s="3">
        <f t="shared" si="7"/>
        <v>0.003210272873</v>
      </c>
      <c r="R5432" s="2">
        <v>0.0</v>
      </c>
      <c r="S5432" s="5">
        <f t="shared" si="8"/>
        <v>0</v>
      </c>
    </row>
    <row r="5433">
      <c r="A5433" s="2" t="s">
        <v>5435</v>
      </c>
      <c r="B5433" s="2">
        <v>494.0</v>
      </c>
      <c r="C5433" s="2">
        <v>5882.0</v>
      </c>
      <c r="D5433" s="2">
        <v>2291.0</v>
      </c>
      <c r="E5433" s="3">
        <f t="shared" si="1"/>
        <v>0.4252041574</v>
      </c>
      <c r="F5433" s="2">
        <v>654.0</v>
      </c>
      <c r="G5433" s="3">
        <f t="shared" si="2"/>
        <v>0.1213808463</v>
      </c>
      <c r="H5433" s="2">
        <v>1123.0</v>
      </c>
      <c r="I5433" s="3">
        <f t="shared" si="3"/>
        <v>0.2084261321</v>
      </c>
      <c r="J5433" s="2">
        <v>806.0</v>
      </c>
      <c r="K5433" s="3">
        <f t="shared" si="4"/>
        <v>0.1495916852</v>
      </c>
      <c r="L5433" s="2">
        <v>673.0</v>
      </c>
      <c r="M5433" s="3">
        <f t="shared" si="5"/>
        <v>0.5992876224</v>
      </c>
      <c r="N5433" s="2">
        <v>5797600.0</v>
      </c>
      <c r="O5433" s="4">
        <f t="shared" si="6"/>
        <v>5162.600178</v>
      </c>
      <c r="P5433" s="2">
        <v>1.0</v>
      </c>
      <c r="Q5433" s="3">
        <f t="shared" si="7"/>
        <v>0.002024291498</v>
      </c>
      <c r="R5433" s="2">
        <v>494.0</v>
      </c>
      <c r="S5433" s="5">
        <f t="shared" si="8"/>
        <v>1</v>
      </c>
    </row>
    <row r="5434">
      <c r="A5434" s="2" t="s">
        <v>5436</v>
      </c>
      <c r="B5434" s="2">
        <v>207.0</v>
      </c>
      <c r="C5434" s="2">
        <v>2448.0</v>
      </c>
      <c r="D5434" s="2">
        <v>855.0</v>
      </c>
      <c r="E5434" s="3">
        <f t="shared" si="1"/>
        <v>0.3815261044</v>
      </c>
      <c r="F5434" s="2">
        <v>272.0</v>
      </c>
      <c r="G5434" s="3">
        <f t="shared" si="2"/>
        <v>0.1213743864</v>
      </c>
      <c r="H5434" s="2">
        <v>458.0</v>
      </c>
      <c r="I5434" s="3">
        <f t="shared" si="3"/>
        <v>0.2043730477</v>
      </c>
      <c r="J5434" s="2">
        <v>405.0</v>
      </c>
      <c r="K5434" s="3">
        <f t="shared" si="4"/>
        <v>0.1807228916</v>
      </c>
      <c r="L5434" s="2">
        <v>270.0</v>
      </c>
      <c r="M5434" s="3">
        <f t="shared" si="5"/>
        <v>0.5895196507</v>
      </c>
      <c r="N5434" s="2">
        <v>2537600.0</v>
      </c>
      <c r="O5434" s="4">
        <f t="shared" si="6"/>
        <v>5540.611354</v>
      </c>
      <c r="P5434" s="2">
        <v>0.0</v>
      </c>
      <c r="Q5434" s="3">
        <f t="shared" si="7"/>
        <v>0</v>
      </c>
      <c r="R5434" s="2">
        <v>207.0</v>
      </c>
      <c r="S5434" s="5">
        <f t="shared" si="8"/>
        <v>1</v>
      </c>
    </row>
    <row r="5435">
      <c r="A5435" s="2" t="s">
        <v>5437</v>
      </c>
      <c r="B5435" s="2">
        <v>717.0</v>
      </c>
      <c r="C5435" s="2">
        <v>8520.0</v>
      </c>
      <c r="D5435" s="2">
        <v>3135.0</v>
      </c>
      <c r="E5435" s="3">
        <f t="shared" si="1"/>
        <v>0.4017685506</v>
      </c>
      <c r="F5435" s="2">
        <v>947.0</v>
      </c>
      <c r="G5435" s="3">
        <f t="shared" si="2"/>
        <v>0.1213635781</v>
      </c>
      <c r="H5435" s="2">
        <v>1667.0</v>
      </c>
      <c r="I5435" s="3">
        <f t="shared" si="3"/>
        <v>0.2136357811</v>
      </c>
      <c r="J5435" s="2">
        <v>1343.0</v>
      </c>
      <c r="K5435" s="3">
        <f t="shared" si="4"/>
        <v>0.1721132898</v>
      </c>
      <c r="L5435" s="2">
        <v>993.0</v>
      </c>
      <c r="M5435" s="3">
        <f t="shared" si="5"/>
        <v>0.5956808638</v>
      </c>
      <c r="N5435" s="2">
        <v>9112800.0</v>
      </c>
      <c r="O5435" s="4">
        <f t="shared" si="6"/>
        <v>5466.586683</v>
      </c>
      <c r="P5435" s="2">
        <v>0.0</v>
      </c>
      <c r="Q5435" s="3">
        <f t="shared" si="7"/>
        <v>0</v>
      </c>
      <c r="R5435" s="2">
        <v>717.0</v>
      </c>
      <c r="S5435" s="5">
        <f t="shared" si="8"/>
        <v>1</v>
      </c>
    </row>
    <row r="5436">
      <c r="A5436" s="2" t="s">
        <v>5438</v>
      </c>
      <c r="B5436" s="2">
        <v>18.0</v>
      </c>
      <c r="C5436" s="2">
        <v>224.0</v>
      </c>
      <c r="D5436" s="2">
        <v>58.0</v>
      </c>
      <c r="E5436" s="3">
        <f t="shared" si="1"/>
        <v>0.2815533981</v>
      </c>
      <c r="F5436" s="2">
        <v>25.0</v>
      </c>
      <c r="G5436" s="3">
        <f t="shared" si="2"/>
        <v>0.1213592233</v>
      </c>
      <c r="H5436" s="2">
        <v>29.0</v>
      </c>
      <c r="I5436" s="3">
        <f t="shared" si="3"/>
        <v>0.140776699</v>
      </c>
      <c r="J5436" s="2">
        <v>42.0</v>
      </c>
      <c r="K5436" s="3">
        <f t="shared" si="4"/>
        <v>0.2038834951</v>
      </c>
      <c r="L5436" s="2">
        <v>15.0</v>
      </c>
      <c r="M5436" s="3">
        <f t="shared" si="5"/>
        <v>0.5172413793</v>
      </c>
      <c r="N5436" s="2">
        <v>154200.0</v>
      </c>
      <c r="O5436" s="4">
        <f t="shared" si="6"/>
        <v>5317.241379</v>
      </c>
      <c r="P5436" s="2">
        <v>0.0</v>
      </c>
      <c r="Q5436" s="3">
        <f t="shared" si="7"/>
        <v>0</v>
      </c>
      <c r="R5436" s="2">
        <v>18.0</v>
      </c>
      <c r="S5436" s="5">
        <f t="shared" si="8"/>
        <v>1</v>
      </c>
    </row>
    <row r="5437">
      <c r="A5437" s="2" t="s">
        <v>5439</v>
      </c>
      <c r="B5437" s="2">
        <v>348.0</v>
      </c>
      <c r="C5437" s="2">
        <v>4089.0</v>
      </c>
      <c r="D5437" s="2">
        <v>1277.0</v>
      </c>
      <c r="E5437" s="3">
        <f t="shared" si="1"/>
        <v>0.3413525795</v>
      </c>
      <c r="F5437" s="2">
        <v>454.0</v>
      </c>
      <c r="G5437" s="3">
        <f t="shared" si="2"/>
        <v>0.1213579257</v>
      </c>
      <c r="H5437" s="2">
        <v>779.0</v>
      </c>
      <c r="I5437" s="3">
        <f t="shared" si="3"/>
        <v>0.2082330928</v>
      </c>
      <c r="J5437" s="2">
        <v>647.0</v>
      </c>
      <c r="K5437" s="3">
        <f t="shared" si="4"/>
        <v>0.1729484095</v>
      </c>
      <c r="L5437" s="2">
        <v>474.0</v>
      </c>
      <c r="M5437" s="3">
        <f t="shared" si="5"/>
        <v>0.6084724005</v>
      </c>
      <c r="N5437" s="2">
        <v>4126900.0</v>
      </c>
      <c r="O5437" s="4">
        <f t="shared" si="6"/>
        <v>5297.689345</v>
      </c>
      <c r="P5437" s="2">
        <v>0.0</v>
      </c>
      <c r="Q5437" s="3">
        <f t="shared" si="7"/>
        <v>0</v>
      </c>
      <c r="R5437" s="2">
        <v>348.0</v>
      </c>
      <c r="S5437" s="5">
        <f t="shared" si="8"/>
        <v>1</v>
      </c>
    </row>
    <row r="5438">
      <c r="A5438" s="2" t="s">
        <v>5440</v>
      </c>
      <c r="B5438" s="2">
        <v>3924.0</v>
      </c>
      <c r="C5438" s="2">
        <v>45955.0</v>
      </c>
      <c r="D5438" s="2">
        <v>16320.0</v>
      </c>
      <c r="E5438" s="3">
        <f t="shared" si="1"/>
        <v>0.3882848374</v>
      </c>
      <c r="F5438" s="2">
        <v>5100.0</v>
      </c>
      <c r="G5438" s="3">
        <f t="shared" si="2"/>
        <v>0.1213390117</v>
      </c>
      <c r="H5438" s="2">
        <v>9553.0</v>
      </c>
      <c r="I5438" s="3">
        <f t="shared" si="3"/>
        <v>0.2272846233</v>
      </c>
      <c r="J5438" s="2">
        <v>8240.0</v>
      </c>
      <c r="K5438" s="3">
        <f t="shared" si="4"/>
        <v>0.1960457757</v>
      </c>
      <c r="L5438" s="2">
        <v>5690.0</v>
      </c>
      <c r="M5438" s="3">
        <f t="shared" si="5"/>
        <v>0.5956244112</v>
      </c>
      <c r="N5438" s="2">
        <v>5.29489E7</v>
      </c>
      <c r="O5438" s="4">
        <f t="shared" si="6"/>
        <v>5542.646289</v>
      </c>
      <c r="P5438" s="2">
        <v>7.0</v>
      </c>
      <c r="Q5438" s="3">
        <f t="shared" si="7"/>
        <v>0.001783893986</v>
      </c>
      <c r="R5438" s="2">
        <v>1738.0</v>
      </c>
      <c r="S5438" s="5">
        <f t="shared" si="8"/>
        <v>0.4429153925</v>
      </c>
    </row>
    <row r="5439">
      <c r="A5439" s="2" t="s">
        <v>5441</v>
      </c>
      <c r="B5439" s="2">
        <v>797.0</v>
      </c>
      <c r="C5439" s="2">
        <v>9426.0</v>
      </c>
      <c r="D5439" s="2">
        <v>3395.0</v>
      </c>
      <c r="E5439" s="3">
        <f t="shared" si="1"/>
        <v>0.3934407231</v>
      </c>
      <c r="F5439" s="2">
        <v>1047.0</v>
      </c>
      <c r="G5439" s="3">
        <f t="shared" si="2"/>
        <v>0.121335033</v>
      </c>
      <c r="H5439" s="2">
        <v>1879.0</v>
      </c>
      <c r="I5439" s="3">
        <f t="shared" si="3"/>
        <v>0.2177540851</v>
      </c>
      <c r="J5439" s="2">
        <v>1399.0</v>
      </c>
      <c r="K5439" s="3">
        <f t="shared" si="4"/>
        <v>0.1621277089</v>
      </c>
      <c r="L5439" s="2">
        <v>1135.0</v>
      </c>
      <c r="M5439" s="3">
        <f t="shared" si="5"/>
        <v>0.6040447046</v>
      </c>
      <c r="N5439" s="2">
        <v>9916400.0</v>
      </c>
      <c r="O5439" s="4">
        <f t="shared" si="6"/>
        <v>5277.488026</v>
      </c>
      <c r="P5439" s="2">
        <v>1.0</v>
      </c>
      <c r="Q5439" s="3">
        <f t="shared" si="7"/>
        <v>0.001254705144</v>
      </c>
      <c r="R5439" s="2">
        <v>661.0</v>
      </c>
      <c r="S5439" s="5">
        <f t="shared" si="8"/>
        <v>0.8293601004</v>
      </c>
    </row>
    <row r="5440">
      <c r="A5440" s="2" t="s">
        <v>5442</v>
      </c>
      <c r="B5440" s="2">
        <v>1158.0</v>
      </c>
      <c r="C5440" s="2">
        <v>13628.0</v>
      </c>
      <c r="D5440" s="2">
        <v>4462.0</v>
      </c>
      <c r="E5440" s="3">
        <f t="shared" si="1"/>
        <v>0.357818765</v>
      </c>
      <c r="F5440" s="2">
        <v>1513.0</v>
      </c>
      <c r="G5440" s="3">
        <f t="shared" si="2"/>
        <v>0.1213311949</v>
      </c>
      <c r="H5440" s="2">
        <v>2636.0</v>
      </c>
      <c r="I5440" s="3">
        <f t="shared" si="3"/>
        <v>0.2113873296</v>
      </c>
      <c r="J5440" s="2">
        <v>1880.0</v>
      </c>
      <c r="K5440" s="3">
        <f t="shared" si="4"/>
        <v>0.1507618284</v>
      </c>
      <c r="L5440" s="2">
        <v>1612.0</v>
      </c>
      <c r="M5440" s="3">
        <f t="shared" si="5"/>
        <v>0.6115326252</v>
      </c>
      <c r="N5440" s="2">
        <v>1.44444E7</v>
      </c>
      <c r="O5440" s="4">
        <f t="shared" si="6"/>
        <v>5479.666161</v>
      </c>
      <c r="P5440" s="2">
        <v>4.0</v>
      </c>
      <c r="Q5440" s="3">
        <f t="shared" si="7"/>
        <v>0.003454231434</v>
      </c>
      <c r="R5440" s="2">
        <v>1158.0</v>
      </c>
      <c r="S5440" s="5">
        <f t="shared" si="8"/>
        <v>1</v>
      </c>
    </row>
    <row r="5441">
      <c r="A5441" s="2" t="s">
        <v>5443</v>
      </c>
      <c r="B5441" s="2">
        <v>772.0</v>
      </c>
      <c r="C5441" s="2">
        <v>9014.0</v>
      </c>
      <c r="D5441" s="2">
        <v>2866.0</v>
      </c>
      <c r="E5441" s="3">
        <f t="shared" si="1"/>
        <v>0.3477311332</v>
      </c>
      <c r="F5441" s="2">
        <v>1000.0</v>
      </c>
      <c r="G5441" s="3">
        <f t="shared" si="2"/>
        <v>0.1213297743</v>
      </c>
      <c r="H5441" s="2">
        <v>1717.0</v>
      </c>
      <c r="I5441" s="3">
        <f t="shared" si="3"/>
        <v>0.2083232225</v>
      </c>
      <c r="J5441" s="2">
        <v>1432.0</v>
      </c>
      <c r="K5441" s="3">
        <f t="shared" si="4"/>
        <v>0.1737442368</v>
      </c>
      <c r="L5441" s="2">
        <v>1017.0</v>
      </c>
      <c r="M5441" s="3">
        <f t="shared" si="5"/>
        <v>0.5923121724</v>
      </c>
      <c r="N5441" s="2">
        <v>9874000.0</v>
      </c>
      <c r="O5441" s="4">
        <f t="shared" si="6"/>
        <v>5750.728014</v>
      </c>
      <c r="P5441" s="2">
        <v>2.0</v>
      </c>
      <c r="Q5441" s="3">
        <f t="shared" si="7"/>
        <v>0.002590673575</v>
      </c>
      <c r="R5441" s="2">
        <v>772.0</v>
      </c>
      <c r="S5441" s="5">
        <f t="shared" si="8"/>
        <v>1</v>
      </c>
    </row>
    <row r="5442">
      <c r="A5442" s="2" t="s">
        <v>5444</v>
      </c>
      <c r="B5442" s="2">
        <v>1180.0</v>
      </c>
      <c r="C5442" s="2">
        <v>13807.0</v>
      </c>
      <c r="D5442" s="2">
        <v>4517.0</v>
      </c>
      <c r="E5442" s="3">
        <f t="shared" si="1"/>
        <v>0.3577255088</v>
      </c>
      <c r="F5442" s="2">
        <v>1532.0</v>
      </c>
      <c r="G5442" s="3">
        <f t="shared" si="2"/>
        <v>0.1213273145</v>
      </c>
      <c r="H5442" s="2">
        <v>2751.0</v>
      </c>
      <c r="I5442" s="3">
        <f t="shared" si="3"/>
        <v>0.2178664766</v>
      </c>
      <c r="J5442" s="2">
        <v>2003.0</v>
      </c>
      <c r="K5442" s="3">
        <f t="shared" si="4"/>
        <v>0.1586283361</v>
      </c>
      <c r="L5442" s="2">
        <v>1696.0</v>
      </c>
      <c r="M5442" s="3">
        <f t="shared" si="5"/>
        <v>0.6165030898</v>
      </c>
      <c r="N5442" s="2">
        <v>1.49017E7</v>
      </c>
      <c r="O5442" s="4">
        <f t="shared" si="6"/>
        <v>5416.830244</v>
      </c>
      <c r="P5442" s="2">
        <v>1.0</v>
      </c>
      <c r="Q5442" s="3">
        <f t="shared" si="7"/>
        <v>0.0008474576271</v>
      </c>
      <c r="R5442" s="2">
        <v>1180.0</v>
      </c>
      <c r="S5442" s="5">
        <f t="shared" si="8"/>
        <v>1</v>
      </c>
    </row>
    <row r="5443">
      <c r="A5443" s="2" t="s">
        <v>5445</v>
      </c>
      <c r="B5443" s="2">
        <v>320.0</v>
      </c>
      <c r="C5443" s="2">
        <v>3881.0</v>
      </c>
      <c r="D5443" s="2">
        <v>1212.0</v>
      </c>
      <c r="E5443" s="3">
        <f t="shared" si="1"/>
        <v>0.3403538332</v>
      </c>
      <c r="F5443" s="2">
        <v>432.0</v>
      </c>
      <c r="G5443" s="3">
        <f t="shared" si="2"/>
        <v>0.1213142376</v>
      </c>
      <c r="H5443" s="2">
        <v>760.0</v>
      </c>
      <c r="I5443" s="3">
        <f t="shared" si="3"/>
        <v>0.2134231957</v>
      </c>
      <c r="J5443" s="2">
        <v>565.0</v>
      </c>
      <c r="K5443" s="3">
        <f t="shared" si="4"/>
        <v>0.1586632968</v>
      </c>
      <c r="L5443" s="2">
        <v>461.0</v>
      </c>
      <c r="M5443" s="3">
        <f t="shared" si="5"/>
        <v>0.6065789474</v>
      </c>
      <c r="N5443" s="2">
        <v>4193600.0</v>
      </c>
      <c r="O5443" s="4">
        <f t="shared" si="6"/>
        <v>5517.894737</v>
      </c>
      <c r="P5443" s="2">
        <v>0.0</v>
      </c>
      <c r="Q5443" s="3">
        <f t="shared" si="7"/>
        <v>0</v>
      </c>
      <c r="R5443" s="2">
        <v>320.0</v>
      </c>
      <c r="S5443" s="5">
        <f t="shared" si="8"/>
        <v>1</v>
      </c>
    </row>
    <row r="5444">
      <c r="A5444" s="2" t="s">
        <v>5446</v>
      </c>
      <c r="B5444" s="2">
        <v>507.0</v>
      </c>
      <c r="C5444" s="2">
        <v>5964.0</v>
      </c>
      <c r="D5444" s="2">
        <v>2203.0</v>
      </c>
      <c r="E5444" s="3">
        <f t="shared" si="1"/>
        <v>0.4037016676</v>
      </c>
      <c r="F5444" s="2">
        <v>662.0</v>
      </c>
      <c r="G5444" s="3">
        <f t="shared" si="2"/>
        <v>0.1213120762</v>
      </c>
      <c r="H5444" s="2">
        <v>1120.0</v>
      </c>
      <c r="I5444" s="3">
        <f t="shared" si="3"/>
        <v>0.2052409749</v>
      </c>
      <c r="J5444" s="2">
        <v>864.0</v>
      </c>
      <c r="K5444" s="3">
        <f t="shared" si="4"/>
        <v>0.1583287521</v>
      </c>
      <c r="L5444" s="2">
        <v>710.0</v>
      </c>
      <c r="M5444" s="3">
        <f t="shared" si="5"/>
        <v>0.6339285714</v>
      </c>
      <c r="N5444" s="2">
        <v>5631100.0</v>
      </c>
      <c r="O5444" s="4">
        <f t="shared" si="6"/>
        <v>5027.767857</v>
      </c>
      <c r="P5444" s="2">
        <v>0.0</v>
      </c>
      <c r="Q5444" s="3">
        <f t="shared" si="7"/>
        <v>0</v>
      </c>
      <c r="R5444" s="2">
        <v>43.0</v>
      </c>
      <c r="S5444" s="5">
        <f t="shared" si="8"/>
        <v>0.08481262327</v>
      </c>
    </row>
    <row r="5445">
      <c r="A5445" s="2" t="s">
        <v>5447</v>
      </c>
      <c r="B5445" s="2">
        <v>1837.0</v>
      </c>
      <c r="C5445" s="2">
        <v>21325.0</v>
      </c>
      <c r="D5445" s="2">
        <v>7127.0</v>
      </c>
      <c r="E5445" s="3">
        <f t="shared" si="1"/>
        <v>0.3657122332</v>
      </c>
      <c r="F5445" s="2">
        <v>2364.0</v>
      </c>
      <c r="G5445" s="3">
        <f t="shared" si="2"/>
        <v>0.1213054187</v>
      </c>
      <c r="H5445" s="2">
        <v>4089.0</v>
      </c>
      <c r="I5445" s="3">
        <f t="shared" si="3"/>
        <v>0.2098214286</v>
      </c>
      <c r="J5445" s="2">
        <v>3592.0</v>
      </c>
      <c r="K5445" s="3">
        <f t="shared" si="4"/>
        <v>0.184318555</v>
      </c>
      <c r="L5445" s="2">
        <v>2426.0</v>
      </c>
      <c r="M5445" s="3">
        <f t="shared" si="5"/>
        <v>0.5932990951</v>
      </c>
      <c r="N5445" s="2">
        <v>2.33443E7</v>
      </c>
      <c r="O5445" s="4">
        <f t="shared" si="6"/>
        <v>5709.048667</v>
      </c>
      <c r="P5445" s="2">
        <v>6.0</v>
      </c>
      <c r="Q5445" s="3">
        <f t="shared" si="7"/>
        <v>0.003266194883</v>
      </c>
      <c r="R5445" s="2">
        <v>1705.0</v>
      </c>
      <c r="S5445" s="5">
        <f t="shared" si="8"/>
        <v>0.9281437126</v>
      </c>
    </row>
    <row r="5446">
      <c r="A5446" s="2" t="s">
        <v>5448</v>
      </c>
      <c r="B5446" s="2">
        <v>704.0</v>
      </c>
      <c r="C5446" s="2">
        <v>8289.0</v>
      </c>
      <c r="D5446" s="2">
        <v>2613.0</v>
      </c>
      <c r="E5446" s="3">
        <f t="shared" si="1"/>
        <v>0.3444957152</v>
      </c>
      <c r="F5446" s="2">
        <v>920.0</v>
      </c>
      <c r="G5446" s="3">
        <f t="shared" si="2"/>
        <v>0.1212920237</v>
      </c>
      <c r="H5446" s="2">
        <v>1525.0</v>
      </c>
      <c r="I5446" s="3">
        <f t="shared" si="3"/>
        <v>0.2010547132</v>
      </c>
      <c r="J5446" s="2">
        <v>1025.0</v>
      </c>
      <c r="K5446" s="3">
        <f t="shared" si="4"/>
        <v>0.1351351351</v>
      </c>
      <c r="L5446" s="2">
        <v>921.0</v>
      </c>
      <c r="M5446" s="3">
        <f t="shared" si="5"/>
        <v>0.6039344262</v>
      </c>
      <c r="N5446" s="2">
        <v>8352100.0</v>
      </c>
      <c r="O5446" s="4">
        <f t="shared" si="6"/>
        <v>5476.786885</v>
      </c>
      <c r="P5446" s="2">
        <v>3.0</v>
      </c>
      <c r="Q5446" s="3">
        <f t="shared" si="7"/>
        <v>0.004261363636</v>
      </c>
      <c r="R5446" s="2">
        <v>704.0</v>
      </c>
      <c r="S5446" s="5">
        <f t="shared" si="8"/>
        <v>1</v>
      </c>
    </row>
    <row r="5447">
      <c r="A5447" s="2" t="s">
        <v>5449</v>
      </c>
      <c r="B5447" s="2">
        <v>44.0</v>
      </c>
      <c r="C5447" s="2">
        <v>514.0</v>
      </c>
      <c r="D5447" s="2">
        <v>169.0</v>
      </c>
      <c r="E5447" s="3">
        <f t="shared" si="1"/>
        <v>0.3595744681</v>
      </c>
      <c r="F5447" s="2">
        <v>57.0</v>
      </c>
      <c r="G5447" s="3">
        <f t="shared" si="2"/>
        <v>0.1212765957</v>
      </c>
      <c r="H5447" s="2">
        <v>120.0</v>
      </c>
      <c r="I5447" s="3">
        <f t="shared" si="3"/>
        <v>0.2553191489</v>
      </c>
      <c r="J5447" s="2">
        <v>107.0</v>
      </c>
      <c r="K5447" s="3">
        <f t="shared" si="4"/>
        <v>0.2276595745</v>
      </c>
      <c r="L5447" s="2">
        <v>75.0</v>
      </c>
      <c r="M5447" s="3">
        <f t="shared" si="5"/>
        <v>0.625</v>
      </c>
      <c r="N5447" s="2">
        <v>638000.0</v>
      </c>
      <c r="O5447" s="4">
        <f t="shared" si="6"/>
        <v>5316.666667</v>
      </c>
      <c r="P5447" s="2">
        <v>0.0</v>
      </c>
      <c r="Q5447" s="3">
        <f t="shared" si="7"/>
        <v>0</v>
      </c>
      <c r="R5447" s="2">
        <v>42.0</v>
      </c>
      <c r="S5447" s="5">
        <f t="shared" si="8"/>
        <v>0.9545454545</v>
      </c>
    </row>
    <row r="5448">
      <c r="A5448" s="2" t="s">
        <v>5450</v>
      </c>
      <c r="B5448" s="2">
        <v>783.0</v>
      </c>
      <c r="C5448" s="2">
        <v>9342.0</v>
      </c>
      <c r="D5448" s="2">
        <v>3252.0</v>
      </c>
      <c r="E5448" s="3">
        <f t="shared" si="1"/>
        <v>0.3799509288</v>
      </c>
      <c r="F5448" s="2">
        <v>1038.0</v>
      </c>
      <c r="G5448" s="3">
        <f t="shared" si="2"/>
        <v>0.12127585</v>
      </c>
      <c r="H5448" s="2">
        <v>1775.0</v>
      </c>
      <c r="I5448" s="3">
        <f t="shared" si="3"/>
        <v>0.2073840402</v>
      </c>
      <c r="J5448" s="2">
        <v>1330.0</v>
      </c>
      <c r="K5448" s="3">
        <f t="shared" si="4"/>
        <v>0.155391985</v>
      </c>
      <c r="L5448" s="2">
        <v>1076.0</v>
      </c>
      <c r="M5448" s="3">
        <f t="shared" si="5"/>
        <v>0.6061971831</v>
      </c>
      <c r="N5448" s="2">
        <v>9538400.0</v>
      </c>
      <c r="O5448" s="4">
        <f t="shared" si="6"/>
        <v>5373.746479</v>
      </c>
      <c r="P5448" s="2">
        <v>2.0</v>
      </c>
      <c r="Q5448" s="3">
        <f t="shared" si="7"/>
        <v>0.002554278416</v>
      </c>
      <c r="R5448" s="2">
        <v>67.0</v>
      </c>
      <c r="S5448" s="5">
        <f t="shared" si="8"/>
        <v>0.08556832695</v>
      </c>
    </row>
    <row r="5449">
      <c r="A5449" s="2" t="s">
        <v>5451</v>
      </c>
      <c r="B5449" s="2">
        <v>2169.0</v>
      </c>
      <c r="C5449" s="2">
        <v>25472.0</v>
      </c>
      <c r="D5449" s="2">
        <v>8487.0</v>
      </c>
      <c r="E5449" s="3">
        <f t="shared" si="1"/>
        <v>0.3642020341</v>
      </c>
      <c r="F5449" s="2">
        <v>2826.0</v>
      </c>
      <c r="G5449" s="3">
        <f t="shared" si="2"/>
        <v>0.1212719392</v>
      </c>
      <c r="H5449" s="2">
        <v>5016.0</v>
      </c>
      <c r="I5449" s="3">
        <f t="shared" si="3"/>
        <v>0.2152512552</v>
      </c>
      <c r="J5449" s="2">
        <v>3760.0</v>
      </c>
      <c r="K5449" s="3">
        <f t="shared" si="4"/>
        <v>0.1613526155</v>
      </c>
      <c r="L5449" s="2">
        <v>3013.0</v>
      </c>
      <c r="M5449" s="3">
        <f t="shared" si="5"/>
        <v>0.6006778309</v>
      </c>
      <c r="N5449" s="2">
        <v>2.68716E7</v>
      </c>
      <c r="O5449" s="4">
        <f t="shared" si="6"/>
        <v>5357.177033</v>
      </c>
      <c r="P5449" s="2">
        <v>5.0</v>
      </c>
      <c r="Q5449" s="3">
        <f t="shared" si="7"/>
        <v>0.002305209774</v>
      </c>
      <c r="R5449" s="2">
        <v>2.0</v>
      </c>
      <c r="S5449" s="5">
        <f t="shared" si="8"/>
        <v>0.0009220839096</v>
      </c>
    </row>
    <row r="5450">
      <c r="A5450" s="2" t="s">
        <v>5452</v>
      </c>
      <c r="B5450" s="2">
        <v>339.0</v>
      </c>
      <c r="C5450" s="2">
        <v>3992.0</v>
      </c>
      <c r="D5450" s="2">
        <v>996.0</v>
      </c>
      <c r="E5450" s="3">
        <f t="shared" si="1"/>
        <v>0.2726526143</v>
      </c>
      <c r="F5450" s="2">
        <v>443.0</v>
      </c>
      <c r="G5450" s="3">
        <f t="shared" si="2"/>
        <v>0.1212701889</v>
      </c>
      <c r="H5450" s="2">
        <v>741.0</v>
      </c>
      <c r="I5450" s="3">
        <f t="shared" si="3"/>
        <v>0.2028469751</v>
      </c>
      <c r="J5450" s="2">
        <v>763.0</v>
      </c>
      <c r="K5450" s="3">
        <f t="shared" si="4"/>
        <v>0.2088694224</v>
      </c>
      <c r="L5450" s="2">
        <v>428.0</v>
      </c>
      <c r="M5450" s="3">
        <f t="shared" si="5"/>
        <v>0.5775978408</v>
      </c>
      <c r="N5450" s="2">
        <v>4504900.0</v>
      </c>
      <c r="O5450" s="4">
        <f t="shared" si="6"/>
        <v>6079.487179</v>
      </c>
      <c r="P5450" s="2">
        <v>1.0</v>
      </c>
      <c r="Q5450" s="3">
        <f t="shared" si="7"/>
        <v>0.002949852507</v>
      </c>
      <c r="R5450" s="2">
        <v>339.0</v>
      </c>
      <c r="S5450" s="5">
        <f t="shared" si="8"/>
        <v>1</v>
      </c>
    </row>
    <row r="5451">
      <c r="A5451" s="2" t="s">
        <v>5453</v>
      </c>
      <c r="B5451" s="2">
        <v>3828.0</v>
      </c>
      <c r="C5451" s="2">
        <v>44713.0</v>
      </c>
      <c r="D5451" s="2">
        <v>14290.0</v>
      </c>
      <c r="E5451" s="3">
        <f t="shared" si="1"/>
        <v>0.3495169378</v>
      </c>
      <c r="F5451" s="2">
        <v>4958.0</v>
      </c>
      <c r="G5451" s="3">
        <f t="shared" si="2"/>
        <v>0.1212669683</v>
      </c>
      <c r="H5451" s="2">
        <v>8610.0</v>
      </c>
      <c r="I5451" s="3">
        <f t="shared" si="3"/>
        <v>0.2105906812</v>
      </c>
      <c r="J5451" s="2">
        <v>7245.0</v>
      </c>
      <c r="K5451" s="3">
        <f t="shared" si="4"/>
        <v>0.1772043537</v>
      </c>
      <c r="L5451" s="2">
        <v>5140.0</v>
      </c>
      <c r="M5451" s="3">
        <f t="shared" si="5"/>
        <v>0.5969802555</v>
      </c>
      <c r="N5451" s="2">
        <v>4.93891E7</v>
      </c>
      <c r="O5451" s="4">
        <f t="shared" si="6"/>
        <v>5736.248548</v>
      </c>
      <c r="P5451" s="2">
        <v>8.0</v>
      </c>
      <c r="Q5451" s="3">
        <f t="shared" si="7"/>
        <v>0.002089864159</v>
      </c>
      <c r="R5451" s="2">
        <v>3828.0</v>
      </c>
      <c r="S5451" s="5">
        <f t="shared" si="8"/>
        <v>1</v>
      </c>
    </row>
    <row r="5452">
      <c r="A5452" s="2" t="s">
        <v>5454</v>
      </c>
      <c r="B5452" s="2">
        <v>211.0</v>
      </c>
      <c r="C5452" s="2">
        <v>2487.0</v>
      </c>
      <c r="D5452" s="2">
        <v>786.0</v>
      </c>
      <c r="E5452" s="3">
        <f t="shared" si="1"/>
        <v>0.3453427065</v>
      </c>
      <c r="F5452" s="2">
        <v>276.0</v>
      </c>
      <c r="G5452" s="3">
        <f t="shared" si="2"/>
        <v>0.1212653779</v>
      </c>
      <c r="H5452" s="2">
        <v>468.0</v>
      </c>
      <c r="I5452" s="3">
        <f t="shared" si="3"/>
        <v>0.2056239016</v>
      </c>
      <c r="J5452" s="2">
        <v>341.0</v>
      </c>
      <c r="K5452" s="3">
        <f t="shared" si="4"/>
        <v>0.1498242531</v>
      </c>
      <c r="L5452" s="2">
        <v>271.0</v>
      </c>
      <c r="M5452" s="3">
        <f t="shared" si="5"/>
        <v>0.5790598291</v>
      </c>
      <c r="N5452" s="2">
        <v>2658500.0</v>
      </c>
      <c r="O5452" s="4">
        <f t="shared" si="6"/>
        <v>5680.555556</v>
      </c>
      <c r="P5452" s="2">
        <v>1.0</v>
      </c>
      <c r="Q5452" s="3">
        <f t="shared" si="7"/>
        <v>0.004739336493</v>
      </c>
      <c r="R5452" s="2">
        <v>211.0</v>
      </c>
      <c r="S5452" s="5">
        <f t="shared" si="8"/>
        <v>1</v>
      </c>
    </row>
    <row r="5453">
      <c r="A5453" s="2" t="s">
        <v>5455</v>
      </c>
      <c r="B5453" s="2">
        <v>226.0</v>
      </c>
      <c r="C5453" s="2">
        <v>2700.0</v>
      </c>
      <c r="D5453" s="2">
        <v>935.0</v>
      </c>
      <c r="E5453" s="3">
        <f t="shared" si="1"/>
        <v>0.377930477</v>
      </c>
      <c r="F5453" s="2">
        <v>300.0</v>
      </c>
      <c r="G5453" s="3">
        <f t="shared" si="2"/>
        <v>0.1212611156</v>
      </c>
      <c r="H5453" s="2">
        <v>503.0</v>
      </c>
      <c r="I5453" s="3">
        <f t="shared" si="3"/>
        <v>0.2033144705</v>
      </c>
      <c r="J5453" s="2">
        <v>443.0</v>
      </c>
      <c r="K5453" s="3">
        <f t="shared" si="4"/>
        <v>0.1790622474</v>
      </c>
      <c r="L5453" s="2">
        <v>292.0</v>
      </c>
      <c r="M5453" s="3">
        <f t="shared" si="5"/>
        <v>0.5805168986</v>
      </c>
      <c r="N5453" s="2">
        <v>2829300.0</v>
      </c>
      <c r="O5453" s="4">
        <f t="shared" si="6"/>
        <v>5624.850895</v>
      </c>
      <c r="P5453" s="2">
        <v>0.0</v>
      </c>
      <c r="Q5453" s="3">
        <f t="shared" si="7"/>
        <v>0</v>
      </c>
      <c r="R5453" s="2">
        <v>1.0</v>
      </c>
      <c r="S5453" s="5">
        <f t="shared" si="8"/>
        <v>0.004424778761</v>
      </c>
    </row>
    <row r="5454">
      <c r="A5454" s="2" t="s">
        <v>5456</v>
      </c>
      <c r="B5454" s="2">
        <v>233.0</v>
      </c>
      <c r="C5454" s="2">
        <v>2773.0</v>
      </c>
      <c r="D5454" s="2">
        <v>618.0</v>
      </c>
      <c r="E5454" s="3">
        <f t="shared" si="1"/>
        <v>0.2433070866</v>
      </c>
      <c r="F5454" s="2">
        <v>308.0</v>
      </c>
      <c r="G5454" s="3">
        <f t="shared" si="2"/>
        <v>0.1212598425</v>
      </c>
      <c r="H5454" s="2">
        <v>449.0</v>
      </c>
      <c r="I5454" s="3">
        <f t="shared" si="3"/>
        <v>0.1767716535</v>
      </c>
      <c r="J5454" s="2">
        <v>383.0</v>
      </c>
      <c r="K5454" s="3">
        <f t="shared" si="4"/>
        <v>0.1507874016</v>
      </c>
      <c r="L5454" s="2">
        <v>276.0</v>
      </c>
      <c r="M5454" s="3">
        <f t="shared" si="5"/>
        <v>0.6146993318</v>
      </c>
      <c r="N5454" s="2">
        <v>2556700.0</v>
      </c>
      <c r="O5454" s="4">
        <f t="shared" si="6"/>
        <v>5694.209354</v>
      </c>
      <c r="P5454" s="2">
        <v>0.0</v>
      </c>
      <c r="Q5454" s="3">
        <f t="shared" si="7"/>
        <v>0</v>
      </c>
      <c r="R5454" s="2">
        <v>233.0</v>
      </c>
      <c r="S5454" s="5">
        <f t="shared" si="8"/>
        <v>1</v>
      </c>
    </row>
    <row r="5455">
      <c r="A5455" s="2" t="s">
        <v>5457</v>
      </c>
      <c r="B5455" s="2">
        <v>5183.0</v>
      </c>
      <c r="C5455" s="2">
        <v>60801.0</v>
      </c>
      <c r="D5455" s="2">
        <v>20182.0</v>
      </c>
      <c r="E5455" s="3">
        <f t="shared" si="1"/>
        <v>0.3628681362</v>
      </c>
      <c r="F5455" s="2">
        <v>6744.0</v>
      </c>
      <c r="G5455" s="3">
        <f t="shared" si="2"/>
        <v>0.1212557086</v>
      </c>
      <c r="H5455" s="2">
        <v>11828.0</v>
      </c>
      <c r="I5455" s="3">
        <f t="shared" si="3"/>
        <v>0.2126649646</v>
      </c>
      <c r="J5455" s="2">
        <v>9742.0</v>
      </c>
      <c r="K5455" s="3">
        <f t="shared" si="4"/>
        <v>0.1751591211</v>
      </c>
      <c r="L5455" s="2">
        <v>7195.0</v>
      </c>
      <c r="M5455" s="3">
        <f t="shared" si="5"/>
        <v>0.6083023334</v>
      </c>
      <c r="N5455" s="2">
        <v>6.57938E7</v>
      </c>
      <c r="O5455" s="4">
        <f t="shared" si="6"/>
        <v>5562.5465</v>
      </c>
      <c r="P5455" s="2">
        <v>8.0</v>
      </c>
      <c r="Q5455" s="3">
        <f t="shared" si="7"/>
        <v>0.001543507621</v>
      </c>
      <c r="R5455" s="2">
        <v>1522.0</v>
      </c>
      <c r="S5455" s="5">
        <f t="shared" si="8"/>
        <v>0.2936523249</v>
      </c>
    </row>
    <row r="5456">
      <c r="A5456" s="2" t="s">
        <v>5458</v>
      </c>
      <c r="B5456" s="2">
        <v>131.0</v>
      </c>
      <c r="C5456" s="2">
        <v>1533.0</v>
      </c>
      <c r="D5456" s="2">
        <v>529.0</v>
      </c>
      <c r="E5456" s="3">
        <f t="shared" si="1"/>
        <v>0.377318117</v>
      </c>
      <c r="F5456" s="2">
        <v>170.0</v>
      </c>
      <c r="G5456" s="3">
        <f t="shared" si="2"/>
        <v>0.1212553495</v>
      </c>
      <c r="H5456" s="2">
        <v>295.0</v>
      </c>
      <c r="I5456" s="3">
        <f t="shared" si="3"/>
        <v>0.2104136947</v>
      </c>
      <c r="J5456" s="2">
        <v>228.0</v>
      </c>
      <c r="K5456" s="3">
        <f t="shared" si="4"/>
        <v>0.1626248217</v>
      </c>
      <c r="L5456" s="2">
        <v>171.0</v>
      </c>
      <c r="M5456" s="3">
        <f t="shared" si="5"/>
        <v>0.5796610169</v>
      </c>
      <c r="N5456" s="2">
        <v>1605000.0</v>
      </c>
      <c r="O5456" s="4">
        <f t="shared" si="6"/>
        <v>5440.677966</v>
      </c>
      <c r="P5456" s="2">
        <v>0.0</v>
      </c>
      <c r="Q5456" s="3">
        <f t="shared" si="7"/>
        <v>0</v>
      </c>
      <c r="R5456" s="2">
        <v>7.0</v>
      </c>
      <c r="S5456" s="5">
        <f t="shared" si="8"/>
        <v>0.0534351145</v>
      </c>
    </row>
    <row r="5457">
      <c r="A5457" s="2" t="s">
        <v>5459</v>
      </c>
      <c r="B5457" s="2">
        <v>1330.0</v>
      </c>
      <c r="C5457" s="2">
        <v>15482.0</v>
      </c>
      <c r="D5457" s="2">
        <v>4432.0</v>
      </c>
      <c r="E5457" s="3">
        <f t="shared" si="1"/>
        <v>0.3131712832</v>
      </c>
      <c r="F5457" s="2">
        <v>1716.0</v>
      </c>
      <c r="G5457" s="3">
        <f t="shared" si="2"/>
        <v>0.1212549463</v>
      </c>
      <c r="H5457" s="2">
        <v>3079.0</v>
      </c>
      <c r="I5457" s="3">
        <f t="shared" si="3"/>
        <v>0.2175664217</v>
      </c>
      <c r="J5457" s="2">
        <v>2653.0</v>
      </c>
      <c r="K5457" s="3">
        <f t="shared" si="4"/>
        <v>0.1874646693</v>
      </c>
      <c r="L5457" s="2">
        <v>1855.0</v>
      </c>
      <c r="M5457" s="3">
        <f t="shared" si="5"/>
        <v>0.6024683339</v>
      </c>
      <c r="N5457" s="2">
        <v>1.79003E7</v>
      </c>
      <c r="O5457" s="4">
        <f t="shared" si="6"/>
        <v>5813.673271</v>
      </c>
      <c r="P5457" s="2">
        <v>1.0</v>
      </c>
      <c r="Q5457" s="3">
        <f t="shared" si="7"/>
        <v>0.0007518796992</v>
      </c>
      <c r="R5457" s="2">
        <v>1330.0</v>
      </c>
      <c r="S5457" s="5">
        <f t="shared" si="8"/>
        <v>1</v>
      </c>
    </row>
    <row r="5458">
      <c r="A5458" s="2" t="s">
        <v>5460</v>
      </c>
      <c r="B5458" s="2">
        <v>1006.0</v>
      </c>
      <c r="C5458" s="2">
        <v>11794.0</v>
      </c>
      <c r="D5458" s="2">
        <v>4077.0</v>
      </c>
      <c r="E5458" s="3">
        <f t="shared" si="1"/>
        <v>0.377919911</v>
      </c>
      <c r="F5458" s="2">
        <v>1308.0</v>
      </c>
      <c r="G5458" s="3">
        <f t="shared" si="2"/>
        <v>0.1212458287</v>
      </c>
      <c r="H5458" s="2">
        <v>2350.0</v>
      </c>
      <c r="I5458" s="3">
        <f t="shared" si="3"/>
        <v>0.2178346311</v>
      </c>
      <c r="J5458" s="2">
        <v>1683.0</v>
      </c>
      <c r="K5458" s="3">
        <f t="shared" si="4"/>
        <v>0.1560066741</v>
      </c>
      <c r="L5458" s="2">
        <v>1395.0</v>
      </c>
      <c r="M5458" s="3">
        <f t="shared" si="5"/>
        <v>0.5936170213</v>
      </c>
      <c r="N5458" s="2">
        <v>1.27495E7</v>
      </c>
      <c r="O5458" s="4">
        <f t="shared" si="6"/>
        <v>5425.319149</v>
      </c>
      <c r="P5458" s="2">
        <v>3.0</v>
      </c>
      <c r="Q5458" s="3">
        <f t="shared" si="7"/>
        <v>0.002982107356</v>
      </c>
      <c r="R5458" s="2">
        <v>1006.0</v>
      </c>
      <c r="S5458" s="5">
        <f t="shared" si="8"/>
        <v>1</v>
      </c>
    </row>
    <row r="5459">
      <c r="A5459" s="2" t="s">
        <v>5461</v>
      </c>
      <c r="B5459" s="2">
        <v>1132.0</v>
      </c>
      <c r="C5459" s="2">
        <v>13381.0</v>
      </c>
      <c r="D5459" s="2">
        <v>3843.0</v>
      </c>
      <c r="E5459" s="3">
        <f t="shared" si="1"/>
        <v>0.3137398971</v>
      </c>
      <c r="F5459" s="2">
        <v>1485.0</v>
      </c>
      <c r="G5459" s="3">
        <f t="shared" si="2"/>
        <v>0.1212343865</v>
      </c>
      <c r="H5459" s="2">
        <v>2570.0</v>
      </c>
      <c r="I5459" s="3">
        <f t="shared" si="3"/>
        <v>0.209813046</v>
      </c>
      <c r="J5459" s="2">
        <v>2135.0</v>
      </c>
      <c r="K5459" s="3">
        <f t="shared" si="4"/>
        <v>0.1742999429</v>
      </c>
      <c r="L5459" s="2">
        <v>1543.0</v>
      </c>
      <c r="M5459" s="3">
        <f t="shared" si="5"/>
        <v>0.6003891051</v>
      </c>
      <c r="N5459" s="2">
        <v>1.42931E7</v>
      </c>
      <c r="O5459" s="4">
        <f t="shared" si="6"/>
        <v>5561.51751</v>
      </c>
      <c r="P5459" s="2">
        <v>1.0</v>
      </c>
      <c r="Q5459" s="3">
        <f t="shared" si="7"/>
        <v>0.0008833922261</v>
      </c>
      <c r="R5459" s="2">
        <v>1132.0</v>
      </c>
      <c r="S5459" s="5">
        <f t="shared" si="8"/>
        <v>1</v>
      </c>
    </row>
    <row r="5460">
      <c r="A5460" s="2" t="s">
        <v>5462</v>
      </c>
      <c r="B5460" s="2">
        <v>2239.0</v>
      </c>
      <c r="C5460" s="2">
        <v>26021.0</v>
      </c>
      <c r="D5460" s="2">
        <v>9198.0</v>
      </c>
      <c r="E5460" s="3">
        <f t="shared" si="1"/>
        <v>0.3867630981</v>
      </c>
      <c r="F5460" s="2">
        <v>2883.0</v>
      </c>
      <c r="G5460" s="3">
        <f t="shared" si="2"/>
        <v>0.1212261374</v>
      </c>
      <c r="H5460" s="2">
        <v>5070.0</v>
      </c>
      <c r="I5460" s="3">
        <f t="shared" si="3"/>
        <v>0.2131864435</v>
      </c>
      <c r="J5460" s="2">
        <v>3465.0</v>
      </c>
      <c r="K5460" s="3">
        <f t="shared" si="4"/>
        <v>0.1456984274</v>
      </c>
      <c r="L5460" s="2">
        <v>3053.0</v>
      </c>
      <c r="M5460" s="3">
        <f t="shared" si="5"/>
        <v>0.6021696252</v>
      </c>
      <c r="N5460" s="2">
        <v>2.76676E7</v>
      </c>
      <c r="O5460" s="4">
        <f t="shared" si="6"/>
        <v>5457.120316</v>
      </c>
      <c r="P5460" s="2">
        <v>1.0</v>
      </c>
      <c r="Q5460" s="3">
        <f t="shared" si="7"/>
        <v>0.0004466279589</v>
      </c>
      <c r="R5460" s="2">
        <v>2239.0</v>
      </c>
      <c r="S5460" s="5">
        <f t="shared" si="8"/>
        <v>1</v>
      </c>
    </row>
    <row r="5461">
      <c r="A5461" s="2" t="s">
        <v>5463</v>
      </c>
      <c r="B5461" s="2">
        <v>83.0</v>
      </c>
      <c r="C5461" s="2">
        <v>1007.0</v>
      </c>
      <c r="D5461" s="2">
        <v>319.0</v>
      </c>
      <c r="E5461" s="3">
        <f t="shared" si="1"/>
        <v>0.3452380952</v>
      </c>
      <c r="F5461" s="2">
        <v>112.0</v>
      </c>
      <c r="G5461" s="3">
        <f t="shared" si="2"/>
        <v>0.1212121212</v>
      </c>
      <c r="H5461" s="2">
        <v>190.0</v>
      </c>
      <c r="I5461" s="3">
        <f t="shared" si="3"/>
        <v>0.2056277056</v>
      </c>
      <c r="J5461" s="2">
        <v>175.0</v>
      </c>
      <c r="K5461" s="3">
        <f t="shared" si="4"/>
        <v>0.1893939394</v>
      </c>
      <c r="L5461" s="2">
        <v>116.0</v>
      </c>
      <c r="M5461" s="3">
        <f t="shared" si="5"/>
        <v>0.6105263158</v>
      </c>
      <c r="N5461" s="2">
        <v>1045900.0</v>
      </c>
      <c r="O5461" s="4">
        <f t="shared" si="6"/>
        <v>5504.736842</v>
      </c>
      <c r="P5461" s="2">
        <v>0.0</v>
      </c>
      <c r="Q5461" s="3">
        <f t="shared" si="7"/>
        <v>0</v>
      </c>
      <c r="R5461" s="2">
        <v>83.0</v>
      </c>
      <c r="S5461" s="5">
        <f t="shared" si="8"/>
        <v>1</v>
      </c>
    </row>
    <row r="5462">
      <c r="A5462" s="2" t="s">
        <v>5464</v>
      </c>
      <c r="B5462" s="2">
        <v>106.0</v>
      </c>
      <c r="C5462" s="2">
        <v>1228.0</v>
      </c>
      <c r="D5462" s="2">
        <v>357.0</v>
      </c>
      <c r="E5462" s="3">
        <f t="shared" si="1"/>
        <v>0.3181818182</v>
      </c>
      <c r="F5462" s="2">
        <v>136.0</v>
      </c>
      <c r="G5462" s="3">
        <f t="shared" si="2"/>
        <v>0.1212121212</v>
      </c>
      <c r="H5462" s="2">
        <v>221.0</v>
      </c>
      <c r="I5462" s="3">
        <f t="shared" si="3"/>
        <v>0.196969697</v>
      </c>
      <c r="J5462" s="2">
        <v>173.0</v>
      </c>
      <c r="K5462" s="3">
        <f t="shared" si="4"/>
        <v>0.1541889483</v>
      </c>
      <c r="L5462" s="2">
        <v>125.0</v>
      </c>
      <c r="M5462" s="3">
        <f t="shared" si="5"/>
        <v>0.5656108597</v>
      </c>
      <c r="N5462" s="2">
        <v>1271200.0</v>
      </c>
      <c r="O5462" s="4">
        <f t="shared" si="6"/>
        <v>5752.036199</v>
      </c>
      <c r="P5462" s="2">
        <v>1.0</v>
      </c>
      <c r="Q5462" s="3">
        <f t="shared" si="7"/>
        <v>0.009433962264</v>
      </c>
      <c r="R5462" s="2">
        <v>106.0</v>
      </c>
      <c r="S5462" s="5">
        <f t="shared" si="8"/>
        <v>1</v>
      </c>
    </row>
    <row r="5463">
      <c r="A5463" s="2" t="s">
        <v>5465</v>
      </c>
      <c r="B5463" s="2">
        <v>823.0</v>
      </c>
      <c r="C5463" s="2">
        <v>9651.0</v>
      </c>
      <c r="D5463" s="2">
        <v>3103.0</v>
      </c>
      <c r="E5463" s="3">
        <f t="shared" si="1"/>
        <v>0.3514952424</v>
      </c>
      <c r="F5463" s="2">
        <v>1070.0</v>
      </c>
      <c r="G5463" s="3">
        <f t="shared" si="2"/>
        <v>0.121205256</v>
      </c>
      <c r="H5463" s="2">
        <v>1830.0</v>
      </c>
      <c r="I5463" s="3">
        <f t="shared" si="3"/>
        <v>0.2072949705</v>
      </c>
      <c r="J5463" s="2">
        <v>1510.0</v>
      </c>
      <c r="K5463" s="3">
        <f t="shared" si="4"/>
        <v>0.1710466697</v>
      </c>
      <c r="L5463" s="2">
        <v>1113.0</v>
      </c>
      <c r="M5463" s="3">
        <f t="shared" si="5"/>
        <v>0.6081967213</v>
      </c>
      <c r="N5463" s="2">
        <v>1.02404E7</v>
      </c>
      <c r="O5463" s="4">
        <f t="shared" si="6"/>
        <v>5595.846995</v>
      </c>
      <c r="P5463" s="2">
        <v>1.0</v>
      </c>
      <c r="Q5463" s="3">
        <f t="shared" si="7"/>
        <v>0.001215066829</v>
      </c>
      <c r="R5463" s="2">
        <v>823.0</v>
      </c>
      <c r="S5463" s="5">
        <f t="shared" si="8"/>
        <v>1</v>
      </c>
    </row>
    <row r="5464">
      <c r="A5464" s="2" t="s">
        <v>5466</v>
      </c>
      <c r="B5464" s="2">
        <v>1610.0</v>
      </c>
      <c r="C5464" s="2">
        <v>18757.0</v>
      </c>
      <c r="D5464" s="2">
        <v>5652.0</v>
      </c>
      <c r="E5464" s="3">
        <f t="shared" si="1"/>
        <v>0.3296203418</v>
      </c>
      <c r="F5464" s="2">
        <v>2078.0</v>
      </c>
      <c r="G5464" s="3">
        <f t="shared" si="2"/>
        <v>0.1211873797</v>
      </c>
      <c r="H5464" s="2">
        <v>3595.0</v>
      </c>
      <c r="I5464" s="3">
        <f t="shared" si="3"/>
        <v>0.2096576661</v>
      </c>
      <c r="J5464" s="2">
        <v>3052.0</v>
      </c>
      <c r="K5464" s="3">
        <f t="shared" si="4"/>
        <v>0.177990319</v>
      </c>
      <c r="L5464" s="2">
        <v>2140.0</v>
      </c>
      <c r="M5464" s="3">
        <f t="shared" si="5"/>
        <v>0.59527121</v>
      </c>
      <c r="N5464" s="2">
        <v>2.00147E7</v>
      </c>
      <c r="O5464" s="4">
        <f t="shared" si="6"/>
        <v>5567.371349</v>
      </c>
      <c r="P5464" s="2">
        <v>3.0</v>
      </c>
      <c r="Q5464" s="3">
        <f t="shared" si="7"/>
        <v>0.001863354037</v>
      </c>
      <c r="R5464" s="2">
        <v>1610.0</v>
      </c>
      <c r="S5464" s="5">
        <f t="shared" si="8"/>
        <v>1</v>
      </c>
    </row>
    <row r="5465">
      <c r="A5465" s="2" t="s">
        <v>5467</v>
      </c>
      <c r="B5465" s="2">
        <v>2308.0</v>
      </c>
      <c r="C5465" s="2">
        <v>27204.0</v>
      </c>
      <c r="D5465" s="2">
        <v>9738.0</v>
      </c>
      <c r="E5465" s="3">
        <f t="shared" si="1"/>
        <v>0.3911471722</v>
      </c>
      <c r="F5465" s="2">
        <v>3017.0</v>
      </c>
      <c r="G5465" s="3">
        <f t="shared" si="2"/>
        <v>0.121184126</v>
      </c>
      <c r="H5465" s="2">
        <v>5380.0</v>
      </c>
      <c r="I5465" s="3">
        <f t="shared" si="3"/>
        <v>0.2160989717</v>
      </c>
      <c r="J5465" s="2">
        <v>4151.0</v>
      </c>
      <c r="K5465" s="3">
        <f t="shared" si="4"/>
        <v>0.1667336118</v>
      </c>
      <c r="L5465" s="2">
        <v>3250.0</v>
      </c>
      <c r="M5465" s="3">
        <f t="shared" si="5"/>
        <v>0.6040892193</v>
      </c>
      <c r="N5465" s="2">
        <v>2.89055E7</v>
      </c>
      <c r="O5465" s="4">
        <f t="shared" si="6"/>
        <v>5372.769517</v>
      </c>
      <c r="P5465" s="2">
        <v>3.0</v>
      </c>
      <c r="Q5465" s="3">
        <f t="shared" si="7"/>
        <v>0.00129982669</v>
      </c>
      <c r="R5465" s="2">
        <v>2307.0</v>
      </c>
      <c r="S5465" s="5">
        <f t="shared" si="8"/>
        <v>0.9995667244</v>
      </c>
    </row>
    <row r="5466">
      <c r="A5466" s="2" t="s">
        <v>5468</v>
      </c>
      <c r="B5466" s="2">
        <v>745.0</v>
      </c>
      <c r="C5466" s="2">
        <v>8733.0</v>
      </c>
      <c r="D5466" s="2">
        <v>2701.0</v>
      </c>
      <c r="E5466" s="3">
        <f t="shared" si="1"/>
        <v>0.3381321983</v>
      </c>
      <c r="F5466" s="2">
        <v>968.0</v>
      </c>
      <c r="G5466" s="3">
        <f t="shared" si="2"/>
        <v>0.1211817727</v>
      </c>
      <c r="H5466" s="2">
        <v>1680.0</v>
      </c>
      <c r="I5466" s="3">
        <f t="shared" si="3"/>
        <v>0.2103154732</v>
      </c>
      <c r="J5466" s="2">
        <v>1413.0</v>
      </c>
      <c r="K5466" s="3">
        <f t="shared" si="4"/>
        <v>0.1768903355</v>
      </c>
      <c r="L5466" s="2">
        <v>989.0</v>
      </c>
      <c r="M5466" s="3">
        <f t="shared" si="5"/>
        <v>0.5886904762</v>
      </c>
      <c r="N5466" s="2">
        <v>9005900.0</v>
      </c>
      <c r="O5466" s="4">
        <f t="shared" si="6"/>
        <v>5360.654762</v>
      </c>
      <c r="P5466" s="2">
        <v>5.0</v>
      </c>
      <c r="Q5466" s="3">
        <f t="shared" si="7"/>
        <v>0.006711409396</v>
      </c>
      <c r="R5466" s="2">
        <v>117.0</v>
      </c>
      <c r="S5466" s="5">
        <f t="shared" si="8"/>
        <v>0.1570469799</v>
      </c>
    </row>
    <row r="5467">
      <c r="A5467" s="2" t="s">
        <v>5469</v>
      </c>
      <c r="B5467" s="2">
        <v>1314.0</v>
      </c>
      <c r="C5467" s="2">
        <v>15410.0</v>
      </c>
      <c r="D5467" s="2">
        <v>5370.0</v>
      </c>
      <c r="E5467" s="3">
        <f t="shared" si="1"/>
        <v>0.3809591373</v>
      </c>
      <c r="F5467" s="2">
        <v>1708.0</v>
      </c>
      <c r="G5467" s="3">
        <f t="shared" si="2"/>
        <v>0.121169126</v>
      </c>
      <c r="H5467" s="2">
        <v>2938.0</v>
      </c>
      <c r="I5467" s="3">
        <f t="shared" si="3"/>
        <v>0.2084279228</v>
      </c>
      <c r="J5467" s="2">
        <v>2165.0</v>
      </c>
      <c r="K5467" s="3">
        <f t="shared" si="4"/>
        <v>0.1535896708</v>
      </c>
      <c r="L5467" s="2">
        <v>1752.0</v>
      </c>
      <c r="M5467" s="3">
        <f t="shared" si="5"/>
        <v>0.59632403</v>
      </c>
      <c r="N5467" s="2">
        <v>1.63265E7</v>
      </c>
      <c r="O5467" s="4">
        <f t="shared" si="6"/>
        <v>5557.011572</v>
      </c>
      <c r="P5467" s="2">
        <v>2.0</v>
      </c>
      <c r="Q5467" s="3">
        <f t="shared" si="7"/>
        <v>0.001522070015</v>
      </c>
      <c r="R5467" s="2">
        <v>1314.0</v>
      </c>
      <c r="S5467" s="5">
        <f t="shared" si="8"/>
        <v>1</v>
      </c>
    </row>
    <row r="5468">
      <c r="A5468" s="2" t="s">
        <v>5470</v>
      </c>
      <c r="B5468" s="2">
        <v>56.0</v>
      </c>
      <c r="C5468" s="2">
        <v>642.0</v>
      </c>
      <c r="D5468" s="2">
        <v>180.0</v>
      </c>
      <c r="E5468" s="3">
        <f t="shared" si="1"/>
        <v>0.3071672355</v>
      </c>
      <c r="F5468" s="2">
        <v>71.0</v>
      </c>
      <c r="G5468" s="3">
        <f t="shared" si="2"/>
        <v>0.1211604096</v>
      </c>
      <c r="H5468" s="2">
        <v>114.0</v>
      </c>
      <c r="I5468" s="3">
        <f t="shared" si="3"/>
        <v>0.1945392491</v>
      </c>
      <c r="J5468" s="2">
        <v>88.0</v>
      </c>
      <c r="K5468" s="3">
        <f t="shared" si="4"/>
        <v>0.1501706485</v>
      </c>
      <c r="L5468" s="2">
        <v>75.0</v>
      </c>
      <c r="M5468" s="3">
        <f t="shared" si="5"/>
        <v>0.6578947368</v>
      </c>
      <c r="N5468" s="2">
        <v>648700.0</v>
      </c>
      <c r="O5468" s="4">
        <f t="shared" si="6"/>
        <v>5690.350877</v>
      </c>
      <c r="P5468" s="2">
        <v>0.0</v>
      </c>
      <c r="Q5468" s="3">
        <f t="shared" si="7"/>
        <v>0</v>
      </c>
      <c r="R5468" s="2">
        <v>54.0</v>
      </c>
      <c r="S5468" s="5">
        <f t="shared" si="8"/>
        <v>0.9642857143</v>
      </c>
    </row>
    <row r="5469">
      <c r="A5469" s="2" t="s">
        <v>5471</v>
      </c>
      <c r="B5469" s="2">
        <v>81.0</v>
      </c>
      <c r="C5469" s="2">
        <v>989.0</v>
      </c>
      <c r="D5469" s="2">
        <v>308.0</v>
      </c>
      <c r="E5469" s="3">
        <f t="shared" si="1"/>
        <v>0.3392070485</v>
      </c>
      <c r="F5469" s="2">
        <v>110.0</v>
      </c>
      <c r="G5469" s="3">
        <f t="shared" si="2"/>
        <v>0.1211453744</v>
      </c>
      <c r="H5469" s="2">
        <v>200.0</v>
      </c>
      <c r="I5469" s="3">
        <f t="shared" si="3"/>
        <v>0.2202643172</v>
      </c>
      <c r="J5469" s="2">
        <v>134.0</v>
      </c>
      <c r="K5469" s="3">
        <f t="shared" si="4"/>
        <v>0.1475770925</v>
      </c>
      <c r="L5469" s="2">
        <v>129.0</v>
      </c>
      <c r="M5469" s="3">
        <f t="shared" si="5"/>
        <v>0.645</v>
      </c>
      <c r="N5469" s="2">
        <v>866000.0</v>
      </c>
      <c r="O5469" s="4">
        <f t="shared" si="6"/>
        <v>4330</v>
      </c>
      <c r="P5469" s="2">
        <v>0.0</v>
      </c>
      <c r="Q5469" s="3">
        <f t="shared" si="7"/>
        <v>0</v>
      </c>
      <c r="R5469" s="2">
        <v>81.0</v>
      </c>
      <c r="S5469" s="5">
        <f t="shared" si="8"/>
        <v>1</v>
      </c>
    </row>
    <row r="5470">
      <c r="A5470" s="2" t="s">
        <v>5472</v>
      </c>
      <c r="B5470" s="2">
        <v>116.0</v>
      </c>
      <c r="C5470" s="2">
        <v>1379.0</v>
      </c>
      <c r="D5470" s="2">
        <v>487.0</v>
      </c>
      <c r="E5470" s="3">
        <f t="shared" si="1"/>
        <v>0.3855898654</v>
      </c>
      <c r="F5470" s="2">
        <v>153.0</v>
      </c>
      <c r="G5470" s="3">
        <f t="shared" si="2"/>
        <v>0.1211401425</v>
      </c>
      <c r="H5470" s="2">
        <v>297.0</v>
      </c>
      <c r="I5470" s="3">
        <f t="shared" si="3"/>
        <v>0.2351543943</v>
      </c>
      <c r="J5470" s="2">
        <v>239.0</v>
      </c>
      <c r="K5470" s="3">
        <f t="shared" si="4"/>
        <v>0.1892319873</v>
      </c>
      <c r="L5470" s="2">
        <v>179.0</v>
      </c>
      <c r="M5470" s="3">
        <f t="shared" si="5"/>
        <v>0.6026936027</v>
      </c>
      <c r="N5470" s="2">
        <v>1694000.0</v>
      </c>
      <c r="O5470" s="4">
        <f t="shared" si="6"/>
        <v>5703.703704</v>
      </c>
      <c r="P5470" s="2">
        <v>1.0</v>
      </c>
      <c r="Q5470" s="3">
        <f t="shared" si="7"/>
        <v>0.008620689655</v>
      </c>
      <c r="R5470" s="2">
        <v>116.0</v>
      </c>
      <c r="S5470" s="5">
        <f t="shared" si="8"/>
        <v>1</v>
      </c>
    </row>
    <row r="5471">
      <c r="A5471" s="2" t="s">
        <v>5473</v>
      </c>
      <c r="B5471" s="2">
        <v>459.0</v>
      </c>
      <c r="C5471" s="2">
        <v>5379.0</v>
      </c>
      <c r="D5471" s="2">
        <v>1835.0</v>
      </c>
      <c r="E5471" s="3">
        <f t="shared" si="1"/>
        <v>0.3729674797</v>
      </c>
      <c r="F5471" s="2">
        <v>596.0</v>
      </c>
      <c r="G5471" s="3">
        <f t="shared" si="2"/>
        <v>0.1211382114</v>
      </c>
      <c r="H5471" s="2">
        <v>1045.0</v>
      </c>
      <c r="I5471" s="3">
        <f t="shared" si="3"/>
        <v>0.212398374</v>
      </c>
      <c r="J5471" s="2">
        <v>688.0</v>
      </c>
      <c r="K5471" s="3">
        <f t="shared" si="4"/>
        <v>0.1398373984</v>
      </c>
      <c r="L5471" s="2">
        <v>610.0</v>
      </c>
      <c r="M5471" s="3">
        <f t="shared" si="5"/>
        <v>0.5837320574</v>
      </c>
      <c r="N5471" s="2">
        <v>5777100.0</v>
      </c>
      <c r="O5471" s="4">
        <f t="shared" si="6"/>
        <v>5528.325359</v>
      </c>
      <c r="P5471" s="2">
        <v>2.0</v>
      </c>
      <c r="Q5471" s="3">
        <f t="shared" si="7"/>
        <v>0.004357298475</v>
      </c>
      <c r="R5471" s="2">
        <v>135.0</v>
      </c>
      <c r="S5471" s="5">
        <f t="shared" si="8"/>
        <v>0.2941176471</v>
      </c>
    </row>
    <row r="5472">
      <c r="A5472" s="2" t="s">
        <v>5474</v>
      </c>
      <c r="B5472" s="2">
        <v>193.0</v>
      </c>
      <c r="C5472" s="2">
        <v>2232.0</v>
      </c>
      <c r="D5472" s="2">
        <v>636.0</v>
      </c>
      <c r="E5472" s="3">
        <f t="shared" si="1"/>
        <v>0.3119176067</v>
      </c>
      <c r="F5472" s="2">
        <v>247.0</v>
      </c>
      <c r="G5472" s="3">
        <f t="shared" si="2"/>
        <v>0.1211378127</v>
      </c>
      <c r="H5472" s="2">
        <v>411.0</v>
      </c>
      <c r="I5472" s="3">
        <f t="shared" si="3"/>
        <v>0.2015693968</v>
      </c>
      <c r="J5472" s="2">
        <v>391.0</v>
      </c>
      <c r="K5472" s="3">
        <f t="shared" si="4"/>
        <v>0.191760667</v>
      </c>
      <c r="L5472" s="2">
        <v>231.0</v>
      </c>
      <c r="M5472" s="3">
        <f t="shared" si="5"/>
        <v>0.5620437956</v>
      </c>
      <c r="N5472" s="2">
        <v>2485800.0</v>
      </c>
      <c r="O5472" s="4">
        <f t="shared" si="6"/>
        <v>6048.175182</v>
      </c>
      <c r="P5472" s="2">
        <v>0.0</v>
      </c>
      <c r="Q5472" s="3">
        <f t="shared" si="7"/>
        <v>0</v>
      </c>
      <c r="R5472" s="2">
        <v>193.0</v>
      </c>
      <c r="S5472" s="5">
        <f t="shared" si="8"/>
        <v>1</v>
      </c>
    </row>
    <row r="5473">
      <c r="A5473" s="2" t="s">
        <v>5475</v>
      </c>
      <c r="B5473" s="2">
        <v>189.0</v>
      </c>
      <c r="C5473" s="2">
        <v>2162.0</v>
      </c>
      <c r="D5473" s="2">
        <v>674.0</v>
      </c>
      <c r="E5473" s="3">
        <f t="shared" si="1"/>
        <v>0.3416117587</v>
      </c>
      <c r="F5473" s="2">
        <v>239.0</v>
      </c>
      <c r="G5473" s="3">
        <f t="shared" si="2"/>
        <v>0.1211353269</v>
      </c>
      <c r="H5473" s="2">
        <v>386.0</v>
      </c>
      <c r="I5473" s="3">
        <f t="shared" si="3"/>
        <v>0.1956411556</v>
      </c>
      <c r="J5473" s="2">
        <v>317.0</v>
      </c>
      <c r="K5473" s="3">
        <f t="shared" si="4"/>
        <v>0.1606690319</v>
      </c>
      <c r="L5473" s="2">
        <v>243.0</v>
      </c>
      <c r="M5473" s="3">
        <f t="shared" si="5"/>
        <v>0.6295336788</v>
      </c>
      <c r="N5473" s="2">
        <v>2179300.0</v>
      </c>
      <c r="O5473" s="4">
        <f t="shared" si="6"/>
        <v>5645.854922</v>
      </c>
      <c r="P5473" s="2">
        <v>0.0</v>
      </c>
      <c r="Q5473" s="3">
        <f t="shared" si="7"/>
        <v>0</v>
      </c>
      <c r="R5473" s="2">
        <v>189.0</v>
      </c>
      <c r="S5473" s="5">
        <f t="shared" si="8"/>
        <v>1</v>
      </c>
    </row>
    <row r="5474">
      <c r="A5474" s="2" t="s">
        <v>5476</v>
      </c>
      <c r="B5474" s="2">
        <v>1322.0</v>
      </c>
      <c r="C5474" s="2">
        <v>15769.0</v>
      </c>
      <c r="D5474" s="2">
        <v>4568.0</v>
      </c>
      <c r="E5474" s="3">
        <f t="shared" si="1"/>
        <v>0.3161902125</v>
      </c>
      <c r="F5474" s="2">
        <v>1750.0</v>
      </c>
      <c r="G5474" s="3">
        <f t="shared" si="2"/>
        <v>0.121132415</v>
      </c>
      <c r="H5474" s="2">
        <v>2987.0</v>
      </c>
      <c r="I5474" s="3">
        <f t="shared" si="3"/>
        <v>0.2067557278</v>
      </c>
      <c r="J5474" s="2">
        <v>2467.0</v>
      </c>
      <c r="K5474" s="3">
        <f t="shared" si="4"/>
        <v>0.1707620959</v>
      </c>
      <c r="L5474" s="2">
        <v>1792.0</v>
      </c>
      <c r="M5474" s="3">
        <f t="shared" si="5"/>
        <v>0.5999330432</v>
      </c>
      <c r="N5474" s="2">
        <v>1.67496E7</v>
      </c>
      <c r="O5474" s="4">
        <f t="shared" si="6"/>
        <v>5607.499163</v>
      </c>
      <c r="P5474" s="2">
        <v>4.0</v>
      </c>
      <c r="Q5474" s="3">
        <f t="shared" si="7"/>
        <v>0.003025718608</v>
      </c>
      <c r="R5474" s="2">
        <v>1322.0</v>
      </c>
      <c r="S5474" s="5">
        <f t="shared" si="8"/>
        <v>1</v>
      </c>
    </row>
    <row r="5475">
      <c r="A5475" s="2" t="s">
        <v>5477</v>
      </c>
      <c r="B5475" s="2">
        <v>1208.0</v>
      </c>
      <c r="C5475" s="2">
        <v>14244.0</v>
      </c>
      <c r="D5475" s="2">
        <v>2803.0</v>
      </c>
      <c r="E5475" s="3">
        <f t="shared" si="1"/>
        <v>0.2150199448</v>
      </c>
      <c r="F5475" s="2">
        <v>1579.0</v>
      </c>
      <c r="G5475" s="3">
        <f t="shared" si="2"/>
        <v>0.1211261123</v>
      </c>
      <c r="H5475" s="2">
        <v>2559.0</v>
      </c>
      <c r="I5475" s="3">
        <f t="shared" si="3"/>
        <v>0.1963025468</v>
      </c>
      <c r="J5475" s="2">
        <v>2669.0</v>
      </c>
      <c r="K5475" s="3">
        <f t="shared" si="4"/>
        <v>0.204740718</v>
      </c>
      <c r="L5475" s="2">
        <v>1471.0</v>
      </c>
      <c r="M5475" s="3">
        <f t="shared" si="5"/>
        <v>0.5748339195</v>
      </c>
      <c r="N5475" s="2">
        <v>1.54094E7</v>
      </c>
      <c r="O5475" s="4">
        <f t="shared" si="6"/>
        <v>6021.649082</v>
      </c>
      <c r="P5475" s="2">
        <v>2.0</v>
      </c>
      <c r="Q5475" s="3">
        <f t="shared" si="7"/>
        <v>0.001655629139</v>
      </c>
      <c r="R5475" s="2">
        <v>1208.0</v>
      </c>
      <c r="S5475" s="5">
        <f t="shared" si="8"/>
        <v>1</v>
      </c>
    </row>
    <row r="5476">
      <c r="A5476" s="2" t="s">
        <v>5478</v>
      </c>
      <c r="B5476" s="2">
        <v>265.0</v>
      </c>
      <c r="C5476" s="2">
        <v>3072.0</v>
      </c>
      <c r="D5476" s="2">
        <v>944.0</v>
      </c>
      <c r="E5476" s="3">
        <f t="shared" si="1"/>
        <v>0.3363021019</v>
      </c>
      <c r="F5476" s="2">
        <v>340.0</v>
      </c>
      <c r="G5476" s="3">
        <f t="shared" si="2"/>
        <v>0.121125757</v>
      </c>
      <c r="H5476" s="2">
        <v>552.0</v>
      </c>
      <c r="I5476" s="3">
        <f t="shared" si="3"/>
        <v>0.1966512291</v>
      </c>
      <c r="J5476" s="2">
        <v>390.0</v>
      </c>
      <c r="K5476" s="3">
        <f t="shared" si="4"/>
        <v>0.1389383684</v>
      </c>
      <c r="L5476" s="2">
        <v>331.0</v>
      </c>
      <c r="M5476" s="3">
        <f t="shared" si="5"/>
        <v>0.5996376812</v>
      </c>
      <c r="N5476" s="2">
        <v>3128800.0</v>
      </c>
      <c r="O5476" s="4">
        <f t="shared" si="6"/>
        <v>5668.115942</v>
      </c>
      <c r="P5476" s="2">
        <v>0.0</v>
      </c>
      <c r="Q5476" s="3">
        <f t="shared" si="7"/>
        <v>0</v>
      </c>
      <c r="R5476" s="2">
        <v>239.0</v>
      </c>
      <c r="S5476" s="5">
        <f t="shared" si="8"/>
        <v>0.9018867925</v>
      </c>
    </row>
    <row r="5477">
      <c r="A5477" s="2" t="s">
        <v>5479</v>
      </c>
      <c r="B5477" s="2">
        <v>99.0</v>
      </c>
      <c r="C5477" s="2">
        <v>1131.0</v>
      </c>
      <c r="D5477" s="2">
        <v>312.0</v>
      </c>
      <c r="E5477" s="3">
        <f t="shared" si="1"/>
        <v>0.3023255814</v>
      </c>
      <c r="F5477" s="2">
        <v>125.0</v>
      </c>
      <c r="G5477" s="3">
        <f t="shared" si="2"/>
        <v>0.121124031</v>
      </c>
      <c r="H5477" s="2">
        <v>231.0</v>
      </c>
      <c r="I5477" s="3">
        <f t="shared" si="3"/>
        <v>0.2238372093</v>
      </c>
      <c r="J5477" s="2">
        <v>158.0</v>
      </c>
      <c r="K5477" s="3">
        <f t="shared" si="4"/>
        <v>0.1531007752</v>
      </c>
      <c r="L5477" s="2">
        <v>141.0</v>
      </c>
      <c r="M5477" s="3">
        <f t="shared" si="5"/>
        <v>0.6103896104</v>
      </c>
      <c r="N5477" s="2">
        <v>1248400.0</v>
      </c>
      <c r="O5477" s="4">
        <f t="shared" si="6"/>
        <v>5404.329004</v>
      </c>
      <c r="P5477" s="2">
        <v>0.0</v>
      </c>
      <c r="Q5477" s="3">
        <f t="shared" si="7"/>
        <v>0</v>
      </c>
      <c r="R5477" s="2">
        <v>0.0</v>
      </c>
      <c r="S5477" s="5">
        <f t="shared" si="8"/>
        <v>0</v>
      </c>
    </row>
    <row r="5478">
      <c r="A5478" s="2" t="s">
        <v>5480</v>
      </c>
      <c r="B5478" s="2">
        <v>418.0</v>
      </c>
      <c r="C5478" s="2">
        <v>4926.0</v>
      </c>
      <c r="D5478" s="2">
        <v>1779.0</v>
      </c>
      <c r="E5478" s="3">
        <f t="shared" si="1"/>
        <v>0.3946317657</v>
      </c>
      <c r="F5478" s="2">
        <v>546.0</v>
      </c>
      <c r="G5478" s="3">
        <f t="shared" si="2"/>
        <v>0.1211180124</v>
      </c>
      <c r="H5478" s="2">
        <v>965.0</v>
      </c>
      <c r="I5478" s="3">
        <f t="shared" si="3"/>
        <v>0.2140638864</v>
      </c>
      <c r="J5478" s="2">
        <v>798.0</v>
      </c>
      <c r="K5478" s="3">
        <f t="shared" si="4"/>
        <v>0.1770186335</v>
      </c>
      <c r="L5478" s="2">
        <v>578.0</v>
      </c>
      <c r="M5478" s="3">
        <f t="shared" si="5"/>
        <v>0.5989637306</v>
      </c>
      <c r="N5478" s="2">
        <v>5362800.0</v>
      </c>
      <c r="O5478" s="4">
        <f t="shared" si="6"/>
        <v>5557.305699</v>
      </c>
      <c r="P5478" s="2">
        <v>0.0</v>
      </c>
      <c r="Q5478" s="3">
        <f t="shared" si="7"/>
        <v>0</v>
      </c>
      <c r="R5478" s="2">
        <v>418.0</v>
      </c>
      <c r="S5478" s="5">
        <f t="shared" si="8"/>
        <v>1</v>
      </c>
    </row>
    <row r="5479">
      <c r="A5479" s="2" t="s">
        <v>5481</v>
      </c>
      <c r="B5479" s="2">
        <v>483.0</v>
      </c>
      <c r="C5479" s="2">
        <v>5503.0</v>
      </c>
      <c r="D5479" s="2">
        <v>1753.0</v>
      </c>
      <c r="E5479" s="3">
        <f t="shared" si="1"/>
        <v>0.3492031873</v>
      </c>
      <c r="F5479" s="2">
        <v>608.0</v>
      </c>
      <c r="G5479" s="3">
        <f t="shared" si="2"/>
        <v>0.1211155378</v>
      </c>
      <c r="H5479" s="2">
        <v>1018.0</v>
      </c>
      <c r="I5479" s="3">
        <f t="shared" si="3"/>
        <v>0.2027888446</v>
      </c>
      <c r="J5479" s="2">
        <v>801.0</v>
      </c>
      <c r="K5479" s="3">
        <f t="shared" si="4"/>
        <v>0.159561753</v>
      </c>
      <c r="L5479" s="2">
        <v>607.0</v>
      </c>
      <c r="M5479" s="3">
        <f t="shared" si="5"/>
        <v>0.5962671906</v>
      </c>
      <c r="N5479" s="2">
        <v>5742300.0</v>
      </c>
      <c r="O5479" s="4">
        <f t="shared" si="6"/>
        <v>5640.766208</v>
      </c>
      <c r="P5479" s="2">
        <v>1.0</v>
      </c>
      <c r="Q5479" s="3">
        <f t="shared" si="7"/>
        <v>0.002070393375</v>
      </c>
      <c r="R5479" s="2">
        <v>483.0</v>
      </c>
      <c r="S5479" s="5">
        <f t="shared" si="8"/>
        <v>1</v>
      </c>
    </row>
    <row r="5480">
      <c r="A5480" s="2" t="s">
        <v>5482</v>
      </c>
      <c r="B5480" s="2">
        <v>240.0</v>
      </c>
      <c r="C5480" s="2">
        <v>2841.0</v>
      </c>
      <c r="D5480" s="2">
        <v>892.0</v>
      </c>
      <c r="E5480" s="3">
        <f t="shared" si="1"/>
        <v>0.3429450211</v>
      </c>
      <c r="F5480" s="2">
        <v>315.0</v>
      </c>
      <c r="G5480" s="3">
        <f t="shared" si="2"/>
        <v>0.1211072664</v>
      </c>
      <c r="H5480" s="2">
        <v>511.0</v>
      </c>
      <c r="I5480" s="3">
        <f t="shared" si="3"/>
        <v>0.1964628989</v>
      </c>
      <c r="J5480" s="2">
        <v>358.0</v>
      </c>
      <c r="K5480" s="3">
        <f t="shared" si="4"/>
        <v>0.1376393695</v>
      </c>
      <c r="L5480" s="2">
        <v>319.0</v>
      </c>
      <c r="M5480" s="3">
        <f t="shared" si="5"/>
        <v>0.6242661448</v>
      </c>
      <c r="N5480" s="2">
        <v>2793600.0</v>
      </c>
      <c r="O5480" s="4">
        <f t="shared" si="6"/>
        <v>5466.927593</v>
      </c>
      <c r="P5480" s="2">
        <v>0.0</v>
      </c>
      <c r="Q5480" s="3">
        <f t="shared" si="7"/>
        <v>0</v>
      </c>
      <c r="R5480" s="2">
        <v>240.0</v>
      </c>
      <c r="S5480" s="5">
        <f t="shared" si="8"/>
        <v>1</v>
      </c>
    </row>
    <row r="5481">
      <c r="A5481" s="2" t="s">
        <v>5483</v>
      </c>
      <c r="B5481" s="2">
        <v>606.0</v>
      </c>
      <c r="C5481" s="2">
        <v>7088.0</v>
      </c>
      <c r="D5481" s="2">
        <v>2150.0</v>
      </c>
      <c r="E5481" s="3">
        <f t="shared" si="1"/>
        <v>0.3316877507</v>
      </c>
      <c r="F5481" s="2">
        <v>785.0</v>
      </c>
      <c r="G5481" s="3">
        <f t="shared" si="2"/>
        <v>0.1211045973</v>
      </c>
      <c r="H5481" s="2">
        <v>1244.0</v>
      </c>
      <c r="I5481" s="3">
        <f t="shared" si="3"/>
        <v>0.1919160753</v>
      </c>
      <c r="J5481" s="2">
        <v>1000.0</v>
      </c>
      <c r="K5481" s="3">
        <f t="shared" si="4"/>
        <v>0.1542733724</v>
      </c>
      <c r="L5481" s="2">
        <v>740.0</v>
      </c>
      <c r="M5481" s="3">
        <f t="shared" si="5"/>
        <v>0.5948553055</v>
      </c>
      <c r="N5481" s="2">
        <v>7615900.0</v>
      </c>
      <c r="O5481" s="4">
        <f t="shared" si="6"/>
        <v>6122.106109</v>
      </c>
      <c r="P5481" s="2">
        <v>0.0</v>
      </c>
      <c r="Q5481" s="3">
        <f t="shared" si="7"/>
        <v>0</v>
      </c>
      <c r="R5481" s="2">
        <v>606.0</v>
      </c>
      <c r="S5481" s="5">
        <f t="shared" si="8"/>
        <v>1</v>
      </c>
    </row>
    <row r="5482">
      <c r="A5482" s="2" t="s">
        <v>5484</v>
      </c>
      <c r="B5482" s="2">
        <v>2269.0</v>
      </c>
      <c r="C5482" s="2">
        <v>26686.0</v>
      </c>
      <c r="D5482" s="2">
        <v>10041.0</v>
      </c>
      <c r="E5482" s="3">
        <f t="shared" si="1"/>
        <v>0.4112298808</v>
      </c>
      <c r="F5482" s="2">
        <v>2957.0</v>
      </c>
      <c r="G5482" s="3">
        <f t="shared" si="2"/>
        <v>0.1211041487</v>
      </c>
      <c r="H5482" s="2">
        <v>5247.0</v>
      </c>
      <c r="I5482" s="3">
        <f t="shared" si="3"/>
        <v>0.2148912643</v>
      </c>
      <c r="J5482" s="2">
        <v>3742.0</v>
      </c>
      <c r="K5482" s="3">
        <f t="shared" si="4"/>
        <v>0.1532538805</v>
      </c>
      <c r="L5482" s="2">
        <v>3166.0</v>
      </c>
      <c r="M5482" s="3">
        <f t="shared" si="5"/>
        <v>0.6033924147</v>
      </c>
      <c r="N5482" s="2">
        <v>2.72186E7</v>
      </c>
      <c r="O5482" s="4">
        <f t="shared" si="6"/>
        <v>5187.459501</v>
      </c>
      <c r="P5482" s="2">
        <v>4.0</v>
      </c>
      <c r="Q5482" s="3">
        <f t="shared" si="7"/>
        <v>0.001762891141</v>
      </c>
      <c r="R5482" s="2">
        <v>145.0</v>
      </c>
      <c r="S5482" s="5">
        <f t="shared" si="8"/>
        <v>0.06390480388</v>
      </c>
    </row>
    <row r="5483">
      <c r="A5483" s="2" t="s">
        <v>5485</v>
      </c>
      <c r="B5483" s="2">
        <v>369.0</v>
      </c>
      <c r="C5483" s="2">
        <v>4217.0</v>
      </c>
      <c r="D5483" s="2">
        <v>1304.0</v>
      </c>
      <c r="E5483" s="3">
        <f t="shared" si="1"/>
        <v>0.3388773389</v>
      </c>
      <c r="F5483" s="2">
        <v>466.0</v>
      </c>
      <c r="G5483" s="3">
        <f t="shared" si="2"/>
        <v>0.1211018711</v>
      </c>
      <c r="H5483" s="2">
        <v>784.0</v>
      </c>
      <c r="I5483" s="3">
        <f t="shared" si="3"/>
        <v>0.2037422037</v>
      </c>
      <c r="J5483" s="2">
        <v>740.0</v>
      </c>
      <c r="K5483" s="3">
        <f t="shared" si="4"/>
        <v>0.1923076923</v>
      </c>
      <c r="L5483" s="2">
        <v>462.0</v>
      </c>
      <c r="M5483" s="3">
        <f t="shared" si="5"/>
        <v>0.5892857143</v>
      </c>
      <c r="N5483" s="2">
        <v>4600800.0</v>
      </c>
      <c r="O5483" s="4">
        <f t="shared" si="6"/>
        <v>5868.367347</v>
      </c>
      <c r="P5483" s="2">
        <v>0.0</v>
      </c>
      <c r="Q5483" s="3">
        <f t="shared" si="7"/>
        <v>0</v>
      </c>
      <c r="R5483" s="2">
        <v>0.0</v>
      </c>
      <c r="S5483" s="5">
        <f t="shared" si="8"/>
        <v>0</v>
      </c>
    </row>
    <row r="5484">
      <c r="A5484" s="2" t="s">
        <v>5486</v>
      </c>
      <c r="B5484" s="2">
        <v>2314.0</v>
      </c>
      <c r="C5484" s="2">
        <v>27244.0</v>
      </c>
      <c r="D5484" s="2">
        <v>8718.0</v>
      </c>
      <c r="E5484" s="3">
        <f t="shared" si="1"/>
        <v>0.3496991576</v>
      </c>
      <c r="F5484" s="2">
        <v>3019.0</v>
      </c>
      <c r="G5484" s="3">
        <f t="shared" si="2"/>
        <v>0.1210990774</v>
      </c>
      <c r="H5484" s="2">
        <v>5483.0</v>
      </c>
      <c r="I5484" s="3">
        <f t="shared" si="3"/>
        <v>0.2199358203</v>
      </c>
      <c r="J5484" s="2">
        <v>4016.0</v>
      </c>
      <c r="K5484" s="3">
        <f t="shared" si="4"/>
        <v>0.161091055</v>
      </c>
      <c r="L5484" s="2">
        <v>3281.0</v>
      </c>
      <c r="M5484" s="3">
        <f t="shared" si="5"/>
        <v>0.5983950392</v>
      </c>
      <c r="N5484" s="2">
        <v>3.04351E7</v>
      </c>
      <c r="O5484" s="4">
        <f t="shared" si="6"/>
        <v>5550.811599</v>
      </c>
      <c r="P5484" s="2">
        <v>2.0</v>
      </c>
      <c r="Q5484" s="3">
        <f t="shared" si="7"/>
        <v>0.0008643042351</v>
      </c>
      <c r="R5484" s="2">
        <v>2291.0</v>
      </c>
      <c r="S5484" s="5">
        <f t="shared" si="8"/>
        <v>0.9900605013</v>
      </c>
    </row>
    <row r="5485">
      <c r="A5485" s="2" t="s">
        <v>5487</v>
      </c>
      <c r="B5485" s="2">
        <v>72.0</v>
      </c>
      <c r="C5485" s="2">
        <v>840.0</v>
      </c>
      <c r="D5485" s="2">
        <v>298.0</v>
      </c>
      <c r="E5485" s="3">
        <f t="shared" si="1"/>
        <v>0.3880208333</v>
      </c>
      <c r="F5485" s="2">
        <v>93.0</v>
      </c>
      <c r="G5485" s="3">
        <f t="shared" si="2"/>
        <v>0.12109375</v>
      </c>
      <c r="H5485" s="2">
        <v>176.0</v>
      </c>
      <c r="I5485" s="3">
        <f t="shared" si="3"/>
        <v>0.2291666667</v>
      </c>
      <c r="J5485" s="2">
        <v>134.0</v>
      </c>
      <c r="K5485" s="3">
        <f t="shared" si="4"/>
        <v>0.1744791667</v>
      </c>
      <c r="L5485" s="2">
        <v>116.0</v>
      </c>
      <c r="M5485" s="3">
        <f t="shared" si="5"/>
        <v>0.6590909091</v>
      </c>
      <c r="N5485" s="2">
        <v>982700.0</v>
      </c>
      <c r="O5485" s="4">
        <f t="shared" si="6"/>
        <v>5583.522727</v>
      </c>
      <c r="P5485" s="2">
        <v>0.0</v>
      </c>
      <c r="Q5485" s="3">
        <f t="shared" si="7"/>
        <v>0</v>
      </c>
      <c r="R5485" s="2">
        <v>72.0</v>
      </c>
      <c r="S5485" s="5">
        <f t="shared" si="8"/>
        <v>1</v>
      </c>
    </row>
    <row r="5486">
      <c r="A5486" s="2" t="s">
        <v>5488</v>
      </c>
      <c r="B5486" s="2">
        <v>656.0</v>
      </c>
      <c r="C5486" s="2">
        <v>7676.0</v>
      </c>
      <c r="D5486" s="2">
        <v>2516.0</v>
      </c>
      <c r="E5486" s="3">
        <f t="shared" si="1"/>
        <v>0.3584045584</v>
      </c>
      <c r="F5486" s="2">
        <v>850.0</v>
      </c>
      <c r="G5486" s="3">
        <f t="shared" si="2"/>
        <v>0.1210826211</v>
      </c>
      <c r="H5486" s="2">
        <v>1587.0</v>
      </c>
      <c r="I5486" s="3">
        <f t="shared" si="3"/>
        <v>0.2260683761</v>
      </c>
      <c r="J5486" s="2">
        <v>1310.0</v>
      </c>
      <c r="K5486" s="3">
        <f t="shared" si="4"/>
        <v>0.1866096866</v>
      </c>
      <c r="L5486" s="2">
        <v>955.0</v>
      </c>
      <c r="M5486" s="3">
        <f t="shared" si="5"/>
        <v>0.6017643352</v>
      </c>
      <c r="N5486" s="2">
        <v>8715000.0</v>
      </c>
      <c r="O5486" s="4">
        <f t="shared" si="6"/>
        <v>5491.493384</v>
      </c>
      <c r="P5486" s="2">
        <v>1.0</v>
      </c>
      <c r="Q5486" s="3">
        <f t="shared" si="7"/>
        <v>0.001524390244</v>
      </c>
      <c r="R5486" s="2">
        <v>0.0</v>
      </c>
      <c r="S5486" s="5">
        <f t="shared" si="8"/>
        <v>0</v>
      </c>
    </row>
    <row r="5487">
      <c r="A5487" s="2" t="s">
        <v>5489</v>
      </c>
      <c r="B5487" s="2">
        <v>700.0</v>
      </c>
      <c r="C5487" s="2">
        <v>8191.0</v>
      </c>
      <c r="D5487" s="2">
        <v>1917.0</v>
      </c>
      <c r="E5487" s="3">
        <f t="shared" si="1"/>
        <v>0.2559070885</v>
      </c>
      <c r="F5487" s="2">
        <v>907.0</v>
      </c>
      <c r="G5487" s="3">
        <f t="shared" si="2"/>
        <v>0.1210786277</v>
      </c>
      <c r="H5487" s="2">
        <v>1446.0</v>
      </c>
      <c r="I5487" s="3">
        <f t="shared" si="3"/>
        <v>0.193031638</v>
      </c>
      <c r="J5487" s="2">
        <v>1323.0</v>
      </c>
      <c r="K5487" s="3">
        <f t="shared" si="4"/>
        <v>0.1766119343</v>
      </c>
      <c r="L5487" s="2">
        <v>848.0</v>
      </c>
      <c r="M5487" s="3">
        <f t="shared" si="5"/>
        <v>0.5864453665</v>
      </c>
      <c r="N5487" s="2">
        <v>8540500.0</v>
      </c>
      <c r="O5487" s="4">
        <f t="shared" si="6"/>
        <v>5906.293223</v>
      </c>
      <c r="P5487" s="2">
        <v>1.0</v>
      </c>
      <c r="Q5487" s="3">
        <f t="shared" si="7"/>
        <v>0.001428571429</v>
      </c>
      <c r="R5487" s="2">
        <v>700.0</v>
      </c>
      <c r="S5487" s="5">
        <f t="shared" si="8"/>
        <v>1</v>
      </c>
    </row>
    <row r="5488">
      <c r="A5488" s="2" t="s">
        <v>5490</v>
      </c>
      <c r="B5488" s="2">
        <v>2157.0</v>
      </c>
      <c r="C5488" s="2">
        <v>25580.0</v>
      </c>
      <c r="D5488" s="2">
        <v>8834.0</v>
      </c>
      <c r="E5488" s="3">
        <f t="shared" si="1"/>
        <v>0.3771506639</v>
      </c>
      <c r="F5488" s="2">
        <v>2836.0</v>
      </c>
      <c r="G5488" s="3">
        <f t="shared" si="2"/>
        <v>0.1210775733</v>
      </c>
      <c r="H5488" s="2">
        <v>5028.0</v>
      </c>
      <c r="I5488" s="3">
        <f t="shared" si="3"/>
        <v>0.2146608035</v>
      </c>
      <c r="J5488" s="2">
        <v>4016.0</v>
      </c>
      <c r="K5488" s="3">
        <f t="shared" si="4"/>
        <v>0.1714554071</v>
      </c>
      <c r="L5488" s="2">
        <v>2995.0</v>
      </c>
      <c r="M5488" s="3">
        <f t="shared" si="5"/>
        <v>0.59566428</v>
      </c>
      <c r="N5488" s="2">
        <v>2.70487E7</v>
      </c>
      <c r="O5488" s="4">
        <f t="shared" si="6"/>
        <v>5379.614161</v>
      </c>
      <c r="P5488" s="2">
        <v>5.0</v>
      </c>
      <c r="Q5488" s="3">
        <f t="shared" si="7"/>
        <v>0.002318034307</v>
      </c>
      <c r="R5488" s="2">
        <v>1908.0</v>
      </c>
      <c r="S5488" s="5">
        <f t="shared" si="8"/>
        <v>0.8845618915</v>
      </c>
    </row>
    <row r="5489">
      <c r="A5489" s="2" t="s">
        <v>5491</v>
      </c>
      <c r="B5489" s="2">
        <v>3947.0</v>
      </c>
      <c r="C5489" s="2">
        <v>46144.0</v>
      </c>
      <c r="D5489" s="2">
        <v>14184.0</v>
      </c>
      <c r="E5489" s="3">
        <f t="shared" si="1"/>
        <v>0.3361376401</v>
      </c>
      <c r="F5489" s="2">
        <v>5109.0</v>
      </c>
      <c r="G5489" s="3">
        <f t="shared" si="2"/>
        <v>0.1210749579</v>
      </c>
      <c r="H5489" s="2">
        <v>8938.0</v>
      </c>
      <c r="I5489" s="3">
        <f t="shared" si="3"/>
        <v>0.2118160059</v>
      </c>
      <c r="J5489" s="2">
        <v>7794.0</v>
      </c>
      <c r="K5489" s="3">
        <f t="shared" si="4"/>
        <v>0.1847050738</v>
      </c>
      <c r="L5489" s="2">
        <v>5312.0</v>
      </c>
      <c r="M5489" s="3">
        <f t="shared" si="5"/>
        <v>0.5943164019</v>
      </c>
      <c r="N5489" s="2">
        <v>5.15899E7</v>
      </c>
      <c r="O5489" s="4">
        <f t="shared" si="6"/>
        <v>5771.973596</v>
      </c>
      <c r="P5489" s="2">
        <v>7.0</v>
      </c>
      <c r="Q5489" s="3">
        <f t="shared" si="7"/>
        <v>0.00177349886</v>
      </c>
      <c r="R5489" s="2">
        <v>3944.0</v>
      </c>
      <c r="S5489" s="5">
        <f t="shared" si="8"/>
        <v>0.9992399291</v>
      </c>
    </row>
    <row r="5490">
      <c r="A5490" s="2" t="s">
        <v>5492</v>
      </c>
      <c r="B5490" s="2">
        <v>309.0</v>
      </c>
      <c r="C5490" s="2">
        <v>3588.0</v>
      </c>
      <c r="D5490" s="2">
        <v>1015.0</v>
      </c>
      <c r="E5490" s="3">
        <f t="shared" si="1"/>
        <v>0.3095455932</v>
      </c>
      <c r="F5490" s="2">
        <v>397.0</v>
      </c>
      <c r="G5490" s="3">
        <f t="shared" si="2"/>
        <v>0.121073498</v>
      </c>
      <c r="H5490" s="2">
        <v>688.0</v>
      </c>
      <c r="I5490" s="3">
        <f t="shared" si="3"/>
        <v>0.2098200671</v>
      </c>
      <c r="J5490" s="2">
        <v>594.0</v>
      </c>
      <c r="K5490" s="3">
        <f t="shared" si="4"/>
        <v>0.1811527905</v>
      </c>
      <c r="L5490" s="2">
        <v>432.0</v>
      </c>
      <c r="M5490" s="3">
        <f t="shared" si="5"/>
        <v>0.6279069767</v>
      </c>
      <c r="N5490" s="2">
        <v>4069400.0</v>
      </c>
      <c r="O5490" s="4">
        <f t="shared" si="6"/>
        <v>5914.825581</v>
      </c>
      <c r="P5490" s="2">
        <v>1.0</v>
      </c>
      <c r="Q5490" s="3">
        <f t="shared" si="7"/>
        <v>0.003236245955</v>
      </c>
      <c r="R5490" s="2">
        <v>309.0</v>
      </c>
      <c r="S5490" s="5">
        <f t="shared" si="8"/>
        <v>1</v>
      </c>
    </row>
    <row r="5491">
      <c r="A5491" s="2" t="s">
        <v>5493</v>
      </c>
      <c r="B5491" s="2">
        <v>747.0</v>
      </c>
      <c r="C5491" s="2">
        <v>8734.0</v>
      </c>
      <c r="D5491" s="2">
        <v>2419.0</v>
      </c>
      <c r="E5491" s="3">
        <f t="shared" si="1"/>
        <v>0.3028671591</v>
      </c>
      <c r="F5491" s="2">
        <v>967.0</v>
      </c>
      <c r="G5491" s="3">
        <f t="shared" si="2"/>
        <v>0.1210717416</v>
      </c>
      <c r="H5491" s="2">
        <v>1605.0</v>
      </c>
      <c r="I5491" s="3">
        <f t="shared" si="3"/>
        <v>0.2009515463</v>
      </c>
      <c r="J5491" s="2">
        <v>1437.0</v>
      </c>
      <c r="K5491" s="3">
        <f t="shared" si="4"/>
        <v>0.1799173657</v>
      </c>
      <c r="L5491" s="2">
        <v>948.0</v>
      </c>
      <c r="M5491" s="3">
        <f t="shared" si="5"/>
        <v>0.5906542056</v>
      </c>
      <c r="N5491" s="2">
        <v>9240500.0</v>
      </c>
      <c r="O5491" s="4">
        <f t="shared" si="6"/>
        <v>5757.320872</v>
      </c>
      <c r="P5491" s="2">
        <v>1.0</v>
      </c>
      <c r="Q5491" s="3">
        <f t="shared" si="7"/>
        <v>0.001338688086</v>
      </c>
      <c r="R5491" s="2">
        <v>747.0</v>
      </c>
      <c r="S5491" s="5">
        <f t="shared" si="8"/>
        <v>1</v>
      </c>
    </row>
    <row r="5492">
      <c r="A5492" s="2" t="s">
        <v>5494</v>
      </c>
      <c r="B5492" s="2">
        <v>276.0</v>
      </c>
      <c r="C5492" s="2">
        <v>3266.0</v>
      </c>
      <c r="D5492" s="2">
        <v>907.0</v>
      </c>
      <c r="E5492" s="3">
        <f t="shared" si="1"/>
        <v>0.3033444816</v>
      </c>
      <c r="F5492" s="2">
        <v>362.0</v>
      </c>
      <c r="G5492" s="3">
        <f t="shared" si="2"/>
        <v>0.1210702341</v>
      </c>
      <c r="H5492" s="2">
        <v>596.0</v>
      </c>
      <c r="I5492" s="3">
        <f t="shared" si="3"/>
        <v>0.1993311037</v>
      </c>
      <c r="J5492" s="2">
        <v>582.0</v>
      </c>
      <c r="K5492" s="3">
        <f t="shared" si="4"/>
        <v>0.1946488294</v>
      </c>
      <c r="L5492" s="2">
        <v>334.0</v>
      </c>
      <c r="M5492" s="3">
        <f t="shared" si="5"/>
        <v>0.5604026846</v>
      </c>
      <c r="N5492" s="2">
        <v>3568500.0</v>
      </c>
      <c r="O5492" s="4">
        <f t="shared" si="6"/>
        <v>5987.416107</v>
      </c>
      <c r="P5492" s="2">
        <v>0.0</v>
      </c>
      <c r="Q5492" s="3">
        <f t="shared" si="7"/>
        <v>0</v>
      </c>
      <c r="R5492" s="2">
        <v>0.0</v>
      </c>
      <c r="S5492" s="5">
        <f t="shared" si="8"/>
        <v>0</v>
      </c>
    </row>
    <row r="5493">
      <c r="A5493" s="2" t="s">
        <v>5495</v>
      </c>
      <c r="B5493" s="2">
        <v>1481.0</v>
      </c>
      <c r="C5493" s="2">
        <v>17340.0</v>
      </c>
      <c r="D5493" s="2">
        <v>5923.0</v>
      </c>
      <c r="E5493" s="3">
        <f t="shared" si="1"/>
        <v>0.3734787818</v>
      </c>
      <c r="F5493" s="2">
        <v>1920.0</v>
      </c>
      <c r="G5493" s="3">
        <f t="shared" si="2"/>
        <v>0.1210669021</v>
      </c>
      <c r="H5493" s="2">
        <v>3320.0</v>
      </c>
      <c r="I5493" s="3">
        <f t="shared" si="3"/>
        <v>0.2093448515</v>
      </c>
      <c r="J5493" s="2">
        <v>2633.0</v>
      </c>
      <c r="K5493" s="3">
        <f t="shared" si="4"/>
        <v>0.1660256006</v>
      </c>
      <c r="L5493" s="2">
        <v>2018.0</v>
      </c>
      <c r="M5493" s="3">
        <f t="shared" si="5"/>
        <v>0.6078313253</v>
      </c>
      <c r="N5493" s="2">
        <v>1.82445E7</v>
      </c>
      <c r="O5493" s="4">
        <f t="shared" si="6"/>
        <v>5495.331325</v>
      </c>
      <c r="P5493" s="2">
        <v>5.0</v>
      </c>
      <c r="Q5493" s="3">
        <f t="shared" si="7"/>
        <v>0.003376097232</v>
      </c>
      <c r="R5493" s="2">
        <v>1481.0</v>
      </c>
      <c r="S5493" s="5">
        <f t="shared" si="8"/>
        <v>1</v>
      </c>
    </row>
    <row r="5494">
      <c r="A5494" s="2" t="s">
        <v>5496</v>
      </c>
      <c r="B5494" s="2">
        <v>1590.0</v>
      </c>
      <c r="C5494" s="2">
        <v>18780.0</v>
      </c>
      <c r="D5494" s="2">
        <v>6370.0</v>
      </c>
      <c r="E5494" s="3">
        <f t="shared" si="1"/>
        <v>0.3705642816</v>
      </c>
      <c r="F5494" s="2">
        <v>2081.0</v>
      </c>
      <c r="G5494" s="3">
        <f t="shared" si="2"/>
        <v>0.1210587551</v>
      </c>
      <c r="H5494" s="2">
        <v>3643.0</v>
      </c>
      <c r="I5494" s="3">
        <f t="shared" si="3"/>
        <v>0.2119255381</v>
      </c>
      <c r="J5494" s="2">
        <v>2737.0</v>
      </c>
      <c r="K5494" s="3">
        <f t="shared" si="4"/>
        <v>0.159220477</v>
      </c>
      <c r="L5494" s="2">
        <v>2211.0</v>
      </c>
      <c r="M5494" s="3">
        <f t="shared" si="5"/>
        <v>0.6069173758</v>
      </c>
      <c r="N5494" s="2">
        <v>2.02984E7</v>
      </c>
      <c r="O5494" s="4">
        <f t="shared" si="6"/>
        <v>5571.891298</v>
      </c>
      <c r="P5494" s="2">
        <v>10.0</v>
      </c>
      <c r="Q5494" s="3">
        <f t="shared" si="7"/>
        <v>0.006289308176</v>
      </c>
      <c r="R5494" s="2">
        <v>31.0</v>
      </c>
      <c r="S5494" s="5">
        <f t="shared" si="8"/>
        <v>0.01949685535</v>
      </c>
    </row>
    <row r="5495">
      <c r="A5495" s="2" t="s">
        <v>5497</v>
      </c>
      <c r="B5495" s="2">
        <v>113.0</v>
      </c>
      <c r="C5495" s="2">
        <v>1253.0</v>
      </c>
      <c r="D5495" s="2">
        <v>454.0</v>
      </c>
      <c r="E5495" s="3">
        <f t="shared" si="1"/>
        <v>0.398245614</v>
      </c>
      <c r="F5495" s="2">
        <v>138.0</v>
      </c>
      <c r="G5495" s="3">
        <f t="shared" si="2"/>
        <v>0.1210526316</v>
      </c>
      <c r="H5495" s="2">
        <v>266.0</v>
      </c>
      <c r="I5495" s="3">
        <f t="shared" si="3"/>
        <v>0.2333333333</v>
      </c>
      <c r="J5495" s="2">
        <v>151.0</v>
      </c>
      <c r="K5495" s="3">
        <f t="shared" si="4"/>
        <v>0.1324561404</v>
      </c>
      <c r="L5495" s="2">
        <v>174.0</v>
      </c>
      <c r="M5495" s="3">
        <f t="shared" si="5"/>
        <v>0.6541353383</v>
      </c>
      <c r="N5495" s="2">
        <v>1381400.0</v>
      </c>
      <c r="O5495" s="4">
        <f t="shared" si="6"/>
        <v>5193.233083</v>
      </c>
      <c r="P5495" s="2">
        <v>0.0</v>
      </c>
      <c r="Q5495" s="3">
        <f t="shared" si="7"/>
        <v>0</v>
      </c>
      <c r="R5495" s="2">
        <v>113.0</v>
      </c>
      <c r="S5495" s="5">
        <f t="shared" si="8"/>
        <v>1</v>
      </c>
    </row>
    <row r="5496">
      <c r="A5496" s="2" t="s">
        <v>5498</v>
      </c>
      <c r="B5496" s="2">
        <v>578.0</v>
      </c>
      <c r="C5496" s="2">
        <v>6700.0</v>
      </c>
      <c r="D5496" s="2">
        <v>1967.0</v>
      </c>
      <c r="E5496" s="3">
        <f t="shared" si="1"/>
        <v>0.3213002287</v>
      </c>
      <c r="F5496" s="2">
        <v>741.0</v>
      </c>
      <c r="G5496" s="3">
        <f t="shared" si="2"/>
        <v>0.1210388762</v>
      </c>
      <c r="H5496" s="2">
        <v>1237.0</v>
      </c>
      <c r="I5496" s="3">
        <f t="shared" si="3"/>
        <v>0.2020581509</v>
      </c>
      <c r="J5496" s="2">
        <v>900.0</v>
      </c>
      <c r="K5496" s="3">
        <f t="shared" si="4"/>
        <v>0.1470107808</v>
      </c>
      <c r="L5496" s="2">
        <v>771.0</v>
      </c>
      <c r="M5496" s="3">
        <f t="shared" si="5"/>
        <v>0.6232821342</v>
      </c>
      <c r="N5496" s="2">
        <v>7330700.0</v>
      </c>
      <c r="O5496" s="4">
        <f t="shared" si="6"/>
        <v>5926.192401</v>
      </c>
      <c r="P5496" s="2">
        <v>0.0</v>
      </c>
      <c r="Q5496" s="3">
        <f t="shared" si="7"/>
        <v>0</v>
      </c>
      <c r="R5496" s="2">
        <v>578.0</v>
      </c>
      <c r="S5496" s="5">
        <f t="shared" si="8"/>
        <v>1</v>
      </c>
    </row>
    <row r="5497">
      <c r="A5497" s="2" t="s">
        <v>5499</v>
      </c>
      <c r="B5497" s="2">
        <v>1409.0</v>
      </c>
      <c r="C5497" s="2">
        <v>16603.0</v>
      </c>
      <c r="D5497" s="2">
        <v>4584.0</v>
      </c>
      <c r="E5497" s="3">
        <f t="shared" si="1"/>
        <v>0.3016980387</v>
      </c>
      <c r="F5497" s="2">
        <v>1839.0</v>
      </c>
      <c r="G5497" s="3">
        <f t="shared" si="2"/>
        <v>0.1210346189</v>
      </c>
      <c r="H5497" s="2">
        <v>3208.0</v>
      </c>
      <c r="I5497" s="3">
        <f t="shared" si="3"/>
        <v>0.2111359747</v>
      </c>
      <c r="J5497" s="2">
        <v>2372.0</v>
      </c>
      <c r="K5497" s="3">
        <f t="shared" si="4"/>
        <v>0.1561142556</v>
      </c>
      <c r="L5497" s="2">
        <v>1897.0</v>
      </c>
      <c r="M5497" s="3">
        <f t="shared" si="5"/>
        <v>0.5913341646</v>
      </c>
      <c r="N5497" s="2">
        <v>1.75832E7</v>
      </c>
      <c r="O5497" s="4">
        <f t="shared" si="6"/>
        <v>5481.047382</v>
      </c>
      <c r="P5497" s="2">
        <v>2.0</v>
      </c>
      <c r="Q5497" s="3">
        <f t="shared" si="7"/>
        <v>0.001419446416</v>
      </c>
      <c r="R5497" s="2">
        <v>1409.0</v>
      </c>
      <c r="S5497" s="5">
        <f t="shared" si="8"/>
        <v>1</v>
      </c>
    </row>
    <row r="5498">
      <c r="A5498" s="2">
        <v>1002100.0</v>
      </c>
      <c r="B5498" s="2">
        <v>105.0</v>
      </c>
      <c r="C5498" s="2">
        <v>1270.0</v>
      </c>
      <c r="D5498" s="2">
        <v>353.0</v>
      </c>
      <c r="E5498" s="3">
        <f t="shared" si="1"/>
        <v>0.3030042918</v>
      </c>
      <c r="F5498" s="2">
        <v>141.0</v>
      </c>
      <c r="G5498" s="3">
        <f t="shared" si="2"/>
        <v>0.1210300429</v>
      </c>
      <c r="H5498" s="2">
        <v>234.0</v>
      </c>
      <c r="I5498" s="3">
        <f t="shared" si="3"/>
        <v>0.2008583691</v>
      </c>
      <c r="J5498" s="2">
        <v>169.0</v>
      </c>
      <c r="K5498" s="3">
        <f t="shared" si="4"/>
        <v>0.1450643777</v>
      </c>
      <c r="L5498" s="2">
        <v>137.0</v>
      </c>
      <c r="M5498" s="3">
        <f t="shared" si="5"/>
        <v>0.5854700855</v>
      </c>
      <c r="N5498" s="2">
        <v>1218400.0</v>
      </c>
      <c r="O5498" s="4">
        <f t="shared" si="6"/>
        <v>5206.837607</v>
      </c>
      <c r="P5498" s="2">
        <v>1.0</v>
      </c>
      <c r="Q5498" s="3">
        <f t="shared" si="7"/>
        <v>0.009523809524</v>
      </c>
      <c r="R5498" s="2">
        <v>105.0</v>
      </c>
      <c r="S5498" s="5">
        <f t="shared" si="8"/>
        <v>1</v>
      </c>
    </row>
    <row r="5499">
      <c r="A5499" s="2" t="s">
        <v>5500</v>
      </c>
      <c r="B5499" s="2">
        <v>6914.0</v>
      </c>
      <c r="C5499" s="2">
        <v>81326.0</v>
      </c>
      <c r="D5499" s="2">
        <v>24539.0</v>
      </c>
      <c r="E5499" s="3">
        <f t="shared" si="1"/>
        <v>0.3297720798</v>
      </c>
      <c r="F5499" s="2">
        <v>9006.0</v>
      </c>
      <c r="G5499" s="3">
        <f t="shared" si="2"/>
        <v>0.1210288663</v>
      </c>
      <c r="H5499" s="2">
        <v>16231.0</v>
      </c>
      <c r="I5499" s="3">
        <f t="shared" si="3"/>
        <v>0.218123421</v>
      </c>
      <c r="J5499" s="2">
        <v>11592.0</v>
      </c>
      <c r="K5499" s="3">
        <f t="shared" si="4"/>
        <v>0.1557813256</v>
      </c>
      <c r="L5499" s="2">
        <v>9877.0</v>
      </c>
      <c r="M5499" s="3">
        <f t="shared" si="5"/>
        <v>0.608526893</v>
      </c>
      <c r="N5499" s="2">
        <v>9.00072E7</v>
      </c>
      <c r="O5499" s="4">
        <f t="shared" si="6"/>
        <v>5545.388454</v>
      </c>
      <c r="P5499" s="2">
        <v>17.0</v>
      </c>
      <c r="Q5499" s="3">
        <f t="shared" si="7"/>
        <v>0.002458779288</v>
      </c>
      <c r="R5499" s="2">
        <v>6914.0</v>
      </c>
      <c r="S5499" s="5">
        <f t="shared" si="8"/>
        <v>1</v>
      </c>
    </row>
    <row r="5500">
      <c r="A5500" s="2" t="s">
        <v>5501</v>
      </c>
      <c r="B5500" s="2">
        <v>663.0</v>
      </c>
      <c r="C5500" s="2">
        <v>7860.0</v>
      </c>
      <c r="D5500" s="2">
        <v>2726.0</v>
      </c>
      <c r="E5500" s="3">
        <f t="shared" si="1"/>
        <v>0.3787689315</v>
      </c>
      <c r="F5500" s="2">
        <v>871.0</v>
      </c>
      <c r="G5500" s="3">
        <f t="shared" si="2"/>
        <v>0.1210226483</v>
      </c>
      <c r="H5500" s="2">
        <v>1644.0</v>
      </c>
      <c r="I5500" s="3">
        <f t="shared" si="3"/>
        <v>0.2284285119</v>
      </c>
      <c r="J5500" s="2">
        <v>1341.0</v>
      </c>
      <c r="K5500" s="3">
        <f t="shared" si="4"/>
        <v>0.1863276365</v>
      </c>
      <c r="L5500" s="2">
        <v>960.0</v>
      </c>
      <c r="M5500" s="3">
        <f t="shared" si="5"/>
        <v>0.5839416058</v>
      </c>
      <c r="N5500" s="2">
        <v>8732300.0</v>
      </c>
      <c r="O5500" s="4">
        <f t="shared" si="6"/>
        <v>5311.618005</v>
      </c>
      <c r="P5500" s="2">
        <v>1.0</v>
      </c>
      <c r="Q5500" s="3">
        <f t="shared" si="7"/>
        <v>0.001508295626</v>
      </c>
      <c r="R5500" s="2">
        <v>662.0</v>
      </c>
      <c r="S5500" s="5">
        <f t="shared" si="8"/>
        <v>0.9984917044</v>
      </c>
    </row>
    <row r="5501">
      <c r="A5501" s="2" t="s">
        <v>5502</v>
      </c>
      <c r="B5501" s="2">
        <v>2126.0</v>
      </c>
      <c r="C5501" s="2">
        <v>25133.0</v>
      </c>
      <c r="D5501" s="2">
        <v>7772.0</v>
      </c>
      <c r="E5501" s="3">
        <f t="shared" si="1"/>
        <v>0.3378102317</v>
      </c>
      <c r="F5501" s="2">
        <v>2784.0</v>
      </c>
      <c r="G5501" s="3">
        <f t="shared" si="2"/>
        <v>0.1210066501</v>
      </c>
      <c r="H5501" s="2">
        <v>4825.0</v>
      </c>
      <c r="I5501" s="3">
        <f t="shared" si="3"/>
        <v>0.2097187812</v>
      </c>
      <c r="J5501" s="2">
        <v>3730.0</v>
      </c>
      <c r="K5501" s="3">
        <f t="shared" si="4"/>
        <v>0.1621245708</v>
      </c>
      <c r="L5501" s="2">
        <v>2852.0</v>
      </c>
      <c r="M5501" s="3">
        <f t="shared" si="5"/>
        <v>0.5910880829</v>
      </c>
      <c r="N5501" s="2">
        <v>2.69496E7</v>
      </c>
      <c r="O5501" s="4">
        <f t="shared" si="6"/>
        <v>5585.409326</v>
      </c>
      <c r="P5501" s="2">
        <v>12.0</v>
      </c>
      <c r="Q5501" s="3">
        <f t="shared" si="7"/>
        <v>0.005644402634</v>
      </c>
      <c r="R5501" s="2">
        <v>2126.0</v>
      </c>
      <c r="S5501" s="5">
        <f t="shared" si="8"/>
        <v>1</v>
      </c>
    </row>
    <row r="5502">
      <c r="A5502" s="2" t="s">
        <v>5503</v>
      </c>
      <c r="B5502" s="2">
        <v>1986.0</v>
      </c>
      <c r="C5502" s="2">
        <v>23540.0</v>
      </c>
      <c r="D5502" s="2">
        <v>7044.0</v>
      </c>
      <c r="E5502" s="3">
        <f t="shared" si="1"/>
        <v>0.3268070892</v>
      </c>
      <c r="F5502" s="2">
        <v>2608.0</v>
      </c>
      <c r="G5502" s="3">
        <f t="shared" si="2"/>
        <v>0.1209984226</v>
      </c>
      <c r="H5502" s="2">
        <v>4423.0</v>
      </c>
      <c r="I5502" s="3">
        <f t="shared" si="3"/>
        <v>0.2052055303</v>
      </c>
      <c r="J5502" s="2">
        <v>4071.0</v>
      </c>
      <c r="K5502" s="3">
        <f t="shared" si="4"/>
        <v>0.1888744549</v>
      </c>
      <c r="L5502" s="2">
        <v>2562.0</v>
      </c>
      <c r="M5502" s="3">
        <f t="shared" si="5"/>
        <v>0.5792448564</v>
      </c>
      <c r="N5502" s="2">
        <v>2.56979E7</v>
      </c>
      <c r="O5502" s="4">
        <f t="shared" si="6"/>
        <v>5810.061045</v>
      </c>
      <c r="P5502" s="2">
        <v>6.0</v>
      </c>
      <c r="Q5502" s="3">
        <f t="shared" si="7"/>
        <v>0.003021148036</v>
      </c>
      <c r="R5502" s="2">
        <v>1986.0</v>
      </c>
      <c r="S5502" s="5">
        <f t="shared" si="8"/>
        <v>1</v>
      </c>
    </row>
    <row r="5503">
      <c r="A5503" s="2" t="s">
        <v>5504</v>
      </c>
      <c r="B5503" s="2">
        <v>478.0</v>
      </c>
      <c r="C5503" s="2">
        <v>5693.0</v>
      </c>
      <c r="D5503" s="2">
        <v>1461.0</v>
      </c>
      <c r="E5503" s="3">
        <f t="shared" si="1"/>
        <v>0.2801534036</v>
      </c>
      <c r="F5503" s="2">
        <v>631.0</v>
      </c>
      <c r="G5503" s="3">
        <f t="shared" si="2"/>
        <v>0.1209971237</v>
      </c>
      <c r="H5503" s="2">
        <v>996.0</v>
      </c>
      <c r="I5503" s="3">
        <f t="shared" si="3"/>
        <v>0.190987536</v>
      </c>
      <c r="J5503" s="2">
        <v>711.0</v>
      </c>
      <c r="K5503" s="3">
        <f t="shared" si="4"/>
        <v>0.136337488</v>
      </c>
      <c r="L5503" s="2">
        <v>626.0</v>
      </c>
      <c r="M5503" s="3">
        <f t="shared" si="5"/>
        <v>0.6285140562</v>
      </c>
      <c r="N5503" s="2">
        <v>5390300.0</v>
      </c>
      <c r="O5503" s="4">
        <f t="shared" si="6"/>
        <v>5411.947791</v>
      </c>
      <c r="P5503" s="2">
        <v>0.0</v>
      </c>
      <c r="Q5503" s="3">
        <f t="shared" si="7"/>
        <v>0</v>
      </c>
      <c r="R5503" s="2">
        <v>478.0</v>
      </c>
      <c r="S5503" s="5">
        <f t="shared" si="8"/>
        <v>1</v>
      </c>
    </row>
    <row r="5504">
      <c r="A5504" s="2" t="s">
        <v>5505</v>
      </c>
      <c r="B5504" s="2">
        <v>51.0</v>
      </c>
      <c r="C5504" s="2">
        <v>613.0</v>
      </c>
      <c r="D5504" s="2">
        <v>187.0</v>
      </c>
      <c r="E5504" s="3">
        <f t="shared" si="1"/>
        <v>0.3327402135</v>
      </c>
      <c r="F5504" s="2">
        <v>68.0</v>
      </c>
      <c r="G5504" s="3">
        <f t="shared" si="2"/>
        <v>0.1209964413</v>
      </c>
      <c r="H5504" s="2">
        <v>117.0</v>
      </c>
      <c r="I5504" s="3">
        <f t="shared" si="3"/>
        <v>0.2081850534</v>
      </c>
      <c r="J5504" s="2">
        <v>84.0</v>
      </c>
      <c r="K5504" s="3">
        <f t="shared" si="4"/>
        <v>0.1494661922</v>
      </c>
      <c r="L5504" s="2">
        <v>77.0</v>
      </c>
      <c r="M5504" s="3">
        <f t="shared" si="5"/>
        <v>0.6581196581</v>
      </c>
      <c r="N5504" s="2">
        <v>517100.0</v>
      </c>
      <c r="O5504" s="4">
        <f t="shared" si="6"/>
        <v>4419.65812</v>
      </c>
      <c r="P5504" s="2">
        <v>0.0</v>
      </c>
      <c r="Q5504" s="3">
        <f t="shared" si="7"/>
        <v>0</v>
      </c>
      <c r="R5504" s="2">
        <v>51.0</v>
      </c>
      <c r="S5504" s="5">
        <f t="shared" si="8"/>
        <v>1</v>
      </c>
    </row>
    <row r="5505">
      <c r="A5505" s="2" t="s">
        <v>5506</v>
      </c>
      <c r="B5505" s="2">
        <v>560.0</v>
      </c>
      <c r="C5505" s="2">
        <v>6552.0</v>
      </c>
      <c r="D5505" s="2">
        <v>2080.0</v>
      </c>
      <c r="E5505" s="3">
        <f t="shared" si="1"/>
        <v>0.347129506</v>
      </c>
      <c r="F5505" s="2">
        <v>725.0</v>
      </c>
      <c r="G5505" s="3">
        <f t="shared" si="2"/>
        <v>0.1209946595</v>
      </c>
      <c r="H5505" s="2">
        <v>1278.0</v>
      </c>
      <c r="I5505" s="3">
        <f t="shared" si="3"/>
        <v>0.2132843792</v>
      </c>
      <c r="J5505" s="2">
        <v>982.0</v>
      </c>
      <c r="K5505" s="3">
        <f t="shared" si="4"/>
        <v>0.1638851802</v>
      </c>
      <c r="L5505" s="2">
        <v>747.0</v>
      </c>
      <c r="M5505" s="3">
        <f t="shared" si="5"/>
        <v>0.5845070423</v>
      </c>
      <c r="N5505" s="2">
        <v>6901000.0</v>
      </c>
      <c r="O5505" s="4">
        <f t="shared" si="6"/>
        <v>5399.843505</v>
      </c>
      <c r="P5505" s="2">
        <v>1.0</v>
      </c>
      <c r="Q5505" s="3">
        <f t="shared" si="7"/>
        <v>0.001785714286</v>
      </c>
      <c r="R5505" s="2">
        <v>37.0</v>
      </c>
      <c r="S5505" s="5">
        <f t="shared" si="8"/>
        <v>0.06607142857</v>
      </c>
    </row>
    <row r="5506">
      <c r="A5506" s="2" t="s">
        <v>5507</v>
      </c>
      <c r="B5506" s="2">
        <v>4187.0</v>
      </c>
      <c r="C5506" s="2">
        <v>49032.0</v>
      </c>
      <c r="D5506" s="2">
        <v>16306.0</v>
      </c>
      <c r="E5506" s="3">
        <f t="shared" si="1"/>
        <v>0.3636079831</v>
      </c>
      <c r="F5506" s="2">
        <v>5426.0</v>
      </c>
      <c r="G5506" s="3">
        <f t="shared" si="2"/>
        <v>0.1209945367</v>
      </c>
      <c r="H5506" s="2">
        <v>9750.0</v>
      </c>
      <c r="I5506" s="3">
        <f t="shared" si="3"/>
        <v>0.2174155424</v>
      </c>
      <c r="J5506" s="2">
        <v>8670.0</v>
      </c>
      <c r="K5506" s="3">
        <f t="shared" si="4"/>
        <v>0.19333259</v>
      </c>
      <c r="L5506" s="2">
        <v>5735.0</v>
      </c>
      <c r="M5506" s="3">
        <f t="shared" si="5"/>
        <v>0.5882051282</v>
      </c>
      <c r="N5506" s="2">
        <v>5.40783E7</v>
      </c>
      <c r="O5506" s="4">
        <f t="shared" si="6"/>
        <v>5546.492308</v>
      </c>
      <c r="P5506" s="2">
        <v>6.0</v>
      </c>
      <c r="Q5506" s="3">
        <f t="shared" si="7"/>
        <v>0.001433006926</v>
      </c>
      <c r="R5506" s="2">
        <v>4163.0</v>
      </c>
      <c r="S5506" s="5">
        <f t="shared" si="8"/>
        <v>0.9942679723</v>
      </c>
    </row>
    <row r="5507">
      <c r="A5507" s="2" t="s">
        <v>5508</v>
      </c>
      <c r="B5507" s="2">
        <v>781.0</v>
      </c>
      <c r="C5507" s="2">
        <v>9212.0</v>
      </c>
      <c r="D5507" s="2">
        <v>2820.0</v>
      </c>
      <c r="E5507" s="3">
        <f t="shared" si="1"/>
        <v>0.3344798956</v>
      </c>
      <c r="F5507" s="2">
        <v>1020.0</v>
      </c>
      <c r="G5507" s="3">
        <f t="shared" si="2"/>
        <v>0.1209820899</v>
      </c>
      <c r="H5507" s="2">
        <v>1791.0</v>
      </c>
      <c r="I5507" s="3">
        <f t="shared" si="3"/>
        <v>0.2124303167</v>
      </c>
      <c r="J5507" s="2">
        <v>1541.0</v>
      </c>
      <c r="K5507" s="3">
        <f t="shared" si="4"/>
        <v>0.1827778437</v>
      </c>
      <c r="L5507" s="2">
        <v>1097.0</v>
      </c>
      <c r="M5507" s="3">
        <f t="shared" si="5"/>
        <v>0.6125069793</v>
      </c>
      <c r="N5507" s="2">
        <v>9954900.0</v>
      </c>
      <c r="O5507" s="4">
        <f t="shared" si="6"/>
        <v>5558.291457</v>
      </c>
      <c r="P5507" s="2">
        <v>0.0</v>
      </c>
      <c r="Q5507" s="3">
        <f t="shared" si="7"/>
        <v>0</v>
      </c>
      <c r="R5507" s="2">
        <v>781.0</v>
      </c>
      <c r="S5507" s="5">
        <f t="shared" si="8"/>
        <v>1</v>
      </c>
    </row>
    <row r="5508">
      <c r="A5508" s="2" t="s">
        <v>5509</v>
      </c>
      <c r="B5508" s="2">
        <v>348.0</v>
      </c>
      <c r="C5508" s="2">
        <v>4109.0</v>
      </c>
      <c r="D5508" s="2">
        <v>1147.0</v>
      </c>
      <c r="E5508" s="3">
        <f t="shared" si="1"/>
        <v>0.3049720819</v>
      </c>
      <c r="F5508" s="2">
        <v>455.0</v>
      </c>
      <c r="G5508" s="3">
        <f t="shared" si="2"/>
        <v>0.1209784632</v>
      </c>
      <c r="H5508" s="2">
        <v>740.0</v>
      </c>
      <c r="I5508" s="3">
        <f t="shared" si="3"/>
        <v>0.1967561819</v>
      </c>
      <c r="J5508" s="2">
        <v>714.0</v>
      </c>
      <c r="K5508" s="3">
        <f t="shared" si="4"/>
        <v>0.1898431268</v>
      </c>
      <c r="L5508" s="2">
        <v>447.0</v>
      </c>
      <c r="M5508" s="3">
        <f t="shared" si="5"/>
        <v>0.6040540541</v>
      </c>
      <c r="N5508" s="2">
        <v>4154400.0</v>
      </c>
      <c r="O5508" s="4">
        <f t="shared" si="6"/>
        <v>5614.054054</v>
      </c>
      <c r="P5508" s="2">
        <v>1.0</v>
      </c>
      <c r="Q5508" s="3">
        <f t="shared" si="7"/>
        <v>0.002873563218</v>
      </c>
      <c r="R5508" s="2">
        <v>0.0</v>
      </c>
      <c r="S5508" s="5">
        <f t="shared" si="8"/>
        <v>0</v>
      </c>
    </row>
    <row r="5509">
      <c r="A5509" s="2" t="s">
        <v>5510</v>
      </c>
      <c r="B5509" s="2">
        <v>266.0</v>
      </c>
      <c r="C5509" s="2">
        <v>3151.0</v>
      </c>
      <c r="D5509" s="2">
        <v>822.0</v>
      </c>
      <c r="E5509" s="3">
        <f t="shared" si="1"/>
        <v>0.2849220104</v>
      </c>
      <c r="F5509" s="2">
        <v>349.0</v>
      </c>
      <c r="G5509" s="3">
        <f t="shared" si="2"/>
        <v>0.1209705373</v>
      </c>
      <c r="H5509" s="2">
        <v>539.0</v>
      </c>
      <c r="I5509" s="3">
        <f t="shared" si="3"/>
        <v>0.1868284229</v>
      </c>
      <c r="J5509" s="2">
        <v>419.0</v>
      </c>
      <c r="K5509" s="3">
        <f t="shared" si="4"/>
        <v>0.1452339688</v>
      </c>
      <c r="L5509" s="2">
        <v>319.0</v>
      </c>
      <c r="M5509" s="3">
        <f t="shared" si="5"/>
        <v>0.5918367347</v>
      </c>
      <c r="N5509" s="2">
        <v>2963000.0</v>
      </c>
      <c r="O5509" s="4">
        <f t="shared" si="6"/>
        <v>5497.217069</v>
      </c>
      <c r="P5509" s="2">
        <v>1.0</v>
      </c>
      <c r="Q5509" s="3">
        <f t="shared" si="7"/>
        <v>0.003759398496</v>
      </c>
      <c r="R5509" s="2">
        <v>266.0</v>
      </c>
      <c r="S5509" s="5">
        <f t="shared" si="8"/>
        <v>1</v>
      </c>
    </row>
    <row r="5510">
      <c r="A5510" s="2" t="s">
        <v>5511</v>
      </c>
      <c r="B5510" s="2">
        <v>663.0</v>
      </c>
      <c r="C5510" s="2">
        <v>7748.0</v>
      </c>
      <c r="D5510" s="2">
        <v>2251.0</v>
      </c>
      <c r="E5510" s="3">
        <f t="shared" si="1"/>
        <v>0.3177134792</v>
      </c>
      <c r="F5510" s="2">
        <v>857.0</v>
      </c>
      <c r="G5510" s="3">
        <f t="shared" si="2"/>
        <v>0.1209597742</v>
      </c>
      <c r="H5510" s="2">
        <v>1457.0</v>
      </c>
      <c r="I5510" s="3">
        <f t="shared" si="3"/>
        <v>0.2056457304</v>
      </c>
      <c r="J5510" s="2">
        <v>1333.0</v>
      </c>
      <c r="K5510" s="3">
        <f t="shared" si="4"/>
        <v>0.1881439661</v>
      </c>
      <c r="L5510" s="2">
        <v>862.0</v>
      </c>
      <c r="M5510" s="3">
        <f t="shared" si="5"/>
        <v>0.5916266301</v>
      </c>
      <c r="N5510" s="2">
        <v>8407800.0</v>
      </c>
      <c r="O5510" s="4">
        <f t="shared" si="6"/>
        <v>5770.624571</v>
      </c>
      <c r="P5510" s="2">
        <v>0.0</v>
      </c>
      <c r="Q5510" s="3">
        <f t="shared" si="7"/>
        <v>0</v>
      </c>
      <c r="R5510" s="2">
        <v>663.0</v>
      </c>
      <c r="S5510" s="5">
        <f t="shared" si="8"/>
        <v>1</v>
      </c>
    </row>
    <row r="5511">
      <c r="A5511" s="2" t="s">
        <v>5512</v>
      </c>
      <c r="B5511" s="2">
        <v>98.0</v>
      </c>
      <c r="C5511" s="2">
        <v>1148.0</v>
      </c>
      <c r="D5511" s="2">
        <v>349.0</v>
      </c>
      <c r="E5511" s="3">
        <f t="shared" si="1"/>
        <v>0.3323809524</v>
      </c>
      <c r="F5511" s="2">
        <v>127.0</v>
      </c>
      <c r="G5511" s="3">
        <f t="shared" si="2"/>
        <v>0.120952381</v>
      </c>
      <c r="H5511" s="2">
        <v>190.0</v>
      </c>
      <c r="I5511" s="3">
        <f t="shared" si="3"/>
        <v>0.180952381</v>
      </c>
      <c r="J5511" s="2">
        <v>154.0</v>
      </c>
      <c r="K5511" s="3">
        <f t="shared" si="4"/>
        <v>0.1466666667</v>
      </c>
      <c r="L5511" s="2">
        <v>123.0</v>
      </c>
      <c r="M5511" s="3">
        <f t="shared" si="5"/>
        <v>0.6473684211</v>
      </c>
      <c r="N5511" s="2">
        <v>1208800.0</v>
      </c>
      <c r="O5511" s="4">
        <f t="shared" si="6"/>
        <v>6362.105263</v>
      </c>
      <c r="P5511" s="2">
        <v>0.0</v>
      </c>
      <c r="Q5511" s="3">
        <f t="shared" si="7"/>
        <v>0</v>
      </c>
      <c r="R5511" s="2">
        <v>97.0</v>
      </c>
      <c r="S5511" s="5">
        <f t="shared" si="8"/>
        <v>0.9897959184</v>
      </c>
    </row>
    <row r="5512">
      <c r="A5512" s="2" t="s">
        <v>5513</v>
      </c>
      <c r="B5512" s="2">
        <v>69.0</v>
      </c>
      <c r="C5512" s="2">
        <v>805.0</v>
      </c>
      <c r="D5512" s="2">
        <v>247.0</v>
      </c>
      <c r="E5512" s="3">
        <f t="shared" si="1"/>
        <v>0.3355978261</v>
      </c>
      <c r="F5512" s="2">
        <v>89.0</v>
      </c>
      <c r="G5512" s="3">
        <f t="shared" si="2"/>
        <v>0.120923913</v>
      </c>
      <c r="H5512" s="2">
        <v>144.0</v>
      </c>
      <c r="I5512" s="3">
        <f t="shared" si="3"/>
        <v>0.1956521739</v>
      </c>
      <c r="J5512" s="2">
        <v>120.0</v>
      </c>
      <c r="K5512" s="3">
        <f t="shared" si="4"/>
        <v>0.1630434783</v>
      </c>
      <c r="L5512" s="2">
        <v>95.0</v>
      </c>
      <c r="M5512" s="3">
        <f t="shared" si="5"/>
        <v>0.6597222222</v>
      </c>
      <c r="N5512" s="2">
        <v>778300.0</v>
      </c>
      <c r="O5512" s="4">
        <f t="shared" si="6"/>
        <v>5404.861111</v>
      </c>
      <c r="P5512" s="2">
        <v>0.0</v>
      </c>
      <c r="Q5512" s="3">
        <f t="shared" si="7"/>
        <v>0</v>
      </c>
      <c r="R5512" s="2">
        <v>69.0</v>
      </c>
      <c r="S5512" s="5">
        <f t="shared" si="8"/>
        <v>1</v>
      </c>
    </row>
    <row r="5513">
      <c r="A5513" s="2" t="s">
        <v>5514</v>
      </c>
      <c r="B5513" s="2">
        <v>740.0</v>
      </c>
      <c r="C5513" s="2">
        <v>8795.0</v>
      </c>
      <c r="D5513" s="2">
        <v>3160.0</v>
      </c>
      <c r="E5513" s="3">
        <f t="shared" si="1"/>
        <v>0.3923029174</v>
      </c>
      <c r="F5513" s="2">
        <v>974.0</v>
      </c>
      <c r="G5513" s="3">
        <f t="shared" si="2"/>
        <v>0.120918684</v>
      </c>
      <c r="H5513" s="2">
        <v>1589.0</v>
      </c>
      <c r="I5513" s="3">
        <f t="shared" si="3"/>
        <v>0.1972687772</v>
      </c>
      <c r="J5513" s="2">
        <v>1153.0</v>
      </c>
      <c r="K5513" s="3">
        <f t="shared" si="4"/>
        <v>0.1431409063</v>
      </c>
      <c r="L5513" s="2">
        <v>936.0</v>
      </c>
      <c r="M5513" s="3">
        <f t="shared" si="5"/>
        <v>0.5890497168</v>
      </c>
      <c r="N5513" s="2">
        <v>8535000.0</v>
      </c>
      <c r="O5513" s="4">
        <f t="shared" si="6"/>
        <v>5371.302706</v>
      </c>
      <c r="P5513" s="2">
        <v>2.0</v>
      </c>
      <c r="Q5513" s="3">
        <f t="shared" si="7"/>
        <v>0.002702702703</v>
      </c>
      <c r="R5513" s="2">
        <v>740.0</v>
      </c>
      <c r="S5513" s="5">
        <f t="shared" si="8"/>
        <v>1</v>
      </c>
    </row>
    <row r="5514">
      <c r="A5514" s="2" t="s">
        <v>5515</v>
      </c>
      <c r="B5514" s="2">
        <v>660.0</v>
      </c>
      <c r="C5514" s="2">
        <v>7698.0</v>
      </c>
      <c r="D5514" s="2">
        <v>2422.0</v>
      </c>
      <c r="E5514" s="3">
        <f t="shared" si="1"/>
        <v>0.3441318556</v>
      </c>
      <c r="F5514" s="2">
        <v>851.0</v>
      </c>
      <c r="G5514" s="3">
        <f t="shared" si="2"/>
        <v>0.1209150327</v>
      </c>
      <c r="H5514" s="2">
        <v>1520.0</v>
      </c>
      <c r="I5514" s="3">
        <f t="shared" si="3"/>
        <v>0.2159704461</v>
      </c>
      <c r="J5514" s="2">
        <v>1238.0</v>
      </c>
      <c r="K5514" s="3">
        <f t="shared" si="4"/>
        <v>0.175902245</v>
      </c>
      <c r="L5514" s="2">
        <v>908.0</v>
      </c>
      <c r="M5514" s="3">
        <f t="shared" si="5"/>
        <v>0.5973684211</v>
      </c>
      <c r="N5514" s="2">
        <v>8401600.0</v>
      </c>
      <c r="O5514" s="4">
        <f t="shared" si="6"/>
        <v>5527.368421</v>
      </c>
      <c r="P5514" s="2">
        <v>1.0</v>
      </c>
      <c r="Q5514" s="3">
        <f t="shared" si="7"/>
        <v>0.001515151515</v>
      </c>
      <c r="R5514" s="2">
        <v>660.0</v>
      </c>
      <c r="S5514" s="5">
        <f t="shared" si="8"/>
        <v>1</v>
      </c>
    </row>
    <row r="5515">
      <c r="A5515" s="2" t="s">
        <v>5516</v>
      </c>
      <c r="B5515" s="2">
        <v>962.0</v>
      </c>
      <c r="C5515" s="2">
        <v>11267.0</v>
      </c>
      <c r="D5515" s="2">
        <v>4898.0</v>
      </c>
      <c r="E5515" s="3">
        <f t="shared" si="1"/>
        <v>0.4753032508</v>
      </c>
      <c r="F5515" s="2">
        <v>1246.0</v>
      </c>
      <c r="G5515" s="3">
        <f t="shared" si="2"/>
        <v>0.1209121786</v>
      </c>
      <c r="H5515" s="2">
        <v>2445.0</v>
      </c>
      <c r="I5515" s="3">
        <f t="shared" si="3"/>
        <v>0.2372634643</v>
      </c>
      <c r="J5515" s="2">
        <v>1410.0</v>
      </c>
      <c r="K5515" s="3">
        <f t="shared" si="4"/>
        <v>0.1368267831</v>
      </c>
      <c r="L5515" s="2">
        <v>1483.0</v>
      </c>
      <c r="M5515" s="3">
        <f t="shared" si="5"/>
        <v>0.6065439673</v>
      </c>
      <c r="N5515" s="2">
        <v>1.24334E7</v>
      </c>
      <c r="O5515" s="4">
        <f t="shared" si="6"/>
        <v>5085.235174</v>
      </c>
      <c r="P5515" s="2">
        <v>1.0</v>
      </c>
      <c r="Q5515" s="3">
        <f t="shared" si="7"/>
        <v>0.00103950104</v>
      </c>
      <c r="R5515" s="2">
        <v>14.0</v>
      </c>
      <c r="S5515" s="5">
        <f t="shared" si="8"/>
        <v>0.01455301455</v>
      </c>
    </row>
    <row r="5516">
      <c r="A5516" s="2" t="s">
        <v>5517</v>
      </c>
      <c r="B5516" s="2">
        <v>425.0</v>
      </c>
      <c r="C5516" s="2">
        <v>5007.0</v>
      </c>
      <c r="D5516" s="2">
        <v>1550.0</v>
      </c>
      <c r="E5516" s="3">
        <f t="shared" si="1"/>
        <v>0.338280227</v>
      </c>
      <c r="F5516" s="2">
        <v>554.0</v>
      </c>
      <c r="G5516" s="3">
        <f t="shared" si="2"/>
        <v>0.1209079005</v>
      </c>
      <c r="H5516" s="2">
        <v>976.0</v>
      </c>
      <c r="I5516" s="3">
        <f t="shared" si="3"/>
        <v>0.2130074203</v>
      </c>
      <c r="J5516" s="2">
        <v>864.0</v>
      </c>
      <c r="K5516" s="3">
        <f t="shared" si="4"/>
        <v>0.1885639459</v>
      </c>
      <c r="L5516" s="2">
        <v>604.0</v>
      </c>
      <c r="M5516" s="3">
        <f t="shared" si="5"/>
        <v>0.618852459</v>
      </c>
      <c r="N5516" s="2">
        <v>5225200.0</v>
      </c>
      <c r="O5516" s="4">
        <f t="shared" si="6"/>
        <v>5353.688525</v>
      </c>
      <c r="P5516" s="2">
        <v>0.0</v>
      </c>
      <c r="Q5516" s="3">
        <f t="shared" si="7"/>
        <v>0</v>
      </c>
      <c r="R5516" s="2">
        <v>425.0</v>
      </c>
      <c r="S5516" s="5">
        <f t="shared" si="8"/>
        <v>1</v>
      </c>
    </row>
    <row r="5517">
      <c r="A5517" s="2" t="s">
        <v>5518</v>
      </c>
      <c r="B5517" s="2">
        <v>207.0</v>
      </c>
      <c r="C5517" s="2">
        <v>2498.0</v>
      </c>
      <c r="D5517" s="2">
        <v>739.0</v>
      </c>
      <c r="E5517" s="3">
        <f t="shared" si="1"/>
        <v>0.3225665648</v>
      </c>
      <c r="F5517" s="2">
        <v>277.0</v>
      </c>
      <c r="G5517" s="3">
        <f t="shared" si="2"/>
        <v>0.1209079005</v>
      </c>
      <c r="H5517" s="2">
        <v>449.0</v>
      </c>
      <c r="I5517" s="3">
        <f t="shared" si="3"/>
        <v>0.1959842863</v>
      </c>
      <c r="J5517" s="2">
        <v>402.0</v>
      </c>
      <c r="K5517" s="3">
        <f t="shared" si="4"/>
        <v>0.1754692274</v>
      </c>
      <c r="L5517" s="2">
        <v>269.0</v>
      </c>
      <c r="M5517" s="3">
        <f t="shared" si="5"/>
        <v>0.5991091314</v>
      </c>
      <c r="N5517" s="2">
        <v>2416700.0</v>
      </c>
      <c r="O5517" s="4">
        <f t="shared" si="6"/>
        <v>5382.405345</v>
      </c>
      <c r="P5517" s="2">
        <v>0.0</v>
      </c>
      <c r="Q5517" s="3">
        <f t="shared" si="7"/>
        <v>0</v>
      </c>
      <c r="R5517" s="2">
        <v>205.0</v>
      </c>
      <c r="S5517" s="5">
        <f t="shared" si="8"/>
        <v>0.9903381643</v>
      </c>
    </row>
    <row r="5518">
      <c r="A5518" s="2" t="s">
        <v>5519</v>
      </c>
      <c r="B5518" s="2">
        <v>589.0</v>
      </c>
      <c r="C5518" s="2">
        <v>6941.0</v>
      </c>
      <c r="D5518" s="2">
        <v>2350.0</v>
      </c>
      <c r="E5518" s="3">
        <f t="shared" si="1"/>
        <v>0.3699622166</v>
      </c>
      <c r="F5518" s="2">
        <v>768.0</v>
      </c>
      <c r="G5518" s="3">
        <f t="shared" si="2"/>
        <v>0.120906801</v>
      </c>
      <c r="H5518" s="2">
        <v>1273.0</v>
      </c>
      <c r="I5518" s="3">
        <f t="shared" si="3"/>
        <v>0.2004093199</v>
      </c>
      <c r="J5518" s="2">
        <v>894.0</v>
      </c>
      <c r="K5518" s="3">
        <f t="shared" si="4"/>
        <v>0.140743073</v>
      </c>
      <c r="L5518" s="2">
        <v>771.0</v>
      </c>
      <c r="M5518" s="3">
        <f t="shared" si="5"/>
        <v>0.6056559309</v>
      </c>
      <c r="N5518" s="2">
        <v>6863300.0</v>
      </c>
      <c r="O5518" s="4">
        <f t="shared" si="6"/>
        <v>5391.437549</v>
      </c>
      <c r="P5518" s="2">
        <v>2.0</v>
      </c>
      <c r="Q5518" s="3">
        <f t="shared" si="7"/>
        <v>0.003395585739</v>
      </c>
      <c r="R5518" s="2">
        <v>589.0</v>
      </c>
      <c r="S5518" s="5">
        <f t="shared" si="8"/>
        <v>1</v>
      </c>
    </row>
    <row r="5519">
      <c r="A5519" s="2" t="s">
        <v>5520</v>
      </c>
      <c r="B5519" s="2">
        <v>4352.0</v>
      </c>
      <c r="C5519" s="2">
        <v>51389.0</v>
      </c>
      <c r="D5519" s="2">
        <v>18535.0</v>
      </c>
      <c r="E5519" s="3">
        <f t="shared" si="1"/>
        <v>0.3940514914</v>
      </c>
      <c r="F5519" s="2">
        <v>5687.0</v>
      </c>
      <c r="G5519" s="3">
        <f t="shared" si="2"/>
        <v>0.1209048196</v>
      </c>
      <c r="H5519" s="2">
        <v>10184.0</v>
      </c>
      <c r="I5519" s="3">
        <f t="shared" si="3"/>
        <v>0.2165104067</v>
      </c>
      <c r="J5519" s="2">
        <v>8035.0</v>
      </c>
      <c r="K5519" s="3">
        <f t="shared" si="4"/>
        <v>0.1708229692</v>
      </c>
      <c r="L5519" s="2">
        <v>6118.0</v>
      </c>
      <c r="M5519" s="3">
        <f t="shared" si="5"/>
        <v>0.6007462687</v>
      </c>
      <c r="N5519" s="2">
        <v>5.42309E7</v>
      </c>
      <c r="O5519" s="4">
        <f t="shared" si="6"/>
        <v>5325.108013</v>
      </c>
      <c r="P5519" s="2">
        <v>7.0</v>
      </c>
      <c r="Q5519" s="3">
        <f t="shared" si="7"/>
        <v>0.001608455882</v>
      </c>
      <c r="R5519" s="2">
        <v>4349.0</v>
      </c>
      <c r="S5519" s="5">
        <f t="shared" si="8"/>
        <v>0.9993106618</v>
      </c>
    </row>
    <row r="5520">
      <c r="A5520" s="2" t="s">
        <v>5521</v>
      </c>
      <c r="B5520" s="2">
        <v>694.0</v>
      </c>
      <c r="C5520" s="2">
        <v>8122.0</v>
      </c>
      <c r="D5520" s="2">
        <v>2565.0</v>
      </c>
      <c r="E5520" s="3">
        <f t="shared" si="1"/>
        <v>0.3453150242</v>
      </c>
      <c r="F5520" s="2">
        <v>898.0</v>
      </c>
      <c r="G5520" s="3">
        <f t="shared" si="2"/>
        <v>0.1208939149</v>
      </c>
      <c r="H5520" s="2">
        <v>1556.0</v>
      </c>
      <c r="I5520" s="3">
        <f t="shared" si="3"/>
        <v>0.2094776521</v>
      </c>
      <c r="J5520" s="2">
        <v>1295.0</v>
      </c>
      <c r="K5520" s="3">
        <f t="shared" si="4"/>
        <v>0.1743403339</v>
      </c>
      <c r="L5520" s="2">
        <v>893.0</v>
      </c>
      <c r="M5520" s="3">
        <f t="shared" si="5"/>
        <v>0.573907455</v>
      </c>
      <c r="N5520" s="2">
        <v>9209500.0</v>
      </c>
      <c r="O5520" s="4">
        <f t="shared" si="6"/>
        <v>5918.701799</v>
      </c>
      <c r="P5520" s="2">
        <v>1.0</v>
      </c>
      <c r="Q5520" s="3">
        <f t="shared" si="7"/>
        <v>0.00144092219</v>
      </c>
      <c r="R5520" s="2">
        <v>694.0</v>
      </c>
      <c r="S5520" s="5">
        <f t="shared" si="8"/>
        <v>1</v>
      </c>
    </row>
    <row r="5521">
      <c r="A5521" s="2" t="s">
        <v>5522</v>
      </c>
      <c r="B5521" s="2">
        <v>143.0</v>
      </c>
      <c r="C5521" s="2">
        <v>1665.0</v>
      </c>
      <c r="D5521" s="2">
        <v>552.0</v>
      </c>
      <c r="E5521" s="3">
        <f t="shared" si="1"/>
        <v>0.3626806833</v>
      </c>
      <c r="F5521" s="2">
        <v>184.0</v>
      </c>
      <c r="G5521" s="3">
        <f t="shared" si="2"/>
        <v>0.1208935611</v>
      </c>
      <c r="H5521" s="2">
        <v>344.0</v>
      </c>
      <c r="I5521" s="3">
        <f t="shared" si="3"/>
        <v>0.2260183968</v>
      </c>
      <c r="J5521" s="2">
        <v>287.0</v>
      </c>
      <c r="K5521" s="3">
        <f t="shared" si="4"/>
        <v>0.1885676741</v>
      </c>
      <c r="L5521" s="2">
        <v>204.0</v>
      </c>
      <c r="M5521" s="3">
        <f t="shared" si="5"/>
        <v>0.5930232558</v>
      </c>
      <c r="N5521" s="2">
        <v>1857800.0</v>
      </c>
      <c r="O5521" s="4">
        <f t="shared" si="6"/>
        <v>5400.581395</v>
      </c>
      <c r="P5521" s="2">
        <v>0.0</v>
      </c>
      <c r="Q5521" s="3">
        <f t="shared" si="7"/>
        <v>0</v>
      </c>
      <c r="R5521" s="2">
        <v>73.0</v>
      </c>
      <c r="S5521" s="5">
        <f t="shared" si="8"/>
        <v>0.5104895105</v>
      </c>
    </row>
    <row r="5522">
      <c r="A5522" s="2" t="s">
        <v>5523</v>
      </c>
      <c r="B5522" s="2">
        <v>1327.0</v>
      </c>
      <c r="C5522" s="2">
        <v>15605.0</v>
      </c>
      <c r="D5522" s="2">
        <v>4719.0</v>
      </c>
      <c r="E5522" s="3">
        <f t="shared" si="1"/>
        <v>0.3305084746</v>
      </c>
      <c r="F5522" s="2">
        <v>1726.0</v>
      </c>
      <c r="G5522" s="3">
        <f t="shared" si="2"/>
        <v>0.1208852781</v>
      </c>
      <c r="H5522" s="2">
        <v>2898.0</v>
      </c>
      <c r="I5522" s="3">
        <f t="shared" si="3"/>
        <v>0.2029696036</v>
      </c>
      <c r="J5522" s="2">
        <v>2479.0</v>
      </c>
      <c r="K5522" s="3">
        <f t="shared" si="4"/>
        <v>0.1736237568</v>
      </c>
      <c r="L5522" s="2">
        <v>1700.0</v>
      </c>
      <c r="M5522" s="3">
        <f t="shared" si="5"/>
        <v>0.5866114562</v>
      </c>
      <c r="N5522" s="2">
        <v>1.66992E7</v>
      </c>
      <c r="O5522" s="4">
        <f t="shared" si="6"/>
        <v>5762.318841</v>
      </c>
      <c r="P5522" s="2">
        <v>2.0</v>
      </c>
      <c r="Q5522" s="3">
        <f t="shared" si="7"/>
        <v>0.001507159005</v>
      </c>
      <c r="R5522" s="2">
        <v>1327.0</v>
      </c>
      <c r="S5522" s="5">
        <f t="shared" si="8"/>
        <v>1</v>
      </c>
    </row>
    <row r="5523">
      <c r="A5523" s="2" t="s">
        <v>5524</v>
      </c>
      <c r="B5523" s="2">
        <v>41.0</v>
      </c>
      <c r="C5523" s="2">
        <v>496.0</v>
      </c>
      <c r="D5523" s="2">
        <v>170.0</v>
      </c>
      <c r="E5523" s="3">
        <f t="shared" si="1"/>
        <v>0.3736263736</v>
      </c>
      <c r="F5523" s="2">
        <v>55.0</v>
      </c>
      <c r="G5523" s="3">
        <f t="shared" si="2"/>
        <v>0.1208791209</v>
      </c>
      <c r="H5523" s="2">
        <v>83.0</v>
      </c>
      <c r="I5523" s="3">
        <f t="shared" si="3"/>
        <v>0.1824175824</v>
      </c>
      <c r="J5523" s="2">
        <v>54.0</v>
      </c>
      <c r="K5523" s="3">
        <f t="shared" si="4"/>
        <v>0.1186813187</v>
      </c>
      <c r="L5523" s="2">
        <v>58.0</v>
      </c>
      <c r="M5523" s="3">
        <f t="shared" si="5"/>
        <v>0.6987951807</v>
      </c>
      <c r="N5523" s="2">
        <v>444000.0</v>
      </c>
      <c r="O5523" s="4">
        <f t="shared" si="6"/>
        <v>5349.39759</v>
      </c>
      <c r="P5523" s="2">
        <v>1.0</v>
      </c>
      <c r="Q5523" s="3">
        <f t="shared" si="7"/>
        <v>0.0243902439</v>
      </c>
      <c r="R5523" s="2">
        <v>41.0</v>
      </c>
      <c r="S5523" s="5">
        <f t="shared" si="8"/>
        <v>1</v>
      </c>
    </row>
    <row r="5524">
      <c r="A5524" s="2" t="s">
        <v>5525</v>
      </c>
      <c r="B5524" s="2">
        <v>235.0</v>
      </c>
      <c r="C5524" s="2">
        <v>2684.0</v>
      </c>
      <c r="D5524" s="2">
        <v>925.0</v>
      </c>
      <c r="E5524" s="3">
        <f t="shared" si="1"/>
        <v>0.3777051858</v>
      </c>
      <c r="F5524" s="2">
        <v>296.0</v>
      </c>
      <c r="G5524" s="3">
        <f t="shared" si="2"/>
        <v>0.1208656595</v>
      </c>
      <c r="H5524" s="2">
        <v>487.0</v>
      </c>
      <c r="I5524" s="3">
        <f t="shared" si="3"/>
        <v>0.1988566762</v>
      </c>
      <c r="J5524" s="2">
        <v>374.0</v>
      </c>
      <c r="K5524" s="3">
        <f t="shared" si="4"/>
        <v>0.152715394</v>
      </c>
      <c r="L5524" s="2">
        <v>316.0</v>
      </c>
      <c r="M5524" s="3">
        <f t="shared" si="5"/>
        <v>0.6488706366</v>
      </c>
      <c r="N5524" s="2">
        <v>2699400.0</v>
      </c>
      <c r="O5524" s="4">
        <f t="shared" si="6"/>
        <v>5542.915811</v>
      </c>
      <c r="P5524" s="2">
        <v>1.0</v>
      </c>
      <c r="Q5524" s="3">
        <f t="shared" si="7"/>
        <v>0.004255319149</v>
      </c>
      <c r="R5524" s="2">
        <v>235.0</v>
      </c>
      <c r="S5524" s="5">
        <f t="shared" si="8"/>
        <v>1</v>
      </c>
    </row>
    <row r="5525">
      <c r="A5525" s="2" t="s">
        <v>5526</v>
      </c>
      <c r="B5525" s="2">
        <v>260.0</v>
      </c>
      <c r="C5525" s="2">
        <v>3040.0</v>
      </c>
      <c r="D5525" s="2">
        <v>899.0</v>
      </c>
      <c r="E5525" s="3">
        <f t="shared" si="1"/>
        <v>0.323381295</v>
      </c>
      <c r="F5525" s="2">
        <v>336.0</v>
      </c>
      <c r="G5525" s="3">
        <f t="shared" si="2"/>
        <v>0.1208633094</v>
      </c>
      <c r="H5525" s="2">
        <v>506.0</v>
      </c>
      <c r="I5525" s="3">
        <f t="shared" si="3"/>
        <v>0.1820143885</v>
      </c>
      <c r="J5525" s="2">
        <v>422.0</v>
      </c>
      <c r="K5525" s="3">
        <f t="shared" si="4"/>
        <v>0.1517985612</v>
      </c>
      <c r="L5525" s="2">
        <v>319.0</v>
      </c>
      <c r="M5525" s="3">
        <f t="shared" si="5"/>
        <v>0.6304347826</v>
      </c>
      <c r="N5525" s="2">
        <v>3224600.0</v>
      </c>
      <c r="O5525" s="4">
        <f t="shared" si="6"/>
        <v>6372.727273</v>
      </c>
      <c r="P5525" s="2">
        <v>1.0</v>
      </c>
      <c r="Q5525" s="3">
        <f t="shared" si="7"/>
        <v>0.003846153846</v>
      </c>
      <c r="R5525" s="2">
        <v>0.0</v>
      </c>
      <c r="S5525" s="5">
        <f t="shared" si="8"/>
        <v>0</v>
      </c>
    </row>
    <row r="5526">
      <c r="A5526" s="2" t="s">
        <v>5527</v>
      </c>
      <c r="B5526" s="2">
        <v>87.0</v>
      </c>
      <c r="C5526" s="2">
        <v>1022.0</v>
      </c>
      <c r="D5526" s="2">
        <v>274.0</v>
      </c>
      <c r="E5526" s="3">
        <f t="shared" si="1"/>
        <v>0.2930481283</v>
      </c>
      <c r="F5526" s="2">
        <v>113.0</v>
      </c>
      <c r="G5526" s="3">
        <f t="shared" si="2"/>
        <v>0.120855615</v>
      </c>
      <c r="H5526" s="2">
        <v>188.0</v>
      </c>
      <c r="I5526" s="3">
        <f t="shared" si="3"/>
        <v>0.2010695187</v>
      </c>
      <c r="J5526" s="2">
        <v>166.0</v>
      </c>
      <c r="K5526" s="3">
        <f t="shared" si="4"/>
        <v>0.177540107</v>
      </c>
      <c r="L5526" s="2">
        <v>106.0</v>
      </c>
      <c r="M5526" s="3">
        <f t="shared" si="5"/>
        <v>0.5638297872</v>
      </c>
      <c r="N5526" s="2">
        <v>1068400.0</v>
      </c>
      <c r="O5526" s="4">
        <f t="shared" si="6"/>
        <v>5682.978723</v>
      </c>
      <c r="P5526" s="2">
        <v>0.0</v>
      </c>
      <c r="Q5526" s="3">
        <f t="shared" si="7"/>
        <v>0</v>
      </c>
      <c r="R5526" s="2">
        <v>87.0</v>
      </c>
      <c r="S5526" s="5">
        <f t="shared" si="8"/>
        <v>1</v>
      </c>
    </row>
    <row r="5527">
      <c r="A5527" s="2" t="s">
        <v>5528</v>
      </c>
      <c r="B5527" s="2">
        <v>691.0</v>
      </c>
      <c r="C5527" s="2">
        <v>8048.0</v>
      </c>
      <c r="D5527" s="2">
        <v>2727.0</v>
      </c>
      <c r="E5527" s="3">
        <f t="shared" si="1"/>
        <v>0.3706673916</v>
      </c>
      <c r="F5527" s="2">
        <v>889.0</v>
      </c>
      <c r="G5527" s="3">
        <f t="shared" si="2"/>
        <v>0.1208372978</v>
      </c>
      <c r="H5527" s="2">
        <v>1570.0</v>
      </c>
      <c r="I5527" s="3">
        <f t="shared" si="3"/>
        <v>0.213402202</v>
      </c>
      <c r="J5527" s="2">
        <v>1415.0</v>
      </c>
      <c r="K5527" s="3">
        <f t="shared" si="4"/>
        <v>0.1923338317</v>
      </c>
      <c r="L5527" s="2">
        <v>965.0</v>
      </c>
      <c r="M5527" s="3">
        <f t="shared" si="5"/>
        <v>0.6146496815</v>
      </c>
      <c r="N5527" s="2">
        <v>9079100.0</v>
      </c>
      <c r="O5527" s="4">
        <f t="shared" si="6"/>
        <v>5782.866242</v>
      </c>
      <c r="P5527" s="2">
        <v>1.0</v>
      </c>
      <c r="Q5527" s="3">
        <f t="shared" si="7"/>
        <v>0.001447178003</v>
      </c>
      <c r="R5527" s="2">
        <v>691.0</v>
      </c>
      <c r="S5527" s="5">
        <f t="shared" si="8"/>
        <v>1</v>
      </c>
    </row>
    <row r="5528">
      <c r="A5528" s="2" t="s">
        <v>5529</v>
      </c>
      <c r="B5528" s="2">
        <v>1263.0</v>
      </c>
      <c r="C5528" s="2">
        <v>14952.0</v>
      </c>
      <c r="D5528" s="2">
        <v>5316.0</v>
      </c>
      <c r="E5528" s="3">
        <f t="shared" si="1"/>
        <v>0.3883410037</v>
      </c>
      <c r="F5528" s="2">
        <v>1654.0</v>
      </c>
      <c r="G5528" s="3">
        <f t="shared" si="2"/>
        <v>0.1208269413</v>
      </c>
      <c r="H5528" s="2">
        <v>2982.0</v>
      </c>
      <c r="I5528" s="3">
        <f t="shared" si="3"/>
        <v>0.2178391409</v>
      </c>
      <c r="J5528" s="2">
        <v>2216.0</v>
      </c>
      <c r="K5528" s="3">
        <f t="shared" si="4"/>
        <v>0.1618818029</v>
      </c>
      <c r="L5528" s="2">
        <v>1762.0</v>
      </c>
      <c r="M5528" s="3">
        <f t="shared" si="5"/>
        <v>0.590878605</v>
      </c>
      <c r="N5528" s="2">
        <v>1.61242E7</v>
      </c>
      <c r="O5528" s="4">
        <f t="shared" si="6"/>
        <v>5407.176392</v>
      </c>
      <c r="P5528" s="2">
        <v>5.0</v>
      </c>
      <c r="Q5528" s="3">
        <f t="shared" si="7"/>
        <v>0.003958828187</v>
      </c>
      <c r="R5528" s="2">
        <v>1263.0</v>
      </c>
      <c r="S5528" s="5">
        <f t="shared" si="8"/>
        <v>1</v>
      </c>
    </row>
    <row r="5529">
      <c r="A5529" s="2" t="s">
        <v>5530</v>
      </c>
      <c r="B5529" s="2">
        <v>35.0</v>
      </c>
      <c r="C5529" s="2">
        <v>424.0</v>
      </c>
      <c r="D5529" s="2">
        <v>143.0</v>
      </c>
      <c r="E5529" s="3">
        <f t="shared" si="1"/>
        <v>0.3676092545</v>
      </c>
      <c r="F5529" s="2">
        <v>47.0</v>
      </c>
      <c r="G5529" s="3">
        <f t="shared" si="2"/>
        <v>0.1208226221</v>
      </c>
      <c r="H5529" s="2">
        <v>86.0</v>
      </c>
      <c r="I5529" s="3">
        <f t="shared" si="3"/>
        <v>0.2210796915</v>
      </c>
      <c r="J5529" s="2">
        <v>74.0</v>
      </c>
      <c r="K5529" s="3">
        <f t="shared" si="4"/>
        <v>0.1902313625</v>
      </c>
      <c r="L5529" s="2">
        <v>50.0</v>
      </c>
      <c r="M5529" s="3">
        <f t="shared" si="5"/>
        <v>0.5813953488</v>
      </c>
      <c r="N5529" s="2">
        <v>442400.0</v>
      </c>
      <c r="O5529" s="4">
        <f t="shared" si="6"/>
        <v>5144.186047</v>
      </c>
      <c r="P5529" s="2">
        <v>0.0</v>
      </c>
      <c r="Q5529" s="3">
        <f t="shared" si="7"/>
        <v>0</v>
      </c>
      <c r="R5529" s="2">
        <v>0.0</v>
      </c>
      <c r="S5529" s="5">
        <f t="shared" si="8"/>
        <v>0</v>
      </c>
    </row>
    <row r="5530">
      <c r="A5530" s="2" t="s">
        <v>5531</v>
      </c>
      <c r="B5530" s="2">
        <v>558.0</v>
      </c>
      <c r="C5530" s="2">
        <v>6542.0</v>
      </c>
      <c r="D5530" s="2">
        <v>2000.0</v>
      </c>
      <c r="E5530" s="3">
        <f t="shared" si="1"/>
        <v>0.3342245989</v>
      </c>
      <c r="F5530" s="2">
        <v>723.0</v>
      </c>
      <c r="G5530" s="3">
        <f t="shared" si="2"/>
        <v>0.1208221925</v>
      </c>
      <c r="H5530" s="2">
        <v>1191.0</v>
      </c>
      <c r="I5530" s="3">
        <f t="shared" si="3"/>
        <v>0.1990307487</v>
      </c>
      <c r="J5530" s="2">
        <v>874.0</v>
      </c>
      <c r="K5530" s="3">
        <f t="shared" si="4"/>
        <v>0.1460561497</v>
      </c>
      <c r="L5530" s="2">
        <v>733.0</v>
      </c>
      <c r="M5530" s="3">
        <f t="shared" si="5"/>
        <v>0.6154492024</v>
      </c>
      <c r="N5530" s="2">
        <v>6594900.0</v>
      </c>
      <c r="O5530" s="4">
        <f t="shared" si="6"/>
        <v>5537.279597</v>
      </c>
      <c r="P5530" s="2">
        <v>2.0</v>
      </c>
      <c r="Q5530" s="3">
        <f t="shared" si="7"/>
        <v>0.003584229391</v>
      </c>
      <c r="R5530" s="2">
        <v>558.0</v>
      </c>
      <c r="S5530" s="5">
        <f t="shared" si="8"/>
        <v>1</v>
      </c>
    </row>
    <row r="5531">
      <c r="A5531" s="2" t="s">
        <v>5532</v>
      </c>
      <c r="B5531" s="2">
        <v>187.0</v>
      </c>
      <c r="C5531" s="2">
        <v>2190.0</v>
      </c>
      <c r="D5531" s="2">
        <v>595.0</v>
      </c>
      <c r="E5531" s="3">
        <f t="shared" si="1"/>
        <v>0.2970544184</v>
      </c>
      <c r="F5531" s="2">
        <v>242.0</v>
      </c>
      <c r="G5531" s="3">
        <f t="shared" si="2"/>
        <v>0.1208187718</v>
      </c>
      <c r="H5531" s="2">
        <v>414.0</v>
      </c>
      <c r="I5531" s="3">
        <f t="shared" si="3"/>
        <v>0.2066899651</v>
      </c>
      <c r="J5531" s="2">
        <v>355.0</v>
      </c>
      <c r="K5531" s="3">
        <f t="shared" si="4"/>
        <v>0.1772341488</v>
      </c>
      <c r="L5531" s="2">
        <v>239.0</v>
      </c>
      <c r="M5531" s="3">
        <f t="shared" si="5"/>
        <v>0.577294686</v>
      </c>
      <c r="N5531" s="2">
        <v>2169300.0</v>
      </c>
      <c r="O5531" s="4">
        <f t="shared" si="6"/>
        <v>5239.855072</v>
      </c>
      <c r="P5531" s="2">
        <v>1.0</v>
      </c>
      <c r="Q5531" s="3">
        <f t="shared" si="7"/>
        <v>0.005347593583</v>
      </c>
      <c r="R5531" s="2">
        <v>187.0</v>
      </c>
      <c r="S5531" s="5">
        <f t="shared" si="8"/>
        <v>1</v>
      </c>
    </row>
    <row r="5532">
      <c r="A5532" s="2" t="s">
        <v>5533</v>
      </c>
      <c r="B5532" s="2">
        <v>3999.0</v>
      </c>
      <c r="C5532" s="2">
        <v>46545.0</v>
      </c>
      <c r="D5532" s="2">
        <v>12966.0</v>
      </c>
      <c r="E5532" s="3">
        <f t="shared" si="1"/>
        <v>0.3047525032</v>
      </c>
      <c r="F5532" s="2">
        <v>5140.0</v>
      </c>
      <c r="G5532" s="3">
        <f t="shared" si="2"/>
        <v>0.120810417</v>
      </c>
      <c r="H5532" s="2">
        <v>8915.0</v>
      </c>
      <c r="I5532" s="3">
        <f t="shared" si="3"/>
        <v>0.2095379119</v>
      </c>
      <c r="J5532" s="2">
        <v>7640.0</v>
      </c>
      <c r="K5532" s="3">
        <f t="shared" si="4"/>
        <v>0.1795703474</v>
      </c>
      <c r="L5532" s="2">
        <v>5332.0</v>
      </c>
      <c r="M5532" s="3">
        <f t="shared" si="5"/>
        <v>0.5980931015</v>
      </c>
      <c r="N5532" s="2">
        <v>5.26384E7</v>
      </c>
      <c r="O5532" s="4">
        <f t="shared" si="6"/>
        <v>5904.475603</v>
      </c>
      <c r="P5532" s="2">
        <v>4.0</v>
      </c>
      <c r="Q5532" s="3">
        <f t="shared" si="7"/>
        <v>0.001000250063</v>
      </c>
      <c r="R5532" s="2">
        <v>3999.0</v>
      </c>
      <c r="S5532" s="5">
        <f t="shared" si="8"/>
        <v>1</v>
      </c>
    </row>
    <row r="5533">
      <c r="A5533" s="2" t="s">
        <v>5534</v>
      </c>
      <c r="B5533" s="2">
        <v>264.0</v>
      </c>
      <c r="C5533" s="2">
        <v>3128.0</v>
      </c>
      <c r="D5533" s="2">
        <v>878.0</v>
      </c>
      <c r="E5533" s="3">
        <f t="shared" si="1"/>
        <v>0.3065642458</v>
      </c>
      <c r="F5533" s="2">
        <v>346.0</v>
      </c>
      <c r="G5533" s="3">
        <f t="shared" si="2"/>
        <v>0.1208100559</v>
      </c>
      <c r="H5533" s="2">
        <v>561.0</v>
      </c>
      <c r="I5533" s="3">
        <f t="shared" si="3"/>
        <v>0.1958798883</v>
      </c>
      <c r="J5533" s="2">
        <v>479.0</v>
      </c>
      <c r="K5533" s="3">
        <f t="shared" si="4"/>
        <v>0.1672486034</v>
      </c>
      <c r="L5533" s="2">
        <v>312.0</v>
      </c>
      <c r="M5533" s="3">
        <f t="shared" si="5"/>
        <v>0.5561497326</v>
      </c>
      <c r="N5533" s="2">
        <v>2944100.0</v>
      </c>
      <c r="O5533" s="4">
        <f t="shared" si="6"/>
        <v>5247.950089</v>
      </c>
      <c r="P5533" s="2">
        <v>1.0</v>
      </c>
      <c r="Q5533" s="3">
        <f t="shared" si="7"/>
        <v>0.003787878788</v>
      </c>
      <c r="R5533" s="2">
        <v>251.0</v>
      </c>
      <c r="S5533" s="5">
        <f t="shared" si="8"/>
        <v>0.9507575758</v>
      </c>
    </row>
    <row r="5534">
      <c r="A5534" s="2" t="s">
        <v>5535</v>
      </c>
      <c r="B5534" s="2">
        <v>308.0</v>
      </c>
      <c r="C5534" s="2">
        <v>3677.0</v>
      </c>
      <c r="D5534" s="2">
        <v>1212.0</v>
      </c>
      <c r="E5534" s="3">
        <f t="shared" si="1"/>
        <v>0.3597506679</v>
      </c>
      <c r="F5534" s="2">
        <v>407.0</v>
      </c>
      <c r="G5534" s="3">
        <f t="shared" si="2"/>
        <v>0.1208073612</v>
      </c>
      <c r="H5534" s="2">
        <v>685.0</v>
      </c>
      <c r="I5534" s="3">
        <f t="shared" si="3"/>
        <v>0.2033244286</v>
      </c>
      <c r="J5534" s="2">
        <v>560.0</v>
      </c>
      <c r="K5534" s="3">
        <f t="shared" si="4"/>
        <v>0.1662214307</v>
      </c>
      <c r="L5534" s="2">
        <v>402.0</v>
      </c>
      <c r="M5534" s="3">
        <f t="shared" si="5"/>
        <v>0.5868613139</v>
      </c>
      <c r="N5534" s="2">
        <v>3876000.0</v>
      </c>
      <c r="O5534" s="4">
        <f t="shared" si="6"/>
        <v>5658.394161</v>
      </c>
      <c r="P5534" s="2">
        <v>0.0</v>
      </c>
      <c r="Q5534" s="3">
        <f t="shared" si="7"/>
        <v>0</v>
      </c>
      <c r="R5534" s="2">
        <v>0.0</v>
      </c>
      <c r="S5534" s="5">
        <f t="shared" si="8"/>
        <v>0</v>
      </c>
    </row>
    <row r="5535">
      <c r="A5535" s="2" t="s">
        <v>5536</v>
      </c>
      <c r="B5535" s="2">
        <v>14.0</v>
      </c>
      <c r="C5535" s="2">
        <v>163.0</v>
      </c>
      <c r="D5535" s="2">
        <v>55.0</v>
      </c>
      <c r="E5535" s="3">
        <f t="shared" si="1"/>
        <v>0.3691275168</v>
      </c>
      <c r="F5535" s="2">
        <v>18.0</v>
      </c>
      <c r="G5535" s="3">
        <f t="shared" si="2"/>
        <v>0.1208053691</v>
      </c>
      <c r="H5535" s="2">
        <v>24.0</v>
      </c>
      <c r="I5535" s="3">
        <f t="shared" si="3"/>
        <v>0.1610738255</v>
      </c>
      <c r="J5535" s="2">
        <v>24.0</v>
      </c>
      <c r="K5535" s="3">
        <f t="shared" si="4"/>
        <v>0.1610738255</v>
      </c>
      <c r="L5535" s="2">
        <v>15.0</v>
      </c>
      <c r="M5535" s="3">
        <f t="shared" si="5"/>
        <v>0.625</v>
      </c>
      <c r="N5535" s="2">
        <v>117900.0</v>
      </c>
      <c r="O5535" s="4">
        <f t="shared" si="6"/>
        <v>4912.5</v>
      </c>
      <c r="P5535" s="2">
        <v>0.0</v>
      </c>
      <c r="Q5535" s="3">
        <f t="shared" si="7"/>
        <v>0</v>
      </c>
      <c r="R5535" s="2">
        <v>14.0</v>
      </c>
      <c r="S5535" s="5">
        <f t="shared" si="8"/>
        <v>1</v>
      </c>
    </row>
    <row r="5536">
      <c r="A5536" s="2" t="s">
        <v>5537</v>
      </c>
      <c r="B5536" s="2">
        <v>782.0</v>
      </c>
      <c r="C5536" s="2">
        <v>9061.0</v>
      </c>
      <c r="D5536" s="2">
        <v>3156.0</v>
      </c>
      <c r="E5536" s="3">
        <f t="shared" si="1"/>
        <v>0.3812054596</v>
      </c>
      <c r="F5536" s="2">
        <v>1000.0</v>
      </c>
      <c r="G5536" s="3">
        <f t="shared" si="2"/>
        <v>0.1207875347</v>
      </c>
      <c r="H5536" s="2">
        <v>1707.0</v>
      </c>
      <c r="I5536" s="3">
        <f t="shared" si="3"/>
        <v>0.2061843218</v>
      </c>
      <c r="J5536" s="2">
        <v>1420.0</v>
      </c>
      <c r="K5536" s="3">
        <f t="shared" si="4"/>
        <v>0.1715182993</v>
      </c>
      <c r="L5536" s="2">
        <v>1040.0</v>
      </c>
      <c r="M5536" s="3">
        <f t="shared" si="5"/>
        <v>0.6092560047</v>
      </c>
      <c r="N5536" s="2">
        <v>9783900.0</v>
      </c>
      <c r="O5536" s="4">
        <f t="shared" si="6"/>
        <v>5731.634446</v>
      </c>
      <c r="P5536" s="2">
        <v>2.0</v>
      </c>
      <c r="Q5536" s="3">
        <f t="shared" si="7"/>
        <v>0.002557544757</v>
      </c>
      <c r="R5536" s="2">
        <v>782.0</v>
      </c>
      <c r="S5536" s="5">
        <f t="shared" si="8"/>
        <v>1</v>
      </c>
    </row>
    <row r="5537">
      <c r="A5537" s="2" t="s">
        <v>5538</v>
      </c>
      <c r="B5537" s="2">
        <v>2943.0</v>
      </c>
      <c r="C5537" s="2">
        <v>34478.0</v>
      </c>
      <c r="D5537" s="2">
        <v>11871.0</v>
      </c>
      <c r="E5537" s="3">
        <f t="shared" si="1"/>
        <v>0.3764388774</v>
      </c>
      <c r="F5537" s="2">
        <v>3809.0</v>
      </c>
      <c r="G5537" s="3">
        <f t="shared" si="2"/>
        <v>0.1207864278</v>
      </c>
      <c r="H5537" s="2">
        <v>6492.0</v>
      </c>
      <c r="I5537" s="3">
        <f t="shared" si="3"/>
        <v>0.2058664975</v>
      </c>
      <c r="J5537" s="2">
        <v>5629.0</v>
      </c>
      <c r="K5537" s="3">
        <f t="shared" si="4"/>
        <v>0.1785000793</v>
      </c>
      <c r="L5537" s="2">
        <v>3938.0</v>
      </c>
      <c r="M5537" s="3">
        <f t="shared" si="5"/>
        <v>0.6065927295</v>
      </c>
      <c r="N5537" s="2">
        <v>3.77746E7</v>
      </c>
      <c r="O5537" s="4">
        <f t="shared" si="6"/>
        <v>5818.638324</v>
      </c>
      <c r="P5537" s="2">
        <v>7.0</v>
      </c>
      <c r="Q5537" s="3">
        <f t="shared" si="7"/>
        <v>0.002378525314</v>
      </c>
      <c r="R5537" s="2">
        <v>1472.0</v>
      </c>
      <c r="S5537" s="5">
        <f t="shared" si="8"/>
        <v>0.5001698947</v>
      </c>
    </row>
    <row r="5538">
      <c r="A5538" s="2" t="s">
        <v>5539</v>
      </c>
      <c r="B5538" s="2">
        <v>41.0</v>
      </c>
      <c r="C5538" s="2">
        <v>455.0</v>
      </c>
      <c r="D5538" s="2">
        <v>119.0</v>
      </c>
      <c r="E5538" s="3">
        <f t="shared" si="1"/>
        <v>0.2874396135</v>
      </c>
      <c r="F5538" s="2">
        <v>50.0</v>
      </c>
      <c r="G5538" s="3">
        <f t="shared" si="2"/>
        <v>0.1207729469</v>
      </c>
      <c r="H5538" s="2">
        <v>85.0</v>
      </c>
      <c r="I5538" s="3">
        <f t="shared" si="3"/>
        <v>0.2053140097</v>
      </c>
      <c r="J5538" s="2">
        <v>99.0</v>
      </c>
      <c r="K5538" s="3">
        <f t="shared" si="4"/>
        <v>0.2391304348</v>
      </c>
      <c r="L5538" s="2">
        <v>45.0</v>
      </c>
      <c r="M5538" s="3">
        <f t="shared" si="5"/>
        <v>0.5294117647</v>
      </c>
      <c r="N5538" s="2">
        <v>553200.0</v>
      </c>
      <c r="O5538" s="4">
        <f t="shared" si="6"/>
        <v>6508.235294</v>
      </c>
      <c r="P5538" s="2">
        <v>0.0</v>
      </c>
      <c r="Q5538" s="3">
        <f t="shared" si="7"/>
        <v>0</v>
      </c>
      <c r="R5538" s="2">
        <v>0.0</v>
      </c>
      <c r="S5538" s="5">
        <f t="shared" si="8"/>
        <v>0</v>
      </c>
    </row>
    <row r="5539">
      <c r="A5539" s="2" t="s">
        <v>5540</v>
      </c>
      <c r="B5539" s="2">
        <v>226.0</v>
      </c>
      <c r="C5539" s="2">
        <v>2619.0</v>
      </c>
      <c r="D5539" s="2">
        <v>820.0</v>
      </c>
      <c r="E5539" s="3">
        <f t="shared" si="1"/>
        <v>0.3426661095</v>
      </c>
      <c r="F5539" s="2">
        <v>289.0</v>
      </c>
      <c r="G5539" s="3">
        <f t="shared" si="2"/>
        <v>0.1207689093</v>
      </c>
      <c r="H5539" s="2">
        <v>501.0</v>
      </c>
      <c r="I5539" s="3">
        <f t="shared" si="3"/>
        <v>0.2093606352</v>
      </c>
      <c r="J5539" s="2">
        <v>442.0</v>
      </c>
      <c r="K5539" s="3">
        <f t="shared" si="4"/>
        <v>0.1847053907</v>
      </c>
      <c r="L5539" s="2">
        <v>290.0</v>
      </c>
      <c r="M5539" s="3">
        <f t="shared" si="5"/>
        <v>0.5788423154</v>
      </c>
      <c r="N5539" s="2">
        <v>2743000.0</v>
      </c>
      <c r="O5539" s="4">
        <f t="shared" si="6"/>
        <v>5475.0499</v>
      </c>
      <c r="P5539" s="2">
        <v>0.0</v>
      </c>
      <c r="Q5539" s="3">
        <f t="shared" si="7"/>
        <v>0</v>
      </c>
      <c r="R5539" s="2">
        <v>226.0</v>
      </c>
      <c r="S5539" s="5">
        <f t="shared" si="8"/>
        <v>1</v>
      </c>
    </row>
    <row r="5540">
      <c r="A5540" s="2" t="s">
        <v>5541</v>
      </c>
      <c r="B5540" s="2">
        <v>400.0</v>
      </c>
      <c r="C5540" s="2">
        <v>4623.0</v>
      </c>
      <c r="D5540" s="2">
        <v>1368.0</v>
      </c>
      <c r="E5540" s="3">
        <f t="shared" si="1"/>
        <v>0.3239403268</v>
      </c>
      <c r="F5540" s="2">
        <v>510.0</v>
      </c>
      <c r="G5540" s="3">
        <f t="shared" si="2"/>
        <v>0.1207672271</v>
      </c>
      <c r="H5540" s="2">
        <v>885.0</v>
      </c>
      <c r="I5540" s="3">
        <f t="shared" si="3"/>
        <v>0.2095666588</v>
      </c>
      <c r="J5540" s="2">
        <v>788.0</v>
      </c>
      <c r="K5540" s="3">
        <f t="shared" si="4"/>
        <v>0.1865972058</v>
      </c>
      <c r="L5540" s="2">
        <v>510.0</v>
      </c>
      <c r="M5540" s="3">
        <f t="shared" si="5"/>
        <v>0.5762711864</v>
      </c>
      <c r="N5540" s="2">
        <v>5214400.0</v>
      </c>
      <c r="O5540" s="4">
        <f t="shared" si="6"/>
        <v>5891.977401</v>
      </c>
      <c r="P5540" s="2">
        <v>1.0</v>
      </c>
      <c r="Q5540" s="3">
        <f t="shared" si="7"/>
        <v>0.0025</v>
      </c>
      <c r="R5540" s="2">
        <v>7.0</v>
      </c>
      <c r="S5540" s="5">
        <f t="shared" si="8"/>
        <v>0.0175</v>
      </c>
    </row>
    <row r="5541">
      <c r="A5541" s="2" t="s">
        <v>5542</v>
      </c>
      <c r="B5541" s="2">
        <v>44.0</v>
      </c>
      <c r="C5541" s="2">
        <v>516.0</v>
      </c>
      <c r="D5541" s="2">
        <v>193.0</v>
      </c>
      <c r="E5541" s="3">
        <f t="shared" si="1"/>
        <v>0.4088983051</v>
      </c>
      <c r="F5541" s="2">
        <v>57.0</v>
      </c>
      <c r="G5541" s="3">
        <f t="shared" si="2"/>
        <v>0.1207627119</v>
      </c>
      <c r="H5541" s="2">
        <v>86.0</v>
      </c>
      <c r="I5541" s="3">
        <f t="shared" si="3"/>
        <v>0.1822033898</v>
      </c>
      <c r="J5541" s="2">
        <v>70.0</v>
      </c>
      <c r="K5541" s="3">
        <f t="shared" si="4"/>
        <v>0.1483050847</v>
      </c>
      <c r="L5541" s="2">
        <v>55.0</v>
      </c>
      <c r="M5541" s="3">
        <f t="shared" si="5"/>
        <v>0.6395348837</v>
      </c>
      <c r="N5541" s="2">
        <v>413500.0</v>
      </c>
      <c r="O5541" s="4">
        <f t="shared" si="6"/>
        <v>4808.139535</v>
      </c>
      <c r="P5541" s="2">
        <v>0.0</v>
      </c>
      <c r="Q5541" s="3">
        <f t="shared" si="7"/>
        <v>0</v>
      </c>
      <c r="R5541" s="2">
        <v>0.0</v>
      </c>
      <c r="S5541" s="5">
        <f t="shared" si="8"/>
        <v>0</v>
      </c>
    </row>
    <row r="5542">
      <c r="A5542" s="2" t="s">
        <v>5543</v>
      </c>
      <c r="B5542" s="2">
        <v>316.0</v>
      </c>
      <c r="C5542" s="2">
        <v>3761.0</v>
      </c>
      <c r="D5542" s="2">
        <v>1281.0</v>
      </c>
      <c r="E5542" s="3">
        <f t="shared" si="1"/>
        <v>0.3718432511</v>
      </c>
      <c r="F5542" s="2">
        <v>416.0</v>
      </c>
      <c r="G5542" s="3">
        <f t="shared" si="2"/>
        <v>0.120754717</v>
      </c>
      <c r="H5542" s="2">
        <v>742.0</v>
      </c>
      <c r="I5542" s="3">
        <f t="shared" si="3"/>
        <v>0.2153846154</v>
      </c>
      <c r="J5542" s="2">
        <v>614.0</v>
      </c>
      <c r="K5542" s="3">
        <f t="shared" si="4"/>
        <v>0.1782293179</v>
      </c>
      <c r="L5542" s="2">
        <v>430.0</v>
      </c>
      <c r="M5542" s="3">
        <f t="shared" si="5"/>
        <v>0.5795148248</v>
      </c>
      <c r="N5542" s="2">
        <v>4019400.0</v>
      </c>
      <c r="O5542" s="4">
        <f t="shared" si="6"/>
        <v>5416.981132</v>
      </c>
      <c r="P5542" s="2">
        <v>0.0</v>
      </c>
      <c r="Q5542" s="3">
        <f t="shared" si="7"/>
        <v>0</v>
      </c>
      <c r="R5542" s="2">
        <v>0.0</v>
      </c>
      <c r="S5542" s="5">
        <f t="shared" si="8"/>
        <v>0</v>
      </c>
    </row>
    <row r="5543">
      <c r="A5543" s="2" t="s">
        <v>5544</v>
      </c>
      <c r="B5543" s="2">
        <v>51.0</v>
      </c>
      <c r="C5543" s="2">
        <v>581.0</v>
      </c>
      <c r="D5543" s="2">
        <v>171.0</v>
      </c>
      <c r="E5543" s="3">
        <f t="shared" si="1"/>
        <v>0.3226415094</v>
      </c>
      <c r="F5543" s="2">
        <v>64.0</v>
      </c>
      <c r="G5543" s="3">
        <f t="shared" si="2"/>
        <v>0.120754717</v>
      </c>
      <c r="H5543" s="2">
        <v>102.0</v>
      </c>
      <c r="I5543" s="3">
        <f t="shared" si="3"/>
        <v>0.1924528302</v>
      </c>
      <c r="J5543" s="2">
        <v>89.0</v>
      </c>
      <c r="K5543" s="3">
        <f t="shared" si="4"/>
        <v>0.1679245283</v>
      </c>
      <c r="L5543" s="2">
        <v>65.0</v>
      </c>
      <c r="M5543" s="3">
        <f t="shared" si="5"/>
        <v>0.637254902</v>
      </c>
      <c r="N5543" s="2">
        <v>618600.0</v>
      </c>
      <c r="O5543" s="4">
        <f t="shared" si="6"/>
        <v>6064.705882</v>
      </c>
      <c r="P5543" s="2">
        <v>0.0</v>
      </c>
      <c r="Q5543" s="3">
        <f t="shared" si="7"/>
        <v>0</v>
      </c>
      <c r="R5543" s="2">
        <v>51.0</v>
      </c>
      <c r="S5543" s="5">
        <f t="shared" si="8"/>
        <v>1</v>
      </c>
    </row>
    <row r="5544">
      <c r="A5544" s="2" t="s">
        <v>5545</v>
      </c>
      <c r="B5544" s="2">
        <v>808.0</v>
      </c>
      <c r="C5544" s="2">
        <v>9520.0</v>
      </c>
      <c r="D5544" s="2">
        <v>3203.0</v>
      </c>
      <c r="E5544" s="3">
        <f t="shared" si="1"/>
        <v>0.3676538108</v>
      </c>
      <c r="F5544" s="2">
        <v>1052.0</v>
      </c>
      <c r="G5544" s="3">
        <f t="shared" si="2"/>
        <v>0.1207529844</v>
      </c>
      <c r="H5544" s="2">
        <v>1746.0</v>
      </c>
      <c r="I5544" s="3">
        <f t="shared" si="3"/>
        <v>0.2004132231</v>
      </c>
      <c r="J5544" s="2">
        <v>1346.0</v>
      </c>
      <c r="K5544" s="3">
        <f t="shared" si="4"/>
        <v>0.1544995409</v>
      </c>
      <c r="L5544" s="2">
        <v>1093.0</v>
      </c>
      <c r="M5544" s="3">
        <f t="shared" si="5"/>
        <v>0.626002291</v>
      </c>
      <c r="N5544" s="2">
        <v>9894500.0</v>
      </c>
      <c r="O5544" s="4">
        <f t="shared" si="6"/>
        <v>5666.953036</v>
      </c>
      <c r="P5544" s="2">
        <v>1.0</v>
      </c>
      <c r="Q5544" s="3">
        <f t="shared" si="7"/>
        <v>0.001237623762</v>
      </c>
      <c r="R5544" s="2">
        <v>122.0</v>
      </c>
      <c r="S5544" s="5">
        <f t="shared" si="8"/>
        <v>0.150990099</v>
      </c>
    </row>
    <row r="5545">
      <c r="A5545" s="2" t="s">
        <v>5546</v>
      </c>
      <c r="B5545" s="2">
        <v>104.0</v>
      </c>
      <c r="C5545" s="2">
        <v>1222.0</v>
      </c>
      <c r="D5545" s="2">
        <v>388.0</v>
      </c>
      <c r="E5545" s="3">
        <f t="shared" si="1"/>
        <v>0.3470483005</v>
      </c>
      <c r="F5545" s="2">
        <v>135.0</v>
      </c>
      <c r="G5545" s="3">
        <f t="shared" si="2"/>
        <v>0.1207513417</v>
      </c>
      <c r="H5545" s="2">
        <v>228.0</v>
      </c>
      <c r="I5545" s="3">
        <f t="shared" si="3"/>
        <v>0.2039355993</v>
      </c>
      <c r="J5545" s="2">
        <v>186.0</v>
      </c>
      <c r="K5545" s="3">
        <f t="shared" si="4"/>
        <v>0.1663685152</v>
      </c>
      <c r="L5545" s="2">
        <v>141.0</v>
      </c>
      <c r="M5545" s="3">
        <f t="shared" si="5"/>
        <v>0.6184210526</v>
      </c>
      <c r="N5545" s="2">
        <v>1260100.0</v>
      </c>
      <c r="O5545" s="4">
        <f t="shared" si="6"/>
        <v>5526.754386</v>
      </c>
      <c r="P5545" s="2">
        <v>0.0</v>
      </c>
      <c r="Q5545" s="3">
        <f t="shared" si="7"/>
        <v>0</v>
      </c>
      <c r="R5545" s="2">
        <v>42.0</v>
      </c>
      <c r="S5545" s="5">
        <f t="shared" si="8"/>
        <v>0.4038461538</v>
      </c>
    </row>
    <row r="5546">
      <c r="A5546" s="2" t="s">
        <v>5547</v>
      </c>
      <c r="B5546" s="2">
        <v>450.0</v>
      </c>
      <c r="C5546" s="2">
        <v>5303.0</v>
      </c>
      <c r="D5546" s="2">
        <v>1815.0</v>
      </c>
      <c r="E5546" s="3">
        <f t="shared" si="1"/>
        <v>0.3739954667</v>
      </c>
      <c r="F5546" s="2">
        <v>586.0</v>
      </c>
      <c r="G5546" s="3">
        <f t="shared" si="2"/>
        <v>0.1207500515</v>
      </c>
      <c r="H5546" s="2">
        <v>1048.0</v>
      </c>
      <c r="I5546" s="3">
        <f t="shared" si="3"/>
        <v>0.2159488976</v>
      </c>
      <c r="J5546" s="2">
        <v>812.0</v>
      </c>
      <c r="K5546" s="3">
        <f t="shared" si="4"/>
        <v>0.167319184</v>
      </c>
      <c r="L5546" s="2">
        <v>623.0</v>
      </c>
      <c r="M5546" s="3">
        <f t="shared" si="5"/>
        <v>0.5944656489</v>
      </c>
      <c r="N5546" s="2">
        <v>5471600.0</v>
      </c>
      <c r="O5546" s="4">
        <f t="shared" si="6"/>
        <v>5220.992366</v>
      </c>
      <c r="P5546" s="2">
        <v>0.0</v>
      </c>
      <c r="Q5546" s="3">
        <f t="shared" si="7"/>
        <v>0</v>
      </c>
      <c r="R5546" s="2">
        <v>450.0</v>
      </c>
      <c r="S5546" s="5">
        <f t="shared" si="8"/>
        <v>1</v>
      </c>
    </row>
    <row r="5547">
      <c r="A5547" s="2" t="s">
        <v>5548</v>
      </c>
      <c r="B5547" s="2">
        <v>868.0</v>
      </c>
      <c r="C5547" s="2">
        <v>10111.0</v>
      </c>
      <c r="D5547" s="2">
        <v>3915.0</v>
      </c>
      <c r="E5547" s="3">
        <f t="shared" si="1"/>
        <v>0.423563778</v>
      </c>
      <c r="F5547" s="2">
        <v>1116.0</v>
      </c>
      <c r="G5547" s="3">
        <f t="shared" si="2"/>
        <v>0.1207400195</v>
      </c>
      <c r="H5547" s="2">
        <v>2040.0</v>
      </c>
      <c r="I5547" s="3">
        <f t="shared" si="3"/>
        <v>0.2207075625</v>
      </c>
      <c r="J5547" s="2">
        <v>1412.0</v>
      </c>
      <c r="K5547" s="3">
        <f t="shared" si="4"/>
        <v>0.152764254</v>
      </c>
      <c r="L5547" s="2">
        <v>1259.0</v>
      </c>
      <c r="M5547" s="3">
        <f t="shared" si="5"/>
        <v>0.6171568627</v>
      </c>
      <c r="N5547" s="2">
        <v>1.03746E7</v>
      </c>
      <c r="O5547" s="4">
        <f t="shared" si="6"/>
        <v>5085.588235</v>
      </c>
      <c r="P5547" s="2">
        <v>1.0</v>
      </c>
      <c r="Q5547" s="3">
        <f t="shared" si="7"/>
        <v>0.001152073733</v>
      </c>
      <c r="R5547" s="2">
        <v>868.0</v>
      </c>
      <c r="S5547" s="5">
        <f t="shared" si="8"/>
        <v>1</v>
      </c>
    </row>
    <row r="5548">
      <c r="A5548" s="2" t="s">
        <v>5549</v>
      </c>
      <c r="B5548" s="2">
        <v>425.0</v>
      </c>
      <c r="C5548" s="2">
        <v>5030.0</v>
      </c>
      <c r="D5548" s="2">
        <v>1706.0</v>
      </c>
      <c r="E5548" s="3">
        <f t="shared" si="1"/>
        <v>0.3704668838</v>
      </c>
      <c r="F5548" s="2">
        <v>556.0</v>
      </c>
      <c r="G5548" s="3">
        <f t="shared" si="2"/>
        <v>0.1207383279</v>
      </c>
      <c r="H5548" s="2">
        <v>966.0</v>
      </c>
      <c r="I5548" s="3">
        <f t="shared" si="3"/>
        <v>0.209771987</v>
      </c>
      <c r="J5548" s="2">
        <v>791.0</v>
      </c>
      <c r="K5548" s="3">
        <f t="shared" si="4"/>
        <v>0.1717698154</v>
      </c>
      <c r="L5548" s="2">
        <v>571.0</v>
      </c>
      <c r="M5548" s="3">
        <f t="shared" si="5"/>
        <v>0.5910973085</v>
      </c>
      <c r="N5548" s="2">
        <v>5179700.0</v>
      </c>
      <c r="O5548" s="4">
        <f t="shared" si="6"/>
        <v>5362.008282</v>
      </c>
      <c r="P5548" s="2">
        <v>1.0</v>
      </c>
      <c r="Q5548" s="3">
        <f t="shared" si="7"/>
        <v>0.002352941176</v>
      </c>
      <c r="R5548" s="2">
        <v>425.0</v>
      </c>
      <c r="S5548" s="5">
        <f t="shared" si="8"/>
        <v>1</v>
      </c>
    </row>
    <row r="5549">
      <c r="A5549" s="2" t="s">
        <v>5550</v>
      </c>
      <c r="B5549" s="2">
        <v>36.0</v>
      </c>
      <c r="C5549" s="2">
        <v>417.0</v>
      </c>
      <c r="D5549" s="2">
        <v>97.0</v>
      </c>
      <c r="E5549" s="3">
        <f t="shared" si="1"/>
        <v>0.2545931759</v>
      </c>
      <c r="F5549" s="2">
        <v>46.0</v>
      </c>
      <c r="G5549" s="3">
        <f t="shared" si="2"/>
        <v>0.1207349081</v>
      </c>
      <c r="H5549" s="2">
        <v>67.0</v>
      </c>
      <c r="I5549" s="3">
        <f t="shared" si="3"/>
        <v>0.1758530184</v>
      </c>
      <c r="J5549" s="2">
        <v>68.0</v>
      </c>
      <c r="K5549" s="3">
        <f t="shared" si="4"/>
        <v>0.1784776903</v>
      </c>
      <c r="L5549" s="2">
        <v>40.0</v>
      </c>
      <c r="M5549" s="3">
        <f t="shared" si="5"/>
        <v>0.5970149254</v>
      </c>
      <c r="N5549" s="2">
        <v>334000.0</v>
      </c>
      <c r="O5549" s="4">
        <f t="shared" si="6"/>
        <v>4985.074627</v>
      </c>
      <c r="P5549" s="2">
        <v>0.0</v>
      </c>
      <c r="Q5549" s="3">
        <f t="shared" si="7"/>
        <v>0</v>
      </c>
      <c r="R5549" s="2">
        <v>36.0</v>
      </c>
      <c r="S5549" s="5">
        <f t="shared" si="8"/>
        <v>1</v>
      </c>
    </row>
    <row r="5550">
      <c r="A5550" s="2" t="s">
        <v>5551</v>
      </c>
      <c r="B5550" s="2">
        <v>36.0</v>
      </c>
      <c r="C5550" s="2">
        <v>417.0</v>
      </c>
      <c r="D5550" s="2">
        <v>163.0</v>
      </c>
      <c r="E5550" s="3">
        <f t="shared" si="1"/>
        <v>0.4278215223</v>
      </c>
      <c r="F5550" s="2">
        <v>46.0</v>
      </c>
      <c r="G5550" s="3">
        <f t="shared" si="2"/>
        <v>0.1207349081</v>
      </c>
      <c r="H5550" s="2">
        <v>77.0</v>
      </c>
      <c r="I5550" s="3">
        <f t="shared" si="3"/>
        <v>0.2020997375</v>
      </c>
      <c r="J5550" s="2">
        <v>49.0</v>
      </c>
      <c r="K5550" s="3">
        <f t="shared" si="4"/>
        <v>0.1286089239</v>
      </c>
      <c r="L5550" s="2">
        <v>47.0</v>
      </c>
      <c r="M5550" s="3">
        <f t="shared" si="5"/>
        <v>0.6103896104</v>
      </c>
      <c r="N5550" s="2">
        <v>361700.0</v>
      </c>
      <c r="O5550" s="4">
        <f t="shared" si="6"/>
        <v>4697.402597</v>
      </c>
      <c r="P5550" s="2">
        <v>0.0</v>
      </c>
      <c r="Q5550" s="3">
        <f t="shared" si="7"/>
        <v>0</v>
      </c>
      <c r="R5550" s="2">
        <v>36.0</v>
      </c>
      <c r="S5550" s="5">
        <f t="shared" si="8"/>
        <v>1</v>
      </c>
    </row>
    <row r="5551">
      <c r="A5551" s="2" t="s">
        <v>5552</v>
      </c>
      <c r="B5551" s="2">
        <v>40.0</v>
      </c>
      <c r="C5551" s="2">
        <v>479.0</v>
      </c>
      <c r="D5551" s="2">
        <v>160.0</v>
      </c>
      <c r="E5551" s="3">
        <f t="shared" si="1"/>
        <v>0.3644646925</v>
      </c>
      <c r="F5551" s="2">
        <v>53.0</v>
      </c>
      <c r="G5551" s="3">
        <f t="shared" si="2"/>
        <v>0.1207289294</v>
      </c>
      <c r="H5551" s="2">
        <v>88.0</v>
      </c>
      <c r="I5551" s="3">
        <f t="shared" si="3"/>
        <v>0.2004555809</v>
      </c>
      <c r="J5551" s="2">
        <v>80.0</v>
      </c>
      <c r="K5551" s="3">
        <f t="shared" si="4"/>
        <v>0.1822323462</v>
      </c>
      <c r="L5551" s="2">
        <v>36.0</v>
      </c>
      <c r="M5551" s="3">
        <f t="shared" si="5"/>
        <v>0.4090909091</v>
      </c>
      <c r="N5551" s="2">
        <v>526400.0</v>
      </c>
      <c r="O5551" s="4">
        <f t="shared" si="6"/>
        <v>5981.818182</v>
      </c>
      <c r="P5551" s="2">
        <v>0.0</v>
      </c>
      <c r="Q5551" s="3">
        <f t="shared" si="7"/>
        <v>0</v>
      </c>
      <c r="R5551" s="2">
        <v>0.0</v>
      </c>
      <c r="S5551" s="5">
        <f t="shared" si="8"/>
        <v>0</v>
      </c>
    </row>
    <row r="5552">
      <c r="A5552" s="2" t="s">
        <v>5553</v>
      </c>
      <c r="B5552" s="2">
        <v>617.0</v>
      </c>
      <c r="C5552" s="2">
        <v>7260.0</v>
      </c>
      <c r="D5552" s="2">
        <v>2803.0</v>
      </c>
      <c r="E5552" s="3">
        <f t="shared" si="1"/>
        <v>0.4219479151</v>
      </c>
      <c r="F5552" s="2">
        <v>802.0</v>
      </c>
      <c r="G5552" s="3">
        <f t="shared" si="2"/>
        <v>0.1207285865</v>
      </c>
      <c r="H5552" s="2">
        <v>1367.0</v>
      </c>
      <c r="I5552" s="3">
        <f t="shared" si="3"/>
        <v>0.2057805208</v>
      </c>
      <c r="J5552" s="2">
        <v>776.0</v>
      </c>
      <c r="K5552" s="3">
        <f t="shared" si="4"/>
        <v>0.1168146922</v>
      </c>
      <c r="L5552" s="2">
        <v>864.0</v>
      </c>
      <c r="M5552" s="3">
        <f t="shared" si="5"/>
        <v>0.6320409656</v>
      </c>
      <c r="N5552" s="2">
        <v>7265000.0</v>
      </c>
      <c r="O5552" s="4">
        <f t="shared" si="6"/>
        <v>5314.557425</v>
      </c>
      <c r="P5552" s="2">
        <v>4.0</v>
      </c>
      <c r="Q5552" s="3">
        <f t="shared" si="7"/>
        <v>0.006482982172</v>
      </c>
      <c r="R5552" s="2">
        <v>40.0</v>
      </c>
      <c r="S5552" s="5">
        <f t="shared" si="8"/>
        <v>0.06482982172</v>
      </c>
    </row>
    <row r="5553">
      <c r="A5553" s="2" t="s">
        <v>5554</v>
      </c>
      <c r="B5553" s="2">
        <v>717.0</v>
      </c>
      <c r="C5553" s="2">
        <v>8479.0</v>
      </c>
      <c r="D5553" s="2">
        <v>2427.0</v>
      </c>
      <c r="E5553" s="3">
        <f t="shared" si="1"/>
        <v>0.3126771451</v>
      </c>
      <c r="F5553" s="2">
        <v>937.0</v>
      </c>
      <c r="G5553" s="3">
        <f t="shared" si="2"/>
        <v>0.1207163102</v>
      </c>
      <c r="H5553" s="2">
        <v>1582.0</v>
      </c>
      <c r="I5553" s="3">
        <f t="shared" si="3"/>
        <v>0.2038134501</v>
      </c>
      <c r="J5553" s="2">
        <v>1097.0</v>
      </c>
      <c r="K5553" s="3">
        <f t="shared" si="4"/>
        <v>0.1413295542</v>
      </c>
      <c r="L5553" s="2">
        <v>928.0</v>
      </c>
      <c r="M5553" s="3">
        <f t="shared" si="5"/>
        <v>0.5865992415</v>
      </c>
      <c r="N5553" s="2">
        <v>8695800.0</v>
      </c>
      <c r="O5553" s="4">
        <f t="shared" si="6"/>
        <v>5496.713021</v>
      </c>
      <c r="P5553" s="2">
        <v>1.0</v>
      </c>
      <c r="Q5553" s="3">
        <f t="shared" si="7"/>
        <v>0.001394700139</v>
      </c>
      <c r="R5553" s="2">
        <v>717.0</v>
      </c>
      <c r="S5553" s="5">
        <f t="shared" si="8"/>
        <v>1</v>
      </c>
    </row>
    <row r="5554">
      <c r="A5554" s="2" t="s">
        <v>5555</v>
      </c>
      <c r="B5554" s="2">
        <v>1055.0</v>
      </c>
      <c r="C5554" s="2">
        <v>12172.0</v>
      </c>
      <c r="D5554" s="2">
        <v>4285.0</v>
      </c>
      <c r="E5554" s="3">
        <f t="shared" si="1"/>
        <v>0.3854457138</v>
      </c>
      <c r="F5554" s="2">
        <v>1342.0</v>
      </c>
      <c r="G5554" s="3">
        <f t="shared" si="2"/>
        <v>0.1207160205</v>
      </c>
      <c r="H5554" s="2">
        <v>2416.0</v>
      </c>
      <c r="I5554" s="3">
        <f t="shared" si="3"/>
        <v>0.2173248178</v>
      </c>
      <c r="J5554" s="2">
        <v>1800.0</v>
      </c>
      <c r="K5554" s="3">
        <f t="shared" si="4"/>
        <v>0.1619141855</v>
      </c>
      <c r="L5554" s="2">
        <v>1496.0</v>
      </c>
      <c r="M5554" s="3">
        <f t="shared" si="5"/>
        <v>0.619205298</v>
      </c>
      <c r="N5554" s="2">
        <v>1.35162E7</v>
      </c>
      <c r="O5554" s="4">
        <f t="shared" si="6"/>
        <v>5594.453642</v>
      </c>
      <c r="P5554" s="2">
        <v>2.0</v>
      </c>
      <c r="Q5554" s="3">
        <f t="shared" si="7"/>
        <v>0.001895734597</v>
      </c>
      <c r="R5554" s="2">
        <v>1055.0</v>
      </c>
      <c r="S5554" s="5">
        <f t="shared" si="8"/>
        <v>1</v>
      </c>
    </row>
    <row r="5555">
      <c r="A5555" s="2" t="s">
        <v>5556</v>
      </c>
      <c r="B5555" s="2">
        <v>88.0</v>
      </c>
      <c r="C5555" s="2">
        <v>1049.0</v>
      </c>
      <c r="D5555" s="2">
        <v>418.0</v>
      </c>
      <c r="E5555" s="3">
        <f t="shared" si="1"/>
        <v>0.4349635796</v>
      </c>
      <c r="F5555" s="2">
        <v>116.0</v>
      </c>
      <c r="G5555" s="3">
        <f t="shared" si="2"/>
        <v>0.1207075963</v>
      </c>
      <c r="H5555" s="2">
        <v>221.0</v>
      </c>
      <c r="I5555" s="3">
        <f t="shared" si="3"/>
        <v>0.2299687825</v>
      </c>
      <c r="J5555" s="2">
        <v>148.0</v>
      </c>
      <c r="K5555" s="3">
        <f t="shared" si="4"/>
        <v>0.1540062435</v>
      </c>
      <c r="L5555" s="2">
        <v>122.0</v>
      </c>
      <c r="M5555" s="3">
        <f t="shared" si="5"/>
        <v>0.5520361991</v>
      </c>
      <c r="N5555" s="2">
        <v>1123700.0</v>
      </c>
      <c r="O5555" s="4">
        <f t="shared" si="6"/>
        <v>5084.615385</v>
      </c>
      <c r="P5555" s="2">
        <v>0.0</v>
      </c>
      <c r="Q5555" s="3">
        <f t="shared" si="7"/>
        <v>0</v>
      </c>
      <c r="R5555" s="2">
        <v>88.0</v>
      </c>
      <c r="S5555" s="5">
        <f t="shared" si="8"/>
        <v>1</v>
      </c>
    </row>
    <row r="5556">
      <c r="A5556" s="2" t="s">
        <v>5557</v>
      </c>
      <c r="B5556" s="2">
        <v>568.0</v>
      </c>
      <c r="C5556" s="2">
        <v>6583.0</v>
      </c>
      <c r="D5556" s="2">
        <v>2323.0</v>
      </c>
      <c r="E5556" s="3">
        <f t="shared" si="1"/>
        <v>0.3862011638</v>
      </c>
      <c r="F5556" s="2">
        <v>726.0</v>
      </c>
      <c r="G5556" s="3">
        <f t="shared" si="2"/>
        <v>0.1206982544</v>
      </c>
      <c r="H5556" s="2">
        <v>1353.0</v>
      </c>
      <c r="I5556" s="3">
        <f t="shared" si="3"/>
        <v>0.2249376559</v>
      </c>
      <c r="J5556" s="2">
        <v>1084.0</v>
      </c>
      <c r="K5556" s="3">
        <f t="shared" si="4"/>
        <v>0.1802161264</v>
      </c>
      <c r="L5556" s="2">
        <v>825.0</v>
      </c>
      <c r="M5556" s="3">
        <f t="shared" si="5"/>
        <v>0.6097560976</v>
      </c>
      <c r="N5556" s="2">
        <v>7534500.0</v>
      </c>
      <c r="O5556" s="4">
        <f t="shared" si="6"/>
        <v>5568.736142</v>
      </c>
      <c r="P5556" s="2">
        <v>1.0</v>
      </c>
      <c r="Q5556" s="3">
        <f t="shared" si="7"/>
        <v>0.00176056338</v>
      </c>
      <c r="R5556" s="2">
        <v>568.0</v>
      </c>
      <c r="S5556" s="5">
        <f t="shared" si="8"/>
        <v>1</v>
      </c>
    </row>
    <row r="5557">
      <c r="A5557" s="2" t="s">
        <v>5558</v>
      </c>
      <c r="B5557" s="2">
        <v>377.0</v>
      </c>
      <c r="C5557" s="2">
        <v>4387.0</v>
      </c>
      <c r="D5557" s="2">
        <v>968.0</v>
      </c>
      <c r="E5557" s="3">
        <f t="shared" si="1"/>
        <v>0.2413965087</v>
      </c>
      <c r="F5557" s="2">
        <v>484.0</v>
      </c>
      <c r="G5557" s="3">
        <f t="shared" si="2"/>
        <v>0.1206982544</v>
      </c>
      <c r="H5557" s="2">
        <v>768.0</v>
      </c>
      <c r="I5557" s="3">
        <f t="shared" si="3"/>
        <v>0.191521197</v>
      </c>
      <c r="J5557" s="2">
        <v>649.0</v>
      </c>
      <c r="K5557" s="3">
        <f t="shared" si="4"/>
        <v>0.1618453865</v>
      </c>
      <c r="L5557" s="2">
        <v>449.0</v>
      </c>
      <c r="M5557" s="3">
        <f t="shared" si="5"/>
        <v>0.5846354167</v>
      </c>
      <c r="N5557" s="2">
        <v>5154800.0</v>
      </c>
      <c r="O5557" s="4">
        <f t="shared" si="6"/>
        <v>6711.979167</v>
      </c>
      <c r="P5557" s="2">
        <v>1.0</v>
      </c>
      <c r="Q5557" s="3">
        <f t="shared" si="7"/>
        <v>0.002652519894</v>
      </c>
      <c r="R5557" s="2">
        <v>377.0</v>
      </c>
      <c r="S5557" s="5">
        <f t="shared" si="8"/>
        <v>1</v>
      </c>
    </row>
    <row r="5558">
      <c r="A5558" s="2" t="s">
        <v>5559</v>
      </c>
      <c r="B5558" s="2">
        <v>980.0</v>
      </c>
      <c r="C5558" s="2">
        <v>11610.0</v>
      </c>
      <c r="D5558" s="2">
        <v>3671.0</v>
      </c>
      <c r="E5558" s="3">
        <f t="shared" si="1"/>
        <v>0.3453433678</v>
      </c>
      <c r="F5558" s="2">
        <v>1283.0</v>
      </c>
      <c r="G5558" s="3">
        <f t="shared" si="2"/>
        <v>0.120696143</v>
      </c>
      <c r="H5558" s="2">
        <v>2152.0</v>
      </c>
      <c r="I5558" s="3">
        <f t="shared" si="3"/>
        <v>0.2024459078</v>
      </c>
      <c r="J5558" s="2">
        <v>1721.0</v>
      </c>
      <c r="K5558" s="3">
        <f t="shared" si="4"/>
        <v>0.1619002822</v>
      </c>
      <c r="L5558" s="2">
        <v>1240.0</v>
      </c>
      <c r="M5558" s="3">
        <f t="shared" si="5"/>
        <v>0.5762081784</v>
      </c>
      <c r="N5558" s="2">
        <v>1.21834E7</v>
      </c>
      <c r="O5558" s="4">
        <f t="shared" si="6"/>
        <v>5661.431227</v>
      </c>
      <c r="P5558" s="2">
        <v>4.0</v>
      </c>
      <c r="Q5558" s="3">
        <f t="shared" si="7"/>
        <v>0.004081632653</v>
      </c>
      <c r="R5558" s="2">
        <v>979.0</v>
      </c>
      <c r="S5558" s="5">
        <f t="shared" si="8"/>
        <v>0.9989795918</v>
      </c>
    </row>
    <row r="5559">
      <c r="A5559" s="2" t="s">
        <v>5560</v>
      </c>
      <c r="B5559" s="2">
        <v>2982.0</v>
      </c>
      <c r="C5559" s="2">
        <v>35412.0</v>
      </c>
      <c r="D5559" s="2">
        <v>12409.0</v>
      </c>
      <c r="E5559" s="3">
        <f t="shared" si="1"/>
        <v>0.3826395313</v>
      </c>
      <c r="F5559" s="2">
        <v>3914.0</v>
      </c>
      <c r="G5559" s="3">
        <f t="shared" si="2"/>
        <v>0.1206907185</v>
      </c>
      <c r="H5559" s="2">
        <v>6881.0</v>
      </c>
      <c r="I5559" s="3">
        <f t="shared" si="3"/>
        <v>0.2121800802</v>
      </c>
      <c r="J5559" s="2">
        <v>4855.0</v>
      </c>
      <c r="K5559" s="3">
        <f t="shared" si="4"/>
        <v>0.1497070614</v>
      </c>
      <c r="L5559" s="2">
        <v>4216.0</v>
      </c>
      <c r="M5559" s="3">
        <f t="shared" si="5"/>
        <v>0.6127016422</v>
      </c>
      <c r="N5559" s="2">
        <v>3.72341E7</v>
      </c>
      <c r="O5559" s="4">
        <f t="shared" si="6"/>
        <v>5411.146636</v>
      </c>
      <c r="P5559" s="2">
        <v>9.0</v>
      </c>
      <c r="Q5559" s="3">
        <f t="shared" si="7"/>
        <v>0.003018108652</v>
      </c>
      <c r="R5559" s="2">
        <v>390.0</v>
      </c>
      <c r="S5559" s="5">
        <f t="shared" si="8"/>
        <v>0.1307847082</v>
      </c>
    </row>
    <row r="5560">
      <c r="A5560" s="2" t="s">
        <v>5561</v>
      </c>
      <c r="B5560" s="2">
        <v>11.0</v>
      </c>
      <c r="C5560" s="2">
        <v>127.0</v>
      </c>
      <c r="D5560" s="2">
        <v>36.0</v>
      </c>
      <c r="E5560" s="3">
        <f t="shared" si="1"/>
        <v>0.3103448276</v>
      </c>
      <c r="F5560" s="2">
        <v>14.0</v>
      </c>
      <c r="G5560" s="3">
        <f t="shared" si="2"/>
        <v>0.1206896552</v>
      </c>
      <c r="H5560" s="2">
        <v>17.0</v>
      </c>
      <c r="I5560" s="3">
        <f t="shared" si="3"/>
        <v>0.1465517241</v>
      </c>
      <c r="J5560" s="2">
        <v>21.0</v>
      </c>
      <c r="K5560" s="3">
        <f t="shared" si="4"/>
        <v>0.1810344828</v>
      </c>
      <c r="L5560" s="2">
        <v>11.0</v>
      </c>
      <c r="M5560" s="3">
        <f t="shared" si="5"/>
        <v>0.6470588235</v>
      </c>
      <c r="N5560" s="2">
        <v>59700.0</v>
      </c>
      <c r="O5560" s="4">
        <f t="shared" si="6"/>
        <v>3511.764706</v>
      </c>
      <c r="P5560" s="2">
        <v>0.0</v>
      </c>
      <c r="Q5560" s="3">
        <f t="shared" si="7"/>
        <v>0</v>
      </c>
      <c r="R5560" s="2">
        <v>11.0</v>
      </c>
      <c r="S5560" s="5">
        <f t="shared" si="8"/>
        <v>1</v>
      </c>
    </row>
    <row r="5561">
      <c r="A5561" s="2" t="s">
        <v>5562</v>
      </c>
      <c r="B5561" s="2">
        <v>6.0</v>
      </c>
      <c r="C5561" s="2">
        <v>64.0</v>
      </c>
      <c r="D5561" s="2">
        <v>22.0</v>
      </c>
      <c r="E5561" s="3">
        <f t="shared" si="1"/>
        <v>0.3793103448</v>
      </c>
      <c r="F5561" s="2">
        <v>7.0</v>
      </c>
      <c r="G5561" s="3">
        <f t="shared" si="2"/>
        <v>0.1206896552</v>
      </c>
      <c r="H5561" s="2">
        <v>11.0</v>
      </c>
      <c r="I5561" s="3">
        <f t="shared" si="3"/>
        <v>0.1896551724</v>
      </c>
      <c r="J5561" s="2">
        <v>9.0</v>
      </c>
      <c r="K5561" s="3">
        <f t="shared" si="4"/>
        <v>0.1551724138</v>
      </c>
      <c r="L5561" s="2">
        <v>9.0</v>
      </c>
      <c r="M5561" s="3">
        <f t="shared" si="5"/>
        <v>0.8181818182</v>
      </c>
      <c r="N5561" s="2">
        <v>53900.0</v>
      </c>
      <c r="O5561" s="4">
        <f t="shared" si="6"/>
        <v>4900</v>
      </c>
      <c r="P5561" s="2">
        <v>0.0</v>
      </c>
      <c r="Q5561" s="3">
        <f t="shared" si="7"/>
        <v>0</v>
      </c>
      <c r="R5561" s="2">
        <v>0.0</v>
      </c>
      <c r="S5561" s="5">
        <f t="shared" si="8"/>
        <v>0</v>
      </c>
    </row>
    <row r="5562">
      <c r="A5562" s="2">
        <v>8115.0</v>
      </c>
      <c r="B5562" s="2">
        <v>38.0</v>
      </c>
      <c r="C5562" s="2">
        <v>444.0</v>
      </c>
      <c r="D5562" s="2">
        <v>131.0</v>
      </c>
      <c r="E5562" s="3">
        <f t="shared" si="1"/>
        <v>0.3226600985</v>
      </c>
      <c r="F5562" s="2">
        <v>49.0</v>
      </c>
      <c r="G5562" s="3">
        <f t="shared" si="2"/>
        <v>0.1206896552</v>
      </c>
      <c r="H5562" s="2">
        <v>68.0</v>
      </c>
      <c r="I5562" s="3">
        <f t="shared" si="3"/>
        <v>0.1674876847</v>
      </c>
      <c r="J5562" s="2">
        <v>55.0</v>
      </c>
      <c r="K5562" s="3">
        <f t="shared" si="4"/>
        <v>0.1354679803</v>
      </c>
      <c r="L5562" s="2">
        <v>36.0</v>
      </c>
      <c r="M5562" s="3">
        <f t="shared" si="5"/>
        <v>0.5294117647</v>
      </c>
      <c r="N5562" s="2">
        <v>384500.0</v>
      </c>
      <c r="O5562" s="4">
        <f t="shared" si="6"/>
        <v>5654.411765</v>
      </c>
      <c r="P5562" s="2">
        <v>0.0</v>
      </c>
      <c r="Q5562" s="3">
        <f t="shared" si="7"/>
        <v>0</v>
      </c>
      <c r="R5562" s="2">
        <v>38.0</v>
      </c>
      <c r="S5562" s="5">
        <f t="shared" si="8"/>
        <v>1</v>
      </c>
    </row>
    <row r="5563">
      <c r="A5563" s="2" t="s">
        <v>5563</v>
      </c>
      <c r="B5563" s="2">
        <v>124.0</v>
      </c>
      <c r="C5563" s="2">
        <v>1458.0</v>
      </c>
      <c r="D5563" s="2">
        <v>497.0</v>
      </c>
      <c r="E5563" s="3">
        <f t="shared" si="1"/>
        <v>0.3725637181</v>
      </c>
      <c r="F5563" s="2">
        <v>161.0</v>
      </c>
      <c r="G5563" s="3">
        <f t="shared" si="2"/>
        <v>0.1206896552</v>
      </c>
      <c r="H5563" s="2">
        <v>264.0</v>
      </c>
      <c r="I5563" s="3">
        <f t="shared" si="3"/>
        <v>0.1979010495</v>
      </c>
      <c r="J5563" s="2">
        <v>170.0</v>
      </c>
      <c r="K5563" s="3">
        <f t="shared" si="4"/>
        <v>0.1274362819</v>
      </c>
      <c r="L5563" s="2">
        <v>144.0</v>
      </c>
      <c r="M5563" s="3">
        <f t="shared" si="5"/>
        <v>0.5454545455</v>
      </c>
      <c r="N5563" s="2">
        <v>1278000.0</v>
      </c>
      <c r="O5563" s="4">
        <f t="shared" si="6"/>
        <v>4840.909091</v>
      </c>
      <c r="P5563" s="2">
        <v>0.0</v>
      </c>
      <c r="Q5563" s="3">
        <f t="shared" si="7"/>
        <v>0</v>
      </c>
      <c r="R5563" s="2">
        <v>0.0</v>
      </c>
      <c r="S5563" s="5">
        <f t="shared" si="8"/>
        <v>0</v>
      </c>
    </row>
    <row r="5564">
      <c r="A5564" s="2" t="s">
        <v>5564</v>
      </c>
      <c r="B5564" s="2">
        <v>1005.0</v>
      </c>
      <c r="C5564" s="2">
        <v>11810.0</v>
      </c>
      <c r="D5564" s="2">
        <v>3135.0</v>
      </c>
      <c r="E5564" s="3">
        <f t="shared" si="1"/>
        <v>0.2901434521</v>
      </c>
      <c r="F5564" s="2">
        <v>1304.0</v>
      </c>
      <c r="G5564" s="3">
        <f t="shared" si="2"/>
        <v>0.1206848681</v>
      </c>
      <c r="H5564" s="2">
        <v>2126.0</v>
      </c>
      <c r="I5564" s="3">
        <f t="shared" si="3"/>
        <v>0.1967607589</v>
      </c>
      <c r="J5564" s="2">
        <v>2237.0</v>
      </c>
      <c r="K5564" s="3">
        <f t="shared" si="4"/>
        <v>0.2070337807</v>
      </c>
      <c r="L5564" s="2">
        <v>1233.0</v>
      </c>
      <c r="M5564" s="3">
        <f t="shared" si="5"/>
        <v>0.5799623706</v>
      </c>
      <c r="N5564" s="2">
        <v>1.23439E7</v>
      </c>
      <c r="O5564" s="4">
        <f t="shared" si="6"/>
        <v>5806.161806</v>
      </c>
      <c r="P5564" s="2">
        <v>2.0</v>
      </c>
      <c r="Q5564" s="3">
        <f t="shared" si="7"/>
        <v>0.001990049751</v>
      </c>
      <c r="R5564" s="2">
        <v>1005.0</v>
      </c>
      <c r="S5564" s="5">
        <f t="shared" si="8"/>
        <v>1</v>
      </c>
    </row>
    <row r="5565">
      <c r="A5565" s="2" t="s">
        <v>5565</v>
      </c>
      <c r="B5565" s="2">
        <v>945.0</v>
      </c>
      <c r="C5565" s="2">
        <v>11170.0</v>
      </c>
      <c r="D5565" s="2">
        <v>3618.0</v>
      </c>
      <c r="E5565" s="3">
        <f t="shared" si="1"/>
        <v>0.3538386308</v>
      </c>
      <c r="F5565" s="2">
        <v>1234.0</v>
      </c>
      <c r="G5565" s="3">
        <f t="shared" si="2"/>
        <v>0.1206845966</v>
      </c>
      <c r="H5565" s="2">
        <v>2267.0</v>
      </c>
      <c r="I5565" s="3">
        <f t="shared" si="3"/>
        <v>0.2217114914</v>
      </c>
      <c r="J5565" s="2">
        <v>1661.0</v>
      </c>
      <c r="K5565" s="3">
        <f t="shared" si="4"/>
        <v>0.1624449878</v>
      </c>
      <c r="L5565" s="2">
        <v>1393.0</v>
      </c>
      <c r="M5565" s="3">
        <f t="shared" si="5"/>
        <v>0.6144684605</v>
      </c>
      <c r="N5565" s="2">
        <v>1.20473E7</v>
      </c>
      <c r="O5565" s="4">
        <f t="shared" si="6"/>
        <v>5314.203794</v>
      </c>
      <c r="P5565" s="2">
        <v>1.0</v>
      </c>
      <c r="Q5565" s="3">
        <f t="shared" si="7"/>
        <v>0.001058201058</v>
      </c>
      <c r="R5565" s="2">
        <v>945.0</v>
      </c>
      <c r="S5565" s="5">
        <f t="shared" si="8"/>
        <v>1</v>
      </c>
    </row>
    <row r="5566">
      <c r="A5566" s="2" t="s">
        <v>5566</v>
      </c>
      <c r="B5566" s="2">
        <v>131.0</v>
      </c>
      <c r="C5566" s="2">
        <v>1540.0</v>
      </c>
      <c r="D5566" s="2">
        <v>515.0</v>
      </c>
      <c r="E5566" s="3">
        <f t="shared" si="1"/>
        <v>0.3655074521</v>
      </c>
      <c r="F5566" s="2">
        <v>170.0</v>
      </c>
      <c r="G5566" s="3">
        <f t="shared" si="2"/>
        <v>0.1206529454</v>
      </c>
      <c r="H5566" s="2">
        <v>288.0</v>
      </c>
      <c r="I5566" s="3">
        <f t="shared" si="3"/>
        <v>0.2044002839</v>
      </c>
      <c r="J5566" s="2">
        <v>255.0</v>
      </c>
      <c r="K5566" s="3">
        <f t="shared" si="4"/>
        <v>0.180979418</v>
      </c>
      <c r="L5566" s="2">
        <v>171.0</v>
      </c>
      <c r="M5566" s="3">
        <f t="shared" si="5"/>
        <v>0.59375</v>
      </c>
      <c r="N5566" s="2">
        <v>1590400.0</v>
      </c>
      <c r="O5566" s="4">
        <f t="shared" si="6"/>
        <v>5522.222222</v>
      </c>
      <c r="P5566" s="2">
        <v>0.0</v>
      </c>
      <c r="Q5566" s="3">
        <f t="shared" si="7"/>
        <v>0</v>
      </c>
      <c r="R5566" s="2">
        <v>131.0</v>
      </c>
      <c r="S5566" s="5">
        <f t="shared" si="8"/>
        <v>1</v>
      </c>
    </row>
    <row r="5567">
      <c r="A5567" s="2" t="s">
        <v>5567</v>
      </c>
      <c r="B5567" s="2">
        <v>104.0</v>
      </c>
      <c r="C5567" s="2">
        <v>1223.0</v>
      </c>
      <c r="D5567" s="2">
        <v>410.0</v>
      </c>
      <c r="E5567" s="3">
        <f t="shared" si="1"/>
        <v>0.3663985702</v>
      </c>
      <c r="F5567" s="2">
        <v>135.0</v>
      </c>
      <c r="G5567" s="3">
        <f t="shared" si="2"/>
        <v>0.1206434316</v>
      </c>
      <c r="H5567" s="2">
        <v>245.0</v>
      </c>
      <c r="I5567" s="3">
        <f t="shared" si="3"/>
        <v>0.218945487</v>
      </c>
      <c r="J5567" s="2">
        <v>195.0</v>
      </c>
      <c r="K5567" s="3">
        <f t="shared" si="4"/>
        <v>0.1742627346</v>
      </c>
      <c r="L5567" s="2">
        <v>149.0</v>
      </c>
      <c r="M5567" s="3">
        <f t="shared" si="5"/>
        <v>0.6081632653</v>
      </c>
      <c r="N5567" s="2">
        <v>1228600.0</v>
      </c>
      <c r="O5567" s="4">
        <f t="shared" si="6"/>
        <v>5014.693878</v>
      </c>
      <c r="P5567" s="2">
        <v>0.0</v>
      </c>
      <c r="Q5567" s="3">
        <f t="shared" si="7"/>
        <v>0</v>
      </c>
      <c r="R5567" s="2">
        <v>104.0</v>
      </c>
      <c r="S5567" s="5">
        <f t="shared" si="8"/>
        <v>1</v>
      </c>
    </row>
    <row r="5568">
      <c r="A5568" s="2" t="s">
        <v>5568</v>
      </c>
      <c r="B5568" s="2">
        <v>456.0</v>
      </c>
      <c r="C5568" s="2">
        <v>5529.0</v>
      </c>
      <c r="D5568" s="2">
        <v>1898.0</v>
      </c>
      <c r="E5568" s="3">
        <f t="shared" si="1"/>
        <v>0.3741375912</v>
      </c>
      <c r="F5568" s="2">
        <v>612.0</v>
      </c>
      <c r="G5568" s="3">
        <f t="shared" si="2"/>
        <v>0.1206386753</v>
      </c>
      <c r="H5568" s="2">
        <v>1098.0</v>
      </c>
      <c r="I5568" s="3">
        <f t="shared" si="3"/>
        <v>0.2164399763</v>
      </c>
      <c r="J5568" s="2">
        <v>781.0</v>
      </c>
      <c r="K5568" s="3">
        <f t="shared" si="4"/>
        <v>0.1539522965</v>
      </c>
      <c r="L5568" s="2">
        <v>634.0</v>
      </c>
      <c r="M5568" s="3">
        <f t="shared" si="5"/>
        <v>0.5774134791</v>
      </c>
      <c r="N5568" s="2">
        <v>6301300.0</v>
      </c>
      <c r="O5568" s="4">
        <f t="shared" si="6"/>
        <v>5738.888889</v>
      </c>
      <c r="P5568" s="2">
        <v>0.0</v>
      </c>
      <c r="Q5568" s="3">
        <f t="shared" si="7"/>
        <v>0</v>
      </c>
      <c r="R5568" s="2">
        <v>456.0</v>
      </c>
      <c r="S5568" s="5">
        <f t="shared" si="8"/>
        <v>1</v>
      </c>
    </row>
    <row r="5569">
      <c r="A5569" s="2" t="s">
        <v>5569</v>
      </c>
      <c r="B5569" s="2">
        <v>216.0</v>
      </c>
      <c r="C5569" s="2">
        <v>2537.0</v>
      </c>
      <c r="D5569" s="2">
        <v>728.0</v>
      </c>
      <c r="E5569" s="3">
        <f t="shared" si="1"/>
        <v>0.3136579061</v>
      </c>
      <c r="F5569" s="2">
        <v>280.0</v>
      </c>
      <c r="G5569" s="3">
        <f t="shared" si="2"/>
        <v>0.1206376562</v>
      </c>
      <c r="H5569" s="2">
        <v>452.0</v>
      </c>
      <c r="I5569" s="3">
        <f t="shared" si="3"/>
        <v>0.194743645</v>
      </c>
      <c r="J5569" s="2">
        <v>340.0</v>
      </c>
      <c r="K5569" s="3">
        <f t="shared" si="4"/>
        <v>0.1464885825</v>
      </c>
      <c r="L5569" s="2">
        <v>264.0</v>
      </c>
      <c r="M5569" s="3">
        <f t="shared" si="5"/>
        <v>0.5840707965</v>
      </c>
      <c r="N5569" s="2">
        <v>2479600.0</v>
      </c>
      <c r="O5569" s="4">
        <f t="shared" si="6"/>
        <v>5485.840708</v>
      </c>
      <c r="P5569" s="2">
        <v>0.0</v>
      </c>
      <c r="Q5569" s="3">
        <f t="shared" si="7"/>
        <v>0</v>
      </c>
      <c r="R5569" s="2">
        <v>0.0</v>
      </c>
      <c r="S5569" s="5">
        <f t="shared" si="8"/>
        <v>0</v>
      </c>
    </row>
    <row r="5570">
      <c r="A5570" s="2" t="s">
        <v>5570</v>
      </c>
      <c r="B5570" s="2">
        <v>369.0</v>
      </c>
      <c r="C5570" s="2">
        <v>4323.0</v>
      </c>
      <c r="D5570" s="2">
        <v>1559.0</v>
      </c>
      <c r="E5570" s="3">
        <f t="shared" si="1"/>
        <v>0.3942842691</v>
      </c>
      <c r="F5570" s="2">
        <v>477.0</v>
      </c>
      <c r="G5570" s="3">
        <f t="shared" si="2"/>
        <v>0.1206373293</v>
      </c>
      <c r="H5570" s="2">
        <v>780.0</v>
      </c>
      <c r="I5570" s="3">
        <f t="shared" si="3"/>
        <v>0.1972685888</v>
      </c>
      <c r="J5570" s="2">
        <v>610.0</v>
      </c>
      <c r="K5570" s="3">
        <f t="shared" si="4"/>
        <v>0.1542741528</v>
      </c>
      <c r="L5570" s="2">
        <v>473.0</v>
      </c>
      <c r="M5570" s="3">
        <f t="shared" si="5"/>
        <v>0.6064102564</v>
      </c>
      <c r="N5570" s="2">
        <v>4340500.0</v>
      </c>
      <c r="O5570" s="4">
        <f t="shared" si="6"/>
        <v>5564.74359</v>
      </c>
      <c r="P5570" s="2">
        <v>1.0</v>
      </c>
      <c r="Q5570" s="3">
        <f t="shared" si="7"/>
        <v>0.0027100271</v>
      </c>
      <c r="R5570" s="2">
        <v>318.0</v>
      </c>
      <c r="S5570" s="5">
        <f t="shared" si="8"/>
        <v>0.8617886179</v>
      </c>
    </row>
    <row r="5571">
      <c r="A5571" s="2" t="s">
        <v>5571</v>
      </c>
      <c r="B5571" s="2">
        <v>4985.0</v>
      </c>
      <c r="C5571" s="2">
        <v>58099.0</v>
      </c>
      <c r="D5571" s="2">
        <v>14281.0</v>
      </c>
      <c r="E5571" s="3">
        <f t="shared" si="1"/>
        <v>0.2688744964</v>
      </c>
      <c r="F5571" s="2">
        <v>6407.0</v>
      </c>
      <c r="G5571" s="3">
        <f t="shared" si="2"/>
        <v>0.1206273299</v>
      </c>
      <c r="H5571" s="2">
        <v>11065.0</v>
      </c>
      <c r="I5571" s="3">
        <f t="shared" si="3"/>
        <v>0.2083254886</v>
      </c>
      <c r="J5571" s="2">
        <v>9900.0</v>
      </c>
      <c r="K5571" s="3">
        <f t="shared" si="4"/>
        <v>0.1863915352</v>
      </c>
      <c r="L5571" s="2">
        <v>6605.0</v>
      </c>
      <c r="M5571" s="3">
        <f t="shared" si="5"/>
        <v>0.5969272481</v>
      </c>
      <c r="N5571" s="2">
        <v>6.39111E7</v>
      </c>
      <c r="O5571" s="4">
        <f t="shared" si="6"/>
        <v>5775.969272</v>
      </c>
      <c r="P5571" s="2">
        <v>18.0</v>
      </c>
      <c r="Q5571" s="3">
        <f t="shared" si="7"/>
        <v>0.003610832497</v>
      </c>
      <c r="R5571" s="2">
        <v>4981.0</v>
      </c>
      <c r="S5571" s="5">
        <f t="shared" si="8"/>
        <v>0.9991975928</v>
      </c>
    </row>
    <row r="5572">
      <c r="A5572" s="2" t="s">
        <v>5572</v>
      </c>
      <c r="B5572" s="2">
        <v>775.0</v>
      </c>
      <c r="C5572" s="2">
        <v>9148.0</v>
      </c>
      <c r="D5572" s="2">
        <v>3010.0</v>
      </c>
      <c r="E5572" s="3">
        <f t="shared" si="1"/>
        <v>0.3594888332</v>
      </c>
      <c r="F5572" s="2">
        <v>1010.0</v>
      </c>
      <c r="G5572" s="3">
        <f t="shared" si="2"/>
        <v>0.1206258211</v>
      </c>
      <c r="H5572" s="2">
        <v>1789.0</v>
      </c>
      <c r="I5572" s="3">
        <f t="shared" si="3"/>
        <v>0.2136629643</v>
      </c>
      <c r="J5572" s="2">
        <v>1515.0</v>
      </c>
      <c r="K5572" s="3">
        <f t="shared" si="4"/>
        <v>0.1809387316</v>
      </c>
      <c r="L5572" s="2">
        <v>1095.0</v>
      </c>
      <c r="M5572" s="3">
        <f t="shared" si="5"/>
        <v>0.6120737842</v>
      </c>
      <c r="N5572" s="2">
        <v>9898600.0</v>
      </c>
      <c r="O5572" s="4">
        <f t="shared" si="6"/>
        <v>5533.035215</v>
      </c>
      <c r="P5572" s="2">
        <v>0.0</v>
      </c>
      <c r="Q5572" s="3">
        <f t="shared" si="7"/>
        <v>0</v>
      </c>
      <c r="R5572" s="2">
        <v>137.0</v>
      </c>
      <c r="S5572" s="5">
        <f t="shared" si="8"/>
        <v>0.1767741935</v>
      </c>
    </row>
    <row r="5573">
      <c r="A5573" s="2" t="s">
        <v>5573</v>
      </c>
      <c r="B5573" s="2">
        <v>1770.0</v>
      </c>
      <c r="C5573" s="2">
        <v>20805.0</v>
      </c>
      <c r="D5573" s="2">
        <v>7382.0</v>
      </c>
      <c r="E5573" s="3">
        <f t="shared" si="1"/>
        <v>0.3878119254</v>
      </c>
      <c r="F5573" s="2">
        <v>2296.0</v>
      </c>
      <c r="G5573" s="3">
        <f t="shared" si="2"/>
        <v>0.1206199107</v>
      </c>
      <c r="H5573" s="2">
        <v>3820.0</v>
      </c>
      <c r="I5573" s="3">
        <f t="shared" si="3"/>
        <v>0.2006829525</v>
      </c>
      <c r="J5573" s="2">
        <v>2743.0</v>
      </c>
      <c r="K5573" s="3">
        <f t="shared" si="4"/>
        <v>0.1441029682</v>
      </c>
      <c r="L5573" s="2">
        <v>2353.0</v>
      </c>
      <c r="M5573" s="3">
        <f t="shared" si="5"/>
        <v>0.6159685864</v>
      </c>
      <c r="N5573" s="2">
        <v>2.1263E7</v>
      </c>
      <c r="O5573" s="4">
        <f t="shared" si="6"/>
        <v>5566.230366</v>
      </c>
      <c r="P5573" s="2">
        <v>3.0</v>
      </c>
      <c r="Q5573" s="3">
        <f t="shared" si="7"/>
        <v>0.001694915254</v>
      </c>
      <c r="R5573" s="2">
        <v>1766.0</v>
      </c>
      <c r="S5573" s="5">
        <f t="shared" si="8"/>
        <v>0.997740113</v>
      </c>
    </row>
    <row r="5574">
      <c r="A5574" s="2" t="s">
        <v>5574</v>
      </c>
      <c r="B5574" s="2">
        <v>111.0</v>
      </c>
      <c r="C5574" s="2">
        <v>1280.0</v>
      </c>
      <c r="D5574" s="2">
        <v>501.0</v>
      </c>
      <c r="E5574" s="3">
        <f t="shared" si="1"/>
        <v>0.4285714286</v>
      </c>
      <c r="F5574" s="2">
        <v>141.0</v>
      </c>
      <c r="G5574" s="3">
        <f t="shared" si="2"/>
        <v>0.120615911</v>
      </c>
      <c r="H5574" s="2">
        <v>249.0</v>
      </c>
      <c r="I5574" s="3">
        <f t="shared" si="3"/>
        <v>0.2130025663</v>
      </c>
      <c r="J5574" s="2">
        <v>173.0</v>
      </c>
      <c r="K5574" s="3">
        <f t="shared" si="4"/>
        <v>0.1479897348</v>
      </c>
      <c r="L5574" s="2">
        <v>149.0</v>
      </c>
      <c r="M5574" s="3">
        <f t="shared" si="5"/>
        <v>0.5983935743</v>
      </c>
      <c r="N5574" s="2">
        <v>1366800.0</v>
      </c>
      <c r="O5574" s="4">
        <f t="shared" si="6"/>
        <v>5489.156627</v>
      </c>
      <c r="P5574" s="2">
        <v>0.0</v>
      </c>
      <c r="Q5574" s="3">
        <f t="shared" si="7"/>
        <v>0</v>
      </c>
      <c r="R5574" s="2">
        <v>111.0</v>
      </c>
      <c r="S5574" s="5">
        <f t="shared" si="8"/>
        <v>1</v>
      </c>
    </row>
    <row r="5575">
      <c r="A5575" s="2" t="s">
        <v>5575</v>
      </c>
      <c r="B5575" s="2">
        <v>1642.0</v>
      </c>
      <c r="C5575" s="2">
        <v>19344.0</v>
      </c>
      <c r="D5575" s="2">
        <v>5203.0</v>
      </c>
      <c r="E5575" s="3">
        <f t="shared" si="1"/>
        <v>0.2939215908</v>
      </c>
      <c r="F5575" s="2">
        <v>2135.0</v>
      </c>
      <c r="G5575" s="3">
        <f t="shared" si="2"/>
        <v>0.1206078409</v>
      </c>
      <c r="H5575" s="2">
        <v>3637.0</v>
      </c>
      <c r="I5575" s="3">
        <f t="shared" si="3"/>
        <v>0.2054570105</v>
      </c>
      <c r="J5575" s="2">
        <v>2873.0</v>
      </c>
      <c r="K5575" s="3">
        <f t="shared" si="4"/>
        <v>0.1622980454</v>
      </c>
      <c r="L5575" s="2">
        <v>2126.0</v>
      </c>
      <c r="M5575" s="3">
        <f t="shared" si="5"/>
        <v>0.5845477042</v>
      </c>
      <c r="N5575" s="2">
        <v>2.02916E7</v>
      </c>
      <c r="O5575" s="4">
        <f t="shared" si="6"/>
        <v>5579.213638</v>
      </c>
      <c r="P5575" s="2">
        <v>4.0</v>
      </c>
      <c r="Q5575" s="3">
        <f t="shared" si="7"/>
        <v>0.002436053593</v>
      </c>
      <c r="R5575" s="2">
        <v>1639.0</v>
      </c>
      <c r="S5575" s="5">
        <f t="shared" si="8"/>
        <v>0.9981729598</v>
      </c>
    </row>
    <row r="5576">
      <c r="A5576" s="2" t="s">
        <v>5576</v>
      </c>
      <c r="B5576" s="2">
        <v>271.0</v>
      </c>
      <c r="C5576" s="2">
        <v>3215.0</v>
      </c>
      <c r="D5576" s="2">
        <v>1085.0</v>
      </c>
      <c r="E5576" s="3">
        <f t="shared" si="1"/>
        <v>0.3685461957</v>
      </c>
      <c r="F5576" s="2">
        <v>355.0</v>
      </c>
      <c r="G5576" s="3">
        <f t="shared" si="2"/>
        <v>0.1205842391</v>
      </c>
      <c r="H5576" s="2">
        <v>623.0</v>
      </c>
      <c r="I5576" s="3">
        <f t="shared" si="3"/>
        <v>0.2116168478</v>
      </c>
      <c r="J5576" s="2">
        <v>469.0</v>
      </c>
      <c r="K5576" s="3">
        <f t="shared" si="4"/>
        <v>0.1593070652</v>
      </c>
      <c r="L5576" s="2">
        <v>350.0</v>
      </c>
      <c r="M5576" s="3">
        <f t="shared" si="5"/>
        <v>0.5617977528</v>
      </c>
      <c r="N5576" s="2">
        <v>3462200.0</v>
      </c>
      <c r="O5576" s="4">
        <f t="shared" si="6"/>
        <v>5557.303371</v>
      </c>
      <c r="P5576" s="2">
        <v>1.0</v>
      </c>
      <c r="Q5576" s="3">
        <f t="shared" si="7"/>
        <v>0.0036900369</v>
      </c>
      <c r="R5576" s="2">
        <v>271.0</v>
      </c>
      <c r="S5576" s="5">
        <f t="shared" si="8"/>
        <v>1</v>
      </c>
    </row>
    <row r="5577">
      <c r="A5577" s="2" t="s">
        <v>5577</v>
      </c>
      <c r="B5577" s="2">
        <v>7064.0</v>
      </c>
      <c r="C5577" s="2">
        <v>83346.0</v>
      </c>
      <c r="D5577" s="2">
        <v>26823.0</v>
      </c>
      <c r="E5577" s="3">
        <f t="shared" si="1"/>
        <v>0.3516294801</v>
      </c>
      <c r="F5577" s="2">
        <v>9198.0</v>
      </c>
      <c r="G5577" s="3">
        <f t="shared" si="2"/>
        <v>0.1205789046</v>
      </c>
      <c r="H5577" s="2">
        <v>16532.0</v>
      </c>
      <c r="I5577" s="3">
        <f t="shared" si="3"/>
        <v>0.2167221625</v>
      </c>
      <c r="J5577" s="2">
        <v>13670.0</v>
      </c>
      <c r="K5577" s="3">
        <f t="shared" si="4"/>
        <v>0.1792034818</v>
      </c>
      <c r="L5577" s="2">
        <v>9806.0</v>
      </c>
      <c r="M5577" s="3">
        <f t="shared" si="5"/>
        <v>0.5931526736</v>
      </c>
      <c r="N5577" s="2">
        <v>8.88644E7</v>
      </c>
      <c r="O5577" s="4">
        <f t="shared" si="6"/>
        <v>5375.296395</v>
      </c>
      <c r="P5577" s="2">
        <v>16.0</v>
      </c>
      <c r="Q5577" s="3">
        <f t="shared" si="7"/>
        <v>0.002265005663</v>
      </c>
      <c r="R5577" s="2">
        <v>6925.0</v>
      </c>
      <c r="S5577" s="5">
        <f t="shared" si="8"/>
        <v>0.9803227633</v>
      </c>
    </row>
    <row r="5578">
      <c r="A5578" s="2" t="s">
        <v>5578</v>
      </c>
      <c r="B5578" s="2">
        <v>3376.0</v>
      </c>
      <c r="C5578" s="2">
        <v>39569.0</v>
      </c>
      <c r="D5578" s="2">
        <v>12200.0</v>
      </c>
      <c r="E5578" s="3">
        <f t="shared" si="1"/>
        <v>0.3370817561</v>
      </c>
      <c r="F5578" s="2">
        <v>4364.0</v>
      </c>
      <c r="G5578" s="3">
        <f t="shared" si="2"/>
        <v>0.120575802</v>
      </c>
      <c r="H5578" s="2">
        <v>7393.0</v>
      </c>
      <c r="I5578" s="3">
        <f t="shared" si="3"/>
        <v>0.2042660183</v>
      </c>
      <c r="J5578" s="2">
        <v>6332.0</v>
      </c>
      <c r="K5578" s="3">
        <f t="shared" si="4"/>
        <v>0.1749509574</v>
      </c>
      <c r="L5578" s="2">
        <v>4428.0</v>
      </c>
      <c r="M5578" s="3">
        <f t="shared" si="5"/>
        <v>0.5989449479</v>
      </c>
      <c r="N5578" s="2">
        <v>4.24506E7</v>
      </c>
      <c r="O5578" s="4">
        <f t="shared" si="6"/>
        <v>5741.999188</v>
      </c>
      <c r="P5578" s="2">
        <v>10.0</v>
      </c>
      <c r="Q5578" s="3">
        <f t="shared" si="7"/>
        <v>0.002962085308</v>
      </c>
      <c r="R5578" s="2">
        <v>3376.0</v>
      </c>
      <c r="S5578" s="5">
        <f t="shared" si="8"/>
        <v>1</v>
      </c>
    </row>
    <row r="5579">
      <c r="A5579" s="2" t="s">
        <v>5579</v>
      </c>
      <c r="B5579" s="2">
        <v>868.0</v>
      </c>
      <c r="C5579" s="2">
        <v>10273.0</v>
      </c>
      <c r="D5579" s="2">
        <v>3935.0</v>
      </c>
      <c r="E5579" s="3">
        <f t="shared" si="1"/>
        <v>0.418394471</v>
      </c>
      <c r="F5579" s="2">
        <v>1134.0</v>
      </c>
      <c r="G5579" s="3">
        <f t="shared" si="2"/>
        <v>0.1205741627</v>
      </c>
      <c r="H5579" s="2">
        <v>2040.0</v>
      </c>
      <c r="I5579" s="3">
        <f t="shared" si="3"/>
        <v>0.2169059011</v>
      </c>
      <c r="J5579" s="2">
        <v>1378.0</v>
      </c>
      <c r="K5579" s="3">
        <f t="shared" si="4"/>
        <v>0.1465178097</v>
      </c>
      <c r="L5579" s="2">
        <v>1226.0</v>
      </c>
      <c r="M5579" s="3">
        <f t="shared" si="5"/>
        <v>0.6009803922</v>
      </c>
      <c r="N5579" s="2">
        <v>1.08107E7</v>
      </c>
      <c r="O5579" s="4">
        <f t="shared" si="6"/>
        <v>5299.362745</v>
      </c>
      <c r="P5579" s="2">
        <v>0.0</v>
      </c>
      <c r="Q5579" s="3">
        <f t="shared" si="7"/>
        <v>0</v>
      </c>
      <c r="R5579" s="2">
        <v>0.0</v>
      </c>
      <c r="S5579" s="5">
        <f t="shared" si="8"/>
        <v>0</v>
      </c>
    </row>
    <row r="5580">
      <c r="A5580" s="2" t="s">
        <v>5580</v>
      </c>
      <c r="B5580" s="2">
        <v>15.0</v>
      </c>
      <c r="C5580" s="2">
        <v>156.0</v>
      </c>
      <c r="D5580" s="2">
        <v>43.0</v>
      </c>
      <c r="E5580" s="3">
        <f t="shared" si="1"/>
        <v>0.304964539</v>
      </c>
      <c r="F5580" s="2">
        <v>17.0</v>
      </c>
      <c r="G5580" s="3">
        <f t="shared" si="2"/>
        <v>0.1205673759</v>
      </c>
      <c r="H5580" s="2">
        <v>28.0</v>
      </c>
      <c r="I5580" s="3">
        <f t="shared" si="3"/>
        <v>0.1985815603</v>
      </c>
      <c r="J5580" s="2">
        <v>25.0</v>
      </c>
      <c r="K5580" s="3">
        <f t="shared" si="4"/>
        <v>0.1773049645</v>
      </c>
      <c r="L5580" s="2">
        <v>9.0</v>
      </c>
      <c r="M5580" s="3">
        <f t="shared" si="5"/>
        <v>0.3214285714</v>
      </c>
      <c r="N5580" s="2">
        <v>167900.0</v>
      </c>
      <c r="O5580" s="4">
        <f t="shared" si="6"/>
        <v>5996.428571</v>
      </c>
      <c r="P5580" s="2">
        <v>0.0</v>
      </c>
      <c r="Q5580" s="3">
        <f t="shared" si="7"/>
        <v>0</v>
      </c>
      <c r="R5580" s="2">
        <v>1.0</v>
      </c>
      <c r="S5580" s="5">
        <f t="shared" si="8"/>
        <v>0.06666666667</v>
      </c>
    </row>
    <row r="5581">
      <c r="A5581" s="2" t="s">
        <v>5581</v>
      </c>
      <c r="B5581" s="2">
        <v>680.0</v>
      </c>
      <c r="C5581" s="2">
        <v>7896.0</v>
      </c>
      <c r="D5581" s="2">
        <v>1862.0</v>
      </c>
      <c r="E5581" s="3">
        <f t="shared" si="1"/>
        <v>0.258037694</v>
      </c>
      <c r="F5581" s="2">
        <v>870.0</v>
      </c>
      <c r="G5581" s="3">
        <f t="shared" si="2"/>
        <v>0.1205654102</v>
      </c>
      <c r="H5581" s="2">
        <v>1397.0</v>
      </c>
      <c r="I5581" s="3">
        <f t="shared" si="3"/>
        <v>0.193597561</v>
      </c>
      <c r="J5581" s="2">
        <v>1326.0</v>
      </c>
      <c r="K5581" s="3">
        <f t="shared" si="4"/>
        <v>0.1837583149</v>
      </c>
      <c r="L5581" s="2">
        <v>807.0</v>
      </c>
      <c r="M5581" s="3">
        <f t="shared" si="5"/>
        <v>0.5776664281</v>
      </c>
      <c r="N5581" s="2">
        <v>8531700.0</v>
      </c>
      <c r="O5581" s="4">
        <f t="shared" si="6"/>
        <v>6107.158196</v>
      </c>
      <c r="P5581" s="2">
        <v>1.0</v>
      </c>
      <c r="Q5581" s="3">
        <f t="shared" si="7"/>
        <v>0.001470588235</v>
      </c>
      <c r="R5581" s="2">
        <v>680.0</v>
      </c>
      <c r="S5581" s="5">
        <f t="shared" si="8"/>
        <v>1</v>
      </c>
    </row>
    <row r="5582">
      <c r="A5582" s="2" t="s">
        <v>5582</v>
      </c>
      <c r="B5582" s="2">
        <v>305.0</v>
      </c>
      <c r="C5582" s="2">
        <v>3623.0</v>
      </c>
      <c r="D5582" s="2">
        <v>1134.0</v>
      </c>
      <c r="E5582" s="3">
        <f t="shared" si="1"/>
        <v>0.3417721519</v>
      </c>
      <c r="F5582" s="2">
        <v>400.0</v>
      </c>
      <c r="G5582" s="3">
        <f t="shared" si="2"/>
        <v>0.1205545509</v>
      </c>
      <c r="H5582" s="2">
        <v>659.0</v>
      </c>
      <c r="I5582" s="3">
        <f t="shared" si="3"/>
        <v>0.1986136227</v>
      </c>
      <c r="J5582" s="2">
        <v>478.0</v>
      </c>
      <c r="K5582" s="3">
        <f t="shared" si="4"/>
        <v>0.1440626884</v>
      </c>
      <c r="L5582" s="2">
        <v>413.0</v>
      </c>
      <c r="M5582" s="3">
        <f t="shared" si="5"/>
        <v>0.626707132</v>
      </c>
      <c r="N5582" s="2">
        <v>3567300.0</v>
      </c>
      <c r="O5582" s="4">
        <f t="shared" si="6"/>
        <v>5413.201821</v>
      </c>
      <c r="P5582" s="2">
        <v>0.0</v>
      </c>
      <c r="Q5582" s="3">
        <f t="shared" si="7"/>
        <v>0</v>
      </c>
      <c r="R5582" s="2">
        <v>305.0</v>
      </c>
      <c r="S5582" s="5">
        <f t="shared" si="8"/>
        <v>1</v>
      </c>
    </row>
    <row r="5583">
      <c r="A5583" s="2" t="s">
        <v>5583</v>
      </c>
      <c r="B5583" s="2">
        <v>141.0</v>
      </c>
      <c r="C5583" s="2">
        <v>1659.0</v>
      </c>
      <c r="D5583" s="2">
        <v>504.0</v>
      </c>
      <c r="E5583" s="3">
        <f t="shared" si="1"/>
        <v>0.3320158103</v>
      </c>
      <c r="F5583" s="2">
        <v>183.0</v>
      </c>
      <c r="G5583" s="3">
        <f t="shared" si="2"/>
        <v>0.1205533597</v>
      </c>
      <c r="H5583" s="2">
        <v>328.0</v>
      </c>
      <c r="I5583" s="3">
        <f t="shared" si="3"/>
        <v>0.2160737813</v>
      </c>
      <c r="J5583" s="2">
        <v>276.0</v>
      </c>
      <c r="K5583" s="3">
        <f t="shared" si="4"/>
        <v>0.1818181818</v>
      </c>
      <c r="L5583" s="2">
        <v>187.0</v>
      </c>
      <c r="M5583" s="3">
        <f t="shared" si="5"/>
        <v>0.5701219512</v>
      </c>
      <c r="N5583" s="2">
        <v>1848600.0</v>
      </c>
      <c r="O5583" s="4">
        <f t="shared" si="6"/>
        <v>5635.97561</v>
      </c>
      <c r="P5583" s="2">
        <v>0.0</v>
      </c>
      <c r="Q5583" s="3">
        <f t="shared" si="7"/>
        <v>0</v>
      </c>
      <c r="R5583" s="2">
        <v>141.0</v>
      </c>
      <c r="S5583" s="5">
        <f t="shared" si="8"/>
        <v>1</v>
      </c>
    </row>
    <row r="5584">
      <c r="A5584" s="2" t="s">
        <v>5584</v>
      </c>
      <c r="B5584" s="2">
        <v>1705.0</v>
      </c>
      <c r="C5584" s="2">
        <v>20179.0</v>
      </c>
      <c r="D5584" s="2">
        <v>7045.0</v>
      </c>
      <c r="E5584" s="3">
        <f t="shared" si="1"/>
        <v>0.3813467576</v>
      </c>
      <c r="F5584" s="2">
        <v>2227.0</v>
      </c>
      <c r="G5584" s="3">
        <f t="shared" si="2"/>
        <v>0.1205477969</v>
      </c>
      <c r="H5584" s="2">
        <v>3875.0</v>
      </c>
      <c r="I5584" s="3">
        <f t="shared" si="3"/>
        <v>0.2097542492</v>
      </c>
      <c r="J5584" s="2">
        <v>3232.0</v>
      </c>
      <c r="K5584" s="3">
        <f t="shared" si="4"/>
        <v>0.1749485764</v>
      </c>
      <c r="L5584" s="2">
        <v>2340.0</v>
      </c>
      <c r="M5584" s="3">
        <f t="shared" si="5"/>
        <v>0.6038709677</v>
      </c>
      <c r="N5584" s="2">
        <v>2.08812E7</v>
      </c>
      <c r="O5584" s="4">
        <f t="shared" si="6"/>
        <v>5388.696774</v>
      </c>
      <c r="P5584" s="2">
        <v>1.0</v>
      </c>
      <c r="Q5584" s="3">
        <f t="shared" si="7"/>
        <v>0.0005865102639</v>
      </c>
      <c r="R5584" s="2">
        <v>1705.0</v>
      </c>
      <c r="S5584" s="5">
        <f t="shared" si="8"/>
        <v>1</v>
      </c>
    </row>
    <row r="5585">
      <c r="A5585" s="2" t="s">
        <v>5585</v>
      </c>
      <c r="B5585" s="2">
        <v>2241.0</v>
      </c>
      <c r="C5585" s="2">
        <v>26298.0</v>
      </c>
      <c r="D5585" s="2">
        <v>8241.0</v>
      </c>
      <c r="E5585" s="3">
        <f t="shared" si="1"/>
        <v>0.3425614166</v>
      </c>
      <c r="F5585" s="2">
        <v>2900.0</v>
      </c>
      <c r="G5585" s="3">
        <f t="shared" si="2"/>
        <v>0.1205470341</v>
      </c>
      <c r="H5585" s="2">
        <v>5039.0</v>
      </c>
      <c r="I5585" s="3">
        <f t="shared" si="3"/>
        <v>0.2094608638</v>
      </c>
      <c r="J5585" s="2">
        <v>3683.0</v>
      </c>
      <c r="K5585" s="3">
        <f t="shared" si="4"/>
        <v>0.1530947333</v>
      </c>
      <c r="L5585" s="2">
        <v>3024.0</v>
      </c>
      <c r="M5585" s="3">
        <f t="shared" si="5"/>
        <v>0.6001190712</v>
      </c>
      <c r="N5585" s="2">
        <v>2.84117E7</v>
      </c>
      <c r="O5585" s="4">
        <f t="shared" si="6"/>
        <v>5638.360786</v>
      </c>
      <c r="P5585" s="2">
        <v>7.0</v>
      </c>
      <c r="Q5585" s="3">
        <f t="shared" si="7"/>
        <v>0.003123605533</v>
      </c>
      <c r="R5585" s="2">
        <v>486.0</v>
      </c>
      <c r="S5585" s="5">
        <f t="shared" si="8"/>
        <v>0.2168674699</v>
      </c>
    </row>
    <row r="5586">
      <c r="A5586" s="2" t="s">
        <v>5586</v>
      </c>
      <c r="B5586" s="2">
        <v>623.0</v>
      </c>
      <c r="C5586" s="2">
        <v>7359.0</v>
      </c>
      <c r="D5586" s="2">
        <v>2036.0</v>
      </c>
      <c r="E5586" s="3">
        <f t="shared" si="1"/>
        <v>0.3022565321</v>
      </c>
      <c r="F5586" s="2">
        <v>812.0</v>
      </c>
      <c r="G5586" s="3">
        <f t="shared" si="2"/>
        <v>0.1205463183</v>
      </c>
      <c r="H5586" s="2">
        <v>1420.0</v>
      </c>
      <c r="I5586" s="3">
        <f t="shared" si="3"/>
        <v>0.210807601</v>
      </c>
      <c r="J5586" s="2">
        <v>1255.0</v>
      </c>
      <c r="K5586" s="3">
        <f t="shared" si="4"/>
        <v>0.1863123515</v>
      </c>
      <c r="L5586" s="2">
        <v>883.0</v>
      </c>
      <c r="M5586" s="3">
        <f t="shared" si="5"/>
        <v>0.6218309859</v>
      </c>
      <c r="N5586" s="2">
        <v>8235300.0</v>
      </c>
      <c r="O5586" s="4">
        <f t="shared" si="6"/>
        <v>5799.507042</v>
      </c>
      <c r="P5586" s="2">
        <v>1.0</v>
      </c>
      <c r="Q5586" s="3">
        <f t="shared" si="7"/>
        <v>0.001605136437</v>
      </c>
      <c r="R5586" s="2">
        <v>0.0</v>
      </c>
      <c r="S5586" s="5">
        <f t="shared" si="8"/>
        <v>0</v>
      </c>
    </row>
    <row r="5587">
      <c r="A5587" s="2" t="s">
        <v>5587</v>
      </c>
      <c r="B5587" s="2">
        <v>430.0</v>
      </c>
      <c r="C5587" s="2">
        <v>4976.0</v>
      </c>
      <c r="D5587" s="2">
        <v>1530.0</v>
      </c>
      <c r="E5587" s="3">
        <f t="shared" si="1"/>
        <v>0.3365596128</v>
      </c>
      <c r="F5587" s="2">
        <v>548.0</v>
      </c>
      <c r="G5587" s="3">
        <f t="shared" si="2"/>
        <v>0.1205455345</v>
      </c>
      <c r="H5587" s="2">
        <v>959.0</v>
      </c>
      <c r="I5587" s="3">
        <f t="shared" si="3"/>
        <v>0.2109546854</v>
      </c>
      <c r="J5587" s="2">
        <v>912.0</v>
      </c>
      <c r="K5587" s="3">
        <f t="shared" si="4"/>
        <v>0.2006159261</v>
      </c>
      <c r="L5587" s="2">
        <v>538.0</v>
      </c>
      <c r="M5587" s="3">
        <f t="shared" si="5"/>
        <v>0.5610010428</v>
      </c>
      <c r="N5587" s="2">
        <v>5591200.0</v>
      </c>
      <c r="O5587" s="4">
        <f t="shared" si="6"/>
        <v>5830.239833</v>
      </c>
      <c r="P5587" s="2">
        <v>1.0</v>
      </c>
      <c r="Q5587" s="3">
        <f t="shared" si="7"/>
        <v>0.002325581395</v>
      </c>
      <c r="R5587" s="2">
        <v>430.0</v>
      </c>
      <c r="S5587" s="5">
        <f t="shared" si="8"/>
        <v>1</v>
      </c>
    </row>
    <row r="5588">
      <c r="A5588" s="2" t="s">
        <v>5588</v>
      </c>
      <c r="B5588" s="2">
        <v>513.0</v>
      </c>
      <c r="C5588" s="2">
        <v>6030.0</v>
      </c>
      <c r="D5588" s="2">
        <v>1890.0</v>
      </c>
      <c r="E5588" s="3">
        <f t="shared" si="1"/>
        <v>0.3425774878</v>
      </c>
      <c r="F5588" s="2">
        <v>665.0</v>
      </c>
      <c r="G5588" s="3">
        <f t="shared" si="2"/>
        <v>0.1205365235</v>
      </c>
      <c r="H5588" s="2">
        <v>1113.0</v>
      </c>
      <c r="I5588" s="3">
        <f t="shared" si="3"/>
        <v>0.2017400761</v>
      </c>
      <c r="J5588" s="2">
        <v>862.0</v>
      </c>
      <c r="K5588" s="3">
        <f t="shared" si="4"/>
        <v>0.1562443357</v>
      </c>
      <c r="L5588" s="2">
        <v>670.0</v>
      </c>
      <c r="M5588" s="3">
        <f t="shared" si="5"/>
        <v>0.6019766397</v>
      </c>
      <c r="N5588" s="2">
        <v>6580200.0</v>
      </c>
      <c r="O5588" s="4">
        <f t="shared" si="6"/>
        <v>5912.12938</v>
      </c>
      <c r="P5588" s="2">
        <v>1.0</v>
      </c>
      <c r="Q5588" s="3">
        <f t="shared" si="7"/>
        <v>0.001949317739</v>
      </c>
      <c r="R5588" s="2">
        <v>513.0</v>
      </c>
      <c r="S5588" s="5">
        <f t="shared" si="8"/>
        <v>1</v>
      </c>
    </row>
    <row r="5589">
      <c r="A5589" s="2" t="s">
        <v>5589</v>
      </c>
      <c r="B5589" s="2">
        <v>1518.0</v>
      </c>
      <c r="C5589" s="2">
        <v>17821.0</v>
      </c>
      <c r="D5589" s="2">
        <v>7020.0</v>
      </c>
      <c r="E5589" s="3">
        <f t="shared" si="1"/>
        <v>0.4305955959</v>
      </c>
      <c r="F5589" s="2">
        <v>1965.0</v>
      </c>
      <c r="G5589" s="3">
        <f t="shared" si="2"/>
        <v>0.1205299638</v>
      </c>
      <c r="H5589" s="2">
        <v>3506.0</v>
      </c>
      <c r="I5589" s="3">
        <f t="shared" si="3"/>
        <v>0.2150524443</v>
      </c>
      <c r="J5589" s="2">
        <v>2479.0</v>
      </c>
      <c r="K5589" s="3">
        <f t="shared" si="4"/>
        <v>0.1520579035</v>
      </c>
      <c r="L5589" s="2">
        <v>2139.0</v>
      </c>
      <c r="M5589" s="3">
        <f t="shared" si="5"/>
        <v>0.6100969766</v>
      </c>
      <c r="N5589" s="2">
        <v>1.81929E7</v>
      </c>
      <c r="O5589" s="4">
        <f t="shared" si="6"/>
        <v>5189.07587</v>
      </c>
      <c r="P5589" s="2">
        <v>1.0</v>
      </c>
      <c r="Q5589" s="3">
        <f t="shared" si="7"/>
        <v>0.0006587615283</v>
      </c>
      <c r="R5589" s="2">
        <v>1050.0</v>
      </c>
      <c r="S5589" s="5">
        <f t="shared" si="8"/>
        <v>0.6916996047</v>
      </c>
    </row>
    <row r="5590">
      <c r="A5590" s="2" t="s">
        <v>5590</v>
      </c>
      <c r="B5590" s="2">
        <v>8947.0</v>
      </c>
      <c r="C5590" s="2">
        <v>105647.0</v>
      </c>
      <c r="D5590" s="2">
        <v>44637.0</v>
      </c>
      <c r="E5590" s="3">
        <f t="shared" si="1"/>
        <v>0.4616028956</v>
      </c>
      <c r="F5590" s="2">
        <v>11654.0</v>
      </c>
      <c r="G5590" s="3">
        <f t="shared" si="2"/>
        <v>0.1205170631</v>
      </c>
      <c r="H5590" s="2">
        <v>21712.0</v>
      </c>
      <c r="I5590" s="3">
        <f t="shared" si="3"/>
        <v>0.2245294726</v>
      </c>
      <c r="J5590" s="2">
        <v>11299.0</v>
      </c>
      <c r="K5590" s="3">
        <f t="shared" si="4"/>
        <v>0.1168459152</v>
      </c>
      <c r="L5590" s="2">
        <v>13591.0</v>
      </c>
      <c r="M5590" s="3">
        <f t="shared" si="5"/>
        <v>0.6259672071</v>
      </c>
      <c r="N5590" s="2">
        <v>1.102249E8</v>
      </c>
      <c r="O5590" s="4">
        <f t="shared" si="6"/>
        <v>5076.681098</v>
      </c>
      <c r="P5590" s="2">
        <v>22.0</v>
      </c>
      <c r="Q5590" s="3">
        <f t="shared" si="7"/>
        <v>0.002458924779</v>
      </c>
      <c r="R5590" s="2">
        <v>8947.0</v>
      </c>
      <c r="S5590" s="5">
        <f t="shared" si="8"/>
        <v>1</v>
      </c>
    </row>
    <row r="5591">
      <c r="A5591" s="2" t="s">
        <v>5591</v>
      </c>
      <c r="B5591" s="2">
        <v>1579.0</v>
      </c>
      <c r="C5591" s="2">
        <v>18733.0</v>
      </c>
      <c r="D5591" s="2">
        <v>5791.0</v>
      </c>
      <c r="E5591" s="3">
        <f t="shared" si="1"/>
        <v>0.3375889005</v>
      </c>
      <c r="F5591" s="2">
        <v>2067.0</v>
      </c>
      <c r="G5591" s="3">
        <f t="shared" si="2"/>
        <v>0.1204966772</v>
      </c>
      <c r="H5591" s="2">
        <v>3632.0</v>
      </c>
      <c r="I5591" s="3">
        <f t="shared" si="3"/>
        <v>0.2117290428</v>
      </c>
      <c r="J5591" s="2">
        <v>2371.0</v>
      </c>
      <c r="K5591" s="3">
        <f t="shared" si="4"/>
        <v>0.1382184913</v>
      </c>
      <c r="L5591" s="2">
        <v>2236.0</v>
      </c>
      <c r="M5591" s="3">
        <f t="shared" si="5"/>
        <v>0.6156387665</v>
      </c>
      <c r="N5591" s="2">
        <v>2.00431E7</v>
      </c>
      <c r="O5591" s="4">
        <f t="shared" si="6"/>
        <v>5518.47467</v>
      </c>
      <c r="P5591" s="2">
        <v>2.0</v>
      </c>
      <c r="Q5591" s="3">
        <f t="shared" si="7"/>
        <v>0.001266624446</v>
      </c>
      <c r="R5591" s="2">
        <v>0.0</v>
      </c>
      <c r="S5591" s="5">
        <f t="shared" si="8"/>
        <v>0</v>
      </c>
    </row>
    <row r="5592">
      <c r="A5592" s="2" t="s">
        <v>5592</v>
      </c>
      <c r="B5592" s="2">
        <v>842.0</v>
      </c>
      <c r="C5592" s="2">
        <v>9971.0</v>
      </c>
      <c r="D5592" s="2">
        <v>3484.0</v>
      </c>
      <c r="E5592" s="3">
        <f t="shared" si="1"/>
        <v>0.3816409245</v>
      </c>
      <c r="F5592" s="2">
        <v>1100.0</v>
      </c>
      <c r="G5592" s="3">
        <f t="shared" si="2"/>
        <v>0.1204951254</v>
      </c>
      <c r="H5592" s="2">
        <v>1919.0</v>
      </c>
      <c r="I5592" s="3">
        <f t="shared" si="3"/>
        <v>0.2102092234</v>
      </c>
      <c r="J5592" s="2">
        <v>1339.0</v>
      </c>
      <c r="K5592" s="3">
        <f t="shared" si="4"/>
        <v>0.1466754299</v>
      </c>
      <c r="L5592" s="2">
        <v>1148.0</v>
      </c>
      <c r="M5592" s="3">
        <f t="shared" si="5"/>
        <v>0.5982282439</v>
      </c>
      <c r="N5592" s="2">
        <v>1.07378E7</v>
      </c>
      <c r="O5592" s="4">
        <f t="shared" si="6"/>
        <v>5595.518499</v>
      </c>
      <c r="P5592" s="2">
        <v>1.0</v>
      </c>
      <c r="Q5592" s="3">
        <f t="shared" si="7"/>
        <v>0.001187648456</v>
      </c>
      <c r="R5592" s="2">
        <v>12.0</v>
      </c>
      <c r="S5592" s="5">
        <f t="shared" si="8"/>
        <v>0.01425178147</v>
      </c>
    </row>
    <row r="5593">
      <c r="A5593" s="2" t="s">
        <v>5593</v>
      </c>
      <c r="B5593" s="2">
        <v>400.0</v>
      </c>
      <c r="C5593" s="2">
        <v>4699.0</v>
      </c>
      <c r="D5593" s="2">
        <v>1564.0</v>
      </c>
      <c r="E5593" s="3">
        <f t="shared" si="1"/>
        <v>0.3638055362</v>
      </c>
      <c r="F5593" s="2">
        <v>518.0</v>
      </c>
      <c r="G5593" s="3">
        <f t="shared" si="2"/>
        <v>0.1204931379</v>
      </c>
      <c r="H5593" s="2">
        <v>948.0</v>
      </c>
      <c r="I5593" s="3">
        <f t="shared" si="3"/>
        <v>0.2205163992</v>
      </c>
      <c r="J5593" s="2">
        <v>755.0</v>
      </c>
      <c r="K5593" s="3">
        <f t="shared" si="4"/>
        <v>0.1756222377</v>
      </c>
      <c r="L5593" s="2">
        <v>585.0</v>
      </c>
      <c r="M5593" s="3">
        <f t="shared" si="5"/>
        <v>0.6170886076</v>
      </c>
      <c r="N5593" s="2">
        <v>5519900.0</v>
      </c>
      <c r="O5593" s="4">
        <f t="shared" si="6"/>
        <v>5822.679325</v>
      </c>
      <c r="P5593" s="2">
        <v>0.0</v>
      </c>
      <c r="Q5593" s="3">
        <f t="shared" si="7"/>
        <v>0</v>
      </c>
      <c r="R5593" s="2">
        <v>0.0</v>
      </c>
      <c r="S5593" s="5">
        <f t="shared" si="8"/>
        <v>0</v>
      </c>
    </row>
    <row r="5594">
      <c r="A5594" s="2" t="s">
        <v>5594</v>
      </c>
      <c r="B5594" s="2">
        <v>5680.0</v>
      </c>
      <c r="C5594" s="2">
        <v>66779.0</v>
      </c>
      <c r="D5594" s="2">
        <v>20869.0</v>
      </c>
      <c r="E5594" s="3">
        <f t="shared" si="1"/>
        <v>0.3415604183</v>
      </c>
      <c r="F5594" s="2">
        <v>7362.0</v>
      </c>
      <c r="G5594" s="3">
        <f t="shared" si="2"/>
        <v>0.1204929704</v>
      </c>
      <c r="H5594" s="2">
        <v>12902.0</v>
      </c>
      <c r="I5594" s="3">
        <f t="shared" si="3"/>
        <v>0.2111654855</v>
      </c>
      <c r="J5594" s="2">
        <v>9355.0</v>
      </c>
      <c r="K5594" s="3">
        <f t="shared" si="4"/>
        <v>0.1531121622</v>
      </c>
      <c r="L5594" s="2">
        <v>7901.0</v>
      </c>
      <c r="M5594" s="3">
        <f t="shared" si="5"/>
        <v>0.6123856766</v>
      </c>
      <c r="N5594" s="2">
        <v>7.29136E7</v>
      </c>
      <c r="O5594" s="4">
        <f t="shared" si="6"/>
        <v>5651.340877</v>
      </c>
      <c r="P5594" s="2">
        <v>23.0</v>
      </c>
      <c r="Q5594" s="3">
        <f t="shared" si="7"/>
        <v>0.004049295775</v>
      </c>
      <c r="R5594" s="2">
        <v>5446.0</v>
      </c>
      <c r="S5594" s="5">
        <f t="shared" si="8"/>
        <v>0.9588028169</v>
      </c>
    </row>
    <row r="5595">
      <c r="A5595" s="2" t="s">
        <v>5595</v>
      </c>
      <c r="B5595" s="2">
        <v>904.0</v>
      </c>
      <c r="C5595" s="2">
        <v>10789.0</v>
      </c>
      <c r="D5595" s="2">
        <v>3229.0</v>
      </c>
      <c r="E5595" s="3">
        <f t="shared" si="1"/>
        <v>0.3266565503</v>
      </c>
      <c r="F5595" s="2">
        <v>1191.0</v>
      </c>
      <c r="G5595" s="3">
        <f t="shared" si="2"/>
        <v>0.1204855842</v>
      </c>
      <c r="H5595" s="2">
        <v>1925.0</v>
      </c>
      <c r="I5595" s="3">
        <f t="shared" si="3"/>
        <v>0.1947395043</v>
      </c>
      <c r="J5595" s="2">
        <v>1550.0</v>
      </c>
      <c r="K5595" s="3">
        <f t="shared" si="4"/>
        <v>0.1568032372</v>
      </c>
      <c r="L5595" s="2">
        <v>1143.0</v>
      </c>
      <c r="M5595" s="3">
        <f t="shared" si="5"/>
        <v>0.5937662338</v>
      </c>
      <c r="N5595" s="2">
        <v>1.07633E7</v>
      </c>
      <c r="O5595" s="4">
        <f t="shared" si="6"/>
        <v>5591.324675</v>
      </c>
      <c r="P5595" s="2">
        <v>2.0</v>
      </c>
      <c r="Q5595" s="3">
        <f t="shared" si="7"/>
        <v>0.002212389381</v>
      </c>
      <c r="R5595" s="2">
        <v>1.0</v>
      </c>
      <c r="S5595" s="5">
        <f t="shared" si="8"/>
        <v>0.00110619469</v>
      </c>
    </row>
    <row r="5596">
      <c r="A5596" s="2" t="s">
        <v>5596</v>
      </c>
      <c r="B5596" s="2">
        <v>53.0</v>
      </c>
      <c r="C5596" s="2">
        <v>634.0</v>
      </c>
      <c r="D5596" s="2">
        <v>192.0</v>
      </c>
      <c r="E5596" s="3">
        <f t="shared" si="1"/>
        <v>0.330464716</v>
      </c>
      <c r="F5596" s="2">
        <v>70.0</v>
      </c>
      <c r="G5596" s="3">
        <f t="shared" si="2"/>
        <v>0.1204819277</v>
      </c>
      <c r="H5596" s="2">
        <v>122.0</v>
      </c>
      <c r="I5596" s="3">
        <f t="shared" si="3"/>
        <v>0.2099827883</v>
      </c>
      <c r="J5596" s="2">
        <v>102.0</v>
      </c>
      <c r="K5596" s="3">
        <f t="shared" si="4"/>
        <v>0.1755593804</v>
      </c>
      <c r="L5596" s="2">
        <v>64.0</v>
      </c>
      <c r="M5596" s="3">
        <f t="shared" si="5"/>
        <v>0.5245901639</v>
      </c>
      <c r="N5596" s="2">
        <v>673500.0</v>
      </c>
      <c r="O5596" s="4">
        <f t="shared" si="6"/>
        <v>5520.491803</v>
      </c>
      <c r="P5596" s="2">
        <v>0.0</v>
      </c>
      <c r="Q5596" s="3">
        <f t="shared" si="7"/>
        <v>0</v>
      </c>
      <c r="R5596" s="2">
        <v>53.0</v>
      </c>
      <c r="S5596" s="5">
        <f t="shared" si="8"/>
        <v>1</v>
      </c>
    </row>
    <row r="5597">
      <c r="A5597" s="2" t="s">
        <v>5597</v>
      </c>
      <c r="B5597" s="2">
        <v>16.0</v>
      </c>
      <c r="C5597" s="2">
        <v>182.0</v>
      </c>
      <c r="D5597" s="2">
        <v>58.0</v>
      </c>
      <c r="E5597" s="3">
        <f t="shared" si="1"/>
        <v>0.3493975904</v>
      </c>
      <c r="F5597" s="2">
        <v>20.0</v>
      </c>
      <c r="G5597" s="3">
        <f t="shared" si="2"/>
        <v>0.1204819277</v>
      </c>
      <c r="H5597" s="2">
        <v>28.0</v>
      </c>
      <c r="I5597" s="3">
        <f t="shared" si="3"/>
        <v>0.1686746988</v>
      </c>
      <c r="J5597" s="2">
        <v>24.0</v>
      </c>
      <c r="K5597" s="3">
        <f t="shared" si="4"/>
        <v>0.1445783133</v>
      </c>
      <c r="L5597" s="2">
        <v>20.0</v>
      </c>
      <c r="M5597" s="3">
        <f t="shared" si="5"/>
        <v>0.7142857143</v>
      </c>
      <c r="N5597" s="2">
        <v>148400.0</v>
      </c>
      <c r="O5597" s="4">
        <f t="shared" si="6"/>
        <v>5300</v>
      </c>
      <c r="P5597" s="2">
        <v>0.0</v>
      </c>
      <c r="Q5597" s="3">
        <f t="shared" si="7"/>
        <v>0</v>
      </c>
      <c r="R5597" s="2">
        <v>16.0</v>
      </c>
      <c r="S5597" s="5">
        <f t="shared" si="8"/>
        <v>1</v>
      </c>
    </row>
    <row r="5598">
      <c r="A5598" s="2" t="s">
        <v>5598</v>
      </c>
      <c r="B5598" s="2">
        <v>8.0</v>
      </c>
      <c r="C5598" s="2">
        <v>91.0</v>
      </c>
      <c r="D5598" s="2">
        <v>27.0</v>
      </c>
      <c r="E5598" s="3">
        <f t="shared" si="1"/>
        <v>0.3253012048</v>
      </c>
      <c r="F5598" s="2">
        <v>10.0</v>
      </c>
      <c r="G5598" s="3">
        <f t="shared" si="2"/>
        <v>0.1204819277</v>
      </c>
      <c r="H5598" s="2">
        <v>18.0</v>
      </c>
      <c r="I5598" s="3">
        <f t="shared" si="3"/>
        <v>0.2168674699</v>
      </c>
      <c r="J5598" s="2">
        <v>10.0</v>
      </c>
      <c r="K5598" s="3">
        <f t="shared" si="4"/>
        <v>0.1204819277</v>
      </c>
      <c r="L5598" s="2">
        <v>10.0</v>
      </c>
      <c r="M5598" s="3">
        <f t="shared" si="5"/>
        <v>0.5555555556</v>
      </c>
      <c r="N5598" s="2">
        <v>139800.0</v>
      </c>
      <c r="O5598" s="4">
        <f t="shared" si="6"/>
        <v>7766.666667</v>
      </c>
      <c r="P5598" s="2">
        <v>0.0</v>
      </c>
      <c r="Q5598" s="3">
        <f t="shared" si="7"/>
        <v>0</v>
      </c>
      <c r="R5598" s="2">
        <v>8.0</v>
      </c>
      <c r="S5598" s="5">
        <f t="shared" si="8"/>
        <v>1</v>
      </c>
    </row>
    <row r="5599">
      <c r="A5599" s="2" t="s">
        <v>5599</v>
      </c>
      <c r="B5599" s="2">
        <v>4395.0</v>
      </c>
      <c r="C5599" s="2">
        <v>51669.0</v>
      </c>
      <c r="D5599" s="2">
        <v>18280.0</v>
      </c>
      <c r="E5599" s="3">
        <f t="shared" si="1"/>
        <v>0.386681897</v>
      </c>
      <c r="F5599" s="2">
        <v>5695.0</v>
      </c>
      <c r="G5599" s="3">
        <f t="shared" si="2"/>
        <v>0.1204679105</v>
      </c>
      <c r="H5599" s="2">
        <v>10238.0</v>
      </c>
      <c r="I5599" s="3">
        <f t="shared" si="3"/>
        <v>0.2165672463</v>
      </c>
      <c r="J5599" s="2">
        <v>8298.0</v>
      </c>
      <c r="K5599" s="3">
        <f t="shared" si="4"/>
        <v>0.1755298896</v>
      </c>
      <c r="L5599" s="2">
        <v>6051.0</v>
      </c>
      <c r="M5599" s="3">
        <f t="shared" si="5"/>
        <v>0.591033405</v>
      </c>
      <c r="N5599" s="2">
        <v>5.57379E7</v>
      </c>
      <c r="O5599" s="4">
        <f t="shared" si="6"/>
        <v>5444.217621</v>
      </c>
      <c r="P5599" s="2">
        <v>10.0</v>
      </c>
      <c r="Q5599" s="3">
        <f t="shared" si="7"/>
        <v>0.002275312856</v>
      </c>
      <c r="R5599" s="2">
        <v>2102.0</v>
      </c>
      <c r="S5599" s="5">
        <f t="shared" si="8"/>
        <v>0.4782707622</v>
      </c>
    </row>
    <row r="5600">
      <c r="A5600" s="2" t="s">
        <v>5600</v>
      </c>
      <c r="B5600" s="2">
        <v>59.0</v>
      </c>
      <c r="C5600" s="2">
        <v>665.0</v>
      </c>
      <c r="D5600" s="2">
        <v>172.0</v>
      </c>
      <c r="E5600" s="3">
        <f t="shared" si="1"/>
        <v>0.2838283828</v>
      </c>
      <c r="F5600" s="2">
        <v>73.0</v>
      </c>
      <c r="G5600" s="3">
        <f t="shared" si="2"/>
        <v>0.1204620462</v>
      </c>
      <c r="H5600" s="2">
        <v>106.0</v>
      </c>
      <c r="I5600" s="3">
        <f t="shared" si="3"/>
        <v>0.1749174917</v>
      </c>
      <c r="J5600" s="2">
        <v>90.0</v>
      </c>
      <c r="K5600" s="3">
        <f t="shared" si="4"/>
        <v>0.1485148515</v>
      </c>
      <c r="L5600" s="2">
        <v>61.0</v>
      </c>
      <c r="M5600" s="3">
        <f t="shared" si="5"/>
        <v>0.5754716981</v>
      </c>
      <c r="N5600" s="2">
        <v>561600.0</v>
      </c>
      <c r="O5600" s="4">
        <f t="shared" si="6"/>
        <v>5298.113208</v>
      </c>
      <c r="P5600" s="2">
        <v>0.0</v>
      </c>
      <c r="Q5600" s="3">
        <f t="shared" si="7"/>
        <v>0</v>
      </c>
      <c r="R5600" s="2">
        <v>59.0</v>
      </c>
      <c r="S5600" s="5">
        <f t="shared" si="8"/>
        <v>1</v>
      </c>
    </row>
    <row r="5601">
      <c r="A5601" s="2" t="s">
        <v>5601</v>
      </c>
      <c r="B5601" s="2">
        <v>155.0</v>
      </c>
      <c r="C5601" s="2">
        <v>1807.0</v>
      </c>
      <c r="D5601" s="2">
        <v>551.0</v>
      </c>
      <c r="E5601" s="3">
        <f t="shared" si="1"/>
        <v>0.333535109</v>
      </c>
      <c r="F5601" s="2">
        <v>199.0</v>
      </c>
      <c r="G5601" s="3">
        <f t="shared" si="2"/>
        <v>0.1204600484</v>
      </c>
      <c r="H5601" s="2">
        <v>327.0</v>
      </c>
      <c r="I5601" s="3">
        <f t="shared" si="3"/>
        <v>0.1979418886</v>
      </c>
      <c r="J5601" s="2">
        <v>263.0</v>
      </c>
      <c r="K5601" s="3">
        <f t="shared" si="4"/>
        <v>0.1592009685</v>
      </c>
      <c r="L5601" s="2">
        <v>194.0</v>
      </c>
      <c r="M5601" s="3">
        <f t="shared" si="5"/>
        <v>0.5932721713</v>
      </c>
      <c r="N5601" s="2">
        <v>1717000.0</v>
      </c>
      <c r="O5601" s="4">
        <f t="shared" si="6"/>
        <v>5250.764526</v>
      </c>
      <c r="P5601" s="2">
        <v>0.0</v>
      </c>
      <c r="Q5601" s="3">
        <f t="shared" si="7"/>
        <v>0</v>
      </c>
      <c r="R5601" s="2">
        <v>155.0</v>
      </c>
      <c r="S5601" s="5">
        <f t="shared" si="8"/>
        <v>1</v>
      </c>
    </row>
    <row r="5602">
      <c r="A5602" s="2" t="s">
        <v>5602</v>
      </c>
      <c r="B5602" s="2">
        <v>204.0</v>
      </c>
      <c r="C5602" s="2">
        <v>2379.0</v>
      </c>
      <c r="D5602" s="2">
        <v>851.0</v>
      </c>
      <c r="E5602" s="3">
        <f t="shared" si="1"/>
        <v>0.3912643678</v>
      </c>
      <c r="F5602" s="2">
        <v>262.0</v>
      </c>
      <c r="G5602" s="3">
        <f t="shared" si="2"/>
        <v>0.1204597701</v>
      </c>
      <c r="H5602" s="2">
        <v>446.0</v>
      </c>
      <c r="I5602" s="3">
        <f t="shared" si="3"/>
        <v>0.2050574713</v>
      </c>
      <c r="J5602" s="2">
        <v>342.0</v>
      </c>
      <c r="K5602" s="3">
        <f t="shared" si="4"/>
        <v>0.1572413793</v>
      </c>
      <c r="L5602" s="2">
        <v>271.0</v>
      </c>
      <c r="M5602" s="3">
        <f t="shared" si="5"/>
        <v>0.6076233184</v>
      </c>
      <c r="N5602" s="2">
        <v>2324700.0</v>
      </c>
      <c r="O5602" s="4">
        <f t="shared" si="6"/>
        <v>5212.331839</v>
      </c>
      <c r="P5602" s="2">
        <v>1.0</v>
      </c>
      <c r="Q5602" s="3">
        <f t="shared" si="7"/>
        <v>0.004901960784</v>
      </c>
      <c r="R5602" s="2">
        <v>147.0</v>
      </c>
      <c r="S5602" s="5">
        <f t="shared" si="8"/>
        <v>0.7205882353</v>
      </c>
    </row>
    <row r="5603">
      <c r="A5603" s="2" t="s">
        <v>5603</v>
      </c>
      <c r="B5603" s="2">
        <v>389.0</v>
      </c>
      <c r="C5603" s="2">
        <v>4573.0</v>
      </c>
      <c r="D5603" s="2">
        <v>1604.0</v>
      </c>
      <c r="E5603" s="3">
        <f t="shared" si="1"/>
        <v>0.3833652008</v>
      </c>
      <c r="F5603" s="2">
        <v>504.0</v>
      </c>
      <c r="G5603" s="3">
        <f t="shared" si="2"/>
        <v>0.120458891</v>
      </c>
      <c r="H5603" s="2">
        <v>900.0</v>
      </c>
      <c r="I5603" s="3">
        <f t="shared" si="3"/>
        <v>0.2151051625</v>
      </c>
      <c r="J5603" s="2">
        <v>764.0</v>
      </c>
      <c r="K5603" s="3">
        <f t="shared" si="4"/>
        <v>0.1826003824</v>
      </c>
      <c r="L5603" s="2">
        <v>547.0</v>
      </c>
      <c r="M5603" s="3">
        <f t="shared" si="5"/>
        <v>0.6077777778</v>
      </c>
      <c r="N5603" s="2">
        <v>4783900.0</v>
      </c>
      <c r="O5603" s="4">
        <f t="shared" si="6"/>
        <v>5315.444444</v>
      </c>
      <c r="P5603" s="2">
        <v>0.0</v>
      </c>
      <c r="Q5603" s="3">
        <f t="shared" si="7"/>
        <v>0</v>
      </c>
      <c r="R5603" s="2">
        <v>389.0</v>
      </c>
      <c r="S5603" s="5">
        <f t="shared" si="8"/>
        <v>1</v>
      </c>
    </row>
    <row r="5604">
      <c r="A5604" s="2" t="s">
        <v>5604</v>
      </c>
      <c r="B5604" s="2">
        <v>4548.0</v>
      </c>
      <c r="C5604" s="2">
        <v>53537.0</v>
      </c>
      <c r="D5604" s="2">
        <v>16892.0</v>
      </c>
      <c r="E5604" s="3">
        <f t="shared" si="1"/>
        <v>0.3448121007</v>
      </c>
      <c r="F5604" s="2">
        <v>5901.0</v>
      </c>
      <c r="G5604" s="3">
        <f t="shared" si="2"/>
        <v>0.1204556125</v>
      </c>
      <c r="H5604" s="2">
        <v>10217.0</v>
      </c>
      <c r="I5604" s="3">
        <f t="shared" si="3"/>
        <v>0.208557023</v>
      </c>
      <c r="J5604" s="2">
        <v>8713.0</v>
      </c>
      <c r="K5604" s="3">
        <f t="shared" si="4"/>
        <v>0.1778562534</v>
      </c>
      <c r="L5604" s="2">
        <v>5937.0</v>
      </c>
      <c r="M5604" s="3">
        <f t="shared" si="5"/>
        <v>0.5810903396</v>
      </c>
      <c r="N5604" s="2">
        <v>5.78807E7</v>
      </c>
      <c r="O5604" s="4">
        <f t="shared" si="6"/>
        <v>5665.136537</v>
      </c>
      <c r="P5604" s="2">
        <v>10.0</v>
      </c>
      <c r="Q5604" s="3">
        <f t="shared" si="7"/>
        <v>0.00219876869</v>
      </c>
      <c r="R5604" s="2">
        <v>4548.0</v>
      </c>
      <c r="S5604" s="5">
        <f t="shared" si="8"/>
        <v>1</v>
      </c>
    </row>
    <row r="5605">
      <c r="A5605" s="2" t="s">
        <v>5605</v>
      </c>
      <c r="B5605" s="2">
        <v>918.0</v>
      </c>
      <c r="C5605" s="2">
        <v>10947.0</v>
      </c>
      <c r="D5605" s="2">
        <v>3690.0</v>
      </c>
      <c r="E5605" s="3">
        <f t="shared" si="1"/>
        <v>0.3679329943</v>
      </c>
      <c r="F5605" s="2">
        <v>1208.0</v>
      </c>
      <c r="G5605" s="3">
        <f t="shared" si="2"/>
        <v>0.120450693</v>
      </c>
      <c r="H5605" s="2">
        <v>2207.0</v>
      </c>
      <c r="I5605" s="3">
        <f t="shared" si="3"/>
        <v>0.2200618207</v>
      </c>
      <c r="J5605" s="2">
        <v>1756.0</v>
      </c>
      <c r="K5605" s="3">
        <f t="shared" si="4"/>
        <v>0.1750922325</v>
      </c>
      <c r="L5605" s="2">
        <v>1285.0</v>
      </c>
      <c r="M5605" s="3">
        <f t="shared" si="5"/>
        <v>0.5822383326</v>
      </c>
      <c r="N5605" s="2">
        <v>1.2127E7</v>
      </c>
      <c r="O5605" s="4">
        <f t="shared" si="6"/>
        <v>5494.789307</v>
      </c>
      <c r="P5605" s="2">
        <v>3.0</v>
      </c>
      <c r="Q5605" s="3">
        <f t="shared" si="7"/>
        <v>0.003267973856</v>
      </c>
      <c r="R5605" s="2">
        <v>918.0</v>
      </c>
      <c r="S5605" s="5">
        <f t="shared" si="8"/>
        <v>1</v>
      </c>
    </row>
    <row r="5606">
      <c r="A5606" s="2" t="s">
        <v>5606</v>
      </c>
      <c r="B5606" s="2">
        <v>1676.0</v>
      </c>
      <c r="C5606" s="2">
        <v>19435.0</v>
      </c>
      <c r="D5606" s="2">
        <v>5870.0</v>
      </c>
      <c r="E5606" s="3">
        <f t="shared" si="1"/>
        <v>0.3305366293</v>
      </c>
      <c r="F5606" s="2">
        <v>2139.0</v>
      </c>
      <c r="G5606" s="3">
        <f t="shared" si="2"/>
        <v>0.1204459711</v>
      </c>
      <c r="H5606" s="2">
        <v>3724.0</v>
      </c>
      <c r="I5606" s="3">
        <f t="shared" si="3"/>
        <v>0.2096964919</v>
      </c>
      <c r="J5606" s="2">
        <v>2971.0</v>
      </c>
      <c r="K5606" s="3">
        <f t="shared" si="4"/>
        <v>0.1672954558</v>
      </c>
      <c r="L5606" s="2">
        <v>2286.0</v>
      </c>
      <c r="M5606" s="3">
        <f t="shared" si="5"/>
        <v>0.6138560687</v>
      </c>
      <c r="N5606" s="2">
        <v>2.11406E7</v>
      </c>
      <c r="O5606" s="4">
        <f t="shared" si="6"/>
        <v>5676.852846</v>
      </c>
      <c r="P5606" s="2">
        <v>2.0</v>
      </c>
      <c r="Q5606" s="3">
        <f t="shared" si="7"/>
        <v>0.001193317422</v>
      </c>
      <c r="R5606" s="2">
        <v>1563.0</v>
      </c>
      <c r="S5606" s="5">
        <f t="shared" si="8"/>
        <v>0.9325775656</v>
      </c>
    </row>
    <row r="5607">
      <c r="A5607" s="2" t="s">
        <v>5607</v>
      </c>
      <c r="B5607" s="2">
        <v>762.0</v>
      </c>
      <c r="C5607" s="2">
        <v>9023.0</v>
      </c>
      <c r="D5607" s="2">
        <v>2857.0</v>
      </c>
      <c r="E5607" s="3">
        <f t="shared" si="1"/>
        <v>0.3458419078</v>
      </c>
      <c r="F5607" s="2">
        <v>995.0</v>
      </c>
      <c r="G5607" s="3">
        <f t="shared" si="2"/>
        <v>0.1204454667</v>
      </c>
      <c r="H5607" s="2">
        <v>1669.0</v>
      </c>
      <c r="I5607" s="3">
        <f t="shared" si="3"/>
        <v>0.2020336521</v>
      </c>
      <c r="J5607" s="2">
        <v>1333.0</v>
      </c>
      <c r="K5607" s="3">
        <f t="shared" si="4"/>
        <v>0.1613606101</v>
      </c>
      <c r="L5607" s="2">
        <v>993.0</v>
      </c>
      <c r="M5607" s="3">
        <f t="shared" si="5"/>
        <v>0.5949670461</v>
      </c>
      <c r="N5607" s="2">
        <v>9101800.0</v>
      </c>
      <c r="O5607" s="4">
        <f t="shared" si="6"/>
        <v>5453.445177</v>
      </c>
      <c r="P5607" s="2">
        <v>0.0</v>
      </c>
      <c r="Q5607" s="3">
        <f t="shared" si="7"/>
        <v>0</v>
      </c>
      <c r="R5607" s="2">
        <v>762.0</v>
      </c>
      <c r="S5607" s="5">
        <f t="shared" si="8"/>
        <v>1</v>
      </c>
    </row>
    <row r="5608">
      <c r="A5608" s="2" t="s">
        <v>5608</v>
      </c>
      <c r="B5608" s="2">
        <v>462.0</v>
      </c>
      <c r="C5608" s="2">
        <v>5344.0</v>
      </c>
      <c r="D5608" s="2">
        <v>1486.0</v>
      </c>
      <c r="E5608" s="3">
        <f t="shared" si="1"/>
        <v>0.3043834494</v>
      </c>
      <c r="F5608" s="2">
        <v>588.0</v>
      </c>
      <c r="G5608" s="3">
        <f t="shared" si="2"/>
        <v>0.1204424416</v>
      </c>
      <c r="H5608" s="2">
        <v>994.0</v>
      </c>
      <c r="I5608" s="3">
        <f t="shared" si="3"/>
        <v>0.2036050799</v>
      </c>
      <c r="J5608" s="2">
        <v>916.0</v>
      </c>
      <c r="K5608" s="3">
        <f t="shared" si="4"/>
        <v>0.1876280213</v>
      </c>
      <c r="L5608" s="2">
        <v>597.0</v>
      </c>
      <c r="M5608" s="3">
        <f t="shared" si="5"/>
        <v>0.6006036217</v>
      </c>
      <c r="N5608" s="2">
        <v>5914200.0</v>
      </c>
      <c r="O5608" s="4">
        <f t="shared" si="6"/>
        <v>5949.899396</v>
      </c>
      <c r="P5608" s="2">
        <v>1.0</v>
      </c>
      <c r="Q5608" s="3">
        <f t="shared" si="7"/>
        <v>0.002164502165</v>
      </c>
      <c r="R5608" s="2">
        <v>205.0</v>
      </c>
      <c r="S5608" s="5">
        <f t="shared" si="8"/>
        <v>0.4437229437</v>
      </c>
    </row>
    <row r="5609">
      <c r="A5609" s="2" t="s">
        <v>5609</v>
      </c>
      <c r="B5609" s="2">
        <v>402.0</v>
      </c>
      <c r="C5609" s="2">
        <v>4653.0</v>
      </c>
      <c r="D5609" s="2">
        <v>940.0</v>
      </c>
      <c r="E5609" s="3">
        <f t="shared" si="1"/>
        <v>0.2211244413</v>
      </c>
      <c r="F5609" s="2">
        <v>512.0</v>
      </c>
      <c r="G5609" s="3">
        <f t="shared" si="2"/>
        <v>0.1204422489</v>
      </c>
      <c r="H5609" s="2">
        <v>813.0</v>
      </c>
      <c r="I5609" s="3">
        <f t="shared" si="3"/>
        <v>0.1912491179</v>
      </c>
      <c r="J5609" s="2">
        <v>952.0</v>
      </c>
      <c r="K5609" s="3">
        <f t="shared" si="4"/>
        <v>0.2239473065</v>
      </c>
      <c r="L5609" s="2">
        <v>479.0</v>
      </c>
      <c r="M5609" s="3">
        <f t="shared" si="5"/>
        <v>0.5891758918</v>
      </c>
      <c r="N5609" s="2">
        <v>4853100.0</v>
      </c>
      <c r="O5609" s="4">
        <f t="shared" si="6"/>
        <v>5969.372694</v>
      </c>
      <c r="P5609" s="2">
        <v>0.0</v>
      </c>
      <c r="Q5609" s="3">
        <f t="shared" si="7"/>
        <v>0</v>
      </c>
      <c r="R5609" s="2">
        <v>402.0</v>
      </c>
      <c r="S5609" s="5">
        <f t="shared" si="8"/>
        <v>1</v>
      </c>
    </row>
    <row r="5610">
      <c r="A5610" s="2" t="s">
        <v>5610</v>
      </c>
      <c r="B5610" s="2">
        <v>570.0</v>
      </c>
      <c r="C5610" s="2">
        <v>6648.0</v>
      </c>
      <c r="D5610" s="2">
        <v>2361.0</v>
      </c>
      <c r="E5610" s="3">
        <f t="shared" si="1"/>
        <v>0.3884501481</v>
      </c>
      <c r="F5610" s="2">
        <v>732.0</v>
      </c>
      <c r="G5610" s="3">
        <f t="shared" si="2"/>
        <v>0.1204343534</v>
      </c>
      <c r="H5610" s="2">
        <v>1336.0</v>
      </c>
      <c r="I5610" s="3">
        <f t="shared" si="3"/>
        <v>0.2198091477</v>
      </c>
      <c r="J5610" s="2">
        <v>1118.0</v>
      </c>
      <c r="K5610" s="3">
        <f t="shared" si="4"/>
        <v>0.1839420862</v>
      </c>
      <c r="L5610" s="2">
        <v>818.0</v>
      </c>
      <c r="M5610" s="3">
        <f t="shared" si="5"/>
        <v>0.6122754491</v>
      </c>
      <c r="N5610" s="2">
        <v>7554600.0</v>
      </c>
      <c r="O5610" s="4">
        <f t="shared" si="6"/>
        <v>5654.640719</v>
      </c>
      <c r="P5610" s="2">
        <v>3.0</v>
      </c>
      <c r="Q5610" s="3">
        <f t="shared" si="7"/>
        <v>0.005263157895</v>
      </c>
      <c r="R5610" s="2">
        <v>570.0</v>
      </c>
      <c r="S5610" s="5">
        <f t="shared" si="8"/>
        <v>1</v>
      </c>
    </row>
    <row r="5611">
      <c r="A5611" s="2" t="s">
        <v>5611</v>
      </c>
      <c r="B5611" s="2">
        <v>741.0</v>
      </c>
      <c r="C5611" s="2">
        <v>8571.0</v>
      </c>
      <c r="D5611" s="2">
        <v>2781.0</v>
      </c>
      <c r="E5611" s="3">
        <f t="shared" si="1"/>
        <v>0.3551724138</v>
      </c>
      <c r="F5611" s="2">
        <v>943.0</v>
      </c>
      <c r="G5611" s="3">
        <f t="shared" si="2"/>
        <v>0.1204342273</v>
      </c>
      <c r="H5611" s="2">
        <v>1672.0</v>
      </c>
      <c r="I5611" s="3">
        <f t="shared" si="3"/>
        <v>0.2135376756</v>
      </c>
      <c r="J5611" s="2">
        <v>1424.0</v>
      </c>
      <c r="K5611" s="3">
        <f t="shared" si="4"/>
        <v>0.1818646232</v>
      </c>
      <c r="L5611" s="2">
        <v>979.0</v>
      </c>
      <c r="M5611" s="3">
        <f t="shared" si="5"/>
        <v>0.5855263158</v>
      </c>
      <c r="N5611" s="2">
        <v>9377100.0</v>
      </c>
      <c r="O5611" s="4">
        <f t="shared" si="6"/>
        <v>5608.313397</v>
      </c>
      <c r="P5611" s="2">
        <v>1.0</v>
      </c>
      <c r="Q5611" s="3">
        <f t="shared" si="7"/>
        <v>0.001349527665</v>
      </c>
      <c r="R5611" s="2">
        <v>741.0</v>
      </c>
      <c r="S5611" s="5">
        <f t="shared" si="8"/>
        <v>1</v>
      </c>
    </row>
    <row r="5612">
      <c r="A5612" s="2" t="s">
        <v>5612</v>
      </c>
      <c r="B5612" s="2">
        <v>117.0</v>
      </c>
      <c r="C5612" s="2">
        <v>1346.0</v>
      </c>
      <c r="D5612" s="2">
        <v>380.0</v>
      </c>
      <c r="E5612" s="3">
        <f t="shared" si="1"/>
        <v>0.309194467</v>
      </c>
      <c r="F5612" s="2">
        <v>148.0</v>
      </c>
      <c r="G5612" s="3">
        <f t="shared" si="2"/>
        <v>0.1204231082</v>
      </c>
      <c r="H5612" s="2">
        <v>244.0</v>
      </c>
      <c r="I5612" s="3">
        <f t="shared" si="3"/>
        <v>0.1985353946</v>
      </c>
      <c r="J5612" s="2">
        <v>170.0</v>
      </c>
      <c r="K5612" s="3">
        <f t="shared" si="4"/>
        <v>0.1383238405</v>
      </c>
      <c r="L5612" s="2">
        <v>133.0</v>
      </c>
      <c r="M5612" s="3">
        <f t="shared" si="5"/>
        <v>0.5450819672</v>
      </c>
      <c r="N5612" s="2">
        <v>1424100.0</v>
      </c>
      <c r="O5612" s="4">
        <f t="shared" si="6"/>
        <v>5836.47541</v>
      </c>
      <c r="P5612" s="2">
        <v>0.0</v>
      </c>
      <c r="Q5612" s="3">
        <f t="shared" si="7"/>
        <v>0</v>
      </c>
      <c r="R5612" s="2">
        <v>117.0</v>
      </c>
      <c r="S5612" s="5">
        <f t="shared" si="8"/>
        <v>1</v>
      </c>
    </row>
    <row r="5613">
      <c r="A5613" s="2" t="s">
        <v>5613</v>
      </c>
      <c r="B5613" s="2">
        <v>147.0</v>
      </c>
      <c r="C5613" s="2">
        <v>1700.0</v>
      </c>
      <c r="D5613" s="2">
        <v>565.0</v>
      </c>
      <c r="E5613" s="3">
        <f t="shared" si="1"/>
        <v>0.3638119768</v>
      </c>
      <c r="F5613" s="2">
        <v>187.0</v>
      </c>
      <c r="G5613" s="3">
        <f t="shared" si="2"/>
        <v>0.1204121056</v>
      </c>
      <c r="H5613" s="2">
        <v>326.0</v>
      </c>
      <c r="I5613" s="3">
        <f t="shared" si="3"/>
        <v>0.209916291</v>
      </c>
      <c r="J5613" s="2">
        <v>288.0</v>
      </c>
      <c r="K5613" s="3">
        <f t="shared" si="4"/>
        <v>0.1854475209</v>
      </c>
      <c r="L5613" s="2">
        <v>205.0</v>
      </c>
      <c r="M5613" s="3">
        <f t="shared" si="5"/>
        <v>0.6288343558</v>
      </c>
      <c r="N5613" s="2">
        <v>1681900.0</v>
      </c>
      <c r="O5613" s="4">
        <f t="shared" si="6"/>
        <v>5159.202454</v>
      </c>
      <c r="P5613" s="2">
        <v>0.0</v>
      </c>
      <c r="Q5613" s="3">
        <f t="shared" si="7"/>
        <v>0</v>
      </c>
      <c r="R5613" s="2">
        <v>6.0</v>
      </c>
      <c r="S5613" s="5">
        <f t="shared" si="8"/>
        <v>0.04081632653</v>
      </c>
    </row>
    <row r="5614">
      <c r="A5614" s="2" t="s">
        <v>5614</v>
      </c>
      <c r="B5614" s="2">
        <v>1086.0</v>
      </c>
      <c r="C5614" s="2">
        <v>12871.0</v>
      </c>
      <c r="D5614" s="2">
        <v>4717.0</v>
      </c>
      <c r="E5614" s="3">
        <f t="shared" si="1"/>
        <v>0.4002545609</v>
      </c>
      <c r="F5614" s="2">
        <v>1419.0</v>
      </c>
      <c r="G5614" s="3">
        <f t="shared" si="2"/>
        <v>0.1204072974</v>
      </c>
      <c r="H5614" s="2">
        <v>2501.0</v>
      </c>
      <c r="I5614" s="3">
        <f t="shared" si="3"/>
        <v>0.2122189224</v>
      </c>
      <c r="J5614" s="2">
        <v>1922.0</v>
      </c>
      <c r="K5614" s="3">
        <f t="shared" si="4"/>
        <v>0.163088672</v>
      </c>
      <c r="L5614" s="2">
        <v>1459.0</v>
      </c>
      <c r="M5614" s="3">
        <f t="shared" si="5"/>
        <v>0.5833666533</v>
      </c>
      <c r="N5614" s="2">
        <v>1.36071E7</v>
      </c>
      <c r="O5614" s="4">
        <f t="shared" si="6"/>
        <v>5440.663735</v>
      </c>
      <c r="P5614" s="2">
        <v>1.0</v>
      </c>
      <c r="Q5614" s="3">
        <f t="shared" si="7"/>
        <v>0.0009208103131</v>
      </c>
      <c r="R5614" s="2">
        <v>1056.0</v>
      </c>
      <c r="S5614" s="5">
        <f t="shared" si="8"/>
        <v>0.9723756906</v>
      </c>
    </row>
    <row r="5615">
      <c r="A5615" s="2" t="s">
        <v>5615</v>
      </c>
      <c r="B5615" s="2">
        <v>75.0</v>
      </c>
      <c r="C5615" s="2">
        <v>889.0</v>
      </c>
      <c r="D5615" s="2">
        <v>232.0</v>
      </c>
      <c r="E5615" s="3">
        <f t="shared" si="1"/>
        <v>0.285012285</v>
      </c>
      <c r="F5615" s="2">
        <v>98.0</v>
      </c>
      <c r="G5615" s="3">
        <f t="shared" si="2"/>
        <v>0.1203931204</v>
      </c>
      <c r="H5615" s="2">
        <v>168.0</v>
      </c>
      <c r="I5615" s="3">
        <f t="shared" si="3"/>
        <v>0.2063882064</v>
      </c>
      <c r="J5615" s="2">
        <v>156.0</v>
      </c>
      <c r="K5615" s="3">
        <f t="shared" si="4"/>
        <v>0.1916461916</v>
      </c>
      <c r="L5615" s="2">
        <v>104.0</v>
      </c>
      <c r="M5615" s="3">
        <f t="shared" si="5"/>
        <v>0.619047619</v>
      </c>
      <c r="N5615" s="2">
        <v>1040600.0</v>
      </c>
      <c r="O5615" s="4">
        <f t="shared" si="6"/>
        <v>6194.047619</v>
      </c>
      <c r="P5615" s="2">
        <v>0.0</v>
      </c>
      <c r="Q5615" s="3">
        <f t="shared" si="7"/>
        <v>0</v>
      </c>
      <c r="R5615" s="2">
        <v>0.0</v>
      </c>
      <c r="S5615" s="5">
        <f t="shared" si="8"/>
        <v>0</v>
      </c>
    </row>
    <row r="5616">
      <c r="A5616" s="2" t="s">
        <v>5616</v>
      </c>
      <c r="B5616" s="2">
        <v>2935.0</v>
      </c>
      <c r="C5616" s="2">
        <v>34683.0</v>
      </c>
      <c r="D5616" s="2">
        <v>11218.0</v>
      </c>
      <c r="E5616" s="3">
        <f t="shared" si="1"/>
        <v>0.3533450926</v>
      </c>
      <c r="F5616" s="2">
        <v>3822.0</v>
      </c>
      <c r="G5616" s="3">
        <f t="shared" si="2"/>
        <v>0.1203855361</v>
      </c>
      <c r="H5616" s="2">
        <v>6671.0</v>
      </c>
      <c r="I5616" s="3">
        <f t="shared" si="3"/>
        <v>0.2101234723</v>
      </c>
      <c r="J5616" s="2">
        <v>5067.0</v>
      </c>
      <c r="K5616" s="3">
        <f t="shared" si="4"/>
        <v>0.1596006048</v>
      </c>
      <c r="L5616" s="2">
        <v>4023.0</v>
      </c>
      <c r="M5616" s="3">
        <f t="shared" si="5"/>
        <v>0.6030580123</v>
      </c>
      <c r="N5616" s="2">
        <v>3.74264E7</v>
      </c>
      <c r="O5616" s="4">
        <f t="shared" si="6"/>
        <v>5610.313296</v>
      </c>
      <c r="P5616" s="2">
        <v>5.0</v>
      </c>
      <c r="Q5616" s="3">
        <f t="shared" si="7"/>
        <v>0.001703577513</v>
      </c>
      <c r="R5616" s="2">
        <v>2935.0</v>
      </c>
      <c r="S5616" s="5">
        <f t="shared" si="8"/>
        <v>1</v>
      </c>
    </row>
    <row r="5617">
      <c r="A5617" s="2" t="s">
        <v>5617</v>
      </c>
      <c r="B5617" s="2">
        <v>227.0</v>
      </c>
      <c r="C5617" s="2">
        <v>2719.0</v>
      </c>
      <c r="D5617" s="2">
        <v>995.0</v>
      </c>
      <c r="E5617" s="3">
        <f t="shared" si="1"/>
        <v>0.3992776886</v>
      </c>
      <c r="F5617" s="2">
        <v>300.0</v>
      </c>
      <c r="G5617" s="3">
        <f t="shared" si="2"/>
        <v>0.1203852327</v>
      </c>
      <c r="H5617" s="2">
        <v>516.0</v>
      </c>
      <c r="I5617" s="3">
        <f t="shared" si="3"/>
        <v>0.2070626003</v>
      </c>
      <c r="J5617" s="2">
        <v>389.0</v>
      </c>
      <c r="K5617" s="3">
        <f t="shared" si="4"/>
        <v>0.1560995185</v>
      </c>
      <c r="L5617" s="2">
        <v>300.0</v>
      </c>
      <c r="M5617" s="3">
        <f t="shared" si="5"/>
        <v>0.5813953488</v>
      </c>
      <c r="N5617" s="2">
        <v>2669000.0</v>
      </c>
      <c r="O5617" s="4">
        <f t="shared" si="6"/>
        <v>5172.48062</v>
      </c>
      <c r="P5617" s="2">
        <v>0.0</v>
      </c>
      <c r="Q5617" s="3">
        <f t="shared" si="7"/>
        <v>0</v>
      </c>
      <c r="R5617" s="2">
        <v>227.0</v>
      </c>
      <c r="S5617" s="5">
        <f t="shared" si="8"/>
        <v>1</v>
      </c>
    </row>
    <row r="5618">
      <c r="A5618" s="2" t="s">
        <v>5618</v>
      </c>
      <c r="B5618" s="2">
        <v>194.0</v>
      </c>
      <c r="C5618" s="2">
        <v>2279.0</v>
      </c>
      <c r="D5618" s="2">
        <v>670.0</v>
      </c>
      <c r="E5618" s="3">
        <f t="shared" si="1"/>
        <v>0.3213429257</v>
      </c>
      <c r="F5618" s="2">
        <v>251.0</v>
      </c>
      <c r="G5618" s="3">
        <f t="shared" si="2"/>
        <v>0.120383693</v>
      </c>
      <c r="H5618" s="2">
        <v>441.0</v>
      </c>
      <c r="I5618" s="3">
        <f t="shared" si="3"/>
        <v>0.2115107914</v>
      </c>
      <c r="J5618" s="2">
        <v>312.0</v>
      </c>
      <c r="K5618" s="3">
        <f t="shared" si="4"/>
        <v>0.1496402878</v>
      </c>
      <c r="L5618" s="2">
        <v>255.0</v>
      </c>
      <c r="M5618" s="3">
        <f t="shared" si="5"/>
        <v>0.5782312925</v>
      </c>
      <c r="N5618" s="2">
        <v>2570500.0</v>
      </c>
      <c r="O5618" s="4">
        <f t="shared" si="6"/>
        <v>5828.798186</v>
      </c>
      <c r="P5618" s="2">
        <v>0.0</v>
      </c>
      <c r="Q5618" s="3">
        <f t="shared" si="7"/>
        <v>0</v>
      </c>
      <c r="R5618" s="2">
        <v>194.0</v>
      </c>
      <c r="S5618" s="5">
        <f t="shared" si="8"/>
        <v>1</v>
      </c>
    </row>
    <row r="5619">
      <c r="A5619" s="2" t="s">
        <v>5619</v>
      </c>
      <c r="B5619" s="2">
        <v>306.0</v>
      </c>
      <c r="C5619" s="2">
        <v>3604.0</v>
      </c>
      <c r="D5619" s="2">
        <v>1201.0</v>
      </c>
      <c r="E5619" s="3">
        <f t="shared" si="1"/>
        <v>0.364160097</v>
      </c>
      <c r="F5619" s="2">
        <v>397.0</v>
      </c>
      <c r="G5619" s="3">
        <f t="shared" si="2"/>
        <v>0.1203759854</v>
      </c>
      <c r="H5619" s="2">
        <v>642.0</v>
      </c>
      <c r="I5619" s="3">
        <f t="shared" si="3"/>
        <v>0.1946634324</v>
      </c>
      <c r="J5619" s="2">
        <v>558.0</v>
      </c>
      <c r="K5619" s="3">
        <f t="shared" si="4"/>
        <v>0.1691934506</v>
      </c>
      <c r="L5619" s="2">
        <v>382.0</v>
      </c>
      <c r="M5619" s="3">
        <f t="shared" si="5"/>
        <v>0.5950155763</v>
      </c>
      <c r="N5619" s="2">
        <v>3561700.0</v>
      </c>
      <c r="O5619" s="4">
        <f t="shared" si="6"/>
        <v>5547.819315</v>
      </c>
      <c r="P5619" s="2">
        <v>0.0</v>
      </c>
      <c r="Q5619" s="3">
        <f t="shared" si="7"/>
        <v>0</v>
      </c>
      <c r="R5619" s="2">
        <v>233.0</v>
      </c>
      <c r="S5619" s="5">
        <f t="shared" si="8"/>
        <v>0.7614379085</v>
      </c>
    </row>
    <row r="5620">
      <c r="A5620" s="2" t="s">
        <v>5620</v>
      </c>
      <c r="B5620" s="2">
        <v>2898.0</v>
      </c>
      <c r="C5620" s="2">
        <v>33843.0</v>
      </c>
      <c r="D5620" s="2">
        <v>11449.0</v>
      </c>
      <c r="E5620" s="3">
        <f t="shared" si="1"/>
        <v>0.369978995</v>
      </c>
      <c r="F5620" s="2">
        <v>3725.0</v>
      </c>
      <c r="G5620" s="3">
        <f t="shared" si="2"/>
        <v>0.1203748586</v>
      </c>
      <c r="H5620" s="2">
        <v>6725.0</v>
      </c>
      <c r="I5620" s="3">
        <f t="shared" si="3"/>
        <v>0.2173210535</v>
      </c>
      <c r="J5620" s="2">
        <v>4867.0</v>
      </c>
      <c r="K5620" s="3">
        <f t="shared" si="4"/>
        <v>0.1572790435</v>
      </c>
      <c r="L5620" s="2">
        <v>4082.0</v>
      </c>
      <c r="M5620" s="3">
        <f t="shared" si="5"/>
        <v>0.6069888476</v>
      </c>
      <c r="N5620" s="2">
        <v>3.68544E7</v>
      </c>
      <c r="O5620" s="4">
        <f t="shared" si="6"/>
        <v>5480.208178</v>
      </c>
      <c r="P5620" s="2">
        <v>5.0</v>
      </c>
      <c r="Q5620" s="3">
        <f t="shared" si="7"/>
        <v>0.001725327812</v>
      </c>
      <c r="R5620" s="2">
        <v>2898.0</v>
      </c>
      <c r="S5620" s="5">
        <f t="shared" si="8"/>
        <v>1</v>
      </c>
    </row>
    <row r="5621">
      <c r="A5621" s="2" t="s">
        <v>5621</v>
      </c>
      <c r="B5621" s="2">
        <v>11.0</v>
      </c>
      <c r="C5621" s="2">
        <v>119.0</v>
      </c>
      <c r="D5621" s="2">
        <v>28.0</v>
      </c>
      <c r="E5621" s="3">
        <f t="shared" si="1"/>
        <v>0.2592592593</v>
      </c>
      <c r="F5621" s="2">
        <v>13.0</v>
      </c>
      <c r="G5621" s="3">
        <f t="shared" si="2"/>
        <v>0.1203703704</v>
      </c>
      <c r="H5621" s="2">
        <v>21.0</v>
      </c>
      <c r="I5621" s="3">
        <f t="shared" si="3"/>
        <v>0.1944444444</v>
      </c>
      <c r="J5621" s="2">
        <v>20.0</v>
      </c>
      <c r="K5621" s="3">
        <f t="shared" si="4"/>
        <v>0.1851851852</v>
      </c>
      <c r="L5621" s="2">
        <v>10.0</v>
      </c>
      <c r="M5621" s="3">
        <f t="shared" si="5"/>
        <v>0.4761904762</v>
      </c>
      <c r="N5621" s="2">
        <v>164400.0</v>
      </c>
      <c r="O5621" s="4">
        <f t="shared" si="6"/>
        <v>7828.571429</v>
      </c>
      <c r="P5621" s="2">
        <v>0.0</v>
      </c>
      <c r="Q5621" s="3">
        <f t="shared" si="7"/>
        <v>0</v>
      </c>
      <c r="R5621" s="2">
        <v>11.0</v>
      </c>
      <c r="S5621" s="5">
        <f t="shared" si="8"/>
        <v>1</v>
      </c>
    </row>
    <row r="5622">
      <c r="A5622" s="2" t="s">
        <v>5622</v>
      </c>
      <c r="B5622" s="2">
        <v>19.0</v>
      </c>
      <c r="C5622" s="2">
        <v>235.0</v>
      </c>
      <c r="D5622" s="2">
        <v>77.0</v>
      </c>
      <c r="E5622" s="3">
        <f t="shared" si="1"/>
        <v>0.3564814815</v>
      </c>
      <c r="F5622" s="2">
        <v>26.0</v>
      </c>
      <c r="G5622" s="3">
        <f t="shared" si="2"/>
        <v>0.1203703704</v>
      </c>
      <c r="H5622" s="2">
        <v>34.0</v>
      </c>
      <c r="I5622" s="3">
        <f t="shared" si="3"/>
        <v>0.1574074074</v>
      </c>
      <c r="J5622" s="2">
        <v>37.0</v>
      </c>
      <c r="K5622" s="3">
        <f t="shared" si="4"/>
        <v>0.1712962963</v>
      </c>
      <c r="L5622" s="2">
        <v>19.0</v>
      </c>
      <c r="M5622" s="3">
        <f t="shared" si="5"/>
        <v>0.5588235294</v>
      </c>
      <c r="N5622" s="2">
        <v>178400.0</v>
      </c>
      <c r="O5622" s="4">
        <f t="shared" si="6"/>
        <v>5247.058824</v>
      </c>
      <c r="P5622" s="2">
        <v>0.0</v>
      </c>
      <c r="Q5622" s="3">
        <f t="shared" si="7"/>
        <v>0</v>
      </c>
      <c r="R5622" s="2">
        <v>19.0</v>
      </c>
      <c r="S5622" s="5">
        <f t="shared" si="8"/>
        <v>1</v>
      </c>
    </row>
    <row r="5623">
      <c r="A5623" s="2" t="s">
        <v>5623</v>
      </c>
      <c r="B5623" s="2">
        <v>63.0</v>
      </c>
      <c r="C5623" s="2">
        <v>711.0</v>
      </c>
      <c r="D5623" s="2">
        <v>229.0</v>
      </c>
      <c r="E5623" s="3">
        <f t="shared" si="1"/>
        <v>0.3533950617</v>
      </c>
      <c r="F5623" s="2">
        <v>78.0</v>
      </c>
      <c r="G5623" s="3">
        <f t="shared" si="2"/>
        <v>0.1203703704</v>
      </c>
      <c r="H5623" s="2">
        <v>138.0</v>
      </c>
      <c r="I5623" s="3">
        <f t="shared" si="3"/>
        <v>0.212962963</v>
      </c>
      <c r="J5623" s="2">
        <v>108.0</v>
      </c>
      <c r="K5623" s="3">
        <f t="shared" si="4"/>
        <v>0.1666666667</v>
      </c>
      <c r="L5623" s="2">
        <v>79.0</v>
      </c>
      <c r="M5623" s="3">
        <f t="shared" si="5"/>
        <v>0.5724637681</v>
      </c>
      <c r="N5623" s="2">
        <v>797600.0</v>
      </c>
      <c r="O5623" s="4">
        <f t="shared" si="6"/>
        <v>5779.710145</v>
      </c>
      <c r="P5623" s="2">
        <v>0.0</v>
      </c>
      <c r="Q5623" s="3">
        <f t="shared" si="7"/>
        <v>0</v>
      </c>
      <c r="R5623" s="2">
        <v>63.0</v>
      </c>
      <c r="S5623" s="5">
        <f t="shared" si="8"/>
        <v>1</v>
      </c>
    </row>
    <row r="5624">
      <c r="A5624" s="2" t="s">
        <v>5624</v>
      </c>
      <c r="B5624" s="2">
        <v>21.0</v>
      </c>
      <c r="C5624" s="2">
        <v>237.0</v>
      </c>
      <c r="D5624" s="2">
        <v>59.0</v>
      </c>
      <c r="E5624" s="3">
        <f t="shared" si="1"/>
        <v>0.2731481481</v>
      </c>
      <c r="F5624" s="2">
        <v>26.0</v>
      </c>
      <c r="G5624" s="3">
        <f t="shared" si="2"/>
        <v>0.1203703704</v>
      </c>
      <c r="H5624" s="2">
        <v>43.0</v>
      </c>
      <c r="I5624" s="3">
        <f t="shared" si="3"/>
        <v>0.1990740741</v>
      </c>
      <c r="J5624" s="2">
        <v>34.0</v>
      </c>
      <c r="K5624" s="3">
        <f t="shared" si="4"/>
        <v>0.1574074074</v>
      </c>
      <c r="L5624" s="2">
        <v>19.0</v>
      </c>
      <c r="M5624" s="3">
        <f t="shared" si="5"/>
        <v>0.4418604651</v>
      </c>
      <c r="N5624" s="2">
        <v>297400.0</v>
      </c>
      <c r="O5624" s="4">
        <f t="shared" si="6"/>
        <v>6916.27907</v>
      </c>
      <c r="P5624" s="2">
        <v>1.0</v>
      </c>
      <c r="Q5624" s="3">
        <f t="shared" si="7"/>
        <v>0.04761904762</v>
      </c>
      <c r="R5624" s="2">
        <v>21.0</v>
      </c>
      <c r="S5624" s="5">
        <f t="shared" si="8"/>
        <v>1</v>
      </c>
    </row>
    <row r="5625">
      <c r="A5625" s="2" t="s">
        <v>5625</v>
      </c>
      <c r="B5625" s="2">
        <v>52.0</v>
      </c>
      <c r="C5625" s="2">
        <v>592.0</v>
      </c>
      <c r="D5625" s="2">
        <v>198.0</v>
      </c>
      <c r="E5625" s="3">
        <f t="shared" si="1"/>
        <v>0.3666666667</v>
      </c>
      <c r="F5625" s="2">
        <v>65.0</v>
      </c>
      <c r="G5625" s="3">
        <f t="shared" si="2"/>
        <v>0.1203703704</v>
      </c>
      <c r="H5625" s="2">
        <v>111.0</v>
      </c>
      <c r="I5625" s="3">
        <f t="shared" si="3"/>
        <v>0.2055555556</v>
      </c>
      <c r="J5625" s="2">
        <v>77.0</v>
      </c>
      <c r="K5625" s="3">
        <f t="shared" si="4"/>
        <v>0.1425925926</v>
      </c>
      <c r="L5625" s="2">
        <v>63.0</v>
      </c>
      <c r="M5625" s="3">
        <f t="shared" si="5"/>
        <v>0.5675675676</v>
      </c>
      <c r="N5625" s="2">
        <v>548800.0</v>
      </c>
      <c r="O5625" s="4">
        <f t="shared" si="6"/>
        <v>4944.144144</v>
      </c>
      <c r="P5625" s="2">
        <v>0.0</v>
      </c>
      <c r="Q5625" s="3">
        <f t="shared" si="7"/>
        <v>0</v>
      </c>
      <c r="R5625" s="2">
        <v>52.0</v>
      </c>
      <c r="S5625" s="5">
        <f t="shared" si="8"/>
        <v>1</v>
      </c>
    </row>
    <row r="5626">
      <c r="A5626" s="2" t="s">
        <v>5626</v>
      </c>
      <c r="B5626" s="2">
        <v>450.0</v>
      </c>
      <c r="C5626" s="2">
        <v>5252.0</v>
      </c>
      <c r="D5626" s="2">
        <v>1651.0</v>
      </c>
      <c r="E5626" s="3">
        <f t="shared" si="1"/>
        <v>0.3438150771</v>
      </c>
      <c r="F5626" s="2">
        <v>578.0</v>
      </c>
      <c r="G5626" s="3">
        <f t="shared" si="2"/>
        <v>0.120366514</v>
      </c>
      <c r="H5626" s="2">
        <v>1058.0</v>
      </c>
      <c r="I5626" s="3">
        <f t="shared" si="3"/>
        <v>0.2203248646</v>
      </c>
      <c r="J5626" s="2">
        <v>859.0</v>
      </c>
      <c r="K5626" s="3">
        <f t="shared" si="4"/>
        <v>0.1788837984</v>
      </c>
      <c r="L5626" s="2">
        <v>632.0</v>
      </c>
      <c r="M5626" s="3">
        <f t="shared" si="5"/>
        <v>0.5973534972</v>
      </c>
      <c r="N5626" s="2">
        <v>5637200.0</v>
      </c>
      <c r="O5626" s="4">
        <f t="shared" si="6"/>
        <v>5328.166352</v>
      </c>
      <c r="P5626" s="2">
        <v>0.0</v>
      </c>
      <c r="Q5626" s="3">
        <f t="shared" si="7"/>
        <v>0</v>
      </c>
      <c r="R5626" s="2">
        <v>450.0</v>
      </c>
      <c r="S5626" s="5">
        <f t="shared" si="8"/>
        <v>1</v>
      </c>
    </row>
    <row r="5627">
      <c r="A5627" s="2" t="s">
        <v>5627</v>
      </c>
      <c r="B5627" s="2">
        <v>191.0</v>
      </c>
      <c r="C5627" s="2">
        <v>2185.0</v>
      </c>
      <c r="D5627" s="2">
        <v>726.0</v>
      </c>
      <c r="E5627" s="3">
        <f t="shared" si="1"/>
        <v>0.3640922768</v>
      </c>
      <c r="F5627" s="2">
        <v>240.0</v>
      </c>
      <c r="G5627" s="3">
        <f t="shared" si="2"/>
        <v>0.1203610832</v>
      </c>
      <c r="H5627" s="2">
        <v>404.0</v>
      </c>
      <c r="I5627" s="3">
        <f t="shared" si="3"/>
        <v>0.2026078235</v>
      </c>
      <c r="J5627" s="2">
        <v>359.0</v>
      </c>
      <c r="K5627" s="3">
        <f t="shared" si="4"/>
        <v>0.1800401204</v>
      </c>
      <c r="L5627" s="2">
        <v>221.0</v>
      </c>
      <c r="M5627" s="3">
        <f t="shared" si="5"/>
        <v>0.547029703</v>
      </c>
      <c r="N5627" s="2">
        <v>2401400.0</v>
      </c>
      <c r="O5627" s="4">
        <f t="shared" si="6"/>
        <v>5944.059406</v>
      </c>
      <c r="P5627" s="2">
        <v>1.0</v>
      </c>
      <c r="Q5627" s="3">
        <f t="shared" si="7"/>
        <v>0.005235602094</v>
      </c>
      <c r="R5627" s="2">
        <v>191.0</v>
      </c>
      <c r="S5627" s="5">
        <f t="shared" si="8"/>
        <v>1</v>
      </c>
    </row>
    <row r="5628">
      <c r="A5628" s="2" t="s">
        <v>5628</v>
      </c>
      <c r="B5628" s="2">
        <v>1734.0</v>
      </c>
      <c r="C5628" s="2">
        <v>20378.0</v>
      </c>
      <c r="D5628" s="2">
        <v>7176.0</v>
      </c>
      <c r="E5628" s="3">
        <f t="shared" si="1"/>
        <v>0.3848959451</v>
      </c>
      <c r="F5628" s="2">
        <v>2244.0</v>
      </c>
      <c r="G5628" s="3">
        <f t="shared" si="2"/>
        <v>0.1203604377</v>
      </c>
      <c r="H5628" s="2">
        <v>3996.0</v>
      </c>
      <c r="I5628" s="3">
        <f t="shared" si="3"/>
        <v>0.2143316885</v>
      </c>
      <c r="J5628" s="2">
        <v>3415.0</v>
      </c>
      <c r="K5628" s="3">
        <f t="shared" si="4"/>
        <v>0.1831688479</v>
      </c>
      <c r="L5628" s="2">
        <v>2368.0</v>
      </c>
      <c r="M5628" s="3">
        <f t="shared" si="5"/>
        <v>0.5925925926</v>
      </c>
      <c r="N5628" s="2">
        <v>2.22458E7</v>
      </c>
      <c r="O5628" s="4">
        <f t="shared" si="6"/>
        <v>5567.017017</v>
      </c>
      <c r="P5628" s="2">
        <v>2.0</v>
      </c>
      <c r="Q5628" s="3">
        <f t="shared" si="7"/>
        <v>0.001153402537</v>
      </c>
      <c r="R5628" s="2">
        <v>1734.0</v>
      </c>
      <c r="S5628" s="5">
        <f t="shared" si="8"/>
        <v>1</v>
      </c>
    </row>
    <row r="5629">
      <c r="A5629" s="2" t="s">
        <v>5629</v>
      </c>
      <c r="B5629" s="2">
        <v>5140.0</v>
      </c>
      <c r="C5629" s="2">
        <v>60152.0</v>
      </c>
      <c r="D5629" s="2">
        <v>19699.0</v>
      </c>
      <c r="E5629" s="3">
        <f t="shared" si="1"/>
        <v>0.3580855086</v>
      </c>
      <c r="F5629" s="2">
        <v>6621.0</v>
      </c>
      <c r="G5629" s="3">
        <f t="shared" si="2"/>
        <v>0.1203555588</v>
      </c>
      <c r="H5629" s="2">
        <v>11589.0</v>
      </c>
      <c r="I5629" s="3">
        <f t="shared" si="3"/>
        <v>0.210663128</v>
      </c>
      <c r="J5629" s="2">
        <v>7735.0</v>
      </c>
      <c r="K5629" s="3">
        <f t="shared" si="4"/>
        <v>0.140605686</v>
      </c>
      <c r="L5629" s="2">
        <v>7033.0</v>
      </c>
      <c r="M5629" s="3">
        <f t="shared" si="5"/>
        <v>0.6068685823</v>
      </c>
      <c r="N5629" s="2">
        <v>6.5067E7</v>
      </c>
      <c r="O5629" s="4">
        <f t="shared" si="6"/>
        <v>5614.548279</v>
      </c>
      <c r="P5629" s="2">
        <v>6.0</v>
      </c>
      <c r="Q5629" s="3">
        <f t="shared" si="7"/>
        <v>0.001167315175</v>
      </c>
      <c r="R5629" s="2">
        <v>5140.0</v>
      </c>
      <c r="S5629" s="5">
        <f t="shared" si="8"/>
        <v>1</v>
      </c>
    </row>
    <row r="5630">
      <c r="A5630" s="2" t="s">
        <v>5630</v>
      </c>
      <c r="B5630" s="2">
        <v>161.0</v>
      </c>
      <c r="C5630" s="2">
        <v>1856.0</v>
      </c>
      <c r="D5630" s="2">
        <v>643.0</v>
      </c>
      <c r="E5630" s="3">
        <f t="shared" si="1"/>
        <v>0.3793510324</v>
      </c>
      <c r="F5630" s="2">
        <v>204.0</v>
      </c>
      <c r="G5630" s="3">
        <f t="shared" si="2"/>
        <v>0.1203539823</v>
      </c>
      <c r="H5630" s="2">
        <v>369.0</v>
      </c>
      <c r="I5630" s="3">
        <f t="shared" si="3"/>
        <v>0.217699115</v>
      </c>
      <c r="J5630" s="2">
        <v>319.0</v>
      </c>
      <c r="K5630" s="3">
        <f t="shared" si="4"/>
        <v>0.18820059</v>
      </c>
      <c r="L5630" s="2">
        <v>227.0</v>
      </c>
      <c r="M5630" s="3">
        <f t="shared" si="5"/>
        <v>0.6151761518</v>
      </c>
      <c r="N5630" s="2">
        <v>1978900.0</v>
      </c>
      <c r="O5630" s="4">
        <f t="shared" si="6"/>
        <v>5362.872629</v>
      </c>
      <c r="P5630" s="2">
        <v>0.0</v>
      </c>
      <c r="Q5630" s="3">
        <f t="shared" si="7"/>
        <v>0</v>
      </c>
      <c r="R5630" s="2">
        <v>161.0</v>
      </c>
      <c r="S5630" s="5">
        <f t="shared" si="8"/>
        <v>1</v>
      </c>
    </row>
    <row r="5631">
      <c r="A5631" s="2" t="s">
        <v>5631</v>
      </c>
      <c r="B5631" s="2">
        <v>53.0</v>
      </c>
      <c r="C5631" s="2">
        <v>618.0</v>
      </c>
      <c r="D5631" s="2">
        <v>188.0</v>
      </c>
      <c r="E5631" s="3">
        <f t="shared" si="1"/>
        <v>0.3327433628</v>
      </c>
      <c r="F5631" s="2">
        <v>68.0</v>
      </c>
      <c r="G5631" s="3">
        <f t="shared" si="2"/>
        <v>0.1203539823</v>
      </c>
      <c r="H5631" s="2">
        <v>124.0</v>
      </c>
      <c r="I5631" s="3">
        <f t="shared" si="3"/>
        <v>0.2194690265</v>
      </c>
      <c r="J5631" s="2">
        <v>83.0</v>
      </c>
      <c r="K5631" s="3">
        <f t="shared" si="4"/>
        <v>0.1469026549</v>
      </c>
      <c r="L5631" s="2">
        <v>72.0</v>
      </c>
      <c r="M5631" s="3">
        <f t="shared" si="5"/>
        <v>0.5806451613</v>
      </c>
      <c r="N5631" s="2">
        <v>721300.0</v>
      </c>
      <c r="O5631" s="4">
        <f t="shared" si="6"/>
        <v>5816.935484</v>
      </c>
      <c r="P5631" s="2">
        <v>0.0</v>
      </c>
      <c r="Q5631" s="3">
        <f t="shared" si="7"/>
        <v>0</v>
      </c>
      <c r="R5631" s="2">
        <v>53.0</v>
      </c>
      <c r="S5631" s="5">
        <f t="shared" si="8"/>
        <v>1</v>
      </c>
    </row>
    <row r="5632">
      <c r="A5632" s="2" t="s">
        <v>5632</v>
      </c>
      <c r="B5632" s="2">
        <v>127.0</v>
      </c>
      <c r="C5632" s="2">
        <v>1548.0</v>
      </c>
      <c r="D5632" s="2">
        <v>462.0</v>
      </c>
      <c r="E5632" s="3">
        <f t="shared" si="1"/>
        <v>0.3251231527</v>
      </c>
      <c r="F5632" s="2">
        <v>171.0</v>
      </c>
      <c r="G5632" s="3">
        <f t="shared" si="2"/>
        <v>0.1203377903</v>
      </c>
      <c r="H5632" s="2">
        <v>307.0</v>
      </c>
      <c r="I5632" s="3">
        <f t="shared" si="3"/>
        <v>0.2160450387</v>
      </c>
      <c r="J5632" s="2">
        <v>228.0</v>
      </c>
      <c r="K5632" s="3">
        <f t="shared" si="4"/>
        <v>0.1604503871</v>
      </c>
      <c r="L5632" s="2">
        <v>179.0</v>
      </c>
      <c r="M5632" s="3">
        <f t="shared" si="5"/>
        <v>0.5830618893</v>
      </c>
      <c r="N5632" s="2">
        <v>1766500.0</v>
      </c>
      <c r="O5632" s="4">
        <f t="shared" si="6"/>
        <v>5754.071661</v>
      </c>
      <c r="P5632" s="2">
        <v>0.0</v>
      </c>
      <c r="Q5632" s="3">
        <f t="shared" si="7"/>
        <v>0</v>
      </c>
      <c r="R5632" s="2">
        <v>127.0</v>
      </c>
      <c r="S5632" s="5">
        <f t="shared" si="8"/>
        <v>1</v>
      </c>
    </row>
    <row r="5633">
      <c r="A5633" s="2" t="s">
        <v>5633</v>
      </c>
      <c r="B5633" s="2">
        <v>4496.0</v>
      </c>
      <c r="C5633" s="2">
        <v>53068.0</v>
      </c>
      <c r="D5633" s="2">
        <v>15836.0</v>
      </c>
      <c r="E5633" s="3">
        <f t="shared" si="1"/>
        <v>0.3260314585</v>
      </c>
      <c r="F5633" s="2">
        <v>5845.0</v>
      </c>
      <c r="G5633" s="3">
        <f t="shared" si="2"/>
        <v>0.1203368196</v>
      </c>
      <c r="H5633" s="2">
        <v>10236.0</v>
      </c>
      <c r="I5633" s="3">
        <f t="shared" si="3"/>
        <v>0.2107386972</v>
      </c>
      <c r="J5633" s="2">
        <v>7558.0</v>
      </c>
      <c r="K5633" s="3">
        <f t="shared" si="4"/>
        <v>0.1556040517</v>
      </c>
      <c r="L5633" s="2">
        <v>6181.0</v>
      </c>
      <c r="M5633" s="3">
        <f t="shared" si="5"/>
        <v>0.6038491598</v>
      </c>
      <c r="N5633" s="2">
        <v>5.76106E7</v>
      </c>
      <c r="O5633" s="4">
        <f t="shared" si="6"/>
        <v>5628.233685</v>
      </c>
      <c r="P5633" s="2">
        <v>7.0</v>
      </c>
      <c r="Q5633" s="3">
        <f t="shared" si="7"/>
        <v>0.001556939502</v>
      </c>
      <c r="R5633" s="2">
        <v>4496.0</v>
      </c>
      <c r="S5633" s="5">
        <f t="shared" si="8"/>
        <v>1</v>
      </c>
    </row>
    <row r="5634">
      <c r="A5634" s="2" t="s">
        <v>5634</v>
      </c>
      <c r="B5634" s="2">
        <v>431.0</v>
      </c>
      <c r="C5634" s="2">
        <v>5093.0</v>
      </c>
      <c r="D5634" s="2">
        <v>1419.0</v>
      </c>
      <c r="E5634" s="3">
        <f t="shared" si="1"/>
        <v>0.3043758044</v>
      </c>
      <c r="F5634" s="2">
        <v>561.0</v>
      </c>
      <c r="G5634" s="3">
        <f t="shared" si="2"/>
        <v>0.1203346203</v>
      </c>
      <c r="H5634" s="2">
        <v>896.0</v>
      </c>
      <c r="I5634" s="3">
        <f t="shared" si="3"/>
        <v>0.1921921922</v>
      </c>
      <c r="J5634" s="2">
        <v>644.0</v>
      </c>
      <c r="K5634" s="3">
        <f t="shared" si="4"/>
        <v>0.1381381381</v>
      </c>
      <c r="L5634" s="2">
        <v>548.0</v>
      </c>
      <c r="M5634" s="3">
        <f t="shared" si="5"/>
        <v>0.6116071429</v>
      </c>
      <c r="N5634" s="2">
        <v>5073400.0</v>
      </c>
      <c r="O5634" s="4">
        <f t="shared" si="6"/>
        <v>5662.276786</v>
      </c>
      <c r="P5634" s="2">
        <v>1.0</v>
      </c>
      <c r="Q5634" s="3">
        <f t="shared" si="7"/>
        <v>0.002320185615</v>
      </c>
      <c r="R5634" s="2">
        <v>431.0</v>
      </c>
      <c r="S5634" s="5">
        <f t="shared" si="8"/>
        <v>1</v>
      </c>
    </row>
    <row r="5635">
      <c r="A5635" s="2" t="s">
        <v>5635</v>
      </c>
      <c r="B5635" s="2">
        <v>186.0</v>
      </c>
      <c r="C5635" s="2">
        <v>2222.0</v>
      </c>
      <c r="D5635" s="2">
        <v>670.0</v>
      </c>
      <c r="E5635" s="3">
        <f t="shared" si="1"/>
        <v>0.3290766208</v>
      </c>
      <c r="F5635" s="2">
        <v>245.0</v>
      </c>
      <c r="G5635" s="3">
        <f t="shared" si="2"/>
        <v>0.1203339882</v>
      </c>
      <c r="H5635" s="2">
        <v>401.0</v>
      </c>
      <c r="I5635" s="3">
        <f t="shared" si="3"/>
        <v>0.1969548134</v>
      </c>
      <c r="J5635" s="2">
        <v>318.0</v>
      </c>
      <c r="K5635" s="3">
        <f t="shared" si="4"/>
        <v>0.1561886051</v>
      </c>
      <c r="L5635" s="2">
        <v>235.0</v>
      </c>
      <c r="M5635" s="3">
        <f t="shared" si="5"/>
        <v>0.5860349127</v>
      </c>
      <c r="N5635" s="2">
        <v>2325300.0</v>
      </c>
      <c r="O5635" s="4">
        <f t="shared" si="6"/>
        <v>5798.753117</v>
      </c>
      <c r="P5635" s="2">
        <v>0.0</v>
      </c>
      <c r="Q5635" s="3">
        <f t="shared" si="7"/>
        <v>0</v>
      </c>
      <c r="R5635" s="2">
        <v>186.0</v>
      </c>
      <c r="S5635" s="5">
        <f t="shared" si="8"/>
        <v>1</v>
      </c>
    </row>
    <row r="5636">
      <c r="A5636" s="2" t="s">
        <v>5636</v>
      </c>
      <c r="B5636" s="2">
        <v>44.0</v>
      </c>
      <c r="C5636" s="2">
        <v>526.0</v>
      </c>
      <c r="D5636" s="2">
        <v>189.0</v>
      </c>
      <c r="E5636" s="3">
        <f t="shared" si="1"/>
        <v>0.3921161826</v>
      </c>
      <c r="F5636" s="2">
        <v>58.0</v>
      </c>
      <c r="G5636" s="3">
        <f t="shared" si="2"/>
        <v>0.1203319502</v>
      </c>
      <c r="H5636" s="2">
        <v>99.0</v>
      </c>
      <c r="I5636" s="3">
        <f t="shared" si="3"/>
        <v>0.2053941909</v>
      </c>
      <c r="J5636" s="2">
        <v>76.0</v>
      </c>
      <c r="K5636" s="3">
        <f t="shared" si="4"/>
        <v>0.1576763485</v>
      </c>
      <c r="L5636" s="2">
        <v>56.0</v>
      </c>
      <c r="M5636" s="3">
        <f t="shared" si="5"/>
        <v>0.5656565657</v>
      </c>
      <c r="N5636" s="2">
        <v>560000.0</v>
      </c>
      <c r="O5636" s="4">
        <f t="shared" si="6"/>
        <v>5656.565657</v>
      </c>
      <c r="P5636" s="2">
        <v>0.0</v>
      </c>
      <c r="Q5636" s="3">
        <f t="shared" si="7"/>
        <v>0</v>
      </c>
      <c r="R5636" s="2">
        <v>44.0</v>
      </c>
      <c r="S5636" s="5">
        <f t="shared" si="8"/>
        <v>1</v>
      </c>
    </row>
    <row r="5637">
      <c r="A5637" s="2" t="s">
        <v>5637</v>
      </c>
      <c r="B5637" s="2">
        <v>44.0</v>
      </c>
      <c r="C5637" s="2">
        <v>526.0</v>
      </c>
      <c r="D5637" s="2">
        <v>184.0</v>
      </c>
      <c r="E5637" s="3">
        <f t="shared" si="1"/>
        <v>0.3817427386</v>
      </c>
      <c r="F5637" s="2">
        <v>58.0</v>
      </c>
      <c r="G5637" s="3">
        <f t="shared" si="2"/>
        <v>0.1203319502</v>
      </c>
      <c r="H5637" s="2">
        <v>103.0</v>
      </c>
      <c r="I5637" s="3">
        <f t="shared" si="3"/>
        <v>0.2136929461</v>
      </c>
      <c r="J5637" s="2">
        <v>73.0</v>
      </c>
      <c r="K5637" s="3">
        <f t="shared" si="4"/>
        <v>0.1514522822</v>
      </c>
      <c r="L5637" s="2">
        <v>66.0</v>
      </c>
      <c r="M5637" s="3">
        <f t="shared" si="5"/>
        <v>0.640776699</v>
      </c>
      <c r="N5637" s="2">
        <v>586400.0</v>
      </c>
      <c r="O5637" s="4">
        <f t="shared" si="6"/>
        <v>5693.203883</v>
      </c>
      <c r="P5637" s="2">
        <v>0.0</v>
      </c>
      <c r="Q5637" s="3">
        <f t="shared" si="7"/>
        <v>0</v>
      </c>
      <c r="R5637" s="2">
        <v>44.0</v>
      </c>
      <c r="S5637" s="5">
        <f t="shared" si="8"/>
        <v>1</v>
      </c>
    </row>
    <row r="5638">
      <c r="A5638" s="2" t="s">
        <v>5638</v>
      </c>
      <c r="B5638" s="2">
        <v>1283.0</v>
      </c>
      <c r="C5638" s="2">
        <v>15070.0</v>
      </c>
      <c r="D5638" s="2">
        <v>5195.0</v>
      </c>
      <c r="E5638" s="3">
        <f t="shared" si="1"/>
        <v>0.3768042359</v>
      </c>
      <c r="F5638" s="2">
        <v>1659.0</v>
      </c>
      <c r="G5638" s="3">
        <f t="shared" si="2"/>
        <v>0.1203307464</v>
      </c>
      <c r="H5638" s="2">
        <v>2879.0</v>
      </c>
      <c r="I5638" s="3">
        <f t="shared" si="3"/>
        <v>0.2088199028</v>
      </c>
      <c r="J5638" s="2">
        <v>2326.0</v>
      </c>
      <c r="K5638" s="3">
        <f t="shared" si="4"/>
        <v>0.168709654</v>
      </c>
      <c r="L5638" s="2">
        <v>1703.0</v>
      </c>
      <c r="M5638" s="3">
        <f t="shared" si="5"/>
        <v>0.591524835</v>
      </c>
      <c r="N5638" s="2">
        <v>1.54695E7</v>
      </c>
      <c r="O5638" s="4">
        <f t="shared" si="6"/>
        <v>5373.219868</v>
      </c>
      <c r="P5638" s="2">
        <v>2.0</v>
      </c>
      <c r="Q5638" s="3">
        <f t="shared" si="7"/>
        <v>0.001558846454</v>
      </c>
      <c r="R5638" s="2">
        <v>1283.0</v>
      </c>
      <c r="S5638" s="5">
        <f t="shared" si="8"/>
        <v>1</v>
      </c>
    </row>
    <row r="5639">
      <c r="A5639" s="2" t="s">
        <v>5639</v>
      </c>
      <c r="B5639" s="2">
        <v>55.0</v>
      </c>
      <c r="C5639" s="2">
        <v>670.0</v>
      </c>
      <c r="D5639" s="2">
        <v>252.0</v>
      </c>
      <c r="E5639" s="3">
        <f t="shared" si="1"/>
        <v>0.4097560976</v>
      </c>
      <c r="F5639" s="2">
        <v>74.0</v>
      </c>
      <c r="G5639" s="3">
        <f t="shared" si="2"/>
        <v>0.1203252033</v>
      </c>
      <c r="H5639" s="2">
        <v>131.0</v>
      </c>
      <c r="I5639" s="3">
        <f t="shared" si="3"/>
        <v>0.2130081301</v>
      </c>
      <c r="J5639" s="2">
        <v>93.0</v>
      </c>
      <c r="K5639" s="3">
        <f t="shared" si="4"/>
        <v>0.1512195122</v>
      </c>
      <c r="L5639" s="2">
        <v>83.0</v>
      </c>
      <c r="M5639" s="3">
        <f t="shared" si="5"/>
        <v>0.6335877863</v>
      </c>
      <c r="N5639" s="2">
        <v>647500.0</v>
      </c>
      <c r="O5639" s="4">
        <f t="shared" si="6"/>
        <v>4942.748092</v>
      </c>
      <c r="P5639" s="2">
        <v>0.0</v>
      </c>
      <c r="Q5639" s="3">
        <f t="shared" si="7"/>
        <v>0</v>
      </c>
      <c r="R5639" s="2">
        <v>7.0</v>
      </c>
      <c r="S5639" s="5">
        <f t="shared" si="8"/>
        <v>0.1272727273</v>
      </c>
    </row>
    <row r="5640">
      <c r="A5640" s="2" t="s">
        <v>5640</v>
      </c>
      <c r="B5640" s="2">
        <v>68.0</v>
      </c>
      <c r="C5640" s="2">
        <v>816.0</v>
      </c>
      <c r="D5640" s="2">
        <v>246.0</v>
      </c>
      <c r="E5640" s="3">
        <f t="shared" si="1"/>
        <v>0.3288770053</v>
      </c>
      <c r="F5640" s="2">
        <v>90.0</v>
      </c>
      <c r="G5640" s="3">
        <f t="shared" si="2"/>
        <v>0.1203208556</v>
      </c>
      <c r="H5640" s="2">
        <v>166.0</v>
      </c>
      <c r="I5640" s="3">
        <f t="shared" si="3"/>
        <v>0.2219251337</v>
      </c>
      <c r="J5640" s="2">
        <v>152.0</v>
      </c>
      <c r="K5640" s="3">
        <f t="shared" si="4"/>
        <v>0.2032085561</v>
      </c>
      <c r="L5640" s="2">
        <v>96.0</v>
      </c>
      <c r="M5640" s="3">
        <f t="shared" si="5"/>
        <v>0.578313253</v>
      </c>
      <c r="N5640" s="2">
        <v>869500.0</v>
      </c>
      <c r="O5640" s="4">
        <f t="shared" si="6"/>
        <v>5237.951807</v>
      </c>
      <c r="P5640" s="2">
        <v>1.0</v>
      </c>
      <c r="Q5640" s="3">
        <f t="shared" si="7"/>
        <v>0.01470588235</v>
      </c>
      <c r="R5640" s="2">
        <v>0.0</v>
      </c>
      <c r="S5640" s="5">
        <f t="shared" si="8"/>
        <v>0</v>
      </c>
    </row>
    <row r="5641">
      <c r="A5641" s="2" t="s">
        <v>5641</v>
      </c>
      <c r="B5641" s="2">
        <v>237.0</v>
      </c>
      <c r="C5641" s="2">
        <v>2855.0</v>
      </c>
      <c r="D5641" s="2">
        <v>954.0</v>
      </c>
      <c r="E5641" s="3">
        <f t="shared" si="1"/>
        <v>0.3644003056</v>
      </c>
      <c r="F5641" s="2">
        <v>315.0</v>
      </c>
      <c r="G5641" s="3">
        <f t="shared" si="2"/>
        <v>0.1203208556</v>
      </c>
      <c r="H5641" s="2">
        <v>528.0</v>
      </c>
      <c r="I5641" s="3">
        <f t="shared" si="3"/>
        <v>0.2016806723</v>
      </c>
      <c r="J5641" s="2">
        <v>393.0</v>
      </c>
      <c r="K5641" s="3">
        <f t="shared" si="4"/>
        <v>0.1501145913</v>
      </c>
      <c r="L5641" s="2">
        <v>324.0</v>
      </c>
      <c r="M5641" s="3">
        <f t="shared" si="5"/>
        <v>0.6136363636</v>
      </c>
      <c r="N5641" s="2">
        <v>2701300.0</v>
      </c>
      <c r="O5641" s="4">
        <f t="shared" si="6"/>
        <v>5116.098485</v>
      </c>
      <c r="P5641" s="2">
        <v>0.0</v>
      </c>
      <c r="Q5641" s="3">
        <f t="shared" si="7"/>
        <v>0</v>
      </c>
      <c r="R5641" s="2">
        <v>237.0</v>
      </c>
      <c r="S5641" s="5">
        <f t="shared" si="8"/>
        <v>1</v>
      </c>
    </row>
    <row r="5642">
      <c r="A5642" s="2" t="s">
        <v>5642</v>
      </c>
      <c r="B5642" s="2">
        <v>371.0</v>
      </c>
      <c r="C5642" s="2">
        <v>4369.0</v>
      </c>
      <c r="D5642" s="2">
        <v>943.0</v>
      </c>
      <c r="E5642" s="3">
        <f t="shared" si="1"/>
        <v>0.235867934</v>
      </c>
      <c r="F5642" s="2">
        <v>481.0</v>
      </c>
      <c r="G5642" s="3">
        <f t="shared" si="2"/>
        <v>0.1203101551</v>
      </c>
      <c r="H5642" s="2">
        <v>725.0</v>
      </c>
      <c r="I5642" s="3">
        <f t="shared" si="3"/>
        <v>0.1813406703</v>
      </c>
      <c r="J5642" s="2">
        <v>623.0</v>
      </c>
      <c r="K5642" s="3">
        <f t="shared" si="4"/>
        <v>0.155827914</v>
      </c>
      <c r="L5642" s="2">
        <v>447.0</v>
      </c>
      <c r="M5642" s="3">
        <f t="shared" si="5"/>
        <v>0.6165517241</v>
      </c>
      <c r="N5642" s="2">
        <v>4099100.0</v>
      </c>
      <c r="O5642" s="4">
        <f t="shared" si="6"/>
        <v>5653.931034</v>
      </c>
      <c r="P5642" s="2">
        <v>0.0</v>
      </c>
      <c r="Q5642" s="3">
        <f t="shared" si="7"/>
        <v>0</v>
      </c>
      <c r="R5642" s="2">
        <v>371.0</v>
      </c>
      <c r="S5642" s="5">
        <f t="shared" si="8"/>
        <v>1</v>
      </c>
    </row>
    <row r="5643">
      <c r="A5643" s="2" t="s">
        <v>5643</v>
      </c>
      <c r="B5643" s="2">
        <v>194.0</v>
      </c>
      <c r="C5643" s="2">
        <v>2272.0</v>
      </c>
      <c r="D5643" s="2">
        <v>789.0</v>
      </c>
      <c r="E5643" s="3">
        <f t="shared" si="1"/>
        <v>0.3796920115</v>
      </c>
      <c r="F5643" s="2">
        <v>250.0</v>
      </c>
      <c r="G5643" s="3">
        <f t="shared" si="2"/>
        <v>0.1203079885</v>
      </c>
      <c r="H5643" s="2">
        <v>458.0</v>
      </c>
      <c r="I5643" s="3">
        <f t="shared" si="3"/>
        <v>0.2204042348</v>
      </c>
      <c r="J5643" s="2">
        <v>372.0</v>
      </c>
      <c r="K5643" s="3">
        <f t="shared" si="4"/>
        <v>0.1790182868</v>
      </c>
      <c r="L5643" s="2">
        <v>277.0</v>
      </c>
      <c r="M5643" s="3">
        <f t="shared" si="5"/>
        <v>0.6048034934</v>
      </c>
      <c r="N5643" s="2">
        <v>2476900.0</v>
      </c>
      <c r="O5643" s="4">
        <f t="shared" si="6"/>
        <v>5408.078603</v>
      </c>
      <c r="P5643" s="2">
        <v>0.0</v>
      </c>
      <c r="Q5643" s="3">
        <f t="shared" si="7"/>
        <v>0</v>
      </c>
      <c r="R5643" s="2">
        <v>194.0</v>
      </c>
      <c r="S5643" s="5">
        <f t="shared" si="8"/>
        <v>1</v>
      </c>
    </row>
    <row r="5644">
      <c r="A5644" s="2" t="s">
        <v>5644</v>
      </c>
      <c r="B5644" s="2">
        <v>105.0</v>
      </c>
      <c r="C5644" s="2">
        <v>1277.0</v>
      </c>
      <c r="D5644" s="2">
        <v>494.0</v>
      </c>
      <c r="E5644" s="3">
        <f t="shared" si="1"/>
        <v>0.4215017065</v>
      </c>
      <c r="F5644" s="2">
        <v>141.0</v>
      </c>
      <c r="G5644" s="3">
        <f t="shared" si="2"/>
        <v>0.1203071672</v>
      </c>
      <c r="H5644" s="2">
        <v>247.0</v>
      </c>
      <c r="I5644" s="3">
        <f t="shared" si="3"/>
        <v>0.2107508532</v>
      </c>
      <c r="J5644" s="2">
        <v>136.0</v>
      </c>
      <c r="K5644" s="3">
        <f t="shared" si="4"/>
        <v>0.1160409556</v>
      </c>
      <c r="L5644" s="2">
        <v>154.0</v>
      </c>
      <c r="M5644" s="3">
        <f t="shared" si="5"/>
        <v>0.6234817814</v>
      </c>
      <c r="N5644" s="2">
        <v>1187900.0</v>
      </c>
      <c r="O5644" s="4">
        <f t="shared" si="6"/>
        <v>4809.311741</v>
      </c>
      <c r="P5644" s="2">
        <v>0.0</v>
      </c>
      <c r="Q5644" s="3">
        <f t="shared" si="7"/>
        <v>0</v>
      </c>
      <c r="R5644" s="2">
        <v>105.0</v>
      </c>
      <c r="S5644" s="5">
        <f t="shared" si="8"/>
        <v>1</v>
      </c>
    </row>
    <row r="5645">
      <c r="A5645" s="2" t="s">
        <v>5645</v>
      </c>
      <c r="B5645" s="2">
        <v>110.0</v>
      </c>
      <c r="C5645" s="2">
        <v>1307.0</v>
      </c>
      <c r="D5645" s="2">
        <v>393.0</v>
      </c>
      <c r="E5645" s="3">
        <f t="shared" si="1"/>
        <v>0.328320802</v>
      </c>
      <c r="F5645" s="2">
        <v>144.0</v>
      </c>
      <c r="G5645" s="3">
        <f t="shared" si="2"/>
        <v>0.1203007519</v>
      </c>
      <c r="H5645" s="2">
        <v>239.0</v>
      </c>
      <c r="I5645" s="3">
        <f t="shared" si="3"/>
        <v>0.1996658312</v>
      </c>
      <c r="J5645" s="2">
        <v>221.0</v>
      </c>
      <c r="K5645" s="3">
        <f t="shared" si="4"/>
        <v>0.1846282373</v>
      </c>
      <c r="L5645" s="2">
        <v>147.0</v>
      </c>
      <c r="M5645" s="3">
        <f t="shared" si="5"/>
        <v>0.6150627615</v>
      </c>
      <c r="N5645" s="2">
        <v>1386000.0</v>
      </c>
      <c r="O5645" s="4">
        <f t="shared" si="6"/>
        <v>5799.16318</v>
      </c>
      <c r="P5645" s="2">
        <v>0.0</v>
      </c>
      <c r="Q5645" s="3">
        <f t="shared" si="7"/>
        <v>0</v>
      </c>
      <c r="R5645" s="2">
        <v>110.0</v>
      </c>
      <c r="S5645" s="5">
        <f t="shared" si="8"/>
        <v>1</v>
      </c>
    </row>
    <row r="5646">
      <c r="A5646" s="2" t="s">
        <v>5646</v>
      </c>
      <c r="B5646" s="2">
        <v>347.0</v>
      </c>
      <c r="C5646" s="2">
        <v>4013.0</v>
      </c>
      <c r="D5646" s="2">
        <v>1213.0</v>
      </c>
      <c r="E5646" s="3">
        <f t="shared" si="1"/>
        <v>0.3308783415</v>
      </c>
      <c r="F5646" s="2">
        <v>441.0</v>
      </c>
      <c r="G5646" s="3">
        <f t="shared" si="2"/>
        <v>0.120294599</v>
      </c>
      <c r="H5646" s="2">
        <v>744.0</v>
      </c>
      <c r="I5646" s="3">
        <f t="shared" si="3"/>
        <v>0.2029459902</v>
      </c>
      <c r="J5646" s="2">
        <v>680.0</v>
      </c>
      <c r="K5646" s="3">
        <f t="shared" si="4"/>
        <v>0.1854882706</v>
      </c>
      <c r="L5646" s="2">
        <v>442.0</v>
      </c>
      <c r="M5646" s="3">
        <f t="shared" si="5"/>
        <v>0.5940860215</v>
      </c>
      <c r="N5646" s="2">
        <v>4323300.0</v>
      </c>
      <c r="O5646" s="4">
        <f t="shared" si="6"/>
        <v>5810.887097</v>
      </c>
      <c r="P5646" s="2">
        <v>0.0</v>
      </c>
      <c r="Q5646" s="3">
        <f t="shared" si="7"/>
        <v>0</v>
      </c>
      <c r="R5646" s="2">
        <v>347.0</v>
      </c>
      <c r="S5646" s="5">
        <f t="shared" si="8"/>
        <v>1</v>
      </c>
    </row>
    <row r="5647">
      <c r="A5647" s="2" t="s">
        <v>5647</v>
      </c>
      <c r="B5647" s="2">
        <v>222.0</v>
      </c>
      <c r="C5647" s="2">
        <v>2608.0</v>
      </c>
      <c r="D5647" s="2">
        <v>914.0</v>
      </c>
      <c r="E5647" s="3">
        <f t="shared" si="1"/>
        <v>0.3830678961</v>
      </c>
      <c r="F5647" s="2">
        <v>287.0</v>
      </c>
      <c r="G5647" s="3">
        <f t="shared" si="2"/>
        <v>0.1202849958</v>
      </c>
      <c r="H5647" s="2">
        <v>489.0</v>
      </c>
      <c r="I5647" s="3">
        <f t="shared" si="3"/>
        <v>0.2049455155</v>
      </c>
      <c r="J5647" s="2">
        <v>367.0</v>
      </c>
      <c r="K5647" s="3">
        <f t="shared" si="4"/>
        <v>0.1538139145</v>
      </c>
      <c r="L5647" s="2">
        <v>305.0</v>
      </c>
      <c r="M5647" s="3">
        <f t="shared" si="5"/>
        <v>0.6237218814</v>
      </c>
      <c r="N5647" s="2">
        <v>2640000.0</v>
      </c>
      <c r="O5647" s="4">
        <f t="shared" si="6"/>
        <v>5398.773006</v>
      </c>
      <c r="P5647" s="2">
        <v>0.0</v>
      </c>
      <c r="Q5647" s="3">
        <f t="shared" si="7"/>
        <v>0</v>
      </c>
      <c r="R5647" s="2">
        <v>222.0</v>
      </c>
      <c r="S5647" s="5">
        <f t="shared" si="8"/>
        <v>1</v>
      </c>
    </row>
    <row r="5648">
      <c r="A5648" s="2" t="s">
        <v>5648</v>
      </c>
      <c r="B5648" s="2">
        <v>1627.0</v>
      </c>
      <c r="C5648" s="2">
        <v>19195.0</v>
      </c>
      <c r="D5648" s="2">
        <v>6223.0</v>
      </c>
      <c r="E5648" s="3">
        <f t="shared" si="1"/>
        <v>0.3542235883</v>
      </c>
      <c r="F5648" s="2">
        <v>2113.0</v>
      </c>
      <c r="G5648" s="3">
        <f t="shared" si="2"/>
        <v>0.1202755009</v>
      </c>
      <c r="H5648" s="2">
        <v>3653.0</v>
      </c>
      <c r="I5648" s="3">
        <f t="shared" si="3"/>
        <v>0.2079348816</v>
      </c>
      <c r="J5648" s="2">
        <v>2906.0</v>
      </c>
      <c r="K5648" s="3">
        <f t="shared" si="4"/>
        <v>0.1654143898</v>
      </c>
      <c r="L5648" s="2">
        <v>2170.0</v>
      </c>
      <c r="M5648" s="3">
        <f t="shared" si="5"/>
        <v>0.5940323022</v>
      </c>
      <c r="N5648" s="2">
        <v>2.01074E7</v>
      </c>
      <c r="O5648" s="4">
        <f t="shared" si="6"/>
        <v>5504.352587</v>
      </c>
      <c r="P5648" s="2">
        <v>3.0</v>
      </c>
      <c r="Q5648" s="3">
        <f t="shared" si="7"/>
        <v>0.00184388445</v>
      </c>
      <c r="R5648" s="2">
        <v>1614.0</v>
      </c>
      <c r="S5648" s="5">
        <f t="shared" si="8"/>
        <v>0.9920098341</v>
      </c>
    </row>
    <row r="5649">
      <c r="A5649" s="2" t="s">
        <v>5649</v>
      </c>
      <c r="B5649" s="2">
        <v>265.0</v>
      </c>
      <c r="C5649" s="2">
        <v>3092.0</v>
      </c>
      <c r="D5649" s="2">
        <v>917.0</v>
      </c>
      <c r="E5649" s="3">
        <f t="shared" si="1"/>
        <v>0.3243721259</v>
      </c>
      <c r="F5649" s="2">
        <v>340.0</v>
      </c>
      <c r="G5649" s="3">
        <f t="shared" si="2"/>
        <v>0.1202688362</v>
      </c>
      <c r="H5649" s="2">
        <v>608.0</v>
      </c>
      <c r="I5649" s="3">
        <f t="shared" si="3"/>
        <v>0.2150689777</v>
      </c>
      <c r="J5649" s="2">
        <v>512.0</v>
      </c>
      <c r="K5649" s="3">
        <f t="shared" si="4"/>
        <v>0.1811107181</v>
      </c>
      <c r="L5649" s="2">
        <v>367.0</v>
      </c>
      <c r="M5649" s="3">
        <f t="shared" si="5"/>
        <v>0.6036184211</v>
      </c>
      <c r="N5649" s="2">
        <v>3298100.0</v>
      </c>
      <c r="O5649" s="4">
        <f t="shared" si="6"/>
        <v>5424.506579</v>
      </c>
      <c r="P5649" s="2">
        <v>0.0</v>
      </c>
      <c r="Q5649" s="3">
        <f t="shared" si="7"/>
        <v>0</v>
      </c>
      <c r="R5649" s="2">
        <v>229.0</v>
      </c>
      <c r="S5649" s="5">
        <f t="shared" si="8"/>
        <v>0.8641509434</v>
      </c>
    </row>
    <row r="5650">
      <c r="A5650" s="2" t="s">
        <v>5650</v>
      </c>
      <c r="B5650" s="2">
        <v>750.0</v>
      </c>
      <c r="C5650" s="2">
        <v>8758.0</v>
      </c>
      <c r="D5650" s="2">
        <v>2521.0</v>
      </c>
      <c r="E5650" s="3">
        <f t="shared" si="1"/>
        <v>0.3148101898</v>
      </c>
      <c r="F5650" s="2">
        <v>963.0</v>
      </c>
      <c r="G5650" s="3">
        <f t="shared" si="2"/>
        <v>0.1202547453</v>
      </c>
      <c r="H5650" s="2">
        <v>1740.0</v>
      </c>
      <c r="I5650" s="3">
        <f t="shared" si="3"/>
        <v>0.2172827173</v>
      </c>
      <c r="J5650" s="2">
        <v>1361.0</v>
      </c>
      <c r="K5650" s="3">
        <f t="shared" si="4"/>
        <v>0.169955045</v>
      </c>
      <c r="L5650" s="2">
        <v>1055.0</v>
      </c>
      <c r="M5650" s="3">
        <f t="shared" si="5"/>
        <v>0.6063218391</v>
      </c>
      <c r="N5650" s="2">
        <v>9655900.0</v>
      </c>
      <c r="O5650" s="4">
        <f t="shared" si="6"/>
        <v>5549.367816</v>
      </c>
      <c r="P5650" s="2">
        <v>4.0</v>
      </c>
      <c r="Q5650" s="3">
        <f t="shared" si="7"/>
        <v>0.005333333333</v>
      </c>
      <c r="R5650" s="2">
        <v>750.0</v>
      </c>
      <c r="S5650" s="5">
        <f t="shared" si="8"/>
        <v>1</v>
      </c>
    </row>
    <row r="5651">
      <c r="A5651" s="2" t="s">
        <v>5651</v>
      </c>
      <c r="B5651" s="2">
        <v>2466.0</v>
      </c>
      <c r="C5651" s="2">
        <v>28960.0</v>
      </c>
      <c r="D5651" s="2">
        <v>9268.0</v>
      </c>
      <c r="E5651" s="3">
        <f t="shared" si="1"/>
        <v>0.3498150525</v>
      </c>
      <c r="F5651" s="2">
        <v>3186.0</v>
      </c>
      <c r="G5651" s="3">
        <f t="shared" si="2"/>
        <v>0.1202536423</v>
      </c>
      <c r="H5651" s="2">
        <v>5275.0</v>
      </c>
      <c r="I5651" s="3">
        <f t="shared" si="3"/>
        <v>0.1991016834</v>
      </c>
      <c r="J5651" s="2">
        <v>3774.0</v>
      </c>
      <c r="K5651" s="3">
        <f t="shared" si="4"/>
        <v>0.1424473466</v>
      </c>
      <c r="L5651" s="2">
        <v>3200.0</v>
      </c>
      <c r="M5651" s="3">
        <f t="shared" si="5"/>
        <v>0.6066350711</v>
      </c>
      <c r="N5651" s="2">
        <v>2.93504E7</v>
      </c>
      <c r="O5651" s="4">
        <f t="shared" si="6"/>
        <v>5564.056872</v>
      </c>
      <c r="P5651" s="2">
        <v>1.0</v>
      </c>
      <c r="Q5651" s="3">
        <f t="shared" si="7"/>
        <v>0.0004055150041</v>
      </c>
      <c r="R5651" s="2">
        <v>2466.0</v>
      </c>
      <c r="S5651" s="5">
        <f t="shared" si="8"/>
        <v>1</v>
      </c>
    </row>
    <row r="5652">
      <c r="A5652" s="2" t="s">
        <v>5652</v>
      </c>
      <c r="B5652" s="2">
        <v>468.0</v>
      </c>
      <c r="C5652" s="2">
        <v>5466.0</v>
      </c>
      <c r="D5652" s="2">
        <v>1577.0</v>
      </c>
      <c r="E5652" s="3">
        <f t="shared" si="1"/>
        <v>0.3155262105</v>
      </c>
      <c r="F5652" s="2">
        <v>601.0</v>
      </c>
      <c r="G5652" s="3">
        <f t="shared" si="2"/>
        <v>0.1202480992</v>
      </c>
      <c r="H5652" s="2">
        <v>1061.0</v>
      </c>
      <c r="I5652" s="3">
        <f t="shared" si="3"/>
        <v>0.212284914</v>
      </c>
      <c r="J5652" s="2">
        <v>894.0</v>
      </c>
      <c r="K5652" s="3">
        <f t="shared" si="4"/>
        <v>0.1788715486</v>
      </c>
      <c r="L5652" s="2">
        <v>602.0</v>
      </c>
      <c r="M5652" s="3">
        <f t="shared" si="5"/>
        <v>0.5673892554</v>
      </c>
      <c r="N5652" s="2">
        <v>6583400.0</v>
      </c>
      <c r="O5652" s="4">
        <f t="shared" si="6"/>
        <v>6204.901037</v>
      </c>
      <c r="P5652" s="2">
        <v>1.0</v>
      </c>
      <c r="Q5652" s="3">
        <f t="shared" si="7"/>
        <v>0.002136752137</v>
      </c>
      <c r="R5652" s="2">
        <v>468.0</v>
      </c>
      <c r="S5652" s="5">
        <f t="shared" si="8"/>
        <v>1</v>
      </c>
    </row>
    <row r="5653">
      <c r="A5653" s="2" t="s">
        <v>5653</v>
      </c>
      <c r="B5653" s="2">
        <v>349.0</v>
      </c>
      <c r="C5653" s="2">
        <v>4158.0</v>
      </c>
      <c r="D5653" s="2">
        <v>1452.0</v>
      </c>
      <c r="E5653" s="3">
        <f t="shared" si="1"/>
        <v>0.3812024153</v>
      </c>
      <c r="F5653" s="2">
        <v>458.0</v>
      </c>
      <c r="G5653" s="3">
        <f t="shared" si="2"/>
        <v>0.1202415332</v>
      </c>
      <c r="H5653" s="2">
        <v>795.0</v>
      </c>
      <c r="I5653" s="3">
        <f t="shared" si="3"/>
        <v>0.2087161985</v>
      </c>
      <c r="J5653" s="2">
        <v>600.0</v>
      </c>
      <c r="K5653" s="3">
        <f t="shared" si="4"/>
        <v>0.1575216592</v>
      </c>
      <c r="L5653" s="2">
        <v>461.0</v>
      </c>
      <c r="M5653" s="3">
        <f t="shared" si="5"/>
        <v>0.5798742138</v>
      </c>
      <c r="N5653" s="2">
        <v>4297700.0</v>
      </c>
      <c r="O5653" s="4">
        <f t="shared" si="6"/>
        <v>5405.91195</v>
      </c>
      <c r="P5653" s="2">
        <v>0.0</v>
      </c>
      <c r="Q5653" s="3">
        <f t="shared" si="7"/>
        <v>0</v>
      </c>
      <c r="R5653" s="2">
        <v>0.0</v>
      </c>
      <c r="S5653" s="5">
        <f t="shared" si="8"/>
        <v>0</v>
      </c>
    </row>
    <row r="5654">
      <c r="A5654" s="2">
        <v>55555.0</v>
      </c>
      <c r="B5654" s="2">
        <v>115.0</v>
      </c>
      <c r="C5654" s="2">
        <v>1346.0</v>
      </c>
      <c r="D5654" s="2">
        <v>466.0</v>
      </c>
      <c r="E5654" s="3">
        <f t="shared" si="1"/>
        <v>0.3785540211</v>
      </c>
      <c r="F5654" s="2">
        <v>148.0</v>
      </c>
      <c r="G5654" s="3">
        <f t="shared" si="2"/>
        <v>0.1202274574</v>
      </c>
      <c r="H5654" s="2">
        <v>234.0</v>
      </c>
      <c r="I5654" s="3">
        <f t="shared" si="3"/>
        <v>0.1900893582</v>
      </c>
      <c r="J5654" s="2">
        <v>200.0</v>
      </c>
      <c r="K5654" s="3">
        <f t="shared" si="4"/>
        <v>0.162469537</v>
      </c>
      <c r="L5654" s="2">
        <v>141.0</v>
      </c>
      <c r="M5654" s="3">
        <f t="shared" si="5"/>
        <v>0.6025641026</v>
      </c>
      <c r="N5654" s="2">
        <v>1233800.0</v>
      </c>
      <c r="O5654" s="4">
        <f t="shared" si="6"/>
        <v>5272.649573</v>
      </c>
      <c r="P5654" s="2">
        <v>0.0</v>
      </c>
      <c r="Q5654" s="3">
        <f t="shared" si="7"/>
        <v>0</v>
      </c>
      <c r="R5654" s="2">
        <v>115.0</v>
      </c>
      <c r="S5654" s="5">
        <f t="shared" si="8"/>
        <v>1</v>
      </c>
    </row>
    <row r="5655">
      <c r="A5655" s="2" t="s">
        <v>5654</v>
      </c>
      <c r="B5655" s="2">
        <v>5077.0</v>
      </c>
      <c r="C5655" s="2">
        <v>59924.0</v>
      </c>
      <c r="D5655" s="2">
        <v>19823.0</v>
      </c>
      <c r="E5655" s="3">
        <f t="shared" si="1"/>
        <v>0.3614235966</v>
      </c>
      <c r="F5655" s="2">
        <v>6594.0</v>
      </c>
      <c r="G5655" s="3">
        <f t="shared" si="2"/>
        <v>0.1202253542</v>
      </c>
      <c r="H5655" s="2">
        <v>11825.0</v>
      </c>
      <c r="I5655" s="3">
        <f t="shared" si="3"/>
        <v>0.2155997593</v>
      </c>
      <c r="J5655" s="2">
        <v>9303.0</v>
      </c>
      <c r="K5655" s="3">
        <f t="shared" si="4"/>
        <v>0.169617299</v>
      </c>
      <c r="L5655" s="2">
        <v>7072.0</v>
      </c>
      <c r="M5655" s="3">
        <f t="shared" si="5"/>
        <v>0.5980549683</v>
      </c>
      <c r="N5655" s="2">
        <v>6.71725E7</v>
      </c>
      <c r="O5655" s="4">
        <f t="shared" si="6"/>
        <v>5680.549683</v>
      </c>
      <c r="P5655" s="2">
        <v>14.0</v>
      </c>
      <c r="Q5655" s="3">
        <f t="shared" si="7"/>
        <v>0.002757533977</v>
      </c>
      <c r="R5655" s="2">
        <v>5077.0</v>
      </c>
      <c r="S5655" s="5">
        <f t="shared" si="8"/>
        <v>1</v>
      </c>
    </row>
    <row r="5656">
      <c r="A5656" s="2" t="s">
        <v>5655</v>
      </c>
      <c r="B5656" s="2">
        <v>283.0</v>
      </c>
      <c r="C5656" s="2">
        <v>3336.0</v>
      </c>
      <c r="D5656" s="2">
        <v>1133.0</v>
      </c>
      <c r="E5656" s="3">
        <f t="shared" si="1"/>
        <v>0.3711103832</v>
      </c>
      <c r="F5656" s="2">
        <v>367.0</v>
      </c>
      <c r="G5656" s="3">
        <f t="shared" si="2"/>
        <v>0.1202096299</v>
      </c>
      <c r="H5656" s="2">
        <v>630.0</v>
      </c>
      <c r="I5656" s="3">
        <f t="shared" si="3"/>
        <v>0.2063544055</v>
      </c>
      <c r="J5656" s="2">
        <v>522.0</v>
      </c>
      <c r="K5656" s="3">
        <f t="shared" si="4"/>
        <v>0.1709793646</v>
      </c>
      <c r="L5656" s="2">
        <v>384.0</v>
      </c>
      <c r="M5656" s="3">
        <f t="shared" si="5"/>
        <v>0.6095238095</v>
      </c>
      <c r="N5656" s="2">
        <v>3526900.0</v>
      </c>
      <c r="O5656" s="4">
        <f t="shared" si="6"/>
        <v>5598.253968</v>
      </c>
      <c r="P5656" s="2">
        <v>1.0</v>
      </c>
      <c r="Q5656" s="3">
        <f t="shared" si="7"/>
        <v>0.003533568905</v>
      </c>
      <c r="R5656" s="2">
        <v>283.0</v>
      </c>
      <c r="S5656" s="5">
        <f t="shared" si="8"/>
        <v>1</v>
      </c>
    </row>
    <row r="5657">
      <c r="A5657" s="2" t="s">
        <v>5656</v>
      </c>
      <c r="B5657" s="2">
        <v>320.0</v>
      </c>
      <c r="C5657" s="2">
        <v>3673.0</v>
      </c>
      <c r="D5657" s="2">
        <v>1565.0</v>
      </c>
      <c r="E5657" s="3">
        <f t="shared" si="1"/>
        <v>0.4667461974</v>
      </c>
      <c r="F5657" s="2">
        <v>403.0</v>
      </c>
      <c r="G5657" s="3">
        <f t="shared" si="2"/>
        <v>0.1201908738</v>
      </c>
      <c r="H5657" s="2">
        <v>664.0</v>
      </c>
      <c r="I5657" s="3">
        <f t="shared" si="3"/>
        <v>0.1980316135</v>
      </c>
      <c r="J5657" s="2">
        <v>445.0</v>
      </c>
      <c r="K5657" s="3">
        <f t="shared" si="4"/>
        <v>0.1327169699</v>
      </c>
      <c r="L5657" s="2">
        <v>402.0</v>
      </c>
      <c r="M5657" s="3">
        <f t="shared" si="5"/>
        <v>0.6054216867</v>
      </c>
      <c r="N5657" s="2">
        <v>3826800.0</v>
      </c>
      <c r="O5657" s="4">
        <f t="shared" si="6"/>
        <v>5763.253012</v>
      </c>
      <c r="P5657" s="2">
        <v>1.0</v>
      </c>
      <c r="Q5657" s="3">
        <f t="shared" si="7"/>
        <v>0.003125</v>
      </c>
      <c r="R5657" s="2">
        <v>320.0</v>
      </c>
      <c r="S5657" s="5">
        <f t="shared" si="8"/>
        <v>1</v>
      </c>
    </row>
    <row r="5658">
      <c r="A5658" s="2" t="s">
        <v>5657</v>
      </c>
      <c r="B5658" s="2">
        <v>60.0</v>
      </c>
      <c r="C5658" s="2">
        <v>734.0</v>
      </c>
      <c r="D5658" s="2">
        <v>225.0</v>
      </c>
      <c r="E5658" s="3">
        <f t="shared" si="1"/>
        <v>0.3338278932</v>
      </c>
      <c r="F5658" s="2">
        <v>81.0</v>
      </c>
      <c r="G5658" s="3">
        <f t="shared" si="2"/>
        <v>0.1201780415</v>
      </c>
      <c r="H5658" s="2">
        <v>162.0</v>
      </c>
      <c r="I5658" s="3">
        <f t="shared" si="3"/>
        <v>0.2403560831</v>
      </c>
      <c r="J5658" s="2">
        <v>131.0</v>
      </c>
      <c r="K5658" s="3">
        <f t="shared" si="4"/>
        <v>0.1943620178</v>
      </c>
      <c r="L5658" s="2">
        <v>96.0</v>
      </c>
      <c r="M5658" s="3">
        <f t="shared" si="5"/>
        <v>0.5925925926</v>
      </c>
      <c r="N5658" s="2">
        <v>887400.0</v>
      </c>
      <c r="O5658" s="4">
        <f t="shared" si="6"/>
        <v>5477.777778</v>
      </c>
      <c r="P5658" s="2">
        <v>0.0</v>
      </c>
      <c r="Q5658" s="3">
        <f t="shared" si="7"/>
        <v>0</v>
      </c>
      <c r="R5658" s="2">
        <v>60.0</v>
      </c>
      <c r="S5658" s="5">
        <f t="shared" si="8"/>
        <v>1</v>
      </c>
    </row>
    <row r="5659">
      <c r="A5659" s="2" t="s">
        <v>5658</v>
      </c>
      <c r="B5659" s="2">
        <v>129.0</v>
      </c>
      <c r="C5659" s="2">
        <v>1527.0</v>
      </c>
      <c r="D5659" s="2">
        <v>494.0</v>
      </c>
      <c r="E5659" s="3">
        <f t="shared" si="1"/>
        <v>0.3533619456</v>
      </c>
      <c r="F5659" s="2">
        <v>168.0</v>
      </c>
      <c r="G5659" s="3">
        <f t="shared" si="2"/>
        <v>0.1201716738</v>
      </c>
      <c r="H5659" s="2">
        <v>277.0</v>
      </c>
      <c r="I5659" s="3">
        <f t="shared" si="3"/>
        <v>0.1981402003</v>
      </c>
      <c r="J5659" s="2">
        <v>209.0</v>
      </c>
      <c r="K5659" s="3">
        <f t="shared" si="4"/>
        <v>0.1494992847</v>
      </c>
      <c r="L5659" s="2">
        <v>170.0</v>
      </c>
      <c r="M5659" s="3">
        <f t="shared" si="5"/>
        <v>0.6137184116</v>
      </c>
      <c r="N5659" s="2">
        <v>1408200.0</v>
      </c>
      <c r="O5659" s="4">
        <f t="shared" si="6"/>
        <v>5083.754513</v>
      </c>
      <c r="P5659" s="2">
        <v>1.0</v>
      </c>
      <c r="Q5659" s="3">
        <f t="shared" si="7"/>
        <v>0.007751937984</v>
      </c>
      <c r="R5659" s="2">
        <v>0.0</v>
      </c>
      <c r="S5659" s="5">
        <f t="shared" si="8"/>
        <v>0</v>
      </c>
    </row>
    <row r="5660">
      <c r="A5660" s="2" t="s">
        <v>5659</v>
      </c>
      <c r="B5660" s="2">
        <v>796.0</v>
      </c>
      <c r="C5660" s="2">
        <v>9209.0</v>
      </c>
      <c r="D5660" s="2">
        <v>3118.0</v>
      </c>
      <c r="E5660" s="3">
        <f t="shared" si="1"/>
        <v>0.3706169024</v>
      </c>
      <c r="F5660" s="2">
        <v>1011.0</v>
      </c>
      <c r="G5660" s="3">
        <f t="shared" si="2"/>
        <v>0.1201711637</v>
      </c>
      <c r="H5660" s="2">
        <v>1796.0</v>
      </c>
      <c r="I5660" s="3">
        <f t="shared" si="3"/>
        <v>0.2134791394</v>
      </c>
      <c r="J5660" s="2">
        <v>1525.0</v>
      </c>
      <c r="K5660" s="3">
        <f t="shared" si="4"/>
        <v>0.1812670867</v>
      </c>
      <c r="L5660" s="2">
        <v>1077.0</v>
      </c>
      <c r="M5660" s="3">
        <f t="shared" si="5"/>
        <v>0.5996659243</v>
      </c>
      <c r="N5660" s="2">
        <v>1.01972E7</v>
      </c>
      <c r="O5660" s="4">
        <f t="shared" si="6"/>
        <v>5677.728285</v>
      </c>
      <c r="P5660" s="2">
        <v>2.0</v>
      </c>
      <c r="Q5660" s="3">
        <f t="shared" si="7"/>
        <v>0.002512562814</v>
      </c>
      <c r="R5660" s="2">
        <v>796.0</v>
      </c>
      <c r="S5660" s="5">
        <f t="shared" si="8"/>
        <v>1</v>
      </c>
    </row>
    <row r="5661">
      <c r="A5661" s="2" t="s">
        <v>5660</v>
      </c>
      <c r="B5661" s="2">
        <v>2428.0</v>
      </c>
      <c r="C5661" s="2">
        <v>28359.0</v>
      </c>
      <c r="D5661" s="2">
        <v>9157.0</v>
      </c>
      <c r="E5661" s="3">
        <f t="shared" si="1"/>
        <v>0.3531294589</v>
      </c>
      <c r="F5661" s="2">
        <v>3116.0</v>
      </c>
      <c r="G5661" s="3">
        <f t="shared" si="2"/>
        <v>0.1201650534</v>
      </c>
      <c r="H5661" s="2">
        <v>5790.0</v>
      </c>
      <c r="I5661" s="3">
        <f t="shared" si="3"/>
        <v>0.2232848714</v>
      </c>
      <c r="J5661" s="2">
        <v>4923.0</v>
      </c>
      <c r="K5661" s="3">
        <f t="shared" si="4"/>
        <v>0.1898499865</v>
      </c>
      <c r="L5661" s="2">
        <v>3487.0</v>
      </c>
      <c r="M5661" s="3">
        <f t="shared" si="5"/>
        <v>0.6022452504</v>
      </c>
      <c r="N5661" s="2">
        <v>3.27682E7</v>
      </c>
      <c r="O5661" s="4">
        <f t="shared" si="6"/>
        <v>5659.447323</v>
      </c>
      <c r="P5661" s="2">
        <v>5.0</v>
      </c>
      <c r="Q5661" s="3">
        <f t="shared" si="7"/>
        <v>0.002059308072</v>
      </c>
      <c r="R5661" s="2">
        <v>2428.0</v>
      </c>
      <c r="S5661" s="5">
        <f t="shared" si="8"/>
        <v>1</v>
      </c>
    </row>
    <row r="5662">
      <c r="A5662" s="2" t="s">
        <v>5661</v>
      </c>
      <c r="B5662" s="2">
        <v>352.0</v>
      </c>
      <c r="C5662" s="2">
        <v>4072.0</v>
      </c>
      <c r="D5662" s="2">
        <v>1322.0</v>
      </c>
      <c r="E5662" s="3">
        <f t="shared" si="1"/>
        <v>0.3553763441</v>
      </c>
      <c r="F5662" s="2">
        <v>447.0</v>
      </c>
      <c r="G5662" s="3">
        <f t="shared" si="2"/>
        <v>0.1201612903</v>
      </c>
      <c r="H5662" s="2">
        <v>782.0</v>
      </c>
      <c r="I5662" s="3">
        <f t="shared" si="3"/>
        <v>0.2102150538</v>
      </c>
      <c r="J5662" s="2">
        <v>496.0</v>
      </c>
      <c r="K5662" s="3">
        <f t="shared" si="4"/>
        <v>0.1333333333</v>
      </c>
      <c r="L5662" s="2">
        <v>477.0</v>
      </c>
      <c r="M5662" s="3">
        <f t="shared" si="5"/>
        <v>0.6099744246</v>
      </c>
      <c r="N5662" s="2">
        <v>3991900.0</v>
      </c>
      <c r="O5662" s="4">
        <f t="shared" si="6"/>
        <v>5104.731458</v>
      </c>
      <c r="P5662" s="2">
        <v>0.0</v>
      </c>
      <c r="Q5662" s="3">
        <f t="shared" si="7"/>
        <v>0</v>
      </c>
      <c r="R5662" s="2">
        <v>352.0</v>
      </c>
      <c r="S5662" s="5">
        <f t="shared" si="8"/>
        <v>1</v>
      </c>
    </row>
    <row r="5663">
      <c r="A5663" s="2" t="s">
        <v>5662</v>
      </c>
      <c r="B5663" s="2">
        <v>25.0</v>
      </c>
      <c r="C5663" s="2">
        <v>283.0</v>
      </c>
      <c r="D5663" s="2">
        <v>89.0</v>
      </c>
      <c r="E5663" s="3">
        <f t="shared" si="1"/>
        <v>0.3449612403</v>
      </c>
      <c r="F5663" s="2">
        <v>31.0</v>
      </c>
      <c r="G5663" s="3">
        <f t="shared" si="2"/>
        <v>0.1201550388</v>
      </c>
      <c r="H5663" s="2">
        <v>56.0</v>
      </c>
      <c r="I5663" s="3">
        <f t="shared" si="3"/>
        <v>0.2170542636</v>
      </c>
      <c r="J5663" s="2">
        <v>29.0</v>
      </c>
      <c r="K5663" s="3">
        <f t="shared" si="4"/>
        <v>0.1124031008</v>
      </c>
      <c r="L5663" s="2">
        <v>32.0</v>
      </c>
      <c r="M5663" s="3">
        <f t="shared" si="5"/>
        <v>0.5714285714</v>
      </c>
      <c r="N5663" s="2">
        <v>363400.0</v>
      </c>
      <c r="O5663" s="4">
        <f t="shared" si="6"/>
        <v>6489.285714</v>
      </c>
      <c r="P5663" s="2">
        <v>0.0</v>
      </c>
      <c r="Q5663" s="3">
        <f t="shared" si="7"/>
        <v>0</v>
      </c>
      <c r="R5663" s="2">
        <v>0.0</v>
      </c>
      <c r="S5663" s="5">
        <f t="shared" si="8"/>
        <v>0</v>
      </c>
    </row>
    <row r="5664">
      <c r="A5664" s="2" t="s">
        <v>5663</v>
      </c>
      <c r="B5664" s="2">
        <v>1002.0</v>
      </c>
      <c r="C5664" s="2">
        <v>11897.0</v>
      </c>
      <c r="D5664" s="2">
        <v>3844.0</v>
      </c>
      <c r="E5664" s="3">
        <f t="shared" si="1"/>
        <v>0.3528223956</v>
      </c>
      <c r="F5664" s="2">
        <v>1309.0</v>
      </c>
      <c r="G5664" s="3">
        <f t="shared" si="2"/>
        <v>0.1201468564</v>
      </c>
      <c r="H5664" s="2">
        <v>2334.0</v>
      </c>
      <c r="I5664" s="3">
        <f t="shared" si="3"/>
        <v>0.2142267095</v>
      </c>
      <c r="J5664" s="2">
        <v>2005.0</v>
      </c>
      <c r="K5664" s="3">
        <f t="shared" si="4"/>
        <v>0.1840293713</v>
      </c>
      <c r="L5664" s="2">
        <v>1405.0</v>
      </c>
      <c r="M5664" s="3">
        <f t="shared" si="5"/>
        <v>0.6019708655</v>
      </c>
      <c r="N5664" s="2">
        <v>1.28836E7</v>
      </c>
      <c r="O5664" s="4">
        <f t="shared" si="6"/>
        <v>5519.965724</v>
      </c>
      <c r="P5664" s="2">
        <v>2.0</v>
      </c>
      <c r="Q5664" s="3">
        <f t="shared" si="7"/>
        <v>0.001996007984</v>
      </c>
      <c r="R5664" s="2">
        <v>1002.0</v>
      </c>
      <c r="S5664" s="5">
        <f t="shared" si="8"/>
        <v>1</v>
      </c>
    </row>
    <row r="5665">
      <c r="A5665" s="2" t="s">
        <v>5664</v>
      </c>
      <c r="B5665" s="2">
        <v>419.0</v>
      </c>
      <c r="C5665" s="2">
        <v>4897.0</v>
      </c>
      <c r="D5665" s="2">
        <v>1636.0</v>
      </c>
      <c r="E5665" s="3">
        <f t="shared" si="1"/>
        <v>0.3653416704</v>
      </c>
      <c r="F5665" s="2">
        <v>538.0</v>
      </c>
      <c r="G5665" s="3">
        <f t="shared" si="2"/>
        <v>0.1201429209</v>
      </c>
      <c r="H5665" s="2">
        <v>1050.0</v>
      </c>
      <c r="I5665" s="3">
        <f t="shared" si="3"/>
        <v>0.2344796784</v>
      </c>
      <c r="J5665" s="2">
        <v>746.0</v>
      </c>
      <c r="K5665" s="3">
        <f t="shared" si="4"/>
        <v>0.1665922287</v>
      </c>
      <c r="L5665" s="2">
        <v>623.0</v>
      </c>
      <c r="M5665" s="3">
        <f t="shared" si="5"/>
        <v>0.5933333333</v>
      </c>
      <c r="N5665" s="2">
        <v>5421200.0</v>
      </c>
      <c r="O5665" s="4">
        <f t="shared" si="6"/>
        <v>5163.047619</v>
      </c>
      <c r="P5665" s="2">
        <v>3.0</v>
      </c>
      <c r="Q5665" s="3">
        <f t="shared" si="7"/>
        <v>0.007159904535</v>
      </c>
      <c r="R5665" s="2">
        <v>419.0</v>
      </c>
      <c r="S5665" s="5">
        <f t="shared" si="8"/>
        <v>1</v>
      </c>
    </row>
    <row r="5666">
      <c r="A5666" s="2" t="s">
        <v>5665</v>
      </c>
      <c r="B5666" s="2">
        <v>158.0</v>
      </c>
      <c r="C5666" s="2">
        <v>1856.0</v>
      </c>
      <c r="D5666" s="2">
        <v>498.0</v>
      </c>
      <c r="E5666" s="3">
        <f t="shared" si="1"/>
        <v>0.2932862191</v>
      </c>
      <c r="F5666" s="2">
        <v>204.0</v>
      </c>
      <c r="G5666" s="3">
        <f t="shared" si="2"/>
        <v>0.1201413428</v>
      </c>
      <c r="H5666" s="2">
        <v>328.0</v>
      </c>
      <c r="I5666" s="3">
        <f t="shared" si="3"/>
        <v>0.1931684335</v>
      </c>
      <c r="J5666" s="2">
        <v>289.0</v>
      </c>
      <c r="K5666" s="3">
        <f t="shared" si="4"/>
        <v>0.1702002356</v>
      </c>
      <c r="L5666" s="2">
        <v>200.0</v>
      </c>
      <c r="M5666" s="3">
        <f t="shared" si="5"/>
        <v>0.6097560976</v>
      </c>
      <c r="N5666" s="2">
        <v>1949400.0</v>
      </c>
      <c r="O5666" s="4">
        <f t="shared" si="6"/>
        <v>5943.292683</v>
      </c>
      <c r="P5666" s="2">
        <v>0.0</v>
      </c>
      <c r="Q5666" s="3">
        <f t="shared" si="7"/>
        <v>0</v>
      </c>
      <c r="R5666" s="2">
        <v>158.0</v>
      </c>
      <c r="S5666" s="5">
        <f t="shared" si="8"/>
        <v>1</v>
      </c>
    </row>
    <row r="5667">
      <c r="A5667" s="2" t="s">
        <v>5666</v>
      </c>
      <c r="B5667" s="2">
        <v>731.0</v>
      </c>
      <c r="C5667" s="2">
        <v>8547.0</v>
      </c>
      <c r="D5667" s="2">
        <v>2199.0</v>
      </c>
      <c r="E5667" s="3">
        <f t="shared" si="1"/>
        <v>0.281345957</v>
      </c>
      <c r="F5667" s="2">
        <v>939.0</v>
      </c>
      <c r="G5667" s="3">
        <f t="shared" si="2"/>
        <v>0.1201381781</v>
      </c>
      <c r="H5667" s="2">
        <v>1326.0</v>
      </c>
      <c r="I5667" s="3">
        <f t="shared" si="3"/>
        <v>0.1696519959</v>
      </c>
      <c r="J5667" s="2">
        <v>1344.0</v>
      </c>
      <c r="K5667" s="3">
        <f t="shared" si="4"/>
        <v>0.1719549642</v>
      </c>
      <c r="L5667" s="2">
        <v>773.0</v>
      </c>
      <c r="M5667" s="3">
        <f t="shared" si="5"/>
        <v>0.5829562594</v>
      </c>
      <c r="N5667" s="2">
        <v>8543800.0</v>
      </c>
      <c r="O5667" s="4">
        <f t="shared" si="6"/>
        <v>6443.288084</v>
      </c>
      <c r="P5667" s="2">
        <v>3.0</v>
      </c>
      <c r="Q5667" s="3">
        <f t="shared" si="7"/>
        <v>0.004103967168</v>
      </c>
      <c r="R5667" s="2">
        <v>731.0</v>
      </c>
      <c r="S5667" s="5">
        <f t="shared" si="8"/>
        <v>1</v>
      </c>
    </row>
    <row r="5668">
      <c r="A5668" s="2" t="s">
        <v>5667</v>
      </c>
      <c r="B5668" s="2">
        <v>219.0</v>
      </c>
      <c r="C5668" s="2">
        <v>2558.0</v>
      </c>
      <c r="D5668" s="2">
        <v>880.0</v>
      </c>
      <c r="E5668" s="3">
        <f t="shared" si="1"/>
        <v>0.3762291578</v>
      </c>
      <c r="F5668" s="2">
        <v>281.0</v>
      </c>
      <c r="G5668" s="3">
        <f t="shared" si="2"/>
        <v>0.1201368106</v>
      </c>
      <c r="H5668" s="2">
        <v>541.0</v>
      </c>
      <c r="I5668" s="3">
        <f t="shared" si="3"/>
        <v>0.2312954254</v>
      </c>
      <c r="J5668" s="2">
        <v>444.0</v>
      </c>
      <c r="K5668" s="3">
        <f t="shared" si="4"/>
        <v>0.1898247114</v>
      </c>
      <c r="L5668" s="2">
        <v>310.0</v>
      </c>
      <c r="M5668" s="3">
        <f t="shared" si="5"/>
        <v>0.573012939</v>
      </c>
      <c r="N5668" s="2">
        <v>3042600.0</v>
      </c>
      <c r="O5668" s="4">
        <f t="shared" si="6"/>
        <v>5624.029575</v>
      </c>
      <c r="P5668" s="2">
        <v>0.0</v>
      </c>
      <c r="Q5668" s="3">
        <f t="shared" si="7"/>
        <v>0</v>
      </c>
      <c r="R5668" s="2">
        <v>219.0</v>
      </c>
      <c r="S5668" s="5">
        <f t="shared" si="8"/>
        <v>1</v>
      </c>
    </row>
    <row r="5669">
      <c r="A5669" s="2" t="s">
        <v>5668</v>
      </c>
      <c r="B5669" s="2">
        <v>502.0</v>
      </c>
      <c r="C5669" s="2">
        <v>5846.0</v>
      </c>
      <c r="D5669" s="2">
        <v>1890.0</v>
      </c>
      <c r="E5669" s="3">
        <f t="shared" si="1"/>
        <v>0.3536676647</v>
      </c>
      <c r="F5669" s="2">
        <v>642.0</v>
      </c>
      <c r="G5669" s="3">
        <f t="shared" si="2"/>
        <v>0.1201347305</v>
      </c>
      <c r="H5669" s="2">
        <v>1141.0</v>
      </c>
      <c r="I5669" s="3">
        <f t="shared" si="3"/>
        <v>0.213510479</v>
      </c>
      <c r="J5669" s="2">
        <v>988.0</v>
      </c>
      <c r="K5669" s="3">
        <f t="shared" si="4"/>
        <v>0.1848802395</v>
      </c>
      <c r="L5669" s="2">
        <v>673.0</v>
      </c>
      <c r="M5669" s="3">
        <f t="shared" si="5"/>
        <v>0.5898334794</v>
      </c>
      <c r="N5669" s="2">
        <v>6157600.0</v>
      </c>
      <c r="O5669" s="4">
        <f t="shared" si="6"/>
        <v>5396.669588</v>
      </c>
      <c r="P5669" s="2">
        <v>0.0</v>
      </c>
      <c r="Q5669" s="3">
        <f t="shared" si="7"/>
        <v>0</v>
      </c>
      <c r="R5669" s="2">
        <v>475.0</v>
      </c>
      <c r="S5669" s="5">
        <f t="shared" si="8"/>
        <v>0.9462151394</v>
      </c>
    </row>
    <row r="5670">
      <c r="A5670" s="2" t="s">
        <v>5669</v>
      </c>
      <c r="B5670" s="2">
        <v>1362.0</v>
      </c>
      <c r="C5670" s="2">
        <v>15938.0</v>
      </c>
      <c r="D5670" s="2">
        <v>5417.0</v>
      </c>
      <c r="E5670" s="3">
        <f t="shared" si="1"/>
        <v>0.3716383095</v>
      </c>
      <c r="F5670" s="2">
        <v>1751.0</v>
      </c>
      <c r="G5670" s="3">
        <f t="shared" si="2"/>
        <v>0.1201289791</v>
      </c>
      <c r="H5670" s="2">
        <v>3064.0</v>
      </c>
      <c r="I5670" s="3">
        <f t="shared" si="3"/>
        <v>0.210208562</v>
      </c>
      <c r="J5670" s="2">
        <v>2528.0</v>
      </c>
      <c r="K5670" s="3">
        <f t="shared" si="4"/>
        <v>0.1734357849</v>
      </c>
      <c r="L5670" s="2">
        <v>1910.0</v>
      </c>
      <c r="M5670" s="3">
        <f t="shared" si="5"/>
        <v>0.6233681462</v>
      </c>
      <c r="N5670" s="2">
        <v>1.71648E7</v>
      </c>
      <c r="O5670" s="4">
        <f t="shared" si="6"/>
        <v>5602.088773</v>
      </c>
      <c r="P5670" s="2">
        <v>1.0</v>
      </c>
      <c r="Q5670" s="3">
        <f t="shared" si="7"/>
        <v>0.0007342143906</v>
      </c>
      <c r="R5670" s="2">
        <v>1362.0</v>
      </c>
      <c r="S5670" s="5">
        <f t="shared" si="8"/>
        <v>1</v>
      </c>
    </row>
    <row r="5671">
      <c r="A5671" s="2" t="s">
        <v>5670</v>
      </c>
      <c r="B5671" s="2">
        <v>2552.0</v>
      </c>
      <c r="C5671" s="2">
        <v>30081.0</v>
      </c>
      <c r="D5671" s="2">
        <v>11404.0</v>
      </c>
      <c r="E5671" s="3">
        <f t="shared" si="1"/>
        <v>0.4142540594</v>
      </c>
      <c r="F5671" s="2">
        <v>3307.0</v>
      </c>
      <c r="G5671" s="3">
        <f t="shared" si="2"/>
        <v>0.1201278652</v>
      </c>
      <c r="H5671" s="2">
        <v>5822.0</v>
      </c>
      <c r="I5671" s="3">
        <f t="shared" si="3"/>
        <v>0.2114860692</v>
      </c>
      <c r="J5671" s="2">
        <v>4395.0</v>
      </c>
      <c r="K5671" s="3">
        <f t="shared" si="4"/>
        <v>0.1596498238</v>
      </c>
      <c r="L5671" s="2">
        <v>3470.0</v>
      </c>
      <c r="M5671" s="3">
        <f t="shared" si="5"/>
        <v>0.5960151151</v>
      </c>
      <c r="N5671" s="2">
        <v>3.08989E7</v>
      </c>
      <c r="O5671" s="4">
        <f t="shared" si="6"/>
        <v>5307.265544</v>
      </c>
      <c r="P5671" s="2">
        <v>8.0</v>
      </c>
      <c r="Q5671" s="3">
        <f t="shared" si="7"/>
        <v>0.003134796238</v>
      </c>
      <c r="R5671" s="2">
        <v>30.0</v>
      </c>
      <c r="S5671" s="5">
        <f t="shared" si="8"/>
        <v>0.01175548589</v>
      </c>
    </row>
    <row r="5672">
      <c r="A5672" s="2" t="s">
        <v>5671</v>
      </c>
      <c r="B5672" s="2">
        <v>124.0</v>
      </c>
      <c r="C5672" s="2">
        <v>1481.0</v>
      </c>
      <c r="D5672" s="2">
        <v>587.0</v>
      </c>
      <c r="E5672" s="3">
        <f t="shared" si="1"/>
        <v>0.4325718497</v>
      </c>
      <c r="F5672" s="2">
        <v>163.0</v>
      </c>
      <c r="G5672" s="3">
        <f t="shared" si="2"/>
        <v>0.1201179071</v>
      </c>
      <c r="H5672" s="2">
        <v>299.0</v>
      </c>
      <c r="I5672" s="3">
        <f t="shared" si="3"/>
        <v>0.2203389831</v>
      </c>
      <c r="J5672" s="2">
        <v>178.0</v>
      </c>
      <c r="K5672" s="3">
        <f t="shared" si="4"/>
        <v>0.1311717023</v>
      </c>
      <c r="L5672" s="2">
        <v>197.0</v>
      </c>
      <c r="M5672" s="3">
        <f t="shared" si="5"/>
        <v>0.6588628763</v>
      </c>
      <c r="N5672" s="2">
        <v>1603300.0</v>
      </c>
      <c r="O5672" s="4">
        <f t="shared" si="6"/>
        <v>5362.207358</v>
      </c>
      <c r="P5672" s="2">
        <v>0.0</v>
      </c>
      <c r="Q5672" s="3">
        <f t="shared" si="7"/>
        <v>0</v>
      </c>
      <c r="R5672" s="2">
        <v>124.0</v>
      </c>
      <c r="S5672" s="5">
        <f t="shared" si="8"/>
        <v>1</v>
      </c>
    </row>
    <row r="5673">
      <c r="A5673" s="2" t="s">
        <v>5672</v>
      </c>
      <c r="B5673" s="2">
        <v>295.0</v>
      </c>
      <c r="C5673" s="2">
        <v>3417.0</v>
      </c>
      <c r="D5673" s="2">
        <v>1106.0</v>
      </c>
      <c r="E5673" s="3">
        <f t="shared" si="1"/>
        <v>0.3542600897</v>
      </c>
      <c r="F5673" s="2">
        <v>375.0</v>
      </c>
      <c r="G5673" s="3">
        <f t="shared" si="2"/>
        <v>0.1201153107</v>
      </c>
      <c r="H5673" s="2">
        <v>673.0</v>
      </c>
      <c r="I5673" s="3">
        <f t="shared" si="3"/>
        <v>0.2155669443</v>
      </c>
      <c r="J5673" s="2">
        <v>573.0</v>
      </c>
      <c r="K5673" s="3">
        <f t="shared" si="4"/>
        <v>0.1835361947</v>
      </c>
      <c r="L5673" s="2">
        <v>406.0</v>
      </c>
      <c r="M5673" s="3">
        <f t="shared" si="5"/>
        <v>0.603268945</v>
      </c>
      <c r="N5673" s="2">
        <v>3371800.0</v>
      </c>
      <c r="O5673" s="4">
        <f t="shared" si="6"/>
        <v>5010.104012</v>
      </c>
      <c r="P5673" s="2">
        <v>0.0</v>
      </c>
      <c r="Q5673" s="3">
        <f t="shared" si="7"/>
        <v>0</v>
      </c>
      <c r="R5673" s="2">
        <v>0.0</v>
      </c>
      <c r="S5673" s="5">
        <f t="shared" si="8"/>
        <v>0</v>
      </c>
    </row>
    <row r="5674">
      <c r="A5674" s="2" t="s">
        <v>5673</v>
      </c>
      <c r="B5674" s="2">
        <v>197.0</v>
      </c>
      <c r="C5674" s="2">
        <v>2295.0</v>
      </c>
      <c r="D5674" s="2">
        <v>689.0</v>
      </c>
      <c r="E5674" s="3">
        <f t="shared" si="1"/>
        <v>0.3284080076</v>
      </c>
      <c r="F5674" s="2">
        <v>252.0</v>
      </c>
      <c r="G5674" s="3">
        <f t="shared" si="2"/>
        <v>0.1201143947</v>
      </c>
      <c r="H5674" s="2">
        <v>413.0</v>
      </c>
      <c r="I5674" s="3">
        <f t="shared" si="3"/>
        <v>0.1968541468</v>
      </c>
      <c r="J5674" s="2">
        <v>383.0</v>
      </c>
      <c r="K5674" s="3">
        <f t="shared" si="4"/>
        <v>0.1825548141</v>
      </c>
      <c r="L5674" s="2">
        <v>250.0</v>
      </c>
      <c r="M5674" s="3">
        <f t="shared" si="5"/>
        <v>0.6053268765</v>
      </c>
      <c r="N5674" s="2">
        <v>2458000.0</v>
      </c>
      <c r="O5674" s="4">
        <f t="shared" si="6"/>
        <v>5951.57385</v>
      </c>
      <c r="P5674" s="2">
        <v>1.0</v>
      </c>
      <c r="Q5674" s="3">
        <f t="shared" si="7"/>
        <v>0.005076142132</v>
      </c>
      <c r="R5674" s="2">
        <v>197.0</v>
      </c>
      <c r="S5674" s="5">
        <f t="shared" si="8"/>
        <v>1</v>
      </c>
    </row>
    <row r="5675">
      <c r="A5675" s="2" t="s">
        <v>5674</v>
      </c>
      <c r="B5675" s="2">
        <v>313.0</v>
      </c>
      <c r="C5675" s="2">
        <v>3660.0</v>
      </c>
      <c r="D5675" s="2">
        <v>1153.0</v>
      </c>
      <c r="E5675" s="3">
        <f t="shared" si="1"/>
        <v>0.3444876008</v>
      </c>
      <c r="F5675" s="2">
        <v>402.0</v>
      </c>
      <c r="G5675" s="3">
        <f t="shared" si="2"/>
        <v>0.120107559</v>
      </c>
      <c r="H5675" s="2">
        <v>785.0</v>
      </c>
      <c r="I5675" s="3">
        <f t="shared" si="3"/>
        <v>0.2345383926</v>
      </c>
      <c r="J5675" s="2">
        <v>647.0</v>
      </c>
      <c r="K5675" s="3">
        <f t="shared" si="4"/>
        <v>0.1933074395</v>
      </c>
      <c r="L5675" s="2">
        <v>470.0</v>
      </c>
      <c r="M5675" s="3">
        <f t="shared" si="5"/>
        <v>0.5987261146</v>
      </c>
      <c r="N5675" s="2">
        <v>4218700.0</v>
      </c>
      <c r="O5675" s="4">
        <f t="shared" si="6"/>
        <v>5374.140127</v>
      </c>
      <c r="P5675" s="2">
        <v>1.0</v>
      </c>
      <c r="Q5675" s="3">
        <f t="shared" si="7"/>
        <v>0.003194888179</v>
      </c>
      <c r="R5675" s="2">
        <v>313.0</v>
      </c>
      <c r="S5675" s="5">
        <f t="shared" si="8"/>
        <v>1</v>
      </c>
    </row>
    <row r="5676">
      <c r="A5676" s="2" t="s">
        <v>5675</v>
      </c>
      <c r="B5676" s="2">
        <v>240.0</v>
      </c>
      <c r="C5676" s="2">
        <v>2846.0</v>
      </c>
      <c r="D5676" s="2">
        <v>942.0</v>
      </c>
      <c r="E5676" s="3">
        <f t="shared" si="1"/>
        <v>0.3614735226</v>
      </c>
      <c r="F5676" s="2">
        <v>313.0</v>
      </c>
      <c r="G5676" s="3">
        <f t="shared" si="2"/>
        <v>0.1201074444</v>
      </c>
      <c r="H5676" s="2">
        <v>556.0</v>
      </c>
      <c r="I5676" s="3">
        <f t="shared" si="3"/>
        <v>0.2133537989</v>
      </c>
      <c r="J5676" s="2">
        <v>408.0</v>
      </c>
      <c r="K5676" s="3">
        <f t="shared" si="4"/>
        <v>0.1565617805</v>
      </c>
      <c r="L5676" s="2">
        <v>342.0</v>
      </c>
      <c r="M5676" s="3">
        <f t="shared" si="5"/>
        <v>0.6151079137</v>
      </c>
      <c r="N5676" s="2">
        <v>2917800.0</v>
      </c>
      <c r="O5676" s="4">
        <f t="shared" si="6"/>
        <v>5247.841727</v>
      </c>
      <c r="P5676" s="2">
        <v>0.0</v>
      </c>
      <c r="Q5676" s="3">
        <f t="shared" si="7"/>
        <v>0</v>
      </c>
      <c r="R5676" s="2">
        <v>240.0</v>
      </c>
      <c r="S5676" s="5">
        <f t="shared" si="8"/>
        <v>1</v>
      </c>
    </row>
    <row r="5677">
      <c r="A5677" s="2" t="s">
        <v>5676</v>
      </c>
      <c r="B5677" s="2">
        <v>1302.0</v>
      </c>
      <c r="C5677" s="2">
        <v>15107.0</v>
      </c>
      <c r="D5677" s="2">
        <v>4985.0</v>
      </c>
      <c r="E5677" s="3">
        <f t="shared" si="1"/>
        <v>0.3611010503</v>
      </c>
      <c r="F5677" s="2">
        <v>1658.0</v>
      </c>
      <c r="G5677" s="3">
        <f t="shared" si="2"/>
        <v>0.1201014125</v>
      </c>
      <c r="H5677" s="2">
        <v>2938.0</v>
      </c>
      <c r="I5677" s="3">
        <f t="shared" si="3"/>
        <v>0.2128214415</v>
      </c>
      <c r="J5677" s="2">
        <v>2198.0</v>
      </c>
      <c r="K5677" s="3">
        <f t="shared" si="4"/>
        <v>0.1592176748</v>
      </c>
      <c r="L5677" s="2">
        <v>1743.0</v>
      </c>
      <c r="M5677" s="3">
        <f t="shared" si="5"/>
        <v>0.5932607216</v>
      </c>
      <c r="N5677" s="2">
        <v>1.7152E7</v>
      </c>
      <c r="O5677" s="4">
        <f t="shared" si="6"/>
        <v>5837.985024</v>
      </c>
      <c r="P5677" s="2">
        <v>3.0</v>
      </c>
      <c r="Q5677" s="3">
        <f t="shared" si="7"/>
        <v>0.002304147465</v>
      </c>
      <c r="R5677" s="2">
        <v>1302.0</v>
      </c>
      <c r="S5677" s="5">
        <f t="shared" si="8"/>
        <v>1</v>
      </c>
    </row>
    <row r="5678">
      <c r="A5678" s="2" t="s">
        <v>5677</v>
      </c>
      <c r="B5678" s="2">
        <v>496.0</v>
      </c>
      <c r="C5678" s="2">
        <v>5817.0</v>
      </c>
      <c r="D5678" s="2">
        <v>1596.0</v>
      </c>
      <c r="E5678" s="3">
        <f t="shared" si="1"/>
        <v>0.2999436196</v>
      </c>
      <c r="F5678" s="2">
        <v>639.0</v>
      </c>
      <c r="G5678" s="3">
        <f t="shared" si="2"/>
        <v>0.1200902086</v>
      </c>
      <c r="H5678" s="2">
        <v>1054.0</v>
      </c>
      <c r="I5678" s="3">
        <f t="shared" si="3"/>
        <v>0.1980830671</v>
      </c>
      <c r="J5678" s="2">
        <v>774.0</v>
      </c>
      <c r="K5678" s="3">
        <f t="shared" si="4"/>
        <v>0.1454613794</v>
      </c>
      <c r="L5678" s="2">
        <v>625.0</v>
      </c>
      <c r="M5678" s="3">
        <f t="shared" si="5"/>
        <v>0.5929791271</v>
      </c>
      <c r="N5678" s="2">
        <v>6140000.0</v>
      </c>
      <c r="O5678" s="4">
        <f t="shared" si="6"/>
        <v>5825.426945</v>
      </c>
      <c r="P5678" s="2">
        <v>0.0</v>
      </c>
      <c r="Q5678" s="3">
        <f t="shared" si="7"/>
        <v>0</v>
      </c>
      <c r="R5678" s="2">
        <v>496.0</v>
      </c>
      <c r="S5678" s="5">
        <f t="shared" si="8"/>
        <v>1</v>
      </c>
    </row>
    <row r="5679">
      <c r="A5679" s="2" t="s">
        <v>5678</v>
      </c>
      <c r="B5679" s="2">
        <v>1015.0</v>
      </c>
      <c r="C5679" s="2">
        <v>11932.0</v>
      </c>
      <c r="D5679" s="2">
        <v>3898.0</v>
      </c>
      <c r="E5679" s="3">
        <f t="shared" si="1"/>
        <v>0.3570577998</v>
      </c>
      <c r="F5679" s="2">
        <v>1311.0</v>
      </c>
      <c r="G5679" s="3">
        <f t="shared" si="2"/>
        <v>0.1200879362</v>
      </c>
      <c r="H5679" s="2">
        <v>2341.0</v>
      </c>
      <c r="I5679" s="3">
        <f t="shared" si="3"/>
        <v>0.2144362004</v>
      </c>
      <c r="J5679" s="2">
        <v>1547.0</v>
      </c>
      <c r="K5679" s="3">
        <f t="shared" si="4"/>
        <v>0.1417055968</v>
      </c>
      <c r="L5679" s="2">
        <v>1416.0</v>
      </c>
      <c r="M5679" s="3">
        <f t="shared" si="5"/>
        <v>0.6048697138</v>
      </c>
      <c r="N5679" s="2">
        <v>1.23991E7</v>
      </c>
      <c r="O5679" s="4">
        <f t="shared" si="6"/>
        <v>5296.497223</v>
      </c>
      <c r="P5679" s="2">
        <v>1.0</v>
      </c>
      <c r="Q5679" s="3">
        <f t="shared" si="7"/>
        <v>0.0009852216749</v>
      </c>
      <c r="R5679" s="2">
        <v>1015.0</v>
      </c>
      <c r="S5679" s="5">
        <f t="shared" si="8"/>
        <v>1</v>
      </c>
    </row>
    <row r="5680">
      <c r="A5680" s="2" t="s">
        <v>5679</v>
      </c>
      <c r="B5680" s="2">
        <v>1273.0</v>
      </c>
      <c r="C5680" s="2">
        <v>14897.0</v>
      </c>
      <c r="D5680" s="2">
        <v>4135.0</v>
      </c>
      <c r="E5680" s="3">
        <f t="shared" si="1"/>
        <v>0.3035085144</v>
      </c>
      <c r="F5680" s="2">
        <v>1636.0</v>
      </c>
      <c r="G5680" s="3">
        <f t="shared" si="2"/>
        <v>0.1200822079</v>
      </c>
      <c r="H5680" s="2">
        <v>2894.0</v>
      </c>
      <c r="I5680" s="3">
        <f t="shared" si="3"/>
        <v>0.2124192601</v>
      </c>
      <c r="J5680" s="2">
        <v>2214.0</v>
      </c>
      <c r="K5680" s="3">
        <f t="shared" si="4"/>
        <v>0.16250734</v>
      </c>
      <c r="L5680" s="2">
        <v>1739.0</v>
      </c>
      <c r="M5680" s="3">
        <f t="shared" si="5"/>
        <v>0.6008984105</v>
      </c>
      <c r="N5680" s="2">
        <v>1.59028E7</v>
      </c>
      <c r="O5680" s="4">
        <f t="shared" si="6"/>
        <v>5495.093296</v>
      </c>
      <c r="P5680" s="2">
        <v>6.0</v>
      </c>
      <c r="Q5680" s="3">
        <f t="shared" si="7"/>
        <v>0.004713275727</v>
      </c>
      <c r="R5680" s="2">
        <v>1273.0</v>
      </c>
      <c r="S5680" s="5">
        <f t="shared" si="8"/>
        <v>1</v>
      </c>
    </row>
    <row r="5681">
      <c r="A5681" s="2" t="s">
        <v>5680</v>
      </c>
      <c r="B5681" s="2">
        <v>147.0</v>
      </c>
      <c r="C5681" s="2">
        <v>1696.0</v>
      </c>
      <c r="D5681" s="2">
        <v>461.0</v>
      </c>
      <c r="E5681" s="3">
        <f t="shared" si="1"/>
        <v>0.2976113622</v>
      </c>
      <c r="F5681" s="2">
        <v>186.0</v>
      </c>
      <c r="G5681" s="3">
        <f t="shared" si="2"/>
        <v>0.1200774693</v>
      </c>
      <c r="H5681" s="2">
        <v>268.0</v>
      </c>
      <c r="I5681" s="3">
        <f t="shared" si="3"/>
        <v>0.1730148483</v>
      </c>
      <c r="J5681" s="2">
        <v>287.0</v>
      </c>
      <c r="K5681" s="3">
        <f t="shared" si="4"/>
        <v>0.1852808263</v>
      </c>
      <c r="L5681" s="2">
        <v>164.0</v>
      </c>
      <c r="M5681" s="3">
        <f t="shared" si="5"/>
        <v>0.6119402985</v>
      </c>
      <c r="N5681" s="2">
        <v>1638700.0</v>
      </c>
      <c r="O5681" s="4">
        <f t="shared" si="6"/>
        <v>6114.552239</v>
      </c>
      <c r="P5681" s="2">
        <v>0.0</v>
      </c>
      <c r="Q5681" s="3">
        <f t="shared" si="7"/>
        <v>0</v>
      </c>
      <c r="R5681" s="2">
        <v>147.0</v>
      </c>
      <c r="S5681" s="5">
        <f t="shared" si="8"/>
        <v>1</v>
      </c>
    </row>
    <row r="5682">
      <c r="A5682" s="2" t="s">
        <v>5681</v>
      </c>
      <c r="B5682" s="2">
        <v>425.0</v>
      </c>
      <c r="C5682" s="2">
        <v>4989.0</v>
      </c>
      <c r="D5682" s="2">
        <v>1423.0</v>
      </c>
      <c r="E5682" s="3">
        <f t="shared" si="1"/>
        <v>0.3117879053</v>
      </c>
      <c r="F5682" s="2">
        <v>548.0</v>
      </c>
      <c r="G5682" s="3">
        <f t="shared" si="2"/>
        <v>0.1200701139</v>
      </c>
      <c r="H5682" s="2">
        <v>951.0</v>
      </c>
      <c r="I5682" s="3">
        <f t="shared" si="3"/>
        <v>0.208369851</v>
      </c>
      <c r="J5682" s="2">
        <v>772.0</v>
      </c>
      <c r="K5682" s="3">
        <f t="shared" si="4"/>
        <v>0.1691498685</v>
      </c>
      <c r="L5682" s="2">
        <v>591.0</v>
      </c>
      <c r="M5682" s="3">
        <f t="shared" si="5"/>
        <v>0.6214511041</v>
      </c>
      <c r="N5682" s="2">
        <v>5094800.0</v>
      </c>
      <c r="O5682" s="4">
        <f t="shared" si="6"/>
        <v>5357.308097</v>
      </c>
      <c r="P5682" s="2">
        <v>2.0</v>
      </c>
      <c r="Q5682" s="3">
        <f t="shared" si="7"/>
        <v>0.004705882353</v>
      </c>
      <c r="R5682" s="2">
        <v>0.0</v>
      </c>
      <c r="S5682" s="5">
        <f t="shared" si="8"/>
        <v>0</v>
      </c>
    </row>
    <row r="5683">
      <c r="A5683" s="2" t="s">
        <v>5682</v>
      </c>
      <c r="B5683" s="2">
        <v>229.0</v>
      </c>
      <c r="C5683" s="2">
        <v>2686.0</v>
      </c>
      <c r="D5683" s="2">
        <v>819.0</v>
      </c>
      <c r="E5683" s="3">
        <f t="shared" si="1"/>
        <v>0.3333333333</v>
      </c>
      <c r="F5683" s="2">
        <v>295.0</v>
      </c>
      <c r="G5683" s="3">
        <f t="shared" si="2"/>
        <v>0.1200651201</v>
      </c>
      <c r="H5683" s="2">
        <v>470.0</v>
      </c>
      <c r="I5683" s="3">
        <f t="shared" si="3"/>
        <v>0.1912901913</v>
      </c>
      <c r="J5683" s="2">
        <v>363.0</v>
      </c>
      <c r="K5683" s="3">
        <f t="shared" si="4"/>
        <v>0.1477411477</v>
      </c>
      <c r="L5683" s="2">
        <v>278.0</v>
      </c>
      <c r="M5683" s="3">
        <f t="shared" si="5"/>
        <v>0.5914893617</v>
      </c>
      <c r="N5683" s="2">
        <v>2604400.0</v>
      </c>
      <c r="O5683" s="4">
        <f t="shared" si="6"/>
        <v>5541.276596</v>
      </c>
      <c r="P5683" s="2">
        <v>0.0</v>
      </c>
      <c r="Q5683" s="3">
        <f t="shared" si="7"/>
        <v>0</v>
      </c>
      <c r="R5683" s="2">
        <v>218.0</v>
      </c>
      <c r="S5683" s="5">
        <f t="shared" si="8"/>
        <v>0.9519650655</v>
      </c>
    </row>
    <row r="5684">
      <c r="A5684" s="2" t="s">
        <v>5683</v>
      </c>
      <c r="B5684" s="2">
        <v>168.0</v>
      </c>
      <c r="C5684" s="2">
        <v>2067.0</v>
      </c>
      <c r="D5684" s="2">
        <v>460.0</v>
      </c>
      <c r="E5684" s="3">
        <f t="shared" si="1"/>
        <v>0.2422327541</v>
      </c>
      <c r="F5684" s="2">
        <v>228.0</v>
      </c>
      <c r="G5684" s="3">
        <f t="shared" si="2"/>
        <v>0.1200631912</v>
      </c>
      <c r="H5684" s="2">
        <v>381.0</v>
      </c>
      <c r="I5684" s="3">
        <f t="shared" si="3"/>
        <v>0.2006319115</v>
      </c>
      <c r="J5684" s="2">
        <v>316.0</v>
      </c>
      <c r="K5684" s="3">
        <f t="shared" si="4"/>
        <v>0.1664033702</v>
      </c>
      <c r="L5684" s="2">
        <v>210.0</v>
      </c>
      <c r="M5684" s="3">
        <f t="shared" si="5"/>
        <v>0.5511811024</v>
      </c>
      <c r="N5684" s="2">
        <v>2205200.0</v>
      </c>
      <c r="O5684" s="4">
        <f t="shared" si="6"/>
        <v>5787.926509</v>
      </c>
      <c r="P5684" s="2">
        <v>0.0</v>
      </c>
      <c r="Q5684" s="3">
        <f t="shared" si="7"/>
        <v>0</v>
      </c>
      <c r="R5684" s="2">
        <v>0.0</v>
      </c>
      <c r="S5684" s="5">
        <f t="shared" si="8"/>
        <v>0</v>
      </c>
    </row>
    <row r="5685">
      <c r="A5685" s="2" t="s">
        <v>5684</v>
      </c>
      <c r="B5685" s="2">
        <v>131.0</v>
      </c>
      <c r="C5685" s="2">
        <v>1497.0</v>
      </c>
      <c r="D5685" s="2">
        <v>516.0</v>
      </c>
      <c r="E5685" s="3">
        <f t="shared" si="1"/>
        <v>0.3777452416</v>
      </c>
      <c r="F5685" s="2">
        <v>164.0</v>
      </c>
      <c r="G5685" s="3">
        <f t="shared" si="2"/>
        <v>0.1200585652</v>
      </c>
      <c r="H5685" s="2">
        <v>305.0</v>
      </c>
      <c r="I5685" s="3">
        <f t="shared" si="3"/>
        <v>0.2232796486</v>
      </c>
      <c r="J5685" s="2">
        <v>200.0</v>
      </c>
      <c r="K5685" s="3">
        <f t="shared" si="4"/>
        <v>0.1464128843</v>
      </c>
      <c r="L5685" s="2">
        <v>174.0</v>
      </c>
      <c r="M5685" s="3">
        <f t="shared" si="5"/>
        <v>0.5704918033</v>
      </c>
      <c r="N5685" s="2">
        <v>1828100.0</v>
      </c>
      <c r="O5685" s="4">
        <f t="shared" si="6"/>
        <v>5993.770492</v>
      </c>
      <c r="P5685" s="2">
        <v>0.0</v>
      </c>
      <c r="Q5685" s="3">
        <f t="shared" si="7"/>
        <v>0</v>
      </c>
      <c r="R5685" s="2">
        <v>131.0</v>
      </c>
      <c r="S5685" s="5">
        <f t="shared" si="8"/>
        <v>1</v>
      </c>
    </row>
    <row r="5686">
      <c r="A5686" s="2" t="s">
        <v>5685</v>
      </c>
      <c r="B5686" s="2">
        <v>191.0</v>
      </c>
      <c r="C5686" s="2">
        <v>2265.0</v>
      </c>
      <c r="D5686" s="2">
        <v>633.0</v>
      </c>
      <c r="E5686" s="3">
        <f t="shared" si="1"/>
        <v>0.3052073288</v>
      </c>
      <c r="F5686" s="2">
        <v>249.0</v>
      </c>
      <c r="G5686" s="3">
        <f t="shared" si="2"/>
        <v>0.1200578592</v>
      </c>
      <c r="H5686" s="2">
        <v>402.0</v>
      </c>
      <c r="I5686" s="3">
        <f t="shared" si="3"/>
        <v>0.193828351</v>
      </c>
      <c r="J5686" s="2">
        <v>363.0</v>
      </c>
      <c r="K5686" s="3">
        <f t="shared" si="4"/>
        <v>0.175024108</v>
      </c>
      <c r="L5686" s="2">
        <v>222.0</v>
      </c>
      <c r="M5686" s="3">
        <f t="shared" si="5"/>
        <v>0.552238806</v>
      </c>
      <c r="N5686" s="2">
        <v>2425100.0</v>
      </c>
      <c r="O5686" s="4">
        <f t="shared" si="6"/>
        <v>6032.587065</v>
      </c>
      <c r="P5686" s="2">
        <v>0.0</v>
      </c>
      <c r="Q5686" s="3">
        <f t="shared" si="7"/>
        <v>0</v>
      </c>
      <c r="R5686" s="2">
        <v>0.0</v>
      </c>
      <c r="S5686" s="5">
        <f t="shared" si="8"/>
        <v>0</v>
      </c>
    </row>
    <row r="5687">
      <c r="A5687" s="2" t="s">
        <v>5686</v>
      </c>
      <c r="B5687" s="2">
        <v>1068.0</v>
      </c>
      <c r="C5687" s="2">
        <v>12521.0</v>
      </c>
      <c r="D5687" s="2">
        <v>3993.0</v>
      </c>
      <c r="E5687" s="3">
        <f t="shared" si="1"/>
        <v>0.3486422771</v>
      </c>
      <c r="F5687" s="2">
        <v>1375.0</v>
      </c>
      <c r="G5687" s="3">
        <f t="shared" si="2"/>
        <v>0.1200558806</v>
      </c>
      <c r="H5687" s="2">
        <v>2417.0</v>
      </c>
      <c r="I5687" s="3">
        <f t="shared" si="3"/>
        <v>0.2110364097</v>
      </c>
      <c r="J5687" s="2">
        <v>1723.0</v>
      </c>
      <c r="K5687" s="3">
        <f t="shared" si="4"/>
        <v>0.1504409325</v>
      </c>
      <c r="L5687" s="2">
        <v>1397.0</v>
      </c>
      <c r="M5687" s="3">
        <f t="shared" si="5"/>
        <v>0.5779892429</v>
      </c>
      <c r="N5687" s="2">
        <v>1.29989E7</v>
      </c>
      <c r="O5687" s="4">
        <f t="shared" si="6"/>
        <v>5378.113364</v>
      </c>
      <c r="P5687" s="2">
        <v>2.0</v>
      </c>
      <c r="Q5687" s="3">
        <f t="shared" si="7"/>
        <v>0.001872659176</v>
      </c>
      <c r="R5687" s="2">
        <v>1068.0</v>
      </c>
      <c r="S5687" s="5">
        <f t="shared" si="8"/>
        <v>1</v>
      </c>
    </row>
    <row r="5688">
      <c r="A5688" s="2" t="s">
        <v>5687</v>
      </c>
      <c r="B5688" s="2">
        <v>883.0</v>
      </c>
      <c r="C5688" s="2">
        <v>10362.0</v>
      </c>
      <c r="D5688" s="2">
        <v>2947.0</v>
      </c>
      <c r="E5688" s="3">
        <f t="shared" si="1"/>
        <v>0.310897774</v>
      </c>
      <c r="F5688" s="2">
        <v>1138.0</v>
      </c>
      <c r="G5688" s="3">
        <f t="shared" si="2"/>
        <v>0.1200548581</v>
      </c>
      <c r="H5688" s="2">
        <v>1858.0</v>
      </c>
      <c r="I5688" s="3">
        <f t="shared" si="3"/>
        <v>0.1960122376</v>
      </c>
      <c r="J5688" s="2">
        <v>1464.0</v>
      </c>
      <c r="K5688" s="3">
        <f t="shared" si="4"/>
        <v>0.1544466716</v>
      </c>
      <c r="L5688" s="2">
        <v>1094.0</v>
      </c>
      <c r="M5688" s="3">
        <f t="shared" si="5"/>
        <v>0.5888051668</v>
      </c>
      <c r="N5688" s="2">
        <v>1.13391E7</v>
      </c>
      <c r="O5688" s="4">
        <f t="shared" si="6"/>
        <v>6102.85253</v>
      </c>
      <c r="P5688" s="2">
        <v>0.0</v>
      </c>
      <c r="Q5688" s="3">
        <f t="shared" si="7"/>
        <v>0</v>
      </c>
      <c r="R5688" s="2">
        <v>883.0</v>
      </c>
      <c r="S5688" s="5">
        <f t="shared" si="8"/>
        <v>1</v>
      </c>
    </row>
    <row r="5689">
      <c r="A5689" s="2" t="s">
        <v>5688</v>
      </c>
      <c r="B5689" s="2">
        <v>1354.0</v>
      </c>
      <c r="C5689" s="2">
        <v>15949.0</v>
      </c>
      <c r="D5689" s="2">
        <v>4834.0</v>
      </c>
      <c r="E5689" s="3">
        <f t="shared" si="1"/>
        <v>0.3312093183</v>
      </c>
      <c r="F5689" s="2">
        <v>1752.0</v>
      </c>
      <c r="G5689" s="3">
        <f t="shared" si="2"/>
        <v>0.12004111</v>
      </c>
      <c r="H5689" s="2">
        <v>2917.0</v>
      </c>
      <c r="I5689" s="3">
        <f t="shared" si="3"/>
        <v>0.1998629668</v>
      </c>
      <c r="J5689" s="2">
        <v>2576.0</v>
      </c>
      <c r="K5689" s="3">
        <f t="shared" si="4"/>
        <v>0.176498801</v>
      </c>
      <c r="L5689" s="2">
        <v>1744.0</v>
      </c>
      <c r="M5689" s="3">
        <f t="shared" si="5"/>
        <v>0.5978745286</v>
      </c>
      <c r="N5689" s="2">
        <v>1.67758E7</v>
      </c>
      <c r="O5689" s="4">
        <f t="shared" si="6"/>
        <v>5751.045595</v>
      </c>
      <c r="P5689" s="2">
        <v>4.0</v>
      </c>
      <c r="Q5689" s="3">
        <f t="shared" si="7"/>
        <v>0.002954209749</v>
      </c>
      <c r="R5689" s="2">
        <v>1354.0</v>
      </c>
      <c r="S5689" s="5">
        <f t="shared" si="8"/>
        <v>1</v>
      </c>
    </row>
    <row r="5690">
      <c r="A5690" s="2" t="s">
        <v>5689</v>
      </c>
      <c r="B5690" s="2">
        <v>3756.0</v>
      </c>
      <c r="C5690" s="2">
        <v>44452.0</v>
      </c>
      <c r="D5690" s="2">
        <v>16858.0</v>
      </c>
      <c r="E5690" s="3">
        <f t="shared" si="1"/>
        <v>0.414242186</v>
      </c>
      <c r="F5690" s="2">
        <v>4885.0</v>
      </c>
      <c r="G5690" s="3">
        <f t="shared" si="2"/>
        <v>0.1200363672</v>
      </c>
      <c r="H5690" s="2">
        <v>9019.0</v>
      </c>
      <c r="I5690" s="3">
        <f t="shared" si="3"/>
        <v>0.2216188323</v>
      </c>
      <c r="J5690" s="2">
        <v>6301.0</v>
      </c>
      <c r="K5690" s="3">
        <f t="shared" si="4"/>
        <v>0.1548309416</v>
      </c>
      <c r="L5690" s="2">
        <v>5436.0</v>
      </c>
      <c r="M5690" s="3">
        <f t="shared" si="5"/>
        <v>0.6027275751</v>
      </c>
      <c r="N5690" s="2">
        <v>4.6926E7</v>
      </c>
      <c r="O5690" s="4">
        <f t="shared" si="6"/>
        <v>5203.015855</v>
      </c>
      <c r="P5690" s="2">
        <v>7.0</v>
      </c>
      <c r="Q5690" s="3">
        <f t="shared" si="7"/>
        <v>0.001863684771</v>
      </c>
      <c r="R5690" s="2">
        <v>3756.0</v>
      </c>
      <c r="S5690" s="5">
        <f t="shared" si="8"/>
        <v>1</v>
      </c>
    </row>
    <row r="5691">
      <c r="A5691" s="2" t="s">
        <v>5690</v>
      </c>
      <c r="B5691" s="2">
        <v>1706.0</v>
      </c>
      <c r="C5691" s="2">
        <v>20210.0</v>
      </c>
      <c r="D5691" s="2">
        <v>6599.0</v>
      </c>
      <c r="E5691" s="3">
        <f t="shared" si="1"/>
        <v>0.3566255945</v>
      </c>
      <c r="F5691" s="2">
        <v>2221.0</v>
      </c>
      <c r="G5691" s="3">
        <f t="shared" si="2"/>
        <v>0.120028102</v>
      </c>
      <c r="H5691" s="2">
        <v>3759.0</v>
      </c>
      <c r="I5691" s="3">
        <f t="shared" si="3"/>
        <v>0.2031452659</v>
      </c>
      <c r="J5691" s="2">
        <v>2544.0</v>
      </c>
      <c r="K5691" s="3">
        <f t="shared" si="4"/>
        <v>0.1374837873</v>
      </c>
      <c r="L5691" s="2">
        <v>2245.0</v>
      </c>
      <c r="M5691" s="3">
        <f t="shared" si="5"/>
        <v>0.5972333067</v>
      </c>
      <c r="N5691" s="2">
        <v>2.08553E7</v>
      </c>
      <c r="O5691" s="4">
        <f t="shared" si="6"/>
        <v>5548.097898</v>
      </c>
      <c r="P5691" s="2">
        <v>4.0</v>
      </c>
      <c r="Q5691" s="3">
        <f t="shared" si="7"/>
        <v>0.002344665885</v>
      </c>
      <c r="R5691" s="2">
        <v>1103.0</v>
      </c>
      <c r="S5691" s="5">
        <f t="shared" si="8"/>
        <v>0.6465416178</v>
      </c>
    </row>
    <row r="5692">
      <c r="A5692" s="2" t="s">
        <v>5691</v>
      </c>
      <c r="B5692" s="2">
        <v>1955.0</v>
      </c>
      <c r="C5692" s="2">
        <v>23167.0</v>
      </c>
      <c r="D5692" s="2">
        <v>7228.0</v>
      </c>
      <c r="E5692" s="3">
        <f t="shared" si="1"/>
        <v>0.3407505186</v>
      </c>
      <c r="F5692" s="2">
        <v>2546.0</v>
      </c>
      <c r="G5692" s="3">
        <f t="shared" si="2"/>
        <v>0.1200264002</v>
      </c>
      <c r="H5692" s="2">
        <v>4297.0</v>
      </c>
      <c r="I5692" s="3">
        <f t="shared" si="3"/>
        <v>0.2025740147</v>
      </c>
      <c r="J5692" s="2">
        <v>3658.0</v>
      </c>
      <c r="K5692" s="3">
        <f t="shared" si="4"/>
        <v>0.1724495569</v>
      </c>
      <c r="L5692" s="2">
        <v>2596.0</v>
      </c>
      <c r="M5692" s="3">
        <f t="shared" si="5"/>
        <v>0.6041424249</v>
      </c>
      <c r="N5692" s="2">
        <v>2.43667E7</v>
      </c>
      <c r="O5692" s="4">
        <f t="shared" si="6"/>
        <v>5670.630673</v>
      </c>
      <c r="P5692" s="2">
        <v>4.0</v>
      </c>
      <c r="Q5692" s="3">
        <f t="shared" si="7"/>
        <v>0.002046035806</v>
      </c>
      <c r="R5692" s="2">
        <v>1955.0</v>
      </c>
      <c r="S5692" s="5">
        <f t="shared" si="8"/>
        <v>1</v>
      </c>
    </row>
    <row r="5693">
      <c r="A5693" s="2" t="s">
        <v>5692</v>
      </c>
      <c r="B5693" s="2">
        <v>2921.0</v>
      </c>
      <c r="C5693" s="2">
        <v>33999.0</v>
      </c>
      <c r="D5693" s="2">
        <v>8187.0</v>
      </c>
      <c r="E5693" s="3">
        <f t="shared" si="1"/>
        <v>0.2634339404</v>
      </c>
      <c r="F5693" s="2">
        <v>3730.0</v>
      </c>
      <c r="G5693" s="3">
        <f t="shared" si="2"/>
        <v>0.1200205933</v>
      </c>
      <c r="H5693" s="2">
        <v>6130.0</v>
      </c>
      <c r="I5693" s="3">
        <f t="shared" si="3"/>
        <v>0.19724564</v>
      </c>
      <c r="J5693" s="2">
        <v>5848.0</v>
      </c>
      <c r="K5693" s="3">
        <f t="shared" si="4"/>
        <v>0.188171697</v>
      </c>
      <c r="L5693" s="2">
        <v>3613.0</v>
      </c>
      <c r="M5693" s="3">
        <f t="shared" si="5"/>
        <v>0.5893964111</v>
      </c>
      <c r="N5693" s="2">
        <v>3.76715E7</v>
      </c>
      <c r="O5693" s="4">
        <f t="shared" si="6"/>
        <v>6145.4323</v>
      </c>
      <c r="P5693" s="2">
        <v>4.0</v>
      </c>
      <c r="Q5693" s="3">
        <f t="shared" si="7"/>
        <v>0.001369394043</v>
      </c>
      <c r="R5693" s="2">
        <v>2921.0</v>
      </c>
      <c r="S5693" s="5">
        <f t="shared" si="8"/>
        <v>1</v>
      </c>
    </row>
    <row r="5694">
      <c r="A5694" s="2" t="s">
        <v>5693</v>
      </c>
      <c r="B5694" s="2">
        <v>588.0</v>
      </c>
      <c r="C5694" s="2">
        <v>6812.0</v>
      </c>
      <c r="D5694" s="2">
        <v>1811.0</v>
      </c>
      <c r="E5694" s="3">
        <f t="shared" si="1"/>
        <v>0.290970437</v>
      </c>
      <c r="F5694" s="2">
        <v>747.0</v>
      </c>
      <c r="G5694" s="3">
        <f t="shared" si="2"/>
        <v>0.1200192802</v>
      </c>
      <c r="H5694" s="2">
        <v>1298.0</v>
      </c>
      <c r="I5694" s="3">
        <f t="shared" si="3"/>
        <v>0.2085475578</v>
      </c>
      <c r="J5694" s="2">
        <v>1262.0</v>
      </c>
      <c r="K5694" s="3">
        <f t="shared" si="4"/>
        <v>0.2027634961</v>
      </c>
      <c r="L5694" s="2">
        <v>775.0</v>
      </c>
      <c r="M5694" s="3">
        <f t="shared" si="5"/>
        <v>0.5970724191</v>
      </c>
      <c r="N5694" s="2">
        <v>7873700.0</v>
      </c>
      <c r="O5694" s="4">
        <f t="shared" si="6"/>
        <v>6066.024653</v>
      </c>
      <c r="P5694" s="2">
        <v>3.0</v>
      </c>
      <c r="Q5694" s="3">
        <f t="shared" si="7"/>
        <v>0.005102040816</v>
      </c>
      <c r="R5694" s="2">
        <v>588.0</v>
      </c>
      <c r="S5694" s="5">
        <f t="shared" si="8"/>
        <v>1</v>
      </c>
    </row>
    <row r="5695">
      <c r="A5695" s="2" t="s">
        <v>5694</v>
      </c>
      <c r="B5695" s="2">
        <v>237.0</v>
      </c>
      <c r="C5695" s="2">
        <v>2770.0</v>
      </c>
      <c r="D5695" s="2">
        <v>801.0</v>
      </c>
      <c r="E5695" s="3">
        <f t="shared" si="1"/>
        <v>0.3162258192</v>
      </c>
      <c r="F5695" s="2">
        <v>304.0</v>
      </c>
      <c r="G5695" s="3">
        <f t="shared" si="2"/>
        <v>0.1200157916</v>
      </c>
      <c r="H5695" s="2">
        <v>532.0</v>
      </c>
      <c r="I5695" s="3">
        <f t="shared" si="3"/>
        <v>0.2100276352</v>
      </c>
      <c r="J5695" s="2">
        <v>394.0</v>
      </c>
      <c r="K5695" s="3">
        <f t="shared" si="4"/>
        <v>0.1555467825</v>
      </c>
      <c r="L5695" s="2">
        <v>342.0</v>
      </c>
      <c r="M5695" s="3">
        <f t="shared" si="5"/>
        <v>0.6428571429</v>
      </c>
      <c r="N5695" s="2">
        <v>2971800.0</v>
      </c>
      <c r="O5695" s="4">
        <f t="shared" si="6"/>
        <v>5586.090226</v>
      </c>
      <c r="P5695" s="2">
        <v>1.0</v>
      </c>
      <c r="Q5695" s="3">
        <f t="shared" si="7"/>
        <v>0.004219409283</v>
      </c>
      <c r="R5695" s="2">
        <v>236.0</v>
      </c>
      <c r="S5695" s="5">
        <f t="shared" si="8"/>
        <v>0.9957805907</v>
      </c>
    </row>
    <row r="5696">
      <c r="A5696" s="2" t="s">
        <v>5695</v>
      </c>
      <c r="B5696" s="2">
        <v>238.0</v>
      </c>
      <c r="C5696" s="2">
        <v>2846.0</v>
      </c>
      <c r="D5696" s="2">
        <v>890.0</v>
      </c>
      <c r="E5696" s="3">
        <f t="shared" si="1"/>
        <v>0.3412576687</v>
      </c>
      <c r="F5696" s="2">
        <v>313.0</v>
      </c>
      <c r="G5696" s="3">
        <f t="shared" si="2"/>
        <v>0.1200153374</v>
      </c>
      <c r="H5696" s="2">
        <v>555.0</v>
      </c>
      <c r="I5696" s="3">
        <f t="shared" si="3"/>
        <v>0.2128067485</v>
      </c>
      <c r="J5696" s="2">
        <v>439.0</v>
      </c>
      <c r="K5696" s="3">
        <f t="shared" si="4"/>
        <v>0.1683282209</v>
      </c>
      <c r="L5696" s="2">
        <v>345.0</v>
      </c>
      <c r="M5696" s="3">
        <f t="shared" si="5"/>
        <v>0.6216216216</v>
      </c>
      <c r="N5696" s="2">
        <v>2891600.0</v>
      </c>
      <c r="O5696" s="4">
        <f t="shared" si="6"/>
        <v>5210.09009</v>
      </c>
      <c r="P5696" s="2">
        <v>1.0</v>
      </c>
      <c r="Q5696" s="3">
        <f t="shared" si="7"/>
        <v>0.004201680672</v>
      </c>
      <c r="R5696" s="2">
        <v>211.0</v>
      </c>
      <c r="S5696" s="5">
        <f t="shared" si="8"/>
        <v>0.8865546218</v>
      </c>
    </row>
    <row r="5697">
      <c r="A5697" s="2" t="s">
        <v>5696</v>
      </c>
      <c r="B5697" s="2">
        <v>141.0</v>
      </c>
      <c r="C5697" s="2">
        <v>1691.0</v>
      </c>
      <c r="D5697" s="2">
        <v>550.0</v>
      </c>
      <c r="E5697" s="3">
        <f t="shared" si="1"/>
        <v>0.3548387097</v>
      </c>
      <c r="F5697" s="2">
        <v>186.0</v>
      </c>
      <c r="G5697" s="3">
        <f t="shared" si="2"/>
        <v>0.12</v>
      </c>
      <c r="H5697" s="2">
        <v>336.0</v>
      </c>
      <c r="I5697" s="3">
        <f t="shared" si="3"/>
        <v>0.2167741935</v>
      </c>
      <c r="J5697" s="2">
        <v>282.0</v>
      </c>
      <c r="K5697" s="3">
        <f t="shared" si="4"/>
        <v>0.1819354839</v>
      </c>
      <c r="L5697" s="2">
        <v>201.0</v>
      </c>
      <c r="M5697" s="3">
        <f t="shared" si="5"/>
        <v>0.5982142857</v>
      </c>
      <c r="N5697" s="2">
        <v>1961100.0</v>
      </c>
      <c r="O5697" s="4">
        <f t="shared" si="6"/>
        <v>5836.607143</v>
      </c>
      <c r="P5697" s="2">
        <v>0.0</v>
      </c>
      <c r="Q5697" s="3">
        <f t="shared" si="7"/>
        <v>0</v>
      </c>
      <c r="R5697" s="2">
        <v>141.0</v>
      </c>
      <c r="S5697" s="5">
        <f t="shared" si="8"/>
        <v>1</v>
      </c>
    </row>
    <row r="5698">
      <c r="A5698" s="2" t="s">
        <v>5697</v>
      </c>
      <c r="B5698" s="2">
        <v>75.0</v>
      </c>
      <c r="C5698" s="2">
        <v>900.0</v>
      </c>
      <c r="D5698" s="2">
        <v>239.0</v>
      </c>
      <c r="E5698" s="3">
        <f t="shared" si="1"/>
        <v>0.2896969697</v>
      </c>
      <c r="F5698" s="2">
        <v>99.0</v>
      </c>
      <c r="G5698" s="3">
        <f t="shared" si="2"/>
        <v>0.12</v>
      </c>
      <c r="H5698" s="2">
        <v>170.0</v>
      </c>
      <c r="I5698" s="3">
        <f t="shared" si="3"/>
        <v>0.2060606061</v>
      </c>
      <c r="J5698" s="2">
        <v>147.0</v>
      </c>
      <c r="K5698" s="3">
        <f t="shared" si="4"/>
        <v>0.1781818182</v>
      </c>
      <c r="L5698" s="2">
        <v>92.0</v>
      </c>
      <c r="M5698" s="3">
        <f t="shared" si="5"/>
        <v>0.5411764706</v>
      </c>
      <c r="N5698" s="2">
        <v>919900.0</v>
      </c>
      <c r="O5698" s="4">
        <f t="shared" si="6"/>
        <v>5411.176471</v>
      </c>
      <c r="P5698" s="2">
        <v>0.0</v>
      </c>
      <c r="Q5698" s="3">
        <f t="shared" si="7"/>
        <v>0</v>
      </c>
      <c r="R5698" s="2">
        <v>75.0</v>
      </c>
      <c r="S5698" s="5">
        <f t="shared" si="8"/>
        <v>1</v>
      </c>
    </row>
    <row r="5699">
      <c r="A5699" s="2" t="s">
        <v>5698</v>
      </c>
      <c r="B5699" s="2">
        <v>20.0</v>
      </c>
      <c r="C5699" s="2">
        <v>245.0</v>
      </c>
      <c r="D5699" s="2">
        <v>84.0</v>
      </c>
      <c r="E5699" s="3">
        <f t="shared" si="1"/>
        <v>0.3733333333</v>
      </c>
      <c r="F5699" s="2">
        <v>27.0</v>
      </c>
      <c r="G5699" s="3">
        <f t="shared" si="2"/>
        <v>0.12</v>
      </c>
      <c r="H5699" s="2">
        <v>46.0</v>
      </c>
      <c r="I5699" s="3">
        <f t="shared" si="3"/>
        <v>0.2044444444</v>
      </c>
      <c r="J5699" s="2">
        <v>37.0</v>
      </c>
      <c r="K5699" s="3">
        <f t="shared" si="4"/>
        <v>0.1644444444</v>
      </c>
      <c r="L5699" s="2">
        <v>28.0</v>
      </c>
      <c r="M5699" s="3">
        <f t="shared" si="5"/>
        <v>0.6086956522</v>
      </c>
      <c r="N5699" s="2">
        <v>314700.0</v>
      </c>
      <c r="O5699" s="4">
        <f t="shared" si="6"/>
        <v>6841.304348</v>
      </c>
      <c r="P5699" s="2">
        <v>0.0</v>
      </c>
      <c r="Q5699" s="3">
        <f t="shared" si="7"/>
        <v>0</v>
      </c>
      <c r="R5699" s="2">
        <v>0.0</v>
      </c>
      <c r="S5699" s="5">
        <f t="shared" si="8"/>
        <v>0</v>
      </c>
    </row>
    <row r="5700">
      <c r="A5700" s="2" t="s">
        <v>5699</v>
      </c>
      <c r="B5700" s="2">
        <v>112.0</v>
      </c>
      <c r="C5700" s="2">
        <v>1362.0</v>
      </c>
      <c r="D5700" s="2">
        <v>349.0</v>
      </c>
      <c r="E5700" s="3">
        <f t="shared" si="1"/>
        <v>0.2792</v>
      </c>
      <c r="F5700" s="2">
        <v>150.0</v>
      </c>
      <c r="G5700" s="3">
        <f t="shared" si="2"/>
        <v>0.12</v>
      </c>
      <c r="H5700" s="2">
        <v>220.0</v>
      </c>
      <c r="I5700" s="3">
        <f t="shared" si="3"/>
        <v>0.176</v>
      </c>
      <c r="J5700" s="2">
        <v>194.0</v>
      </c>
      <c r="K5700" s="3">
        <f t="shared" si="4"/>
        <v>0.1552</v>
      </c>
      <c r="L5700" s="2">
        <v>135.0</v>
      </c>
      <c r="M5700" s="3">
        <f t="shared" si="5"/>
        <v>0.6136363636</v>
      </c>
      <c r="N5700" s="2">
        <v>1209200.0</v>
      </c>
      <c r="O5700" s="4">
        <f t="shared" si="6"/>
        <v>5496.363636</v>
      </c>
      <c r="P5700" s="2">
        <v>0.0</v>
      </c>
      <c r="Q5700" s="3">
        <f t="shared" si="7"/>
        <v>0</v>
      </c>
      <c r="R5700" s="2">
        <v>112.0</v>
      </c>
      <c r="S5700" s="5">
        <f t="shared" si="8"/>
        <v>1</v>
      </c>
    </row>
    <row r="5701">
      <c r="A5701" s="2" t="s">
        <v>5700</v>
      </c>
      <c r="B5701" s="2">
        <v>740.0</v>
      </c>
      <c r="C5701" s="2">
        <v>8707.0</v>
      </c>
      <c r="D5701" s="2">
        <v>2856.0</v>
      </c>
      <c r="E5701" s="3">
        <f t="shared" si="1"/>
        <v>0.3584787247</v>
      </c>
      <c r="F5701" s="2">
        <v>956.0</v>
      </c>
      <c r="G5701" s="3">
        <f t="shared" si="2"/>
        <v>0.1199949793</v>
      </c>
      <c r="H5701" s="2">
        <v>1749.0</v>
      </c>
      <c r="I5701" s="3">
        <f t="shared" si="3"/>
        <v>0.2195305636</v>
      </c>
      <c r="J5701" s="2">
        <v>1243.0</v>
      </c>
      <c r="K5701" s="3">
        <f t="shared" si="4"/>
        <v>0.1560185766</v>
      </c>
      <c r="L5701" s="2">
        <v>1035.0</v>
      </c>
      <c r="M5701" s="3">
        <f t="shared" si="5"/>
        <v>0.5917667238</v>
      </c>
      <c r="N5701" s="2">
        <v>9530500.0</v>
      </c>
      <c r="O5701" s="4">
        <f t="shared" si="6"/>
        <v>5449.113779</v>
      </c>
      <c r="P5701" s="2">
        <v>1.0</v>
      </c>
      <c r="Q5701" s="3">
        <f t="shared" si="7"/>
        <v>0.001351351351</v>
      </c>
      <c r="R5701" s="2">
        <v>740.0</v>
      </c>
      <c r="S5701" s="5">
        <f t="shared" si="8"/>
        <v>1</v>
      </c>
    </row>
    <row r="5702">
      <c r="A5702" s="2" t="s">
        <v>5701</v>
      </c>
      <c r="B5702" s="2">
        <v>189.0</v>
      </c>
      <c r="C5702" s="2">
        <v>2181.0</v>
      </c>
      <c r="D5702" s="2">
        <v>643.0</v>
      </c>
      <c r="E5702" s="3">
        <f t="shared" si="1"/>
        <v>0.3227911647</v>
      </c>
      <c r="F5702" s="2">
        <v>239.0</v>
      </c>
      <c r="G5702" s="3">
        <f t="shared" si="2"/>
        <v>0.1199799197</v>
      </c>
      <c r="H5702" s="2">
        <v>390.0</v>
      </c>
      <c r="I5702" s="3">
        <f t="shared" si="3"/>
        <v>0.1957831325</v>
      </c>
      <c r="J5702" s="2">
        <v>351.0</v>
      </c>
      <c r="K5702" s="3">
        <f t="shared" si="4"/>
        <v>0.1762048193</v>
      </c>
      <c r="L5702" s="2">
        <v>251.0</v>
      </c>
      <c r="M5702" s="3">
        <f t="shared" si="5"/>
        <v>0.6435897436</v>
      </c>
      <c r="N5702" s="2">
        <v>2259300.0</v>
      </c>
      <c r="O5702" s="4">
        <f t="shared" si="6"/>
        <v>5793.076923</v>
      </c>
      <c r="P5702" s="2">
        <v>0.0</v>
      </c>
      <c r="Q5702" s="3">
        <f t="shared" si="7"/>
        <v>0</v>
      </c>
      <c r="R5702" s="2">
        <v>11.0</v>
      </c>
      <c r="S5702" s="5">
        <f t="shared" si="8"/>
        <v>0.0582010582</v>
      </c>
    </row>
    <row r="5703">
      <c r="A5703" s="2" t="s">
        <v>5702</v>
      </c>
      <c r="B5703" s="2">
        <v>445.0</v>
      </c>
      <c r="C5703" s="2">
        <v>5121.0</v>
      </c>
      <c r="D5703" s="2">
        <v>1536.0</v>
      </c>
      <c r="E5703" s="3">
        <f t="shared" si="1"/>
        <v>0.3284858854</v>
      </c>
      <c r="F5703" s="2">
        <v>561.0</v>
      </c>
      <c r="G5703" s="3">
        <f t="shared" si="2"/>
        <v>0.119974337</v>
      </c>
      <c r="H5703" s="2">
        <v>980.0</v>
      </c>
      <c r="I5703" s="3">
        <f t="shared" si="3"/>
        <v>0.2095808383</v>
      </c>
      <c r="J5703" s="2">
        <v>835.0</v>
      </c>
      <c r="K5703" s="3">
        <f t="shared" si="4"/>
        <v>0.1785714286</v>
      </c>
      <c r="L5703" s="2">
        <v>567.0</v>
      </c>
      <c r="M5703" s="3">
        <f t="shared" si="5"/>
        <v>0.5785714286</v>
      </c>
      <c r="N5703" s="2">
        <v>5653700.0</v>
      </c>
      <c r="O5703" s="4">
        <f t="shared" si="6"/>
        <v>5769.081633</v>
      </c>
      <c r="P5703" s="2">
        <v>2.0</v>
      </c>
      <c r="Q5703" s="3">
        <f t="shared" si="7"/>
        <v>0.004494382022</v>
      </c>
      <c r="R5703" s="2">
        <v>445.0</v>
      </c>
      <c r="S5703" s="5">
        <f t="shared" si="8"/>
        <v>1</v>
      </c>
    </row>
    <row r="5704">
      <c r="A5704" s="2" t="s">
        <v>5703</v>
      </c>
      <c r="B5704" s="2">
        <v>411.0</v>
      </c>
      <c r="C5704" s="2">
        <v>4862.0</v>
      </c>
      <c r="D5704" s="2">
        <v>1369.0</v>
      </c>
      <c r="E5704" s="3">
        <f t="shared" si="1"/>
        <v>0.3075713323</v>
      </c>
      <c r="F5704" s="2">
        <v>534.0</v>
      </c>
      <c r="G5704" s="3">
        <f t="shared" si="2"/>
        <v>0.1199730398</v>
      </c>
      <c r="H5704" s="2">
        <v>915.0</v>
      </c>
      <c r="I5704" s="3">
        <f t="shared" si="3"/>
        <v>0.2055717816</v>
      </c>
      <c r="J5704" s="2">
        <v>834.0</v>
      </c>
      <c r="K5704" s="3">
        <f t="shared" si="4"/>
        <v>0.1873736239</v>
      </c>
      <c r="L5704" s="2">
        <v>542.0</v>
      </c>
      <c r="M5704" s="3">
        <f t="shared" si="5"/>
        <v>0.5923497268</v>
      </c>
      <c r="N5704" s="2">
        <v>5542600.0</v>
      </c>
      <c r="O5704" s="4">
        <f t="shared" si="6"/>
        <v>6057.486339</v>
      </c>
      <c r="P5704" s="2">
        <v>3.0</v>
      </c>
      <c r="Q5704" s="3">
        <f t="shared" si="7"/>
        <v>0.007299270073</v>
      </c>
      <c r="R5704" s="2">
        <v>411.0</v>
      </c>
      <c r="S5704" s="5">
        <f t="shared" si="8"/>
        <v>1</v>
      </c>
    </row>
    <row r="5705">
      <c r="A5705" s="2" t="s">
        <v>5704</v>
      </c>
      <c r="B5705" s="2">
        <v>2925.0</v>
      </c>
      <c r="C5705" s="2">
        <v>34441.0</v>
      </c>
      <c r="D5705" s="2">
        <v>12184.0</v>
      </c>
      <c r="E5705" s="3">
        <f t="shared" si="1"/>
        <v>0.3865972839</v>
      </c>
      <c r="F5705" s="2">
        <v>3781.0</v>
      </c>
      <c r="G5705" s="3">
        <f t="shared" si="2"/>
        <v>0.1199708085</v>
      </c>
      <c r="H5705" s="2">
        <v>6904.0</v>
      </c>
      <c r="I5705" s="3">
        <f t="shared" si="3"/>
        <v>0.2190633329</v>
      </c>
      <c r="J5705" s="2">
        <v>5154.0</v>
      </c>
      <c r="K5705" s="3">
        <f t="shared" si="4"/>
        <v>0.1635359817</v>
      </c>
      <c r="L5705" s="2">
        <v>4112.0</v>
      </c>
      <c r="M5705" s="3">
        <f t="shared" si="5"/>
        <v>0.5955967555</v>
      </c>
      <c r="N5705" s="2">
        <v>3.6774E7</v>
      </c>
      <c r="O5705" s="4">
        <f t="shared" si="6"/>
        <v>5326.477404</v>
      </c>
      <c r="P5705" s="2">
        <v>2.0</v>
      </c>
      <c r="Q5705" s="3">
        <f t="shared" si="7"/>
        <v>0.0006837606838</v>
      </c>
      <c r="R5705" s="2">
        <v>139.0</v>
      </c>
      <c r="S5705" s="5">
        <f t="shared" si="8"/>
        <v>0.04752136752</v>
      </c>
    </row>
    <row r="5706">
      <c r="A5706" s="2" t="s">
        <v>5705</v>
      </c>
      <c r="B5706" s="2">
        <v>566.0</v>
      </c>
      <c r="C5706" s="2">
        <v>6676.0</v>
      </c>
      <c r="D5706" s="2">
        <v>1516.0</v>
      </c>
      <c r="E5706" s="3">
        <f t="shared" si="1"/>
        <v>0.2481178396</v>
      </c>
      <c r="F5706" s="2">
        <v>733.0</v>
      </c>
      <c r="G5706" s="3">
        <f t="shared" si="2"/>
        <v>0.1199672668</v>
      </c>
      <c r="H5706" s="2">
        <v>1153.0</v>
      </c>
      <c r="I5706" s="3">
        <f t="shared" si="3"/>
        <v>0.1887070376</v>
      </c>
      <c r="J5706" s="2">
        <v>898.0</v>
      </c>
      <c r="K5706" s="3">
        <f t="shared" si="4"/>
        <v>0.1469721768</v>
      </c>
      <c r="L5706" s="2">
        <v>694.0</v>
      </c>
      <c r="M5706" s="3">
        <f t="shared" si="5"/>
        <v>0.6019080659</v>
      </c>
      <c r="N5706" s="2">
        <v>7272800.0</v>
      </c>
      <c r="O5706" s="4">
        <f t="shared" si="6"/>
        <v>6307.718994</v>
      </c>
      <c r="P5706" s="2">
        <v>3.0</v>
      </c>
      <c r="Q5706" s="3">
        <f t="shared" si="7"/>
        <v>0.005300353357</v>
      </c>
      <c r="R5706" s="2">
        <v>566.0</v>
      </c>
      <c r="S5706" s="5">
        <f t="shared" si="8"/>
        <v>1</v>
      </c>
    </row>
    <row r="5707">
      <c r="A5707" s="2" t="s">
        <v>5706</v>
      </c>
      <c r="B5707" s="2">
        <v>3712.0</v>
      </c>
      <c r="C5707" s="2">
        <v>43798.0</v>
      </c>
      <c r="D5707" s="2">
        <v>15588.0</v>
      </c>
      <c r="E5707" s="3">
        <f t="shared" si="1"/>
        <v>0.3888639425</v>
      </c>
      <c r="F5707" s="2">
        <v>4809.0</v>
      </c>
      <c r="G5707" s="3">
        <f t="shared" si="2"/>
        <v>0.1199670708</v>
      </c>
      <c r="H5707" s="2">
        <v>8368.0</v>
      </c>
      <c r="I5707" s="3">
        <f t="shared" si="3"/>
        <v>0.208751185</v>
      </c>
      <c r="J5707" s="2">
        <v>6711.0</v>
      </c>
      <c r="K5707" s="3">
        <f t="shared" si="4"/>
        <v>0.1674150576</v>
      </c>
      <c r="L5707" s="2">
        <v>5029.0</v>
      </c>
      <c r="M5707" s="3">
        <f t="shared" si="5"/>
        <v>0.6009799235</v>
      </c>
      <c r="N5707" s="2">
        <v>4.41302E7</v>
      </c>
      <c r="O5707" s="4">
        <f t="shared" si="6"/>
        <v>5273.685468</v>
      </c>
      <c r="P5707" s="2">
        <v>7.0</v>
      </c>
      <c r="Q5707" s="3">
        <f t="shared" si="7"/>
        <v>0.001885775862</v>
      </c>
      <c r="R5707" s="2">
        <v>3712.0</v>
      </c>
      <c r="S5707" s="5">
        <f t="shared" si="8"/>
        <v>1</v>
      </c>
    </row>
    <row r="5708">
      <c r="A5708" s="2" t="s">
        <v>5707</v>
      </c>
      <c r="B5708" s="2">
        <v>1008.0</v>
      </c>
      <c r="C5708" s="2">
        <v>11761.0</v>
      </c>
      <c r="D5708" s="2">
        <v>3708.0</v>
      </c>
      <c r="E5708" s="3">
        <f t="shared" si="1"/>
        <v>0.3448339998</v>
      </c>
      <c r="F5708" s="2">
        <v>1290.0</v>
      </c>
      <c r="G5708" s="3">
        <f t="shared" si="2"/>
        <v>0.119966521</v>
      </c>
      <c r="H5708" s="2">
        <v>2211.0</v>
      </c>
      <c r="I5708" s="3">
        <f t="shared" si="3"/>
        <v>0.2056170371</v>
      </c>
      <c r="J5708" s="2">
        <v>1899.0</v>
      </c>
      <c r="K5708" s="3">
        <f t="shared" si="4"/>
        <v>0.1766018785</v>
      </c>
      <c r="L5708" s="2">
        <v>1272.0</v>
      </c>
      <c r="M5708" s="3">
        <f t="shared" si="5"/>
        <v>0.5753052917</v>
      </c>
      <c r="N5708" s="2">
        <v>1.22319E7</v>
      </c>
      <c r="O5708" s="4">
        <f t="shared" si="6"/>
        <v>5532.29308</v>
      </c>
      <c r="P5708" s="2">
        <v>1.0</v>
      </c>
      <c r="Q5708" s="3">
        <f t="shared" si="7"/>
        <v>0.0009920634921</v>
      </c>
      <c r="R5708" s="2">
        <v>390.0</v>
      </c>
      <c r="S5708" s="5">
        <f t="shared" si="8"/>
        <v>0.3869047619</v>
      </c>
    </row>
    <row r="5709">
      <c r="A5709" s="2" t="s">
        <v>5708</v>
      </c>
      <c r="B5709" s="2">
        <v>356.0</v>
      </c>
      <c r="C5709" s="2">
        <v>4216.0</v>
      </c>
      <c r="D5709" s="2">
        <v>1120.0</v>
      </c>
      <c r="E5709" s="3">
        <f t="shared" si="1"/>
        <v>0.2901554404</v>
      </c>
      <c r="F5709" s="2">
        <v>463.0</v>
      </c>
      <c r="G5709" s="3">
        <f t="shared" si="2"/>
        <v>0.1199481865</v>
      </c>
      <c r="H5709" s="2">
        <v>725.0</v>
      </c>
      <c r="I5709" s="3">
        <f t="shared" si="3"/>
        <v>0.1878238342</v>
      </c>
      <c r="J5709" s="2">
        <v>636.0</v>
      </c>
      <c r="K5709" s="3">
        <f t="shared" si="4"/>
        <v>0.1647668394</v>
      </c>
      <c r="L5709" s="2">
        <v>440.0</v>
      </c>
      <c r="M5709" s="3">
        <f t="shared" si="5"/>
        <v>0.6068965517</v>
      </c>
      <c r="N5709" s="2">
        <v>4414400.0</v>
      </c>
      <c r="O5709" s="4">
        <f t="shared" si="6"/>
        <v>6088.827586</v>
      </c>
      <c r="P5709" s="2">
        <v>1.0</v>
      </c>
      <c r="Q5709" s="3">
        <f t="shared" si="7"/>
        <v>0.002808988764</v>
      </c>
      <c r="R5709" s="2">
        <v>54.0</v>
      </c>
      <c r="S5709" s="5">
        <f t="shared" si="8"/>
        <v>0.1516853933</v>
      </c>
    </row>
    <row r="5710">
      <c r="A5710" s="2" t="s">
        <v>5709</v>
      </c>
      <c r="B5710" s="2">
        <v>200.0</v>
      </c>
      <c r="C5710" s="2">
        <v>2376.0</v>
      </c>
      <c r="D5710" s="2">
        <v>757.0</v>
      </c>
      <c r="E5710" s="3">
        <f t="shared" si="1"/>
        <v>0.3478860294</v>
      </c>
      <c r="F5710" s="2">
        <v>261.0</v>
      </c>
      <c r="G5710" s="3">
        <f t="shared" si="2"/>
        <v>0.1199448529</v>
      </c>
      <c r="H5710" s="2">
        <v>463.0</v>
      </c>
      <c r="I5710" s="3">
        <f t="shared" si="3"/>
        <v>0.2127757353</v>
      </c>
      <c r="J5710" s="2">
        <v>318.0</v>
      </c>
      <c r="K5710" s="3">
        <f t="shared" si="4"/>
        <v>0.1461397059</v>
      </c>
      <c r="L5710" s="2">
        <v>273.0</v>
      </c>
      <c r="M5710" s="3">
        <f t="shared" si="5"/>
        <v>0.5896328294</v>
      </c>
      <c r="N5710" s="2">
        <v>2560900.0</v>
      </c>
      <c r="O5710" s="4">
        <f t="shared" si="6"/>
        <v>5531.101512</v>
      </c>
      <c r="P5710" s="2">
        <v>0.0</v>
      </c>
      <c r="Q5710" s="3">
        <f t="shared" si="7"/>
        <v>0</v>
      </c>
      <c r="R5710" s="2">
        <v>200.0</v>
      </c>
      <c r="S5710" s="5">
        <f t="shared" si="8"/>
        <v>1</v>
      </c>
    </row>
    <row r="5711">
      <c r="A5711" s="2" t="s">
        <v>5710</v>
      </c>
      <c r="B5711" s="2">
        <v>131.0</v>
      </c>
      <c r="C5711" s="2">
        <v>1540.0</v>
      </c>
      <c r="D5711" s="2">
        <v>536.0</v>
      </c>
      <c r="E5711" s="3">
        <f t="shared" si="1"/>
        <v>0.3804116395</v>
      </c>
      <c r="F5711" s="2">
        <v>169.0</v>
      </c>
      <c r="G5711" s="3">
        <f t="shared" si="2"/>
        <v>0.1199432221</v>
      </c>
      <c r="H5711" s="2">
        <v>289.0</v>
      </c>
      <c r="I5711" s="3">
        <f t="shared" si="3"/>
        <v>0.2051100071</v>
      </c>
      <c r="J5711" s="2">
        <v>246.0</v>
      </c>
      <c r="K5711" s="3">
        <f t="shared" si="4"/>
        <v>0.1745919092</v>
      </c>
      <c r="L5711" s="2">
        <v>181.0</v>
      </c>
      <c r="M5711" s="3">
        <f t="shared" si="5"/>
        <v>0.6262975779</v>
      </c>
      <c r="N5711" s="2">
        <v>1545000.0</v>
      </c>
      <c r="O5711" s="4">
        <f t="shared" si="6"/>
        <v>5346.020761</v>
      </c>
      <c r="P5711" s="2">
        <v>0.0</v>
      </c>
      <c r="Q5711" s="3">
        <f t="shared" si="7"/>
        <v>0</v>
      </c>
      <c r="R5711" s="2">
        <v>44.0</v>
      </c>
      <c r="S5711" s="5">
        <f t="shared" si="8"/>
        <v>0.3358778626</v>
      </c>
    </row>
    <row r="5712">
      <c r="A5712" s="2" t="s">
        <v>5711</v>
      </c>
      <c r="B5712" s="2">
        <v>250.0</v>
      </c>
      <c r="C5712" s="2">
        <v>2918.0</v>
      </c>
      <c r="D5712" s="2">
        <v>842.0</v>
      </c>
      <c r="E5712" s="3">
        <f t="shared" si="1"/>
        <v>0.3155922039</v>
      </c>
      <c r="F5712" s="2">
        <v>320.0</v>
      </c>
      <c r="G5712" s="3">
        <f t="shared" si="2"/>
        <v>0.11994003</v>
      </c>
      <c r="H5712" s="2">
        <v>590.0</v>
      </c>
      <c r="I5712" s="3">
        <f t="shared" si="3"/>
        <v>0.2211394303</v>
      </c>
      <c r="J5712" s="2">
        <v>441.0</v>
      </c>
      <c r="K5712" s="3">
        <f t="shared" si="4"/>
        <v>0.1652923538</v>
      </c>
      <c r="L5712" s="2">
        <v>373.0</v>
      </c>
      <c r="M5712" s="3">
        <f t="shared" si="5"/>
        <v>0.6322033898</v>
      </c>
      <c r="N5712" s="2">
        <v>3227900.0</v>
      </c>
      <c r="O5712" s="4">
        <f t="shared" si="6"/>
        <v>5471.016949</v>
      </c>
      <c r="P5712" s="2">
        <v>2.0</v>
      </c>
      <c r="Q5712" s="3">
        <f t="shared" si="7"/>
        <v>0.008</v>
      </c>
      <c r="R5712" s="2">
        <v>250.0</v>
      </c>
      <c r="S5712" s="5">
        <f t="shared" si="8"/>
        <v>1</v>
      </c>
    </row>
    <row r="5713">
      <c r="A5713" s="2" t="s">
        <v>5712</v>
      </c>
      <c r="B5713" s="2">
        <v>711.0</v>
      </c>
      <c r="C5713" s="2">
        <v>8265.0</v>
      </c>
      <c r="D5713" s="2">
        <v>2526.0</v>
      </c>
      <c r="E5713" s="3">
        <f t="shared" si="1"/>
        <v>0.3343923749</v>
      </c>
      <c r="F5713" s="2">
        <v>906.0</v>
      </c>
      <c r="G5713" s="3">
        <f t="shared" si="2"/>
        <v>0.1199364575</v>
      </c>
      <c r="H5713" s="2">
        <v>1589.0</v>
      </c>
      <c r="I5713" s="3">
        <f t="shared" si="3"/>
        <v>0.2103521313</v>
      </c>
      <c r="J5713" s="2">
        <v>1335.0</v>
      </c>
      <c r="K5713" s="3">
        <f t="shared" si="4"/>
        <v>0.1767275616</v>
      </c>
      <c r="L5713" s="2">
        <v>972.0</v>
      </c>
      <c r="M5713" s="3">
        <f t="shared" si="5"/>
        <v>0.6117054751</v>
      </c>
      <c r="N5713" s="2">
        <v>9197800.0</v>
      </c>
      <c r="O5713" s="4">
        <f t="shared" si="6"/>
        <v>5788.42039</v>
      </c>
      <c r="P5713" s="2">
        <v>0.0</v>
      </c>
      <c r="Q5713" s="3">
        <f t="shared" si="7"/>
        <v>0</v>
      </c>
      <c r="R5713" s="2">
        <v>711.0</v>
      </c>
      <c r="S5713" s="5">
        <f t="shared" si="8"/>
        <v>1</v>
      </c>
    </row>
    <row r="5714">
      <c r="A5714" s="2" t="s">
        <v>5713</v>
      </c>
      <c r="B5714" s="2">
        <v>2292.0</v>
      </c>
      <c r="C5714" s="2">
        <v>26765.0</v>
      </c>
      <c r="D5714" s="2">
        <v>8679.0</v>
      </c>
      <c r="E5714" s="3">
        <f t="shared" si="1"/>
        <v>0.354635721</v>
      </c>
      <c r="F5714" s="2">
        <v>2935.0</v>
      </c>
      <c r="G5714" s="3">
        <f t="shared" si="2"/>
        <v>0.119928084</v>
      </c>
      <c r="H5714" s="2">
        <v>5295.0</v>
      </c>
      <c r="I5714" s="3">
        <f t="shared" si="3"/>
        <v>0.2163608875</v>
      </c>
      <c r="J5714" s="2">
        <v>3970.0</v>
      </c>
      <c r="K5714" s="3">
        <f t="shared" si="4"/>
        <v>0.1622195889</v>
      </c>
      <c r="L5714" s="2">
        <v>3164.0</v>
      </c>
      <c r="M5714" s="3">
        <f t="shared" si="5"/>
        <v>0.5975448536</v>
      </c>
      <c r="N5714" s="2">
        <v>2.89695E7</v>
      </c>
      <c r="O5714" s="4">
        <f t="shared" si="6"/>
        <v>5471.104816</v>
      </c>
      <c r="P5714" s="2">
        <v>6.0</v>
      </c>
      <c r="Q5714" s="3">
        <f t="shared" si="7"/>
        <v>0.002617801047</v>
      </c>
      <c r="R5714" s="2">
        <v>2292.0</v>
      </c>
      <c r="S5714" s="5">
        <f t="shared" si="8"/>
        <v>1</v>
      </c>
    </row>
    <row r="5715">
      <c r="A5715" s="2" t="s">
        <v>5714</v>
      </c>
      <c r="B5715" s="2">
        <v>1564.0</v>
      </c>
      <c r="C5715" s="2">
        <v>18277.0</v>
      </c>
      <c r="D5715" s="2">
        <v>5865.0</v>
      </c>
      <c r="E5715" s="3">
        <f t="shared" si="1"/>
        <v>0.3509244301</v>
      </c>
      <c r="F5715" s="2">
        <v>2004.0</v>
      </c>
      <c r="G5715" s="3">
        <f t="shared" si="2"/>
        <v>0.1199066595</v>
      </c>
      <c r="H5715" s="2">
        <v>3436.0</v>
      </c>
      <c r="I5715" s="3">
        <f t="shared" si="3"/>
        <v>0.2055884641</v>
      </c>
      <c r="J5715" s="2">
        <v>3106.0</v>
      </c>
      <c r="K5715" s="3">
        <f t="shared" si="4"/>
        <v>0.1858433555</v>
      </c>
      <c r="L5715" s="2">
        <v>1997.0</v>
      </c>
      <c r="M5715" s="3">
        <f t="shared" si="5"/>
        <v>0.5811990687</v>
      </c>
      <c r="N5715" s="2">
        <v>1.93661E7</v>
      </c>
      <c r="O5715" s="4">
        <f t="shared" si="6"/>
        <v>5636.233993</v>
      </c>
      <c r="P5715" s="2">
        <v>5.0</v>
      </c>
      <c r="Q5715" s="3">
        <f t="shared" si="7"/>
        <v>0.003196930946</v>
      </c>
      <c r="R5715" s="2">
        <v>1513.0</v>
      </c>
      <c r="S5715" s="5">
        <f t="shared" si="8"/>
        <v>0.9673913043</v>
      </c>
    </row>
    <row r="5716">
      <c r="A5716" s="2" t="s">
        <v>5715</v>
      </c>
      <c r="B5716" s="2">
        <v>35.0</v>
      </c>
      <c r="C5716" s="2">
        <v>427.0</v>
      </c>
      <c r="D5716" s="2">
        <v>117.0</v>
      </c>
      <c r="E5716" s="3">
        <f t="shared" si="1"/>
        <v>0.2984693878</v>
      </c>
      <c r="F5716" s="2">
        <v>47.0</v>
      </c>
      <c r="G5716" s="3">
        <f t="shared" si="2"/>
        <v>0.1198979592</v>
      </c>
      <c r="H5716" s="2">
        <v>84.0</v>
      </c>
      <c r="I5716" s="3">
        <f t="shared" si="3"/>
        <v>0.2142857143</v>
      </c>
      <c r="J5716" s="2">
        <v>70.0</v>
      </c>
      <c r="K5716" s="3">
        <f t="shared" si="4"/>
        <v>0.1785714286</v>
      </c>
      <c r="L5716" s="2">
        <v>51.0</v>
      </c>
      <c r="M5716" s="3">
        <f t="shared" si="5"/>
        <v>0.6071428571</v>
      </c>
      <c r="N5716" s="2">
        <v>461200.0</v>
      </c>
      <c r="O5716" s="4">
        <f t="shared" si="6"/>
        <v>5490.47619</v>
      </c>
      <c r="P5716" s="2">
        <v>0.0</v>
      </c>
      <c r="Q5716" s="3">
        <f t="shared" si="7"/>
        <v>0</v>
      </c>
      <c r="R5716" s="2">
        <v>35.0</v>
      </c>
      <c r="S5716" s="5">
        <f t="shared" si="8"/>
        <v>1</v>
      </c>
    </row>
    <row r="5717">
      <c r="A5717" s="2" t="s">
        <v>5716</v>
      </c>
      <c r="B5717" s="2">
        <v>107.0</v>
      </c>
      <c r="C5717" s="2">
        <v>1283.0</v>
      </c>
      <c r="D5717" s="2">
        <v>254.0</v>
      </c>
      <c r="E5717" s="3">
        <f t="shared" si="1"/>
        <v>0.2159863946</v>
      </c>
      <c r="F5717" s="2">
        <v>141.0</v>
      </c>
      <c r="G5717" s="3">
        <f t="shared" si="2"/>
        <v>0.1198979592</v>
      </c>
      <c r="H5717" s="2">
        <v>197.0</v>
      </c>
      <c r="I5717" s="3">
        <f t="shared" si="3"/>
        <v>0.1675170068</v>
      </c>
      <c r="J5717" s="2">
        <v>161.0</v>
      </c>
      <c r="K5717" s="3">
        <f t="shared" si="4"/>
        <v>0.1369047619</v>
      </c>
      <c r="L5717" s="2">
        <v>132.0</v>
      </c>
      <c r="M5717" s="3">
        <f t="shared" si="5"/>
        <v>0.6700507614</v>
      </c>
      <c r="N5717" s="2">
        <v>1276300.0</v>
      </c>
      <c r="O5717" s="4">
        <f t="shared" si="6"/>
        <v>6478.680203</v>
      </c>
      <c r="P5717" s="2">
        <v>0.0</v>
      </c>
      <c r="Q5717" s="3">
        <f t="shared" si="7"/>
        <v>0</v>
      </c>
      <c r="R5717" s="2">
        <v>107.0</v>
      </c>
      <c r="S5717" s="5">
        <f t="shared" si="8"/>
        <v>1</v>
      </c>
    </row>
    <row r="5718">
      <c r="A5718" s="2" t="s">
        <v>5717</v>
      </c>
      <c r="B5718" s="2">
        <v>161.0</v>
      </c>
      <c r="C5718" s="2">
        <v>1871.0</v>
      </c>
      <c r="D5718" s="2">
        <v>492.0</v>
      </c>
      <c r="E5718" s="3">
        <f t="shared" si="1"/>
        <v>0.2877192982</v>
      </c>
      <c r="F5718" s="2">
        <v>205.0</v>
      </c>
      <c r="G5718" s="3">
        <f t="shared" si="2"/>
        <v>0.1198830409</v>
      </c>
      <c r="H5718" s="2">
        <v>318.0</v>
      </c>
      <c r="I5718" s="3">
        <f t="shared" si="3"/>
        <v>0.1859649123</v>
      </c>
      <c r="J5718" s="2">
        <v>282.0</v>
      </c>
      <c r="K5718" s="3">
        <f t="shared" si="4"/>
        <v>0.1649122807</v>
      </c>
      <c r="L5718" s="2">
        <v>184.0</v>
      </c>
      <c r="M5718" s="3">
        <f t="shared" si="5"/>
        <v>0.5786163522</v>
      </c>
      <c r="N5718" s="2">
        <v>1867400.0</v>
      </c>
      <c r="O5718" s="4">
        <f t="shared" si="6"/>
        <v>5872.327044</v>
      </c>
      <c r="P5718" s="2">
        <v>0.0</v>
      </c>
      <c r="Q5718" s="3">
        <f t="shared" si="7"/>
        <v>0</v>
      </c>
      <c r="R5718" s="2">
        <v>161.0</v>
      </c>
      <c r="S5718" s="5">
        <f t="shared" si="8"/>
        <v>1</v>
      </c>
    </row>
    <row r="5719">
      <c r="A5719" s="2" t="s">
        <v>5718</v>
      </c>
      <c r="B5719" s="2">
        <v>283.0</v>
      </c>
      <c r="C5719" s="2">
        <v>3311.0</v>
      </c>
      <c r="D5719" s="2">
        <v>826.0</v>
      </c>
      <c r="E5719" s="3">
        <f t="shared" si="1"/>
        <v>0.2727873184</v>
      </c>
      <c r="F5719" s="2">
        <v>363.0</v>
      </c>
      <c r="G5719" s="3">
        <f t="shared" si="2"/>
        <v>0.1198811096</v>
      </c>
      <c r="H5719" s="2">
        <v>634.0</v>
      </c>
      <c r="I5719" s="3">
        <f t="shared" si="3"/>
        <v>0.2093791281</v>
      </c>
      <c r="J5719" s="2">
        <v>415.0</v>
      </c>
      <c r="K5719" s="3">
        <f t="shared" si="4"/>
        <v>0.1370541612</v>
      </c>
      <c r="L5719" s="2">
        <v>391.0</v>
      </c>
      <c r="M5719" s="3">
        <f t="shared" si="5"/>
        <v>0.6167192429</v>
      </c>
      <c r="N5719" s="2">
        <v>3228200.0</v>
      </c>
      <c r="O5719" s="4">
        <f t="shared" si="6"/>
        <v>5091.798107</v>
      </c>
      <c r="P5719" s="2">
        <v>0.0</v>
      </c>
      <c r="Q5719" s="3">
        <f t="shared" si="7"/>
        <v>0</v>
      </c>
      <c r="R5719" s="2">
        <v>275.0</v>
      </c>
      <c r="S5719" s="5">
        <f t="shared" si="8"/>
        <v>0.9717314488</v>
      </c>
    </row>
    <row r="5720">
      <c r="A5720" s="2" t="s">
        <v>5719</v>
      </c>
      <c r="B5720" s="2">
        <v>211.0</v>
      </c>
      <c r="C5720" s="2">
        <v>2505.0</v>
      </c>
      <c r="D5720" s="2">
        <v>901.0</v>
      </c>
      <c r="E5720" s="3">
        <f t="shared" si="1"/>
        <v>0.3927637315</v>
      </c>
      <c r="F5720" s="2">
        <v>275.0</v>
      </c>
      <c r="G5720" s="3">
        <f t="shared" si="2"/>
        <v>0.1198779425</v>
      </c>
      <c r="H5720" s="2">
        <v>456.0</v>
      </c>
      <c r="I5720" s="3">
        <f t="shared" si="3"/>
        <v>0.1987794246</v>
      </c>
      <c r="J5720" s="2">
        <v>375.0</v>
      </c>
      <c r="K5720" s="3">
        <f t="shared" si="4"/>
        <v>0.1634699215</v>
      </c>
      <c r="L5720" s="2">
        <v>267.0</v>
      </c>
      <c r="M5720" s="3">
        <f t="shared" si="5"/>
        <v>0.5855263158</v>
      </c>
      <c r="N5720" s="2">
        <v>2442800.0</v>
      </c>
      <c r="O5720" s="4">
        <f t="shared" si="6"/>
        <v>5357.017544</v>
      </c>
      <c r="P5720" s="2">
        <v>1.0</v>
      </c>
      <c r="Q5720" s="3">
        <f t="shared" si="7"/>
        <v>0.004739336493</v>
      </c>
      <c r="R5720" s="2">
        <v>211.0</v>
      </c>
      <c r="S5720" s="5">
        <f t="shared" si="8"/>
        <v>1</v>
      </c>
    </row>
    <row r="5721">
      <c r="A5721" s="2" t="s">
        <v>5720</v>
      </c>
      <c r="B5721" s="2">
        <v>918.0</v>
      </c>
      <c r="C5721" s="2">
        <v>10703.0</v>
      </c>
      <c r="D5721" s="2">
        <v>2579.0</v>
      </c>
      <c r="E5721" s="3">
        <f t="shared" si="1"/>
        <v>0.2635666837</v>
      </c>
      <c r="F5721" s="2">
        <v>1173.0</v>
      </c>
      <c r="G5721" s="3">
        <f t="shared" si="2"/>
        <v>0.1198773633</v>
      </c>
      <c r="H5721" s="2">
        <v>1869.0</v>
      </c>
      <c r="I5721" s="3">
        <f t="shared" si="3"/>
        <v>0.1910066428</v>
      </c>
      <c r="J5721" s="2">
        <v>1735.0</v>
      </c>
      <c r="K5721" s="3">
        <f t="shared" si="4"/>
        <v>0.1773122126</v>
      </c>
      <c r="L5721" s="2">
        <v>1089.0</v>
      </c>
      <c r="M5721" s="3">
        <f t="shared" si="5"/>
        <v>0.5826645265</v>
      </c>
      <c r="N5721" s="2">
        <v>1.13899E7</v>
      </c>
      <c r="O5721" s="4">
        <f t="shared" si="6"/>
        <v>6094.1145</v>
      </c>
      <c r="P5721" s="2">
        <v>0.0</v>
      </c>
      <c r="Q5721" s="3">
        <f t="shared" si="7"/>
        <v>0</v>
      </c>
      <c r="R5721" s="2">
        <v>918.0</v>
      </c>
      <c r="S5721" s="5">
        <f t="shared" si="8"/>
        <v>1</v>
      </c>
    </row>
    <row r="5722">
      <c r="A5722" s="2" t="s">
        <v>5721</v>
      </c>
      <c r="B5722" s="2">
        <v>442.0</v>
      </c>
      <c r="C5722" s="2">
        <v>5239.0</v>
      </c>
      <c r="D5722" s="2">
        <v>1981.0</v>
      </c>
      <c r="E5722" s="3">
        <f t="shared" si="1"/>
        <v>0.4129664374</v>
      </c>
      <c r="F5722" s="2">
        <v>575.0</v>
      </c>
      <c r="G5722" s="3">
        <f t="shared" si="2"/>
        <v>0.1198665833</v>
      </c>
      <c r="H5722" s="2">
        <v>1022.0</v>
      </c>
      <c r="I5722" s="3">
        <f t="shared" si="3"/>
        <v>0.2130498228</v>
      </c>
      <c r="J5722" s="2">
        <v>702.0</v>
      </c>
      <c r="K5722" s="3">
        <f t="shared" si="4"/>
        <v>0.1463414634</v>
      </c>
      <c r="L5722" s="2">
        <v>605.0</v>
      </c>
      <c r="M5722" s="3">
        <f t="shared" si="5"/>
        <v>0.5919765166</v>
      </c>
      <c r="N5722" s="2">
        <v>5240200.0</v>
      </c>
      <c r="O5722" s="4">
        <f t="shared" si="6"/>
        <v>5127.39726</v>
      </c>
      <c r="P5722" s="2">
        <v>1.0</v>
      </c>
      <c r="Q5722" s="3">
        <f t="shared" si="7"/>
        <v>0.002262443439</v>
      </c>
      <c r="R5722" s="2">
        <v>442.0</v>
      </c>
      <c r="S5722" s="5">
        <f t="shared" si="8"/>
        <v>1</v>
      </c>
    </row>
    <row r="5723">
      <c r="A5723" s="2" t="s">
        <v>5722</v>
      </c>
      <c r="B5723" s="2">
        <v>282.0</v>
      </c>
      <c r="C5723" s="2">
        <v>3394.0</v>
      </c>
      <c r="D5723" s="2">
        <v>851.0</v>
      </c>
      <c r="E5723" s="3">
        <f t="shared" si="1"/>
        <v>0.2734575835</v>
      </c>
      <c r="F5723" s="2">
        <v>373.0</v>
      </c>
      <c r="G5723" s="3">
        <f t="shared" si="2"/>
        <v>0.1198586118</v>
      </c>
      <c r="H5723" s="2">
        <v>640.0</v>
      </c>
      <c r="I5723" s="3">
        <f t="shared" si="3"/>
        <v>0.205655527</v>
      </c>
      <c r="J5723" s="2">
        <v>498.0</v>
      </c>
      <c r="K5723" s="3">
        <f t="shared" si="4"/>
        <v>0.1600257069</v>
      </c>
      <c r="L5723" s="2">
        <v>393.0</v>
      </c>
      <c r="M5723" s="3">
        <f t="shared" si="5"/>
        <v>0.6140625</v>
      </c>
      <c r="N5723" s="2">
        <v>3669400.0</v>
      </c>
      <c r="O5723" s="4">
        <f t="shared" si="6"/>
        <v>5733.4375</v>
      </c>
      <c r="P5723" s="2">
        <v>2.0</v>
      </c>
      <c r="Q5723" s="3">
        <f t="shared" si="7"/>
        <v>0.007092198582</v>
      </c>
      <c r="R5723" s="2">
        <v>282.0</v>
      </c>
      <c r="S5723" s="5">
        <f t="shared" si="8"/>
        <v>1</v>
      </c>
    </row>
    <row r="5724">
      <c r="A5724" s="2" t="s">
        <v>5723</v>
      </c>
      <c r="B5724" s="2">
        <v>50.0</v>
      </c>
      <c r="C5724" s="2">
        <v>609.0</v>
      </c>
      <c r="D5724" s="2">
        <v>184.0</v>
      </c>
      <c r="E5724" s="3">
        <f t="shared" si="1"/>
        <v>0.3291592129</v>
      </c>
      <c r="F5724" s="2">
        <v>67.0</v>
      </c>
      <c r="G5724" s="3">
        <f t="shared" si="2"/>
        <v>0.1198568873</v>
      </c>
      <c r="H5724" s="2">
        <v>100.0</v>
      </c>
      <c r="I5724" s="3">
        <f t="shared" si="3"/>
        <v>0.1788908766</v>
      </c>
      <c r="J5724" s="2">
        <v>97.0</v>
      </c>
      <c r="K5724" s="3">
        <f t="shared" si="4"/>
        <v>0.1735241503</v>
      </c>
      <c r="L5724" s="2">
        <v>67.0</v>
      </c>
      <c r="M5724" s="3">
        <f t="shared" si="5"/>
        <v>0.67</v>
      </c>
      <c r="N5724" s="2">
        <v>538200.0</v>
      </c>
      <c r="O5724" s="4">
        <f t="shared" si="6"/>
        <v>5382</v>
      </c>
      <c r="P5724" s="2">
        <v>0.0</v>
      </c>
      <c r="Q5724" s="3">
        <f t="shared" si="7"/>
        <v>0</v>
      </c>
      <c r="R5724" s="2">
        <v>50.0</v>
      </c>
      <c r="S5724" s="5">
        <f t="shared" si="8"/>
        <v>1</v>
      </c>
    </row>
    <row r="5725">
      <c r="A5725" s="2" t="s">
        <v>5724</v>
      </c>
      <c r="B5725" s="2">
        <v>1082.0</v>
      </c>
      <c r="C5725" s="2">
        <v>12771.0</v>
      </c>
      <c r="D5725" s="2">
        <v>4574.0</v>
      </c>
      <c r="E5725" s="3">
        <f t="shared" si="1"/>
        <v>0.3913080674</v>
      </c>
      <c r="F5725" s="2">
        <v>1401.0</v>
      </c>
      <c r="G5725" s="3">
        <f t="shared" si="2"/>
        <v>0.1198562751</v>
      </c>
      <c r="H5725" s="2">
        <v>2432.0</v>
      </c>
      <c r="I5725" s="3">
        <f t="shared" si="3"/>
        <v>0.2080588588</v>
      </c>
      <c r="J5725" s="2">
        <v>1574.0</v>
      </c>
      <c r="K5725" s="3">
        <f t="shared" si="4"/>
        <v>0.1346565147</v>
      </c>
      <c r="L5725" s="2">
        <v>1509.0</v>
      </c>
      <c r="M5725" s="3">
        <f t="shared" si="5"/>
        <v>0.6204769737</v>
      </c>
      <c r="N5725" s="2">
        <v>1.22782E7</v>
      </c>
      <c r="O5725" s="4">
        <f t="shared" si="6"/>
        <v>5048.601974</v>
      </c>
      <c r="P5725" s="2">
        <v>1.0</v>
      </c>
      <c r="Q5725" s="3">
        <f t="shared" si="7"/>
        <v>0.0009242144177</v>
      </c>
      <c r="R5725" s="2">
        <v>1011.0</v>
      </c>
      <c r="S5725" s="5">
        <f t="shared" si="8"/>
        <v>0.9343807763</v>
      </c>
    </row>
    <row r="5726">
      <c r="A5726" s="2" t="s">
        <v>5725</v>
      </c>
      <c r="B5726" s="2">
        <v>149.0</v>
      </c>
      <c r="C5726" s="2">
        <v>1801.0</v>
      </c>
      <c r="D5726" s="2">
        <v>608.0</v>
      </c>
      <c r="E5726" s="3">
        <f t="shared" si="1"/>
        <v>0.3680387409</v>
      </c>
      <c r="F5726" s="2">
        <v>198.0</v>
      </c>
      <c r="G5726" s="3">
        <f t="shared" si="2"/>
        <v>0.1198547215</v>
      </c>
      <c r="H5726" s="2">
        <v>311.0</v>
      </c>
      <c r="I5726" s="3">
        <f t="shared" si="3"/>
        <v>0.1882566586</v>
      </c>
      <c r="J5726" s="2">
        <v>266.0</v>
      </c>
      <c r="K5726" s="3">
        <f t="shared" si="4"/>
        <v>0.1610169492</v>
      </c>
      <c r="L5726" s="2">
        <v>182.0</v>
      </c>
      <c r="M5726" s="3">
        <f t="shared" si="5"/>
        <v>0.5852090032</v>
      </c>
      <c r="N5726" s="2">
        <v>1631300.0</v>
      </c>
      <c r="O5726" s="4">
        <f t="shared" si="6"/>
        <v>5245.337621</v>
      </c>
      <c r="P5726" s="2">
        <v>0.0</v>
      </c>
      <c r="Q5726" s="3">
        <f t="shared" si="7"/>
        <v>0</v>
      </c>
      <c r="R5726" s="2">
        <v>149.0</v>
      </c>
      <c r="S5726" s="5">
        <f t="shared" si="8"/>
        <v>1</v>
      </c>
    </row>
    <row r="5727">
      <c r="A5727" s="2" t="s">
        <v>5726</v>
      </c>
      <c r="B5727" s="2">
        <v>581.0</v>
      </c>
      <c r="C5727" s="2">
        <v>6789.0</v>
      </c>
      <c r="D5727" s="2">
        <v>2251.0</v>
      </c>
      <c r="E5727" s="3">
        <f t="shared" si="1"/>
        <v>0.3625966495</v>
      </c>
      <c r="F5727" s="2">
        <v>744.0</v>
      </c>
      <c r="G5727" s="3">
        <f t="shared" si="2"/>
        <v>0.1198453608</v>
      </c>
      <c r="H5727" s="2">
        <v>1369.0</v>
      </c>
      <c r="I5727" s="3">
        <f t="shared" si="3"/>
        <v>0.2205219072</v>
      </c>
      <c r="J5727" s="2">
        <v>1073.0</v>
      </c>
      <c r="K5727" s="3">
        <f t="shared" si="4"/>
        <v>0.1728414948</v>
      </c>
      <c r="L5727" s="2">
        <v>811.0</v>
      </c>
      <c r="M5727" s="3">
        <f t="shared" si="5"/>
        <v>0.592403214</v>
      </c>
      <c r="N5727" s="2">
        <v>7639300.0</v>
      </c>
      <c r="O5727" s="4">
        <f t="shared" si="6"/>
        <v>5580.204529</v>
      </c>
      <c r="P5727" s="2">
        <v>0.0</v>
      </c>
      <c r="Q5727" s="3">
        <f t="shared" si="7"/>
        <v>0</v>
      </c>
      <c r="R5727" s="2">
        <v>581.0</v>
      </c>
      <c r="S5727" s="5">
        <f t="shared" si="8"/>
        <v>1</v>
      </c>
    </row>
    <row r="5728">
      <c r="A5728" s="2" t="s">
        <v>5727</v>
      </c>
      <c r="B5728" s="2">
        <v>261.0</v>
      </c>
      <c r="C5728" s="2">
        <v>3165.0</v>
      </c>
      <c r="D5728" s="2">
        <v>1042.0</v>
      </c>
      <c r="E5728" s="3">
        <f t="shared" si="1"/>
        <v>0.358815427</v>
      </c>
      <c r="F5728" s="2">
        <v>348.0</v>
      </c>
      <c r="G5728" s="3">
        <f t="shared" si="2"/>
        <v>0.1198347107</v>
      </c>
      <c r="H5728" s="2">
        <v>591.0</v>
      </c>
      <c r="I5728" s="3">
        <f t="shared" si="3"/>
        <v>0.2035123967</v>
      </c>
      <c r="J5728" s="2">
        <v>450.0</v>
      </c>
      <c r="K5728" s="3">
        <f t="shared" si="4"/>
        <v>0.1549586777</v>
      </c>
      <c r="L5728" s="2">
        <v>355.0</v>
      </c>
      <c r="M5728" s="3">
        <f t="shared" si="5"/>
        <v>0.600676819</v>
      </c>
      <c r="N5728" s="2">
        <v>2978000.0</v>
      </c>
      <c r="O5728" s="4">
        <f t="shared" si="6"/>
        <v>5038.91709</v>
      </c>
      <c r="P5728" s="2">
        <v>1.0</v>
      </c>
      <c r="Q5728" s="3">
        <f t="shared" si="7"/>
        <v>0.003831417625</v>
      </c>
      <c r="R5728" s="2">
        <v>7.0</v>
      </c>
      <c r="S5728" s="5">
        <f t="shared" si="8"/>
        <v>0.02681992337</v>
      </c>
    </row>
    <row r="5729">
      <c r="A5729" s="2" t="s">
        <v>5728</v>
      </c>
      <c r="B5729" s="2">
        <v>421.0</v>
      </c>
      <c r="C5729" s="2">
        <v>4944.0</v>
      </c>
      <c r="D5729" s="2">
        <v>1602.0</v>
      </c>
      <c r="E5729" s="3">
        <f t="shared" si="1"/>
        <v>0.3541896971</v>
      </c>
      <c r="F5729" s="2">
        <v>542.0</v>
      </c>
      <c r="G5729" s="3">
        <f t="shared" si="2"/>
        <v>0.1198319699</v>
      </c>
      <c r="H5729" s="2">
        <v>907.0</v>
      </c>
      <c r="I5729" s="3">
        <f t="shared" si="3"/>
        <v>0.2005306213</v>
      </c>
      <c r="J5729" s="2">
        <v>745.0</v>
      </c>
      <c r="K5729" s="3">
        <f t="shared" si="4"/>
        <v>0.1647136856</v>
      </c>
      <c r="L5729" s="2">
        <v>553.0</v>
      </c>
      <c r="M5729" s="3">
        <f t="shared" si="5"/>
        <v>0.6097023153</v>
      </c>
      <c r="N5729" s="2">
        <v>4915100.0</v>
      </c>
      <c r="O5729" s="4">
        <f t="shared" si="6"/>
        <v>5419.07387</v>
      </c>
      <c r="P5729" s="2">
        <v>0.0</v>
      </c>
      <c r="Q5729" s="3">
        <f t="shared" si="7"/>
        <v>0</v>
      </c>
      <c r="R5729" s="2">
        <v>248.0</v>
      </c>
      <c r="S5729" s="5">
        <f t="shared" si="8"/>
        <v>0.5890736342</v>
      </c>
    </row>
    <row r="5730">
      <c r="A5730" s="2" t="s">
        <v>5729</v>
      </c>
      <c r="B5730" s="2">
        <v>110.0</v>
      </c>
      <c r="C5730" s="2">
        <v>1295.0</v>
      </c>
      <c r="D5730" s="2">
        <v>350.0</v>
      </c>
      <c r="E5730" s="3">
        <f t="shared" si="1"/>
        <v>0.2953586498</v>
      </c>
      <c r="F5730" s="2">
        <v>142.0</v>
      </c>
      <c r="G5730" s="3">
        <f t="shared" si="2"/>
        <v>0.1198312236</v>
      </c>
      <c r="H5730" s="2">
        <v>230.0</v>
      </c>
      <c r="I5730" s="3">
        <f t="shared" si="3"/>
        <v>0.194092827</v>
      </c>
      <c r="J5730" s="2">
        <v>202.0</v>
      </c>
      <c r="K5730" s="3">
        <f t="shared" si="4"/>
        <v>0.170464135</v>
      </c>
      <c r="L5730" s="2">
        <v>134.0</v>
      </c>
      <c r="M5730" s="3">
        <f t="shared" si="5"/>
        <v>0.5826086957</v>
      </c>
      <c r="N5730" s="2">
        <v>1408400.0</v>
      </c>
      <c r="O5730" s="4">
        <f t="shared" si="6"/>
        <v>6123.478261</v>
      </c>
      <c r="P5730" s="2">
        <v>0.0</v>
      </c>
      <c r="Q5730" s="3">
        <f t="shared" si="7"/>
        <v>0</v>
      </c>
      <c r="R5730" s="2">
        <v>110.0</v>
      </c>
      <c r="S5730" s="5">
        <f t="shared" si="8"/>
        <v>1</v>
      </c>
    </row>
    <row r="5731">
      <c r="A5731" s="2" t="s">
        <v>5730</v>
      </c>
      <c r="B5731" s="2">
        <v>200.0</v>
      </c>
      <c r="C5731" s="2">
        <v>2395.0</v>
      </c>
      <c r="D5731" s="2">
        <v>739.0</v>
      </c>
      <c r="E5731" s="3">
        <f t="shared" si="1"/>
        <v>0.3366742597</v>
      </c>
      <c r="F5731" s="2">
        <v>263.0</v>
      </c>
      <c r="G5731" s="3">
        <f t="shared" si="2"/>
        <v>0.1198177677</v>
      </c>
      <c r="H5731" s="2">
        <v>416.0</v>
      </c>
      <c r="I5731" s="3">
        <f t="shared" si="3"/>
        <v>0.1895216401</v>
      </c>
      <c r="J5731" s="2">
        <v>306.0</v>
      </c>
      <c r="K5731" s="3">
        <f t="shared" si="4"/>
        <v>0.1394077449</v>
      </c>
      <c r="L5731" s="2">
        <v>238.0</v>
      </c>
      <c r="M5731" s="3">
        <f t="shared" si="5"/>
        <v>0.5721153846</v>
      </c>
      <c r="N5731" s="2">
        <v>2192800.0</v>
      </c>
      <c r="O5731" s="4">
        <f t="shared" si="6"/>
        <v>5271.153846</v>
      </c>
      <c r="P5731" s="2">
        <v>0.0</v>
      </c>
      <c r="Q5731" s="3">
        <f t="shared" si="7"/>
        <v>0</v>
      </c>
      <c r="R5731" s="2">
        <v>200.0</v>
      </c>
      <c r="S5731" s="5">
        <f t="shared" si="8"/>
        <v>1</v>
      </c>
    </row>
    <row r="5732">
      <c r="A5732" s="2" t="s">
        <v>5731</v>
      </c>
      <c r="B5732" s="2">
        <v>86.0</v>
      </c>
      <c r="C5732" s="2">
        <v>954.0</v>
      </c>
      <c r="D5732" s="2">
        <v>218.0</v>
      </c>
      <c r="E5732" s="3">
        <f t="shared" si="1"/>
        <v>0.2511520737</v>
      </c>
      <c r="F5732" s="2">
        <v>104.0</v>
      </c>
      <c r="G5732" s="3">
        <f t="shared" si="2"/>
        <v>0.1198156682</v>
      </c>
      <c r="H5732" s="2">
        <v>178.0</v>
      </c>
      <c r="I5732" s="3">
        <f t="shared" si="3"/>
        <v>0.2050691244</v>
      </c>
      <c r="J5732" s="2">
        <v>172.0</v>
      </c>
      <c r="K5732" s="3">
        <f t="shared" si="4"/>
        <v>0.198156682</v>
      </c>
      <c r="L5732" s="2">
        <v>109.0</v>
      </c>
      <c r="M5732" s="3">
        <f t="shared" si="5"/>
        <v>0.6123595506</v>
      </c>
      <c r="N5732" s="2">
        <v>1032100.0</v>
      </c>
      <c r="O5732" s="4">
        <f t="shared" si="6"/>
        <v>5798.314607</v>
      </c>
      <c r="P5732" s="2">
        <v>1.0</v>
      </c>
      <c r="Q5732" s="3">
        <f t="shared" si="7"/>
        <v>0.01162790698</v>
      </c>
      <c r="R5732" s="2">
        <v>86.0</v>
      </c>
      <c r="S5732" s="5">
        <f t="shared" si="8"/>
        <v>1</v>
      </c>
    </row>
    <row r="5733">
      <c r="A5733" s="2" t="s">
        <v>5732</v>
      </c>
      <c r="B5733" s="2">
        <v>2338.0</v>
      </c>
      <c r="C5733" s="2">
        <v>27620.0</v>
      </c>
      <c r="D5733" s="2">
        <v>9612.0</v>
      </c>
      <c r="E5733" s="3">
        <f t="shared" si="1"/>
        <v>0.3801914406</v>
      </c>
      <c r="F5733" s="2">
        <v>3029.0</v>
      </c>
      <c r="G5733" s="3">
        <f t="shared" si="2"/>
        <v>0.1198085594</v>
      </c>
      <c r="H5733" s="2">
        <v>5467.0</v>
      </c>
      <c r="I5733" s="3">
        <f t="shared" si="3"/>
        <v>0.2162408037</v>
      </c>
      <c r="J5733" s="2">
        <v>3854.0</v>
      </c>
      <c r="K5733" s="3">
        <f t="shared" si="4"/>
        <v>0.1524404715</v>
      </c>
      <c r="L5733" s="2">
        <v>3307.0</v>
      </c>
      <c r="M5733" s="3">
        <f t="shared" si="5"/>
        <v>0.6049021401</v>
      </c>
      <c r="N5733" s="2">
        <v>2.91654E7</v>
      </c>
      <c r="O5733" s="4">
        <f t="shared" si="6"/>
        <v>5334.808853</v>
      </c>
      <c r="P5733" s="2">
        <v>3.0</v>
      </c>
      <c r="Q5733" s="3">
        <f t="shared" si="7"/>
        <v>0.00128314799</v>
      </c>
      <c r="R5733" s="2">
        <v>2338.0</v>
      </c>
      <c r="S5733" s="5">
        <f t="shared" si="8"/>
        <v>1</v>
      </c>
    </row>
    <row r="5734">
      <c r="A5734" s="2" t="s">
        <v>5733</v>
      </c>
      <c r="B5734" s="2">
        <v>1110.0</v>
      </c>
      <c r="C5734" s="2">
        <v>12871.0</v>
      </c>
      <c r="D5734" s="2">
        <v>4136.0</v>
      </c>
      <c r="E5734" s="3">
        <f t="shared" si="1"/>
        <v>0.3516707763</v>
      </c>
      <c r="F5734" s="2">
        <v>1409.0</v>
      </c>
      <c r="G5734" s="3">
        <f t="shared" si="2"/>
        <v>0.1198027379</v>
      </c>
      <c r="H5734" s="2">
        <v>2577.0</v>
      </c>
      <c r="I5734" s="3">
        <f t="shared" si="3"/>
        <v>0.2191140209</v>
      </c>
      <c r="J5734" s="2">
        <v>2109.0</v>
      </c>
      <c r="K5734" s="3">
        <f t="shared" si="4"/>
        <v>0.1793214863</v>
      </c>
      <c r="L5734" s="2">
        <v>1525.0</v>
      </c>
      <c r="M5734" s="3">
        <f t="shared" si="5"/>
        <v>0.5917733799</v>
      </c>
      <c r="N5734" s="2">
        <v>1.43023E7</v>
      </c>
      <c r="O5734" s="4">
        <f t="shared" si="6"/>
        <v>5549.980598</v>
      </c>
      <c r="P5734" s="2">
        <v>1.0</v>
      </c>
      <c r="Q5734" s="3">
        <f t="shared" si="7"/>
        <v>0.0009009009009</v>
      </c>
      <c r="R5734" s="2">
        <v>1110.0</v>
      </c>
      <c r="S5734" s="5">
        <f t="shared" si="8"/>
        <v>1</v>
      </c>
    </row>
    <row r="5735">
      <c r="A5735" s="2" t="s">
        <v>5734</v>
      </c>
      <c r="B5735" s="2">
        <v>480.0</v>
      </c>
      <c r="C5735" s="2">
        <v>5647.0</v>
      </c>
      <c r="D5735" s="2">
        <v>2012.0</v>
      </c>
      <c r="E5735" s="3">
        <f t="shared" si="1"/>
        <v>0.3893942326</v>
      </c>
      <c r="F5735" s="2">
        <v>619.0</v>
      </c>
      <c r="G5735" s="3">
        <f t="shared" si="2"/>
        <v>0.1197987227</v>
      </c>
      <c r="H5735" s="2">
        <v>1056.0</v>
      </c>
      <c r="I5735" s="3">
        <f t="shared" si="3"/>
        <v>0.2043739114</v>
      </c>
      <c r="J5735" s="2">
        <v>815.0</v>
      </c>
      <c r="K5735" s="3">
        <f t="shared" si="4"/>
        <v>0.1577317592</v>
      </c>
      <c r="L5735" s="2">
        <v>632.0</v>
      </c>
      <c r="M5735" s="3">
        <f t="shared" si="5"/>
        <v>0.5984848485</v>
      </c>
      <c r="N5735" s="2">
        <v>5923700.0</v>
      </c>
      <c r="O5735" s="4">
        <f t="shared" si="6"/>
        <v>5609.564394</v>
      </c>
      <c r="P5735" s="2">
        <v>1.0</v>
      </c>
      <c r="Q5735" s="3">
        <f t="shared" si="7"/>
        <v>0.002083333333</v>
      </c>
      <c r="R5735" s="2">
        <v>480.0</v>
      </c>
      <c r="S5735" s="5">
        <f t="shared" si="8"/>
        <v>1</v>
      </c>
    </row>
    <row r="5736">
      <c r="A5736" s="2" t="s">
        <v>5735</v>
      </c>
      <c r="B5736" s="2">
        <v>641.0</v>
      </c>
      <c r="C5736" s="2">
        <v>7495.0</v>
      </c>
      <c r="D5736" s="2">
        <v>2313.0</v>
      </c>
      <c r="E5736" s="3">
        <f t="shared" si="1"/>
        <v>0.3374671725</v>
      </c>
      <c r="F5736" s="2">
        <v>821.0</v>
      </c>
      <c r="G5736" s="3">
        <f t="shared" si="2"/>
        <v>0.1197840677</v>
      </c>
      <c r="H5736" s="2">
        <v>1508.0</v>
      </c>
      <c r="I5736" s="3">
        <f t="shared" si="3"/>
        <v>0.220017508</v>
      </c>
      <c r="J5736" s="2">
        <v>1245.0</v>
      </c>
      <c r="K5736" s="3">
        <f t="shared" si="4"/>
        <v>0.1816457543</v>
      </c>
      <c r="L5736" s="2">
        <v>906.0</v>
      </c>
      <c r="M5736" s="3">
        <f t="shared" si="5"/>
        <v>0.600795756</v>
      </c>
      <c r="N5736" s="2">
        <v>8570600.0</v>
      </c>
      <c r="O5736" s="4">
        <f t="shared" si="6"/>
        <v>5683.421751</v>
      </c>
      <c r="P5736" s="2">
        <v>3.0</v>
      </c>
      <c r="Q5736" s="3">
        <f t="shared" si="7"/>
        <v>0.004680187207</v>
      </c>
      <c r="R5736" s="2">
        <v>540.0</v>
      </c>
      <c r="S5736" s="5">
        <f t="shared" si="8"/>
        <v>0.8424336973</v>
      </c>
    </row>
    <row r="5737">
      <c r="A5737" s="2" t="s">
        <v>5736</v>
      </c>
      <c r="B5737" s="2">
        <v>769.0</v>
      </c>
      <c r="C5737" s="2">
        <v>9034.0</v>
      </c>
      <c r="D5737" s="2">
        <v>2861.0</v>
      </c>
      <c r="E5737" s="3">
        <f t="shared" si="1"/>
        <v>0.3461584997</v>
      </c>
      <c r="F5737" s="2">
        <v>990.0</v>
      </c>
      <c r="G5737" s="3">
        <f t="shared" si="2"/>
        <v>0.1197822142</v>
      </c>
      <c r="H5737" s="2">
        <v>1835.0</v>
      </c>
      <c r="I5737" s="3">
        <f t="shared" si="3"/>
        <v>0.2220205687</v>
      </c>
      <c r="J5737" s="2">
        <v>1377.0</v>
      </c>
      <c r="K5737" s="3">
        <f t="shared" si="4"/>
        <v>0.1666061706</v>
      </c>
      <c r="L5737" s="2">
        <v>1053.0</v>
      </c>
      <c r="M5737" s="3">
        <f t="shared" si="5"/>
        <v>0.5738419619</v>
      </c>
      <c r="N5737" s="2">
        <v>9803000.0</v>
      </c>
      <c r="O5737" s="4">
        <f t="shared" si="6"/>
        <v>5342.234332</v>
      </c>
      <c r="P5737" s="2">
        <v>0.0</v>
      </c>
      <c r="Q5737" s="3">
        <f t="shared" si="7"/>
        <v>0</v>
      </c>
      <c r="R5737" s="2">
        <v>0.0</v>
      </c>
      <c r="S5737" s="5">
        <f t="shared" si="8"/>
        <v>0</v>
      </c>
    </row>
    <row r="5738">
      <c r="A5738" s="2" t="s">
        <v>5737</v>
      </c>
      <c r="B5738" s="2">
        <v>235.0</v>
      </c>
      <c r="C5738" s="2">
        <v>2773.0</v>
      </c>
      <c r="D5738" s="2">
        <v>911.0</v>
      </c>
      <c r="E5738" s="3">
        <f t="shared" si="1"/>
        <v>0.3589440504</v>
      </c>
      <c r="F5738" s="2">
        <v>304.0</v>
      </c>
      <c r="G5738" s="3">
        <f t="shared" si="2"/>
        <v>0.1197793538</v>
      </c>
      <c r="H5738" s="2">
        <v>551.0</v>
      </c>
      <c r="I5738" s="3">
        <f t="shared" si="3"/>
        <v>0.2171000788</v>
      </c>
      <c r="J5738" s="2">
        <v>439.0</v>
      </c>
      <c r="K5738" s="3">
        <f t="shared" si="4"/>
        <v>0.1729708432</v>
      </c>
      <c r="L5738" s="2">
        <v>323.0</v>
      </c>
      <c r="M5738" s="3">
        <f t="shared" si="5"/>
        <v>0.5862068966</v>
      </c>
      <c r="N5738" s="2">
        <v>3107700.0</v>
      </c>
      <c r="O5738" s="4">
        <f t="shared" si="6"/>
        <v>5640.108893</v>
      </c>
      <c r="P5738" s="2">
        <v>0.0</v>
      </c>
      <c r="Q5738" s="3">
        <f t="shared" si="7"/>
        <v>0</v>
      </c>
      <c r="R5738" s="2">
        <v>235.0</v>
      </c>
      <c r="S5738" s="5">
        <f t="shared" si="8"/>
        <v>1</v>
      </c>
    </row>
    <row r="5739">
      <c r="A5739" s="2" t="s">
        <v>5738</v>
      </c>
      <c r="B5739" s="2">
        <v>153.0</v>
      </c>
      <c r="C5739" s="2">
        <v>1781.0</v>
      </c>
      <c r="D5739" s="2">
        <v>487.0</v>
      </c>
      <c r="E5739" s="3">
        <f t="shared" si="1"/>
        <v>0.2991400491</v>
      </c>
      <c r="F5739" s="2">
        <v>195.0</v>
      </c>
      <c r="G5739" s="3">
        <f t="shared" si="2"/>
        <v>0.1197788698</v>
      </c>
      <c r="H5739" s="2">
        <v>313.0</v>
      </c>
      <c r="I5739" s="3">
        <f t="shared" si="3"/>
        <v>0.1922604423</v>
      </c>
      <c r="J5739" s="2">
        <v>236.0</v>
      </c>
      <c r="K5739" s="3">
        <f t="shared" si="4"/>
        <v>0.144963145</v>
      </c>
      <c r="L5739" s="2">
        <v>188.0</v>
      </c>
      <c r="M5739" s="3">
        <f t="shared" si="5"/>
        <v>0.6006389776</v>
      </c>
      <c r="N5739" s="2">
        <v>1713200.0</v>
      </c>
      <c r="O5739" s="4">
        <f t="shared" si="6"/>
        <v>5473.482428</v>
      </c>
      <c r="P5739" s="2">
        <v>0.0</v>
      </c>
      <c r="Q5739" s="3">
        <f t="shared" si="7"/>
        <v>0</v>
      </c>
      <c r="R5739" s="2">
        <v>0.0</v>
      </c>
      <c r="S5739" s="5">
        <f t="shared" si="8"/>
        <v>0</v>
      </c>
    </row>
    <row r="5740">
      <c r="A5740" s="2" t="s">
        <v>5739</v>
      </c>
      <c r="B5740" s="2">
        <v>99.0</v>
      </c>
      <c r="C5740" s="2">
        <v>1126.0</v>
      </c>
      <c r="D5740" s="2">
        <v>403.0</v>
      </c>
      <c r="E5740" s="3">
        <f t="shared" si="1"/>
        <v>0.3924050633</v>
      </c>
      <c r="F5740" s="2">
        <v>123.0</v>
      </c>
      <c r="G5740" s="3">
        <f t="shared" si="2"/>
        <v>0.1197663096</v>
      </c>
      <c r="H5740" s="2">
        <v>236.0</v>
      </c>
      <c r="I5740" s="3">
        <f t="shared" si="3"/>
        <v>0.2297955209</v>
      </c>
      <c r="J5740" s="2">
        <v>203.0</v>
      </c>
      <c r="K5740" s="3">
        <f t="shared" si="4"/>
        <v>0.1976630964</v>
      </c>
      <c r="L5740" s="2">
        <v>144.0</v>
      </c>
      <c r="M5740" s="3">
        <f t="shared" si="5"/>
        <v>0.6101694915</v>
      </c>
      <c r="N5740" s="2">
        <v>1310300.0</v>
      </c>
      <c r="O5740" s="4">
        <f t="shared" si="6"/>
        <v>5552.118644</v>
      </c>
      <c r="P5740" s="2">
        <v>1.0</v>
      </c>
      <c r="Q5740" s="3">
        <f t="shared" si="7"/>
        <v>0.0101010101</v>
      </c>
      <c r="R5740" s="2">
        <v>1.0</v>
      </c>
      <c r="S5740" s="5">
        <f t="shared" si="8"/>
        <v>0.0101010101</v>
      </c>
    </row>
    <row r="5741">
      <c r="A5741" s="2" t="s">
        <v>5740</v>
      </c>
      <c r="B5741" s="2">
        <v>7267.0</v>
      </c>
      <c r="C5741" s="2">
        <v>85612.0</v>
      </c>
      <c r="D5741" s="2">
        <v>24035.0</v>
      </c>
      <c r="E5741" s="3">
        <f t="shared" si="1"/>
        <v>0.306784096</v>
      </c>
      <c r="F5741" s="2">
        <v>9383.0</v>
      </c>
      <c r="G5741" s="3">
        <f t="shared" si="2"/>
        <v>0.1197651414</v>
      </c>
      <c r="H5741" s="2">
        <v>17292.0</v>
      </c>
      <c r="I5741" s="3">
        <f t="shared" si="3"/>
        <v>0.2207160636</v>
      </c>
      <c r="J5741" s="2">
        <v>14767.0</v>
      </c>
      <c r="K5741" s="3">
        <f t="shared" si="4"/>
        <v>0.1884868211</v>
      </c>
      <c r="L5741" s="2">
        <v>10415.0</v>
      </c>
      <c r="M5741" s="3">
        <f t="shared" si="5"/>
        <v>0.6023016424</v>
      </c>
      <c r="N5741" s="2">
        <v>9.37124E7</v>
      </c>
      <c r="O5741" s="4">
        <f t="shared" si="6"/>
        <v>5419.407819</v>
      </c>
      <c r="P5741" s="2">
        <v>18.0</v>
      </c>
      <c r="Q5741" s="3">
        <f t="shared" si="7"/>
        <v>0.002476950599</v>
      </c>
      <c r="R5741" s="2">
        <v>7267.0</v>
      </c>
      <c r="S5741" s="5">
        <f t="shared" si="8"/>
        <v>1</v>
      </c>
    </row>
    <row r="5742">
      <c r="A5742" s="2" t="s">
        <v>5741</v>
      </c>
      <c r="B5742" s="2">
        <v>16.0</v>
      </c>
      <c r="C5742" s="2">
        <v>183.0</v>
      </c>
      <c r="D5742" s="2">
        <v>55.0</v>
      </c>
      <c r="E5742" s="3">
        <f t="shared" si="1"/>
        <v>0.3293413174</v>
      </c>
      <c r="F5742" s="2">
        <v>20.0</v>
      </c>
      <c r="G5742" s="3">
        <f t="shared" si="2"/>
        <v>0.119760479</v>
      </c>
      <c r="H5742" s="2">
        <v>30.0</v>
      </c>
      <c r="I5742" s="3">
        <f t="shared" si="3"/>
        <v>0.1796407186</v>
      </c>
      <c r="J5742" s="2">
        <v>33.0</v>
      </c>
      <c r="K5742" s="3">
        <f t="shared" si="4"/>
        <v>0.1976047904</v>
      </c>
      <c r="L5742" s="2">
        <v>16.0</v>
      </c>
      <c r="M5742" s="3">
        <f t="shared" si="5"/>
        <v>0.5333333333</v>
      </c>
      <c r="N5742" s="2">
        <v>172500.0</v>
      </c>
      <c r="O5742" s="4">
        <f t="shared" si="6"/>
        <v>5750</v>
      </c>
      <c r="P5742" s="2">
        <v>0.0</v>
      </c>
      <c r="Q5742" s="3">
        <f t="shared" si="7"/>
        <v>0</v>
      </c>
      <c r="R5742" s="2">
        <v>15.0</v>
      </c>
      <c r="S5742" s="5">
        <f t="shared" si="8"/>
        <v>0.9375</v>
      </c>
    </row>
    <row r="5743">
      <c r="A5743" s="2" t="s">
        <v>5742</v>
      </c>
      <c r="B5743" s="2">
        <v>1739.0</v>
      </c>
      <c r="C5743" s="2">
        <v>20520.0</v>
      </c>
      <c r="D5743" s="2">
        <v>6812.0</v>
      </c>
      <c r="E5743" s="3">
        <f t="shared" si="1"/>
        <v>0.3627069911</v>
      </c>
      <c r="F5743" s="2">
        <v>2249.0</v>
      </c>
      <c r="G5743" s="3">
        <f t="shared" si="2"/>
        <v>0.1197486822</v>
      </c>
      <c r="H5743" s="2">
        <v>3974.0</v>
      </c>
      <c r="I5743" s="3">
        <f t="shared" si="3"/>
        <v>0.2115968266</v>
      </c>
      <c r="J5743" s="2">
        <v>3340.0</v>
      </c>
      <c r="K5743" s="3">
        <f t="shared" si="4"/>
        <v>0.1778393057</v>
      </c>
      <c r="L5743" s="2">
        <v>2361.0</v>
      </c>
      <c r="M5743" s="3">
        <f t="shared" si="5"/>
        <v>0.5941117262</v>
      </c>
      <c r="N5743" s="2">
        <v>2.20028E7</v>
      </c>
      <c r="O5743" s="4">
        <f t="shared" si="6"/>
        <v>5536.688475</v>
      </c>
      <c r="P5743" s="2">
        <v>4.0</v>
      </c>
      <c r="Q5743" s="3">
        <f t="shared" si="7"/>
        <v>0.002300172513</v>
      </c>
      <c r="R5743" s="2">
        <v>1329.0</v>
      </c>
      <c r="S5743" s="5">
        <f t="shared" si="8"/>
        <v>0.7642323174</v>
      </c>
    </row>
    <row r="5744">
      <c r="A5744" s="2" t="s">
        <v>5743</v>
      </c>
      <c r="B5744" s="2">
        <v>271.0</v>
      </c>
      <c r="C5744" s="2">
        <v>3127.0</v>
      </c>
      <c r="D5744" s="2">
        <v>957.0</v>
      </c>
      <c r="E5744" s="3">
        <f t="shared" si="1"/>
        <v>0.3350840336</v>
      </c>
      <c r="F5744" s="2">
        <v>342.0</v>
      </c>
      <c r="G5744" s="3">
        <f t="shared" si="2"/>
        <v>0.1197478992</v>
      </c>
      <c r="H5744" s="2">
        <v>549.0</v>
      </c>
      <c r="I5744" s="3">
        <f t="shared" si="3"/>
        <v>0.1922268908</v>
      </c>
      <c r="J5744" s="2">
        <v>412.0</v>
      </c>
      <c r="K5744" s="3">
        <f t="shared" si="4"/>
        <v>0.1442577031</v>
      </c>
      <c r="L5744" s="2">
        <v>304.0</v>
      </c>
      <c r="M5744" s="3">
        <f t="shared" si="5"/>
        <v>0.5537340619</v>
      </c>
      <c r="N5744" s="2">
        <v>3014000.0</v>
      </c>
      <c r="O5744" s="4">
        <f t="shared" si="6"/>
        <v>5489.981785</v>
      </c>
      <c r="P5744" s="2">
        <v>0.0</v>
      </c>
      <c r="Q5744" s="3">
        <f t="shared" si="7"/>
        <v>0</v>
      </c>
      <c r="R5744" s="2">
        <v>271.0</v>
      </c>
      <c r="S5744" s="5">
        <f t="shared" si="8"/>
        <v>1</v>
      </c>
    </row>
    <row r="5745">
      <c r="A5745" s="2" t="s">
        <v>5744</v>
      </c>
      <c r="B5745" s="2">
        <v>1171.0</v>
      </c>
      <c r="C5745" s="2">
        <v>13856.0</v>
      </c>
      <c r="D5745" s="2">
        <v>5629.0</v>
      </c>
      <c r="E5745" s="3">
        <f t="shared" si="1"/>
        <v>0.4437524635</v>
      </c>
      <c r="F5745" s="2">
        <v>1519.0</v>
      </c>
      <c r="G5745" s="3">
        <f t="shared" si="2"/>
        <v>0.1197477335</v>
      </c>
      <c r="H5745" s="2">
        <v>2755.0</v>
      </c>
      <c r="I5745" s="3">
        <f t="shared" si="3"/>
        <v>0.2171856523</v>
      </c>
      <c r="J5745" s="2">
        <v>1886.0</v>
      </c>
      <c r="K5745" s="3">
        <f t="shared" si="4"/>
        <v>0.1486795428</v>
      </c>
      <c r="L5745" s="2">
        <v>1622.0</v>
      </c>
      <c r="M5745" s="3">
        <f t="shared" si="5"/>
        <v>0.5887477314</v>
      </c>
      <c r="N5745" s="2">
        <v>1.42687E7</v>
      </c>
      <c r="O5745" s="4">
        <f t="shared" si="6"/>
        <v>5179.201452</v>
      </c>
      <c r="P5745" s="2">
        <v>2.0</v>
      </c>
      <c r="Q5745" s="3">
        <f t="shared" si="7"/>
        <v>0.00170794193</v>
      </c>
      <c r="R5745" s="2">
        <v>1168.0</v>
      </c>
      <c r="S5745" s="5">
        <f t="shared" si="8"/>
        <v>0.9974380871</v>
      </c>
    </row>
    <row r="5746">
      <c r="A5746" s="2" t="s">
        <v>5745</v>
      </c>
      <c r="B5746" s="2">
        <v>192.0</v>
      </c>
      <c r="C5746" s="2">
        <v>2238.0</v>
      </c>
      <c r="D5746" s="2">
        <v>875.0</v>
      </c>
      <c r="E5746" s="3">
        <f t="shared" si="1"/>
        <v>0.4276637341</v>
      </c>
      <c r="F5746" s="2">
        <v>245.0</v>
      </c>
      <c r="G5746" s="3">
        <f t="shared" si="2"/>
        <v>0.1197458456</v>
      </c>
      <c r="H5746" s="2">
        <v>432.0</v>
      </c>
      <c r="I5746" s="3">
        <f t="shared" si="3"/>
        <v>0.211143695</v>
      </c>
      <c r="J5746" s="2">
        <v>323.0</v>
      </c>
      <c r="K5746" s="3">
        <f t="shared" si="4"/>
        <v>0.1578690127</v>
      </c>
      <c r="L5746" s="2">
        <v>249.0</v>
      </c>
      <c r="M5746" s="3">
        <f t="shared" si="5"/>
        <v>0.5763888889</v>
      </c>
      <c r="N5746" s="2">
        <v>2361200.0</v>
      </c>
      <c r="O5746" s="4">
        <f t="shared" si="6"/>
        <v>5465.740741</v>
      </c>
      <c r="P5746" s="2">
        <v>0.0</v>
      </c>
      <c r="Q5746" s="3">
        <f t="shared" si="7"/>
        <v>0</v>
      </c>
      <c r="R5746" s="2">
        <v>117.0</v>
      </c>
      <c r="S5746" s="5">
        <f t="shared" si="8"/>
        <v>0.609375</v>
      </c>
    </row>
    <row r="5747">
      <c r="A5747" s="2" t="s">
        <v>5746</v>
      </c>
      <c r="B5747" s="2">
        <v>419.0</v>
      </c>
      <c r="C5747" s="2">
        <v>4979.0</v>
      </c>
      <c r="D5747" s="2">
        <v>1628.0</v>
      </c>
      <c r="E5747" s="3">
        <f t="shared" si="1"/>
        <v>0.3570175439</v>
      </c>
      <c r="F5747" s="2">
        <v>546.0</v>
      </c>
      <c r="G5747" s="3">
        <f t="shared" si="2"/>
        <v>0.1197368421</v>
      </c>
      <c r="H5747" s="2">
        <v>916.0</v>
      </c>
      <c r="I5747" s="3">
        <f t="shared" si="3"/>
        <v>0.200877193</v>
      </c>
      <c r="J5747" s="2">
        <v>688.0</v>
      </c>
      <c r="K5747" s="3">
        <f t="shared" si="4"/>
        <v>0.150877193</v>
      </c>
      <c r="L5747" s="2">
        <v>560.0</v>
      </c>
      <c r="M5747" s="3">
        <f t="shared" si="5"/>
        <v>0.6113537118</v>
      </c>
      <c r="N5747" s="2">
        <v>4814200.0</v>
      </c>
      <c r="O5747" s="4">
        <f t="shared" si="6"/>
        <v>5255.676856</v>
      </c>
      <c r="P5747" s="2">
        <v>0.0</v>
      </c>
      <c r="Q5747" s="3">
        <f t="shared" si="7"/>
        <v>0</v>
      </c>
      <c r="R5747" s="2">
        <v>322.0</v>
      </c>
      <c r="S5747" s="5">
        <f t="shared" si="8"/>
        <v>0.76849642</v>
      </c>
    </row>
    <row r="5748">
      <c r="A5748" s="2" t="s">
        <v>5747</v>
      </c>
      <c r="B5748" s="2">
        <v>864.0</v>
      </c>
      <c r="C5748" s="2">
        <v>10369.0</v>
      </c>
      <c r="D5748" s="2">
        <v>2835.0</v>
      </c>
      <c r="E5748" s="3">
        <f t="shared" si="1"/>
        <v>0.2982640715</v>
      </c>
      <c r="F5748" s="2">
        <v>1138.0</v>
      </c>
      <c r="G5748" s="3">
        <f t="shared" si="2"/>
        <v>0.1197264598</v>
      </c>
      <c r="H5748" s="2">
        <v>1929.0</v>
      </c>
      <c r="I5748" s="3">
        <f t="shared" si="3"/>
        <v>0.202945818</v>
      </c>
      <c r="J5748" s="2">
        <v>1344.0</v>
      </c>
      <c r="K5748" s="3">
        <f t="shared" si="4"/>
        <v>0.1413992635</v>
      </c>
      <c r="L5748" s="2">
        <v>1173.0</v>
      </c>
      <c r="M5748" s="3">
        <f t="shared" si="5"/>
        <v>0.6080870918</v>
      </c>
      <c r="N5748" s="2">
        <v>1.09577E7</v>
      </c>
      <c r="O5748" s="4">
        <f t="shared" si="6"/>
        <v>5680.508035</v>
      </c>
      <c r="P5748" s="2">
        <v>3.0</v>
      </c>
      <c r="Q5748" s="3">
        <f t="shared" si="7"/>
        <v>0.003472222222</v>
      </c>
      <c r="R5748" s="2">
        <v>864.0</v>
      </c>
      <c r="S5748" s="5">
        <f t="shared" si="8"/>
        <v>1</v>
      </c>
    </row>
    <row r="5749">
      <c r="A5749" s="2" t="s">
        <v>5748</v>
      </c>
      <c r="B5749" s="2">
        <v>729.0</v>
      </c>
      <c r="C5749" s="2">
        <v>8597.0</v>
      </c>
      <c r="D5749" s="2">
        <v>2539.0</v>
      </c>
      <c r="E5749" s="3">
        <f t="shared" si="1"/>
        <v>0.3226995425</v>
      </c>
      <c r="F5749" s="2">
        <v>942.0</v>
      </c>
      <c r="G5749" s="3">
        <f t="shared" si="2"/>
        <v>0.1197254703</v>
      </c>
      <c r="H5749" s="2">
        <v>1649.0</v>
      </c>
      <c r="I5749" s="3">
        <f t="shared" si="3"/>
        <v>0.2095831215</v>
      </c>
      <c r="J5749" s="2">
        <v>1391.0</v>
      </c>
      <c r="K5749" s="3">
        <f t="shared" si="4"/>
        <v>0.1767920691</v>
      </c>
      <c r="L5749" s="2">
        <v>955.0</v>
      </c>
      <c r="M5749" s="3">
        <f t="shared" si="5"/>
        <v>0.579138872</v>
      </c>
      <c r="N5749" s="2">
        <v>9146700.0</v>
      </c>
      <c r="O5749" s="4">
        <f t="shared" si="6"/>
        <v>5546.816252</v>
      </c>
      <c r="P5749" s="2">
        <v>1.0</v>
      </c>
      <c r="Q5749" s="3">
        <f t="shared" si="7"/>
        <v>0.001371742112</v>
      </c>
      <c r="R5749" s="2">
        <v>729.0</v>
      </c>
      <c r="S5749" s="5">
        <f t="shared" si="8"/>
        <v>1</v>
      </c>
    </row>
    <row r="5750">
      <c r="A5750" s="2" t="s">
        <v>5749</v>
      </c>
      <c r="B5750" s="2">
        <v>1461.0</v>
      </c>
      <c r="C5750" s="2">
        <v>17348.0</v>
      </c>
      <c r="D5750" s="2">
        <v>5607.0</v>
      </c>
      <c r="E5750" s="3">
        <f t="shared" si="1"/>
        <v>0.3529300686</v>
      </c>
      <c r="F5750" s="2">
        <v>1902.0</v>
      </c>
      <c r="G5750" s="3">
        <f t="shared" si="2"/>
        <v>0.1197205262</v>
      </c>
      <c r="H5750" s="2">
        <v>3341.0</v>
      </c>
      <c r="I5750" s="3">
        <f t="shared" si="3"/>
        <v>0.2102977277</v>
      </c>
      <c r="J5750" s="2">
        <v>2731.0</v>
      </c>
      <c r="K5750" s="3">
        <f t="shared" si="4"/>
        <v>0.1719015547</v>
      </c>
      <c r="L5750" s="2">
        <v>1990.0</v>
      </c>
      <c r="M5750" s="3">
        <f t="shared" si="5"/>
        <v>0.5956300509</v>
      </c>
      <c r="N5750" s="2">
        <v>1.87293E7</v>
      </c>
      <c r="O5750" s="4">
        <f t="shared" si="6"/>
        <v>5605.896438</v>
      </c>
      <c r="P5750" s="2">
        <v>1.0</v>
      </c>
      <c r="Q5750" s="3">
        <f t="shared" si="7"/>
        <v>0.0006844626968</v>
      </c>
      <c r="R5750" s="2">
        <v>1461.0</v>
      </c>
      <c r="S5750" s="5">
        <f t="shared" si="8"/>
        <v>1</v>
      </c>
    </row>
    <row r="5751">
      <c r="A5751" s="2" t="s">
        <v>5750</v>
      </c>
      <c r="B5751" s="2">
        <v>12.0</v>
      </c>
      <c r="C5751" s="2">
        <v>154.0</v>
      </c>
      <c r="D5751" s="2">
        <v>49.0</v>
      </c>
      <c r="E5751" s="3">
        <f t="shared" si="1"/>
        <v>0.3450704225</v>
      </c>
      <c r="F5751" s="2">
        <v>17.0</v>
      </c>
      <c r="G5751" s="3">
        <f t="shared" si="2"/>
        <v>0.1197183099</v>
      </c>
      <c r="H5751" s="2">
        <v>27.0</v>
      </c>
      <c r="I5751" s="3">
        <f t="shared" si="3"/>
        <v>0.1901408451</v>
      </c>
      <c r="J5751" s="2">
        <v>28.0</v>
      </c>
      <c r="K5751" s="3">
        <f t="shared" si="4"/>
        <v>0.1971830986</v>
      </c>
      <c r="L5751" s="2">
        <v>18.0</v>
      </c>
      <c r="M5751" s="3">
        <f t="shared" si="5"/>
        <v>0.6666666667</v>
      </c>
      <c r="N5751" s="2">
        <v>178900.0</v>
      </c>
      <c r="O5751" s="4">
        <f t="shared" si="6"/>
        <v>6625.925926</v>
      </c>
      <c r="P5751" s="2">
        <v>0.0</v>
      </c>
      <c r="Q5751" s="3">
        <f t="shared" si="7"/>
        <v>0</v>
      </c>
      <c r="R5751" s="2">
        <v>0.0</v>
      </c>
      <c r="S5751" s="5">
        <f t="shared" si="8"/>
        <v>0</v>
      </c>
    </row>
    <row r="5752">
      <c r="A5752" s="2" t="s">
        <v>5751</v>
      </c>
      <c r="B5752" s="2">
        <v>2495.0</v>
      </c>
      <c r="C5752" s="2">
        <v>29295.0</v>
      </c>
      <c r="D5752" s="2">
        <v>8576.0</v>
      </c>
      <c r="E5752" s="3">
        <f t="shared" si="1"/>
        <v>0.32</v>
      </c>
      <c r="F5752" s="2">
        <v>3208.0</v>
      </c>
      <c r="G5752" s="3">
        <f t="shared" si="2"/>
        <v>0.1197014925</v>
      </c>
      <c r="H5752" s="2">
        <v>5403.0</v>
      </c>
      <c r="I5752" s="3">
        <f t="shared" si="3"/>
        <v>0.2016044776</v>
      </c>
      <c r="J5752" s="2">
        <v>4605.0</v>
      </c>
      <c r="K5752" s="3">
        <f t="shared" si="4"/>
        <v>0.1718283582</v>
      </c>
      <c r="L5752" s="2">
        <v>3207.0</v>
      </c>
      <c r="M5752" s="3">
        <f t="shared" si="5"/>
        <v>0.5935591338</v>
      </c>
      <c r="N5752" s="2">
        <v>3.00633E7</v>
      </c>
      <c r="O5752" s="4">
        <f t="shared" si="6"/>
        <v>5564.186563</v>
      </c>
      <c r="P5752" s="2">
        <v>2.0</v>
      </c>
      <c r="Q5752" s="3">
        <f t="shared" si="7"/>
        <v>0.0008016032064</v>
      </c>
      <c r="R5752" s="2">
        <v>2495.0</v>
      </c>
      <c r="S5752" s="5">
        <f t="shared" si="8"/>
        <v>1</v>
      </c>
    </row>
    <row r="5753">
      <c r="A5753" s="2" t="s">
        <v>5752</v>
      </c>
      <c r="B5753" s="2">
        <v>1529.0</v>
      </c>
      <c r="C5753" s="2">
        <v>17954.0</v>
      </c>
      <c r="D5753" s="2">
        <v>5710.0</v>
      </c>
      <c r="E5753" s="3">
        <f t="shared" si="1"/>
        <v>0.3476407915</v>
      </c>
      <c r="F5753" s="2">
        <v>1966.0</v>
      </c>
      <c r="G5753" s="3">
        <f t="shared" si="2"/>
        <v>0.119695586</v>
      </c>
      <c r="H5753" s="2">
        <v>3360.0</v>
      </c>
      <c r="I5753" s="3">
        <f t="shared" si="3"/>
        <v>0.20456621</v>
      </c>
      <c r="J5753" s="2">
        <v>2801.0</v>
      </c>
      <c r="K5753" s="3">
        <f t="shared" si="4"/>
        <v>0.1705327245</v>
      </c>
      <c r="L5753" s="2">
        <v>2060.0</v>
      </c>
      <c r="M5753" s="3">
        <f t="shared" si="5"/>
        <v>0.6130952381</v>
      </c>
      <c r="N5753" s="2">
        <v>1.84744E7</v>
      </c>
      <c r="O5753" s="4">
        <f t="shared" si="6"/>
        <v>5498.333333</v>
      </c>
      <c r="P5753" s="2">
        <v>8.0</v>
      </c>
      <c r="Q5753" s="3">
        <f t="shared" si="7"/>
        <v>0.005232177894</v>
      </c>
      <c r="R5753" s="2">
        <v>1529.0</v>
      </c>
      <c r="S5753" s="5">
        <f t="shared" si="8"/>
        <v>1</v>
      </c>
    </row>
    <row r="5754">
      <c r="A5754" s="2" t="s">
        <v>5753</v>
      </c>
      <c r="B5754" s="2">
        <v>2841.0</v>
      </c>
      <c r="C5754" s="2">
        <v>33353.0</v>
      </c>
      <c r="D5754" s="2">
        <v>10713.0</v>
      </c>
      <c r="E5754" s="3">
        <f t="shared" si="1"/>
        <v>0.3511077609</v>
      </c>
      <c r="F5754" s="2">
        <v>3652.0</v>
      </c>
      <c r="G5754" s="3">
        <f t="shared" si="2"/>
        <v>0.1196906135</v>
      </c>
      <c r="H5754" s="2">
        <v>6282.0</v>
      </c>
      <c r="I5754" s="3">
        <f t="shared" si="3"/>
        <v>0.2058862087</v>
      </c>
      <c r="J5754" s="2">
        <v>5189.0</v>
      </c>
      <c r="K5754" s="3">
        <f t="shared" si="4"/>
        <v>0.170064237</v>
      </c>
      <c r="L5754" s="2">
        <v>3707.0</v>
      </c>
      <c r="M5754" s="3">
        <f t="shared" si="5"/>
        <v>0.5900986947</v>
      </c>
      <c r="N5754" s="2">
        <v>3.6816E7</v>
      </c>
      <c r="O5754" s="4">
        <f t="shared" si="6"/>
        <v>5860.553964</v>
      </c>
      <c r="P5754" s="2">
        <v>8.0</v>
      </c>
      <c r="Q5754" s="3">
        <f t="shared" si="7"/>
        <v>0.002815909891</v>
      </c>
      <c r="R5754" s="2">
        <v>616.0</v>
      </c>
      <c r="S5754" s="5">
        <f t="shared" si="8"/>
        <v>0.2168250616</v>
      </c>
    </row>
    <row r="5755">
      <c r="A5755" s="2" t="s">
        <v>5754</v>
      </c>
      <c r="B5755" s="2">
        <v>5554.0</v>
      </c>
      <c r="C5755" s="2">
        <v>64958.0</v>
      </c>
      <c r="D5755" s="2">
        <v>18980.0</v>
      </c>
      <c r="E5755" s="3">
        <f t="shared" si="1"/>
        <v>0.3195071039</v>
      </c>
      <c r="F5755" s="2">
        <v>7110.0</v>
      </c>
      <c r="G5755" s="3">
        <f t="shared" si="2"/>
        <v>0.1196889098</v>
      </c>
      <c r="H5755" s="2">
        <v>11997.0</v>
      </c>
      <c r="I5755" s="3">
        <f t="shared" si="3"/>
        <v>0.2019560972</v>
      </c>
      <c r="J5755" s="2">
        <v>10702.0</v>
      </c>
      <c r="K5755" s="3">
        <f t="shared" si="4"/>
        <v>0.1801562184</v>
      </c>
      <c r="L5755" s="2">
        <v>7150.0</v>
      </c>
      <c r="M5755" s="3">
        <f t="shared" si="5"/>
        <v>0.5959823289</v>
      </c>
      <c r="N5755" s="2">
        <v>7.12397E7</v>
      </c>
      <c r="O5755" s="4">
        <f t="shared" si="6"/>
        <v>5938.126198</v>
      </c>
      <c r="P5755" s="2">
        <v>10.0</v>
      </c>
      <c r="Q5755" s="3">
        <f t="shared" si="7"/>
        <v>0.001800504141</v>
      </c>
      <c r="R5755" s="2">
        <v>20.0</v>
      </c>
      <c r="S5755" s="5">
        <f t="shared" si="8"/>
        <v>0.003601008282</v>
      </c>
    </row>
    <row r="5756">
      <c r="A5756" s="2" t="s">
        <v>5755</v>
      </c>
      <c r="B5756" s="2">
        <v>36.0</v>
      </c>
      <c r="C5756" s="2">
        <v>412.0</v>
      </c>
      <c r="D5756" s="2">
        <v>142.0</v>
      </c>
      <c r="E5756" s="3">
        <f t="shared" si="1"/>
        <v>0.3776595745</v>
      </c>
      <c r="F5756" s="2">
        <v>45.0</v>
      </c>
      <c r="G5756" s="3">
        <f t="shared" si="2"/>
        <v>0.1196808511</v>
      </c>
      <c r="H5756" s="2">
        <v>82.0</v>
      </c>
      <c r="I5756" s="3">
        <f t="shared" si="3"/>
        <v>0.2180851064</v>
      </c>
      <c r="J5756" s="2">
        <v>61.0</v>
      </c>
      <c r="K5756" s="3">
        <f t="shared" si="4"/>
        <v>0.1622340426</v>
      </c>
      <c r="L5756" s="2">
        <v>48.0</v>
      </c>
      <c r="M5756" s="3">
        <f t="shared" si="5"/>
        <v>0.5853658537</v>
      </c>
      <c r="N5756" s="2">
        <v>334000.0</v>
      </c>
      <c r="O5756" s="4">
        <f t="shared" si="6"/>
        <v>4073.170732</v>
      </c>
      <c r="P5756" s="2">
        <v>0.0</v>
      </c>
      <c r="Q5756" s="3">
        <f t="shared" si="7"/>
        <v>0</v>
      </c>
      <c r="R5756" s="2">
        <v>36.0</v>
      </c>
      <c r="S5756" s="5">
        <f t="shared" si="8"/>
        <v>1</v>
      </c>
    </row>
    <row r="5757">
      <c r="A5757" s="2" t="s">
        <v>5756</v>
      </c>
      <c r="B5757" s="2">
        <v>239.0</v>
      </c>
      <c r="C5757" s="2">
        <v>2846.0</v>
      </c>
      <c r="D5757" s="2">
        <v>1071.0</v>
      </c>
      <c r="E5757" s="3">
        <f t="shared" si="1"/>
        <v>0.4108170311</v>
      </c>
      <c r="F5757" s="2">
        <v>312.0</v>
      </c>
      <c r="G5757" s="3">
        <f t="shared" si="2"/>
        <v>0.1196777906</v>
      </c>
      <c r="H5757" s="2">
        <v>556.0</v>
      </c>
      <c r="I5757" s="3">
        <f t="shared" si="3"/>
        <v>0.2132719601</v>
      </c>
      <c r="J5757" s="2">
        <v>446.0</v>
      </c>
      <c r="K5757" s="3">
        <f t="shared" si="4"/>
        <v>0.1710778673</v>
      </c>
      <c r="L5757" s="2">
        <v>327.0</v>
      </c>
      <c r="M5757" s="3">
        <f t="shared" si="5"/>
        <v>0.5881294964</v>
      </c>
      <c r="N5757" s="2">
        <v>3199800.0</v>
      </c>
      <c r="O5757" s="4">
        <f t="shared" si="6"/>
        <v>5755.035971</v>
      </c>
      <c r="P5757" s="2">
        <v>0.0</v>
      </c>
      <c r="Q5757" s="3">
        <f t="shared" si="7"/>
        <v>0</v>
      </c>
      <c r="R5757" s="2">
        <v>239.0</v>
      </c>
      <c r="S5757" s="5">
        <f t="shared" si="8"/>
        <v>1</v>
      </c>
    </row>
    <row r="5758">
      <c r="A5758" s="2" t="s">
        <v>5757</v>
      </c>
      <c r="B5758" s="2">
        <v>982.0</v>
      </c>
      <c r="C5758" s="2">
        <v>11502.0</v>
      </c>
      <c r="D5758" s="2">
        <v>4422.0</v>
      </c>
      <c r="E5758" s="3">
        <f t="shared" si="1"/>
        <v>0.4203422053</v>
      </c>
      <c r="F5758" s="2">
        <v>1259.0</v>
      </c>
      <c r="G5758" s="3">
        <f t="shared" si="2"/>
        <v>0.1196768061</v>
      </c>
      <c r="H5758" s="2">
        <v>2234.0</v>
      </c>
      <c r="I5758" s="3">
        <f t="shared" si="3"/>
        <v>0.2123574144</v>
      </c>
      <c r="J5758" s="2">
        <v>1804.0</v>
      </c>
      <c r="K5758" s="3">
        <f t="shared" si="4"/>
        <v>0.1714828897</v>
      </c>
      <c r="L5758" s="2">
        <v>1309.0</v>
      </c>
      <c r="M5758" s="3">
        <f t="shared" si="5"/>
        <v>0.5859444942</v>
      </c>
      <c r="N5758" s="2">
        <v>1.15968E7</v>
      </c>
      <c r="O5758" s="4">
        <f t="shared" si="6"/>
        <v>5191.047449</v>
      </c>
      <c r="P5758" s="2">
        <v>0.0</v>
      </c>
      <c r="Q5758" s="3">
        <f t="shared" si="7"/>
        <v>0</v>
      </c>
      <c r="R5758" s="2">
        <v>982.0</v>
      </c>
      <c r="S5758" s="5">
        <f t="shared" si="8"/>
        <v>1</v>
      </c>
    </row>
    <row r="5759">
      <c r="A5759" s="2" t="s">
        <v>5758</v>
      </c>
      <c r="B5759" s="2">
        <v>939.0</v>
      </c>
      <c r="C5759" s="2">
        <v>11083.0</v>
      </c>
      <c r="D5759" s="2">
        <v>3304.0</v>
      </c>
      <c r="E5759" s="3">
        <f t="shared" si="1"/>
        <v>0.3257097792</v>
      </c>
      <c r="F5759" s="2">
        <v>1214.0</v>
      </c>
      <c r="G5759" s="3">
        <f t="shared" si="2"/>
        <v>0.1196766562</v>
      </c>
      <c r="H5759" s="2">
        <v>2178.0</v>
      </c>
      <c r="I5759" s="3">
        <f t="shared" si="3"/>
        <v>0.2147082019</v>
      </c>
      <c r="J5759" s="2">
        <v>1589.0</v>
      </c>
      <c r="K5759" s="3">
        <f t="shared" si="4"/>
        <v>0.1566443218</v>
      </c>
      <c r="L5759" s="2">
        <v>1313.0</v>
      </c>
      <c r="M5759" s="3">
        <f t="shared" si="5"/>
        <v>0.6028466483</v>
      </c>
      <c r="N5759" s="2">
        <v>1.26429E7</v>
      </c>
      <c r="O5759" s="4">
        <f t="shared" si="6"/>
        <v>5804.820937</v>
      </c>
      <c r="P5759" s="2">
        <v>4.0</v>
      </c>
      <c r="Q5759" s="3">
        <f t="shared" si="7"/>
        <v>0.004259850905</v>
      </c>
      <c r="R5759" s="2">
        <v>939.0</v>
      </c>
      <c r="S5759" s="5">
        <f t="shared" si="8"/>
        <v>1</v>
      </c>
    </row>
    <row r="5760">
      <c r="A5760" s="2" t="s">
        <v>5759</v>
      </c>
      <c r="B5760" s="2">
        <v>109.0</v>
      </c>
      <c r="C5760" s="2">
        <v>1329.0</v>
      </c>
      <c r="D5760" s="2">
        <v>483.0</v>
      </c>
      <c r="E5760" s="3">
        <f t="shared" si="1"/>
        <v>0.3959016393</v>
      </c>
      <c r="F5760" s="2">
        <v>146.0</v>
      </c>
      <c r="G5760" s="3">
        <f t="shared" si="2"/>
        <v>0.1196721311</v>
      </c>
      <c r="H5760" s="2">
        <v>240.0</v>
      </c>
      <c r="I5760" s="3">
        <f t="shared" si="3"/>
        <v>0.1967213115</v>
      </c>
      <c r="J5760" s="2">
        <v>194.0</v>
      </c>
      <c r="K5760" s="3">
        <f t="shared" si="4"/>
        <v>0.1590163934</v>
      </c>
      <c r="L5760" s="2">
        <v>129.0</v>
      </c>
      <c r="M5760" s="3">
        <f t="shared" si="5"/>
        <v>0.5375</v>
      </c>
      <c r="N5760" s="2">
        <v>1339300.0</v>
      </c>
      <c r="O5760" s="4">
        <f t="shared" si="6"/>
        <v>5580.416667</v>
      </c>
      <c r="P5760" s="2">
        <v>0.0</v>
      </c>
      <c r="Q5760" s="3">
        <f t="shared" si="7"/>
        <v>0</v>
      </c>
      <c r="R5760" s="2">
        <v>109.0</v>
      </c>
      <c r="S5760" s="5">
        <f t="shared" si="8"/>
        <v>1</v>
      </c>
    </row>
    <row r="5761">
      <c r="A5761" s="2" t="s">
        <v>5760</v>
      </c>
      <c r="B5761" s="2">
        <v>228.0</v>
      </c>
      <c r="C5761" s="2">
        <v>2710.0</v>
      </c>
      <c r="D5761" s="2">
        <v>543.0</v>
      </c>
      <c r="E5761" s="3">
        <f t="shared" si="1"/>
        <v>0.2187751813</v>
      </c>
      <c r="F5761" s="2">
        <v>297.0</v>
      </c>
      <c r="G5761" s="3">
        <f t="shared" si="2"/>
        <v>0.1196615633</v>
      </c>
      <c r="H5761" s="2">
        <v>464.0</v>
      </c>
      <c r="I5761" s="3">
        <f t="shared" si="3"/>
        <v>0.1869460113</v>
      </c>
      <c r="J5761" s="2">
        <v>442.0</v>
      </c>
      <c r="K5761" s="3">
        <f t="shared" si="4"/>
        <v>0.1780821918</v>
      </c>
      <c r="L5761" s="2">
        <v>279.0</v>
      </c>
      <c r="M5761" s="3">
        <f t="shared" si="5"/>
        <v>0.6012931034</v>
      </c>
      <c r="N5761" s="2">
        <v>2811100.0</v>
      </c>
      <c r="O5761" s="4">
        <f t="shared" si="6"/>
        <v>6058.405172</v>
      </c>
      <c r="P5761" s="2">
        <v>1.0</v>
      </c>
      <c r="Q5761" s="3">
        <f t="shared" si="7"/>
        <v>0.004385964912</v>
      </c>
      <c r="R5761" s="2">
        <v>0.0</v>
      </c>
      <c r="S5761" s="5">
        <f t="shared" si="8"/>
        <v>0</v>
      </c>
    </row>
    <row r="5762">
      <c r="A5762" s="2" t="s">
        <v>5761</v>
      </c>
      <c r="B5762" s="2">
        <v>56.0</v>
      </c>
      <c r="C5762" s="2">
        <v>641.0</v>
      </c>
      <c r="D5762" s="2">
        <v>212.0</v>
      </c>
      <c r="E5762" s="3">
        <f t="shared" si="1"/>
        <v>0.3623931624</v>
      </c>
      <c r="F5762" s="2">
        <v>70.0</v>
      </c>
      <c r="G5762" s="3">
        <f t="shared" si="2"/>
        <v>0.1196581197</v>
      </c>
      <c r="H5762" s="2">
        <v>123.0</v>
      </c>
      <c r="I5762" s="3">
        <f t="shared" si="3"/>
        <v>0.2102564103</v>
      </c>
      <c r="J5762" s="2">
        <v>107.0</v>
      </c>
      <c r="K5762" s="3">
        <f t="shared" si="4"/>
        <v>0.1829059829</v>
      </c>
      <c r="L5762" s="2">
        <v>74.0</v>
      </c>
      <c r="M5762" s="3">
        <f t="shared" si="5"/>
        <v>0.6016260163</v>
      </c>
      <c r="N5762" s="2">
        <v>731900.0</v>
      </c>
      <c r="O5762" s="4">
        <f t="shared" si="6"/>
        <v>5950.406504</v>
      </c>
      <c r="P5762" s="2">
        <v>0.0</v>
      </c>
      <c r="Q5762" s="3">
        <f t="shared" si="7"/>
        <v>0</v>
      </c>
      <c r="R5762" s="2">
        <v>56.0</v>
      </c>
      <c r="S5762" s="5">
        <f t="shared" si="8"/>
        <v>1</v>
      </c>
    </row>
    <row r="5763">
      <c r="A5763" s="2" t="s">
        <v>5762</v>
      </c>
      <c r="B5763" s="2">
        <v>21.0</v>
      </c>
      <c r="C5763" s="2">
        <v>255.0</v>
      </c>
      <c r="D5763" s="2">
        <v>54.0</v>
      </c>
      <c r="E5763" s="3">
        <f t="shared" si="1"/>
        <v>0.2307692308</v>
      </c>
      <c r="F5763" s="2">
        <v>28.0</v>
      </c>
      <c r="G5763" s="3">
        <f t="shared" si="2"/>
        <v>0.1196581197</v>
      </c>
      <c r="H5763" s="2">
        <v>40.0</v>
      </c>
      <c r="I5763" s="3">
        <f t="shared" si="3"/>
        <v>0.1709401709</v>
      </c>
      <c r="J5763" s="2">
        <v>41.0</v>
      </c>
      <c r="K5763" s="3">
        <f t="shared" si="4"/>
        <v>0.1752136752</v>
      </c>
      <c r="L5763" s="2">
        <v>23.0</v>
      </c>
      <c r="M5763" s="3">
        <f t="shared" si="5"/>
        <v>0.575</v>
      </c>
      <c r="N5763" s="2">
        <v>234700.0</v>
      </c>
      <c r="O5763" s="4">
        <f t="shared" si="6"/>
        <v>5867.5</v>
      </c>
      <c r="P5763" s="2">
        <v>0.0</v>
      </c>
      <c r="Q5763" s="3">
        <f t="shared" si="7"/>
        <v>0</v>
      </c>
      <c r="R5763" s="2">
        <v>0.0</v>
      </c>
      <c r="S5763" s="5">
        <f t="shared" si="8"/>
        <v>0</v>
      </c>
    </row>
    <row r="5764">
      <c r="A5764" s="2" t="s">
        <v>5763</v>
      </c>
      <c r="B5764" s="2">
        <v>702.0</v>
      </c>
      <c r="C5764" s="2">
        <v>8190.0</v>
      </c>
      <c r="D5764" s="2">
        <v>2233.0</v>
      </c>
      <c r="E5764" s="3">
        <f t="shared" si="1"/>
        <v>0.2982104701</v>
      </c>
      <c r="F5764" s="2">
        <v>896.0</v>
      </c>
      <c r="G5764" s="3">
        <f t="shared" si="2"/>
        <v>0.1196581197</v>
      </c>
      <c r="H5764" s="2">
        <v>1523.0</v>
      </c>
      <c r="I5764" s="3">
        <f t="shared" si="3"/>
        <v>0.203392094</v>
      </c>
      <c r="J5764" s="2">
        <v>1241.0</v>
      </c>
      <c r="K5764" s="3">
        <f t="shared" si="4"/>
        <v>0.1657318376</v>
      </c>
      <c r="L5764" s="2">
        <v>934.0</v>
      </c>
      <c r="M5764" s="3">
        <f t="shared" si="5"/>
        <v>0.6132632961</v>
      </c>
      <c r="N5764" s="2">
        <v>8618600.0</v>
      </c>
      <c r="O5764" s="4">
        <f t="shared" si="6"/>
        <v>5658.962574</v>
      </c>
      <c r="P5764" s="2">
        <v>1.0</v>
      </c>
      <c r="Q5764" s="3">
        <f t="shared" si="7"/>
        <v>0.001424501425</v>
      </c>
      <c r="R5764" s="2">
        <v>702.0</v>
      </c>
      <c r="S5764" s="5">
        <f t="shared" si="8"/>
        <v>1</v>
      </c>
    </row>
    <row r="5765">
      <c r="A5765" s="2" t="s">
        <v>5764</v>
      </c>
      <c r="B5765" s="2">
        <v>3872.0</v>
      </c>
      <c r="C5765" s="2">
        <v>45408.0</v>
      </c>
      <c r="D5765" s="2">
        <v>13997.0</v>
      </c>
      <c r="E5765" s="3">
        <f t="shared" si="1"/>
        <v>0.3369847843</v>
      </c>
      <c r="F5765" s="2">
        <v>4970.0</v>
      </c>
      <c r="G5765" s="3">
        <f t="shared" si="2"/>
        <v>0.1196552388</v>
      </c>
      <c r="H5765" s="2">
        <v>8621.0</v>
      </c>
      <c r="I5765" s="3">
        <f t="shared" si="3"/>
        <v>0.2075548921</v>
      </c>
      <c r="J5765" s="2">
        <v>7218.0</v>
      </c>
      <c r="K5765" s="3">
        <f t="shared" si="4"/>
        <v>0.1737769646</v>
      </c>
      <c r="L5765" s="2">
        <v>5060.0</v>
      </c>
      <c r="M5765" s="3">
        <f t="shared" si="5"/>
        <v>0.5869388702</v>
      </c>
      <c r="N5765" s="2">
        <v>4.9879E7</v>
      </c>
      <c r="O5765" s="4">
        <f t="shared" si="6"/>
        <v>5785.755713</v>
      </c>
      <c r="P5765" s="2">
        <v>6.0</v>
      </c>
      <c r="Q5765" s="3">
        <f t="shared" si="7"/>
        <v>0.001549586777</v>
      </c>
      <c r="R5765" s="2">
        <v>2655.0</v>
      </c>
      <c r="S5765" s="5">
        <f t="shared" si="8"/>
        <v>0.6856921488</v>
      </c>
    </row>
    <row r="5766">
      <c r="A5766" s="2" t="s">
        <v>5765</v>
      </c>
      <c r="B5766" s="2">
        <v>215.0</v>
      </c>
      <c r="C5766" s="2">
        <v>2530.0</v>
      </c>
      <c r="D5766" s="2">
        <v>957.0</v>
      </c>
      <c r="E5766" s="3">
        <f t="shared" si="1"/>
        <v>0.4133909287</v>
      </c>
      <c r="F5766" s="2">
        <v>277.0</v>
      </c>
      <c r="G5766" s="3">
        <f t="shared" si="2"/>
        <v>0.1196544276</v>
      </c>
      <c r="H5766" s="2">
        <v>482.0</v>
      </c>
      <c r="I5766" s="3">
        <f t="shared" si="3"/>
        <v>0.2082073434</v>
      </c>
      <c r="J5766" s="2">
        <v>383.0</v>
      </c>
      <c r="K5766" s="3">
        <f t="shared" si="4"/>
        <v>0.1654427646</v>
      </c>
      <c r="L5766" s="2">
        <v>280.0</v>
      </c>
      <c r="M5766" s="3">
        <f t="shared" si="5"/>
        <v>0.5809128631</v>
      </c>
      <c r="N5766" s="2">
        <v>2633500.0</v>
      </c>
      <c r="O5766" s="4">
        <f t="shared" si="6"/>
        <v>5463.692946</v>
      </c>
      <c r="P5766" s="2">
        <v>0.0</v>
      </c>
      <c r="Q5766" s="3">
        <f t="shared" si="7"/>
        <v>0</v>
      </c>
      <c r="R5766" s="2">
        <v>215.0</v>
      </c>
      <c r="S5766" s="5">
        <f t="shared" si="8"/>
        <v>1</v>
      </c>
    </row>
    <row r="5767">
      <c r="A5767" s="2" t="s">
        <v>5766</v>
      </c>
      <c r="B5767" s="2">
        <v>165.0</v>
      </c>
      <c r="C5767" s="2">
        <v>2012.0</v>
      </c>
      <c r="D5767" s="2">
        <v>667.0</v>
      </c>
      <c r="E5767" s="3">
        <f t="shared" si="1"/>
        <v>0.3611261505</v>
      </c>
      <c r="F5767" s="2">
        <v>221.0</v>
      </c>
      <c r="G5767" s="3">
        <f t="shared" si="2"/>
        <v>0.1196534921</v>
      </c>
      <c r="H5767" s="2">
        <v>394.0</v>
      </c>
      <c r="I5767" s="3">
        <f t="shared" si="3"/>
        <v>0.2133188955</v>
      </c>
      <c r="J5767" s="2">
        <v>251.0</v>
      </c>
      <c r="K5767" s="3">
        <f t="shared" si="4"/>
        <v>0.1358960476</v>
      </c>
      <c r="L5767" s="2">
        <v>248.0</v>
      </c>
      <c r="M5767" s="3">
        <f t="shared" si="5"/>
        <v>0.6294416244</v>
      </c>
      <c r="N5767" s="2">
        <v>2117400.0</v>
      </c>
      <c r="O5767" s="4">
        <f t="shared" si="6"/>
        <v>5374.111675</v>
      </c>
      <c r="P5767" s="2">
        <v>0.0</v>
      </c>
      <c r="Q5767" s="3">
        <f t="shared" si="7"/>
        <v>0</v>
      </c>
      <c r="R5767" s="2">
        <v>165.0</v>
      </c>
      <c r="S5767" s="5">
        <f t="shared" si="8"/>
        <v>1</v>
      </c>
    </row>
    <row r="5768">
      <c r="A5768" s="2" t="s">
        <v>5767</v>
      </c>
      <c r="B5768" s="2">
        <v>556.0</v>
      </c>
      <c r="C5768" s="2">
        <v>6649.0</v>
      </c>
      <c r="D5768" s="2">
        <v>1607.0</v>
      </c>
      <c r="E5768" s="3">
        <f t="shared" si="1"/>
        <v>0.2637452815</v>
      </c>
      <c r="F5768" s="2">
        <v>729.0</v>
      </c>
      <c r="G5768" s="3">
        <f t="shared" si="2"/>
        <v>0.1196454948</v>
      </c>
      <c r="H5768" s="2">
        <v>1199.0</v>
      </c>
      <c r="I5768" s="3">
        <f t="shared" si="3"/>
        <v>0.1967831938</v>
      </c>
      <c r="J5768" s="2">
        <v>915.0</v>
      </c>
      <c r="K5768" s="3">
        <f t="shared" si="4"/>
        <v>0.1501723289</v>
      </c>
      <c r="L5768" s="2">
        <v>737.0</v>
      </c>
      <c r="M5768" s="3">
        <f t="shared" si="5"/>
        <v>0.6146788991</v>
      </c>
      <c r="N5768" s="2">
        <v>6708500.0</v>
      </c>
      <c r="O5768" s="4">
        <f t="shared" si="6"/>
        <v>5595.079233</v>
      </c>
      <c r="P5768" s="2">
        <v>2.0</v>
      </c>
      <c r="Q5768" s="3">
        <f t="shared" si="7"/>
        <v>0.003597122302</v>
      </c>
      <c r="R5768" s="2">
        <v>556.0</v>
      </c>
      <c r="S5768" s="5">
        <f t="shared" si="8"/>
        <v>1</v>
      </c>
    </row>
    <row r="5769">
      <c r="A5769" s="2" t="s">
        <v>5768</v>
      </c>
      <c r="B5769" s="2">
        <v>711.0</v>
      </c>
      <c r="C5769" s="2">
        <v>8401.0</v>
      </c>
      <c r="D5769" s="2">
        <v>2231.0</v>
      </c>
      <c r="E5769" s="3">
        <f t="shared" si="1"/>
        <v>0.2901170351</v>
      </c>
      <c r="F5769" s="2">
        <v>920.0</v>
      </c>
      <c r="G5769" s="3">
        <f t="shared" si="2"/>
        <v>0.1196358908</v>
      </c>
      <c r="H5769" s="2">
        <v>1485.0</v>
      </c>
      <c r="I5769" s="3">
        <f t="shared" si="3"/>
        <v>0.1931079324</v>
      </c>
      <c r="J5769" s="2">
        <v>1173.0</v>
      </c>
      <c r="K5769" s="3">
        <f t="shared" si="4"/>
        <v>0.1525357607</v>
      </c>
      <c r="L5769" s="2">
        <v>873.0</v>
      </c>
      <c r="M5769" s="3">
        <f t="shared" si="5"/>
        <v>0.5878787879</v>
      </c>
      <c r="N5769" s="2">
        <v>8443100.0</v>
      </c>
      <c r="O5769" s="4">
        <f t="shared" si="6"/>
        <v>5685.589226</v>
      </c>
      <c r="P5769" s="2">
        <v>0.0</v>
      </c>
      <c r="Q5769" s="3">
        <f t="shared" si="7"/>
        <v>0</v>
      </c>
      <c r="R5769" s="2">
        <v>711.0</v>
      </c>
      <c r="S5769" s="5">
        <f t="shared" si="8"/>
        <v>1</v>
      </c>
    </row>
    <row r="5770">
      <c r="A5770" s="2" t="s">
        <v>5769</v>
      </c>
      <c r="B5770" s="2">
        <v>1096.0</v>
      </c>
      <c r="C5770" s="2">
        <v>12857.0</v>
      </c>
      <c r="D5770" s="2">
        <v>3824.0</v>
      </c>
      <c r="E5770" s="3">
        <f t="shared" si="1"/>
        <v>0.3251424199</v>
      </c>
      <c r="F5770" s="2">
        <v>1407.0</v>
      </c>
      <c r="G5770" s="3">
        <f t="shared" si="2"/>
        <v>0.1196326843</v>
      </c>
      <c r="H5770" s="2">
        <v>2360.0</v>
      </c>
      <c r="I5770" s="3">
        <f t="shared" si="3"/>
        <v>0.2006632089</v>
      </c>
      <c r="J5770" s="2">
        <v>1847.0</v>
      </c>
      <c r="K5770" s="3">
        <f t="shared" si="4"/>
        <v>0.157044469</v>
      </c>
      <c r="L5770" s="2">
        <v>1419.0</v>
      </c>
      <c r="M5770" s="3">
        <f t="shared" si="5"/>
        <v>0.6012711864</v>
      </c>
      <c r="N5770" s="2">
        <v>1.33252E7</v>
      </c>
      <c r="O5770" s="4">
        <f t="shared" si="6"/>
        <v>5646.271186</v>
      </c>
      <c r="P5770" s="2">
        <v>1.0</v>
      </c>
      <c r="Q5770" s="3">
        <f t="shared" si="7"/>
        <v>0.0009124087591</v>
      </c>
      <c r="R5770" s="2">
        <v>1096.0</v>
      </c>
      <c r="S5770" s="5">
        <f t="shared" si="8"/>
        <v>1</v>
      </c>
    </row>
    <row r="5771">
      <c r="A5771" s="2" t="s">
        <v>5770</v>
      </c>
      <c r="B5771" s="2">
        <v>60.0</v>
      </c>
      <c r="C5771" s="2">
        <v>712.0</v>
      </c>
      <c r="D5771" s="2">
        <v>192.0</v>
      </c>
      <c r="E5771" s="3">
        <f t="shared" si="1"/>
        <v>0.2944785276</v>
      </c>
      <c r="F5771" s="2">
        <v>78.0</v>
      </c>
      <c r="G5771" s="3">
        <f t="shared" si="2"/>
        <v>0.1196319018</v>
      </c>
      <c r="H5771" s="2">
        <v>126.0</v>
      </c>
      <c r="I5771" s="3">
        <f t="shared" si="3"/>
        <v>0.1932515337</v>
      </c>
      <c r="J5771" s="2">
        <v>88.0</v>
      </c>
      <c r="K5771" s="3">
        <f t="shared" si="4"/>
        <v>0.1349693252</v>
      </c>
      <c r="L5771" s="2">
        <v>80.0</v>
      </c>
      <c r="M5771" s="3">
        <f t="shared" si="5"/>
        <v>0.6349206349</v>
      </c>
      <c r="N5771" s="2">
        <v>734900.0</v>
      </c>
      <c r="O5771" s="4">
        <f t="shared" si="6"/>
        <v>5832.539683</v>
      </c>
      <c r="P5771" s="2">
        <v>0.0</v>
      </c>
      <c r="Q5771" s="3">
        <f t="shared" si="7"/>
        <v>0</v>
      </c>
      <c r="R5771" s="2">
        <v>44.0</v>
      </c>
      <c r="S5771" s="5">
        <f t="shared" si="8"/>
        <v>0.7333333333</v>
      </c>
    </row>
    <row r="5772">
      <c r="A5772" s="2" t="s">
        <v>5771</v>
      </c>
      <c r="B5772" s="2">
        <v>893.0</v>
      </c>
      <c r="C5772" s="2">
        <v>10322.0</v>
      </c>
      <c r="D5772" s="2">
        <v>2885.0</v>
      </c>
      <c r="E5772" s="3">
        <f t="shared" si="1"/>
        <v>0.3059709407</v>
      </c>
      <c r="F5772" s="2">
        <v>1128.0</v>
      </c>
      <c r="G5772" s="3">
        <f t="shared" si="2"/>
        <v>0.1196309259</v>
      </c>
      <c r="H5772" s="2">
        <v>2000.0</v>
      </c>
      <c r="I5772" s="3">
        <f t="shared" si="3"/>
        <v>0.2121115707</v>
      </c>
      <c r="J5772" s="2">
        <v>1568.0</v>
      </c>
      <c r="K5772" s="3">
        <f t="shared" si="4"/>
        <v>0.1662954714</v>
      </c>
      <c r="L5772" s="2">
        <v>1233.0</v>
      </c>
      <c r="M5772" s="3">
        <f t="shared" si="5"/>
        <v>0.6165</v>
      </c>
      <c r="N5772" s="2">
        <v>1.08103E7</v>
      </c>
      <c r="O5772" s="4">
        <f t="shared" si="6"/>
        <v>5405.15</v>
      </c>
      <c r="P5772" s="2">
        <v>1.0</v>
      </c>
      <c r="Q5772" s="3">
        <f t="shared" si="7"/>
        <v>0.001119820829</v>
      </c>
      <c r="R5772" s="2">
        <v>893.0</v>
      </c>
      <c r="S5772" s="5">
        <f t="shared" si="8"/>
        <v>1</v>
      </c>
    </row>
    <row r="5773">
      <c r="A5773" s="2" t="s">
        <v>5772</v>
      </c>
      <c r="B5773" s="2">
        <v>792.0</v>
      </c>
      <c r="C5773" s="2">
        <v>9160.0</v>
      </c>
      <c r="D5773" s="2">
        <v>2826.0</v>
      </c>
      <c r="E5773" s="3">
        <f t="shared" si="1"/>
        <v>0.3377151052</v>
      </c>
      <c r="F5773" s="2">
        <v>1001.0</v>
      </c>
      <c r="G5773" s="3">
        <f t="shared" si="2"/>
        <v>0.1196223709</v>
      </c>
      <c r="H5773" s="2">
        <v>1845.0</v>
      </c>
      <c r="I5773" s="3">
        <f t="shared" si="3"/>
        <v>0.2204827916</v>
      </c>
      <c r="J5773" s="2">
        <v>1667.0</v>
      </c>
      <c r="K5773" s="3">
        <f t="shared" si="4"/>
        <v>0.1992112811</v>
      </c>
      <c r="L5773" s="2">
        <v>1076.0</v>
      </c>
      <c r="M5773" s="3">
        <f t="shared" si="5"/>
        <v>0.583197832</v>
      </c>
      <c r="N5773" s="2">
        <v>1.06374E7</v>
      </c>
      <c r="O5773" s="4">
        <f t="shared" si="6"/>
        <v>5765.528455</v>
      </c>
      <c r="P5773" s="2">
        <v>2.0</v>
      </c>
      <c r="Q5773" s="3">
        <f t="shared" si="7"/>
        <v>0.002525252525</v>
      </c>
      <c r="R5773" s="2">
        <v>792.0</v>
      </c>
      <c r="S5773" s="5">
        <f t="shared" si="8"/>
        <v>1</v>
      </c>
    </row>
    <row r="5774">
      <c r="A5774" s="2" t="s">
        <v>5773</v>
      </c>
      <c r="B5774" s="2">
        <v>982.0</v>
      </c>
      <c r="C5774" s="2">
        <v>11557.0</v>
      </c>
      <c r="D5774" s="2">
        <v>3682.0</v>
      </c>
      <c r="E5774" s="3">
        <f t="shared" si="1"/>
        <v>0.348179669</v>
      </c>
      <c r="F5774" s="2">
        <v>1265.0</v>
      </c>
      <c r="G5774" s="3">
        <f t="shared" si="2"/>
        <v>0.1196217494</v>
      </c>
      <c r="H5774" s="2">
        <v>2164.0</v>
      </c>
      <c r="I5774" s="3">
        <f t="shared" si="3"/>
        <v>0.2046335697</v>
      </c>
      <c r="J5774" s="2">
        <v>1558.0</v>
      </c>
      <c r="K5774" s="3">
        <f t="shared" si="4"/>
        <v>0.1473286052</v>
      </c>
      <c r="L5774" s="2">
        <v>1298.0</v>
      </c>
      <c r="M5774" s="3">
        <f t="shared" si="5"/>
        <v>0.5998151571</v>
      </c>
      <c r="N5774" s="2">
        <v>1.23278E7</v>
      </c>
      <c r="O5774" s="4">
        <f t="shared" si="6"/>
        <v>5696.76525</v>
      </c>
      <c r="P5774" s="2">
        <v>5.0</v>
      </c>
      <c r="Q5774" s="3">
        <f t="shared" si="7"/>
        <v>0.005091649695</v>
      </c>
      <c r="R5774" s="2">
        <v>965.0</v>
      </c>
      <c r="S5774" s="5">
        <f t="shared" si="8"/>
        <v>0.982688391</v>
      </c>
    </row>
    <row r="5775">
      <c r="A5775" s="2" t="s">
        <v>5774</v>
      </c>
      <c r="B5775" s="2">
        <v>394.0</v>
      </c>
      <c r="C5775" s="2">
        <v>4574.0</v>
      </c>
      <c r="D5775" s="2">
        <v>1629.0</v>
      </c>
      <c r="E5775" s="3">
        <f t="shared" si="1"/>
        <v>0.3897129187</v>
      </c>
      <c r="F5775" s="2">
        <v>500.0</v>
      </c>
      <c r="G5775" s="3">
        <f t="shared" si="2"/>
        <v>0.1196172249</v>
      </c>
      <c r="H5775" s="2">
        <v>968.0</v>
      </c>
      <c r="I5775" s="3">
        <f t="shared" si="3"/>
        <v>0.2315789474</v>
      </c>
      <c r="J5775" s="2">
        <v>668.0</v>
      </c>
      <c r="K5775" s="3">
        <f t="shared" si="4"/>
        <v>0.1598086124</v>
      </c>
      <c r="L5775" s="2">
        <v>598.0</v>
      </c>
      <c r="M5775" s="3">
        <f t="shared" si="5"/>
        <v>0.617768595</v>
      </c>
      <c r="N5775" s="2">
        <v>5579300.0</v>
      </c>
      <c r="O5775" s="4">
        <f t="shared" si="6"/>
        <v>5763.739669</v>
      </c>
      <c r="P5775" s="2">
        <v>3.0</v>
      </c>
      <c r="Q5775" s="3">
        <f t="shared" si="7"/>
        <v>0.007614213198</v>
      </c>
      <c r="R5775" s="2">
        <v>394.0</v>
      </c>
      <c r="S5775" s="5">
        <f t="shared" si="8"/>
        <v>1</v>
      </c>
    </row>
    <row r="5776">
      <c r="A5776" s="2" t="s">
        <v>5775</v>
      </c>
      <c r="B5776" s="2">
        <v>1797.0</v>
      </c>
      <c r="C5776" s="2">
        <v>21202.0</v>
      </c>
      <c r="D5776" s="2">
        <v>7567.0</v>
      </c>
      <c r="E5776" s="3">
        <f t="shared" si="1"/>
        <v>0.3899510435</v>
      </c>
      <c r="F5776" s="2">
        <v>2321.0</v>
      </c>
      <c r="G5776" s="3">
        <f t="shared" si="2"/>
        <v>0.1196083484</v>
      </c>
      <c r="H5776" s="2">
        <v>4191.0</v>
      </c>
      <c r="I5776" s="3">
        <f t="shared" si="3"/>
        <v>0.2159752641</v>
      </c>
      <c r="J5776" s="2">
        <v>3158.0</v>
      </c>
      <c r="K5776" s="3">
        <f t="shared" si="4"/>
        <v>0.1627415615</v>
      </c>
      <c r="L5776" s="2">
        <v>2533.0</v>
      </c>
      <c r="M5776" s="3">
        <f t="shared" si="5"/>
        <v>0.6043903603</v>
      </c>
      <c r="N5776" s="2">
        <v>2.19145E7</v>
      </c>
      <c r="O5776" s="4">
        <f t="shared" si="6"/>
        <v>5228.942973</v>
      </c>
      <c r="P5776" s="2">
        <v>5.0</v>
      </c>
      <c r="Q5776" s="3">
        <f t="shared" si="7"/>
        <v>0.002782415136</v>
      </c>
      <c r="R5776" s="2">
        <v>1797.0</v>
      </c>
      <c r="S5776" s="5">
        <f t="shared" si="8"/>
        <v>1</v>
      </c>
    </row>
    <row r="5777">
      <c r="A5777" s="2" t="s">
        <v>5776</v>
      </c>
      <c r="B5777" s="2">
        <v>3488.0</v>
      </c>
      <c r="C5777" s="2">
        <v>40679.0</v>
      </c>
      <c r="D5777" s="2">
        <v>12326.0</v>
      </c>
      <c r="E5777" s="3">
        <f t="shared" si="1"/>
        <v>0.3314242693</v>
      </c>
      <c r="F5777" s="2">
        <v>4448.0</v>
      </c>
      <c r="G5777" s="3">
        <f t="shared" si="2"/>
        <v>0.1195988277</v>
      </c>
      <c r="H5777" s="2">
        <v>7778.0</v>
      </c>
      <c r="I5777" s="3">
        <f t="shared" si="3"/>
        <v>0.2091366191</v>
      </c>
      <c r="J5777" s="2">
        <v>5697.0</v>
      </c>
      <c r="K5777" s="3">
        <f t="shared" si="4"/>
        <v>0.1531822215</v>
      </c>
      <c r="L5777" s="2">
        <v>4759.0</v>
      </c>
      <c r="M5777" s="3">
        <f t="shared" si="5"/>
        <v>0.611853947</v>
      </c>
      <c r="N5777" s="2">
        <v>4.38931E7</v>
      </c>
      <c r="O5777" s="4">
        <f t="shared" si="6"/>
        <v>5643.237336</v>
      </c>
      <c r="P5777" s="2">
        <v>9.0</v>
      </c>
      <c r="Q5777" s="3">
        <f t="shared" si="7"/>
        <v>0.002580275229</v>
      </c>
      <c r="R5777" s="2">
        <v>3488.0</v>
      </c>
      <c r="S5777" s="5">
        <f t="shared" si="8"/>
        <v>1</v>
      </c>
    </row>
    <row r="5778">
      <c r="A5778" s="2" t="s">
        <v>5777</v>
      </c>
      <c r="B5778" s="2">
        <v>88.0</v>
      </c>
      <c r="C5778" s="2">
        <v>1058.0</v>
      </c>
      <c r="D5778" s="2">
        <v>409.0</v>
      </c>
      <c r="E5778" s="3">
        <f t="shared" si="1"/>
        <v>0.4216494845</v>
      </c>
      <c r="F5778" s="2">
        <v>116.0</v>
      </c>
      <c r="G5778" s="3">
        <f t="shared" si="2"/>
        <v>0.1195876289</v>
      </c>
      <c r="H5778" s="2">
        <v>194.0</v>
      </c>
      <c r="I5778" s="3">
        <f t="shared" si="3"/>
        <v>0.2</v>
      </c>
      <c r="J5778" s="2">
        <v>129.0</v>
      </c>
      <c r="K5778" s="3">
        <f t="shared" si="4"/>
        <v>0.1329896907</v>
      </c>
      <c r="L5778" s="2">
        <v>101.0</v>
      </c>
      <c r="M5778" s="3">
        <f t="shared" si="5"/>
        <v>0.5206185567</v>
      </c>
      <c r="N5778" s="2">
        <v>997700.0</v>
      </c>
      <c r="O5778" s="4">
        <f t="shared" si="6"/>
        <v>5142.783505</v>
      </c>
      <c r="P5778" s="2">
        <v>0.0</v>
      </c>
      <c r="Q5778" s="3">
        <f t="shared" si="7"/>
        <v>0</v>
      </c>
      <c r="R5778" s="2">
        <v>0.0</v>
      </c>
      <c r="S5778" s="5">
        <f t="shared" si="8"/>
        <v>0</v>
      </c>
    </row>
    <row r="5779">
      <c r="A5779" s="2" t="s">
        <v>5778</v>
      </c>
      <c r="B5779" s="2">
        <v>109.0</v>
      </c>
      <c r="C5779" s="2">
        <v>1238.0</v>
      </c>
      <c r="D5779" s="2">
        <v>343.0</v>
      </c>
      <c r="E5779" s="3">
        <f t="shared" si="1"/>
        <v>0.3038086802</v>
      </c>
      <c r="F5779" s="2">
        <v>135.0</v>
      </c>
      <c r="G5779" s="3">
        <f t="shared" si="2"/>
        <v>0.119574845</v>
      </c>
      <c r="H5779" s="2">
        <v>241.0</v>
      </c>
      <c r="I5779" s="3">
        <f t="shared" si="3"/>
        <v>0.2134632418</v>
      </c>
      <c r="J5779" s="2">
        <v>242.0</v>
      </c>
      <c r="K5779" s="3">
        <f t="shared" si="4"/>
        <v>0.2143489814</v>
      </c>
      <c r="L5779" s="2">
        <v>146.0</v>
      </c>
      <c r="M5779" s="3">
        <f t="shared" si="5"/>
        <v>0.6058091286</v>
      </c>
      <c r="N5779" s="2">
        <v>1510200.0</v>
      </c>
      <c r="O5779" s="4">
        <f t="shared" si="6"/>
        <v>6266.390041</v>
      </c>
      <c r="P5779" s="2">
        <v>1.0</v>
      </c>
      <c r="Q5779" s="3">
        <f t="shared" si="7"/>
        <v>0.009174311927</v>
      </c>
      <c r="R5779" s="2">
        <v>109.0</v>
      </c>
      <c r="S5779" s="5">
        <f t="shared" si="8"/>
        <v>1</v>
      </c>
    </row>
    <row r="5780">
      <c r="A5780" s="2" t="s">
        <v>5779</v>
      </c>
      <c r="B5780" s="2">
        <v>1455.0</v>
      </c>
      <c r="C5780" s="2">
        <v>16944.0</v>
      </c>
      <c r="D5780" s="2">
        <v>6256.0</v>
      </c>
      <c r="E5780" s="3">
        <f t="shared" si="1"/>
        <v>0.4038995416</v>
      </c>
      <c r="F5780" s="2">
        <v>1852.0</v>
      </c>
      <c r="G5780" s="3">
        <f t="shared" si="2"/>
        <v>0.1195687262</v>
      </c>
      <c r="H5780" s="2">
        <v>3408.0</v>
      </c>
      <c r="I5780" s="3">
        <f t="shared" si="3"/>
        <v>0.220027116</v>
      </c>
      <c r="J5780" s="2">
        <v>2519.0</v>
      </c>
      <c r="K5780" s="3">
        <f t="shared" si="4"/>
        <v>0.162631545</v>
      </c>
      <c r="L5780" s="2">
        <v>2071.0</v>
      </c>
      <c r="M5780" s="3">
        <f t="shared" si="5"/>
        <v>0.6076877934</v>
      </c>
      <c r="N5780" s="2">
        <v>1.81332E7</v>
      </c>
      <c r="O5780" s="4">
        <f t="shared" si="6"/>
        <v>5320.774648</v>
      </c>
      <c r="P5780" s="2">
        <v>1.0</v>
      </c>
      <c r="Q5780" s="3">
        <f t="shared" si="7"/>
        <v>0.0006872852234</v>
      </c>
      <c r="R5780" s="2">
        <v>1455.0</v>
      </c>
      <c r="S5780" s="5">
        <f t="shared" si="8"/>
        <v>1</v>
      </c>
    </row>
    <row r="5781">
      <c r="A5781" s="2" t="s">
        <v>5780</v>
      </c>
      <c r="B5781" s="2">
        <v>43.0</v>
      </c>
      <c r="C5781" s="2">
        <v>503.0</v>
      </c>
      <c r="D5781" s="2">
        <v>160.0</v>
      </c>
      <c r="E5781" s="3">
        <f t="shared" si="1"/>
        <v>0.347826087</v>
      </c>
      <c r="F5781" s="2">
        <v>55.0</v>
      </c>
      <c r="G5781" s="3">
        <f t="shared" si="2"/>
        <v>0.1195652174</v>
      </c>
      <c r="H5781" s="2">
        <v>74.0</v>
      </c>
      <c r="I5781" s="3">
        <f t="shared" si="3"/>
        <v>0.1608695652</v>
      </c>
      <c r="J5781" s="2">
        <v>68.0</v>
      </c>
      <c r="K5781" s="3">
        <f t="shared" si="4"/>
        <v>0.147826087</v>
      </c>
      <c r="L5781" s="2">
        <v>46.0</v>
      </c>
      <c r="M5781" s="3">
        <f t="shared" si="5"/>
        <v>0.6216216216</v>
      </c>
      <c r="N5781" s="2">
        <v>396200.0</v>
      </c>
      <c r="O5781" s="4">
        <f t="shared" si="6"/>
        <v>5354.054054</v>
      </c>
      <c r="P5781" s="2">
        <v>0.0</v>
      </c>
      <c r="Q5781" s="3">
        <f t="shared" si="7"/>
        <v>0</v>
      </c>
      <c r="R5781" s="2">
        <v>0.0</v>
      </c>
      <c r="S5781" s="5">
        <f t="shared" si="8"/>
        <v>0</v>
      </c>
    </row>
    <row r="5782">
      <c r="A5782" s="2" t="s">
        <v>5781</v>
      </c>
      <c r="B5782" s="2">
        <v>43.0</v>
      </c>
      <c r="C5782" s="2">
        <v>503.0</v>
      </c>
      <c r="D5782" s="2">
        <v>146.0</v>
      </c>
      <c r="E5782" s="3">
        <f t="shared" si="1"/>
        <v>0.3173913043</v>
      </c>
      <c r="F5782" s="2">
        <v>55.0</v>
      </c>
      <c r="G5782" s="3">
        <f t="shared" si="2"/>
        <v>0.1195652174</v>
      </c>
      <c r="H5782" s="2">
        <v>84.0</v>
      </c>
      <c r="I5782" s="3">
        <f t="shared" si="3"/>
        <v>0.1826086957</v>
      </c>
      <c r="J5782" s="2">
        <v>61.0</v>
      </c>
      <c r="K5782" s="3">
        <f t="shared" si="4"/>
        <v>0.1326086957</v>
      </c>
      <c r="L5782" s="2">
        <v>53.0</v>
      </c>
      <c r="M5782" s="3">
        <f t="shared" si="5"/>
        <v>0.630952381</v>
      </c>
      <c r="N5782" s="2">
        <v>456600.0</v>
      </c>
      <c r="O5782" s="4">
        <f t="shared" si="6"/>
        <v>5435.714286</v>
      </c>
      <c r="P5782" s="2">
        <v>0.0</v>
      </c>
      <c r="Q5782" s="3">
        <f t="shared" si="7"/>
        <v>0</v>
      </c>
      <c r="R5782" s="2">
        <v>43.0</v>
      </c>
      <c r="S5782" s="5">
        <f t="shared" si="8"/>
        <v>1</v>
      </c>
    </row>
    <row r="5783">
      <c r="A5783" s="2" t="s">
        <v>5782</v>
      </c>
      <c r="B5783" s="2">
        <v>806.0</v>
      </c>
      <c r="C5783" s="2">
        <v>9588.0</v>
      </c>
      <c r="D5783" s="2">
        <v>2983.0</v>
      </c>
      <c r="E5783" s="3">
        <f t="shared" si="1"/>
        <v>0.3396720565</v>
      </c>
      <c r="F5783" s="2">
        <v>1050.0</v>
      </c>
      <c r="G5783" s="3">
        <f t="shared" si="2"/>
        <v>0.119562742</v>
      </c>
      <c r="H5783" s="2">
        <v>1822.0</v>
      </c>
      <c r="I5783" s="3">
        <f t="shared" si="3"/>
        <v>0.2074698246</v>
      </c>
      <c r="J5783" s="2">
        <v>1247.0</v>
      </c>
      <c r="K5783" s="3">
        <f t="shared" si="4"/>
        <v>0.1419949898</v>
      </c>
      <c r="L5783" s="2">
        <v>1129.0</v>
      </c>
      <c r="M5783" s="3">
        <f t="shared" si="5"/>
        <v>0.6196487377</v>
      </c>
      <c r="N5783" s="2">
        <v>9870700.0</v>
      </c>
      <c r="O5783" s="4">
        <f t="shared" si="6"/>
        <v>5417.508233</v>
      </c>
      <c r="P5783" s="2">
        <v>0.0</v>
      </c>
      <c r="Q5783" s="3">
        <f t="shared" si="7"/>
        <v>0</v>
      </c>
      <c r="R5783" s="2">
        <v>231.0</v>
      </c>
      <c r="S5783" s="5">
        <f t="shared" si="8"/>
        <v>0.2866004963</v>
      </c>
    </row>
    <row r="5784">
      <c r="A5784" s="2" t="s">
        <v>5783</v>
      </c>
      <c r="B5784" s="2">
        <v>4501.0</v>
      </c>
      <c r="C5784" s="2">
        <v>53101.0</v>
      </c>
      <c r="D5784" s="2">
        <v>16472.0</v>
      </c>
      <c r="E5784" s="3">
        <f t="shared" si="1"/>
        <v>0.3389300412</v>
      </c>
      <c r="F5784" s="2">
        <v>5810.0</v>
      </c>
      <c r="G5784" s="3">
        <f t="shared" si="2"/>
        <v>0.1195473251</v>
      </c>
      <c r="H5784" s="2">
        <v>10490.0</v>
      </c>
      <c r="I5784" s="3">
        <f t="shared" si="3"/>
        <v>0.2158436214</v>
      </c>
      <c r="J5784" s="2">
        <v>7344.0</v>
      </c>
      <c r="K5784" s="3">
        <f t="shared" si="4"/>
        <v>0.1511111111</v>
      </c>
      <c r="L5784" s="2">
        <v>6416.0</v>
      </c>
      <c r="M5784" s="3">
        <f t="shared" si="5"/>
        <v>0.6116301239</v>
      </c>
      <c r="N5784" s="2">
        <v>5.88223E7</v>
      </c>
      <c r="O5784" s="4">
        <f t="shared" si="6"/>
        <v>5607.464252</v>
      </c>
      <c r="P5784" s="2">
        <v>4.0</v>
      </c>
      <c r="Q5784" s="3">
        <f t="shared" si="7"/>
        <v>0.0008886914019</v>
      </c>
      <c r="R5784" s="2">
        <v>4500.0</v>
      </c>
      <c r="S5784" s="5">
        <f t="shared" si="8"/>
        <v>0.9997778271</v>
      </c>
    </row>
    <row r="5785">
      <c r="A5785" s="2" t="s">
        <v>5784</v>
      </c>
      <c r="B5785" s="2">
        <v>523.0</v>
      </c>
      <c r="C5785" s="2">
        <v>6069.0</v>
      </c>
      <c r="D5785" s="2">
        <v>1561.0</v>
      </c>
      <c r="E5785" s="3">
        <f t="shared" si="1"/>
        <v>0.2814641183</v>
      </c>
      <c r="F5785" s="2">
        <v>663.0</v>
      </c>
      <c r="G5785" s="3">
        <f t="shared" si="2"/>
        <v>0.1195456185</v>
      </c>
      <c r="H5785" s="2">
        <v>1179.0</v>
      </c>
      <c r="I5785" s="3">
        <f t="shared" si="3"/>
        <v>0.2125856473</v>
      </c>
      <c r="J5785" s="2">
        <v>1248.0</v>
      </c>
      <c r="K5785" s="3">
        <f t="shared" si="4"/>
        <v>0.2250270465</v>
      </c>
      <c r="L5785" s="2">
        <v>675.0</v>
      </c>
      <c r="M5785" s="3">
        <f t="shared" si="5"/>
        <v>0.572519084</v>
      </c>
      <c r="N5785" s="2">
        <v>6977100.0</v>
      </c>
      <c r="O5785" s="4">
        <f t="shared" si="6"/>
        <v>5917.811705</v>
      </c>
      <c r="P5785" s="2">
        <v>1.0</v>
      </c>
      <c r="Q5785" s="3">
        <f t="shared" si="7"/>
        <v>0.001912045889</v>
      </c>
      <c r="R5785" s="2">
        <v>523.0</v>
      </c>
      <c r="S5785" s="5">
        <f t="shared" si="8"/>
        <v>1</v>
      </c>
    </row>
    <row r="5786">
      <c r="A5786" s="2" t="s">
        <v>5785</v>
      </c>
      <c r="B5786" s="2">
        <v>42.0</v>
      </c>
      <c r="C5786" s="2">
        <v>477.0</v>
      </c>
      <c r="D5786" s="2">
        <v>110.0</v>
      </c>
      <c r="E5786" s="3">
        <f t="shared" si="1"/>
        <v>0.2528735632</v>
      </c>
      <c r="F5786" s="2">
        <v>52.0</v>
      </c>
      <c r="G5786" s="3">
        <f t="shared" si="2"/>
        <v>0.1195402299</v>
      </c>
      <c r="H5786" s="2">
        <v>88.0</v>
      </c>
      <c r="I5786" s="3">
        <f t="shared" si="3"/>
        <v>0.2022988506</v>
      </c>
      <c r="J5786" s="2">
        <v>84.0</v>
      </c>
      <c r="K5786" s="3">
        <f t="shared" si="4"/>
        <v>0.1931034483</v>
      </c>
      <c r="L5786" s="2">
        <v>54.0</v>
      </c>
      <c r="M5786" s="3">
        <f t="shared" si="5"/>
        <v>0.6136363636</v>
      </c>
      <c r="N5786" s="2">
        <v>508900.0</v>
      </c>
      <c r="O5786" s="4">
        <f t="shared" si="6"/>
        <v>5782.954545</v>
      </c>
      <c r="P5786" s="2">
        <v>0.0</v>
      </c>
      <c r="Q5786" s="3">
        <f t="shared" si="7"/>
        <v>0</v>
      </c>
      <c r="R5786" s="2">
        <v>42.0</v>
      </c>
      <c r="S5786" s="5">
        <f t="shared" si="8"/>
        <v>1</v>
      </c>
    </row>
    <row r="5787">
      <c r="A5787" s="2" t="s">
        <v>5786</v>
      </c>
      <c r="B5787" s="2">
        <v>167.0</v>
      </c>
      <c r="C5787" s="2">
        <v>1907.0</v>
      </c>
      <c r="D5787" s="2">
        <v>672.0</v>
      </c>
      <c r="E5787" s="3">
        <f t="shared" si="1"/>
        <v>0.3862068966</v>
      </c>
      <c r="F5787" s="2">
        <v>208.0</v>
      </c>
      <c r="G5787" s="3">
        <f t="shared" si="2"/>
        <v>0.1195402299</v>
      </c>
      <c r="H5787" s="2">
        <v>349.0</v>
      </c>
      <c r="I5787" s="3">
        <f t="shared" si="3"/>
        <v>0.2005747126</v>
      </c>
      <c r="J5787" s="2">
        <v>274.0</v>
      </c>
      <c r="K5787" s="3">
        <f t="shared" si="4"/>
        <v>0.1574712644</v>
      </c>
      <c r="L5787" s="2">
        <v>203.0</v>
      </c>
      <c r="M5787" s="3">
        <f t="shared" si="5"/>
        <v>0.5816618911</v>
      </c>
      <c r="N5787" s="2">
        <v>1871600.0</v>
      </c>
      <c r="O5787" s="4">
        <f t="shared" si="6"/>
        <v>5362.750716</v>
      </c>
      <c r="P5787" s="2">
        <v>0.0</v>
      </c>
      <c r="Q5787" s="3">
        <f t="shared" si="7"/>
        <v>0</v>
      </c>
      <c r="R5787" s="2">
        <v>158.0</v>
      </c>
      <c r="S5787" s="5">
        <f t="shared" si="8"/>
        <v>0.9461077844</v>
      </c>
    </row>
    <row r="5788">
      <c r="A5788" s="2" t="s">
        <v>5787</v>
      </c>
      <c r="B5788" s="2">
        <v>2924.0</v>
      </c>
      <c r="C5788" s="2">
        <v>34445.0</v>
      </c>
      <c r="D5788" s="2">
        <v>12616.0</v>
      </c>
      <c r="E5788" s="3">
        <f t="shared" si="1"/>
        <v>0.4002411091</v>
      </c>
      <c r="F5788" s="2">
        <v>3768.0</v>
      </c>
      <c r="G5788" s="3">
        <f t="shared" si="2"/>
        <v>0.1195393547</v>
      </c>
      <c r="H5788" s="2">
        <v>7053.0</v>
      </c>
      <c r="I5788" s="3">
        <f t="shared" si="3"/>
        <v>0.2237555915</v>
      </c>
      <c r="J5788" s="2">
        <v>5406.0</v>
      </c>
      <c r="K5788" s="3">
        <f t="shared" si="4"/>
        <v>0.1715047111</v>
      </c>
      <c r="L5788" s="2">
        <v>4222.0</v>
      </c>
      <c r="M5788" s="3">
        <f t="shared" si="5"/>
        <v>0.5986105203</v>
      </c>
      <c r="N5788" s="2">
        <v>3.68421E7</v>
      </c>
      <c r="O5788" s="4">
        <f t="shared" si="6"/>
        <v>5223.606976</v>
      </c>
      <c r="P5788" s="2">
        <v>5.0</v>
      </c>
      <c r="Q5788" s="3">
        <f t="shared" si="7"/>
        <v>0.00170998632</v>
      </c>
      <c r="R5788" s="2">
        <v>0.0</v>
      </c>
      <c r="S5788" s="5">
        <f t="shared" si="8"/>
        <v>0</v>
      </c>
    </row>
    <row r="5789">
      <c r="A5789" s="2" t="s">
        <v>5788</v>
      </c>
      <c r="B5789" s="2">
        <v>1276.0</v>
      </c>
      <c r="C5789" s="2">
        <v>15223.0</v>
      </c>
      <c r="D5789" s="2">
        <v>5140.0</v>
      </c>
      <c r="E5789" s="3">
        <f t="shared" si="1"/>
        <v>0.3685380369</v>
      </c>
      <c r="F5789" s="2">
        <v>1667.0</v>
      </c>
      <c r="G5789" s="3">
        <f t="shared" si="2"/>
        <v>0.119523912</v>
      </c>
      <c r="H5789" s="2">
        <v>2828.0</v>
      </c>
      <c r="I5789" s="3">
        <f t="shared" si="3"/>
        <v>0.2027676203</v>
      </c>
      <c r="J5789" s="2">
        <v>2249.0</v>
      </c>
      <c r="K5789" s="3">
        <f t="shared" si="4"/>
        <v>0.1612533161</v>
      </c>
      <c r="L5789" s="2">
        <v>1696.0</v>
      </c>
      <c r="M5789" s="3">
        <f t="shared" si="5"/>
        <v>0.5997171146</v>
      </c>
      <c r="N5789" s="2">
        <v>1.49009E7</v>
      </c>
      <c r="O5789" s="4">
        <f t="shared" si="6"/>
        <v>5269.059406</v>
      </c>
      <c r="P5789" s="2">
        <v>1.0</v>
      </c>
      <c r="Q5789" s="3">
        <f t="shared" si="7"/>
        <v>0.0007836990596</v>
      </c>
      <c r="R5789" s="2">
        <v>1276.0</v>
      </c>
      <c r="S5789" s="5">
        <f t="shared" si="8"/>
        <v>1</v>
      </c>
    </row>
    <row r="5790">
      <c r="A5790" s="2" t="s">
        <v>5789</v>
      </c>
      <c r="B5790" s="2">
        <v>1298.0</v>
      </c>
      <c r="C5790" s="2">
        <v>15539.0</v>
      </c>
      <c r="D5790" s="2">
        <v>4649.0</v>
      </c>
      <c r="E5790" s="3">
        <f t="shared" si="1"/>
        <v>0.3264517941</v>
      </c>
      <c r="F5790" s="2">
        <v>1702.0</v>
      </c>
      <c r="G5790" s="3">
        <f t="shared" si="2"/>
        <v>0.1195140791</v>
      </c>
      <c r="H5790" s="2">
        <v>2854.0</v>
      </c>
      <c r="I5790" s="3">
        <f t="shared" si="3"/>
        <v>0.2004072748</v>
      </c>
      <c r="J5790" s="2">
        <v>2312.0</v>
      </c>
      <c r="K5790" s="3">
        <f t="shared" si="4"/>
        <v>0.1623481497</v>
      </c>
      <c r="L5790" s="2">
        <v>1636.0</v>
      </c>
      <c r="M5790" s="3">
        <f t="shared" si="5"/>
        <v>0.5732305536</v>
      </c>
      <c r="N5790" s="2">
        <v>1.62995E7</v>
      </c>
      <c r="O5790" s="4">
        <f t="shared" si="6"/>
        <v>5711.107218</v>
      </c>
      <c r="P5790" s="2">
        <v>5.0</v>
      </c>
      <c r="Q5790" s="3">
        <f t="shared" si="7"/>
        <v>0.003852080123</v>
      </c>
      <c r="R5790" s="2">
        <v>1298.0</v>
      </c>
      <c r="S5790" s="5">
        <f t="shared" si="8"/>
        <v>1</v>
      </c>
    </row>
    <row r="5791">
      <c r="A5791" s="2" t="s">
        <v>5790</v>
      </c>
      <c r="B5791" s="2">
        <v>151.0</v>
      </c>
      <c r="C5791" s="2">
        <v>1791.0</v>
      </c>
      <c r="D5791" s="2">
        <v>650.0</v>
      </c>
      <c r="E5791" s="3">
        <f t="shared" si="1"/>
        <v>0.3963414634</v>
      </c>
      <c r="F5791" s="2">
        <v>196.0</v>
      </c>
      <c r="G5791" s="3">
        <f t="shared" si="2"/>
        <v>0.1195121951</v>
      </c>
      <c r="H5791" s="2">
        <v>343.0</v>
      </c>
      <c r="I5791" s="3">
        <f t="shared" si="3"/>
        <v>0.2091463415</v>
      </c>
      <c r="J5791" s="2">
        <v>262.0</v>
      </c>
      <c r="K5791" s="3">
        <f t="shared" si="4"/>
        <v>0.1597560976</v>
      </c>
      <c r="L5791" s="2">
        <v>205.0</v>
      </c>
      <c r="M5791" s="3">
        <f t="shared" si="5"/>
        <v>0.5976676385</v>
      </c>
      <c r="N5791" s="2">
        <v>1782000.0</v>
      </c>
      <c r="O5791" s="4">
        <f t="shared" si="6"/>
        <v>5195.335277</v>
      </c>
      <c r="P5791" s="2">
        <v>0.0</v>
      </c>
      <c r="Q5791" s="3">
        <f t="shared" si="7"/>
        <v>0</v>
      </c>
      <c r="R5791" s="2">
        <v>151.0</v>
      </c>
      <c r="S5791" s="5">
        <f t="shared" si="8"/>
        <v>1</v>
      </c>
    </row>
    <row r="5792">
      <c r="A5792" s="2" t="s">
        <v>5791</v>
      </c>
      <c r="B5792" s="2">
        <v>3264.0</v>
      </c>
      <c r="C5792" s="2">
        <v>37922.0</v>
      </c>
      <c r="D5792" s="2">
        <v>12006.0</v>
      </c>
      <c r="E5792" s="3">
        <f t="shared" si="1"/>
        <v>0.3464135265</v>
      </c>
      <c r="F5792" s="2">
        <v>4142.0</v>
      </c>
      <c r="G5792" s="3">
        <f t="shared" si="2"/>
        <v>0.1195106469</v>
      </c>
      <c r="H5792" s="2">
        <v>7503.0</v>
      </c>
      <c r="I5792" s="3">
        <f t="shared" si="3"/>
        <v>0.216486814</v>
      </c>
      <c r="J5792" s="2">
        <v>6321.0</v>
      </c>
      <c r="K5792" s="3">
        <f t="shared" si="4"/>
        <v>0.182382134</v>
      </c>
      <c r="L5792" s="2">
        <v>4440.0</v>
      </c>
      <c r="M5792" s="3">
        <f t="shared" si="5"/>
        <v>0.5917632947</v>
      </c>
      <c r="N5792" s="2">
        <v>4.37732E7</v>
      </c>
      <c r="O5792" s="4">
        <f t="shared" si="6"/>
        <v>5834.093029</v>
      </c>
      <c r="P5792" s="2">
        <v>3.0</v>
      </c>
      <c r="Q5792" s="3">
        <f t="shared" si="7"/>
        <v>0.0009191176471</v>
      </c>
      <c r="R5792" s="2">
        <v>3264.0</v>
      </c>
      <c r="S5792" s="5">
        <f t="shared" si="8"/>
        <v>1</v>
      </c>
    </row>
    <row r="5793">
      <c r="A5793" s="2" t="s">
        <v>5792</v>
      </c>
      <c r="B5793" s="2">
        <v>167.0</v>
      </c>
      <c r="C5793" s="2">
        <v>1941.0</v>
      </c>
      <c r="D5793" s="2">
        <v>536.0</v>
      </c>
      <c r="E5793" s="3">
        <f t="shared" si="1"/>
        <v>0.3021420519</v>
      </c>
      <c r="F5793" s="2">
        <v>212.0</v>
      </c>
      <c r="G5793" s="3">
        <f t="shared" si="2"/>
        <v>0.1195039459</v>
      </c>
      <c r="H5793" s="2">
        <v>339.0</v>
      </c>
      <c r="I5793" s="3">
        <f t="shared" si="3"/>
        <v>0.1910935738</v>
      </c>
      <c r="J5793" s="2">
        <v>318.0</v>
      </c>
      <c r="K5793" s="3">
        <f t="shared" si="4"/>
        <v>0.1792559188</v>
      </c>
      <c r="L5793" s="2">
        <v>194.0</v>
      </c>
      <c r="M5793" s="3">
        <f t="shared" si="5"/>
        <v>0.5722713864</v>
      </c>
      <c r="N5793" s="2">
        <v>1918900.0</v>
      </c>
      <c r="O5793" s="4">
        <f t="shared" si="6"/>
        <v>5660.471976</v>
      </c>
      <c r="P5793" s="2">
        <v>0.0</v>
      </c>
      <c r="Q5793" s="3">
        <f t="shared" si="7"/>
        <v>0</v>
      </c>
      <c r="R5793" s="2">
        <v>0.0</v>
      </c>
      <c r="S5793" s="5">
        <f t="shared" si="8"/>
        <v>0</v>
      </c>
    </row>
    <row r="5794">
      <c r="A5794" s="2" t="s">
        <v>5793</v>
      </c>
      <c r="B5794" s="2">
        <v>2284.0</v>
      </c>
      <c r="C5794" s="2">
        <v>26535.0</v>
      </c>
      <c r="D5794" s="2">
        <v>7858.0</v>
      </c>
      <c r="E5794" s="3">
        <f t="shared" si="1"/>
        <v>0.3240278751</v>
      </c>
      <c r="F5794" s="2">
        <v>2898.0</v>
      </c>
      <c r="G5794" s="3">
        <f t="shared" si="2"/>
        <v>0.1195002268</v>
      </c>
      <c r="H5794" s="2">
        <v>4848.0</v>
      </c>
      <c r="I5794" s="3">
        <f t="shared" si="3"/>
        <v>0.1999092821</v>
      </c>
      <c r="J5794" s="2">
        <v>4280.0</v>
      </c>
      <c r="K5794" s="3">
        <f t="shared" si="4"/>
        <v>0.1764875675</v>
      </c>
      <c r="L5794" s="2">
        <v>2896.0</v>
      </c>
      <c r="M5794" s="3">
        <f t="shared" si="5"/>
        <v>0.597359736</v>
      </c>
      <c r="N5794" s="2">
        <v>2.9099E7</v>
      </c>
      <c r="O5794" s="4">
        <f t="shared" si="6"/>
        <v>6002.268977</v>
      </c>
      <c r="P5794" s="2">
        <v>7.0</v>
      </c>
      <c r="Q5794" s="3">
        <f t="shared" si="7"/>
        <v>0.003064798599</v>
      </c>
      <c r="R5794" s="2">
        <v>2284.0</v>
      </c>
      <c r="S5794" s="5">
        <f t="shared" si="8"/>
        <v>1</v>
      </c>
    </row>
    <row r="5795">
      <c r="A5795" s="2" t="s">
        <v>5794</v>
      </c>
      <c r="B5795" s="2">
        <v>169.0</v>
      </c>
      <c r="C5795" s="2">
        <v>1985.0</v>
      </c>
      <c r="D5795" s="2">
        <v>606.0</v>
      </c>
      <c r="E5795" s="3">
        <f t="shared" si="1"/>
        <v>0.3337004405</v>
      </c>
      <c r="F5795" s="2">
        <v>217.0</v>
      </c>
      <c r="G5795" s="3">
        <f t="shared" si="2"/>
        <v>0.1194933921</v>
      </c>
      <c r="H5795" s="2">
        <v>355.0</v>
      </c>
      <c r="I5795" s="3">
        <f t="shared" si="3"/>
        <v>0.1954845815</v>
      </c>
      <c r="J5795" s="2">
        <v>318.0</v>
      </c>
      <c r="K5795" s="3">
        <f t="shared" si="4"/>
        <v>0.1751101322</v>
      </c>
      <c r="L5795" s="2">
        <v>196.0</v>
      </c>
      <c r="M5795" s="3">
        <f t="shared" si="5"/>
        <v>0.5521126761</v>
      </c>
      <c r="N5795" s="2">
        <v>2008600.0</v>
      </c>
      <c r="O5795" s="4">
        <f t="shared" si="6"/>
        <v>5658.028169</v>
      </c>
      <c r="P5795" s="2">
        <v>0.0</v>
      </c>
      <c r="Q5795" s="3">
        <f t="shared" si="7"/>
        <v>0</v>
      </c>
      <c r="R5795" s="2">
        <v>169.0</v>
      </c>
      <c r="S5795" s="5">
        <f t="shared" si="8"/>
        <v>1</v>
      </c>
    </row>
    <row r="5796">
      <c r="A5796" s="2" t="s">
        <v>5795</v>
      </c>
      <c r="B5796" s="2">
        <v>1383.0</v>
      </c>
      <c r="C5796" s="2">
        <v>15937.0</v>
      </c>
      <c r="D5796" s="2">
        <v>5521.0</v>
      </c>
      <c r="E5796" s="3">
        <f t="shared" si="1"/>
        <v>0.3793458843</v>
      </c>
      <c r="F5796" s="2">
        <v>1739.0</v>
      </c>
      <c r="G5796" s="3">
        <f t="shared" si="2"/>
        <v>0.1194860519</v>
      </c>
      <c r="H5796" s="2">
        <v>3160.0</v>
      </c>
      <c r="I5796" s="3">
        <f t="shared" si="3"/>
        <v>0.2171224406</v>
      </c>
      <c r="J5796" s="2">
        <v>2873.0</v>
      </c>
      <c r="K5796" s="3">
        <f t="shared" si="4"/>
        <v>0.1974027759</v>
      </c>
      <c r="L5796" s="2">
        <v>1882.0</v>
      </c>
      <c r="M5796" s="3">
        <f t="shared" si="5"/>
        <v>0.5955696203</v>
      </c>
      <c r="N5796" s="2">
        <v>1.87833E7</v>
      </c>
      <c r="O5796" s="4">
        <f t="shared" si="6"/>
        <v>5944.082278</v>
      </c>
      <c r="P5796" s="2">
        <v>8.0</v>
      </c>
      <c r="Q5796" s="3">
        <f t="shared" si="7"/>
        <v>0.005784526392</v>
      </c>
      <c r="R5796" s="2">
        <v>1370.0</v>
      </c>
      <c r="S5796" s="5">
        <f t="shared" si="8"/>
        <v>0.9906001446</v>
      </c>
    </row>
    <row r="5797">
      <c r="A5797" s="2" t="s">
        <v>5796</v>
      </c>
      <c r="B5797" s="2">
        <v>851.0</v>
      </c>
      <c r="C5797" s="2">
        <v>9993.0</v>
      </c>
      <c r="D5797" s="2">
        <v>3612.0</v>
      </c>
      <c r="E5797" s="3">
        <f t="shared" si="1"/>
        <v>0.3950995406</v>
      </c>
      <c r="F5797" s="2">
        <v>1092.0</v>
      </c>
      <c r="G5797" s="3">
        <f t="shared" si="2"/>
        <v>0.1194486983</v>
      </c>
      <c r="H5797" s="2">
        <v>1940.0</v>
      </c>
      <c r="I5797" s="3">
        <f t="shared" si="3"/>
        <v>0.2122073944</v>
      </c>
      <c r="J5797" s="2">
        <v>1141.0</v>
      </c>
      <c r="K5797" s="3">
        <f t="shared" si="4"/>
        <v>0.1248085758</v>
      </c>
      <c r="L5797" s="2">
        <v>1194.0</v>
      </c>
      <c r="M5797" s="3">
        <f t="shared" si="5"/>
        <v>0.6154639175</v>
      </c>
      <c r="N5797" s="2">
        <v>1.07468E7</v>
      </c>
      <c r="O5797" s="4">
        <f t="shared" si="6"/>
        <v>5539.587629</v>
      </c>
      <c r="P5797" s="2">
        <v>2.0</v>
      </c>
      <c r="Q5797" s="3">
        <f t="shared" si="7"/>
        <v>0.002350176263</v>
      </c>
      <c r="R5797" s="2">
        <v>851.0</v>
      </c>
      <c r="S5797" s="5">
        <f t="shared" si="8"/>
        <v>1</v>
      </c>
    </row>
    <row r="5798">
      <c r="A5798" s="2" t="s">
        <v>5797</v>
      </c>
      <c r="B5798" s="2">
        <v>74.0</v>
      </c>
      <c r="C5798" s="2">
        <v>861.0</v>
      </c>
      <c r="D5798" s="2">
        <v>191.0</v>
      </c>
      <c r="E5798" s="3">
        <f t="shared" si="1"/>
        <v>0.2426937738</v>
      </c>
      <c r="F5798" s="2">
        <v>94.0</v>
      </c>
      <c r="G5798" s="3">
        <f t="shared" si="2"/>
        <v>0.1194409149</v>
      </c>
      <c r="H5798" s="2">
        <v>146.0</v>
      </c>
      <c r="I5798" s="3">
        <f t="shared" si="3"/>
        <v>0.1855146125</v>
      </c>
      <c r="J5798" s="2">
        <v>110.0</v>
      </c>
      <c r="K5798" s="3">
        <f t="shared" si="4"/>
        <v>0.1397712834</v>
      </c>
      <c r="L5798" s="2">
        <v>101.0</v>
      </c>
      <c r="M5798" s="3">
        <f t="shared" si="5"/>
        <v>0.6917808219</v>
      </c>
      <c r="N5798" s="2">
        <v>809900.0</v>
      </c>
      <c r="O5798" s="4">
        <f t="shared" si="6"/>
        <v>5547.260274</v>
      </c>
      <c r="P5798" s="2">
        <v>0.0</v>
      </c>
      <c r="Q5798" s="3">
        <f t="shared" si="7"/>
        <v>0</v>
      </c>
      <c r="R5798" s="2">
        <v>0.0</v>
      </c>
      <c r="S5798" s="5">
        <f t="shared" si="8"/>
        <v>0</v>
      </c>
    </row>
    <row r="5799">
      <c r="A5799" s="2" t="s">
        <v>5798</v>
      </c>
      <c r="B5799" s="2">
        <v>188.0</v>
      </c>
      <c r="C5799" s="2">
        <v>2189.0</v>
      </c>
      <c r="D5799" s="2">
        <v>728.0</v>
      </c>
      <c r="E5799" s="3">
        <f t="shared" si="1"/>
        <v>0.363818091</v>
      </c>
      <c r="F5799" s="2">
        <v>239.0</v>
      </c>
      <c r="G5799" s="3">
        <f t="shared" si="2"/>
        <v>0.1194402799</v>
      </c>
      <c r="H5799" s="2">
        <v>424.0</v>
      </c>
      <c r="I5799" s="3">
        <f t="shared" si="3"/>
        <v>0.211894053</v>
      </c>
      <c r="J5799" s="2">
        <v>332.0</v>
      </c>
      <c r="K5799" s="3">
        <f t="shared" si="4"/>
        <v>0.1659170415</v>
      </c>
      <c r="L5799" s="2">
        <v>253.0</v>
      </c>
      <c r="M5799" s="3">
        <f t="shared" si="5"/>
        <v>0.5966981132</v>
      </c>
      <c r="N5799" s="2">
        <v>2229600.0</v>
      </c>
      <c r="O5799" s="4">
        <f t="shared" si="6"/>
        <v>5258.490566</v>
      </c>
      <c r="P5799" s="2">
        <v>0.0</v>
      </c>
      <c r="Q5799" s="3">
        <f t="shared" si="7"/>
        <v>0</v>
      </c>
      <c r="R5799" s="2">
        <v>0.0</v>
      </c>
      <c r="S5799" s="5">
        <f t="shared" si="8"/>
        <v>0</v>
      </c>
    </row>
    <row r="5800">
      <c r="A5800" s="2" t="s">
        <v>5799</v>
      </c>
      <c r="B5800" s="2">
        <v>478.0</v>
      </c>
      <c r="C5800" s="2">
        <v>5552.0</v>
      </c>
      <c r="D5800" s="2">
        <v>1558.0</v>
      </c>
      <c r="E5800" s="3">
        <f t="shared" si="1"/>
        <v>0.3070555775</v>
      </c>
      <c r="F5800" s="2">
        <v>606.0</v>
      </c>
      <c r="G5800" s="3">
        <f t="shared" si="2"/>
        <v>0.1194324005</v>
      </c>
      <c r="H5800" s="2">
        <v>924.0</v>
      </c>
      <c r="I5800" s="3">
        <f t="shared" si="3"/>
        <v>0.1821048482</v>
      </c>
      <c r="J5800" s="2">
        <v>804.0</v>
      </c>
      <c r="K5800" s="3">
        <f t="shared" si="4"/>
        <v>0.158454868</v>
      </c>
      <c r="L5800" s="2">
        <v>539.0</v>
      </c>
      <c r="M5800" s="3">
        <f t="shared" si="5"/>
        <v>0.5833333333</v>
      </c>
      <c r="N5800" s="2">
        <v>5974100.0</v>
      </c>
      <c r="O5800" s="4">
        <f t="shared" si="6"/>
        <v>6465.47619</v>
      </c>
      <c r="P5800" s="2">
        <v>4.0</v>
      </c>
      <c r="Q5800" s="3">
        <f t="shared" si="7"/>
        <v>0.008368200837</v>
      </c>
      <c r="R5800" s="2">
        <v>478.0</v>
      </c>
      <c r="S5800" s="5">
        <f t="shared" si="8"/>
        <v>1</v>
      </c>
    </row>
    <row r="5801">
      <c r="A5801" s="2" t="s">
        <v>5800</v>
      </c>
      <c r="B5801" s="2">
        <v>96.0</v>
      </c>
      <c r="C5801" s="2">
        <v>1151.0</v>
      </c>
      <c r="D5801" s="2">
        <v>397.0</v>
      </c>
      <c r="E5801" s="3">
        <f t="shared" si="1"/>
        <v>0.3763033175</v>
      </c>
      <c r="F5801" s="2">
        <v>126.0</v>
      </c>
      <c r="G5801" s="3">
        <f t="shared" si="2"/>
        <v>0.1194312796</v>
      </c>
      <c r="H5801" s="2">
        <v>228.0</v>
      </c>
      <c r="I5801" s="3">
        <f t="shared" si="3"/>
        <v>0.2161137441</v>
      </c>
      <c r="J5801" s="2">
        <v>166.0</v>
      </c>
      <c r="K5801" s="3">
        <f t="shared" si="4"/>
        <v>0.1573459716</v>
      </c>
      <c r="L5801" s="2">
        <v>136.0</v>
      </c>
      <c r="M5801" s="3">
        <f t="shared" si="5"/>
        <v>0.5964912281</v>
      </c>
      <c r="N5801" s="2">
        <v>1123900.0</v>
      </c>
      <c r="O5801" s="4">
        <f t="shared" si="6"/>
        <v>4929.385965</v>
      </c>
      <c r="P5801" s="2">
        <v>1.0</v>
      </c>
      <c r="Q5801" s="3">
        <f t="shared" si="7"/>
        <v>0.01041666667</v>
      </c>
      <c r="R5801" s="2">
        <v>96.0</v>
      </c>
      <c r="S5801" s="5">
        <f t="shared" si="8"/>
        <v>1</v>
      </c>
    </row>
    <row r="5802">
      <c r="A5802" s="2" t="s">
        <v>5801</v>
      </c>
      <c r="B5802" s="2">
        <v>2828.0</v>
      </c>
      <c r="C5802" s="2">
        <v>32732.0</v>
      </c>
      <c r="D5802" s="2">
        <v>9863.0</v>
      </c>
      <c r="E5802" s="3">
        <f t="shared" si="1"/>
        <v>0.3298220974</v>
      </c>
      <c r="F5802" s="2">
        <v>3571.0</v>
      </c>
      <c r="G5802" s="3">
        <f t="shared" si="2"/>
        <v>0.1194154628</v>
      </c>
      <c r="H5802" s="2">
        <v>6364.0</v>
      </c>
      <c r="I5802" s="3">
        <f t="shared" si="3"/>
        <v>0.2128143392</v>
      </c>
      <c r="J5802" s="2">
        <v>5926.0</v>
      </c>
      <c r="K5802" s="3">
        <f t="shared" si="4"/>
        <v>0.1981674692</v>
      </c>
      <c r="L5802" s="2">
        <v>3735.0</v>
      </c>
      <c r="M5802" s="3">
        <f t="shared" si="5"/>
        <v>0.5868950346</v>
      </c>
      <c r="N5802" s="2">
        <v>3.77463E7</v>
      </c>
      <c r="O5802" s="4">
        <f t="shared" si="6"/>
        <v>5931.222502</v>
      </c>
      <c r="P5802" s="2">
        <v>4.0</v>
      </c>
      <c r="Q5802" s="3">
        <f t="shared" si="7"/>
        <v>0.001414427157</v>
      </c>
      <c r="R5802" s="2">
        <v>2828.0</v>
      </c>
      <c r="S5802" s="5">
        <f t="shared" si="8"/>
        <v>1</v>
      </c>
    </row>
    <row r="5803">
      <c r="A5803" s="2" t="s">
        <v>5802</v>
      </c>
      <c r="B5803" s="2">
        <v>1884.0</v>
      </c>
      <c r="C5803" s="2">
        <v>22225.0</v>
      </c>
      <c r="D5803" s="2">
        <v>7459.0</v>
      </c>
      <c r="E5803" s="3">
        <f t="shared" si="1"/>
        <v>0.3666978025</v>
      </c>
      <c r="F5803" s="2">
        <v>2429.0</v>
      </c>
      <c r="G5803" s="3">
        <f t="shared" si="2"/>
        <v>0.1194139914</v>
      </c>
      <c r="H5803" s="2">
        <v>4233.0</v>
      </c>
      <c r="I5803" s="3">
        <f t="shared" si="3"/>
        <v>0.2081018632</v>
      </c>
      <c r="J5803" s="2">
        <v>3281.0</v>
      </c>
      <c r="K5803" s="3">
        <f t="shared" si="4"/>
        <v>0.1612998378</v>
      </c>
      <c r="L5803" s="2">
        <v>2508.0</v>
      </c>
      <c r="M5803" s="3">
        <f t="shared" si="5"/>
        <v>0.5924875974</v>
      </c>
      <c r="N5803" s="2">
        <v>2.28275E7</v>
      </c>
      <c r="O5803" s="4">
        <f t="shared" si="6"/>
        <v>5392.74746</v>
      </c>
      <c r="P5803" s="2">
        <v>2.0</v>
      </c>
      <c r="Q5803" s="3">
        <f t="shared" si="7"/>
        <v>0.001061571125</v>
      </c>
      <c r="R5803" s="2">
        <v>1854.0</v>
      </c>
      <c r="S5803" s="5">
        <f t="shared" si="8"/>
        <v>0.9840764331</v>
      </c>
    </row>
    <row r="5804">
      <c r="A5804" s="2" t="s">
        <v>5803</v>
      </c>
      <c r="B5804" s="2">
        <v>2449.0</v>
      </c>
      <c r="C5804" s="2">
        <v>28728.0</v>
      </c>
      <c r="D5804" s="2">
        <v>8884.0</v>
      </c>
      <c r="E5804" s="3">
        <f t="shared" si="1"/>
        <v>0.3380646143</v>
      </c>
      <c r="F5804" s="2">
        <v>3138.0</v>
      </c>
      <c r="G5804" s="3">
        <f t="shared" si="2"/>
        <v>0.1194109365</v>
      </c>
      <c r="H5804" s="2">
        <v>5600.0</v>
      </c>
      <c r="I5804" s="3">
        <f t="shared" si="3"/>
        <v>0.2130979109</v>
      </c>
      <c r="J5804" s="2">
        <v>4625.0</v>
      </c>
      <c r="K5804" s="3">
        <f t="shared" si="4"/>
        <v>0.1759960425</v>
      </c>
      <c r="L5804" s="2">
        <v>3393.0</v>
      </c>
      <c r="M5804" s="3">
        <f t="shared" si="5"/>
        <v>0.6058928571</v>
      </c>
      <c r="N5804" s="2">
        <v>3.23538E7</v>
      </c>
      <c r="O5804" s="4">
        <f t="shared" si="6"/>
        <v>5777.464286</v>
      </c>
      <c r="P5804" s="2">
        <v>4.0</v>
      </c>
      <c r="Q5804" s="3">
        <f t="shared" si="7"/>
        <v>0.001633319722</v>
      </c>
      <c r="R5804" s="2">
        <v>2449.0</v>
      </c>
      <c r="S5804" s="5">
        <f t="shared" si="8"/>
        <v>1</v>
      </c>
    </row>
    <row r="5805">
      <c r="A5805" s="2" t="s">
        <v>5804</v>
      </c>
      <c r="B5805" s="2">
        <v>1081.0</v>
      </c>
      <c r="C5805" s="2">
        <v>12638.0</v>
      </c>
      <c r="D5805" s="2">
        <v>4019.0</v>
      </c>
      <c r="E5805" s="3">
        <f t="shared" si="1"/>
        <v>0.3477546076</v>
      </c>
      <c r="F5805" s="2">
        <v>1380.0</v>
      </c>
      <c r="G5805" s="3">
        <f t="shared" si="2"/>
        <v>0.1194081509</v>
      </c>
      <c r="H5805" s="2">
        <v>2500.0</v>
      </c>
      <c r="I5805" s="3">
        <f t="shared" si="3"/>
        <v>0.216319114</v>
      </c>
      <c r="J5805" s="2">
        <v>2027.0</v>
      </c>
      <c r="K5805" s="3">
        <f t="shared" si="4"/>
        <v>0.1753915376</v>
      </c>
      <c r="L5805" s="2">
        <v>1462.0</v>
      </c>
      <c r="M5805" s="3">
        <f t="shared" si="5"/>
        <v>0.5848</v>
      </c>
      <c r="N5805" s="2">
        <v>1.41419E7</v>
      </c>
      <c r="O5805" s="4">
        <f t="shared" si="6"/>
        <v>5656.76</v>
      </c>
      <c r="P5805" s="2">
        <v>1.0</v>
      </c>
      <c r="Q5805" s="3">
        <f t="shared" si="7"/>
        <v>0.0009250693802</v>
      </c>
      <c r="R5805" s="2">
        <v>1081.0</v>
      </c>
      <c r="S5805" s="5">
        <f t="shared" si="8"/>
        <v>1</v>
      </c>
    </row>
    <row r="5806">
      <c r="A5806" s="2" t="s">
        <v>5805</v>
      </c>
      <c r="B5806" s="2">
        <v>3032.0</v>
      </c>
      <c r="C5806" s="2">
        <v>35660.0</v>
      </c>
      <c r="D5806" s="2">
        <v>11690.0</v>
      </c>
      <c r="E5806" s="3">
        <f t="shared" si="1"/>
        <v>0.3582812308</v>
      </c>
      <c r="F5806" s="2">
        <v>3896.0</v>
      </c>
      <c r="G5806" s="3">
        <f t="shared" si="2"/>
        <v>0.1194066446</v>
      </c>
      <c r="H5806" s="2">
        <v>6917.0</v>
      </c>
      <c r="I5806" s="3">
        <f t="shared" si="3"/>
        <v>0.2119958318</v>
      </c>
      <c r="J5806" s="2">
        <v>4765.0</v>
      </c>
      <c r="K5806" s="3">
        <f t="shared" si="4"/>
        <v>0.1460402109</v>
      </c>
      <c r="L5806" s="2">
        <v>4152.0</v>
      </c>
      <c r="M5806" s="3">
        <f t="shared" si="5"/>
        <v>0.6002602284</v>
      </c>
      <c r="N5806" s="2">
        <v>3.73068E7</v>
      </c>
      <c r="O5806" s="4">
        <f t="shared" si="6"/>
        <v>5393.494289</v>
      </c>
      <c r="P5806" s="2">
        <v>5.0</v>
      </c>
      <c r="Q5806" s="3">
        <f t="shared" si="7"/>
        <v>0.001649076517</v>
      </c>
      <c r="R5806" s="2">
        <v>3032.0</v>
      </c>
      <c r="S5806" s="5">
        <f t="shared" si="8"/>
        <v>1</v>
      </c>
    </row>
    <row r="5807">
      <c r="A5807" s="2" t="s">
        <v>5806</v>
      </c>
      <c r="B5807" s="2">
        <v>3609.0</v>
      </c>
      <c r="C5807" s="2">
        <v>42586.0</v>
      </c>
      <c r="D5807" s="2">
        <v>10600.0</v>
      </c>
      <c r="E5807" s="3">
        <f t="shared" si="1"/>
        <v>0.2719552557</v>
      </c>
      <c r="F5807" s="2">
        <v>4654.0</v>
      </c>
      <c r="G5807" s="3">
        <f t="shared" si="2"/>
        <v>0.1194037509</v>
      </c>
      <c r="H5807" s="2">
        <v>7790.0</v>
      </c>
      <c r="I5807" s="3">
        <f t="shared" si="3"/>
        <v>0.1998614568</v>
      </c>
      <c r="J5807" s="2">
        <v>6157.0</v>
      </c>
      <c r="K5807" s="3">
        <f t="shared" si="4"/>
        <v>0.1579649537</v>
      </c>
      <c r="L5807" s="2">
        <v>4629.0</v>
      </c>
      <c r="M5807" s="3">
        <f t="shared" si="5"/>
        <v>0.5942233633</v>
      </c>
      <c r="N5807" s="2">
        <v>4.58044E7</v>
      </c>
      <c r="O5807" s="4">
        <f t="shared" si="6"/>
        <v>5879.897304</v>
      </c>
      <c r="P5807" s="2">
        <v>5.0</v>
      </c>
      <c r="Q5807" s="3">
        <f t="shared" si="7"/>
        <v>0.001385425326</v>
      </c>
      <c r="R5807" s="2">
        <v>3609.0</v>
      </c>
      <c r="S5807" s="5">
        <f t="shared" si="8"/>
        <v>1</v>
      </c>
    </row>
    <row r="5808">
      <c r="A5808" s="2" t="s">
        <v>5807</v>
      </c>
      <c r="B5808" s="2">
        <v>141.0</v>
      </c>
      <c r="C5808" s="2">
        <v>1615.0</v>
      </c>
      <c r="D5808" s="2">
        <v>543.0</v>
      </c>
      <c r="E5808" s="3">
        <f t="shared" si="1"/>
        <v>0.368385346</v>
      </c>
      <c r="F5808" s="2">
        <v>176.0</v>
      </c>
      <c r="G5808" s="3">
        <f t="shared" si="2"/>
        <v>0.1194029851</v>
      </c>
      <c r="H5808" s="2">
        <v>307.0</v>
      </c>
      <c r="I5808" s="3">
        <f t="shared" si="3"/>
        <v>0.2082767978</v>
      </c>
      <c r="J5808" s="2">
        <v>269.0</v>
      </c>
      <c r="K5808" s="3">
        <f t="shared" si="4"/>
        <v>0.1824966079</v>
      </c>
      <c r="L5808" s="2">
        <v>197.0</v>
      </c>
      <c r="M5808" s="3">
        <f t="shared" si="5"/>
        <v>0.6416938111</v>
      </c>
      <c r="N5808" s="2">
        <v>1687800.0</v>
      </c>
      <c r="O5808" s="4">
        <f t="shared" si="6"/>
        <v>5497.71987</v>
      </c>
      <c r="P5808" s="2">
        <v>1.0</v>
      </c>
      <c r="Q5808" s="3">
        <f t="shared" si="7"/>
        <v>0.007092198582</v>
      </c>
      <c r="R5808" s="2">
        <v>141.0</v>
      </c>
      <c r="S5808" s="5">
        <f t="shared" si="8"/>
        <v>1</v>
      </c>
    </row>
    <row r="5809">
      <c r="A5809" s="2" t="s">
        <v>5808</v>
      </c>
      <c r="B5809" s="2">
        <v>2916.0</v>
      </c>
      <c r="C5809" s="2">
        <v>34365.0</v>
      </c>
      <c r="D5809" s="2">
        <v>12266.0</v>
      </c>
      <c r="E5809" s="3">
        <f t="shared" si="1"/>
        <v>0.3900282998</v>
      </c>
      <c r="F5809" s="2">
        <v>3755.0</v>
      </c>
      <c r="G5809" s="3">
        <f t="shared" si="2"/>
        <v>0.1193996629</v>
      </c>
      <c r="H5809" s="2">
        <v>6647.0</v>
      </c>
      <c r="I5809" s="3">
        <f t="shared" si="3"/>
        <v>0.2113580718</v>
      </c>
      <c r="J5809" s="2">
        <v>4915.0</v>
      </c>
      <c r="K5809" s="3">
        <f t="shared" si="4"/>
        <v>0.1562847785</v>
      </c>
      <c r="L5809" s="2">
        <v>3926.0</v>
      </c>
      <c r="M5809" s="3">
        <f t="shared" si="5"/>
        <v>0.5906423951</v>
      </c>
      <c r="N5809" s="2">
        <v>3.65676E7</v>
      </c>
      <c r="O5809" s="4">
        <f t="shared" si="6"/>
        <v>5501.369039</v>
      </c>
      <c r="P5809" s="2">
        <v>9.0</v>
      </c>
      <c r="Q5809" s="3">
        <f t="shared" si="7"/>
        <v>0.003086419753</v>
      </c>
      <c r="R5809" s="2">
        <v>1052.0</v>
      </c>
      <c r="S5809" s="5">
        <f t="shared" si="8"/>
        <v>0.3607681756</v>
      </c>
    </row>
    <row r="5810">
      <c r="A5810" s="2" t="s">
        <v>5809</v>
      </c>
      <c r="B5810" s="2">
        <v>398.0</v>
      </c>
      <c r="C5810" s="2">
        <v>4670.0</v>
      </c>
      <c r="D5810" s="2">
        <v>1588.0</v>
      </c>
      <c r="E5810" s="3">
        <f t="shared" si="1"/>
        <v>0.3717228464</v>
      </c>
      <c r="F5810" s="2">
        <v>510.0</v>
      </c>
      <c r="G5810" s="3">
        <f t="shared" si="2"/>
        <v>0.1193820225</v>
      </c>
      <c r="H5810" s="2">
        <v>870.0</v>
      </c>
      <c r="I5810" s="3">
        <f t="shared" si="3"/>
        <v>0.2036516854</v>
      </c>
      <c r="J5810" s="2">
        <v>735.0</v>
      </c>
      <c r="K5810" s="3">
        <f t="shared" si="4"/>
        <v>0.1720505618</v>
      </c>
      <c r="L5810" s="2">
        <v>535.0</v>
      </c>
      <c r="M5810" s="3">
        <f t="shared" si="5"/>
        <v>0.6149425287</v>
      </c>
      <c r="N5810" s="2">
        <v>4699200.0</v>
      </c>
      <c r="O5810" s="4">
        <f t="shared" si="6"/>
        <v>5401.37931</v>
      </c>
      <c r="P5810" s="2">
        <v>2.0</v>
      </c>
      <c r="Q5810" s="3">
        <f t="shared" si="7"/>
        <v>0.005025125628</v>
      </c>
      <c r="R5810" s="2">
        <v>398.0</v>
      </c>
      <c r="S5810" s="5">
        <f t="shared" si="8"/>
        <v>1</v>
      </c>
    </row>
    <row r="5811">
      <c r="A5811" s="2" t="s">
        <v>5810</v>
      </c>
      <c r="B5811" s="2">
        <v>1120.0</v>
      </c>
      <c r="C5811" s="2">
        <v>13157.0</v>
      </c>
      <c r="D5811" s="2">
        <v>4545.0</v>
      </c>
      <c r="E5811" s="3">
        <f t="shared" si="1"/>
        <v>0.3775857772</v>
      </c>
      <c r="F5811" s="2">
        <v>1437.0</v>
      </c>
      <c r="G5811" s="3">
        <f t="shared" si="2"/>
        <v>0.1193819058</v>
      </c>
      <c r="H5811" s="2">
        <v>2568.0</v>
      </c>
      <c r="I5811" s="3">
        <f t="shared" si="3"/>
        <v>0.2133421949</v>
      </c>
      <c r="J5811" s="2">
        <v>1808.0</v>
      </c>
      <c r="K5811" s="3">
        <f t="shared" si="4"/>
        <v>0.1502035391</v>
      </c>
      <c r="L5811" s="2">
        <v>1577.0</v>
      </c>
      <c r="M5811" s="3">
        <f t="shared" si="5"/>
        <v>0.6140965732</v>
      </c>
      <c r="N5811" s="2">
        <v>1.42345E7</v>
      </c>
      <c r="O5811" s="4">
        <f t="shared" si="6"/>
        <v>5543.029595</v>
      </c>
      <c r="P5811" s="2">
        <v>3.0</v>
      </c>
      <c r="Q5811" s="3">
        <f t="shared" si="7"/>
        <v>0.002678571429</v>
      </c>
      <c r="R5811" s="2">
        <v>931.0</v>
      </c>
      <c r="S5811" s="5">
        <f t="shared" si="8"/>
        <v>0.83125</v>
      </c>
    </row>
    <row r="5812">
      <c r="A5812" s="2" t="s">
        <v>5811</v>
      </c>
      <c r="B5812" s="2">
        <v>760.0</v>
      </c>
      <c r="C5812" s="2">
        <v>9078.0</v>
      </c>
      <c r="D5812" s="2">
        <v>2514.0</v>
      </c>
      <c r="E5812" s="3">
        <f t="shared" si="1"/>
        <v>0.3022361145</v>
      </c>
      <c r="F5812" s="2">
        <v>993.0</v>
      </c>
      <c r="G5812" s="3">
        <f t="shared" si="2"/>
        <v>0.1193796586</v>
      </c>
      <c r="H5812" s="2">
        <v>1620.0</v>
      </c>
      <c r="I5812" s="3">
        <f t="shared" si="3"/>
        <v>0.1947583554</v>
      </c>
      <c r="J5812" s="2">
        <v>1558.0</v>
      </c>
      <c r="K5812" s="3">
        <f t="shared" si="4"/>
        <v>0.1873046405</v>
      </c>
      <c r="L5812" s="2">
        <v>938.0</v>
      </c>
      <c r="M5812" s="3">
        <f t="shared" si="5"/>
        <v>0.5790123457</v>
      </c>
      <c r="N5812" s="2">
        <v>9343000.0</v>
      </c>
      <c r="O5812" s="4">
        <f t="shared" si="6"/>
        <v>5767.283951</v>
      </c>
      <c r="P5812" s="2">
        <v>1.0</v>
      </c>
      <c r="Q5812" s="3">
        <f t="shared" si="7"/>
        <v>0.001315789474</v>
      </c>
      <c r="R5812" s="2">
        <v>760.0</v>
      </c>
      <c r="S5812" s="5">
        <f t="shared" si="8"/>
        <v>1</v>
      </c>
    </row>
    <row r="5813">
      <c r="A5813" s="2" t="s">
        <v>5812</v>
      </c>
      <c r="B5813" s="2">
        <v>213.0</v>
      </c>
      <c r="C5813" s="2">
        <v>2525.0</v>
      </c>
      <c r="D5813" s="2">
        <v>924.0</v>
      </c>
      <c r="E5813" s="3">
        <f t="shared" si="1"/>
        <v>0.3996539792</v>
      </c>
      <c r="F5813" s="2">
        <v>276.0</v>
      </c>
      <c r="G5813" s="3">
        <f t="shared" si="2"/>
        <v>0.1193771626</v>
      </c>
      <c r="H5813" s="2">
        <v>452.0</v>
      </c>
      <c r="I5813" s="3">
        <f t="shared" si="3"/>
        <v>0.1955017301</v>
      </c>
      <c r="J5813" s="2">
        <v>331.0</v>
      </c>
      <c r="K5813" s="3">
        <f t="shared" si="4"/>
        <v>0.14316609</v>
      </c>
      <c r="L5813" s="2">
        <v>297.0</v>
      </c>
      <c r="M5813" s="3">
        <f t="shared" si="5"/>
        <v>0.657079646</v>
      </c>
      <c r="N5813" s="2">
        <v>2451200.0</v>
      </c>
      <c r="O5813" s="4">
        <f t="shared" si="6"/>
        <v>5423.00885</v>
      </c>
      <c r="P5813" s="2">
        <v>0.0</v>
      </c>
      <c r="Q5813" s="3">
        <f t="shared" si="7"/>
        <v>0</v>
      </c>
      <c r="R5813" s="2">
        <v>0.0</v>
      </c>
      <c r="S5813" s="5">
        <f t="shared" si="8"/>
        <v>0</v>
      </c>
    </row>
    <row r="5814">
      <c r="A5814" s="2" t="s">
        <v>5813</v>
      </c>
      <c r="B5814" s="2">
        <v>134.0</v>
      </c>
      <c r="C5814" s="2">
        <v>1600.0</v>
      </c>
      <c r="D5814" s="2">
        <v>496.0</v>
      </c>
      <c r="E5814" s="3">
        <f t="shared" si="1"/>
        <v>0.3383356071</v>
      </c>
      <c r="F5814" s="2">
        <v>175.0</v>
      </c>
      <c r="G5814" s="3">
        <f t="shared" si="2"/>
        <v>0.119372442</v>
      </c>
      <c r="H5814" s="2">
        <v>282.0</v>
      </c>
      <c r="I5814" s="3">
        <f t="shared" si="3"/>
        <v>0.1923601637</v>
      </c>
      <c r="J5814" s="2">
        <v>224.0</v>
      </c>
      <c r="K5814" s="3">
        <f t="shared" si="4"/>
        <v>0.1527967258</v>
      </c>
      <c r="L5814" s="2">
        <v>154.0</v>
      </c>
      <c r="M5814" s="3">
        <f t="shared" si="5"/>
        <v>0.5460992908</v>
      </c>
      <c r="N5814" s="2">
        <v>1750800.0</v>
      </c>
      <c r="O5814" s="4">
        <f t="shared" si="6"/>
        <v>6208.510638</v>
      </c>
      <c r="P5814" s="2">
        <v>0.0</v>
      </c>
      <c r="Q5814" s="3">
        <f t="shared" si="7"/>
        <v>0</v>
      </c>
      <c r="R5814" s="2">
        <v>134.0</v>
      </c>
      <c r="S5814" s="5">
        <f t="shared" si="8"/>
        <v>1</v>
      </c>
    </row>
    <row r="5815">
      <c r="A5815" s="2" t="s">
        <v>5814</v>
      </c>
      <c r="B5815" s="2">
        <v>954.0</v>
      </c>
      <c r="C5815" s="2">
        <v>11301.0</v>
      </c>
      <c r="D5815" s="2">
        <v>3513.0</v>
      </c>
      <c r="E5815" s="3">
        <f t="shared" si="1"/>
        <v>0.3395187011</v>
      </c>
      <c r="F5815" s="2">
        <v>1235.0</v>
      </c>
      <c r="G5815" s="3">
        <f t="shared" si="2"/>
        <v>0.1193582681</v>
      </c>
      <c r="H5815" s="2">
        <v>2158.0</v>
      </c>
      <c r="I5815" s="3">
        <f t="shared" si="3"/>
        <v>0.2085628685</v>
      </c>
      <c r="J5815" s="2">
        <v>1596.0</v>
      </c>
      <c r="K5815" s="3">
        <f t="shared" si="4"/>
        <v>0.154247608</v>
      </c>
      <c r="L5815" s="2">
        <v>1319.0</v>
      </c>
      <c r="M5815" s="3">
        <f t="shared" si="5"/>
        <v>0.6112140871</v>
      </c>
      <c r="N5815" s="2">
        <v>1.22389E7</v>
      </c>
      <c r="O5815" s="4">
        <f t="shared" si="6"/>
        <v>5671.408712</v>
      </c>
      <c r="P5815" s="2">
        <v>1.0</v>
      </c>
      <c r="Q5815" s="3">
        <f t="shared" si="7"/>
        <v>0.001048218029</v>
      </c>
      <c r="R5815" s="2">
        <v>954.0</v>
      </c>
      <c r="S5815" s="5">
        <f t="shared" si="8"/>
        <v>1</v>
      </c>
    </row>
    <row r="5816">
      <c r="A5816" s="2" t="s">
        <v>5815</v>
      </c>
      <c r="B5816" s="2">
        <v>735.0</v>
      </c>
      <c r="C5816" s="2">
        <v>8611.0</v>
      </c>
      <c r="D5816" s="2">
        <v>3138.0</v>
      </c>
      <c r="E5816" s="3">
        <f t="shared" si="1"/>
        <v>0.3984255967</v>
      </c>
      <c r="F5816" s="2">
        <v>940.0</v>
      </c>
      <c r="G5816" s="3">
        <f t="shared" si="2"/>
        <v>0.1193499238</v>
      </c>
      <c r="H5816" s="2">
        <v>1615.0</v>
      </c>
      <c r="I5816" s="3">
        <f t="shared" si="3"/>
        <v>0.2050533266</v>
      </c>
      <c r="J5816" s="2">
        <v>1213.0</v>
      </c>
      <c r="K5816" s="3">
        <f t="shared" si="4"/>
        <v>0.1540121889</v>
      </c>
      <c r="L5816" s="2">
        <v>977.0</v>
      </c>
      <c r="M5816" s="3">
        <f t="shared" si="5"/>
        <v>0.6049535604</v>
      </c>
      <c r="N5816" s="2">
        <v>8758000.0</v>
      </c>
      <c r="O5816" s="4">
        <f t="shared" si="6"/>
        <v>5422.910217</v>
      </c>
      <c r="P5816" s="2">
        <v>1.0</v>
      </c>
      <c r="Q5816" s="3">
        <f t="shared" si="7"/>
        <v>0.001360544218</v>
      </c>
      <c r="R5816" s="2">
        <v>735.0</v>
      </c>
      <c r="S5816" s="5">
        <f t="shared" si="8"/>
        <v>1</v>
      </c>
    </row>
    <row r="5817">
      <c r="A5817" s="2" t="s">
        <v>5816</v>
      </c>
      <c r="B5817" s="2">
        <v>259.0</v>
      </c>
      <c r="C5817" s="2">
        <v>3108.0</v>
      </c>
      <c r="D5817" s="2">
        <v>1169.0</v>
      </c>
      <c r="E5817" s="3">
        <f t="shared" si="1"/>
        <v>0.4103194103</v>
      </c>
      <c r="F5817" s="2">
        <v>340.0</v>
      </c>
      <c r="G5817" s="3">
        <f t="shared" si="2"/>
        <v>0.1193401193</v>
      </c>
      <c r="H5817" s="2">
        <v>579.0</v>
      </c>
      <c r="I5817" s="3">
        <f t="shared" si="3"/>
        <v>0.2032292032</v>
      </c>
      <c r="J5817" s="2">
        <v>461.0</v>
      </c>
      <c r="K5817" s="3">
        <f t="shared" si="4"/>
        <v>0.1618111618</v>
      </c>
      <c r="L5817" s="2">
        <v>344.0</v>
      </c>
      <c r="M5817" s="3">
        <f t="shared" si="5"/>
        <v>0.5941278066</v>
      </c>
      <c r="N5817" s="2">
        <v>3186500.0</v>
      </c>
      <c r="O5817" s="4">
        <f t="shared" si="6"/>
        <v>5503.454231</v>
      </c>
      <c r="P5817" s="2">
        <v>1.0</v>
      </c>
      <c r="Q5817" s="3">
        <f t="shared" si="7"/>
        <v>0.003861003861</v>
      </c>
      <c r="R5817" s="2">
        <v>259.0</v>
      </c>
      <c r="S5817" s="5">
        <f t="shared" si="8"/>
        <v>1</v>
      </c>
    </row>
    <row r="5818">
      <c r="A5818" s="2" t="s">
        <v>5817</v>
      </c>
      <c r="B5818" s="2">
        <v>2562.0</v>
      </c>
      <c r="C5818" s="2">
        <v>30231.0</v>
      </c>
      <c r="D5818" s="2">
        <v>8553.0</v>
      </c>
      <c r="E5818" s="3">
        <f t="shared" si="1"/>
        <v>0.3091185081</v>
      </c>
      <c r="F5818" s="2">
        <v>3302.0</v>
      </c>
      <c r="G5818" s="3">
        <f t="shared" si="2"/>
        <v>0.1193393328</v>
      </c>
      <c r="H5818" s="2">
        <v>5464.0</v>
      </c>
      <c r="I5818" s="3">
        <f t="shared" si="3"/>
        <v>0.1974773212</v>
      </c>
      <c r="J5818" s="2">
        <v>4372.0</v>
      </c>
      <c r="K5818" s="3">
        <f t="shared" si="4"/>
        <v>0.1580107702</v>
      </c>
      <c r="L5818" s="2">
        <v>3251.0</v>
      </c>
      <c r="M5818" s="3">
        <f t="shared" si="5"/>
        <v>0.5949853587</v>
      </c>
      <c r="N5818" s="2">
        <v>3.18584E7</v>
      </c>
      <c r="O5818" s="4">
        <f t="shared" si="6"/>
        <v>5830.600293</v>
      </c>
      <c r="P5818" s="2">
        <v>5.0</v>
      </c>
      <c r="Q5818" s="3">
        <f t="shared" si="7"/>
        <v>0.001951600312</v>
      </c>
      <c r="R5818" s="2">
        <v>2562.0</v>
      </c>
      <c r="S5818" s="5">
        <f t="shared" si="8"/>
        <v>1</v>
      </c>
    </row>
    <row r="5819">
      <c r="A5819" s="2" t="s">
        <v>5818</v>
      </c>
      <c r="B5819" s="2">
        <v>505.0</v>
      </c>
      <c r="C5819" s="2">
        <v>5994.0</v>
      </c>
      <c r="D5819" s="2">
        <v>1351.0</v>
      </c>
      <c r="E5819" s="3">
        <f t="shared" si="1"/>
        <v>0.2461286209</v>
      </c>
      <c r="F5819" s="2">
        <v>655.0</v>
      </c>
      <c r="G5819" s="3">
        <f t="shared" si="2"/>
        <v>0.1193295682</v>
      </c>
      <c r="H5819" s="2">
        <v>1096.0</v>
      </c>
      <c r="I5819" s="3">
        <f t="shared" si="3"/>
        <v>0.1996720714</v>
      </c>
      <c r="J5819" s="2">
        <v>796.0</v>
      </c>
      <c r="K5819" s="3">
        <f t="shared" si="4"/>
        <v>0.1450173073</v>
      </c>
      <c r="L5819" s="2">
        <v>636.0</v>
      </c>
      <c r="M5819" s="3">
        <f t="shared" si="5"/>
        <v>0.5802919708</v>
      </c>
      <c r="N5819" s="2">
        <v>6331300.0</v>
      </c>
      <c r="O5819" s="4">
        <f t="shared" si="6"/>
        <v>5776.733577</v>
      </c>
      <c r="P5819" s="2">
        <v>1.0</v>
      </c>
      <c r="Q5819" s="3">
        <f t="shared" si="7"/>
        <v>0.00198019802</v>
      </c>
      <c r="R5819" s="2">
        <v>505.0</v>
      </c>
      <c r="S5819" s="5">
        <f t="shared" si="8"/>
        <v>1</v>
      </c>
    </row>
    <row r="5820">
      <c r="A5820" s="2" t="s">
        <v>5819</v>
      </c>
      <c r="B5820" s="2">
        <v>591.0</v>
      </c>
      <c r="C5820" s="2">
        <v>7128.0</v>
      </c>
      <c r="D5820" s="2">
        <v>2428.0</v>
      </c>
      <c r="E5820" s="3">
        <f t="shared" si="1"/>
        <v>0.3714242007</v>
      </c>
      <c r="F5820" s="2">
        <v>780.0</v>
      </c>
      <c r="G5820" s="3">
        <f t="shared" si="2"/>
        <v>0.1193207894</v>
      </c>
      <c r="H5820" s="2">
        <v>1273.0</v>
      </c>
      <c r="I5820" s="3">
        <f t="shared" si="3"/>
        <v>0.1947376472</v>
      </c>
      <c r="J5820" s="2">
        <v>1041.0</v>
      </c>
      <c r="K5820" s="3">
        <f t="shared" si="4"/>
        <v>0.1592473612</v>
      </c>
      <c r="L5820" s="2">
        <v>706.0</v>
      </c>
      <c r="M5820" s="3">
        <f t="shared" si="5"/>
        <v>0.5545954438</v>
      </c>
      <c r="N5820" s="2">
        <v>7185400.0</v>
      </c>
      <c r="O5820" s="4">
        <f t="shared" si="6"/>
        <v>5644.461901</v>
      </c>
      <c r="P5820" s="2">
        <v>2.0</v>
      </c>
      <c r="Q5820" s="3">
        <f t="shared" si="7"/>
        <v>0.003384094755</v>
      </c>
      <c r="R5820" s="2">
        <v>591.0</v>
      </c>
      <c r="S5820" s="5">
        <f t="shared" si="8"/>
        <v>1</v>
      </c>
    </row>
    <row r="5821">
      <c r="A5821" s="2" t="s">
        <v>5820</v>
      </c>
      <c r="B5821" s="2">
        <v>307.0</v>
      </c>
      <c r="C5821" s="2">
        <v>3517.0</v>
      </c>
      <c r="D5821" s="2">
        <v>993.0</v>
      </c>
      <c r="E5821" s="3">
        <f t="shared" si="1"/>
        <v>0.3093457944</v>
      </c>
      <c r="F5821" s="2">
        <v>383.0</v>
      </c>
      <c r="G5821" s="3">
        <f t="shared" si="2"/>
        <v>0.1193146417</v>
      </c>
      <c r="H5821" s="2">
        <v>719.0</v>
      </c>
      <c r="I5821" s="3">
        <f t="shared" si="3"/>
        <v>0.2239875389</v>
      </c>
      <c r="J5821" s="2">
        <v>719.0</v>
      </c>
      <c r="K5821" s="3">
        <f t="shared" si="4"/>
        <v>0.2239875389</v>
      </c>
      <c r="L5821" s="2">
        <v>428.0</v>
      </c>
      <c r="M5821" s="3">
        <f t="shared" si="5"/>
        <v>0.59527121</v>
      </c>
      <c r="N5821" s="2">
        <v>4085700.0</v>
      </c>
      <c r="O5821" s="4">
        <f t="shared" si="6"/>
        <v>5682.475661</v>
      </c>
      <c r="P5821" s="2">
        <v>0.0</v>
      </c>
      <c r="Q5821" s="3">
        <f t="shared" si="7"/>
        <v>0</v>
      </c>
      <c r="R5821" s="2">
        <v>307.0</v>
      </c>
      <c r="S5821" s="5">
        <f t="shared" si="8"/>
        <v>1</v>
      </c>
    </row>
    <row r="5822">
      <c r="A5822" s="2" t="s">
        <v>5821</v>
      </c>
      <c r="B5822" s="2">
        <v>3027.0</v>
      </c>
      <c r="C5822" s="2">
        <v>35374.0</v>
      </c>
      <c r="D5822" s="2">
        <v>11826.0</v>
      </c>
      <c r="E5822" s="3">
        <f t="shared" si="1"/>
        <v>0.3655980462</v>
      </c>
      <c r="F5822" s="2">
        <v>3859.0</v>
      </c>
      <c r="G5822" s="3">
        <f t="shared" si="2"/>
        <v>0.1193000897</v>
      </c>
      <c r="H5822" s="2">
        <v>6637.0</v>
      </c>
      <c r="I5822" s="3">
        <f t="shared" si="3"/>
        <v>0.2051813151</v>
      </c>
      <c r="J5822" s="2">
        <v>5706.0</v>
      </c>
      <c r="K5822" s="3">
        <f t="shared" si="4"/>
        <v>0.1763996661</v>
      </c>
      <c r="L5822" s="2">
        <v>3931.0</v>
      </c>
      <c r="M5822" s="3">
        <f t="shared" si="5"/>
        <v>0.5922856712</v>
      </c>
      <c r="N5822" s="2">
        <v>3.84478E7</v>
      </c>
      <c r="O5822" s="4">
        <f t="shared" si="6"/>
        <v>5792.948621</v>
      </c>
      <c r="P5822" s="2">
        <v>7.0</v>
      </c>
      <c r="Q5822" s="3">
        <f t="shared" si="7"/>
        <v>0.002312520648</v>
      </c>
      <c r="R5822" s="2">
        <v>1721.0</v>
      </c>
      <c r="S5822" s="5">
        <f t="shared" si="8"/>
        <v>0.5685497192</v>
      </c>
    </row>
    <row r="5823">
      <c r="A5823" s="2" t="s">
        <v>5822</v>
      </c>
      <c r="B5823" s="2">
        <v>467.0</v>
      </c>
      <c r="C5823" s="2">
        <v>5505.0</v>
      </c>
      <c r="D5823" s="2">
        <v>2014.0</v>
      </c>
      <c r="E5823" s="3">
        <f t="shared" si="1"/>
        <v>0.3997618102</v>
      </c>
      <c r="F5823" s="2">
        <v>601.0</v>
      </c>
      <c r="G5823" s="3">
        <f t="shared" si="2"/>
        <v>0.1192933704</v>
      </c>
      <c r="H5823" s="2">
        <v>1087.0</v>
      </c>
      <c r="I5823" s="3">
        <f t="shared" si="3"/>
        <v>0.2157602223</v>
      </c>
      <c r="J5823" s="2">
        <v>805.0</v>
      </c>
      <c r="K5823" s="3">
        <f t="shared" si="4"/>
        <v>0.1597856292</v>
      </c>
      <c r="L5823" s="2">
        <v>635.0</v>
      </c>
      <c r="M5823" s="3">
        <f t="shared" si="5"/>
        <v>0.5841766329</v>
      </c>
      <c r="N5823" s="2">
        <v>5961000.0</v>
      </c>
      <c r="O5823" s="4">
        <f t="shared" si="6"/>
        <v>5483.900644</v>
      </c>
      <c r="P5823" s="2">
        <v>1.0</v>
      </c>
      <c r="Q5823" s="3">
        <f t="shared" si="7"/>
        <v>0.002141327623</v>
      </c>
      <c r="R5823" s="2">
        <v>467.0</v>
      </c>
      <c r="S5823" s="5">
        <f t="shared" si="8"/>
        <v>1</v>
      </c>
    </row>
    <row r="5824">
      <c r="A5824" s="2" t="s">
        <v>5823</v>
      </c>
      <c r="B5824" s="2">
        <v>101.0</v>
      </c>
      <c r="C5824" s="2">
        <v>1216.0</v>
      </c>
      <c r="D5824" s="2">
        <v>408.0</v>
      </c>
      <c r="E5824" s="3">
        <f t="shared" si="1"/>
        <v>0.3659192825</v>
      </c>
      <c r="F5824" s="2">
        <v>133.0</v>
      </c>
      <c r="G5824" s="3">
        <f t="shared" si="2"/>
        <v>0.1192825112</v>
      </c>
      <c r="H5824" s="2">
        <v>233.0</v>
      </c>
      <c r="I5824" s="3">
        <f t="shared" si="3"/>
        <v>0.2089686099</v>
      </c>
      <c r="J5824" s="2">
        <v>199.0</v>
      </c>
      <c r="K5824" s="3">
        <f t="shared" si="4"/>
        <v>0.1784753363</v>
      </c>
      <c r="L5824" s="2">
        <v>134.0</v>
      </c>
      <c r="M5824" s="3">
        <f t="shared" si="5"/>
        <v>0.5751072961</v>
      </c>
      <c r="N5824" s="2">
        <v>1315300.0</v>
      </c>
      <c r="O5824" s="4">
        <f t="shared" si="6"/>
        <v>5645.064378</v>
      </c>
      <c r="P5824" s="2">
        <v>0.0</v>
      </c>
      <c r="Q5824" s="3">
        <f t="shared" si="7"/>
        <v>0</v>
      </c>
      <c r="R5824" s="2">
        <v>101.0</v>
      </c>
      <c r="S5824" s="5">
        <f t="shared" si="8"/>
        <v>1</v>
      </c>
    </row>
    <row r="5825">
      <c r="A5825" s="2" t="s">
        <v>5824</v>
      </c>
      <c r="B5825" s="2">
        <v>3062.0</v>
      </c>
      <c r="C5825" s="2">
        <v>35808.0</v>
      </c>
      <c r="D5825" s="2">
        <v>10545.0</v>
      </c>
      <c r="E5825" s="3">
        <f t="shared" si="1"/>
        <v>0.322024064</v>
      </c>
      <c r="F5825" s="2">
        <v>3906.0</v>
      </c>
      <c r="G5825" s="3">
        <f t="shared" si="2"/>
        <v>0.1192817443</v>
      </c>
      <c r="H5825" s="2">
        <v>6709.0</v>
      </c>
      <c r="I5825" s="3">
        <f t="shared" si="3"/>
        <v>0.2048799853</v>
      </c>
      <c r="J5825" s="2">
        <v>5382.0</v>
      </c>
      <c r="K5825" s="3">
        <f t="shared" si="4"/>
        <v>0.1643559519</v>
      </c>
      <c r="L5825" s="2">
        <v>4016.0</v>
      </c>
      <c r="M5825" s="3">
        <f t="shared" si="5"/>
        <v>0.598598897</v>
      </c>
      <c r="N5825" s="2">
        <v>3.8972E7</v>
      </c>
      <c r="O5825" s="4">
        <f t="shared" si="6"/>
        <v>5808.9134</v>
      </c>
      <c r="P5825" s="2">
        <v>7.0</v>
      </c>
      <c r="Q5825" s="3">
        <f t="shared" si="7"/>
        <v>0.002286087524</v>
      </c>
      <c r="R5825" s="2">
        <v>3062.0</v>
      </c>
      <c r="S5825" s="5">
        <f t="shared" si="8"/>
        <v>1</v>
      </c>
    </row>
    <row r="5826">
      <c r="A5826" s="2" t="s">
        <v>5825</v>
      </c>
      <c r="B5826" s="2">
        <v>2598.0</v>
      </c>
      <c r="C5826" s="2">
        <v>30122.0</v>
      </c>
      <c r="D5826" s="2">
        <v>9089.0</v>
      </c>
      <c r="E5826" s="3">
        <f t="shared" si="1"/>
        <v>0.3302208981</v>
      </c>
      <c r="F5826" s="2">
        <v>3283.0</v>
      </c>
      <c r="G5826" s="3">
        <f t="shared" si="2"/>
        <v>0.1192777213</v>
      </c>
      <c r="H5826" s="2">
        <v>5821.0</v>
      </c>
      <c r="I5826" s="3">
        <f t="shared" si="3"/>
        <v>0.2114881558</v>
      </c>
      <c r="J5826" s="2">
        <v>5217.0</v>
      </c>
      <c r="K5826" s="3">
        <f t="shared" si="4"/>
        <v>0.189543671</v>
      </c>
      <c r="L5826" s="2">
        <v>3424.0</v>
      </c>
      <c r="M5826" s="3">
        <f t="shared" si="5"/>
        <v>0.5882150833</v>
      </c>
      <c r="N5826" s="2">
        <v>3.39664E7</v>
      </c>
      <c r="O5826" s="4">
        <f t="shared" si="6"/>
        <v>5835.1486</v>
      </c>
      <c r="P5826" s="2">
        <v>3.0</v>
      </c>
      <c r="Q5826" s="3">
        <f t="shared" si="7"/>
        <v>0.001154734411</v>
      </c>
      <c r="R5826" s="2">
        <v>2263.0</v>
      </c>
      <c r="S5826" s="5">
        <f t="shared" si="8"/>
        <v>0.8710546574</v>
      </c>
    </row>
    <row r="5827">
      <c r="A5827" s="2" t="s">
        <v>5826</v>
      </c>
      <c r="B5827" s="2">
        <v>236.0</v>
      </c>
      <c r="C5827" s="2">
        <v>2852.0</v>
      </c>
      <c r="D5827" s="2">
        <v>960.0</v>
      </c>
      <c r="E5827" s="3">
        <f t="shared" si="1"/>
        <v>0.3669724771</v>
      </c>
      <c r="F5827" s="2">
        <v>312.0</v>
      </c>
      <c r="G5827" s="3">
        <f t="shared" si="2"/>
        <v>0.119266055</v>
      </c>
      <c r="H5827" s="2">
        <v>522.0</v>
      </c>
      <c r="I5827" s="3">
        <f t="shared" si="3"/>
        <v>0.1995412844</v>
      </c>
      <c r="J5827" s="2">
        <v>370.0</v>
      </c>
      <c r="K5827" s="3">
        <f t="shared" si="4"/>
        <v>0.1414373089</v>
      </c>
      <c r="L5827" s="2">
        <v>312.0</v>
      </c>
      <c r="M5827" s="3">
        <f t="shared" si="5"/>
        <v>0.5977011494</v>
      </c>
      <c r="N5827" s="2">
        <v>2852900.0</v>
      </c>
      <c r="O5827" s="4">
        <f t="shared" si="6"/>
        <v>5465.32567</v>
      </c>
      <c r="P5827" s="2">
        <v>0.0</v>
      </c>
      <c r="Q5827" s="3">
        <f t="shared" si="7"/>
        <v>0</v>
      </c>
      <c r="R5827" s="2">
        <v>236.0</v>
      </c>
      <c r="S5827" s="5">
        <f t="shared" si="8"/>
        <v>1</v>
      </c>
    </row>
    <row r="5828">
      <c r="A5828" s="2" t="s">
        <v>5827</v>
      </c>
      <c r="B5828" s="2">
        <v>93.0</v>
      </c>
      <c r="C5828" s="2">
        <v>1116.0</v>
      </c>
      <c r="D5828" s="2">
        <v>331.0</v>
      </c>
      <c r="E5828" s="3">
        <f t="shared" si="1"/>
        <v>0.3235581623</v>
      </c>
      <c r="F5828" s="2">
        <v>122.0</v>
      </c>
      <c r="G5828" s="3">
        <f t="shared" si="2"/>
        <v>0.119257087</v>
      </c>
      <c r="H5828" s="2">
        <v>217.0</v>
      </c>
      <c r="I5828" s="3">
        <f t="shared" si="3"/>
        <v>0.2121212121</v>
      </c>
      <c r="J5828" s="2">
        <v>183.0</v>
      </c>
      <c r="K5828" s="3">
        <f t="shared" si="4"/>
        <v>0.1788856305</v>
      </c>
      <c r="L5828" s="2">
        <v>135.0</v>
      </c>
      <c r="M5828" s="3">
        <f t="shared" si="5"/>
        <v>0.6221198157</v>
      </c>
      <c r="N5828" s="2">
        <v>1153700.0</v>
      </c>
      <c r="O5828" s="4">
        <f t="shared" si="6"/>
        <v>5316.589862</v>
      </c>
      <c r="P5828" s="2">
        <v>0.0</v>
      </c>
      <c r="Q5828" s="3">
        <f t="shared" si="7"/>
        <v>0</v>
      </c>
      <c r="R5828" s="2">
        <v>93.0</v>
      </c>
      <c r="S5828" s="5">
        <f t="shared" si="8"/>
        <v>1</v>
      </c>
    </row>
    <row r="5829">
      <c r="A5829" s="2" t="s">
        <v>5828</v>
      </c>
      <c r="B5829" s="2">
        <v>4969.0</v>
      </c>
      <c r="C5829" s="2">
        <v>58182.0</v>
      </c>
      <c r="D5829" s="2">
        <v>18028.0</v>
      </c>
      <c r="E5829" s="3">
        <f t="shared" si="1"/>
        <v>0.3387893936</v>
      </c>
      <c r="F5829" s="2">
        <v>6346.0</v>
      </c>
      <c r="G5829" s="3">
        <f t="shared" si="2"/>
        <v>0.1192565726</v>
      </c>
      <c r="H5829" s="2">
        <v>10923.0</v>
      </c>
      <c r="I5829" s="3">
        <f t="shared" si="3"/>
        <v>0.2052693891</v>
      </c>
      <c r="J5829" s="2">
        <v>8302.0</v>
      </c>
      <c r="K5829" s="3">
        <f t="shared" si="4"/>
        <v>0.1560145077</v>
      </c>
      <c r="L5829" s="2">
        <v>6533.0</v>
      </c>
      <c r="M5829" s="3">
        <f t="shared" si="5"/>
        <v>0.5980957612</v>
      </c>
      <c r="N5829" s="2">
        <v>6.11665E7</v>
      </c>
      <c r="O5829" s="4">
        <f t="shared" si="6"/>
        <v>5599.789435</v>
      </c>
      <c r="P5829" s="2">
        <v>8.0</v>
      </c>
      <c r="Q5829" s="3">
        <f t="shared" si="7"/>
        <v>0.001609981888</v>
      </c>
      <c r="R5829" s="2">
        <v>4969.0</v>
      </c>
      <c r="S5829" s="5">
        <f t="shared" si="8"/>
        <v>1</v>
      </c>
    </row>
    <row r="5830">
      <c r="A5830" s="2" t="s">
        <v>5829</v>
      </c>
      <c r="B5830" s="2">
        <v>144.0</v>
      </c>
      <c r="C5830" s="2">
        <v>1645.0</v>
      </c>
      <c r="D5830" s="2">
        <v>467.0</v>
      </c>
      <c r="E5830" s="3">
        <f t="shared" si="1"/>
        <v>0.3111259161</v>
      </c>
      <c r="F5830" s="2">
        <v>179.0</v>
      </c>
      <c r="G5830" s="3">
        <f t="shared" si="2"/>
        <v>0.1192538308</v>
      </c>
      <c r="H5830" s="2">
        <v>301.0</v>
      </c>
      <c r="I5830" s="3">
        <f t="shared" si="3"/>
        <v>0.200532978</v>
      </c>
      <c r="J5830" s="2">
        <v>276.0</v>
      </c>
      <c r="K5830" s="3">
        <f t="shared" si="4"/>
        <v>0.1838774151</v>
      </c>
      <c r="L5830" s="2">
        <v>188.0</v>
      </c>
      <c r="M5830" s="3">
        <f t="shared" si="5"/>
        <v>0.6245847176</v>
      </c>
      <c r="N5830" s="2">
        <v>1680200.0</v>
      </c>
      <c r="O5830" s="4">
        <f t="shared" si="6"/>
        <v>5582.059801</v>
      </c>
      <c r="P5830" s="2">
        <v>1.0</v>
      </c>
      <c r="Q5830" s="3">
        <f t="shared" si="7"/>
        <v>0.006944444444</v>
      </c>
      <c r="R5830" s="2">
        <v>0.0</v>
      </c>
      <c r="S5830" s="5">
        <f t="shared" si="8"/>
        <v>0</v>
      </c>
    </row>
    <row r="5831">
      <c r="A5831" s="2" t="s">
        <v>5830</v>
      </c>
      <c r="B5831" s="2">
        <v>135.0</v>
      </c>
      <c r="C5831" s="2">
        <v>1527.0</v>
      </c>
      <c r="D5831" s="2">
        <v>392.0</v>
      </c>
      <c r="E5831" s="3">
        <f t="shared" si="1"/>
        <v>0.2816091954</v>
      </c>
      <c r="F5831" s="2">
        <v>166.0</v>
      </c>
      <c r="G5831" s="3">
        <f t="shared" si="2"/>
        <v>0.1192528736</v>
      </c>
      <c r="H5831" s="2">
        <v>285.0</v>
      </c>
      <c r="I5831" s="3">
        <f t="shared" si="3"/>
        <v>0.2047413793</v>
      </c>
      <c r="J5831" s="2">
        <v>230.0</v>
      </c>
      <c r="K5831" s="3">
        <f t="shared" si="4"/>
        <v>0.1652298851</v>
      </c>
      <c r="L5831" s="2">
        <v>172.0</v>
      </c>
      <c r="M5831" s="3">
        <f t="shared" si="5"/>
        <v>0.6035087719</v>
      </c>
      <c r="N5831" s="2">
        <v>1488000.0</v>
      </c>
      <c r="O5831" s="4">
        <f t="shared" si="6"/>
        <v>5221.052632</v>
      </c>
      <c r="P5831" s="2">
        <v>0.0</v>
      </c>
      <c r="Q5831" s="3">
        <f t="shared" si="7"/>
        <v>0</v>
      </c>
      <c r="R5831" s="2">
        <v>0.0</v>
      </c>
      <c r="S5831" s="5">
        <f t="shared" si="8"/>
        <v>0</v>
      </c>
    </row>
    <row r="5832">
      <c r="A5832" s="2" t="s">
        <v>5831</v>
      </c>
      <c r="B5832" s="2">
        <v>538.0</v>
      </c>
      <c r="C5832" s="2">
        <v>6366.0</v>
      </c>
      <c r="D5832" s="2">
        <v>2072.0</v>
      </c>
      <c r="E5832" s="3">
        <f t="shared" si="1"/>
        <v>0.3555250515</v>
      </c>
      <c r="F5832" s="2">
        <v>695.0</v>
      </c>
      <c r="G5832" s="3">
        <f t="shared" si="2"/>
        <v>0.1192518874</v>
      </c>
      <c r="H5832" s="2">
        <v>1237.0</v>
      </c>
      <c r="I5832" s="3">
        <f t="shared" si="3"/>
        <v>0.2122512011</v>
      </c>
      <c r="J5832" s="2">
        <v>855.0</v>
      </c>
      <c r="K5832" s="3">
        <f t="shared" si="4"/>
        <v>0.1467055594</v>
      </c>
      <c r="L5832" s="2">
        <v>738.0</v>
      </c>
      <c r="M5832" s="3">
        <f t="shared" si="5"/>
        <v>0.5966046888</v>
      </c>
      <c r="N5832" s="2">
        <v>6999400.0</v>
      </c>
      <c r="O5832" s="4">
        <f t="shared" si="6"/>
        <v>5658.367017</v>
      </c>
      <c r="P5832" s="2">
        <v>0.0</v>
      </c>
      <c r="Q5832" s="3">
        <f t="shared" si="7"/>
        <v>0</v>
      </c>
      <c r="R5832" s="2">
        <v>538.0</v>
      </c>
      <c r="S5832" s="5">
        <f t="shared" si="8"/>
        <v>1</v>
      </c>
    </row>
    <row r="5833">
      <c r="A5833" s="2" t="s">
        <v>5832</v>
      </c>
      <c r="B5833" s="2">
        <v>1961.0</v>
      </c>
      <c r="C5833" s="2">
        <v>22934.0</v>
      </c>
      <c r="D5833" s="2">
        <v>7910.0</v>
      </c>
      <c r="E5833" s="3">
        <f t="shared" si="1"/>
        <v>0.3771515758</v>
      </c>
      <c r="F5833" s="2">
        <v>2501.0</v>
      </c>
      <c r="G5833" s="3">
        <f t="shared" si="2"/>
        <v>0.1192485577</v>
      </c>
      <c r="H5833" s="2">
        <v>4450.0</v>
      </c>
      <c r="I5833" s="3">
        <f t="shared" si="3"/>
        <v>0.2121775616</v>
      </c>
      <c r="J5833" s="2">
        <v>3172.0</v>
      </c>
      <c r="K5833" s="3">
        <f t="shared" si="4"/>
        <v>0.1512420731</v>
      </c>
      <c r="L5833" s="2">
        <v>2737.0</v>
      </c>
      <c r="M5833" s="3">
        <f t="shared" si="5"/>
        <v>0.6150561798</v>
      </c>
      <c r="N5833" s="2">
        <v>2.35406E7</v>
      </c>
      <c r="O5833" s="4">
        <f t="shared" si="6"/>
        <v>5290.022472</v>
      </c>
      <c r="P5833" s="2">
        <v>5.0</v>
      </c>
      <c r="Q5833" s="3">
        <f t="shared" si="7"/>
        <v>0.002549719531</v>
      </c>
      <c r="R5833" s="2">
        <v>1749.0</v>
      </c>
      <c r="S5833" s="5">
        <f t="shared" si="8"/>
        <v>0.8918918919</v>
      </c>
    </row>
    <row r="5834">
      <c r="A5834" s="2" t="s">
        <v>5833</v>
      </c>
      <c r="B5834" s="2">
        <v>1050.0</v>
      </c>
      <c r="C5834" s="2">
        <v>12438.0</v>
      </c>
      <c r="D5834" s="2">
        <v>3486.0</v>
      </c>
      <c r="E5834" s="3">
        <f t="shared" si="1"/>
        <v>0.3061116965</v>
      </c>
      <c r="F5834" s="2">
        <v>1358.0</v>
      </c>
      <c r="G5834" s="3">
        <f t="shared" si="2"/>
        <v>0.1192483316</v>
      </c>
      <c r="H5834" s="2">
        <v>2352.0</v>
      </c>
      <c r="I5834" s="3">
        <f t="shared" si="3"/>
        <v>0.2065331928</v>
      </c>
      <c r="J5834" s="2">
        <v>1541.0</v>
      </c>
      <c r="K5834" s="3">
        <f t="shared" si="4"/>
        <v>0.1353178785</v>
      </c>
      <c r="L5834" s="2">
        <v>1412.0</v>
      </c>
      <c r="M5834" s="3">
        <f t="shared" si="5"/>
        <v>0.6003401361</v>
      </c>
      <c r="N5834" s="2">
        <v>1.30763E7</v>
      </c>
      <c r="O5834" s="4">
        <f t="shared" si="6"/>
        <v>5559.651361</v>
      </c>
      <c r="P5834" s="2">
        <v>5.0</v>
      </c>
      <c r="Q5834" s="3">
        <f t="shared" si="7"/>
        <v>0.004761904762</v>
      </c>
      <c r="R5834" s="2">
        <v>1050.0</v>
      </c>
      <c r="S5834" s="5">
        <f t="shared" si="8"/>
        <v>1</v>
      </c>
    </row>
    <row r="5835">
      <c r="A5835" s="2" t="s">
        <v>5834</v>
      </c>
      <c r="B5835" s="2">
        <v>1532.0</v>
      </c>
      <c r="C5835" s="2">
        <v>17784.0</v>
      </c>
      <c r="D5835" s="2">
        <v>5039.0</v>
      </c>
      <c r="E5835" s="3">
        <f t="shared" si="1"/>
        <v>0.3100541472</v>
      </c>
      <c r="F5835" s="2">
        <v>1938.0</v>
      </c>
      <c r="G5835" s="3">
        <f t="shared" si="2"/>
        <v>0.1192468619</v>
      </c>
      <c r="H5835" s="2">
        <v>3374.0</v>
      </c>
      <c r="I5835" s="3">
        <f t="shared" si="3"/>
        <v>0.2076052178</v>
      </c>
      <c r="J5835" s="2">
        <v>2933.0</v>
      </c>
      <c r="K5835" s="3">
        <f t="shared" si="4"/>
        <v>0.180470096</v>
      </c>
      <c r="L5835" s="2">
        <v>2018.0</v>
      </c>
      <c r="M5835" s="3">
        <f t="shared" si="5"/>
        <v>0.5981031417</v>
      </c>
      <c r="N5835" s="2">
        <v>2.02649E7</v>
      </c>
      <c r="O5835" s="4">
        <f t="shared" si="6"/>
        <v>6006.194428</v>
      </c>
      <c r="P5835" s="2">
        <v>2.0</v>
      </c>
      <c r="Q5835" s="3">
        <f t="shared" si="7"/>
        <v>0.001305483029</v>
      </c>
      <c r="R5835" s="2">
        <v>1532.0</v>
      </c>
      <c r="S5835" s="5">
        <f t="shared" si="8"/>
        <v>1</v>
      </c>
    </row>
    <row r="5836">
      <c r="A5836" s="2" t="s">
        <v>5835</v>
      </c>
      <c r="B5836" s="2">
        <v>725.0</v>
      </c>
      <c r="C5836" s="2">
        <v>8600.0</v>
      </c>
      <c r="D5836" s="2">
        <v>2671.0</v>
      </c>
      <c r="E5836" s="3">
        <f t="shared" si="1"/>
        <v>0.3391746032</v>
      </c>
      <c r="F5836" s="2">
        <v>939.0</v>
      </c>
      <c r="G5836" s="3">
        <f t="shared" si="2"/>
        <v>0.1192380952</v>
      </c>
      <c r="H5836" s="2">
        <v>1656.0</v>
      </c>
      <c r="I5836" s="3">
        <f t="shared" si="3"/>
        <v>0.2102857143</v>
      </c>
      <c r="J5836" s="2">
        <v>1052.0</v>
      </c>
      <c r="K5836" s="3">
        <f t="shared" si="4"/>
        <v>0.1335873016</v>
      </c>
      <c r="L5836" s="2">
        <v>1024.0</v>
      </c>
      <c r="M5836" s="3">
        <f t="shared" si="5"/>
        <v>0.6183574879</v>
      </c>
      <c r="N5836" s="2">
        <v>8667700.0</v>
      </c>
      <c r="O5836" s="4">
        <f t="shared" si="6"/>
        <v>5234.118357</v>
      </c>
      <c r="P5836" s="2">
        <v>2.0</v>
      </c>
      <c r="Q5836" s="3">
        <f t="shared" si="7"/>
        <v>0.00275862069</v>
      </c>
      <c r="R5836" s="2">
        <v>725.0</v>
      </c>
      <c r="S5836" s="5">
        <f t="shared" si="8"/>
        <v>1</v>
      </c>
    </row>
    <row r="5837">
      <c r="A5837" s="2" t="s">
        <v>5836</v>
      </c>
      <c r="B5837" s="2">
        <v>175.0</v>
      </c>
      <c r="C5837" s="2">
        <v>2037.0</v>
      </c>
      <c r="D5837" s="2">
        <v>511.0</v>
      </c>
      <c r="E5837" s="3">
        <f t="shared" si="1"/>
        <v>0.2744360902</v>
      </c>
      <c r="F5837" s="2">
        <v>222.0</v>
      </c>
      <c r="G5837" s="3">
        <f t="shared" si="2"/>
        <v>0.119226638</v>
      </c>
      <c r="H5837" s="2">
        <v>362.0</v>
      </c>
      <c r="I5837" s="3">
        <f t="shared" si="3"/>
        <v>0.1944146079</v>
      </c>
      <c r="J5837" s="2">
        <v>284.0</v>
      </c>
      <c r="K5837" s="3">
        <f t="shared" si="4"/>
        <v>0.1525241676</v>
      </c>
      <c r="L5837" s="2">
        <v>226.0</v>
      </c>
      <c r="M5837" s="3">
        <f t="shared" si="5"/>
        <v>0.6243093923</v>
      </c>
      <c r="N5837" s="2">
        <v>2078000.0</v>
      </c>
      <c r="O5837" s="4">
        <f t="shared" si="6"/>
        <v>5740.331492</v>
      </c>
      <c r="P5837" s="2">
        <v>0.0</v>
      </c>
      <c r="Q5837" s="3">
        <f t="shared" si="7"/>
        <v>0</v>
      </c>
      <c r="R5837" s="2">
        <v>8.0</v>
      </c>
      <c r="S5837" s="5">
        <f t="shared" si="8"/>
        <v>0.04571428571</v>
      </c>
    </row>
    <row r="5838">
      <c r="A5838" s="2" t="s">
        <v>5837</v>
      </c>
      <c r="B5838" s="2">
        <v>37.0</v>
      </c>
      <c r="C5838" s="2">
        <v>448.0</v>
      </c>
      <c r="D5838" s="2">
        <v>162.0</v>
      </c>
      <c r="E5838" s="3">
        <f t="shared" si="1"/>
        <v>0.3941605839</v>
      </c>
      <c r="F5838" s="2">
        <v>49.0</v>
      </c>
      <c r="G5838" s="3">
        <f t="shared" si="2"/>
        <v>0.1192214112</v>
      </c>
      <c r="H5838" s="2">
        <v>87.0</v>
      </c>
      <c r="I5838" s="3">
        <f t="shared" si="3"/>
        <v>0.2116788321</v>
      </c>
      <c r="J5838" s="2">
        <v>62.0</v>
      </c>
      <c r="K5838" s="3">
        <f t="shared" si="4"/>
        <v>0.1508515815</v>
      </c>
      <c r="L5838" s="2">
        <v>52.0</v>
      </c>
      <c r="M5838" s="3">
        <f t="shared" si="5"/>
        <v>0.5977011494</v>
      </c>
      <c r="N5838" s="2">
        <v>453600.0</v>
      </c>
      <c r="O5838" s="4">
        <f t="shared" si="6"/>
        <v>5213.793103</v>
      </c>
      <c r="P5838" s="2">
        <v>0.0</v>
      </c>
      <c r="Q5838" s="3">
        <f t="shared" si="7"/>
        <v>0</v>
      </c>
      <c r="R5838" s="2">
        <v>37.0</v>
      </c>
      <c r="S5838" s="5">
        <f t="shared" si="8"/>
        <v>1</v>
      </c>
    </row>
    <row r="5839">
      <c r="A5839" s="2" t="s">
        <v>5838</v>
      </c>
      <c r="B5839" s="2">
        <v>247.0</v>
      </c>
      <c r="C5839" s="2">
        <v>2948.0</v>
      </c>
      <c r="D5839" s="2">
        <v>892.0</v>
      </c>
      <c r="E5839" s="3">
        <f t="shared" si="1"/>
        <v>0.3302480563</v>
      </c>
      <c r="F5839" s="2">
        <v>322.0</v>
      </c>
      <c r="G5839" s="3">
        <f t="shared" si="2"/>
        <v>0.1192151055</v>
      </c>
      <c r="H5839" s="2">
        <v>533.0</v>
      </c>
      <c r="I5839" s="3">
        <f t="shared" si="3"/>
        <v>0.1973343206</v>
      </c>
      <c r="J5839" s="2">
        <v>428.0</v>
      </c>
      <c r="K5839" s="3">
        <f t="shared" si="4"/>
        <v>0.1584598297</v>
      </c>
      <c r="L5839" s="2">
        <v>317.0</v>
      </c>
      <c r="M5839" s="3">
        <f t="shared" si="5"/>
        <v>0.5947467167</v>
      </c>
      <c r="N5839" s="2">
        <v>3149000.0</v>
      </c>
      <c r="O5839" s="4">
        <f t="shared" si="6"/>
        <v>5908.067542</v>
      </c>
      <c r="P5839" s="2">
        <v>2.0</v>
      </c>
      <c r="Q5839" s="3">
        <f t="shared" si="7"/>
        <v>0.008097165992</v>
      </c>
      <c r="R5839" s="2">
        <v>247.0</v>
      </c>
      <c r="S5839" s="5">
        <f t="shared" si="8"/>
        <v>1</v>
      </c>
    </row>
    <row r="5840">
      <c r="A5840" s="2" t="s">
        <v>5839</v>
      </c>
      <c r="B5840" s="2">
        <v>95.0</v>
      </c>
      <c r="C5840" s="2">
        <v>1152.0</v>
      </c>
      <c r="D5840" s="2">
        <v>333.0</v>
      </c>
      <c r="E5840" s="3">
        <f t="shared" si="1"/>
        <v>0.3150425733</v>
      </c>
      <c r="F5840" s="2">
        <v>126.0</v>
      </c>
      <c r="G5840" s="3">
        <f t="shared" si="2"/>
        <v>0.119205298</v>
      </c>
      <c r="H5840" s="2">
        <v>231.0</v>
      </c>
      <c r="I5840" s="3">
        <f t="shared" si="3"/>
        <v>0.2185430464</v>
      </c>
      <c r="J5840" s="2">
        <v>151.0</v>
      </c>
      <c r="K5840" s="3">
        <f t="shared" si="4"/>
        <v>0.1428571429</v>
      </c>
      <c r="L5840" s="2">
        <v>156.0</v>
      </c>
      <c r="M5840" s="3">
        <f t="shared" si="5"/>
        <v>0.6753246753</v>
      </c>
      <c r="N5840" s="2">
        <v>1236000.0</v>
      </c>
      <c r="O5840" s="4">
        <f t="shared" si="6"/>
        <v>5350.649351</v>
      </c>
      <c r="P5840" s="2">
        <v>0.0</v>
      </c>
      <c r="Q5840" s="3">
        <f t="shared" si="7"/>
        <v>0</v>
      </c>
      <c r="R5840" s="2">
        <v>95.0</v>
      </c>
      <c r="S5840" s="5">
        <f t="shared" si="8"/>
        <v>1</v>
      </c>
    </row>
    <row r="5841">
      <c r="A5841" s="2" t="s">
        <v>5840</v>
      </c>
      <c r="B5841" s="2">
        <v>1504.0</v>
      </c>
      <c r="C5841" s="2">
        <v>17588.0</v>
      </c>
      <c r="D5841" s="2">
        <v>4007.0</v>
      </c>
      <c r="E5841" s="3">
        <f t="shared" si="1"/>
        <v>0.2491295698</v>
      </c>
      <c r="F5841" s="2">
        <v>1917.0</v>
      </c>
      <c r="G5841" s="3">
        <f t="shared" si="2"/>
        <v>0.1191867695</v>
      </c>
      <c r="H5841" s="2">
        <v>3144.0</v>
      </c>
      <c r="I5841" s="3">
        <f t="shared" si="3"/>
        <v>0.1954737627</v>
      </c>
      <c r="J5841" s="2">
        <v>2934.0</v>
      </c>
      <c r="K5841" s="3">
        <f t="shared" si="4"/>
        <v>0.1824173091</v>
      </c>
      <c r="L5841" s="2">
        <v>1803.0</v>
      </c>
      <c r="M5841" s="3">
        <f t="shared" si="5"/>
        <v>0.5734732824</v>
      </c>
      <c r="N5841" s="2">
        <v>1.9238E7</v>
      </c>
      <c r="O5841" s="4">
        <f t="shared" si="6"/>
        <v>6118.956743</v>
      </c>
      <c r="P5841" s="2">
        <v>3.0</v>
      </c>
      <c r="Q5841" s="3">
        <f t="shared" si="7"/>
        <v>0.001994680851</v>
      </c>
      <c r="R5841" s="2">
        <v>1504.0</v>
      </c>
      <c r="S5841" s="5">
        <f t="shared" si="8"/>
        <v>1</v>
      </c>
    </row>
    <row r="5842">
      <c r="A5842" s="2" t="s">
        <v>5841</v>
      </c>
      <c r="B5842" s="2">
        <v>16.0</v>
      </c>
      <c r="C5842" s="2">
        <v>209.0</v>
      </c>
      <c r="D5842" s="2">
        <v>64.0</v>
      </c>
      <c r="E5842" s="3">
        <f t="shared" si="1"/>
        <v>0.3316062176</v>
      </c>
      <c r="F5842" s="2">
        <v>23.0</v>
      </c>
      <c r="G5842" s="3">
        <f t="shared" si="2"/>
        <v>0.1191709845</v>
      </c>
      <c r="H5842" s="2">
        <v>35.0</v>
      </c>
      <c r="I5842" s="3">
        <f t="shared" si="3"/>
        <v>0.1813471503</v>
      </c>
      <c r="J5842" s="2">
        <v>37.0</v>
      </c>
      <c r="K5842" s="3">
        <f t="shared" si="4"/>
        <v>0.1917098446</v>
      </c>
      <c r="L5842" s="2">
        <v>21.0</v>
      </c>
      <c r="M5842" s="3">
        <f t="shared" si="5"/>
        <v>0.6</v>
      </c>
      <c r="N5842" s="2">
        <v>204800.0</v>
      </c>
      <c r="O5842" s="4">
        <f t="shared" si="6"/>
        <v>5851.428571</v>
      </c>
      <c r="P5842" s="2">
        <v>0.0</v>
      </c>
      <c r="Q5842" s="3">
        <f t="shared" si="7"/>
        <v>0</v>
      </c>
      <c r="R5842" s="2">
        <v>16.0</v>
      </c>
      <c r="S5842" s="5">
        <f t="shared" si="8"/>
        <v>1</v>
      </c>
    </row>
    <row r="5843">
      <c r="A5843" s="2" t="s">
        <v>5842</v>
      </c>
      <c r="B5843" s="2">
        <v>1136.0</v>
      </c>
      <c r="C5843" s="2">
        <v>13321.0</v>
      </c>
      <c r="D5843" s="2">
        <v>3980.0</v>
      </c>
      <c r="E5843" s="3">
        <f t="shared" si="1"/>
        <v>0.3266311038</v>
      </c>
      <c r="F5843" s="2">
        <v>1452.0</v>
      </c>
      <c r="G5843" s="3">
        <f t="shared" si="2"/>
        <v>0.1191629052</v>
      </c>
      <c r="H5843" s="2">
        <v>2624.0</v>
      </c>
      <c r="I5843" s="3">
        <f t="shared" si="3"/>
        <v>0.2153467378</v>
      </c>
      <c r="J5843" s="2">
        <v>2155.0</v>
      </c>
      <c r="K5843" s="3">
        <f t="shared" si="4"/>
        <v>0.1768567911</v>
      </c>
      <c r="L5843" s="2">
        <v>1575.0</v>
      </c>
      <c r="M5843" s="3">
        <f t="shared" si="5"/>
        <v>0.6002286585</v>
      </c>
      <c r="N5843" s="2">
        <v>1.57402E7</v>
      </c>
      <c r="O5843" s="4">
        <f t="shared" si="6"/>
        <v>5998.551829</v>
      </c>
      <c r="P5843" s="2">
        <v>2.0</v>
      </c>
      <c r="Q5843" s="3">
        <f t="shared" si="7"/>
        <v>0.00176056338</v>
      </c>
      <c r="R5843" s="2">
        <v>0.0</v>
      </c>
      <c r="S5843" s="5">
        <f t="shared" si="8"/>
        <v>0</v>
      </c>
    </row>
    <row r="5844">
      <c r="A5844" s="2" t="s">
        <v>5843</v>
      </c>
      <c r="B5844" s="2">
        <v>636.0</v>
      </c>
      <c r="C5844" s="2">
        <v>7468.0</v>
      </c>
      <c r="D5844" s="2">
        <v>2093.0</v>
      </c>
      <c r="E5844" s="3">
        <f t="shared" si="1"/>
        <v>0.306352459</v>
      </c>
      <c r="F5844" s="2">
        <v>814.0</v>
      </c>
      <c r="G5844" s="3">
        <f t="shared" si="2"/>
        <v>0.1191451991</v>
      </c>
      <c r="H5844" s="2">
        <v>1397.0</v>
      </c>
      <c r="I5844" s="3">
        <f t="shared" si="3"/>
        <v>0.2044789227</v>
      </c>
      <c r="J5844" s="2">
        <v>1365.0</v>
      </c>
      <c r="K5844" s="3">
        <f t="shared" si="4"/>
        <v>0.199795082</v>
      </c>
      <c r="L5844" s="2">
        <v>818.0</v>
      </c>
      <c r="M5844" s="3">
        <f t="shared" si="5"/>
        <v>0.5855404438</v>
      </c>
      <c r="N5844" s="2">
        <v>8695300.0</v>
      </c>
      <c r="O5844" s="4">
        <f t="shared" si="6"/>
        <v>6224.266285</v>
      </c>
      <c r="P5844" s="2">
        <v>1.0</v>
      </c>
      <c r="Q5844" s="3">
        <f t="shared" si="7"/>
        <v>0.001572327044</v>
      </c>
      <c r="R5844" s="2">
        <v>636.0</v>
      </c>
      <c r="S5844" s="5">
        <f t="shared" si="8"/>
        <v>1</v>
      </c>
    </row>
    <row r="5845">
      <c r="A5845" s="2" t="s">
        <v>5844</v>
      </c>
      <c r="B5845" s="2">
        <v>2523.0</v>
      </c>
      <c r="C5845" s="2">
        <v>29743.0</v>
      </c>
      <c r="D5845" s="2">
        <v>10036.0</v>
      </c>
      <c r="E5845" s="3">
        <f t="shared" si="1"/>
        <v>0.3686994857</v>
      </c>
      <c r="F5845" s="2">
        <v>3243.0</v>
      </c>
      <c r="G5845" s="3">
        <f t="shared" si="2"/>
        <v>0.119140338</v>
      </c>
      <c r="H5845" s="2">
        <v>5377.0</v>
      </c>
      <c r="I5845" s="3">
        <f t="shared" si="3"/>
        <v>0.1975385746</v>
      </c>
      <c r="J5845" s="2">
        <v>3596.0</v>
      </c>
      <c r="K5845" s="3">
        <f t="shared" si="4"/>
        <v>0.1321087436</v>
      </c>
      <c r="L5845" s="2">
        <v>3201.0</v>
      </c>
      <c r="M5845" s="3">
        <f t="shared" si="5"/>
        <v>0.5953133718</v>
      </c>
      <c r="N5845" s="2">
        <v>3.19953E7</v>
      </c>
      <c r="O5845" s="4">
        <f t="shared" si="6"/>
        <v>5950.399851</v>
      </c>
      <c r="P5845" s="2">
        <v>4.0</v>
      </c>
      <c r="Q5845" s="3">
        <f t="shared" si="7"/>
        <v>0.001585414189</v>
      </c>
      <c r="R5845" s="2">
        <v>2523.0</v>
      </c>
      <c r="S5845" s="5">
        <f t="shared" si="8"/>
        <v>1</v>
      </c>
    </row>
    <row r="5846">
      <c r="A5846" s="2" t="s">
        <v>5845</v>
      </c>
      <c r="B5846" s="2">
        <v>557.0</v>
      </c>
      <c r="C5846" s="2">
        <v>6441.0</v>
      </c>
      <c r="D5846" s="2">
        <v>2030.0</v>
      </c>
      <c r="E5846" s="3">
        <f t="shared" si="1"/>
        <v>0.345003399</v>
      </c>
      <c r="F5846" s="2">
        <v>701.0</v>
      </c>
      <c r="G5846" s="3">
        <f t="shared" si="2"/>
        <v>0.1191366417</v>
      </c>
      <c r="H5846" s="2">
        <v>1158.0</v>
      </c>
      <c r="I5846" s="3">
        <f t="shared" si="3"/>
        <v>0.1968048946</v>
      </c>
      <c r="J5846" s="2">
        <v>992.0</v>
      </c>
      <c r="K5846" s="3">
        <f t="shared" si="4"/>
        <v>0.168592794</v>
      </c>
      <c r="L5846" s="2">
        <v>683.0</v>
      </c>
      <c r="M5846" s="3">
        <f t="shared" si="5"/>
        <v>0.5898100173</v>
      </c>
      <c r="N5846" s="2">
        <v>6769800.0</v>
      </c>
      <c r="O5846" s="4">
        <f t="shared" si="6"/>
        <v>5846.11399</v>
      </c>
      <c r="P5846" s="2">
        <v>2.0</v>
      </c>
      <c r="Q5846" s="3">
        <f t="shared" si="7"/>
        <v>0.003590664273</v>
      </c>
      <c r="R5846" s="2">
        <v>0.0</v>
      </c>
      <c r="S5846" s="5">
        <f t="shared" si="8"/>
        <v>0</v>
      </c>
    </row>
    <row r="5847">
      <c r="A5847" s="2" t="s">
        <v>5846</v>
      </c>
      <c r="B5847" s="2">
        <v>1292.0</v>
      </c>
      <c r="C5847" s="2">
        <v>15579.0</v>
      </c>
      <c r="D5847" s="2">
        <v>5013.0</v>
      </c>
      <c r="E5847" s="3">
        <f t="shared" si="1"/>
        <v>0.3508784209</v>
      </c>
      <c r="F5847" s="2">
        <v>1702.0</v>
      </c>
      <c r="G5847" s="3">
        <f t="shared" si="2"/>
        <v>0.1191292784</v>
      </c>
      <c r="H5847" s="2">
        <v>2906.0</v>
      </c>
      <c r="I5847" s="3">
        <f t="shared" si="3"/>
        <v>0.2034016938</v>
      </c>
      <c r="J5847" s="2">
        <v>1921.0</v>
      </c>
      <c r="K5847" s="3">
        <f t="shared" si="4"/>
        <v>0.1344578988</v>
      </c>
      <c r="L5847" s="2">
        <v>1733.0</v>
      </c>
      <c r="M5847" s="3">
        <f t="shared" si="5"/>
        <v>0.5963523744</v>
      </c>
      <c r="N5847" s="2">
        <v>1.52778E7</v>
      </c>
      <c r="O5847" s="4">
        <f t="shared" si="6"/>
        <v>5257.329663</v>
      </c>
      <c r="P5847" s="2">
        <v>3.0</v>
      </c>
      <c r="Q5847" s="3">
        <f t="shared" si="7"/>
        <v>0.002321981424</v>
      </c>
      <c r="R5847" s="2">
        <v>1292.0</v>
      </c>
      <c r="S5847" s="5">
        <f t="shared" si="8"/>
        <v>1</v>
      </c>
    </row>
    <row r="5848">
      <c r="A5848" s="2" t="s">
        <v>5847</v>
      </c>
      <c r="B5848" s="2">
        <v>401.0</v>
      </c>
      <c r="C5848" s="2">
        <v>4850.0</v>
      </c>
      <c r="D5848" s="2">
        <v>1674.0</v>
      </c>
      <c r="E5848" s="3">
        <f t="shared" si="1"/>
        <v>0.3762643291</v>
      </c>
      <c r="F5848" s="2">
        <v>530.0</v>
      </c>
      <c r="G5848" s="3">
        <f t="shared" si="2"/>
        <v>0.1191278939</v>
      </c>
      <c r="H5848" s="2">
        <v>927.0</v>
      </c>
      <c r="I5848" s="3">
        <f t="shared" si="3"/>
        <v>0.2083614295</v>
      </c>
      <c r="J5848" s="2">
        <v>667.0</v>
      </c>
      <c r="K5848" s="3">
        <f t="shared" si="4"/>
        <v>0.1499213306</v>
      </c>
      <c r="L5848" s="2">
        <v>560.0</v>
      </c>
      <c r="M5848" s="3">
        <f t="shared" si="5"/>
        <v>0.6040992449</v>
      </c>
      <c r="N5848" s="2">
        <v>5082100.0</v>
      </c>
      <c r="O5848" s="4">
        <f t="shared" si="6"/>
        <v>5482.308522</v>
      </c>
      <c r="P5848" s="2">
        <v>0.0</v>
      </c>
      <c r="Q5848" s="3">
        <f t="shared" si="7"/>
        <v>0</v>
      </c>
      <c r="R5848" s="2">
        <v>308.0</v>
      </c>
      <c r="S5848" s="5">
        <f t="shared" si="8"/>
        <v>0.7680798005</v>
      </c>
    </row>
    <row r="5849">
      <c r="A5849" s="2" t="s">
        <v>5848</v>
      </c>
      <c r="B5849" s="2">
        <v>1134.0</v>
      </c>
      <c r="C5849" s="2">
        <v>13467.0</v>
      </c>
      <c r="D5849" s="2">
        <v>4324.0</v>
      </c>
      <c r="E5849" s="3">
        <f t="shared" si="1"/>
        <v>0.3506040704</v>
      </c>
      <c r="F5849" s="2">
        <v>1469.0</v>
      </c>
      <c r="G5849" s="3">
        <f t="shared" si="2"/>
        <v>0.1191113273</v>
      </c>
      <c r="H5849" s="2">
        <v>2608.0</v>
      </c>
      <c r="I5849" s="3">
        <f t="shared" si="3"/>
        <v>0.2114651747</v>
      </c>
      <c r="J5849" s="2">
        <v>2073.0</v>
      </c>
      <c r="K5849" s="3">
        <f t="shared" si="4"/>
        <v>0.1680856239</v>
      </c>
      <c r="L5849" s="2">
        <v>1563.0</v>
      </c>
      <c r="M5849" s="3">
        <f t="shared" si="5"/>
        <v>0.599309816</v>
      </c>
      <c r="N5849" s="2">
        <v>1.46507E7</v>
      </c>
      <c r="O5849" s="4">
        <f t="shared" si="6"/>
        <v>5617.599693</v>
      </c>
      <c r="P5849" s="2">
        <v>2.0</v>
      </c>
      <c r="Q5849" s="3">
        <f t="shared" si="7"/>
        <v>0.00176366843</v>
      </c>
      <c r="R5849" s="2">
        <v>1134.0</v>
      </c>
      <c r="S5849" s="5">
        <f t="shared" si="8"/>
        <v>1</v>
      </c>
    </row>
    <row r="5850">
      <c r="A5850" s="2" t="s">
        <v>5849</v>
      </c>
      <c r="B5850" s="2">
        <v>776.0</v>
      </c>
      <c r="C5850" s="2">
        <v>9249.0</v>
      </c>
      <c r="D5850" s="2">
        <v>3465.0</v>
      </c>
      <c r="E5850" s="3">
        <f t="shared" si="1"/>
        <v>0.408946064</v>
      </c>
      <c r="F5850" s="2">
        <v>1009.0</v>
      </c>
      <c r="G5850" s="3">
        <f t="shared" si="2"/>
        <v>0.1190841497</v>
      </c>
      <c r="H5850" s="2">
        <v>1790.0</v>
      </c>
      <c r="I5850" s="3">
        <f t="shared" si="3"/>
        <v>0.2112592942</v>
      </c>
      <c r="J5850" s="2">
        <v>1218.0</v>
      </c>
      <c r="K5850" s="3">
        <f t="shared" si="4"/>
        <v>0.1437507376</v>
      </c>
      <c r="L5850" s="2">
        <v>1090.0</v>
      </c>
      <c r="M5850" s="3">
        <f t="shared" si="5"/>
        <v>0.6089385475</v>
      </c>
      <c r="N5850" s="2">
        <v>9476800.0</v>
      </c>
      <c r="O5850" s="4">
        <f t="shared" si="6"/>
        <v>5294.301676</v>
      </c>
      <c r="P5850" s="2">
        <v>2.0</v>
      </c>
      <c r="Q5850" s="3">
        <f t="shared" si="7"/>
        <v>0.002577319588</v>
      </c>
      <c r="R5850" s="2">
        <v>342.0</v>
      </c>
      <c r="S5850" s="5">
        <f t="shared" si="8"/>
        <v>0.4407216495</v>
      </c>
    </row>
    <row r="5851">
      <c r="A5851" s="2" t="s">
        <v>5850</v>
      </c>
      <c r="B5851" s="2">
        <v>270.0</v>
      </c>
      <c r="C5851" s="2">
        <v>3100.0</v>
      </c>
      <c r="D5851" s="2">
        <v>932.0</v>
      </c>
      <c r="E5851" s="3">
        <f t="shared" si="1"/>
        <v>0.3293286219</v>
      </c>
      <c r="F5851" s="2">
        <v>337.0</v>
      </c>
      <c r="G5851" s="3">
        <f t="shared" si="2"/>
        <v>0.1190812721</v>
      </c>
      <c r="H5851" s="2">
        <v>595.0</v>
      </c>
      <c r="I5851" s="3">
        <f t="shared" si="3"/>
        <v>0.2102473498</v>
      </c>
      <c r="J5851" s="2">
        <v>507.0</v>
      </c>
      <c r="K5851" s="3">
        <f t="shared" si="4"/>
        <v>0.1791519435</v>
      </c>
      <c r="L5851" s="2">
        <v>340.0</v>
      </c>
      <c r="M5851" s="3">
        <f t="shared" si="5"/>
        <v>0.5714285714</v>
      </c>
      <c r="N5851" s="2">
        <v>3460700.0</v>
      </c>
      <c r="O5851" s="4">
        <f t="shared" si="6"/>
        <v>5816.302521</v>
      </c>
      <c r="P5851" s="2">
        <v>1.0</v>
      </c>
      <c r="Q5851" s="3">
        <f t="shared" si="7"/>
        <v>0.003703703704</v>
      </c>
      <c r="R5851" s="2">
        <v>0.0</v>
      </c>
      <c r="S5851" s="5">
        <f t="shared" si="8"/>
        <v>0</v>
      </c>
    </row>
    <row r="5852">
      <c r="A5852" s="2" t="s">
        <v>5851</v>
      </c>
      <c r="B5852" s="2">
        <v>261.0</v>
      </c>
      <c r="C5852" s="2">
        <v>3133.0</v>
      </c>
      <c r="D5852" s="2">
        <v>879.0</v>
      </c>
      <c r="E5852" s="3">
        <f t="shared" si="1"/>
        <v>0.3060584958</v>
      </c>
      <c r="F5852" s="2">
        <v>342.0</v>
      </c>
      <c r="G5852" s="3">
        <f t="shared" si="2"/>
        <v>0.1190807799</v>
      </c>
      <c r="H5852" s="2">
        <v>576.0</v>
      </c>
      <c r="I5852" s="3">
        <f t="shared" si="3"/>
        <v>0.2005571031</v>
      </c>
      <c r="J5852" s="2">
        <v>485.0</v>
      </c>
      <c r="K5852" s="3">
        <f t="shared" si="4"/>
        <v>0.1688718663</v>
      </c>
      <c r="L5852" s="2">
        <v>329.0</v>
      </c>
      <c r="M5852" s="3">
        <f t="shared" si="5"/>
        <v>0.5711805556</v>
      </c>
      <c r="N5852" s="2">
        <v>3315300.0</v>
      </c>
      <c r="O5852" s="4">
        <f t="shared" si="6"/>
        <v>5755.729167</v>
      </c>
      <c r="P5852" s="2">
        <v>0.0</v>
      </c>
      <c r="Q5852" s="3">
        <f t="shared" si="7"/>
        <v>0</v>
      </c>
      <c r="R5852" s="2">
        <v>82.0</v>
      </c>
      <c r="S5852" s="5">
        <f t="shared" si="8"/>
        <v>0.3141762452</v>
      </c>
    </row>
    <row r="5853">
      <c r="A5853" s="2" t="s">
        <v>5852</v>
      </c>
      <c r="B5853" s="2">
        <v>2967.0</v>
      </c>
      <c r="C5853" s="2">
        <v>34459.0</v>
      </c>
      <c r="D5853" s="2">
        <v>9225.0</v>
      </c>
      <c r="E5853" s="3">
        <f t="shared" si="1"/>
        <v>0.2929315382</v>
      </c>
      <c r="F5853" s="2">
        <v>3750.0</v>
      </c>
      <c r="G5853" s="3">
        <f t="shared" si="2"/>
        <v>0.119077861</v>
      </c>
      <c r="H5853" s="2">
        <v>6484.0</v>
      </c>
      <c r="I5853" s="3">
        <f t="shared" si="3"/>
        <v>0.2058935603</v>
      </c>
      <c r="J5853" s="2">
        <v>4613.0</v>
      </c>
      <c r="K5853" s="3">
        <f t="shared" si="4"/>
        <v>0.1464816461</v>
      </c>
      <c r="L5853" s="2">
        <v>3948.0</v>
      </c>
      <c r="M5853" s="3">
        <f t="shared" si="5"/>
        <v>0.6088834053</v>
      </c>
      <c r="N5853" s="2">
        <v>3.69182E7</v>
      </c>
      <c r="O5853" s="4">
        <f t="shared" si="6"/>
        <v>5693.738433</v>
      </c>
      <c r="P5853" s="2">
        <v>8.0</v>
      </c>
      <c r="Q5853" s="3">
        <f t="shared" si="7"/>
        <v>0.002696326255</v>
      </c>
      <c r="R5853" s="2">
        <v>0.0</v>
      </c>
      <c r="S5853" s="5">
        <f t="shared" si="8"/>
        <v>0</v>
      </c>
    </row>
    <row r="5854">
      <c r="A5854" s="2" t="s">
        <v>5853</v>
      </c>
      <c r="B5854" s="2">
        <v>79.0</v>
      </c>
      <c r="C5854" s="2">
        <v>902.0</v>
      </c>
      <c r="D5854" s="2">
        <v>333.0</v>
      </c>
      <c r="E5854" s="3">
        <f t="shared" si="1"/>
        <v>0.4046172539</v>
      </c>
      <c r="F5854" s="2">
        <v>98.0</v>
      </c>
      <c r="G5854" s="3">
        <f t="shared" si="2"/>
        <v>0.1190765492</v>
      </c>
      <c r="H5854" s="2">
        <v>185.0</v>
      </c>
      <c r="I5854" s="3">
        <f t="shared" si="3"/>
        <v>0.2247873633</v>
      </c>
      <c r="J5854" s="2">
        <v>140.0</v>
      </c>
      <c r="K5854" s="3">
        <f t="shared" si="4"/>
        <v>0.170109356</v>
      </c>
      <c r="L5854" s="2">
        <v>117.0</v>
      </c>
      <c r="M5854" s="3">
        <f t="shared" si="5"/>
        <v>0.6324324324</v>
      </c>
      <c r="N5854" s="2">
        <v>944000.0</v>
      </c>
      <c r="O5854" s="4">
        <f t="shared" si="6"/>
        <v>5102.702703</v>
      </c>
      <c r="P5854" s="2">
        <v>0.0</v>
      </c>
      <c r="Q5854" s="3">
        <f t="shared" si="7"/>
        <v>0</v>
      </c>
      <c r="R5854" s="2">
        <v>41.0</v>
      </c>
      <c r="S5854" s="5">
        <f t="shared" si="8"/>
        <v>0.5189873418</v>
      </c>
    </row>
    <row r="5855">
      <c r="A5855" s="2" t="s">
        <v>5854</v>
      </c>
      <c r="B5855" s="2">
        <v>187.0</v>
      </c>
      <c r="C5855" s="2">
        <v>2169.0</v>
      </c>
      <c r="D5855" s="2">
        <v>718.0</v>
      </c>
      <c r="E5855" s="3">
        <f t="shared" si="1"/>
        <v>0.3622603431</v>
      </c>
      <c r="F5855" s="2">
        <v>236.0</v>
      </c>
      <c r="G5855" s="3">
        <f t="shared" si="2"/>
        <v>0.1190716448</v>
      </c>
      <c r="H5855" s="2">
        <v>402.0</v>
      </c>
      <c r="I5855" s="3">
        <f t="shared" si="3"/>
        <v>0.2028254289</v>
      </c>
      <c r="J5855" s="2">
        <v>353.0</v>
      </c>
      <c r="K5855" s="3">
        <f t="shared" si="4"/>
        <v>0.1781029263</v>
      </c>
      <c r="L5855" s="2">
        <v>237.0</v>
      </c>
      <c r="M5855" s="3">
        <f t="shared" si="5"/>
        <v>0.5895522388</v>
      </c>
      <c r="N5855" s="2">
        <v>2438100.0</v>
      </c>
      <c r="O5855" s="4">
        <f t="shared" si="6"/>
        <v>6064.925373</v>
      </c>
      <c r="P5855" s="2">
        <v>0.0</v>
      </c>
      <c r="Q5855" s="3">
        <f t="shared" si="7"/>
        <v>0</v>
      </c>
      <c r="R5855" s="2">
        <v>187.0</v>
      </c>
      <c r="S5855" s="5">
        <f t="shared" si="8"/>
        <v>1</v>
      </c>
    </row>
    <row r="5856">
      <c r="A5856" s="2" t="s">
        <v>5855</v>
      </c>
      <c r="B5856" s="2">
        <v>223.0</v>
      </c>
      <c r="C5856" s="2">
        <v>2625.0</v>
      </c>
      <c r="D5856" s="2">
        <v>648.0</v>
      </c>
      <c r="E5856" s="3">
        <f t="shared" si="1"/>
        <v>0.2697751873</v>
      </c>
      <c r="F5856" s="2">
        <v>286.0</v>
      </c>
      <c r="G5856" s="3">
        <f t="shared" si="2"/>
        <v>0.1190674438</v>
      </c>
      <c r="H5856" s="2">
        <v>434.0</v>
      </c>
      <c r="I5856" s="3">
        <f t="shared" si="3"/>
        <v>0.1806827644</v>
      </c>
      <c r="J5856" s="2">
        <v>384.0</v>
      </c>
      <c r="K5856" s="3">
        <f t="shared" si="4"/>
        <v>0.1598667777</v>
      </c>
      <c r="L5856" s="2">
        <v>252.0</v>
      </c>
      <c r="M5856" s="3">
        <f t="shared" si="5"/>
        <v>0.5806451613</v>
      </c>
      <c r="N5856" s="2">
        <v>2333600.0</v>
      </c>
      <c r="O5856" s="4">
        <f t="shared" si="6"/>
        <v>5376.958525</v>
      </c>
      <c r="P5856" s="2">
        <v>0.0</v>
      </c>
      <c r="Q5856" s="3">
        <f t="shared" si="7"/>
        <v>0</v>
      </c>
      <c r="R5856" s="2">
        <v>223.0</v>
      </c>
      <c r="S5856" s="5">
        <f t="shared" si="8"/>
        <v>1</v>
      </c>
    </row>
    <row r="5857">
      <c r="A5857" s="2" t="s">
        <v>5856</v>
      </c>
      <c r="B5857" s="2">
        <v>1372.0</v>
      </c>
      <c r="C5857" s="2">
        <v>15944.0</v>
      </c>
      <c r="D5857" s="2">
        <v>4286.0</v>
      </c>
      <c r="E5857" s="3">
        <f t="shared" si="1"/>
        <v>0.2941257206</v>
      </c>
      <c r="F5857" s="2">
        <v>1735.0</v>
      </c>
      <c r="G5857" s="3">
        <f t="shared" si="2"/>
        <v>0.1190639583</v>
      </c>
      <c r="H5857" s="2">
        <v>3027.0</v>
      </c>
      <c r="I5857" s="3">
        <f t="shared" si="3"/>
        <v>0.207727148</v>
      </c>
      <c r="J5857" s="2">
        <v>2717.0</v>
      </c>
      <c r="K5857" s="3">
        <f t="shared" si="4"/>
        <v>0.1864534724</v>
      </c>
      <c r="L5857" s="2">
        <v>1798.0</v>
      </c>
      <c r="M5857" s="3">
        <f t="shared" si="5"/>
        <v>0.5939874463</v>
      </c>
      <c r="N5857" s="2">
        <v>1.7452E7</v>
      </c>
      <c r="O5857" s="4">
        <f t="shared" si="6"/>
        <v>5765.444334</v>
      </c>
      <c r="P5857" s="2">
        <v>4.0</v>
      </c>
      <c r="Q5857" s="3">
        <f t="shared" si="7"/>
        <v>0.002915451895</v>
      </c>
      <c r="R5857" s="2">
        <v>0.0</v>
      </c>
      <c r="S5857" s="5">
        <f t="shared" si="8"/>
        <v>0</v>
      </c>
    </row>
    <row r="5858">
      <c r="A5858" s="2" t="s">
        <v>5857</v>
      </c>
      <c r="B5858" s="2">
        <v>3027.0</v>
      </c>
      <c r="C5858" s="2">
        <v>35817.0</v>
      </c>
      <c r="D5858" s="2">
        <v>10546.0</v>
      </c>
      <c r="E5858" s="3">
        <f t="shared" si="1"/>
        <v>0.3216224459</v>
      </c>
      <c r="F5858" s="2">
        <v>3904.0</v>
      </c>
      <c r="G5858" s="3">
        <f t="shared" si="2"/>
        <v>0.1190606892</v>
      </c>
      <c r="H5858" s="2">
        <v>6681.0</v>
      </c>
      <c r="I5858" s="3">
        <f t="shared" si="3"/>
        <v>0.2037511436</v>
      </c>
      <c r="J5858" s="2">
        <v>4694.0</v>
      </c>
      <c r="K5858" s="3">
        <f t="shared" si="4"/>
        <v>0.1431534004</v>
      </c>
      <c r="L5858" s="2">
        <v>4108.0</v>
      </c>
      <c r="M5858" s="3">
        <f t="shared" si="5"/>
        <v>0.6148780123</v>
      </c>
      <c r="N5858" s="2">
        <v>3.79433E7</v>
      </c>
      <c r="O5858" s="4">
        <f t="shared" si="6"/>
        <v>5679.284538</v>
      </c>
      <c r="P5858" s="2">
        <v>7.0</v>
      </c>
      <c r="Q5858" s="3">
        <f t="shared" si="7"/>
        <v>0.002312520648</v>
      </c>
      <c r="R5858" s="2">
        <v>0.0</v>
      </c>
      <c r="S5858" s="5">
        <f t="shared" si="8"/>
        <v>0</v>
      </c>
    </row>
    <row r="5859">
      <c r="A5859" s="2" t="s">
        <v>5858</v>
      </c>
      <c r="B5859" s="2">
        <v>989.0</v>
      </c>
      <c r="C5859" s="2">
        <v>11757.0</v>
      </c>
      <c r="D5859" s="2">
        <v>3810.0</v>
      </c>
      <c r="E5859" s="3">
        <f t="shared" si="1"/>
        <v>0.3538261516</v>
      </c>
      <c r="F5859" s="2">
        <v>1282.0</v>
      </c>
      <c r="G5859" s="3">
        <f t="shared" si="2"/>
        <v>0.1190564636</v>
      </c>
      <c r="H5859" s="2">
        <v>2230.0</v>
      </c>
      <c r="I5859" s="3">
        <f t="shared" si="3"/>
        <v>0.2070950966</v>
      </c>
      <c r="J5859" s="2">
        <v>1569.0</v>
      </c>
      <c r="K5859" s="3">
        <f t="shared" si="4"/>
        <v>0.1457095097</v>
      </c>
      <c r="L5859" s="2">
        <v>1331.0</v>
      </c>
      <c r="M5859" s="3">
        <f t="shared" si="5"/>
        <v>0.5968609865</v>
      </c>
      <c r="N5859" s="2">
        <v>1.28615E7</v>
      </c>
      <c r="O5859" s="4">
        <f t="shared" si="6"/>
        <v>5767.488789</v>
      </c>
      <c r="P5859" s="2">
        <v>3.0</v>
      </c>
      <c r="Q5859" s="3">
        <f t="shared" si="7"/>
        <v>0.003033367037</v>
      </c>
      <c r="R5859" s="2">
        <v>989.0</v>
      </c>
      <c r="S5859" s="5">
        <f t="shared" si="8"/>
        <v>1</v>
      </c>
    </row>
    <row r="5860">
      <c r="A5860" s="2" t="s">
        <v>5859</v>
      </c>
      <c r="B5860" s="2">
        <v>373.0</v>
      </c>
      <c r="C5860" s="2">
        <v>4472.0</v>
      </c>
      <c r="D5860" s="2">
        <v>1414.0</v>
      </c>
      <c r="E5860" s="3">
        <f t="shared" si="1"/>
        <v>0.3449621859</v>
      </c>
      <c r="F5860" s="2">
        <v>488.0</v>
      </c>
      <c r="G5860" s="3">
        <f t="shared" si="2"/>
        <v>0.1190534277</v>
      </c>
      <c r="H5860" s="2">
        <v>841.0</v>
      </c>
      <c r="I5860" s="3">
        <f t="shared" si="3"/>
        <v>0.2051719932</v>
      </c>
      <c r="J5860" s="2">
        <v>641.0</v>
      </c>
      <c r="K5860" s="3">
        <f t="shared" si="4"/>
        <v>0.1563796048</v>
      </c>
      <c r="L5860" s="2">
        <v>464.0</v>
      </c>
      <c r="M5860" s="3">
        <f t="shared" si="5"/>
        <v>0.5517241379</v>
      </c>
      <c r="N5860" s="2">
        <v>4559200.0</v>
      </c>
      <c r="O5860" s="4">
        <f t="shared" si="6"/>
        <v>5421.165279</v>
      </c>
      <c r="P5860" s="2">
        <v>1.0</v>
      </c>
      <c r="Q5860" s="3">
        <f t="shared" si="7"/>
        <v>0.002680965147</v>
      </c>
      <c r="R5860" s="2">
        <v>0.0</v>
      </c>
      <c r="S5860" s="5">
        <f t="shared" si="8"/>
        <v>0</v>
      </c>
    </row>
    <row r="5861">
      <c r="A5861" s="2" t="s">
        <v>5860</v>
      </c>
      <c r="B5861" s="2">
        <v>403.0</v>
      </c>
      <c r="C5861" s="2">
        <v>4754.0</v>
      </c>
      <c r="D5861" s="2">
        <v>1333.0</v>
      </c>
      <c r="E5861" s="3">
        <f t="shared" si="1"/>
        <v>0.3063663526</v>
      </c>
      <c r="F5861" s="2">
        <v>518.0</v>
      </c>
      <c r="G5861" s="3">
        <f t="shared" si="2"/>
        <v>0.1190530912</v>
      </c>
      <c r="H5861" s="2">
        <v>905.0</v>
      </c>
      <c r="I5861" s="3">
        <f t="shared" si="3"/>
        <v>0.2079981613</v>
      </c>
      <c r="J5861" s="2">
        <v>724.0</v>
      </c>
      <c r="K5861" s="3">
        <f t="shared" si="4"/>
        <v>0.1663985291</v>
      </c>
      <c r="L5861" s="2">
        <v>543.0</v>
      </c>
      <c r="M5861" s="3">
        <f t="shared" si="5"/>
        <v>0.6</v>
      </c>
      <c r="N5861" s="2">
        <v>4936700.0</v>
      </c>
      <c r="O5861" s="4">
        <f t="shared" si="6"/>
        <v>5454.917127</v>
      </c>
      <c r="P5861" s="2">
        <v>0.0</v>
      </c>
      <c r="Q5861" s="3">
        <f t="shared" si="7"/>
        <v>0</v>
      </c>
      <c r="R5861" s="2">
        <v>403.0</v>
      </c>
      <c r="S5861" s="5">
        <f t="shared" si="8"/>
        <v>1</v>
      </c>
    </row>
    <row r="5862">
      <c r="A5862" s="2" t="s">
        <v>5861</v>
      </c>
      <c r="B5862" s="2">
        <v>150.0</v>
      </c>
      <c r="C5862" s="2">
        <v>1746.0</v>
      </c>
      <c r="D5862" s="2">
        <v>611.0</v>
      </c>
      <c r="E5862" s="3">
        <f t="shared" si="1"/>
        <v>0.3828320802</v>
      </c>
      <c r="F5862" s="2">
        <v>190.0</v>
      </c>
      <c r="G5862" s="3">
        <f t="shared" si="2"/>
        <v>0.119047619</v>
      </c>
      <c r="H5862" s="2">
        <v>318.0</v>
      </c>
      <c r="I5862" s="3">
        <f t="shared" si="3"/>
        <v>0.1992481203</v>
      </c>
      <c r="J5862" s="2">
        <v>289.0</v>
      </c>
      <c r="K5862" s="3">
        <f t="shared" si="4"/>
        <v>0.1810776942</v>
      </c>
      <c r="L5862" s="2">
        <v>193.0</v>
      </c>
      <c r="M5862" s="3">
        <f t="shared" si="5"/>
        <v>0.606918239</v>
      </c>
      <c r="N5862" s="2">
        <v>1714600.0</v>
      </c>
      <c r="O5862" s="4">
        <f t="shared" si="6"/>
        <v>5391.823899</v>
      </c>
      <c r="P5862" s="2">
        <v>0.0</v>
      </c>
      <c r="Q5862" s="3">
        <f t="shared" si="7"/>
        <v>0</v>
      </c>
      <c r="R5862" s="2">
        <v>150.0</v>
      </c>
      <c r="S5862" s="5">
        <f t="shared" si="8"/>
        <v>1</v>
      </c>
    </row>
    <row r="5863">
      <c r="A5863" s="2" t="s">
        <v>5862</v>
      </c>
      <c r="B5863" s="2">
        <v>2412.0</v>
      </c>
      <c r="C5863" s="2">
        <v>28074.0</v>
      </c>
      <c r="D5863" s="2">
        <v>8636.0</v>
      </c>
      <c r="E5863" s="3">
        <f t="shared" si="1"/>
        <v>0.3365287195</v>
      </c>
      <c r="F5863" s="2">
        <v>3055.0</v>
      </c>
      <c r="G5863" s="3">
        <f t="shared" si="2"/>
        <v>0.119047619</v>
      </c>
      <c r="H5863" s="2">
        <v>5578.0</v>
      </c>
      <c r="I5863" s="3">
        <f t="shared" si="3"/>
        <v>0.2173641961</v>
      </c>
      <c r="J5863" s="2">
        <v>4557.0</v>
      </c>
      <c r="K5863" s="3">
        <f t="shared" si="4"/>
        <v>0.1775777414</v>
      </c>
      <c r="L5863" s="2">
        <v>3305.0</v>
      </c>
      <c r="M5863" s="3">
        <f t="shared" si="5"/>
        <v>0.5925062747</v>
      </c>
      <c r="N5863" s="2">
        <v>3.16287E7</v>
      </c>
      <c r="O5863" s="4">
        <f t="shared" si="6"/>
        <v>5670.258157</v>
      </c>
      <c r="P5863" s="2">
        <v>4.0</v>
      </c>
      <c r="Q5863" s="3">
        <f t="shared" si="7"/>
        <v>0.001658374793</v>
      </c>
      <c r="R5863" s="2">
        <v>2412.0</v>
      </c>
      <c r="S5863" s="5">
        <f t="shared" si="8"/>
        <v>1</v>
      </c>
    </row>
    <row r="5864">
      <c r="A5864" s="2" t="s">
        <v>5863</v>
      </c>
      <c r="B5864" s="2">
        <v>40.0</v>
      </c>
      <c r="C5864" s="2">
        <v>460.0</v>
      </c>
      <c r="D5864" s="2">
        <v>121.0</v>
      </c>
      <c r="E5864" s="3">
        <f t="shared" si="1"/>
        <v>0.2880952381</v>
      </c>
      <c r="F5864" s="2">
        <v>50.0</v>
      </c>
      <c r="G5864" s="3">
        <f t="shared" si="2"/>
        <v>0.119047619</v>
      </c>
      <c r="H5864" s="2">
        <v>92.0</v>
      </c>
      <c r="I5864" s="3">
        <f t="shared" si="3"/>
        <v>0.219047619</v>
      </c>
      <c r="J5864" s="2">
        <v>58.0</v>
      </c>
      <c r="K5864" s="3">
        <f t="shared" si="4"/>
        <v>0.1380952381</v>
      </c>
      <c r="L5864" s="2">
        <v>55.0</v>
      </c>
      <c r="M5864" s="3">
        <f t="shared" si="5"/>
        <v>0.597826087</v>
      </c>
      <c r="N5864" s="2">
        <v>504500.0</v>
      </c>
      <c r="O5864" s="4">
        <f t="shared" si="6"/>
        <v>5483.695652</v>
      </c>
      <c r="P5864" s="2">
        <v>1.0</v>
      </c>
      <c r="Q5864" s="3">
        <f t="shared" si="7"/>
        <v>0.025</v>
      </c>
      <c r="R5864" s="2">
        <v>0.0</v>
      </c>
      <c r="S5864" s="5">
        <f t="shared" si="8"/>
        <v>0</v>
      </c>
    </row>
    <row r="5865">
      <c r="A5865" s="2" t="s">
        <v>5864</v>
      </c>
      <c r="B5865" s="2">
        <v>1492.0</v>
      </c>
      <c r="C5865" s="2">
        <v>17344.0</v>
      </c>
      <c r="D5865" s="2">
        <v>5006.0</v>
      </c>
      <c r="E5865" s="3">
        <f t="shared" si="1"/>
        <v>0.3157961141</v>
      </c>
      <c r="F5865" s="2">
        <v>1887.0</v>
      </c>
      <c r="G5865" s="3">
        <f t="shared" si="2"/>
        <v>0.1190386071</v>
      </c>
      <c r="H5865" s="2">
        <v>3289.0</v>
      </c>
      <c r="I5865" s="3">
        <f t="shared" si="3"/>
        <v>0.2074817058</v>
      </c>
      <c r="J5865" s="2">
        <v>2701.0</v>
      </c>
      <c r="K5865" s="3">
        <f t="shared" si="4"/>
        <v>0.1703885945</v>
      </c>
      <c r="L5865" s="2">
        <v>1972.0</v>
      </c>
      <c r="M5865" s="3">
        <f t="shared" si="5"/>
        <v>0.5995743387</v>
      </c>
      <c r="N5865" s="2">
        <v>1.82713E7</v>
      </c>
      <c r="O5865" s="4">
        <f t="shared" si="6"/>
        <v>5555.27516</v>
      </c>
      <c r="P5865" s="2">
        <v>4.0</v>
      </c>
      <c r="Q5865" s="3">
        <f t="shared" si="7"/>
        <v>0.002680965147</v>
      </c>
      <c r="R5865" s="2">
        <v>1492.0</v>
      </c>
      <c r="S5865" s="5">
        <f t="shared" si="8"/>
        <v>1</v>
      </c>
    </row>
    <row r="5866">
      <c r="A5866" s="2" t="s">
        <v>5865</v>
      </c>
      <c r="B5866" s="2">
        <v>228.0</v>
      </c>
      <c r="C5866" s="2">
        <v>2765.0</v>
      </c>
      <c r="D5866" s="2">
        <v>1064.0</v>
      </c>
      <c r="E5866" s="3">
        <f t="shared" si="1"/>
        <v>0.4193929838</v>
      </c>
      <c r="F5866" s="2">
        <v>302.0</v>
      </c>
      <c r="G5866" s="3">
        <f t="shared" si="2"/>
        <v>0.1190382341</v>
      </c>
      <c r="H5866" s="2">
        <v>504.0</v>
      </c>
      <c r="I5866" s="3">
        <f t="shared" si="3"/>
        <v>0.1986598345</v>
      </c>
      <c r="J5866" s="2">
        <v>373.0</v>
      </c>
      <c r="K5866" s="3">
        <f t="shared" si="4"/>
        <v>0.1470240441</v>
      </c>
      <c r="L5866" s="2">
        <v>304.0</v>
      </c>
      <c r="M5866" s="3">
        <f t="shared" si="5"/>
        <v>0.6031746032</v>
      </c>
      <c r="N5866" s="2">
        <v>2372000.0</v>
      </c>
      <c r="O5866" s="4">
        <f t="shared" si="6"/>
        <v>4706.349206</v>
      </c>
      <c r="P5866" s="2">
        <v>0.0</v>
      </c>
      <c r="Q5866" s="3">
        <f t="shared" si="7"/>
        <v>0</v>
      </c>
      <c r="R5866" s="2">
        <v>228.0</v>
      </c>
      <c r="S5866" s="5">
        <f t="shared" si="8"/>
        <v>1</v>
      </c>
    </row>
    <row r="5867">
      <c r="A5867" s="2" t="s">
        <v>5866</v>
      </c>
      <c r="B5867" s="2">
        <v>787.0</v>
      </c>
      <c r="C5867" s="2">
        <v>9323.0</v>
      </c>
      <c r="D5867" s="2">
        <v>3220.0</v>
      </c>
      <c r="E5867" s="3">
        <f t="shared" si="1"/>
        <v>0.3772258669</v>
      </c>
      <c r="F5867" s="2">
        <v>1016.0</v>
      </c>
      <c r="G5867" s="3">
        <f t="shared" si="2"/>
        <v>0.1190253046</v>
      </c>
      <c r="H5867" s="2">
        <v>1788.0</v>
      </c>
      <c r="I5867" s="3">
        <f t="shared" si="3"/>
        <v>0.2094657919</v>
      </c>
      <c r="J5867" s="2">
        <v>1240.0</v>
      </c>
      <c r="K5867" s="3">
        <f t="shared" si="4"/>
        <v>0.145267104</v>
      </c>
      <c r="L5867" s="2">
        <v>1063.0</v>
      </c>
      <c r="M5867" s="3">
        <f t="shared" si="5"/>
        <v>0.5945190157</v>
      </c>
      <c r="N5867" s="2">
        <v>9725400.0</v>
      </c>
      <c r="O5867" s="4">
        <f t="shared" si="6"/>
        <v>5439.261745</v>
      </c>
      <c r="P5867" s="2">
        <v>2.0</v>
      </c>
      <c r="Q5867" s="3">
        <f t="shared" si="7"/>
        <v>0.002541296061</v>
      </c>
      <c r="R5867" s="2">
        <v>329.0</v>
      </c>
      <c r="S5867" s="5">
        <f t="shared" si="8"/>
        <v>0.418043202</v>
      </c>
    </row>
    <row r="5868">
      <c r="A5868" s="2" t="s">
        <v>5867</v>
      </c>
      <c r="B5868" s="2">
        <v>267.0</v>
      </c>
      <c r="C5868" s="2">
        <v>3132.0</v>
      </c>
      <c r="D5868" s="2">
        <v>1015.0</v>
      </c>
      <c r="E5868" s="3">
        <f t="shared" si="1"/>
        <v>0.3542757417</v>
      </c>
      <c r="F5868" s="2">
        <v>341.0</v>
      </c>
      <c r="G5868" s="3">
        <f t="shared" si="2"/>
        <v>0.1190226876</v>
      </c>
      <c r="H5868" s="2">
        <v>530.0</v>
      </c>
      <c r="I5868" s="3">
        <f t="shared" si="3"/>
        <v>0.184991274</v>
      </c>
      <c r="J5868" s="2">
        <v>399.0</v>
      </c>
      <c r="K5868" s="3">
        <f t="shared" si="4"/>
        <v>0.1392670157</v>
      </c>
      <c r="L5868" s="2">
        <v>322.0</v>
      </c>
      <c r="M5868" s="3">
        <f t="shared" si="5"/>
        <v>0.6075471698</v>
      </c>
      <c r="N5868" s="2">
        <v>3189000.0</v>
      </c>
      <c r="O5868" s="4">
        <f t="shared" si="6"/>
        <v>6016.981132</v>
      </c>
      <c r="P5868" s="2">
        <v>2.0</v>
      </c>
      <c r="Q5868" s="3">
        <f t="shared" si="7"/>
        <v>0.007490636704</v>
      </c>
      <c r="R5868" s="2">
        <v>0.0</v>
      </c>
      <c r="S5868" s="5">
        <f t="shared" si="8"/>
        <v>0</v>
      </c>
    </row>
    <row r="5869">
      <c r="A5869" s="2" t="s">
        <v>5868</v>
      </c>
      <c r="B5869" s="2">
        <v>555.0</v>
      </c>
      <c r="C5869" s="2">
        <v>6487.0</v>
      </c>
      <c r="D5869" s="2">
        <v>1821.0</v>
      </c>
      <c r="E5869" s="3">
        <f t="shared" si="1"/>
        <v>0.3069790964</v>
      </c>
      <c r="F5869" s="2">
        <v>706.0</v>
      </c>
      <c r="G5869" s="3">
        <f t="shared" si="2"/>
        <v>0.1190155091</v>
      </c>
      <c r="H5869" s="2">
        <v>1130.0</v>
      </c>
      <c r="I5869" s="3">
        <f t="shared" si="3"/>
        <v>0.1904922454</v>
      </c>
      <c r="J5869" s="2">
        <v>993.0</v>
      </c>
      <c r="K5869" s="3">
        <f t="shared" si="4"/>
        <v>0.1673971679</v>
      </c>
      <c r="L5869" s="2">
        <v>675.0</v>
      </c>
      <c r="M5869" s="3">
        <f t="shared" si="5"/>
        <v>0.5973451327</v>
      </c>
      <c r="N5869" s="2">
        <v>7008200.0</v>
      </c>
      <c r="O5869" s="4">
        <f t="shared" si="6"/>
        <v>6201.946903</v>
      </c>
      <c r="P5869" s="2">
        <v>3.0</v>
      </c>
      <c r="Q5869" s="3">
        <f t="shared" si="7"/>
        <v>0.005405405405</v>
      </c>
      <c r="R5869" s="2">
        <v>555.0</v>
      </c>
      <c r="S5869" s="5">
        <f t="shared" si="8"/>
        <v>1</v>
      </c>
    </row>
    <row r="5870">
      <c r="A5870" s="2" t="s">
        <v>5869</v>
      </c>
      <c r="B5870" s="2">
        <v>918.0</v>
      </c>
      <c r="C5870" s="2">
        <v>10892.0</v>
      </c>
      <c r="D5870" s="2">
        <v>3433.0</v>
      </c>
      <c r="E5870" s="3">
        <f t="shared" si="1"/>
        <v>0.3441949068</v>
      </c>
      <c r="F5870" s="2">
        <v>1187.0</v>
      </c>
      <c r="G5870" s="3">
        <f t="shared" si="2"/>
        <v>0.1190094245</v>
      </c>
      <c r="H5870" s="2">
        <v>2075.0</v>
      </c>
      <c r="I5870" s="3">
        <f t="shared" si="3"/>
        <v>0.2080409064</v>
      </c>
      <c r="J5870" s="2">
        <v>1797.0</v>
      </c>
      <c r="K5870" s="3">
        <f t="shared" si="4"/>
        <v>0.1801684379</v>
      </c>
      <c r="L5870" s="2">
        <v>1263.0</v>
      </c>
      <c r="M5870" s="3">
        <f t="shared" si="5"/>
        <v>0.6086746988</v>
      </c>
      <c r="N5870" s="2">
        <v>1.20056E7</v>
      </c>
      <c r="O5870" s="4">
        <f t="shared" si="6"/>
        <v>5785.831325</v>
      </c>
      <c r="P5870" s="2">
        <v>2.0</v>
      </c>
      <c r="Q5870" s="3">
        <f t="shared" si="7"/>
        <v>0.002178649237</v>
      </c>
      <c r="R5870" s="2">
        <v>897.0</v>
      </c>
      <c r="S5870" s="5">
        <f t="shared" si="8"/>
        <v>0.977124183</v>
      </c>
    </row>
    <row r="5871">
      <c r="A5871" s="2" t="s">
        <v>5870</v>
      </c>
      <c r="B5871" s="2">
        <v>92.0</v>
      </c>
      <c r="C5871" s="2">
        <v>1092.0</v>
      </c>
      <c r="D5871" s="2">
        <v>336.0</v>
      </c>
      <c r="E5871" s="3">
        <f t="shared" si="1"/>
        <v>0.336</v>
      </c>
      <c r="F5871" s="2">
        <v>119.0</v>
      </c>
      <c r="G5871" s="3">
        <f t="shared" si="2"/>
        <v>0.119</v>
      </c>
      <c r="H5871" s="2">
        <v>204.0</v>
      </c>
      <c r="I5871" s="3">
        <f t="shared" si="3"/>
        <v>0.204</v>
      </c>
      <c r="J5871" s="2">
        <v>146.0</v>
      </c>
      <c r="K5871" s="3">
        <f t="shared" si="4"/>
        <v>0.146</v>
      </c>
      <c r="L5871" s="2">
        <v>120.0</v>
      </c>
      <c r="M5871" s="3">
        <f t="shared" si="5"/>
        <v>0.5882352941</v>
      </c>
      <c r="N5871" s="2">
        <v>1174000.0</v>
      </c>
      <c r="O5871" s="4">
        <f t="shared" si="6"/>
        <v>5754.901961</v>
      </c>
      <c r="P5871" s="2">
        <v>1.0</v>
      </c>
      <c r="Q5871" s="3">
        <f t="shared" si="7"/>
        <v>0.01086956522</v>
      </c>
      <c r="R5871" s="2">
        <v>0.0</v>
      </c>
      <c r="S5871" s="5">
        <f t="shared" si="8"/>
        <v>0</v>
      </c>
    </row>
    <row r="5872">
      <c r="A5872" s="2" t="s">
        <v>5871</v>
      </c>
      <c r="B5872" s="2">
        <v>323.0</v>
      </c>
      <c r="C5872" s="2">
        <v>3718.0</v>
      </c>
      <c r="D5872" s="2">
        <v>966.0</v>
      </c>
      <c r="E5872" s="3">
        <f t="shared" si="1"/>
        <v>0.2845360825</v>
      </c>
      <c r="F5872" s="2">
        <v>404.0</v>
      </c>
      <c r="G5872" s="3">
        <f t="shared" si="2"/>
        <v>0.1189985272</v>
      </c>
      <c r="H5872" s="2">
        <v>671.0</v>
      </c>
      <c r="I5872" s="3">
        <f t="shared" si="3"/>
        <v>0.1976435935</v>
      </c>
      <c r="J5872" s="2">
        <v>516.0</v>
      </c>
      <c r="K5872" s="3">
        <f t="shared" si="4"/>
        <v>0.151988218</v>
      </c>
      <c r="L5872" s="2">
        <v>401.0</v>
      </c>
      <c r="M5872" s="3">
        <f t="shared" si="5"/>
        <v>0.5976154993</v>
      </c>
      <c r="N5872" s="2">
        <v>3622800.0</v>
      </c>
      <c r="O5872" s="4">
        <f t="shared" si="6"/>
        <v>5399.105812</v>
      </c>
      <c r="P5872" s="2">
        <v>0.0</v>
      </c>
      <c r="Q5872" s="3">
        <f t="shared" si="7"/>
        <v>0</v>
      </c>
      <c r="R5872" s="2">
        <v>323.0</v>
      </c>
      <c r="S5872" s="5">
        <f t="shared" si="8"/>
        <v>1</v>
      </c>
    </row>
    <row r="5873">
      <c r="A5873" s="2" t="s">
        <v>5872</v>
      </c>
      <c r="B5873" s="2">
        <v>879.0</v>
      </c>
      <c r="C5873" s="2">
        <v>10426.0</v>
      </c>
      <c r="D5873" s="2">
        <v>3067.0</v>
      </c>
      <c r="E5873" s="3">
        <f t="shared" si="1"/>
        <v>0.3212527496</v>
      </c>
      <c r="F5873" s="2">
        <v>1136.0</v>
      </c>
      <c r="G5873" s="3">
        <f t="shared" si="2"/>
        <v>0.1189902587</v>
      </c>
      <c r="H5873" s="2">
        <v>1861.0</v>
      </c>
      <c r="I5873" s="3">
        <f t="shared" si="3"/>
        <v>0.1949303446</v>
      </c>
      <c r="J5873" s="2">
        <v>1401.0</v>
      </c>
      <c r="K5873" s="3">
        <f t="shared" si="4"/>
        <v>0.1467476694</v>
      </c>
      <c r="L5873" s="2">
        <v>1131.0</v>
      </c>
      <c r="M5873" s="3">
        <f t="shared" si="5"/>
        <v>0.6077377754</v>
      </c>
      <c r="N5873" s="2">
        <v>1.04799E7</v>
      </c>
      <c r="O5873" s="4">
        <f t="shared" si="6"/>
        <v>5631.327243</v>
      </c>
      <c r="P5873" s="2">
        <v>1.0</v>
      </c>
      <c r="Q5873" s="3">
        <f t="shared" si="7"/>
        <v>0.001137656428</v>
      </c>
      <c r="R5873" s="2">
        <v>879.0</v>
      </c>
      <c r="S5873" s="5">
        <f t="shared" si="8"/>
        <v>1</v>
      </c>
    </row>
    <row r="5874">
      <c r="A5874" s="2" t="s">
        <v>5873</v>
      </c>
      <c r="B5874" s="2">
        <v>845.0</v>
      </c>
      <c r="C5874" s="2">
        <v>9871.0</v>
      </c>
      <c r="D5874" s="2">
        <v>3285.0</v>
      </c>
      <c r="E5874" s="3">
        <f t="shared" si="1"/>
        <v>0.363948593</v>
      </c>
      <c r="F5874" s="2">
        <v>1074.0</v>
      </c>
      <c r="G5874" s="3">
        <f t="shared" si="2"/>
        <v>0.1189895856</v>
      </c>
      <c r="H5874" s="2">
        <v>1929.0</v>
      </c>
      <c r="I5874" s="3">
        <f t="shared" si="3"/>
        <v>0.2137159318</v>
      </c>
      <c r="J5874" s="2">
        <v>1774.0</v>
      </c>
      <c r="K5874" s="3">
        <f t="shared" si="4"/>
        <v>0.1965433193</v>
      </c>
      <c r="L5874" s="2">
        <v>1142.0</v>
      </c>
      <c r="M5874" s="3">
        <f t="shared" si="5"/>
        <v>0.5920165889</v>
      </c>
      <c r="N5874" s="2">
        <v>1.11138E7</v>
      </c>
      <c r="O5874" s="4">
        <f t="shared" si="6"/>
        <v>5761.430793</v>
      </c>
      <c r="P5874" s="2">
        <v>5.0</v>
      </c>
      <c r="Q5874" s="3">
        <f t="shared" si="7"/>
        <v>0.005917159763</v>
      </c>
      <c r="R5874" s="2">
        <v>84.0</v>
      </c>
      <c r="S5874" s="5">
        <f t="shared" si="8"/>
        <v>0.09940828402</v>
      </c>
    </row>
    <row r="5875">
      <c r="A5875" s="2" t="s">
        <v>5874</v>
      </c>
      <c r="B5875" s="2">
        <v>342.0</v>
      </c>
      <c r="C5875" s="2">
        <v>3981.0</v>
      </c>
      <c r="D5875" s="2">
        <v>1187.0</v>
      </c>
      <c r="E5875" s="3">
        <f t="shared" si="1"/>
        <v>0.3261885133</v>
      </c>
      <c r="F5875" s="2">
        <v>433.0</v>
      </c>
      <c r="G5875" s="3">
        <f t="shared" si="2"/>
        <v>0.1189887332</v>
      </c>
      <c r="H5875" s="2">
        <v>724.0</v>
      </c>
      <c r="I5875" s="3">
        <f t="shared" si="3"/>
        <v>0.1989557571</v>
      </c>
      <c r="J5875" s="2">
        <v>638.0</v>
      </c>
      <c r="K5875" s="3">
        <f t="shared" si="4"/>
        <v>0.1753228909</v>
      </c>
      <c r="L5875" s="2">
        <v>429.0</v>
      </c>
      <c r="M5875" s="3">
        <f t="shared" si="5"/>
        <v>0.5925414365</v>
      </c>
      <c r="N5875" s="2">
        <v>4252400.0</v>
      </c>
      <c r="O5875" s="4">
        <f t="shared" si="6"/>
        <v>5873.480663</v>
      </c>
      <c r="P5875" s="2">
        <v>0.0</v>
      </c>
      <c r="Q5875" s="3">
        <f t="shared" si="7"/>
        <v>0</v>
      </c>
      <c r="R5875" s="2">
        <v>342.0</v>
      </c>
      <c r="S5875" s="5">
        <f t="shared" si="8"/>
        <v>1</v>
      </c>
    </row>
    <row r="5876">
      <c r="A5876" s="2" t="s">
        <v>5875</v>
      </c>
      <c r="B5876" s="2">
        <v>525.0</v>
      </c>
      <c r="C5876" s="2">
        <v>6215.0</v>
      </c>
      <c r="D5876" s="2">
        <v>1796.0</v>
      </c>
      <c r="E5876" s="3">
        <f t="shared" si="1"/>
        <v>0.3156414763</v>
      </c>
      <c r="F5876" s="2">
        <v>677.0</v>
      </c>
      <c r="G5876" s="3">
        <f t="shared" si="2"/>
        <v>0.1189806678</v>
      </c>
      <c r="H5876" s="2">
        <v>1115.0</v>
      </c>
      <c r="I5876" s="3">
        <f t="shared" si="3"/>
        <v>0.1959578207</v>
      </c>
      <c r="J5876" s="2">
        <v>1011.0</v>
      </c>
      <c r="K5876" s="3">
        <f t="shared" si="4"/>
        <v>0.1776801406</v>
      </c>
      <c r="L5876" s="2">
        <v>646.0</v>
      </c>
      <c r="M5876" s="3">
        <f t="shared" si="5"/>
        <v>0.5793721973</v>
      </c>
      <c r="N5876" s="2">
        <v>6599400.0</v>
      </c>
      <c r="O5876" s="4">
        <f t="shared" si="6"/>
        <v>5918.744395</v>
      </c>
      <c r="P5876" s="2">
        <v>2.0</v>
      </c>
      <c r="Q5876" s="3">
        <f t="shared" si="7"/>
        <v>0.00380952381</v>
      </c>
      <c r="R5876" s="2">
        <v>0.0</v>
      </c>
      <c r="S5876" s="5">
        <f t="shared" si="8"/>
        <v>0</v>
      </c>
    </row>
    <row r="5877">
      <c r="A5877" s="2" t="s">
        <v>5876</v>
      </c>
      <c r="B5877" s="2">
        <v>1615.0</v>
      </c>
      <c r="C5877" s="2">
        <v>19013.0</v>
      </c>
      <c r="D5877" s="2">
        <v>7577.0</v>
      </c>
      <c r="E5877" s="3">
        <f t="shared" si="1"/>
        <v>0.4355098287</v>
      </c>
      <c r="F5877" s="2">
        <v>2070.0</v>
      </c>
      <c r="G5877" s="3">
        <f t="shared" si="2"/>
        <v>0.118979193</v>
      </c>
      <c r="H5877" s="2">
        <v>3525.0</v>
      </c>
      <c r="I5877" s="3">
        <f t="shared" si="3"/>
        <v>0.2026094953</v>
      </c>
      <c r="J5877" s="2">
        <v>2621.0</v>
      </c>
      <c r="K5877" s="3">
        <f t="shared" si="4"/>
        <v>0.1506494999</v>
      </c>
      <c r="L5877" s="2">
        <v>2078.0</v>
      </c>
      <c r="M5877" s="3">
        <f t="shared" si="5"/>
        <v>0.5895035461</v>
      </c>
      <c r="N5877" s="2">
        <v>1.91065E7</v>
      </c>
      <c r="O5877" s="4">
        <f t="shared" si="6"/>
        <v>5420.283688</v>
      </c>
      <c r="P5877" s="2">
        <v>3.0</v>
      </c>
      <c r="Q5877" s="3">
        <f t="shared" si="7"/>
        <v>0.001857585139</v>
      </c>
      <c r="R5877" s="2">
        <v>1577.0</v>
      </c>
      <c r="S5877" s="5">
        <f t="shared" si="8"/>
        <v>0.9764705882</v>
      </c>
    </row>
    <row r="5878">
      <c r="A5878" s="2" t="s">
        <v>5877</v>
      </c>
      <c r="B5878" s="2">
        <v>85.0</v>
      </c>
      <c r="C5878" s="2">
        <v>1018.0</v>
      </c>
      <c r="D5878" s="2">
        <v>320.0</v>
      </c>
      <c r="E5878" s="3">
        <f t="shared" si="1"/>
        <v>0.3429796356</v>
      </c>
      <c r="F5878" s="2">
        <v>111.0</v>
      </c>
      <c r="G5878" s="3">
        <f t="shared" si="2"/>
        <v>0.1189710611</v>
      </c>
      <c r="H5878" s="2">
        <v>181.0</v>
      </c>
      <c r="I5878" s="3">
        <f t="shared" si="3"/>
        <v>0.1939978564</v>
      </c>
      <c r="J5878" s="2">
        <v>134.0</v>
      </c>
      <c r="K5878" s="3">
        <f t="shared" si="4"/>
        <v>0.1436227224</v>
      </c>
      <c r="L5878" s="2">
        <v>109.0</v>
      </c>
      <c r="M5878" s="3">
        <f t="shared" si="5"/>
        <v>0.6022099448</v>
      </c>
      <c r="N5878" s="2">
        <v>949400.0</v>
      </c>
      <c r="O5878" s="4">
        <f t="shared" si="6"/>
        <v>5245.303867</v>
      </c>
      <c r="P5878" s="2">
        <v>1.0</v>
      </c>
      <c r="Q5878" s="3">
        <f t="shared" si="7"/>
        <v>0.01176470588</v>
      </c>
      <c r="R5878" s="2">
        <v>85.0</v>
      </c>
      <c r="S5878" s="5">
        <f t="shared" si="8"/>
        <v>1</v>
      </c>
    </row>
    <row r="5879">
      <c r="A5879" s="2" t="s">
        <v>5878</v>
      </c>
      <c r="B5879" s="2">
        <v>81.0</v>
      </c>
      <c r="C5879" s="2">
        <v>972.0</v>
      </c>
      <c r="D5879" s="2">
        <v>305.0</v>
      </c>
      <c r="E5879" s="3">
        <f t="shared" si="1"/>
        <v>0.342312009</v>
      </c>
      <c r="F5879" s="2">
        <v>106.0</v>
      </c>
      <c r="G5879" s="3">
        <f t="shared" si="2"/>
        <v>0.1189674523</v>
      </c>
      <c r="H5879" s="2">
        <v>201.0</v>
      </c>
      <c r="I5879" s="3">
        <f t="shared" si="3"/>
        <v>0.2255892256</v>
      </c>
      <c r="J5879" s="2">
        <v>169.0</v>
      </c>
      <c r="K5879" s="3">
        <f t="shared" si="4"/>
        <v>0.189674523</v>
      </c>
      <c r="L5879" s="2">
        <v>122.0</v>
      </c>
      <c r="M5879" s="3">
        <f t="shared" si="5"/>
        <v>0.6069651741</v>
      </c>
      <c r="N5879" s="2">
        <v>1075500.0</v>
      </c>
      <c r="O5879" s="4">
        <f t="shared" si="6"/>
        <v>5350.746269</v>
      </c>
      <c r="P5879" s="2">
        <v>1.0</v>
      </c>
      <c r="Q5879" s="3">
        <f t="shared" si="7"/>
        <v>0.01234567901</v>
      </c>
      <c r="R5879" s="2">
        <v>81.0</v>
      </c>
      <c r="S5879" s="5">
        <f t="shared" si="8"/>
        <v>1</v>
      </c>
    </row>
    <row r="5880">
      <c r="A5880" s="2" t="s">
        <v>5879</v>
      </c>
      <c r="B5880" s="2">
        <v>306.0</v>
      </c>
      <c r="C5880" s="2">
        <v>3635.0</v>
      </c>
      <c r="D5880" s="2">
        <v>1174.0</v>
      </c>
      <c r="E5880" s="3">
        <f t="shared" si="1"/>
        <v>0.352658456</v>
      </c>
      <c r="F5880" s="2">
        <v>396.0</v>
      </c>
      <c r="G5880" s="3">
        <f t="shared" si="2"/>
        <v>0.118954641</v>
      </c>
      <c r="H5880" s="2">
        <v>702.0</v>
      </c>
      <c r="I5880" s="3">
        <f t="shared" si="3"/>
        <v>0.2108741364</v>
      </c>
      <c r="J5880" s="2">
        <v>479.0</v>
      </c>
      <c r="K5880" s="3">
        <f t="shared" si="4"/>
        <v>0.1438870532</v>
      </c>
      <c r="L5880" s="2">
        <v>435.0</v>
      </c>
      <c r="M5880" s="3">
        <f t="shared" si="5"/>
        <v>0.6196581197</v>
      </c>
      <c r="N5880" s="2">
        <v>3727100.0</v>
      </c>
      <c r="O5880" s="4">
        <f t="shared" si="6"/>
        <v>5309.259259</v>
      </c>
      <c r="P5880" s="2">
        <v>1.0</v>
      </c>
      <c r="Q5880" s="3">
        <f t="shared" si="7"/>
        <v>0.003267973856</v>
      </c>
      <c r="R5880" s="2">
        <v>301.0</v>
      </c>
      <c r="S5880" s="5">
        <f t="shared" si="8"/>
        <v>0.9836601307</v>
      </c>
    </row>
    <row r="5881">
      <c r="A5881" s="2" t="s">
        <v>5880</v>
      </c>
      <c r="B5881" s="2">
        <v>1885.0</v>
      </c>
      <c r="C5881" s="2">
        <v>22180.0</v>
      </c>
      <c r="D5881" s="2">
        <v>6605.0</v>
      </c>
      <c r="E5881" s="3">
        <f t="shared" si="1"/>
        <v>0.3254496181</v>
      </c>
      <c r="F5881" s="2">
        <v>2414.0</v>
      </c>
      <c r="G5881" s="3">
        <f t="shared" si="2"/>
        <v>0.1189455531</v>
      </c>
      <c r="H5881" s="2">
        <v>4323.0</v>
      </c>
      <c r="I5881" s="3">
        <f t="shared" si="3"/>
        <v>0.2130081301</v>
      </c>
      <c r="J5881" s="2">
        <v>3351.0</v>
      </c>
      <c r="K5881" s="3">
        <f t="shared" si="4"/>
        <v>0.1651145602</v>
      </c>
      <c r="L5881" s="2">
        <v>2637.0</v>
      </c>
      <c r="M5881" s="3">
        <f t="shared" si="5"/>
        <v>0.6099930604</v>
      </c>
      <c r="N5881" s="2">
        <v>2.43384E7</v>
      </c>
      <c r="O5881" s="4">
        <f t="shared" si="6"/>
        <v>5629.979181</v>
      </c>
      <c r="P5881" s="2">
        <v>3.0</v>
      </c>
      <c r="Q5881" s="3">
        <f t="shared" si="7"/>
        <v>0.001591511936</v>
      </c>
      <c r="R5881" s="2">
        <v>1885.0</v>
      </c>
      <c r="S5881" s="5">
        <f t="shared" si="8"/>
        <v>1</v>
      </c>
    </row>
    <row r="5882">
      <c r="A5882" s="2" t="s">
        <v>5881</v>
      </c>
      <c r="B5882" s="2">
        <v>63.0</v>
      </c>
      <c r="C5882" s="2">
        <v>744.0</v>
      </c>
      <c r="D5882" s="2">
        <v>237.0</v>
      </c>
      <c r="E5882" s="3">
        <f t="shared" si="1"/>
        <v>0.3480176211</v>
      </c>
      <c r="F5882" s="2">
        <v>81.0</v>
      </c>
      <c r="G5882" s="3">
        <f t="shared" si="2"/>
        <v>0.1189427313</v>
      </c>
      <c r="H5882" s="2">
        <v>141.0</v>
      </c>
      <c r="I5882" s="3">
        <f t="shared" si="3"/>
        <v>0.2070484581</v>
      </c>
      <c r="J5882" s="2">
        <v>132.0</v>
      </c>
      <c r="K5882" s="3">
        <f t="shared" si="4"/>
        <v>0.1938325991</v>
      </c>
      <c r="L5882" s="2">
        <v>80.0</v>
      </c>
      <c r="M5882" s="3">
        <f t="shared" si="5"/>
        <v>0.5673758865</v>
      </c>
      <c r="N5882" s="2">
        <v>858600.0</v>
      </c>
      <c r="O5882" s="4">
        <f t="shared" si="6"/>
        <v>6089.361702</v>
      </c>
      <c r="P5882" s="2">
        <v>0.0</v>
      </c>
      <c r="Q5882" s="3">
        <f t="shared" si="7"/>
        <v>0</v>
      </c>
      <c r="R5882" s="2">
        <v>63.0</v>
      </c>
      <c r="S5882" s="5">
        <f t="shared" si="8"/>
        <v>1</v>
      </c>
    </row>
    <row r="5883">
      <c r="A5883" s="2" t="s">
        <v>5882</v>
      </c>
      <c r="B5883" s="2">
        <v>2633.0</v>
      </c>
      <c r="C5883" s="2">
        <v>31051.0</v>
      </c>
      <c r="D5883" s="2">
        <v>11044.0</v>
      </c>
      <c r="E5883" s="3">
        <f t="shared" si="1"/>
        <v>0.3886269266</v>
      </c>
      <c r="F5883" s="2">
        <v>3380.0</v>
      </c>
      <c r="G5883" s="3">
        <f t="shared" si="2"/>
        <v>0.1189387008</v>
      </c>
      <c r="H5883" s="2">
        <v>5863.0</v>
      </c>
      <c r="I5883" s="3">
        <f t="shared" si="3"/>
        <v>0.2063129003</v>
      </c>
      <c r="J5883" s="2">
        <v>4426.0</v>
      </c>
      <c r="K5883" s="3">
        <f t="shared" si="4"/>
        <v>0.1557463579</v>
      </c>
      <c r="L5883" s="2">
        <v>3490.0</v>
      </c>
      <c r="M5883" s="3">
        <f t="shared" si="5"/>
        <v>0.5952584001</v>
      </c>
      <c r="N5883" s="2">
        <v>3.23218E7</v>
      </c>
      <c r="O5883" s="4">
        <f t="shared" si="6"/>
        <v>5512.843254</v>
      </c>
      <c r="P5883" s="2">
        <v>9.0</v>
      </c>
      <c r="Q5883" s="3">
        <f t="shared" si="7"/>
        <v>0.003418154197</v>
      </c>
      <c r="R5883" s="2">
        <v>2040.0</v>
      </c>
      <c r="S5883" s="5">
        <f t="shared" si="8"/>
        <v>0.7747816179</v>
      </c>
    </row>
    <row r="5884">
      <c r="A5884" s="2" t="s">
        <v>5883</v>
      </c>
      <c r="B5884" s="2">
        <v>1165.0</v>
      </c>
      <c r="C5884" s="2">
        <v>13903.0</v>
      </c>
      <c r="D5884" s="2">
        <v>4733.0</v>
      </c>
      <c r="E5884" s="3">
        <f t="shared" si="1"/>
        <v>0.3715653949</v>
      </c>
      <c r="F5884" s="2">
        <v>1515.0</v>
      </c>
      <c r="G5884" s="3">
        <f t="shared" si="2"/>
        <v>0.1189354687</v>
      </c>
      <c r="H5884" s="2">
        <v>2634.0</v>
      </c>
      <c r="I5884" s="3">
        <f t="shared" si="3"/>
        <v>0.2067828545</v>
      </c>
      <c r="J5884" s="2">
        <v>1921.0</v>
      </c>
      <c r="K5884" s="3">
        <f t="shared" si="4"/>
        <v>0.1508086042</v>
      </c>
      <c r="L5884" s="2">
        <v>1566.0</v>
      </c>
      <c r="M5884" s="3">
        <f t="shared" si="5"/>
        <v>0.5945330296</v>
      </c>
      <c r="N5884" s="2">
        <v>1.42581E7</v>
      </c>
      <c r="O5884" s="4">
        <f t="shared" si="6"/>
        <v>5413.09795</v>
      </c>
      <c r="P5884" s="2">
        <v>2.0</v>
      </c>
      <c r="Q5884" s="3">
        <f t="shared" si="7"/>
        <v>0.001716738197</v>
      </c>
      <c r="R5884" s="2">
        <v>1165.0</v>
      </c>
      <c r="S5884" s="5">
        <f t="shared" si="8"/>
        <v>1</v>
      </c>
    </row>
    <row r="5885">
      <c r="A5885" s="2" t="s">
        <v>5884</v>
      </c>
      <c r="B5885" s="2">
        <v>3821.0</v>
      </c>
      <c r="C5885" s="2">
        <v>44946.0</v>
      </c>
      <c r="D5885" s="2">
        <v>13766.0</v>
      </c>
      <c r="E5885" s="3">
        <f t="shared" si="1"/>
        <v>0.3347355623</v>
      </c>
      <c r="F5885" s="2">
        <v>4891.0</v>
      </c>
      <c r="G5885" s="3">
        <f t="shared" si="2"/>
        <v>0.1189300912</v>
      </c>
      <c r="H5885" s="2">
        <v>8433.0</v>
      </c>
      <c r="I5885" s="3">
        <f t="shared" si="3"/>
        <v>0.2050577508</v>
      </c>
      <c r="J5885" s="2">
        <v>6831.0</v>
      </c>
      <c r="K5885" s="3">
        <f t="shared" si="4"/>
        <v>0.1661033435</v>
      </c>
      <c r="L5885" s="2">
        <v>5040.0</v>
      </c>
      <c r="M5885" s="3">
        <f t="shared" si="5"/>
        <v>0.5976520811</v>
      </c>
      <c r="N5885" s="2">
        <v>4.81588E7</v>
      </c>
      <c r="O5885" s="4">
        <f t="shared" si="6"/>
        <v>5710.755366</v>
      </c>
      <c r="P5885" s="2">
        <v>4.0</v>
      </c>
      <c r="Q5885" s="3">
        <f t="shared" si="7"/>
        <v>0.001046846375</v>
      </c>
      <c r="R5885" s="2">
        <v>2846.0</v>
      </c>
      <c r="S5885" s="5">
        <f t="shared" si="8"/>
        <v>0.744831196</v>
      </c>
    </row>
    <row r="5886">
      <c r="A5886" s="2" t="s">
        <v>5885</v>
      </c>
      <c r="B5886" s="2">
        <v>734.0</v>
      </c>
      <c r="C5886" s="2">
        <v>8554.0</v>
      </c>
      <c r="D5886" s="2">
        <v>2571.0</v>
      </c>
      <c r="E5886" s="3">
        <f t="shared" si="1"/>
        <v>0.3287723785</v>
      </c>
      <c r="F5886" s="2">
        <v>930.0</v>
      </c>
      <c r="G5886" s="3">
        <f t="shared" si="2"/>
        <v>0.1189258312</v>
      </c>
      <c r="H5886" s="2">
        <v>1537.0</v>
      </c>
      <c r="I5886" s="3">
        <f t="shared" si="3"/>
        <v>0.1965473146</v>
      </c>
      <c r="J5886" s="2">
        <v>1555.0</v>
      </c>
      <c r="K5886" s="3">
        <f t="shared" si="4"/>
        <v>0.1988491049</v>
      </c>
      <c r="L5886" s="2">
        <v>869.0</v>
      </c>
      <c r="M5886" s="3">
        <f t="shared" si="5"/>
        <v>0.5653871178</v>
      </c>
      <c r="N5886" s="2">
        <v>9165300.0</v>
      </c>
      <c r="O5886" s="4">
        <f t="shared" si="6"/>
        <v>5963.109954</v>
      </c>
      <c r="P5886" s="2">
        <v>0.0</v>
      </c>
      <c r="Q5886" s="3">
        <f t="shared" si="7"/>
        <v>0</v>
      </c>
      <c r="R5886" s="2">
        <v>734.0</v>
      </c>
      <c r="S5886" s="5">
        <f t="shared" si="8"/>
        <v>1</v>
      </c>
    </row>
    <row r="5887">
      <c r="A5887" s="2" t="s">
        <v>5886</v>
      </c>
      <c r="B5887" s="2">
        <v>2233.0</v>
      </c>
      <c r="C5887" s="2">
        <v>25996.0</v>
      </c>
      <c r="D5887" s="2">
        <v>8057.0</v>
      </c>
      <c r="E5887" s="3">
        <f t="shared" si="1"/>
        <v>0.3390565164</v>
      </c>
      <c r="F5887" s="2">
        <v>2826.0</v>
      </c>
      <c r="G5887" s="3">
        <f t="shared" si="2"/>
        <v>0.1189243782</v>
      </c>
      <c r="H5887" s="2">
        <v>5063.0</v>
      </c>
      <c r="I5887" s="3">
        <f t="shared" si="3"/>
        <v>0.2130623238</v>
      </c>
      <c r="J5887" s="2">
        <v>4188.0</v>
      </c>
      <c r="K5887" s="3">
        <f t="shared" si="4"/>
        <v>0.1762403737</v>
      </c>
      <c r="L5887" s="2">
        <v>3061.0</v>
      </c>
      <c r="M5887" s="3">
        <f t="shared" si="5"/>
        <v>0.6045822635</v>
      </c>
      <c r="N5887" s="2">
        <v>2.83508E7</v>
      </c>
      <c r="O5887" s="4">
        <f t="shared" si="6"/>
        <v>5599.604977</v>
      </c>
      <c r="P5887" s="2">
        <v>2.0</v>
      </c>
      <c r="Q5887" s="3">
        <f t="shared" si="7"/>
        <v>0.0008956560681</v>
      </c>
      <c r="R5887" s="2">
        <v>160.0</v>
      </c>
      <c r="S5887" s="5">
        <f t="shared" si="8"/>
        <v>0.07165248545</v>
      </c>
    </row>
    <row r="5888">
      <c r="A5888" s="2" t="s">
        <v>5887</v>
      </c>
      <c r="B5888" s="2">
        <v>2161.0</v>
      </c>
      <c r="C5888" s="2">
        <v>25597.0</v>
      </c>
      <c r="D5888" s="2">
        <v>8860.0</v>
      </c>
      <c r="E5888" s="3">
        <f t="shared" si="1"/>
        <v>0.3780508619</v>
      </c>
      <c r="F5888" s="2">
        <v>2787.0</v>
      </c>
      <c r="G5888" s="3">
        <f t="shared" si="2"/>
        <v>0.1189196109</v>
      </c>
      <c r="H5888" s="2">
        <v>4963.0</v>
      </c>
      <c r="I5888" s="3">
        <f t="shared" si="3"/>
        <v>0.2117682198</v>
      </c>
      <c r="J5888" s="2">
        <v>3455.0</v>
      </c>
      <c r="K5888" s="3">
        <f t="shared" si="4"/>
        <v>0.1474227684</v>
      </c>
      <c r="L5888" s="2">
        <v>2935.0</v>
      </c>
      <c r="M5888" s="3">
        <f t="shared" si="5"/>
        <v>0.5913761838</v>
      </c>
      <c r="N5888" s="2">
        <v>2.64127E7</v>
      </c>
      <c r="O5888" s="4">
        <f t="shared" si="6"/>
        <v>5321.922224</v>
      </c>
      <c r="P5888" s="2">
        <v>3.0</v>
      </c>
      <c r="Q5888" s="3">
        <f t="shared" si="7"/>
        <v>0.001388246182</v>
      </c>
      <c r="R5888" s="2">
        <v>1368.0</v>
      </c>
      <c r="S5888" s="5">
        <f t="shared" si="8"/>
        <v>0.6330402591</v>
      </c>
    </row>
    <row r="5889">
      <c r="A5889" s="2" t="s">
        <v>5888</v>
      </c>
      <c r="B5889" s="2">
        <v>172.0</v>
      </c>
      <c r="C5889" s="2">
        <v>2022.0</v>
      </c>
      <c r="D5889" s="2">
        <v>673.0</v>
      </c>
      <c r="E5889" s="3">
        <f t="shared" si="1"/>
        <v>0.3637837838</v>
      </c>
      <c r="F5889" s="2">
        <v>220.0</v>
      </c>
      <c r="G5889" s="3">
        <f t="shared" si="2"/>
        <v>0.1189189189</v>
      </c>
      <c r="H5889" s="2">
        <v>382.0</v>
      </c>
      <c r="I5889" s="3">
        <f t="shared" si="3"/>
        <v>0.2064864865</v>
      </c>
      <c r="J5889" s="2">
        <v>312.0</v>
      </c>
      <c r="K5889" s="3">
        <f t="shared" si="4"/>
        <v>0.1686486486</v>
      </c>
      <c r="L5889" s="2">
        <v>223.0</v>
      </c>
      <c r="M5889" s="3">
        <f t="shared" si="5"/>
        <v>0.5837696335</v>
      </c>
      <c r="N5889" s="2">
        <v>2161600.0</v>
      </c>
      <c r="O5889" s="4">
        <f t="shared" si="6"/>
        <v>5658.638743</v>
      </c>
      <c r="P5889" s="2">
        <v>0.0</v>
      </c>
      <c r="Q5889" s="3">
        <f t="shared" si="7"/>
        <v>0</v>
      </c>
      <c r="R5889" s="2">
        <v>172.0</v>
      </c>
      <c r="S5889" s="5">
        <f t="shared" si="8"/>
        <v>1</v>
      </c>
    </row>
    <row r="5890">
      <c r="A5890" s="2" t="s">
        <v>5889</v>
      </c>
      <c r="B5890" s="2">
        <v>17.0</v>
      </c>
      <c r="C5890" s="2">
        <v>202.0</v>
      </c>
      <c r="D5890" s="2">
        <v>58.0</v>
      </c>
      <c r="E5890" s="3">
        <f t="shared" si="1"/>
        <v>0.3135135135</v>
      </c>
      <c r="F5890" s="2">
        <v>22.0</v>
      </c>
      <c r="G5890" s="3">
        <f t="shared" si="2"/>
        <v>0.1189189189</v>
      </c>
      <c r="H5890" s="2">
        <v>33.0</v>
      </c>
      <c r="I5890" s="3">
        <f t="shared" si="3"/>
        <v>0.1783783784</v>
      </c>
      <c r="J5890" s="2">
        <v>28.0</v>
      </c>
      <c r="K5890" s="3">
        <f t="shared" si="4"/>
        <v>0.1513513514</v>
      </c>
      <c r="L5890" s="2">
        <v>21.0</v>
      </c>
      <c r="M5890" s="3">
        <f t="shared" si="5"/>
        <v>0.6363636364</v>
      </c>
      <c r="N5890" s="2">
        <v>142100.0</v>
      </c>
      <c r="O5890" s="4">
        <f t="shared" si="6"/>
        <v>4306.060606</v>
      </c>
      <c r="P5890" s="2">
        <v>0.0</v>
      </c>
      <c r="Q5890" s="3">
        <f t="shared" si="7"/>
        <v>0</v>
      </c>
      <c r="R5890" s="2">
        <v>17.0</v>
      </c>
      <c r="S5890" s="5">
        <f t="shared" si="8"/>
        <v>1</v>
      </c>
    </row>
    <row r="5891">
      <c r="A5891" s="2" t="s">
        <v>5890</v>
      </c>
      <c r="B5891" s="2">
        <v>547.0</v>
      </c>
      <c r="C5891" s="2">
        <v>6501.0</v>
      </c>
      <c r="D5891" s="2">
        <v>2325.0</v>
      </c>
      <c r="E5891" s="3">
        <f t="shared" si="1"/>
        <v>0.3904937857</v>
      </c>
      <c r="F5891" s="2">
        <v>708.0</v>
      </c>
      <c r="G5891" s="3">
        <f t="shared" si="2"/>
        <v>0.118911656</v>
      </c>
      <c r="H5891" s="2">
        <v>1268.0</v>
      </c>
      <c r="I5891" s="3">
        <f t="shared" si="3"/>
        <v>0.2129660732</v>
      </c>
      <c r="J5891" s="2">
        <v>920.0</v>
      </c>
      <c r="K5891" s="3">
        <f t="shared" si="4"/>
        <v>0.1545179711</v>
      </c>
      <c r="L5891" s="2">
        <v>767.0</v>
      </c>
      <c r="M5891" s="3">
        <f t="shared" si="5"/>
        <v>0.6048895899</v>
      </c>
      <c r="N5891" s="2">
        <v>6348800.0</v>
      </c>
      <c r="O5891" s="4">
        <f t="shared" si="6"/>
        <v>5006.940063</v>
      </c>
      <c r="P5891" s="2">
        <v>1.0</v>
      </c>
      <c r="Q5891" s="3">
        <f t="shared" si="7"/>
        <v>0.001828153565</v>
      </c>
      <c r="R5891" s="2">
        <v>258.0</v>
      </c>
      <c r="S5891" s="5">
        <f t="shared" si="8"/>
        <v>0.4716636197</v>
      </c>
    </row>
    <row r="5892">
      <c r="A5892" s="2" t="s">
        <v>5891</v>
      </c>
      <c r="B5892" s="2">
        <v>1755.0</v>
      </c>
      <c r="C5892" s="2">
        <v>20568.0</v>
      </c>
      <c r="D5892" s="2">
        <v>5133.0</v>
      </c>
      <c r="E5892" s="3">
        <f t="shared" si="1"/>
        <v>0.2728432467</v>
      </c>
      <c r="F5892" s="2">
        <v>2237.0</v>
      </c>
      <c r="G5892" s="3">
        <f t="shared" si="2"/>
        <v>0.1189071387</v>
      </c>
      <c r="H5892" s="2">
        <v>3800.0</v>
      </c>
      <c r="I5892" s="3">
        <f t="shared" si="3"/>
        <v>0.201987987</v>
      </c>
      <c r="J5892" s="2">
        <v>2784.0</v>
      </c>
      <c r="K5892" s="3">
        <f t="shared" si="4"/>
        <v>0.1479827779</v>
      </c>
      <c r="L5892" s="2">
        <v>2309.0</v>
      </c>
      <c r="M5892" s="3">
        <f t="shared" si="5"/>
        <v>0.6076315789</v>
      </c>
      <c r="N5892" s="2">
        <v>2.17695E7</v>
      </c>
      <c r="O5892" s="4">
        <f t="shared" si="6"/>
        <v>5728.815789</v>
      </c>
      <c r="P5892" s="2">
        <v>4.0</v>
      </c>
      <c r="Q5892" s="3">
        <f t="shared" si="7"/>
        <v>0.002279202279</v>
      </c>
      <c r="R5892" s="2">
        <v>1755.0</v>
      </c>
      <c r="S5892" s="5">
        <f t="shared" si="8"/>
        <v>1</v>
      </c>
    </row>
    <row r="5893">
      <c r="A5893" s="2" t="s">
        <v>5892</v>
      </c>
      <c r="B5893" s="2">
        <v>79.0</v>
      </c>
      <c r="C5893" s="2">
        <v>920.0</v>
      </c>
      <c r="D5893" s="2">
        <v>316.0</v>
      </c>
      <c r="E5893" s="3">
        <f t="shared" si="1"/>
        <v>0.3757431629</v>
      </c>
      <c r="F5893" s="2">
        <v>100.0</v>
      </c>
      <c r="G5893" s="3">
        <f t="shared" si="2"/>
        <v>0.1189060642</v>
      </c>
      <c r="H5893" s="2">
        <v>167.0</v>
      </c>
      <c r="I5893" s="3">
        <f t="shared" si="3"/>
        <v>0.1985731272</v>
      </c>
      <c r="J5893" s="2">
        <v>123.0</v>
      </c>
      <c r="K5893" s="3">
        <f t="shared" si="4"/>
        <v>0.146254459</v>
      </c>
      <c r="L5893" s="2">
        <v>102.0</v>
      </c>
      <c r="M5893" s="3">
        <f t="shared" si="5"/>
        <v>0.6107784431</v>
      </c>
      <c r="N5893" s="2">
        <v>831100.0</v>
      </c>
      <c r="O5893" s="4">
        <f t="shared" si="6"/>
        <v>4976.646707</v>
      </c>
      <c r="P5893" s="2">
        <v>0.0</v>
      </c>
      <c r="Q5893" s="3">
        <f t="shared" si="7"/>
        <v>0</v>
      </c>
      <c r="R5893" s="2">
        <v>79.0</v>
      </c>
      <c r="S5893" s="5">
        <f t="shared" si="8"/>
        <v>1</v>
      </c>
    </row>
    <row r="5894">
      <c r="A5894" s="2" t="s">
        <v>5893</v>
      </c>
      <c r="B5894" s="2">
        <v>346.0</v>
      </c>
      <c r="C5894" s="2">
        <v>3996.0</v>
      </c>
      <c r="D5894" s="2">
        <v>1390.0</v>
      </c>
      <c r="E5894" s="3">
        <f t="shared" si="1"/>
        <v>0.3808219178</v>
      </c>
      <c r="F5894" s="2">
        <v>434.0</v>
      </c>
      <c r="G5894" s="3">
        <f t="shared" si="2"/>
        <v>0.1189041096</v>
      </c>
      <c r="H5894" s="2">
        <v>788.0</v>
      </c>
      <c r="I5894" s="3">
        <f t="shared" si="3"/>
        <v>0.215890411</v>
      </c>
      <c r="J5894" s="2">
        <v>534.0</v>
      </c>
      <c r="K5894" s="3">
        <f t="shared" si="4"/>
        <v>0.1463013699</v>
      </c>
      <c r="L5894" s="2">
        <v>496.0</v>
      </c>
      <c r="M5894" s="3">
        <f t="shared" si="5"/>
        <v>0.6294416244</v>
      </c>
      <c r="N5894" s="2">
        <v>4214400.0</v>
      </c>
      <c r="O5894" s="4">
        <f t="shared" si="6"/>
        <v>5348.22335</v>
      </c>
      <c r="P5894" s="2">
        <v>1.0</v>
      </c>
      <c r="Q5894" s="3">
        <f t="shared" si="7"/>
        <v>0.00289017341</v>
      </c>
      <c r="R5894" s="2">
        <v>125.0</v>
      </c>
      <c r="S5894" s="5">
        <f t="shared" si="8"/>
        <v>0.3612716763</v>
      </c>
    </row>
    <row r="5895">
      <c r="A5895" s="2" t="s">
        <v>5894</v>
      </c>
      <c r="B5895" s="2">
        <v>1048.0</v>
      </c>
      <c r="C5895" s="2">
        <v>12378.0</v>
      </c>
      <c r="D5895" s="2">
        <v>4400.0</v>
      </c>
      <c r="E5895" s="3">
        <f t="shared" si="1"/>
        <v>0.3883495146</v>
      </c>
      <c r="F5895" s="2">
        <v>1347.0</v>
      </c>
      <c r="G5895" s="3">
        <f t="shared" si="2"/>
        <v>0.1188879082</v>
      </c>
      <c r="H5895" s="2">
        <v>2320.0</v>
      </c>
      <c r="I5895" s="3">
        <f t="shared" si="3"/>
        <v>0.2047661077</v>
      </c>
      <c r="J5895" s="2">
        <v>1726.0</v>
      </c>
      <c r="K5895" s="3">
        <f t="shared" si="4"/>
        <v>0.1523389232</v>
      </c>
      <c r="L5895" s="2">
        <v>1399.0</v>
      </c>
      <c r="M5895" s="3">
        <f t="shared" si="5"/>
        <v>0.6030172414</v>
      </c>
      <c r="N5895" s="2">
        <v>1.33949E7</v>
      </c>
      <c r="O5895" s="4">
        <f t="shared" si="6"/>
        <v>5773.663793</v>
      </c>
      <c r="P5895" s="2">
        <v>2.0</v>
      </c>
      <c r="Q5895" s="3">
        <f t="shared" si="7"/>
        <v>0.001908396947</v>
      </c>
      <c r="R5895" s="2">
        <v>8.0</v>
      </c>
      <c r="S5895" s="5">
        <f t="shared" si="8"/>
        <v>0.007633587786</v>
      </c>
    </row>
    <row r="5896">
      <c r="A5896" s="2" t="s">
        <v>5895</v>
      </c>
      <c r="B5896" s="2">
        <v>689.0</v>
      </c>
      <c r="C5896" s="2">
        <v>8150.0</v>
      </c>
      <c r="D5896" s="2">
        <v>2888.0</v>
      </c>
      <c r="E5896" s="3">
        <f t="shared" si="1"/>
        <v>0.38707948</v>
      </c>
      <c r="F5896" s="2">
        <v>887.0</v>
      </c>
      <c r="G5896" s="3">
        <f t="shared" si="2"/>
        <v>0.118884868</v>
      </c>
      <c r="H5896" s="2">
        <v>1554.0</v>
      </c>
      <c r="I5896" s="3">
        <f t="shared" si="3"/>
        <v>0.208283072</v>
      </c>
      <c r="J5896" s="2">
        <v>1064.0</v>
      </c>
      <c r="K5896" s="3">
        <f t="shared" si="4"/>
        <v>0.1426082295</v>
      </c>
      <c r="L5896" s="2">
        <v>900.0</v>
      </c>
      <c r="M5896" s="3">
        <f t="shared" si="5"/>
        <v>0.5791505792</v>
      </c>
      <c r="N5896" s="2">
        <v>8132700.0</v>
      </c>
      <c r="O5896" s="4">
        <f t="shared" si="6"/>
        <v>5233.397683</v>
      </c>
      <c r="P5896" s="2">
        <v>0.0</v>
      </c>
      <c r="Q5896" s="3">
        <f t="shared" si="7"/>
        <v>0</v>
      </c>
      <c r="R5896" s="2">
        <v>117.0</v>
      </c>
      <c r="S5896" s="5">
        <f t="shared" si="8"/>
        <v>0.1698113208</v>
      </c>
    </row>
    <row r="5897">
      <c r="A5897" s="2" t="s">
        <v>5896</v>
      </c>
      <c r="B5897" s="2">
        <v>297.0</v>
      </c>
      <c r="C5897" s="2">
        <v>3401.0</v>
      </c>
      <c r="D5897" s="2">
        <v>945.0</v>
      </c>
      <c r="E5897" s="3">
        <f t="shared" si="1"/>
        <v>0.3044458763</v>
      </c>
      <c r="F5897" s="2">
        <v>369.0</v>
      </c>
      <c r="G5897" s="3">
        <f t="shared" si="2"/>
        <v>0.118878866</v>
      </c>
      <c r="H5897" s="2">
        <v>600.0</v>
      </c>
      <c r="I5897" s="3">
        <f t="shared" si="3"/>
        <v>0.1932989691</v>
      </c>
      <c r="J5897" s="2">
        <v>511.0</v>
      </c>
      <c r="K5897" s="3">
        <f t="shared" si="4"/>
        <v>0.1646262887</v>
      </c>
      <c r="L5897" s="2">
        <v>354.0</v>
      </c>
      <c r="M5897" s="3">
        <f t="shared" si="5"/>
        <v>0.59</v>
      </c>
      <c r="N5897" s="2">
        <v>3530800.0</v>
      </c>
      <c r="O5897" s="4">
        <f t="shared" si="6"/>
        <v>5884.666667</v>
      </c>
      <c r="P5897" s="2">
        <v>0.0</v>
      </c>
      <c r="Q5897" s="3">
        <f t="shared" si="7"/>
        <v>0</v>
      </c>
      <c r="R5897" s="2">
        <v>217.0</v>
      </c>
      <c r="S5897" s="5">
        <f t="shared" si="8"/>
        <v>0.7306397306</v>
      </c>
    </row>
    <row r="5898">
      <c r="A5898" s="2" t="s">
        <v>5897</v>
      </c>
      <c r="B5898" s="2">
        <v>3194.0</v>
      </c>
      <c r="C5898" s="2">
        <v>37617.0</v>
      </c>
      <c r="D5898" s="2">
        <v>13962.0</v>
      </c>
      <c r="E5898" s="3">
        <f t="shared" si="1"/>
        <v>0.4056009064</v>
      </c>
      <c r="F5898" s="2">
        <v>4092.0</v>
      </c>
      <c r="G5898" s="3">
        <f t="shared" si="2"/>
        <v>0.1188740087</v>
      </c>
      <c r="H5898" s="2">
        <v>7457.0</v>
      </c>
      <c r="I5898" s="3">
        <f t="shared" si="3"/>
        <v>0.216628417</v>
      </c>
      <c r="J5898" s="2">
        <v>5472.0</v>
      </c>
      <c r="K5898" s="3">
        <f t="shared" si="4"/>
        <v>0.1589634837</v>
      </c>
      <c r="L5898" s="2">
        <v>4437.0</v>
      </c>
      <c r="M5898" s="3">
        <f t="shared" si="5"/>
        <v>0.5950113987</v>
      </c>
      <c r="N5898" s="2">
        <v>3.95098E7</v>
      </c>
      <c r="O5898" s="4">
        <f t="shared" si="6"/>
        <v>5298.350543</v>
      </c>
      <c r="P5898" s="2">
        <v>1.0</v>
      </c>
      <c r="Q5898" s="3">
        <f t="shared" si="7"/>
        <v>0.0003130870382</v>
      </c>
      <c r="R5898" s="2">
        <v>0.0</v>
      </c>
      <c r="S5898" s="5">
        <f t="shared" si="8"/>
        <v>0</v>
      </c>
    </row>
    <row r="5899">
      <c r="A5899" s="2" t="s">
        <v>5898</v>
      </c>
      <c r="B5899" s="2">
        <v>132.0</v>
      </c>
      <c r="C5899" s="2">
        <v>1621.0</v>
      </c>
      <c r="D5899" s="2">
        <v>836.0</v>
      </c>
      <c r="E5899" s="3">
        <f t="shared" si="1"/>
        <v>0.561450638</v>
      </c>
      <c r="F5899" s="2">
        <v>177.0</v>
      </c>
      <c r="G5899" s="3">
        <f t="shared" si="2"/>
        <v>0.118871726</v>
      </c>
      <c r="H5899" s="2">
        <v>292.0</v>
      </c>
      <c r="I5899" s="3">
        <f t="shared" si="3"/>
        <v>0.1961047683</v>
      </c>
      <c r="J5899" s="2">
        <v>177.0</v>
      </c>
      <c r="K5899" s="3">
        <f t="shared" si="4"/>
        <v>0.118871726</v>
      </c>
      <c r="L5899" s="2">
        <v>175.0</v>
      </c>
      <c r="M5899" s="3">
        <f t="shared" si="5"/>
        <v>0.5993150685</v>
      </c>
      <c r="N5899" s="2">
        <v>1424700.0</v>
      </c>
      <c r="O5899" s="4">
        <f t="shared" si="6"/>
        <v>4879.109589</v>
      </c>
      <c r="P5899" s="2">
        <v>0.0</v>
      </c>
      <c r="Q5899" s="3">
        <f t="shared" si="7"/>
        <v>0</v>
      </c>
      <c r="R5899" s="2">
        <v>132.0</v>
      </c>
      <c r="S5899" s="5">
        <f t="shared" si="8"/>
        <v>1</v>
      </c>
    </row>
    <row r="5900">
      <c r="A5900" s="2" t="s">
        <v>5899</v>
      </c>
      <c r="B5900" s="2">
        <v>1085.0</v>
      </c>
      <c r="C5900" s="2">
        <v>12787.0</v>
      </c>
      <c r="D5900" s="2">
        <v>4311.0</v>
      </c>
      <c r="E5900" s="3">
        <f t="shared" si="1"/>
        <v>0.3683985643</v>
      </c>
      <c r="F5900" s="2">
        <v>1391.0</v>
      </c>
      <c r="G5900" s="3">
        <f t="shared" si="2"/>
        <v>0.1188685695</v>
      </c>
      <c r="H5900" s="2">
        <v>2304.0</v>
      </c>
      <c r="I5900" s="3">
        <f t="shared" si="3"/>
        <v>0.1968894206</v>
      </c>
      <c r="J5900" s="2">
        <v>1780.0</v>
      </c>
      <c r="K5900" s="3">
        <f t="shared" si="4"/>
        <v>0.1521107503</v>
      </c>
      <c r="L5900" s="2">
        <v>1443.0</v>
      </c>
      <c r="M5900" s="3">
        <f t="shared" si="5"/>
        <v>0.6263020833</v>
      </c>
      <c r="N5900" s="2">
        <v>1.27479E7</v>
      </c>
      <c r="O5900" s="4">
        <f t="shared" si="6"/>
        <v>5532.942708</v>
      </c>
      <c r="P5900" s="2">
        <v>2.0</v>
      </c>
      <c r="Q5900" s="3">
        <f t="shared" si="7"/>
        <v>0.001843317972</v>
      </c>
      <c r="R5900" s="2">
        <v>1085.0</v>
      </c>
      <c r="S5900" s="5">
        <f t="shared" si="8"/>
        <v>1</v>
      </c>
    </row>
    <row r="5901">
      <c r="A5901" s="2" t="s">
        <v>5900</v>
      </c>
      <c r="B5901" s="2">
        <v>2168.0</v>
      </c>
      <c r="C5901" s="2">
        <v>25774.0</v>
      </c>
      <c r="D5901" s="2">
        <v>8580.0</v>
      </c>
      <c r="E5901" s="3">
        <f t="shared" si="1"/>
        <v>0.3634669152</v>
      </c>
      <c r="F5901" s="2">
        <v>2806.0</v>
      </c>
      <c r="G5901" s="3">
        <f t="shared" si="2"/>
        <v>0.1188680844</v>
      </c>
      <c r="H5901" s="2">
        <v>5038.0</v>
      </c>
      <c r="I5901" s="3">
        <f t="shared" si="3"/>
        <v>0.2134203169</v>
      </c>
      <c r="J5901" s="2">
        <v>3798.0</v>
      </c>
      <c r="K5901" s="3">
        <f t="shared" si="4"/>
        <v>0.1608912988</v>
      </c>
      <c r="L5901" s="2">
        <v>2948.0</v>
      </c>
      <c r="M5901" s="3">
        <f t="shared" si="5"/>
        <v>0.5851528384</v>
      </c>
      <c r="N5901" s="2">
        <v>2.75233E7</v>
      </c>
      <c r="O5901" s="4">
        <f t="shared" si="6"/>
        <v>5463.140135</v>
      </c>
      <c r="P5901" s="2">
        <v>4.0</v>
      </c>
      <c r="Q5901" s="3">
        <f t="shared" si="7"/>
        <v>0.00184501845</v>
      </c>
      <c r="R5901" s="2">
        <v>2168.0</v>
      </c>
      <c r="S5901" s="5">
        <f t="shared" si="8"/>
        <v>1</v>
      </c>
    </row>
    <row r="5902">
      <c r="A5902" s="2" t="s">
        <v>5901</v>
      </c>
      <c r="B5902" s="2">
        <v>99.0</v>
      </c>
      <c r="C5902" s="2">
        <v>1159.0</v>
      </c>
      <c r="D5902" s="2">
        <v>348.0</v>
      </c>
      <c r="E5902" s="3">
        <f t="shared" si="1"/>
        <v>0.3283018868</v>
      </c>
      <c r="F5902" s="2">
        <v>126.0</v>
      </c>
      <c r="G5902" s="3">
        <f t="shared" si="2"/>
        <v>0.1188679245</v>
      </c>
      <c r="H5902" s="2">
        <v>222.0</v>
      </c>
      <c r="I5902" s="3">
        <f t="shared" si="3"/>
        <v>0.2094339623</v>
      </c>
      <c r="J5902" s="2">
        <v>170.0</v>
      </c>
      <c r="K5902" s="3">
        <f t="shared" si="4"/>
        <v>0.1603773585</v>
      </c>
      <c r="L5902" s="2">
        <v>136.0</v>
      </c>
      <c r="M5902" s="3">
        <f t="shared" si="5"/>
        <v>0.6126126126</v>
      </c>
      <c r="N5902" s="2">
        <v>1201900.0</v>
      </c>
      <c r="O5902" s="4">
        <f t="shared" si="6"/>
        <v>5413.963964</v>
      </c>
      <c r="P5902" s="2">
        <v>0.0</v>
      </c>
      <c r="Q5902" s="3">
        <f t="shared" si="7"/>
        <v>0</v>
      </c>
      <c r="R5902" s="2">
        <v>99.0</v>
      </c>
      <c r="S5902" s="5">
        <f t="shared" si="8"/>
        <v>1</v>
      </c>
    </row>
    <row r="5903">
      <c r="A5903" s="2" t="s">
        <v>5902</v>
      </c>
      <c r="B5903" s="2">
        <v>436.0</v>
      </c>
      <c r="C5903" s="2">
        <v>5164.0</v>
      </c>
      <c r="D5903" s="2">
        <v>1977.0</v>
      </c>
      <c r="E5903" s="3">
        <f t="shared" si="1"/>
        <v>0.4181472081</v>
      </c>
      <c r="F5903" s="2">
        <v>562.0</v>
      </c>
      <c r="G5903" s="3">
        <f t="shared" si="2"/>
        <v>0.1188663283</v>
      </c>
      <c r="H5903" s="2">
        <v>1035.0</v>
      </c>
      <c r="I5903" s="3">
        <f t="shared" si="3"/>
        <v>0.2189086294</v>
      </c>
      <c r="J5903" s="2">
        <v>789.0</v>
      </c>
      <c r="K5903" s="3">
        <f t="shared" si="4"/>
        <v>0.1668781726</v>
      </c>
      <c r="L5903" s="2">
        <v>573.0</v>
      </c>
      <c r="M5903" s="3">
        <f t="shared" si="5"/>
        <v>0.5536231884</v>
      </c>
      <c r="N5903" s="2">
        <v>5598600.0</v>
      </c>
      <c r="O5903" s="4">
        <f t="shared" si="6"/>
        <v>5409.275362</v>
      </c>
      <c r="P5903" s="2">
        <v>0.0</v>
      </c>
      <c r="Q5903" s="3">
        <f t="shared" si="7"/>
        <v>0</v>
      </c>
      <c r="R5903" s="2">
        <v>435.0</v>
      </c>
      <c r="S5903" s="5">
        <f t="shared" si="8"/>
        <v>0.997706422</v>
      </c>
    </row>
    <row r="5904">
      <c r="A5904" s="2" t="s">
        <v>5903</v>
      </c>
      <c r="B5904" s="2">
        <v>411.0</v>
      </c>
      <c r="C5904" s="2">
        <v>4803.0</v>
      </c>
      <c r="D5904" s="2">
        <v>1709.0</v>
      </c>
      <c r="E5904" s="3">
        <f t="shared" si="1"/>
        <v>0.3891165756</v>
      </c>
      <c r="F5904" s="2">
        <v>522.0</v>
      </c>
      <c r="G5904" s="3">
        <f t="shared" si="2"/>
        <v>0.118852459</v>
      </c>
      <c r="H5904" s="2">
        <v>898.0</v>
      </c>
      <c r="I5904" s="3">
        <f t="shared" si="3"/>
        <v>0.2044626594</v>
      </c>
      <c r="J5904" s="2">
        <v>712.0</v>
      </c>
      <c r="K5904" s="3">
        <f t="shared" si="4"/>
        <v>0.1621129326</v>
      </c>
      <c r="L5904" s="2">
        <v>527.0</v>
      </c>
      <c r="M5904" s="3">
        <f t="shared" si="5"/>
        <v>0.5868596882</v>
      </c>
      <c r="N5904" s="2">
        <v>4849700.0</v>
      </c>
      <c r="O5904" s="4">
        <f t="shared" si="6"/>
        <v>5400.556793</v>
      </c>
      <c r="P5904" s="2">
        <v>0.0</v>
      </c>
      <c r="Q5904" s="3">
        <f t="shared" si="7"/>
        <v>0</v>
      </c>
      <c r="R5904" s="2">
        <v>411.0</v>
      </c>
      <c r="S5904" s="5">
        <f t="shared" si="8"/>
        <v>1</v>
      </c>
    </row>
    <row r="5905">
      <c r="A5905" s="2" t="s">
        <v>5904</v>
      </c>
      <c r="B5905" s="2">
        <v>411.0</v>
      </c>
      <c r="C5905" s="2">
        <v>4820.0</v>
      </c>
      <c r="D5905" s="2">
        <v>1555.0</v>
      </c>
      <c r="E5905" s="3">
        <f t="shared" si="1"/>
        <v>0.3526876843</v>
      </c>
      <c r="F5905" s="2">
        <v>524.0</v>
      </c>
      <c r="G5905" s="3">
        <f t="shared" si="2"/>
        <v>0.1188478113</v>
      </c>
      <c r="H5905" s="2">
        <v>927.0</v>
      </c>
      <c r="I5905" s="3">
        <f t="shared" si="3"/>
        <v>0.2102517578</v>
      </c>
      <c r="J5905" s="2">
        <v>711.0</v>
      </c>
      <c r="K5905" s="3">
        <f t="shared" si="4"/>
        <v>0.1612610569</v>
      </c>
      <c r="L5905" s="2">
        <v>557.0</v>
      </c>
      <c r="M5905" s="3">
        <f t="shared" si="5"/>
        <v>0.6008629989</v>
      </c>
      <c r="N5905" s="2">
        <v>5233600.0</v>
      </c>
      <c r="O5905" s="4">
        <f t="shared" si="6"/>
        <v>5645.738943</v>
      </c>
      <c r="P5905" s="2">
        <v>0.0</v>
      </c>
      <c r="Q5905" s="3">
        <f t="shared" si="7"/>
        <v>0</v>
      </c>
      <c r="R5905" s="2">
        <v>384.0</v>
      </c>
      <c r="S5905" s="5">
        <f t="shared" si="8"/>
        <v>0.9343065693</v>
      </c>
    </row>
    <row r="5906">
      <c r="A5906" s="2" t="s">
        <v>5905</v>
      </c>
      <c r="B5906" s="2">
        <v>1068.0</v>
      </c>
      <c r="C5906" s="2">
        <v>12688.0</v>
      </c>
      <c r="D5906" s="2">
        <v>4010.0</v>
      </c>
      <c r="E5906" s="3">
        <f t="shared" si="1"/>
        <v>0.3450946644</v>
      </c>
      <c r="F5906" s="2">
        <v>1381.0</v>
      </c>
      <c r="G5906" s="3">
        <f t="shared" si="2"/>
        <v>0.1188468158</v>
      </c>
      <c r="H5906" s="2">
        <v>2318.0</v>
      </c>
      <c r="I5906" s="3">
        <f t="shared" si="3"/>
        <v>0.1994836489</v>
      </c>
      <c r="J5906" s="2">
        <v>1756.0</v>
      </c>
      <c r="K5906" s="3">
        <f t="shared" si="4"/>
        <v>0.1511187608</v>
      </c>
      <c r="L5906" s="2">
        <v>1371.0</v>
      </c>
      <c r="M5906" s="3">
        <f t="shared" si="5"/>
        <v>0.5914581536</v>
      </c>
      <c r="N5906" s="2">
        <v>1.23504E7</v>
      </c>
      <c r="O5906" s="4">
        <f t="shared" si="6"/>
        <v>5328.041415</v>
      </c>
      <c r="P5906" s="2">
        <v>1.0</v>
      </c>
      <c r="Q5906" s="3">
        <f t="shared" si="7"/>
        <v>0.000936329588</v>
      </c>
      <c r="R5906" s="2">
        <v>1068.0</v>
      </c>
      <c r="S5906" s="5">
        <f t="shared" si="8"/>
        <v>1</v>
      </c>
    </row>
    <row r="5907">
      <c r="A5907" s="2" t="s">
        <v>5906</v>
      </c>
      <c r="B5907" s="2">
        <v>109.0</v>
      </c>
      <c r="C5907" s="2">
        <v>1287.0</v>
      </c>
      <c r="D5907" s="2">
        <v>384.0</v>
      </c>
      <c r="E5907" s="3">
        <f t="shared" si="1"/>
        <v>0.3259762309</v>
      </c>
      <c r="F5907" s="2">
        <v>140.0</v>
      </c>
      <c r="G5907" s="3">
        <f t="shared" si="2"/>
        <v>0.1188455008</v>
      </c>
      <c r="H5907" s="2">
        <v>223.0</v>
      </c>
      <c r="I5907" s="3">
        <f t="shared" si="3"/>
        <v>0.1893039049</v>
      </c>
      <c r="J5907" s="2">
        <v>163.0</v>
      </c>
      <c r="K5907" s="3">
        <f t="shared" si="4"/>
        <v>0.1383701188</v>
      </c>
      <c r="L5907" s="2">
        <v>123.0</v>
      </c>
      <c r="M5907" s="3">
        <f t="shared" si="5"/>
        <v>0.5515695067</v>
      </c>
      <c r="N5907" s="2">
        <v>1211500.0</v>
      </c>
      <c r="O5907" s="4">
        <f t="shared" si="6"/>
        <v>5432.735426</v>
      </c>
      <c r="P5907" s="2">
        <v>1.0</v>
      </c>
      <c r="Q5907" s="3">
        <f t="shared" si="7"/>
        <v>0.009174311927</v>
      </c>
      <c r="R5907" s="2">
        <v>109.0</v>
      </c>
      <c r="S5907" s="5">
        <f t="shared" si="8"/>
        <v>1</v>
      </c>
    </row>
    <row r="5908">
      <c r="A5908" s="2" t="s">
        <v>5907</v>
      </c>
      <c r="B5908" s="2">
        <v>269.0</v>
      </c>
      <c r="C5908" s="2">
        <v>3147.0</v>
      </c>
      <c r="D5908" s="2">
        <v>1184.0</v>
      </c>
      <c r="E5908" s="3">
        <f t="shared" si="1"/>
        <v>0.4113968033</v>
      </c>
      <c r="F5908" s="2">
        <v>342.0</v>
      </c>
      <c r="G5908" s="3">
        <f t="shared" si="2"/>
        <v>0.1188325226</v>
      </c>
      <c r="H5908" s="2">
        <v>648.0</v>
      </c>
      <c r="I5908" s="3">
        <f t="shared" si="3"/>
        <v>0.2251563586</v>
      </c>
      <c r="J5908" s="2">
        <v>550.0</v>
      </c>
      <c r="K5908" s="3">
        <f t="shared" si="4"/>
        <v>0.191104934</v>
      </c>
      <c r="L5908" s="2">
        <v>379.0</v>
      </c>
      <c r="M5908" s="3">
        <f t="shared" si="5"/>
        <v>0.5848765432</v>
      </c>
      <c r="N5908" s="2">
        <v>3489500.0</v>
      </c>
      <c r="O5908" s="4">
        <f t="shared" si="6"/>
        <v>5385.030864</v>
      </c>
      <c r="P5908" s="2">
        <v>0.0</v>
      </c>
      <c r="Q5908" s="3">
        <f t="shared" si="7"/>
        <v>0</v>
      </c>
      <c r="R5908" s="2">
        <v>269.0</v>
      </c>
      <c r="S5908" s="5">
        <f t="shared" si="8"/>
        <v>1</v>
      </c>
    </row>
    <row r="5909">
      <c r="A5909" s="2" t="s">
        <v>5908</v>
      </c>
      <c r="B5909" s="2">
        <v>3175.0</v>
      </c>
      <c r="C5909" s="2">
        <v>37115.0</v>
      </c>
      <c r="D5909" s="2">
        <v>12102.0</v>
      </c>
      <c r="E5909" s="3">
        <f t="shared" si="1"/>
        <v>0.3565704184</v>
      </c>
      <c r="F5909" s="2">
        <v>4033.0</v>
      </c>
      <c r="G5909" s="3">
        <f t="shared" si="2"/>
        <v>0.1188273424</v>
      </c>
      <c r="H5909" s="2">
        <v>7156.0</v>
      </c>
      <c r="I5909" s="3">
        <f t="shared" si="3"/>
        <v>0.2108426635</v>
      </c>
      <c r="J5909" s="2">
        <v>5008.0</v>
      </c>
      <c r="K5909" s="3">
        <f t="shared" si="4"/>
        <v>0.147554508</v>
      </c>
      <c r="L5909" s="2">
        <v>4332.0</v>
      </c>
      <c r="M5909" s="3">
        <f t="shared" si="5"/>
        <v>0.6053661263</v>
      </c>
      <c r="N5909" s="2">
        <v>3.81307E7</v>
      </c>
      <c r="O5909" s="4">
        <f t="shared" si="6"/>
        <v>5328.493572</v>
      </c>
      <c r="P5909" s="2">
        <v>6.0</v>
      </c>
      <c r="Q5909" s="3">
        <f t="shared" si="7"/>
        <v>0.00188976378</v>
      </c>
      <c r="R5909" s="2">
        <v>3175.0</v>
      </c>
      <c r="S5909" s="5">
        <f t="shared" si="8"/>
        <v>1</v>
      </c>
    </row>
    <row r="5910">
      <c r="A5910" s="2" t="s">
        <v>5909</v>
      </c>
      <c r="B5910" s="2">
        <v>554.0</v>
      </c>
      <c r="C5910" s="2">
        <v>6487.0</v>
      </c>
      <c r="D5910" s="2">
        <v>2071.0</v>
      </c>
      <c r="E5910" s="3">
        <f t="shared" si="1"/>
        <v>0.3490645542</v>
      </c>
      <c r="F5910" s="2">
        <v>705.0</v>
      </c>
      <c r="G5910" s="3">
        <f t="shared" si="2"/>
        <v>0.1188269004</v>
      </c>
      <c r="H5910" s="2">
        <v>1417.0</v>
      </c>
      <c r="I5910" s="3">
        <f t="shared" si="3"/>
        <v>0.2388336423</v>
      </c>
      <c r="J5910" s="2">
        <v>1428.0</v>
      </c>
      <c r="K5910" s="3">
        <f t="shared" si="4"/>
        <v>0.2406876791</v>
      </c>
      <c r="L5910" s="2">
        <v>835.0</v>
      </c>
      <c r="M5910" s="3">
        <f t="shared" si="5"/>
        <v>0.5892731122</v>
      </c>
      <c r="N5910" s="2">
        <v>8156300.0</v>
      </c>
      <c r="O5910" s="4">
        <f t="shared" si="6"/>
        <v>5756.033874</v>
      </c>
      <c r="P5910" s="2">
        <v>3.0</v>
      </c>
      <c r="Q5910" s="3">
        <f t="shared" si="7"/>
        <v>0.005415162455</v>
      </c>
      <c r="R5910" s="2">
        <v>554.0</v>
      </c>
      <c r="S5910" s="5">
        <f t="shared" si="8"/>
        <v>1</v>
      </c>
    </row>
    <row r="5911">
      <c r="A5911" s="2" t="s">
        <v>5910</v>
      </c>
      <c r="B5911" s="2">
        <v>796.0</v>
      </c>
      <c r="C5911" s="2">
        <v>9422.0</v>
      </c>
      <c r="D5911" s="2">
        <v>2713.0</v>
      </c>
      <c r="E5911" s="3">
        <f t="shared" si="1"/>
        <v>0.3145142592</v>
      </c>
      <c r="F5911" s="2">
        <v>1025.0</v>
      </c>
      <c r="G5911" s="3">
        <f t="shared" si="2"/>
        <v>0.1188268027</v>
      </c>
      <c r="H5911" s="2">
        <v>1752.0</v>
      </c>
      <c r="I5911" s="3">
        <f t="shared" si="3"/>
        <v>0.2031068862</v>
      </c>
      <c r="J5911" s="2">
        <v>1344.0</v>
      </c>
      <c r="K5911" s="3">
        <f t="shared" si="4"/>
        <v>0.1558080223</v>
      </c>
      <c r="L5911" s="2">
        <v>1060.0</v>
      </c>
      <c r="M5911" s="3">
        <f t="shared" si="5"/>
        <v>0.6050228311</v>
      </c>
      <c r="N5911" s="2">
        <v>9605400.0</v>
      </c>
      <c r="O5911" s="4">
        <f t="shared" si="6"/>
        <v>5482.534247</v>
      </c>
      <c r="P5911" s="2">
        <v>0.0</v>
      </c>
      <c r="Q5911" s="3">
        <f t="shared" si="7"/>
        <v>0</v>
      </c>
      <c r="R5911" s="2">
        <v>0.0</v>
      </c>
      <c r="S5911" s="5">
        <f t="shared" si="8"/>
        <v>0</v>
      </c>
    </row>
    <row r="5912">
      <c r="A5912" s="2" t="s">
        <v>5911</v>
      </c>
      <c r="B5912" s="2">
        <v>4866.0</v>
      </c>
      <c r="C5912" s="2">
        <v>56809.0</v>
      </c>
      <c r="D5912" s="2">
        <v>18508.0</v>
      </c>
      <c r="E5912" s="3">
        <f t="shared" si="1"/>
        <v>0.3563136515</v>
      </c>
      <c r="F5912" s="2">
        <v>6172.0</v>
      </c>
      <c r="G5912" s="3">
        <f t="shared" si="2"/>
        <v>0.1188225555</v>
      </c>
      <c r="H5912" s="2">
        <v>11447.0</v>
      </c>
      <c r="I5912" s="3">
        <f t="shared" si="3"/>
        <v>0.2203761816</v>
      </c>
      <c r="J5912" s="2">
        <v>8907.0</v>
      </c>
      <c r="K5912" s="3">
        <f t="shared" si="4"/>
        <v>0.1714764261</v>
      </c>
      <c r="L5912" s="2">
        <v>6833.0</v>
      </c>
      <c r="M5912" s="3">
        <f t="shared" si="5"/>
        <v>0.5969249585</v>
      </c>
      <c r="N5912" s="2">
        <v>6.36737E7</v>
      </c>
      <c r="O5912" s="4">
        <f t="shared" si="6"/>
        <v>5562.479252</v>
      </c>
      <c r="P5912" s="2">
        <v>4.0</v>
      </c>
      <c r="Q5912" s="3">
        <f t="shared" si="7"/>
        <v>0.0008220304151</v>
      </c>
      <c r="R5912" s="2">
        <v>4796.0</v>
      </c>
      <c r="S5912" s="5">
        <f t="shared" si="8"/>
        <v>0.9856144677</v>
      </c>
    </row>
    <row r="5913">
      <c r="A5913" s="2" t="s">
        <v>5912</v>
      </c>
      <c r="B5913" s="2">
        <v>190.0</v>
      </c>
      <c r="C5913" s="2">
        <v>2294.0</v>
      </c>
      <c r="D5913" s="2">
        <v>588.0</v>
      </c>
      <c r="E5913" s="3">
        <f t="shared" si="1"/>
        <v>0.2794676806</v>
      </c>
      <c r="F5913" s="2">
        <v>250.0</v>
      </c>
      <c r="G5913" s="3">
        <f t="shared" si="2"/>
        <v>0.1188212928</v>
      </c>
      <c r="H5913" s="2">
        <v>400.0</v>
      </c>
      <c r="I5913" s="3">
        <f t="shared" si="3"/>
        <v>0.1901140684</v>
      </c>
      <c r="J5913" s="2">
        <v>303.0</v>
      </c>
      <c r="K5913" s="3">
        <f t="shared" si="4"/>
        <v>0.1440114068</v>
      </c>
      <c r="L5913" s="2">
        <v>247.0</v>
      </c>
      <c r="M5913" s="3">
        <f t="shared" si="5"/>
        <v>0.6175</v>
      </c>
      <c r="N5913" s="2">
        <v>2243500.0</v>
      </c>
      <c r="O5913" s="4">
        <f t="shared" si="6"/>
        <v>5608.75</v>
      </c>
      <c r="P5913" s="2">
        <v>0.0</v>
      </c>
      <c r="Q5913" s="3">
        <f t="shared" si="7"/>
        <v>0</v>
      </c>
      <c r="R5913" s="2">
        <v>190.0</v>
      </c>
      <c r="S5913" s="5">
        <f t="shared" si="8"/>
        <v>1</v>
      </c>
    </row>
    <row r="5914">
      <c r="A5914" s="2" t="s">
        <v>5913</v>
      </c>
      <c r="B5914" s="2">
        <v>935.0</v>
      </c>
      <c r="C5914" s="2">
        <v>10908.0</v>
      </c>
      <c r="D5914" s="2">
        <v>3795.0</v>
      </c>
      <c r="E5914" s="3">
        <f t="shared" si="1"/>
        <v>0.380527424</v>
      </c>
      <c r="F5914" s="2">
        <v>1185.0</v>
      </c>
      <c r="G5914" s="3">
        <f t="shared" si="2"/>
        <v>0.1188208162</v>
      </c>
      <c r="H5914" s="2">
        <v>2227.0</v>
      </c>
      <c r="I5914" s="3">
        <f t="shared" si="3"/>
        <v>0.2233029179</v>
      </c>
      <c r="J5914" s="2">
        <v>1743.0</v>
      </c>
      <c r="K5914" s="3">
        <f t="shared" si="4"/>
        <v>0.1747718841</v>
      </c>
      <c r="L5914" s="2">
        <v>1296.0</v>
      </c>
      <c r="M5914" s="3">
        <f t="shared" si="5"/>
        <v>0.5819488101</v>
      </c>
      <c r="N5914" s="2">
        <v>1.22446E7</v>
      </c>
      <c r="O5914" s="4">
        <f t="shared" si="6"/>
        <v>5498.248765</v>
      </c>
      <c r="P5914" s="2">
        <v>4.0</v>
      </c>
      <c r="Q5914" s="3">
        <f t="shared" si="7"/>
        <v>0.004278074866</v>
      </c>
      <c r="R5914" s="2">
        <v>935.0</v>
      </c>
      <c r="S5914" s="5">
        <f t="shared" si="8"/>
        <v>1</v>
      </c>
    </row>
    <row r="5915">
      <c r="A5915" s="2" t="s">
        <v>5914</v>
      </c>
      <c r="B5915" s="2">
        <v>2794.0</v>
      </c>
      <c r="C5915" s="2">
        <v>32428.0</v>
      </c>
      <c r="D5915" s="2">
        <v>10676.0</v>
      </c>
      <c r="E5915" s="3">
        <f t="shared" si="1"/>
        <v>0.3602618614</v>
      </c>
      <c r="F5915" s="2">
        <v>3521.0</v>
      </c>
      <c r="G5915" s="3">
        <f t="shared" si="2"/>
        <v>0.1188162246</v>
      </c>
      <c r="H5915" s="2">
        <v>6183.0</v>
      </c>
      <c r="I5915" s="3">
        <f t="shared" si="3"/>
        <v>0.2086454748</v>
      </c>
      <c r="J5915" s="2">
        <v>5416.0</v>
      </c>
      <c r="K5915" s="3">
        <f t="shared" si="4"/>
        <v>0.1827630425</v>
      </c>
      <c r="L5915" s="2">
        <v>3688.0</v>
      </c>
      <c r="M5915" s="3">
        <f t="shared" si="5"/>
        <v>0.5964742035</v>
      </c>
      <c r="N5915" s="2">
        <v>3.51903E7</v>
      </c>
      <c r="O5915" s="4">
        <f t="shared" si="6"/>
        <v>5691.460456</v>
      </c>
      <c r="P5915" s="2">
        <v>7.0</v>
      </c>
      <c r="Q5915" s="3">
        <f t="shared" si="7"/>
        <v>0.002505368647</v>
      </c>
      <c r="R5915" s="2">
        <v>2788.0</v>
      </c>
      <c r="S5915" s="5">
        <f t="shared" si="8"/>
        <v>0.9978525412</v>
      </c>
    </row>
    <row r="5916">
      <c r="A5916" s="2" t="s">
        <v>5915</v>
      </c>
      <c r="B5916" s="2">
        <v>18.0</v>
      </c>
      <c r="C5916" s="2">
        <v>220.0</v>
      </c>
      <c r="D5916" s="2">
        <v>72.0</v>
      </c>
      <c r="E5916" s="3">
        <f t="shared" si="1"/>
        <v>0.3564356436</v>
      </c>
      <c r="F5916" s="2">
        <v>24.0</v>
      </c>
      <c r="G5916" s="3">
        <f t="shared" si="2"/>
        <v>0.1188118812</v>
      </c>
      <c r="H5916" s="2">
        <v>41.0</v>
      </c>
      <c r="I5916" s="3">
        <f t="shared" si="3"/>
        <v>0.202970297</v>
      </c>
      <c r="J5916" s="2">
        <v>24.0</v>
      </c>
      <c r="K5916" s="3">
        <f t="shared" si="4"/>
        <v>0.1188118812</v>
      </c>
      <c r="L5916" s="2">
        <v>22.0</v>
      </c>
      <c r="M5916" s="3">
        <f t="shared" si="5"/>
        <v>0.5365853659</v>
      </c>
      <c r="N5916" s="2">
        <v>207500.0</v>
      </c>
      <c r="O5916" s="4">
        <f t="shared" si="6"/>
        <v>5060.97561</v>
      </c>
      <c r="P5916" s="2">
        <v>0.0</v>
      </c>
      <c r="Q5916" s="3">
        <f t="shared" si="7"/>
        <v>0</v>
      </c>
      <c r="R5916" s="2">
        <v>18.0</v>
      </c>
      <c r="S5916" s="5">
        <f t="shared" si="8"/>
        <v>1</v>
      </c>
    </row>
    <row r="5917">
      <c r="A5917" s="2" t="s">
        <v>5916</v>
      </c>
      <c r="B5917" s="2">
        <v>706.0</v>
      </c>
      <c r="C5917" s="2">
        <v>8374.0</v>
      </c>
      <c r="D5917" s="2">
        <v>3155.0</v>
      </c>
      <c r="E5917" s="3">
        <f t="shared" si="1"/>
        <v>0.4114501826</v>
      </c>
      <c r="F5917" s="2">
        <v>911.0</v>
      </c>
      <c r="G5917" s="3">
        <f t="shared" si="2"/>
        <v>0.1188054251</v>
      </c>
      <c r="H5917" s="2">
        <v>1618.0</v>
      </c>
      <c r="I5917" s="3">
        <f t="shared" si="3"/>
        <v>0.2110067814</v>
      </c>
      <c r="J5917" s="2">
        <v>938.0</v>
      </c>
      <c r="K5917" s="3">
        <f t="shared" si="4"/>
        <v>0.1223265519</v>
      </c>
      <c r="L5917" s="2">
        <v>1013.0</v>
      </c>
      <c r="M5917" s="3">
        <f t="shared" si="5"/>
        <v>0.6260815822</v>
      </c>
      <c r="N5917" s="2">
        <v>8648000.0</v>
      </c>
      <c r="O5917" s="4">
        <f t="shared" si="6"/>
        <v>5344.87021</v>
      </c>
      <c r="P5917" s="2">
        <v>0.0</v>
      </c>
      <c r="Q5917" s="3">
        <f t="shared" si="7"/>
        <v>0</v>
      </c>
      <c r="R5917" s="2">
        <v>706.0</v>
      </c>
      <c r="S5917" s="5">
        <f t="shared" si="8"/>
        <v>1</v>
      </c>
    </row>
    <row r="5918">
      <c r="A5918" s="2" t="s">
        <v>5917</v>
      </c>
      <c r="B5918" s="2">
        <v>231.0</v>
      </c>
      <c r="C5918" s="2">
        <v>2731.0</v>
      </c>
      <c r="D5918" s="2">
        <v>886.0</v>
      </c>
      <c r="E5918" s="3">
        <f t="shared" si="1"/>
        <v>0.3544</v>
      </c>
      <c r="F5918" s="2">
        <v>297.0</v>
      </c>
      <c r="G5918" s="3">
        <f t="shared" si="2"/>
        <v>0.1188</v>
      </c>
      <c r="H5918" s="2">
        <v>550.0</v>
      </c>
      <c r="I5918" s="3">
        <f t="shared" si="3"/>
        <v>0.22</v>
      </c>
      <c r="J5918" s="2">
        <v>388.0</v>
      </c>
      <c r="K5918" s="3">
        <f t="shared" si="4"/>
        <v>0.1552</v>
      </c>
      <c r="L5918" s="2">
        <v>338.0</v>
      </c>
      <c r="M5918" s="3">
        <f t="shared" si="5"/>
        <v>0.6145454545</v>
      </c>
      <c r="N5918" s="2">
        <v>2794100.0</v>
      </c>
      <c r="O5918" s="4">
        <f t="shared" si="6"/>
        <v>5080.181818</v>
      </c>
      <c r="P5918" s="2">
        <v>0.0</v>
      </c>
      <c r="Q5918" s="3">
        <f t="shared" si="7"/>
        <v>0</v>
      </c>
      <c r="R5918" s="2">
        <v>0.0</v>
      </c>
      <c r="S5918" s="5">
        <f t="shared" si="8"/>
        <v>0</v>
      </c>
    </row>
    <row r="5919">
      <c r="A5919" s="2" t="s">
        <v>5918</v>
      </c>
      <c r="B5919" s="2">
        <v>835.0</v>
      </c>
      <c r="C5919" s="2">
        <v>9985.0</v>
      </c>
      <c r="D5919" s="2">
        <v>3348.0</v>
      </c>
      <c r="E5919" s="3">
        <f t="shared" si="1"/>
        <v>0.3659016393</v>
      </c>
      <c r="F5919" s="2">
        <v>1087.0</v>
      </c>
      <c r="G5919" s="3">
        <f t="shared" si="2"/>
        <v>0.1187978142</v>
      </c>
      <c r="H5919" s="2">
        <v>1925.0</v>
      </c>
      <c r="I5919" s="3">
        <f t="shared" si="3"/>
        <v>0.2103825137</v>
      </c>
      <c r="J5919" s="2">
        <v>1511.0</v>
      </c>
      <c r="K5919" s="3">
        <f t="shared" si="4"/>
        <v>0.165136612</v>
      </c>
      <c r="L5919" s="2">
        <v>1166.0</v>
      </c>
      <c r="M5919" s="3">
        <f t="shared" si="5"/>
        <v>0.6057142857</v>
      </c>
      <c r="N5919" s="2">
        <v>1.02001E7</v>
      </c>
      <c r="O5919" s="4">
        <f t="shared" si="6"/>
        <v>5298.753247</v>
      </c>
      <c r="P5919" s="2">
        <v>0.0</v>
      </c>
      <c r="Q5919" s="3">
        <f t="shared" si="7"/>
        <v>0</v>
      </c>
      <c r="R5919" s="2">
        <v>835.0</v>
      </c>
      <c r="S5919" s="5">
        <f t="shared" si="8"/>
        <v>1</v>
      </c>
    </row>
    <row r="5920">
      <c r="A5920" s="2" t="s">
        <v>5919</v>
      </c>
      <c r="B5920" s="2">
        <v>761.0</v>
      </c>
      <c r="C5920" s="2">
        <v>9044.0</v>
      </c>
      <c r="D5920" s="2">
        <v>2847.0</v>
      </c>
      <c r="E5920" s="3">
        <f t="shared" si="1"/>
        <v>0.3437160449</v>
      </c>
      <c r="F5920" s="2">
        <v>984.0</v>
      </c>
      <c r="G5920" s="3">
        <f t="shared" si="2"/>
        <v>0.1187975371</v>
      </c>
      <c r="H5920" s="2">
        <v>1785.0</v>
      </c>
      <c r="I5920" s="3">
        <f t="shared" si="3"/>
        <v>0.2155016298</v>
      </c>
      <c r="J5920" s="2">
        <v>1519.0</v>
      </c>
      <c r="K5920" s="3">
        <f t="shared" si="4"/>
        <v>0.1833876615</v>
      </c>
      <c r="L5920" s="2">
        <v>1042.0</v>
      </c>
      <c r="M5920" s="3">
        <f t="shared" si="5"/>
        <v>0.5837535014</v>
      </c>
      <c r="N5920" s="2">
        <v>9943100.0</v>
      </c>
      <c r="O5920" s="4">
        <f t="shared" si="6"/>
        <v>5570.364146</v>
      </c>
      <c r="P5920" s="2">
        <v>1.0</v>
      </c>
      <c r="Q5920" s="3">
        <f t="shared" si="7"/>
        <v>0.001314060447</v>
      </c>
      <c r="R5920" s="2">
        <v>433.0</v>
      </c>
      <c r="S5920" s="5">
        <f t="shared" si="8"/>
        <v>0.5689881735</v>
      </c>
    </row>
    <row r="5921">
      <c r="A5921" s="2" t="s">
        <v>5920</v>
      </c>
      <c r="B5921" s="2">
        <v>2476.0</v>
      </c>
      <c r="C5921" s="2">
        <v>28665.0</v>
      </c>
      <c r="D5921" s="2">
        <v>8354.0</v>
      </c>
      <c r="E5921" s="3">
        <f t="shared" si="1"/>
        <v>0.3189888885</v>
      </c>
      <c r="F5921" s="2">
        <v>3111.0</v>
      </c>
      <c r="G5921" s="3">
        <f t="shared" si="2"/>
        <v>0.1187903318</v>
      </c>
      <c r="H5921" s="2">
        <v>5430.0</v>
      </c>
      <c r="I5921" s="3">
        <f t="shared" si="3"/>
        <v>0.2073389591</v>
      </c>
      <c r="J5921" s="2">
        <v>4755.0</v>
      </c>
      <c r="K5921" s="3">
        <f t="shared" si="4"/>
        <v>0.1815647791</v>
      </c>
      <c r="L5921" s="2">
        <v>3315.0</v>
      </c>
      <c r="M5921" s="3">
        <f t="shared" si="5"/>
        <v>0.6104972376</v>
      </c>
      <c r="N5921" s="2">
        <v>3.17903E7</v>
      </c>
      <c r="O5921" s="4">
        <f t="shared" si="6"/>
        <v>5854.567219</v>
      </c>
      <c r="P5921" s="2">
        <v>6.0</v>
      </c>
      <c r="Q5921" s="3">
        <f t="shared" si="7"/>
        <v>0.002423263328</v>
      </c>
      <c r="R5921" s="2">
        <v>2476.0</v>
      </c>
      <c r="S5921" s="5">
        <f t="shared" si="8"/>
        <v>1</v>
      </c>
    </row>
    <row r="5922">
      <c r="A5922" s="2" t="s">
        <v>5921</v>
      </c>
      <c r="B5922" s="2">
        <v>2560.0</v>
      </c>
      <c r="C5922" s="2">
        <v>30098.0</v>
      </c>
      <c r="D5922" s="2">
        <v>9047.0</v>
      </c>
      <c r="E5922" s="3">
        <f t="shared" si="1"/>
        <v>0.3285278524</v>
      </c>
      <c r="F5922" s="2">
        <v>3271.0</v>
      </c>
      <c r="G5922" s="3">
        <f t="shared" si="2"/>
        <v>0.1187813204</v>
      </c>
      <c r="H5922" s="2">
        <v>6206.0</v>
      </c>
      <c r="I5922" s="3">
        <f t="shared" si="3"/>
        <v>0.2253613189</v>
      </c>
      <c r="J5922" s="2">
        <v>4504.0</v>
      </c>
      <c r="K5922" s="3">
        <f t="shared" si="4"/>
        <v>0.1635558138</v>
      </c>
      <c r="L5922" s="2">
        <v>3741.0</v>
      </c>
      <c r="M5922" s="3">
        <f t="shared" si="5"/>
        <v>0.6028037383</v>
      </c>
      <c r="N5922" s="2">
        <v>3.36135E7</v>
      </c>
      <c r="O5922" s="4">
        <f t="shared" si="6"/>
        <v>5416.290686</v>
      </c>
      <c r="P5922" s="2">
        <v>5.0</v>
      </c>
      <c r="Q5922" s="3">
        <f t="shared" si="7"/>
        <v>0.001953125</v>
      </c>
      <c r="R5922" s="2">
        <v>2560.0</v>
      </c>
      <c r="S5922" s="5">
        <f t="shared" si="8"/>
        <v>1</v>
      </c>
    </row>
    <row r="5923">
      <c r="A5923" s="2" t="s">
        <v>5922</v>
      </c>
      <c r="B5923" s="2">
        <v>712.0</v>
      </c>
      <c r="C5923" s="2">
        <v>8399.0</v>
      </c>
      <c r="D5923" s="2">
        <v>2383.0</v>
      </c>
      <c r="E5923" s="3">
        <f t="shared" si="1"/>
        <v>0.3100039027</v>
      </c>
      <c r="F5923" s="2">
        <v>913.0</v>
      </c>
      <c r="G5923" s="3">
        <f t="shared" si="2"/>
        <v>0.1187719526</v>
      </c>
      <c r="H5923" s="2">
        <v>1583.0</v>
      </c>
      <c r="I5923" s="3">
        <f t="shared" si="3"/>
        <v>0.2059320931</v>
      </c>
      <c r="J5923" s="2">
        <v>1322.0</v>
      </c>
      <c r="K5923" s="3">
        <f t="shared" si="4"/>
        <v>0.1719786653</v>
      </c>
      <c r="L5923" s="2">
        <v>926.0</v>
      </c>
      <c r="M5923" s="3">
        <f t="shared" si="5"/>
        <v>0.5849652558</v>
      </c>
      <c r="N5923" s="2">
        <v>8732100.0</v>
      </c>
      <c r="O5923" s="4">
        <f t="shared" si="6"/>
        <v>5516.171826</v>
      </c>
      <c r="P5923" s="2">
        <v>1.0</v>
      </c>
      <c r="Q5923" s="3">
        <f t="shared" si="7"/>
        <v>0.001404494382</v>
      </c>
      <c r="R5923" s="2">
        <v>642.0</v>
      </c>
      <c r="S5923" s="5">
        <f t="shared" si="8"/>
        <v>0.9016853933</v>
      </c>
    </row>
    <row r="5924">
      <c r="A5924" s="2" t="s">
        <v>5923</v>
      </c>
      <c r="B5924" s="2">
        <v>103.0</v>
      </c>
      <c r="C5924" s="2">
        <v>1206.0</v>
      </c>
      <c r="D5924" s="2">
        <v>349.0</v>
      </c>
      <c r="E5924" s="3">
        <f t="shared" si="1"/>
        <v>0.3164097915</v>
      </c>
      <c r="F5924" s="2">
        <v>131.0</v>
      </c>
      <c r="G5924" s="3">
        <f t="shared" si="2"/>
        <v>0.1187669991</v>
      </c>
      <c r="H5924" s="2">
        <v>193.0</v>
      </c>
      <c r="I5924" s="3">
        <f t="shared" si="3"/>
        <v>0.1749773345</v>
      </c>
      <c r="J5924" s="2">
        <v>171.0</v>
      </c>
      <c r="K5924" s="3">
        <f t="shared" si="4"/>
        <v>0.1550317316</v>
      </c>
      <c r="L5924" s="2">
        <v>121.0</v>
      </c>
      <c r="M5924" s="3">
        <f t="shared" si="5"/>
        <v>0.6269430052</v>
      </c>
      <c r="N5924" s="2">
        <v>1139800.0</v>
      </c>
      <c r="O5924" s="4">
        <f t="shared" si="6"/>
        <v>5905.699482</v>
      </c>
      <c r="P5924" s="2">
        <v>0.0</v>
      </c>
      <c r="Q5924" s="3">
        <f t="shared" si="7"/>
        <v>0</v>
      </c>
      <c r="R5924" s="2">
        <v>103.0</v>
      </c>
      <c r="S5924" s="5">
        <f t="shared" si="8"/>
        <v>1</v>
      </c>
    </row>
    <row r="5925">
      <c r="A5925" s="2" t="s">
        <v>5924</v>
      </c>
      <c r="B5925" s="2">
        <v>341.0</v>
      </c>
      <c r="C5925" s="2">
        <v>3987.0</v>
      </c>
      <c r="D5925" s="2">
        <v>1376.0</v>
      </c>
      <c r="E5925" s="3">
        <f t="shared" si="1"/>
        <v>0.3773998903</v>
      </c>
      <c r="F5925" s="2">
        <v>433.0</v>
      </c>
      <c r="G5925" s="3">
        <f t="shared" si="2"/>
        <v>0.1187602852</v>
      </c>
      <c r="H5925" s="2">
        <v>766.0</v>
      </c>
      <c r="I5925" s="3">
        <f t="shared" si="3"/>
        <v>0.2100932529</v>
      </c>
      <c r="J5925" s="2">
        <v>625.0</v>
      </c>
      <c r="K5925" s="3">
        <f t="shared" si="4"/>
        <v>0.1714207351</v>
      </c>
      <c r="L5925" s="2">
        <v>451.0</v>
      </c>
      <c r="M5925" s="3">
        <f t="shared" si="5"/>
        <v>0.588772846</v>
      </c>
      <c r="N5925" s="2">
        <v>4275200.0</v>
      </c>
      <c r="O5925" s="4">
        <f t="shared" si="6"/>
        <v>5581.201044</v>
      </c>
      <c r="P5925" s="2">
        <v>0.0</v>
      </c>
      <c r="Q5925" s="3">
        <f t="shared" si="7"/>
        <v>0</v>
      </c>
      <c r="R5925" s="2">
        <v>341.0</v>
      </c>
      <c r="S5925" s="5">
        <f t="shared" si="8"/>
        <v>1</v>
      </c>
    </row>
    <row r="5926">
      <c r="A5926" s="2" t="s">
        <v>5925</v>
      </c>
      <c r="B5926" s="2">
        <v>323.0</v>
      </c>
      <c r="C5926" s="2">
        <v>3767.0</v>
      </c>
      <c r="D5926" s="2">
        <v>1345.0</v>
      </c>
      <c r="E5926" s="3">
        <f t="shared" si="1"/>
        <v>0.3905342625</v>
      </c>
      <c r="F5926" s="2">
        <v>409.0</v>
      </c>
      <c r="G5926" s="3">
        <f t="shared" si="2"/>
        <v>0.118757259</v>
      </c>
      <c r="H5926" s="2">
        <v>737.0</v>
      </c>
      <c r="I5926" s="3">
        <f t="shared" si="3"/>
        <v>0.2139953542</v>
      </c>
      <c r="J5926" s="2">
        <v>543.0</v>
      </c>
      <c r="K5926" s="3">
        <f t="shared" si="4"/>
        <v>0.1576655052</v>
      </c>
      <c r="L5926" s="2">
        <v>432.0</v>
      </c>
      <c r="M5926" s="3">
        <f t="shared" si="5"/>
        <v>0.5861601085</v>
      </c>
      <c r="N5926" s="2">
        <v>4272900.0</v>
      </c>
      <c r="O5926" s="4">
        <f t="shared" si="6"/>
        <v>5797.693351</v>
      </c>
      <c r="P5926" s="2">
        <v>1.0</v>
      </c>
      <c r="Q5926" s="3">
        <f t="shared" si="7"/>
        <v>0.003095975232</v>
      </c>
      <c r="R5926" s="2">
        <v>323.0</v>
      </c>
      <c r="S5926" s="5">
        <f t="shared" si="8"/>
        <v>1</v>
      </c>
    </row>
    <row r="5927">
      <c r="A5927" s="2" t="s">
        <v>5926</v>
      </c>
      <c r="B5927" s="2">
        <v>14.0</v>
      </c>
      <c r="C5927" s="2">
        <v>174.0</v>
      </c>
      <c r="D5927" s="2">
        <v>26.0</v>
      </c>
      <c r="E5927" s="3">
        <f t="shared" si="1"/>
        <v>0.1625</v>
      </c>
      <c r="F5927" s="2">
        <v>19.0</v>
      </c>
      <c r="G5927" s="3">
        <f t="shared" si="2"/>
        <v>0.11875</v>
      </c>
      <c r="H5927" s="2">
        <v>26.0</v>
      </c>
      <c r="I5927" s="3">
        <f t="shared" si="3"/>
        <v>0.1625</v>
      </c>
      <c r="J5927" s="2">
        <v>24.0</v>
      </c>
      <c r="K5927" s="3">
        <f t="shared" si="4"/>
        <v>0.15</v>
      </c>
      <c r="L5927" s="2">
        <v>19.0</v>
      </c>
      <c r="M5927" s="3">
        <f t="shared" si="5"/>
        <v>0.7307692308</v>
      </c>
      <c r="N5927" s="2">
        <v>132400.0</v>
      </c>
      <c r="O5927" s="4">
        <f t="shared" si="6"/>
        <v>5092.307692</v>
      </c>
      <c r="P5927" s="2">
        <v>0.0</v>
      </c>
      <c r="Q5927" s="3">
        <f t="shared" si="7"/>
        <v>0</v>
      </c>
      <c r="R5927" s="2">
        <v>14.0</v>
      </c>
      <c r="S5927" s="5">
        <f t="shared" si="8"/>
        <v>1</v>
      </c>
    </row>
    <row r="5928">
      <c r="A5928" s="2" t="s">
        <v>5927</v>
      </c>
      <c r="B5928" s="2">
        <v>375.0</v>
      </c>
      <c r="C5928" s="2">
        <v>4451.0</v>
      </c>
      <c r="D5928" s="2">
        <v>1332.0</v>
      </c>
      <c r="E5928" s="3">
        <f t="shared" si="1"/>
        <v>0.3267909715</v>
      </c>
      <c r="F5928" s="2">
        <v>484.0</v>
      </c>
      <c r="G5928" s="3">
        <f t="shared" si="2"/>
        <v>0.1187438665</v>
      </c>
      <c r="H5928" s="2">
        <v>883.0</v>
      </c>
      <c r="I5928" s="3">
        <f t="shared" si="3"/>
        <v>0.2166339549</v>
      </c>
      <c r="J5928" s="2">
        <v>674.0</v>
      </c>
      <c r="K5928" s="3">
        <f t="shared" si="4"/>
        <v>0.1653581943</v>
      </c>
      <c r="L5928" s="2">
        <v>566.0</v>
      </c>
      <c r="M5928" s="3">
        <f t="shared" si="5"/>
        <v>0.6409966025</v>
      </c>
      <c r="N5928" s="2">
        <v>4867000.0</v>
      </c>
      <c r="O5928" s="4">
        <f t="shared" si="6"/>
        <v>5511.89128</v>
      </c>
      <c r="P5928" s="2">
        <v>0.0</v>
      </c>
      <c r="Q5928" s="3">
        <f t="shared" si="7"/>
        <v>0</v>
      </c>
      <c r="R5928" s="2">
        <v>0.0</v>
      </c>
      <c r="S5928" s="5">
        <f t="shared" si="8"/>
        <v>0</v>
      </c>
    </row>
    <row r="5929">
      <c r="A5929" s="2" t="s">
        <v>5928</v>
      </c>
      <c r="B5929" s="2">
        <v>1511.0</v>
      </c>
      <c r="C5929" s="2">
        <v>17689.0</v>
      </c>
      <c r="D5929" s="2">
        <v>4571.0</v>
      </c>
      <c r="E5929" s="3">
        <f t="shared" si="1"/>
        <v>0.2825441958</v>
      </c>
      <c r="F5929" s="2">
        <v>1921.0</v>
      </c>
      <c r="G5929" s="3">
        <f t="shared" si="2"/>
        <v>0.1187415008</v>
      </c>
      <c r="H5929" s="2">
        <v>3284.0</v>
      </c>
      <c r="I5929" s="3">
        <f t="shared" si="3"/>
        <v>0.2029917171</v>
      </c>
      <c r="J5929" s="2">
        <v>3039.0</v>
      </c>
      <c r="K5929" s="3">
        <f t="shared" si="4"/>
        <v>0.1878476944</v>
      </c>
      <c r="L5929" s="2">
        <v>1917.0</v>
      </c>
      <c r="M5929" s="3">
        <f t="shared" si="5"/>
        <v>0.5837393423</v>
      </c>
      <c r="N5929" s="2">
        <v>1.93917E7</v>
      </c>
      <c r="O5929" s="4">
        <f t="shared" si="6"/>
        <v>5904.902558</v>
      </c>
      <c r="P5929" s="2">
        <v>2.0</v>
      </c>
      <c r="Q5929" s="3">
        <f t="shared" si="7"/>
        <v>0.001323626737</v>
      </c>
      <c r="R5929" s="2">
        <v>1511.0</v>
      </c>
      <c r="S5929" s="5">
        <f t="shared" si="8"/>
        <v>1</v>
      </c>
    </row>
    <row r="5930">
      <c r="A5930" s="2" t="s">
        <v>5929</v>
      </c>
      <c r="B5930" s="2">
        <v>1926.0</v>
      </c>
      <c r="C5930" s="2">
        <v>22619.0</v>
      </c>
      <c r="D5930" s="2">
        <v>7481.0</v>
      </c>
      <c r="E5930" s="3">
        <f t="shared" si="1"/>
        <v>0.3615232204</v>
      </c>
      <c r="F5930" s="2">
        <v>2457.0</v>
      </c>
      <c r="G5930" s="3">
        <f t="shared" si="2"/>
        <v>0.1187358044</v>
      </c>
      <c r="H5930" s="2">
        <v>4459.0</v>
      </c>
      <c r="I5930" s="3">
        <f t="shared" si="3"/>
        <v>0.2154834968</v>
      </c>
      <c r="J5930" s="2">
        <v>3047.0</v>
      </c>
      <c r="K5930" s="3">
        <f t="shared" si="4"/>
        <v>0.1472478616</v>
      </c>
      <c r="L5930" s="2">
        <v>2658.0</v>
      </c>
      <c r="M5930" s="3">
        <f t="shared" si="5"/>
        <v>0.5960977798</v>
      </c>
      <c r="N5930" s="2">
        <v>2.37891E7</v>
      </c>
      <c r="O5930" s="4">
        <f t="shared" si="6"/>
        <v>5335.075129</v>
      </c>
      <c r="P5930" s="2">
        <v>4.0</v>
      </c>
      <c r="Q5930" s="3">
        <f t="shared" si="7"/>
        <v>0.002076843198</v>
      </c>
      <c r="R5930" s="2">
        <v>1674.0</v>
      </c>
      <c r="S5930" s="5">
        <f t="shared" si="8"/>
        <v>0.8691588785</v>
      </c>
    </row>
    <row r="5931">
      <c r="A5931" s="2" t="s">
        <v>5930</v>
      </c>
      <c r="B5931" s="2">
        <v>150.0</v>
      </c>
      <c r="C5931" s="2">
        <v>1784.0</v>
      </c>
      <c r="D5931" s="2">
        <v>372.0</v>
      </c>
      <c r="E5931" s="3">
        <f t="shared" si="1"/>
        <v>0.2276621787</v>
      </c>
      <c r="F5931" s="2">
        <v>194.0</v>
      </c>
      <c r="G5931" s="3">
        <f t="shared" si="2"/>
        <v>0.1187270502</v>
      </c>
      <c r="H5931" s="2">
        <v>289.0</v>
      </c>
      <c r="I5931" s="3">
        <f t="shared" si="3"/>
        <v>0.1768665851</v>
      </c>
      <c r="J5931" s="2">
        <v>283.0</v>
      </c>
      <c r="K5931" s="3">
        <f t="shared" si="4"/>
        <v>0.1731946144</v>
      </c>
      <c r="L5931" s="2">
        <v>164.0</v>
      </c>
      <c r="M5931" s="3">
        <f t="shared" si="5"/>
        <v>0.5674740484</v>
      </c>
      <c r="N5931" s="2">
        <v>1836700.0</v>
      </c>
      <c r="O5931" s="4">
        <f t="shared" si="6"/>
        <v>6355.363322</v>
      </c>
      <c r="P5931" s="2">
        <v>1.0</v>
      </c>
      <c r="Q5931" s="3">
        <f t="shared" si="7"/>
        <v>0.006666666667</v>
      </c>
      <c r="R5931" s="2">
        <v>0.0</v>
      </c>
      <c r="S5931" s="5">
        <f t="shared" si="8"/>
        <v>0</v>
      </c>
    </row>
    <row r="5932">
      <c r="A5932" s="2" t="s">
        <v>5931</v>
      </c>
      <c r="B5932" s="2">
        <v>60.0</v>
      </c>
      <c r="C5932" s="2">
        <v>717.0</v>
      </c>
      <c r="D5932" s="2">
        <v>214.0</v>
      </c>
      <c r="E5932" s="3">
        <f t="shared" si="1"/>
        <v>0.3257229833</v>
      </c>
      <c r="F5932" s="2">
        <v>78.0</v>
      </c>
      <c r="G5932" s="3">
        <f t="shared" si="2"/>
        <v>0.1187214612</v>
      </c>
      <c r="H5932" s="2">
        <v>112.0</v>
      </c>
      <c r="I5932" s="3">
        <f t="shared" si="3"/>
        <v>0.1704718417</v>
      </c>
      <c r="J5932" s="2">
        <v>119.0</v>
      </c>
      <c r="K5932" s="3">
        <f t="shared" si="4"/>
        <v>0.1811263318</v>
      </c>
      <c r="L5932" s="2">
        <v>69.0</v>
      </c>
      <c r="M5932" s="3">
        <f t="shared" si="5"/>
        <v>0.6160714286</v>
      </c>
      <c r="N5932" s="2">
        <v>692400.0</v>
      </c>
      <c r="O5932" s="4">
        <f t="shared" si="6"/>
        <v>6182.142857</v>
      </c>
      <c r="P5932" s="2">
        <v>0.0</v>
      </c>
      <c r="Q5932" s="3">
        <f t="shared" si="7"/>
        <v>0</v>
      </c>
      <c r="R5932" s="2">
        <v>0.0</v>
      </c>
      <c r="S5932" s="5">
        <f t="shared" si="8"/>
        <v>0</v>
      </c>
    </row>
    <row r="5933">
      <c r="A5933" s="2" t="s">
        <v>5932</v>
      </c>
      <c r="B5933" s="2">
        <v>326.0</v>
      </c>
      <c r="C5933" s="2">
        <v>3830.0</v>
      </c>
      <c r="D5933" s="2">
        <v>1366.0</v>
      </c>
      <c r="E5933" s="3">
        <f t="shared" si="1"/>
        <v>0.3898401826</v>
      </c>
      <c r="F5933" s="2">
        <v>416.0</v>
      </c>
      <c r="G5933" s="3">
        <f t="shared" si="2"/>
        <v>0.1187214612</v>
      </c>
      <c r="H5933" s="2">
        <v>691.0</v>
      </c>
      <c r="I5933" s="3">
        <f t="shared" si="3"/>
        <v>0.1972031963</v>
      </c>
      <c r="J5933" s="2">
        <v>543.0</v>
      </c>
      <c r="K5933" s="3">
        <f t="shared" si="4"/>
        <v>0.1549657534</v>
      </c>
      <c r="L5933" s="2">
        <v>402.0</v>
      </c>
      <c r="M5933" s="3">
        <f t="shared" si="5"/>
        <v>0.5817655572</v>
      </c>
      <c r="N5933" s="2">
        <v>4053600.0</v>
      </c>
      <c r="O5933" s="4">
        <f t="shared" si="6"/>
        <v>5866.280753</v>
      </c>
      <c r="P5933" s="2">
        <v>1.0</v>
      </c>
      <c r="Q5933" s="3">
        <f t="shared" si="7"/>
        <v>0.003067484663</v>
      </c>
      <c r="R5933" s="2">
        <v>0.0</v>
      </c>
      <c r="S5933" s="5">
        <f t="shared" si="8"/>
        <v>0</v>
      </c>
    </row>
    <row r="5934">
      <c r="A5934" s="2" t="s">
        <v>5933</v>
      </c>
      <c r="B5934" s="2">
        <v>120.0</v>
      </c>
      <c r="C5934" s="2">
        <v>1451.0</v>
      </c>
      <c r="D5934" s="2">
        <v>459.0</v>
      </c>
      <c r="E5934" s="3">
        <f t="shared" si="1"/>
        <v>0.3448534936</v>
      </c>
      <c r="F5934" s="2">
        <v>158.0</v>
      </c>
      <c r="G5934" s="3">
        <f t="shared" si="2"/>
        <v>0.1187077385</v>
      </c>
      <c r="H5934" s="2">
        <v>274.0</v>
      </c>
      <c r="I5934" s="3">
        <f t="shared" si="3"/>
        <v>0.2058602554</v>
      </c>
      <c r="J5934" s="2">
        <v>223.0</v>
      </c>
      <c r="K5934" s="3">
        <f t="shared" si="4"/>
        <v>0.1675432006</v>
      </c>
      <c r="L5934" s="2">
        <v>165.0</v>
      </c>
      <c r="M5934" s="3">
        <f t="shared" si="5"/>
        <v>0.602189781</v>
      </c>
      <c r="N5934" s="2">
        <v>1435000.0</v>
      </c>
      <c r="O5934" s="4">
        <f t="shared" si="6"/>
        <v>5237.226277</v>
      </c>
      <c r="P5934" s="2">
        <v>0.0</v>
      </c>
      <c r="Q5934" s="3">
        <f t="shared" si="7"/>
        <v>0</v>
      </c>
      <c r="R5934" s="2">
        <v>120.0</v>
      </c>
      <c r="S5934" s="5">
        <f t="shared" si="8"/>
        <v>1</v>
      </c>
    </row>
    <row r="5935">
      <c r="A5935" s="2" t="s">
        <v>5934</v>
      </c>
      <c r="B5935" s="2">
        <v>1032.0</v>
      </c>
      <c r="C5935" s="2">
        <v>12194.0</v>
      </c>
      <c r="D5935" s="2">
        <v>4207.0</v>
      </c>
      <c r="E5935" s="3">
        <f t="shared" si="1"/>
        <v>0.3769037807</v>
      </c>
      <c r="F5935" s="2">
        <v>1325.0</v>
      </c>
      <c r="G5935" s="3">
        <f t="shared" si="2"/>
        <v>0.118706325</v>
      </c>
      <c r="H5935" s="2">
        <v>2461.0</v>
      </c>
      <c r="I5935" s="3">
        <f t="shared" si="3"/>
        <v>0.2204802007</v>
      </c>
      <c r="J5935" s="2">
        <v>1693.0</v>
      </c>
      <c r="K5935" s="3">
        <f t="shared" si="4"/>
        <v>0.151675327</v>
      </c>
      <c r="L5935" s="2">
        <v>1503.0</v>
      </c>
      <c r="M5935" s="3">
        <f t="shared" si="5"/>
        <v>0.6107273466</v>
      </c>
      <c r="N5935" s="2">
        <v>1.28773E7</v>
      </c>
      <c r="O5935" s="4">
        <f t="shared" si="6"/>
        <v>5232.547745</v>
      </c>
      <c r="P5935" s="2">
        <v>3.0</v>
      </c>
      <c r="Q5935" s="3">
        <f t="shared" si="7"/>
        <v>0.002906976744</v>
      </c>
      <c r="R5935" s="2">
        <v>1032.0</v>
      </c>
      <c r="S5935" s="5">
        <f t="shared" si="8"/>
        <v>1</v>
      </c>
    </row>
    <row r="5936">
      <c r="A5936" s="2" t="s">
        <v>5935</v>
      </c>
      <c r="B5936" s="2">
        <v>79.0</v>
      </c>
      <c r="C5936" s="2">
        <v>913.0</v>
      </c>
      <c r="D5936" s="2">
        <v>253.0</v>
      </c>
      <c r="E5936" s="3">
        <f t="shared" si="1"/>
        <v>0.3033573141</v>
      </c>
      <c r="F5936" s="2">
        <v>99.0</v>
      </c>
      <c r="G5936" s="3">
        <f t="shared" si="2"/>
        <v>0.118705036</v>
      </c>
      <c r="H5936" s="2">
        <v>189.0</v>
      </c>
      <c r="I5936" s="3">
        <f t="shared" si="3"/>
        <v>0.226618705</v>
      </c>
      <c r="J5936" s="2">
        <v>179.0</v>
      </c>
      <c r="K5936" s="3">
        <f t="shared" si="4"/>
        <v>0.2146282974</v>
      </c>
      <c r="L5936" s="2">
        <v>114.0</v>
      </c>
      <c r="M5936" s="3">
        <f t="shared" si="5"/>
        <v>0.6031746032</v>
      </c>
      <c r="N5936" s="2">
        <v>947300.0</v>
      </c>
      <c r="O5936" s="4">
        <f t="shared" si="6"/>
        <v>5012.169312</v>
      </c>
      <c r="P5936" s="2">
        <v>1.0</v>
      </c>
      <c r="Q5936" s="3">
        <f t="shared" si="7"/>
        <v>0.01265822785</v>
      </c>
      <c r="R5936" s="2">
        <v>0.0</v>
      </c>
      <c r="S5936" s="5">
        <f t="shared" si="8"/>
        <v>0</v>
      </c>
    </row>
    <row r="5937">
      <c r="A5937" s="2" t="s">
        <v>5936</v>
      </c>
      <c r="B5937" s="2">
        <v>626.0</v>
      </c>
      <c r="C5937" s="2">
        <v>7374.0</v>
      </c>
      <c r="D5937" s="2">
        <v>2633.0</v>
      </c>
      <c r="E5937" s="3">
        <f t="shared" si="1"/>
        <v>0.3901896858</v>
      </c>
      <c r="F5937" s="2">
        <v>801.0</v>
      </c>
      <c r="G5937" s="3">
        <f t="shared" si="2"/>
        <v>0.1187018376</v>
      </c>
      <c r="H5937" s="2">
        <v>1432.0</v>
      </c>
      <c r="I5937" s="3">
        <f t="shared" si="3"/>
        <v>0.2122110255</v>
      </c>
      <c r="J5937" s="2">
        <v>1005.0</v>
      </c>
      <c r="K5937" s="3">
        <f t="shared" si="4"/>
        <v>0.1489330172</v>
      </c>
      <c r="L5937" s="2">
        <v>848.0</v>
      </c>
      <c r="M5937" s="3">
        <f t="shared" si="5"/>
        <v>0.5921787709</v>
      </c>
      <c r="N5937" s="2">
        <v>7624000.0</v>
      </c>
      <c r="O5937" s="4">
        <f t="shared" si="6"/>
        <v>5324.022346</v>
      </c>
      <c r="P5937" s="2">
        <v>0.0</v>
      </c>
      <c r="Q5937" s="3">
        <f t="shared" si="7"/>
        <v>0</v>
      </c>
      <c r="R5937" s="2">
        <v>626.0</v>
      </c>
      <c r="S5937" s="5">
        <f t="shared" si="8"/>
        <v>1</v>
      </c>
    </row>
    <row r="5938">
      <c r="A5938" s="2" t="s">
        <v>5937</v>
      </c>
      <c r="B5938" s="2">
        <v>1171.0</v>
      </c>
      <c r="C5938" s="2">
        <v>13648.0</v>
      </c>
      <c r="D5938" s="2">
        <v>4453.0</v>
      </c>
      <c r="E5938" s="3">
        <f t="shared" si="1"/>
        <v>0.3568966899</v>
      </c>
      <c r="F5938" s="2">
        <v>1481.0</v>
      </c>
      <c r="G5938" s="3">
        <f t="shared" si="2"/>
        <v>0.1186984051</v>
      </c>
      <c r="H5938" s="2">
        <v>2699.0</v>
      </c>
      <c r="I5938" s="3">
        <f t="shared" si="3"/>
        <v>0.2163180252</v>
      </c>
      <c r="J5938" s="2">
        <v>1864.0</v>
      </c>
      <c r="K5938" s="3">
        <f t="shared" si="4"/>
        <v>0.1493948866</v>
      </c>
      <c r="L5938" s="2">
        <v>1654.0</v>
      </c>
      <c r="M5938" s="3">
        <f t="shared" si="5"/>
        <v>0.6128195628</v>
      </c>
      <c r="N5938" s="2">
        <v>1.45812E7</v>
      </c>
      <c r="O5938" s="4">
        <f t="shared" si="6"/>
        <v>5402.44535</v>
      </c>
      <c r="P5938" s="2">
        <v>4.0</v>
      </c>
      <c r="Q5938" s="3">
        <f t="shared" si="7"/>
        <v>0.00341588386</v>
      </c>
      <c r="R5938" s="2">
        <v>1.0</v>
      </c>
      <c r="S5938" s="5">
        <f t="shared" si="8"/>
        <v>0.000853970965</v>
      </c>
    </row>
    <row r="5939">
      <c r="A5939" s="2" t="s">
        <v>5938</v>
      </c>
      <c r="B5939" s="2">
        <v>31.0</v>
      </c>
      <c r="C5939" s="2">
        <v>368.0</v>
      </c>
      <c r="D5939" s="2">
        <v>127.0</v>
      </c>
      <c r="E5939" s="3">
        <f t="shared" si="1"/>
        <v>0.3768545994</v>
      </c>
      <c r="F5939" s="2">
        <v>40.0</v>
      </c>
      <c r="G5939" s="3">
        <f t="shared" si="2"/>
        <v>0.118694362</v>
      </c>
      <c r="H5939" s="2">
        <v>64.0</v>
      </c>
      <c r="I5939" s="3">
        <f t="shared" si="3"/>
        <v>0.1899109792</v>
      </c>
      <c r="J5939" s="2">
        <v>48.0</v>
      </c>
      <c r="K5939" s="3">
        <f t="shared" si="4"/>
        <v>0.1424332344</v>
      </c>
      <c r="L5939" s="2">
        <v>34.0</v>
      </c>
      <c r="M5939" s="3">
        <f t="shared" si="5"/>
        <v>0.53125</v>
      </c>
      <c r="N5939" s="2">
        <v>372000.0</v>
      </c>
      <c r="O5939" s="4">
        <f t="shared" si="6"/>
        <v>5812.5</v>
      </c>
      <c r="P5939" s="2">
        <v>0.0</v>
      </c>
      <c r="Q5939" s="3">
        <f t="shared" si="7"/>
        <v>0</v>
      </c>
      <c r="R5939" s="2">
        <v>31.0</v>
      </c>
      <c r="S5939" s="5">
        <f t="shared" si="8"/>
        <v>1</v>
      </c>
    </row>
    <row r="5940">
      <c r="A5940" s="2" t="s">
        <v>5939</v>
      </c>
      <c r="B5940" s="2">
        <v>1372.0</v>
      </c>
      <c r="C5940" s="2">
        <v>15923.0</v>
      </c>
      <c r="D5940" s="2">
        <v>4306.0</v>
      </c>
      <c r="E5940" s="3">
        <f t="shared" si="1"/>
        <v>0.2959246787</v>
      </c>
      <c r="F5940" s="2">
        <v>1727.0</v>
      </c>
      <c r="G5940" s="3">
        <f t="shared" si="2"/>
        <v>0.118686001</v>
      </c>
      <c r="H5940" s="2">
        <v>3197.0</v>
      </c>
      <c r="I5940" s="3">
        <f t="shared" si="3"/>
        <v>0.2197099856</v>
      </c>
      <c r="J5940" s="2">
        <v>2469.0</v>
      </c>
      <c r="K5940" s="3">
        <f t="shared" si="4"/>
        <v>0.1696790599</v>
      </c>
      <c r="L5940" s="2">
        <v>1950.0</v>
      </c>
      <c r="M5940" s="3">
        <f t="shared" si="5"/>
        <v>0.6099468251</v>
      </c>
      <c r="N5940" s="2">
        <v>1.77928E7</v>
      </c>
      <c r="O5940" s="4">
        <f t="shared" si="6"/>
        <v>5565.467626</v>
      </c>
      <c r="P5940" s="2">
        <v>3.0</v>
      </c>
      <c r="Q5940" s="3">
        <f t="shared" si="7"/>
        <v>0.002186588921</v>
      </c>
      <c r="R5940" s="2">
        <v>1372.0</v>
      </c>
      <c r="S5940" s="5">
        <f t="shared" si="8"/>
        <v>1</v>
      </c>
    </row>
    <row r="5941">
      <c r="A5941" s="2" t="s">
        <v>5940</v>
      </c>
      <c r="B5941" s="2">
        <v>1119.0</v>
      </c>
      <c r="C5941" s="2">
        <v>13042.0</v>
      </c>
      <c r="D5941" s="2">
        <v>3428.0</v>
      </c>
      <c r="E5941" s="3">
        <f t="shared" si="1"/>
        <v>0.2875115323</v>
      </c>
      <c r="F5941" s="2">
        <v>1415.0</v>
      </c>
      <c r="G5941" s="3">
        <f t="shared" si="2"/>
        <v>0.118678185</v>
      </c>
      <c r="H5941" s="2">
        <v>2389.0</v>
      </c>
      <c r="I5941" s="3">
        <f t="shared" si="3"/>
        <v>0.2003690346</v>
      </c>
      <c r="J5941" s="2">
        <v>2011.0</v>
      </c>
      <c r="K5941" s="3">
        <f t="shared" si="4"/>
        <v>0.1686656043</v>
      </c>
      <c r="L5941" s="2">
        <v>1480.0</v>
      </c>
      <c r="M5941" s="3">
        <f t="shared" si="5"/>
        <v>0.6195060695</v>
      </c>
      <c r="N5941" s="2">
        <v>1.37517E7</v>
      </c>
      <c r="O5941" s="4">
        <f t="shared" si="6"/>
        <v>5756.257848</v>
      </c>
      <c r="P5941" s="2">
        <v>1.0</v>
      </c>
      <c r="Q5941" s="3">
        <f t="shared" si="7"/>
        <v>0.0008936550492</v>
      </c>
      <c r="R5941" s="2">
        <v>1119.0</v>
      </c>
      <c r="S5941" s="5">
        <f t="shared" si="8"/>
        <v>1</v>
      </c>
    </row>
    <row r="5942">
      <c r="A5942" s="2" t="s">
        <v>5941</v>
      </c>
      <c r="B5942" s="2">
        <v>549.0</v>
      </c>
      <c r="C5942" s="2">
        <v>6439.0</v>
      </c>
      <c r="D5942" s="2">
        <v>2408.0</v>
      </c>
      <c r="E5942" s="3">
        <f t="shared" si="1"/>
        <v>0.4088285229</v>
      </c>
      <c r="F5942" s="2">
        <v>699.0</v>
      </c>
      <c r="G5942" s="3">
        <f t="shared" si="2"/>
        <v>0.1186757216</v>
      </c>
      <c r="H5942" s="2">
        <v>1288.0</v>
      </c>
      <c r="I5942" s="3">
        <f t="shared" si="3"/>
        <v>0.2186757216</v>
      </c>
      <c r="J5942" s="2">
        <v>939.0</v>
      </c>
      <c r="K5942" s="3">
        <f t="shared" si="4"/>
        <v>0.1594227504</v>
      </c>
      <c r="L5942" s="2">
        <v>785.0</v>
      </c>
      <c r="M5942" s="3">
        <f t="shared" si="5"/>
        <v>0.6094720497</v>
      </c>
      <c r="N5942" s="2">
        <v>6644500.0</v>
      </c>
      <c r="O5942" s="4">
        <f t="shared" si="6"/>
        <v>5158.773292</v>
      </c>
      <c r="P5942" s="2">
        <v>0.0</v>
      </c>
      <c r="Q5942" s="3">
        <f t="shared" si="7"/>
        <v>0</v>
      </c>
      <c r="R5942" s="2">
        <v>513.0</v>
      </c>
      <c r="S5942" s="5">
        <f t="shared" si="8"/>
        <v>0.9344262295</v>
      </c>
    </row>
    <row r="5943">
      <c r="A5943" s="2" t="s">
        <v>5942</v>
      </c>
      <c r="B5943" s="2">
        <v>4925.0</v>
      </c>
      <c r="C5943" s="2">
        <v>58057.0</v>
      </c>
      <c r="D5943" s="2">
        <v>18375.0</v>
      </c>
      <c r="E5943" s="3">
        <f t="shared" si="1"/>
        <v>0.3458367839</v>
      </c>
      <c r="F5943" s="2">
        <v>6305.0</v>
      </c>
      <c r="G5943" s="3">
        <f t="shared" si="2"/>
        <v>0.1186667169</v>
      </c>
      <c r="H5943" s="2">
        <v>11334.0</v>
      </c>
      <c r="I5943" s="3">
        <f t="shared" si="3"/>
        <v>0.2133177746</v>
      </c>
      <c r="J5943" s="2">
        <v>8256.0</v>
      </c>
      <c r="K5943" s="3">
        <f t="shared" si="4"/>
        <v>0.1553865844</v>
      </c>
      <c r="L5943" s="2">
        <v>6900.0</v>
      </c>
      <c r="M5943" s="3">
        <f t="shared" si="5"/>
        <v>0.6087877184</v>
      </c>
      <c r="N5943" s="2">
        <v>6.4784E7</v>
      </c>
      <c r="O5943" s="4">
        <f t="shared" si="6"/>
        <v>5715.899065</v>
      </c>
      <c r="P5943" s="2">
        <v>11.0</v>
      </c>
      <c r="Q5943" s="3">
        <f t="shared" si="7"/>
        <v>0.002233502538</v>
      </c>
      <c r="R5943" s="2">
        <v>4925.0</v>
      </c>
      <c r="S5943" s="5">
        <f t="shared" si="8"/>
        <v>1</v>
      </c>
    </row>
    <row r="5944">
      <c r="A5944" s="2" t="s">
        <v>5943</v>
      </c>
      <c r="B5944" s="2">
        <v>1460.0</v>
      </c>
      <c r="C5944" s="2">
        <v>17219.0</v>
      </c>
      <c r="D5944" s="2">
        <v>5217.0</v>
      </c>
      <c r="E5944" s="3">
        <f t="shared" si="1"/>
        <v>0.3310489244</v>
      </c>
      <c r="F5944" s="2">
        <v>1870.0</v>
      </c>
      <c r="G5944" s="3">
        <f t="shared" si="2"/>
        <v>0.1186623517</v>
      </c>
      <c r="H5944" s="2">
        <v>3265.0</v>
      </c>
      <c r="I5944" s="3">
        <f t="shared" si="3"/>
        <v>0.2071831969</v>
      </c>
      <c r="J5944" s="2">
        <v>2767.0</v>
      </c>
      <c r="K5944" s="3">
        <f t="shared" si="4"/>
        <v>0.175582207</v>
      </c>
      <c r="L5944" s="2">
        <v>1880.0</v>
      </c>
      <c r="M5944" s="3">
        <f t="shared" si="5"/>
        <v>0.5758039816</v>
      </c>
      <c r="N5944" s="2">
        <v>1.91607E7</v>
      </c>
      <c r="O5944" s="4">
        <f t="shared" si="6"/>
        <v>5868.514548</v>
      </c>
      <c r="P5944" s="2">
        <v>2.0</v>
      </c>
      <c r="Q5944" s="3">
        <f t="shared" si="7"/>
        <v>0.001369863014</v>
      </c>
      <c r="R5944" s="2">
        <v>0.0</v>
      </c>
      <c r="S5944" s="5">
        <f t="shared" si="8"/>
        <v>0</v>
      </c>
    </row>
    <row r="5945">
      <c r="A5945" s="2" t="s">
        <v>5944</v>
      </c>
      <c r="B5945" s="2">
        <v>6761.0</v>
      </c>
      <c r="C5945" s="2">
        <v>79620.0</v>
      </c>
      <c r="D5945" s="2">
        <v>22150.0</v>
      </c>
      <c r="E5945" s="3">
        <f t="shared" si="1"/>
        <v>0.3040118585</v>
      </c>
      <c r="F5945" s="2">
        <v>8645.0</v>
      </c>
      <c r="G5945" s="3">
        <f t="shared" si="2"/>
        <v>0.1186538382</v>
      </c>
      <c r="H5945" s="2">
        <v>15192.0</v>
      </c>
      <c r="I5945" s="3">
        <f t="shared" si="3"/>
        <v>0.208512332</v>
      </c>
      <c r="J5945" s="2">
        <v>11292.0</v>
      </c>
      <c r="K5945" s="3">
        <f t="shared" si="4"/>
        <v>0.1549842847</v>
      </c>
      <c r="L5945" s="2">
        <v>9024.0</v>
      </c>
      <c r="M5945" s="3">
        <f t="shared" si="5"/>
        <v>0.5939968404</v>
      </c>
      <c r="N5945" s="2">
        <v>8.62663E7</v>
      </c>
      <c r="O5945" s="4">
        <f t="shared" si="6"/>
        <v>5678.403107</v>
      </c>
      <c r="P5945" s="2">
        <v>7.0</v>
      </c>
      <c r="Q5945" s="3">
        <f t="shared" si="7"/>
        <v>0.0010353498</v>
      </c>
      <c r="R5945" s="2">
        <v>0.0</v>
      </c>
      <c r="S5945" s="5">
        <f t="shared" si="8"/>
        <v>0</v>
      </c>
    </row>
    <row r="5946">
      <c r="A5946" s="2" t="s">
        <v>5945</v>
      </c>
      <c r="B5946" s="2">
        <v>544.0</v>
      </c>
      <c r="C5946" s="2">
        <v>6452.0</v>
      </c>
      <c r="D5946" s="2">
        <v>2197.0</v>
      </c>
      <c r="E5946" s="3">
        <f t="shared" si="1"/>
        <v>0.3718686527</v>
      </c>
      <c r="F5946" s="2">
        <v>701.0</v>
      </c>
      <c r="G5946" s="3">
        <f t="shared" si="2"/>
        <v>0.1186526743</v>
      </c>
      <c r="H5946" s="2">
        <v>1204.0</v>
      </c>
      <c r="I5946" s="3">
        <f t="shared" si="3"/>
        <v>0.2037914692</v>
      </c>
      <c r="J5946" s="2">
        <v>918.0</v>
      </c>
      <c r="K5946" s="3">
        <f t="shared" si="4"/>
        <v>0.1553825322</v>
      </c>
      <c r="L5946" s="2">
        <v>725.0</v>
      </c>
      <c r="M5946" s="3">
        <f t="shared" si="5"/>
        <v>0.6021594684</v>
      </c>
      <c r="N5946" s="2">
        <v>6930600.0</v>
      </c>
      <c r="O5946" s="4">
        <f t="shared" si="6"/>
        <v>5756.312292</v>
      </c>
      <c r="P5946" s="2">
        <v>1.0</v>
      </c>
      <c r="Q5946" s="3">
        <f t="shared" si="7"/>
        <v>0.001838235294</v>
      </c>
      <c r="R5946" s="2">
        <v>544.0</v>
      </c>
      <c r="S5946" s="5">
        <f t="shared" si="8"/>
        <v>1</v>
      </c>
    </row>
    <row r="5947">
      <c r="A5947" s="2" t="s">
        <v>5946</v>
      </c>
      <c r="B5947" s="2">
        <v>810.0</v>
      </c>
      <c r="C5947" s="2">
        <v>9474.0</v>
      </c>
      <c r="D5947" s="2">
        <v>3080.0</v>
      </c>
      <c r="E5947" s="3">
        <f t="shared" si="1"/>
        <v>0.3554939982</v>
      </c>
      <c r="F5947" s="2">
        <v>1028.0</v>
      </c>
      <c r="G5947" s="3">
        <f t="shared" si="2"/>
        <v>0.1186518929</v>
      </c>
      <c r="H5947" s="2">
        <v>1850.0</v>
      </c>
      <c r="I5947" s="3">
        <f t="shared" si="3"/>
        <v>0.2135272392</v>
      </c>
      <c r="J5947" s="2">
        <v>1461.0</v>
      </c>
      <c r="K5947" s="3">
        <f t="shared" si="4"/>
        <v>0.1686288089</v>
      </c>
      <c r="L5947" s="2">
        <v>1130.0</v>
      </c>
      <c r="M5947" s="3">
        <f t="shared" si="5"/>
        <v>0.6108108108</v>
      </c>
      <c r="N5947" s="2">
        <v>1.02519E7</v>
      </c>
      <c r="O5947" s="4">
        <f t="shared" si="6"/>
        <v>5541.567568</v>
      </c>
      <c r="P5947" s="2">
        <v>0.0</v>
      </c>
      <c r="Q5947" s="3">
        <f t="shared" si="7"/>
        <v>0</v>
      </c>
      <c r="R5947" s="2">
        <v>810.0</v>
      </c>
      <c r="S5947" s="5">
        <f t="shared" si="8"/>
        <v>1</v>
      </c>
    </row>
    <row r="5948">
      <c r="A5948" s="2" t="s">
        <v>5947</v>
      </c>
      <c r="B5948" s="2">
        <v>5.0</v>
      </c>
      <c r="C5948" s="2">
        <v>64.0</v>
      </c>
      <c r="D5948" s="2">
        <v>20.0</v>
      </c>
      <c r="E5948" s="3">
        <f t="shared" si="1"/>
        <v>0.3389830508</v>
      </c>
      <c r="F5948" s="2">
        <v>7.0</v>
      </c>
      <c r="G5948" s="3">
        <f t="shared" si="2"/>
        <v>0.1186440678</v>
      </c>
      <c r="H5948" s="2">
        <v>11.0</v>
      </c>
      <c r="I5948" s="3">
        <f t="shared" si="3"/>
        <v>0.186440678</v>
      </c>
      <c r="J5948" s="2">
        <v>11.0</v>
      </c>
      <c r="K5948" s="3">
        <f t="shared" si="4"/>
        <v>0.186440678</v>
      </c>
      <c r="L5948" s="2">
        <v>4.0</v>
      </c>
      <c r="M5948" s="3">
        <f t="shared" si="5"/>
        <v>0.3636363636</v>
      </c>
      <c r="N5948" s="2">
        <v>71500.0</v>
      </c>
      <c r="O5948" s="4">
        <f t="shared" si="6"/>
        <v>6500</v>
      </c>
      <c r="P5948" s="2">
        <v>0.0</v>
      </c>
      <c r="Q5948" s="3">
        <f t="shared" si="7"/>
        <v>0</v>
      </c>
      <c r="R5948" s="2">
        <v>5.0</v>
      </c>
      <c r="S5948" s="5">
        <f t="shared" si="8"/>
        <v>1</v>
      </c>
    </row>
    <row r="5949">
      <c r="A5949" s="2" t="s">
        <v>5948</v>
      </c>
      <c r="B5949" s="2">
        <v>276.0</v>
      </c>
      <c r="C5949" s="2">
        <v>3226.0</v>
      </c>
      <c r="D5949" s="2">
        <v>1021.0</v>
      </c>
      <c r="E5949" s="3">
        <f t="shared" si="1"/>
        <v>0.3461016949</v>
      </c>
      <c r="F5949" s="2">
        <v>350.0</v>
      </c>
      <c r="G5949" s="3">
        <f t="shared" si="2"/>
        <v>0.1186440678</v>
      </c>
      <c r="H5949" s="2">
        <v>594.0</v>
      </c>
      <c r="I5949" s="3">
        <f t="shared" si="3"/>
        <v>0.2013559322</v>
      </c>
      <c r="J5949" s="2">
        <v>501.0</v>
      </c>
      <c r="K5949" s="3">
        <f t="shared" si="4"/>
        <v>0.1698305085</v>
      </c>
      <c r="L5949" s="2">
        <v>351.0</v>
      </c>
      <c r="M5949" s="3">
        <f t="shared" si="5"/>
        <v>0.5909090909</v>
      </c>
      <c r="N5949" s="2">
        <v>3213500.0</v>
      </c>
      <c r="O5949" s="4">
        <f t="shared" si="6"/>
        <v>5409.93266</v>
      </c>
      <c r="P5949" s="2">
        <v>0.0</v>
      </c>
      <c r="Q5949" s="3">
        <f t="shared" si="7"/>
        <v>0</v>
      </c>
      <c r="R5949" s="2">
        <v>250.0</v>
      </c>
      <c r="S5949" s="5">
        <f t="shared" si="8"/>
        <v>0.9057971014</v>
      </c>
    </row>
    <row r="5950">
      <c r="A5950" s="2" t="s">
        <v>5949</v>
      </c>
      <c r="B5950" s="2">
        <v>23.0</v>
      </c>
      <c r="C5950" s="2">
        <v>259.0</v>
      </c>
      <c r="D5950" s="2">
        <v>71.0</v>
      </c>
      <c r="E5950" s="3">
        <f t="shared" si="1"/>
        <v>0.3008474576</v>
      </c>
      <c r="F5950" s="2">
        <v>28.0</v>
      </c>
      <c r="G5950" s="3">
        <f t="shared" si="2"/>
        <v>0.1186440678</v>
      </c>
      <c r="H5950" s="2">
        <v>38.0</v>
      </c>
      <c r="I5950" s="3">
        <f t="shared" si="3"/>
        <v>0.1610169492</v>
      </c>
      <c r="J5950" s="2">
        <v>37.0</v>
      </c>
      <c r="K5950" s="3">
        <f t="shared" si="4"/>
        <v>0.156779661</v>
      </c>
      <c r="L5950" s="2">
        <v>22.0</v>
      </c>
      <c r="M5950" s="3">
        <f t="shared" si="5"/>
        <v>0.5789473684</v>
      </c>
      <c r="N5950" s="2">
        <v>202700.0</v>
      </c>
      <c r="O5950" s="4">
        <f t="shared" si="6"/>
        <v>5334.210526</v>
      </c>
      <c r="P5950" s="2">
        <v>0.0</v>
      </c>
      <c r="Q5950" s="3">
        <f t="shared" si="7"/>
        <v>0</v>
      </c>
      <c r="R5950" s="2">
        <v>17.0</v>
      </c>
      <c r="S5950" s="5">
        <f t="shared" si="8"/>
        <v>0.7391304348</v>
      </c>
    </row>
    <row r="5951">
      <c r="A5951" s="2" t="s">
        <v>5950</v>
      </c>
      <c r="B5951" s="2">
        <v>26.0</v>
      </c>
      <c r="C5951" s="2">
        <v>321.0</v>
      </c>
      <c r="D5951" s="2">
        <v>93.0</v>
      </c>
      <c r="E5951" s="3">
        <f t="shared" si="1"/>
        <v>0.3152542373</v>
      </c>
      <c r="F5951" s="2">
        <v>35.0</v>
      </c>
      <c r="G5951" s="3">
        <f t="shared" si="2"/>
        <v>0.1186440678</v>
      </c>
      <c r="H5951" s="2">
        <v>58.0</v>
      </c>
      <c r="I5951" s="3">
        <f t="shared" si="3"/>
        <v>0.1966101695</v>
      </c>
      <c r="J5951" s="2">
        <v>44.0</v>
      </c>
      <c r="K5951" s="3">
        <f t="shared" si="4"/>
        <v>0.1491525424</v>
      </c>
      <c r="L5951" s="2">
        <v>36.0</v>
      </c>
      <c r="M5951" s="3">
        <f t="shared" si="5"/>
        <v>0.6206896552</v>
      </c>
      <c r="N5951" s="2">
        <v>265800.0</v>
      </c>
      <c r="O5951" s="4">
        <f t="shared" si="6"/>
        <v>4582.758621</v>
      </c>
      <c r="P5951" s="2">
        <v>0.0</v>
      </c>
      <c r="Q5951" s="3">
        <f t="shared" si="7"/>
        <v>0</v>
      </c>
      <c r="R5951" s="2">
        <v>26.0</v>
      </c>
      <c r="S5951" s="5">
        <f t="shared" si="8"/>
        <v>1</v>
      </c>
    </row>
    <row r="5952">
      <c r="A5952" s="2" t="s">
        <v>5951</v>
      </c>
      <c r="B5952" s="2">
        <v>394.0</v>
      </c>
      <c r="C5952" s="2">
        <v>4600.0</v>
      </c>
      <c r="D5952" s="2">
        <v>1429.0</v>
      </c>
      <c r="E5952" s="3">
        <f t="shared" si="1"/>
        <v>0.3397527342</v>
      </c>
      <c r="F5952" s="2">
        <v>499.0</v>
      </c>
      <c r="G5952" s="3">
        <f t="shared" si="2"/>
        <v>0.118640038</v>
      </c>
      <c r="H5952" s="2">
        <v>840.0</v>
      </c>
      <c r="I5952" s="3">
        <f t="shared" si="3"/>
        <v>0.1997146933</v>
      </c>
      <c r="J5952" s="2">
        <v>806.0</v>
      </c>
      <c r="K5952" s="3">
        <f t="shared" si="4"/>
        <v>0.1916310033</v>
      </c>
      <c r="L5952" s="2">
        <v>487.0</v>
      </c>
      <c r="M5952" s="3">
        <f t="shared" si="5"/>
        <v>0.5797619048</v>
      </c>
      <c r="N5952" s="2">
        <v>4643700.0</v>
      </c>
      <c r="O5952" s="4">
        <f t="shared" si="6"/>
        <v>5528.214286</v>
      </c>
      <c r="P5952" s="2">
        <v>1.0</v>
      </c>
      <c r="Q5952" s="3">
        <f t="shared" si="7"/>
        <v>0.002538071066</v>
      </c>
      <c r="R5952" s="2">
        <v>394.0</v>
      </c>
      <c r="S5952" s="5">
        <f t="shared" si="8"/>
        <v>1</v>
      </c>
    </row>
    <row r="5953">
      <c r="A5953" s="2" t="s">
        <v>5952</v>
      </c>
      <c r="B5953" s="2">
        <v>9035.0</v>
      </c>
      <c r="C5953" s="2">
        <v>106546.0</v>
      </c>
      <c r="D5953" s="2">
        <v>37914.0</v>
      </c>
      <c r="E5953" s="3">
        <f t="shared" si="1"/>
        <v>0.3888176719</v>
      </c>
      <c r="F5953" s="2">
        <v>11568.0</v>
      </c>
      <c r="G5953" s="3">
        <f t="shared" si="2"/>
        <v>0.1186327696</v>
      </c>
      <c r="H5953" s="2">
        <v>21006.0</v>
      </c>
      <c r="I5953" s="3">
        <f t="shared" si="3"/>
        <v>0.2154218498</v>
      </c>
      <c r="J5953" s="2">
        <v>14580.0</v>
      </c>
      <c r="K5953" s="3">
        <f t="shared" si="4"/>
        <v>0.1495215924</v>
      </c>
      <c r="L5953" s="2">
        <v>12755.0</v>
      </c>
      <c r="M5953" s="3">
        <f t="shared" si="5"/>
        <v>0.6072074645</v>
      </c>
      <c r="N5953" s="2">
        <v>1.136276E8</v>
      </c>
      <c r="O5953" s="4">
        <f t="shared" si="6"/>
        <v>5409.292583</v>
      </c>
      <c r="P5953" s="2">
        <v>12.0</v>
      </c>
      <c r="Q5953" s="3">
        <f t="shared" si="7"/>
        <v>0.001328168235</v>
      </c>
      <c r="R5953" s="2">
        <v>9032.0</v>
      </c>
      <c r="S5953" s="5">
        <f t="shared" si="8"/>
        <v>0.9996679579</v>
      </c>
    </row>
    <row r="5954">
      <c r="A5954" s="2" t="s">
        <v>5953</v>
      </c>
      <c r="B5954" s="2">
        <v>395.0</v>
      </c>
      <c r="C5954" s="2">
        <v>4635.0</v>
      </c>
      <c r="D5954" s="2">
        <v>1563.0</v>
      </c>
      <c r="E5954" s="3">
        <f t="shared" si="1"/>
        <v>0.3686320755</v>
      </c>
      <c r="F5954" s="2">
        <v>503.0</v>
      </c>
      <c r="G5954" s="3">
        <f t="shared" si="2"/>
        <v>0.1186320755</v>
      </c>
      <c r="H5954" s="2">
        <v>881.0</v>
      </c>
      <c r="I5954" s="3">
        <f t="shared" si="3"/>
        <v>0.2077830189</v>
      </c>
      <c r="J5954" s="2">
        <v>784.0</v>
      </c>
      <c r="K5954" s="3">
        <f t="shared" si="4"/>
        <v>0.1849056604</v>
      </c>
      <c r="L5954" s="2">
        <v>540.0</v>
      </c>
      <c r="M5954" s="3">
        <f t="shared" si="5"/>
        <v>0.6129398411</v>
      </c>
      <c r="N5954" s="2">
        <v>5304800.0</v>
      </c>
      <c r="O5954" s="4">
        <f t="shared" si="6"/>
        <v>6021.339387</v>
      </c>
      <c r="P5954" s="2">
        <v>1.0</v>
      </c>
      <c r="Q5954" s="3">
        <f t="shared" si="7"/>
        <v>0.00253164557</v>
      </c>
      <c r="R5954" s="2">
        <v>395.0</v>
      </c>
      <c r="S5954" s="5">
        <f t="shared" si="8"/>
        <v>1</v>
      </c>
    </row>
    <row r="5955">
      <c r="A5955" s="2" t="s">
        <v>5954</v>
      </c>
      <c r="B5955" s="2">
        <v>1346.0</v>
      </c>
      <c r="C5955" s="2">
        <v>15804.0</v>
      </c>
      <c r="D5955" s="2">
        <v>3932.0</v>
      </c>
      <c r="E5955" s="3">
        <f t="shared" si="1"/>
        <v>0.2719601605</v>
      </c>
      <c r="F5955" s="2">
        <v>1715.0</v>
      </c>
      <c r="G5955" s="3">
        <f t="shared" si="2"/>
        <v>0.1186194494</v>
      </c>
      <c r="H5955" s="2">
        <v>3003.0</v>
      </c>
      <c r="I5955" s="3">
        <f t="shared" si="3"/>
        <v>0.2077050768</v>
      </c>
      <c r="J5955" s="2">
        <v>2383.0</v>
      </c>
      <c r="K5955" s="3">
        <f t="shared" si="4"/>
        <v>0.1648222437</v>
      </c>
      <c r="L5955" s="2">
        <v>1786.0</v>
      </c>
      <c r="M5955" s="3">
        <f t="shared" si="5"/>
        <v>0.5947385947</v>
      </c>
      <c r="N5955" s="2">
        <v>1.7889E7</v>
      </c>
      <c r="O5955" s="4">
        <f t="shared" si="6"/>
        <v>5957.042957</v>
      </c>
      <c r="P5955" s="2">
        <v>2.0</v>
      </c>
      <c r="Q5955" s="3">
        <f t="shared" si="7"/>
        <v>0.001485884101</v>
      </c>
      <c r="R5955" s="2">
        <v>1346.0</v>
      </c>
      <c r="S5955" s="5">
        <f t="shared" si="8"/>
        <v>1</v>
      </c>
    </row>
    <row r="5956">
      <c r="A5956" s="2" t="s">
        <v>5955</v>
      </c>
      <c r="B5956" s="2">
        <v>106.0</v>
      </c>
      <c r="C5956" s="2">
        <v>1320.0</v>
      </c>
      <c r="D5956" s="2">
        <v>499.0</v>
      </c>
      <c r="E5956" s="3">
        <f t="shared" si="1"/>
        <v>0.4110378913</v>
      </c>
      <c r="F5956" s="2">
        <v>144.0</v>
      </c>
      <c r="G5956" s="3">
        <f t="shared" si="2"/>
        <v>0.118616145</v>
      </c>
      <c r="H5956" s="2">
        <v>247.0</v>
      </c>
      <c r="I5956" s="3">
        <f t="shared" si="3"/>
        <v>0.2034596376</v>
      </c>
      <c r="J5956" s="2">
        <v>225.0</v>
      </c>
      <c r="K5956" s="3">
        <f t="shared" si="4"/>
        <v>0.1853377265</v>
      </c>
      <c r="L5956" s="2">
        <v>149.0</v>
      </c>
      <c r="M5956" s="3">
        <f t="shared" si="5"/>
        <v>0.6032388664</v>
      </c>
      <c r="N5956" s="2">
        <v>1397400.0</v>
      </c>
      <c r="O5956" s="4">
        <f t="shared" si="6"/>
        <v>5657.489879</v>
      </c>
      <c r="P5956" s="2">
        <v>0.0</v>
      </c>
      <c r="Q5956" s="3">
        <f t="shared" si="7"/>
        <v>0</v>
      </c>
      <c r="R5956" s="2">
        <v>0.0</v>
      </c>
      <c r="S5956" s="5">
        <f t="shared" si="8"/>
        <v>0</v>
      </c>
    </row>
    <row r="5957">
      <c r="A5957" s="2" t="s">
        <v>5956</v>
      </c>
      <c r="B5957" s="2">
        <v>555.0</v>
      </c>
      <c r="C5957" s="2">
        <v>6507.0</v>
      </c>
      <c r="D5957" s="2">
        <v>1833.0</v>
      </c>
      <c r="E5957" s="3">
        <f t="shared" si="1"/>
        <v>0.3079637097</v>
      </c>
      <c r="F5957" s="2">
        <v>706.0</v>
      </c>
      <c r="G5957" s="3">
        <f t="shared" si="2"/>
        <v>0.1186155914</v>
      </c>
      <c r="H5957" s="2">
        <v>1112.0</v>
      </c>
      <c r="I5957" s="3">
        <f t="shared" si="3"/>
        <v>0.186827957</v>
      </c>
      <c r="J5957" s="2">
        <v>948.0</v>
      </c>
      <c r="K5957" s="3">
        <f t="shared" si="4"/>
        <v>0.1592741935</v>
      </c>
      <c r="L5957" s="2">
        <v>685.0</v>
      </c>
      <c r="M5957" s="3">
        <f t="shared" si="5"/>
        <v>0.6160071942</v>
      </c>
      <c r="N5957" s="2">
        <v>6767300.0</v>
      </c>
      <c r="O5957" s="4">
        <f t="shared" si="6"/>
        <v>6085.701439</v>
      </c>
      <c r="P5957" s="2">
        <v>3.0</v>
      </c>
      <c r="Q5957" s="3">
        <f t="shared" si="7"/>
        <v>0.005405405405</v>
      </c>
      <c r="R5957" s="2">
        <v>555.0</v>
      </c>
      <c r="S5957" s="5">
        <f t="shared" si="8"/>
        <v>1</v>
      </c>
    </row>
    <row r="5958">
      <c r="A5958" s="2" t="s">
        <v>5957</v>
      </c>
      <c r="B5958" s="2">
        <v>1189.0</v>
      </c>
      <c r="C5958" s="2">
        <v>14080.0</v>
      </c>
      <c r="D5958" s="2">
        <v>4014.0</v>
      </c>
      <c r="E5958" s="3">
        <f t="shared" si="1"/>
        <v>0.3113800326</v>
      </c>
      <c r="F5958" s="2">
        <v>1529.0</v>
      </c>
      <c r="G5958" s="3">
        <f t="shared" si="2"/>
        <v>0.1186098829</v>
      </c>
      <c r="H5958" s="2">
        <v>2723.0</v>
      </c>
      <c r="I5958" s="3">
        <f t="shared" si="3"/>
        <v>0.2112326429</v>
      </c>
      <c r="J5958" s="2">
        <v>2075.0</v>
      </c>
      <c r="K5958" s="3">
        <f t="shared" si="4"/>
        <v>0.1609650144</v>
      </c>
      <c r="L5958" s="2">
        <v>1703.0</v>
      </c>
      <c r="M5958" s="3">
        <f t="shared" si="5"/>
        <v>0.6254131473</v>
      </c>
      <c r="N5958" s="2">
        <v>1.48093E7</v>
      </c>
      <c r="O5958" s="4">
        <f t="shared" si="6"/>
        <v>5438.597136</v>
      </c>
      <c r="P5958" s="2">
        <v>2.0</v>
      </c>
      <c r="Q5958" s="3">
        <f t="shared" si="7"/>
        <v>0.001682085786</v>
      </c>
      <c r="R5958" s="2">
        <v>1189.0</v>
      </c>
      <c r="S5958" s="5">
        <f t="shared" si="8"/>
        <v>1</v>
      </c>
    </row>
    <row r="5959">
      <c r="A5959" s="2" t="s">
        <v>5958</v>
      </c>
      <c r="B5959" s="2">
        <v>45.0</v>
      </c>
      <c r="C5959" s="2">
        <v>534.0</v>
      </c>
      <c r="D5959" s="2">
        <v>137.0</v>
      </c>
      <c r="E5959" s="3">
        <f t="shared" si="1"/>
        <v>0.2801635992</v>
      </c>
      <c r="F5959" s="2">
        <v>58.0</v>
      </c>
      <c r="G5959" s="3">
        <f t="shared" si="2"/>
        <v>0.118609407</v>
      </c>
      <c r="H5959" s="2">
        <v>112.0</v>
      </c>
      <c r="I5959" s="3">
        <f t="shared" si="3"/>
        <v>0.2290388548</v>
      </c>
      <c r="J5959" s="2">
        <v>89.0</v>
      </c>
      <c r="K5959" s="3">
        <f t="shared" si="4"/>
        <v>0.18200409</v>
      </c>
      <c r="L5959" s="2">
        <v>68.0</v>
      </c>
      <c r="M5959" s="3">
        <f t="shared" si="5"/>
        <v>0.6071428571</v>
      </c>
      <c r="N5959" s="2">
        <v>632400.0</v>
      </c>
      <c r="O5959" s="4">
        <f t="shared" si="6"/>
        <v>5646.428571</v>
      </c>
      <c r="P5959" s="2">
        <v>0.0</v>
      </c>
      <c r="Q5959" s="3">
        <f t="shared" si="7"/>
        <v>0</v>
      </c>
      <c r="R5959" s="2">
        <v>45.0</v>
      </c>
      <c r="S5959" s="5">
        <f t="shared" si="8"/>
        <v>1</v>
      </c>
    </row>
    <row r="5960">
      <c r="A5960" s="2" t="s">
        <v>5959</v>
      </c>
      <c r="B5960" s="2">
        <v>947.0</v>
      </c>
      <c r="C5960" s="2">
        <v>10998.0</v>
      </c>
      <c r="D5960" s="2">
        <v>3603.0</v>
      </c>
      <c r="E5960" s="3">
        <f t="shared" si="1"/>
        <v>0.3584717939</v>
      </c>
      <c r="F5960" s="2">
        <v>1192.0</v>
      </c>
      <c r="G5960" s="3">
        <f t="shared" si="2"/>
        <v>0.1185951647</v>
      </c>
      <c r="H5960" s="2">
        <v>2097.0</v>
      </c>
      <c r="I5960" s="3">
        <f t="shared" si="3"/>
        <v>0.2086359566</v>
      </c>
      <c r="J5960" s="2">
        <v>1546.0</v>
      </c>
      <c r="K5960" s="3">
        <f t="shared" si="4"/>
        <v>0.1538155407</v>
      </c>
      <c r="L5960" s="2">
        <v>1270.0</v>
      </c>
      <c r="M5960" s="3">
        <f t="shared" si="5"/>
        <v>0.6056270863</v>
      </c>
      <c r="N5960" s="2">
        <v>1.20355E7</v>
      </c>
      <c r="O5960" s="4">
        <f t="shared" si="6"/>
        <v>5739.389604</v>
      </c>
      <c r="P5960" s="2">
        <v>3.0</v>
      </c>
      <c r="Q5960" s="3">
        <f t="shared" si="7"/>
        <v>0.003167898627</v>
      </c>
      <c r="R5960" s="2">
        <v>947.0</v>
      </c>
      <c r="S5960" s="5">
        <f t="shared" si="8"/>
        <v>1</v>
      </c>
    </row>
    <row r="5961">
      <c r="A5961" s="2" t="s">
        <v>5960</v>
      </c>
      <c r="B5961" s="2">
        <v>791.0</v>
      </c>
      <c r="C5961" s="2">
        <v>9417.0</v>
      </c>
      <c r="D5961" s="2">
        <v>3336.0</v>
      </c>
      <c r="E5961" s="3">
        <f t="shared" si="1"/>
        <v>0.3867377695</v>
      </c>
      <c r="F5961" s="2">
        <v>1023.0</v>
      </c>
      <c r="G5961" s="3">
        <f t="shared" si="2"/>
        <v>0.1185949455</v>
      </c>
      <c r="H5961" s="2">
        <v>1924.0</v>
      </c>
      <c r="I5961" s="3">
        <f t="shared" si="3"/>
        <v>0.2230466033</v>
      </c>
      <c r="J5961" s="2">
        <v>1514.0</v>
      </c>
      <c r="K5961" s="3">
        <f t="shared" si="4"/>
        <v>0.1755158822</v>
      </c>
      <c r="L5961" s="2">
        <v>1196.0</v>
      </c>
      <c r="M5961" s="3">
        <f t="shared" si="5"/>
        <v>0.6216216216</v>
      </c>
      <c r="N5961" s="2">
        <v>1.03896E7</v>
      </c>
      <c r="O5961" s="4">
        <f t="shared" si="6"/>
        <v>5400</v>
      </c>
      <c r="P5961" s="2">
        <v>0.0</v>
      </c>
      <c r="Q5961" s="3">
        <f t="shared" si="7"/>
        <v>0</v>
      </c>
      <c r="R5961" s="2">
        <v>791.0</v>
      </c>
      <c r="S5961" s="5">
        <f t="shared" si="8"/>
        <v>1</v>
      </c>
    </row>
    <row r="5962">
      <c r="A5962" s="2" t="s">
        <v>5961</v>
      </c>
      <c r="B5962" s="2">
        <v>2405.0</v>
      </c>
      <c r="C5962" s="2">
        <v>28351.0</v>
      </c>
      <c r="D5962" s="2">
        <v>8680.0</v>
      </c>
      <c r="E5962" s="3">
        <f t="shared" si="1"/>
        <v>0.3345409697</v>
      </c>
      <c r="F5962" s="2">
        <v>3077.0</v>
      </c>
      <c r="G5962" s="3">
        <f t="shared" si="2"/>
        <v>0.1185924613</v>
      </c>
      <c r="H5962" s="2">
        <v>5425.0</v>
      </c>
      <c r="I5962" s="3">
        <f t="shared" si="3"/>
        <v>0.2090881061</v>
      </c>
      <c r="J5962" s="2">
        <v>4200.0</v>
      </c>
      <c r="K5962" s="3">
        <f t="shared" si="4"/>
        <v>0.1618746628</v>
      </c>
      <c r="L5962" s="2">
        <v>3282.0</v>
      </c>
      <c r="M5962" s="3">
        <f t="shared" si="5"/>
        <v>0.6049769585</v>
      </c>
      <c r="N5962" s="2">
        <v>2.90966E7</v>
      </c>
      <c r="O5962" s="4">
        <f t="shared" si="6"/>
        <v>5363.428571</v>
      </c>
      <c r="P5962" s="2">
        <v>3.0</v>
      </c>
      <c r="Q5962" s="3">
        <f t="shared" si="7"/>
        <v>0.001247401247</v>
      </c>
      <c r="R5962" s="2">
        <v>2405.0</v>
      </c>
      <c r="S5962" s="5">
        <f t="shared" si="8"/>
        <v>1</v>
      </c>
    </row>
    <row r="5963">
      <c r="A5963" s="2" t="s">
        <v>5962</v>
      </c>
      <c r="B5963" s="2">
        <v>241.0</v>
      </c>
      <c r="C5963" s="2">
        <v>2872.0</v>
      </c>
      <c r="D5963" s="2">
        <v>842.0</v>
      </c>
      <c r="E5963" s="3">
        <f t="shared" si="1"/>
        <v>0.3200304067</v>
      </c>
      <c r="F5963" s="2">
        <v>312.0</v>
      </c>
      <c r="G5963" s="3">
        <f t="shared" si="2"/>
        <v>0.1185860889</v>
      </c>
      <c r="H5963" s="2">
        <v>527.0</v>
      </c>
      <c r="I5963" s="3">
        <f t="shared" si="3"/>
        <v>0.2003040669</v>
      </c>
      <c r="J5963" s="2">
        <v>483.0</v>
      </c>
      <c r="K5963" s="3">
        <f t="shared" si="4"/>
        <v>0.1835803877</v>
      </c>
      <c r="L5963" s="2">
        <v>333.0</v>
      </c>
      <c r="M5963" s="3">
        <f t="shared" si="5"/>
        <v>0.6318785579</v>
      </c>
      <c r="N5963" s="2">
        <v>2919300.0</v>
      </c>
      <c r="O5963" s="4">
        <f t="shared" si="6"/>
        <v>5539.468691</v>
      </c>
      <c r="P5963" s="2">
        <v>0.0</v>
      </c>
      <c r="Q5963" s="3">
        <f t="shared" si="7"/>
        <v>0</v>
      </c>
      <c r="R5963" s="2">
        <v>241.0</v>
      </c>
      <c r="S5963" s="5">
        <f t="shared" si="8"/>
        <v>1</v>
      </c>
    </row>
    <row r="5964">
      <c r="A5964" s="2" t="s">
        <v>5963</v>
      </c>
      <c r="B5964" s="2">
        <v>330.0</v>
      </c>
      <c r="C5964" s="2">
        <v>3838.0</v>
      </c>
      <c r="D5964" s="2">
        <v>1217.0</v>
      </c>
      <c r="E5964" s="3">
        <f t="shared" si="1"/>
        <v>0.3469213227</v>
      </c>
      <c r="F5964" s="2">
        <v>416.0</v>
      </c>
      <c r="G5964" s="3">
        <f t="shared" si="2"/>
        <v>0.1185860889</v>
      </c>
      <c r="H5964" s="2">
        <v>688.0</v>
      </c>
      <c r="I5964" s="3">
        <f t="shared" si="3"/>
        <v>0.1961231471</v>
      </c>
      <c r="J5964" s="2">
        <v>453.0</v>
      </c>
      <c r="K5964" s="3">
        <f t="shared" si="4"/>
        <v>0.1291334094</v>
      </c>
      <c r="L5964" s="2">
        <v>407.0</v>
      </c>
      <c r="M5964" s="3">
        <f t="shared" si="5"/>
        <v>0.5915697674</v>
      </c>
      <c r="N5964" s="2">
        <v>3865400.0</v>
      </c>
      <c r="O5964" s="4">
        <f t="shared" si="6"/>
        <v>5618.313953</v>
      </c>
      <c r="P5964" s="2">
        <v>0.0</v>
      </c>
      <c r="Q5964" s="3">
        <f t="shared" si="7"/>
        <v>0</v>
      </c>
      <c r="R5964" s="2">
        <v>0.0</v>
      </c>
      <c r="S5964" s="5">
        <f t="shared" si="8"/>
        <v>0</v>
      </c>
    </row>
    <row r="5965">
      <c r="A5965" s="2" t="s">
        <v>5964</v>
      </c>
      <c r="B5965" s="2">
        <v>1428.0</v>
      </c>
      <c r="C5965" s="2">
        <v>16793.0</v>
      </c>
      <c r="D5965" s="2">
        <v>4697.0</v>
      </c>
      <c r="E5965" s="3">
        <f t="shared" si="1"/>
        <v>0.3056947608</v>
      </c>
      <c r="F5965" s="2">
        <v>1822.0</v>
      </c>
      <c r="G5965" s="3">
        <f t="shared" si="2"/>
        <v>0.118581191</v>
      </c>
      <c r="H5965" s="2">
        <v>3257.0</v>
      </c>
      <c r="I5965" s="3">
        <f t="shared" si="3"/>
        <v>0.2119752685</v>
      </c>
      <c r="J5965" s="2">
        <v>2280.0</v>
      </c>
      <c r="K5965" s="3">
        <f t="shared" si="4"/>
        <v>0.1483891962</v>
      </c>
      <c r="L5965" s="2">
        <v>1963.0</v>
      </c>
      <c r="M5965" s="3">
        <f t="shared" si="5"/>
        <v>0.6027018729</v>
      </c>
      <c r="N5965" s="2">
        <v>1.88693E7</v>
      </c>
      <c r="O5965" s="4">
        <f t="shared" si="6"/>
        <v>5793.460239</v>
      </c>
      <c r="P5965" s="2">
        <v>6.0</v>
      </c>
      <c r="Q5965" s="3">
        <f t="shared" si="7"/>
        <v>0.004201680672</v>
      </c>
      <c r="R5965" s="2">
        <v>337.0</v>
      </c>
      <c r="S5965" s="5">
        <f t="shared" si="8"/>
        <v>0.2359943978</v>
      </c>
    </row>
    <row r="5966">
      <c r="A5966" s="2" t="s">
        <v>5965</v>
      </c>
      <c r="B5966" s="2">
        <v>1698.0</v>
      </c>
      <c r="C5966" s="2">
        <v>19897.0</v>
      </c>
      <c r="D5966" s="2">
        <v>6505.0</v>
      </c>
      <c r="E5966" s="3">
        <f t="shared" si="1"/>
        <v>0.3574372218</v>
      </c>
      <c r="F5966" s="2">
        <v>2158.0</v>
      </c>
      <c r="G5966" s="3">
        <f t="shared" si="2"/>
        <v>0.1185779438</v>
      </c>
      <c r="H5966" s="2">
        <v>3865.0</v>
      </c>
      <c r="I5966" s="3">
        <f t="shared" si="3"/>
        <v>0.2123743063</v>
      </c>
      <c r="J5966" s="2">
        <v>2977.0</v>
      </c>
      <c r="K5966" s="3">
        <f t="shared" si="4"/>
        <v>0.1635804165</v>
      </c>
      <c r="L5966" s="2">
        <v>2339.0</v>
      </c>
      <c r="M5966" s="3">
        <f t="shared" si="5"/>
        <v>0.6051746442</v>
      </c>
      <c r="N5966" s="2">
        <v>2.05503E7</v>
      </c>
      <c r="O5966" s="4">
        <f t="shared" si="6"/>
        <v>5317.02458</v>
      </c>
      <c r="P5966" s="2">
        <v>3.0</v>
      </c>
      <c r="Q5966" s="3">
        <f t="shared" si="7"/>
        <v>0.001766784452</v>
      </c>
      <c r="R5966" s="2">
        <v>1651.0</v>
      </c>
      <c r="S5966" s="5">
        <f t="shared" si="8"/>
        <v>0.9723203769</v>
      </c>
    </row>
    <row r="5967">
      <c r="A5967" s="2" t="s">
        <v>5966</v>
      </c>
      <c r="B5967" s="2">
        <v>1115.0</v>
      </c>
      <c r="C5967" s="2">
        <v>13141.0</v>
      </c>
      <c r="D5967" s="2">
        <v>3734.0</v>
      </c>
      <c r="E5967" s="3">
        <f t="shared" si="1"/>
        <v>0.3104939298</v>
      </c>
      <c r="F5967" s="2">
        <v>1426.0</v>
      </c>
      <c r="G5967" s="3">
        <f t="shared" si="2"/>
        <v>0.1185764178</v>
      </c>
      <c r="H5967" s="2">
        <v>2509.0</v>
      </c>
      <c r="I5967" s="3">
        <f t="shared" si="3"/>
        <v>0.2086312989</v>
      </c>
      <c r="J5967" s="2">
        <v>2039.0</v>
      </c>
      <c r="K5967" s="3">
        <f t="shared" si="4"/>
        <v>0.1695493098</v>
      </c>
      <c r="L5967" s="2">
        <v>1502.0</v>
      </c>
      <c r="M5967" s="3">
        <f t="shared" si="5"/>
        <v>0.5986448784</v>
      </c>
      <c r="N5967" s="2">
        <v>1.46409E7</v>
      </c>
      <c r="O5967" s="4">
        <f t="shared" si="6"/>
        <v>5835.35273</v>
      </c>
      <c r="P5967" s="2">
        <v>6.0</v>
      </c>
      <c r="Q5967" s="3">
        <f t="shared" si="7"/>
        <v>0.005381165919</v>
      </c>
      <c r="R5967" s="2">
        <v>1115.0</v>
      </c>
      <c r="S5967" s="5">
        <f t="shared" si="8"/>
        <v>1</v>
      </c>
    </row>
    <row r="5968">
      <c r="A5968" s="2" t="s">
        <v>5967</v>
      </c>
      <c r="B5968" s="2">
        <v>2009.0</v>
      </c>
      <c r="C5968" s="2">
        <v>23591.0</v>
      </c>
      <c r="D5968" s="2">
        <v>9144.0</v>
      </c>
      <c r="E5968" s="3">
        <f t="shared" si="1"/>
        <v>0.4236864053</v>
      </c>
      <c r="F5968" s="2">
        <v>2559.0</v>
      </c>
      <c r="G5968" s="3">
        <f t="shared" si="2"/>
        <v>0.1185710314</v>
      </c>
      <c r="H5968" s="2">
        <v>4494.0</v>
      </c>
      <c r="I5968" s="3">
        <f t="shared" si="3"/>
        <v>0.2082290798</v>
      </c>
      <c r="J5968" s="2">
        <v>3343.0</v>
      </c>
      <c r="K5968" s="3">
        <f t="shared" si="4"/>
        <v>0.1548975999</v>
      </c>
      <c r="L5968" s="2">
        <v>2686.0</v>
      </c>
      <c r="M5968" s="3">
        <f t="shared" si="5"/>
        <v>0.5976858033</v>
      </c>
      <c r="N5968" s="2">
        <v>2.41075E7</v>
      </c>
      <c r="O5968" s="4">
        <f t="shared" si="6"/>
        <v>5364.374722</v>
      </c>
      <c r="P5968" s="2">
        <v>3.0</v>
      </c>
      <c r="Q5968" s="3">
        <f t="shared" si="7"/>
        <v>0.001493280239</v>
      </c>
      <c r="R5968" s="2">
        <v>309.0</v>
      </c>
      <c r="S5968" s="5">
        <f t="shared" si="8"/>
        <v>0.1538078646</v>
      </c>
    </row>
    <row r="5969">
      <c r="A5969" s="2" t="s">
        <v>5968</v>
      </c>
      <c r="B5969" s="2">
        <v>596.0</v>
      </c>
      <c r="C5969" s="2">
        <v>7023.0</v>
      </c>
      <c r="D5969" s="2">
        <v>2445.0</v>
      </c>
      <c r="E5969" s="3">
        <f t="shared" si="1"/>
        <v>0.3804263264</v>
      </c>
      <c r="F5969" s="2">
        <v>762.0</v>
      </c>
      <c r="G5969" s="3">
        <f t="shared" si="2"/>
        <v>0.1185623152</v>
      </c>
      <c r="H5969" s="2">
        <v>1396.0</v>
      </c>
      <c r="I5969" s="3">
        <f t="shared" si="3"/>
        <v>0.217208651</v>
      </c>
      <c r="J5969" s="2">
        <v>1182.0</v>
      </c>
      <c r="K5969" s="3">
        <f t="shared" si="4"/>
        <v>0.1839116228</v>
      </c>
      <c r="L5969" s="2">
        <v>831.0</v>
      </c>
      <c r="M5969" s="3">
        <f t="shared" si="5"/>
        <v>0.5952722063</v>
      </c>
      <c r="N5969" s="2">
        <v>7676400.0</v>
      </c>
      <c r="O5969" s="4">
        <f t="shared" si="6"/>
        <v>5498.853868</v>
      </c>
      <c r="P5969" s="2">
        <v>0.0</v>
      </c>
      <c r="Q5969" s="3">
        <f t="shared" si="7"/>
        <v>0</v>
      </c>
      <c r="R5969" s="2">
        <v>461.0</v>
      </c>
      <c r="S5969" s="5">
        <f t="shared" si="8"/>
        <v>0.7734899329</v>
      </c>
    </row>
    <row r="5970">
      <c r="A5970" s="2" t="s">
        <v>5969</v>
      </c>
      <c r="B5970" s="2">
        <v>6451.0</v>
      </c>
      <c r="C5970" s="2">
        <v>75750.0</v>
      </c>
      <c r="D5970" s="2">
        <v>24356.0</v>
      </c>
      <c r="E5970" s="3">
        <f t="shared" si="1"/>
        <v>0.3514625031</v>
      </c>
      <c r="F5970" s="2">
        <v>8216.0</v>
      </c>
      <c r="G5970" s="3">
        <f t="shared" si="2"/>
        <v>0.1185587094</v>
      </c>
      <c r="H5970" s="2">
        <v>14769.0</v>
      </c>
      <c r="I5970" s="3">
        <f t="shared" si="3"/>
        <v>0.2131199584</v>
      </c>
      <c r="J5970" s="2">
        <v>13017.0</v>
      </c>
      <c r="K5970" s="3">
        <f t="shared" si="4"/>
        <v>0.1878382083</v>
      </c>
      <c r="L5970" s="2">
        <v>8623.0</v>
      </c>
      <c r="M5970" s="3">
        <f t="shared" si="5"/>
        <v>0.5838580811</v>
      </c>
      <c r="N5970" s="2">
        <v>8.47962E7</v>
      </c>
      <c r="O5970" s="4">
        <f t="shared" si="6"/>
        <v>5741.499086</v>
      </c>
      <c r="P5970" s="2">
        <v>6.0</v>
      </c>
      <c r="Q5970" s="3">
        <f t="shared" si="7"/>
        <v>0.0009300883584</v>
      </c>
      <c r="R5970" s="2">
        <v>6451.0</v>
      </c>
      <c r="S5970" s="5">
        <f t="shared" si="8"/>
        <v>1</v>
      </c>
    </row>
    <row r="5971">
      <c r="A5971" s="2" t="s">
        <v>5970</v>
      </c>
      <c r="B5971" s="2">
        <v>574.0</v>
      </c>
      <c r="C5971" s="2">
        <v>6706.0</v>
      </c>
      <c r="D5971" s="2">
        <v>2108.0</v>
      </c>
      <c r="E5971" s="3">
        <f t="shared" si="1"/>
        <v>0.3437703849</v>
      </c>
      <c r="F5971" s="2">
        <v>727.0</v>
      </c>
      <c r="G5971" s="3">
        <f t="shared" si="2"/>
        <v>0.1185583823</v>
      </c>
      <c r="H5971" s="2">
        <v>1291.0</v>
      </c>
      <c r="I5971" s="3">
        <f t="shared" si="3"/>
        <v>0.2105348989</v>
      </c>
      <c r="J5971" s="2">
        <v>1195.0</v>
      </c>
      <c r="K5971" s="3">
        <f t="shared" si="4"/>
        <v>0.1948793216</v>
      </c>
      <c r="L5971" s="2">
        <v>758.0</v>
      </c>
      <c r="M5971" s="3">
        <f t="shared" si="5"/>
        <v>0.5871417506</v>
      </c>
      <c r="N5971" s="2">
        <v>7738800.0</v>
      </c>
      <c r="O5971" s="4">
        <f t="shared" si="6"/>
        <v>5994.422928</v>
      </c>
      <c r="P5971" s="2">
        <v>2.0</v>
      </c>
      <c r="Q5971" s="3">
        <f t="shared" si="7"/>
        <v>0.003484320557</v>
      </c>
      <c r="R5971" s="2">
        <v>574.0</v>
      </c>
      <c r="S5971" s="5">
        <f t="shared" si="8"/>
        <v>1</v>
      </c>
    </row>
    <row r="5972">
      <c r="A5972" s="2" t="s">
        <v>5971</v>
      </c>
      <c r="B5972" s="2">
        <v>53.0</v>
      </c>
      <c r="C5972" s="2">
        <v>635.0</v>
      </c>
      <c r="D5972" s="2">
        <v>230.0</v>
      </c>
      <c r="E5972" s="3">
        <f t="shared" si="1"/>
        <v>0.3951890034</v>
      </c>
      <c r="F5972" s="2">
        <v>69.0</v>
      </c>
      <c r="G5972" s="3">
        <f t="shared" si="2"/>
        <v>0.118556701</v>
      </c>
      <c r="H5972" s="2">
        <v>116.0</v>
      </c>
      <c r="I5972" s="3">
        <f t="shared" si="3"/>
        <v>0.1993127148</v>
      </c>
      <c r="J5972" s="2">
        <v>115.0</v>
      </c>
      <c r="K5972" s="3">
        <f t="shared" si="4"/>
        <v>0.1975945017</v>
      </c>
      <c r="L5972" s="2">
        <v>74.0</v>
      </c>
      <c r="M5972" s="3">
        <f t="shared" si="5"/>
        <v>0.6379310345</v>
      </c>
      <c r="N5972" s="2">
        <v>553500.0</v>
      </c>
      <c r="O5972" s="4">
        <f t="shared" si="6"/>
        <v>4771.551724</v>
      </c>
      <c r="P5972" s="2">
        <v>0.0</v>
      </c>
      <c r="Q5972" s="3">
        <f t="shared" si="7"/>
        <v>0</v>
      </c>
      <c r="R5972" s="2">
        <v>53.0</v>
      </c>
      <c r="S5972" s="5">
        <f t="shared" si="8"/>
        <v>1</v>
      </c>
    </row>
    <row r="5973">
      <c r="A5973" s="2" t="s">
        <v>5972</v>
      </c>
      <c r="B5973" s="2">
        <v>125.0</v>
      </c>
      <c r="C5973" s="2">
        <v>1483.0</v>
      </c>
      <c r="D5973" s="2">
        <v>417.0</v>
      </c>
      <c r="E5973" s="3">
        <f t="shared" si="1"/>
        <v>0.3070692194</v>
      </c>
      <c r="F5973" s="2">
        <v>161.0</v>
      </c>
      <c r="G5973" s="3">
        <f t="shared" si="2"/>
        <v>0.118556701</v>
      </c>
      <c r="H5973" s="2">
        <v>269.0</v>
      </c>
      <c r="I5973" s="3">
        <f t="shared" si="3"/>
        <v>0.1980854197</v>
      </c>
      <c r="J5973" s="2">
        <v>238.0</v>
      </c>
      <c r="K5973" s="3">
        <f t="shared" si="4"/>
        <v>0.175257732</v>
      </c>
      <c r="L5973" s="2">
        <v>158.0</v>
      </c>
      <c r="M5973" s="3">
        <f t="shared" si="5"/>
        <v>0.5873605948</v>
      </c>
      <c r="N5973" s="2">
        <v>1480100.0</v>
      </c>
      <c r="O5973" s="4">
        <f t="shared" si="6"/>
        <v>5502.230483</v>
      </c>
      <c r="P5973" s="2">
        <v>0.0</v>
      </c>
      <c r="Q5973" s="3">
        <f t="shared" si="7"/>
        <v>0</v>
      </c>
      <c r="R5973" s="2">
        <v>125.0</v>
      </c>
      <c r="S5973" s="5">
        <f t="shared" si="8"/>
        <v>1</v>
      </c>
    </row>
    <row r="5974">
      <c r="A5974" s="2" t="s">
        <v>5973</v>
      </c>
      <c r="B5974" s="2">
        <v>18.0</v>
      </c>
      <c r="C5974" s="2">
        <v>212.0</v>
      </c>
      <c r="D5974" s="2">
        <v>73.0</v>
      </c>
      <c r="E5974" s="3">
        <f t="shared" si="1"/>
        <v>0.3762886598</v>
      </c>
      <c r="F5974" s="2">
        <v>23.0</v>
      </c>
      <c r="G5974" s="3">
        <f t="shared" si="2"/>
        <v>0.118556701</v>
      </c>
      <c r="H5974" s="2">
        <v>41.0</v>
      </c>
      <c r="I5974" s="3">
        <f t="shared" si="3"/>
        <v>0.2113402062</v>
      </c>
      <c r="J5974" s="2">
        <v>32.0</v>
      </c>
      <c r="K5974" s="3">
        <f t="shared" si="4"/>
        <v>0.1649484536</v>
      </c>
      <c r="L5974" s="2">
        <v>26.0</v>
      </c>
      <c r="M5974" s="3">
        <f t="shared" si="5"/>
        <v>0.6341463415</v>
      </c>
      <c r="N5974" s="2">
        <v>227000.0</v>
      </c>
      <c r="O5974" s="4">
        <f t="shared" si="6"/>
        <v>5536.585366</v>
      </c>
      <c r="P5974" s="2">
        <v>0.0</v>
      </c>
      <c r="Q5974" s="3">
        <f t="shared" si="7"/>
        <v>0</v>
      </c>
      <c r="R5974" s="2">
        <v>0.0</v>
      </c>
      <c r="S5974" s="5">
        <f t="shared" si="8"/>
        <v>0</v>
      </c>
    </row>
    <row r="5975">
      <c r="A5975" s="2" t="s">
        <v>5974</v>
      </c>
      <c r="B5975" s="2">
        <v>2049.0</v>
      </c>
      <c r="C5975" s="2">
        <v>24174.0</v>
      </c>
      <c r="D5975" s="2">
        <v>7526.0</v>
      </c>
      <c r="E5975" s="3">
        <f t="shared" si="1"/>
        <v>0.3401581921</v>
      </c>
      <c r="F5975" s="2">
        <v>2623.0</v>
      </c>
      <c r="G5975" s="3">
        <f t="shared" si="2"/>
        <v>0.1185536723</v>
      </c>
      <c r="H5975" s="2">
        <v>4610.0</v>
      </c>
      <c r="I5975" s="3">
        <f t="shared" si="3"/>
        <v>0.2083615819</v>
      </c>
      <c r="J5975" s="2">
        <v>3898.0</v>
      </c>
      <c r="K5975" s="3">
        <f t="shared" si="4"/>
        <v>0.176180791</v>
      </c>
      <c r="L5975" s="2">
        <v>2680.0</v>
      </c>
      <c r="M5975" s="3">
        <f t="shared" si="5"/>
        <v>0.5813449024</v>
      </c>
      <c r="N5975" s="2">
        <v>2.70825E7</v>
      </c>
      <c r="O5975" s="4">
        <f t="shared" si="6"/>
        <v>5874.72885</v>
      </c>
      <c r="P5975" s="2">
        <v>6.0</v>
      </c>
      <c r="Q5975" s="3">
        <f t="shared" si="7"/>
        <v>0.002928257687</v>
      </c>
      <c r="R5975" s="2">
        <v>1317.0</v>
      </c>
      <c r="S5975" s="5">
        <f t="shared" si="8"/>
        <v>0.6427525622</v>
      </c>
    </row>
    <row r="5976">
      <c r="A5976" s="2" t="s">
        <v>5975</v>
      </c>
      <c r="B5976" s="2">
        <v>1788.0</v>
      </c>
      <c r="C5976" s="2">
        <v>21105.0</v>
      </c>
      <c r="D5976" s="2">
        <v>6832.0</v>
      </c>
      <c r="E5976" s="3">
        <f t="shared" si="1"/>
        <v>0.3536781074</v>
      </c>
      <c r="F5976" s="2">
        <v>2290.0</v>
      </c>
      <c r="G5976" s="3">
        <f t="shared" si="2"/>
        <v>0.1185484288</v>
      </c>
      <c r="H5976" s="2">
        <v>4109.0</v>
      </c>
      <c r="I5976" s="3">
        <f t="shared" si="3"/>
        <v>0.2127141896</v>
      </c>
      <c r="J5976" s="2">
        <v>3179.0</v>
      </c>
      <c r="K5976" s="3">
        <f t="shared" si="4"/>
        <v>0.1645700678</v>
      </c>
      <c r="L5976" s="2">
        <v>2434.0</v>
      </c>
      <c r="M5976" s="3">
        <f t="shared" si="5"/>
        <v>0.592358238</v>
      </c>
      <c r="N5976" s="2">
        <v>2.21586E7</v>
      </c>
      <c r="O5976" s="4">
        <f t="shared" si="6"/>
        <v>5392.698954</v>
      </c>
      <c r="P5976" s="2">
        <v>4.0</v>
      </c>
      <c r="Q5976" s="3">
        <f t="shared" si="7"/>
        <v>0.002237136465</v>
      </c>
      <c r="R5976" s="2">
        <v>1391.0</v>
      </c>
      <c r="S5976" s="5">
        <f t="shared" si="8"/>
        <v>0.7779642058</v>
      </c>
    </row>
    <row r="5977">
      <c r="A5977" s="2" t="s">
        <v>5976</v>
      </c>
      <c r="B5977" s="2">
        <v>1156.0</v>
      </c>
      <c r="C5977" s="2">
        <v>13649.0</v>
      </c>
      <c r="D5977" s="2">
        <v>4613.0</v>
      </c>
      <c r="E5977" s="3">
        <f t="shared" si="1"/>
        <v>0.3692467782</v>
      </c>
      <c r="F5977" s="2">
        <v>1481.0</v>
      </c>
      <c r="G5977" s="3">
        <f t="shared" si="2"/>
        <v>0.118546386</v>
      </c>
      <c r="H5977" s="2">
        <v>2645.0</v>
      </c>
      <c r="I5977" s="3">
        <f t="shared" si="3"/>
        <v>0.2117185624</v>
      </c>
      <c r="J5977" s="2">
        <v>1967.0</v>
      </c>
      <c r="K5977" s="3">
        <f t="shared" si="4"/>
        <v>0.157448171</v>
      </c>
      <c r="L5977" s="2">
        <v>1605.0</v>
      </c>
      <c r="M5977" s="3">
        <f t="shared" si="5"/>
        <v>0.606805293</v>
      </c>
      <c r="N5977" s="2">
        <v>1.44688E7</v>
      </c>
      <c r="O5977" s="4">
        <f t="shared" si="6"/>
        <v>5470.245747</v>
      </c>
      <c r="P5977" s="2">
        <v>3.0</v>
      </c>
      <c r="Q5977" s="3">
        <f t="shared" si="7"/>
        <v>0.002595155709</v>
      </c>
      <c r="R5977" s="2">
        <v>0.0</v>
      </c>
      <c r="S5977" s="5">
        <f t="shared" si="8"/>
        <v>0</v>
      </c>
    </row>
    <row r="5978">
      <c r="A5978" s="2" t="s">
        <v>5977</v>
      </c>
      <c r="B5978" s="2">
        <v>1994.0</v>
      </c>
      <c r="C5978" s="2">
        <v>23540.0</v>
      </c>
      <c r="D5978" s="2">
        <v>7715.0</v>
      </c>
      <c r="E5978" s="3">
        <f t="shared" si="1"/>
        <v>0.3580711037</v>
      </c>
      <c r="F5978" s="2">
        <v>2554.0</v>
      </c>
      <c r="G5978" s="3">
        <f t="shared" si="2"/>
        <v>0.1185370834</v>
      </c>
      <c r="H5978" s="2">
        <v>4737.0</v>
      </c>
      <c r="I5978" s="3">
        <f t="shared" si="3"/>
        <v>0.2198551935</v>
      </c>
      <c r="J5978" s="2">
        <v>3456.0</v>
      </c>
      <c r="K5978" s="3">
        <f t="shared" si="4"/>
        <v>0.1604010025</v>
      </c>
      <c r="L5978" s="2">
        <v>2915.0</v>
      </c>
      <c r="M5978" s="3">
        <f t="shared" si="5"/>
        <v>0.6153683766</v>
      </c>
      <c r="N5978" s="2">
        <v>2.5007E7</v>
      </c>
      <c r="O5978" s="4">
        <f t="shared" si="6"/>
        <v>5279.079586</v>
      </c>
      <c r="P5978" s="2">
        <v>3.0</v>
      </c>
      <c r="Q5978" s="3">
        <f t="shared" si="7"/>
        <v>0.001504513541</v>
      </c>
      <c r="R5978" s="2">
        <v>1994.0</v>
      </c>
      <c r="S5978" s="5">
        <f t="shared" si="8"/>
        <v>1</v>
      </c>
    </row>
    <row r="5979">
      <c r="A5979" s="2" t="s">
        <v>5978</v>
      </c>
      <c r="B5979" s="2">
        <v>210.0</v>
      </c>
      <c r="C5979" s="2">
        <v>2471.0</v>
      </c>
      <c r="D5979" s="2">
        <v>799.0</v>
      </c>
      <c r="E5979" s="3">
        <f t="shared" si="1"/>
        <v>0.3533834586</v>
      </c>
      <c r="F5979" s="2">
        <v>268.0</v>
      </c>
      <c r="G5979" s="3">
        <f t="shared" si="2"/>
        <v>0.1185316232</v>
      </c>
      <c r="H5979" s="2">
        <v>443.0</v>
      </c>
      <c r="I5979" s="3">
        <f t="shared" si="3"/>
        <v>0.195931004</v>
      </c>
      <c r="J5979" s="2">
        <v>354.0</v>
      </c>
      <c r="K5979" s="3">
        <f t="shared" si="4"/>
        <v>0.1565678903</v>
      </c>
      <c r="L5979" s="2">
        <v>247.0</v>
      </c>
      <c r="M5979" s="3">
        <f t="shared" si="5"/>
        <v>0.5575620767</v>
      </c>
      <c r="N5979" s="2">
        <v>2305600.0</v>
      </c>
      <c r="O5979" s="4">
        <f t="shared" si="6"/>
        <v>5204.514673</v>
      </c>
      <c r="P5979" s="2">
        <v>0.0</v>
      </c>
      <c r="Q5979" s="3">
        <f t="shared" si="7"/>
        <v>0</v>
      </c>
      <c r="R5979" s="2">
        <v>210.0</v>
      </c>
      <c r="S5979" s="5">
        <f t="shared" si="8"/>
        <v>1</v>
      </c>
    </row>
    <row r="5980">
      <c r="A5980" s="2" t="s">
        <v>5979</v>
      </c>
      <c r="B5980" s="2">
        <v>159.0</v>
      </c>
      <c r="C5980" s="2">
        <v>1897.0</v>
      </c>
      <c r="D5980" s="2">
        <v>548.0</v>
      </c>
      <c r="E5980" s="3">
        <f t="shared" si="1"/>
        <v>0.3153049482</v>
      </c>
      <c r="F5980" s="2">
        <v>206.0</v>
      </c>
      <c r="G5980" s="3">
        <f t="shared" si="2"/>
        <v>0.1185270426</v>
      </c>
      <c r="H5980" s="2">
        <v>359.0</v>
      </c>
      <c r="I5980" s="3">
        <f t="shared" si="3"/>
        <v>0.2065592635</v>
      </c>
      <c r="J5980" s="2">
        <v>286.0</v>
      </c>
      <c r="K5980" s="3">
        <f t="shared" si="4"/>
        <v>0.164556962</v>
      </c>
      <c r="L5980" s="2">
        <v>220.0</v>
      </c>
      <c r="M5980" s="3">
        <f t="shared" si="5"/>
        <v>0.6128133705</v>
      </c>
      <c r="N5980" s="2">
        <v>1912500.0</v>
      </c>
      <c r="O5980" s="4">
        <f t="shared" si="6"/>
        <v>5327.29805</v>
      </c>
      <c r="P5980" s="2">
        <v>1.0</v>
      </c>
      <c r="Q5980" s="3">
        <f t="shared" si="7"/>
        <v>0.006289308176</v>
      </c>
      <c r="R5980" s="2">
        <v>159.0</v>
      </c>
      <c r="S5980" s="5">
        <f t="shared" si="8"/>
        <v>1</v>
      </c>
    </row>
    <row r="5981">
      <c r="A5981" s="2" t="s">
        <v>5980</v>
      </c>
      <c r="B5981" s="2">
        <v>2143.0</v>
      </c>
      <c r="C5981" s="2">
        <v>24975.0</v>
      </c>
      <c r="D5981" s="2">
        <v>8554.0</v>
      </c>
      <c r="E5981" s="3">
        <f t="shared" si="1"/>
        <v>0.3746496146</v>
      </c>
      <c r="F5981" s="2">
        <v>2706.0</v>
      </c>
      <c r="G5981" s="3">
        <f t="shared" si="2"/>
        <v>0.1185178697</v>
      </c>
      <c r="H5981" s="2">
        <v>4781.0</v>
      </c>
      <c r="I5981" s="3">
        <f t="shared" si="3"/>
        <v>0.209399089</v>
      </c>
      <c r="J5981" s="2">
        <v>3689.0</v>
      </c>
      <c r="K5981" s="3">
        <f t="shared" si="4"/>
        <v>0.1615714786</v>
      </c>
      <c r="L5981" s="2">
        <v>2902.0</v>
      </c>
      <c r="M5981" s="3">
        <f t="shared" si="5"/>
        <v>0.6069859862</v>
      </c>
      <c r="N5981" s="2">
        <v>2.70368E7</v>
      </c>
      <c r="O5981" s="4">
        <f t="shared" si="6"/>
        <v>5655.051245</v>
      </c>
      <c r="P5981" s="2">
        <v>13.0</v>
      </c>
      <c r="Q5981" s="3">
        <f t="shared" si="7"/>
        <v>0.006066262249</v>
      </c>
      <c r="R5981" s="2">
        <v>2143.0</v>
      </c>
      <c r="S5981" s="5">
        <f t="shared" si="8"/>
        <v>1</v>
      </c>
    </row>
    <row r="5982">
      <c r="A5982" s="2" t="s">
        <v>5981</v>
      </c>
      <c r="B5982" s="2">
        <v>326.0</v>
      </c>
      <c r="C5982" s="2">
        <v>3853.0</v>
      </c>
      <c r="D5982" s="2">
        <v>1117.0</v>
      </c>
      <c r="E5982" s="3">
        <f t="shared" si="1"/>
        <v>0.3166997448</v>
      </c>
      <c r="F5982" s="2">
        <v>418.0</v>
      </c>
      <c r="G5982" s="3">
        <f t="shared" si="2"/>
        <v>0.1185143181</v>
      </c>
      <c r="H5982" s="2">
        <v>739.0</v>
      </c>
      <c r="I5982" s="3">
        <f t="shared" si="3"/>
        <v>0.2095265098</v>
      </c>
      <c r="J5982" s="2">
        <v>586.0</v>
      </c>
      <c r="K5982" s="3">
        <f t="shared" si="4"/>
        <v>0.166146867</v>
      </c>
      <c r="L5982" s="2">
        <v>432.0</v>
      </c>
      <c r="M5982" s="3">
        <f t="shared" si="5"/>
        <v>0.5845737483</v>
      </c>
      <c r="N5982" s="2">
        <v>4165100.0</v>
      </c>
      <c r="O5982" s="4">
        <f t="shared" si="6"/>
        <v>5636.129905</v>
      </c>
      <c r="P5982" s="2">
        <v>0.0</v>
      </c>
      <c r="Q5982" s="3">
        <f t="shared" si="7"/>
        <v>0</v>
      </c>
      <c r="R5982" s="2">
        <v>326.0</v>
      </c>
      <c r="S5982" s="5">
        <f t="shared" si="8"/>
        <v>1</v>
      </c>
    </row>
    <row r="5983">
      <c r="A5983" s="2" t="s">
        <v>5982</v>
      </c>
      <c r="B5983" s="2">
        <v>107.0</v>
      </c>
      <c r="C5983" s="2">
        <v>1263.0</v>
      </c>
      <c r="D5983" s="2">
        <v>413.0</v>
      </c>
      <c r="E5983" s="3">
        <f t="shared" si="1"/>
        <v>0.357266436</v>
      </c>
      <c r="F5983" s="2">
        <v>137.0</v>
      </c>
      <c r="G5983" s="3">
        <f t="shared" si="2"/>
        <v>0.1185121107</v>
      </c>
      <c r="H5983" s="2">
        <v>227.0</v>
      </c>
      <c r="I5983" s="3">
        <f t="shared" si="3"/>
        <v>0.196366782</v>
      </c>
      <c r="J5983" s="2">
        <v>214.0</v>
      </c>
      <c r="K5983" s="3">
        <f t="shared" si="4"/>
        <v>0.1851211073</v>
      </c>
      <c r="L5983" s="2">
        <v>138.0</v>
      </c>
      <c r="M5983" s="3">
        <f t="shared" si="5"/>
        <v>0.6079295154</v>
      </c>
      <c r="N5983" s="2">
        <v>1275500.0</v>
      </c>
      <c r="O5983" s="4">
        <f t="shared" si="6"/>
        <v>5618.942731</v>
      </c>
      <c r="P5983" s="2">
        <v>1.0</v>
      </c>
      <c r="Q5983" s="3">
        <f t="shared" si="7"/>
        <v>0.009345794393</v>
      </c>
      <c r="R5983" s="2">
        <v>107.0</v>
      </c>
      <c r="S5983" s="5">
        <f t="shared" si="8"/>
        <v>1</v>
      </c>
    </row>
    <row r="5984">
      <c r="A5984" s="2" t="s">
        <v>5983</v>
      </c>
      <c r="B5984" s="2">
        <v>1887.0</v>
      </c>
      <c r="C5984" s="2">
        <v>22417.0</v>
      </c>
      <c r="D5984" s="2">
        <v>7724.0</v>
      </c>
      <c r="E5984" s="3">
        <f t="shared" si="1"/>
        <v>0.3762299075</v>
      </c>
      <c r="F5984" s="2">
        <v>2433.0</v>
      </c>
      <c r="G5984" s="3">
        <f t="shared" si="2"/>
        <v>0.1185094983</v>
      </c>
      <c r="H5984" s="2">
        <v>4360.0</v>
      </c>
      <c r="I5984" s="3">
        <f t="shared" si="3"/>
        <v>0.2123721383</v>
      </c>
      <c r="J5984" s="2">
        <v>3546.0</v>
      </c>
      <c r="K5984" s="3">
        <f t="shared" si="4"/>
        <v>0.1727228446</v>
      </c>
      <c r="L5984" s="2">
        <v>2569.0</v>
      </c>
      <c r="M5984" s="3">
        <f t="shared" si="5"/>
        <v>0.5892201835</v>
      </c>
      <c r="N5984" s="2">
        <v>2.34555E7</v>
      </c>
      <c r="O5984" s="4">
        <f t="shared" si="6"/>
        <v>5379.701835</v>
      </c>
      <c r="P5984" s="2">
        <v>5.0</v>
      </c>
      <c r="Q5984" s="3">
        <f t="shared" si="7"/>
        <v>0.002649708532</v>
      </c>
      <c r="R5984" s="2">
        <v>1887.0</v>
      </c>
      <c r="S5984" s="5">
        <f t="shared" si="8"/>
        <v>1</v>
      </c>
    </row>
    <row r="5985">
      <c r="A5985" s="2" t="s">
        <v>5984</v>
      </c>
      <c r="B5985" s="2">
        <v>1530.0</v>
      </c>
      <c r="C5985" s="2">
        <v>17976.0</v>
      </c>
      <c r="D5985" s="2">
        <v>5299.0</v>
      </c>
      <c r="E5985" s="3">
        <f t="shared" si="1"/>
        <v>0.3222060075</v>
      </c>
      <c r="F5985" s="2">
        <v>1949.0</v>
      </c>
      <c r="G5985" s="3">
        <f t="shared" si="2"/>
        <v>0.11850906</v>
      </c>
      <c r="H5985" s="2">
        <v>3246.0</v>
      </c>
      <c r="I5985" s="3">
        <f t="shared" si="3"/>
        <v>0.1973732215</v>
      </c>
      <c r="J5985" s="2">
        <v>2605.0</v>
      </c>
      <c r="K5985" s="3">
        <f t="shared" si="4"/>
        <v>0.1583971786</v>
      </c>
      <c r="L5985" s="2">
        <v>1930.0</v>
      </c>
      <c r="M5985" s="3">
        <f t="shared" si="5"/>
        <v>0.5945779421</v>
      </c>
      <c r="N5985" s="2">
        <v>1.87952E7</v>
      </c>
      <c r="O5985" s="4">
        <f t="shared" si="6"/>
        <v>5790.264941</v>
      </c>
      <c r="P5985" s="2">
        <v>4.0</v>
      </c>
      <c r="Q5985" s="3">
        <f t="shared" si="7"/>
        <v>0.002614379085</v>
      </c>
      <c r="R5985" s="2">
        <v>1530.0</v>
      </c>
      <c r="S5985" s="5">
        <f t="shared" si="8"/>
        <v>1</v>
      </c>
    </row>
    <row r="5986">
      <c r="A5986" s="2" t="s">
        <v>5985</v>
      </c>
      <c r="B5986" s="2">
        <v>115.0</v>
      </c>
      <c r="C5986" s="2">
        <v>1347.0</v>
      </c>
      <c r="D5986" s="2">
        <v>418.0</v>
      </c>
      <c r="E5986" s="3">
        <f t="shared" si="1"/>
        <v>0.3392857143</v>
      </c>
      <c r="F5986" s="2">
        <v>146.0</v>
      </c>
      <c r="G5986" s="3">
        <f t="shared" si="2"/>
        <v>0.1185064935</v>
      </c>
      <c r="H5986" s="2">
        <v>248.0</v>
      </c>
      <c r="I5986" s="3">
        <f t="shared" si="3"/>
        <v>0.2012987013</v>
      </c>
      <c r="J5986" s="2">
        <v>207.0</v>
      </c>
      <c r="K5986" s="3">
        <f t="shared" si="4"/>
        <v>0.1680194805</v>
      </c>
      <c r="L5986" s="2">
        <v>164.0</v>
      </c>
      <c r="M5986" s="3">
        <f t="shared" si="5"/>
        <v>0.6612903226</v>
      </c>
      <c r="N5986" s="2">
        <v>1483900.0</v>
      </c>
      <c r="O5986" s="4">
        <f t="shared" si="6"/>
        <v>5983.467742</v>
      </c>
      <c r="P5986" s="2">
        <v>0.0</v>
      </c>
      <c r="Q5986" s="3">
        <f t="shared" si="7"/>
        <v>0</v>
      </c>
      <c r="R5986" s="2">
        <v>115.0</v>
      </c>
      <c r="S5986" s="5">
        <f t="shared" si="8"/>
        <v>1</v>
      </c>
    </row>
    <row r="5987">
      <c r="A5987" s="2" t="s">
        <v>5986</v>
      </c>
      <c r="B5987" s="2">
        <v>2251.0</v>
      </c>
      <c r="C5987" s="2">
        <v>26495.0</v>
      </c>
      <c r="D5987" s="2">
        <v>9569.0</v>
      </c>
      <c r="E5987" s="3">
        <f t="shared" si="1"/>
        <v>0.3946955948</v>
      </c>
      <c r="F5987" s="2">
        <v>2873.0</v>
      </c>
      <c r="G5987" s="3">
        <f t="shared" si="2"/>
        <v>0.1185035473</v>
      </c>
      <c r="H5987" s="2">
        <v>5505.0</v>
      </c>
      <c r="I5987" s="3">
        <f t="shared" si="3"/>
        <v>0.2270664907</v>
      </c>
      <c r="J5987" s="2">
        <v>4287.0</v>
      </c>
      <c r="K5987" s="3">
        <f t="shared" si="4"/>
        <v>0.1768272562</v>
      </c>
      <c r="L5987" s="2">
        <v>3351.0</v>
      </c>
      <c r="M5987" s="3">
        <f t="shared" si="5"/>
        <v>0.608719346</v>
      </c>
      <c r="N5987" s="2">
        <v>2.83274E7</v>
      </c>
      <c r="O5987" s="4">
        <f t="shared" si="6"/>
        <v>5145.758401</v>
      </c>
      <c r="P5987" s="2">
        <v>2.0</v>
      </c>
      <c r="Q5987" s="3">
        <f t="shared" si="7"/>
        <v>0.0008884940027</v>
      </c>
      <c r="R5987" s="2">
        <v>2251.0</v>
      </c>
      <c r="S5987" s="5">
        <f t="shared" si="8"/>
        <v>1</v>
      </c>
    </row>
    <row r="5988">
      <c r="A5988" s="2" t="s">
        <v>5987</v>
      </c>
      <c r="B5988" s="2">
        <v>638.0</v>
      </c>
      <c r="C5988" s="2">
        <v>7558.0</v>
      </c>
      <c r="D5988" s="2">
        <v>2627.0</v>
      </c>
      <c r="E5988" s="3">
        <f t="shared" si="1"/>
        <v>0.3796242775</v>
      </c>
      <c r="F5988" s="2">
        <v>820.0</v>
      </c>
      <c r="G5988" s="3">
        <f t="shared" si="2"/>
        <v>0.1184971098</v>
      </c>
      <c r="H5988" s="2">
        <v>1447.0</v>
      </c>
      <c r="I5988" s="3">
        <f t="shared" si="3"/>
        <v>0.2091040462</v>
      </c>
      <c r="J5988" s="2">
        <v>947.0</v>
      </c>
      <c r="K5988" s="3">
        <f t="shared" si="4"/>
        <v>0.136849711</v>
      </c>
      <c r="L5988" s="2">
        <v>857.0</v>
      </c>
      <c r="M5988" s="3">
        <f t="shared" si="5"/>
        <v>0.592259848</v>
      </c>
      <c r="N5988" s="2">
        <v>7546900.0</v>
      </c>
      <c r="O5988" s="4">
        <f t="shared" si="6"/>
        <v>5215.549413</v>
      </c>
      <c r="P5988" s="2">
        <v>2.0</v>
      </c>
      <c r="Q5988" s="3">
        <f t="shared" si="7"/>
        <v>0.003134796238</v>
      </c>
      <c r="R5988" s="2">
        <v>0.0</v>
      </c>
      <c r="S5988" s="5">
        <f t="shared" si="8"/>
        <v>0</v>
      </c>
    </row>
    <row r="5989">
      <c r="A5989" s="2" t="s">
        <v>5988</v>
      </c>
      <c r="B5989" s="2">
        <v>342.0</v>
      </c>
      <c r="C5989" s="2">
        <v>4030.0</v>
      </c>
      <c r="D5989" s="2">
        <v>1182.0</v>
      </c>
      <c r="E5989" s="3">
        <f t="shared" si="1"/>
        <v>0.3204989154</v>
      </c>
      <c r="F5989" s="2">
        <v>437.0</v>
      </c>
      <c r="G5989" s="3">
        <f t="shared" si="2"/>
        <v>0.1184924078</v>
      </c>
      <c r="H5989" s="2">
        <v>749.0</v>
      </c>
      <c r="I5989" s="3">
        <f t="shared" si="3"/>
        <v>0.2030911063</v>
      </c>
      <c r="J5989" s="2">
        <v>652.0</v>
      </c>
      <c r="K5989" s="3">
        <f t="shared" si="4"/>
        <v>0.1767895879</v>
      </c>
      <c r="L5989" s="2">
        <v>437.0</v>
      </c>
      <c r="M5989" s="3">
        <f t="shared" si="5"/>
        <v>0.5834445928</v>
      </c>
      <c r="N5989" s="2">
        <v>4161400.0</v>
      </c>
      <c r="O5989" s="4">
        <f t="shared" si="6"/>
        <v>5555.941255</v>
      </c>
      <c r="P5989" s="2">
        <v>0.0</v>
      </c>
      <c r="Q5989" s="3">
        <f t="shared" si="7"/>
        <v>0</v>
      </c>
      <c r="R5989" s="2">
        <v>256.0</v>
      </c>
      <c r="S5989" s="5">
        <f t="shared" si="8"/>
        <v>0.7485380117</v>
      </c>
    </row>
    <row r="5990">
      <c r="A5990" s="2" t="s">
        <v>5989</v>
      </c>
      <c r="B5990" s="2">
        <v>4353.0</v>
      </c>
      <c r="C5990" s="2">
        <v>50746.0</v>
      </c>
      <c r="D5990" s="2">
        <v>11477.0</v>
      </c>
      <c r="E5990" s="3">
        <f t="shared" si="1"/>
        <v>0.2473864592</v>
      </c>
      <c r="F5990" s="2">
        <v>5497.0</v>
      </c>
      <c r="G5990" s="3">
        <f t="shared" si="2"/>
        <v>0.1184877029</v>
      </c>
      <c r="H5990" s="2">
        <v>9281.0</v>
      </c>
      <c r="I5990" s="3">
        <f t="shared" si="3"/>
        <v>0.2000517319</v>
      </c>
      <c r="J5990" s="2">
        <v>7591.0</v>
      </c>
      <c r="K5990" s="3">
        <f t="shared" si="4"/>
        <v>0.1636238226</v>
      </c>
      <c r="L5990" s="2">
        <v>5558.0</v>
      </c>
      <c r="M5990" s="3">
        <f t="shared" si="5"/>
        <v>0.5988578817</v>
      </c>
      <c r="N5990" s="2">
        <v>5.68177E7</v>
      </c>
      <c r="O5990" s="4">
        <f t="shared" si="6"/>
        <v>6121.937291</v>
      </c>
      <c r="P5990" s="2">
        <v>14.0</v>
      </c>
      <c r="Q5990" s="3">
        <f t="shared" si="7"/>
        <v>0.003216172754</v>
      </c>
      <c r="R5990" s="2">
        <v>4353.0</v>
      </c>
      <c r="S5990" s="5">
        <f t="shared" si="8"/>
        <v>1</v>
      </c>
    </row>
    <row r="5991">
      <c r="A5991" s="2" t="s">
        <v>5990</v>
      </c>
      <c r="B5991" s="2">
        <v>136.0</v>
      </c>
      <c r="C5991" s="2">
        <v>1537.0</v>
      </c>
      <c r="D5991" s="2">
        <v>355.0</v>
      </c>
      <c r="E5991" s="3">
        <f t="shared" si="1"/>
        <v>0.2533904354</v>
      </c>
      <c r="F5991" s="2">
        <v>166.0</v>
      </c>
      <c r="G5991" s="3">
        <f t="shared" si="2"/>
        <v>0.1184867951</v>
      </c>
      <c r="H5991" s="2">
        <v>293.0</v>
      </c>
      <c r="I5991" s="3">
        <f t="shared" si="3"/>
        <v>0.2091363312</v>
      </c>
      <c r="J5991" s="2">
        <v>255.0</v>
      </c>
      <c r="K5991" s="3">
        <f t="shared" si="4"/>
        <v>0.182012848</v>
      </c>
      <c r="L5991" s="2">
        <v>192.0</v>
      </c>
      <c r="M5991" s="3">
        <f t="shared" si="5"/>
        <v>0.6552901024</v>
      </c>
      <c r="N5991" s="2">
        <v>1727100.0</v>
      </c>
      <c r="O5991" s="4">
        <f t="shared" si="6"/>
        <v>5894.539249</v>
      </c>
      <c r="P5991" s="2">
        <v>0.0</v>
      </c>
      <c r="Q5991" s="3">
        <f t="shared" si="7"/>
        <v>0</v>
      </c>
      <c r="R5991" s="2">
        <v>136.0</v>
      </c>
      <c r="S5991" s="5">
        <f t="shared" si="8"/>
        <v>1</v>
      </c>
    </row>
    <row r="5992">
      <c r="A5992" s="2" t="s">
        <v>5991</v>
      </c>
      <c r="B5992" s="2">
        <v>19.0</v>
      </c>
      <c r="C5992" s="2">
        <v>230.0</v>
      </c>
      <c r="D5992" s="2">
        <v>64.0</v>
      </c>
      <c r="E5992" s="3">
        <f t="shared" si="1"/>
        <v>0.3033175355</v>
      </c>
      <c r="F5992" s="2">
        <v>25.0</v>
      </c>
      <c r="G5992" s="3">
        <f t="shared" si="2"/>
        <v>0.1184834123</v>
      </c>
      <c r="H5992" s="2">
        <v>40.0</v>
      </c>
      <c r="I5992" s="3">
        <f t="shared" si="3"/>
        <v>0.1895734597</v>
      </c>
      <c r="J5992" s="2">
        <v>32.0</v>
      </c>
      <c r="K5992" s="3">
        <f t="shared" si="4"/>
        <v>0.1516587678</v>
      </c>
      <c r="L5992" s="2">
        <v>25.0</v>
      </c>
      <c r="M5992" s="3">
        <f t="shared" si="5"/>
        <v>0.625</v>
      </c>
      <c r="N5992" s="2">
        <v>158100.0</v>
      </c>
      <c r="O5992" s="4">
        <f t="shared" si="6"/>
        <v>3952.5</v>
      </c>
      <c r="P5992" s="2">
        <v>0.0</v>
      </c>
      <c r="Q5992" s="3">
        <f t="shared" si="7"/>
        <v>0</v>
      </c>
      <c r="R5992" s="2">
        <v>0.0</v>
      </c>
      <c r="S5992" s="5">
        <f t="shared" si="8"/>
        <v>0</v>
      </c>
    </row>
    <row r="5993">
      <c r="A5993" s="2" t="s">
        <v>5992</v>
      </c>
      <c r="B5993" s="2">
        <v>3479.0</v>
      </c>
      <c r="C5993" s="2">
        <v>40540.0</v>
      </c>
      <c r="D5993" s="2">
        <v>12508.0</v>
      </c>
      <c r="E5993" s="3">
        <f t="shared" si="1"/>
        <v>0.337497639</v>
      </c>
      <c r="F5993" s="2">
        <v>4391.0</v>
      </c>
      <c r="G5993" s="3">
        <f t="shared" si="2"/>
        <v>0.1184803432</v>
      </c>
      <c r="H5993" s="2">
        <v>8083.0</v>
      </c>
      <c r="I5993" s="3">
        <f t="shared" si="3"/>
        <v>0.2180998894</v>
      </c>
      <c r="J5993" s="2">
        <v>6407.0</v>
      </c>
      <c r="K5993" s="3">
        <f t="shared" si="4"/>
        <v>0.1728771485</v>
      </c>
      <c r="L5993" s="2">
        <v>4855.0</v>
      </c>
      <c r="M5993" s="3">
        <f t="shared" si="5"/>
        <v>0.6006433255</v>
      </c>
      <c r="N5993" s="2">
        <v>4.51341E7</v>
      </c>
      <c r="O5993" s="4">
        <f t="shared" si="6"/>
        <v>5583.830261</v>
      </c>
      <c r="P5993" s="2">
        <v>9.0</v>
      </c>
      <c r="Q5993" s="3">
        <f t="shared" si="7"/>
        <v>0.002586950273</v>
      </c>
      <c r="R5993" s="2">
        <v>3479.0</v>
      </c>
      <c r="S5993" s="5">
        <f t="shared" si="8"/>
        <v>1</v>
      </c>
    </row>
    <row r="5994">
      <c r="A5994" s="2" t="s">
        <v>5993</v>
      </c>
      <c r="B5994" s="2">
        <v>486.0</v>
      </c>
      <c r="C5994" s="2">
        <v>5753.0</v>
      </c>
      <c r="D5994" s="2">
        <v>1870.0</v>
      </c>
      <c r="E5994" s="3">
        <f t="shared" si="1"/>
        <v>0.3550408202</v>
      </c>
      <c r="F5994" s="2">
        <v>624.0</v>
      </c>
      <c r="G5994" s="3">
        <f t="shared" si="2"/>
        <v>0.1184735143</v>
      </c>
      <c r="H5994" s="2">
        <v>1052.0</v>
      </c>
      <c r="I5994" s="3">
        <f t="shared" si="3"/>
        <v>0.199734194</v>
      </c>
      <c r="J5994" s="2">
        <v>788.0</v>
      </c>
      <c r="K5994" s="3">
        <f t="shared" si="4"/>
        <v>0.1496107841</v>
      </c>
      <c r="L5994" s="2">
        <v>611.0</v>
      </c>
      <c r="M5994" s="3">
        <f t="shared" si="5"/>
        <v>0.5807984791</v>
      </c>
      <c r="N5994" s="2">
        <v>5760300.0</v>
      </c>
      <c r="O5994" s="4">
        <f t="shared" si="6"/>
        <v>5475.570342</v>
      </c>
      <c r="P5994" s="2">
        <v>0.0</v>
      </c>
      <c r="Q5994" s="3">
        <f t="shared" si="7"/>
        <v>0</v>
      </c>
      <c r="R5994" s="2">
        <v>486.0</v>
      </c>
      <c r="S5994" s="5">
        <f t="shared" si="8"/>
        <v>1</v>
      </c>
    </row>
    <row r="5995">
      <c r="A5995" s="2" t="s">
        <v>5994</v>
      </c>
      <c r="B5995" s="2">
        <v>152.0</v>
      </c>
      <c r="C5995" s="2">
        <v>1798.0</v>
      </c>
      <c r="D5995" s="2">
        <v>517.0</v>
      </c>
      <c r="E5995" s="3">
        <f t="shared" si="1"/>
        <v>0.3140947752</v>
      </c>
      <c r="F5995" s="2">
        <v>195.0</v>
      </c>
      <c r="G5995" s="3">
        <f t="shared" si="2"/>
        <v>0.1184690158</v>
      </c>
      <c r="H5995" s="2">
        <v>355.0</v>
      </c>
      <c r="I5995" s="3">
        <f t="shared" si="3"/>
        <v>0.2156743621</v>
      </c>
      <c r="J5995" s="2">
        <v>293.0</v>
      </c>
      <c r="K5995" s="3">
        <f t="shared" si="4"/>
        <v>0.1780072904</v>
      </c>
      <c r="L5995" s="2">
        <v>211.0</v>
      </c>
      <c r="M5995" s="3">
        <f t="shared" si="5"/>
        <v>0.5943661972</v>
      </c>
      <c r="N5995" s="2">
        <v>1978100.0</v>
      </c>
      <c r="O5995" s="4">
        <f t="shared" si="6"/>
        <v>5572.112676</v>
      </c>
      <c r="P5995" s="2">
        <v>0.0</v>
      </c>
      <c r="Q5995" s="3">
        <f t="shared" si="7"/>
        <v>0</v>
      </c>
      <c r="R5995" s="2">
        <v>152.0</v>
      </c>
      <c r="S5995" s="5">
        <f t="shared" si="8"/>
        <v>1</v>
      </c>
    </row>
    <row r="5996">
      <c r="A5996" s="2" t="s">
        <v>5995</v>
      </c>
      <c r="B5996" s="2">
        <v>83.0</v>
      </c>
      <c r="C5996" s="2">
        <v>944.0</v>
      </c>
      <c r="D5996" s="2">
        <v>270.0</v>
      </c>
      <c r="E5996" s="3">
        <f t="shared" si="1"/>
        <v>0.3135888502</v>
      </c>
      <c r="F5996" s="2">
        <v>102.0</v>
      </c>
      <c r="G5996" s="3">
        <f t="shared" si="2"/>
        <v>0.118466899</v>
      </c>
      <c r="H5996" s="2">
        <v>164.0</v>
      </c>
      <c r="I5996" s="3">
        <f t="shared" si="3"/>
        <v>0.1904761905</v>
      </c>
      <c r="J5996" s="2">
        <v>107.0</v>
      </c>
      <c r="K5996" s="3">
        <f t="shared" si="4"/>
        <v>0.1242740999</v>
      </c>
      <c r="L5996" s="2">
        <v>102.0</v>
      </c>
      <c r="M5996" s="3">
        <f t="shared" si="5"/>
        <v>0.6219512195</v>
      </c>
      <c r="N5996" s="2">
        <v>933900.0</v>
      </c>
      <c r="O5996" s="4">
        <f t="shared" si="6"/>
        <v>5694.512195</v>
      </c>
      <c r="P5996" s="2">
        <v>0.0</v>
      </c>
      <c r="Q5996" s="3">
        <f t="shared" si="7"/>
        <v>0</v>
      </c>
      <c r="R5996" s="2">
        <v>83.0</v>
      </c>
      <c r="S5996" s="5">
        <f t="shared" si="8"/>
        <v>1</v>
      </c>
    </row>
    <row r="5997">
      <c r="A5997" s="2" t="s">
        <v>5996</v>
      </c>
      <c r="B5997" s="2">
        <v>2386.0</v>
      </c>
      <c r="C5997" s="2">
        <v>27754.0</v>
      </c>
      <c r="D5997" s="2">
        <v>8383.0</v>
      </c>
      <c r="E5997" s="3">
        <f t="shared" si="1"/>
        <v>0.3304556922</v>
      </c>
      <c r="F5997" s="2">
        <v>3005.0</v>
      </c>
      <c r="G5997" s="3">
        <f t="shared" si="2"/>
        <v>0.1184563229</v>
      </c>
      <c r="H5997" s="2">
        <v>5442.0</v>
      </c>
      <c r="I5997" s="3">
        <f t="shared" si="3"/>
        <v>0.2145222327</v>
      </c>
      <c r="J5997" s="2">
        <v>4579.0</v>
      </c>
      <c r="K5997" s="3">
        <f t="shared" si="4"/>
        <v>0.1805029959</v>
      </c>
      <c r="L5997" s="2">
        <v>3223.0</v>
      </c>
      <c r="M5997" s="3">
        <f t="shared" si="5"/>
        <v>0.592245498</v>
      </c>
      <c r="N5997" s="2">
        <v>3.13081E7</v>
      </c>
      <c r="O5997" s="4">
        <f t="shared" si="6"/>
        <v>5753.050349</v>
      </c>
      <c r="P5997" s="2">
        <v>2.0</v>
      </c>
      <c r="Q5997" s="3">
        <f t="shared" si="7"/>
        <v>0.0008382229673</v>
      </c>
      <c r="R5997" s="2">
        <v>951.0</v>
      </c>
      <c r="S5997" s="5">
        <f t="shared" si="8"/>
        <v>0.398575021</v>
      </c>
    </row>
    <row r="5998">
      <c r="A5998" s="2" t="s">
        <v>5997</v>
      </c>
      <c r="B5998" s="2">
        <v>749.0</v>
      </c>
      <c r="C5998" s="2">
        <v>8828.0</v>
      </c>
      <c r="D5998" s="2">
        <v>2697.0</v>
      </c>
      <c r="E5998" s="3">
        <f t="shared" si="1"/>
        <v>0.3338284441</v>
      </c>
      <c r="F5998" s="2">
        <v>957.0</v>
      </c>
      <c r="G5998" s="3">
        <f t="shared" si="2"/>
        <v>0.1184552544</v>
      </c>
      <c r="H5998" s="2">
        <v>1673.0</v>
      </c>
      <c r="I5998" s="3">
        <f t="shared" si="3"/>
        <v>0.2070800842</v>
      </c>
      <c r="J5998" s="2">
        <v>1490.0</v>
      </c>
      <c r="K5998" s="3">
        <f t="shared" si="4"/>
        <v>0.1844287659</v>
      </c>
      <c r="L5998" s="2">
        <v>976.0</v>
      </c>
      <c r="M5998" s="3">
        <f t="shared" si="5"/>
        <v>0.5833831441</v>
      </c>
      <c r="N5998" s="2">
        <v>9204200.0</v>
      </c>
      <c r="O5998" s="4">
        <f t="shared" si="6"/>
        <v>5501.613867</v>
      </c>
      <c r="P5998" s="2">
        <v>1.0</v>
      </c>
      <c r="Q5998" s="3">
        <f t="shared" si="7"/>
        <v>0.001335113485</v>
      </c>
      <c r="R5998" s="2">
        <v>745.0</v>
      </c>
      <c r="S5998" s="5">
        <f t="shared" si="8"/>
        <v>0.9946595461</v>
      </c>
    </row>
    <row r="5999">
      <c r="A5999" s="2" t="s">
        <v>5998</v>
      </c>
      <c r="B5999" s="2">
        <v>369.0</v>
      </c>
      <c r="C5999" s="2">
        <v>4320.0</v>
      </c>
      <c r="D5999" s="2">
        <v>1404.0</v>
      </c>
      <c r="E5999" s="3">
        <f t="shared" si="1"/>
        <v>0.3553530752</v>
      </c>
      <c r="F5999" s="2">
        <v>468.0</v>
      </c>
      <c r="G5999" s="3">
        <f t="shared" si="2"/>
        <v>0.1184510251</v>
      </c>
      <c r="H5999" s="2">
        <v>865.0</v>
      </c>
      <c r="I5999" s="3">
        <f t="shared" si="3"/>
        <v>0.218931916</v>
      </c>
      <c r="J5999" s="2">
        <v>685.0</v>
      </c>
      <c r="K5999" s="3">
        <f t="shared" si="4"/>
        <v>0.1733738294</v>
      </c>
      <c r="L5999" s="2">
        <v>511.0</v>
      </c>
      <c r="M5999" s="3">
        <f t="shared" si="5"/>
        <v>0.5907514451</v>
      </c>
      <c r="N5999" s="2">
        <v>5074800.0</v>
      </c>
      <c r="O5999" s="4">
        <f t="shared" si="6"/>
        <v>5866.820809</v>
      </c>
      <c r="P5999" s="2">
        <v>1.0</v>
      </c>
      <c r="Q5999" s="3">
        <f t="shared" si="7"/>
        <v>0.0027100271</v>
      </c>
      <c r="R5999" s="2">
        <v>369.0</v>
      </c>
      <c r="S5999" s="5">
        <f t="shared" si="8"/>
        <v>1</v>
      </c>
    </row>
    <row r="6000">
      <c r="A6000" s="2" t="s">
        <v>5999</v>
      </c>
      <c r="B6000" s="2">
        <v>218.0</v>
      </c>
      <c r="C6000" s="2">
        <v>2565.0</v>
      </c>
      <c r="D6000" s="2">
        <v>642.0</v>
      </c>
      <c r="E6000" s="3">
        <f t="shared" si="1"/>
        <v>0.2735406902</v>
      </c>
      <c r="F6000" s="2">
        <v>278.0</v>
      </c>
      <c r="G6000" s="3">
        <f t="shared" si="2"/>
        <v>0.1184490839</v>
      </c>
      <c r="H6000" s="2">
        <v>504.0</v>
      </c>
      <c r="I6000" s="3">
        <f t="shared" si="3"/>
        <v>0.2147422241</v>
      </c>
      <c r="J6000" s="2">
        <v>428.0</v>
      </c>
      <c r="K6000" s="3">
        <f t="shared" si="4"/>
        <v>0.1823604602</v>
      </c>
      <c r="L6000" s="2">
        <v>308.0</v>
      </c>
      <c r="M6000" s="3">
        <f t="shared" si="5"/>
        <v>0.6111111111</v>
      </c>
      <c r="N6000" s="2">
        <v>2764800.0</v>
      </c>
      <c r="O6000" s="4">
        <f t="shared" si="6"/>
        <v>5485.714286</v>
      </c>
      <c r="P6000" s="2">
        <v>0.0</v>
      </c>
      <c r="Q6000" s="3">
        <f t="shared" si="7"/>
        <v>0</v>
      </c>
      <c r="R6000" s="2">
        <v>0.0</v>
      </c>
      <c r="S6000" s="5">
        <f t="shared" si="8"/>
        <v>0</v>
      </c>
    </row>
    <row r="6001">
      <c r="A6001" s="2" t="s">
        <v>6000</v>
      </c>
      <c r="B6001" s="2">
        <v>1214.0</v>
      </c>
      <c r="C6001" s="2">
        <v>14207.0</v>
      </c>
      <c r="D6001" s="2">
        <v>4114.0</v>
      </c>
      <c r="E6001" s="3">
        <f t="shared" si="1"/>
        <v>0.3166320326</v>
      </c>
      <c r="F6001" s="2">
        <v>1539.0</v>
      </c>
      <c r="G6001" s="3">
        <f t="shared" si="2"/>
        <v>0.1184483953</v>
      </c>
      <c r="H6001" s="2">
        <v>2627.0</v>
      </c>
      <c r="I6001" s="3">
        <f t="shared" si="3"/>
        <v>0.2021857923</v>
      </c>
      <c r="J6001" s="2">
        <v>2432.0</v>
      </c>
      <c r="K6001" s="3">
        <f t="shared" si="4"/>
        <v>0.1871777111</v>
      </c>
      <c r="L6001" s="2">
        <v>1542.0</v>
      </c>
      <c r="M6001" s="3">
        <f t="shared" si="5"/>
        <v>0.5869813475</v>
      </c>
      <c r="N6001" s="2">
        <v>1.60338E7</v>
      </c>
      <c r="O6001" s="4">
        <f t="shared" si="6"/>
        <v>6103.464027</v>
      </c>
      <c r="P6001" s="2">
        <v>3.0</v>
      </c>
      <c r="Q6001" s="3">
        <f t="shared" si="7"/>
        <v>0.002471169687</v>
      </c>
      <c r="R6001" s="2">
        <v>1214.0</v>
      </c>
      <c r="S6001" s="5">
        <f t="shared" si="8"/>
        <v>1</v>
      </c>
    </row>
    <row r="6002">
      <c r="A6002" s="2" t="s">
        <v>6001</v>
      </c>
      <c r="B6002" s="2">
        <v>1680.0</v>
      </c>
      <c r="C6002" s="2">
        <v>19562.0</v>
      </c>
      <c r="D6002" s="2">
        <v>5885.0</v>
      </c>
      <c r="E6002" s="3">
        <f t="shared" si="1"/>
        <v>0.3291018902</v>
      </c>
      <c r="F6002" s="2">
        <v>2118.0</v>
      </c>
      <c r="G6002" s="3">
        <f t="shared" si="2"/>
        <v>0.1184431272</v>
      </c>
      <c r="H6002" s="2">
        <v>3913.0</v>
      </c>
      <c r="I6002" s="3">
        <f t="shared" si="3"/>
        <v>0.2188233978</v>
      </c>
      <c r="J6002" s="2">
        <v>3520.0</v>
      </c>
      <c r="K6002" s="3">
        <f t="shared" si="4"/>
        <v>0.1968459904</v>
      </c>
      <c r="L6002" s="2">
        <v>2348.0</v>
      </c>
      <c r="M6002" s="3">
        <f t="shared" si="5"/>
        <v>0.6000511117</v>
      </c>
      <c r="N6002" s="2">
        <v>2.3231E7</v>
      </c>
      <c r="O6002" s="4">
        <f t="shared" si="6"/>
        <v>5936.877076</v>
      </c>
      <c r="P6002" s="2">
        <v>1.0</v>
      </c>
      <c r="Q6002" s="3">
        <f t="shared" si="7"/>
        <v>0.0005952380952</v>
      </c>
      <c r="R6002" s="2">
        <v>1680.0</v>
      </c>
      <c r="S6002" s="5">
        <f t="shared" si="8"/>
        <v>1</v>
      </c>
    </row>
    <row r="6003">
      <c r="A6003" s="2" t="s">
        <v>6002</v>
      </c>
      <c r="B6003" s="2">
        <v>1930.0</v>
      </c>
      <c r="C6003" s="2">
        <v>22843.0</v>
      </c>
      <c r="D6003" s="2">
        <v>7252.0</v>
      </c>
      <c r="E6003" s="3">
        <f t="shared" si="1"/>
        <v>0.3467699517</v>
      </c>
      <c r="F6003" s="2">
        <v>2477.0</v>
      </c>
      <c r="G6003" s="3">
        <f t="shared" si="2"/>
        <v>0.1184430737</v>
      </c>
      <c r="H6003" s="2">
        <v>4392.0</v>
      </c>
      <c r="I6003" s="3">
        <f t="shared" si="3"/>
        <v>0.2100129106</v>
      </c>
      <c r="J6003" s="2">
        <v>3694.0</v>
      </c>
      <c r="K6003" s="3">
        <f t="shared" si="4"/>
        <v>0.1766365419</v>
      </c>
      <c r="L6003" s="2">
        <v>2581.0</v>
      </c>
      <c r="M6003" s="3">
        <f t="shared" si="5"/>
        <v>0.5876593807</v>
      </c>
      <c r="N6003" s="2">
        <v>2.4481E7</v>
      </c>
      <c r="O6003" s="4">
        <f t="shared" si="6"/>
        <v>5573.998179</v>
      </c>
      <c r="P6003" s="2">
        <v>3.0</v>
      </c>
      <c r="Q6003" s="3">
        <f t="shared" si="7"/>
        <v>0.001554404145</v>
      </c>
      <c r="R6003" s="2">
        <v>1603.0</v>
      </c>
      <c r="S6003" s="5">
        <f t="shared" si="8"/>
        <v>0.8305699482</v>
      </c>
    </row>
    <row r="6004">
      <c r="A6004" s="2" t="s">
        <v>6003</v>
      </c>
      <c r="B6004" s="2">
        <v>1172.0</v>
      </c>
      <c r="C6004" s="2">
        <v>13761.0</v>
      </c>
      <c r="D6004" s="2">
        <v>4277.0</v>
      </c>
      <c r="E6004" s="3">
        <f t="shared" si="1"/>
        <v>0.3397410438</v>
      </c>
      <c r="F6004" s="2">
        <v>1491.0</v>
      </c>
      <c r="G6004" s="3">
        <f t="shared" si="2"/>
        <v>0.1184367305</v>
      </c>
      <c r="H6004" s="2">
        <v>2580.0</v>
      </c>
      <c r="I6004" s="3">
        <f t="shared" si="3"/>
        <v>0.2049408214</v>
      </c>
      <c r="J6004" s="2">
        <v>2055.0</v>
      </c>
      <c r="K6004" s="3">
        <f t="shared" si="4"/>
        <v>0.1632377472</v>
      </c>
      <c r="L6004" s="2">
        <v>1545.0</v>
      </c>
      <c r="M6004" s="3">
        <f t="shared" si="5"/>
        <v>0.5988372093</v>
      </c>
      <c r="N6004" s="2">
        <v>1.4554E7</v>
      </c>
      <c r="O6004" s="4">
        <f t="shared" si="6"/>
        <v>5641.085271</v>
      </c>
      <c r="P6004" s="2">
        <v>0.0</v>
      </c>
      <c r="Q6004" s="3">
        <f t="shared" si="7"/>
        <v>0</v>
      </c>
      <c r="R6004" s="2">
        <v>0.0</v>
      </c>
      <c r="S6004" s="5">
        <f t="shared" si="8"/>
        <v>0</v>
      </c>
    </row>
    <row r="6005">
      <c r="A6005" s="2" t="s">
        <v>6004</v>
      </c>
      <c r="B6005" s="2">
        <v>186.0</v>
      </c>
      <c r="C6005" s="2">
        <v>2204.0</v>
      </c>
      <c r="D6005" s="2">
        <v>717.0</v>
      </c>
      <c r="E6005" s="3">
        <f t="shared" si="1"/>
        <v>0.3553022795</v>
      </c>
      <c r="F6005" s="2">
        <v>239.0</v>
      </c>
      <c r="G6005" s="3">
        <f t="shared" si="2"/>
        <v>0.1184340932</v>
      </c>
      <c r="H6005" s="2">
        <v>395.0</v>
      </c>
      <c r="I6005" s="3">
        <f t="shared" si="3"/>
        <v>0.1957383548</v>
      </c>
      <c r="J6005" s="2">
        <v>300.0</v>
      </c>
      <c r="K6005" s="3">
        <f t="shared" si="4"/>
        <v>0.1486620416</v>
      </c>
      <c r="L6005" s="2">
        <v>228.0</v>
      </c>
      <c r="M6005" s="3">
        <f t="shared" si="5"/>
        <v>0.5772151899</v>
      </c>
      <c r="N6005" s="2">
        <v>2051100.0</v>
      </c>
      <c r="O6005" s="4">
        <f t="shared" si="6"/>
        <v>5192.658228</v>
      </c>
      <c r="P6005" s="2">
        <v>0.0</v>
      </c>
      <c r="Q6005" s="3">
        <f t="shared" si="7"/>
        <v>0</v>
      </c>
      <c r="R6005" s="2">
        <v>186.0</v>
      </c>
      <c r="S6005" s="5">
        <f t="shared" si="8"/>
        <v>1</v>
      </c>
    </row>
    <row r="6006">
      <c r="A6006" s="2" t="s">
        <v>6005</v>
      </c>
      <c r="B6006" s="2">
        <v>591.0</v>
      </c>
      <c r="C6006" s="2">
        <v>6941.0</v>
      </c>
      <c r="D6006" s="2">
        <v>2296.0</v>
      </c>
      <c r="E6006" s="3">
        <f t="shared" si="1"/>
        <v>0.3615748031</v>
      </c>
      <c r="F6006" s="2">
        <v>752.0</v>
      </c>
      <c r="G6006" s="3">
        <f t="shared" si="2"/>
        <v>0.1184251969</v>
      </c>
      <c r="H6006" s="2">
        <v>1335.0</v>
      </c>
      <c r="I6006" s="3">
        <f t="shared" si="3"/>
        <v>0.2102362205</v>
      </c>
      <c r="J6006" s="2">
        <v>796.0</v>
      </c>
      <c r="K6006" s="3">
        <f t="shared" si="4"/>
        <v>0.1253543307</v>
      </c>
      <c r="L6006" s="2">
        <v>818.0</v>
      </c>
      <c r="M6006" s="3">
        <f t="shared" si="5"/>
        <v>0.6127340824</v>
      </c>
      <c r="N6006" s="2">
        <v>7209100.0</v>
      </c>
      <c r="O6006" s="4">
        <f t="shared" si="6"/>
        <v>5400.074906</v>
      </c>
      <c r="P6006" s="2">
        <v>1.0</v>
      </c>
      <c r="Q6006" s="3">
        <f t="shared" si="7"/>
        <v>0.001692047377</v>
      </c>
      <c r="R6006" s="2">
        <v>591.0</v>
      </c>
      <c r="S6006" s="5">
        <f t="shared" si="8"/>
        <v>1</v>
      </c>
    </row>
    <row r="6007">
      <c r="A6007" s="2" t="s">
        <v>6006</v>
      </c>
      <c r="B6007" s="2">
        <v>368.0</v>
      </c>
      <c r="C6007" s="2">
        <v>4303.0</v>
      </c>
      <c r="D6007" s="2">
        <v>1517.0</v>
      </c>
      <c r="E6007" s="3">
        <f t="shared" si="1"/>
        <v>0.3855146125</v>
      </c>
      <c r="F6007" s="2">
        <v>466.0</v>
      </c>
      <c r="G6007" s="3">
        <f t="shared" si="2"/>
        <v>0.1184243964</v>
      </c>
      <c r="H6007" s="2">
        <v>848.0</v>
      </c>
      <c r="I6007" s="3">
        <f t="shared" si="3"/>
        <v>0.215501906</v>
      </c>
      <c r="J6007" s="2">
        <v>718.0</v>
      </c>
      <c r="K6007" s="3">
        <f t="shared" si="4"/>
        <v>0.1824650572</v>
      </c>
      <c r="L6007" s="2">
        <v>518.0</v>
      </c>
      <c r="M6007" s="3">
        <f t="shared" si="5"/>
        <v>0.6108490566</v>
      </c>
      <c r="N6007" s="2">
        <v>4881900.0</v>
      </c>
      <c r="O6007" s="4">
        <f t="shared" si="6"/>
        <v>5756.957547</v>
      </c>
      <c r="P6007" s="2">
        <v>2.0</v>
      </c>
      <c r="Q6007" s="3">
        <f t="shared" si="7"/>
        <v>0.005434782609</v>
      </c>
      <c r="R6007" s="2">
        <v>368.0</v>
      </c>
      <c r="S6007" s="5">
        <f t="shared" si="8"/>
        <v>1</v>
      </c>
    </row>
    <row r="6008">
      <c r="A6008" s="2" t="s">
        <v>6007</v>
      </c>
      <c r="B6008" s="2">
        <v>8.0</v>
      </c>
      <c r="C6008" s="2">
        <v>84.0</v>
      </c>
      <c r="D6008" s="2">
        <v>12.0</v>
      </c>
      <c r="E6008" s="3">
        <f t="shared" si="1"/>
        <v>0.1578947368</v>
      </c>
      <c r="F6008" s="2">
        <v>9.0</v>
      </c>
      <c r="G6008" s="3">
        <f t="shared" si="2"/>
        <v>0.1184210526</v>
      </c>
      <c r="H6008" s="2">
        <v>12.0</v>
      </c>
      <c r="I6008" s="3">
        <f t="shared" si="3"/>
        <v>0.1578947368</v>
      </c>
      <c r="J6008" s="2">
        <v>14.0</v>
      </c>
      <c r="K6008" s="3">
        <f t="shared" si="4"/>
        <v>0.1842105263</v>
      </c>
      <c r="L6008" s="2">
        <v>6.0</v>
      </c>
      <c r="M6008" s="3">
        <f t="shared" si="5"/>
        <v>0.5</v>
      </c>
      <c r="N6008" s="2">
        <v>67700.0</v>
      </c>
      <c r="O6008" s="4">
        <f t="shared" si="6"/>
        <v>5641.666667</v>
      </c>
      <c r="P6008" s="2">
        <v>0.0</v>
      </c>
      <c r="Q6008" s="3">
        <f t="shared" si="7"/>
        <v>0</v>
      </c>
      <c r="R6008" s="2">
        <v>8.0</v>
      </c>
      <c r="S6008" s="5">
        <f t="shared" si="8"/>
        <v>1</v>
      </c>
    </row>
    <row r="6009">
      <c r="A6009" s="2" t="s">
        <v>6008</v>
      </c>
      <c r="B6009" s="2">
        <v>59.0</v>
      </c>
      <c r="C6009" s="2">
        <v>667.0</v>
      </c>
      <c r="D6009" s="2">
        <v>188.0</v>
      </c>
      <c r="E6009" s="3">
        <f t="shared" si="1"/>
        <v>0.3092105263</v>
      </c>
      <c r="F6009" s="2">
        <v>72.0</v>
      </c>
      <c r="G6009" s="3">
        <f t="shared" si="2"/>
        <v>0.1184210526</v>
      </c>
      <c r="H6009" s="2">
        <v>145.0</v>
      </c>
      <c r="I6009" s="3">
        <f t="shared" si="3"/>
        <v>0.2384868421</v>
      </c>
      <c r="J6009" s="2">
        <v>96.0</v>
      </c>
      <c r="K6009" s="3">
        <f t="shared" si="4"/>
        <v>0.1578947368</v>
      </c>
      <c r="L6009" s="2">
        <v>92.0</v>
      </c>
      <c r="M6009" s="3">
        <f t="shared" si="5"/>
        <v>0.6344827586</v>
      </c>
      <c r="N6009" s="2">
        <v>889200.0</v>
      </c>
      <c r="O6009" s="4">
        <f t="shared" si="6"/>
        <v>6132.413793</v>
      </c>
      <c r="P6009" s="2">
        <v>0.0</v>
      </c>
      <c r="Q6009" s="3">
        <f t="shared" si="7"/>
        <v>0</v>
      </c>
      <c r="R6009" s="2">
        <v>59.0</v>
      </c>
      <c r="S6009" s="5">
        <f t="shared" si="8"/>
        <v>1</v>
      </c>
    </row>
    <row r="6010">
      <c r="A6010" s="2" t="s">
        <v>6009</v>
      </c>
      <c r="B6010" s="2">
        <v>4781.0</v>
      </c>
      <c r="C6010" s="2">
        <v>56175.0</v>
      </c>
      <c r="D6010" s="2">
        <v>18363.0</v>
      </c>
      <c r="E6010" s="3">
        <f t="shared" si="1"/>
        <v>0.3572985173</v>
      </c>
      <c r="F6010" s="2">
        <v>6086.0</v>
      </c>
      <c r="G6010" s="3">
        <f t="shared" si="2"/>
        <v>0.1184184924</v>
      </c>
      <c r="H6010" s="2">
        <v>11013.0</v>
      </c>
      <c r="I6010" s="3">
        <f t="shared" si="3"/>
        <v>0.2142857143</v>
      </c>
      <c r="J6010" s="2">
        <v>8262.0</v>
      </c>
      <c r="K6010" s="3">
        <f t="shared" si="4"/>
        <v>0.1607580651</v>
      </c>
      <c r="L6010" s="2">
        <v>6669.0</v>
      </c>
      <c r="M6010" s="3">
        <f t="shared" si="5"/>
        <v>0.6055570689</v>
      </c>
      <c r="N6010" s="2">
        <v>5.87738E7</v>
      </c>
      <c r="O6010" s="4">
        <f t="shared" si="6"/>
        <v>5336.765641</v>
      </c>
      <c r="P6010" s="2">
        <v>4.0</v>
      </c>
      <c r="Q6010" s="3">
        <f t="shared" si="7"/>
        <v>0.0008366450533</v>
      </c>
      <c r="R6010" s="2">
        <v>4471.0</v>
      </c>
      <c r="S6010" s="5">
        <f t="shared" si="8"/>
        <v>0.9351600084</v>
      </c>
    </row>
    <row r="6011">
      <c r="A6011" s="2" t="s">
        <v>6010</v>
      </c>
      <c r="B6011" s="2">
        <v>1349.0</v>
      </c>
      <c r="C6011" s="2">
        <v>15790.0</v>
      </c>
      <c r="D6011" s="2">
        <v>4655.0</v>
      </c>
      <c r="E6011" s="3">
        <f t="shared" si="1"/>
        <v>0.3223460979</v>
      </c>
      <c r="F6011" s="2">
        <v>1710.0</v>
      </c>
      <c r="G6011" s="3">
        <f t="shared" si="2"/>
        <v>0.1184128523</v>
      </c>
      <c r="H6011" s="2">
        <v>3004.0</v>
      </c>
      <c r="I6011" s="3">
        <f t="shared" si="3"/>
        <v>0.2080188353</v>
      </c>
      <c r="J6011" s="2">
        <v>2567.0</v>
      </c>
      <c r="K6011" s="3">
        <f t="shared" si="4"/>
        <v>0.177757773</v>
      </c>
      <c r="L6011" s="2">
        <v>1795.0</v>
      </c>
      <c r="M6011" s="3">
        <f t="shared" si="5"/>
        <v>0.5975366178</v>
      </c>
      <c r="N6011" s="2">
        <v>1.65601E7</v>
      </c>
      <c r="O6011" s="4">
        <f t="shared" si="6"/>
        <v>5512.683089</v>
      </c>
      <c r="P6011" s="2">
        <v>0.0</v>
      </c>
      <c r="Q6011" s="3">
        <f t="shared" si="7"/>
        <v>0</v>
      </c>
      <c r="R6011" s="2">
        <v>1349.0</v>
      </c>
      <c r="S6011" s="5">
        <f t="shared" si="8"/>
        <v>1</v>
      </c>
    </row>
    <row r="6012">
      <c r="A6012" s="2" t="s">
        <v>6011</v>
      </c>
      <c r="B6012" s="2">
        <v>1394.0</v>
      </c>
      <c r="C6012" s="2">
        <v>16460.0</v>
      </c>
      <c r="D6012" s="2">
        <v>4751.0</v>
      </c>
      <c r="E6012" s="3">
        <f t="shared" si="1"/>
        <v>0.3153458118</v>
      </c>
      <c r="F6012" s="2">
        <v>1784.0</v>
      </c>
      <c r="G6012" s="3">
        <f t="shared" si="2"/>
        <v>0.1184123191</v>
      </c>
      <c r="H6012" s="2">
        <v>3314.0</v>
      </c>
      <c r="I6012" s="3">
        <f t="shared" si="3"/>
        <v>0.2199654852</v>
      </c>
      <c r="J6012" s="2">
        <v>2336.0</v>
      </c>
      <c r="K6012" s="3">
        <f t="shared" si="4"/>
        <v>0.1550511085</v>
      </c>
      <c r="L6012" s="2">
        <v>2018.0</v>
      </c>
      <c r="M6012" s="3">
        <f t="shared" si="5"/>
        <v>0.6089318045</v>
      </c>
      <c r="N6012" s="2">
        <v>1.72437E7</v>
      </c>
      <c r="O6012" s="4">
        <f t="shared" si="6"/>
        <v>5203.289077</v>
      </c>
      <c r="P6012" s="2">
        <v>4.0</v>
      </c>
      <c r="Q6012" s="3">
        <f t="shared" si="7"/>
        <v>0.002869440459</v>
      </c>
      <c r="R6012" s="2">
        <v>0.0</v>
      </c>
      <c r="S6012" s="5">
        <f t="shared" si="8"/>
        <v>0</v>
      </c>
    </row>
    <row r="6013">
      <c r="A6013" s="2" t="s">
        <v>6012</v>
      </c>
      <c r="B6013" s="2">
        <v>11455.0</v>
      </c>
      <c r="C6013" s="2">
        <v>133876.0</v>
      </c>
      <c r="D6013" s="2">
        <v>38598.0</v>
      </c>
      <c r="E6013" s="3">
        <f t="shared" si="1"/>
        <v>0.3152890435</v>
      </c>
      <c r="F6013" s="2">
        <v>14496.0</v>
      </c>
      <c r="G6013" s="3">
        <f t="shared" si="2"/>
        <v>0.1184110569</v>
      </c>
      <c r="H6013" s="2">
        <v>25888.0</v>
      </c>
      <c r="I6013" s="3">
        <f t="shared" si="3"/>
        <v>0.2114669869</v>
      </c>
      <c r="J6013" s="2">
        <v>19875.0</v>
      </c>
      <c r="K6013" s="3">
        <f t="shared" si="4"/>
        <v>0.1623495969</v>
      </c>
      <c r="L6013" s="2">
        <v>15544.0</v>
      </c>
      <c r="M6013" s="3">
        <f t="shared" si="5"/>
        <v>0.6004326329</v>
      </c>
      <c r="N6013" s="2">
        <v>1.487625E8</v>
      </c>
      <c r="O6013" s="4">
        <f t="shared" si="6"/>
        <v>5746.388288</v>
      </c>
      <c r="P6013" s="2">
        <v>27.0</v>
      </c>
      <c r="Q6013" s="3">
        <f t="shared" si="7"/>
        <v>0.002357049323</v>
      </c>
      <c r="R6013" s="2">
        <v>11455.0</v>
      </c>
      <c r="S6013" s="5">
        <f t="shared" si="8"/>
        <v>1</v>
      </c>
    </row>
    <row r="6014">
      <c r="A6014" s="2" t="s">
        <v>6013</v>
      </c>
      <c r="B6014" s="2">
        <v>151.0</v>
      </c>
      <c r="C6014" s="2">
        <v>1798.0</v>
      </c>
      <c r="D6014" s="2">
        <v>503.0</v>
      </c>
      <c r="E6014" s="3">
        <f t="shared" si="1"/>
        <v>0.3054037644</v>
      </c>
      <c r="F6014" s="2">
        <v>195.0</v>
      </c>
      <c r="G6014" s="3">
        <f t="shared" si="2"/>
        <v>0.1183970856</v>
      </c>
      <c r="H6014" s="2">
        <v>364.0</v>
      </c>
      <c r="I6014" s="3">
        <f t="shared" si="3"/>
        <v>0.2210078931</v>
      </c>
      <c r="J6014" s="2">
        <v>325.0</v>
      </c>
      <c r="K6014" s="3">
        <f t="shared" si="4"/>
        <v>0.197328476</v>
      </c>
      <c r="L6014" s="2">
        <v>226.0</v>
      </c>
      <c r="M6014" s="3">
        <f t="shared" si="5"/>
        <v>0.6208791209</v>
      </c>
      <c r="N6014" s="2">
        <v>1988900.0</v>
      </c>
      <c r="O6014" s="4">
        <f t="shared" si="6"/>
        <v>5464.010989</v>
      </c>
      <c r="P6014" s="2">
        <v>0.0</v>
      </c>
      <c r="Q6014" s="3">
        <f t="shared" si="7"/>
        <v>0</v>
      </c>
      <c r="R6014" s="2">
        <v>0.0</v>
      </c>
      <c r="S6014" s="5">
        <f t="shared" si="8"/>
        <v>0</v>
      </c>
    </row>
    <row r="6015">
      <c r="A6015" s="2" t="s">
        <v>6014</v>
      </c>
      <c r="B6015" s="2">
        <v>2119.0</v>
      </c>
      <c r="C6015" s="2">
        <v>24994.0</v>
      </c>
      <c r="D6015" s="2">
        <v>8367.0</v>
      </c>
      <c r="E6015" s="3">
        <f t="shared" si="1"/>
        <v>0.3657704918</v>
      </c>
      <c r="F6015" s="2">
        <v>2708.0</v>
      </c>
      <c r="G6015" s="3">
        <f t="shared" si="2"/>
        <v>0.1183825137</v>
      </c>
      <c r="H6015" s="2">
        <v>4744.0</v>
      </c>
      <c r="I6015" s="3">
        <f t="shared" si="3"/>
        <v>0.2073879781</v>
      </c>
      <c r="J6015" s="2">
        <v>3706.0</v>
      </c>
      <c r="K6015" s="3">
        <f t="shared" si="4"/>
        <v>0.162010929</v>
      </c>
      <c r="L6015" s="2">
        <v>2850.0</v>
      </c>
      <c r="M6015" s="3">
        <f t="shared" si="5"/>
        <v>0.6007588533</v>
      </c>
      <c r="N6015" s="2">
        <v>2.62426E7</v>
      </c>
      <c r="O6015" s="4">
        <f t="shared" si="6"/>
        <v>5531.745363</v>
      </c>
      <c r="P6015" s="2">
        <v>2.0</v>
      </c>
      <c r="Q6015" s="3">
        <f t="shared" si="7"/>
        <v>0.0009438414346</v>
      </c>
      <c r="R6015" s="2">
        <v>2119.0</v>
      </c>
      <c r="S6015" s="5">
        <f t="shared" si="8"/>
        <v>1</v>
      </c>
    </row>
    <row r="6016">
      <c r="A6016" s="2" t="s">
        <v>6015</v>
      </c>
      <c r="B6016" s="2">
        <v>657.0</v>
      </c>
      <c r="C6016" s="2">
        <v>7795.0</v>
      </c>
      <c r="D6016" s="2">
        <v>2570.0</v>
      </c>
      <c r="E6016" s="3">
        <f t="shared" si="1"/>
        <v>0.3600448305</v>
      </c>
      <c r="F6016" s="2">
        <v>845.0</v>
      </c>
      <c r="G6016" s="3">
        <f t="shared" si="2"/>
        <v>0.1183804987</v>
      </c>
      <c r="H6016" s="2">
        <v>1430.0</v>
      </c>
      <c r="I6016" s="3">
        <f t="shared" si="3"/>
        <v>0.2003362286</v>
      </c>
      <c r="J6016" s="2">
        <v>1018.0</v>
      </c>
      <c r="K6016" s="3">
        <f t="shared" si="4"/>
        <v>0.1426169795</v>
      </c>
      <c r="L6016" s="2">
        <v>830.0</v>
      </c>
      <c r="M6016" s="3">
        <f t="shared" si="5"/>
        <v>0.5804195804</v>
      </c>
      <c r="N6016" s="2">
        <v>7763800.0</v>
      </c>
      <c r="O6016" s="4">
        <f t="shared" si="6"/>
        <v>5429.230769</v>
      </c>
      <c r="P6016" s="2">
        <v>2.0</v>
      </c>
      <c r="Q6016" s="3">
        <f t="shared" si="7"/>
        <v>0.00304414003</v>
      </c>
      <c r="R6016" s="2">
        <v>657.0</v>
      </c>
      <c r="S6016" s="5">
        <f t="shared" si="8"/>
        <v>1</v>
      </c>
    </row>
    <row r="6017">
      <c r="A6017" s="2" t="s">
        <v>6016</v>
      </c>
      <c r="B6017" s="2">
        <v>29.0</v>
      </c>
      <c r="C6017" s="2">
        <v>350.0</v>
      </c>
      <c r="D6017" s="2">
        <v>91.0</v>
      </c>
      <c r="E6017" s="3">
        <f t="shared" si="1"/>
        <v>0.2834890966</v>
      </c>
      <c r="F6017" s="2">
        <v>38.0</v>
      </c>
      <c r="G6017" s="3">
        <f t="shared" si="2"/>
        <v>0.1183800623</v>
      </c>
      <c r="H6017" s="2">
        <v>63.0</v>
      </c>
      <c r="I6017" s="3">
        <f t="shared" si="3"/>
        <v>0.1962616822</v>
      </c>
      <c r="J6017" s="2">
        <v>59.0</v>
      </c>
      <c r="K6017" s="3">
        <f t="shared" si="4"/>
        <v>0.1838006231</v>
      </c>
      <c r="L6017" s="2">
        <v>36.0</v>
      </c>
      <c r="M6017" s="3">
        <f t="shared" si="5"/>
        <v>0.5714285714</v>
      </c>
      <c r="N6017" s="2">
        <v>331400.0</v>
      </c>
      <c r="O6017" s="4">
        <f t="shared" si="6"/>
        <v>5260.31746</v>
      </c>
      <c r="P6017" s="2">
        <v>0.0</v>
      </c>
      <c r="Q6017" s="3">
        <f t="shared" si="7"/>
        <v>0</v>
      </c>
      <c r="R6017" s="2">
        <v>29.0</v>
      </c>
      <c r="S6017" s="5">
        <f t="shared" si="8"/>
        <v>1</v>
      </c>
    </row>
    <row r="6018">
      <c r="A6018" s="2" t="s">
        <v>6017</v>
      </c>
      <c r="B6018" s="2">
        <v>133.0</v>
      </c>
      <c r="C6018" s="2">
        <v>1586.0</v>
      </c>
      <c r="D6018" s="2">
        <v>550.0</v>
      </c>
      <c r="E6018" s="3">
        <f t="shared" si="1"/>
        <v>0.3785271851</v>
      </c>
      <c r="F6018" s="2">
        <v>172.0</v>
      </c>
      <c r="G6018" s="3">
        <f t="shared" si="2"/>
        <v>0.1183757743</v>
      </c>
      <c r="H6018" s="2">
        <v>280.0</v>
      </c>
      <c r="I6018" s="3">
        <f t="shared" si="3"/>
        <v>0.1927047488</v>
      </c>
      <c r="J6018" s="2">
        <v>214.0</v>
      </c>
      <c r="K6018" s="3">
        <f t="shared" si="4"/>
        <v>0.1472814866</v>
      </c>
      <c r="L6018" s="2">
        <v>153.0</v>
      </c>
      <c r="M6018" s="3">
        <f t="shared" si="5"/>
        <v>0.5464285714</v>
      </c>
      <c r="N6018" s="2">
        <v>1455900.0</v>
      </c>
      <c r="O6018" s="4">
        <f t="shared" si="6"/>
        <v>5199.642857</v>
      </c>
      <c r="P6018" s="2">
        <v>0.0</v>
      </c>
      <c r="Q6018" s="3">
        <f t="shared" si="7"/>
        <v>0</v>
      </c>
      <c r="R6018" s="2">
        <v>133.0</v>
      </c>
      <c r="S6018" s="5">
        <f t="shared" si="8"/>
        <v>1</v>
      </c>
    </row>
    <row r="6019">
      <c r="A6019" s="2" t="s">
        <v>6018</v>
      </c>
      <c r="B6019" s="2">
        <v>308.0</v>
      </c>
      <c r="C6019" s="2">
        <v>3628.0</v>
      </c>
      <c r="D6019" s="2">
        <v>1276.0</v>
      </c>
      <c r="E6019" s="3">
        <f t="shared" si="1"/>
        <v>0.3843373494</v>
      </c>
      <c r="F6019" s="2">
        <v>393.0</v>
      </c>
      <c r="G6019" s="3">
        <f t="shared" si="2"/>
        <v>0.118373494</v>
      </c>
      <c r="H6019" s="2">
        <v>713.0</v>
      </c>
      <c r="I6019" s="3">
        <f t="shared" si="3"/>
        <v>0.2147590361</v>
      </c>
      <c r="J6019" s="2">
        <v>582.0</v>
      </c>
      <c r="K6019" s="3">
        <f t="shared" si="4"/>
        <v>0.1753012048</v>
      </c>
      <c r="L6019" s="2">
        <v>426.0</v>
      </c>
      <c r="M6019" s="3">
        <f t="shared" si="5"/>
        <v>0.5974754558</v>
      </c>
      <c r="N6019" s="2">
        <v>3973500.0</v>
      </c>
      <c r="O6019" s="4">
        <f t="shared" si="6"/>
        <v>5572.931276</v>
      </c>
      <c r="P6019" s="2">
        <v>0.0</v>
      </c>
      <c r="Q6019" s="3">
        <f t="shared" si="7"/>
        <v>0</v>
      </c>
      <c r="R6019" s="2">
        <v>308.0</v>
      </c>
      <c r="S6019" s="5">
        <f t="shared" si="8"/>
        <v>1</v>
      </c>
    </row>
    <row r="6020">
      <c r="A6020" s="2" t="s">
        <v>6019</v>
      </c>
      <c r="B6020" s="2">
        <v>924.0</v>
      </c>
      <c r="C6020" s="2">
        <v>10808.0</v>
      </c>
      <c r="D6020" s="2">
        <v>2549.0</v>
      </c>
      <c r="E6020" s="3">
        <f t="shared" si="1"/>
        <v>0.2578915419</v>
      </c>
      <c r="F6020" s="2">
        <v>1170.0</v>
      </c>
      <c r="G6020" s="3">
        <f t="shared" si="2"/>
        <v>0.1183731283</v>
      </c>
      <c r="H6020" s="2">
        <v>1958.0</v>
      </c>
      <c r="I6020" s="3">
        <f t="shared" si="3"/>
        <v>0.1980979361</v>
      </c>
      <c r="J6020" s="2">
        <v>1774.0</v>
      </c>
      <c r="K6020" s="3">
        <f t="shared" si="4"/>
        <v>0.1794819911</v>
      </c>
      <c r="L6020" s="2">
        <v>1150.0</v>
      </c>
      <c r="M6020" s="3">
        <f t="shared" si="5"/>
        <v>0.5873340143</v>
      </c>
      <c r="N6020" s="2">
        <v>1.1977E7</v>
      </c>
      <c r="O6020" s="4">
        <f t="shared" si="6"/>
        <v>6116.956078</v>
      </c>
      <c r="P6020" s="2">
        <v>4.0</v>
      </c>
      <c r="Q6020" s="3">
        <f t="shared" si="7"/>
        <v>0.004329004329</v>
      </c>
      <c r="R6020" s="2">
        <v>924.0</v>
      </c>
      <c r="S6020" s="5">
        <f t="shared" si="8"/>
        <v>1</v>
      </c>
    </row>
    <row r="6021">
      <c r="A6021" s="2" t="s">
        <v>6020</v>
      </c>
      <c r="B6021" s="2">
        <v>705.0</v>
      </c>
      <c r="C6021" s="2">
        <v>8190.0</v>
      </c>
      <c r="D6021" s="2">
        <v>1987.0</v>
      </c>
      <c r="E6021" s="3">
        <f t="shared" si="1"/>
        <v>0.2654642619</v>
      </c>
      <c r="F6021" s="2">
        <v>886.0</v>
      </c>
      <c r="G6021" s="3">
        <f t="shared" si="2"/>
        <v>0.1183700735</v>
      </c>
      <c r="H6021" s="2">
        <v>1521.0</v>
      </c>
      <c r="I6021" s="3">
        <f t="shared" si="3"/>
        <v>0.2032064128</v>
      </c>
      <c r="J6021" s="2">
        <v>1327.0</v>
      </c>
      <c r="K6021" s="3">
        <f t="shared" si="4"/>
        <v>0.1772879092</v>
      </c>
      <c r="L6021" s="2">
        <v>884.0</v>
      </c>
      <c r="M6021" s="3">
        <f t="shared" si="5"/>
        <v>0.5811965812</v>
      </c>
      <c r="N6021" s="2">
        <v>8986500.0</v>
      </c>
      <c r="O6021" s="4">
        <f t="shared" si="6"/>
        <v>5908.284024</v>
      </c>
      <c r="P6021" s="2">
        <v>4.0</v>
      </c>
      <c r="Q6021" s="3">
        <f t="shared" si="7"/>
        <v>0.005673758865</v>
      </c>
      <c r="R6021" s="2">
        <v>705.0</v>
      </c>
      <c r="S6021" s="5">
        <f t="shared" si="8"/>
        <v>1</v>
      </c>
    </row>
    <row r="6022">
      <c r="A6022" s="2" t="s">
        <v>6021</v>
      </c>
      <c r="B6022" s="2">
        <v>2266.0</v>
      </c>
      <c r="C6022" s="2">
        <v>26800.0</v>
      </c>
      <c r="D6022" s="2">
        <v>8519.0</v>
      </c>
      <c r="E6022" s="3">
        <f t="shared" si="1"/>
        <v>0.3472324122</v>
      </c>
      <c r="F6022" s="2">
        <v>2904.0</v>
      </c>
      <c r="G6022" s="3">
        <f t="shared" si="2"/>
        <v>0.1183663487</v>
      </c>
      <c r="H6022" s="2">
        <v>5180.0</v>
      </c>
      <c r="I6022" s="3">
        <f t="shared" si="3"/>
        <v>0.211135567</v>
      </c>
      <c r="J6022" s="2">
        <v>3751.0</v>
      </c>
      <c r="K6022" s="3">
        <f t="shared" si="4"/>
        <v>0.1528898671</v>
      </c>
      <c r="L6022" s="2">
        <v>3148.0</v>
      </c>
      <c r="M6022" s="3">
        <f t="shared" si="5"/>
        <v>0.6077220077</v>
      </c>
      <c r="N6022" s="2">
        <v>2.92391E7</v>
      </c>
      <c r="O6022" s="4">
        <f t="shared" si="6"/>
        <v>5644.6139</v>
      </c>
      <c r="P6022" s="2">
        <v>6.0</v>
      </c>
      <c r="Q6022" s="3">
        <f t="shared" si="7"/>
        <v>0.002647837599</v>
      </c>
      <c r="R6022" s="2">
        <v>2051.0</v>
      </c>
      <c r="S6022" s="5">
        <f t="shared" si="8"/>
        <v>0.9051191527</v>
      </c>
    </row>
    <row r="6023">
      <c r="A6023" s="2" t="s">
        <v>6022</v>
      </c>
      <c r="B6023" s="2">
        <v>1326.0</v>
      </c>
      <c r="C6023" s="2">
        <v>15548.0</v>
      </c>
      <c r="D6023" s="2">
        <v>5192.0</v>
      </c>
      <c r="E6023" s="3">
        <f t="shared" si="1"/>
        <v>0.3650682042</v>
      </c>
      <c r="F6023" s="2">
        <v>1683.0</v>
      </c>
      <c r="G6023" s="3">
        <f t="shared" si="2"/>
        <v>0.1183377865</v>
      </c>
      <c r="H6023" s="2">
        <v>2954.0</v>
      </c>
      <c r="I6023" s="3">
        <f t="shared" si="3"/>
        <v>0.2077063704</v>
      </c>
      <c r="J6023" s="2">
        <v>2333.0</v>
      </c>
      <c r="K6023" s="3">
        <f t="shared" si="4"/>
        <v>0.1640416257</v>
      </c>
      <c r="L6023" s="2">
        <v>1787.0</v>
      </c>
      <c r="M6023" s="3">
        <f t="shared" si="5"/>
        <v>0.6049424509</v>
      </c>
      <c r="N6023" s="2">
        <v>1.72777E7</v>
      </c>
      <c r="O6023" s="4">
        <f t="shared" si="6"/>
        <v>5848.916723</v>
      </c>
      <c r="P6023" s="2">
        <v>3.0</v>
      </c>
      <c r="Q6023" s="3">
        <f t="shared" si="7"/>
        <v>0.002262443439</v>
      </c>
      <c r="R6023" s="2">
        <v>1161.0</v>
      </c>
      <c r="S6023" s="5">
        <f t="shared" si="8"/>
        <v>0.8755656109</v>
      </c>
    </row>
    <row r="6024">
      <c r="A6024" s="2" t="s">
        <v>6023</v>
      </c>
      <c r="B6024" s="2">
        <v>181.0</v>
      </c>
      <c r="C6024" s="2">
        <v>2150.0</v>
      </c>
      <c r="D6024" s="2">
        <v>601.0</v>
      </c>
      <c r="E6024" s="3">
        <f t="shared" si="1"/>
        <v>0.3052310818</v>
      </c>
      <c r="F6024" s="2">
        <v>233.0</v>
      </c>
      <c r="G6024" s="3">
        <f t="shared" si="2"/>
        <v>0.1183341798</v>
      </c>
      <c r="H6024" s="2">
        <v>420.0</v>
      </c>
      <c r="I6024" s="3">
        <f t="shared" si="3"/>
        <v>0.2133062468</v>
      </c>
      <c r="J6024" s="2">
        <v>314.0</v>
      </c>
      <c r="K6024" s="3">
        <f t="shared" si="4"/>
        <v>0.1594718131</v>
      </c>
      <c r="L6024" s="2">
        <v>242.0</v>
      </c>
      <c r="M6024" s="3">
        <f t="shared" si="5"/>
        <v>0.5761904762</v>
      </c>
      <c r="N6024" s="2">
        <v>2362200.0</v>
      </c>
      <c r="O6024" s="4">
        <f t="shared" si="6"/>
        <v>5624.285714</v>
      </c>
      <c r="P6024" s="2">
        <v>0.0</v>
      </c>
      <c r="Q6024" s="3">
        <f t="shared" si="7"/>
        <v>0</v>
      </c>
      <c r="R6024" s="2">
        <v>181.0</v>
      </c>
      <c r="S6024" s="5">
        <f t="shared" si="8"/>
        <v>1</v>
      </c>
    </row>
    <row r="6025">
      <c r="A6025" s="2" t="s">
        <v>6024</v>
      </c>
      <c r="B6025" s="2">
        <v>25.0</v>
      </c>
      <c r="C6025" s="2">
        <v>287.0</v>
      </c>
      <c r="D6025" s="2">
        <v>102.0</v>
      </c>
      <c r="E6025" s="3">
        <f t="shared" si="1"/>
        <v>0.3893129771</v>
      </c>
      <c r="F6025" s="2">
        <v>31.0</v>
      </c>
      <c r="G6025" s="3">
        <f t="shared" si="2"/>
        <v>0.1183206107</v>
      </c>
      <c r="H6025" s="2">
        <v>45.0</v>
      </c>
      <c r="I6025" s="3">
        <f t="shared" si="3"/>
        <v>0.1717557252</v>
      </c>
      <c r="J6025" s="2">
        <v>36.0</v>
      </c>
      <c r="K6025" s="3">
        <f t="shared" si="4"/>
        <v>0.1374045802</v>
      </c>
      <c r="L6025" s="2">
        <v>32.0</v>
      </c>
      <c r="M6025" s="3">
        <f t="shared" si="5"/>
        <v>0.7111111111</v>
      </c>
      <c r="N6025" s="2">
        <v>257000.0</v>
      </c>
      <c r="O6025" s="4">
        <f t="shared" si="6"/>
        <v>5711.111111</v>
      </c>
      <c r="P6025" s="2">
        <v>0.0</v>
      </c>
      <c r="Q6025" s="3">
        <f t="shared" si="7"/>
        <v>0</v>
      </c>
      <c r="R6025" s="2">
        <v>25.0</v>
      </c>
      <c r="S6025" s="5">
        <f t="shared" si="8"/>
        <v>1</v>
      </c>
    </row>
    <row r="6026">
      <c r="A6026" s="2" t="s">
        <v>6025</v>
      </c>
      <c r="B6026" s="2">
        <v>64.0</v>
      </c>
      <c r="C6026" s="2">
        <v>774.0</v>
      </c>
      <c r="D6026" s="2">
        <v>231.0</v>
      </c>
      <c r="E6026" s="3">
        <f t="shared" si="1"/>
        <v>0.3253521127</v>
      </c>
      <c r="F6026" s="2">
        <v>84.0</v>
      </c>
      <c r="G6026" s="3">
        <f t="shared" si="2"/>
        <v>0.1183098592</v>
      </c>
      <c r="H6026" s="2">
        <v>123.0</v>
      </c>
      <c r="I6026" s="3">
        <f t="shared" si="3"/>
        <v>0.1732394366</v>
      </c>
      <c r="J6026" s="2">
        <v>92.0</v>
      </c>
      <c r="K6026" s="3">
        <f t="shared" si="4"/>
        <v>0.1295774648</v>
      </c>
      <c r="L6026" s="2">
        <v>77.0</v>
      </c>
      <c r="M6026" s="3">
        <f t="shared" si="5"/>
        <v>0.6260162602</v>
      </c>
      <c r="N6026" s="2">
        <v>642700.0</v>
      </c>
      <c r="O6026" s="4">
        <f t="shared" si="6"/>
        <v>5225.203252</v>
      </c>
      <c r="P6026" s="2">
        <v>0.0</v>
      </c>
      <c r="Q6026" s="3">
        <f t="shared" si="7"/>
        <v>0</v>
      </c>
      <c r="R6026" s="2">
        <v>64.0</v>
      </c>
      <c r="S6026" s="5">
        <f t="shared" si="8"/>
        <v>1</v>
      </c>
    </row>
    <row r="6027">
      <c r="A6027" s="2" t="s">
        <v>6026</v>
      </c>
      <c r="B6027" s="2">
        <v>251.0</v>
      </c>
      <c r="C6027" s="2">
        <v>2922.0</v>
      </c>
      <c r="D6027" s="2">
        <v>1054.0</v>
      </c>
      <c r="E6027" s="3">
        <f t="shared" si="1"/>
        <v>0.3946087608</v>
      </c>
      <c r="F6027" s="2">
        <v>316.0</v>
      </c>
      <c r="G6027" s="3">
        <f t="shared" si="2"/>
        <v>0.1183077499</v>
      </c>
      <c r="H6027" s="2">
        <v>549.0</v>
      </c>
      <c r="I6027" s="3">
        <f t="shared" si="3"/>
        <v>0.2055409959</v>
      </c>
      <c r="J6027" s="2">
        <v>367.0</v>
      </c>
      <c r="K6027" s="3">
        <f t="shared" si="4"/>
        <v>0.1374017222</v>
      </c>
      <c r="L6027" s="2">
        <v>331.0</v>
      </c>
      <c r="M6027" s="3">
        <f t="shared" si="5"/>
        <v>0.6029143898</v>
      </c>
      <c r="N6027" s="2">
        <v>2928100.0</v>
      </c>
      <c r="O6027" s="4">
        <f t="shared" si="6"/>
        <v>5333.515483</v>
      </c>
      <c r="P6027" s="2">
        <v>0.0</v>
      </c>
      <c r="Q6027" s="3">
        <f t="shared" si="7"/>
        <v>0</v>
      </c>
      <c r="R6027" s="2">
        <v>21.0</v>
      </c>
      <c r="S6027" s="5">
        <f t="shared" si="8"/>
        <v>0.08366533865</v>
      </c>
    </row>
    <row r="6028">
      <c r="A6028" s="2" t="s">
        <v>6027</v>
      </c>
      <c r="B6028" s="2">
        <v>819.0</v>
      </c>
      <c r="C6028" s="2">
        <v>9703.0</v>
      </c>
      <c r="D6028" s="2">
        <v>3417.0</v>
      </c>
      <c r="E6028" s="3">
        <f t="shared" si="1"/>
        <v>0.3846240432</v>
      </c>
      <c r="F6028" s="2">
        <v>1051.0</v>
      </c>
      <c r="G6028" s="3">
        <f t="shared" si="2"/>
        <v>0.1183025664</v>
      </c>
      <c r="H6028" s="2">
        <v>1962.0</v>
      </c>
      <c r="I6028" s="3">
        <f t="shared" si="3"/>
        <v>0.2208464656</v>
      </c>
      <c r="J6028" s="2">
        <v>1625.0</v>
      </c>
      <c r="K6028" s="3">
        <f t="shared" si="4"/>
        <v>0.1829131022</v>
      </c>
      <c r="L6028" s="2">
        <v>1169.0</v>
      </c>
      <c r="M6028" s="3">
        <f t="shared" si="5"/>
        <v>0.5958205912</v>
      </c>
      <c r="N6028" s="2">
        <v>1.15986E7</v>
      </c>
      <c r="O6028" s="4">
        <f t="shared" si="6"/>
        <v>5911.620795</v>
      </c>
      <c r="P6028" s="2">
        <v>2.0</v>
      </c>
      <c r="Q6028" s="3">
        <f t="shared" si="7"/>
        <v>0.002442002442</v>
      </c>
      <c r="R6028" s="2">
        <v>819.0</v>
      </c>
      <c r="S6028" s="5">
        <f t="shared" si="8"/>
        <v>1</v>
      </c>
    </row>
    <row r="6029">
      <c r="A6029" s="2" t="s">
        <v>6028</v>
      </c>
      <c r="B6029" s="2">
        <v>752.0</v>
      </c>
      <c r="C6029" s="2">
        <v>8757.0</v>
      </c>
      <c r="D6029" s="2">
        <v>2917.0</v>
      </c>
      <c r="E6029" s="3">
        <f t="shared" si="1"/>
        <v>0.3643972517</v>
      </c>
      <c r="F6029" s="2">
        <v>947.0</v>
      </c>
      <c r="G6029" s="3">
        <f t="shared" si="2"/>
        <v>0.1183010618</v>
      </c>
      <c r="H6029" s="2">
        <v>1627.0</v>
      </c>
      <c r="I6029" s="3">
        <f t="shared" si="3"/>
        <v>0.20324797</v>
      </c>
      <c r="J6029" s="2">
        <v>1363.0</v>
      </c>
      <c r="K6029" s="3">
        <f t="shared" si="4"/>
        <v>0.1702685821</v>
      </c>
      <c r="L6029" s="2">
        <v>968.0</v>
      </c>
      <c r="M6029" s="3">
        <f t="shared" si="5"/>
        <v>0.5949600492</v>
      </c>
      <c r="N6029" s="2">
        <v>9036200.0</v>
      </c>
      <c r="O6029" s="4">
        <f t="shared" si="6"/>
        <v>5553.902889</v>
      </c>
      <c r="P6029" s="2">
        <v>2.0</v>
      </c>
      <c r="Q6029" s="3">
        <f t="shared" si="7"/>
        <v>0.002659574468</v>
      </c>
      <c r="R6029" s="2">
        <v>752.0</v>
      </c>
      <c r="S6029" s="5">
        <f t="shared" si="8"/>
        <v>1</v>
      </c>
    </row>
    <row r="6030">
      <c r="A6030" s="2" t="s">
        <v>6029</v>
      </c>
      <c r="B6030" s="2">
        <v>207.0</v>
      </c>
      <c r="C6030" s="2">
        <v>2481.0</v>
      </c>
      <c r="D6030" s="2">
        <v>699.0</v>
      </c>
      <c r="E6030" s="3">
        <f t="shared" si="1"/>
        <v>0.3073878628</v>
      </c>
      <c r="F6030" s="2">
        <v>269.0</v>
      </c>
      <c r="G6030" s="3">
        <f t="shared" si="2"/>
        <v>0.1182937555</v>
      </c>
      <c r="H6030" s="2">
        <v>476.0</v>
      </c>
      <c r="I6030" s="3">
        <f t="shared" si="3"/>
        <v>0.2093227792</v>
      </c>
      <c r="J6030" s="2">
        <v>370.0</v>
      </c>
      <c r="K6030" s="3">
        <f t="shared" si="4"/>
        <v>0.162708883</v>
      </c>
      <c r="L6030" s="2">
        <v>277.0</v>
      </c>
      <c r="M6030" s="3">
        <f t="shared" si="5"/>
        <v>0.5819327731</v>
      </c>
      <c r="N6030" s="2">
        <v>2817500.0</v>
      </c>
      <c r="O6030" s="4">
        <f t="shared" si="6"/>
        <v>5919.117647</v>
      </c>
      <c r="P6030" s="2">
        <v>1.0</v>
      </c>
      <c r="Q6030" s="3">
        <f t="shared" si="7"/>
        <v>0.004830917874</v>
      </c>
      <c r="R6030" s="2">
        <v>0.0</v>
      </c>
      <c r="S6030" s="5">
        <f t="shared" si="8"/>
        <v>0</v>
      </c>
    </row>
    <row r="6031">
      <c r="A6031" s="2" t="s">
        <v>6030</v>
      </c>
      <c r="B6031" s="2">
        <v>912.0</v>
      </c>
      <c r="C6031" s="2">
        <v>10786.0</v>
      </c>
      <c r="D6031" s="2">
        <v>3697.0</v>
      </c>
      <c r="E6031" s="3">
        <f t="shared" si="1"/>
        <v>0.3744176625</v>
      </c>
      <c r="F6031" s="2">
        <v>1168.0</v>
      </c>
      <c r="G6031" s="3">
        <f t="shared" si="2"/>
        <v>0.1182904598</v>
      </c>
      <c r="H6031" s="2">
        <v>2030.0</v>
      </c>
      <c r="I6031" s="3">
        <f t="shared" si="3"/>
        <v>0.2055904395</v>
      </c>
      <c r="J6031" s="2">
        <v>1346.0</v>
      </c>
      <c r="K6031" s="3">
        <f t="shared" si="4"/>
        <v>0.1363176018</v>
      </c>
      <c r="L6031" s="2">
        <v>1236.0</v>
      </c>
      <c r="M6031" s="3">
        <f t="shared" si="5"/>
        <v>0.6088669951</v>
      </c>
      <c r="N6031" s="2">
        <v>1.07096E7</v>
      </c>
      <c r="O6031" s="4">
        <f t="shared" si="6"/>
        <v>5275.665025</v>
      </c>
      <c r="P6031" s="2">
        <v>4.0</v>
      </c>
      <c r="Q6031" s="3">
        <f t="shared" si="7"/>
        <v>0.004385964912</v>
      </c>
      <c r="R6031" s="2">
        <v>912.0</v>
      </c>
      <c r="S6031" s="5">
        <f t="shared" si="8"/>
        <v>1</v>
      </c>
    </row>
    <row r="6032">
      <c r="A6032" s="2" t="s">
        <v>6031</v>
      </c>
      <c r="B6032" s="2">
        <v>557.0</v>
      </c>
      <c r="C6032" s="2">
        <v>6627.0</v>
      </c>
      <c r="D6032" s="2">
        <v>2327.0</v>
      </c>
      <c r="E6032" s="3">
        <f t="shared" si="1"/>
        <v>0.3833607908</v>
      </c>
      <c r="F6032" s="2">
        <v>718.0</v>
      </c>
      <c r="G6032" s="3">
        <f t="shared" si="2"/>
        <v>0.1182866557</v>
      </c>
      <c r="H6032" s="2">
        <v>1297.0</v>
      </c>
      <c r="I6032" s="3">
        <f t="shared" si="3"/>
        <v>0.2136738056</v>
      </c>
      <c r="J6032" s="2">
        <v>864.0</v>
      </c>
      <c r="K6032" s="3">
        <f t="shared" si="4"/>
        <v>0.142339374</v>
      </c>
      <c r="L6032" s="2">
        <v>763.0</v>
      </c>
      <c r="M6032" s="3">
        <f t="shared" si="5"/>
        <v>0.5882806476</v>
      </c>
      <c r="N6032" s="2">
        <v>7171100.0</v>
      </c>
      <c r="O6032" s="4">
        <f t="shared" si="6"/>
        <v>5528.989977</v>
      </c>
      <c r="P6032" s="2">
        <v>2.0</v>
      </c>
      <c r="Q6032" s="3">
        <f t="shared" si="7"/>
        <v>0.003590664273</v>
      </c>
      <c r="R6032" s="2">
        <v>0.0</v>
      </c>
      <c r="S6032" s="5">
        <f t="shared" si="8"/>
        <v>0</v>
      </c>
    </row>
    <row r="6033">
      <c r="A6033" s="2" t="s">
        <v>6032</v>
      </c>
      <c r="B6033" s="2">
        <v>8157.0</v>
      </c>
      <c r="C6033" s="2">
        <v>95363.0</v>
      </c>
      <c r="D6033" s="2">
        <v>29543.0</v>
      </c>
      <c r="E6033" s="3">
        <f t="shared" si="1"/>
        <v>0.3387725615</v>
      </c>
      <c r="F6033" s="2">
        <v>10315.0</v>
      </c>
      <c r="G6033" s="3">
        <f t="shared" si="2"/>
        <v>0.1182831457</v>
      </c>
      <c r="H6033" s="2">
        <v>18975.0</v>
      </c>
      <c r="I6033" s="3">
        <f t="shared" si="3"/>
        <v>0.2175882393</v>
      </c>
      <c r="J6033" s="2">
        <v>15937.0</v>
      </c>
      <c r="K6033" s="3">
        <f t="shared" si="4"/>
        <v>0.1827511868</v>
      </c>
      <c r="L6033" s="2">
        <v>11221.0</v>
      </c>
      <c r="M6033" s="3">
        <f t="shared" si="5"/>
        <v>0.5913570487</v>
      </c>
      <c r="N6033" s="2">
        <v>1.102118E8</v>
      </c>
      <c r="O6033" s="4">
        <f t="shared" si="6"/>
        <v>5808.263505</v>
      </c>
      <c r="P6033" s="2">
        <v>12.0</v>
      </c>
      <c r="Q6033" s="3">
        <f t="shared" si="7"/>
        <v>0.001471129092</v>
      </c>
      <c r="R6033" s="2">
        <v>8156.0</v>
      </c>
      <c r="S6033" s="5">
        <f t="shared" si="8"/>
        <v>0.9998774059</v>
      </c>
    </row>
    <row r="6034">
      <c r="A6034" s="2" t="s">
        <v>6033</v>
      </c>
      <c r="B6034" s="2">
        <v>761.0</v>
      </c>
      <c r="C6034" s="2">
        <v>9004.0</v>
      </c>
      <c r="D6034" s="2">
        <v>2713.0</v>
      </c>
      <c r="E6034" s="3">
        <f t="shared" si="1"/>
        <v>0.3291277448</v>
      </c>
      <c r="F6034" s="2">
        <v>975.0</v>
      </c>
      <c r="G6034" s="3">
        <f t="shared" si="2"/>
        <v>0.1182821788</v>
      </c>
      <c r="H6034" s="2">
        <v>1649.0</v>
      </c>
      <c r="I6034" s="3">
        <f t="shared" si="3"/>
        <v>0.200048526</v>
      </c>
      <c r="J6034" s="2">
        <v>1178.0</v>
      </c>
      <c r="K6034" s="3">
        <f t="shared" si="4"/>
        <v>0.142909135</v>
      </c>
      <c r="L6034" s="2">
        <v>968.0</v>
      </c>
      <c r="M6034" s="3">
        <f t="shared" si="5"/>
        <v>0.5870224378</v>
      </c>
      <c r="N6034" s="2">
        <v>9659600.0</v>
      </c>
      <c r="O6034" s="4">
        <f t="shared" si="6"/>
        <v>5857.853244</v>
      </c>
      <c r="P6034" s="2">
        <v>5.0</v>
      </c>
      <c r="Q6034" s="3">
        <f t="shared" si="7"/>
        <v>0.006570302234</v>
      </c>
      <c r="R6034" s="2">
        <v>718.0</v>
      </c>
      <c r="S6034" s="5">
        <f t="shared" si="8"/>
        <v>0.9434954008</v>
      </c>
    </row>
    <row r="6035">
      <c r="A6035" s="2" t="s">
        <v>6034</v>
      </c>
      <c r="B6035" s="2">
        <v>141.0</v>
      </c>
      <c r="C6035" s="2">
        <v>1722.0</v>
      </c>
      <c r="D6035" s="2">
        <v>532.0</v>
      </c>
      <c r="E6035" s="3">
        <f t="shared" si="1"/>
        <v>0.3364958887</v>
      </c>
      <c r="F6035" s="2">
        <v>187.0</v>
      </c>
      <c r="G6035" s="3">
        <f t="shared" si="2"/>
        <v>0.1182795699</v>
      </c>
      <c r="H6035" s="2">
        <v>318.0</v>
      </c>
      <c r="I6035" s="3">
        <f t="shared" si="3"/>
        <v>0.2011385199</v>
      </c>
      <c r="J6035" s="2">
        <v>248.0</v>
      </c>
      <c r="K6035" s="3">
        <f t="shared" si="4"/>
        <v>0.1568627451</v>
      </c>
      <c r="L6035" s="2">
        <v>185.0</v>
      </c>
      <c r="M6035" s="3">
        <f t="shared" si="5"/>
        <v>0.5817610063</v>
      </c>
      <c r="N6035" s="2">
        <v>1780600.0</v>
      </c>
      <c r="O6035" s="4">
        <f t="shared" si="6"/>
        <v>5599.371069</v>
      </c>
      <c r="P6035" s="2">
        <v>0.0</v>
      </c>
      <c r="Q6035" s="3">
        <f t="shared" si="7"/>
        <v>0</v>
      </c>
      <c r="R6035" s="2">
        <v>53.0</v>
      </c>
      <c r="S6035" s="5">
        <f t="shared" si="8"/>
        <v>0.3758865248</v>
      </c>
    </row>
    <row r="6036">
      <c r="A6036" s="2" t="s">
        <v>6035</v>
      </c>
      <c r="B6036" s="2">
        <v>301.0</v>
      </c>
      <c r="C6036" s="2">
        <v>3548.0</v>
      </c>
      <c r="D6036" s="2">
        <v>1285.0</v>
      </c>
      <c r="E6036" s="3">
        <f t="shared" si="1"/>
        <v>0.395749923</v>
      </c>
      <c r="F6036" s="2">
        <v>384.0</v>
      </c>
      <c r="G6036" s="3">
        <f t="shared" si="2"/>
        <v>0.118263012</v>
      </c>
      <c r="H6036" s="2">
        <v>716.0</v>
      </c>
      <c r="I6036" s="3">
        <f t="shared" si="3"/>
        <v>0.2205112411</v>
      </c>
      <c r="J6036" s="2">
        <v>526.0</v>
      </c>
      <c r="K6036" s="3">
        <f t="shared" si="4"/>
        <v>0.1619956883</v>
      </c>
      <c r="L6036" s="2">
        <v>424.0</v>
      </c>
      <c r="M6036" s="3">
        <f t="shared" si="5"/>
        <v>0.5921787709</v>
      </c>
      <c r="N6036" s="2">
        <v>3708500.0</v>
      </c>
      <c r="O6036" s="4">
        <f t="shared" si="6"/>
        <v>5179.469274</v>
      </c>
      <c r="P6036" s="2">
        <v>0.0</v>
      </c>
      <c r="Q6036" s="3">
        <f t="shared" si="7"/>
        <v>0</v>
      </c>
      <c r="R6036" s="2">
        <v>301.0</v>
      </c>
      <c r="S6036" s="5">
        <f t="shared" si="8"/>
        <v>1</v>
      </c>
    </row>
    <row r="6037">
      <c r="A6037" s="2" t="s">
        <v>6036</v>
      </c>
      <c r="B6037" s="2">
        <v>2299.0</v>
      </c>
      <c r="C6037" s="2">
        <v>26935.0</v>
      </c>
      <c r="D6037" s="2">
        <v>8052.0</v>
      </c>
      <c r="E6037" s="3">
        <f t="shared" si="1"/>
        <v>0.3268387725</v>
      </c>
      <c r="F6037" s="2">
        <v>2913.0</v>
      </c>
      <c r="G6037" s="3">
        <f t="shared" si="2"/>
        <v>0.1182415977</v>
      </c>
      <c r="H6037" s="2">
        <v>5096.0</v>
      </c>
      <c r="I6037" s="3">
        <f t="shared" si="3"/>
        <v>0.2068517616</v>
      </c>
      <c r="J6037" s="2">
        <v>3897.0</v>
      </c>
      <c r="K6037" s="3">
        <f t="shared" si="4"/>
        <v>0.1581831466</v>
      </c>
      <c r="L6037" s="2">
        <v>3064.0</v>
      </c>
      <c r="M6037" s="3">
        <f t="shared" si="5"/>
        <v>0.601255887</v>
      </c>
      <c r="N6037" s="2">
        <v>2.77564E7</v>
      </c>
      <c r="O6037" s="4">
        <f t="shared" si="6"/>
        <v>5446.703297</v>
      </c>
      <c r="P6037" s="2">
        <v>7.0</v>
      </c>
      <c r="Q6037" s="3">
        <f t="shared" si="7"/>
        <v>0.003044802088</v>
      </c>
      <c r="R6037" s="2">
        <v>2299.0</v>
      </c>
      <c r="S6037" s="5">
        <f t="shared" si="8"/>
        <v>1</v>
      </c>
    </row>
    <row r="6038">
      <c r="A6038" s="2" t="s">
        <v>6037</v>
      </c>
      <c r="B6038" s="2">
        <v>3823.0</v>
      </c>
      <c r="C6038" s="2">
        <v>45047.0</v>
      </c>
      <c r="D6038" s="2">
        <v>12695.0</v>
      </c>
      <c r="E6038" s="3">
        <f t="shared" si="1"/>
        <v>0.3079516786</v>
      </c>
      <c r="F6038" s="2">
        <v>4874.0</v>
      </c>
      <c r="G6038" s="3">
        <f t="shared" si="2"/>
        <v>0.1182320978</v>
      </c>
      <c r="H6038" s="2">
        <v>8277.0</v>
      </c>
      <c r="I6038" s="3">
        <f t="shared" si="3"/>
        <v>0.2007810984</v>
      </c>
      <c r="J6038" s="2">
        <v>7176.0</v>
      </c>
      <c r="K6038" s="3">
        <f t="shared" si="4"/>
        <v>0.1740733553</v>
      </c>
      <c r="L6038" s="2">
        <v>4838.0</v>
      </c>
      <c r="M6038" s="3">
        <f t="shared" si="5"/>
        <v>0.5845112964</v>
      </c>
      <c r="N6038" s="2">
        <v>4.875E7</v>
      </c>
      <c r="O6038" s="4">
        <f t="shared" si="6"/>
        <v>5889.81515</v>
      </c>
      <c r="P6038" s="2">
        <v>5.0</v>
      </c>
      <c r="Q6038" s="3">
        <f t="shared" si="7"/>
        <v>0.001307873398</v>
      </c>
      <c r="R6038" s="2">
        <v>3823.0</v>
      </c>
      <c r="S6038" s="5">
        <f t="shared" si="8"/>
        <v>1</v>
      </c>
    </row>
    <row r="6039">
      <c r="A6039" s="2" t="s">
        <v>6038</v>
      </c>
      <c r="B6039" s="2">
        <v>569.0</v>
      </c>
      <c r="C6039" s="2">
        <v>6676.0</v>
      </c>
      <c r="D6039" s="2">
        <v>2000.0</v>
      </c>
      <c r="E6039" s="3">
        <f t="shared" si="1"/>
        <v>0.3274930408</v>
      </c>
      <c r="F6039" s="2">
        <v>722.0</v>
      </c>
      <c r="G6039" s="3">
        <f t="shared" si="2"/>
        <v>0.1182249877</v>
      </c>
      <c r="H6039" s="2">
        <v>1278.0</v>
      </c>
      <c r="I6039" s="3">
        <f t="shared" si="3"/>
        <v>0.2092680531</v>
      </c>
      <c r="J6039" s="2">
        <v>1027.0</v>
      </c>
      <c r="K6039" s="3">
        <f t="shared" si="4"/>
        <v>0.1681676764</v>
      </c>
      <c r="L6039" s="2">
        <v>758.0</v>
      </c>
      <c r="M6039" s="3">
        <f t="shared" si="5"/>
        <v>0.593114241</v>
      </c>
      <c r="N6039" s="2">
        <v>6824000.0</v>
      </c>
      <c r="O6039" s="4">
        <f t="shared" si="6"/>
        <v>5339.593114</v>
      </c>
      <c r="P6039" s="2">
        <v>1.0</v>
      </c>
      <c r="Q6039" s="3">
        <f t="shared" si="7"/>
        <v>0.001757469244</v>
      </c>
      <c r="R6039" s="2">
        <v>569.0</v>
      </c>
      <c r="S6039" s="5">
        <f t="shared" si="8"/>
        <v>1</v>
      </c>
    </row>
    <row r="6040">
      <c r="A6040" s="2" t="s">
        <v>6039</v>
      </c>
      <c r="B6040" s="2">
        <v>180.0</v>
      </c>
      <c r="C6040" s="2">
        <v>2117.0</v>
      </c>
      <c r="D6040" s="2">
        <v>569.0</v>
      </c>
      <c r="E6040" s="3">
        <f t="shared" si="1"/>
        <v>0.2937532266</v>
      </c>
      <c r="F6040" s="2">
        <v>229.0</v>
      </c>
      <c r="G6040" s="3">
        <f t="shared" si="2"/>
        <v>0.1182240578</v>
      </c>
      <c r="H6040" s="2">
        <v>405.0</v>
      </c>
      <c r="I6040" s="3">
        <f t="shared" si="3"/>
        <v>0.2090862158</v>
      </c>
      <c r="J6040" s="2">
        <v>328.0</v>
      </c>
      <c r="K6040" s="3">
        <f t="shared" si="4"/>
        <v>0.1693340217</v>
      </c>
      <c r="L6040" s="2">
        <v>224.0</v>
      </c>
      <c r="M6040" s="3">
        <f t="shared" si="5"/>
        <v>0.5530864198</v>
      </c>
      <c r="N6040" s="2">
        <v>2473500.0</v>
      </c>
      <c r="O6040" s="4">
        <f t="shared" si="6"/>
        <v>6107.407407</v>
      </c>
      <c r="P6040" s="2">
        <v>1.0</v>
      </c>
      <c r="Q6040" s="3">
        <f t="shared" si="7"/>
        <v>0.005555555556</v>
      </c>
      <c r="R6040" s="2">
        <v>0.0</v>
      </c>
      <c r="S6040" s="5">
        <f t="shared" si="8"/>
        <v>0</v>
      </c>
    </row>
    <row r="6041">
      <c r="A6041" s="2" t="s">
        <v>6040</v>
      </c>
      <c r="B6041" s="2">
        <v>1441.0</v>
      </c>
      <c r="C6041" s="2">
        <v>16988.0</v>
      </c>
      <c r="D6041" s="2">
        <v>5022.0</v>
      </c>
      <c r="E6041" s="3">
        <f t="shared" si="1"/>
        <v>0.3230205184</v>
      </c>
      <c r="F6041" s="2">
        <v>1838.0</v>
      </c>
      <c r="G6041" s="3">
        <f t="shared" si="2"/>
        <v>0.118222165</v>
      </c>
      <c r="H6041" s="2">
        <v>3364.0</v>
      </c>
      <c r="I6041" s="3">
        <f t="shared" si="3"/>
        <v>0.2163761497</v>
      </c>
      <c r="J6041" s="2">
        <v>2574.0</v>
      </c>
      <c r="K6041" s="3">
        <f t="shared" si="4"/>
        <v>0.1655624879</v>
      </c>
      <c r="L6041" s="2">
        <v>2043.0</v>
      </c>
      <c r="M6041" s="3">
        <f t="shared" si="5"/>
        <v>0.6073127229</v>
      </c>
      <c r="N6041" s="2">
        <v>1.87419E7</v>
      </c>
      <c r="O6041" s="4">
        <f t="shared" si="6"/>
        <v>5571.313912</v>
      </c>
      <c r="P6041" s="2">
        <v>1.0</v>
      </c>
      <c r="Q6041" s="3">
        <f t="shared" si="7"/>
        <v>0.000693962526</v>
      </c>
      <c r="R6041" s="2">
        <v>1441.0</v>
      </c>
      <c r="S6041" s="5">
        <f t="shared" si="8"/>
        <v>1</v>
      </c>
    </row>
    <row r="6042">
      <c r="A6042" s="2" t="s">
        <v>6041</v>
      </c>
      <c r="B6042" s="2">
        <v>106.0</v>
      </c>
      <c r="C6042" s="2">
        <v>1248.0</v>
      </c>
      <c r="D6042" s="2">
        <v>468.0</v>
      </c>
      <c r="E6042" s="3">
        <f t="shared" si="1"/>
        <v>0.4098073555</v>
      </c>
      <c r="F6042" s="2">
        <v>135.0</v>
      </c>
      <c r="G6042" s="3">
        <f t="shared" si="2"/>
        <v>0.1182136602</v>
      </c>
      <c r="H6042" s="2">
        <v>255.0</v>
      </c>
      <c r="I6042" s="3">
        <f t="shared" si="3"/>
        <v>0.2232924694</v>
      </c>
      <c r="J6042" s="2">
        <v>193.0</v>
      </c>
      <c r="K6042" s="3">
        <f t="shared" si="4"/>
        <v>0.1690017513</v>
      </c>
      <c r="L6042" s="2">
        <v>136.0</v>
      </c>
      <c r="M6042" s="3">
        <f t="shared" si="5"/>
        <v>0.5333333333</v>
      </c>
      <c r="N6042" s="2">
        <v>1351600.0</v>
      </c>
      <c r="O6042" s="4">
        <f t="shared" si="6"/>
        <v>5300.392157</v>
      </c>
      <c r="P6042" s="2">
        <v>0.0</v>
      </c>
      <c r="Q6042" s="3">
        <f t="shared" si="7"/>
        <v>0</v>
      </c>
      <c r="R6042" s="2">
        <v>106.0</v>
      </c>
      <c r="S6042" s="5">
        <f t="shared" si="8"/>
        <v>1</v>
      </c>
    </row>
    <row r="6043">
      <c r="A6043" s="2" t="s">
        <v>6042</v>
      </c>
      <c r="B6043" s="2">
        <v>960.0</v>
      </c>
      <c r="C6043" s="2">
        <v>11138.0</v>
      </c>
      <c r="D6043" s="2">
        <v>3456.0</v>
      </c>
      <c r="E6043" s="3">
        <f t="shared" si="1"/>
        <v>0.3395559049</v>
      </c>
      <c r="F6043" s="2">
        <v>1203.0</v>
      </c>
      <c r="G6043" s="3">
        <f t="shared" si="2"/>
        <v>0.1181961093</v>
      </c>
      <c r="H6043" s="2">
        <v>2221.0</v>
      </c>
      <c r="I6043" s="3">
        <f t="shared" si="3"/>
        <v>0.2182157595</v>
      </c>
      <c r="J6043" s="2">
        <v>1784.0</v>
      </c>
      <c r="K6043" s="3">
        <f t="shared" si="4"/>
        <v>0.1752800157</v>
      </c>
      <c r="L6043" s="2">
        <v>1331.0</v>
      </c>
      <c r="M6043" s="3">
        <f t="shared" si="5"/>
        <v>0.5992796038</v>
      </c>
      <c r="N6043" s="2">
        <v>1.24707E7</v>
      </c>
      <c r="O6043" s="4">
        <f t="shared" si="6"/>
        <v>5614.903197</v>
      </c>
      <c r="P6043" s="2">
        <v>2.0</v>
      </c>
      <c r="Q6043" s="3">
        <f t="shared" si="7"/>
        <v>0.002083333333</v>
      </c>
      <c r="R6043" s="2">
        <v>960.0</v>
      </c>
      <c r="S6043" s="5">
        <f t="shared" si="8"/>
        <v>1</v>
      </c>
    </row>
    <row r="6044">
      <c r="A6044" s="2" t="s">
        <v>6043</v>
      </c>
      <c r="B6044" s="2">
        <v>128.0</v>
      </c>
      <c r="C6044" s="2">
        <v>1465.0</v>
      </c>
      <c r="D6044" s="2">
        <v>456.0</v>
      </c>
      <c r="E6044" s="3">
        <f t="shared" si="1"/>
        <v>0.3410620793</v>
      </c>
      <c r="F6044" s="2">
        <v>158.0</v>
      </c>
      <c r="G6044" s="3">
        <f t="shared" si="2"/>
        <v>0.1181750187</v>
      </c>
      <c r="H6044" s="2">
        <v>299.0</v>
      </c>
      <c r="I6044" s="3">
        <f t="shared" si="3"/>
        <v>0.2236350037</v>
      </c>
      <c r="J6044" s="2">
        <v>227.0</v>
      </c>
      <c r="K6044" s="3">
        <f t="shared" si="4"/>
        <v>0.1697830965</v>
      </c>
      <c r="L6044" s="2">
        <v>162.0</v>
      </c>
      <c r="M6044" s="3">
        <f t="shared" si="5"/>
        <v>0.5418060201</v>
      </c>
      <c r="N6044" s="2">
        <v>1800500.0</v>
      </c>
      <c r="O6044" s="4">
        <f t="shared" si="6"/>
        <v>6021.73913</v>
      </c>
      <c r="P6044" s="2">
        <v>0.0</v>
      </c>
      <c r="Q6044" s="3">
        <f t="shared" si="7"/>
        <v>0</v>
      </c>
      <c r="R6044" s="2">
        <v>0.0</v>
      </c>
      <c r="S6044" s="5">
        <f t="shared" si="8"/>
        <v>0</v>
      </c>
    </row>
    <row r="6045">
      <c r="A6045" s="2" t="s">
        <v>6044</v>
      </c>
      <c r="B6045" s="2">
        <v>100.0</v>
      </c>
      <c r="C6045" s="2">
        <v>1217.0</v>
      </c>
      <c r="D6045" s="2">
        <v>443.0</v>
      </c>
      <c r="E6045" s="3">
        <f t="shared" si="1"/>
        <v>0.3965980304</v>
      </c>
      <c r="F6045" s="2">
        <v>132.0</v>
      </c>
      <c r="G6045" s="3">
        <f t="shared" si="2"/>
        <v>0.1181736795</v>
      </c>
      <c r="H6045" s="2">
        <v>221.0</v>
      </c>
      <c r="I6045" s="3">
        <f t="shared" si="3"/>
        <v>0.1978513876</v>
      </c>
      <c r="J6045" s="2">
        <v>202.0</v>
      </c>
      <c r="K6045" s="3">
        <f t="shared" si="4"/>
        <v>0.1808415398</v>
      </c>
      <c r="L6045" s="2">
        <v>128.0</v>
      </c>
      <c r="M6045" s="3">
        <f t="shared" si="5"/>
        <v>0.5791855204</v>
      </c>
      <c r="N6045" s="2">
        <v>1036800.0</v>
      </c>
      <c r="O6045" s="4">
        <f t="shared" si="6"/>
        <v>4691.402715</v>
      </c>
      <c r="P6045" s="2">
        <v>0.0</v>
      </c>
      <c r="Q6045" s="3">
        <f t="shared" si="7"/>
        <v>0</v>
      </c>
      <c r="R6045" s="2">
        <v>100.0</v>
      </c>
      <c r="S6045" s="5">
        <f t="shared" si="8"/>
        <v>1</v>
      </c>
    </row>
    <row r="6046">
      <c r="A6046" s="2" t="s">
        <v>6045</v>
      </c>
      <c r="B6046" s="2">
        <v>150.0</v>
      </c>
      <c r="C6046" s="2">
        <v>1724.0</v>
      </c>
      <c r="D6046" s="2">
        <v>565.0</v>
      </c>
      <c r="E6046" s="3">
        <f t="shared" si="1"/>
        <v>0.3589580686</v>
      </c>
      <c r="F6046" s="2">
        <v>186.0</v>
      </c>
      <c r="G6046" s="3">
        <f t="shared" si="2"/>
        <v>0.1181702668</v>
      </c>
      <c r="H6046" s="2">
        <v>309.0</v>
      </c>
      <c r="I6046" s="3">
        <f t="shared" si="3"/>
        <v>0.1963151207</v>
      </c>
      <c r="J6046" s="2">
        <v>260.0</v>
      </c>
      <c r="K6046" s="3">
        <f t="shared" si="4"/>
        <v>0.165184244</v>
      </c>
      <c r="L6046" s="2">
        <v>190.0</v>
      </c>
      <c r="M6046" s="3">
        <f t="shared" si="5"/>
        <v>0.6148867314</v>
      </c>
      <c r="N6046" s="2">
        <v>1662900.0</v>
      </c>
      <c r="O6046" s="4">
        <f t="shared" si="6"/>
        <v>5381.553398</v>
      </c>
      <c r="P6046" s="2">
        <v>0.0</v>
      </c>
      <c r="Q6046" s="3">
        <f t="shared" si="7"/>
        <v>0</v>
      </c>
      <c r="R6046" s="2">
        <v>111.0</v>
      </c>
      <c r="S6046" s="5">
        <f t="shared" si="8"/>
        <v>0.74</v>
      </c>
    </row>
    <row r="6047">
      <c r="A6047" s="2" t="s">
        <v>6046</v>
      </c>
      <c r="B6047" s="2">
        <v>490.0</v>
      </c>
      <c r="C6047" s="2">
        <v>5779.0</v>
      </c>
      <c r="D6047" s="2">
        <v>2095.0</v>
      </c>
      <c r="E6047" s="3">
        <f t="shared" si="1"/>
        <v>0.3961051238</v>
      </c>
      <c r="F6047" s="2">
        <v>625.0</v>
      </c>
      <c r="G6047" s="3">
        <f t="shared" si="2"/>
        <v>0.1181697863</v>
      </c>
      <c r="H6047" s="2">
        <v>1147.0</v>
      </c>
      <c r="I6047" s="3">
        <f t="shared" si="3"/>
        <v>0.2168651919</v>
      </c>
      <c r="J6047" s="2">
        <v>891.0</v>
      </c>
      <c r="K6047" s="3">
        <f t="shared" si="4"/>
        <v>0.1684628474</v>
      </c>
      <c r="L6047" s="2">
        <v>696.0</v>
      </c>
      <c r="M6047" s="3">
        <f t="shared" si="5"/>
        <v>0.6068003487</v>
      </c>
      <c r="N6047" s="2">
        <v>6443300.0</v>
      </c>
      <c r="O6047" s="4">
        <f t="shared" si="6"/>
        <v>5617.523976</v>
      </c>
      <c r="P6047" s="2">
        <v>1.0</v>
      </c>
      <c r="Q6047" s="3">
        <f t="shared" si="7"/>
        <v>0.002040816327</v>
      </c>
      <c r="R6047" s="2">
        <v>490.0</v>
      </c>
      <c r="S6047" s="5">
        <f t="shared" si="8"/>
        <v>1</v>
      </c>
    </row>
    <row r="6048">
      <c r="A6048" s="2" t="s">
        <v>6047</v>
      </c>
      <c r="B6048" s="2">
        <v>128.0</v>
      </c>
      <c r="C6048" s="2">
        <v>1499.0</v>
      </c>
      <c r="D6048" s="2">
        <v>578.0</v>
      </c>
      <c r="E6048" s="3">
        <f t="shared" si="1"/>
        <v>0.4215900802</v>
      </c>
      <c r="F6048" s="2">
        <v>162.0</v>
      </c>
      <c r="G6048" s="3">
        <f t="shared" si="2"/>
        <v>0.1181619256</v>
      </c>
      <c r="H6048" s="2">
        <v>293.0</v>
      </c>
      <c r="I6048" s="3">
        <f t="shared" si="3"/>
        <v>0.2137126185</v>
      </c>
      <c r="J6048" s="2">
        <v>228.0</v>
      </c>
      <c r="K6048" s="3">
        <f t="shared" si="4"/>
        <v>0.1663019694</v>
      </c>
      <c r="L6048" s="2">
        <v>177.0</v>
      </c>
      <c r="M6048" s="3">
        <f t="shared" si="5"/>
        <v>0.6040955631</v>
      </c>
      <c r="N6048" s="2">
        <v>1513400.0</v>
      </c>
      <c r="O6048" s="4">
        <f t="shared" si="6"/>
        <v>5165.187713</v>
      </c>
      <c r="P6048" s="2">
        <v>1.0</v>
      </c>
      <c r="Q6048" s="3">
        <f t="shared" si="7"/>
        <v>0.0078125</v>
      </c>
      <c r="R6048" s="2">
        <v>128.0</v>
      </c>
      <c r="S6048" s="5">
        <f t="shared" si="8"/>
        <v>1</v>
      </c>
    </row>
    <row r="6049">
      <c r="A6049" s="2" t="s">
        <v>6048</v>
      </c>
      <c r="B6049" s="2">
        <v>4306.0</v>
      </c>
      <c r="C6049" s="2">
        <v>50007.0</v>
      </c>
      <c r="D6049" s="2">
        <v>13701.0</v>
      </c>
      <c r="E6049" s="3">
        <f t="shared" si="1"/>
        <v>0.2997965034</v>
      </c>
      <c r="F6049" s="2">
        <v>5400.0</v>
      </c>
      <c r="G6049" s="3">
        <f t="shared" si="2"/>
        <v>0.1181593401</v>
      </c>
      <c r="H6049" s="2">
        <v>9642.0</v>
      </c>
      <c r="I6049" s="3">
        <f t="shared" si="3"/>
        <v>0.2109800661</v>
      </c>
      <c r="J6049" s="2">
        <v>9035.0</v>
      </c>
      <c r="K6049" s="3">
        <f t="shared" si="4"/>
        <v>0.197698081</v>
      </c>
      <c r="L6049" s="2">
        <v>5646.0</v>
      </c>
      <c r="M6049" s="3">
        <f t="shared" si="5"/>
        <v>0.5855631612</v>
      </c>
      <c r="N6049" s="2">
        <v>5.64132E7</v>
      </c>
      <c r="O6049" s="4">
        <f t="shared" si="6"/>
        <v>5850.777847</v>
      </c>
      <c r="P6049" s="2">
        <v>10.0</v>
      </c>
      <c r="Q6049" s="3">
        <f t="shared" si="7"/>
        <v>0.00232234092</v>
      </c>
      <c r="R6049" s="2">
        <v>4288.0</v>
      </c>
      <c r="S6049" s="5">
        <f t="shared" si="8"/>
        <v>0.9958197863</v>
      </c>
    </row>
    <row r="6050">
      <c r="A6050" s="2" t="s">
        <v>6049</v>
      </c>
      <c r="B6050" s="2">
        <v>227.0</v>
      </c>
      <c r="C6050" s="2">
        <v>2656.0</v>
      </c>
      <c r="D6050" s="2">
        <v>947.0</v>
      </c>
      <c r="E6050" s="3">
        <f t="shared" si="1"/>
        <v>0.3898723755</v>
      </c>
      <c r="F6050" s="2">
        <v>287.0</v>
      </c>
      <c r="G6050" s="3">
        <f t="shared" si="2"/>
        <v>0.1181556196</v>
      </c>
      <c r="H6050" s="2">
        <v>543.0</v>
      </c>
      <c r="I6050" s="3">
        <f t="shared" si="3"/>
        <v>0.2235487855</v>
      </c>
      <c r="J6050" s="2">
        <v>400.0</v>
      </c>
      <c r="K6050" s="3">
        <f t="shared" si="4"/>
        <v>0.1646768217</v>
      </c>
      <c r="L6050" s="2">
        <v>341.0</v>
      </c>
      <c r="M6050" s="3">
        <f t="shared" si="5"/>
        <v>0.6279926335</v>
      </c>
      <c r="N6050" s="2">
        <v>2967600.0</v>
      </c>
      <c r="O6050" s="4">
        <f t="shared" si="6"/>
        <v>5465.19337</v>
      </c>
      <c r="P6050" s="2">
        <v>0.0</v>
      </c>
      <c r="Q6050" s="3">
        <f t="shared" si="7"/>
        <v>0</v>
      </c>
      <c r="R6050" s="2">
        <v>154.0</v>
      </c>
      <c r="S6050" s="5">
        <f t="shared" si="8"/>
        <v>0.6784140969</v>
      </c>
    </row>
    <row r="6051">
      <c r="A6051" s="2" t="s">
        <v>6050</v>
      </c>
      <c r="B6051" s="2">
        <v>107.0</v>
      </c>
      <c r="C6051" s="2">
        <v>1275.0</v>
      </c>
      <c r="D6051" s="2">
        <v>375.0</v>
      </c>
      <c r="E6051" s="3">
        <f t="shared" si="1"/>
        <v>0.3210616438</v>
      </c>
      <c r="F6051" s="2">
        <v>138.0</v>
      </c>
      <c r="G6051" s="3">
        <f t="shared" si="2"/>
        <v>0.1181506849</v>
      </c>
      <c r="H6051" s="2">
        <v>249.0</v>
      </c>
      <c r="I6051" s="3">
        <f t="shared" si="3"/>
        <v>0.2131849315</v>
      </c>
      <c r="J6051" s="2">
        <v>168.0</v>
      </c>
      <c r="K6051" s="3">
        <f t="shared" si="4"/>
        <v>0.1438356164</v>
      </c>
      <c r="L6051" s="2">
        <v>150.0</v>
      </c>
      <c r="M6051" s="3">
        <f t="shared" si="5"/>
        <v>0.6024096386</v>
      </c>
      <c r="N6051" s="2">
        <v>1424700.0</v>
      </c>
      <c r="O6051" s="4">
        <f t="shared" si="6"/>
        <v>5721.686747</v>
      </c>
      <c r="P6051" s="2">
        <v>0.0</v>
      </c>
      <c r="Q6051" s="3">
        <f t="shared" si="7"/>
        <v>0</v>
      </c>
      <c r="R6051" s="2">
        <v>107.0</v>
      </c>
      <c r="S6051" s="5">
        <f t="shared" si="8"/>
        <v>1</v>
      </c>
    </row>
    <row r="6052">
      <c r="A6052" s="2" t="s">
        <v>6051</v>
      </c>
      <c r="B6052" s="2">
        <v>974.0</v>
      </c>
      <c r="C6052" s="2">
        <v>11529.0</v>
      </c>
      <c r="D6052" s="2">
        <v>3404.0</v>
      </c>
      <c r="E6052" s="3">
        <f t="shared" si="1"/>
        <v>0.3225011843</v>
      </c>
      <c r="F6052" s="2">
        <v>1247.0</v>
      </c>
      <c r="G6052" s="3">
        <f t="shared" si="2"/>
        <v>0.1181430602</v>
      </c>
      <c r="H6052" s="2">
        <v>2105.0</v>
      </c>
      <c r="I6052" s="3">
        <f t="shared" si="3"/>
        <v>0.199431549</v>
      </c>
      <c r="J6052" s="2">
        <v>1743.0</v>
      </c>
      <c r="K6052" s="3">
        <f t="shared" si="4"/>
        <v>0.1651350071</v>
      </c>
      <c r="L6052" s="2">
        <v>1237.0</v>
      </c>
      <c r="M6052" s="3">
        <f t="shared" si="5"/>
        <v>0.5876484561</v>
      </c>
      <c r="N6052" s="2">
        <v>1.25656E7</v>
      </c>
      <c r="O6052" s="4">
        <f t="shared" si="6"/>
        <v>5969.406176</v>
      </c>
      <c r="P6052" s="2">
        <v>2.0</v>
      </c>
      <c r="Q6052" s="3">
        <f t="shared" si="7"/>
        <v>0.00205338809</v>
      </c>
      <c r="R6052" s="2">
        <v>273.0</v>
      </c>
      <c r="S6052" s="5">
        <f t="shared" si="8"/>
        <v>0.2802874743</v>
      </c>
    </row>
    <row r="6053">
      <c r="A6053" s="2" t="s">
        <v>6052</v>
      </c>
      <c r="B6053" s="2">
        <v>476.0</v>
      </c>
      <c r="C6053" s="2">
        <v>5606.0</v>
      </c>
      <c r="D6053" s="2">
        <v>1825.0</v>
      </c>
      <c r="E6053" s="3">
        <f t="shared" si="1"/>
        <v>0.3557504873</v>
      </c>
      <c r="F6053" s="2">
        <v>606.0</v>
      </c>
      <c r="G6053" s="3">
        <f t="shared" si="2"/>
        <v>0.118128655</v>
      </c>
      <c r="H6053" s="2">
        <v>1045.0</v>
      </c>
      <c r="I6053" s="3">
        <f t="shared" si="3"/>
        <v>0.2037037037</v>
      </c>
      <c r="J6053" s="2">
        <v>748.0</v>
      </c>
      <c r="K6053" s="3">
        <f t="shared" si="4"/>
        <v>0.1458089669</v>
      </c>
      <c r="L6053" s="2">
        <v>632.0</v>
      </c>
      <c r="M6053" s="3">
        <f t="shared" si="5"/>
        <v>0.604784689</v>
      </c>
      <c r="N6053" s="2">
        <v>5632300.0</v>
      </c>
      <c r="O6053" s="4">
        <f t="shared" si="6"/>
        <v>5389.760766</v>
      </c>
      <c r="P6053" s="2">
        <v>0.0</v>
      </c>
      <c r="Q6053" s="3">
        <f t="shared" si="7"/>
        <v>0</v>
      </c>
      <c r="R6053" s="2">
        <v>164.0</v>
      </c>
      <c r="S6053" s="5">
        <f t="shared" si="8"/>
        <v>0.3445378151</v>
      </c>
    </row>
    <row r="6054">
      <c r="A6054" s="2" t="s">
        <v>6053</v>
      </c>
      <c r="B6054" s="2">
        <v>434.0</v>
      </c>
      <c r="C6054" s="2">
        <v>5141.0</v>
      </c>
      <c r="D6054" s="2">
        <v>1839.0</v>
      </c>
      <c r="E6054" s="3">
        <f t="shared" si="1"/>
        <v>0.39069471</v>
      </c>
      <c r="F6054" s="2">
        <v>556.0</v>
      </c>
      <c r="G6054" s="3">
        <f t="shared" si="2"/>
        <v>0.118121946</v>
      </c>
      <c r="H6054" s="2">
        <v>1064.0</v>
      </c>
      <c r="I6054" s="3">
        <f t="shared" si="3"/>
        <v>0.226046314</v>
      </c>
      <c r="J6054" s="2">
        <v>809.0</v>
      </c>
      <c r="K6054" s="3">
        <f t="shared" si="4"/>
        <v>0.1718716805</v>
      </c>
      <c r="L6054" s="2">
        <v>624.0</v>
      </c>
      <c r="M6054" s="3">
        <f t="shared" si="5"/>
        <v>0.5864661654</v>
      </c>
      <c r="N6054" s="2">
        <v>5897600.0</v>
      </c>
      <c r="O6054" s="4">
        <f t="shared" si="6"/>
        <v>5542.857143</v>
      </c>
      <c r="P6054" s="2">
        <v>2.0</v>
      </c>
      <c r="Q6054" s="3">
        <f t="shared" si="7"/>
        <v>0.004608294931</v>
      </c>
      <c r="R6054" s="2">
        <v>434.0</v>
      </c>
      <c r="S6054" s="5">
        <f t="shared" si="8"/>
        <v>1</v>
      </c>
    </row>
    <row r="6055">
      <c r="A6055" s="2" t="s">
        <v>6054</v>
      </c>
      <c r="B6055" s="2">
        <v>1475.0</v>
      </c>
      <c r="C6055" s="2">
        <v>17578.0</v>
      </c>
      <c r="D6055" s="2">
        <v>6731.0</v>
      </c>
      <c r="E6055" s="3">
        <f t="shared" si="1"/>
        <v>0.4179966466</v>
      </c>
      <c r="F6055" s="2">
        <v>1902.0</v>
      </c>
      <c r="G6055" s="3">
        <f t="shared" si="2"/>
        <v>0.118114637</v>
      </c>
      <c r="H6055" s="2">
        <v>3351.0</v>
      </c>
      <c r="I6055" s="3">
        <f t="shared" si="3"/>
        <v>0.20809787</v>
      </c>
      <c r="J6055" s="2">
        <v>2412.0</v>
      </c>
      <c r="K6055" s="3">
        <f t="shared" si="4"/>
        <v>0.1497857542</v>
      </c>
      <c r="L6055" s="2">
        <v>1992.0</v>
      </c>
      <c r="M6055" s="3">
        <f t="shared" si="5"/>
        <v>0.5944494181</v>
      </c>
      <c r="N6055" s="2">
        <v>1.84795E7</v>
      </c>
      <c r="O6055" s="4">
        <f t="shared" si="6"/>
        <v>5514.622501</v>
      </c>
      <c r="P6055" s="2">
        <v>7.0</v>
      </c>
      <c r="Q6055" s="3">
        <f t="shared" si="7"/>
        <v>0.004745762712</v>
      </c>
      <c r="R6055" s="2">
        <v>1475.0</v>
      </c>
      <c r="S6055" s="5">
        <f t="shared" si="8"/>
        <v>1</v>
      </c>
    </row>
    <row r="6056">
      <c r="A6056" s="2" t="s">
        <v>6055</v>
      </c>
      <c r="B6056" s="2">
        <v>1858.0</v>
      </c>
      <c r="C6056" s="2">
        <v>21754.0</v>
      </c>
      <c r="D6056" s="2">
        <v>6944.0</v>
      </c>
      <c r="E6056" s="3">
        <f t="shared" si="1"/>
        <v>0.3490148774</v>
      </c>
      <c r="F6056" s="2">
        <v>2350.0</v>
      </c>
      <c r="G6056" s="3">
        <f t="shared" si="2"/>
        <v>0.1181141938</v>
      </c>
      <c r="H6056" s="2">
        <v>4122.0</v>
      </c>
      <c r="I6056" s="3">
        <f t="shared" si="3"/>
        <v>0.2071773221</v>
      </c>
      <c r="J6056" s="2">
        <v>2984.0</v>
      </c>
      <c r="K6056" s="3">
        <f t="shared" si="4"/>
        <v>0.1499798955</v>
      </c>
      <c r="L6056" s="2">
        <v>2434.0</v>
      </c>
      <c r="M6056" s="3">
        <f t="shared" si="5"/>
        <v>0.5904900534</v>
      </c>
      <c r="N6056" s="2">
        <v>2.40686E7</v>
      </c>
      <c r="O6056" s="4">
        <f t="shared" si="6"/>
        <v>5839.058709</v>
      </c>
      <c r="P6056" s="2">
        <v>4.0</v>
      </c>
      <c r="Q6056" s="3">
        <f t="shared" si="7"/>
        <v>0.00215285253</v>
      </c>
      <c r="R6056" s="2">
        <v>1407.0</v>
      </c>
      <c r="S6056" s="5">
        <f t="shared" si="8"/>
        <v>0.7572658773</v>
      </c>
    </row>
    <row r="6057">
      <c r="A6057" s="2" t="s">
        <v>6056</v>
      </c>
      <c r="B6057" s="2">
        <v>161.0</v>
      </c>
      <c r="C6057" s="2">
        <v>1939.0</v>
      </c>
      <c r="D6057" s="2">
        <v>538.0</v>
      </c>
      <c r="E6057" s="3">
        <f t="shared" si="1"/>
        <v>0.3025871766</v>
      </c>
      <c r="F6057" s="2">
        <v>210.0</v>
      </c>
      <c r="G6057" s="3">
        <f t="shared" si="2"/>
        <v>0.1181102362</v>
      </c>
      <c r="H6057" s="2">
        <v>357.0</v>
      </c>
      <c r="I6057" s="3">
        <f t="shared" si="3"/>
        <v>0.2007874016</v>
      </c>
      <c r="J6057" s="2">
        <v>295.0</v>
      </c>
      <c r="K6057" s="3">
        <f t="shared" si="4"/>
        <v>0.1659167604</v>
      </c>
      <c r="L6057" s="2">
        <v>202.0</v>
      </c>
      <c r="M6057" s="3">
        <f t="shared" si="5"/>
        <v>0.5658263305</v>
      </c>
      <c r="N6057" s="2">
        <v>1935000.0</v>
      </c>
      <c r="O6057" s="4">
        <f t="shared" si="6"/>
        <v>5420.168067</v>
      </c>
      <c r="P6057" s="2">
        <v>1.0</v>
      </c>
      <c r="Q6057" s="3">
        <f t="shared" si="7"/>
        <v>0.006211180124</v>
      </c>
      <c r="R6057" s="2">
        <v>20.0</v>
      </c>
      <c r="S6057" s="5">
        <f t="shared" si="8"/>
        <v>0.1242236025</v>
      </c>
    </row>
    <row r="6058">
      <c r="A6058" s="2" t="s">
        <v>6057</v>
      </c>
      <c r="B6058" s="2">
        <v>23.0</v>
      </c>
      <c r="C6058" s="2">
        <v>277.0</v>
      </c>
      <c r="D6058" s="2">
        <v>66.0</v>
      </c>
      <c r="E6058" s="3">
        <f t="shared" si="1"/>
        <v>0.2598425197</v>
      </c>
      <c r="F6058" s="2">
        <v>30.0</v>
      </c>
      <c r="G6058" s="3">
        <f t="shared" si="2"/>
        <v>0.1181102362</v>
      </c>
      <c r="H6058" s="2">
        <v>46.0</v>
      </c>
      <c r="I6058" s="3">
        <f t="shared" si="3"/>
        <v>0.1811023622</v>
      </c>
      <c r="J6058" s="2">
        <v>42.0</v>
      </c>
      <c r="K6058" s="3">
        <f t="shared" si="4"/>
        <v>0.1653543307</v>
      </c>
      <c r="L6058" s="2">
        <v>23.0</v>
      </c>
      <c r="M6058" s="3">
        <f t="shared" si="5"/>
        <v>0.5</v>
      </c>
      <c r="N6058" s="2">
        <v>287300.0</v>
      </c>
      <c r="O6058" s="4">
        <f t="shared" si="6"/>
        <v>6245.652174</v>
      </c>
      <c r="P6058" s="2">
        <v>1.0</v>
      </c>
      <c r="Q6058" s="3">
        <f t="shared" si="7"/>
        <v>0.04347826087</v>
      </c>
      <c r="R6058" s="2">
        <v>23.0</v>
      </c>
      <c r="S6058" s="5">
        <f t="shared" si="8"/>
        <v>1</v>
      </c>
    </row>
    <row r="6059">
      <c r="A6059" s="2" t="s">
        <v>6058</v>
      </c>
      <c r="B6059" s="2">
        <v>60.0</v>
      </c>
      <c r="C6059" s="2">
        <v>695.0</v>
      </c>
      <c r="D6059" s="2">
        <v>233.0</v>
      </c>
      <c r="E6059" s="3">
        <f t="shared" si="1"/>
        <v>0.3669291339</v>
      </c>
      <c r="F6059" s="2">
        <v>75.0</v>
      </c>
      <c r="G6059" s="3">
        <f t="shared" si="2"/>
        <v>0.1181102362</v>
      </c>
      <c r="H6059" s="2">
        <v>138.0</v>
      </c>
      <c r="I6059" s="3">
        <f t="shared" si="3"/>
        <v>0.2173228346</v>
      </c>
      <c r="J6059" s="2">
        <v>96.0</v>
      </c>
      <c r="K6059" s="3">
        <f t="shared" si="4"/>
        <v>0.1511811024</v>
      </c>
      <c r="L6059" s="2">
        <v>86.0</v>
      </c>
      <c r="M6059" s="3">
        <f t="shared" si="5"/>
        <v>0.6231884058</v>
      </c>
      <c r="N6059" s="2">
        <v>736200.0</v>
      </c>
      <c r="O6059" s="4">
        <f t="shared" si="6"/>
        <v>5334.782609</v>
      </c>
      <c r="P6059" s="2">
        <v>0.0</v>
      </c>
      <c r="Q6059" s="3">
        <f t="shared" si="7"/>
        <v>0</v>
      </c>
      <c r="R6059" s="2">
        <v>0.0</v>
      </c>
      <c r="S6059" s="5">
        <f t="shared" si="8"/>
        <v>0</v>
      </c>
    </row>
    <row r="6060">
      <c r="A6060" s="2" t="s">
        <v>6059</v>
      </c>
      <c r="B6060" s="2">
        <v>12.0</v>
      </c>
      <c r="C6060" s="2">
        <v>139.0</v>
      </c>
      <c r="D6060" s="2">
        <v>50.0</v>
      </c>
      <c r="E6060" s="3">
        <f t="shared" si="1"/>
        <v>0.3937007874</v>
      </c>
      <c r="F6060" s="2">
        <v>15.0</v>
      </c>
      <c r="G6060" s="3">
        <f t="shared" si="2"/>
        <v>0.1181102362</v>
      </c>
      <c r="H6060" s="2">
        <v>22.0</v>
      </c>
      <c r="I6060" s="3">
        <f t="shared" si="3"/>
        <v>0.1732283465</v>
      </c>
      <c r="J6060" s="2">
        <v>12.0</v>
      </c>
      <c r="K6060" s="3">
        <f t="shared" si="4"/>
        <v>0.09448818898</v>
      </c>
      <c r="L6060" s="2">
        <v>16.0</v>
      </c>
      <c r="M6060" s="3">
        <f t="shared" si="5"/>
        <v>0.7272727273</v>
      </c>
      <c r="N6060" s="2">
        <v>145800.0</v>
      </c>
      <c r="O6060" s="4">
        <f t="shared" si="6"/>
        <v>6627.272727</v>
      </c>
      <c r="P6060" s="2">
        <v>0.0</v>
      </c>
      <c r="Q6060" s="3">
        <f t="shared" si="7"/>
        <v>0</v>
      </c>
      <c r="R6060" s="2">
        <v>12.0</v>
      </c>
      <c r="S6060" s="5">
        <f t="shared" si="8"/>
        <v>1</v>
      </c>
    </row>
    <row r="6061">
      <c r="A6061" s="2" t="s">
        <v>6060</v>
      </c>
      <c r="B6061" s="2">
        <v>738.0</v>
      </c>
      <c r="C6061" s="2">
        <v>8680.0</v>
      </c>
      <c r="D6061" s="2">
        <v>2337.0</v>
      </c>
      <c r="E6061" s="3">
        <f t="shared" si="1"/>
        <v>0.2942583732</v>
      </c>
      <c r="F6061" s="2">
        <v>938.0</v>
      </c>
      <c r="G6061" s="3">
        <f t="shared" si="2"/>
        <v>0.1181062705</v>
      </c>
      <c r="H6061" s="2">
        <v>1797.0</v>
      </c>
      <c r="I6061" s="3">
        <f t="shared" si="3"/>
        <v>0.2262654243</v>
      </c>
      <c r="J6061" s="2">
        <v>1778.0</v>
      </c>
      <c r="K6061" s="3">
        <f t="shared" si="4"/>
        <v>0.2238730798</v>
      </c>
      <c r="L6061" s="2">
        <v>1072.0</v>
      </c>
      <c r="M6061" s="3">
        <f t="shared" si="5"/>
        <v>0.5965498052</v>
      </c>
      <c r="N6061" s="2">
        <v>1.03055E7</v>
      </c>
      <c r="O6061" s="4">
        <f t="shared" si="6"/>
        <v>5734.835838</v>
      </c>
      <c r="P6061" s="2">
        <v>1.0</v>
      </c>
      <c r="Q6061" s="3">
        <f t="shared" si="7"/>
        <v>0.00135501355</v>
      </c>
      <c r="R6061" s="2">
        <v>738.0</v>
      </c>
      <c r="S6061" s="5">
        <f t="shared" si="8"/>
        <v>1</v>
      </c>
    </row>
    <row r="6062">
      <c r="A6062" s="2" t="s">
        <v>6061</v>
      </c>
      <c r="B6062" s="2">
        <v>602.0</v>
      </c>
      <c r="C6062" s="2">
        <v>7249.0</v>
      </c>
      <c r="D6062" s="2">
        <v>2081.0</v>
      </c>
      <c r="E6062" s="3">
        <f t="shared" si="1"/>
        <v>0.313073567</v>
      </c>
      <c r="F6062" s="2">
        <v>785.0</v>
      </c>
      <c r="G6062" s="3">
        <f t="shared" si="2"/>
        <v>0.1180983903</v>
      </c>
      <c r="H6062" s="2">
        <v>1230.0</v>
      </c>
      <c r="I6062" s="3">
        <f t="shared" si="3"/>
        <v>0.1850458854</v>
      </c>
      <c r="J6062" s="2">
        <v>992.0</v>
      </c>
      <c r="K6062" s="3">
        <f t="shared" si="4"/>
        <v>0.1492402588</v>
      </c>
      <c r="L6062" s="2">
        <v>724.0</v>
      </c>
      <c r="M6062" s="3">
        <f t="shared" si="5"/>
        <v>0.5886178862</v>
      </c>
      <c r="N6062" s="2">
        <v>7167700.0</v>
      </c>
      <c r="O6062" s="4">
        <f t="shared" si="6"/>
        <v>5827.398374</v>
      </c>
      <c r="P6062" s="2">
        <v>1.0</v>
      </c>
      <c r="Q6062" s="3">
        <f t="shared" si="7"/>
        <v>0.001661129568</v>
      </c>
      <c r="R6062" s="2">
        <v>602.0</v>
      </c>
      <c r="S6062" s="5">
        <f t="shared" si="8"/>
        <v>1</v>
      </c>
    </row>
    <row r="6063">
      <c r="A6063" s="2" t="s">
        <v>6062</v>
      </c>
      <c r="B6063" s="2">
        <v>125.0</v>
      </c>
      <c r="C6063" s="2">
        <v>1429.0</v>
      </c>
      <c r="D6063" s="2">
        <v>340.0</v>
      </c>
      <c r="E6063" s="3">
        <f t="shared" si="1"/>
        <v>0.2607361963</v>
      </c>
      <c r="F6063" s="2">
        <v>154.0</v>
      </c>
      <c r="G6063" s="3">
        <f t="shared" si="2"/>
        <v>0.1180981595</v>
      </c>
      <c r="H6063" s="2">
        <v>234.0</v>
      </c>
      <c r="I6063" s="3">
        <f t="shared" si="3"/>
        <v>0.1794478528</v>
      </c>
      <c r="J6063" s="2">
        <v>199.0</v>
      </c>
      <c r="K6063" s="3">
        <f t="shared" si="4"/>
        <v>0.152607362</v>
      </c>
      <c r="L6063" s="2">
        <v>133.0</v>
      </c>
      <c r="M6063" s="3">
        <f t="shared" si="5"/>
        <v>0.5683760684</v>
      </c>
      <c r="N6063" s="2">
        <v>1354000.0</v>
      </c>
      <c r="O6063" s="4">
        <f t="shared" si="6"/>
        <v>5786.324786</v>
      </c>
      <c r="P6063" s="2">
        <v>0.0</v>
      </c>
      <c r="Q6063" s="3">
        <f t="shared" si="7"/>
        <v>0</v>
      </c>
      <c r="R6063" s="2">
        <v>125.0</v>
      </c>
      <c r="S6063" s="5">
        <f t="shared" si="8"/>
        <v>1</v>
      </c>
    </row>
    <row r="6064">
      <c r="A6064" s="2" t="s">
        <v>6063</v>
      </c>
      <c r="B6064" s="2">
        <v>37.0</v>
      </c>
      <c r="C6064" s="2">
        <v>435.0</v>
      </c>
      <c r="D6064" s="2">
        <v>123.0</v>
      </c>
      <c r="E6064" s="3">
        <f t="shared" si="1"/>
        <v>0.3090452261</v>
      </c>
      <c r="F6064" s="2">
        <v>47.0</v>
      </c>
      <c r="G6064" s="3">
        <f t="shared" si="2"/>
        <v>0.1180904523</v>
      </c>
      <c r="H6064" s="2">
        <v>73.0</v>
      </c>
      <c r="I6064" s="3">
        <f t="shared" si="3"/>
        <v>0.1834170854</v>
      </c>
      <c r="J6064" s="2">
        <v>59.0</v>
      </c>
      <c r="K6064" s="3">
        <f t="shared" si="4"/>
        <v>0.148241206</v>
      </c>
      <c r="L6064" s="2">
        <v>41.0</v>
      </c>
      <c r="M6064" s="3">
        <f t="shared" si="5"/>
        <v>0.5616438356</v>
      </c>
      <c r="N6064" s="2">
        <v>464700.0</v>
      </c>
      <c r="O6064" s="4">
        <f t="shared" si="6"/>
        <v>6365.753425</v>
      </c>
      <c r="P6064" s="2">
        <v>0.0</v>
      </c>
      <c r="Q6064" s="3">
        <f t="shared" si="7"/>
        <v>0</v>
      </c>
      <c r="R6064" s="2">
        <v>37.0</v>
      </c>
      <c r="S6064" s="5">
        <f t="shared" si="8"/>
        <v>1</v>
      </c>
    </row>
    <row r="6065">
      <c r="A6065" s="2" t="s">
        <v>6064</v>
      </c>
      <c r="B6065" s="2">
        <v>5253.0</v>
      </c>
      <c r="C6065" s="2">
        <v>62101.0</v>
      </c>
      <c r="D6065" s="2">
        <v>19847.0</v>
      </c>
      <c r="E6065" s="3">
        <f t="shared" si="1"/>
        <v>0.3491239797</v>
      </c>
      <c r="F6065" s="2">
        <v>6713.0</v>
      </c>
      <c r="G6065" s="3">
        <f t="shared" si="2"/>
        <v>0.118086828</v>
      </c>
      <c r="H6065" s="2">
        <v>11804.0</v>
      </c>
      <c r="I6065" s="3">
        <f t="shared" si="3"/>
        <v>0.2076414298</v>
      </c>
      <c r="J6065" s="2">
        <v>9313.0</v>
      </c>
      <c r="K6065" s="3">
        <f t="shared" si="4"/>
        <v>0.1638228258</v>
      </c>
      <c r="L6065" s="2">
        <v>6967.0</v>
      </c>
      <c r="M6065" s="3">
        <f t="shared" si="5"/>
        <v>0.590223653</v>
      </c>
      <c r="N6065" s="2">
        <v>6.40457E7</v>
      </c>
      <c r="O6065" s="4">
        <f t="shared" si="6"/>
        <v>5425.762453</v>
      </c>
      <c r="P6065" s="2">
        <v>4.0</v>
      </c>
      <c r="Q6065" s="3">
        <f t="shared" si="7"/>
        <v>0.0007614696364</v>
      </c>
      <c r="R6065" s="2">
        <v>4256.0</v>
      </c>
      <c r="S6065" s="5">
        <f t="shared" si="8"/>
        <v>0.8102036931</v>
      </c>
    </row>
    <row r="6066">
      <c r="A6066" s="2" t="s">
        <v>6065</v>
      </c>
      <c r="B6066" s="2">
        <v>1167.0</v>
      </c>
      <c r="C6066" s="2">
        <v>13777.0</v>
      </c>
      <c r="D6066" s="2">
        <v>3674.0</v>
      </c>
      <c r="E6066" s="3">
        <f t="shared" si="1"/>
        <v>0.2913560666</v>
      </c>
      <c r="F6066" s="2">
        <v>1489.0</v>
      </c>
      <c r="G6066" s="3">
        <f t="shared" si="2"/>
        <v>0.1180808882</v>
      </c>
      <c r="H6066" s="2">
        <v>2892.0</v>
      </c>
      <c r="I6066" s="3">
        <f t="shared" si="3"/>
        <v>0.2293417922</v>
      </c>
      <c r="J6066" s="2">
        <v>2259.0</v>
      </c>
      <c r="K6066" s="3">
        <f t="shared" si="4"/>
        <v>0.1791435369</v>
      </c>
      <c r="L6066" s="2">
        <v>1723.0</v>
      </c>
      <c r="M6066" s="3">
        <f t="shared" si="5"/>
        <v>0.5957814661</v>
      </c>
      <c r="N6066" s="2">
        <v>1.58802E7</v>
      </c>
      <c r="O6066" s="4">
        <f t="shared" si="6"/>
        <v>5491.078838</v>
      </c>
      <c r="P6066" s="2">
        <v>1.0</v>
      </c>
      <c r="Q6066" s="3">
        <f t="shared" si="7"/>
        <v>0.0008568980291</v>
      </c>
      <c r="R6066" s="2">
        <v>1167.0</v>
      </c>
      <c r="S6066" s="5">
        <f t="shared" si="8"/>
        <v>1</v>
      </c>
    </row>
    <row r="6067">
      <c r="A6067" s="2" t="s">
        <v>6066</v>
      </c>
      <c r="B6067" s="2">
        <v>5586.0</v>
      </c>
      <c r="C6067" s="2">
        <v>65672.0</v>
      </c>
      <c r="D6067" s="2">
        <v>20639.0</v>
      </c>
      <c r="E6067" s="3">
        <f t="shared" si="1"/>
        <v>0.3434909962</v>
      </c>
      <c r="F6067" s="2">
        <v>7095.0</v>
      </c>
      <c r="G6067" s="3">
        <f t="shared" si="2"/>
        <v>0.1180807509</v>
      </c>
      <c r="H6067" s="2">
        <v>12740.0</v>
      </c>
      <c r="I6067" s="3">
        <f t="shared" si="3"/>
        <v>0.2120294245</v>
      </c>
      <c r="J6067" s="2">
        <v>9720.0</v>
      </c>
      <c r="K6067" s="3">
        <f t="shared" si="4"/>
        <v>0.1617681323</v>
      </c>
      <c r="L6067" s="2">
        <v>7574.0</v>
      </c>
      <c r="M6067" s="3">
        <f t="shared" si="5"/>
        <v>0.5945054945</v>
      </c>
      <c r="N6067" s="2">
        <v>7.18432E7</v>
      </c>
      <c r="O6067" s="4">
        <f t="shared" si="6"/>
        <v>5639.183673</v>
      </c>
      <c r="P6067" s="2">
        <v>13.0</v>
      </c>
      <c r="Q6067" s="3">
        <f t="shared" si="7"/>
        <v>0.002327246688</v>
      </c>
      <c r="R6067" s="2">
        <v>5185.0</v>
      </c>
      <c r="S6067" s="5">
        <f t="shared" si="8"/>
        <v>0.9282133906</v>
      </c>
    </row>
    <row r="6068">
      <c r="A6068" s="2" t="s">
        <v>6067</v>
      </c>
      <c r="B6068" s="2">
        <v>804.0</v>
      </c>
      <c r="C6068" s="2">
        <v>9273.0</v>
      </c>
      <c r="D6068" s="2">
        <v>1942.0</v>
      </c>
      <c r="E6068" s="3">
        <f t="shared" si="1"/>
        <v>0.2293068839</v>
      </c>
      <c r="F6068" s="2">
        <v>1000.0</v>
      </c>
      <c r="G6068" s="3">
        <f t="shared" si="2"/>
        <v>0.1180776951</v>
      </c>
      <c r="H6068" s="2">
        <v>1591.0</v>
      </c>
      <c r="I6068" s="3">
        <f t="shared" si="3"/>
        <v>0.1878616129</v>
      </c>
      <c r="J6068" s="2">
        <v>1218.0</v>
      </c>
      <c r="K6068" s="3">
        <f t="shared" si="4"/>
        <v>0.1438186327</v>
      </c>
      <c r="L6068" s="2">
        <v>978.0</v>
      </c>
      <c r="M6068" s="3">
        <f t="shared" si="5"/>
        <v>0.614707731</v>
      </c>
      <c r="N6068" s="2">
        <v>9468200.0</v>
      </c>
      <c r="O6068" s="4">
        <f t="shared" si="6"/>
        <v>5951.099937</v>
      </c>
      <c r="P6068" s="2">
        <v>0.0</v>
      </c>
      <c r="Q6068" s="3">
        <f t="shared" si="7"/>
        <v>0</v>
      </c>
      <c r="R6068" s="2">
        <v>804.0</v>
      </c>
      <c r="S6068" s="5">
        <f t="shared" si="8"/>
        <v>1</v>
      </c>
    </row>
    <row r="6069">
      <c r="A6069" s="2" t="s">
        <v>6068</v>
      </c>
      <c r="B6069" s="2">
        <v>2013.0</v>
      </c>
      <c r="C6069" s="2">
        <v>23677.0</v>
      </c>
      <c r="D6069" s="2">
        <v>7685.0</v>
      </c>
      <c r="E6069" s="3">
        <f t="shared" si="1"/>
        <v>0.3547359675</v>
      </c>
      <c r="F6069" s="2">
        <v>2558.0</v>
      </c>
      <c r="G6069" s="3">
        <f t="shared" si="2"/>
        <v>0.1180760709</v>
      </c>
      <c r="H6069" s="2">
        <v>4492.0</v>
      </c>
      <c r="I6069" s="3">
        <f t="shared" si="3"/>
        <v>0.2073485968</v>
      </c>
      <c r="J6069" s="2">
        <v>3330.0</v>
      </c>
      <c r="K6069" s="3">
        <f t="shared" si="4"/>
        <v>0.153711226</v>
      </c>
      <c r="L6069" s="2">
        <v>2677.0</v>
      </c>
      <c r="M6069" s="3">
        <f t="shared" si="5"/>
        <v>0.5959483526</v>
      </c>
      <c r="N6069" s="2">
        <v>2.4962E7</v>
      </c>
      <c r="O6069" s="4">
        <f t="shared" si="6"/>
        <v>5556.990205</v>
      </c>
      <c r="P6069" s="2">
        <v>4.0</v>
      </c>
      <c r="Q6069" s="3">
        <f t="shared" si="7"/>
        <v>0.001987083954</v>
      </c>
      <c r="R6069" s="2">
        <v>2013.0</v>
      </c>
      <c r="S6069" s="5">
        <f t="shared" si="8"/>
        <v>1</v>
      </c>
    </row>
    <row r="6070">
      <c r="A6070" s="2" t="s">
        <v>6069</v>
      </c>
      <c r="B6070" s="2">
        <v>156.0</v>
      </c>
      <c r="C6070" s="2">
        <v>1816.0</v>
      </c>
      <c r="D6070" s="2">
        <v>465.0</v>
      </c>
      <c r="E6070" s="3">
        <f t="shared" si="1"/>
        <v>0.2801204819</v>
      </c>
      <c r="F6070" s="2">
        <v>196.0</v>
      </c>
      <c r="G6070" s="3">
        <f t="shared" si="2"/>
        <v>0.1180722892</v>
      </c>
      <c r="H6070" s="2">
        <v>312.0</v>
      </c>
      <c r="I6070" s="3">
        <f t="shared" si="3"/>
        <v>0.1879518072</v>
      </c>
      <c r="J6070" s="2">
        <v>304.0</v>
      </c>
      <c r="K6070" s="3">
        <f t="shared" si="4"/>
        <v>0.1831325301</v>
      </c>
      <c r="L6070" s="2">
        <v>171.0</v>
      </c>
      <c r="M6070" s="3">
        <f t="shared" si="5"/>
        <v>0.5480769231</v>
      </c>
      <c r="N6070" s="2">
        <v>1771700.0</v>
      </c>
      <c r="O6070" s="4">
        <f t="shared" si="6"/>
        <v>5678.525641</v>
      </c>
      <c r="P6070" s="2">
        <v>0.0</v>
      </c>
      <c r="Q6070" s="3">
        <f t="shared" si="7"/>
        <v>0</v>
      </c>
      <c r="R6070" s="2">
        <v>45.0</v>
      </c>
      <c r="S6070" s="5">
        <f t="shared" si="8"/>
        <v>0.2884615385</v>
      </c>
    </row>
    <row r="6071">
      <c r="A6071" s="2" t="s">
        <v>6070</v>
      </c>
      <c r="B6071" s="2">
        <v>247.0</v>
      </c>
      <c r="C6071" s="2">
        <v>2881.0</v>
      </c>
      <c r="D6071" s="2">
        <v>951.0</v>
      </c>
      <c r="E6071" s="3">
        <f t="shared" si="1"/>
        <v>0.361047836</v>
      </c>
      <c r="F6071" s="2">
        <v>311.0</v>
      </c>
      <c r="G6071" s="3">
        <f t="shared" si="2"/>
        <v>0.1180713743</v>
      </c>
      <c r="H6071" s="2">
        <v>512.0</v>
      </c>
      <c r="I6071" s="3">
        <f t="shared" si="3"/>
        <v>0.1943811693</v>
      </c>
      <c r="J6071" s="2">
        <v>384.0</v>
      </c>
      <c r="K6071" s="3">
        <f t="shared" si="4"/>
        <v>0.145785877</v>
      </c>
      <c r="L6071" s="2">
        <v>315.0</v>
      </c>
      <c r="M6071" s="3">
        <f t="shared" si="5"/>
        <v>0.615234375</v>
      </c>
      <c r="N6071" s="2">
        <v>3162400.0</v>
      </c>
      <c r="O6071" s="4">
        <f t="shared" si="6"/>
        <v>6176.5625</v>
      </c>
      <c r="P6071" s="2">
        <v>1.0</v>
      </c>
      <c r="Q6071" s="3">
        <f t="shared" si="7"/>
        <v>0.004048582996</v>
      </c>
      <c r="R6071" s="2">
        <v>247.0</v>
      </c>
      <c r="S6071" s="5">
        <f t="shared" si="8"/>
        <v>1</v>
      </c>
    </row>
    <row r="6072">
      <c r="A6072" s="2" t="s">
        <v>6071</v>
      </c>
      <c r="B6072" s="2">
        <v>3460.0</v>
      </c>
      <c r="C6072" s="2">
        <v>40711.0</v>
      </c>
      <c r="D6072" s="2">
        <v>14848.0</v>
      </c>
      <c r="E6072" s="3">
        <f t="shared" si="1"/>
        <v>0.3985933264</v>
      </c>
      <c r="F6072" s="2">
        <v>4398.0</v>
      </c>
      <c r="G6072" s="3">
        <f t="shared" si="2"/>
        <v>0.1180639446</v>
      </c>
      <c r="H6072" s="2">
        <v>7658.0</v>
      </c>
      <c r="I6072" s="3">
        <f t="shared" si="3"/>
        <v>0.2055783737</v>
      </c>
      <c r="J6072" s="2">
        <v>5668.0</v>
      </c>
      <c r="K6072" s="3">
        <f t="shared" si="4"/>
        <v>0.1521569891</v>
      </c>
      <c r="L6072" s="2">
        <v>4673.0</v>
      </c>
      <c r="M6072" s="3">
        <f t="shared" si="5"/>
        <v>0.6102115435</v>
      </c>
      <c r="N6072" s="2">
        <v>4.2534E7</v>
      </c>
      <c r="O6072" s="4">
        <f t="shared" si="6"/>
        <v>5554.191695</v>
      </c>
      <c r="P6072" s="2">
        <v>3.0</v>
      </c>
      <c r="Q6072" s="3">
        <f t="shared" si="7"/>
        <v>0.0008670520231</v>
      </c>
      <c r="R6072" s="2">
        <v>0.0</v>
      </c>
      <c r="S6072" s="5">
        <f t="shared" si="8"/>
        <v>0</v>
      </c>
    </row>
    <row r="6073">
      <c r="A6073" s="2" t="s">
        <v>6072</v>
      </c>
      <c r="B6073" s="2">
        <v>1926.0</v>
      </c>
      <c r="C6073" s="2">
        <v>22627.0</v>
      </c>
      <c r="D6073" s="2">
        <v>7777.0</v>
      </c>
      <c r="E6073" s="3">
        <f t="shared" si="1"/>
        <v>0.3756823342</v>
      </c>
      <c r="F6073" s="2">
        <v>2444.0</v>
      </c>
      <c r="G6073" s="3">
        <f t="shared" si="2"/>
        <v>0.1180619294</v>
      </c>
      <c r="H6073" s="2">
        <v>4577.0</v>
      </c>
      <c r="I6073" s="3">
        <f t="shared" si="3"/>
        <v>0.2211004299</v>
      </c>
      <c r="J6073" s="2">
        <v>3628.0</v>
      </c>
      <c r="K6073" s="3">
        <f t="shared" si="4"/>
        <v>0.175257234</v>
      </c>
      <c r="L6073" s="2">
        <v>2730.0</v>
      </c>
      <c r="M6073" s="3">
        <f t="shared" si="5"/>
        <v>0.5964605637</v>
      </c>
      <c r="N6073" s="2">
        <v>2.46434E7</v>
      </c>
      <c r="O6073" s="4">
        <f t="shared" si="6"/>
        <v>5384.181778</v>
      </c>
      <c r="P6073" s="2">
        <v>1.0</v>
      </c>
      <c r="Q6073" s="3">
        <f t="shared" si="7"/>
        <v>0.0005192107996</v>
      </c>
      <c r="R6073" s="2">
        <v>1813.0</v>
      </c>
      <c r="S6073" s="5">
        <f t="shared" si="8"/>
        <v>0.9413291796</v>
      </c>
    </row>
    <row r="6074">
      <c r="A6074" s="2" t="s">
        <v>6073</v>
      </c>
      <c r="B6074" s="2">
        <v>1304.0</v>
      </c>
      <c r="C6074" s="2">
        <v>15229.0</v>
      </c>
      <c r="D6074" s="2">
        <v>5061.0</v>
      </c>
      <c r="E6074" s="3">
        <f t="shared" si="1"/>
        <v>0.3634470377</v>
      </c>
      <c r="F6074" s="2">
        <v>1644.0</v>
      </c>
      <c r="G6074" s="3">
        <f t="shared" si="2"/>
        <v>0.1180610413</v>
      </c>
      <c r="H6074" s="2">
        <v>2928.0</v>
      </c>
      <c r="I6074" s="3">
        <f t="shared" si="3"/>
        <v>0.2102692998</v>
      </c>
      <c r="J6074" s="2">
        <v>2181.0</v>
      </c>
      <c r="K6074" s="3">
        <f t="shared" si="4"/>
        <v>0.1566247756</v>
      </c>
      <c r="L6074" s="2">
        <v>1762.0</v>
      </c>
      <c r="M6074" s="3">
        <f t="shared" si="5"/>
        <v>0.6017759563</v>
      </c>
      <c r="N6074" s="2">
        <v>1.58909E7</v>
      </c>
      <c r="O6074" s="4">
        <f t="shared" si="6"/>
        <v>5427.219945</v>
      </c>
      <c r="P6074" s="2">
        <v>1.0</v>
      </c>
      <c r="Q6074" s="3">
        <f t="shared" si="7"/>
        <v>0.0007668711656</v>
      </c>
      <c r="R6074" s="2">
        <v>1009.0</v>
      </c>
      <c r="S6074" s="5">
        <f t="shared" si="8"/>
        <v>0.7737730061</v>
      </c>
    </row>
    <row r="6075">
      <c r="A6075" s="2" t="s">
        <v>6074</v>
      </c>
      <c r="B6075" s="2">
        <v>12.0</v>
      </c>
      <c r="C6075" s="2">
        <v>156.0</v>
      </c>
      <c r="D6075" s="2">
        <v>44.0</v>
      </c>
      <c r="E6075" s="3">
        <f t="shared" si="1"/>
        <v>0.3055555556</v>
      </c>
      <c r="F6075" s="2">
        <v>17.0</v>
      </c>
      <c r="G6075" s="3">
        <f t="shared" si="2"/>
        <v>0.1180555556</v>
      </c>
      <c r="H6075" s="2">
        <v>27.0</v>
      </c>
      <c r="I6075" s="3">
        <f t="shared" si="3"/>
        <v>0.1875</v>
      </c>
      <c r="J6075" s="2">
        <v>31.0</v>
      </c>
      <c r="K6075" s="3">
        <f t="shared" si="4"/>
        <v>0.2152777778</v>
      </c>
      <c r="L6075" s="2">
        <v>14.0</v>
      </c>
      <c r="M6075" s="3">
        <f t="shared" si="5"/>
        <v>0.5185185185</v>
      </c>
      <c r="N6075" s="2">
        <v>166600.0</v>
      </c>
      <c r="O6075" s="4">
        <f t="shared" si="6"/>
        <v>6170.37037</v>
      </c>
      <c r="P6075" s="2">
        <v>0.0</v>
      </c>
      <c r="Q6075" s="3">
        <f t="shared" si="7"/>
        <v>0</v>
      </c>
      <c r="R6075" s="2">
        <v>12.0</v>
      </c>
      <c r="S6075" s="5">
        <f t="shared" si="8"/>
        <v>1</v>
      </c>
    </row>
    <row r="6076">
      <c r="A6076" s="2" t="s">
        <v>6075</v>
      </c>
      <c r="B6076" s="2">
        <v>231.0</v>
      </c>
      <c r="C6076" s="2">
        <v>2679.0</v>
      </c>
      <c r="D6076" s="2">
        <v>801.0</v>
      </c>
      <c r="E6076" s="3">
        <f t="shared" si="1"/>
        <v>0.3272058824</v>
      </c>
      <c r="F6076" s="2">
        <v>289.0</v>
      </c>
      <c r="G6076" s="3">
        <f t="shared" si="2"/>
        <v>0.1180555556</v>
      </c>
      <c r="H6076" s="2">
        <v>500.0</v>
      </c>
      <c r="I6076" s="3">
        <f t="shared" si="3"/>
        <v>0.204248366</v>
      </c>
      <c r="J6076" s="2">
        <v>378.0</v>
      </c>
      <c r="K6076" s="3">
        <f t="shared" si="4"/>
        <v>0.1544117647</v>
      </c>
      <c r="L6076" s="2">
        <v>316.0</v>
      </c>
      <c r="M6076" s="3">
        <f t="shared" si="5"/>
        <v>0.632</v>
      </c>
      <c r="N6076" s="2">
        <v>2643800.0</v>
      </c>
      <c r="O6076" s="4">
        <f t="shared" si="6"/>
        <v>5287.6</v>
      </c>
      <c r="P6076" s="2">
        <v>0.0</v>
      </c>
      <c r="Q6076" s="3">
        <f t="shared" si="7"/>
        <v>0</v>
      </c>
      <c r="R6076" s="2">
        <v>231.0</v>
      </c>
      <c r="S6076" s="5">
        <f t="shared" si="8"/>
        <v>1</v>
      </c>
    </row>
    <row r="6077">
      <c r="A6077" s="2" t="s">
        <v>6076</v>
      </c>
      <c r="B6077" s="2">
        <v>317.0</v>
      </c>
      <c r="C6077" s="2">
        <v>3655.0</v>
      </c>
      <c r="D6077" s="2">
        <v>1364.0</v>
      </c>
      <c r="E6077" s="3">
        <f t="shared" si="1"/>
        <v>0.4086279209</v>
      </c>
      <c r="F6077" s="2">
        <v>394.0</v>
      </c>
      <c r="G6077" s="3">
        <f t="shared" si="2"/>
        <v>0.1180347513</v>
      </c>
      <c r="H6077" s="2">
        <v>643.0</v>
      </c>
      <c r="I6077" s="3">
        <f t="shared" si="3"/>
        <v>0.1926303176</v>
      </c>
      <c r="J6077" s="2">
        <v>471.0</v>
      </c>
      <c r="K6077" s="3">
        <f t="shared" si="4"/>
        <v>0.1411024566</v>
      </c>
      <c r="L6077" s="2">
        <v>369.0</v>
      </c>
      <c r="M6077" s="3">
        <f t="shared" si="5"/>
        <v>0.5738724728</v>
      </c>
      <c r="N6077" s="2">
        <v>3659800.0</v>
      </c>
      <c r="O6077" s="4">
        <f t="shared" si="6"/>
        <v>5691.757387</v>
      </c>
      <c r="P6077" s="2">
        <v>1.0</v>
      </c>
      <c r="Q6077" s="3">
        <f t="shared" si="7"/>
        <v>0.003154574132</v>
      </c>
      <c r="R6077" s="2">
        <v>314.0</v>
      </c>
      <c r="S6077" s="5">
        <f t="shared" si="8"/>
        <v>0.9905362776</v>
      </c>
    </row>
    <row r="6078">
      <c r="A6078" s="2" t="s">
        <v>6077</v>
      </c>
      <c r="B6078" s="2">
        <v>28.0</v>
      </c>
      <c r="C6078" s="2">
        <v>333.0</v>
      </c>
      <c r="D6078" s="2">
        <v>124.0</v>
      </c>
      <c r="E6078" s="3">
        <f t="shared" si="1"/>
        <v>0.406557377</v>
      </c>
      <c r="F6078" s="2">
        <v>36.0</v>
      </c>
      <c r="G6078" s="3">
        <f t="shared" si="2"/>
        <v>0.1180327869</v>
      </c>
      <c r="H6078" s="2">
        <v>62.0</v>
      </c>
      <c r="I6078" s="3">
        <f t="shared" si="3"/>
        <v>0.2032786885</v>
      </c>
      <c r="J6078" s="2">
        <v>55.0</v>
      </c>
      <c r="K6078" s="3">
        <f t="shared" si="4"/>
        <v>0.1803278689</v>
      </c>
      <c r="L6078" s="2">
        <v>47.0</v>
      </c>
      <c r="M6078" s="3">
        <f t="shared" si="5"/>
        <v>0.7580645161</v>
      </c>
      <c r="N6078" s="2">
        <v>297000.0</v>
      </c>
      <c r="O6078" s="4">
        <f t="shared" si="6"/>
        <v>4790.322581</v>
      </c>
      <c r="P6078" s="2">
        <v>0.0</v>
      </c>
      <c r="Q6078" s="3">
        <f t="shared" si="7"/>
        <v>0</v>
      </c>
      <c r="R6078" s="2">
        <v>24.0</v>
      </c>
      <c r="S6078" s="5">
        <f t="shared" si="8"/>
        <v>0.8571428571</v>
      </c>
    </row>
    <row r="6079">
      <c r="A6079" s="2" t="s">
        <v>6078</v>
      </c>
      <c r="B6079" s="2">
        <v>168.0</v>
      </c>
      <c r="C6079" s="2">
        <v>1998.0</v>
      </c>
      <c r="D6079" s="2">
        <v>588.0</v>
      </c>
      <c r="E6079" s="3">
        <f t="shared" si="1"/>
        <v>0.3213114754</v>
      </c>
      <c r="F6079" s="2">
        <v>216.0</v>
      </c>
      <c r="G6079" s="3">
        <f t="shared" si="2"/>
        <v>0.1180327869</v>
      </c>
      <c r="H6079" s="2">
        <v>375.0</v>
      </c>
      <c r="I6079" s="3">
        <f t="shared" si="3"/>
        <v>0.2049180328</v>
      </c>
      <c r="J6079" s="2">
        <v>320.0</v>
      </c>
      <c r="K6079" s="3">
        <f t="shared" si="4"/>
        <v>0.174863388</v>
      </c>
      <c r="L6079" s="2">
        <v>228.0</v>
      </c>
      <c r="M6079" s="3">
        <f t="shared" si="5"/>
        <v>0.608</v>
      </c>
      <c r="N6079" s="2">
        <v>2081400.0</v>
      </c>
      <c r="O6079" s="4">
        <f t="shared" si="6"/>
        <v>5550.4</v>
      </c>
      <c r="P6079" s="2">
        <v>1.0</v>
      </c>
      <c r="Q6079" s="3">
        <f t="shared" si="7"/>
        <v>0.005952380952</v>
      </c>
      <c r="R6079" s="2">
        <v>168.0</v>
      </c>
      <c r="S6079" s="5">
        <f t="shared" si="8"/>
        <v>1</v>
      </c>
    </row>
    <row r="6080">
      <c r="A6080" s="2" t="s">
        <v>6079</v>
      </c>
      <c r="B6080" s="2">
        <v>707.0</v>
      </c>
      <c r="C6080" s="2">
        <v>8400.0</v>
      </c>
      <c r="D6080" s="2">
        <v>2880.0</v>
      </c>
      <c r="E6080" s="3">
        <f t="shared" si="1"/>
        <v>0.374366307</v>
      </c>
      <c r="F6080" s="2">
        <v>908.0</v>
      </c>
      <c r="G6080" s="3">
        <f t="shared" si="2"/>
        <v>0.1180293774</v>
      </c>
      <c r="H6080" s="2">
        <v>1611.0</v>
      </c>
      <c r="I6080" s="3">
        <f t="shared" si="3"/>
        <v>0.209411153</v>
      </c>
      <c r="J6080" s="2">
        <v>1255.0</v>
      </c>
      <c r="K6080" s="3">
        <f t="shared" si="4"/>
        <v>0.1631353178</v>
      </c>
      <c r="L6080" s="2">
        <v>974.0</v>
      </c>
      <c r="M6080" s="3">
        <f t="shared" si="5"/>
        <v>0.6045934202</v>
      </c>
      <c r="N6080" s="2">
        <v>8850400.0</v>
      </c>
      <c r="O6080" s="4">
        <f t="shared" si="6"/>
        <v>5493.730602</v>
      </c>
      <c r="P6080" s="2">
        <v>2.0</v>
      </c>
      <c r="Q6080" s="3">
        <f t="shared" si="7"/>
        <v>0.002828854314</v>
      </c>
      <c r="R6080" s="2">
        <v>707.0</v>
      </c>
      <c r="S6080" s="5">
        <f t="shared" si="8"/>
        <v>1</v>
      </c>
    </row>
    <row r="6081">
      <c r="A6081" s="2" t="s">
        <v>6080</v>
      </c>
      <c r="B6081" s="2">
        <v>1741.0</v>
      </c>
      <c r="C6081" s="2">
        <v>20543.0</v>
      </c>
      <c r="D6081" s="2">
        <v>6583.0</v>
      </c>
      <c r="E6081" s="3">
        <f t="shared" si="1"/>
        <v>0.3501223274</v>
      </c>
      <c r="F6081" s="2">
        <v>2219.0</v>
      </c>
      <c r="G6081" s="3">
        <f t="shared" si="2"/>
        <v>0.1180193596</v>
      </c>
      <c r="H6081" s="2">
        <v>4016.0</v>
      </c>
      <c r="I6081" s="3">
        <f t="shared" si="3"/>
        <v>0.2135942985</v>
      </c>
      <c r="J6081" s="2">
        <v>3080.0</v>
      </c>
      <c r="K6081" s="3">
        <f t="shared" si="4"/>
        <v>0.1638123604</v>
      </c>
      <c r="L6081" s="2">
        <v>2435.0</v>
      </c>
      <c r="M6081" s="3">
        <f t="shared" si="5"/>
        <v>0.6063247012</v>
      </c>
      <c r="N6081" s="2">
        <v>2.1513E7</v>
      </c>
      <c r="O6081" s="4">
        <f t="shared" si="6"/>
        <v>5356.822709</v>
      </c>
      <c r="P6081" s="2">
        <v>2.0</v>
      </c>
      <c r="Q6081" s="3">
        <f t="shared" si="7"/>
        <v>0.001148765078</v>
      </c>
      <c r="R6081" s="2">
        <v>1741.0</v>
      </c>
      <c r="S6081" s="5">
        <f t="shared" si="8"/>
        <v>1</v>
      </c>
    </row>
    <row r="6082">
      <c r="A6082" s="2" t="s">
        <v>6081</v>
      </c>
      <c r="B6082" s="2">
        <v>217.0</v>
      </c>
      <c r="C6082" s="2">
        <v>2598.0</v>
      </c>
      <c r="D6082" s="2">
        <v>935.0</v>
      </c>
      <c r="E6082" s="3">
        <f t="shared" si="1"/>
        <v>0.3926921462</v>
      </c>
      <c r="F6082" s="2">
        <v>281.0</v>
      </c>
      <c r="G6082" s="3">
        <f t="shared" si="2"/>
        <v>0.1180176396</v>
      </c>
      <c r="H6082" s="2">
        <v>486.0</v>
      </c>
      <c r="I6082" s="3">
        <f t="shared" si="3"/>
        <v>0.2041159177</v>
      </c>
      <c r="J6082" s="2">
        <v>364.0</v>
      </c>
      <c r="K6082" s="3">
        <f t="shared" si="4"/>
        <v>0.1528769425</v>
      </c>
      <c r="L6082" s="2">
        <v>302.0</v>
      </c>
      <c r="M6082" s="3">
        <f t="shared" si="5"/>
        <v>0.621399177</v>
      </c>
      <c r="N6082" s="2">
        <v>2415500.0</v>
      </c>
      <c r="O6082" s="4">
        <f t="shared" si="6"/>
        <v>4970.164609</v>
      </c>
      <c r="P6082" s="2">
        <v>0.0</v>
      </c>
      <c r="Q6082" s="3">
        <f t="shared" si="7"/>
        <v>0</v>
      </c>
      <c r="R6082" s="2">
        <v>0.0</v>
      </c>
      <c r="S6082" s="5">
        <f t="shared" si="8"/>
        <v>0</v>
      </c>
    </row>
    <row r="6083">
      <c r="A6083" s="2" t="s">
        <v>6082</v>
      </c>
      <c r="B6083" s="2">
        <v>2048.0</v>
      </c>
      <c r="C6083" s="2">
        <v>23774.0</v>
      </c>
      <c r="D6083" s="2">
        <v>8325.0</v>
      </c>
      <c r="E6083" s="3">
        <f t="shared" si="1"/>
        <v>0.3831814416</v>
      </c>
      <c r="F6083" s="2">
        <v>2564.0</v>
      </c>
      <c r="G6083" s="3">
        <f t="shared" si="2"/>
        <v>0.1180152812</v>
      </c>
      <c r="H6083" s="2">
        <v>4670.0</v>
      </c>
      <c r="I6083" s="3">
        <f t="shared" si="3"/>
        <v>0.2149498297</v>
      </c>
      <c r="J6083" s="2">
        <v>3137.0</v>
      </c>
      <c r="K6083" s="3">
        <f t="shared" si="4"/>
        <v>0.1443892111</v>
      </c>
      <c r="L6083" s="2">
        <v>2885.0</v>
      </c>
      <c r="M6083" s="3">
        <f t="shared" si="5"/>
        <v>0.6177730193</v>
      </c>
      <c r="N6083" s="2">
        <v>2.49192E7</v>
      </c>
      <c r="O6083" s="4">
        <f t="shared" si="6"/>
        <v>5336.017131</v>
      </c>
      <c r="P6083" s="2">
        <v>5.0</v>
      </c>
      <c r="Q6083" s="3">
        <f t="shared" si="7"/>
        <v>0.00244140625</v>
      </c>
      <c r="R6083" s="2">
        <v>871.0</v>
      </c>
      <c r="S6083" s="5">
        <f t="shared" si="8"/>
        <v>0.4252929688</v>
      </c>
    </row>
    <row r="6084">
      <c r="A6084" s="2" t="s">
        <v>6083</v>
      </c>
      <c r="B6084" s="2">
        <v>214.0</v>
      </c>
      <c r="C6084" s="2">
        <v>2468.0</v>
      </c>
      <c r="D6084" s="2">
        <v>565.0</v>
      </c>
      <c r="E6084" s="3">
        <f t="shared" si="1"/>
        <v>0.2506654836</v>
      </c>
      <c r="F6084" s="2">
        <v>266.0</v>
      </c>
      <c r="G6084" s="3">
        <f t="shared" si="2"/>
        <v>0.1180124224</v>
      </c>
      <c r="H6084" s="2">
        <v>428.0</v>
      </c>
      <c r="I6084" s="3">
        <f t="shared" si="3"/>
        <v>0.1898846495</v>
      </c>
      <c r="J6084" s="2">
        <v>345.0</v>
      </c>
      <c r="K6084" s="3">
        <f t="shared" si="4"/>
        <v>0.1530612245</v>
      </c>
      <c r="L6084" s="2">
        <v>264.0</v>
      </c>
      <c r="M6084" s="3">
        <f t="shared" si="5"/>
        <v>0.6168224299</v>
      </c>
      <c r="N6084" s="2">
        <v>2478600.0</v>
      </c>
      <c r="O6084" s="4">
        <f t="shared" si="6"/>
        <v>5791.121495</v>
      </c>
      <c r="P6084" s="2">
        <v>0.0</v>
      </c>
      <c r="Q6084" s="3">
        <f t="shared" si="7"/>
        <v>0</v>
      </c>
      <c r="R6084" s="2">
        <v>214.0</v>
      </c>
      <c r="S6084" s="5">
        <f t="shared" si="8"/>
        <v>1</v>
      </c>
    </row>
    <row r="6085">
      <c r="A6085" s="2" t="s">
        <v>6084</v>
      </c>
      <c r="B6085" s="2">
        <v>1658.0</v>
      </c>
      <c r="C6085" s="2">
        <v>19419.0</v>
      </c>
      <c r="D6085" s="2">
        <v>5497.0</v>
      </c>
      <c r="E6085" s="3">
        <f t="shared" si="1"/>
        <v>0.3094983391</v>
      </c>
      <c r="F6085" s="2">
        <v>2096.0</v>
      </c>
      <c r="G6085" s="3">
        <f t="shared" si="2"/>
        <v>0.1180113732</v>
      </c>
      <c r="H6085" s="2">
        <v>3424.0</v>
      </c>
      <c r="I6085" s="3">
        <f t="shared" si="3"/>
        <v>0.192781938</v>
      </c>
      <c r="J6085" s="2">
        <v>3249.0</v>
      </c>
      <c r="K6085" s="3">
        <f t="shared" si="4"/>
        <v>0.1829288891</v>
      </c>
      <c r="L6085" s="2">
        <v>2007.0</v>
      </c>
      <c r="M6085" s="3">
        <f t="shared" si="5"/>
        <v>0.5861565421</v>
      </c>
      <c r="N6085" s="2">
        <v>2.02537E7</v>
      </c>
      <c r="O6085" s="4">
        <f t="shared" si="6"/>
        <v>5915.216121</v>
      </c>
      <c r="P6085" s="2">
        <v>2.0</v>
      </c>
      <c r="Q6085" s="3">
        <f t="shared" si="7"/>
        <v>0.001206272618</v>
      </c>
      <c r="R6085" s="2">
        <v>1658.0</v>
      </c>
      <c r="S6085" s="5">
        <f t="shared" si="8"/>
        <v>1</v>
      </c>
    </row>
    <row r="6086">
      <c r="A6086" s="2" t="s">
        <v>6085</v>
      </c>
      <c r="B6086" s="2">
        <v>846.0</v>
      </c>
      <c r="C6086" s="2">
        <v>9896.0</v>
      </c>
      <c r="D6086" s="2">
        <v>3029.0</v>
      </c>
      <c r="E6086" s="3">
        <f t="shared" si="1"/>
        <v>0.3346961326</v>
      </c>
      <c r="F6086" s="2">
        <v>1068.0</v>
      </c>
      <c r="G6086" s="3">
        <f t="shared" si="2"/>
        <v>0.1180110497</v>
      </c>
      <c r="H6086" s="2">
        <v>1888.0</v>
      </c>
      <c r="I6086" s="3">
        <f t="shared" si="3"/>
        <v>0.2086187845</v>
      </c>
      <c r="J6086" s="2">
        <v>1384.0</v>
      </c>
      <c r="K6086" s="3">
        <f t="shared" si="4"/>
        <v>0.1529281768</v>
      </c>
      <c r="L6086" s="2">
        <v>1142.0</v>
      </c>
      <c r="M6086" s="3">
        <f t="shared" si="5"/>
        <v>0.6048728814</v>
      </c>
      <c r="N6086" s="2">
        <v>1.10433E7</v>
      </c>
      <c r="O6086" s="4">
        <f t="shared" si="6"/>
        <v>5849.205508</v>
      </c>
      <c r="P6086" s="2">
        <v>0.0</v>
      </c>
      <c r="Q6086" s="3">
        <f t="shared" si="7"/>
        <v>0</v>
      </c>
      <c r="R6086" s="2">
        <v>846.0</v>
      </c>
      <c r="S6086" s="5">
        <f t="shared" si="8"/>
        <v>1</v>
      </c>
    </row>
    <row r="6087">
      <c r="A6087" s="2" t="s">
        <v>6086</v>
      </c>
      <c r="B6087" s="2">
        <v>272.0</v>
      </c>
      <c r="C6087" s="2">
        <v>3221.0</v>
      </c>
      <c r="D6087" s="2">
        <v>970.0</v>
      </c>
      <c r="E6087" s="3">
        <f t="shared" si="1"/>
        <v>0.3289250593</v>
      </c>
      <c r="F6087" s="2">
        <v>348.0</v>
      </c>
      <c r="G6087" s="3">
        <f t="shared" si="2"/>
        <v>0.1180061038</v>
      </c>
      <c r="H6087" s="2">
        <v>573.0</v>
      </c>
      <c r="I6087" s="3">
        <f t="shared" si="3"/>
        <v>0.1943031536</v>
      </c>
      <c r="J6087" s="2">
        <v>503.0</v>
      </c>
      <c r="K6087" s="3">
        <f t="shared" si="4"/>
        <v>0.1705662937</v>
      </c>
      <c r="L6087" s="2">
        <v>322.0</v>
      </c>
      <c r="M6087" s="3">
        <f t="shared" si="5"/>
        <v>0.5619546248</v>
      </c>
      <c r="N6087" s="2">
        <v>3234500.0</v>
      </c>
      <c r="O6087" s="4">
        <f t="shared" si="6"/>
        <v>5644.851658</v>
      </c>
      <c r="P6087" s="2">
        <v>0.0</v>
      </c>
      <c r="Q6087" s="3">
        <f t="shared" si="7"/>
        <v>0</v>
      </c>
      <c r="R6087" s="2">
        <v>36.0</v>
      </c>
      <c r="S6087" s="5">
        <f t="shared" si="8"/>
        <v>0.1323529412</v>
      </c>
    </row>
    <row r="6088">
      <c r="A6088" s="2" t="s">
        <v>6087</v>
      </c>
      <c r="B6088" s="2">
        <v>1445.0</v>
      </c>
      <c r="C6088" s="2">
        <v>16887.0</v>
      </c>
      <c r="D6088" s="2">
        <v>5393.0</v>
      </c>
      <c r="E6088" s="3">
        <f t="shared" si="1"/>
        <v>0.3492423261</v>
      </c>
      <c r="F6088" s="2">
        <v>1822.0</v>
      </c>
      <c r="G6088" s="3">
        <f t="shared" si="2"/>
        <v>0.1179898977</v>
      </c>
      <c r="H6088" s="2">
        <v>3264.0</v>
      </c>
      <c r="I6088" s="3">
        <f t="shared" si="3"/>
        <v>0.211371584</v>
      </c>
      <c r="J6088" s="2">
        <v>2482.0</v>
      </c>
      <c r="K6088" s="3">
        <f t="shared" si="4"/>
        <v>0.1607304753</v>
      </c>
      <c r="L6088" s="2">
        <v>1980.0</v>
      </c>
      <c r="M6088" s="3">
        <f t="shared" si="5"/>
        <v>0.6066176471</v>
      </c>
      <c r="N6088" s="2">
        <v>1.87958E7</v>
      </c>
      <c r="O6088" s="4">
        <f t="shared" si="6"/>
        <v>5758.517157</v>
      </c>
      <c r="P6088" s="2">
        <v>5.0</v>
      </c>
      <c r="Q6088" s="3">
        <f t="shared" si="7"/>
        <v>0.003460207612</v>
      </c>
      <c r="R6088" s="2">
        <v>729.0</v>
      </c>
      <c r="S6088" s="5">
        <f t="shared" si="8"/>
        <v>0.5044982699</v>
      </c>
    </row>
    <row r="6089">
      <c r="A6089" s="2" t="s">
        <v>6088</v>
      </c>
      <c r="B6089" s="2">
        <v>461.0</v>
      </c>
      <c r="C6089" s="2">
        <v>5360.0</v>
      </c>
      <c r="D6089" s="2">
        <v>1765.0</v>
      </c>
      <c r="E6089" s="3">
        <f t="shared" si="1"/>
        <v>0.3602776077</v>
      </c>
      <c r="F6089" s="2">
        <v>578.0</v>
      </c>
      <c r="G6089" s="3">
        <f t="shared" si="2"/>
        <v>0.1179832619</v>
      </c>
      <c r="H6089" s="2">
        <v>1001.0</v>
      </c>
      <c r="I6089" s="3">
        <f t="shared" si="3"/>
        <v>0.2043274138</v>
      </c>
      <c r="J6089" s="2">
        <v>763.0</v>
      </c>
      <c r="K6089" s="3">
        <f t="shared" si="4"/>
        <v>0.1557460706</v>
      </c>
      <c r="L6089" s="2">
        <v>612.0</v>
      </c>
      <c r="M6089" s="3">
        <f t="shared" si="5"/>
        <v>0.6113886114</v>
      </c>
      <c r="N6089" s="2">
        <v>5750600.0</v>
      </c>
      <c r="O6089" s="4">
        <f t="shared" si="6"/>
        <v>5744.855145</v>
      </c>
      <c r="P6089" s="2">
        <v>0.0</v>
      </c>
      <c r="Q6089" s="3">
        <f t="shared" si="7"/>
        <v>0</v>
      </c>
      <c r="R6089" s="2">
        <v>461.0</v>
      </c>
      <c r="S6089" s="5">
        <f t="shared" si="8"/>
        <v>1</v>
      </c>
    </row>
    <row r="6090">
      <c r="A6090" s="2" t="s">
        <v>6089</v>
      </c>
      <c r="B6090" s="2">
        <v>128.0</v>
      </c>
      <c r="C6090" s="2">
        <v>1535.0</v>
      </c>
      <c r="D6090" s="2">
        <v>446.0</v>
      </c>
      <c r="E6090" s="3">
        <f t="shared" si="1"/>
        <v>0.3169864961</v>
      </c>
      <c r="F6090" s="2">
        <v>166.0</v>
      </c>
      <c r="G6090" s="3">
        <f t="shared" si="2"/>
        <v>0.117981521</v>
      </c>
      <c r="H6090" s="2">
        <v>287.0</v>
      </c>
      <c r="I6090" s="3">
        <f t="shared" si="3"/>
        <v>0.2039800995</v>
      </c>
      <c r="J6090" s="2">
        <v>204.0</v>
      </c>
      <c r="K6090" s="3">
        <f t="shared" si="4"/>
        <v>0.144989339</v>
      </c>
      <c r="L6090" s="2">
        <v>190.0</v>
      </c>
      <c r="M6090" s="3">
        <f t="shared" si="5"/>
        <v>0.6620209059</v>
      </c>
      <c r="N6090" s="2">
        <v>1521600.0</v>
      </c>
      <c r="O6090" s="4">
        <f t="shared" si="6"/>
        <v>5301.74216</v>
      </c>
      <c r="P6090" s="2">
        <v>0.0</v>
      </c>
      <c r="Q6090" s="3">
        <f t="shared" si="7"/>
        <v>0</v>
      </c>
      <c r="R6090" s="2">
        <v>1.0</v>
      </c>
      <c r="S6090" s="5">
        <f t="shared" si="8"/>
        <v>0.0078125</v>
      </c>
    </row>
    <row r="6091">
      <c r="A6091" s="2" t="s">
        <v>6090</v>
      </c>
      <c r="B6091" s="2">
        <v>225.0</v>
      </c>
      <c r="C6091" s="2">
        <v>2607.0</v>
      </c>
      <c r="D6091" s="2">
        <v>681.0</v>
      </c>
      <c r="E6091" s="3">
        <f t="shared" si="1"/>
        <v>0.2858942065</v>
      </c>
      <c r="F6091" s="2">
        <v>281.0</v>
      </c>
      <c r="G6091" s="3">
        <f t="shared" si="2"/>
        <v>0.117968094</v>
      </c>
      <c r="H6091" s="2">
        <v>522.0</v>
      </c>
      <c r="I6091" s="3">
        <f t="shared" si="3"/>
        <v>0.2191435768</v>
      </c>
      <c r="J6091" s="2">
        <v>496.0</v>
      </c>
      <c r="K6091" s="3">
        <f t="shared" si="4"/>
        <v>0.2082283795</v>
      </c>
      <c r="L6091" s="2">
        <v>317.0</v>
      </c>
      <c r="M6091" s="3">
        <f t="shared" si="5"/>
        <v>0.6072796935</v>
      </c>
      <c r="N6091" s="2">
        <v>2837000.0</v>
      </c>
      <c r="O6091" s="4">
        <f t="shared" si="6"/>
        <v>5434.8659</v>
      </c>
      <c r="P6091" s="2">
        <v>1.0</v>
      </c>
      <c r="Q6091" s="3">
        <f t="shared" si="7"/>
        <v>0.004444444444</v>
      </c>
      <c r="R6091" s="2">
        <v>225.0</v>
      </c>
      <c r="S6091" s="5">
        <f t="shared" si="8"/>
        <v>1</v>
      </c>
    </row>
    <row r="6092">
      <c r="A6092" s="2" t="s">
        <v>6091</v>
      </c>
      <c r="B6092" s="2">
        <v>1150.0</v>
      </c>
      <c r="C6092" s="2">
        <v>13467.0</v>
      </c>
      <c r="D6092" s="2">
        <v>3924.0</v>
      </c>
      <c r="E6092" s="3">
        <f t="shared" si="1"/>
        <v>0.3185840708</v>
      </c>
      <c r="F6092" s="2">
        <v>1453.0</v>
      </c>
      <c r="G6092" s="3">
        <f t="shared" si="2"/>
        <v>0.1179670374</v>
      </c>
      <c r="H6092" s="2">
        <v>2737.0</v>
      </c>
      <c r="I6092" s="3">
        <f t="shared" si="3"/>
        <v>0.2222132013</v>
      </c>
      <c r="J6092" s="2">
        <v>1867.0</v>
      </c>
      <c r="K6092" s="3">
        <f t="shared" si="4"/>
        <v>0.1515791183</v>
      </c>
      <c r="L6092" s="2">
        <v>1677.0</v>
      </c>
      <c r="M6092" s="3">
        <f t="shared" si="5"/>
        <v>0.6127146511</v>
      </c>
      <c r="N6092" s="2">
        <v>1.49115E7</v>
      </c>
      <c r="O6092" s="4">
        <f t="shared" si="6"/>
        <v>5448.118378</v>
      </c>
      <c r="P6092" s="2">
        <v>2.0</v>
      </c>
      <c r="Q6092" s="3">
        <f t="shared" si="7"/>
        <v>0.001739130435</v>
      </c>
      <c r="R6092" s="2">
        <v>914.0</v>
      </c>
      <c r="S6092" s="5">
        <f t="shared" si="8"/>
        <v>0.7947826087</v>
      </c>
    </row>
    <row r="6093">
      <c r="A6093" s="2" t="s">
        <v>6092</v>
      </c>
      <c r="B6093" s="2">
        <v>198.0</v>
      </c>
      <c r="C6093" s="2">
        <v>2419.0</v>
      </c>
      <c r="D6093" s="2">
        <v>787.0</v>
      </c>
      <c r="E6093" s="3">
        <f t="shared" si="1"/>
        <v>0.3543448897</v>
      </c>
      <c r="F6093" s="2">
        <v>262.0</v>
      </c>
      <c r="G6093" s="3">
        <f t="shared" si="2"/>
        <v>0.1179648807</v>
      </c>
      <c r="H6093" s="2">
        <v>448.0</v>
      </c>
      <c r="I6093" s="3">
        <f t="shared" si="3"/>
        <v>0.201710941</v>
      </c>
      <c r="J6093" s="2">
        <v>369.0</v>
      </c>
      <c r="K6093" s="3">
        <f t="shared" si="4"/>
        <v>0.1661413778</v>
      </c>
      <c r="L6093" s="2">
        <v>261.0</v>
      </c>
      <c r="M6093" s="3">
        <f t="shared" si="5"/>
        <v>0.5825892857</v>
      </c>
      <c r="N6093" s="2">
        <v>2269000.0</v>
      </c>
      <c r="O6093" s="4">
        <f t="shared" si="6"/>
        <v>5064.732143</v>
      </c>
      <c r="P6093" s="2">
        <v>1.0</v>
      </c>
      <c r="Q6093" s="3">
        <f t="shared" si="7"/>
        <v>0.005050505051</v>
      </c>
      <c r="R6093" s="2">
        <v>198.0</v>
      </c>
      <c r="S6093" s="5">
        <f t="shared" si="8"/>
        <v>1</v>
      </c>
    </row>
    <row r="6094">
      <c r="A6094" s="2" t="s">
        <v>6093</v>
      </c>
      <c r="B6094" s="2">
        <v>177.0</v>
      </c>
      <c r="C6094" s="2">
        <v>2076.0</v>
      </c>
      <c r="D6094" s="2">
        <v>635.0</v>
      </c>
      <c r="E6094" s="3">
        <f t="shared" si="1"/>
        <v>0.3343865192</v>
      </c>
      <c r="F6094" s="2">
        <v>224.0</v>
      </c>
      <c r="G6094" s="3">
        <f t="shared" si="2"/>
        <v>0.1179568194</v>
      </c>
      <c r="H6094" s="2">
        <v>378.0</v>
      </c>
      <c r="I6094" s="3">
        <f t="shared" si="3"/>
        <v>0.1990521327</v>
      </c>
      <c r="J6094" s="2">
        <v>296.0</v>
      </c>
      <c r="K6094" s="3">
        <f t="shared" si="4"/>
        <v>0.1558715113</v>
      </c>
      <c r="L6094" s="2">
        <v>222.0</v>
      </c>
      <c r="M6094" s="3">
        <f t="shared" si="5"/>
        <v>0.5873015873</v>
      </c>
      <c r="N6094" s="2">
        <v>2047100.0</v>
      </c>
      <c r="O6094" s="4">
        <f t="shared" si="6"/>
        <v>5415.608466</v>
      </c>
      <c r="P6094" s="2">
        <v>0.0</v>
      </c>
      <c r="Q6094" s="3">
        <f t="shared" si="7"/>
        <v>0</v>
      </c>
      <c r="R6094" s="2">
        <v>177.0</v>
      </c>
      <c r="S6094" s="5">
        <f t="shared" si="8"/>
        <v>1</v>
      </c>
    </row>
    <row r="6095">
      <c r="A6095" s="2" t="s">
        <v>6094</v>
      </c>
      <c r="B6095" s="2">
        <v>122.0</v>
      </c>
      <c r="C6095" s="2">
        <v>1453.0</v>
      </c>
      <c r="D6095" s="2">
        <v>429.0</v>
      </c>
      <c r="E6095" s="3">
        <f t="shared" si="1"/>
        <v>0.3223140496</v>
      </c>
      <c r="F6095" s="2">
        <v>157.0</v>
      </c>
      <c r="G6095" s="3">
        <f t="shared" si="2"/>
        <v>0.1179564237</v>
      </c>
      <c r="H6095" s="2">
        <v>261.0</v>
      </c>
      <c r="I6095" s="3">
        <f t="shared" si="3"/>
        <v>0.196093163</v>
      </c>
      <c r="J6095" s="2">
        <v>169.0</v>
      </c>
      <c r="K6095" s="3">
        <f t="shared" si="4"/>
        <v>0.1269722014</v>
      </c>
      <c r="L6095" s="2">
        <v>149.0</v>
      </c>
      <c r="M6095" s="3">
        <f t="shared" si="5"/>
        <v>0.5708812261</v>
      </c>
      <c r="N6095" s="2">
        <v>1444200.0</v>
      </c>
      <c r="O6095" s="4">
        <f t="shared" si="6"/>
        <v>5533.333333</v>
      </c>
      <c r="P6095" s="2">
        <v>1.0</v>
      </c>
      <c r="Q6095" s="3">
        <f t="shared" si="7"/>
        <v>0.008196721311</v>
      </c>
      <c r="R6095" s="2">
        <v>122.0</v>
      </c>
      <c r="S6095" s="5">
        <f t="shared" si="8"/>
        <v>1</v>
      </c>
    </row>
    <row r="6096">
      <c r="A6096" s="2" t="s">
        <v>6095</v>
      </c>
      <c r="B6096" s="2">
        <v>150.0</v>
      </c>
      <c r="C6096" s="2">
        <v>1710.0</v>
      </c>
      <c r="D6096" s="2">
        <v>496.0</v>
      </c>
      <c r="E6096" s="3">
        <f t="shared" si="1"/>
        <v>0.3179487179</v>
      </c>
      <c r="F6096" s="2">
        <v>184.0</v>
      </c>
      <c r="G6096" s="3">
        <f t="shared" si="2"/>
        <v>0.1179487179</v>
      </c>
      <c r="H6096" s="2">
        <v>335.0</v>
      </c>
      <c r="I6096" s="3">
        <f t="shared" si="3"/>
        <v>0.2147435897</v>
      </c>
      <c r="J6096" s="2">
        <v>295.0</v>
      </c>
      <c r="K6096" s="3">
        <f t="shared" si="4"/>
        <v>0.1891025641</v>
      </c>
      <c r="L6096" s="2">
        <v>213.0</v>
      </c>
      <c r="M6096" s="3">
        <f t="shared" si="5"/>
        <v>0.6358208955</v>
      </c>
      <c r="N6096" s="2">
        <v>2130700.0</v>
      </c>
      <c r="O6096" s="4">
        <f t="shared" si="6"/>
        <v>6360.298507</v>
      </c>
      <c r="P6096" s="2">
        <v>0.0</v>
      </c>
      <c r="Q6096" s="3">
        <f t="shared" si="7"/>
        <v>0</v>
      </c>
      <c r="R6096" s="2">
        <v>0.0</v>
      </c>
      <c r="S6096" s="5">
        <f t="shared" si="8"/>
        <v>0</v>
      </c>
    </row>
    <row r="6097">
      <c r="A6097" s="2" t="s">
        <v>6096</v>
      </c>
      <c r="B6097" s="2">
        <v>3050.0</v>
      </c>
      <c r="C6097" s="2">
        <v>35905.0</v>
      </c>
      <c r="D6097" s="2">
        <v>11281.0</v>
      </c>
      <c r="E6097" s="3">
        <f t="shared" si="1"/>
        <v>0.3433571755</v>
      </c>
      <c r="F6097" s="2">
        <v>3875.0</v>
      </c>
      <c r="G6097" s="3">
        <f t="shared" si="2"/>
        <v>0.1179424745</v>
      </c>
      <c r="H6097" s="2">
        <v>7002.0</v>
      </c>
      <c r="I6097" s="3">
        <f t="shared" si="3"/>
        <v>0.2131182468</v>
      </c>
      <c r="J6097" s="2">
        <v>5639.0</v>
      </c>
      <c r="K6097" s="3">
        <f t="shared" si="4"/>
        <v>0.1716329326</v>
      </c>
      <c r="L6097" s="2">
        <v>4129.0</v>
      </c>
      <c r="M6097" s="3">
        <f t="shared" si="5"/>
        <v>0.5896886604</v>
      </c>
      <c r="N6097" s="2">
        <v>3.87679E7</v>
      </c>
      <c r="O6097" s="4">
        <f t="shared" si="6"/>
        <v>5536.689517</v>
      </c>
      <c r="P6097" s="2">
        <v>6.0</v>
      </c>
      <c r="Q6097" s="3">
        <f t="shared" si="7"/>
        <v>0.001967213115</v>
      </c>
      <c r="R6097" s="2">
        <v>3050.0</v>
      </c>
      <c r="S6097" s="5">
        <f t="shared" si="8"/>
        <v>1</v>
      </c>
    </row>
    <row r="6098">
      <c r="A6098" s="2" t="s">
        <v>6097</v>
      </c>
      <c r="B6098" s="2">
        <v>376.0</v>
      </c>
      <c r="C6098" s="2">
        <v>4302.0</v>
      </c>
      <c r="D6098" s="2">
        <v>1583.0</v>
      </c>
      <c r="E6098" s="3">
        <f t="shared" si="1"/>
        <v>0.4032093734</v>
      </c>
      <c r="F6098" s="2">
        <v>463.0</v>
      </c>
      <c r="G6098" s="3">
        <f t="shared" si="2"/>
        <v>0.1179317371</v>
      </c>
      <c r="H6098" s="2">
        <v>778.0</v>
      </c>
      <c r="I6098" s="3">
        <f t="shared" si="3"/>
        <v>0.1981660723</v>
      </c>
      <c r="J6098" s="2">
        <v>629.0</v>
      </c>
      <c r="K6098" s="3">
        <f t="shared" si="4"/>
        <v>0.1602139582</v>
      </c>
      <c r="L6098" s="2">
        <v>471.0</v>
      </c>
      <c r="M6098" s="3">
        <f t="shared" si="5"/>
        <v>0.6053984576</v>
      </c>
      <c r="N6098" s="2">
        <v>4489800.0</v>
      </c>
      <c r="O6098" s="4">
        <f t="shared" si="6"/>
        <v>5770.951157</v>
      </c>
      <c r="P6098" s="2">
        <v>1.0</v>
      </c>
      <c r="Q6098" s="3">
        <f t="shared" si="7"/>
        <v>0.002659574468</v>
      </c>
      <c r="R6098" s="2">
        <v>376.0</v>
      </c>
      <c r="S6098" s="5">
        <f t="shared" si="8"/>
        <v>1</v>
      </c>
    </row>
    <row r="6099">
      <c r="A6099" s="2" t="s">
        <v>6098</v>
      </c>
      <c r="B6099" s="2">
        <v>369.0</v>
      </c>
      <c r="C6099" s="2">
        <v>4329.0</v>
      </c>
      <c r="D6099" s="2">
        <v>863.0</v>
      </c>
      <c r="E6099" s="3">
        <f t="shared" si="1"/>
        <v>0.2179292929</v>
      </c>
      <c r="F6099" s="2">
        <v>467.0</v>
      </c>
      <c r="G6099" s="3">
        <f t="shared" si="2"/>
        <v>0.1179292929</v>
      </c>
      <c r="H6099" s="2">
        <v>801.0</v>
      </c>
      <c r="I6099" s="3">
        <f t="shared" si="3"/>
        <v>0.2022727273</v>
      </c>
      <c r="J6099" s="2">
        <v>781.0</v>
      </c>
      <c r="K6099" s="3">
        <f t="shared" si="4"/>
        <v>0.1972222222</v>
      </c>
      <c r="L6099" s="2">
        <v>472.0</v>
      </c>
      <c r="M6099" s="3">
        <f t="shared" si="5"/>
        <v>0.5892634207</v>
      </c>
      <c r="N6099" s="2">
        <v>4978100.0</v>
      </c>
      <c r="O6099" s="4">
        <f t="shared" si="6"/>
        <v>6214.856429</v>
      </c>
      <c r="P6099" s="2">
        <v>1.0</v>
      </c>
      <c r="Q6099" s="3">
        <f t="shared" si="7"/>
        <v>0.0027100271</v>
      </c>
      <c r="R6099" s="2">
        <v>368.0</v>
      </c>
      <c r="S6099" s="5">
        <f t="shared" si="8"/>
        <v>0.9972899729</v>
      </c>
    </row>
    <row r="6100">
      <c r="A6100" s="2" t="s">
        <v>6099</v>
      </c>
      <c r="B6100" s="2">
        <v>262.0</v>
      </c>
      <c r="C6100" s="2">
        <v>3069.0</v>
      </c>
      <c r="D6100" s="2">
        <v>1124.0</v>
      </c>
      <c r="E6100" s="3">
        <f t="shared" si="1"/>
        <v>0.4004275027</v>
      </c>
      <c r="F6100" s="2">
        <v>331.0</v>
      </c>
      <c r="G6100" s="3">
        <f t="shared" si="2"/>
        <v>0.117919487</v>
      </c>
      <c r="H6100" s="2">
        <v>618.0</v>
      </c>
      <c r="I6100" s="3">
        <f t="shared" si="3"/>
        <v>0.220163876</v>
      </c>
      <c r="J6100" s="2">
        <v>442.0</v>
      </c>
      <c r="K6100" s="3">
        <f t="shared" si="4"/>
        <v>0.1574634841</v>
      </c>
      <c r="L6100" s="2">
        <v>377.0</v>
      </c>
      <c r="M6100" s="3">
        <f t="shared" si="5"/>
        <v>0.6100323625</v>
      </c>
      <c r="N6100" s="2">
        <v>3286100.0</v>
      </c>
      <c r="O6100" s="4">
        <f t="shared" si="6"/>
        <v>5317.313916</v>
      </c>
      <c r="P6100" s="2">
        <v>1.0</v>
      </c>
      <c r="Q6100" s="3">
        <f t="shared" si="7"/>
        <v>0.003816793893</v>
      </c>
      <c r="R6100" s="2">
        <v>262.0</v>
      </c>
      <c r="S6100" s="5">
        <f t="shared" si="8"/>
        <v>1</v>
      </c>
    </row>
    <row r="6101">
      <c r="A6101" s="2" t="s">
        <v>6100</v>
      </c>
      <c r="B6101" s="2">
        <v>22.0</v>
      </c>
      <c r="C6101" s="2">
        <v>251.0</v>
      </c>
      <c r="D6101" s="2">
        <v>58.0</v>
      </c>
      <c r="E6101" s="3">
        <f t="shared" si="1"/>
        <v>0.2532751092</v>
      </c>
      <c r="F6101" s="2">
        <v>27.0</v>
      </c>
      <c r="G6101" s="3">
        <f t="shared" si="2"/>
        <v>0.1179039301</v>
      </c>
      <c r="H6101" s="2">
        <v>45.0</v>
      </c>
      <c r="I6101" s="3">
        <f t="shared" si="3"/>
        <v>0.1965065502</v>
      </c>
      <c r="J6101" s="2">
        <v>36.0</v>
      </c>
      <c r="K6101" s="3">
        <f t="shared" si="4"/>
        <v>0.1572052402</v>
      </c>
      <c r="L6101" s="2">
        <v>27.0</v>
      </c>
      <c r="M6101" s="3">
        <f t="shared" si="5"/>
        <v>0.6</v>
      </c>
      <c r="N6101" s="2">
        <v>190600.0</v>
      </c>
      <c r="O6101" s="4">
        <f t="shared" si="6"/>
        <v>4235.555556</v>
      </c>
      <c r="P6101" s="2">
        <v>0.0</v>
      </c>
      <c r="Q6101" s="3">
        <f t="shared" si="7"/>
        <v>0</v>
      </c>
      <c r="R6101" s="2">
        <v>22.0</v>
      </c>
      <c r="S6101" s="5">
        <f t="shared" si="8"/>
        <v>1</v>
      </c>
    </row>
    <row r="6102">
      <c r="A6102" s="2" t="s">
        <v>6101</v>
      </c>
      <c r="B6102" s="2">
        <v>194.0</v>
      </c>
      <c r="C6102" s="2">
        <v>2357.0</v>
      </c>
      <c r="D6102" s="2">
        <v>752.0</v>
      </c>
      <c r="E6102" s="3">
        <f t="shared" si="1"/>
        <v>0.3476652797</v>
      </c>
      <c r="F6102" s="2">
        <v>255.0</v>
      </c>
      <c r="G6102" s="3">
        <f t="shared" si="2"/>
        <v>0.1178918169</v>
      </c>
      <c r="H6102" s="2">
        <v>457.0</v>
      </c>
      <c r="I6102" s="3">
        <f t="shared" si="3"/>
        <v>0.2112806288</v>
      </c>
      <c r="J6102" s="2">
        <v>359.0</v>
      </c>
      <c r="K6102" s="3">
        <f t="shared" si="4"/>
        <v>0.1659731854</v>
      </c>
      <c r="L6102" s="2">
        <v>262.0</v>
      </c>
      <c r="M6102" s="3">
        <f t="shared" si="5"/>
        <v>0.5733041575</v>
      </c>
      <c r="N6102" s="2">
        <v>2684400.0</v>
      </c>
      <c r="O6102" s="4">
        <f t="shared" si="6"/>
        <v>5873.960613</v>
      </c>
      <c r="P6102" s="2">
        <v>0.0</v>
      </c>
      <c r="Q6102" s="3">
        <f t="shared" si="7"/>
        <v>0</v>
      </c>
      <c r="R6102" s="2">
        <v>194.0</v>
      </c>
      <c r="S6102" s="5">
        <f t="shared" si="8"/>
        <v>1</v>
      </c>
    </row>
    <row r="6103">
      <c r="A6103" s="2" t="s">
        <v>6102</v>
      </c>
      <c r="B6103" s="2">
        <v>922.0</v>
      </c>
      <c r="C6103" s="2">
        <v>10787.0</v>
      </c>
      <c r="D6103" s="2">
        <v>3620.0</v>
      </c>
      <c r="E6103" s="3">
        <f t="shared" si="1"/>
        <v>0.3669538773</v>
      </c>
      <c r="F6103" s="2">
        <v>1163.0</v>
      </c>
      <c r="G6103" s="3">
        <f t="shared" si="2"/>
        <v>0.1178915357</v>
      </c>
      <c r="H6103" s="2">
        <v>2032.0</v>
      </c>
      <c r="I6103" s="3">
        <f t="shared" si="3"/>
        <v>0.20598074</v>
      </c>
      <c r="J6103" s="2">
        <v>1662.0</v>
      </c>
      <c r="K6103" s="3">
        <f t="shared" si="4"/>
        <v>0.1684744045</v>
      </c>
      <c r="L6103" s="2">
        <v>1201.0</v>
      </c>
      <c r="M6103" s="3">
        <f t="shared" si="5"/>
        <v>0.5910433071</v>
      </c>
      <c r="N6103" s="2">
        <v>1.1178E7</v>
      </c>
      <c r="O6103" s="4">
        <f t="shared" si="6"/>
        <v>5500.984252</v>
      </c>
      <c r="P6103" s="2">
        <v>3.0</v>
      </c>
      <c r="Q6103" s="3">
        <f t="shared" si="7"/>
        <v>0.003253796095</v>
      </c>
      <c r="R6103" s="2">
        <v>922.0</v>
      </c>
      <c r="S6103" s="5">
        <f t="shared" si="8"/>
        <v>1</v>
      </c>
    </row>
    <row r="6104">
      <c r="A6104" s="2" t="s">
        <v>6103</v>
      </c>
      <c r="B6104" s="2">
        <v>1017.0</v>
      </c>
      <c r="C6104" s="2">
        <v>11849.0</v>
      </c>
      <c r="D6104" s="2">
        <v>3727.0</v>
      </c>
      <c r="E6104" s="3">
        <f t="shared" si="1"/>
        <v>0.3440731167</v>
      </c>
      <c r="F6104" s="2">
        <v>1277.0</v>
      </c>
      <c r="G6104" s="3">
        <f t="shared" si="2"/>
        <v>0.1178914328</v>
      </c>
      <c r="H6104" s="2">
        <v>2255.0</v>
      </c>
      <c r="I6104" s="3">
        <f t="shared" si="3"/>
        <v>0.2081794682</v>
      </c>
      <c r="J6104" s="2">
        <v>2070.0</v>
      </c>
      <c r="K6104" s="3">
        <f t="shared" si="4"/>
        <v>0.1911004431</v>
      </c>
      <c r="L6104" s="2">
        <v>1342.0</v>
      </c>
      <c r="M6104" s="3">
        <f t="shared" si="5"/>
        <v>0.5951219512</v>
      </c>
      <c r="N6104" s="2">
        <v>1.3045E7</v>
      </c>
      <c r="O6104" s="4">
        <f t="shared" si="6"/>
        <v>5784.922395</v>
      </c>
      <c r="P6104" s="2">
        <v>2.0</v>
      </c>
      <c r="Q6104" s="3">
        <f t="shared" si="7"/>
        <v>0.001966568338</v>
      </c>
      <c r="R6104" s="2">
        <v>966.0</v>
      </c>
      <c r="S6104" s="5">
        <f t="shared" si="8"/>
        <v>0.9498525074</v>
      </c>
    </row>
    <row r="6105">
      <c r="A6105" s="2" t="s">
        <v>6104</v>
      </c>
      <c r="B6105" s="2">
        <v>478.0</v>
      </c>
      <c r="C6105" s="2">
        <v>5704.0</v>
      </c>
      <c r="D6105" s="2">
        <v>1923.0</v>
      </c>
      <c r="E6105" s="3">
        <f t="shared" si="1"/>
        <v>0.367967853</v>
      </c>
      <c r="F6105" s="2">
        <v>616.0</v>
      </c>
      <c r="G6105" s="3">
        <f t="shared" si="2"/>
        <v>0.1178721776</v>
      </c>
      <c r="H6105" s="2">
        <v>1013.0</v>
      </c>
      <c r="I6105" s="3">
        <f t="shared" si="3"/>
        <v>0.1938384998</v>
      </c>
      <c r="J6105" s="2">
        <v>724.0</v>
      </c>
      <c r="K6105" s="3">
        <f t="shared" si="4"/>
        <v>0.1385380788</v>
      </c>
      <c r="L6105" s="2">
        <v>644.0</v>
      </c>
      <c r="M6105" s="3">
        <f t="shared" si="5"/>
        <v>0.6357354393</v>
      </c>
      <c r="N6105" s="2">
        <v>5676300.0</v>
      </c>
      <c r="O6105" s="4">
        <f t="shared" si="6"/>
        <v>5603.455084</v>
      </c>
      <c r="P6105" s="2">
        <v>0.0</v>
      </c>
      <c r="Q6105" s="3">
        <f t="shared" si="7"/>
        <v>0</v>
      </c>
      <c r="R6105" s="2">
        <v>478.0</v>
      </c>
      <c r="S6105" s="5">
        <f t="shared" si="8"/>
        <v>1</v>
      </c>
    </row>
    <row r="6106">
      <c r="A6106" s="2" t="s">
        <v>6105</v>
      </c>
      <c r="B6106" s="2">
        <v>97.0</v>
      </c>
      <c r="C6106" s="2">
        <v>1149.0</v>
      </c>
      <c r="D6106" s="2">
        <v>250.0</v>
      </c>
      <c r="E6106" s="3">
        <f t="shared" si="1"/>
        <v>0.2376425856</v>
      </c>
      <c r="F6106" s="2">
        <v>124.0</v>
      </c>
      <c r="G6106" s="3">
        <f t="shared" si="2"/>
        <v>0.1178707224</v>
      </c>
      <c r="H6106" s="2">
        <v>203.0</v>
      </c>
      <c r="I6106" s="3">
        <f t="shared" si="3"/>
        <v>0.1929657795</v>
      </c>
      <c r="J6106" s="2">
        <v>145.0</v>
      </c>
      <c r="K6106" s="3">
        <f t="shared" si="4"/>
        <v>0.1378326996</v>
      </c>
      <c r="L6106" s="2">
        <v>124.0</v>
      </c>
      <c r="M6106" s="3">
        <f t="shared" si="5"/>
        <v>0.6108374384</v>
      </c>
      <c r="N6106" s="2">
        <v>1109900.0</v>
      </c>
      <c r="O6106" s="4">
        <f t="shared" si="6"/>
        <v>5467.487685</v>
      </c>
      <c r="P6106" s="2">
        <v>2.0</v>
      </c>
      <c r="Q6106" s="3">
        <f t="shared" si="7"/>
        <v>0.0206185567</v>
      </c>
      <c r="R6106" s="2">
        <v>97.0</v>
      </c>
      <c r="S6106" s="5">
        <f t="shared" si="8"/>
        <v>1</v>
      </c>
    </row>
    <row r="6107">
      <c r="A6107" s="2" t="s">
        <v>6106</v>
      </c>
      <c r="B6107" s="2">
        <v>311.0</v>
      </c>
      <c r="C6107" s="2">
        <v>3688.0</v>
      </c>
      <c r="D6107" s="2">
        <v>1319.0</v>
      </c>
      <c r="E6107" s="3">
        <f t="shared" si="1"/>
        <v>0.390583358</v>
      </c>
      <c r="F6107" s="2">
        <v>398.0</v>
      </c>
      <c r="G6107" s="3">
        <f t="shared" si="2"/>
        <v>0.1178560853</v>
      </c>
      <c r="H6107" s="2">
        <v>704.0</v>
      </c>
      <c r="I6107" s="3">
        <f t="shared" si="3"/>
        <v>0.2084690554</v>
      </c>
      <c r="J6107" s="2">
        <v>542.0</v>
      </c>
      <c r="K6107" s="3">
        <f t="shared" si="4"/>
        <v>0.160497483</v>
      </c>
      <c r="L6107" s="2">
        <v>411.0</v>
      </c>
      <c r="M6107" s="3">
        <f t="shared" si="5"/>
        <v>0.5838068182</v>
      </c>
      <c r="N6107" s="2">
        <v>3516200.0</v>
      </c>
      <c r="O6107" s="4">
        <f t="shared" si="6"/>
        <v>4994.602273</v>
      </c>
      <c r="P6107" s="2">
        <v>0.0</v>
      </c>
      <c r="Q6107" s="3">
        <f t="shared" si="7"/>
        <v>0</v>
      </c>
      <c r="R6107" s="2">
        <v>311.0</v>
      </c>
      <c r="S6107" s="5">
        <f t="shared" si="8"/>
        <v>1</v>
      </c>
    </row>
    <row r="6108">
      <c r="A6108" s="2" t="s">
        <v>6107</v>
      </c>
      <c r="B6108" s="2">
        <v>3934.0</v>
      </c>
      <c r="C6108" s="2">
        <v>46273.0</v>
      </c>
      <c r="D6108" s="2">
        <v>12186.0</v>
      </c>
      <c r="E6108" s="3">
        <f t="shared" si="1"/>
        <v>0.2878197407</v>
      </c>
      <c r="F6108" s="2">
        <v>4989.0</v>
      </c>
      <c r="G6108" s="3">
        <f t="shared" si="2"/>
        <v>0.1178346206</v>
      </c>
      <c r="H6108" s="2">
        <v>8298.0</v>
      </c>
      <c r="I6108" s="3">
        <f t="shared" si="3"/>
        <v>0.1959895132</v>
      </c>
      <c r="J6108" s="2">
        <v>7849.0</v>
      </c>
      <c r="K6108" s="3">
        <f t="shared" si="4"/>
        <v>0.1853846336</v>
      </c>
      <c r="L6108" s="2">
        <v>4872.0</v>
      </c>
      <c r="M6108" s="3">
        <f t="shared" si="5"/>
        <v>0.5871294288</v>
      </c>
      <c r="N6108" s="2">
        <v>5.10234E7</v>
      </c>
      <c r="O6108" s="4">
        <f t="shared" si="6"/>
        <v>6148.879248</v>
      </c>
      <c r="P6108" s="2">
        <v>14.0</v>
      </c>
      <c r="Q6108" s="3">
        <f t="shared" si="7"/>
        <v>0.003558718861</v>
      </c>
      <c r="R6108" s="2">
        <v>3934.0</v>
      </c>
      <c r="S6108" s="5">
        <f t="shared" si="8"/>
        <v>1</v>
      </c>
    </row>
    <row r="6109">
      <c r="A6109" s="2" t="s">
        <v>6108</v>
      </c>
      <c r="B6109" s="2">
        <v>118.0</v>
      </c>
      <c r="C6109" s="2">
        <v>1391.0</v>
      </c>
      <c r="D6109" s="2">
        <v>380.0</v>
      </c>
      <c r="E6109" s="3">
        <f t="shared" si="1"/>
        <v>0.2985074627</v>
      </c>
      <c r="F6109" s="2">
        <v>150.0</v>
      </c>
      <c r="G6109" s="3">
        <f t="shared" si="2"/>
        <v>0.1178318932</v>
      </c>
      <c r="H6109" s="2">
        <v>251.0</v>
      </c>
      <c r="I6109" s="3">
        <f t="shared" si="3"/>
        <v>0.1971720346</v>
      </c>
      <c r="J6109" s="2">
        <v>196.0</v>
      </c>
      <c r="K6109" s="3">
        <f t="shared" si="4"/>
        <v>0.1539670071</v>
      </c>
      <c r="L6109" s="2">
        <v>153.0</v>
      </c>
      <c r="M6109" s="3">
        <f t="shared" si="5"/>
        <v>0.609561753</v>
      </c>
      <c r="N6109" s="2">
        <v>1461100.0</v>
      </c>
      <c r="O6109" s="4">
        <f t="shared" si="6"/>
        <v>5821.115538</v>
      </c>
      <c r="P6109" s="2">
        <v>0.0</v>
      </c>
      <c r="Q6109" s="3">
        <f t="shared" si="7"/>
        <v>0</v>
      </c>
      <c r="R6109" s="2">
        <v>0.0</v>
      </c>
      <c r="S6109" s="5">
        <f t="shared" si="8"/>
        <v>0</v>
      </c>
    </row>
    <row r="6110">
      <c r="A6110" s="2" t="s">
        <v>6109</v>
      </c>
      <c r="B6110" s="2">
        <v>536.0</v>
      </c>
      <c r="C6110" s="2">
        <v>6324.0</v>
      </c>
      <c r="D6110" s="2">
        <v>1926.0</v>
      </c>
      <c r="E6110" s="3">
        <f t="shared" si="1"/>
        <v>0.3327574292</v>
      </c>
      <c r="F6110" s="2">
        <v>682.0</v>
      </c>
      <c r="G6110" s="3">
        <f t="shared" si="2"/>
        <v>0.1178299931</v>
      </c>
      <c r="H6110" s="2">
        <v>1143.0</v>
      </c>
      <c r="I6110" s="3">
        <f t="shared" si="3"/>
        <v>0.1974775397</v>
      </c>
      <c r="J6110" s="2">
        <v>806.0</v>
      </c>
      <c r="K6110" s="3">
        <f t="shared" si="4"/>
        <v>0.1392536282</v>
      </c>
      <c r="L6110" s="2">
        <v>682.0</v>
      </c>
      <c r="M6110" s="3">
        <f t="shared" si="5"/>
        <v>0.5966754156</v>
      </c>
      <c r="N6110" s="2">
        <v>6322300.0</v>
      </c>
      <c r="O6110" s="4">
        <f t="shared" si="6"/>
        <v>5531.321085</v>
      </c>
      <c r="P6110" s="2">
        <v>1.0</v>
      </c>
      <c r="Q6110" s="3">
        <f t="shared" si="7"/>
        <v>0.001865671642</v>
      </c>
      <c r="R6110" s="2">
        <v>536.0</v>
      </c>
      <c r="S6110" s="5">
        <f t="shared" si="8"/>
        <v>1</v>
      </c>
    </row>
    <row r="6111">
      <c r="A6111" s="2" t="s">
        <v>6110</v>
      </c>
      <c r="B6111" s="2">
        <v>30.0</v>
      </c>
      <c r="C6111" s="2">
        <v>361.0</v>
      </c>
      <c r="D6111" s="2">
        <v>111.0</v>
      </c>
      <c r="E6111" s="3">
        <f t="shared" si="1"/>
        <v>0.335347432</v>
      </c>
      <c r="F6111" s="2">
        <v>39.0</v>
      </c>
      <c r="G6111" s="3">
        <f t="shared" si="2"/>
        <v>0.1178247734</v>
      </c>
      <c r="H6111" s="2">
        <v>65.0</v>
      </c>
      <c r="I6111" s="3">
        <f t="shared" si="3"/>
        <v>0.1963746224</v>
      </c>
      <c r="J6111" s="2">
        <v>52.0</v>
      </c>
      <c r="K6111" s="3">
        <f t="shared" si="4"/>
        <v>0.1570996979</v>
      </c>
      <c r="L6111" s="2">
        <v>39.0</v>
      </c>
      <c r="M6111" s="3">
        <f t="shared" si="5"/>
        <v>0.6</v>
      </c>
      <c r="N6111" s="2">
        <v>350000.0</v>
      </c>
      <c r="O6111" s="4">
        <f t="shared" si="6"/>
        <v>5384.615385</v>
      </c>
      <c r="P6111" s="2">
        <v>0.0</v>
      </c>
      <c r="Q6111" s="3">
        <f t="shared" si="7"/>
        <v>0</v>
      </c>
      <c r="R6111" s="2">
        <v>0.0</v>
      </c>
      <c r="S6111" s="5">
        <f t="shared" si="8"/>
        <v>0</v>
      </c>
    </row>
    <row r="6112">
      <c r="A6112" s="2" t="s">
        <v>6111</v>
      </c>
      <c r="B6112" s="2">
        <v>525.0</v>
      </c>
      <c r="C6112" s="2">
        <v>6178.0</v>
      </c>
      <c r="D6112" s="2">
        <v>1952.0</v>
      </c>
      <c r="E6112" s="3">
        <f t="shared" si="1"/>
        <v>0.3453033787</v>
      </c>
      <c r="F6112" s="2">
        <v>666.0</v>
      </c>
      <c r="G6112" s="3">
        <f t="shared" si="2"/>
        <v>0.1178135503</v>
      </c>
      <c r="H6112" s="2">
        <v>1130.0</v>
      </c>
      <c r="I6112" s="3">
        <f t="shared" si="3"/>
        <v>0.1998938617</v>
      </c>
      <c r="J6112" s="2">
        <v>895.0</v>
      </c>
      <c r="K6112" s="3">
        <f t="shared" si="4"/>
        <v>0.1583230143</v>
      </c>
      <c r="L6112" s="2">
        <v>667.0</v>
      </c>
      <c r="M6112" s="3">
        <f t="shared" si="5"/>
        <v>0.5902654867</v>
      </c>
      <c r="N6112" s="2">
        <v>6705800.0</v>
      </c>
      <c r="O6112" s="4">
        <f t="shared" si="6"/>
        <v>5934.336283</v>
      </c>
      <c r="P6112" s="2">
        <v>0.0</v>
      </c>
      <c r="Q6112" s="3">
        <f t="shared" si="7"/>
        <v>0</v>
      </c>
      <c r="R6112" s="2">
        <v>525.0</v>
      </c>
      <c r="S6112" s="5">
        <f t="shared" si="8"/>
        <v>1</v>
      </c>
    </row>
    <row r="6113">
      <c r="A6113" s="2" t="s">
        <v>6112</v>
      </c>
      <c r="B6113" s="2">
        <v>370.0</v>
      </c>
      <c r="C6113" s="2">
        <v>4402.0</v>
      </c>
      <c r="D6113" s="2">
        <v>1479.0</v>
      </c>
      <c r="E6113" s="3">
        <f t="shared" si="1"/>
        <v>0.3668154762</v>
      </c>
      <c r="F6113" s="2">
        <v>475.0</v>
      </c>
      <c r="G6113" s="3">
        <f t="shared" si="2"/>
        <v>0.1178075397</v>
      </c>
      <c r="H6113" s="2">
        <v>911.0</v>
      </c>
      <c r="I6113" s="3">
        <f t="shared" si="3"/>
        <v>0.2259424603</v>
      </c>
      <c r="J6113" s="2">
        <v>590.0</v>
      </c>
      <c r="K6113" s="3">
        <f t="shared" si="4"/>
        <v>0.1463293651</v>
      </c>
      <c r="L6113" s="2">
        <v>543.0</v>
      </c>
      <c r="M6113" s="3">
        <f t="shared" si="5"/>
        <v>0.5960482986</v>
      </c>
      <c r="N6113" s="2">
        <v>4790600.0</v>
      </c>
      <c r="O6113" s="4">
        <f t="shared" si="6"/>
        <v>5258.616905</v>
      </c>
      <c r="P6113" s="2">
        <v>0.0</v>
      </c>
      <c r="Q6113" s="3">
        <f t="shared" si="7"/>
        <v>0</v>
      </c>
      <c r="R6113" s="2">
        <v>370.0</v>
      </c>
      <c r="S6113" s="5">
        <f t="shared" si="8"/>
        <v>1</v>
      </c>
    </row>
    <row r="6114">
      <c r="A6114" s="2" t="s">
        <v>6113</v>
      </c>
      <c r="B6114" s="2">
        <v>1131.0</v>
      </c>
      <c r="C6114" s="2">
        <v>13508.0</v>
      </c>
      <c r="D6114" s="2">
        <v>4427.0</v>
      </c>
      <c r="E6114" s="3">
        <f t="shared" si="1"/>
        <v>0.3576795669</v>
      </c>
      <c r="F6114" s="2">
        <v>1458.0</v>
      </c>
      <c r="G6114" s="3">
        <f t="shared" si="2"/>
        <v>0.1177991436</v>
      </c>
      <c r="H6114" s="2">
        <v>2553.0</v>
      </c>
      <c r="I6114" s="3">
        <f t="shared" si="3"/>
        <v>0.2062696938</v>
      </c>
      <c r="J6114" s="2">
        <v>1947.0</v>
      </c>
      <c r="K6114" s="3">
        <f t="shared" si="4"/>
        <v>0.1573079098</v>
      </c>
      <c r="L6114" s="2">
        <v>1527.0</v>
      </c>
      <c r="M6114" s="3">
        <f t="shared" si="5"/>
        <v>0.598119859</v>
      </c>
      <c r="N6114" s="2">
        <v>1.39433E7</v>
      </c>
      <c r="O6114" s="4">
        <f t="shared" si="6"/>
        <v>5461.535448</v>
      </c>
      <c r="P6114" s="2">
        <v>1.0</v>
      </c>
      <c r="Q6114" s="3">
        <f t="shared" si="7"/>
        <v>0.000884173298</v>
      </c>
      <c r="R6114" s="2">
        <v>40.0</v>
      </c>
      <c r="S6114" s="5">
        <f t="shared" si="8"/>
        <v>0.03536693192</v>
      </c>
    </row>
    <row r="6115">
      <c r="A6115" s="2" t="s">
        <v>6114</v>
      </c>
      <c r="B6115" s="2">
        <v>1245.0</v>
      </c>
      <c r="C6115" s="2">
        <v>14590.0</v>
      </c>
      <c r="D6115" s="2">
        <v>3924.0</v>
      </c>
      <c r="E6115" s="3">
        <f t="shared" si="1"/>
        <v>0.2940427126</v>
      </c>
      <c r="F6115" s="2">
        <v>1572.0</v>
      </c>
      <c r="G6115" s="3">
        <f t="shared" si="2"/>
        <v>0.1177969277</v>
      </c>
      <c r="H6115" s="2">
        <v>2625.0</v>
      </c>
      <c r="I6115" s="3">
        <f t="shared" si="3"/>
        <v>0.196702885</v>
      </c>
      <c r="J6115" s="2">
        <v>2194.0</v>
      </c>
      <c r="K6115" s="3">
        <f t="shared" si="4"/>
        <v>0.1644061446</v>
      </c>
      <c r="L6115" s="2">
        <v>1588.0</v>
      </c>
      <c r="M6115" s="3">
        <f t="shared" si="5"/>
        <v>0.604952381</v>
      </c>
      <c r="N6115" s="2">
        <v>1.48748E7</v>
      </c>
      <c r="O6115" s="4">
        <f t="shared" si="6"/>
        <v>5666.590476</v>
      </c>
      <c r="P6115" s="2">
        <v>0.0</v>
      </c>
      <c r="Q6115" s="3">
        <f t="shared" si="7"/>
        <v>0</v>
      </c>
      <c r="R6115" s="2">
        <v>1245.0</v>
      </c>
      <c r="S6115" s="5">
        <f t="shared" si="8"/>
        <v>1</v>
      </c>
    </row>
    <row r="6116">
      <c r="A6116" s="2" t="s">
        <v>6115</v>
      </c>
      <c r="B6116" s="2">
        <v>269.0</v>
      </c>
      <c r="C6116" s="2">
        <v>3079.0</v>
      </c>
      <c r="D6116" s="2">
        <v>1055.0</v>
      </c>
      <c r="E6116" s="3">
        <f t="shared" si="1"/>
        <v>0.3754448399</v>
      </c>
      <c r="F6116" s="2">
        <v>331.0</v>
      </c>
      <c r="G6116" s="3">
        <f t="shared" si="2"/>
        <v>0.1177935943</v>
      </c>
      <c r="H6116" s="2">
        <v>631.0</v>
      </c>
      <c r="I6116" s="3">
        <f t="shared" si="3"/>
        <v>0.2245551601</v>
      </c>
      <c r="J6116" s="2">
        <v>386.0</v>
      </c>
      <c r="K6116" s="3">
        <f t="shared" si="4"/>
        <v>0.137366548</v>
      </c>
      <c r="L6116" s="2">
        <v>361.0</v>
      </c>
      <c r="M6116" s="3">
        <f t="shared" si="5"/>
        <v>0.5721077655</v>
      </c>
      <c r="N6116" s="2">
        <v>3181100.0</v>
      </c>
      <c r="O6116" s="4">
        <f t="shared" si="6"/>
        <v>5041.362916</v>
      </c>
      <c r="P6116" s="2">
        <v>0.0</v>
      </c>
      <c r="Q6116" s="3">
        <f t="shared" si="7"/>
        <v>0</v>
      </c>
      <c r="R6116" s="2">
        <v>0.0</v>
      </c>
      <c r="S6116" s="5">
        <f t="shared" si="8"/>
        <v>0</v>
      </c>
    </row>
    <row r="6117">
      <c r="A6117" s="2" t="s">
        <v>6116</v>
      </c>
      <c r="B6117" s="2">
        <v>594.0</v>
      </c>
      <c r="C6117" s="2">
        <v>7182.0</v>
      </c>
      <c r="D6117" s="2">
        <v>2425.0</v>
      </c>
      <c r="E6117" s="3">
        <f t="shared" si="1"/>
        <v>0.3680935033</v>
      </c>
      <c r="F6117" s="2">
        <v>776.0</v>
      </c>
      <c r="G6117" s="3">
        <f t="shared" si="2"/>
        <v>0.1177899211</v>
      </c>
      <c r="H6117" s="2">
        <v>1380.0</v>
      </c>
      <c r="I6117" s="3">
        <f t="shared" si="3"/>
        <v>0.2094717668</v>
      </c>
      <c r="J6117" s="2">
        <v>1096.0</v>
      </c>
      <c r="K6117" s="3">
        <f t="shared" si="4"/>
        <v>0.1663630844</v>
      </c>
      <c r="L6117" s="2">
        <v>826.0</v>
      </c>
      <c r="M6117" s="3">
        <f t="shared" si="5"/>
        <v>0.5985507246</v>
      </c>
      <c r="N6117" s="2">
        <v>7456400.0</v>
      </c>
      <c r="O6117" s="4">
        <f t="shared" si="6"/>
        <v>5403.188406</v>
      </c>
      <c r="P6117" s="2">
        <v>1.0</v>
      </c>
      <c r="Q6117" s="3">
        <f t="shared" si="7"/>
        <v>0.001683501684</v>
      </c>
      <c r="R6117" s="2">
        <v>0.0</v>
      </c>
      <c r="S6117" s="5">
        <f t="shared" si="8"/>
        <v>0</v>
      </c>
    </row>
    <row r="6118">
      <c r="A6118" s="2" t="s">
        <v>6117</v>
      </c>
      <c r="B6118" s="2">
        <v>695.0</v>
      </c>
      <c r="C6118" s="2">
        <v>8200.0</v>
      </c>
      <c r="D6118" s="2">
        <v>2396.0</v>
      </c>
      <c r="E6118" s="3">
        <f t="shared" si="1"/>
        <v>0.3192538308</v>
      </c>
      <c r="F6118" s="2">
        <v>884.0</v>
      </c>
      <c r="G6118" s="3">
        <f t="shared" si="2"/>
        <v>0.1177881412</v>
      </c>
      <c r="H6118" s="2">
        <v>1588.0</v>
      </c>
      <c r="I6118" s="3">
        <f t="shared" si="3"/>
        <v>0.2115922718</v>
      </c>
      <c r="J6118" s="2">
        <v>1309.0</v>
      </c>
      <c r="K6118" s="3">
        <f t="shared" si="4"/>
        <v>0.1744170553</v>
      </c>
      <c r="L6118" s="2">
        <v>920.0</v>
      </c>
      <c r="M6118" s="3">
        <f t="shared" si="5"/>
        <v>0.5793450882</v>
      </c>
      <c r="N6118" s="2">
        <v>8859800.0</v>
      </c>
      <c r="O6118" s="4">
        <f t="shared" si="6"/>
        <v>5579.219144</v>
      </c>
      <c r="P6118" s="2">
        <v>2.0</v>
      </c>
      <c r="Q6118" s="3">
        <f t="shared" si="7"/>
        <v>0.002877697842</v>
      </c>
      <c r="R6118" s="2">
        <v>695.0</v>
      </c>
      <c r="S6118" s="5">
        <f t="shared" si="8"/>
        <v>1</v>
      </c>
    </row>
    <row r="6119">
      <c r="A6119" s="2" t="s">
        <v>6118</v>
      </c>
      <c r="B6119" s="2">
        <v>978.0</v>
      </c>
      <c r="C6119" s="2">
        <v>11480.0</v>
      </c>
      <c r="D6119" s="2">
        <v>3446.0</v>
      </c>
      <c r="E6119" s="3">
        <f t="shared" si="1"/>
        <v>0.3281279756</v>
      </c>
      <c r="F6119" s="2">
        <v>1237.0</v>
      </c>
      <c r="G6119" s="3">
        <f t="shared" si="2"/>
        <v>0.1177870882</v>
      </c>
      <c r="H6119" s="2">
        <v>2343.0</v>
      </c>
      <c r="I6119" s="3">
        <f t="shared" si="3"/>
        <v>0.2231003618</v>
      </c>
      <c r="J6119" s="2">
        <v>2108.0</v>
      </c>
      <c r="K6119" s="3">
        <f t="shared" si="4"/>
        <v>0.2007236717</v>
      </c>
      <c r="L6119" s="2">
        <v>1390.0</v>
      </c>
      <c r="M6119" s="3">
        <f t="shared" si="5"/>
        <v>0.5932565087</v>
      </c>
      <c r="N6119" s="2">
        <v>1.32057E7</v>
      </c>
      <c r="O6119" s="4">
        <f t="shared" si="6"/>
        <v>5636.235595</v>
      </c>
      <c r="P6119" s="2">
        <v>0.0</v>
      </c>
      <c r="Q6119" s="3">
        <f t="shared" si="7"/>
        <v>0</v>
      </c>
      <c r="R6119" s="2">
        <v>382.0</v>
      </c>
      <c r="S6119" s="5">
        <f t="shared" si="8"/>
        <v>0.390593047</v>
      </c>
    </row>
    <row r="6120">
      <c r="A6120" s="2" t="s">
        <v>6119</v>
      </c>
      <c r="B6120" s="2">
        <v>673.0</v>
      </c>
      <c r="C6120" s="2">
        <v>7941.0</v>
      </c>
      <c r="D6120" s="2">
        <v>2721.0</v>
      </c>
      <c r="E6120" s="3">
        <f t="shared" si="1"/>
        <v>0.3743808476</v>
      </c>
      <c r="F6120" s="2">
        <v>856.0</v>
      </c>
      <c r="G6120" s="3">
        <f t="shared" si="2"/>
        <v>0.1177765548</v>
      </c>
      <c r="H6120" s="2">
        <v>1564.0</v>
      </c>
      <c r="I6120" s="3">
        <f t="shared" si="3"/>
        <v>0.2151898734</v>
      </c>
      <c r="J6120" s="2">
        <v>1170.0</v>
      </c>
      <c r="K6120" s="3">
        <f t="shared" si="4"/>
        <v>0.1609796368</v>
      </c>
      <c r="L6120" s="2">
        <v>962.0</v>
      </c>
      <c r="M6120" s="3">
        <f t="shared" si="5"/>
        <v>0.6150895141</v>
      </c>
      <c r="N6120" s="2">
        <v>8663600.0</v>
      </c>
      <c r="O6120" s="4">
        <f t="shared" si="6"/>
        <v>5539.386189</v>
      </c>
      <c r="P6120" s="2">
        <v>0.0</v>
      </c>
      <c r="Q6120" s="3">
        <f t="shared" si="7"/>
        <v>0</v>
      </c>
      <c r="R6120" s="2">
        <v>673.0</v>
      </c>
      <c r="S6120" s="5">
        <f t="shared" si="8"/>
        <v>1</v>
      </c>
    </row>
    <row r="6121">
      <c r="A6121" s="2" t="s">
        <v>6120</v>
      </c>
      <c r="B6121" s="2">
        <v>470.0</v>
      </c>
      <c r="C6121" s="2">
        <v>5480.0</v>
      </c>
      <c r="D6121" s="2">
        <v>1931.0</v>
      </c>
      <c r="E6121" s="3">
        <f t="shared" si="1"/>
        <v>0.3854291417</v>
      </c>
      <c r="F6121" s="2">
        <v>590.0</v>
      </c>
      <c r="G6121" s="3">
        <f t="shared" si="2"/>
        <v>0.1177644711</v>
      </c>
      <c r="H6121" s="2">
        <v>1047.0</v>
      </c>
      <c r="I6121" s="3">
        <f t="shared" si="3"/>
        <v>0.2089820359</v>
      </c>
      <c r="J6121" s="2">
        <v>777.0</v>
      </c>
      <c r="K6121" s="3">
        <f t="shared" si="4"/>
        <v>0.1550898204</v>
      </c>
      <c r="L6121" s="2">
        <v>629.0</v>
      </c>
      <c r="M6121" s="3">
        <f t="shared" si="5"/>
        <v>0.6007640879</v>
      </c>
      <c r="N6121" s="2">
        <v>5794500.0</v>
      </c>
      <c r="O6121" s="4">
        <f t="shared" si="6"/>
        <v>5534.383954</v>
      </c>
      <c r="P6121" s="2">
        <v>0.0</v>
      </c>
      <c r="Q6121" s="3">
        <f t="shared" si="7"/>
        <v>0</v>
      </c>
      <c r="R6121" s="2">
        <v>470.0</v>
      </c>
      <c r="S6121" s="5">
        <f t="shared" si="8"/>
        <v>1</v>
      </c>
    </row>
    <row r="6122">
      <c r="A6122" s="2" t="s">
        <v>6121</v>
      </c>
      <c r="B6122" s="2">
        <v>759.0</v>
      </c>
      <c r="C6122" s="2">
        <v>8877.0</v>
      </c>
      <c r="D6122" s="2">
        <v>2587.0</v>
      </c>
      <c r="E6122" s="3">
        <f t="shared" si="1"/>
        <v>0.3186745504</v>
      </c>
      <c r="F6122" s="2">
        <v>956.0</v>
      </c>
      <c r="G6122" s="3">
        <f t="shared" si="2"/>
        <v>0.1177629958</v>
      </c>
      <c r="H6122" s="2">
        <v>1622.0</v>
      </c>
      <c r="I6122" s="3">
        <f t="shared" si="3"/>
        <v>0.1998029071</v>
      </c>
      <c r="J6122" s="2">
        <v>1296.0</v>
      </c>
      <c r="K6122" s="3">
        <f t="shared" si="4"/>
        <v>0.1596452328</v>
      </c>
      <c r="L6122" s="2">
        <v>969.0</v>
      </c>
      <c r="M6122" s="3">
        <f t="shared" si="5"/>
        <v>0.5974106042</v>
      </c>
      <c r="N6122" s="2">
        <v>9292400.0</v>
      </c>
      <c r="O6122" s="4">
        <f t="shared" si="6"/>
        <v>5728.976572</v>
      </c>
      <c r="P6122" s="2">
        <v>1.0</v>
      </c>
      <c r="Q6122" s="3">
        <f t="shared" si="7"/>
        <v>0.001317523057</v>
      </c>
      <c r="R6122" s="2">
        <v>93.0</v>
      </c>
      <c r="S6122" s="5">
        <f t="shared" si="8"/>
        <v>0.1225296443</v>
      </c>
    </row>
    <row r="6123">
      <c r="A6123" s="2" t="s">
        <v>6122</v>
      </c>
      <c r="B6123" s="2">
        <v>151.0</v>
      </c>
      <c r="C6123" s="2">
        <v>1773.0</v>
      </c>
      <c r="D6123" s="2">
        <v>557.0</v>
      </c>
      <c r="E6123" s="3">
        <f t="shared" si="1"/>
        <v>0.3434032059</v>
      </c>
      <c r="F6123" s="2">
        <v>191.0</v>
      </c>
      <c r="G6123" s="3">
        <f t="shared" si="2"/>
        <v>0.117755857</v>
      </c>
      <c r="H6123" s="2">
        <v>328.0</v>
      </c>
      <c r="I6123" s="3">
        <f t="shared" si="3"/>
        <v>0.2022194821</v>
      </c>
      <c r="J6123" s="2">
        <v>268.0</v>
      </c>
      <c r="K6123" s="3">
        <f t="shared" si="4"/>
        <v>0.1652281134</v>
      </c>
      <c r="L6123" s="2">
        <v>200.0</v>
      </c>
      <c r="M6123" s="3">
        <f t="shared" si="5"/>
        <v>0.6097560976</v>
      </c>
      <c r="N6123" s="2">
        <v>1700200.0</v>
      </c>
      <c r="O6123" s="4">
        <f t="shared" si="6"/>
        <v>5183.536585</v>
      </c>
      <c r="P6123" s="2">
        <v>0.0</v>
      </c>
      <c r="Q6123" s="3">
        <f t="shared" si="7"/>
        <v>0</v>
      </c>
      <c r="R6123" s="2">
        <v>151.0</v>
      </c>
      <c r="S6123" s="5">
        <f t="shared" si="8"/>
        <v>1</v>
      </c>
    </row>
    <row r="6124">
      <c r="A6124" s="2" t="s">
        <v>6123</v>
      </c>
      <c r="B6124" s="2">
        <v>514.0</v>
      </c>
      <c r="C6124" s="2">
        <v>6102.0</v>
      </c>
      <c r="D6124" s="2">
        <v>1936.0</v>
      </c>
      <c r="E6124" s="3">
        <f t="shared" si="1"/>
        <v>0.3464566929</v>
      </c>
      <c r="F6124" s="2">
        <v>658.0</v>
      </c>
      <c r="G6124" s="3">
        <f t="shared" si="2"/>
        <v>0.1177523264</v>
      </c>
      <c r="H6124" s="2">
        <v>1199.0</v>
      </c>
      <c r="I6124" s="3">
        <f t="shared" si="3"/>
        <v>0.2145669291</v>
      </c>
      <c r="J6124" s="2">
        <v>925.0</v>
      </c>
      <c r="K6124" s="3">
        <f t="shared" si="4"/>
        <v>0.1655332856</v>
      </c>
      <c r="L6124" s="2">
        <v>710.0</v>
      </c>
      <c r="M6124" s="3">
        <f t="shared" si="5"/>
        <v>0.5921601334</v>
      </c>
      <c r="N6124" s="2">
        <v>6319500.0</v>
      </c>
      <c r="O6124" s="4">
        <f t="shared" si="6"/>
        <v>5270.642202</v>
      </c>
      <c r="P6124" s="2">
        <v>1.0</v>
      </c>
      <c r="Q6124" s="3">
        <f t="shared" si="7"/>
        <v>0.001945525292</v>
      </c>
      <c r="R6124" s="2">
        <v>514.0</v>
      </c>
      <c r="S6124" s="5">
        <f t="shared" si="8"/>
        <v>1</v>
      </c>
    </row>
    <row r="6125">
      <c r="A6125" s="2" t="s">
        <v>6124</v>
      </c>
      <c r="B6125" s="2">
        <v>112.0</v>
      </c>
      <c r="C6125" s="2">
        <v>1267.0</v>
      </c>
      <c r="D6125" s="2">
        <v>393.0</v>
      </c>
      <c r="E6125" s="3">
        <f t="shared" si="1"/>
        <v>0.3402597403</v>
      </c>
      <c r="F6125" s="2">
        <v>136.0</v>
      </c>
      <c r="G6125" s="3">
        <f t="shared" si="2"/>
        <v>0.1177489177</v>
      </c>
      <c r="H6125" s="2">
        <v>212.0</v>
      </c>
      <c r="I6125" s="3">
        <f t="shared" si="3"/>
        <v>0.1835497835</v>
      </c>
      <c r="J6125" s="2">
        <v>191.0</v>
      </c>
      <c r="K6125" s="3">
        <f t="shared" si="4"/>
        <v>0.1653679654</v>
      </c>
      <c r="L6125" s="2">
        <v>118.0</v>
      </c>
      <c r="M6125" s="3">
        <f t="shared" si="5"/>
        <v>0.5566037736</v>
      </c>
      <c r="N6125" s="2">
        <v>1195100.0</v>
      </c>
      <c r="O6125" s="4">
        <f t="shared" si="6"/>
        <v>5637.264151</v>
      </c>
      <c r="P6125" s="2">
        <v>0.0</v>
      </c>
      <c r="Q6125" s="3">
        <f t="shared" si="7"/>
        <v>0</v>
      </c>
      <c r="R6125" s="2">
        <v>112.0</v>
      </c>
      <c r="S6125" s="5">
        <f t="shared" si="8"/>
        <v>1</v>
      </c>
    </row>
    <row r="6126">
      <c r="A6126" s="2" t="s">
        <v>6125</v>
      </c>
      <c r="B6126" s="2">
        <v>663.0</v>
      </c>
      <c r="C6126" s="2">
        <v>7848.0</v>
      </c>
      <c r="D6126" s="2">
        <v>2795.0</v>
      </c>
      <c r="E6126" s="3">
        <f t="shared" si="1"/>
        <v>0.3890048713</v>
      </c>
      <c r="F6126" s="2">
        <v>846.0</v>
      </c>
      <c r="G6126" s="3">
        <f t="shared" si="2"/>
        <v>0.1177453027</v>
      </c>
      <c r="H6126" s="2">
        <v>1475.0</v>
      </c>
      <c r="I6126" s="3">
        <f t="shared" si="3"/>
        <v>0.2052887961</v>
      </c>
      <c r="J6126" s="2">
        <v>1151.0</v>
      </c>
      <c r="K6126" s="3">
        <f t="shared" si="4"/>
        <v>0.1601948504</v>
      </c>
      <c r="L6126" s="2">
        <v>863.0</v>
      </c>
      <c r="M6126" s="3">
        <f t="shared" si="5"/>
        <v>0.5850847458</v>
      </c>
      <c r="N6126" s="2">
        <v>8287500.0</v>
      </c>
      <c r="O6126" s="4">
        <f t="shared" si="6"/>
        <v>5618.644068</v>
      </c>
      <c r="P6126" s="2">
        <v>0.0</v>
      </c>
      <c r="Q6126" s="3">
        <f t="shared" si="7"/>
        <v>0</v>
      </c>
      <c r="R6126" s="2">
        <v>663.0</v>
      </c>
      <c r="S6126" s="5">
        <f t="shared" si="8"/>
        <v>1</v>
      </c>
    </row>
    <row r="6127">
      <c r="A6127" s="2" t="s">
        <v>6126</v>
      </c>
      <c r="B6127" s="2">
        <v>202.0</v>
      </c>
      <c r="C6127" s="2">
        <v>2377.0</v>
      </c>
      <c r="D6127" s="2">
        <v>708.0</v>
      </c>
      <c r="E6127" s="3">
        <f t="shared" si="1"/>
        <v>0.3255172414</v>
      </c>
      <c r="F6127" s="2">
        <v>256.0</v>
      </c>
      <c r="G6127" s="3">
        <f t="shared" si="2"/>
        <v>0.1177011494</v>
      </c>
      <c r="H6127" s="2">
        <v>436.0</v>
      </c>
      <c r="I6127" s="3">
        <f t="shared" si="3"/>
        <v>0.2004597701</v>
      </c>
      <c r="J6127" s="2">
        <v>389.0</v>
      </c>
      <c r="K6127" s="3">
        <f t="shared" si="4"/>
        <v>0.1788505747</v>
      </c>
      <c r="L6127" s="2">
        <v>278.0</v>
      </c>
      <c r="M6127" s="3">
        <f t="shared" si="5"/>
        <v>0.6376146789</v>
      </c>
      <c r="N6127" s="2">
        <v>2431000.0</v>
      </c>
      <c r="O6127" s="4">
        <f t="shared" si="6"/>
        <v>5575.688073</v>
      </c>
      <c r="P6127" s="2">
        <v>0.0</v>
      </c>
      <c r="Q6127" s="3">
        <f t="shared" si="7"/>
        <v>0</v>
      </c>
      <c r="R6127" s="2">
        <v>0.0</v>
      </c>
      <c r="S6127" s="5">
        <f t="shared" si="8"/>
        <v>0</v>
      </c>
    </row>
    <row r="6128">
      <c r="A6128" s="2" t="s">
        <v>6127</v>
      </c>
      <c r="B6128" s="2">
        <v>114.0</v>
      </c>
      <c r="C6128" s="2">
        <v>1329.0</v>
      </c>
      <c r="D6128" s="2">
        <v>348.0</v>
      </c>
      <c r="E6128" s="3">
        <f t="shared" si="1"/>
        <v>0.2864197531</v>
      </c>
      <c r="F6128" s="2">
        <v>143.0</v>
      </c>
      <c r="G6128" s="3">
        <f t="shared" si="2"/>
        <v>0.1176954733</v>
      </c>
      <c r="H6128" s="2">
        <v>263.0</v>
      </c>
      <c r="I6128" s="3">
        <f t="shared" si="3"/>
        <v>0.2164609053</v>
      </c>
      <c r="J6128" s="2">
        <v>206.0</v>
      </c>
      <c r="K6128" s="3">
        <f t="shared" si="4"/>
        <v>0.1695473251</v>
      </c>
      <c r="L6128" s="2">
        <v>165.0</v>
      </c>
      <c r="M6128" s="3">
        <f t="shared" si="5"/>
        <v>0.6273764259</v>
      </c>
      <c r="N6128" s="2">
        <v>1492000.0</v>
      </c>
      <c r="O6128" s="4">
        <f t="shared" si="6"/>
        <v>5673.003802</v>
      </c>
      <c r="P6128" s="2">
        <v>0.0</v>
      </c>
      <c r="Q6128" s="3">
        <f t="shared" si="7"/>
        <v>0</v>
      </c>
      <c r="R6128" s="2">
        <v>114.0</v>
      </c>
      <c r="S6128" s="5">
        <f t="shared" si="8"/>
        <v>1</v>
      </c>
    </row>
    <row r="6129">
      <c r="A6129" s="2" t="s">
        <v>6128</v>
      </c>
      <c r="B6129" s="2">
        <v>137.0</v>
      </c>
      <c r="C6129" s="2">
        <v>1590.0</v>
      </c>
      <c r="D6129" s="2">
        <v>430.0</v>
      </c>
      <c r="E6129" s="3">
        <f t="shared" si="1"/>
        <v>0.2959394357</v>
      </c>
      <c r="F6129" s="2">
        <v>171.0</v>
      </c>
      <c r="G6129" s="3">
        <f t="shared" si="2"/>
        <v>0.117687543</v>
      </c>
      <c r="H6129" s="2">
        <v>283.0</v>
      </c>
      <c r="I6129" s="3">
        <f t="shared" si="3"/>
        <v>0.1947694425</v>
      </c>
      <c r="J6129" s="2">
        <v>264.0</v>
      </c>
      <c r="K6129" s="3">
        <f t="shared" si="4"/>
        <v>0.1816930489</v>
      </c>
      <c r="L6129" s="2">
        <v>168.0</v>
      </c>
      <c r="M6129" s="3">
        <f t="shared" si="5"/>
        <v>0.593639576</v>
      </c>
      <c r="N6129" s="2">
        <v>1612100.0</v>
      </c>
      <c r="O6129" s="4">
        <f t="shared" si="6"/>
        <v>5696.466431</v>
      </c>
      <c r="P6129" s="2">
        <v>0.0</v>
      </c>
      <c r="Q6129" s="3">
        <f t="shared" si="7"/>
        <v>0</v>
      </c>
      <c r="R6129" s="2">
        <v>86.0</v>
      </c>
      <c r="S6129" s="5">
        <f t="shared" si="8"/>
        <v>0.6277372263</v>
      </c>
    </row>
    <row r="6130">
      <c r="A6130" s="2" t="s">
        <v>6129</v>
      </c>
      <c r="B6130" s="2">
        <v>782.0</v>
      </c>
      <c r="C6130" s="2">
        <v>9169.0</v>
      </c>
      <c r="D6130" s="2">
        <v>2884.0</v>
      </c>
      <c r="E6130" s="3">
        <f t="shared" si="1"/>
        <v>0.3438655061</v>
      </c>
      <c r="F6130" s="2">
        <v>987.0</v>
      </c>
      <c r="G6130" s="3">
        <f t="shared" si="2"/>
        <v>0.1176821271</v>
      </c>
      <c r="H6130" s="2">
        <v>1674.0</v>
      </c>
      <c r="I6130" s="3">
        <f t="shared" si="3"/>
        <v>0.1995946107</v>
      </c>
      <c r="J6130" s="2">
        <v>1210.0</v>
      </c>
      <c r="K6130" s="3">
        <f t="shared" si="4"/>
        <v>0.1442708954</v>
      </c>
      <c r="L6130" s="2">
        <v>997.0</v>
      </c>
      <c r="M6130" s="3">
        <f t="shared" si="5"/>
        <v>0.5955794504</v>
      </c>
      <c r="N6130" s="2">
        <v>9207000.0</v>
      </c>
      <c r="O6130" s="4">
        <f t="shared" si="6"/>
        <v>5500</v>
      </c>
      <c r="P6130" s="2">
        <v>3.0</v>
      </c>
      <c r="Q6130" s="3">
        <f t="shared" si="7"/>
        <v>0.003836317136</v>
      </c>
      <c r="R6130" s="2">
        <v>0.0</v>
      </c>
      <c r="S6130" s="5">
        <f t="shared" si="8"/>
        <v>0</v>
      </c>
    </row>
    <row r="6131">
      <c r="A6131" s="2" t="s">
        <v>6130</v>
      </c>
      <c r="B6131" s="2">
        <v>701.0</v>
      </c>
      <c r="C6131" s="2">
        <v>8332.0</v>
      </c>
      <c r="D6131" s="2">
        <v>3183.0</v>
      </c>
      <c r="E6131" s="3">
        <f t="shared" si="1"/>
        <v>0.4171144018</v>
      </c>
      <c r="F6131" s="2">
        <v>898.0</v>
      </c>
      <c r="G6131" s="3">
        <f t="shared" si="2"/>
        <v>0.1176778928</v>
      </c>
      <c r="H6131" s="2">
        <v>1692.0</v>
      </c>
      <c r="I6131" s="3">
        <f t="shared" si="3"/>
        <v>0.2217271655</v>
      </c>
      <c r="J6131" s="2">
        <v>1258.0</v>
      </c>
      <c r="K6131" s="3">
        <f t="shared" si="4"/>
        <v>0.1648538855</v>
      </c>
      <c r="L6131" s="2">
        <v>1042.0</v>
      </c>
      <c r="M6131" s="3">
        <f t="shared" si="5"/>
        <v>0.6158392435</v>
      </c>
      <c r="N6131" s="2">
        <v>8754100.0</v>
      </c>
      <c r="O6131" s="4">
        <f t="shared" si="6"/>
        <v>5173.817967</v>
      </c>
      <c r="P6131" s="2">
        <v>0.0</v>
      </c>
      <c r="Q6131" s="3">
        <f t="shared" si="7"/>
        <v>0</v>
      </c>
      <c r="R6131" s="2">
        <v>701.0</v>
      </c>
      <c r="S6131" s="5">
        <f t="shared" si="8"/>
        <v>1</v>
      </c>
    </row>
    <row r="6132">
      <c r="A6132" s="2" t="s">
        <v>6131</v>
      </c>
      <c r="B6132" s="2">
        <v>1678.0</v>
      </c>
      <c r="C6132" s="2">
        <v>19923.0</v>
      </c>
      <c r="D6132" s="2">
        <v>5769.0</v>
      </c>
      <c r="E6132" s="3">
        <f t="shared" si="1"/>
        <v>0.3161962181</v>
      </c>
      <c r="F6132" s="2">
        <v>2147.0</v>
      </c>
      <c r="G6132" s="3">
        <f t="shared" si="2"/>
        <v>0.1176760756</v>
      </c>
      <c r="H6132" s="2">
        <v>3685.0</v>
      </c>
      <c r="I6132" s="3">
        <f t="shared" si="3"/>
        <v>0.2019731433</v>
      </c>
      <c r="J6132" s="2">
        <v>3195.0</v>
      </c>
      <c r="K6132" s="3">
        <f t="shared" si="4"/>
        <v>0.1751164703</v>
      </c>
      <c r="L6132" s="2">
        <v>2115.0</v>
      </c>
      <c r="M6132" s="3">
        <f t="shared" si="5"/>
        <v>0.5739484396</v>
      </c>
      <c r="N6132" s="2">
        <v>2.15612E7</v>
      </c>
      <c r="O6132" s="4">
        <f t="shared" si="6"/>
        <v>5851.071913</v>
      </c>
      <c r="P6132" s="2">
        <v>3.0</v>
      </c>
      <c r="Q6132" s="3">
        <f t="shared" si="7"/>
        <v>0.00178784267</v>
      </c>
      <c r="R6132" s="2">
        <v>1678.0</v>
      </c>
      <c r="S6132" s="5">
        <f t="shared" si="8"/>
        <v>1</v>
      </c>
    </row>
    <row r="6133">
      <c r="A6133" s="2" t="s">
        <v>6132</v>
      </c>
      <c r="B6133" s="2">
        <v>3272.0</v>
      </c>
      <c r="C6133" s="2">
        <v>38432.0</v>
      </c>
      <c r="D6133" s="2">
        <v>12323.0</v>
      </c>
      <c r="E6133" s="3">
        <f t="shared" si="1"/>
        <v>0.350483504</v>
      </c>
      <c r="F6133" s="2">
        <v>4137.0</v>
      </c>
      <c r="G6133" s="3">
        <f t="shared" si="2"/>
        <v>0.117662116</v>
      </c>
      <c r="H6133" s="2">
        <v>7300.0</v>
      </c>
      <c r="I6133" s="3">
        <f t="shared" si="3"/>
        <v>0.2076222981</v>
      </c>
      <c r="J6133" s="2">
        <v>6480.0</v>
      </c>
      <c r="K6133" s="3">
        <f t="shared" si="4"/>
        <v>0.1843003413</v>
      </c>
      <c r="L6133" s="2">
        <v>4256.0</v>
      </c>
      <c r="M6133" s="3">
        <f t="shared" si="5"/>
        <v>0.5830136986</v>
      </c>
      <c r="N6133" s="2">
        <v>4.20865E7</v>
      </c>
      <c r="O6133" s="4">
        <f t="shared" si="6"/>
        <v>5765.273973</v>
      </c>
      <c r="P6133" s="2">
        <v>0.0</v>
      </c>
      <c r="Q6133" s="3">
        <f t="shared" si="7"/>
        <v>0</v>
      </c>
      <c r="R6133" s="2">
        <v>3272.0</v>
      </c>
      <c r="S6133" s="5">
        <f t="shared" si="8"/>
        <v>1</v>
      </c>
    </row>
    <row r="6134">
      <c r="A6134" s="2" t="s">
        <v>6133</v>
      </c>
      <c r="B6134" s="2">
        <v>589.0</v>
      </c>
      <c r="C6134" s="2">
        <v>6904.0</v>
      </c>
      <c r="D6134" s="2">
        <v>2331.0</v>
      </c>
      <c r="E6134" s="3">
        <f t="shared" si="1"/>
        <v>0.3691211401</v>
      </c>
      <c r="F6134" s="2">
        <v>743.0</v>
      </c>
      <c r="G6134" s="3">
        <f t="shared" si="2"/>
        <v>0.1176563737</v>
      </c>
      <c r="H6134" s="2">
        <v>1267.0</v>
      </c>
      <c r="I6134" s="3">
        <f t="shared" si="3"/>
        <v>0.2006334125</v>
      </c>
      <c r="J6134" s="2">
        <v>1011.0</v>
      </c>
      <c r="K6134" s="3">
        <f t="shared" si="4"/>
        <v>0.1600950119</v>
      </c>
      <c r="L6134" s="2">
        <v>737.0</v>
      </c>
      <c r="M6134" s="3">
        <f t="shared" si="5"/>
        <v>0.5816890292</v>
      </c>
      <c r="N6134" s="2">
        <v>6928200.0</v>
      </c>
      <c r="O6134" s="4">
        <f t="shared" si="6"/>
        <v>5468.192581</v>
      </c>
      <c r="P6134" s="2">
        <v>1.0</v>
      </c>
      <c r="Q6134" s="3">
        <f t="shared" si="7"/>
        <v>0.001697792869</v>
      </c>
      <c r="R6134" s="2">
        <v>589.0</v>
      </c>
      <c r="S6134" s="5">
        <f t="shared" si="8"/>
        <v>1</v>
      </c>
    </row>
    <row r="6135">
      <c r="A6135" s="2" t="s">
        <v>6134</v>
      </c>
      <c r="B6135" s="2">
        <v>1597.0</v>
      </c>
      <c r="C6135" s="2">
        <v>19047.0</v>
      </c>
      <c r="D6135" s="2">
        <v>7074.0</v>
      </c>
      <c r="E6135" s="3">
        <f t="shared" si="1"/>
        <v>0.4053868195</v>
      </c>
      <c r="F6135" s="2">
        <v>2053.0</v>
      </c>
      <c r="G6135" s="3">
        <f t="shared" si="2"/>
        <v>0.1176504298</v>
      </c>
      <c r="H6135" s="2">
        <v>3586.0</v>
      </c>
      <c r="I6135" s="3">
        <f t="shared" si="3"/>
        <v>0.2055014327</v>
      </c>
      <c r="J6135" s="2">
        <v>2893.0</v>
      </c>
      <c r="K6135" s="3">
        <f t="shared" si="4"/>
        <v>0.1657879656</v>
      </c>
      <c r="L6135" s="2">
        <v>2144.0</v>
      </c>
      <c r="M6135" s="3">
        <f t="shared" si="5"/>
        <v>0.597880647</v>
      </c>
      <c r="N6135" s="2">
        <v>1.8593E7</v>
      </c>
      <c r="O6135" s="4">
        <f t="shared" si="6"/>
        <v>5184.885666</v>
      </c>
      <c r="P6135" s="2">
        <v>5.0</v>
      </c>
      <c r="Q6135" s="3">
        <f t="shared" si="7"/>
        <v>0.003130870382</v>
      </c>
      <c r="R6135" s="2">
        <v>1597.0</v>
      </c>
      <c r="S6135" s="5">
        <f t="shared" si="8"/>
        <v>1</v>
      </c>
    </row>
    <row r="6136">
      <c r="A6136" s="2" t="s">
        <v>6135</v>
      </c>
      <c r="B6136" s="2">
        <v>10.0</v>
      </c>
      <c r="C6136" s="2">
        <v>112.0</v>
      </c>
      <c r="D6136" s="2">
        <v>33.0</v>
      </c>
      <c r="E6136" s="3">
        <f t="shared" si="1"/>
        <v>0.3235294118</v>
      </c>
      <c r="F6136" s="2">
        <v>12.0</v>
      </c>
      <c r="G6136" s="3">
        <f t="shared" si="2"/>
        <v>0.1176470588</v>
      </c>
      <c r="H6136" s="2">
        <v>23.0</v>
      </c>
      <c r="I6136" s="3">
        <f t="shared" si="3"/>
        <v>0.2254901961</v>
      </c>
      <c r="J6136" s="2">
        <v>19.0</v>
      </c>
      <c r="K6136" s="3">
        <f t="shared" si="4"/>
        <v>0.1862745098</v>
      </c>
      <c r="L6136" s="2">
        <v>13.0</v>
      </c>
      <c r="M6136" s="3">
        <f t="shared" si="5"/>
        <v>0.5652173913</v>
      </c>
      <c r="N6136" s="2">
        <v>125800.0</v>
      </c>
      <c r="O6136" s="4">
        <f t="shared" si="6"/>
        <v>5469.565217</v>
      </c>
      <c r="P6136" s="2">
        <v>0.0</v>
      </c>
      <c r="Q6136" s="3">
        <f t="shared" si="7"/>
        <v>0</v>
      </c>
      <c r="R6136" s="2">
        <v>0.0</v>
      </c>
      <c r="S6136" s="5">
        <f t="shared" si="8"/>
        <v>0</v>
      </c>
    </row>
    <row r="6137">
      <c r="A6137" s="2" t="s">
        <v>6136</v>
      </c>
      <c r="B6137" s="2">
        <v>2356.0</v>
      </c>
      <c r="C6137" s="2">
        <v>27618.0</v>
      </c>
      <c r="D6137" s="2">
        <v>6639.0</v>
      </c>
      <c r="E6137" s="3">
        <f t="shared" si="1"/>
        <v>0.2628057953</v>
      </c>
      <c r="F6137" s="2">
        <v>2972.0</v>
      </c>
      <c r="G6137" s="3">
        <f t="shared" si="2"/>
        <v>0.1176470588</v>
      </c>
      <c r="H6137" s="2">
        <v>5040.0</v>
      </c>
      <c r="I6137" s="3">
        <f t="shared" si="3"/>
        <v>0.1995091442</v>
      </c>
      <c r="J6137" s="2">
        <v>4668.0</v>
      </c>
      <c r="K6137" s="3">
        <f t="shared" si="4"/>
        <v>0.1847834692</v>
      </c>
      <c r="L6137" s="2">
        <v>3023.0</v>
      </c>
      <c r="M6137" s="3">
        <f t="shared" si="5"/>
        <v>0.5998015873</v>
      </c>
      <c r="N6137" s="2">
        <v>3.01557E7</v>
      </c>
      <c r="O6137" s="4">
        <f t="shared" si="6"/>
        <v>5983.27381</v>
      </c>
      <c r="P6137" s="2">
        <v>5.0</v>
      </c>
      <c r="Q6137" s="3">
        <f t="shared" si="7"/>
        <v>0.002122241087</v>
      </c>
      <c r="R6137" s="2">
        <v>2356.0</v>
      </c>
      <c r="S6137" s="5">
        <f t="shared" si="8"/>
        <v>1</v>
      </c>
    </row>
    <row r="6138">
      <c r="A6138" s="2" t="s">
        <v>6137</v>
      </c>
      <c r="B6138" s="2">
        <v>26.0</v>
      </c>
      <c r="C6138" s="2">
        <v>332.0</v>
      </c>
      <c r="D6138" s="2">
        <v>105.0</v>
      </c>
      <c r="E6138" s="3">
        <f t="shared" si="1"/>
        <v>0.3431372549</v>
      </c>
      <c r="F6138" s="2">
        <v>36.0</v>
      </c>
      <c r="G6138" s="3">
        <f t="shared" si="2"/>
        <v>0.1176470588</v>
      </c>
      <c r="H6138" s="2">
        <v>67.0</v>
      </c>
      <c r="I6138" s="3">
        <f t="shared" si="3"/>
        <v>0.2189542484</v>
      </c>
      <c r="J6138" s="2">
        <v>52.0</v>
      </c>
      <c r="K6138" s="3">
        <f t="shared" si="4"/>
        <v>0.1699346405</v>
      </c>
      <c r="L6138" s="2">
        <v>38.0</v>
      </c>
      <c r="M6138" s="3">
        <f t="shared" si="5"/>
        <v>0.5671641791</v>
      </c>
      <c r="N6138" s="2">
        <v>350200.0</v>
      </c>
      <c r="O6138" s="4">
        <f t="shared" si="6"/>
        <v>5226.865672</v>
      </c>
      <c r="P6138" s="2">
        <v>0.0</v>
      </c>
      <c r="Q6138" s="3">
        <f t="shared" si="7"/>
        <v>0</v>
      </c>
      <c r="R6138" s="2">
        <v>26.0</v>
      </c>
      <c r="S6138" s="5">
        <f t="shared" si="8"/>
        <v>1</v>
      </c>
    </row>
    <row r="6139">
      <c r="A6139" s="2" t="s">
        <v>6138</v>
      </c>
      <c r="B6139" s="2">
        <v>83.0</v>
      </c>
      <c r="C6139" s="2">
        <v>984.0</v>
      </c>
      <c r="D6139" s="2">
        <v>295.0</v>
      </c>
      <c r="E6139" s="3">
        <f t="shared" si="1"/>
        <v>0.3274139845</v>
      </c>
      <c r="F6139" s="2">
        <v>106.0</v>
      </c>
      <c r="G6139" s="3">
        <f t="shared" si="2"/>
        <v>0.1176470588</v>
      </c>
      <c r="H6139" s="2">
        <v>182.0</v>
      </c>
      <c r="I6139" s="3">
        <f t="shared" si="3"/>
        <v>0.2019977802</v>
      </c>
      <c r="J6139" s="2">
        <v>152.0</v>
      </c>
      <c r="K6139" s="3">
        <f t="shared" si="4"/>
        <v>0.1687014428</v>
      </c>
      <c r="L6139" s="2">
        <v>110.0</v>
      </c>
      <c r="M6139" s="3">
        <f t="shared" si="5"/>
        <v>0.6043956044</v>
      </c>
      <c r="N6139" s="2">
        <v>953400.0</v>
      </c>
      <c r="O6139" s="4">
        <f t="shared" si="6"/>
        <v>5238.461538</v>
      </c>
      <c r="P6139" s="2">
        <v>0.0</v>
      </c>
      <c r="Q6139" s="3">
        <f t="shared" si="7"/>
        <v>0</v>
      </c>
      <c r="R6139" s="2">
        <v>81.0</v>
      </c>
      <c r="S6139" s="5">
        <f t="shared" si="8"/>
        <v>0.9759036145</v>
      </c>
    </row>
    <row r="6140">
      <c r="A6140" s="2" t="s">
        <v>6139</v>
      </c>
      <c r="B6140" s="2">
        <v>97.0</v>
      </c>
      <c r="C6140" s="2">
        <v>1168.0</v>
      </c>
      <c r="D6140" s="2">
        <v>311.0</v>
      </c>
      <c r="E6140" s="3">
        <f t="shared" si="1"/>
        <v>0.2903828198</v>
      </c>
      <c r="F6140" s="2">
        <v>126.0</v>
      </c>
      <c r="G6140" s="3">
        <f t="shared" si="2"/>
        <v>0.1176470588</v>
      </c>
      <c r="H6140" s="2">
        <v>228.0</v>
      </c>
      <c r="I6140" s="3">
        <f t="shared" si="3"/>
        <v>0.2128851541</v>
      </c>
      <c r="J6140" s="2">
        <v>180.0</v>
      </c>
      <c r="K6140" s="3">
        <f t="shared" si="4"/>
        <v>0.1680672269</v>
      </c>
      <c r="L6140" s="2">
        <v>152.0</v>
      </c>
      <c r="M6140" s="3">
        <f t="shared" si="5"/>
        <v>0.6666666667</v>
      </c>
      <c r="N6140" s="2">
        <v>1325300.0</v>
      </c>
      <c r="O6140" s="4">
        <f t="shared" si="6"/>
        <v>5812.719298</v>
      </c>
      <c r="P6140" s="2">
        <v>1.0</v>
      </c>
      <c r="Q6140" s="3">
        <f t="shared" si="7"/>
        <v>0.01030927835</v>
      </c>
      <c r="R6140" s="2">
        <v>0.0</v>
      </c>
      <c r="S6140" s="5">
        <f t="shared" si="8"/>
        <v>0</v>
      </c>
    </row>
    <row r="6141">
      <c r="A6141" s="2" t="s">
        <v>6140</v>
      </c>
      <c r="B6141" s="2">
        <v>19.0</v>
      </c>
      <c r="C6141" s="2">
        <v>223.0</v>
      </c>
      <c r="D6141" s="2">
        <v>80.0</v>
      </c>
      <c r="E6141" s="3">
        <f t="shared" si="1"/>
        <v>0.3921568627</v>
      </c>
      <c r="F6141" s="2">
        <v>24.0</v>
      </c>
      <c r="G6141" s="3">
        <f t="shared" si="2"/>
        <v>0.1176470588</v>
      </c>
      <c r="H6141" s="2">
        <v>47.0</v>
      </c>
      <c r="I6141" s="3">
        <f t="shared" si="3"/>
        <v>0.2303921569</v>
      </c>
      <c r="J6141" s="2">
        <v>30.0</v>
      </c>
      <c r="K6141" s="3">
        <f t="shared" si="4"/>
        <v>0.1470588235</v>
      </c>
      <c r="L6141" s="2">
        <v>26.0</v>
      </c>
      <c r="M6141" s="3">
        <f t="shared" si="5"/>
        <v>0.5531914894</v>
      </c>
      <c r="N6141" s="2">
        <v>280800.0</v>
      </c>
      <c r="O6141" s="4">
        <f t="shared" si="6"/>
        <v>5974.468085</v>
      </c>
      <c r="P6141" s="2">
        <v>0.0</v>
      </c>
      <c r="Q6141" s="3">
        <f t="shared" si="7"/>
        <v>0</v>
      </c>
      <c r="R6141" s="2">
        <v>0.0</v>
      </c>
      <c r="S6141" s="5">
        <f t="shared" si="8"/>
        <v>0</v>
      </c>
    </row>
    <row r="6142">
      <c r="A6142" s="2" t="s">
        <v>6141</v>
      </c>
      <c r="B6142" s="2">
        <v>1300.0</v>
      </c>
      <c r="C6142" s="2">
        <v>15419.0</v>
      </c>
      <c r="D6142" s="2">
        <v>4785.0</v>
      </c>
      <c r="E6142" s="3">
        <f t="shared" si="1"/>
        <v>0.3389050216</v>
      </c>
      <c r="F6142" s="2">
        <v>1661.0</v>
      </c>
      <c r="G6142" s="3">
        <f t="shared" si="2"/>
        <v>0.1176428926</v>
      </c>
      <c r="H6142" s="2">
        <v>3108.0</v>
      </c>
      <c r="I6142" s="3">
        <f t="shared" si="3"/>
        <v>0.2201289043</v>
      </c>
      <c r="J6142" s="2">
        <v>2207.0</v>
      </c>
      <c r="K6142" s="3">
        <f t="shared" si="4"/>
        <v>0.1563141866</v>
      </c>
      <c r="L6142" s="2">
        <v>1899.0</v>
      </c>
      <c r="M6142" s="3">
        <f t="shared" si="5"/>
        <v>0.611003861</v>
      </c>
      <c r="N6142" s="2">
        <v>1.60732E7</v>
      </c>
      <c r="O6142" s="4">
        <f t="shared" si="6"/>
        <v>5171.557272</v>
      </c>
      <c r="P6142" s="2">
        <v>0.0</v>
      </c>
      <c r="Q6142" s="3">
        <f t="shared" si="7"/>
        <v>0</v>
      </c>
      <c r="R6142" s="2">
        <v>1300.0</v>
      </c>
      <c r="S6142" s="5">
        <f t="shared" si="8"/>
        <v>1</v>
      </c>
    </row>
    <row r="6143">
      <c r="A6143" s="2" t="s">
        <v>6142</v>
      </c>
      <c r="B6143" s="2">
        <v>114.0</v>
      </c>
      <c r="C6143" s="2">
        <v>1364.0</v>
      </c>
      <c r="D6143" s="2">
        <v>422.0</v>
      </c>
      <c r="E6143" s="3">
        <f t="shared" si="1"/>
        <v>0.3376</v>
      </c>
      <c r="F6143" s="2">
        <v>147.0</v>
      </c>
      <c r="G6143" s="3">
        <f t="shared" si="2"/>
        <v>0.1176</v>
      </c>
      <c r="H6143" s="2">
        <v>274.0</v>
      </c>
      <c r="I6143" s="3">
        <f t="shared" si="3"/>
        <v>0.2192</v>
      </c>
      <c r="J6143" s="2">
        <v>222.0</v>
      </c>
      <c r="K6143" s="3">
        <f t="shared" si="4"/>
        <v>0.1776</v>
      </c>
      <c r="L6143" s="2">
        <v>169.0</v>
      </c>
      <c r="M6143" s="3">
        <f t="shared" si="5"/>
        <v>0.6167883212</v>
      </c>
      <c r="N6143" s="2">
        <v>1436000.0</v>
      </c>
      <c r="O6143" s="4">
        <f t="shared" si="6"/>
        <v>5240.875912</v>
      </c>
      <c r="P6143" s="2">
        <v>0.0</v>
      </c>
      <c r="Q6143" s="3">
        <f t="shared" si="7"/>
        <v>0</v>
      </c>
      <c r="R6143" s="2">
        <v>114.0</v>
      </c>
      <c r="S6143" s="5">
        <f t="shared" si="8"/>
        <v>1</v>
      </c>
    </row>
    <row r="6144">
      <c r="A6144" s="2" t="s">
        <v>6143</v>
      </c>
      <c r="B6144" s="2">
        <v>3667.0</v>
      </c>
      <c r="C6144" s="2">
        <v>43446.0</v>
      </c>
      <c r="D6144" s="2">
        <v>12277.0</v>
      </c>
      <c r="E6144" s="3">
        <f t="shared" si="1"/>
        <v>0.3086301818</v>
      </c>
      <c r="F6144" s="2">
        <v>4678.0</v>
      </c>
      <c r="G6144" s="3">
        <f t="shared" si="2"/>
        <v>0.1175997386</v>
      </c>
      <c r="H6144" s="2">
        <v>8198.0</v>
      </c>
      <c r="I6144" s="3">
        <f t="shared" si="3"/>
        <v>0.2060886397</v>
      </c>
      <c r="J6144" s="2">
        <v>5780.0</v>
      </c>
      <c r="K6144" s="3">
        <f t="shared" si="4"/>
        <v>0.145302798</v>
      </c>
      <c r="L6144" s="2">
        <v>4935.0</v>
      </c>
      <c r="M6144" s="3">
        <f t="shared" si="5"/>
        <v>0.6019760917</v>
      </c>
      <c r="N6144" s="2">
        <v>4.64983E7</v>
      </c>
      <c r="O6144" s="4">
        <f t="shared" si="6"/>
        <v>5671.907782</v>
      </c>
      <c r="P6144" s="2">
        <v>5.0</v>
      </c>
      <c r="Q6144" s="3">
        <f t="shared" si="7"/>
        <v>0.001363512408</v>
      </c>
      <c r="R6144" s="2">
        <v>3667.0</v>
      </c>
      <c r="S6144" s="5">
        <f t="shared" si="8"/>
        <v>1</v>
      </c>
    </row>
    <row r="6145">
      <c r="A6145" s="2" t="s">
        <v>6144</v>
      </c>
      <c r="B6145" s="2">
        <v>112.0</v>
      </c>
      <c r="C6145" s="2">
        <v>1328.0</v>
      </c>
      <c r="D6145" s="2">
        <v>441.0</v>
      </c>
      <c r="E6145" s="3">
        <f t="shared" si="1"/>
        <v>0.3626644737</v>
      </c>
      <c r="F6145" s="2">
        <v>143.0</v>
      </c>
      <c r="G6145" s="3">
        <f t="shared" si="2"/>
        <v>0.1175986842</v>
      </c>
      <c r="H6145" s="2">
        <v>246.0</v>
      </c>
      <c r="I6145" s="3">
        <f t="shared" si="3"/>
        <v>0.2023026316</v>
      </c>
      <c r="J6145" s="2">
        <v>223.0</v>
      </c>
      <c r="K6145" s="3">
        <f t="shared" si="4"/>
        <v>0.1833881579</v>
      </c>
      <c r="L6145" s="2">
        <v>135.0</v>
      </c>
      <c r="M6145" s="3">
        <f t="shared" si="5"/>
        <v>0.5487804878</v>
      </c>
      <c r="N6145" s="2">
        <v>1354700.0</v>
      </c>
      <c r="O6145" s="4">
        <f t="shared" si="6"/>
        <v>5506.910569</v>
      </c>
      <c r="P6145" s="2">
        <v>0.0</v>
      </c>
      <c r="Q6145" s="3">
        <f t="shared" si="7"/>
        <v>0</v>
      </c>
      <c r="R6145" s="2">
        <v>112.0</v>
      </c>
      <c r="S6145" s="5">
        <f t="shared" si="8"/>
        <v>1</v>
      </c>
    </row>
    <row r="6146">
      <c r="A6146" s="2" t="s">
        <v>6145</v>
      </c>
      <c r="B6146" s="2">
        <v>729.0</v>
      </c>
      <c r="C6146" s="2">
        <v>8493.0</v>
      </c>
      <c r="D6146" s="2">
        <v>2675.0</v>
      </c>
      <c r="E6146" s="3">
        <f t="shared" si="1"/>
        <v>0.3445388975</v>
      </c>
      <c r="F6146" s="2">
        <v>913.0</v>
      </c>
      <c r="G6146" s="3">
        <f t="shared" si="2"/>
        <v>0.1175940237</v>
      </c>
      <c r="H6146" s="2">
        <v>1677.0</v>
      </c>
      <c r="I6146" s="3">
        <f t="shared" si="3"/>
        <v>0.2159969088</v>
      </c>
      <c r="J6146" s="2">
        <v>1475.0</v>
      </c>
      <c r="K6146" s="3">
        <f t="shared" si="4"/>
        <v>0.1899793921</v>
      </c>
      <c r="L6146" s="2">
        <v>987.0</v>
      </c>
      <c r="M6146" s="3">
        <f t="shared" si="5"/>
        <v>0.5885509839</v>
      </c>
      <c r="N6146" s="2">
        <v>9640400.0</v>
      </c>
      <c r="O6146" s="4">
        <f t="shared" si="6"/>
        <v>5748.598688</v>
      </c>
      <c r="P6146" s="2">
        <v>2.0</v>
      </c>
      <c r="Q6146" s="3">
        <f t="shared" si="7"/>
        <v>0.002743484225</v>
      </c>
      <c r="R6146" s="2">
        <v>729.0</v>
      </c>
      <c r="S6146" s="5">
        <f t="shared" si="8"/>
        <v>1</v>
      </c>
    </row>
    <row r="6147">
      <c r="A6147" s="2" t="s">
        <v>6146</v>
      </c>
      <c r="B6147" s="2">
        <v>303.0</v>
      </c>
      <c r="C6147" s="2">
        <v>3611.0</v>
      </c>
      <c r="D6147" s="2">
        <v>1324.0</v>
      </c>
      <c r="E6147" s="3">
        <f t="shared" si="1"/>
        <v>0.400241838</v>
      </c>
      <c r="F6147" s="2">
        <v>389.0</v>
      </c>
      <c r="G6147" s="3">
        <f t="shared" si="2"/>
        <v>0.1175937122</v>
      </c>
      <c r="H6147" s="2">
        <v>728.0</v>
      </c>
      <c r="I6147" s="3">
        <f t="shared" si="3"/>
        <v>0.2200725514</v>
      </c>
      <c r="J6147" s="2">
        <v>521.0</v>
      </c>
      <c r="K6147" s="3">
        <f t="shared" si="4"/>
        <v>0.157496977</v>
      </c>
      <c r="L6147" s="2">
        <v>452.0</v>
      </c>
      <c r="M6147" s="3">
        <f t="shared" si="5"/>
        <v>0.6208791209</v>
      </c>
      <c r="N6147" s="2">
        <v>3786600.0</v>
      </c>
      <c r="O6147" s="4">
        <f t="shared" si="6"/>
        <v>5201.373626</v>
      </c>
      <c r="P6147" s="2">
        <v>0.0</v>
      </c>
      <c r="Q6147" s="3">
        <f t="shared" si="7"/>
        <v>0</v>
      </c>
      <c r="R6147" s="2">
        <v>303.0</v>
      </c>
      <c r="S6147" s="5">
        <f t="shared" si="8"/>
        <v>1</v>
      </c>
    </row>
    <row r="6148">
      <c r="A6148" s="2" t="s">
        <v>6147</v>
      </c>
      <c r="B6148" s="2">
        <v>581.0</v>
      </c>
      <c r="C6148" s="2">
        <v>6772.0</v>
      </c>
      <c r="D6148" s="2">
        <v>2383.0</v>
      </c>
      <c r="E6148" s="3">
        <f t="shared" si="1"/>
        <v>0.3849135842</v>
      </c>
      <c r="F6148" s="2">
        <v>728.0</v>
      </c>
      <c r="G6148" s="3">
        <f t="shared" si="2"/>
        <v>0.1175900501</v>
      </c>
      <c r="H6148" s="2">
        <v>1375.0</v>
      </c>
      <c r="I6148" s="3">
        <f t="shared" si="3"/>
        <v>0.2220965918</v>
      </c>
      <c r="J6148" s="2">
        <v>1059.0</v>
      </c>
      <c r="K6148" s="3">
        <f t="shared" si="4"/>
        <v>0.1710547569</v>
      </c>
      <c r="L6148" s="2">
        <v>772.0</v>
      </c>
      <c r="M6148" s="3">
        <f t="shared" si="5"/>
        <v>0.5614545455</v>
      </c>
      <c r="N6148" s="2">
        <v>8012900.0</v>
      </c>
      <c r="O6148" s="4">
        <f t="shared" si="6"/>
        <v>5827.563636</v>
      </c>
      <c r="P6148" s="2">
        <v>3.0</v>
      </c>
      <c r="Q6148" s="3">
        <f t="shared" si="7"/>
        <v>0.005163511188</v>
      </c>
      <c r="R6148" s="2">
        <v>330.0</v>
      </c>
      <c r="S6148" s="5">
        <f t="shared" si="8"/>
        <v>0.5679862306</v>
      </c>
    </row>
    <row r="6149">
      <c r="A6149" s="2" t="s">
        <v>6148</v>
      </c>
      <c r="B6149" s="2">
        <v>773.0</v>
      </c>
      <c r="C6149" s="2">
        <v>9167.0</v>
      </c>
      <c r="D6149" s="2">
        <v>2691.0</v>
      </c>
      <c r="E6149" s="3">
        <f t="shared" si="1"/>
        <v>0.320586133</v>
      </c>
      <c r="F6149" s="2">
        <v>987.0</v>
      </c>
      <c r="G6149" s="3">
        <f t="shared" si="2"/>
        <v>0.1175839886</v>
      </c>
      <c r="H6149" s="2">
        <v>1679.0</v>
      </c>
      <c r="I6149" s="3">
        <f t="shared" si="3"/>
        <v>0.2000238265</v>
      </c>
      <c r="J6149" s="2">
        <v>1281.0</v>
      </c>
      <c r="K6149" s="3">
        <f t="shared" si="4"/>
        <v>0.1526090064</v>
      </c>
      <c r="L6149" s="2">
        <v>1010.0</v>
      </c>
      <c r="M6149" s="3">
        <f t="shared" si="5"/>
        <v>0.6015485408</v>
      </c>
      <c r="N6149" s="2">
        <v>9709700.0</v>
      </c>
      <c r="O6149" s="4">
        <f t="shared" si="6"/>
        <v>5783.02561</v>
      </c>
      <c r="P6149" s="2">
        <v>2.0</v>
      </c>
      <c r="Q6149" s="3">
        <f t="shared" si="7"/>
        <v>0.002587322122</v>
      </c>
      <c r="R6149" s="2">
        <v>773.0</v>
      </c>
      <c r="S6149" s="5">
        <f t="shared" si="8"/>
        <v>1</v>
      </c>
    </row>
    <row r="6150">
      <c r="A6150" s="2" t="s">
        <v>6149</v>
      </c>
      <c r="B6150" s="2">
        <v>519.0</v>
      </c>
      <c r="C6150" s="2">
        <v>6013.0</v>
      </c>
      <c r="D6150" s="2">
        <v>1833.0</v>
      </c>
      <c r="E6150" s="3">
        <f t="shared" si="1"/>
        <v>0.3336366946</v>
      </c>
      <c r="F6150" s="2">
        <v>646.0</v>
      </c>
      <c r="G6150" s="3">
        <f t="shared" si="2"/>
        <v>0.1175828176</v>
      </c>
      <c r="H6150" s="2">
        <v>1115.0</v>
      </c>
      <c r="I6150" s="3">
        <f t="shared" si="3"/>
        <v>0.2029486713</v>
      </c>
      <c r="J6150" s="2">
        <v>939.0</v>
      </c>
      <c r="K6150" s="3">
        <f t="shared" si="4"/>
        <v>0.1709137241</v>
      </c>
      <c r="L6150" s="2">
        <v>676.0</v>
      </c>
      <c r="M6150" s="3">
        <f t="shared" si="5"/>
        <v>0.6062780269</v>
      </c>
      <c r="N6150" s="2">
        <v>6249200.0</v>
      </c>
      <c r="O6150" s="4">
        <f t="shared" si="6"/>
        <v>5604.663677</v>
      </c>
      <c r="P6150" s="2">
        <v>0.0</v>
      </c>
      <c r="Q6150" s="3">
        <f t="shared" si="7"/>
        <v>0</v>
      </c>
      <c r="R6150" s="2">
        <v>0.0</v>
      </c>
      <c r="S6150" s="5">
        <f t="shared" si="8"/>
        <v>0</v>
      </c>
    </row>
    <row r="6151">
      <c r="A6151" s="2" t="s">
        <v>6150</v>
      </c>
      <c r="B6151" s="2">
        <v>1779.0</v>
      </c>
      <c r="C6151" s="2">
        <v>20737.0</v>
      </c>
      <c r="D6151" s="2">
        <v>6040.0</v>
      </c>
      <c r="E6151" s="3">
        <f t="shared" si="1"/>
        <v>0.3185990083</v>
      </c>
      <c r="F6151" s="2">
        <v>2229.0</v>
      </c>
      <c r="G6151" s="3">
        <f t="shared" si="2"/>
        <v>0.1175756936</v>
      </c>
      <c r="H6151" s="2">
        <v>3995.0</v>
      </c>
      <c r="I6151" s="3">
        <f t="shared" si="3"/>
        <v>0.2107289799</v>
      </c>
      <c r="J6151" s="2">
        <v>3258.0</v>
      </c>
      <c r="K6151" s="3">
        <f t="shared" si="4"/>
        <v>0.1718535711</v>
      </c>
      <c r="L6151" s="2">
        <v>2348.0</v>
      </c>
      <c r="M6151" s="3">
        <f t="shared" si="5"/>
        <v>0.5877346683</v>
      </c>
      <c r="N6151" s="2">
        <v>2.27524E7</v>
      </c>
      <c r="O6151" s="4">
        <f t="shared" si="6"/>
        <v>5695.219024</v>
      </c>
      <c r="P6151" s="2">
        <v>2.0</v>
      </c>
      <c r="Q6151" s="3">
        <f t="shared" si="7"/>
        <v>0.001124227094</v>
      </c>
      <c r="R6151" s="2">
        <v>1779.0</v>
      </c>
      <c r="S6151" s="5">
        <f t="shared" si="8"/>
        <v>1</v>
      </c>
    </row>
    <row r="6152">
      <c r="A6152" s="2" t="s">
        <v>6151</v>
      </c>
      <c r="B6152" s="2">
        <v>2891.0</v>
      </c>
      <c r="C6152" s="2">
        <v>34063.0</v>
      </c>
      <c r="D6152" s="2">
        <v>10198.0</v>
      </c>
      <c r="E6152" s="3">
        <f t="shared" si="1"/>
        <v>0.3271525728</v>
      </c>
      <c r="F6152" s="2">
        <v>3665.0</v>
      </c>
      <c r="G6152" s="3">
        <f t="shared" si="2"/>
        <v>0.1175734634</v>
      </c>
      <c r="H6152" s="2">
        <v>6500.0</v>
      </c>
      <c r="I6152" s="3">
        <f t="shared" si="3"/>
        <v>0.2085204671</v>
      </c>
      <c r="J6152" s="2">
        <v>4847.0</v>
      </c>
      <c r="K6152" s="3">
        <f t="shared" si="4"/>
        <v>0.1554921083</v>
      </c>
      <c r="L6152" s="2">
        <v>3876.0</v>
      </c>
      <c r="M6152" s="3">
        <f t="shared" si="5"/>
        <v>0.5963076923</v>
      </c>
      <c r="N6152" s="2">
        <v>3.60845E7</v>
      </c>
      <c r="O6152" s="4">
        <f t="shared" si="6"/>
        <v>5551.461538</v>
      </c>
      <c r="P6152" s="2">
        <v>3.0</v>
      </c>
      <c r="Q6152" s="3">
        <f t="shared" si="7"/>
        <v>0.001037703217</v>
      </c>
      <c r="R6152" s="2">
        <v>2891.0</v>
      </c>
      <c r="S6152" s="5">
        <f t="shared" si="8"/>
        <v>1</v>
      </c>
    </row>
    <row r="6153">
      <c r="A6153" s="2" t="s">
        <v>6152</v>
      </c>
      <c r="B6153" s="2">
        <v>418.0</v>
      </c>
      <c r="C6153" s="2">
        <v>4994.0</v>
      </c>
      <c r="D6153" s="2">
        <v>1203.0</v>
      </c>
      <c r="E6153" s="3">
        <f t="shared" si="1"/>
        <v>0.2628933566</v>
      </c>
      <c r="F6153" s="2">
        <v>538.0</v>
      </c>
      <c r="G6153" s="3">
        <f t="shared" si="2"/>
        <v>0.1175699301</v>
      </c>
      <c r="H6153" s="2">
        <v>816.0</v>
      </c>
      <c r="I6153" s="3">
        <f t="shared" si="3"/>
        <v>0.1783216783</v>
      </c>
      <c r="J6153" s="2">
        <v>696.0</v>
      </c>
      <c r="K6153" s="3">
        <f t="shared" si="4"/>
        <v>0.1520979021</v>
      </c>
      <c r="L6153" s="2">
        <v>486.0</v>
      </c>
      <c r="M6153" s="3">
        <f t="shared" si="5"/>
        <v>0.5955882353</v>
      </c>
      <c r="N6153" s="2">
        <v>4905600.0</v>
      </c>
      <c r="O6153" s="4">
        <f t="shared" si="6"/>
        <v>6011.764706</v>
      </c>
      <c r="P6153" s="2">
        <v>0.0</v>
      </c>
      <c r="Q6153" s="3">
        <f t="shared" si="7"/>
        <v>0</v>
      </c>
      <c r="R6153" s="2">
        <v>418.0</v>
      </c>
      <c r="S6153" s="5">
        <f t="shared" si="8"/>
        <v>1</v>
      </c>
    </row>
    <row r="6154">
      <c r="A6154" s="2" t="s">
        <v>6153</v>
      </c>
      <c r="B6154" s="2">
        <v>681.0</v>
      </c>
      <c r="C6154" s="2">
        <v>8081.0</v>
      </c>
      <c r="D6154" s="2">
        <v>2390.0</v>
      </c>
      <c r="E6154" s="3">
        <f t="shared" si="1"/>
        <v>0.322972973</v>
      </c>
      <c r="F6154" s="2">
        <v>870.0</v>
      </c>
      <c r="G6154" s="3">
        <f t="shared" si="2"/>
        <v>0.1175675676</v>
      </c>
      <c r="H6154" s="2">
        <v>1541.0</v>
      </c>
      <c r="I6154" s="3">
        <f t="shared" si="3"/>
        <v>0.2082432432</v>
      </c>
      <c r="J6154" s="2">
        <v>1365.0</v>
      </c>
      <c r="K6154" s="3">
        <f t="shared" si="4"/>
        <v>0.1844594595</v>
      </c>
      <c r="L6154" s="2">
        <v>915.0</v>
      </c>
      <c r="M6154" s="3">
        <f t="shared" si="5"/>
        <v>0.593770279</v>
      </c>
      <c r="N6154" s="2">
        <v>8647900.0</v>
      </c>
      <c r="O6154" s="4">
        <f t="shared" si="6"/>
        <v>5611.875406</v>
      </c>
      <c r="P6154" s="2">
        <v>0.0</v>
      </c>
      <c r="Q6154" s="3">
        <f t="shared" si="7"/>
        <v>0</v>
      </c>
      <c r="R6154" s="2">
        <v>672.0</v>
      </c>
      <c r="S6154" s="5">
        <f t="shared" si="8"/>
        <v>0.986784141</v>
      </c>
    </row>
    <row r="6155">
      <c r="A6155" s="2" t="s">
        <v>6154</v>
      </c>
      <c r="B6155" s="2">
        <v>1028.0</v>
      </c>
      <c r="C6155" s="2">
        <v>11975.0</v>
      </c>
      <c r="D6155" s="2">
        <v>4651.0</v>
      </c>
      <c r="E6155" s="3">
        <f t="shared" si="1"/>
        <v>0.4248652599</v>
      </c>
      <c r="F6155" s="2">
        <v>1287.0</v>
      </c>
      <c r="G6155" s="3">
        <f t="shared" si="2"/>
        <v>0.1175664566</v>
      </c>
      <c r="H6155" s="2">
        <v>2408.0</v>
      </c>
      <c r="I6155" s="3">
        <f t="shared" si="3"/>
        <v>0.2199689413</v>
      </c>
      <c r="J6155" s="2">
        <v>1785.0</v>
      </c>
      <c r="K6155" s="3">
        <f t="shared" si="4"/>
        <v>0.1630583722</v>
      </c>
      <c r="L6155" s="2">
        <v>1515.0</v>
      </c>
      <c r="M6155" s="3">
        <f t="shared" si="5"/>
        <v>0.6291528239</v>
      </c>
      <c r="N6155" s="2">
        <v>1.27625E7</v>
      </c>
      <c r="O6155" s="4">
        <f t="shared" si="6"/>
        <v>5300.041528</v>
      </c>
      <c r="P6155" s="2">
        <v>1.0</v>
      </c>
      <c r="Q6155" s="3">
        <f t="shared" si="7"/>
        <v>0.0009727626459</v>
      </c>
      <c r="R6155" s="2">
        <v>1018.0</v>
      </c>
      <c r="S6155" s="5">
        <f t="shared" si="8"/>
        <v>0.9902723735</v>
      </c>
    </row>
    <row r="6156">
      <c r="A6156" s="2" t="s">
        <v>6155</v>
      </c>
      <c r="B6156" s="2">
        <v>2844.0</v>
      </c>
      <c r="C6156" s="2">
        <v>33151.0</v>
      </c>
      <c r="D6156" s="2">
        <v>9767.0</v>
      </c>
      <c r="E6156" s="3">
        <f t="shared" si="1"/>
        <v>0.3222687828</v>
      </c>
      <c r="F6156" s="2">
        <v>3563.0</v>
      </c>
      <c r="G6156" s="3">
        <f t="shared" si="2"/>
        <v>0.1175635992</v>
      </c>
      <c r="H6156" s="2">
        <v>6240.0</v>
      </c>
      <c r="I6156" s="3">
        <f t="shared" si="3"/>
        <v>0.205893028</v>
      </c>
      <c r="J6156" s="2">
        <v>5130.0</v>
      </c>
      <c r="K6156" s="3">
        <f t="shared" si="4"/>
        <v>0.1692678259</v>
      </c>
      <c r="L6156" s="2">
        <v>3739.0</v>
      </c>
      <c r="M6156" s="3">
        <f t="shared" si="5"/>
        <v>0.5991987179</v>
      </c>
      <c r="N6156" s="2">
        <v>3.4215E7</v>
      </c>
      <c r="O6156" s="4">
        <f t="shared" si="6"/>
        <v>5483.173077</v>
      </c>
      <c r="P6156" s="2">
        <v>9.0</v>
      </c>
      <c r="Q6156" s="3">
        <f t="shared" si="7"/>
        <v>0.003164556962</v>
      </c>
      <c r="R6156" s="2">
        <v>2844.0</v>
      </c>
      <c r="S6156" s="5">
        <f t="shared" si="8"/>
        <v>1</v>
      </c>
    </row>
    <row r="6157">
      <c r="A6157" s="2" t="s">
        <v>6156</v>
      </c>
      <c r="B6157" s="2">
        <v>1787.0</v>
      </c>
      <c r="C6157" s="2">
        <v>20977.0</v>
      </c>
      <c r="D6157" s="2">
        <v>6900.0</v>
      </c>
      <c r="E6157" s="3">
        <f t="shared" si="1"/>
        <v>0.359562272</v>
      </c>
      <c r="F6157" s="2">
        <v>2256.0</v>
      </c>
      <c r="G6157" s="3">
        <f t="shared" si="2"/>
        <v>0.1175612298</v>
      </c>
      <c r="H6157" s="2">
        <v>4005.0</v>
      </c>
      <c r="I6157" s="3">
        <f t="shared" si="3"/>
        <v>0.2087024492</v>
      </c>
      <c r="J6157" s="2">
        <v>3217.0</v>
      </c>
      <c r="K6157" s="3">
        <f t="shared" si="4"/>
        <v>0.1676393955</v>
      </c>
      <c r="L6157" s="2">
        <v>2370.0</v>
      </c>
      <c r="M6157" s="3">
        <f t="shared" si="5"/>
        <v>0.5917602996</v>
      </c>
      <c r="N6157" s="2">
        <v>2.27566E7</v>
      </c>
      <c r="O6157" s="4">
        <f t="shared" si="6"/>
        <v>5682.047441</v>
      </c>
      <c r="P6157" s="2">
        <v>4.0</v>
      </c>
      <c r="Q6157" s="3">
        <f t="shared" si="7"/>
        <v>0.00223838836</v>
      </c>
      <c r="R6157" s="2">
        <v>1787.0</v>
      </c>
      <c r="S6157" s="5">
        <f t="shared" si="8"/>
        <v>1</v>
      </c>
    </row>
    <row r="6158">
      <c r="A6158" s="2" t="s">
        <v>6157</v>
      </c>
      <c r="B6158" s="2">
        <v>57.0</v>
      </c>
      <c r="C6158" s="2">
        <v>678.0</v>
      </c>
      <c r="D6158" s="2">
        <v>225.0</v>
      </c>
      <c r="E6158" s="3">
        <f t="shared" si="1"/>
        <v>0.3623188406</v>
      </c>
      <c r="F6158" s="2">
        <v>73.0</v>
      </c>
      <c r="G6158" s="3">
        <f t="shared" si="2"/>
        <v>0.1175523349</v>
      </c>
      <c r="H6158" s="2">
        <v>129.0</v>
      </c>
      <c r="I6158" s="3">
        <f t="shared" si="3"/>
        <v>0.2077294686</v>
      </c>
      <c r="J6158" s="2">
        <v>92.0</v>
      </c>
      <c r="K6158" s="3">
        <f t="shared" si="4"/>
        <v>0.1481481481</v>
      </c>
      <c r="L6158" s="2">
        <v>75.0</v>
      </c>
      <c r="M6158" s="3">
        <f t="shared" si="5"/>
        <v>0.5813953488</v>
      </c>
      <c r="N6158" s="2">
        <v>673300.0</v>
      </c>
      <c r="O6158" s="4">
        <f t="shared" si="6"/>
        <v>5219.379845</v>
      </c>
      <c r="P6158" s="2">
        <v>0.0</v>
      </c>
      <c r="Q6158" s="3">
        <f t="shared" si="7"/>
        <v>0</v>
      </c>
      <c r="R6158" s="2">
        <v>57.0</v>
      </c>
      <c r="S6158" s="5">
        <f t="shared" si="8"/>
        <v>1</v>
      </c>
    </row>
    <row r="6159">
      <c r="A6159" s="2" t="s">
        <v>6158</v>
      </c>
      <c r="B6159" s="2">
        <v>5114.0</v>
      </c>
      <c r="C6159" s="2">
        <v>59944.0</v>
      </c>
      <c r="D6159" s="2">
        <v>20016.0</v>
      </c>
      <c r="E6159" s="3">
        <f t="shared" si="1"/>
        <v>0.3650556265</v>
      </c>
      <c r="F6159" s="2">
        <v>6445.0</v>
      </c>
      <c r="G6159" s="3">
        <f t="shared" si="2"/>
        <v>0.1175451395</v>
      </c>
      <c r="H6159" s="2">
        <v>11908.0</v>
      </c>
      <c r="I6159" s="3">
        <f t="shared" si="3"/>
        <v>0.2171803757</v>
      </c>
      <c r="J6159" s="2">
        <v>9893.0</v>
      </c>
      <c r="K6159" s="3">
        <f t="shared" si="4"/>
        <v>0.1804304213</v>
      </c>
      <c r="L6159" s="2">
        <v>6985.0</v>
      </c>
      <c r="M6159" s="3">
        <f t="shared" si="5"/>
        <v>0.5865804501</v>
      </c>
      <c r="N6159" s="2">
        <v>6.63833E7</v>
      </c>
      <c r="O6159" s="4">
        <f t="shared" si="6"/>
        <v>5574.680887</v>
      </c>
      <c r="P6159" s="2">
        <v>12.0</v>
      </c>
      <c r="Q6159" s="3">
        <f t="shared" si="7"/>
        <v>0.002346499804</v>
      </c>
      <c r="R6159" s="2">
        <v>2572.0</v>
      </c>
      <c r="S6159" s="5">
        <f t="shared" si="8"/>
        <v>0.5029331248</v>
      </c>
    </row>
    <row r="6160">
      <c r="A6160" s="2" t="s">
        <v>6159</v>
      </c>
      <c r="B6160" s="2">
        <v>399.0</v>
      </c>
      <c r="C6160" s="2">
        <v>4704.0</v>
      </c>
      <c r="D6160" s="2">
        <v>1322.0</v>
      </c>
      <c r="E6160" s="3">
        <f t="shared" si="1"/>
        <v>0.3070847851</v>
      </c>
      <c r="F6160" s="2">
        <v>506.0</v>
      </c>
      <c r="G6160" s="3">
        <f t="shared" si="2"/>
        <v>0.1175377468</v>
      </c>
      <c r="H6160" s="2">
        <v>862.0</v>
      </c>
      <c r="I6160" s="3">
        <f t="shared" si="3"/>
        <v>0.200232288</v>
      </c>
      <c r="J6160" s="2">
        <v>663.0</v>
      </c>
      <c r="K6160" s="3">
        <f t="shared" si="4"/>
        <v>0.1540069686</v>
      </c>
      <c r="L6160" s="2">
        <v>500.0</v>
      </c>
      <c r="M6160" s="3">
        <f t="shared" si="5"/>
        <v>0.5800464037</v>
      </c>
      <c r="N6160" s="2">
        <v>4850300.0</v>
      </c>
      <c r="O6160" s="4">
        <f t="shared" si="6"/>
        <v>5626.798144</v>
      </c>
      <c r="P6160" s="2">
        <v>4.0</v>
      </c>
      <c r="Q6160" s="3">
        <f t="shared" si="7"/>
        <v>0.01002506266</v>
      </c>
      <c r="R6160" s="2">
        <v>387.0</v>
      </c>
      <c r="S6160" s="5">
        <f t="shared" si="8"/>
        <v>0.969924812</v>
      </c>
    </row>
    <row r="6161">
      <c r="A6161" s="2" t="s">
        <v>6160</v>
      </c>
      <c r="B6161" s="2">
        <v>925.0</v>
      </c>
      <c r="C6161" s="2">
        <v>10871.0</v>
      </c>
      <c r="D6161" s="2">
        <v>3376.0</v>
      </c>
      <c r="E6161" s="3">
        <f t="shared" si="1"/>
        <v>0.3394329379</v>
      </c>
      <c r="F6161" s="2">
        <v>1169.0</v>
      </c>
      <c r="G6161" s="3">
        <f t="shared" si="2"/>
        <v>0.1175346873</v>
      </c>
      <c r="H6161" s="2">
        <v>2121.0</v>
      </c>
      <c r="I6161" s="3">
        <f t="shared" si="3"/>
        <v>0.2132515584</v>
      </c>
      <c r="J6161" s="2">
        <v>1815.0</v>
      </c>
      <c r="K6161" s="3">
        <f t="shared" si="4"/>
        <v>0.1824854213</v>
      </c>
      <c r="L6161" s="2">
        <v>1295.0</v>
      </c>
      <c r="M6161" s="3">
        <f t="shared" si="5"/>
        <v>0.6105610561</v>
      </c>
      <c r="N6161" s="2">
        <v>1.18092E7</v>
      </c>
      <c r="O6161" s="4">
        <f t="shared" si="6"/>
        <v>5567.751061</v>
      </c>
      <c r="P6161" s="2">
        <v>5.0</v>
      </c>
      <c r="Q6161" s="3">
        <f t="shared" si="7"/>
        <v>0.005405405405</v>
      </c>
      <c r="R6161" s="2">
        <v>925.0</v>
      </c>
      <c r="S6161" s="5">
        <f t="shared" si="8"/>
        <v>1</v>
      </c>
    </row>
    <row r="6162">
      <c r="A6162" s="2" t="s">
        <v>6161</v>
      </c>
      <c r="B6162" s="2">
        <v>45.0</v>
      </c>
      <c r="C6162" s="2">
        <v>530.0</v>
      </c>
      <c r="D6162" s="2">
        <v>138.0</v>
      </c>
      <c r="E6162" s="3">
        <f t="shared" si="1"/>
        <v>0.2845360825</v>
      </c>
      <c r="F6162" s="2">
        <v>57.0</v>
      </c>
      <c r="G6162" s="3">
        <f t="shared" si="2"/>
        <v>0.1175257732</v>
      </c>
      <c r="H6162" s="2">
        <v>75.0</v>
      </c>
      <c r="I6162" s="3">
        <f t="shared" si="3"/>
        <v>0.1546391753</v>
      </c>
      <c r="J6162" s="2">
        <v>77.0</v>
      </c>
      <c r="K6162" s="3">
        <f t="shared" si="4"/>
        <v>0.1587628866</v>
      </c>
      <c r="L6162" s="2">
        <v>50.0</v>
      </c>
      <c r="M6162" s="3">
        <f t="shared" si="5"/>
        <v>0.6666666667</v>
      </c>
      <c r="N6162" s="2">
        <v>439600.0</v>
      </c>
      <c r="O6162" s="4">
        <f t="shared" si="6"/>
        <v>5861.333333</v>
      </c>
      <c r="P6162" s="2">
        <v>0.0</v>
      </c>
      <c r="Q6162" s="3">
        <f t="shared" si="7"/>
        <v>0</v>
      </c>
      <c r="R6162" s="2">
        <v>45.0</v>
      </c>
      <c r="S6162" s="5">
        <f t="shared" si="8"/>
        <v>1</v>
      </c>
    </row>
    <row r="6163">
      <c r="A6163" s="2" t="s">
        <v>6162</v>
      </c>
      <c r="B6163" s="2">
        <v>2278.0</v>
      </c>
      <c r="C6163" s="2">
        <v>26750.0</v>
      </c>
      <c r="D6163" s="2">
        <v>9404.0</v>
      </c>
      <c r="E6163" s="3">
        <f t="shared" si="1"/>
        <v>0.3842759072</v>
      </c>
      <c r="F6163" s="2">
        <v>2876.0</v>
      </c>
      <c r="G6163" s="3">
        <f t="shared" si="2"/>
        <v>0.117522066</v>
      </c>
      <c r="H6163" s="2">
        <v>5375.0</v>
      </c>
      <c r="I6163" s="3">
        <f t="shared" si="3"/>
        <v>0.2196387708</v>
      </c>
      <c r="J6163" s="2">
        <v>4113.0</v>
      </c>
      <c r="K6163" s="3">
        <f t="shared" si="4"/>
        <v>0.1680696306</v>
      </c>
      <c r="L6163" s="2">
        <v>3182.0</v>
      </c>
      <c r="M6163" s="3">
        <f t="shared" si="5"/>
        <v>0.592</v>
      </c>
      <c r="N6163" s="2">
        <v>2.96171E7</v>
      </c>
      <c r="O6163" s="4">
        <f t="shared" si="6"/>
        <v>5510.15814</v>
      </c>
      <c r="P6163" s="2">
        <v>3.0</v>
      </c>
      <c r="Q6163" s="3">
        <f t="shared" si="7"/>
        <v>0.001316944688</v>
      </c>
      <c r="R6163" s="2">
        <v>2278.0</v>
      </c>
      <c r="S6163" s="5">
        <f t="shared" si="8"/>
        <v>1</v>
      </c>
    </row>
    <row r="6164">
      <c r="A6164" s="2" t="s">
        <v>6163</v>
      </c>
      <c r="B6164" s="2">
        <v>769.0</v>
      </c>
      <c r="C6164" s="2">
        <v>9040.0</v>
      </c>
      <c r="D6164" s="2">
        <v>3224.0</v>
      </c>
      <c r="E6164" s="3">
        <f t="shared" si="1"/>
        <v>0.3897956716</v>
      </c>
      <c r="F6164" s="2">
        <v>972.0</v>
      </c>
      <c r="G6164" s="3">
        <f t="shared" si="2"/>
        <v>0.1175190424</v>
      </c>
      <c r="H6164" s="2">
        <v>1729.0</v>
      </c>
      <c r="I6164" s="3">
        <f t="shared" si="3"/>
        <v>0.2090436465</v>
      </c>
      <c r="J6164" s="2">
        <v>1233.0</v>
      </c>
      <c r="K6164" s="3">
        <f t="shared" si="4"/>
        <v>0.1490750816</v>
      </c>
      <c r="L6164" s="2">
        <v>1016.0</v>
      </c>
      <c r="M6164" s="3">
        <f t="shared" si="5"/>
        <v>0.5876229034</v>
      </c>
      <c r="N6164" s="2">
        <v>9326600.0</v>
      </c>
      <c r="O6164" s="4">
        <f t="shared" si="6"/>
        <v>5394.21631</v>
      </c>
      <c r="P6164" s="2">
        <v>0.0</v>
      </c>
      <c r="Q6164" s="3">
        <f t="shared" si="7"/>
        <v>0</v>
      </c>
      <c r="R6164" s="2">
        <v>769.0</v>
      </c>
      <c r="S6164" s="5">
        <f t="shared" si="8"/>
        <v>1</v>
      </c>
    </row>
    <row r="6165">
      <c r="A6165" s="2" t="s">
        <v>6164</v>
      </c>
      <c r="B6165" s="2">
        <v>1123.0</v>
      </c>
      <c r="C6165" s="2">
        <v>13209.0</v>
      </c>
      <c r="D6165" s="2">
        <v>4080.0</v>
      </c>
      <c r="E6165" s="3">
        <f t="shared" si="1"/>
        <v>0.3375806719</v>
      </c>
      <c r="F6165" s="2">
        <v>1420.0</v>
      </c>
      <c r="G6165" s="3">
        <f t="shared" si="2"/>
        <v>0.1174913123</v>
      </c>
      <c r="H6165" s="2">
        <v>2476.0</v>
      </c>
      <c r="I6165" s="3">
        <f t="shared" si="3"/>
        <v>0.2048651332</v>
      </c>
      <c r="J6165" s="2">
        <v>2057.0</v>
      </c>
      <c r="K6165" s="3">
        <f t="shared" si="4"/>
        <v>0.1701969221</v>
      </c>
      <c r="L6165" s="2">
        <v>1432.0</v>
      </c>
      <c r="M6165" s="3">
        <f t="shared" si="5"/>
        <v>0.5783521809</v>
      </c>
      <c r="N6165" s="2">
        <v>1.42557E7</v>
      </c>
      <c r="O6165" s="4">
        <f t="shared" si="6"/>
        <v>5757.552504</v>
      </c>
      <c r="P6165" s="2">
        <v>3.0</v>
      </c>
      <c r="Q6165" s="3">
        <f t="shared" si="7"/>
        <v>0.00267141585</v>
      </c>
      <c r="R6165" s="2">
        <v>0.0</v>
      </c>
      <c r="S6165" s="5">
        <f t="shared" si="8"/>
        <v>0</v>
      </c>
    </row>
    <row r="6166">
      <c r="A6166" s="2" t="s">
        <v>6165</v>
      </c>
      <c r="B6166" s="2">
        <v>1701.0</v>
      </c>
      <c r="C6166" s="2">
        <v>20095.0</v>
      </c>
      <c r="D6166" s="2">
        <v>5749.0</v>
      </c>
      <c r="E6166" s="3">
        <f t="shared" si="1"/>
        <v>0.3125475699</v>
      </c>
      <c r="F6166" s="2">
        <v>2161.0</v>
      </c>
      <c r="G6166" s="3">
        <f t="shared" si="2"/>
        <v>0.1174839622</v>
      </c>
      <c r="H6166" s="2">
        <v>3795.0</v>
      </c>
      <c r="I6166" s="3">
        <f t="shared" si="3"/>
        <v>0.2063172774</v>
      </c>
      <c r="J6166" s="2">
        <v>2875.0</v>
      </c>
      <c r="K6166" s="3">
        <f t="shared" si="4"/>
        <v>0.1563009677</v>
      </c>
      <c r="L6166" s="2">
        <v>2282.0</v>
      </c>
      <c r="M6166" s="3">
        <f t="shared" si="5"/>
        <v>0.6013175231</v>
      </c>
      <c r="N6166" s="2">
        <v>2.16848E7</v>
      </c>
      <c r="O6166" s="4">
        <f t="shared" si="6"/>
        <v>5714.044796</v>
      </c>
      <c r="P6166" s="2">
        <v>2.0</v>
      </c>
      <c r="Q6166" s="3">
        <f t="shared" si="7"/>
        <v>0.001175778954</v>
      </c>
      <c r="R6166" s="2">
        <v>1593.0</v>
      </c>
      <c r="S6166" s="5">
        <f t="shared" si="8"/>
        <v>0.9365079365</v>
      </c>
    </row>
    <row r="6167">
      <c r="A6167" s="2" t="s">
        <v>6166</v>
      </c>
      <c r="B6167" s="2">
        <v>776.0</v>
      </c>
      <c r="C6167" s="2">
        <v>9229.0</v>
      </c>
      <c r="D6167" s="2">
        <v>3411.0</v>
      </c>
      <c r="E6167" s="3">
        <f t="shared" si="1"/>
        <v>0.4035253756</v>
      </c>
      <c r="F6167" s="2">
        <v>993.0</v>
      </c>
      <c r="G6167" s="3">
        <f t="shared" si="2"/>
        <v>0.1174730865</v>
      </c>
      <c r="H6167" s="2">
        <v>1801.0</v>
      </c>
      <c r="I6167" s="3">
        <f t="shared" si="3"/>
        <v>0.2130604519</v>
      </c>
      <c r="J6167" s="2">
        <v>1310.0</v>
      </c>
      <c r="K6167" s="3">
        <f t="shared" si="4"/>
        <v>0.1549745652</v>
      </c>
      <c r="L6167" s="2">
        <v>1102.0</v>
      </c>
      <c r="M6167" s="3">
        <f t="shared" si="5"/>
        <v>0.6118822876</v>
      </c>
      <c r="N6167" s="2">
        <v>9272500.0</v>
      </c>
      <c r="O6167" s="4">
        <f t="shared" si="6"/>
        <v>5148.528595</v>
      </c>
      <c r="P6167" s="2">
        <v>2.0</v>
      </c>
      <c r="Q6167" s="3">
        <f t="shared" si="7"/>
        <v>0.002577319588</v>
      </c>
      <c r="R6167" s="2">
        <v>776.0</v>
      </c>
      <c r="S6167" s="5">
        <f t="shared" si="8"/>
        <v>1</v>
      </c>
    </row>
    <row r="6168">
      <c r="A6168" s="2" t="s">
        <v>6167</v>
      </c>
      <c r="B6168" s="2">
        <v>91.0</v>
      </c>
      <c r="C6168" s="2">
        <v>1087.0</v>
      </c>
      <c r="D6168" s="2">
        <v>294.0</v>
      </c>
      <c r="E6168" s="3">
        <f t="shared" si="1"/>
        <v>0.2951807229</v>
      </c>
      <c r="F6168" s="2">
        <v>117.0</v>
      </c>
      <c r="G6168" s="3">
        <f t="shared" si="2"/>
        <v>0.1174698795</v>
      </c>
      <c r="H6168" s="2">
        <v>199.0</v>
      </c>
      <c r="I6168" s="3">
        <f t="shared" si="3"/>
        <v>0.1997991968</v>
      </c>
      <c r="J6168" s="2">
        <v>140.0</v>
      </c>
      <c r="K6168" s="3">
        <f t="shared" si="4"/>
        <v>0.140562249</v>
      </c>
      <c r="L6168" s="2">
        <v>112.0</v>
      </c>
      <c r="M6168" s="3">
        <f t="shared" si="5"/>
        <v>0.5628140704</v>
      </c>
      <c r="N6168" s="2">
        <v>1050200.0</v>
      </c>
      <c r="O6168" s="4">
        <f t="shared" si="6"/>
        <v>5277.386935</v>
      </c>
      <c r="P6168" s="2">
        <v>0.0</v>
      </c>
      <c r="Q6168" s="3">
        <f t="shared" si="7"/>
        <v>0</v>
      </c>
      <c r="R6168" s="2">
        <v>39.0</v>
      </c>
      <c r="S6168" s="5">
        <f t="shared" si="8"/>
        <v>0.4285714286</v>
      </c>
    </row>
    <row r="6169">
      <c r="A6169" s="2" t="s">
        <v>6168</v>
      </c>
      <c r="B6169" s="2">
        <v>653.0</v>
      </c>
      <c r="C6169" s="2">
        <v>7643.0</v>
      </c>
      <c r="D6169" s="2">
        <v>2347.0</v>
      </c>
      <c r="E6169" s="3">
        <f t="shared" si="1"/>
        <v>0.3357653791</v>
      </c>
      <c r="F6169" s="2">
        <v>821.0</v>
      </c>
      <c r="G6169" s="3">
        <f t="shared" si="2"/>
        <v>0.117453505</v>
      </c>
      <c r="H6169" s="2">
        <v>1517.0</v>
      </c>
      <c r="I6169" s="3">
        <f t="shared" si="3"/>
        <v>0.2170243205</v>
      </c>
      <c r="J6169" s="2">
        <v>1275.0</v>
      </c>
      <c r="K6169" s="3">
        <f t="shared" si="4"/>
        <v>0.1824034335</v>
      </c>
      <c r="L6169" s="2">
        <v>899.0</v>
      </c>
      <c r="M6169" s="3">
        <f t="shared" si="5"/>
        <v>0.5926170073</v>
      </c>
      <c r="N6169" s="2">
        <v>8680100.0</v>
      </c>
      <c r="O6169" s="4">
        <f t="shared" si="6"/>
        <v>5721.8853</v>
      </c>
      <c r="P6169" s="2">
        <v>1.0</v>
      </c>
      <c r="Q6169" s="3">
        <f t="shared" si="7"/>
        <v>0.001531393568</v>
      </c>
      <c r="R6169" s="2">
        <v>4.0</v>
      </c>
      <c r="S6169" s="5">
        <f t="shared" si="8"/>
        <v>0.006125574273</v>
      </c>
    </row>
    <row r="6170">
      <c r="A6170" s="2" t="s">
        <v>6169</v>
      </c>
      <c r="B6170" s="2">
        <v>494.0</v>
      </c>
      <c r="C6170" s="2">
        <v>5842.0</v>
      </c>
      <c r="D6170" s="2">
        <v>1660.0</v>
      </c>
      <c r="E6170" s="3">
        <f t="shared" si="1"/>
        <v>0.3103964099</v>
      </c>
      <c r="F6170" s="2">
        <v>628.0</v>
      </c>
      <c r="G6170" s="3">
        <f t="shared" si="2"/>
        <v>0.1174270755</v>
      </c>
      <c r="H6170" s="2">
        <v>1113.0</v>
      </c>
      <c r="I6170" s="3">
        <f t="shared" si="3"/>
        <v>0.2081151832</v>
      </c>
      <c r="J6170" s="2">
        <v>916.0</v>
      </c>
      <c r="K6170" s="3">
        <f t="shared" si="4"/>
        <v>0.1712789828</v>
      </c>
      <c r="L6170" s="2">
        <v>635.0</v>
      </c>
      <c r="M6170" s="3">
        <f t="shared" si="5"/>
        <v>0.5705300988</v>
      </c>
      <c r="N6170" s="2">
        <v>6035500.0</v>
      </c>
      <c r="O6170" s="4">
        <f t="shared" si="6"/>
        <v>5422.731357</v>
      </c>
      <c r="P6170" s="2">
        <v>0.0</v>
      </c>
      <c r="Q6170" s="3">
        <f t="shared" si="7"/>
        <v>0</v>
      </c>
      <c r="R6170" s="2">
        <v>494.0</v>
      </c>
      <c r="S6170" s="5">
        <f t="shared" si="8"/>
        <v>1</v>
      </c>
    </row>
    <row r="6171">
      <c r="A6171" s="2" t="s">
        <v>6170</v>
      </c>
      <c r="B6171" s="2">
        <v>24.0</v>
      </c>
      <c r="C6171" s="2">
        <v>288.0</v>
      </c>
      <c r="D6171" s="2">
        <v>95.0</v>
      </c>
      <c r="E6171" s="3">
        <f t="shared" si="1"/>
        <v>0.3598484848</v>
      </c>
      <c r="F6171" s="2">
        <v>31.0</v>
      </c>
      <c r="G6171" s="3">
        <f t="shared" si="2"/>
        <v>0.1174242424</v>
      </c>
      <c r="H6171" s="2">
        <v>46.0</v>
      </c>
      <c r="I6171" s="3">
        <f t="shared" si="3"/>
        <v>0.1742424242</v>
      </c>
      <c r="J6171" s="2">
        <v>50.0</v>
      </c>
      <c r="K6171" s="3">
        <f t="shared" si="4"/>
        <v>0.1893939394</v>
      </c>
      <c r="L6171" s="2">
        <v>23.0</v>
      </c>
      <c r="M6171" s="3">
        <f t="shared" si="5"/>
        <v>0.5</v>
      </c>
      <c r="N6171" s="2">
        <v>246000.0</v>
      </c>
      <c r="O6171" s="4">
        <f t="shared" si="6"/>
        <v>5347.826087</v>
      </c>
      <c r="P6171" s="2">
        <v>0.0</v>
      </c>
      <c r="Q6171" s="3">
        <f t="shared" si="7"/>
        <v>0</v>
      </c>
      <c r="R6171" s="2">
        <v>24.0</v>
      </c>
      <c r="S6171" s="5">
        <f t="shared" si="8"/>
        <v>1</v>
      </c>
    </row>
    <row r="6172">
      <c r="A6172" s="2" t="s">
        <v>6171</v>
      </c>
      <c r="B6172" s="2">
        <v>1138.0</v>
      </c>
      <c r="C6172" s="2">
        <v>13206.0</v>
      </c>
      <c r="D6172" s="2">
        <v>3407.0</v>
      </c>
      <c r="E6172" s="3">
        <f t="shared" si="1"/>
        <v>0.2823168711</v>
      </c>
      <c r="F6172" s="2">
        <v>1417.0</v>
      </c>
      <c r="G6172" s="3">
        <f t="shared" si="2"/>
        <v>0.1174179649</v>
      </c>
      <c r="H6172" s="2">
        <v>2549.0</v>
      </c>
      <c r="I6172" s="3">
        <f t="shared" si="3"/>
        <v>0.2112197547</v>
      </c>
      <c r="J6172" s="2">
        <v>2037.0</v>
      </c>
      <c r="K6172" s="3">
        <f t="shared" si="4"/>
        <v>0.1687935035</v>
      </c>
      <c r="L6172" s="2">
        <v>1544.0</v>
      </c>
      <c r="M6172" s="3">
        <f t="shared" si="5"/>
        <v>0.6057277364</v>
      </c>
      <c r="N6172" s="2">
        <v>1.50476E7</v>
      </c>
      <c r="O6172" s="4">
        <f t="shared" si="6"/>
        <v>5903.334641</v>
      </c>
      <c r="P6172" s="2">
        <v>2.0</v>
      </c>
      <c r="Q6172" s="3">
        <f t="shared" si="7"/>
        <v>0.001757469244</v>
      </c>
      <c r="R6172" s="2">
        <v>1138.0</v>
      </c>
      <c r="S6172" s="5">
        <f t="shared" si="8"/>
        <v>1</v>
      </c>
    </row>
    <row r="6173">
      <c r="A6173" s="2" t="s">
        <v>6172</v>
      </c>
      <c r="B6173" s="2">
        <v>261.0</v>
      </c>
      <c r="C6173" s="2">
        <v>3080.0</v>
      </c>
      <c r="D6173" s="2">
        <v>1058.0</v>
      </c>
      <c r="E6173" s="3">
        <f t="shared" si="1"/>
        <v>0.3753103938</v>
      </c>
      <c r="F6173" s="2">
        <v>331.0</v>
      </c>
      <c r="G6173" s="3">
        <f t="shared" si="2"/>
        <v>0.1174175239</v>
      </c>
      <c r="H6173" s="2">
        <v>590.0</v>
      </c>
      <c r="I6173" s="3">
        <f t="shared" si="3"/>
        <v>0.2092940759</v>
      </c>
      <c r="J6173" s="2">
        <v>468.0</v>
      </c>
      <c r="K6173" s="3">
        <f t="shared" si="4"/>
        <v>0.1660163178</v>
      </c>
      <c r="L6173" s="2">
        <v>354.0</v>
      </c>
      <c r="M6173" s="3">
        <f t="shared" si="5"/>
        <v>0.6</v>
      </c>
      <c r="N6173" s="2">
        <v>3056400.0</v>
      </c>
      <c r="O6173" s="4">
        <f t="shared" si="6"/>
        <v>5180.338983</v>
      </c>
      <c r="P6173" s="2">
        <v>1.0</v>
      </c>
      <c r="Q6173" s="3">
        <f t="shared" si="7"/>
        <v>0.003831417625</v>
      </c>
      <c r="R6173" s="2">
        <v>0.0</v>
      </c>
      <c r="S6173" s="5">
        <f t="shared" si="8"/>
        <v>0</v>
      </c>
    </row>
    <row r="6174">
      <c r="A6174" s="2" t="s">
        <v>6173</v>
      </c>
      <c r="B6174" s="2">
        <v>361.0</v>
      </c>
      <c r="C6174" s="2">
        <v>4202.0</v>
      </c>
      <c r="D6174" s="2">
        <v>1385.0</v>
      </c>
      <c r="E6174" s="3">
        <f t="shared" si="1"/>
        <v>0.3605831815</v>
      </c>
      <c r="F6174" s="2">
        <v>451.0</v>
      </c>
      <c r="G6174" s="3">
        <f t="shared" si="2"/>
        <v>0.1174173392</v>
      </c>
      <c r="H6174" s="2">
        <v>814.0</v>
      </c>
      <c r="I6174" s="3">
        <f t="shared" si="3"/>
        <v>0.2119239781</v>
      </c>
      <c r="J6174" s="2">
        <v>674.0</v>
      </c>
      <c r="K6174" s="3">
        <f t="shared" si="4"/>
        <v>0.1754751367</v>
      </c>
      <c r="L6174" s="2">
        <v>492.0</v>
      </c>
      <c r="M6174" s="3">
        <f t="shared" si="5"/>
        <v>0.6044226044</v>
      </c>
      <c r="N6174" s="2">
        <v>4568000.0</v>
      </c>
      <c r="O6174" s="4">
        <f t="shared" si="6"/>
        <v>5611.793612</v>
      </c>
      <c r="P6174" s="2">
        <v>1.0</v>
      </c>
      <c r="Q6174" s="3">
        <f t="shared" si="7"/>
        <v>0.002770083102</v>
      </c>
      <c r="R6174" s="2">
        <v>361.0</v>
      </c>
      <c r="S6174" s="5">
        <f t="shared" si="8"/>
        <v>1</v>
      </c>
    </row>
    <row r="6175">
      <c r="A6175" s="2" t="s">
        <v>6174</v>
      </c>
      <c r="B6175" s="2">
        <v>1363.0</v>
      </c>
      <c r="C6175" s="2">
        <v>16183.0</v>
      </c>
      <c r="D6175" s="2">
        <v>5898.0</v>
      </c>
      <c r="E6175" s="3">
        <f t="shared" si="1"/>
        <v>0.3979757085</v>
      </c>
      <c r="F6175" s="2">
        <v>1740.0</v>
      </c>
      <c r="G6175" s="3">
        <f t="shared" si="2"/>
        <v>0.1174089069</v>
      </c>
      <c r="H6175" s="2">
        <v>3104.0</v>
      </c>
      <c r="I6175" s="3">
        <f t="shared" si="3"/>
        <v>0.2094466937</v>
      </c>
      <c r="J6175" s="2">
        <v>2235.0</v>
      </c>
      <c r="K6175" s="3">
        <f t="shared" si="4"/>
        <v>0.1508097166</v>
      </c>
      <c r="L6175" s="2">
        <v>1851.0</v>
      </c>
      <c r="M6175" s="3">
        <f t="shared" si="5"/>
        <v>0.5963273196</v>
      </c>
      <c r="N6175" s="2">
        <v>1.68491E7</v>
      </c>
      <c r="O6175" s="4">
        <f t="shared" si="6"/>
        <v>5428.189433</v>
      </c>
      <c r="P6175" s="2">
        <v>3.0</v>
      </c>
      <c r="Q6175" s="3">
        <f t="shared" si="7"/>
        <v>0.002201027146</v>
      </c>
      <c r="R6175" s="2">
        <v>1363.0</v>
      </c>
      <c r="S6175" s="5">
        <f t="shared" si="8"/>
        <v>1</v>
      </c>
    </row>
    <row r="6176">
      <c r="A6176" s="2" t="s">
        <v>6175</v>
      </c>
      <c r="B6176" s="2">
        <v>23.0</v>
      </c>
      <c r="C6176" s="2">
        <v>270.0</v>
      </c>
      <c r="D6176" s="2">
        <v>87.0</v>
      </c>
      <c r="E6176" s="3">
        <f t="shared" si="1"/>
        <v>0.3522267206</v>
      </c>
      <c r="F6176" s="2">
        <v>29.0</v>
      </c>
      <c r="G6176" s="3">
        <f t="shared" si="2"/>
        <v>0.1174089069</v>
      </c>
      <c r="H6176" s="2">
        <v>57.0</v>
      </c>
      <c r="I6176" s="3">
        <f t="shared" si="3"/>
        <v>0.2307692308</v>
      </c>
      <c r="J6176" s="2">
        <v>36.0</v>
      </c>
      <c r="K6176" s="3">
        <f t="shared" si="4"/>
        <v>0.1457489879</v>
      </c>
      <c r="L6176" s="2">
        <v>35.0</v>
      </c>
      <c r="M6176" s="3">
        <f t="shared" si="5"/>
        <v>0.6140350877</v>
      </c>
      <c r="N6176" s="2">
        <v>297900.0</v>
      </c>
      <c r="O6176" s="4">
        <f t="shared" si="6"/>
        <v>5226.315789</v>
      </c>
      <c r="P6176" s="2">
        <v>0.0</v>
      </c>
      <c r="Q6176" s="3">
        <f t="shared" si="7"/>
        <v>0</v>
      </c>
      <c r="R6176" s="2">
        <v>23.0</v>
      </c>
      <c r="S6176" s="5">
        <f t="shared" si="8"/>
        <v>1</v>
      </c>
    </row>
    <row r="6177">
      <c r="A6177" s="2" t="s">
        <v>6176</v>
      </c>
      <c r="B6177" s="2">
        <v>693.0</v>
      </c>
      <c r="C6177" s="2">
        <v>8112.0</v>
      </c>
      <c r="D6177" s="2">
        <v>2499.0</v>
      </c>
      <c r="E6177" s="3">
        <f t="shared" si="1"/>
        <v>0.3368378488</v>
      </c>
      <c r="F6177" s="2">
        <v>871.0</v>
      </c>
      <c r="G6177" s="3">
        <f t="shared" si="2"/>
        <v>0.117401267</v>
      </c>
      <c r="H6177" s="2">
        <v>1550.0</v>
      </c>
      <c r="I6177" s="3">
        <f t="shared" si="3"/>
        <v>0.2089230354</v>
      </c>
      <c r="J6177" s="2">
        <v>1352.0</v>
      </c>
      <c r="K6177" s="3">
        <f t="shared" si="4"/>
        <v>0.1822348025</v>
      </c>
      <c r="L6177" s="2">
        <v>957.0</v>
      </c>
      <c r="M6177" s="3">
        <f t="shared" si="5"/>
        <v>0.6174193548</v>
      </c>
      <c r="N6177" s="2">
        <v>8731100.0</v>
      </c>
      <c r="O6177" s="4">
        <f t="shared" si="6"/>
        <v>5632.967742</v>
      </c>
      <c r="P6177" s="2">
        <v>3.0</v>
      </c>
      <c r="Q6177" s="3">
        <f t="shared" si="7"/>
        <v>0.004329004329</v>
      </c>
      <c r="R6177" s="2">
        <v>693.0</v>
      </c>
      <c r="S6177" s="5">
        <f t="shared" si="8"/>
        <v>1</v>
      </c>
    </row>
    <row r="6178">
      <c r="A6178" s="2" t="s">
        <v>6177</v>
      </c>
      <c r="B6178" s="2">
        <v>22.0</v>
      </c>
      <c r="C6178" s="2">
        <v>252.0</v>
      </c>
      <c r="D6178" s="2">
        <v>64.0</v>
      </c>
      <c r="E6178" s="3">
        <f t="shared" si="1"/>
        <v>0.2782608696</v>
      </c>
      <c r="F6178" s="2">
        <v>27.0</v>
      </c>
      <c r="G6178" s="3">
        <f t="shared" si="2"/>
        <v>0.1173913043</v>
      </c>
      <c r="H6178" s="2">
        <v>38.0</v>
      </c>
      <c r="I6178" s="3">
        <f t="shared" si="3"/>
        <v>0.1652173913</v>
      </c>
      <c r="J6178" s="2">
        <v>43.0</v>
      </c>
      <c r="K6178" s="3">
        <f t="shared" si="4"/>
        <v>0.1869565217</v>
      </c>
      <c r="L6178" s="2">
        <v>23.0</v>
      </c>
      <c r="M6178" s="3">
        <f t="shared" si="5"/>
        <v>0.6052631579</v>
      </c>
      <c r="N6178" s="2">
        <v>201600.0</v>
      </c>
      <c r="O6178" s="4">
        <f t="shared" si="6"/>
        <v>5305.263158</v>
      </c>
      <c r="P6178" s="2">
        <v>0.0</v>
      </c>
      <c r="Q6178" s="3">
        <f t="shared" si="7"/>
        <v>0</v>
      </c>
      <c r="R6178" s="2">
        <v>22.0</v>
      </c>
      <c r="S6178" s="5">
        <f t="shared" si="8"/>
        <v>1</v>
      </c>
    </row>
    <row r="6179">
      <c r="A6179" s="2" t="s">
        <v>6178</v>
      </c>
      <c r="B6179" s="2">
        <v>5994.0</v>
      </c>
      <c r="C6179" s="2">
        <v>70012.0</v>
      </c>
      <c r="D6179" s="2">
        <v>26501.0</v>
      </c>
      <c r="E6179" s="3">
        <f t="shared" si="1"/>
        <v>0.4139616983</v>
      </c>
      <c r="F6179" s="2">
        <v>7515.0</v>
      </c>
      <c r="G6179" s="3">
        <f t="shared" si="2"/>
        <v>0.1173888594</v>
      </c>
      <c r="H6179" s="2">
        <v>13745.0</v>
      </c>
      <c r="I6179" s="3">
        <f t="shared" si="3"/>
        <v>0.2147052392</v>
      </c>
      <c r="J6179" s="2">
        <v>9636.0</v>
      </c>
      <c r="K6179" s="3">
        <f t="shared" si="4"/>
        <v>0.1505201662</v>
      </c>
      <c r="L6179" s="2">
        <v>8311.0</v>
      </c>
      <c r="M6179" s="3">
        <f t="shared" si="5"/>
        <v>0.6046562386</v>
      </c>
      <c r="N6179" s="2">
        <v>7.51688E7</v>
      </c>
      <c r="O6179" s="4">
        <f t="shared" si="6"/>
        <v>5468.810477</v>
      </c>
      <c r="P6179" s="2">
        <v>12.0</v>
      </c>
      <c r="Q6179" s="3">
        <f t="shared" si="7"/>
        <v>0.002002002002</v>
      </c>
      <c r="R6179" s="2">
        <v>5994.0</v>
      </c>
      <c r="S6179" s="5">
        <f t="shared" si="8"/>
        <v>1</v>
      </c>
    </row>
    <row r="6180">
      <c r="A6180" s="2" t="s">
        <v>6179</v>
      </c>
      <c r="B6180" s="2">
        <v>828.0</v>
      </c>
      <c r="C6180" s="2">
        <v>9679.0</v>
      </c>
      <c r="D6180" s="2">
        <v>3151.0</v>
      </c>
      <c r="E6180" s="3">
        <f t="shared" si="1"/>
        <v>0.3560049712</v>
      </c>
      <c r="F6180" s="2">
        <v>1039.0</v>
      </c>
      <c r="G6180" s="3">
        <f t="shared" si="2"/>
        <v>0.1173878658</v>
      </c>
      <c r="H6180" s="2">
        <v>1864.0</v>
      </c>
      <c r="I6180" s="3">
        <f t="shared" si="3"/>
        <v>0.2105976726</v>
      </c>
      <c r="J6180" s="2">
        <v>1728.0</v>
      </c>
      <c r="K6180" s="3">
        <f t="shared" si="4"/>
        <v>0.1952321772</v>
      </c>
      <c r="L6180" s="2">
        <v>1121.0</v>
      </c>
      <c r="M6180" s="3">
        <f t="shared" si="5"/>
        <v>0.6013948498</v>
      </c>
      <c r="N6180" s="2">
        <v>1.04634E7</v>
      </c>
      <c r="O6180" s="4">
        <f t="shared" si="6"/>
        <v>5613.412017</v>
      </c>
      <c r="P6180" s="2">
        <v>2.0</v>
      </c>
      <c r="Q6180" s="3">
        <f t="shared" si="7"/>
        <v>0.002415458937</v>
      </c>
      <c r="R6180" s="2">
        <v>513.0</v>
      </c>
      <c r="S6180" s="5">
        <f t="shared" si="8"/>
        <v>0.6195652174</v>
      </c>
    </row>
    <row r="6181">
      <c r="A6181" s="2" t="s">
        <v>6180</v>
      </c>
      <c r="B6181" s="2">
        <v>1234.0</v>
      </c>
      <c r="C6181" s="2">
        <v>14414.0</v>
      </c>
      <c r="D6181" s="2">
        <v>4455.0</v>
      </c>
      <c r="E6181" s="3">
        <f t="shared" si="1"/>
        <v>0.3380121396</v>
      </c>
      <c r="F6181" s="2">
        <v>1547.0</v>
      </c>
      <c r="G6181" s="3">
        <f t="shared" si="2"/>
        <v>0.1173748103</v>
      </c>
      <c r="H6181" s="2">
        <v>2606.0</v>
      </c>
      <c r="I6181" s="3">
        <f t="shared" si="3"/>
        <v>0.197723824</v>
      </c>
      <c r="J6181" s="2">
        <v>2292.0</v>
      </c>
      <c r="K6181" s="3">
        <f t="shared" si="4"/>
        <v>0.1738998483</v>
      </c>
      <c r="L6181" s="2">
        <v>1520.0</v>
      </c>
      <c r="M6181" s="3">
        <f t="shared" si="5"/>
        <v>0.5832693784</v>
      </c>
      <c r="N6181" s="2">
        <v>1.57171E7</v>
      </c>
      <c r="O6181" s="4">
        <f t="shared" si="6"/>
        <v>6031.120491</v>
      </c>
      <c r="P6181" s="2">
        <v>4.0</v>
      </c>
      <c r="Q6181" s="3">
        <f t="shared" si="7"/>
        <v>0.003241491086</v>
      </c>
      <c r="R6181" s="2">
        <v>1234.0</v>
      </c>
      <c r="S6181" s="5">
        <f t="shared" si="8"/>
        <v>1</v>
      </c>
    </row>
    <row r="6182">
      <c r="A6182" s="2" t="s">
        <v>6181</v>
      </c>
      <c r="B6182" s="2">
        <v>122.0</v>
      </c>
      <c r="C6182" s="2">
        <v>1417.0</v>
      </c>
      <c r="D6182" s="2">
        <v>351.0</v>
      </c>
      <c r="E6182" s="3">
        <f t="shared" si="1"/>
        <v>0.271042471</v>
      </c>
      <c r="F6182" s="2">
        <v>152.0</v>
      </c>
      <c r="G6182" s="3">
        <f t="shared" si="2"/>
        <v>0.1173745174</v>
      </c>
      <c r="H6182" s="2">
        <v>240.0</v>
      </c>
      <c r="I6182" s="3">
        <f t="shared" si="3"/>
        <v>0.1853281853</v>
      </c>
      <c r="J6182" s="2">
        <v>200.0</v>
      </c>
      <c r="K6182" s="3">
        <f t="shared" si="4"/>
        <v>0.1544401544</v>
      </c>
      <c r="L6182" s="2">
        <v>134.0</v>
      </c>
      <c r="M6182" s="3">
        <f t="shared" si="5"/>
        <v>0.5583333333</v>
      </c>
      <c r="N6182" s="2">
        <v>1325100.0</v>
      </c>
      <c r="O6182" s="4">
        <f t="shared" si="6"/>
        <v>5521.25</v>
      </c>
      <c r="P6182" s="2">
        <v>0.0</v>
      </c>
      <c r="Q6182" s="3">
        <f t="shared" si="7"/>
        <v>0</v>
      </c>
      <c r="R6182" s="2">
        <v>0.0</v>
      </c>
      <c r="S6182" s="5">
        <f t="shared" si="8"/>
        <v>0</v>
      </c>
    </row>
    <row r="6183">
      <c r="A6183" s="2" t="s">
        <v>6182</v>
      </c>
      <c r="B6183" s="2">
        <v>193.0</v>
      </c>
      <c r="C6183" s="2">
        <v>2306.0</v>
      </c>
      <c r="D6183" s="2">
        <v>756.0</v>
      </c>
      <c r="E6183" s="3">
        <f t="shared" si="1"/>
        <v>0.3577851396</v>
      </c>
      <c r="F6183" s="2">
        <v>248.0</v>
      </c>
      <c r="G6183" s="3">
        <f t="shared" si="2"/>
        <v>0.1173686701</v>
      </c>
      <c r="H6183" s="2">
        <v>450.0</v>
      </c>
      <c r="I6183" s="3">
        <f t="shared" si="3"/>
        <v>0.212967345</v>
      </c>
      <c r="J6183" s="2">
        <v>356.0</v>
      </c>
      <c r="K6183" s="3">
        <f t="shared" si="4"/>
        <v>0.1684808329</v>
      </c>
      <c r="L6183" s="2">
        <v>259.0</v>
      </c>
      <c r="M6183" s="3">
        <f t="shared" si="5"/>
        <v>0.5755555556</v>
      </c>
      <c r="N6183" s="2">
        <v>2539400.0</v>
      </c>
      <c r="O6183" s="4">
        <f t="shared" si="6"/>
        <v>5643.111111</v>
      </c>
      <c r="P6183" s="2">
        <v>0.0</v>
      </c>
      <c r="Q6183" s="3">
        <f t="shared" si="7"/>
        <v>0</v>
      </c>
      <c r="R6183" s="2">
        <v>193.0</v>
      </c>
      <c r="S6183" s="5">
        <f t="shared" si="8"/>
        <v>1</v>
      </c>
    </row>
    <row r="6184">
      <c r="A6184" s="2" t="s">
        <v>6183</v>
      </c>
      <c r="B6184" s="2">
        <v>589.0</v>
      </c>
      <c r="C6184" s="2">
        <v>6886.0</v>
      </c>
      <c r="D6184" s="2">
        <v>2492.0</v>
      </c>
      <c r="E6184" s="3">
        <f t="shared" si="1"/>
        <v>0.3957440051</v>
      </c>
      <c r="F6184" s="2">
        <v>739.0</v>
      </c>
      <c r="G6184" s="3">
        <f t="shared" si="2"/>
        <v>0.1173574718</v>
      </c>
      <c r="H6184" s="2">
        <v>1308.0</v>
      </c>
      <c r="I6184" s="3">
        <f t="shared" si="3"/>
        <v>0.2077179609</v>
      </c>
      <c r="J6184" s="2">
        <v>1090.0</v>
      </c>
      <c r="K6184" s="3">
        <f t="shared" si="4"/>
        <v>0.1730983008</v>
      </c>
      <c r="L6184" s="2">
        <v>769.0</v>
      </c>
      <c r="M6184" s="3">
        <f t="shared" si="5"/>
        <v>0.5879204893</v>
      </c>
      <c r="N6184" s="2">
        <v>7265400.0</v>
      </c>
      <c r="O6184" s="4">
        <f t="shared" si="6"/>
        <v>5554.587156</v>
      </c>
      <c r="P6184" s="2">
        <v>0.0</v>
      </c>
      <c r="Q6184" s="3">
        <f t="shared" si="7"/>
        <v>0</v>
      </c>
      <c r="R6184" s="2">
        <v>589.0</v>
      </c>
      <c r="S6184" s="5">
        <f t="shared" si="8"/>
        <v>1</v>
      </c>
    </row>
    <row r="6185">
      <c r="A6185" s="2" t="s">
        <v>6184</v>
      </c>
      <c r="B6185" s="2">
        <v>188.0</v>
      </c>
      <c r="C6185" s="2">
        <v>2182.0</v>
      </c>
      <c r="D6185" s="2">
        <v>624.0</v>
      </c>
      <c r="E6185" s="3">
        <f t="shared" si="1"/>
        <v>0.3129388164</v>
      </c>
      <c r="F6185" s="2">
        <v>234.0</v>
      </c>
      <c r="G6185" s="3">
        <f t="shared" si="2"/>
        <v>0.1173520562</v>
      </c>
      <c r="H6185" s="2">
        <v>394.0</v>
      </c>
      <c r="I6185" s="3">
        <f t="shared" si="3"/>
        <v>0.1975927783</v>
      </c>
      <c r="J6185" s="2">
        <v>346.0</v>
      </c>
      <c r="K6185" s="3">
        <f t="shared" si="4"/>
        <v>0.1735205617</v>
      </c>
      <c r="L6185" s="2">
        <v>243.0</v>
      </c>
      <c r="M6185" s="3">
        <f t="shared" si="5"/>
        <v>0.616751269</v>
      </c>
      <c r="N6185" s="2">
        <v>2198800.0</v>
      </c>
      <c r="O6185" s="4">
        <f t="shared" si="6"/>
        <v>5580.71066</v>
      </c>
      <c r="P6185" s="2">
        <v>0.0</v>
      </c>
      <c r="Q6185" s="3">
        <f t="shared" si="7"/>
        <v>0</v>
      </c>
      <c r="R6185" s="2">
        <v>188.0</v>
      </c>
      <c r="S6185" s="5">
        <f t="shared" si="8"/>
        <v>1</v>
      </c>
    </row>
    <row r="6186">
      <c r="A6186" s="2" t="s">
        <v>6185</v>
      </c>
      <c r="B6186" s="2">
        <v>1284.0</v>
      </c>
      <c r="C6186" s="2">
        <v>15029.0</v>
      </c>
      <c r="D6186" s="2">
        <v>4303.0</v>
      </c>
      <c r="E6186" s="3">
        <f t="shared" si="1"/>
        <v>0.3130592943</v>
      </c>
      <c r="F6186" s="2">
        <v>1613.0</v>
      </c>
      <c r="G6186" s="3">
        <f t="shared" si="2"/>
        <v>0.1173517643</v>
      </c>
      <c r="H6186" s="2">
        <v>2829.0</v>
      </c>
      <c r="I6186" s="3">
        <f t="shared" si="3"/>
        <v>0.2058202983</v>
      </c>
      <c r="J6186" s="2">
        <v>2228.0</v>
      </c>
      <c r="K6186" s="3">
        <f t="shared" si="4"/>
        <v>0.1620953074</v>
      </c>
      <c r="L6186" s="2">
        <v>1631.0</v>
      </c>
      <c r="M6186" s="3">
        <f t="shared" si="5"/>
        <v>0.5765288088</v>
      </c>
      <c r="N6186" s="2">
        <v>1.55537E7</v>
      </c>
      <c r="O6186" s="4">
        <f t="shared" si="6"/>
        <v>5497.949806</v>
      </c>
      <c r="P6186" s="2">
        <v>3.0</v>
      </c>
      <c r="Q6186" s="3">
        <f t="shared" si="7"/>
        <v>0.002336448598</v>
      </c>
      <c r="R6186" s="2">
        <v>1284.0</v>
      </c>
      <c r="S6186" s="5">
        <f t="shared" si="8"/>
        <v>1</v>
      </c>
    </row>
    <row r="6187">
      <c r="A6187" s="2" t="s">
        <v>6186</v>
      </c>
      <c r="B6187" s="2">
        <v>383.0</v>
      </c>
      <c r="C6187" s="2">
        <v>4465.0</v>
      </c>
      <c r="D6187" s="2">
        <v>1612.0</v>
      </c>
      <c r="E6187" s="3">
        <f t="shared" si="1"/>
        <v>0.3949044586</v>
      </c>
      <c r="F6187" s="2">
        <v>479.0</v>
      </c>
      <c r="G6187" s="3">
        <f t="shared" si="2"/>
        <v>0.117344439</v>
      </c>
      <c r="H6187" s="2">
        <v>885.0</v>
      </c>
      <c r="I6187" s="3">
        <f t="shared" si="3"/>
        <v>0.2168054875</v>
      </c>
      <c r="J6187" s="2">
        <v>742.0</v>
      </c>
      <c r="K6187" s="3">
        <f t="shared" si="4"/>
        <v>0.1817736404</v>
      </c>
      <c r="L6187" s="2">
        <v>520.0</v>
      </c>
      <c r="M6187" s="3">
        <f t="shared" si="5"/>
        <v>0.5875706215</v>
      </c>
      <c r="N6187" s="2">
        <v>4659100.0</v>
      </c>
      <c r="O6187" s="4">
        <f t="shared" si="6"/>
        <v>5264.519774</v>
      </c>
      <c r="P6187" s="2">
        <v>0.0</v>
      </c>
      <c r="Q6187" s="3">
        <f t="shared" si="7"/>
        <v>0</v>
      </c>
      <c r="R6187" s="2">
        <v>0.0</v>
      </c>
      <c r="S6187" s="5">
        <f t="shared" si="8"/>
        <v>0</v>
      </c>
    </row>
    <row r="6188">
      <c r="A6188" s="2" t="s">
        <v>6187</v>
      </c>
      <c r="B6188" s="2">
        <v>325.0</v>
      </c>
      <c r="C6188" s="2">
        <v>3819.0</v>
      </c>
      <c r="D6188" s="2">
        <v>1060.0</v>
      </c>
      <c r="E6188" s="3">
        <f t="shared" si="1"/>
        <v>0.3033772181</v>
      </c>
      <c r="F6188" s="2">
        <v>410.0</v>
      </c>
      <c r="G6188" s="3">
        <f t="shared" si="2"/>
        <v>0.1173440183</v>
      </c>
      <c r="H6188" s="2">
        <v>706.0</v>
      </c>
      <c r="I6188" s="3">
        <f t="shared" si="3"/>
        <v>0.2020606754</v>
      </c>
      <c r="J6188" s="2">
        <v>532.0</v>
      </c>
      <c r="K6188" s="3">
        <f t="shared" si="4"/>
        <v>0.1522610189</v>
      </c>
      <c r="L6188" s="2">
        <v>436.0</v>
      </c>
      <c r="M6188" s="3">
        <f t="shared" si="5"/>
        <v>0.6175637394</v>
      </c>
      <c r="N6188" s="2">
        <v>4260200.0</v>
      </c>
      <c r="O6188" s="4">
        <f t="shared" si="6"/>
        <v>6034.27762</v>
      </c>
      <c r="P6188" s="2">
        <v>1.0</v>
      </c>
      <c r="Q6188" s="3">
        <f t="shared" si="7"/>
        <v>0.003076923077</v>
      </c>
      <c r="R6188" s="2">
        <v>325.0</v>
      </c>
      <c r="S6188" s="5">
        <f t="shared" si="8"/>
        <v>1</v>
      </c>
    </row>
    <row r="6189">
      <c r="A6189" s="2" t="s">
        <v>6188</v>
      </c>
      <c r="B6189" s="2">
        <v>231.0</v>
      </c>
      <c r="C6189" s="2">
        <v>2745.0</v>
      </c>
      <c r="D6189" s="2">
        <v>938.0</v>
      </c>
      <c r="E6189" s="3">
        <f t="shared" si="1"/>
        <v>0.3731105807</v>
      </c>
      <c r="F6189" s="2">
        <v>295.0</v>
      </c>
      <c r="G6189" s="3">
        <f t="shared" si="2"/>
        <v>0.1173428799</v>
      </c>
      <c r="H6189" s="2">
        <v>526.0</v>
      </c>
      <c r="I6189" s="3">
        <f t="shared" si="3"/>
        <v>0.2092283214</v>
      </c>
      <c r="J6189" s="2">
        <v>431.0</v>
      </c>
      <c r="K6189" s="3">
        <f t="shared" si="4"/>
        <v>0.1714399364</v>
      </c>
      <c r="L6189" s="2">
        <v>305.0</v>
      </c>
      <c r="M6189" s="3">
        <f t="shared" si="5"/>
        <v>0.5798479087</v>
      </c>
      <c r="N6189" s="2">
        <v>3037600.0</v>
      </c>
      <c r="O6189" s="4">
        <f t="shared" si="6"/>
        <v>5774.904943</v>
      </c>
      <c r="P6189" s="2">
        <v>1.0</v>
      </c>
      <c r="Q6189" s="3">
        <f t="shared" si="7"/>
        <v>0.004329004329</v>
      </c>
      <c r="R6189" s="2">
        <v>1.0</v>
      </c>
      <c r="S6189" s="5">
        <f t="shared" si="8"/>
        <v>0.004329004329</v>
      </c>
    </row>
    <row r="6190">
      <c r="A6190" s="2" t="s">
        <v>6189</v>
      </c>
      <c r="B6190" s="2">
        <v>532.0</v>
      </c>
      <c r="C6190" s="2">
        <v>6353.0</v>
      </c>
      <c r="D6190" s="2">
        <v>1824.0</v>
      </c>
      <c r="E6190" s="3">
        <f t="shared" si="1"/>
        <v>0.313348222</v>
      </c>
      <c r="F6190" s="2">
        <v>683.0</v>
      </c>
      <c r="G6190" s="3">
        <f t="shared" si="2"/>
        <v>0.1173337914</v>
      </c>
      <c r="H6190" s="2">
        <v>1230.0</v>
      </c>
      <c r="I6190" s="3">
        <f t="shared" si="3"/>
        <v>0.2113038997</v>
      </c>
      <c r="J6190" s="2">
        <v>1012.0</v>
      </c>
      <c r="K6190" s="3">
        <f t="shared" si="4"/>
        <v>0.1738532898</v>
      </c>
      <c r="L6190" s="2">
        <v>733.0</v>
      </c>
      <c r="M6190" s="3">
        <f t="shared" si="5"/>
        <v>0.5959349593</v>
      </c>
      <c r="N6190" s="2">
        <v>7088400.0</v>
      </c>
      <c r="O6190" s="4">
        <f t="shared" si="6"/>
        <v>5762.926829</v>
      </c>
      <c r="P6190" s="2">
        <v>1.0</v>
      </c>
      <c r="Q6190" s="3">
        <f t="shared" si="7"/>
        <v>0.001879699248</v>
      </c>
      <c r="R6190" s="2">
        <v>532.0</v>
      </c>
      <c r="S6190" s="5">
        <f t="shared" si="8"/>
        <v>1</v>
      </c>
    </row>
    <row r="6191">
      <c r="A6191" s="2" t="s">
        <v>6190</v>
      </c>
      <c r="B6191" s="2">
        <v>224.0</v>
      </c>
      <c r="C6191" s="2">
        <v>2653.0</v>
      </c>
      <c r="D6191" s="2">
        <v>911.0</v>
      </c>
      <c r="E6191" s="3">
        <f t="shared" si="1"/>
        <v>0.3750514615</v>
      </c>
      <c r="F6191" s="2">
        <v>285.0</v>
      </c>
      <c r="G6191" s="3">
        <f t="shared" si="2"/>
        <v>0.1173322355</v>
      </c>
      <c r="H6191" s="2">
        <v>501.0</v>
      </c>
      <c r="I6191" s="3">
        <f t="shared" si="3"/>
        <v>0.2062577192</v>
      </c>
      <c r="J6191" s="2">
        <v>379.0</v>
      </c>
      <c r="K6191" s="3">
        <f t="shared" si="4"/>
        <v>0.1560312886</v>
      </c>
      <c r="L6191" s="2">
        <v>286.0</v>
      </c>
      <c r="M6191" s="3">
        <f t="shared" si="5"/>
        <v>0.5708582834</v>
      </c>
      <c r="N6191" s="2">
        <v>2616200.0</v>
      </c>
      <c r="O6191" s="4">
        <f t="shared" si="6"/>
        <v>5221.956088</v>
      </c>
      <c r="P6191" s="2">
        <v>0.0</v>
      </c>
      <c r="Q6191" s="3">
        <f t="shared" si="7"/>
        <v>0</v>
      </c>
      <c r="R6191" s="2">
        <v>0.0</v>
      </c>
      <c r="S6191" s="5">
        <f t="shared" si="8"/>
        <v>0</v>
      </c>
    </row>
    <row r="6192">
      <c r="A6192" s="2" t="s">
        <v>6191</v>
      </c>
      <c r="B6192" s="2">
        <v>2264.0</v>
      </c>
      <c r="C6192" s="2">
        <v>26717.0</v>
      </c>
      <c r="D6192" s="2">
        <v>8498.0</v>
      </c>
      <c r="E6192" s="3">
        <f t="shared" si="1"/>
        <v>0.3475238212</v>
      </c>
      <c r="F6192" s="2">
        <v>2869.0</v>
      </c>
      <c r="G6192" s="3">
        <f t="shared" si="2"/>
        <v>0.1173271173</v>
      </c>
      <c r="H6192" s="2">
        <v>5037.0</v>
      </c>
      <c r="I6192" s="3">
        <f t="shared" si="3"/>
        <v>0.2059869955</v>
      </c>
      <c r="J6192" s="2">
        <v>4310.0</v>
      </c>
      <c r="K6192" s="3">
        <f t="shared" si="4"/>
        <v>0.176256492</v>
      </c>
      <c r="L6192" s="2">
        <v>2992.0</v>
      </c>
      <c r="M6192" s="3">
        <f t="shared" si="5"/>
        <v>0.5940043677</v>
      </c>
      <c r="N6192" s="2">
        <v>2.91781E7</v>
      </c>
      <c r="O6192" s="4">
        <f t="shared" si="6"/>
        <v>5792.753623</v>
      </c>
      <c r="P6192" s="2">
        <v>7.0</v>
      </c>
      <c r="Q6192" s="3">
        <f t="shared" si="7"/>
        <v>0.003091872792</v>
      </c>
      <c r="R6192" s="2">
        <v>2264.0</v>
      </c>
      <c r="S6192" s="5">
        <f t="shared" si="8"/>
        <v>1</v>
      </c>
    </row>
    <row r="6193">
      <c r="A6193" s="2" t="s">
        <v>6192</v>
      </c>
      <c r="B6193" s="2">
        <v>134.0</v>
      </c>
      <c r="C6193" s="2">
        <v>1600.0</v>
      </c>
      <c r="D6193" s="2">
        <v>515.0</v>
      </c>
      <c r="E6193" s="3">
        <f t="shared" si="1"/>
        <v>0.3512960437</v>
      </c>
      <c r="F6193" s="2">
        <v>172.0</v>
      </c>
      <c r="G6193" s="3">
        <f t="shared" si="2"/>
        <v>0.1173260573</v>
      </c>
      <c r="H6193" s="2">
        <v>321.0</v>
      </c>
      <c r="I6193" s="3">
        <f t="shared" si="3"/>
        <v>0.2189631651</v>
      </c>
      <c r="J6193" s="2">
        <v>287.0</v>
      </c>
      <c r="K6193" s="3">
        <f t="shared" si="4"/>
        <v>0.1957708049</v>
      </c>
      <c r="L6193" s="2">
        <v>181.0</v>
      </c>
      <c r="M6193" s="3">
        <f t="shared" si="5"/>
        <v>0.5638629283</v>
      </c>
      <c r="N6193" s="2">
        <v>1833600.0</v>
      </c>
      <c r="O6193" s="4">
        <f t="shared" si="6"/>
        <v>5712.149533</v>
      </c>
      <c r="P6193" s="2">
        <v>0.0</v>
      </c>
      <c r="Q6193" s="3">
        <f t="shared" si="7"/>
        <v>0</v>
      </c>
      <c r="R6193" s="2">
        <v>134.0</v>
      </c>
      <c r="S6193" s="5">
        <f t="shared" si="8"/>
        <v>1</v>
      </c>
    </row>
    <row r="6194">
      <c r="A6194" s="2" t="s">
        <v>6193</v>
      </c>
      <c r="B6194" s="2">
        <v>102.0</v>
      </c>
      <c r="C6194" s="2">
        <v>1193.0</v>
      </c>
      <c r="D6194" s="2">
        <v>458.0</v>
      </c>
      <c r="E6194" s="3">
        <f t="shared" si="1"/>
        <v>0.4197983501</v>
      </c>
      <c r="F6194" s="2">
        <v>128.0</v>
      </c>
      <c r="G6194" s="3">
        <f t="shared" si="2"/>
        <v>0.1173235564</v>
      </c>
      <c r="H6194" s="2">
        <v>249.0</v>
      </c>
      <c r="I6194" s="3">
        <f t="shared" si="3"/>
        <v>0.2282309808</v>
      </c>
      <c r="J6194" s="2">
        <v>185.0</v>
      </c>
      <c r="K6194" s="3">
        <f t="shared" si="4"/>
        <v>0.1695692026</v>
      </c>
      <c r="L6194" s="2">
        <v>159.0</v>
      </c>
      <c r="M6194" s="3">
        <f t="shared" si="5"/>
        <v>0.6385542169</v>
      </c>
      <c r="N6194" s="2">
        <v>1270600.0</v>
      </c>
      <c r="O6194" s="4">
        <f t="shared" si="6"/>
        <v>5102.811245</v>
      </c>
      <c r="P6194" s="2">
        <v>0.0</v>
      </c>
      <c r="Q6194" s="3">
        <f t="shared" si="7"/>
        <v>0</v>
      </c>
      <c r="R6194" s="2">
        <v>102.0</v>
      </c>
      <c r="S6194" s="5">
        <f t="shared" si="8"/>
        <v>1</v>
      </c>
    </row>
    <row r="6195">
      <c r="A6195" s="2" t="s">
        <v>6194</v>
      </c>
      <c r="B6195" s="2">
        <v>201.0</v>
      </c>
      <c r="C6195" s="2">
        <v>2383.0</v>
      </c>
      <c r="D6195" s="2">
        <v>767.0</v>
      </c>
      <c r="E6195" s="3">
        <f t="shared" si="1"/>
        <v>0.351512374</v>
      </c>
      <c r="F6195" s="2">
        <v>256.0</v>
      </c>
      <c r="G6195" s="3">
        <f t="shared" si="2"/>
        <v>0.1173235564</v>
      </c>
      <c r="H6195" s="2">
        <v>447.0</v>
      </c>
      <c r="I6195" s="3">
        <f t="shared" si="3"/>
        <v>0.2048579285</v>
      </c>
      <c r="J6195" s="2">
        <v>290.0</v>
      </c>
      <c r="K6195" s="3">
        <f t="shared" si="4"/>
        <v>0.1329055912</v>
      </c>
      <c r="L6195" s="2">
        <v>260.0</v>
      </c>
      <c r="M6195" s="3">
        <f t="shared" si="5"/>
        <v>0.581655481</v>
      </c>
      <c r="N6195" s="2">
        <v>2463300.0</v>
      </c>
      <c r="O6195" s="4">
        <f t="shared" si="6"/>
        <v>5510.738255</v>
      </c>
      <c r="P6195" s="2">
        <v>0.0</v>
      </c>
      <c r="Q6195" s="3">
        <f t="shared" si="7"/>
        <v>0</v>
      </c>
      <c r="R6195" s="2">
        <v>201.0</v>
      </c>
      <c r="S6195" s="5">
        <f t="shared" si="8"/>
        <v>1</v>
      </c>
    </row>
    <row r="6196">
      <c r="A6196" s="2" t="s">
        <v>6195</v>
      </c>
      <c r="B6196" s="2">
        <v>819.0</v>
      </c>
      <c r="C6196" s="2">
        <v>9573.0</v>
      </c>
      <c r="D6196" s="2">
        <v>2909.0</v>
      </c>
      <c r="E6196" s="3">
        <f t="shared" si="1"/>
        <v>0.3323052319</v>
      </c>
      <c r="F6196" s="2">
        <v>1027.0</v>
      </c>
      <c r="G6196" s="3">
        <f t="shared" si="2"/>
        <v>0.1173177976</v>
      </c>
      <c r="H6196" s="2">
        <v>1890.0</v>
      </c>
      <c r="I6196" s="3">
        <f t="shared" si="3"/>
        <v>0.2159013023</v>
      </c>
      <c r="J6196" s="2">
        <v>1382.0</v>
      </c>
      <c r="K6196" s="3">
        <f t="shared" si="4"/>
        <v>0.1578706877</v>
      </c>
      <c r="L6196" s="2">
        <v>1153.0</v>
      </c>
      <c r="M6196" s="3">
        <f t="shared" si="5"/>
        <v>0.6100529101</v>
      </c>
      <c r="N6196" s="2">
        <v>1.05736E7</v>
      </c>
      <c r="O6196" s="4">
        <f t="shared" si="6"/>
        <v>5594.497354</v>
      </c>
      <c r="P6196" s="2">
        <v>1.0</v>
      </c>
      <c r="Q6196" s="3">
        <f t="shared" si="7"/>
        <v>0.001221001221</v>
      </c>
      <c r="R6196" s="2">
        <v>819.0</v>
      </c>
      <c r="S6196" s="5">
        <f t="shared" si="8"/>
        <v>1</v>
      </c>
    </row>
    <row r="6197">
      <c r="A6197" s="2" t="s">
        <v>6196</v>
      </c>
      <c r="B6197" s="2">
        <v>1939.0</v>
      </c>
      <c r="C6197" s="2">
        <v>23037.0</v>
      </c>
      <c r="D6197" s="2">
        <v>8562.0</v>
      </c>
      <c r="E6197" s="3">
        <f t="shared" si="1"/>
        <v>0.4058204569</v>
      </c>
      <c r="F6197" s="2">
        <v>2475.0</v>
      </c>
      <c r="G6197" s="3">
        <f t="shared" si="2"/>
        <v>0.1173096976</v>
      </c>
      <c r="H6197" s="2">
        <v>4421.0</v>
      </c>
      <c r="I6197" s="3">
        <f t="shared" si="3"/>
        <v>0.2095459285</v>
      </c>
      <c r="J6197" s="2">
        <v>3424.0</v>
      </c>
      <c r="K6197" s="3">
        <f t="shared" si="4"/>
        <v>0.1622902645</v>
      </c>
      <c r="L6197" s="2">
        <v>2713.0</v>
      </c>
      <c r="M6197" s="3">
        <f t="shared" si="5"/>
        <v>0.6136620674</v>
      </c>
      <c r="N6197" s="2">
        <v>2.38656E7</v>
      </c>
      <c r="O6197" s="4">
        <f t="shared" si="6"/>
        <v>5398.235693</v>
      </c>
      <c r="P6197" s="2">
        <v>0.0</v>
      </c>
      <c r="Q6197" s="3">
        <f t="shared" si="7"/>
        <v>0</v>
      </c>
      <c r="R6197" s="2">
        <v>0.0</v>
      </c>
      <c r="S6197" s="5">
        <f t="shared" si="8"/>
        <v>0</v>
      </c>
    </row>
    <row r="6198">
      <c r="A6198" s="2" t="s">
        <v>6197</v>
      </c>
      <c r="B6198" s="2">
        <v>1726.0</v>
      </c>
      <c r="C6198" s="2">
        <v>20301.0</v>
      </c>
      <c r="D6198" s="2">
        <v>5116.0</v>
      </c>
      <c r="E6198" s="3">
        <f t="shared" si="1"/>
        <v>0.2754239569</v>
      </c>
      <c r="F6198" s="2">
        <v>2179.0</v>
      </c>
      <c r="G6198" s="3">
        <f t="shared" si="2"/>
        <v>0.11730821</v>
      </c>
      <c r="H6198" s="2">
        <v>3824.0</v>
      </c>
      <c r="I6198" s="3">
        <f t="shared" si="3"/>
        <v>0.2058681023</v>
      </c>
      <c r="J6198" s="2">
        <v>3436.0</v>
      </c>
      <c r="K6198" s="3">
        <f t="shared" si="4"/>
        <v>0.1849798116</v>
      </c>
      <c r="L6198" s="2">
        <v>2292.0</v>
      </c>
      <c r="M6198" s="3">
        <f t="shared" si="5"/>
        <v>0.5993723849</v>
      </c>
      <c r="N6198" s="2">
        <v>2.29085E7</v>
      </c>
      <c r="O6198" s="4">
        <f t="shared" si="6"/>
        <v>5990.716527</v>
      </c>
      <c r="P6198" s="2">
        <v>3.0</v>
      </c>
      <c r="Q6198" s="3">
        <f t="shared" si="7"/>
        <v>0.001738122827</v>
      </c>
      <c r="R6198" s="2">
        <v>0.0</v>
      </c>
      <c r="S6198" s="5">
        <f t="shared" si="8"/>
        <v>0</v>
      </c>
    </row>
    <row r="6199">
      <c r="A6199" s="2" t="s">
        <v>6198</v>
      </c>
      <c r="B6199" s="2">
        <v>507.0</v>
      </c>
      <c r="C6199" s="2">
        <v>5886.0</v>
      </c>
      <c r="D6199" s="2">
        <v>1681.0</v>
      </c>
      <c r="E6199" s="3">
        <f t="shared" si="1"/>
        <v>0.3125116193</v>
      </c>
      <c r="F6199" s="2">
        <v>631.0</v>
      </c>
      <c r="G6199" s="3">
        <f t="shared" si="2"/>
        <v>0.1173080498</v>
      </c>
      <c r="H6199" s="2">
        <v>1018.0</v>
      </c>
      <c r="I6199" s="3">
        <f t="shared" si="3"/>
        <v>0.1892545083</v>
      </c>
      <c r="J6199" s="2">
        <v>680.0</v>
      </c>
      <c r="K6199" s="3">
        <f t="shared" si="4"/>
        <v>0.1264175497</v>
      </c>
      <c r="L6199" s="2">
        <v>615.0</v>
      </c>
      <c r="M6199" s="3">
        <f t="shared" si="5"/>
        <v>0.6041257367</v>
      </c>
      <c r="N6199" s="2">
        <v>5941400.0</v>
      </c>
      <c r="O6199" s="4">
        <f t="shared" si="6"/>
        <v>5836.345776</v>
      </c>
      <c r="P6199" s="2">
        <v>3.0</v>
      </c>
      <c r="Q6199" s="3">
        <f t="shared" si="7"/>
        <v>0.005917159763</v>
      </c>
      <c r="R6199" s="2">
        <v>507.0</v>
      </c>
      <c r="S6199" s="5">
        <f t="shared" si="8"/>
        <v>1</v>
      </c>
    </row>
    <row r="6200">
      <c r="A6200" s="2" t="s">
        <v>6199</v>
      </c>
      <c r="B6200" s="2">
        <v>163.0</v>
      </c>
      <c r="C6200" s="2">
        <v>1885.0</v>
      </c>
      <c r="D6200" s="2">
        <v>626.0</v>
      </c>
      <c r="E6200" s="3">
        <f t="shared" si="1"/>
        <v>0.3635307782</v>
      </c>
      <c r="F6200" s="2">
        <v>202.0</v>
      </c>
      <c r="G6200" s="3">
        <f t="shared" si="2"/>
        <v>0.1173054588</v>
      </c>
      <c r="H6200" s="2">
        <v>352.0</v>
      </c>
      <c r="I6200" s="3">
        <f t="shared" si="3"/>
        <v>0.2044134727</v>
      </c>
      <c r="J6200" s="2">
        <v>328.0</v>
      </c>
      <c r="K6200" s="3">
        <f t="shared" si="4"/>
        <v>0.1904761905</v>
      </c>
      <c r="L6200" s="2">
        <v>213.0</v>
      </c>
      <c r="M6200" s="3">
        <f t="shared" si="5"/>
        <v>0.6051136364</v>
      </c>
      <c r="N6200" s="2">
        <v>2225500.0</v>
      </c>
      <c r="O6200" s="4">
        <f t="shared" si="6"/>
        <v>6322.443182</v>
      </c>
      <c r="P6200" s="2">
        <v>1.0</v>
      </c>
      <c r="Q6200" s="3">
        <f t="shared" si="7"/>
        <v>0.006134969325</v>
      </c>
      <c r="R6200" s="2">
        <v>163.0</v>
      </c>
      <c r="S6200" s="5">
        <f t="shared" si="8"/>
        <v>1</v>
      </c>
    </row>
    <row r="6201">
      <c r="A6201" s="2" t="s">
        <v>6200</v>
      </c>
      <c r="B6201" s="2">
        <v>1182.0</v>
      </c>
      <c r="C6201" s="2">
        <v>14012.0</v>
      </c>
      <c r="D6201" s="2">
        <v>5124.0</v>
      </c>
      <c r="E6201" s="3">
        <f t="shared" si="1"/>
        <v>0.3993764614</v>
      </c>
      <c r="F6201" s="2">
        <v>1505.0</v>
      </c>
      <c r="G6201" s="3">
        <f t="shared" si="2"/>
        <v>0.1173031956</v>
      </c>
      <c r="H6201" s="2">
        <v>2784.0</v>
      </c>
      <c r="I6201" s="3">
        <f t="shared" si="3"/>
        <v>0.2169914263</v>
      </c>
      <c r="J6201" s="2">
        <v>1949.0</v>
      </c>
      <c r="K6201" s="3">
        <f t="shared" si="4"/>
        <v>0.1519095869</v>
      </c>
      <c r="L6201" s="2">
        <v>1624.0</v>
      </c>
      <c r="M6201" s="3">
        <f t="shared" si="5"/>
        <v>0.5833333333</v>
      </c>
      <c r="N6201" s="2">
        <v>1.49525E7</v>
      </c>
      <c r="O6201" s="4">
        <f t="shared" si="6"/>
        <v>5370.869253</v>
      </c>
      <c r="P6201" s="2">
        <v>2.0</v>
      </c>
      <c r="Q6201" s="3">
        <f t="shared" si="7"/>
        <v>0.001692047377</v>
      </c>
      <c r="R6201" s="2">
        <v>1182.0</v>
      </c>
      <c r="S6201" s="5">
        <f t="shared" si="8"/>
        <v>1</v>
      </c>
    </row>
    <row r="6202">
      <c r="A6202" s="2" t="s">
        <v>6201</v>
      </c>
      <c r="B6202" s="2">
        <v>404.0</v>
      </c>
      <c r="C6202" s="2">
        <v>4641.0</v>
      </c>
      <c r="D6202" s="2">
        <v>720.0</v>
      </c>
      <c r="E6202" s="3">
        <f t="shared" si="1"/>
        <v>0.1699315553</v>
      </c>
      <c r="F6202" s="2">
        <v>497.0</v>
      </c>
      <c r="G6202" s="3">
        <f t="shared" si="2"/>
        <v>0.1172999764</v>
      </c>
      <c r="H6202" s="2">
        <v>753.0</v>
      </c>
      <c r="I6202" s="3">
        <f t="shared" si="3"/>
        <v>0.177720085</v>
      </c>
      <c r="J6202" s="2">
        <v>841.0</v>
      </c>
      <c r="K6202" s="3">
        <f t="shared" si="4"/>
        <v>0.1984894973</v>
      </c>
      <c r="L6202" s="2">
        <v>453.0</v>
      </c>
      <c r="M6202" s="3">
        <f t="shared" si="5"/>
        <v>0.6015936255</v>
      </c>
      <c r="N6202" s="2">
        <v>4606900.0</v>
      </c>
      <c r="O6202" s="4">
        <f t="shared" si="6"/>
        <v>6118.061089</v>
      </c>
      <c r="P6202" s="2">
        <v>2.0</v>
      </c>
      <c r="Q6202" s="3">
        <f t="shared" si="7"/>
        <v>0.00495049505</v>
      </c>
      <c r="R6202" s="2">
        <v>404.0</v>
      </c>
      <c r="S6202" s="5">
        <f t="shared" si="8"/>
        <v>1</v>
      </c>
    </row>
    <row r="6203">
      <c r="A6203" s="2" t="s">
        <v>6202</v>
      </c>
      <c r="B6203" s="2">
        <v>511.0</v>
      </c>
      <c r="C6203" s="2">
        <v>6062.0</v>
      </c>
      <c r="D6203" s="2">
        <v>2023.0</v>
      </c>
      <c r="E6203" s="3">
        <f t="shared" si="1"/>
        <v>0.3644388398</v>
      </c>
      <c r="F6203" s="2">
        <v>651.0</v>
      </c>
      <c r="G6203" s="3">
        <f t="shared" si="2"/>
        <v>0.1172761665</v>
      </c>
      <c r="H6203" s="2">
        <v>1215.0</v>
      </c>
      <c r="I6203" s="3">
        <f t="shared" si="3"/>
        <v>0.2188794812</v>
      </c>
      <c r="J6203" s="2">
        <v>1040.0</v>
      </c>
      <c r="K6203" s="3">
        <f t="shared" si="4"/>
        <v>0.18735363</v>
      </c>
      <c r="L6203" s="2">
        <v>727.0</v>
      </c>
      <c r="M6203" s="3">
        <f t="shared" si="5"/>
        <v>0.5983539095</v>
      </c>
      <c r="N6203" s="2">
        <v>6628900.0</v>
      </c>
      <c r="O6203" s="4">
        <f t="shared" si="6"/>
        <v>5455.884774</v>
      </c>
      <c r="P6203" s="2">
        <v>0.0</v>
      </c>
      <c r="Q6203" s="3">
        <f t="shared" si="7"/>
        <v>0</v>
      </c>
      <c r="R6203" s="2">
        <v>511.0</v>
      </c>
      <c r="S6203" s="5">
        <f t="shared" si="8"/>
        <v>1</v>
      </c>
    </row>
    <row r="6204">
      <c r="A6204" s="2" t="s">
        <v>6203</v>
      </c>
      <c r="B6204" s="2">
        <v>510.0</v>
      </c>
      <c r="C6204" s="2">
        <v>5993.0</v>
      </c>
      <c r="D6204" s="2">
        <v>2234.0</v>
      </c>
      <c r="E6204" s="3">
        <f t="shared" si="1"/>
        <v>0.4074411818</v>
      </c>
      <c r="F6204" s="2">
        <v>643.0</v>
      </c>
      <c r="G6204" s="3">
        <f t="shared" si="2"/>
        <v>0.1172715667</v>
      </c>
      <c r="H6204" s="2">
        <v>1158.0</v>
      </c>
      <c r="I6204" s="3">
        <f t="shared" si="3"/>
        <v>0.2111982491</v>
      </c>
      <c r="J6204" s="2">
        <v>885.0</v>
      </c>
      <c r="K6204" s="3">
        <f t="shared" si="4"/>
        <v>0.1614079883</v>
      </c>
      <c r="L6204" s="2">
        <v>691.0</v>
      </c>
      <c r="M6204" s="3">
        <f t="shared" si="5"/>
        <v>0.5967184801</v>
      </c>
      <c r="N6204" s="2">
        <v>6303400.0</v>
      </c>
      <c r="O6204" s="4">
        <f t="shared" si="6"/>
        <v>5443.350604</v>
      </c>
      <c r="P6204" s="2">
        <v>1.0</v>
      </c>
      <c r="Q6204" s="3">
        <f t="shared" si="7"/>
        <v>0.001960784314</v>
      </c>
      <c r="R6204" s="2">
        <v>510.0</v>
      </c>
      <c r="S6204" s="5">
        <f t="shared" si="8"/>
        <v>1</v>
      </c>
    </row>
    <row r="6205">
      <c r="A6205" s="2" t="s">
        <v>6204</v>
      </c>
      <c r="B6205" s="2">
        <v>1822.0</v>
      </c>
      <c r="C6205" s="2">
        <v>21401.0</v>
      </c>
      <c r="D6205" s="2">
        <v>6240.0</v>
      </c>
      <c r="E6205" s="3">
        <f t="shared" si="1"/>
        <v>0.3187088207</v>
      </c>
      <c r="F6205" s="2">
        <v>2296.0</v>
      </c>
      <c r="G6205" s="3">
        <f t="shared" si="2"/>
        <v>0.117268502</v>
      </c>
      <c r="H6205" s="2">
        <v>4118.0</v>
      </c>
      <c r="I6205" s="3">
        <f t="shared" si="3"/>
        <v>0.2103273916</v>
      </c>
      <c r="J6205" s="2">
        <v>2960.0</v>
      </c>
      <c r="K6205" s="3">
        <f t="shared" si="4"/>
        <v>0.1511823893</v>
      </c>
      <c r="L6205" s="2">
        <v>2488.0</v>
      </c>
      <c r="M6205" s="3">
        <f t="shared" si="5"/>
        <v>0.6041767848</v>
      </c>
      <c r="N6205" s="2">
        <v>2.308E7</v>
      </c>
      <c r="O6205" s="4">
        <f t="shared" si="6"/>
        <v>5604.662458</v>
      </c>
      <c r="P6205" s="2">
        <v>1.0</v>
      </c>
      <c r="Q6205" s="3">
        <f t="shared" si="7"/>
        <v>0.0005488474204</v>
      </c>
      <c r="R6205" s="2">
        <v>1822.0</v>
      </c>
      <c r="S6205" s="5">
        <f t="shared" si="8"/>
        <v>1</v>
      </c>
    </row>
    <row r="6206">
      <c r="A6206" s="2" t="s">
        <v>6205</v>
      </c>
      <c r="B6206" s="2">
        <v>975.0</v>
      </c>
      <c r="C6206" s="2">
        <v>11430.0</v>
      </c>
      <c r="D6206" s="2">
        <v>2453.0</v>
      </c>
      <c r="E6206" s="3">
        <f t="shared" si="1"/>
        <v>0.2346245815</v>
      </c>
      <c r="F6206" s="2">
        <v>1226.0</v>
      </c>
      <c r="G6206" s="3">
        <f t="shared" si="2"/>
        <v>0.1172644668</v>
      </c>
      <c r="H6206" s="2">
        <v>2049.0</v>
      </c>
      <c r="I6206" s="3">
        <f t="shared" si="3"/>
        <v>0.1959827834</v>
      </c>
      <c r="J6206" s="2">
        <v>1357.0</v>
      </c>
      <c r="K6206" s="3">
        <f t="shared" si="4"/>
        <v>0.1297943568</v>
      </c>
      <c r="L6206" s="2">
        <v>1247.0</v>
      </c>
      <c r="M6206" s="3">
        <f t="shared" si="5"/>
        <v>0.6085895559</v>
      </c>
      <c r="N6206" s="2">
        <v>1.1668E7</v>
      </c>
      <c r="O6206" s="4">
        <f t="shared" si="6"/>
        <v>5694.485115</v>
      </c>
      <c r="P6206" s="2">
        <v>4.0</v>
      </c>
      <c r="Q6206" s="3">
        <f t="shared" si="7"/>
        <v>0.004102564103</v>
      </c>
      <c r="R6206" s="2">
        <v>6.0</v>
      </c>
      <c r="S6206" s="5">
        <f t="shared" si="8"/>
        <v>0.006153846154</v>
      </c>
    </row>
    <row r="6207">
      <c r="A6207" s="2" t="s">
        <v>6206</v>
      </c>
      <c r="B6207" s="2">
        <v>28.0</v>
      </c>
      <c r="C6207" s="2">
        <v>335.0</v>
      </c>
      <c r="D6207" s="2">
        <v>109.0</v>
      </c>
      <c r="E6207" s="3">
        <f t="shared" si="1"/>
        <v>0.3550488599</v>
      </c>
      <c r="F6207" s="2">
        <v>36.0</v>
      </c>
      <c r="G6207" s="3">
        <f t="shared" si="2"/>
        <v>0.1172638436</v>
      </c>
      <c r="H6207" s="2">
        <v>70.0</v>
      </c>
      <c r="I6207" s="3">
        <f t="shared" si="3"/>
        <v>0.2280130293</v>
      </c>
      <c r="J6207" s="2">
        <v>61.0</v>
      </c>
      <c r="K6207" s="3">
        <f t="shared" si="4"/>
        <v>0.1986970684</v>
      </c>
      <c r="L6207" s="2">
        <v>37.0</v>
      </c>
      <c r="M6207" s="3">
        <f t="shared" si="5"/>
        <v>0.5285714286</v>
      </c>
      <c r="N6207" s="2">
        <v>399100.0</v>
      </c>
      <c r="O6207" s="4">
        <f t="shared" si="6"/>
        <v>5701.428571</v>
      </c>
      <c r="P6207" s="2">
        <v>0.0</v>
      </c>
      <c r="Q6207" s="3">
        <f t="shared" si="7"/>
        <v>0</v>
      </c>
      <c r="R6207" s="2">
        <v>28.0</v>
      </c>
      <c r="S6207" s="5">
        <f t="shared" si="8"/>
        <v>1</v>
      </c>
    </row>
    <row r="6208">
      <c r="A6208" s="2" t="s">
        <v>6207</v>
      </c>
      <c r="B6208" s="2">
        <v>3070.0</v>
      </c>
      <c r="C6208" s="2">
        <v>36202.0</v>
      </c>
      <c r="D6208" s="2">
        <v>12799.0</v>
      </c>
      <c r="E6208" s="3">
        <f t="shared" si="1"/>
        <v>0.3863032718</v>
      </c>
      <c r="F6208" s="2">
        <v>3885.0</v>
      </c>
      <c r="G6208" s="3">
        <f t="shared" si="2"/>
        <v>0.1172582398</v>
      </c>
      <c r="H6208" s="2">
        <v>7107.0</v>
      </c>
      <c r="I6208" s="3">
        <f t="shared" si="3"/>
        <v>0.2145056139</v>
      </c>
      <c r="J6208" s="2">
        <v>4969.0</v>
      </c>
      <c r="K6208" s="3">
        <f t="shared" si="4"/>
        <v>0.1499758542</v>
      </c>
      <c r="L6208" s="2">
        <v>4309.0</v>
      </c>
      <c r="M6208" s="3">
        <f t="shared" si="5"/>
        <v>0.6063036443</v>
      </c>
      <c r="N6208" s="2">
        <v>3.85716E7</v>
      </c>
      <c r="O6208" s="4">
        <f t="shared" si="6"/>
        <v>5427.26889</v>
      </c>
      <c r="P6208" s="2">
        <v>7.0</v>
      </c>
      <c r="Q6208" s="3">
        <f t="shared" si="7"/>
        <v>0.002280130293</v>
      </c>
      <c r="R6208" s="2">
        <v>3070.0</v>
      </c>
      <c r="S6208" s="5">
        <f t="shared" si="8"/>
        <v>1</v>
      </c>
    </row>
    <row r="6209">
      <c r="A6209" s="2" t="s">
        <v>6208</v>
      </c>
      <c r="B6209" s="2">
        <v>228.0</v>
      </c>
      <c r="C6209" s="2">
        <v>2693.0</v>
      </c>
      <c r="D6209" s="2">
        <v>950.0</v>
      </c>
      <c r="E6209" s="3">
        <f t="shared" si="1"/>
        <v>0.3853955375</v>
      </c>
      <c r="F6209" s="2">
        <v>289.0</v>
      </c>
      <c r="G6209" s="3">
        <f t="shared" si="2"/>
        <v>0.1172413793</v>
      </c>
      <c r="H6209" s="2">
        <v>504.0</v>
      </c>
      <c r="I6209" s="3">
        <f t="shared" si="3"/>
        <v>0.2044624746</v>
      </c>
      <c r="J6209" s="2">
        <v>366.0</v>
      </c>
      <c r="K6209" s="3">
        <f t="shared" si="4"/>
        <v>0.1484787018</v>
      </c>
      <c r="L6209" s="2">
        <v>299.0</v>
      </c>
      <c r="M6209" s="3">
        <f t="shared" si="5"/>
        <v>0.5932539683</v>
      </c>
      <c r="N6209" s="2">
        <v>2591600.0</v>
      </c>
      <c r="O6209" s="4">
        <f t="shared" si="6"/>
        <v>5142.063492</v>
      </c>
      <c r="P6209" s="2">
        <v>0.0</v>
      </c>
      <c r="Q6209" s="3">
        <f t="shared" si="7"/>
        <v>0</v>
      </c>
      <c r="R6209" s="2">
        <v>219.0</v>
      </c>
      <c r="S6209" s="5">
        <f t="shared" si="8"/>
        <v>0.9605263158</v>
      </c>
    </row>
    <row r="6210">
      <c r="A6210" s="2" t="s">
        <v>6209</v>
      </c>
      <c r="B6210" s="2">
        <v>552.0</v>
      </c>
      <c r="C6210" s="2">
        <v>6480.0</v>
      </c>
      <c r="D6210" s="2">
        <v>2107.0</v>
      </c>
      <c r="E6210" s="3">
        <f t="shared" si="1"/>
        <v>0.3554318489</v>
      </c>
      <c r="F6210" s="2">
        <v>695.0</v>
      </c>
      <c r="G6210" s="3">
        <f t="shared" si="2"/>
        <v>0.1172402159</v>
      </c>
      <c r="H6210" s="2">
        <v>1238.0</v>
      </c>
      <c r="I6210" s="3">
        <f t="shared" si="3"/>
        <v>0.2088394062</v>
      </c>
      <c r="J6210" s="2">
        <v>1027.0</v>
      </c>
      <c r="K6210" s="3">
        <f t="shared" si="4"/>
        <v>0.173245614</v>
      </c>
      <c r="L6210" s="2">
        <v>746.0</v>
      </c>
      <c r="M6210" s="3">
        <f t="shared" si="5"/>
        <v>0.6025848142</v>
      </c>
      <c r="N6210" s="2">
        <v>6836300.0</v>
      </c>
      <c r="O6210" s="4">
        <f t="shared" si="6"/>
        <v>5522.051696</v>
      </c>
      <c r="P6210" s="2">
        <v>1.0</v>
      </c>
      <c r="Q6210" s="3">
        <f t="shared" si="7"/>
        <v>0.001811594203</v>
      </c>
      <c r="R6210" s="2">
        <v>552.0</v>
      </c>
      <c r="S6210" s="5">
        <f t="shared" si="8"/>
        <v>1</v>
      </c>
    </row>
    <row r="6211">
      <c r="A6211" s="2" t="s">
        <v>6210</v>
      </c>
      <c r="B6211" s="2">
        <v>859.0</v>
      </c>
      <c r="C6211" s="2">
        <v>10199.0</v>
      </c>
      <c r="D6211" s="2">
        <v>3159.0</v>
      </c>
      <c r="E6211" s="3">
        <f t="shared" si="1"/>
        <v>0.3382226981</v>
      </c>
      <c r="F6211" s="2">
        <v>1095.0</v>
      </c>
      <c r="G6211" s="3">
        <f t="shared" si="2"/>
        <v>0.1172376874</v>
      </c>
      <c r="H6211" s="2">
        <v>1978.0</v>
      </c>
      <c r="I6211" s="3">
        <f t="shared" si="3"/>
        <v>0.2117773019</v>
      </c>
      <c r="J6211" s="2">
        <v>1517.0</v>
      </c>
      <c r="K6211" s="3">
        <f t="shared" si="4"/>
        <v>0.1624197002</v>
      </c>
      <c r="L6211" s="2">
        <v>1186.0</v>
      </c>
      <c r="M6211" s="3">
        <f t="shared" si="5"/>
        <v>0.5995955511</v>
      </c>
      <c r="N6211" s="2">
        <v>1.06277E7</v>
      </c>
      <c r="O6211" s="4">
        <f t="shared" si="6"/>
        <v>5372.952477</v>
      </c>
      <c r="P6211" s="2">
        <v>3.0</v>
      </c>
      <c r="Q6211" s="3">
        <f t="shared" si="7"/>
        <v>0.003492433062</v>
      </c>
      <c r="R6211" s="2">
        <v>460.0</v>
      </c>
      <c r="S6211" s="5">
        <f t="shared" si="8"/>
        <v>0.5355064028</v>
      </c>
    </row>
    <row r="6212">
      <c r="A6212" s="2" t="s">
        <v>6211</v>
      </c>
      <c r="B6212" s="2">
        <v>700.0</v>
      </c>
      <c r="C6212" s="2">
        <v>8266.0</v>
      </c>
      <c r="D6212" s="2">
        <v>2820.0</v>
      </c>
      <c r="E6212" s="3">
        <f t="shared" si="1"/>
        <v>0.3727200634</v>
      </c>
      <c r="F6212" s="2">
        <v>887.0</v>
      </c>
      <c r="G6212" s="3">
        <f t="shared" si="2"/>
        <v>0.1172349987</v>
      </c>
      <c r="H6212" s="2">
        <v>1600.0</v>
      </c>
      <c r="I6212" s="3">
        <f t="shared" si="3"/>
        <v>0.2114723764</v>
      </c>
      <c r="J6212" s="2">
        <v>1140.0</v>
      </c>
      <c r="K6212" s="3">
        <f t="shared" si="4"/>
        <v>0.1506740682</v>
      </c>
      <c r="L6212" s="2">
        <v>985.0</v>
      </c>
      <c r="M6212" s="3">
        <f t="shared" si="5"/>
        <v>0.615625</v>
      </c>
      <c r="N6212" s="2">
        <v>8721200.0</v>
      </c>
      <c r="O6212" s="4">
        <f t="shared" si="6"/>
        <v>5450.75</v>
      </c>
      <c r="P6212" s="2">
        <v>0.0</v>
      </c>
      <c r="Q6212" s="3">
        <f t="shared" si="7"/>
        <v>0</v>
      </c>
      <c r="R6212" s="2">
        <v>700.0</v>
      </c>
      <c r="S6212" s="5">
        <f t="shared" si="8"/>
        <v>1</v>
      </c>
    </row>
    <row r="6213">
      <c r="A6213" s="2" t="s">
        <v>6212</v>
      </c>
      <c r="B6213" s="2">
        <v>666.0</v>
      </c>
      <c r="C6213" s="2">
        <v>7739.0</v>
      </c>
      <c r="D6213" s="2">
        <v>2808.0</v>
      </c>
      <c r="E6213" s="3">
        <f t="shared" si="1"/>
        <v>0.3970026863</v>
      </c>
      <c r="F6213" s="2">
        <v>829.0</v>
      </c>
      <c r="G6213" s="3">
        <f t="shared" si="2"/>
        <v>0.1172062774</v>
      </c>
      <c r="H6213" s="2">
        <v>1431.0</v>
      </c>
      <c r="I6213" s="3">
        <f t="shared" si="3"/>
        <v>0.2023186767</v>
      </c>
      <c r="J6213" s="2">
        <v>1109.0</v>
      </c>
      <c r="K6213" s="3">
        <f t="shared" si="4"/>
        <v>0.1567934398</v>
      </c>
      <c r="L6213" s="2">
        <v>847.0</v>
      </c>
      <c r="M6213" s="3">
        <f t="shared" si="5"/>
        <v>0.5918937806</v>
      </c>
      <c r="N6213" s="2">
        <v>7607200.0</v>
      </c>
      <c r="O6213" s="4">
        <f t="shared" si="6"/>
        <v>5316.002795</v>
      </c>
      <c r="P6213" s="2">
        <v>1.0</v>
      </c>
      <c r="Q6213" s="3">
        <f t="shared" si="7"/>
        <v>0.001501501502</v>
      </c>
      <c r="R6213" s="2">
        <v>423.0</v>
      </c>
      <c r="S6213" s="5">
        <f t="shared" si="8"/>
        <v>0.6351351351</v>
      </c>
    </row>
    <row r="6214">
      <c r="A6214" s="2" t="s">
        <v>6213</v>
      </c>
      <c r="B6214" s="2">
        <v>98.0</v>
      </c>
      <c r="C6214" s="2">
        <v>1156.0</v>
      </c>
      <c r="D6214" s="2">
        <v>434.0</v>
      </c>
      <c r="E6214" s="3">
        <f t="shared" si="1"/>
        <v>0.4102079395</v>
      </c>
      <c r="F6214" s="2">
        <v>124.0</v>
      </c>
      <c r="G6214" s="3">
        <f t="shared" si="2"/>
        <v>0.1172022684</v>
      </c>
      <c r="H6214" s="2">
        <v>216.0</v>
      </c>
      <c r="I6214" s="3">
        <f t="shared" si="3"/>
        <v>0.2041587902</v>
      </c>
      <c r="J6214" s="2">
        <v>141.0</v>
      </c>
      <c r="K6214" s="3">
        <f t="shared" si="4"/>
        <v>0.1332703214</v>
      </c>
      <c r="L6214" s="2">
        <v>130.0</v>
      </c>
      <c r="M6214" s="3">
        <f t="shared" si="5"/>
        <v>0.6018518519</v>
      </c>
      <c r="N6214" s="2">
        <v>1148800.0</v>
      </c>
      <c r="O6214" s="4">
        <f t="shared" si="6"/>
        <v>5318.518519</v>
      </c>
      <c r="P6214" s="2">
        <v>0.0</v>
      </c>
      <c r="Q6214" s="3">
        <f t="shared" si="7"/>
        <v>0</v>
      </c>
      <c r="R6214" s="2">
        <v>98.0</v>
      </c>
      <c r="S6214" s="5">
        <f t="shared" si="8"/>
        <v>1</v>
      </c>
    </row>
    <row r="6215">
      <c r="A6215" s="2" t="s">
        <v>6214</v>
      </c>
      <c r="B6215" s="2">
        <v>1103.0</v>
      </c>
      <c r="C6215" s="2">
        <v>12963.0</v>
      </c>
      <c r="D6215" s="2">
        <v>4826.0</v>
      </c>
      <c r="E6215" s="3">
        <f t="shared" si="1"/>
        <v>0.4069139966</v>
      </c>
      <c r="F6215" s="2">
        <v>1390.0</v>
      </c>
      <c r="G6215" s="3">
        <f t="shared" si="2"/>
        <v>0.1172006745</v>
      </c>
      <c r="H6215" s="2">
        <v>2466.0</v>
      </c>
      <c r="I6215" s="3">
        <f t="shared" si="3"/>
        <v>0.207925801</v>
      </c>
      <c r="J6215" s="2">
        <v>1755.0</v>
      </c>
      <c r="K6215" s="3">
        <f t="shared" si="4"/>
        <v>0.1479763912</v>
      </c>
      <c r="L6215" s="2">
        <v>1426.0</v>
      </c>
      <c r="M6215" s="3">
        <f t="shared" si="5"/>
        <v>0.5782643958</v>
      </c>
      <c r="N6215" s="2">
        <v>1.36578E7</v>
      </c>
      <c r="O6215" s="4">
        <f t="shared" si="6"/>
        <v>5538.442822</v>
      </c>
      <c r="P6215" s="2">
        <v>3.0</v>
      </c>
      <c r="Q6215" s="3">
        <f t="shared" si="7"/>
        <v>0.002719854941</v>
      </c>
      <c r="R6215" s="2">
        <v>1101.0</v>
      </c>
      <c r="S6215" s="5">
        <f t="shared" si="8"/>
        <v>0.9981867634</v>
      </c>
    </row>
    <row r="6216">
      <c r="A6216" s="2" t="s">
        <v>6215</v>
      </c>
      <c r="B6216" s="2">
        <v>128.0</v>
      </c>
      <c r="C6216" s="2">
        <v>1570.0</v>
      </c>
      <c r="D6216" s="2">
        <v>598.0</v>
      </c>
      <c r="E6216" s="3">
        <f t="shared" si="1"/>
        <v>0.4147018031</v>
      </c>
      <c r="F6216" s="2">
        <v>169.0</v>
      </c>
      <c r="G6216" s="3">
        <f t="shared" si="2"/>
        <v>0.1171983356</v>
      </c>
      <c r="H6216" s="2">
        <v>282.0</v>
      </c>
      <c r="I6216" s="3">
        <f t="shared" si="3"/>
        <v>0.1955617198</v>
      </c>
      <c r="J6216" s="2">
        <v>224.0</v>
      </c>
      <c r="K6216" s="3">
        <f t="shared" si="4"/>
        <v>0.1553398058</v>
      </c>
      <c r="L6216" s="2">
        <v>165.0</v>
      </c>
      <c r="M6216" s="3">
        <f t="shared" si="5"/>
        <v>0.585106383</v>
      </c>
      <c r="N6216" s="2">
        <v>1560300.0</v>
      </c>
      <c r="O6216" s="4">
        <f t="shared" si="6"/>
        <v>5532.978723</v>
      </c>
      <c r="P6216" s="2">
        <v>0.0</v>
      </c>
      <c r="Q6216" s="3">
        <f t="shared" si="7"/>
        <v>0</v>
      </c>
      <c r="R6216" s="2">
        <v>128.0</v>
      </c>
      <c r="S6216" s="5">
        <f t="shared" si="8"/>
        <v>1</v>
      </c>
    </row>
    <row r="6217">
      <c r="A6217" s="2" t="s">
        <v>6216</v>
      </c>
      <c r="B6217" s="2">
        <v>76.0</v>
      </c>
      <c r="C6217" s="2">
        <v>861.0</v>
      </c>
      <c r="D6217" s="2">
        <v>264.0</v>
      </c>
      <c r="E6217" s="3">
        <f t="shared" si="1"/>
        <v>0.3363057325</v>
      </c>
      <c r="F6217" s="2">
        <v>92.0</v>
      </c>
      <c r="G6217" s="3">
        <f t="shared" si="2"/>
        <v>0.1171974522</v>
      </c>
      <c r="H6217" s="2">
        <v>155.0</v>
      </c>
      <c r="I6217" s="3">
        <f t="shared" si="3"/>
        <v>0.1974522293</v>
      </c>
      <c r="J6217" s="2">
        <v>149.0</v>
      </c>
      <c r="K6217" s="3">
        <f t="shared" si="4"/>
        <v>0.1898089172</v>
      </c>
      <c r="L6217" s="2">
        <v>105.0</v>
      </c>
      <c r="M6217" s="3">
        <f t="shared" si="5"/>
        <v>0.6774193548</v>
      </c>
      <c r="N6217" s="2">
        <v>892600.0</v>
      </c>
      <c r="O6217" s="4">
        <f t="shared" si="6"/>
        <v>5758.709677</v>
      </c>
      <c r="P6217" s="2">
        <v>0.0</v>
      </c>
      <c r="Q6217" s="3">
        <f t="shared" si="7"/>
        <v>0</v>
      </c>
      <c r="R6217" s="2">
        <v>76.0</v>
      </c>
      <c r="S6217" s="5">
        <f t="shared" si="8"/>
        <v>1</v>
      </c>
    </row>
    <row r="6218">
      <c r="A6218" s="2" t="s">
        <v>6217</v>
      </c>
      <c r="B6218" s="2">
        <v>583.0</v>
      </c>
      <c r="C6218" s="2">
        <v>6872.0</v>
      </c>
      <c r="D6218" s="2">
        <v>2139.0</v>
      </c>
      <c r="E6218" s="3">
        <f t="shared" si="1"/>
        <v>0.3401176658</v>
      </c>
      <c r="F6218" s="2">
        <v>737.0</v>
      </c>
      <c r="G6218" s="3">
        <f t="shared" si="2"/>
        <v>0.1171887422</v>
      </c>
      <c r="H6218" s="2">
        <v>1390.0</v>
      </c>
      <c r="I6218" s="3">
        <f t="shared" si="3"/>
        <v>0.22102083</v>
      </c>
      <c r="J6218" s="2">
        <v>1036.0</v>
      </c>
      <c r="K6218" s="3">
        <f t="shared" si="4"/>
        <v>0.1647320719</v>
      </c>
      <c r="L6218" s="2">
        <v>821.0</v>
      </c>
      <c r="M6218" s="3">
        <f t="shared" si="5"/>
        <v>0.590647482</v>
      </c>
      <c r="N6218" s="2">
        <v>7484000.0</v>
      </c>
      <c r="O6218" s="4">
        <f t="shared" si="6"/>
        <v>5384.172662</v>
      </c>
      <c r="P6218" s="2">
        <v>2.0</v>
      </c>
      <c r="Q6218" s="3">
        <f t="shared" si="7"/>
        <v>0.003430531732</v>
      </c>
      <c r="R6218" s="2">
        <v>583.0</v>
      </c>
      <c r="S6218" s="5">
        <f t="shared" si="8"/>
        <v>1</v>
      </c>
    </row>
    <row r="6219">
      <c r="A6219" s="2" t="s">
        <v>6218</v>
      </c>
      <c r="B6219" s="2">
        <v>3219.0</v>
      </c>
      <c r="C6219" s="2">
        <v>38354.0</v>
      </c>
      <c r="D6219" s="2">
        <v>11949.0</v>
      </c>
      <c r="E6219" s="3">
        <f t="shared" si="1"/>
        <v>0.3400882311</v>
      </c>
      <c r="F6219" s="2">
        <v>4117.0</v>
      </c>
      <c r="G6219" s="3">
        <f t="shared" si="2"/>
        <v>0.1171766045</v>
      </c>
      <c r="H6219" s="2">
        <v>7541.0</v>
      </c>
      <c r="I6219" s="3">
        <f t="shared" si="3"/>
        <v>0.214629287</v>
      </c>
      <c r="J6219" s="2">
        <v>5150.0</v>
      </c>
      <c r="K6219" s="3">
        <f t="shared" si="4"/>
        <v>0.1465774868</v>
      </c>
      <c r="L6219" s="2">
        <v>4589.0</v>
      </c>
      <c r="M6219" s="3">
        <f t="shared" si="5"/>
        <v>0.6085399814</v>
      </c>
      <c r="N6219" s="2">
        <v>4.11418E7</v>
      </c>
      <c r="O6219" s="4">
        <f t="shared" si="6"/>
        <v>5455.748574</v>
      </c>
      <c r="P6219" s="2">
        <v>13.0</v>
      </c>
      <c r="Q6219" s="3">
        <f t="shared" si="7"/>
        <v>0.00403852128</v>
      </c>
      <c r="R6219" s="2">
        <v>3219.0</v>
      </c>
      <c r="S6219" s="5">
        <f t="shared" si="8"/>
        <v>1</v>
      </c>
    </row>
    <row r="6220">
      <c r="A6220" s="2" t="s">
        <v>6219</v>
      </c>
      <c r="B6220" s="2">
        <v>454.0</v>
      </c>
      <c r="C6220" s="2">
        <v>5455.0</v>
      </c>
      <c r="D6220" s="2">
        <v>2010.0</v>
      </c>
      <c r="E6220" s="3">
        <f t="shared" si="1"/>
        <v>0.4019196161</v>
      </c>
      <c r="F6220" s="2">
        <v>586.0</v>
      </c>
      <c r="G6220" s="3">
        <f t="shared" si="2"/>
        <v>0.1171765647</v>
      </c>
      <c r="H6220" s="2">
        <v>1100.0</v>
      </c>
      <c r="I6220" s="3">
        <f t="shared" si="3"/>
        <v>0.2199560088</v>
      </c>
      <c r="J6220" s="2">
        <v>731.0</v>
      </c>
      <c r="K6220" s="3">
        <f t="shared" si="4"/>
        <v>0.1461707658</v>
      </c>
      <c r="L6220" s="2">
        <v>670.0</v>
      </c>
      <c r="M6220" s="3">
        <f t="shared" si="5"/>
        <v>0.6090909091</v>
      </c>
      <c r="N6220" s="2">
        <v>5653200.0</v>
      </c>
      <c r="O6220" s="4">
        <f t="shared" si="6"/>
        <v>5139.272727</v>
      </c>
      <c r="P6220" s="2">
        <v>1.0</v>
      </c>
      <c r="Q6220" s="3">
        <f t="shared" si="7"/>
        <v>0.002202643172</v>
      </c>
      <c r="R6220" s="2">
        <v>110.0</v>
      </c>
      <c r="S6220" s="5">
        <f t="shared" si="8"/>
        <v>0.2422907489</v>
      </c>
    </row>
    <row r="6221">
      <c r="A6221" s="2" t="s">
        <v>6220</v>
      </c>
      <c r="B6221" s="2">
        <v>555.0</v>
      </c>
      <c r="C6221" s="2">
        <v>6512.0</v>
      </c>
      <c r="D6221" s="2">
        <v>1816.0</v>
      </c>
      <c r="E6221" s="3">
        <f t="shared" si="1"/>
        <v>0.3048514353</v>
      </c>
      <c r="F6221" s="2">
        <v>698.0</v>
      </c>
      <c r="G6221" s="3">
        <f t="shared" si="2"/>
        <v>0.1171730737</v>
      </c>
      <c r="H6221" s="2">
        <v>1205.0</v>
      </c>
      <c r="I6221" s="3">
        <f t="shared" si="3"/>
        <v>0.2022830284</v>
      </c>
      <c r="J6221" s="2">
        <v>1170.0</v>
      </c>
      <c r="K6221" s="3">
        <f t="shared" si="4"/>
        <v>0.1964075877</v>
      </c>
      <c r="L6221" s="2">
        <v>695.0</v>
      </c>
      <c r="M6221" s="3">
        <f t="shared" si="5"/>
        <v>0.5767634855</v>
      </c>
      <c r="N6221" s="2">
        <v>6928900.0</v>
      </c>
      <c r="O6221" s="4">
        <f t="shared" si="6"/>
        <v>5750.124481</v>
      </c>
      <c r="P6221" s="2">
        <v>1.0</v>
      </c>
      <c r="Q6221" s="3">
        <f t="shared" si="7"/>
        <v>0.001801801802</v>
      </c>
      <c r="R6221" s="2">
        <v>555.0</v>
      </c>
      <c r="S6221" s="5">
        <f t="shared" si="8"/>
        <v>1</v>
      </c>
    </row>
    <row r="6222">
      <c r="A6222" s="2" t="s">
        <v>6221</v>
      </c>
      <c r="B6222" s="2">
        <v>328.0</v>
      </c>
      <c r="C6222" s="2">
        <v>3793.0</v>
      </c>
      <c r="D6222" s="2">
        <v>1403.0</v>
      </c>
      <c r="E6222" s="3">
        <f t="shared" si="1"/>
        <v>0.4049062049</v>
      </c>
      <c r="F6222" s="2">
        <v>406.0</v>
      </c>
      <c r="G6222" s="3">
        <f t="shared" si="2"/>
        <v>0.1171717172</v>
      </c>
      <c r="H6222" s="2">
        <v>764.0</v>
      </c>
      <c r="I6222" s="3">
        <f t="shared" si="3"/>
        <v>0.2204906205</v>
      </c>
      <c r="J6222" s="2">
        <v>633.0</v>
      </c>
      <c r="K6222" s="3">
        <f t="shared" si="4"/>
        <v>0.1826839827</v>
      </c>
      <c r="L6222" s="2">
        <v>458.0</v>
      </c>
      <c r="M6222" s="3">
        <f t="shared" si="5"/>
        <v>0.5994764398</v>
      </c>
      <c r="N6222" s="2">
        <v>4115900.0</v>
      </c>
      <c r="O6222" s="4">
        <f t="shared" si="6"/>
        <v>5387.303665</v>
      </c>
      <c r="P6222" s="2">
        <v>0.0</v>
      </c>
      <c r="Q6222" s="3">
        <f t="shared" si="7"/>
        <v>0</v>
      </c>
      <c r="R6222" s="2">
        <v>328.0</v>
      </c>
      <c r="S6222" s="5">
        <f t="shared" si="8"/>
        <v>1</v>
      </c>
    </row>
    <row r="6223">
      <c r="A6223" s="2" t="s">
        <v>6222</v>
      </c>
      <c r="B6223" s="2">
        <v>1069.0</v>
      </c>
      <c r="C6223" s="2">
        <v>12532.0</v>
      </c>
      <c r="D6223" s="2">
        <v>4032.0</v>
      </c>
      <c r="E6223" s="3">
        <f t="shared" si="1"/>
        <v>0.3517403821</v>
      </c>
      <c r="F6223" s="2">
        <v>1343.0</v>
      </c>
      <c r="G6223" s="3">
        <f t="shared" si="2"/>
        <v>0.1171595568</v>
      </c>
      <c r="H6223" s="2">
        <v>2333.0</v>
      </c>
      <c r="I6223" s="3">
        <f t="shared" si="3"/>
        <v>0.2035243828</v>
      </c>
      <c r="J6223" s="2">
        <v>1999.0</v>
      </c>
      <c r="K6223" s="3">
        <f t="shared" si="4"/>
        <v>0.1743871587</v>
      </c>
      <c r="L6223" s="2">
        <v>1399.0</v>
      </c>
      <c r="M6223" s="3">
        <f t="shared" si="5"/>
        <v>0.5996570939</v>
      </c>
      <c r="N6223" s="2">
        <v>1.29894E7</v>
      </c>
      <c r="O6223" s="4">
        <f t="shared" si="6"/>
        <v>5567.681097</v>
      </c>
      <c r="P6223" s="2">
        <v>4.0</v>
      </c>
      <c r="Q6223" s="3">
        <f t="shared" si="7"/>
        <v>0.00374181478</v>
      </c>
      <c r="R6223" s="2">
        <v>1069.0</v>
      </c>
      <c r="S6223" s="5">
        <f t="shared" si="8"/>
        <v>1</v>
      </c>
    </row>
    <row r="6224">
      <c r="A6224" s="2" t="s">
        <v>6223</v>
      </c>
      <c r="B6224" s="2">
        <v>402.0</v>
      </c>
      <c r="C6224" s="2">
        <v>4765.0</v>
      </c>
      <c r="D6224" s="2">
        <v>1628.0</v>
      </c>
      <c r="E6224" s="3">
        <f t="shared" si="1"/>
        <v>0.3731377493</v>
      </c>
      <c r="F6224" s="2">
        <v>511.0</v>
      </c>
      <c r="G6224" s="3">
        <f t="shared" si="2"/>
        <v>0.1171212468</v>
      </c>
      <c r="H6224" s="2">
        <v>869.0</v>
      </c>
      <c r="I6224" s="3">
        <f t="shared" si="3"/>
        <v>0.1991748797</v>
      </c>
      <c r="J6224" s="2">
        <v>681.0</v>
      </c>
      <c r="K6224" s="3">
        <f t="shared" si="4"/>
        <v>0.1560852624</v>
      </c>
      <c r="L6224" s="2">
        <v>516.0</v>
      </c>
      <c r="M6224" s="3">
        <f t="shared" si="5"/>
        <v>0.5937859609</v>
      </c>
      <c r="N6224" s="2">
        <v>4885100.0</v>
      </c>
      <c r="O6224" s="4">
        <f t="shared" si="6"/>
        <v>5621.518987</v>
      </c>
      <c r="P6224" s="2">
        <v>1.0</v>
      </c>
      <c r="Q6224" s="3">
        <f t="shared" si="7"/>
        <v>0.002487562189</v>
      </c>
      <c r="R6224" s="2">
        <v>0.0</v>
      </c>
      <c r="S6224" s="5">
        <f t="shared" si="8"/>
        <v>0</v>
      </c>
    </row>
    <row r="6225">
      <c r="A6225" s="2" t="s">
        <v>6224</v>
      </c>
      <c r="B6225" s="2">
        <v>310.0</v>
      </c>
      <c r="C6225" s="2">
        <v>3751.0</v>
      </c>
      <c r="D6225" s="2">
        <v>1268.0</v>
      </c>
      <c r="E6225" s="3">
        <f t="shared" si="1"/>
        <v>0.3684975298</v>
      </c>
      <c r="F6225" s="2">
        <v>403.0</v>
      </c>
      <c r="G6225" s="3">
        <f t="shared" si="2"/>
        <v>0.1171171171</v>
      </c>
      <c r="H6225" s="2">
        <v>713.0</v>
      </c>
      <c r="I6225" s="3">
        <f t="shared" si="3"/>
        <v>0.2072072072</v>
      </c>
      <c r="J6225" s="2">
        <v>612.0</v>
      </c>
      <c r="K6225" s="3">
        <f t="shared" si="4"/>
        <v>0.1778552746</v>
      </c>
      <c r="L6225" s="2">
        <v>430.0</v>
      </c>
      <c r="M6225" s="3">
        <f t="shared" si="5"/>
        <v>0.603085554</v>
      </c>
      <c r="N6225" s="2">
        <v>3713800.0</v>
      </c>
      <c r="O6225" s="4">
        <f t="shared" si="6"/>
        <v>5208.695652</v>
      </c>
      <c r="P6225" s="2">
        <v>0.0</v>
      </c>
      <c r="Q6225" s="3">
        <f t="shared" si="7"/>
        <v>0</v>
      </c>
      <c r="R6225" s="2">
        <v>310.0</v>
      </c>
      <c r="S6225" s="5">
        <f t="shared" si="8"/>
        <v>1</v>
      </c>
    </row>
    <row r="6226">
      <c r="A6226" s="2" t="s">
        <v>6225</v>
      </c>
      <c r="B6226" s="2">
        <v>11.0</v>
      </c>
      <c r="C6226" s="2">
        <v>122.0</v>
      </c>
      <c r="D6226" s="2">
        <v>30.0</v>
      </c>
      <c r="E6226" s="3">
        <f t="shared" si="1"/>
        <v>0.2702702703</v>
      </c>
      <c r="F6226" s="2">
        <v>13.0</v>
      </c>
      <c r="G6226" s="3">
        <f t="shared" si="2"/>
        <v>0.1171171171</v>
      </c>
      <c r="H6226" s="2">
        <v>21.0</v>
      </c>
      <c r="I6226" s="3">
        <f t="shared" si="3"/>
        <v>0.1891891892</v>
      </c>
      <c r="J6226" s="2">
        <v>17.0</v>
      </c>
      <c r="K6226" s="3">
        <f t="shared" si="4"/>
        <v>0.1531531532</v>
      </c>
      <c r="L6226" s="2">
        <v>14.0</v>
      </c>
      <c r="M6226" s="3">
        <f t="shared" si="5"/>
        <v>0.6666666667</v>
      </c>
      <c r="N6226" s="2">
        <v>97800.0</v>
      </c>
      <c r="O6226" s="4">
        <f t="shared" si="6"/>
        <v>4657.142857</v>
      </c>
      <c r="P6226" s="2">
        <v>0.0</v>
      </c>
      <c r="Q6226" s="3">
        <f t="shared" si="7"/>
        <v>0</v>
      </c>
      <c r="R6226" s="2">
        <v>11.0</v>
      </c>
      <c r="S6226" s="5">
        <f t="shared" si="8"/>
        <v>1</v>
      </c>
    </row>
    <row r="6227">
      <c r="A6227" s="2" t="s">
        <v>6226</v>
      </c>
      <c r="B6227" s="2">
        <v>4465.0</v>
      </c>
      <c r="C6227" s="2">
        <v>52470.0</v>
      </c>
      <c r="D6227" s="2">
        <v>17806.0</v>
      </c>
      <c r="E6227" s="3">
        <f t="shared" si="1"/>
        <v>0.3709196959</v>
      </c>
      <c r="F6227" s="2">
        <v>5622.0</v>
      </c>
      <c r="G6227" s="3">
        <f t="shared" si="2"/>
        <v>0.1171128007</v>
      </c>
      <c r="H6227" s="2">
        <v>10734.0</v>
      </c>
      <c r="I6227" s="3">
        <f t="shared" si="3"/>
        <v>0.2236017082</v>
      </c>
      <c r="J6227" s="2">
        <v>8789.0</v>
      </c>
      <c r="K6227" s="3">
        <f t="shared" si="4"/>
        <v>0.1830850953</v>
      </c>
      <c r="L6227" s="2">
        <v>6358.0</v>
      </c>
      <c r="M6227" s="3">
        <f t="shared" si="5"/>
        <v>0.5923234582</v>
      </c>
      <c r="N6227" s="2">
        <v>5.97076E7</v>
      </c>
      <c r="O6227" s="4">
        <f t="shared" si="6"/>
        <v>5562.47438</v>
      </c>
      <c r="P6227" s="2">
        <v>16.0</v>
      </c>
      <c r="Q6227" s="3">
        <f t="shared" si="7"/>
        <v>0.003583426652</v>
      </c>
      <c r="R6227" s="2">
        <v>3382.0</v>
      </c>
      <c r="S6227" s="5">
        <f t="shared" si="8"/>
        <v>0.7574468085</v>
      </c>
    </row>
    <row r="6228">
      <c r="A6228" s="2" t="s">
        <v>6227</v>
      </c>
      <c r="B6228" s="2">
        <v>1028.0</v>
      </c>
      <c r="C6228" s="2">
        <v>12137.0</v>
      </c>
      <c r="D6228" s="2">
        <v>3786.0</v>
      </c>
      <c r="E6228" s="3">
        <f t="shared" si="1"/>
        <v>0.3408047529</v>
      </c>
      <c r="F6228" s="2">
        <v>1301.0</v>
      </c>
      <c r="G6228" s="3">
        <f t="shared" si="2"/>
        <v>0.1171122513</v>
      </c>
      <c r="H6228" s="2">
        <v>2140.0</v>
      </c>
      <c r="I6228" s="3">
        <f t="shared" si="3"/>
        <v>0.192636601</v>
      </c>
      <c r="J6228" s="2">
        <v>1829.0</v>
      </c>
      <c r="K6228" s="3">
        <f t="shared" si="4"/>
        <v>0.1646412818</v>
      </c>
      <c r="L6228" s="2">
        <v>1249.0</v>
      </c>
      <c r="M6228" s="3">
        <f t="shared" si="5"/>
        <v>0.5836448598</v>
      </c>
      <c r="N6228" s="2">
        <v>1.19674E7</v>
      </c>
      <c r="O6228" s="4">
        <f t="shared" si="6"/>
        <v>5592.242991</v>
      </c>
      <c r="P6228" s="2">
        <v>3.0</v>
      </c>
      <c r="Q6228" s="3">
        <f t="shared" si="7"/>
        <v>0.002918287938</v>
      </c>
      <c r="R6228" s="2">
        <v>1028.0</v>
      </c>
      <c r="S6228" s="5">
        <f t="shared" si="8"/>
        <v>1</v>
      </c>
    </row>
    <row r="6229">
      <c r="A6229" s="2" t="s">
        <v>6228</v>
      </c>
      <c r="B6229" s="2">
        <v>880.0</v>
      </c>
      <c r="C6229" s="2">
        <v>10307.0</v>
      </c>
      <c r="D6229" s="2">
        <v>3279.0</v>
      </c>
      <c r="E6229" s="3">
        <f t="shared" si="1"/>
        <v>0.3478306991</v>
      </c>
      <c r="F6229" s="2">
        <v>1104.0</v>
      </c>
      <c r="G6229" s="3">
        <f t="shared" si="2"/>
        <v>0.1171104275</v>
      </c>
      <c r="H6229" s="2">
        <v>1993.0</v>
      </c>
      <c r="I6229" s="3">
        <f t="shared" si="3"/>
        <v>0.2114140235</v>
      </c>
      <c r="J6229" s="2">
        <v>1601.0</v>
      </c>
      <c r="K6229" s="3">
        <f t="shared" si="4"/>
        <v>0.1698313355</v>
      </c>
      <c r="L6229" s="2">
        <v>1177.0</v>
      </c>
      <c r="M6229" s="3">
        <f t="shared" si="5"/>
        <v>0.5905669844</v>
      </c>
      <c r="N6229" s="2">
        <v>1.10412E7</v>
      </c>
      <c r="O6229" s="4">
        <f t="shared" si="6"/>
        <v>5539.989965</v>
      </c>
      <c r="P6229" s="2">
        <v>1.0</v>
      </c>
      <c r="Q6229" s="3">
        <f t="shared" si="7"/>
        <v>0.001136363636</v>
      </c>
      <c r="R6229" s="2">
        <v>880.0</v>
      </c>
      <c r="S6229" s="5">
        <f t="shared" si="8"/>
        <v>1</v>
      </c>
    </row>
    <row r="6230">
      <c r="A6230" s="2" t="s">
        <v>6229</v>
      </c>
      <c r="B6230" s="2">
        <v>584.0</v>
      </c>
      <c r="C6230" s="2">
        <v>6946.0</v>
      </c>
      <c r="D6230" s="2">
        <v>2214.0</v>
      </c>
      <c r="E6230" s="3">
        <f t="shared" si="1"/>
        <v>0.3480037724</v>
      </c>
      <c r="F6230" s="2">
        <v>745.0</v>
      </c>
      <c r="G6230" s="3">
        <f t="shared" si="2"/>
        <v>0.1171015404</v>
      </c>
      <c r="H6230" s="2">
        <v>1288.0</v>
      </c>
      <c r="I6230" s="3">
        <f t="shared" si="3"/>
        <v>0.2024520591</v>
      </c>
      <c r="J6230" s="2">
        <v>1087.0</v>
      </c>
      <c r="K6230" s="3">
        <f t="shared" si="4"/>
        <v>0.1708582207</v>
      </c>
      <c r="L6230" s="2">
        <v>764.0</v>
      </c>
      <c r="M6230" s="3">
        <f t="shared" si="5"/>
        <v>0.5931677019</v>
      </c>
      <c r="N6230" s="2">
        <v>7053900.0</v>
      </c>
      <c r="O6230" s="4">
        <f t="shared" si="6"/>
        <v>5476.630435</v>
      </c>
      <c r="P6230" s="2">
        <v>3.0</v>
      </c>
      <c r="Q6230" s="3">
        <f t="shared" si="7"/>
        <v>0.005136986301</v>
      </c>
      <c r="R6230" s="2">
        <v>0.0</v>
      </c>
      <c r="S6230" s="5">
        <f t="shared" si="8"/>
        <v>0</v>
      </c>
    </row>
    <row r="6231">
      <c r="A6231" s="2" t="s">
        <v>6230</v>
      </c>
      <c r="B6231" s="2">
        <v>6446.0</v>
      </c>
      <c r="C6231" s="2">
        <v>76336.0</v>
      </c>
      <c r="D6231" s="2">
        <v>27399.0</v>
      </c>
      <c r="E6231" s="3">
        <f t="shared" si="1"/>
        <v>0.3920303334</v>
      </c>
      <c r="F6231" s="2">
        <v>8184.0</v>
      </c>
      <c r="G6231" s="3">
        <f t="shared" si="2"/>
        <v>0.1170982973</v>
      </c>
      <c r="H6231" s="2">
        <v>15209.0</v>
      </c>
      <c r="I6231" s="3">
        <f t="shared" si="3"/>
        <v>0.2176133925</v>
      </c>
      <c r="J6231" s="2">
        <v>10068.0</v>
      </c>
      <c r="K6231" s="3">
        <f t="shared" si="4"/>
        <v>0.1440549435</v>
      </c>
      <c r="L6231" s="2">
        <v>9192.0</v>
      </c>
      <c r="M6231" s="3">
        <f t="shared" si="5"/>
        <v>0.6043789861</v>
      </c>
      <c r="N6231" s="2">
        <v>8.00135E7</v>
      </c>
      <c r="O6231" s="4">
        <f t="shared" si="6"/>
        <v>5260.931028</v>
      </c>
      <c r="P6231" s="2">
        <v>13.0</v>
      </c>
      <c r="Q6231" s="3">
        <f t="shared" si="7"/>
        <v>0.002016754576</v>
      </c>
      <c r="R6231" s="2">
        <v>6440.0</v>
      </c>
      <c r="S6231" s="5">
        <f t="shared" si="8"/>
        <v>0.9990691902</v>
      </c>
    </row>
    <row r="6232">
      <c r="A6232" s="2" t="s">
        <v>6231</v>
      </c>
      <c r="B6232" s="2">
        <v>371.0</v>
      </c>
      <c r="C6232" s="2">
        <v>4385.0</v>
      </c>
      <c r="D6232" s="2">
        <v>1361.0</v>
      </c>
      <c r="E6232" s="3">
        <f t="shared" si="1"/>
        <v>0.3390632785</v>
      </c>
      <c r="F6232" s="2">
        <v>470.0</v>
      </c>
      <c r="G6232" s="3">
        <f t="shared" si="2"/>
        <v>0.1170901844</v>
      </c>
      <c r="H6232" s="2">
        <v>757.0</v>
      </c>
      <c r="I6232" s="3">
        <f t="shared" si="3"/>
        <v>0.1885899352</v>
      </c>
      <c r="J6232" s="2">
        <v>669.0</v>
      </c>
      <c r="K6232" s="3">
        <f t="shared" si="4"/>
        <v>0.1666666667</v>
      </c>
      <c r="L6232" s="2">
        <v>454.0</v>
      </c>
      <c r="M6232" s="3">
        <f t="shared" si="5"/>
        <v>0.5997357992</v>
      </c>
      <c r="N6232" s="2">
        <v>4289400.0</v>
      </c>
      <c r="O6232" s="4">
        <f t="shared" si="6"/>
        <v>5666.314399</v>
      </c>
      <c r="P6232" s="2">
        <v>1.0</v>
      </c>
      <c r="Q6232" s="3">
        <f t="shared" si="7"/>
        <v>0.00269541779</v>
      </c>
      <c r="R6232" s="2">
        <v>363.0</v>
      </c>
      <c r="S6232" s="5">
        <f t="shared" si="8"/>
        <v>0.9784366577</v>
      </c>
    </row>
    <row r="6233">
      <c r="A6233" s="2" t="s">
        <v>6232</v>
      </c>
      <c r="B6233" s="2">
        <v>31.0</v>
      </c>
      <c r="C6233" s="2">
        <v>347.0</v>
      </c>
      <c r="D6233" s="2">
        <v>58.0</v>
      </c>
      <c r="E6233" s="3">
        <f t="shared" si="1"/>
        <v>0.1835443038</v>
      </c>
      <c r="F6233" s="2">
        <v>37.0</v>
      </c>
      <c r="G6233" s="3">
        <f t="shared" si="2"/>
        <v>0.1170886076</v>
      </c>
      <c r="H6233" s="2">
        <v>63.0</v>
      </c>
      <c r="I6233" s="3">
        <f t="shared" si="3"/>
        <v>0.1993670886</v>
      </c>
      <c r="J6233" s="2">
        <v>86.0</v>
      </c>
      <c r="K6233" s="3">
        <f t="shared" si="4"/>
        <v>0.2721518987</v>
      </c>
      <c r="L6233" s="2">
        <v>35.0</v>
      </c>
      <c r="M6233" s="3">
        <f t="shared" si="5"/>
        <v>0.5555555556</v>
      </c>
      <c r="N6233" s="2">
        <v>394300.0</v>
      </c>
      <c r="O6233" s="4">
        <f t="shared" si="6"/>
        <v>6258.730159</v>
      </c>
      <c r="P6233" s="2">
        <v>0.0</v>
      </c>
      <c r="Q6233" s="3">
        <f t="shared" si="7"/>
        <v>0</v>
      </c>
      <c r="R6233" s="2">
        <v>31.0</v>
      </c>
      <c r="S6233" s="5">
        <f t="shared" si="8"/>
        <v>1</v>
      </c>
    </row>
    <row r="6234">
      <c r="A6234" s="2" t="s">
        <v>6233</v>
      </c>
      <c r="B6234" s="2">
        <v>31.0</v>
      </c>
      <c r="C6234" s="2">
        <v>347.0</v>
      </c>
      <c r="D6234" s="2">
        <v>117.0</v>
      </c>
      <c r="E6234" s="3">
        <f t="shared" si="1"/>
        <v>0.3702531646</v>
      </c>
      <c r="F6234" s="2">
        <v>37.0</v>
      </c>
      <c r="G6234" s="3">
        <f t="shared" si="2"/>
        <v>0.1170886076</v>
      </c>
      <c r="H6234" s="2">
        <v>78.0</v>
      </c>
      <c r="I6234" s="3">
        <f t="shared" si="3"/>
        <v>0.246835443</v>
      </c>
      <c r="J6234" s="2">
        <v>68.0</v>
      </c>
      <c r="K6234" s="3">
        <f t="shared" si="4"/>
        <v>0.2151898734</v>
      </c>
      <c r="L6234" s="2">
        <v>46.0</v>
      </c>
      <c r="M6234" s="3">
        <f t="shared" si="5"/>
        <v>0.5897435897</v>
      </c>
      <c r="N6234" s="2">
        <v>442000.0</v>
      </c>
      <c r="O6234" s="4">
        <f t="shared" si="6"/>
        <v>5666.666667</v>
      </c>
      <c r="P6234" s="2">
        <v>0.0</v>
      </c>
      <c r="Q6234" s="3">
        <f t="shared" si="7"/>
        <v>0</v>
      </c>
      <c r="R6234" s="2">
        <v>31.0</v>
      </c>
      <c r="S6234" s="5">
        <f t="shared" si="8"/>
        <v>1</v>
      </c>
    </row>
    <row r="6235">
      <c r="A6235" s="2" t="s">
        <v>6234</v>
      </c>
      <c r="B6235" s="2">
        <v>29.0</v>
      </c>
      <c r="C6235" s="2">
        <v>345.0</v>
      </c>
      <c r="D6235" s="2">
        <v>90.0</v>
      </c>
      <c r="E6235" s="3">
        <f t="shared" si="1"/>
        <v>0.2848101266</v>
      </c>
      <c r="F6235" s="2">
        <v>37.0</v>
      </c>
      <c r="G6235" s="3">
        <f t="shared" si="2"/>
        <v>0.1170886076</v>
      </c>
      <c r="H6235" s="2">
        <v>71.0</v>
      </c>
      <c r="I6235" s="3">
        <f t="shared" si="3"/>
        <v>0.2246835443</v>
      </c>
      <c r="J6235" s="2">
        <v>64.0</v>
      </c>
      <c r="K6235" s="3">
        <f t="shared" si="4"/>
        <v>0.2025316456</v>
      </c>
      <c r="L6235" s="2">
        <v>43.0</v>
      </c>
      <c r="M6235" s="3">
        <f t="shared" si="5"/>
        <v>0.6056338028</v>
      </c>
      <c r="N6235" s="2">
        <v>439700.0</v>
      </c>
      <c r="O6235" s="4">
        <f t="shared" si="6"/>
        <v>6192.957746</v>
      </c>
      <c r="P6235" s="2">
        <v>0.0</v>
      </c>
      <c r="Q6235" s="3">
        <f t="shared" si="7"/>
        <v>0</v>
      </c>
      <c r="R6235" s="2">
        <v>29.0</v>
      </c>
      <c r="S6235" s="5">
        <f t="shared" si="8"/>
        <v>1</v>
      </c>
    </row>
    <row r="6236">
      <c r="A6236" s="2" t="s">
        <v>6235</v>
      </c>
      <c r="B6236" s="2">
        <v>2705.0</v>
      </c>
      <c r="C6236" s="2">
        <v>32128.0</v>
      </c>
      <c r="D6236" s="2">
        <v>12007.0</v>
      </c>
      <c r="E6236" s="3">
        <f t="shared" si="1"/>
        <v>0.4080821126</v>
      </c>
      <c r="F6236" s="2">
        <v>3445.0</v>
      </c>
      <c r="G6236" s="3">
        <f t="shared" si="2"/>
        <v>0.1170852734</v>
      </c>
      <c r="H6236" s="2">
        <v>6310.0</v>
      </c>
      <c r="I6236" s="3">
        <f t="shared" si="3"/>
        <v>0.214458077</v>
      </c>
      <c r="J6236" s="2">
        <v>4804.0</v>
      </c>
      <c r="K6236" s="3">
        <f t="shared" si="4"/>
        <v>0.1632736295</v>
      </c>
      <c r="L6236" s="2">
        <v>3751.0</v>
      </c>
      <c r="M6236" s="3">
        <f t="shared" si="5"/>
        <v>0.5944532488</v>
      </c>
      <c r="N6236" s="2">
        <v>3.31027E7</v>
      </c>
      <c r="O6236" s="4">
        <f t="shared" si="6"/>
        <v>5246.069731</v>
      </c>
      <c r="P6236" s="2">
        <v>2.0</v>
      </c>
      <c r="Q6236" s="3">
        <f t="shared" si="7"/>
        <v>0.0007393715342</v>
      </c>
      <c r="R6236" s="2">
        <v>2588.0</v>
      </c>
      <c r="S6236" s="5">
        <f t="shared" si="8"/>
        <v>0.9567467652</v>
      </c>
    </row>
    <row r="6237">
      <c r="A6237" s="2" t="s">
        <v>6236</v>
      </c>
      <c r="B6237" s="2">
        <v>1481.0</v>
      </c>
      <c r="C6237" s="2">
        <v>17811.0</v>
      </c>
      <c r="D6237" s="2">
        <v>5689.0</v>
      </c>
      <c r="E6237" s="3">
        <f t="shared" si="1"/>
        <v>0.3483772198</v>
      </c>
      <c r="F6237" s="2">
        <v>1912.0</v>
      </c>
      <c r="G6237" s="3">
        <f t="shared" si="2"/>
        <v>0.1170851194</v>
      </c>
      <c r="H6237" s="2">
        <v>3392.0</v>
      </c>
      <c r="I6237" s="3">
        <f t="shared" si="3"/>
        <v>0.2077158604</v>
      </c>
      <c r="J6237" s="2">
        <v>2669.0</v>
      </c>
      <c r="K6237" s="3">
        <f t="shared" si="4"/>
        <v>0.1634415187</v>
      </c>
      <c r="L6237" s="2">
        <v>2040.0</v>
      </c>
      <c r="M6237" s="3">
        <f t="shared" si="5"/>
        <v>0.6014150943</v>
      </c>
      <c r="N6237" s="2">
        <v>1.8706E7</v>
      </c>
      <c r="O6237" s="4">
        <f t="shared" si="6"/>
        <v>5514.740566</v>
      </c>
      <c r="P6237" s="2">
        <v>3.0</v>
      </c>
      <c r="Q6237" s="3">
        <f t="shared" si="7"/>
        <v>0.002025658339</v>
      </c>
      <c r="R6237" s="2">
        <v>1481.0</v>
      </c>
      <c r="S6237" s="5">
        <f t="shared" si="8"/>
        <v>1</v>
      </c>
    </row>
    <row r="6238">
      <c r="A6238" s="2" t="s">
        <v>6237</v>
      </c>
      <c r="B6238" s="2">
        <v>80.0</v>
      </c>
      <c r="C6238" s="2">
        <v>900.0</v>
      </c>
      <c r="D6238" s="2">
        <v>317.0</v>
      </c>
      <c r="E6238" s="3">
        <f t="shared" si="1"/>
        <v>0.3865853659</v>
      </c>
      <c r="F6238" s="2">
        <v>96.0</v>
      </c>
      <c r="G6238" s="3">
        <f t="shared" si="2"/>
        <v>0.1170731707</v>
      </c>
      <c r="H6238" s="2">
        <v>163.0</v>
      </c>
      <c r="I6238" s="3">
        <f t="shared" si="3"/>
        <v>0.1987804878</v>
      </c>
      <c r="J6238" s="2">
        <v>139.0</v>
      </c>
      <c r="K6238" s="3">
        <f t="shared" si="4"/>
        <v>0.1695121951</v>
      </c>
      <c r="L6238" s="2">
        <v>105.0</v>
      </c>
      <c r="M6238" s="3">
        <f t="shared" si="5"/>
        <v>0.6441717791</v>
      </c>
      <c r="N6238" s="2">
        <v>954800.0</v>
      </c>
      <c r="O6238" s="4">
        <f t="shared" si="6"/>
        <v>5857.668712</v>
      </c>
      <c r="P6238" s="2">
        <v>0.0</v>
      </c>
      <c r="Q6238" s="3">
        <f t="shared" si="7"/>
        <v>0</v>
      </c>
      <c r="R6238" s="2">
        <v>44.0</v>
      </c>
      <c r="S6238" s="5">
        <f t="shared" si="8"/>
        <v>0.55</v>
      </c>
    </row>
    <row r="6239">
      <c r="A6239" s="2" t="s">
        <v>6238</v>
      </c>
      <c r="B6239" s="2">
        <v>345.0</v>
      </c>
      <c r="C6239" s="2">
        <v>4035.0</v>
      </c>
      <c r="D6239" s="2">
        <v>1314.0</v>
      </c>
      <c r="E6239" s="3">
        <f t="shared" si="1"/>
        <v>0.356097561</v>
      </c>
      <c r="F6239" s="2">
        <v>432.0</v>
      </c>
      <c r="G6239" s="3">
        <f t="shared" si="2"/>
        <v>0.1170731707</v>
      </c>
      <c r="H6239" s="2">
        <v>810.0</v>
      </c>
      <c r="I6239" s="3">
        <f t="shared" si="3"/>
        <v>0.2195121951</v>
      </c>
      <c r="J6239" s="2">
        <v>620.0</v>
      </c>
      <c r="K6239" s="3">
        <f t="shared" si="4"/>
        <v>0.1680216802</v>
      </c>
      <c r="L6239" s="2">
        <v>502.0</v>
      </c>
      <c r="M6239" s="3">
        <f t="shared" si="5"/>
        <v>0.6197530864</v>
      </c>
      <c r="N6239" s="2">
        <v>4523400.0</v>
      </c>
      <c r="O6239" s="4">
        <f t="shared" si="6"/>
        <v>5584.444444</v>
      </c>
      <c r="P6239" s="2">
        <v>0.0</v>
      </c>
      <c r="Q6239" s="3">
        <f t="shared" si="7"/>
        <v>0</v>
      </c>
      <c r="R6239" s="2">
        <v>345.0</v>
      </c>
      <c r="S6239" s="5">
        <f t="shared" si="8"/>
        <v>1</v>
      </c>
    </row>
    <row r="6240">
      <c r="A6240" s="2" t="s">
        <v>6239</v>
      </c>
      <c r="B6240" s="2">
        <v>236.0</v>
      </c>
      <c r="C6240" s="2">
        <v>2679.0</v>
      </c>
      <c r="D6240" s="2">
        <v>811.0</v>
      </c>
      <c r="E6240" s="3">
        <f t="shared" si="1"/>
        <v>0.3319688907</v>
      </c>
      <c r="F6240" s="2">
        <v>286.0</v>
      </c>
      <c r="G6240" s="3">
        <f t="shared" si="2"/>
        <v>0.1170691772</v>
      </c>
      <c r="H6240" s="2">
        <v>501.0</v>
      </c>
      <c r="I6240" s="3">
        <f t="shared" si="3"/>
        <v>0.2050757266</v>
      </c>
      <c r="J6240" s="2">
        <v>447.0</v>
      </c>
      <c r="K6240" s="3">
        <f t="shared" si="4"/>
        <v>0.182971756</v>
      </c>
      <c r="L6240" s="2">
        <v>309.0</v>
      </c>
      <c r="M6240" s="3">
        <f t="shared" si="5"/>
        <v>0.6167664671</v>
      </c>
      <c r="N6240" s="2">
        <v>2967400.0</v>
      </c>
      <c r="O6240" s="4">
        <f t="shared" si="6"/>
        <v>5922.954092</v>
      </c>
      <c r="P6240" s="2">
        <v>0.0</v>
      </c>
      <c r="Q6240" s="3">
        <f t="shared" si="7"/>
        <v>0</v>
      </c>
      <c r="R6240" s="2">
        <v>236.0</v>
      </c>
      <c r="S6240" s="5">
        <f t="shared" si="8"/>
        <v>1</v>
      </c>
    </row>
    <row r="6241">
      <c r="A6241" s="2" t="s">
        <v>6240</v>
      </c>
      <c r="B6241" s="2">
        <v>495.0</v>
      </c>
      <c r="C6241" s="2">
        <v>5877.0</v>
      </c>
      <c r="D6241" s="2">
        <v>1832.0</v>
      </c>
      <c r="E6241" s="3">
        <f t="shared" si="1"/>
        <v>0.3403939056</v>
      </c>
      <c r="F6241" s="2">
        <v>630.0</v>
      </c>
      <c r="G6241" s="3">
        <f t="shared" si="2"/>
        <v>0.1170568562</v>
      </c>
      <c r="H6241" s="2">
        <v>1104.0</v>
      </c>
      <c r="I6241" s="3">
        <f t="shared" si="3"/>
        <v>0.2051282051</v>
      </c>
      <c r="J6241" s="2">
        <v>972.0</v>
      </c>
      <c r="K6241" s="3">
        <f t="shared" si="4"/>
        <v>0.1806020067</v>
      </c>
      <c r="L6241" s="2">
        <v>633.0</v>
      </c>
      <c r="M6241" s="3">
        <f t="shared" si="5"/>
        <v>0.5733695652</v>
      </c>
      <c r="N6241" s="2">
        <v>6066800.0</v>
      </c>
      <c r="O6241" s="4">
        <f t="shared" si="6"/>
        <v>5495.289855</v>
      </c>
      <c r="P6241" s="2">
        <v>0.0</v>
      </c>
      <c r="Q6241" s="3">
        <f t="shared" si="7"/>
        <v>0</v>
      </c>
      <c r="R6241" s="2">
        <v>0.0</v>
      </c>
      <c r="S6241" s="5">
        <f t="shared" si="8"/>
        <v>0</v>
      </c>
    </row>
    <row r="6242">
      <c r="A6242" s="2" t="s">
        <v>6241</v>
      </c>
      <c r="B6242" s="2">
        <v>1535.0</v>
      </c>
      <c r="C6242" s="2">
        <v>17879.0</v>
      </c>
      <c r="D6242" s="2">
        <v>5040.0</v>
      </c>
      <c r="E6242" s="3">
        <f t="shared" si="1"/>
        <v>0.3083700441</v>
      </c>
      <c r="F6242" s="2">
        <v>1913.0</v>
      </c>
      <c r="G6242" s="3">
        <f t="shared" si="2"/>
        <v>0.1170460108</v>
      </c>
      <c r="H6242" s="2">
        <v>3262.0</v>
      </c>
      <c r="I6242" s="3">
        <f t="shared" si="3"/>
        <v>0.1995839452</v>
      </c>
      <c r="J6242" s="2">
        <v>2882.0</v>
      </c>
      <c r="K6242" s="3">
        <f t="shared" si="4"/>
        <v>0.1763338228</v>
      </c>
      <c r="L6242" s="2">
        <v>1956.0</v>
      </c>
      <c r="M6242" s="3">
        <f t="shared" si="5"/>
        <v>0.5996321275</v>
      </c>
      <c r="N6242" s="2">
        <v>1.91865E7</v>
      </c>
      <c r="O6242" s="4">
        <f t="shared" si="6"/>
        <v>5881.820969</v>
      </c>
      <c r="P6242" s="2">
        <v>3.0</v>
      </c>
      <c r="Q6242" s="3">
        <f t="shared" si="7"/>
        <v>0.001954397394</v>
      </c>
      <c r="R6242" s="2">
        <v>0.0</v>
      </c>
      <c r="S6242" s="5">
        <f t="shared" si="8"/>
        <v>0</v>
      </c>
    </row>
    <row r="6243">
      <c r="A6243" s="2" t="s">
        <v>6242</v>
      </c>
      <c r="B6243" s="2">
        <v>2938.0</v>
      </c>
      <c r="C6243" s="2">
        <v>34697.0</v>
      </c>
      <c r="D6243" s="2">
        <v>10545.0</v>
      </c>
      <c r="E6243" s="3">
        <f t="shared" si="1"/>
        <v>0.332031865</v>
      </c>
      <c r="F6243" s="2">
        <v>3717.0</v>
      </c>
      <c r="G6243" s="3">
        <f t="shared" si="2"/>
        <v>0.1170376901</v>
      </c>
      <c r="H6243" s="2">
        <v>6482.0</v>
      </c>
      <c r="I6243" s="3">
        <f t="shared" si="3"/>
        <v>0.2040996253</v>
      </c>
      <c r="J6243" s="2">
        <v>5136.0</v>
      </c>
      <c r="K6243" s="3">
        <f t="shared" si="4"/>
        <v>0.1617179382</v>
      </c>
      <c r="L6243" s="2">
        <v>3876.0</v>
      </c>
      <c r="M6243" s="3">
        <f t="shared" si="5"/>
        <v>0.5979635915</v>
      </c>
      <c r="N6243" s="2">
        <v>3.69682E7</v>
      </c>
      <c r="O6243" s="4">
        <f t="shared" si="6"/>
        <v>5703.208886</v>
      </c>
      <c r="P6243" s="2">
        <v>6.0</v>
      </c>
      <c r="Q6243" s="3">
        <f t="shared" si="7"/>
        <v>0.002042205582</v>
      </c>
      <c r="R6243" s="2">
        <v>0.0</v>
      </c>
      <c r="S6243" s="5">
        <f t="shared" si="8"/>
        <v>0</v>
      </c>
    </row>
    <row r="6244">
      <c r="A6244" s="2" t="s">
        <v>6243</v>
      </c>
      <c r="B6244" s="2">
        <v>865.0</v>
      </c>
      <c r="C6244" s="2">
        <v>10307.0</v>
      </c>
      <c r="D6244" s="2">
        <v>2118.0</v>
      </c>
      <c r="E6244" s="3">
        <f t="shared" si="1"/>
        <v>0.224316882</v>
      </c>
      <c r="F6244" s="2">
        <v>1105.0</v>
      </c>
      <c r="G6244" s="3">
        <f t="shared" si="2"/>
        <v>0.1170302902</v>
      </c>
      <c r="H6244" s="2">
        <v>1764.0</v>
      </c>
      <c r="I6244" s="3">
        <f t="shared" si="3"/>
        <v>0.1868248252</v>
      </c>
      <c r="J6244" s="2">
        <v>1825.0</v>
      </c>
      <c r="K6244" s="3">
        <f t="shared" si="4"/>
        <v>0.1932853209</v>
      </c>
      <c r="L6244" s="2">
        <v>1054.0</v>
      </c>
      <c r="M6244" s="3">
        <f t="shared" si="5"/>
        <v>0.5975056689</v>
      </c>
      <c r="N6244" s="2">
        <v>1.11021E7</v>
      </c>
      <c r="O6244" s="4">
        <f t="shared" si="6"/>
        <v>6293.707483</v>
      </c>
      <c r="P6244" s="2">
        <v>4.0</v>
      </c>
      <c r="Q6244" s="3">
        <f t="shared" si="7"/>
        <v>0.004624277457</v>
      </c>
      <c r="R6244" s="2">
        <v>865.0</v>
      </c>
      <c r="S6244" s="5">
        <f t="shared" si="8"/>
        <v>1</v>
      </c>
    </row>
    <row r="6245">
      <c r="A6245" s="2" t="s">
        <v>6244</v>
      </c>
      <c r="B6245" s="2">
        <v>2780.0</v>
      </c>
      <c r="C6245" s="2">
        <v>32901.0</v>
      </c>
      <c r="D6245" s="2">
        <v>11037.0</v>
      </c>
      <c r="E6245" s="3">
        <f t="shared" si="1"/>
        <v>0.3664220975</v>
      </c>
      <c r="F6245" s="2">
        <v>3525.0</v>
      </c>
      <c r="G6245" s="3">
        <f t="shared" si="2"/>
        <v>0.1170279871</v>
      </c>
      <c r="H6245" s="2">
        <v>6485.0</v>
      </c>
      <c r="I6245" s="3">
        <f t="shared" si="3"/>
        <v>0.2152982969</v>
      </c>
      <c r="J6245" s="2">
        <v>5082.0</v>
      </c>
      <c r="K6245" s="3">
        <f t="shared" si="4"/>
        <v>0.168719498</v>
      </c>
      <c r="L6245" s="2">
        <v>3775.0</v>
      </c>
      <c r="M6245" s="3">
        <f t="shared" si="5"/>
        <v>0.5821125675</v>
      </c>
      <c r="N6245" s="2">
        <v>3.6174E7</v>
      </c>
      <c r="O6245" s="4">
        <f t="shared" si="6"/>
        <v>5578.103315</v>
      </c>
      <c r="P6245" s="2">
        <v>7.0</v>
      </c>
      <c r="Q6245" s="3">
        <f t="shared" si="7"/>
        <v>0.002517985612</v>
      </c>
      <c r="R6245" s="2">
        <v>2780.0</v>
      </c>
      <c r="S6245" s="5">
        <f t="shared" si="8"/>
        <v>1</v>
      </c>
    </row>
    <row r="6246">
      <c r="A6246" s="2" t="s">
        <v>6245</v>
      </c>
      <c r="B6246" s="2">
        <v>234.0</v>
      </c>
      <c r="C6246" s="2">
        <v>2781.0</v>
      </c>
      <c r="D6246" s="2">
        <v>851.0</v>
      </c>
      <c r="E6246" s="3">
        <f t="shared" si="1"/>
        <v>0.3341185709</v>
      </c>
      <c r="F6246" s="2">
        <v>298.0</v>
      </c>
      <c r="G6246" s="3">
        <f t="shared" si="2"/>
        <v>0.1170003926</v>
      </c>
      <c r="H6246" s="2">
        <v>565.0</v>
      </c>
      <c r="I6246" s="3">
        <f t="shared" si="3"/>
        <v>0.2218296035</v>
      </c>
      <c r="J6246" s="2">
        <v>432.0</v>
      </c>
      <c r="K6246" s="3">
        <f t="shared" si="4"/>
        <v>0.1696113074</v>
      </c>
      <c r="L6246" s="2">
        <v>352.0</v>
      </c>
      <c r="M6246" s="3">
        <f t="shared" si="5"/>
        <v>0.6230088496</v>
      </c>
      <c r="N6246" s="2">
        <v>3059900.0</v>
      </c>
      <c r="O6246" s="4">
        <f t="shared" si="6"/>
        <v>5415.752212</v>
      </c>
      <c r="P6246" s="2">
        <v>0.0</v>
      </c>
      <c r="Q6246" s="3">
        <f t="shared" si="7"/>
        <v>0</v>
      </c>
      <c r="R6246" s="2">
        <v>234.0</v>
      </c>
      <c r="S6246" s="5">
        <f t="shared" si="8"/>
        <v>1</v>
      </c>
    </row>
    <row r="6247">
      <c r="A6247" s="2" t="s">
        <v>6246</v>
      </c>
      <c r="B6247" s="2">
        <v>4574.0</v>
      </c>
      <c r="C6247" s="2">
        <v>53924.0</v>
      </c>
      <c r="D6247" s="2">
        <v>15952.0</v>
      </c>
      <c r="E6247" s="3">
        <f t="shared" si="1"/>
        <v>0.3232421479</v>
      </c>
      <c r="F6247" s="2">
        <v>5773.0</v>
      </c>
      <c r="G6247" s="3">
        <f t="shared" si="2"/>
        <v>0.1169807497</v>
      </c>
      <c r="H6247" s="2">
        <v>9879.0</v>
      </c>
      <c r="I6247" s="3">
        <f t="shared" si="3"/>
        <v>0.2001823708</v>
      </c>
      <c r="J6247" s="2">
        <v>7646.0</v>
      </c>
      <c r="K6247" s="3">
        <f t="shared" si="4"/>
        <v>0.1549341439</v>
      </c>
      <c r="L6247" s="2">
        <v>5897.0</v>
      </c>
      <c r="M6247" s="3">
        <f t="shared" si="5"/>
        <v>0.5969227655</v>
      </c>
      <c r="N6247" s="2">
        <v>5.67207E7</v>
      </c>
      <c r="O6247" s="4">
        <f t="shared" si="6"/>
        <v>5741.542666</v>
      </c>
      <c r="P6247" s="2">
        <v>13.0</v>
      </c>
      <c r="Q6247" s="3">
        <f t="shared" si="7"/>
        <v>0.00284215129</v>
      </c>
      <c r="R6247" s="2">
        <v>4574.0</v>
      </c>
      <c r="S6247" s="5">
        <f t="shared" si="8"/>
        <v>1</v>
      </c>
    </row>
    <row r="6248">
      <c r="A6248" s="2" t="s">
        <v>6247</v>
      </c>
      <c r="B6248" s="2">
        <v>1314.0</v>
      </c>
      <c r="C6248" s="2">
        <v>15385.0</v>
      </c>
      <c r="D6248" s="2">
        <v>5601.0</v>
      </c>
      <c r="E6248" s="3">
        <f t="shared" si="1"/>
        <v>0.3980527326</v>
      </c>
      <c r="F6248" s="2">
        <v>1646.0</v>
      </c>
      <c r="G6248" s="3">
        <f t="shared" si="2"/>
        <v>0.1169781821</v>
      </c>
      <c r="H6248" s="2">
        <v>3028.0</v>
      </c>
      <c r="I6248" s="3">
        <f t="shared" si="3"/>
        <v>0.2151943714</v>
      </c>
      <c r="J6248" s="2">
        <v>2052.0</v>
      </c>
      <c r="K6248" s="3">
        <f t="shared" si="4"/>
        <v>0.1458318527</v>
      </c>
      <c r="L6248" s="2">
        <v>1837.0</v>
      </c>
      <c r="M6248" s="3">
        <f t="shared" si="5"/>
        <v>0.60667107</v>
      </c>
      <c r="N6248" s="2">
        <v>1.66091E7</v>
      </c>
      <c r="O6248" s="4">
        <f t="shared" si="6"/>
        <v>5485.171731</v>
      </c>
      <c r="P6248" s="2">
        <v>7.0</v>
      </c>
      <c r="Q6248" s="3">
        <f t="shared" si="7"/>
        <v>0.005327245053</v>
      </c>
      <c r="R6248" s="2">
        <v>1303.0</v>
      </c>
      <c r="S6248" s="5">
        <f t="shared" si="8"/>
        <v>0.9916286149</v>
      </c>
    </row>
    <row r="6249">
      <c r="A6249" s="2" t="s">
        <v>6248</v>
      </c>
      <c r="B6249" s="2">
        <v>311.0</v>
      </c>
      <c r="C6249" s="2">
        <v>3654.0</v>
      </c>
      <c r="D6249" s="2">
        <v>1313.0</v>
      </c>
      <c r="E6249" s="3">
        <f t="shared" si="1"/>
        <v>0.3927609931</v>
      </c>
      <c r="F6249" s="2">
        <v>391.0</v>
      </c>
      <c r="G6249" s="3">
        <f t="shared" si="2"/>
        <v>0.1169608136</v>
      </c>
      <c r="H6249" s="2">
        <v>703.0</v>
      </c>
      <c r="I6249" s="3">
        <f t="shared" si="3"/>
        <v>0.2102901585</v>
      </c>
      <c r="J6249" s="2">
        <v>579.0</v>
      </c>
      <c r="K6249" s="3">
        <f t="shared" si="4"/>
        <v>0.1731977266</v>
      </c>
      <c r="L6249" s="2">
        <v>422.0</v>
      </c>
      <c r="M6249" s="3">
        <f t="shared" si="5"/>
        <v>0.600284495</v>
      </c>
      <c r="N6249" s="2">
        <v>4027100.0</v>
      </c>
      <c r="O6249" s="4">
        <f t="shared" si="6"/>
        <v>5728.449502</v>
      </c>
      <c r="P6249" s="2">
        <v>0.0</v>
      </c>
      <c r="Q6249" s="3">
        <f t="shared" si="7"/>
        <v>0</v>
      </c>
      <c r="R6249" s="2">
        <v>15.0</v>
      </c>
      <c r="S6249" s="5">
        <f t="shared" si="8"/>
        <v>0.04823151125</v>
      </c>
    </row>
    <row r="6250">
      <c r="A6250" s="2" t="s">
        <v>6249</v>
      </c>
      <c r="B6250" s="2">
        <v>15.0</v>
      </c>
      <c r="C6250" s="2">
        <v>186.0</v>
      </c>
      <c r="D6250" s="2">
        <v>69.0</v>
      </c>
      <c r="E6250" s="3">
        <f t="shared" si="1"/>
        <v>0.4035087719</v>
      </c>
      <c r="F6250" s="2">
        <v>20.0</v>
      </c>
      <c r="G6250" s="3">
        <f t="shared" si="2"/>
        <v>0.1169590643</v>
      </c>
      <c r="H6250" s="2">
        <v>28.0</v>
      </c>
      <c r="I6250" s="3">
        <f t="shared" si="3"/>
        <v>0.1637426901</v>
      </c>
      <c r="J6250" s="2">
        <v>29.0</v>
      </c>
      <c r="K6250" s="3">
        <f t="shared" si="4"/>
        <v>0.1695906433</v>
      </c>
      <c r="L6250" s="2">
        <v>20.0</v>
      </c>
      <c r="M6250" s="3">
        <f t="shared" si="5"/>
        <v>0.7142857143</v>
      </c>
      <c r="N6250" s="2">
        <v>165900.0</v>
      </c>
      <c r="O6250" s="4">
        <f t="shared" si="6"/>
        <v>5925</v>
      </c>
      <c r="P6250" s="2">
        <v>0.0</v>
      </c>
      <c r="Q6250" s="3">
        <f t="shared" si="7"/>
        <v>0</v>
      </c>
      <c r="R6250" s="2">
        <v>15.0</v>
      </c>
      <c r="S6250" s="5">
        <f t="shared" si="8"/>
        <v>1</v>
      </c>
    </row>
    <row r="6251">
      <c r="A6251" s="2" t="s">
        <v>6250</v>
      </c>
      <c r="B6251" s="2">
        <v>673.0</v>
      </c>
      <c r="C6251" s="2">
        <v>7958.0</v>
      </c>
      <c r="D6251" s="2">
        <v>2398.0</v>
      </c>
      <c r="E6251" s="3">
        <f t="shared" si="1"/>
        <v>0.3291695264</v>
      </c>
      <c r="F6251" s="2">
        <v>852.0</v>
      </c>
      <c r="G6251" s="3">
        <f t="shared" si="2"/>
        <v>0.1169526424</v>
      </c>
      <c r="H6251" s="2">
        <v>1435.0</v>
      </c>
      <c r="I6251" s="3">
        <f t="shared" si="3"/>
        <v>0.1969800961</v>
      </c>
      <c r="J6251" s="2">
        <v>1335.0</v>
      </c>
      <c r="K6251" s="3">
        <f t="shared" si="4"/>
        <v>0.1832532601</v>
      </c>
      <c r="L6251" s="2">
        <v>869.0</v>
      </c>
      <c r="M6251" s="3">
        <f t="shared" si="5"/>
        <v>0.6055749129</v>
      </c>
      <c r="N6251" s="2">
        <v>8253400.0</v>
      </c>
      <c r="O6251" s="4">
        <f t="shared" si="6"/>
        <v>5751.498258</v>
      </c>
      <c r="P6251" s="2">
        <v>1.0</v>
      </c>
      <c r="Q6251" s="3">
        <f t="shared" si="7"/>
        <v>0.001485884101</v>
      </c>
      <c r="R6251" s="2">
        <v>0.0</v>
      </c>
      <c r="S6251" s="5">
        <f t="shared" si="8"/>
        <v>0</v>
      </c>
    </row>
    <row r="6252">
      <c r="A6252" s="2" t="s">
        <v>6251</v>
      </c>
      <c r="B6252" s="2">
        <v>611.0</v>
      </c>
      <c r="C6252" s="2">
        <v>7144.0</v>
      </c>
      <c r="D6252" s="2">
        <v>1914.0</v>
      </c>
      <c r="E6252" s="3">
        <f t="shared" si="1"/>
        <v>0.2929741313</v>
      </c>
      <c r="F6252" s="2">
        <v>764.0</v>
      </c>
      <c r="G6252" s="3">
        <f t="shared" si="2"/>
        <v>0.1169447421</v>
      </c>
      <c r="H6252" s="2">
        <v>1326.0</v>
      </c>
      <c r="I6252" s="3">
        <f t="shared" si="3"/>
        <v>0.2029695393</v>
      </c>
      <c r="J6252" s="2">
        <v>1266.0</v>
      </c>
      <c r="K6252" s="3">
        <f t="shared" si="4"/>
        <v>0.1937853972</v>
      </c>
      <c r="L6252" s="2">
        <v>798.0</v>
      </c>
      <c r="M6252" s="3">
        <f t="shared" si="5"/>
        <v>0.6018099548</v>
      </c>
      <c r="N6252" s="2">
        <v>7666200.0</v>
      </c>
      <c r="O6252" s="4">
        <f t="shared" si="6"/>
        <v>5781.447964</v>
      </c>
      <c r="P6252" s="2">
        <v>2.0</v>
      </c>
      <c r="Q6252" s="3">
        <f t="shared" si="7"/>
        <v>0.003273322422</v>
      </c>
      <c r="R6252" s="2">
        <v>0.0</v>
      </c>
      <c r="S6252" s="5">
        <f t="shared" si="8"/>
        <v>0</v>
      </c>
    </row>
    <row r="6253">
      <c r="A6253" s="2" t="s">
        <v>6252</v>
      </c>
      <c r="B6253" s="2">
        <v>609.0</v>
      </c>
      <c r="C6253" s="2">
        <v>7296.0</v>
      </c>
      <c r="D6253" s="2">
        <v>2501.0</v>
      </c>
      <c r="E6253" s="3">
        <f t="shared" si="1"/>
        <v>0.3740092717</v>
      </c>
      <c r="F6253" s="2">
        <v>782.0</v>
      </c>
      <c r="G6253" s="3">
        <f t="shared" si="2"/>
        <v>0.1169433229</v>
      </c>
      <c r="H6253" s="2">
        <v>1397.0</v>
      </c>
      <c r="I6253" s="3">
        <f t="shared" si="3"/>
        <v>0.2089128159</v>
      </c>
      <c r="J6253" s="2">
        <v>1040.0</v>
      </c>
      <c r="K6253" s="3">
        <f t="shared" si="4"/>
        <v>0.1555256468</v>
      </c>
      <c r="L6253" s="2">
        <v>842.0</v>
      </c>
      <c r="M6253" s="3">
        <f t="shared" si="5"/>
        <v>0.6027201145</v>
      </c>
      <c r="N6253" s="2">
        <v>7284200.0</v>
      </c>
      <c r="O6253" s="4">
        <f t="shared" si="6"/>
        <v>5214.173228</v>
      </c>
      <c r="P6253" s="2">
        <v>0.0</v>
      </c>
      <c r="Q6253" s="3">
        <f t="shared" si="7"/>
        <v>0</v>
      </c>
      <c r="R6253" s="2">
        <v>609.0</v>
      </c>
      <c r="S6253" s="5">
        <f t="shared" si="8"/>
        <v>1</v>
      </c>
    </row>
    <row r="6254">
      <c r="A6254" s="2" t="s">
        <v>6253</v>
      </c>
      <c r="B6254" s="2">
        <v>354.0</v>
      </c>
      <c r="C6254" s="2">
        <v>4185.0</v>
      </c>
      <c r="D6254" s="2">
        <v>996.0</v>
      </c>
      <c r="E6254" s="3">
        <f t="shared" si="1"/>
        <v>0.2599843383</v>
      </c>
      <c r="F6254" s="2">
        <v>448.0</v>
      </c>
      <c r="G6254" s="3">
        <f t="shared" si="2"/>
        <v>0.1169407465</v>
      </c>
      <c r="H6254" s="2">
        <v>761.0</v>
      </c>
      <c r="I6254" s="3">
        <f t="shared" si="3"/>
        <v>0.198642652</v>
      </c>
      <c r="J6254" s="2">
        <v>636.0</v>
      </c>
      <c r="K6254" s="3">
        <f t="shared" si="4"/>
        <v>0.1660140955</v>
      </c>
      <c r="L6254" s="2">
        <v>444.0</v>
      </c>
      <c r="M6254" s="3">
        <f t="shared" si="5"/>
        <v>0.5834428384</v>
      </c>
      <c r="N6254" s="2">
        <v>4591200.0</v>
      </c>
      <c r="O6254" s="4">
        <f t="shared" si="6"/>
        <v>6033.114323</v>
      </c>
      <c r="P6254" s="2">
        <v>1.0</v>
      </c>
      <c r="Q6254" s="3">
        <f t="shared" si="7"/>
        <v>0.002824858757</v>
      </c>
      <c r="R6254" s="2">
        <v>354.0</v>
      </c>
      <c r="S6254" s="5">
        <f t="shared" si="8"/>
        <v>1</v>
      </c>
    </row>
    <row r="6255">
      <c r="A6255" s="2" t="s">
        <v>6254</v>
      </c>
      <c r="B6255" s="2">
        <v>4080.0</v>
      </c>
      <c r="C6255" s="2">
        <v>47727.0</v>
      </c>
      <c r="D6255" s="2">
        <v>15747.0</v>
      </c>
      <c r="E6255" s="3">
        <f t="shared" si="1"/>
        <v>0.3607808097</v>
      </c>
      <c r="F6255" s="2">
        <v>5104.0</v>
      </c>
      <c r="G6255" s="3">
        <f t="shared" si="2"/>
        <v>0.116938163</v>
      </c>
      <c r="H6255" s="2">
        <v>9239.0</v>
      </c>
      <c r="I6255" s="3">
        <f t="shared" si="3"/>
        <v>0.2116754874</v>
      </c>
      <c r="J6255" s="2">
        <v>7489.0</v>
      </c>
      <c r="K6255" s="3">
        <f t="shared" si="4"/>
        <v>0.1715810938</v>
      </c>
      <c r="L6255" s="2">
        <v>5538.0</v>
      </c>
      <c r="M6255" s="3">
        <f t="shared" si="5"/>
        <v>0.5994155212</v>
      </c>
      <c r="N6255" s="2">
        <v>5.20991E7</v>
      </c>
      <c r="O6255" s="4">
        <f t="shared" si="6"/>
        <v>5639.041022</v>
      </c>
      <c r="P6255" s="2">
        <v>3.0</v>
      </c>
      <c r="Q6255" s="3">
        <f t="shared" si="7"/>
        <v>0.0007352941176</v>
      </c>
      <c r="R6255" s="2">
        <v>3778.0</v>
      </c>
      <c r="S6255" s="5">
        <f t="shared" si="8"/>
        <v>0.9259803922</v>
      </c>
    </row>
    <row r="6256">
      <c r="A6256" s="2" t="s">
        <v>6255</v>
      </c>
      <c r="B6256" s="2">
        <v>454.0</v>
      </c>
      <c r="C6256" s="2">
        <v>5286.0</v>
      </c>
      <c r="D6256" s="2">
        <v>1502.0</v>
      </c>
      <c r="E6256" s="3">
        <f t="shared" si="1"/>
        <v>0.3108443709</v>
      </c>
      <c r="F6256" s="2">
        <v>565.0</v>
      </c>
      <c r="G6256" s="3">
        <f t="shared" si="2"/>
        <v>0.1169288079</v>
      </c>
      <c r="H6256" s="2">
        <v>1003.0</v>
      </c>
      <c r="I6256" s="3">
        <f t="shared" si="3"/>
        <v>0.2075745033</v>
      </c>
      <c r="J6256" s="2">
        <v>811.0</v>
      </c>
      <c r="K6256" s="3">
        <f t="shared" si="4"/>
        <v>0.167839404</v>
      </c>
      <c r="L6256" s="2">
        <v>626.0</v>
      </c>
      <c r="M6256" s="3">
        <f t="shared" si="5"/>
        <v>0.6241276171</v>
      </c>
      <c r="N6256" s="2">
        <v>5823800.0</v>
      </c>
      <c r="O6256" s="4">
        <f t="shared" si="6"/>
        <v>5806.380857</v>
      </c>
      <c r="P6256" s="2">
        <v>0.0</v>
      </c>
      <c r="Q6256" s="3">
        <f t="shared" si="7"/>
        <v>0</v>
      </c>
      <c r="R6256" s="2">
        <v>451.0</v>
      </c>
      <c r="S6256" s="5">
        <f t="shared" si="8"/>
        <v>0.9933920705</v>
      </c>
    </row>
    <row r="6257">
      <c r="A6257" s="2" t="s">
        <v>6256</v>
      </c>
      <c r="B6257" s="2">
        <v>82.0</v>
      </c>
      <c r="C6257" s="2">
        <v>980.0</v>
      </c>
      <c r="D6257" s="2">
        <v>316.0</v>
      </c>
      <c r="E6257" s="3">
        <f t="shared" si="1"/>
        <v>0.3518930958</v>
      </c>
      <c r="F6257" s="2">
        <v>105.0</v>
      </c>
      <c r="G6257" s="3">
        <f t="shared" si="2"/>
        <v>0.1169265033</v>
      </c>
      <c r="H6257" s="2">
        <v>179.0</v>
      </c>
      <c r="I6257" s="3">
        <f t="shared" si="3"/>
        <v>0.1993318486</v>
      </c>
      <c r="J6257" s="2">
        <v>126.0</v>
      </c>
      <c r="K6257" s="3">
        <f t="shared" si="4"/>
        <v>0.140311804</v>
      </c>
      <c r="L6257" s="2">
        <v>113.0</v>
      </c>
      <c r="M6257" s="3">
        <f t="shared" si="5"/>
        <v>0.6312849162</v>
      </c>
      <c r="N6257" s="2">
        <v>971500.0</v>
      </c>
      <c r="O6257" s="4">
        <f t="shared" si="6"/>
        <v>5427.374302</v>
      </c>
      <c r="P6257" s="2">
        <v>0.0</v>
      </c>
      <c r="Q6257" s="3">
        <f t="shared" si="7"/>
        <v>0</v>
      </c>
      <c r="R6257" s="2">
        <v>79.0</v>
      </c>
      <c r="S6257" s="5">
        <f t="shared" si="8"/>
        <v>0.9634146341</v>
      </c>
    </row>
    <row r="6258">
      <c r="A6258" s="2" t="s">
        <v>6257</v>
      </c>
      <c r="B6258" s="2">
        <v>358.0</v>
      </c>
      <c r="C6258" s="2">
        <v>4267.0</v>
      </c>
      <c r="D6258" s="2">
        <v>1401.0</v>
      </c>
      <c r="E6258" s="3">
        <f t="shared" si="1"/>
        <v>0.3584036838</v>
      </c>
      <c r="F6258" s="2">
        <v>457.0</v>
      </c>
      <c r="G6258" s="3">
        <f t="shared" si="2"/>
        <v>0.1169096956</v>
      </c>
      <c r="H6258" s="2">
        <v>829.0</v>
      </c>
      <c r="I6258" s="3">
        <f t="shared" si="3"/>
        <v>0.2120746994</v>
      </c>
      <c r="J6258" s="2">
        <v>691.0</v>
      </c>
      <c r="K6258" s="3">
        <f t="shared" si="4"/>
        <v>0.1767715528</v>
      </c>
      <c r="L6258" s="2">
        <v>473.0</v>
      </c>
      <c r="M6258" s="3">
        <f t="shared" si="5"/>
        <v>0.5705669481</v>
      </c>
      <c r="N6258" s="2">
        <v>4369700.0</v>
      </c>
      <c r="O6258" s="4">
        <f t="shared" si="6"/>
        <v>5271.049457</v>
      </c>
      <c r="P6258" s="2">
        <v>0.0</v>
      </c>
      <c r="Q6258" s="3">
        <f t="shared" si="7"/>
        <v>0</v>
      </c>
      <c r="R6258" s="2">
        <v>198.0</v>
      </c>
      <c r="S6258" s="5">
        <f t="shared" si="8"/>
        <v>0.5530726257</v>
      </c>
    </row>
    <row r="6259">
      <c r="A6259" s="2" t="s">
        <v>6258</v>
      </c>
      <c r="B6259" s="2">
        <v>51.0</v>
      </c>
      <c r="C6259" s="2">
        <v>607.0</v>
      </c>
      <c r="D6259" s="2">
        <v>187.0</v>
      </c>
      <c r="E6259" s="3">
        <f t="shared" si="1"/>
        <v>0.3363309353</v>
      </c>
      <c r="F6259" s="2">
        <v>65.0</v>
      </c>
      <c r="G6259" s="3">
        <f t="shared" si="2"/>
        <v>0.1169064748</v>
      </c>
      <c r="H6259" s="2">
        <v>124.0</v>
      </c>
      <c r="I6259" s="3">
        <f t="shared" si="3"/>
        <v>0.2230215827</v>
      </c>
      <c r="J6259" s="2">
        <v>119.0</v>
      </c>
      <c r="K6259" s="3">
        <f t="shared" si="4"/>
        <v>0.214028777</v>
      </c>
      <c r="L6259" s="2">
        <v>70.0</v>
      </c>
      <c r="M6259" s="3">
        <f t="shared" si="5"/>
        <v>0.564516129</v>
      </c>
      <c r="N6259" s="2">
        <v>732200.0</v>
      </c>
      <c r="O6259" s="4">
        <f t="shared" si="6"/>
        <v>5904.83871</v>
      </c>
      <c r="P6259" s="2">
        <v>0.0</v>
      </c>
      <c r="Q6259" s="3">
        <f t="shared" si="7"/>
        <v>0</v>
      </c>
      <c r="R6259" s="2">
        <v>51.0</v>
      </c>
      <c r="S6259" s="5">
        <f t="shared" si="8"/>
        <v>1</v>
      </c>
    </row>
    <row r="6260">
      <c r="A6260" s="2" t="s">
        <v>6259</v>
      </c>
      <c r="B6260" s="2">
        <v>254.0</v>
      </c>
      <c r="C6260" s="2">
        <v>3034.0</v>
      </c>
      <c r="D6260" s="2">
        <v>876.0</v>
      </c>
      <c r="E6260" s="3">
        <f t="shared" si="1"/>
        <v>0.3151079137</v>
      </c>
      <c r="F6260" s="2">
        <v>325.0</v>
      </c>
      <c r="G6260" s="3">
        <f t="shared" si="2"/>
        <v>0.1169064748</v>
      </c>
      <c r="H6260" s="2">
        <v>622.0</v>
      </c>
      <c r="I6260" s="3">
        <f t="shared" si="3"/>
        <v>0.2237410072</v>
      </c>
      <c r="J6260" s="2">
        <v>576.0</v>
      </c>
      <c r="K6260" s="3">
        <f t="shared" si="4"/>
        <v>0.2071942446</v>
      </c>
      <c r="L6260" s="2">
        <v>388.0</v>
      </c>
      <c r="M6260" s="3">
        <f t="shared" si="5"/>
        <v>0.6237942122</v>
      </c>
      <c r="N6260" s="2">
        <v>3744600.0</v>
      </c>
      <c r="O6260" s="4">
        <f t="shared" si="6"/>
        <v>6020.257235</v>
      </c>
      <c r="P6260" s="2">
        <v>1.0</v>
      </c>
      <c r="Q6260" s="3">
        <f t="shared" si="7"/>
        <v>0.003937007874</v>
      </c>
      <c r="R6260" s="2">
        <v>254.0</v>
      </c>
      <c r="S6260" s="5">
        <f t="shared" si="8"/>
        <v>1</v>
      </c>
    </row>
    <row r="6261">
      <c r="A6261" s="2" t="s">
        <v>6260</v>
      </c>
      <c r="B6261" s="2">
        <v>394.0</v>
      </c>
      <c r="C6261" s="2">
        <v>4697.0</v>
      </c>
      <c r="D6261" s="2">
        <v>1474.0</v>
      </c>
      <c r="E6261" s="3">
        <f t="shared" si="1"/>
        <v>0.3425517081</v>
      </c>
      <c r="F6261" s="2">
        <v>503.0</v>
      </c>
      <c r="G6261" s="3">
        <f t="shared" si="2"/>
        <v>0.1168951894</v>
      </c>
      <c r="H6261" s="2">
        <v>867.0</v>
      </c>
      <c r="I6261" s="3">
        <f t="shared" si="3"/>
        <v>0.2014873344</v>
      </c>
      <c r="J6261" s="2">
        <v>765.0</v>
      </c>
      <c r="K6261" s="3">
        <f t="shared" si="4"/>
        <v>0.1777829421</v>
      </c>
      <c r="L6261" s="2">
        <v>497.0</v>
      </c>
      <c r="M6261" s="3">
        <f t="shared" si="5"/>
        <v>0.5732410611</v>
      </c>
      <c r="N6261" s="2">
        <v>5007600.0</v>
      </c>
      <c r="O6261" s="4">
        <f t="shared" si="6"/>
        <v>5775.778547</v>
      </c>
      <c r="P6261" s="2">
        <v>0.0</v>
      </c>
      <c r="Q6261" s="3">
        <f t="shared" si="7"/>
        <v>0</v>
      </c>
      <c r="R6261" s="2">
        <v>328.0</v>
      </c>
      <c r="S6261" s="5">
        <f t="shared" si="8"/>
        <v>0.8324873096</v>
      </c>
    </row>
    <row r="6262">
      <c r="A6262" s="2" t="s">
        <v>6261</v>
      </c>
      <c r="B6262" s="2">
        <v>240.0</v>
      </c>
      <c r="C6262" s="2">
        <v>2721.0</v>
      </c>
      <c r="D6262" s="2">
        <v>807.0</v>
      </c>
      <c r="E6262" s="3">
        <f t="shared" si="1"/>
        <v>0.3252720677</v>
      </c>
      <c r="F6262" s="2">
        <v>290.0</v>
      </c>
      <c r="G6262" s="3">
        <f t="shared" si="2"/>
        <v>0.1168883515</v>
      </c>
      <c r="H6262" s="2">
        <v>501.0</v>
      </c>
      <c r="I6262" s="3">
        <f t="shared" si="3"/>
        <v>0.2019347037</v>
      </c>
      <c r="J6262" s="2">
        <v>429.0</v>
      </c>
      <c r="K6262" s="3">
        <f t="shared" si="4"/>
        <v>0.1729141475</v>
      </c>
      <c r="L6262" s="2">
        <v>315.0</v>
      </c>
      <c r="M6262" s="3">
        <f t="shared" si="5"/>
        <v>0.628742515</v>
      </c>
      <c r="N6262" s="2">
        <v>2657200.0</v>
      </c>
      <c r="O6262" s="4">
        <f t="shared" si="6"/>
        <v>5303.792415</v>
      </c>
      <c r="P6262" s="2">
        <v>0.0</v>
      </c>
      <c r="Q6262" s="3">
        <f t="shared" si="7"/>
        <v>0</v>
      </c>
      <c r="R6262" s="2">
        <v>0.0</v>
      </c>
      <c r="S6262" s="5">
        <f t="shared" si="8"/>
        <v>0</v>
      </c>
    </row>
    <row r="6263">
      <c r="A6263" s="2" t="s">
        <v>6262</v>
      </c>
      <c r="B6263" s="2">
        <v>257.0</v>
      </c>
      <c r="C6263" s="2">
        <v>3046.0</v>
      </c>
      <c r="D6263" s="2">
        <v>880.0</v>
      </c>
      <c r="E6263" s="3">
        <f t="shared" si="1"/>
        <v>0.3155252779</v>
      </c>
      <c r="F6263" s="2">
        <v>326.0</v>
      </c>
      <c r="G6263" s="3">
        <f t="shared" si="2"/>
        <v>0.1168877734</v>
      </c>
      <c r="H6263" s="2">
        <v>556.0</v>
      </c>
      <c r="I6263" s="3">
        <f t="shared" si="3"/>
        <v>0.1993546074</v>
      </c>
      <c r="J6263" s="2">
        <v>484.0</v>
      </c>
      <c r="K6263" s="3">
        <f t="shared" si="4"/>
        <v>0.1735389028</v>
      </c>
      <c r="L6263" s="2">
        <v>328.0</v>
      </c>
      <c r="M6263" s="3">
        <f t="shared" si="5"/>
        <v>0.5899280576</v>
      </c>
      <c r="N6263" s="2">
        <v>3241500.0</v>
      </c>
      <c r="O6263" s="4">
        <f t="shared" si="6"/>
        <v>5830.035971</v>
      </c>
      <c r="P6263" s="2">
        <v>0.0</v>
      </c>
      <c r="Q6263" s="3">
        <f t="shared" si="7"/>
        <v>0</v>
      </c>
      <c r="R6263" s="2">
        <v>1.0</v>
      </c>
      <c r="S6263" s="5">
        <f t="shared" si="8"/>
        <v>0.003891050584</v>
      </c>
    </row>
    <row r="6264">
      <c r="A6264" s="2" t="s">
        <v>6263</v>
      </c>
      <c r="B6264" s="2">
        <v>1539.0</v>
      </c>
      <c r="C6264" s="2">
        <v>18085.0</v>
      </c>
      <c r="D6264" s="2">
        <v>6370.0</v>
      </c>
      <c r="E6264" s="3">
        <f t="shared" si="1"/>
        <v>0.3849873081</v>
      </c>
      <c r="F6264" s="2">
        <v>1934.0</v>
      </c>
      <c r="G6264" s="3">
        <f t="shared" si="2"/>
        <v>0.1168862565</v>
      </c>
      <c r="H6264" s="2">
        <v>3514.0</v>
      </c>
      <c r="I6264" s="3">
        <f t="shared" si="3"/>
        <v>0.2123776139</v>
      </c>
      <c r="J6264" s="2">
        <v>2713.0</v>
      </c>
      <c r="K6264" s="3">
        <f t="shared" si="4"/>
        <v>0.163967122</v>
      </c>
      <c r="L6264" s="2">
        <v>2098.0</v>
      </c>
      <c r="M6264" s="3">
        <f t="shared" si="5"/>
        <v>0.5970404098</v>
      </c>
      <c r="N6264" s="2">
        <v>1.93066E7</v>
      </c>
      <c r="O6264" s="4">
        <f t="shared" si="6"/>
        <v>5494.19465</v>
      </c>
      <c r="P6264" s="2">
        <v>2.0</v>
      </c>
      <c r="Q6264" s="3">
        <f t="shared" si="7"/>
        <v>0.001299545159</v>
      </c>
      <c r="R6264" s="2">
        <v>1118.0</v>
      </c>
      <c r="S6264" s="5">
        <f t="shared" si="8"/>
        <v>0.726445744</v>
      </c>
    </row>
    <row r="6265">
      <c r="A6265" s="2" t="s">
        <v>6264</v>
      </c>
      <c r="B6265" s="2">
        <v>676.0</v>
      </c>
      <c r="C6265" s="2">
        <v>8008.0</v>
      </c>
      <c r="D6265" s="2">
        <v>1655.0</v>
      </c>
      <c r="E6265" s="3">
        <f t="shared" si="1"/>
        <v>0.2257228587</v>
      </c>
      <c r="F6265" s="2">
        <v>857.0</v>
      </c>
      <c r="G6265" s="3">
        <f t="shared" si="2"/>
        <v>0.1168848882</v>
      </c>
      <c r="H6265" s="2">
        <v>1371.0</v>
      </c>
      <c r="I6265" s="3">
        <f t="shared" si="3"/>
        <v>0.1869885434</v>
      </c>
      <c r="J6265" s="2">
        <v>1224.0</v>
      </c>
      <c r="K6265" s="3">
        <f t="shared" si="4"/>
        <v>0.1669394435</v>
      </c>
      <c r="L6265" s="2">
        <v>829.0</v>
      </c>
      <c r="M6265" s="3">
        <f t="shared" si="5"/>
        <v>0.6046681255</v>
      </c>
      <c r="N6265" s="2">
        <v>8567300.0</v>
      </c>
      <c r="O6265" s="4">
        <f t="shared" si="6"/>
        <v>6248.942378</v>
      </c>
      <c r="P6265" s="2">
        <v>5.0</v>
      </c>
      <c r="Q6265" s="3">
        <f t="shared" si="7"/>
        <v>0.007396449704</v>
      </c>
      <c r="R6265" s="2">
        <v>676.0</v>
      </c>
      <c r="S6265" s="5">
        <f t="shared" si="8"/>
        <v>1</v>
      </c>
    </row>
    <row r="6266">
      <c r="A6266" s="2" t="s">
        <v>6265</v>
      </c>
      <c r="B6266" s="2">
        <v>7.0</v>
      </c>
      <c r="C6266" s="2">
        <v>84.0</v>
      </c>
      <c r="D6266" s="2">
        <v>21.0</v>
      </c>
      <c r="E6266" s="3">
        <f t="shared" si="1"/>
        <v>0.2727272727</v>
      </c>
      <c r="F6266" s="2">
        <v>9.0</v>
      </c>
      <c r="G6266" s="3">
        <f t="shared" si="2"/>
        <v>0.1168831169</v>
      </c>
      <c r="H6266" s="2">
        <v>11.0</v>
      </c>
      <c r="I6266" s="3">
        <f t="shared" si="3"/>
        <v>0.1428571429</v>
      </c>
      <c r="J6266" s="2">
        <v>6.0</v>
      </c>
      <c r="K6266" s="3">
        <f t="shared" si="4"/>
        <v>0.07792207792</v>
      </c>
      <c r="L6266" s="2">
        <v>5.0</v>
      </c>
      <c r="M6266" s="3">
        <f t="shared" si="5"/>
        <v>0.4545454545</v>
      </c>
      <c r="N6266" s="2">
        <v>73600.0</v>
      </c>
      <c r="O6266" s="4">
        <f t="shared" si="6"/>
        <v>6690.909091</v>
      </c>
      <c r="P6266" s="2">
        <v>0.0</v>
      </c>
      <c r="Q6266" s="3">
        <f t="shared" si="7"/>
        <v>0</v>
      </c>
      <c r="R6266" s="2">
        <v>7.0</v>
      </c>
      <c r="S6266" s="5">
        <f t="shared" si="8"/>
        <v>1</v>
      </c>
    </row>
    <row r="6267">
      <c r="A6267" s="2" t="s">
        <v>6266</v>
      </c>
      <c r="B6267" s="2">
        <v>1064.0</v>
      </c>
      <c r="C6267" s="2">
        <v>12555.0</v>
      </c>
      <c r="D6267" s="2">
        <v>3990.0</v>
      </c>
      <c r="E6267" s="3">
        <f t="shared" si="1"/>
        <v>0.3472282656</v>
      </c>
      <c r="F6267" s="2">
        <v>1343.0</v>
      </c>
      <c r="G6267" s="3">
        <f t="shared" si="2"/>
        <v>0.1168740754</v>
      </c>
      <c r="H6267" s="2">
        <v>2388.0</v>
      </c>
      <c r="I6267" s="3">
        <f t="shared" si="3"/>
        <v>0.2078148116</v>
      </c>
      <c r="J6267" s="2">
        <v>1562.0</v>
      </c>
      <c r="K6267" s="3">
        <f t="shared" si="4"/>
        <v>0.1359324689</v>
      </c>
      <c r="L6267" s="2">
        <v>1460.0</v>
      </c>
      <c r="M6267" s="3">
        <f t="shared" si="5"/>
        <v>0.6113902848</v>
      </c>
      <c r="N6267" s="2">
        <v>1.31066E7</v>
      </c>
      <c r="O6267" s="4">
        <f t="shared" si="6"/>
        <v>5488.525963</v>
      </c>
      <c r="P6267" s="2">
        <v>4.0</v>
      </c>
      <c r="Q6267" s="3">
        <f t="shared" si="7"/>
        <v>0.003759398496</v>
      </c>
      <c r="R6267" s="2">
        <v>1064.0</v>
      </c>
      <c r="S6267" s="5">
        <f t="shared" si="8"/>
        <v>1</v>
      </c>
    </row>
    <row r="6268">
      <c r="A6268" s="2" t="s">
        <v>6267</v>
      </c>
      <c r="B6268" s="2">
        <v>143.0</v>
      </c>
      <c r="C6268" s="2">
        <v>1649.0</v>
      </c>
      <c r="D6268" s="2">
        <v>312.0</v>
      </c>
      <c r="E6268" s="3">
        <f t="shared" si="1"/>
        <v>0.2071713147</v>
      </c>
      <c r="F6268" s="2">
        <v>176.0</v>
      </c>
      <c r="G6268" s="3">
        <f t="shared" si="2"/>
        <v>0.1168658699</v>
      </c>
      <c r="H6268" s="2">
        <v>279.0</v>
      </c>
      <c r="I6268" s="3">
        <f t="shared" si="3"/>
        <v>0.1852589641</v>
      </c>
      <c r="J6268" s="2">
        <v>251.0</v>
      </c>
      <c r="K6268" s="3">
        <f t="shared" si="4"/>
        <v>0.1666666667</v>
      </c>
      <c r="L6268" s="2">
        <v>161.0</v>
      </c>
      <c r="M6268" s="3">
        <f t="shared" si="5"/>
        <v>0.5770609319</v>
      </c>
      <c r="N6268" s="2">
        <v>1817500.0</v>
      </c>
      <c r="O6268" s="4">
        <f t="shared" si="6"/>
        <v>6514.336918</v>
      </c>
      <c r="P6268" s="2">
        <v>0.0</v>
      </c>
      <c r="Q6268" s="3">
        <f t="shared" si="7"/>
        <v>0</v>
      </c>
      <c r="R6268" s="2">
        <v>143.0</v>
      </c>
      <c r="S6268" s="5">
        <f t="shared" si="8"/>
        <v>1</v>
      </c>
    </row>
    <row r="6269">
      <c r="A6269" s="2" t="s">
        <v>6268</v>
      </c>
      <c r="B6269" s="2">
        <v>35.0</v>
      </c>
      <c r="C6269" s="2">
        <v>403.0</v>
      </c>
      <c r="D6269" s="2">
        <v>109.0</v>
      </c>
      <c r="E6269" s="3">
        <f t="shared" si="1"/>
        <v>0.2961956522</v>
      </c>
      <c r="F6269" s="2">
        <v>43.0</v>
      </c>
      <c r="G6269" s="3">
        <f t="shared" si="2"/>
        <v>0.1168478261</v>
      </c>
      <c r="H6269" s="2">
        <v>66.0</v>
      </c>
      <c r="I6269" s="3">
        <f t="shared" si="3"/>
        <v>0.1793478261</v>
      </c>
      <c r="J6269" s="2">
        <v>78.0</v>
      </c>
      <c r="K6269" s="3">
        <f t="shared" si="4"/>
        <v>0.2119565217</v>
      </c>
      <c r="L6269" s="2">
        <v>40.0</v>
      </c>
      <c r="M6269" s="3">
        <f t="shared" si="5"/>
        <v>0.6060606061</v>
      </c>
      <c r="N6269" s="2">
        <v>397700.0</v>
      </c>
      <c r="O6269" s="4">
        <f t="shared" si="6"/>
        <v>6025.757576</v>
      </c>
      <c r="P6269" s="2">
        <v>0.0</v>
      </c>
      <c r="Q6269" s="3">
        <f t="shared" si="7"/>
        <v>0</v>
      </c>
      <c r="R6269" s="2">
        <v>0.0</v>
      </c>
      <c r="S6269" s="5">
        <f t="shared" si="8"/>
        <v>0</v>
      </c>
    </row>
    <row r="6270">
      <c r="A6270" s="2" t="s">
        <v>6269</v>
      </c>
      <c r="B6270" s="2">
        <v>56.0</v>
      </c>
      <c r="C6270" s="2">
        <v>715.0</v>
      </c>
      <c r="D6270" s="2">
        <v>266.0</v>
      </c>
      <c r="E6270" s="3">
        <f t="shared" si="1"/>
        <v>0.4036418816</v>
      </c>
      <c r="F6270" s="2">
        <v>77.0</v>
      </c>
      <c r="G6270" s="3">
        <f t="shared" si="2"/>
        <v>0.1168437026</v>
      </c>
      <c r="H6270" s="2">
        <v>150.0</v>
      </c>
      <c r="I6270" s="3">
        <f t="shared" si="3"/>
        <v>0.2276176024</v>
      </c>
      <c r="J6270" s="2">
        <v>118.0</v>
      </c>
      <c r="K6270" s="3">
        <f t="shared" si="4"/>
        <v>0.1790591806</v>
      </c>
      <c r="L6270" s="2">
        <v>98.0</v>
      </c>
      <c r="M6270" s="3">
        <f t="shared" si="5"/>
        <v>0.6533333333</v>
      </c>
      <c r="N6270" s="2">
        <v>754500.0</v>
      </c>
      <c r="O6270" s="4">
        <f t="shared" si="6"/>
        <v>5030</v>
      </c>
      <c r="P6270" s="2">
        <v>0.0</v>
      </c>
      <c r="Q6270" s="3">
        <f t="shared" si="7"/>
        <v>0</v>
      </c>
      <c r="R6270" s="2">
        <v>56.0</v>
      </c>
      <c r="S6270" s="5">
        <f t="shared" si="8"/>
        <v>1</v>
      </c>
    </row>
    <row r="6271">
      <c r="A6271" s="2" t="s">
        <v>6270</v>
      </c>
      <c r="B6271" s="2">
        <v>7571.0</v>
      </c>
      <c r="C6271" s="2">
        <v>88546.0</v>
      </c>
      <c r="D6271" s="2">
        <v>24740.0</v>
      </c>
      <c r="E6271" s="3">
        <f t="shared" si="1"/>
        <v>0.305526397</v>
      </c>
      <c r="F6271" s="2">
        <v>9461.0</v>
      </c>
      <c r="G6271" s="3">
        <f t="shared" si="2"/>
        <v>0.1168385304</v>
      </c>
      <c r="H6271" s="2">
        <v>16295.0</v>
      </c>
      <c r="I6271" s="3">
        <f t="shared" si="3"/>
        <v>0.2012349491</v>
      </c>
      <c r="J6271" s="2">
        <v>13214.0</v>
      </c>
      <c r="K6271" s="3">
        <f t="shared" si="4"/>
        <v>0.1631861686</v>
      </c>
      <c r="L6271" s="2">
        <v>9598.0</v>
      </c>
      <c r="M6271" s="3">
        <f t="shared" si="5"/>
        <v>0.5890150353</v>
      </c>
      <c r="N6271" s="2">
        <v>9.83652E7</v>
      </c>
      <c r="O6271" s="4">
        <f t="shared" si="6"/>
        <v>6036.526542</v>
      </c>
      <c r="P6271" s="2">
        <v>25.0</v>
      </c>
      <c r="Q6271" s="3">
        <f t="shared" si="7"/>
        <v>0.003302073702</v>
      </c>
      <c r="R6271" s="2">
        <v>7571.0</v>
      </c>
      <c r="S6271" s="5">
        <f t="shared" si="8"/>
        <v>1</v>
      </c>
    </row>
    <row r="6272">
      <c r="A6272" s="2" t="s">
        <v>6271</v>
      </c>
      <c r="B6272" s="2">
        <v>616.0</v>
      </c>
      <c r="C6272" s="2">
        <v>7198.0</v>
      </c>
      <c r="D6272" s="2">
        <v>2126.0</v>
      </c>
      <c r="E6272" s="3">
        <f t="shared" si="1"/>
        <v>0.323002127</v>
      </c>
      <c r="F6272" s="2">
        <v>769.0</v>
      </c>
      <c r="G6272" s="3">
        <f t="shared" si="2"/>
        <v>0.1168337891</v>
      </c>
      <c r="H6272" s="2">
        <v>1322.0</v>
      </c>
      <c r="I6272" s="3">
        <f t="shared" si="3"/>
        <v>0.2008508052</v>
      </c>
      <c r="J6272" s="2">
        <v>1111.0</v>
      </c>
      <c r="K6272" s="3">
        <f t="shared" si="4"/>
        <v>0.1687936797</v>
      </c>
      <c r="L6272" s="2">
        <v>789.0</v>
      </c>
      <c r="M6272" s="3">
        <f t="shared" si="5"/>
        <v>0.5968229955</v>
      </c>
      <c r="N6272" s="2">
        <v>7632300.0</v>
      </c>
      <c r="O6272" s="4">
        <f t="shared" si="6"/>
        <v>5773.298033</v>
      </c>
      <c r="P6272" s="2">
        <v>1.0</v>
      </c>
      <c r="Q6272" s="3">
        <f t="shared" si="7"/>
        <v>0.001623376623</v>
      </c>
      <c r="R6272" s="2">
        <v>399.0</v>
      </c>
      <c r="S6272" s="5">
        <f t="shared" si="8"/>
        <v>0.6477272727</v>
      </c>
    </row>
    <row r="6273">
      <c r="A6273" s="2" t="s">
        <v>6272</v>
      </c>
      <c r="B6273" s="2">
        <v>237.0</v>
      </c>
      <c r="C6273" s="2">
        <v>2762.0</v>
      </c>
      <c r="D6273" s="2">
        <v>806.0</v>
      </c>
      <c r="E6273" s="3">
        <f t="shared" si="1"/>
        <v>0.3192079208</v>
      </c>
      <c r="F6273" s="2">
        <v>295.0</v>
      </c>
      <c r="G6273" s="3">
        <f t="shared" si="2"/>
        <v>0.1168316832</v>
      </c>
      <c r="H6273" s="2">
        <v>500.0</v>
      </c>
      <c r="I6273" s="3">
        <f t="shared" si="3"/>
        <v>0.198019802</v>
      </c>
      <c r="J6273" s="2">
        <v>448.0</v>
      </c>
      <c r="K6273" s="3">
        <f t="shared" si="4"/>
        <v>0.1774257426</v>
      </c>
      <c r="L6273" s="2">
        <v>297.0</v>
      </c>
      <c r="M6273" s="3">
        <f t="shared" si="5"/>
        <v>0.594</v>
      </c>
      <c r="N6273" s="2">
        <v>2912800.0</v>
      </c>
      <c r="O6273" s="4">
        <f t="shared" si="6"/>
        <v>5825.6</v>
      </c>
      <c r="P6273" s="2">
        <v>1.0</v>
      </c>
      <c r="Q6273" s="3">
        <f t="shared" si="7"/>
        <v>0.004219409283</v>
      </c>
      <c r="R6273" s="2">
        <v>237.0</v>
      </c>
      <c r="S6273" s="5">
        <f t="shared" si="8"/>
        <v>1</v>
      </c>
    </row>
    <row r="6274">
      <c r="A6274" s="2" t="s">
        <v>6273</v>
      </c>
      <c r="B6274" s="2">
        <v>214.0</v>
      </c>
      <c r="C6274" s="2">
        <v>2491.0</v>
      </c>
      <c r="D6274" s="2">
        <v>736.0</v>
      </c>
      <c r="E6274" s="3">
        <f t="shared" si="1"/>
        <v>0.3232323232</v>
      </c>
      <c r="F6274" s="2">
        <v>266.0</v>
      </c>
      <c r="G6274" s="3">
        <f t="shared" si="2"/>
        <v>0.1168203777</v>
      </c>
      <c r="H6274" s="2">
        <v>472.0</v>
      </c>
      <c r="I6274" s="3">
        <f t="shared" si="3"/>
        <v>0.2072902942</v>
      </c>
      <c r="J6274" s="2">
        <v>429.0</v>
      </c>
      <c r="K6274" s="3">
        <f t="shared" si="4"/>
        <v>0.1884057971</v>
      </c>
      <c r="L6274" s="2">
        <v>282.0</v>
      </c>
      <c r="M6274" s="3">
        <f t="shared" si="5"/>
        <v>0.5974576271</v>
      </c>
      <c r="N6274" s="2">
        <v>2936700.0</v>
      </c>
      <c r="O6274" s="4">
        <f t="shared" si="6"/>
        <v>6221.822034</v>
      </c>
      <c r="P6274" s="2">
        <v>1.0</v>
      </c>
      <c r="Q6274" s="3">
        <f t="shared" si="7"/>
        <v>0.004672897196</v>
      </c>
      <c r="R6274" s="2">
        <v>0.0</v>
      </c>
      <c r="S6274" s="5">
        <f t="shared" si="8"/>
        <v>0</v>
      </c>
    </row>
    <row r="6275">
      <c r="A6275" s="2" t="s">
        <v>6274</v>
      </c>
      <c r="B6275" s="2">
        <v>680.0</v>
      </c>
      <c r="C6275" s="2">
        <v>7991.0</v>
      </c>
      <c r="D6275" s="2">
        <v>2413.0</v>
      </c>
      <c r="E6275" s="3">
        <f t="shared" si="1"/>
        <v>0.3300506087</v>
      </c>
      <c r="F6275" s="2">
        <v>854.0</v>
      </c>
      <c r="G6275" s="3">
        <f t="shared" si="2"/>
        <v>0.1168102859</v>
      </c>
      <c r="H6275" s="2">
        <v>1613.0</v>
      </c>
      <c r="I6275" s="3">
        <f t="shared" si="3"/>
        <v>0.2206264533</v>
      </c>
      <c r="J6275" s="2">
        <v>1044.0</v>
      </c>
      <c r="K6275" s="3">
        <f t="shared" si="4"/>
        <v>0.1427985228</v>
      </c>
      <c r="L6275" s="2">
        <v>955.0</v>
      </c>
      <c r="M6275" s="3">
        <f t="shared" si="5"/>
        <v>0.5920644761</v>
      </c>
      <c r="N6275" s="2">
        <v>9099300.0</v>
      </c>
      <c r="O6275" s="4">
        <f t="shared" si="6"/>
        <v>5641.227526</v>
      </c>
      <c r="P6275" s="2">
        <v>2.0</v>
      </c>
      <c r="Q6275" s="3">
        <f t="shared" si="7"/>
        <v>0.002941176471</v>
      </c>
      <c r="R6275" s="2">
        <v>680.0</v>
      </c>
      <c r="S6275" s="5">
        <f t="shared" si="8"/>
        <v>1</v>
      </c>
    </row>
    <row r="6276">
      <c r="A6276" s="2" t="s">
        <v>6275</v>
      </c>
      <c r="B6276" s="2">
        <v>34.0</v>
      </c>
      <c r="C6276" s="2">
        <v>385.0</v>
      </c>
      <c r="D6276" s="2">
        <v>107.0</v>
      </c>
      <c r="E6276" s="3">
        <f t="shared" si="1"/>
        <v>0.3048433048</v>
      </c>
      <c r="F6276" s="2">
        <v>41.0</v>
      </c>
      <c r="G6276" s="3">
        <f t="shared" si="2"/>
        <v>0.1168091168</v>
      </c>
      <c r="H6276" s="2">
        <v>75.0</v>
      </c>
      <c r="I6276" s="3">
        <f t="shared" si="3"/>
        <v>0.2136752137</v>
      </c>
      <c r="J6276" s="2">
        <v>58.0</v>
      </c>
      <c r="K6276" s="3">
        <f t="shared" si="4"/>
        <v>0.1652421652</v>
      </c>
      <c r="L6276" s="2">
        <v>46.0</v>
      </c>
      <c r="M6276" s="3">
        <f t="shared" si="5"/>
        <v>0.6133333333</v>
      </c>
      <c r="N6276" s="2">
        <v>402800.0</v>
      </c>
      <c r="O6276" s="4">
        <f t="shared" si="6"/>
        <v>5370.666667</v>
      </c>
      <c r="P6276" s="2">
        <v>0.0</v>
      </c>
      <c r="Q6276" s="3">
        <f t="shared" si="7"/>
        <v>0</v>
      </c>
      <c r="R6276" s="2">
        <v>34.0</v>
      </c>
      <c r="S6276" s="5">
        <f t="shared" si="8"/>
        <v>1</v>
      </c>
    </row>
    <row r="6277">
      <c r="A6277" s="2" t="s">
        <v>6276</v>
      </c>
      <c r="B6277" s="2">
        <v>78.0</v>
      </c>
      <c r="C6277" s="2">
        <v>917.0</v>
      </c>
      <c r="D6277" s="2">
        <v>339.0</v>
      </c>
      <c r="E6277" s="3">
        <f t="shared" si="1"/>
        <v>0.4040524434</v>
      </c>
      <c r="F6277" s="2">
        <v>98.0</v>
      </c>
      <c r="G6277" s="3">
        <f t="shared" si="2"/>
        <v>0.1168057211</v>
      </c>
      <c r="H6277" s="2">
        <v>185.0</v>
      </c>
      <c r="I6277" s="3">
        <f t="shared" si="3"/>
        <v>0.2205005959</v>
      </c>
      <c r="J6277" s="2">
        <v>144.0</v>
      </c>
      <c r="K6277" s="3">
        <f t="shared" si="4"/>
        <v>0.1716328963</v>
      </c>
      <c r="L6277" s="2">
        <v>111.0</v>
      </c>
      <c r="M6277" s="3">
        <f t="shared" si="5"/>
        <v>0.6</v>
      </c>
      <c r="N6277" s="2">
        <v>968200.0</v>
      </c>
      <c r="O6277" s="4">
        <f t="shared" si="6"/>
        <v>5233.513514</v>
      </c>
      <c r="P6277" s="2">
        <v>0.0</v>
      </c>
      <c r="Q6277" s="3">
        <f t="shared" si="7"/>
        <v>0</v>
      </c>
      <c r="R6277" s="2">
        <v>78.0</v>
      </c>
      <c r="S6277" s="5">
        <f t="shared" si="8"/>
        <v>1</v>
      </c>
    </row>
    <row r="6278">
      <c r="A6278" s="2" t="s">
        <v>6277</v>
      </c>
      <c r="B6278" s="2">
        <v>280.0</v>
      </c>
      <c r="C6278" s="2">
        <v>3251.0</v>
      </c>
      <c r="D6278" s="2">
        <v>1097.0</v>
      </c>
      <c r="E6278" s="3">
        <f t="shared" si="1"/>
        <v>0.3692359475</v>
      </c>
      <c r="F6278" s="2">
        <v>347.0</v>
      </c>
      <c r="G6278" s="3">
        <f t="shared" si="2"/>
        <v>0.1167956917</v>
      </c>
      <c r="H6278" s="2">
        <v>609.0</v>
      </c>
      <c r="I6278" s="3">
        <f t="shared" si="3"/>
        <v>0.2049814877</v>
      </c>
      <c r="J6278" s="2">
        <v>416.0</v>
      </c>
      <c r="K6278" s="3">
        <f t="shared" si="4"/>
        <v>0.1400201952</v>
      </c>
      <c r="L6278" s="2">
        <v>390.0</v>
      </c>
      <c r="M6278" s="3">
        <f t="shared" si="5"/>
        <v>0.6403940887</v>
      </c>
      <c r="N6278" s="2">
        <v>3205600.0</v>
      </c>
      <c r="O6278" s="4">
        <f t="shared" si="6"/>
        <v>5263.711002</v>
      </c>
      <c r="P6278" s="2">
        <v>0.0</v>
      </c>
      <c r="Q6278" s="3">
        <f t="shared" si="7"/>
        <v>0</v>
      </c>
      <c r="R6278" s="2">
        <v>280.0</v>
      </c>
      <c r="S6278" s="5">
        <f t="shared" si="8"/>
        <v>1</v>
      </c>
    </row>
    <row r="6279">
      <c r="A6279" s="2" t="s">
        <v>6278</v>
      </c>
      <c r="B6279" s="2">
        <v>368.0</v>
      </c>
      <c r="C6279" s="2">
        <v>4418.0</v>
      </c>
      <c r="D6279" s="2">
        <v>1423.0</v>
      </c>
      <c r="E6279" s="3">
        <f t="shared" si="1"/>
        <v>0.3513580247</v>
      </c>
      <c r="F6279" s="2">
        <v>473.0</v>
      </c>
      <c r="G6279" s="3">
        <f t="shared" si="2"/>
        <v>0.1167901235</v>
      </c>
      <c r="H6279" s="2">
        <v>781.0</v>
      </c>
      <c r="I6279" s="3">
        <f t="shared" si="3"/>
        <v>0.1928395062</v>
      </c>
      <c r="J6279" s="2">
        <v>545.0</v>
      </c>
      <c r="K6279" s="3">
        <f t="shared" si="4"/>
        <v>0.1345679012</v>
      </c>
      <c r="L6279" s="2">
        <v>470.0</v>
      </c>
      <c r="M6279" s="3">
        <f t="shared" si="5"/>
        <v>0.6017925736</v>
      </c>
      <c r="N6279" s="2">
        <v>4254400.0</v>
      </c>
      <c r="O6279" s="4">
        <f t="shared" si="6"/>
        <v>5447.37516</v>
      </c>
      <c r="P6279" s="2">
        <v>1.0</v>
      </c>
      <c r="Q6279" s="3">
        <f t="shared" si="7"/>
        <v>0.002717391304</v>
      </c>
      <c r="R6279" s="2">
        <v>368.0</v>
      </c>
      <c r="S6279" s="5">
        <f t="shared" si="8"/>
        <v>1</v>
      </c>
    </row>
    <row r="6280">
      <c r="A6280" s="2" t="s">
        <v>6279</v>
      </c>
      <c r="B6280" s="2">
        <v>315.0</v>
      </c>
      <c r="C6280" s="2">
        <v>3740.0</v>
      </c>
      <c r="D6280" s="2">
        <v>1107.0</v>
      </c>
      <c r="E6280" s="3">
        <f t="shared" si="1"/>
        <v>0.3232116788</v>
      </c>
      <c r="F6280" s="2">
        <v>400.0</v>
      </c>
      <c r="G6280" s="3">
        <f t="shared" si="2"/>
        <v>0.1167883212</v>
      </c>
      <c r="H6280" s="2">
        <v>711.0</v>
      </c>
      <c r="I6280" s="3">
        <f t="shared" si="3"/>
        <v>0.2075912409</v>
      </c>
      <c r="J6280" s="2">
        <v>650.0</v>
      </c>
      <c r="K6280" s="3">
        <f t="shared" si="4"/>
        <v>0.1897810219</v>
      </c>
      <c r="L6280" s="2">
        <v>404.0</v>
      </c>
      <c r="M6280" s="3">
        <f t="shared" si="5"/>
        <v>0.5682137834</v>
      </c>
      <c r="N6280" s="2">
        <v>4256500.0</v>
      </c>
      <c r="O6280" s="4">
        <f t="shared" si="6"/>
        <v>5986.638537</v>
      </c>
      <c r="P6280" s="2">
        <v>0.0</v>
      </c>
      <c r="Q6280" s="3">
        <f t="shared" si="7"/>
        <v>0</v>
      </c>
      <c r="R6280" s="2">
        <v>315.0</v>
      </c>
      <c r="S6280" s="5">
        <f t="shared" si="8"/>
        <v>1</v>
      </c>
    </row>
    <row r="6281">
      <c r="A6281" s="2" t="s">
        <v>6280</v>
      </c>
      <c r="B6281" s="2">
        <v>109.0</v>
      </c>
      <c r="C6281" s="2">
        <v>1342.0</v>
      </c>
      <c r="D6281" s="2">
        <v>276.0</v>
      </c>
      <c r="E6281" s="3">
        <f t="shared" si="1"/>
        <v>0.2238442822</v>
      </c>
      <c r="F6281" s="2">
        <v>144.0</v>
      </c>
      <c r="G6281" s="3">
        <f t="shared" si="2"/>
        <v>0.1167883212</v>
      </c>
      <c r="H6281" s="2">
        <v>210.0</v>
      </c>
      <c r="I6281" s="3">
        <f t="shared" si="3"/>
        <v>0.1703163017</v>
      </c>
      <c r="J6281" s="2">
        <v>212.0</v>
      </c>
      <c r="K6281" s="3">
        <f t="shared" si="4"/>
        <v>0.1719383617</v>
      </c>
      <c r="L6281" s="2">
        <v>118.0</v>
      </c>
      <c r="M6281" s="3">
        <f t="shared" si="5"/>
        <v>0.5619047619</v>
      </c>
      <c r="N6281" s="2">
        <v>1404400.0</v>
      </c>
      <c r="O6281" s="4">
        <f t="shared" si="6"/>
        <v>6687.619048</v>
      </c>
      <c r="P6281" s="2">
        <v>1.0</v>
      </c>
      <c r="Q6281" s="3">
        <f t="shared" si="7"/>
        <v>0.009174311927</v>
      </c>
      <c r="R6281" s="2">
        <v>109.0</v>
      </c>
      <c r="S6281" s="5">
        <f t="shared" si="8"/>
        <v>1</v>
      </c>
    </row>
    <row r="6282">
      <c r="A6282" s="2" t="s">
        <v>6281</v>
      </c>
      <c r="B6282" s="2">
        <v>2597.0</v>
      </c>
      <c r="C6282" s="2">
        <v>30871.0</v>
      </c>
      <c r="D6282" s="2">
        <v>9597.0</v>
      </c>
      <c r="E6282" s="3">
        <f t="shared" si="1"/>
        <v>0.3394284502</v>
      </c>
      <c r="F6282" s="2">
        <v>3302.0</v>
      </c>
      <c r="G6282" s="3">
        <f t="shared" si="2"/>
        <v>0.1167857395</v>
      </c>
      <c r="H6282" s="2">
        <v>5973.0</v>
      </c>
      <c r="I6282" s="3">
        <f t="shared" si="3"/>
        <v>0.2112541558</v>
      </c>
      <c r="J6282" s="2">
        <v>4498.0</v>
      </c>
      <c r="K6282" s="3">
        <f t="shared" si="4"/>
        <v>0.1590860862</v>
      </c>
      <c r="L6282" s="2">
        <v>3538.0</v>
      </c>
      <c r="M6282" s="3">
        <f t="shared" si="5"/>
        <v>0.5923321614</v>
      </c>
      <c r="N6282" s="2">
        <v>3.13354E7</v>
      </c>
      <c r="O6282" s="4">
        <f t="shared" si="6"/>
        <v>5246.174452</v>
      </c>
      <c r="P6282" s="2">
        <v>3.0</v>
      </c>
      <c r="Q6282" s="3">
        <f t="shared" si="7"/>
        <v>0.001155179053</v>
      </c>
      <c r="R6282" s="2">
        <v>2597.0</v>
      </c>
      <c r="S6282" s="5">
        <f t="shared" si="8"/>
        <v>1</v>
      </c>
    </row>
    <row r="6283">
      <c r="A6283" s="2" t="s">
        <v>6282</v>
      </c>
      <c r="B6283" s="2">
        <v>122.0</v>
      </c>
      <c r="C6283" s="2">
        <v>1415.0</v>
      </c>
      <c r="D6283" s="2">
        <v>442.0</v>
      </c>
      <c r="E6283" s="3">
        <f t="shared" si="1"/>
        <v>0.3418406806</v>
      </c>
      <c r="F6283" s="2">
        <v>151.0</v>
      </c>
      <c r="G6283" s="3">
        <f t="shared" si="2"/>
        <v>0.1167826759</v>
      </c>
      <c r="H6283" s="2">
        <v>268.0</v>
      </c>
      <c r="I6283" s="3">
        <f t="shared" si="3"/>
        <v>0.2072699149</v>
      </c>
      <c r="J6283" s="2">
        <v>234.0</v>
      </c>
      <c r="K6283" s="3">
        <f t="shared" si="4"/>
        <v>0.180974478</v>
      </c>
      <c r="L6283" s="2">
        <v>182.0</v>
      </c>
      <c r="M6283" s="3">
        <f t="shared" si="5"/>
        <v>0.6791044776</v>
      </c>
      <c r="N6283" s="2">
        <v>1391100.0</v>
      </c>
      <c r="O6283" s="4">
        <f t="shared" si="6"/>
        <v>5190.671642</v>
      </c>
      <c r="P6283" s="2">
        <v>0.0</v>
      </c>
      <c r="Q6283" s="3">
        <f t="shared" si="7"/>
        <v>0</v>
      </c>
      <c r="R6283" s="2">
        <v>0.0</v>
      </c>
      <c r="S6283" s="5">
        <f t="shared" si="8"/>
        <v>0</v>
      </c>
    </row>
    <row r="6284">
      <c r="A6284" s="2" t="s">
        <v>6283</v>
      </c>
      <c r="B6284" s="2">
        <v>344.0</v>
      </c>
      <c r="C6284" s="2">
        <v>4052.0</v>
      </c>
      <c r="D6284" s="2">
        <v>1255.0</v>
      </c>
      <c r="E6284" s="3">
        <f t="shared" si="1"/>
        <v>0.3384573894</v>
      </c>
      <c r="F6284" s="2">
        <v>433.0</v>
      </c>
      <c r="G6284" s="3">
        <f t="shared" si="2"/>
        <v>0.1167745415</v>
      </c>
      <c r="H6284" s="2">
        <v>772.0</v>
      </c>
      <c r="I6284" s="3">
        <f t="shared" si="3"/>
        <v>0.2081984898</v>
      </c>
      <c r="J6284" s="2">
        <v>720.0</v>
      </c>
      <c r="K6284" s="3">
        <f t="shared" si="4"/>
        <v>0.1941747573</v>
      </c>
      <c r="L6284" s="2">
        <v>451.0</v>
      </c>
      <c r="M6284" s="3">
        <f t="shared" si="5"/>
        <v>0.5841968912</v>
      </c>
      <c r="N6284" s="2">
        <v>4271100.0</v>
      </c>
      <c r="O6284" s="4">
        <f t="shared" si="6"/>
        <v>5532.512953</v>
      </c>
      <c r="P6284" s="2">
        <v>1.0</v>
      </c>
      <c r="Q6284" s="3">
        <f t="shared" si="7"/>
        <v>0.002906976744</v>
      </c>
      <c r="R6284" s="2">
        <v>344.0</v>
      </c>
      <c r="S6284" s="5">
        <f t="shared" si="8"/>
        <v>1</v>
      </c>
    </row>
    <row r="6285">
      <c r="A6285" s="2" t="s">
        <v>6284</v>
      </c>
      <c r="B6285" s="2">
        <v>43.0</v>
      </c>
      <c r="C6285" s="2">
        <v>514.0</v>
      </c>
      <c r="D6285" s="2">
        <v>166.0</v>
      </c>
      <c r="E6285" s="3">
        <f t="shared" si="1"/>
        <v>0.3524416136</v>
      </c>
      <c r="F6285" s="2">
        <v>55.0</v>
      </c>
      <c r="G6285" s="3">
        <f t="shared" si="2"/>
        <v>0.1167728238</v>
      </c>
      <c r="H6285" s="2">
        <v>97.0</v>
      </c>
      <c r="I6285" s="3">
        <f t="shared" si="3"/>
        <v>0.2059447983</v>
      </c>
      <c r="J6285" s="2">
        <v>67.0</v>
      </c>
      <c r="K6285" s="3">
        <f t="shared" si="4"/>
        <v>0.1422505308</v>
      </c>
      <c r="L6285" s="2">
        <v>59.0</v>
      </c>
      <c r="M6285" s="3">
        <f t="shared" si="5"/>
        <v>0.6082474227</v>
      </c>
      <c r="N6285" s="2">
        <v>458700.0</v>
      </c>
      <c r="O6285" s="4">
        <f t="shared" si="6"/>
        <v>4728.865979</v>
      </c>
      <c r="P6285" s="2">
        <v>0.0</v>
      </c>
      <c r="Q6285" s="3">
        <f t="shared" si="7"/>
        <v>0</v>
      </c>
      <c r="R6285" s="2">
        <v>43.0</v>
      </c>
      <c r="S6285" s="5">
        <f t="shared" si="8"/>
        <v>1</v>
      </c>
    </row>
    <row r="6286">
      <c r="A6286" s="2" t="s">
        <v>6285</v>
      </c>
      <c r="B6286" s="2">
        <v>329.0</v>
      </c>
      <c r="C6286" s="2">
        <v>3960.0</v>
      </c>
      <c r="D6286" s="2">
        <v>1042.0</v>
      </c>
      <c r="E6286" s="3">
        <f t="shared" si="1"/>
        <v>0.2869732856</v>
      </c>
      <c r="F6286" s="2">
        <v>424.0</v>
      </c>
      <c r="G6286" s="3">
        <f t="shared" si="2"/>
        <v>0.1167722391</v>
      </c>
      <c r="H6286" s="2">
        <v>713.0</v>
      </c>
      <c r="I6286" s="3">
        <f t="shared" si="3"/>
        <v>0.1963646378</v>
      </c>
      <c r="J6286" s="2">
        <v>649.0</v>
      </c>
      <c r="K6286" s="3">
        <f t="shared" si="4"/>
        <v>0.1787386395</v>
      </c>
      <c r="L6286" s="2">
        <v>444.0</v>
      </c>
      <c r="M6286" s="3">
        <f t="shared" si="5"/>
        <v>0.6227208976</v>
      </c>
      <c r="N6286" s="2">
        <v>4143900.0</v>
      </c>
      <c r="O6286" s="4">
        <f t="shared" si="6"/>
        <v>5811.921459</v>
      </c>
      <c r="P6286" s="2">
        <v>0.0</v>
      </c>
      <c r="Q6286" s="3">
        <f t="shared" si="7"/>
        <v>0</v>
      </c>
      <c r="R6286" s="2">
        <v>215.0</v>
      </c>
      <c r="S6286" s="5">
        <f t="shared" si="8"/>
        <v>0.6534954407</v>
      </c>
    </row>
    <row r="6287">
      <c r="A6287" s="2" t="s">
        <v>6286</v>
      </c>
      <c r="B6287" s="2">
        <v>288.0</v>
      </c>
      <c r="C6287" s="2">
        <v>3354.0</v>
      </c>
      <c r="D6287" s="2">
        <v>1346.0</v>
      </c>
      <c r="E6287" s="3">
        <f t="shared" si="1"/>
        <v>0.4390084801</v>
      </c>
      <c r="F6287" s="2">
        <v>358.0</v>
      </c>
      <c r="G6287" s="3">
        <f t="shared" si="2"/>
        <v>0.116764514</v>
      </c>
      <c r="H6287" s="2">
        <v>651.0</v>
      </c>
      <c r="I6287" s="3">
        <f t="shared" si="3"/>
        <v>0.2123287671</v>
      </c>
      <c r="J6287" s="2">
        <v>392.0</v>
      </c>
      <c r="K6287" s="3">
        <f t="shared" si="4"/>
        <v>0.1278538813</v>
      </c>
      <c r="L6287" s="2">
        <v>412.0</v>
      </c>
      <c r="M6287" s="3">
        <f t="shared" si="5"/>
        <v>0.6328725038</v>
      </c>
      <c r="N6287" s="2">
        <v>3300100.0</v>
      </c>
      <c r="O6287" s="4">
        <f t="shared" si="6"/>
        <v>5069.278034</v>
      </c>
      <c r="P6287" s="2">
        <v>0.0</v>
      </c>
      <c r="Q6287" s="3">
        <f t="shared" si="7"/>
        <v>0</v>
      </c>
      <c r="R6287" s="2">
        <v>288.0</v>
      </c>
      <c r="S6287" s="5">
        <f t="shared" si="8"/>
        <v>1</v>
      </c>
    </row>
    <row r="6288">
      <c r="A6288" s="2" t="s">
        <v>6287</v>
      </c>
      <c r="B6288" s="2">
        <v>1531.0</v>
      </c>
      <c r="C6288" s="2">
        <v>17872.0</v>
      </c>
      <c r="D6288" s="2">
        <v>5435.0</v>
      </c>
      <c r="E6288" s="3">
        <f t="shared" si="1"/>
        <v>0.3325989842</v>
      </c>
      <c r="F6288" s="2">
        <v>1908.0</v>
      </c>
      <c r="G6288" s="3">
        <f t="shared" si="2"/>
        <v>0.1167615201</v>
      </c>
      <c r="H6288" s="2">
        <v>3476.0</v>
      </c>
      <c r="I6288" s="3">
        <f t="shared" si="3"/>
        <v>0.21271648</v>
      </c>
      <c r="J6288" s="2">
        <v>2494.0</v>
      </c>
      <c r="K6288" s="3">
        <f t="shared" si="4"/>
        <v>0.1526222385</v>
      </c>
      <c r="L6288" s="2">
        <v>2086.0</v>
      </c>
      <c r="M6288" s="3">
        <f t="shared" si="5"/>
        <v>0.6001150748</v>
      </c>
      <c r="N6288" s="2">
        <v>1.90833E7</v>
      </c>
      <c r="O6288" s="4">
        <f t="shared" si="6"/>
        <v>5490.017261</v>
      </c>
      <c r="P6288" s="2">
        <v>4.0</v>
      </c>
      <c r="Q6288" s="3">
        <f t="shared" si="7"/>
        <v>0.002612671457</v>
      </c>
      <c r="R6288" s="2">
        <v>1531.0</v>
      </c>
      <c r="S6288" s="5">
        <f t="shared" si="8"/>
        <v>1</v>
      </c>
    </row>
    <row r="6289">
      <c r="A6289" s="2" t="s">
        <v>6288</v>
      </c>
      <c r="B6289" s="2">
        <v>369.0</v>
      </c>
      <c r="C6289" s="2">
        <v>4455.0</v>
      </c>
      <c r="D6289" s="2">
        <v>1371.0</v>
      </c>
      <c r="E6289" s="3">
        <f t="shared" si="1"/>
        <v>0.3355359765</v>
      </c>
      <c r="F6289" s="2">
        <v>477.0</v>
      </c>
      <c r="G6289" s="3">
        <f t="shared" si="2"/>
        <v>0.1167400881</v>
      </c>
      <c r="H6289" s="2">
        <v>888.0</v>
      </c>
      <c r="I6289" s="3">
        <f t="shared" si="3"/>
        <v>0.2173274596</v>
      </c>
      <c r="J6289" s="2">
        <v>684.0</v>
      </c>
      <c r="K6289" s="3">
        <f t="shared" si="4"/>
        <v>0.1674008811</v>
      </c>
      <c r="L6289" s="2">
        <v>517.0</v>
      </c>
      <c r="M6289" s="3">
        <f t="shared" si="5"/>
        <v>0.5822072072</v>
      </c>
      <c r="N6289" s="2">
        <v>5159300.0</v>
      </c>
      <c r="O6289" s="4">
        <f t="shared" si="6"/>
        <v>5810.022523</v>
      </c>
      <c r="P6289" s="2">
        <v>0.0</v>
      </c>
      <c r="Q6289" s="3">
        <f t="shared" si="7"/>
        <v>0</v>
      </c>
      <c r="R6289" s="2">
        <v>365.0</v>
      </c>
      <c r="S6289" s="5">
        <f t="shared" si="8"/>
        <v>0.9891598916</v>
      </c>
    </row>
    <row r="6290">
      <c r="A6290" s="2" t="s">
        <v>6289</v>
      </c>
      <c r="B6290" s="2">
        <v>37.0</v>
      </c>
      <c r="C6290" s="2">
        <v>414.0</v>
      </c>
      <c r="D6290" s="2">
        <v>175.0</v>
      </c>
      <c r="E6290" s="3">
        <f t="shared" si="1"/>
        <v>0.4641909814</v>
      </c>
      <c r="F6290" s="2">
        <v>44.0</v>
      </c>
      <c r="G6290" s="3">
        <f t="shared" si="2"/>
        <v>0.1167108753</v>
      </c>
      <c r="H6290" s="2">
        <v>68.0</v>
      </c>
      <c r="I6290" s="3">
        <f t="shared" si="3"/>
        <v>0.1803713528</v>
      </c>
      <c r="J6290" s="2">
        <v>47.0</v>
      </c>
      <c r="K6290" s="3">
        <f t="shared" si="4"/>
        <v>0.124668435</v>
      </c>
      <c r="L6290" s="2">
        <v>43.0</v>
      </c>
      <c r="M6290" s="3">
        <f t="shared" si="5"/>
        <v>0.6323529412</v>
      </c>
      <c r="N6290" s="2">
        <v>302300.0</v>
      </c>
      <c r="O6290" s="4">
        <f t="shared" si="6"/>
        <v>4445.588235</v>
      </c>
      <c r="P6290" s="2">
        <v>0.0</v>
      </c>
      <c r="Q6290" s="3">
        <f t="shared" si="7"/>
        <v>0</v>
      </c>
      <c r="R6290" s="2">
        <v>37.0</v>
      </c>
      <c r="S6290" s="5">
        <f t="shared" si="8"/>
        <v>1</v>
      </c>
    </row>
    <row r="6291">
      <c r="A6291" s="2" t="s">
        <v>6290</v>
      </c>
      <c r="B6291" s="2">
        <v>872.0</v>
      </c>
      <c r="C6291" s="2">
        <v>10247.0</v>
      </c>
      <c r="D6291" s="2">
        <v>3572.0</v>
      </c>
      <c r="E6291" s="3">
        <f t="shared" si="1"/>
        <v>0.3810133333</v>
      </c>
      <c r="F6291" s="2">
        <v>1094.0</v>
      </c>
      <c r="G6291" s="3">
        <f t="shared" si="2"/>
        <v>0.1166933333</v>
      </c>
      <c r="H6291" s="2">
        <v>1979.0</v>
      </c>
      <c r="I6291" s="3">
        <f t="shared" si="3"/>
        <v>0.2110933333</v>
      </c>
      <c r="J6291" s="2">
        <v>1565.0</v>
      </c>
      <c r="K6291" s="3">
        <f t="shared" si="4"/>
        <v>0.1669333333</v>
      </c>
      <c r="L6291" s="2">
        <v>1172.0</v>
      </c>
      <c r="M6291" s="3">
        <f t="shared" si="5"/>
        <v>0.5922182921</v>
      </c>
      <c r="N6291" s="2">
        <v>1.11261E7</v>
      </c>
      <c r="O6291" s="4">
        <f t="shared" si="6"/>
        <v>5622.08186</v>
      </c>
      <c r="P6291" s="2">
        <v>4.0</v>
      </c>
      <c r="Q6291" s="3">
        <f t="shared" si="7"/>
        <v>0.004587155963</v>
      </c>
      <c r="R6291" s="2">
        <v>872.0</v>
      </c>
      <c r="S6291" s="5">
        <f t="shared" si="8"/>
        <v>1</v>
      </c>
    </row>
    <row r="6292">
      <c r="A6292" s="2" t="s">
        <v>6291</v>
      </c>
      <c r="B6292" s="2">
        <v>297.0</v>
      </c>
      <c r="C6292" s="2">
        <v>3502.0</v>
      </c>
      <c r="D6292" s="2">
        <v>707.0</v>
      </c>
      <c r="E6292" s="3">
        <f t="shared" si="1"/>
        <v>0.2205928237</v>
      </c>
      <c r="F6292" s="2">
        <v>374.0</v>
      </c>
      <c r="G6292" s="3">
        <f t="shared" si="2"/>
        <v>0.1166926677</v>
      </c>
      <c r="H6292" s="2">
        <v>652.0</v>
      </c>
      <c r="I6292" s="3">
        <f t="shared" si="3"/>
        <v>0.2034321373</v>
      </c>
      <c r="J6292" s="2">
        <v>591.0</v>
      </c>
      <c r="K6292" s="3">
        <f t="shared" si="4"/>
        <v>0.184399376</v>
      </c>
      <c r="L6292" s="2">
        <v>373.0</v>
      </c>
      <c r="M6292" s="3">
        <f t="shared" si="5"/>
        <v>0.5720858896</v>
      </c>
      <c r="N6292" s="2">
        <v>4167100.0</v>
      </c>
      <c r="O6292" s="4">
        <f t="shared" si="6"/>
        <v>6391.257669</v>
      </c>
      <c r="P6292" s="2">
        <v>2.0</v>
      </c>
      <c r="Q6292" s="3">
        <f t="shared" si="7"/>
        <v>0.006734006734</v>
      </c>
      <c r="R6292" s="2">
        <v>297.0</v>
      </c>
      <c r="S6292" s="5">
        <f t="shared" si="8"/>
        <v>1</v>
      </c>
    </row>
    <row r="6293">
      <c r="A6293" s="2" t="s">
        <v>6292</v>
      </c>
      <c r="B6293" s="2">
        <v>171.0</v>
      </c>
      <c r="C6293" s="2">
        <v>2005.0</v>
      </c>
      <c r="D6293" s="2">
        <v>630.0</v>
      </c>
      <c r="E6293" s="3">
        <f t="shared" si="1"/>
        <v>0.3435114504</v>
      </c>
      <c r="F6293" s="2">
        <v>214.0</v>
      </c>
      <c r="G6293" s="3">
        <f t="shared" si="2"/>
        <v>0.1166848419</v>
      </c>
      <c r="H6293" s="2">
        <v>413.0</v>
      </c>
      <c r="I6293" s="3">
        <f t="shared" si="3"/>
        <v>0.2251908397</v>
      </c>
      <c r="J6293" s="2">
        <v>372.0</v>
      </c>
      <c r="K6293" s="3">
        <f t="shared" si="4"/>
        <v>0.2028353326</v>
      </c>
      <c r="L6293" s="2">
        <v>253.0</v>
      </c>
      <c r="M6293" s="3">
        <f t="shared" si="5"/>
        <v>0.612590799</v>
      </c>
      <c r="N6293" s="2">
        <v>2203300.0</v>
      </c>
      <c r="O6293" s="4">
        <f t="shared" si="6"/>
        <v>5334.866828</v>
      </c>
      <c r="P6293" s="2">
        <v>0.0</v>
      </c>
      <c r="Q6293" s="3">
        <f t="shared" si="7"/>
        <v>0</v>
      </c>
      <c r="R6293" s="2">
        <v>0.0</v>
      </c>
      <c r="S6293" s="5">
        <f t="shared" si="8"/>
        <v>0</v>
      </c>
    </row>
    <row r="6294">
      <c r="A6294" s="2" t="s">
        <v>6293</v>
      </c>
      <c r="B6294" s="2">
        <v>312.0</v>
      </c>
      <c r="C6294" s="2">
        <v>3723.0</v>
      </c>
      <c r="D6294" s="2">
        <v>1212.0</v>
      </c>
      <c r="E6294" s="3">
        <f t="shared" si="1"/>
        <v>0.3553210202</v>
      </c>
      <c r="F6294" s="2">
        <v>398.0</v>
      </c>
      <c r="G6294" s="3">
        <f t="shared" si="2"/>
        <v>0.1166813251</v>
      </c>
      <c r="H6294" s="2">
        <v>707.0</v>
      </c>
      <c r="I6294" s="3">
        <f t="shared" si="3"/>
        <v>0.2072705951</v>
      </c>
      <c r="J6294" s="2">
        <v>553.0</v>
      </c>
      <c r="K6294" s="3">
        <f t="shared" si="4"/>
        <v>0.1621225447</v>
      </c>
      <c r="L6294" s="2">
        <v>422.0</v>
      </c>
      <c r="M6294" s="3">
        <f t="shared" si="5"/>
        <v>0.5968882603</v>
      </c>
      <c r="N6294" s="2">
        <v>3820900.0</v>
      </c>
      <c r="O6294" s="4">
        <f t="shared" si="6"/>
        <v>5404.384724</v>
      </c>
      <c r="P6294" s="2">
        <v>1.0</v>
      </c>
      <c r="Q6294" s="3">
        <f t="shared" si="7"/>
        <v>0.003205128205</v>
      </c>
      <c r="R6294" s="2">
        <v>312.0</v>
      </c>
      <c r="S6294" s="5">
        <f t="shared" si="8"/>
        <v>1</v>
      </c>
    </row>
    <row r="6295">
      <c r="A6295" s="2" t="s">
        <v>6294</v>
      </c>
      <c r="B6295" s="2">
        <v>518.0</v>
      </c>
      <c r="C6295" s="2">
        <v>6072.0</v>
      </c>
      <c r="D6295" s="2">
        <v>2132.0</v>
      </c>
      <c r="E6295" s="3">
        <f t="shared" si="1"/>
        <v>0.3838674829</v>
      </c>
      <c r="F6295" s="2">
        <v>648.0</v>
      </c>
      <c r="G6295" s="3">
        <f t="shared" si="2"/>
        <v>0.1166726683</v>
      </c>
      <c r="H6295" s="2">
        <v>1203.0</v>
      </c>
      <c r="I6295" s="3">
        <f t="shared" si="3"/>
        <v>0.2166006482</v>
      </c>
      <c r="J6295" s="2">
        <v>922.0</v>
      </c>
      <c r="K6295" s="3">
        <f t="shared" si="4"/>
        <v>0.1660064818</v>
      </c>
      <c r="L6295" s="2">
        <v>717.0</v>
      </c>
      <c r="M6295" s="3">
        <f t="shared" si="5"/>
        <v>0.5960099751</v>
      </c>
      <c r="N6295" s="2">
        <v>6593100.0</v>
      </c>
      <c r="O6295" s="4">
        <f t="shared" si="6"/>
        <v>5480.548628</v>
      </c>
      <c r="P6295" s="2">
        <v>0.0</v>
      </c>
      <c r="Q6295" s="3">
        <f t="shared" si="7"/>
        <v>0</v>
      </c>
      <c r="R6295" s="2">
        <v>364.0</v>
      </c>
      <c r="S6295" s="5">
        <f t="shared" si="8"/>
        <v>0.7027027027</v>
      </c>
    </row>
    <row r="6296">
      <c r="A6296" s="2" t="s">
        <v>6295</v>
      </c>
      <c r="B6296" s="2">
        <v>208.0</v>
      </c>
      <c r="C6296" s="2">
        <v>2411.0</v>
      </c>
      <c r="D6296" s="2">
        <v>877.0</v>
      </c>
      <c r="E6296" s="3">
        <f t="shared" si="1"/>
        <v>0.3980935089</v>
      </c>
      <c r="F6296" s="2">
        <v>257.0</v>
      </c>
      <c r="G6296" s="3">
        <f t="shared" si="2"/>
        <v>0.1166591012</v>
      </c>
      <c r="H6296" s="2">
        <v>485.0</v>
      </c>
      <c r="I6296" s="3">
        <f t="shared" si="3"/>
        <v>0.220154335</v>
      </c>
      <c r="J6296" s="2">
        <v>415.0</v>
      </c>
      <c r="K6296" s="3">
        <f t="shared" si="4"/>
        <v>0.1883794825</v>
      </c>
      <c r="L6296" s="2">
        <v>290.0</v>
      </c>
      <c r="M6296" s="3">
        <f t="shared" si="5"/>
        <v>0.5979381443</v>
      </c>
      <c r="N6296" s="2">
        <v>2795000.0</v>
      </c>
      <c r="O6296" s="4">
        <f t="shared" si="6"/>
        <v>5762.886598</v>
      </c>
      <c r="P6296" s="2">
        <v>0.0</v>
      </c>
      <c r="Q6296" s="3">
        <f t="shared" si="7"/>
        <v>0</v>
      </c>
      <c r="R6296" s="2">
        <v>184.0</v>
      </c>
      <c r="S6296" s="5">
        <f t="shared" si="8"/>
        <v>0.8846153846</v>
      </c>
    </row>
    <row r="6297">
      <c r="A6297" s="2" t="s">
        <v>6296</v>
      </c>
      <c r="B6297" s="2">
        <v>115.0</v>
      </c>
      <c r="C6297" s="2">
        <v>1358.0</v>
      </c>
      <c r="D6297" s="2">
        <v>458.0</v>
      </c>
      <c r="E6297" s="3">
        <f t="shared" si="1"/>
        <v>0.368463395</v>
      </c>
      <c r="F6297" s="2">
        <v>145.0</v>
      </c>
      <c r="G6297" s="3">
        <f t="shared" si="2"/>
        <v>0.1166532582</v>
      </c>
      <c r="H6297" s="2">
        <v>229.0</v>
      </c>
      <c r="I6297" s="3">
        <f t="shared" si="3"/>
        <v>0.1842316975</v>
      </c>
      <c r="J6297" s="2">
        <v>160.0</v>
      </c>
      <c r="K6297" s="3">
        <f t="shared" si="4"/>
        <v>0.1287208367</v>
      </c>
      <c r="L6297" s="2">
        <v>143.0</v>
      </c>
      <c r="M6297" s="3">
        <f t="shared" si="5"/>
        <v>0.6244541485</v>
      </c>
      <c r="N6297" s="2">
        <v>1186400.0</v>
      </c>
      <c r="O6297" s="4">
        <f t="shared" si="6"/>
        <v>5180.786026</v>
      </c>
      <c r="P6297" s="2">
        <v>0.0</v>
      </c>
      <c r="Q6297" s="3">
        <f t="shared" si="7"/>
        <v>0</v>
      </c>
      <c r="R6297" s="2">
        <v>115.0</v>
      </c>
      <c r="S6297" s="5">
        <f t="shared" si="8"/>
        <v>1</v>
      </c>
    </row>
    <row r="6298">
      <c r="A6298" s="2" t="s">
        <v>6297</v>
      </c>
      <c r="B6298" s="2">
        <v>522.0</v>
      </c>
      <c r="C6298" s="2">
        <v>6120.0</v>
      </c>
      <c r="D6298" s="2">
        <v>1837.0</v>
      </c>
      <c r="E6298" s="3">
        <f t="shared" si="1"/>
        <v>0.3281529118</v>
      </c>
      <c r="F6298" s="2">
        <v>653.0</v>
      </c>
      <c r="G6298" s="3">
        <f t="shared" si="2"/>
        <v>0.1166488031</v>
      </c>
      <c r="H6298" s="2">
        <v>1187.0</v>
      </c>
      <c r="I6298" s="3">
        <f t="shared" si="3"/>
        <v>0.2120400143</v>
      </c>
      <c r="J6298" s="2">
        <v>833.0</v>
      </c>
      <c r="K6298" s="3">
        <f t="shared" si="4"/>
        <v>0.148803144</v>
      </c>
      <c r="L6298" s="2">
        <v>713.0</v>
      </c>
      <c r="M6298" s="3">
        <f t="shared" si="5"/>
        <v>0.600673968</v>
      </c>
      <c r="N6298" s="2">
        <v>6650800.0</v>
      </c>
      <c r="O6298" s="4">
        <f t="shared" si="6"/>
        <v>5603.032856</v>
      </c>
      <c r="P6298" s="2">
        <v>0.0</v>
      </c>
      <c r="Q6298" s="3">
        <f t="shared" si="7"/>
        <v>0</v>
      </c>
      <c r="R6298" s="2">
        <v>522.0</v>
      </c>
      <c r="S6298" s="5">
        <f t="shared" si="8"/>
        <v>1</v>
      </c>
    </row>
    <row r="6299">
      <c r="A6299" s="2" t="s">
        <v>6298</v>
      </c>
      <c r="B6299" s="2">
        <v>912.0</v>
      </c>
      <c r="C6299" s="2">
        <v>10617.0</v>
      </c>
      <c r="D6299" s="2">
        <v>3701.0</v>
      </c>
      <c r="E6299" s="3">
        <f t="shared" si="1"/>
        <v>0.3813498197</v>
      </c>
      <c r="F6299" s="2">
        <v>1132.0</v>
      </c>
      <c r="G6299" s="3">
        <f t="shared" si="2"/>
        <v>0.1166409067</v>
      </c>
      <c r="H6299" s="2">
        <v>2100.0</v>
      </c>
      <c r="I6299" s="3">
        <f t="shared" si="3"/>
        <v>0.2163833076</v>
      </c>
      <c r="J6299" s="2">
        <v>1433.0</v>
      </c>
      <c r="K6299" s="3">
        <f t="shared" si="4"/>
        <v>0.1476558475</v>
      </c>
      <c r="L6299" s="2">
        <v>1290.0</v>
      </c>
      <c r="M6299" s="3">
        <f t="shared" si="5"/>
        <v>0.6142857143</v>
      </c>
      <c r="N6299" s="2">
        <v>1.11272E7</v>
      </c>
      <c r="O6299" s="4">
        <f t="shared" si="6"/>
        <v>5298.666667</v>
      </c>
      <c r="P6299" s="2">
        <v>3.0</v>
      </c>
      <c r="Q6299" s="3">
        <f t="shared" si="7"/>
        <v>0.003289473684</v>
      </c>
      <c r="R6299" s="2">
        <v>912.0</v>
      </c>
      <c r="S6299" s="5">
        <f t="shared" si="8"/>
        <v>1</v>
      </c>
    </row>
    <row r="6300">
      <c r="A6300" s="8">
        <v>0.89</v>
      </c>
      <c r="B6300" s="2">
        <v>292.0</v>
      </c>
      <c r="C6300" s="2">
        <v>3507.0</v>
      </c>
      <c r="D6300" s="2">
        <v>1282.0</v>
      </c>
      <c r="E6300" s="3">
        <f t="shared" si="1"/>
        <v>0.398755832</v>
      </c>
      <c r="F6300" s="2">
        <v>375.0</v>
      </c>
      <c r="G6300" s="3">
        <f t="shared" si="2"/>
        <v>0.1166407465</v>
      </c>
      <c r="H6300" s="2">
        <v>670.0</v>
      </c>
      <c r="I6300" s="3">
        <f t="shared" si="3"/>
        <v>0.2083981337</v>
      </c>
      <c r="J6300" s="2">
        <v>449.0</v>
      </c>
      <c r="K6300" s="3">
        <f t="shared" si="4"/>
        <v>0.1396578538</v>
      </c>
      <c r="L6300" s="2">
        <v>420.0</v>
      </c>
      <c r="M6300" s="3">
        <f t="shared" si="5"/>
        <v>0.6268656716</v>
      </c>
      <c r="N6300" s="2">
        <v>3454500.0</v>
      </c>
      <c r="O6300" s="4">
        <f t="shared" si="6"/>
        <v>5155.970149</v>
      </c>
      <c r="P6300" s="2">
        <v>1.0</v>
      </c>
      <c r="Q6300" s="3">
        <f t="shared" si="7"/>
        <v>0.003424657534</v>
      </c>
      <c r="R6300" s="2">
        <v>292.0</v>
      </c>
      <c r="S6300" s="5">
        <f t="shared" si="8"/>
        <v>1</v>
      </c>
    </row>
    <row r="6301">
      <c r="A6301" s="2" t="s">
        <v>6299</v>
      </c>
      <c r="B6301" s="2">
        <v>1076.0</v>
      </c>
      <c r="C6301" s="2">
        <v>12573.0</v>
      </c>
      <c r="D6301" s="2">
        <v>3969.0</v>
      </c>
      <c r="E6301" s="3">
        <f t="shared" si="1"/>
        <v>0.3452204923</v>
      </c>
      <c r="F6301" s="2">
        <v>1341.0</v>
      </c>
      <c r="G6301" s="3">
        <f t="shared" si="2"/>
        <v>0.1166391232</v>
      </c>
      <c r="H6301" s="2">
        <v>2544.0</v>
      </c>
      <c r="I6301" s="3">
        <f t="shared" si="3"/>
        <v>0.2212751152</v>
      </c>
      <c r="J6301" s="2">
        <v>2166.0</v>
      </c>
      <c r="K6301" s="3">
        <f t="shared" si="4"/>
        <v>0.1883969731</v>
      </c>
      <c r="L6301" s="2">
        <v>1523.0</v>
      </c>
      <c r="M6301" s="3">
        <f t="shared" si="5"/>
        <v>0.598663522</v>
      </c>
      <c r="N6301" s="2">
        <v>1.33327E7</v>
      </c>
      <c r="O6301" s="4">
        <f t="shared" si="6"/>
        <v>5240.841195</v>
      </c>
      <c r="P6301" s="2">
        <v>1.0</v>
      </c>
      <c r="Q6301" s="3">
        <f t="shared" si="7"/>
        <v>0.0009293680297</v>
      </c>
      <c r="R6301" s="2">
        <v>21.0</v>
      </c>
      <c r="S6301" s="5">
        <f t="shared" si="8"/>
        <v>0.01951672862</v>
      </c>
    </row>
    <row r="6302">
      <c r="A6302" s="2" t="s">
        <v>6300</v>
      </c>
      <c r="B6302" s="2">
        <v>512.0</v>
      </c>
      <c r="C6302" s="2">
        <v>6042.0</v>
      </c>
      <c r="D6302" s="2">
        <v>1976.0</v>
      </c>
      <c r="E6302" s="3">
        <f t="shared" si="1"/>
        <v>0.357323689</v>
      </c>
      <c r="F6302" s="2">
        <v>645.0</v>
      </c>
      <c r="G6302" s="3">
        <f t="shared" si="2"/>
        <v>0.116636528</v>
      </c>
      <c r="H6302" s="2">
        <v>1117.0</v>
      </c>
      <c r="I6302" s="3">
        <f t="shared" si="3"/>
        <v>0.2019891501</v>
      </c>
      <c r="J6302" s="2">
        <v>985.0</v>
      </c>
      <c r="K6302" s="3">
        <f t="shared" si="4"/>
        <v>0.178119349</v>
      </c>
      <c r="L6302" s="2">
        <v>635.0</v>
      </c>
      <c r="M6302" s="3">
        <f t="shared" si="5"/>
        <v>0.5684870188</v>
      </c>
      <c r="N6302" s="2">
        <v>6203300.0</v>
      </c>
      <c r="O6302" s="4">
        <f t="shared" si="6"/>
        <v>5553.536258</v>
      </c>
      <c r="P6302" s="2">
        <v>0.0</v>
      </c>
      <c r="Q6302" s="3">
        <f t="shared" si="7"/>
        <v>0</v>
      </c>
      <c r="R6302" s="2">
        <v>278.0</v>
      </c>
      <c r="S6302" s="5">
        <f t="shared" si="8"/>
        <v>0.54296875</v>
      </c>
    </row>
    <row r="6303">
      <c r="A6303" s="2" t="s">
        <v>6301</v>
      </c>
      <c r="B6303" s="2">
        <v>509.0</v>
      </c>
      <c r="C6303" s="2">
        <v>5988.0</v>
      </c>
      <c r="D6303" s="2">
        <v>2182.0</v>
      </c>
      <c r="E6303" s="3">
        <f t="shared" si="1"/>
        <v>0.3982478554</v>
      </c>
      <c r="F6303" s="2">
        <v>639.0</v>
      </c>
      <c r="G6303" s="3">
        <f t="shared" si="2"/>
        <v>0.1166271217</v>
      </c>
      <c r="H6303" s="2">
        <v>1078.0</v>
      </c>
      <c r="I6303" s="3">
        <f t="shared" si="3"/>
        <v>0.196751232</v>
      </c>
      <c r="J6303" s="2">
        <v>854.0</v>
      </c>
      <c r="K6303" s="3">
        <f t="shared" si="4"/>
        <v>0.1558678591</v>
      </c>
      <c r="L6303" s="2">
        <v>626.0</v>
      </c>
      <c r="M6303" s="3">
        <f t="shared" si="5"/>
        <v>0.5807050093</v>
      </c>
      <c r="N6303" s="2">
        <v>5921200.0</v>
      </c>
      <c r="O6303" s="4">
        <f t="shared" si="6"/>
        <v>5492.764378</v>
      </c>
      <c r="P6303" s="2">
        <v>0.0</v>
      </c>
      <c r="Q6303" s="3">
        <f t="shared" si="7"/>
        <v>0</v>
      </c>
      <c r="R6303" s="2">
        <v>509.0</v>
      </c>
      <c r="S6303" s="5">
        <f t="shared" si="8"/>
        <v>1</v>
      </c>
    </row>
    <row r="6304">
      <c r="A6304" s="2" t="s">
        <v>6302</v>
      </c>
      <c r="B6304" s="2">
        <v>135.0</v>
      </c>
      <c r="C6304" s="2">
        <v>1610.0</v>
      </c>
      <c r="D6304" s="2">
        <v>481.0</v>
      </c>
      <c r="E6304" s="3">
        <f t="shared" si="1"/>
        <v>0.3261016949</v>
      </c>
      <c r="F6304" s="2">
        <v>172.0</v>
      </c>
      <c r="G6304" s="3">
        <f t="shared" si="2"/>
        <v>0.1166101695</v>
      </c>
      <c r="H6304" s="2">
        <v>275.0</v>
      </c>
      <c r="I6304" s="3">
        <f t="shared" si="3"/>
        <v>0.186440678</v>
      </c>
      <c r="J6304" s="2">
        <v>276.0</v>
      </c>
      <c r="K6304" s="3">
        <f t="shared" si="4"/>
        <v>0.1871186441</v>
      </c>
      <c r="L6304" s="2">
        <v>147.0</v>
      </c>
      <c r="M6304" s="3">
        <f t="shared" si="5"/>
        <v>0.5345454545</v>
      </c>
      <c r="N6304" s="2">
        <v>1657600.0</v>
      </c>
      <c r="O6304" s="4">
        <f t="shared" si="6"/>
        <v>6027.636364</v>
      </c>
      <c r="P6304" s="2">
        <v>0.0</v>
      </c>
      <c r="Q6304" s="3">
        <f t="shared" si="7"/>
        <v>0</v>
      </c>
      <c r="R6304" s="2">
        <v>135.0</v>
      </c>
      <c r="S6304" s="5">
        <f t="shared" si="8"/>
        <v>1</v>
      </c>
    </row>
    <row r="6305">
      <c r="A6305" s="2" t="s">
        <v>6303</v>
      </c>
      <c r="B6305" s="2">
        <v>2970.0</v>
      </c>
      <c r="C6305" s="2">
        <v>35009.0</v>
      </c>
      <c r="D6305" s="2">
        <v>10088.0</v>
      </c>
      <c r="E6305" s="3">
        <f t="shared" si="1"/>
        <v>0.3148662567</v>
      </c>
      <c r="F6305" s="2">
        <v>3736.0</v>
      </c>
      <c r="G6305" s="3">
        <f t="shared" si="2"/>
        <v>0.1166078841</v>
      </c>
      <c r="H6305" s="2">
        <v>6592.0</v>
      </c>
      <c r="I6305" s="3">
        <f t="shared" si="3"/>
        <v>0.2057492431</v>
      </c>
      <c r="J6305" s="2">
        <v>5298.0</v>
      </c>
      <c r="K6305" s="3">
        <f t="shared" si="4"/>
        <v>0.1653609663</v>
      </c>
      <c r="L6305" s="2">
        <v>3937.0</v>
      </c>
      <c r="M6305" s="3">
        <f t="shared" si="5"/>
        <v>0.5972390777</v>
      </c>
      <c r="N6305" s="2">
        <v>3.61518E7</v>
      </c>
      <c r="O6305" s="4">
        <f t="shared" si="6"/>
        <v>5484.192961</v>
      </c>
      <c r="P6305" s="2">
        <v>5.0</v>
      </c>
      <c r="Q6305" s="3">
        <f t="shared" si="7"/>
        <v>0.001683501684</v>
      </c>
      <c r="R6305" s="2">
        <v>2970.0</v>
      </c>
      <c r="S6305" s="5">
        <f t="shared" si="8"/>
        <v>1</v>
      </c>
    </row>
    <row r="6306">
      <c r="A6306" s="2" t="s">
        <v>6304</v>
      </c>
      <c r="B6306" s="2">
        <v>413.0</v>
      </c>
      <c r="C6306" s="2">
        <v>4761.0</v>
      </c>
      <c r="D6306" s="2">
        <v>987.0</v>
      </c>
      <c r="E6306" s="3">
        <f t="shared" si="1"/>
        <v>0.22700092</v>
      </c>
      <c r="F6306" s="2">
        <v>507.0</v>
      </c>
      <c r="G6306" s="3">
        <f t="shared" si="2"/>
        <v>0.1166053358</v>
      </c>
      <c r="H6306" s="2">
        <v>847.0</v>
      </c>
      <c r="I6306" s="3">
        <f t="shared" si="3"/>
        <v>0.1948022079</v>
      </c>
      <c r="J6306" s="2">
        <v>647.0</v>
      </c>
      <c r="K6306" s="3">
        <f t="shared" si="4"/>
        <v>0.1488040478</v>
      </c>
      <c r="L6306" s="2">
        <v>511.0</v>
      </c>
      <c r="M6306" s="3">
        <f t="shared" si="5"/>
        <v>0.6033057851</v>
      </c>
      <c r="N6306" s="2">
        <v>5092000.0</v>
      </c>
      <c r="O6306" s="4">
        <f t="shared" si="6"/>
        <v>6011.806375</v>
      </c>
      <c r="P6306" s="2">
        <v>1.0</v>
      </c>
      <c r="Q6306" s="3">
        <f t="shared" si="7"/>
        <v>0.002421307506</v>
      </c>
      <c r="R6306" s="2">
        <v>413.0</v>
      </c>
      <c r="S6306" s="5">
        <f t="shared" si="8"/>
        <v>1</v>
      </c>
    </row>
    <row r="6307">
      <c r="A6307" s="2" t="s">
        <v>6305</v>
      </c>
      <c r="B6307" s="2">
        <v>1208.0</v>
      </c>
      <c r="C6307" s="2">
        <v>14270.0</v>
      </c>
      <c r="D6307" s="2">
        <v>4658.0</v>
      </c>
      <c r="E6307" s="3">
        <f t="shared" si="1"/>
        <v>0.3566069515</v>
      </c>
      <c r="F6307" s="2">
        <v>1523.0</v>
      </c>
      <c r="G6307" s="3">
        <f t="shared" si="2"/>
        <v>0.1165977645</v>
      </c>
      <c r="H6307" s="2">
        <v>2641.0</v>
      </c>
      <c r="I6307" s="3">
        <f t="shared" si="3"/>
        <v>0.2021895575</v>
      </c>
      <c r="J6307" s="2">
        <v>1929.0</v>
      </c>
      <c r="K6307" s="3">
        <f t="shared" si="4"/>
        <v>0.147680294</v>
      </c>
      <c r="L6307" s="2">
        <v>1556.0</v>
      </c>
      <c r="M6307" s="3">
        <f t="shared" si="5"/>
        <v>0.5891707686</v>
      </c>
      <c r="N6307" s="2">
        <v>1.4332E7</v>
      </c>
      <c r="O6307" s="4">
        <f t="shared" si="6"/>
        <v>5426.732298</v>
      </c>
      <c r="P6307" s="2">
        <v>4.0</v>
      </c>
      <c r="Q6307" s="3">
        <f t="shared" si="7"/>
        <v>0.003311258278</v>
      </c>
      <c r="R6307" s="2">
        <v>1208.0</v>
      </c>
      <c r="S6307" s="5">
        <f t="shared" si="8"/>
        <v>1</v>
      </c>
    </row>
    <row r="6308">
      <c r="A6308" s="2" t="s">
        <v>6306</v>
      </c>
      <c r="B6308" s="2">
        <v>461.0</v>
      </c>
      <c r="C6308" s="2">
        <v>5384.0</v>
      </c>
      <c r="D6308" s="2">
        <v>1488.0</v>
      </c>
      <c r="E6308" s="3">
        <f t="shared" si="1"/>
        <v>0.3022547227</v>
      </c>
      <c r="F6308" s="2">
        <v>574.0</v>
      </c>
      <c r="G6308" s="3">
        <f t="shared" si="2"/>
        <v>0.1165955718</v>
      </c>
      <c r="H6308" s="2">
        <v>961.0</v>
      </c>
      <c r="I6308" s="3">
        <f t="shared" si="3"/>
        <v>0.1952061751</v>
      </c>
      <c r="J6308" s="2">
        <v>892.0</v>
      </c>
      <c r="K6308" s="3">
        <f t="shared" si="4"/>
        <v>0.1811903311</v>
      </c>
      <c r="L6308" s="2">
        <v>544.0</v>
      </c>
      <c r="M6308" s="3">
        <f t="shared" si="5"/>
        <v>0.5660770031</v>
      </c>
      <c r="N6308" s="2">
        <v>5706500.0</v>
      </c>
      <c r="O6308" s="4">
        <f t="shared" si="6"/>
        <v>5938.085328</v>
      </c>
      <c r="P6308" s="2">
        <v>1.0</v>
      </c>
      <c r="Q6308" s="3">
        <f t="shared" si="7"/>
        <v>0.002169197397</v>
      </c>
      <c r="R6308" s="2">
        <v>461.0</v>
      </c>
      <c r="S6308" s="5">
        <f t="shared" si="8"/>
        <v>1</v>
      </c>
    </row>
    <row r="6309">
      <c r="A6309" s="2" t="s">
        <v>6307</v>
      </c>
      <c r="B6309" s="2">
        <v>20.0</v>
      </c>
      <c r="C6309" s="2">
        <v>243.0</v>
      </c>
      <c r="D6309" s="2">
        <v>74.0</v>
      </c>
      <c r="E6309" s="3">
        <f t="shared" si="1"/>
        <v>0.331838565</v>
      </c>
      <c r="F6309" s="2">
        <v>26.0</v>
      </c>
      <c r="G6309" s="3">
        <f t="shared" si="2"/>
        <v>0.1165919283</v>
      </c>
      <c r="H6309" s="2">
        <v>51.0</v>
      </c>
      <c r="I6309" s="3">
        <f t="shared" si="3"/>
        <v>0.2286995516</v>
      </c>
      <c r="J6309" s="2">
        <v>42.0</v>
      </c>
      <c r="K6309" s="3">
        <f t="shared" si="4"/>
        <v>0.1883408072</v>
      </c>
      <c r="L6309" s="2">
        <v>25.0</v>
      </c>
      <c r="M6309" s="3">
        <f t="shared" si="5"/>
        <v>0.4901960784</v>
      </c>
      <c r="N6309" s="2">
        <v>326100.0</v>
      </c>
      <c r="O6309" s="4">
        <f t="shared" si="6"/>
        <v>6394.117647</v>
      </c>
      <c r="P6309" s="2">
        <v>0.0</v>
      </c>
      <c r="Q6309" s="3">
        <f t="shared" si="7"/>
        <v>0</v>
      </c>
      <c r="R6309" s="2">
        <v>20.0</v>
      </c>
      <c r="S6309" s="5">
        <f t="shared" si="8"/>
        <v>1</v>
      </c>
    </row>
    <row r="6310">
      <c r="A6310" s="2" t="s">
        <v>6308</v>
      </c>
      <c r="B6310" s="2">
        <v>1073.0</v>
      </c>
      <c r="C6310" s="2">
        <v>12446.0</v>
      </c>
      <c r="D6310" s="2">
        <v>3983.0</v>
      </c>
      <c r="E6310" s="3">
        <f t="shared" si="1"/>
        <v>0.3502154225</v>
      </c>
      <c r="F6310" s="2">
        <v>1326.0</v>
      </c>
      <c r="G6310" s="3">
        <f t="shared" si="2"/>
        <v>0.1165919283</v>
      </c>
      <c r="H6310" s="2">
        <v>2477.0</v>
      </c>
      <c r="I6310" s="3">
        <f t="shared" si="3"/>
        <v>0.2177965357</v>
      </c>
      <c r="J6310" s="2">
        <v>2061.0</v>
      </c>
      <c r="K6310" s="3">
        <f t="shared" si="4"/>
        <v>0.1812186758</v>
      </c>
      <c r="L6310" s="2">
        <v>1488.0</v>
      </c>
      <c r="M6310" s="3">
        <f t="shared" si="5"/>
        <v>0.6007266855</v>
      </c>
      <c r="N6310" s="2">
        <v>1.40511E7</v>
      </c>
      <c r="O6310" s="4">
        <f t="shared" si="6"/>
        <v>5672.628179</v>
      </c>
      <c r="P6310" s="2">
        <v>1.0</v>
      </c>
      <c r="Q6310" s="3">
        <f t="shared" si="7"/>
        <v>0.0009319664492</v>
      </c>
      <c r="R6310" s="2">
        <v>968.0</v>
      </c>
      <c r="S6310" s="5">
        <f t="shared" si="8"/>
        <v>0.9021435228</v>
      </c>
    </row>
    <row r="6311">
      <c r="A6311" s="2" t="s">
        <v>6309</v>
      </c>
      <c r="B6311" s="2">
        <v>347.0</v>
      </c>
      <c r="C6311" s="2">
        <v>4130.0</v>
      </c>
      <c r="D6311" s="2">
        <v>1301.0</v>
      </c>
      <c r="E6311" s="3">
        <f t="shared" si="1"/>
        <v>0.3439069522</v>
      </c>
      <c r="F6311" s="2">
        <v>441.0</v>
      </c>
      <c r="G6311" s="3">
        <f t="shared" si="2"/>
        <v>0.1165741475</v>
      </c>
      <c r="H6311" s="2">
        <v>780.0</v>
      </c>
      <c r="I6311" s="3">
        <f t="shared" si="3"/>
        <v>0.206185567</v>
      </c>
      <c r="J6311" s="2">
        <v>561.0</v>
      </c>
      <c r="K6311" s="3">
        <f t="shared" si="4"/>
        <v>0.148295004</v>
      </c>
      <c r="L6311" s="2">
        <v>469.0</v>
      </c>
      <c r="M6311" s="3">
        <f t="shared" si="5"/>
        <v>0.6012820513</v>
      </c>
      <c r="N6311" s="2">
        <v>4398100.0</v>
      </c>
      <c r="O6311" s="4">
        <f t="shared" si="6"/>
        <v>5638.589744</v>
      </c>
      <c r="P6311" s="2">
        <v>2.0</v>
      </c>
      <c r="Q6311" s="3">
        <f t="shared" si="7"/>
        <v>0.005763688761</v>
      </c>
      <c r="R6311" s="2">
        <v>347.0</v>
      </c>
      <c r="S6311" s="5">
        <f t="shared" si="8"/>
        <v>1</v>
      </c>
    </row>
    <row r="6312">
      <c r="A6312" s="2" t="s">
        <v>6310</v>
      </c>
      <c r="B6312" s="2">
        <v>147.0</v>
      </c>
      <c r="C6312" s="2">
        <v>1734.0</v>
      </c>
      <c r="D6312" s="2">
        <v>444.0</v>
      </c>
      <c r="E6312" s="3">
        <f t="shared" si="1"/>
        <v>0.2797731569</v>
      </c>
      <c r="F6312" s="2">
        <v>185.0</v>
      </c>
      <c r="G6312" s="3">
        <f t="shared" si="2"/>
        <v>0.1165721487</v>
      </c>
      <c r="H6312" s="2">
        <v>303.0</v>
      </c>
      <c r="I6312" s="3">
        <f t="shared" si="3"/>
        <v>0.190926276</v>
      </c>
      <c r="J6312" s="2">
        <v>270.0</v>
      </c>
      <c r="K6312" s="3">
        <f t="shared" si="4"/>
        <v>0.1701323251</v>
      </c>
      <c r="L6312" s="2">
        <v>193.0</v>
      </c>
      <c r="M6312" s="3">
        <f t="shared" si="5"/>
        <v>0.6369636964</v>
      </c>
      <c r="N6312" s="2">
        <v>1822400.0</v>
      </c>
      <c r="O6312" s="4">
        <f t="shared" si="6"/>
        <v>6014.521452</v>
      </c>
      <c r="P6312" s="2">
        <v>0.0</v>
      </c>
      <c r="Q6312" s="3">
        <f t="shared" si="7"/>
        <v>0</v>
      </c>
      <c r="R6312" s="2">
        <v>6.0</v>
      </c>
      <c r="S6312" s="5">
        <f t="shared" si="8"/>
        <v>0.04081632653</v>
      </c>
    </row>
    <row r="6313">
      <c r="A6313" s="2" t="s">
        <v>6311</v>
      </c>
      <c r="B6313" s="2">
        <v>52.0</v>
      </c>
      <c r="C6313" s="2">
        <v>627.0</v>
      </c>
      <c r="D6313" s="2">
        <v>150.0</v>
      </c>
      <c r="E6313" s="3">
        <f t="shared" si="1"/>
        <v>0.2608695652</v>
      </c>
      <c r="F6313" s="2">
        <v>67.0</v>
      </c>
      <c r="G6313" s="3">
        <f t="shared" si="2"/>
        <v>0.1165217391</v>
      </c>
      <c r="H6313" s="2">
        <v>90.0</v>
      </c>
      <c r="I6313" s="3">
        <f t="shared" si="3"/>
        <v>0.1565217391</v>
      </c>
      <c r="J6313" s="2">
        <v>91.0</v>
      </c>
      <c r="K6313" s="3">
        <f t="shared" si="4"/>
        <v>0.1582608696</v>
      </c>
      <c r="L6313" s="2">
        <v>51.0</v>
      </c>
      <c r="M6313" s="3">
        <f t="shared" si="5"/>
        <v>0.5666666667</v>
      </c>
      <c r="N6313" s="2">
        <v>510700.0</v>
      </c>
      <c r="O6313" s="4">
        <f t="shared" si="6"/>
        <v>5674.444444</v>
      </c>
      <c r="P6313" s="2">
        <v>0.0</v>
      </c>
      <c r="Q6313" s="3">
        <f t="shared" si="7"/>
        <v>0</v>
      </c>
      <c r="R6313" s="2">
        <v>0.0</v>
      </c>
      <c r="S6313" s="5">
        <f t="shared" si="8"/>
        <v>0</v>
      </c>
    </row>
    <row r="6314">
      <c r="A6314" s="2" t="s">
        <v>6312</v>
      </c>
      <c r="B6314" s="2">
        <v>571.0</v>
      </c>
      <c r="C6314" s="2">
        <v>6699.0</v>
      </c>
      <c r="D6314" s="2">
        <v>2014.0</v>
      </c>
      <c r="E6314" s="3">
        <f t="shared" si="1"/>
        <v>0.3286553525</v>
      </c>
      <c r="F6314" s="2">
        <v>714.0</v>
      </c>
      <c r="G6314" s="3">
        <f t="shared" si="2"/>
        <v>0.1165143603</v>
      </c>
      <c r="H6314" s="2">
        <v>1274.0</v>
      </c>
      <c r="I6314" s="3">
        <f t="shared" si="3"/>
        <v>0.2078981723</v>
      </c>
      <c r="J6314" s="2">
        <v>900.0</v>
      </c>
      <c r="K6314" s="3">
        <f t="shared" si="4"/>
        <v>0.1468668407</v>
      </c>
      <c r="L6314" s="2">
        <v>759.0</v>
      </c>
      <c r="M6314" s="3">
        <f t="shared" si="5"/>
        <v>0.5957613815</v>
      </c>
      <c r="N6314" s="2">
        <v>7101200.0</v>
      </c>
      <c r="O6314" s="4">
        <f t="shared" si="6"/>
        <v>5573.940345</v>
      </c>
      <c r="P6314" s="2">
        <v>1.0</v>
      </c>
      <c r="Q6314" s="3">
        <f t="shared" si="7"/>
        <v>0.001751313485</v>
      </c>
      <c r="R6314" s="2">
        <v>0.0</v>
      </c>
      <c r="S6314" s="5">
        <f t="shared" si="8"/>
        <v>0</v>
      </c>
    </row>
    <row r="6315">
      <c r="A6315" s="2" t="s">
        <v>6313</v>
      </c>
      <c r="B6315" s="2">
        <v>1683.0</v>
      </c>
      <c r="C6315" s="2">
        <v>19476.0</v>
      </c>
      <c r="D6315" s="2">
        <v>6649.0</v>
      </c>
      <c r="E6315" s="3">
        <f t="shared" si="1"/>
        <v>0.3736862811</v>
      </c>
      <c r="F6315" s="2">
        <v>2073.0</v>
      </c>
      <c r="G6315" s="3">
        <f t="shared" si="2"/>
        <v>0.1165064913</v>
      </c>
      <c r="H6315" s="2">
        <v>4055.0</v>
      </c>
      <c r="I6315" s="3">
        <f t="shared" si="3"/>
        <v>0.2278986118</v>
      </c>
      <c r="J6315" s="2">
        <v>3399.0</v>
      </c>
      <c r="K6315" s="3">
        <f t="shared" si="4"/>
        <v>0.1910301804</v>
      </c>
      <c r="L6315" s="2">
        <v>2484.0</v>
      </c>
      <c r="M6315" s="3">
        <f t="shared" si="5"/>
        <v>0.6125770654</v>
      </c>
      <c r="N6315" s="2">
        <v>2.2995E7</v>
      </c>
      <c r="O6315" s="4">
        <f t="shared" si="6"/>
        <v>5670.776819</v>
      </c>
      <c r="P6315" s="2">
        <v>1.0</v>
      </c>
      <c r="Q6315" s="3">
        <f t="shared" si="7"/>
        <v>0.0005941770648</v>
      </c>
      <c r="R6315" s="2">
        <v>1671.0</v>
      </c>
      <c r="S6315" s="5">
        <f t="shared" si="8"/>
        <v>0.9928698752</v>
      </c>
    </row>
    <row r="6316">
      <c r="A6316" s="2" t="s">
        <v>6314</v>
      </c>
      <c r="B6316" s="2">
        <v>118.0</v>
      </c>
      <c r="C6316" s="2">
        <v>1354.0</v>
      </c>
      <c r="D6316" s="2">
        <v>442.0</v>
      </c>
      <c r="E6316" s="3">
        <f t="shared" si="1"/>
        <v>0.357605178</v>
      </c>
      <c r="F6316" s="2">
        <v>144.0</v>
      </c>
      <c r="G6316" s="3">
        <f t="shared" si="2"/>
        <v>0.1165048544</v>
      </c>
      <c r="H6316" s="2">
        <v>244.0</v>
      </c>
      <c r="I6316" s="3">
        <f t="shared" si="3"/>
        <v>0.1974110032</v>
      </c>
      <c r="J6316" s="2">
        <v>203.0</v>
      </c>
      <c r="K6316" s="3">
        <f t="shared" si="4"/>
        <v>0.1642394822</v>
      </c>
      <c r="L6316" s="2">
        <v>141.0</v>
      </c>
      <c r="M6316" s="3">
        <f t="shared" si="5"/>
        <v>0.5778688525</v>
      </c>
      <c r="N6316" s="2">
        <v>1303300.0</v>
      </c>
      <c r="O6316" s="4">
        <f t="shared" si="6"/>
        <v>5341.393443</v>
      </c>
      <c r="P6316" s="2">
        <v>1.0</v>
      </c>
      <c r="Q6316" s="3">
        <f t="shared" si="7"/>
        <v>0.008474576271</v>
      </c>
      <c r="R6316" s="2">
        <v>108.0</v>
      </c>
      <c r="S6316" s="5">
        <f t="shared" si="8"/>
        <v>0.9152542373</v>
      </c>
    </row>
    <row r="6317">
      <c r="A6317" s="2" t="s">
        <v>6315</v>
      </c>
      <c r="B6317" s="2">
        <v>1056.0</v>
      </c>
      <c r="C6317" s="2">
        <v>12326.0</v>
      </c>
      <c r="D6317" s="2">
        <v>3860.0</v>
      </c>
      <c r="E6317" s="3">
        <f t="shared" si="1"/>
        <v>0.3425022183</v>
      </c>
      <c r="F6317" s="2">
        <v>1313.0</v>
      </c>
      <c r="G6317" s="3">
        <f t="shared" si="2"/>
        <v>0.1165039929</v>
      </c>
      <c r="H6317" s="2">
        <v>2248.0</v>
      </c>
      <c r="I6317" s="3">
        <f t="shared" si="3"/>
        <v>0.1994676131</v>
      </c>
      <c r="J6317" s="2">
        <v>1930.0</v>
      </c>
      <c r="K6317" s="3">
        <f t="shared" si="4"/>
        <v>0.1712511091</v>
      </c>
      <c r="L6317" s="2">
        <v>1344.0</v>
      </c>
      <c r="M6317" s="3">
        <f t="shared" si="5"/>
        <v>0.5978647687</v>
      </c>
      <c r="N6317" s="2">
        <v>1.29444E7</v>
      </c>
      <c r="O6317" s="4">
        <f t="shared" si="6"/>
        <v>5758.185053</v>
      </c>
      <c r="P6317" s="2">
        <v>2.0</v>
      </c>
      <c r="Q6317" s="3">
        <f t="shared" si="7"/>
        <v>0.001893939394</v>
      </c>
      <c r="R6317" s="2">
        <v>956.0</v>
      </c>
      <c r="S6317" s="5">
        <f t="shared" si="8"/>
        <v>0.9053030303</v>
      </c>
    </row>
    <row r="6318">
      <c r="A6318" s="2" t="s">
        <v>6316</v>
      </c>
      <c r="B6318" s="2">
        <v>1503.0</v>
      </c>
      <c r="C6318" s="2">
        <v>17597.0</v>
      </c>
      <c r="D6318" s="2">
        <v>5077.0</v>
      </c>
      <c r="E6318" s="3">
        <f t="shared" si="1"/>
        <v>0.3154591773</v>
      </c>
      <c r="F6318" s="2">
        <v>1875.0</v>
      </c>
      <c r="G6318" s="3">
        <f t="shared" si="2"/>
        <v>0.1165030446</v>
      </c>
      <c r="H6318" s="2">
        <v>3086.0</v>
      </c>
      <c r="I6318" s="3">
        <f t="shared" si="3"/>
        <v>0.1917484777</v>
      </c>
      <c r="J6318" s="2">
        <v>2495.0</v>
      </c>
      <c r="K6318" s="3">
        <f t="shared" si="4"/>
        <v>0.155026718</v>
      </c>
      <c r="L6318" s="2">
        <v>1845.0</v>
      </c>
      <c r="M6318" s="3">
        <f t="shared" si="5"/>
        <v>0.5978613091</v>
      </c>
      <c r="N6318" s="2">
        <v>1.77805E7</v>
      </c>
      <c r="O6318" s="4">
        <f t="shared" si="6"/>
        <v>5761.665587</v>
      </c>
      <c r="P6318" s="2">
        <v>1.0</v>
      </c>
      <c r="Q6318" s="3">
        <f t="shared" si="7"/>
        <v>0.0006653359947</v>
      </c>
      <c r="R6318" s="2">
        <v>0.0</v>
      </c>
      <c r="S6318" s="5">
        <f t="shared" si="8"/>
        <v>0</v>
      </c>
    </row>
    <row r="6319">
      <c r="A6319" s="2" t="s">
        <v>6317</v>
      </c>
      <c r="B6319" s="2">
        <v>223.0</v>
      </c>
      <c r="C6319" s="2">
        <v>2515.0</v>
      </c>
      <c r="D6319" s="2">
        <v>705.0</v>
      </c>
      <c r="E6319" s="3">
        <f t="shared" si="1"/>
        <v>0.307591623</v>
      </c>
      <c r="F6319" s="2">
        <v>267.0</v>
      </c>
      <c r="G6319" s="3">
        <f t="shared" si="2"/>
        <v>0.1164921466</v>
      </c>
      <c r="H6319" s="2">
        <v>494.0</v>
      </c>
      <c r="I6319" s="3">
        <f t="shared" si="3"/>
        <v>0.2155322862</v>
      </c>
      <c r="J6319" s="2">
        <v>441.0</v>
      </c>
      <c r="K6319" s="3">
        <f t="shared" si="4"/>
        <v>0.192408377</v>
      </c>
      <c r="L6319" s="2">
        <v>279.0</v>
      </c>
      <c r="M6319" s="3">
        <f t="shared" si="5"/>
        <v>0.5647773279</v>
      </c>
      <c r="N6319" s="2">
        <v>3011100.0</v>
      </c>
      <c r="O6319" s="4">
        <f t="shared" si="6"/>
        <v>6095.34413</v>
      </c>
      <c r="P6319" s="2">
        <v>2.0</v>
      </c>
      <c r="Q6319" s="3">
        <f t="shared" si="7"/>
        <v>0.008968609865</v>
      </c>
      <c r="R6319" s="2">
        <v>212.0</v>
      </c>
      <c r="S6319" s="5">
        <f t="shared" si="8"/>
        <v>0.9506726457</v>
      </c>
    </row>
    <row r="6320">
      <c r="A6320" s="2" t="s">
        <v>6318</v>
      </c>
      <c r="B6320" s="2">
        <v>637.0</v>
      </c>
      <c r="C6320" s="2">
        <v>7393.0</v>
      </c>
      <c r="D6320" s="2">
        <v>1884.0</v>
      </c>
      <c r="E6320" s="3">
        <f t="shared" si="1"/>
        <v>0.2788632327</v>
      </c>
      <c r="F6320" s="2">
        <v>787.0</v>
      </c>
      <c r="G6320" s="3">
        <f t="shared" si="2"/>
        <v>0.1164890468</v>
      </c>
      <c r="H6320" s="2">
        <v>1376.0</v>
      </c>
      <c r="I6320" s="3">
        <f t="shared" si="3"/>
        <v>0.2036708111</v>
      </c>
      <c r="J6320" s="2">
        <v>1266.0</v>
      </c>
      <c r="K6320" s="3">
        <f t="shared" si="4"/>
        <v>0.1873889876</v>
      </c>
      <c r="L6320" s="2">
        <v>840.0</v>
      </c>
      <c r="M6320" s="3">
        <f t="shared" si="5"/>
        <v>0.6104651163</v>
      </c>
      <c r="N6320" s="2">
        <v>8288900.0</v>
      </c>
      <c r="O6320" s="4">
        <f t="shared" si="6"/>
        <v>6023.909884</v>
      </c>
      <c r="P6320" s="2">
        <v>2.0</v>
      </c>
      <c r="Q6320" s="3">
        <f t="shared" si="7"/>
        <v>0.003139717425</v>
      </c>
      <c r="R6320" s="2">
        <v>637.0</v>
      </c>
      <c r="S6320" s="5">
        <f t="shared" si="8"/>
        <v>1</v>
      </c>
    </row>
    <row r="6321">
      <c r="A6321" s="2" t="s">
        <v>6319</v>
      </c>
      <c r="B6321" s="2">
        <v>684.0</v>
      </c>
      <c r="C6321" s="2">
        <v>8136.0</v>
      </c>
      <c r="D6321" s="2">
        <v>2745.0</v>
      </c>
      <c r="E6321" s="3">
        <f t="shared" si="1"/>
        <v>0.3683574879</v>
      </c>
      <c r="F6321" s="2">
        <v>868.0</v>
      </c>
      <c r="G6321" s="3">
        <f t="shared" si="2"/>
        <v>0.1164787976</v>
      </c>
      <c r="H6321" s="2">
        <v>1629.0</v>
      </c>
      <c r="I6321" s="3">
        <f t="shared" si="3"/>
        <v>0.2185990338</v>
      </c>
      <c r="J6321" s="2">
        <v>1321.0</v>
      </c>
      <c r="K6321" s="3">
        <f t="shared" si="4"/>
        <v>0.1772678476</v>
      </c>
      <c r="L6321" s="2">
        <v>981.0</v>
      </c>
      <c r="M6321" s="3">
        <f t="shared" si="5"/>
        <v>0.6022099448</v>
      </c>
      <c r="N6321" s="2">
        <v>9341000.0</v>
      </c>
      <c r="O6321" s="4">
        <f t="shared" si="6"/>
        <v>5734.192756</v>
      </c>
      <c r="P6321" s="2">
        <v>2.0</v>
      </c>
      <c r="Q6321" s="3">
        <f t="shared" si="7"/>
        <v>0.002923976608</v>
      </c>
      <c r="R6321" s="2">
        <v>0.0</v>
      </c>
      <c r="S6321" s="5">
        <f t="shared" si="8"/>
        <v>0</v>
      </c>
    </row>
    <row r="6322">
      <c r="A6322" s="2" t="s">
        <v>6320</v>
      </c>
      <c r="B6322" s="2">
        <v>514.0</v>
      </c>
      <c r="C6322" s="2">
        <v>6000.0</v>
      </c>
      <c r="D6322" s="2">
        <v>1635.0</v>
      </c>
      <c r="E6322" s="3">
        <f t="shared" si="1"/>
        <v>0.2980313525</v>
      </c>
      <c r="F6322" s="2">
        <v>639.0</v>
      </c>
      <c r="G6322" s="3">
        <f t="shared" si="2"/>
        <v>0.1164783084</v>
      </c>
      <c r="H6322" s="2">
        <v>1170.0</v>
      </c>
      <c r="I6322" s="3">
        <f t="shared" si="3"/>
        <v>0.2132701422</v>
      </c>
      <c r="J6322" s="2">
        <v>959.0</v>
      </c>
      <c r="K6322" s="3">
        <f t="shared" si="4"/>
        <v>0.1748086037</v>
      </c>
      <c r="L6322" s="2">
        <v>673.0</v>
      </c>
      <c r="M6322" s="3">
        <f t="shared" si="5"/>
        <v>0.5752136752</v>
      </c>
      <c r="N6322" s="2">
        <v>6913300.0</v>
      </c>
      <c r="O6322" s="4">
        <f t="shared" si="6"/>
        <v>5908.803419</v>
      </c>
      <c r="P6322" s="2">
        <v>1.0</v>
      </c>
      <c r="Q6322" s="3">
        <f t="shared" si="7"/>
        <v>0.001945525292</v>
      </c>
      <c r="R6322" s="2">
        <v>0.0</v>
      </c>
      <c r="S6322" s="5">
        <f t="shared" si="8"/>
        <v>0</v>
      </c>
    </row>
    <row r="6323">
      <c r="A6323" s="2" t="s">
        <v>6321</v>
      </c>
      <c r="B6323" s="2">
        <v>1076.0</v>
      </c>
      <c r="C6323" s="2">
        <v>12383.0</v>
      </c>
      <c r="D6323" s="2">
        <v>3565.0</v>
      </c>
      <c r="E6323" s="3">
        <f t="shared" si="1"/>
        <v>0.3152914124</v>
      </c>
      <c r="F6323" s="2">
        <v>1317.0</v>
      </c>
      <c r="G6323" s="3">
        <f t="shared" si="2"/>
        <v>0.116476519</v>
      </c>
      <c r="H6323" s="2">
        <v>2302.0</v>
      </c>
      <c r="I6323" s="3">
        <f t="shared" si="3"/>
        <v>0.203590696</v>
      </c>
      <c r="J6323" s="2">
        <v>2023.0</v>
      </c>
      <c r="K6323" s="3">
        <f t="shared" si="4"/>
        <v>0.1789157159</v>
      </c>
      <c r="L6323" s="2">
        <v>1363.0</v>
      </c>
      <c r="M6323" s="3">
        <f t="shared" si="5"/>
        <v>0.5920938315</v>
      </c>
      <c r="N6323" s="2">
        <v>1.3531E7</v>
      </c>
      <c r="O6323" s="4">
        <f t="shared" si="6"/>
        <v>5877.932233</v>
      </c>
      <c r="P6323" s="2">
        <v>6.0</v>
      </c>
      <c r="Q6323" s="3">
        <f t="shared" si="7"/>
        <v>0.005576208178</v>
      </c>
      <c r="R6323" s="2">
        <v>1076.0</v>
      </c>
      <c r="S6323" s="5">
        <f t="shared" si="8"/>
        <v>1</v>
      </c>
    </row>
    <row r="6324">
      <c r="A6324" s="2" t="s">
        <v>6322</v>
      </c>
      <c r="B6324" s="2">
        <v>339.0</v>
      </c>
      <c r="C6324" s="2">
        <v>3988.0</v>
      </c>
      <c r="D6324" s="2">
        <v>1104.0</v>
      </c>
      <c r="E6324" s="3">
        <f t="shared" si="1"/>
        <v>0.3025486435</v>
      </c>
      <c r="F6324" s="2">
        <v>425.0</v>
      </c>
      <c r="G6324" s="3">
        <f t="shared" si="2"/>
        <v>0.1164702658</v>
      </c>
      <c r="H6324" s="2">
        <v>682.0</v>
      </c>
      <c r="I6324" s="3">
        <f t="shared" si="3"/>
        <v>0.1869005207</v>
      </c>
      <c r="J6324" s="2">
        <v>691.0</v>
      </c>
      <c r="K6324" s="3">
        <f t="shared" si="4"/>
        <v>0.1893669498</v>
      </c>
      <c r="L6324" s="2">
        <v>391.0</v>
      </c>
      <c r="M6324" s="3">
        <f t="shared" si="5"/>
        <v>0.573313783</v>
      </c>
      <c r="N6324" s="2">
        <v>4286000.0</v>
      </c>
      <c r="O6324" s="4">
        <f t="shared" si="6"/>
        <v>6284.457478</v>
      </c>
      <c r="P6324" s="2">
        <v>1.0</v>
      </c>
      <c r="Q6324" s="3">
        <f t="shared" si="7"/>
        <v>0.002949852507</v>
      </c>
      <c r="R6324" s="2">
        <v>339.0</v>
      </c>
      <c r="S6324" s="5">
        <f t="shared" si="8"/>
        <v>1</v>
      </c>
    </row>
    <row r="6325">
      <c r="A6325" s="2" t="s">
        <v>6323</v>
      </c>
      <c r="B6325" s="2">
        <v>68.0</v>
      </c>
      <c r="C6325" s="2">
        <v>815.0</v>
      </c>
      <c r="D6325" s="2">
        <v>299.0</v>
      </c>
      <c r="E6325" s="3">
        <f t="shared" si="1"/>
        <v>0.4002677376</v>
      </c>
      <c r="F6325" s="2">
        <v>87.0</v>
      </c>
      <c r="G6325" s="3">
        <f t="shared" si="2"/>
        <v>0.1164658635</v>
      </c>
      <c r="H6325" s="2">
        <v>150.0</v>
      </c>
      <c r="I6325" s="3">
        <f t="shared" si="3"/>
        <v>0.2008032129</v>
      </c>
      <c r="J6325" s="2">
        <v>96.0</v>
      </c>
      <c r="K6325" s="3">
        <f t="shared" si="4"/>
        <v>0.1285140562</v>
      </c>
      <c r="L6325" s="2">
        <v>92.0</v>
      </c>
      <c r="M6325" s="3">
        <f t="shared" si="5"/>
        <v>0.6133333333</v>
      </c>
      <c r="N6325" s="2">
        <v>808800.0</v>
      </c>
      <c r="O6325" s="4">
        <f t="shared" si="6"/>
        <v>5392</v>
      </c>
      <c r="P6325" s="2">
        <v>1.0</v>
      </c>
      <c r="Q6325" s="3">
        <f t="shared" si="7"/>
        <v>0.01470588235</v>
      </c>
      <c r="R6325" s="2">
        <v>68.0</v>
      </c>
      <c r="S6325" s="5">
        <f t="shared" si="8"/>
        <v>1</v>
      </c>
    </row>
    <row r="6326">
      <c r="A6326" s="2" t="s">
        <v>6324</v>
      </c>
      <c r="B6326" s="2">
        <v>3429.0</v>
      </c>
      <c r="C6326" s="2">
        <v>40085.0</v>
      </c>
      <c r="D6326" s="2">
        <v>13007.0</v>
      </c>
      <c r="E6326" s="3">
        <f t="shared" si="1"/>
        <v>0.3548395897</v>
      </c>
      <c r="F6326" s="2">
        <v>4269.0</v>
      </c>
      <c r="G6326" s="3">
        <f t="shared" si="2"/>
        <v>0.1164611523</v>
      </c>
      <c r="H6326" s="2">
        <v>8054.0</v>
      </c>
      <c r="I6326" s="3">
        <f t="shared" si="3"/>
        <v>0.2197184636</v>
      </c>
      <c r="J6326" s="2">
        <v>6149.0</v>
      </c>
      <c r="K6326" s="3">
        <f t="shared" si="4"/>
        <v>0.1677487997</v>
      </c>
      <c r="L6326" s="2">
        <v>4756.0</v>
      </c>
      <c r="M6326" s="3">
        <f t="shared" si="5"/>
        <v>0.5905140303</v>
      </c>
      <c r="N6326" s="2">
        <v>4.34108E7</v>
      </c>
      <c r="O6326" s="4">
        <f t="shared" si="6"/>
        <v>5389.967718</v>
      </c>
      <c r="P6326" s="2">
        <v>5.0</v>
      </c>
      <c r="Q6326" s="3">
        <f t="shared" si="7"/>
        <v>0.001458151064</v>
      </c>
      <c r="R6326" s="2">
        <v>3429.0</v>
      </c>
      <c r="S6326" s="5">
        <f t="shared" si="8"/>
        <v>1</v>
      </c>
    </row>
    <row r="6327">
      <c r="A6327" s="2" t="s">
        <v>6325</v>
      </c>
      <c r="B6327" s="2">
        <v>673.0</v>
      </c>
      <c r="C6327" s="2">
        <v>7826.0</v>
      </c>
      <c r="D6327" s="2">
        <v>2395.0</v>
      </c>
      <c r="E6327" s="3">
        <f t="shared" si="1"/>
        <v>0.3348245491</v>
      </c>
      <c r="F6327" s="2">
        <v>833.0</v>
      </c>
      <c r="G6327" s="3">
        <f t="shared" si="2"/>
        <v>0.1164546344</v>
      </c>
      <c r="H6327" s="2">
        <v>1481.0</v>
      </c>
      <c r="I6327" s="3">
        <f t="shared" si="3"/>
        <v>0.2070459947</v>
      </c>
      <c r="J6327" s="2">
        <v>1223.0</v>
      </c>
      <c r="K6327" s="3">
        <f t="shared" si="4"/>
        <v>0.1709772124</v>
      </c>
      <c r="L6327" s="2">
        <v>882.0</v>
      </c>
      <c r="M6327" s="3">
        <f t="shared" si="5"/>
        <v>0.5955435517</v>
      </c>
      <c r="N6327" s="2">
        <v>8470000.0</v>
      </c>
      <c r="O6327" s="4">
        <f t="shared" si="6"/>
        <v>5719.10871</v>
      </c>
      <c r="P6327" s="2">
        <v>2.0</v>
      </c>
      <c r="Q6327" s="3">
        <f t="shared" si="7"/>
        <v>0.002971768202</v>
      </c>
      <c r="R6327" s="2">
        <v>377.0</v>
      </c>
      <c r="S6327" s="5">
        <f t="shared" si="8"/>
        <v>0.5601783061</v>
      </c>
    </row>
    <row r="6328">
      <c r="A6328" s="2" t="s">
        <v>6326</v>
      </c>
      <c r="B6328" s="2">
        <v>212.0</v>
      </c>
      <c r="C6328" s="2">
        <v>2419.0</v>
      </c>
      <c r="D6328" s="2">
        <v>741.0</v>
      </c>
      <c r="E6328" s="3">
        <f t="shared" si="1"/>
        <v>0.3357498867</v>
      </c>
      <c r="F6328" s="2">
        <v>257.0</v>
      </c>
      <c r="G6328" s="3">
        <f t="shared" si="2"/>
        <v>0.1164476665</v>
      </c>
      <c r="H6328" s="2">
        <v>418.0</v>
      </c>
      <c r="I6328" s="3">
        <f t="shared" si="3"/>
        <v>0.189397372</v>
      </c>
      <c r="J6328" s="2">
        <v>297.0</v>
      </c>
      <c r="K6328" s="3">
        <f t="shared" si="4"/>
        <v>0.1345718169</v>
      </c>
      <c r="L6328" s="2">
        <v>264.0</v>
      </c>
      <c r="M6328" s="3">
        <f t="shared" si="5"/>
        <v>0.6315789474</v>
      </c>
      <c r="N6328" s="2">
        <v>2318000.0</v>
      </c>
      <c r="O6328" s="4">
        <f t="shared" si="6"/>
        <v>5545.454545</v>
      </c>
      <c r="P6328" s="2">
        <v>1.0</v>
      </c>
      <c r="Q6328" s="3">
        <f t="shared" si="7"/>
        <v>0.004716981132</v>
      </c>
      <c r="R6328" s="2">
        <v>212.0</v>
      </c>
      <c r="S6328" s="5">
        <f t="shared" si="8"/>
        <v>1</v>
      </c>
    </row>
    <row r="6329">
      <c r="A6329" s="2" t="s">
        <v>6327</v>
      </c>
      <c r="B6329" s="2">
        <v>14.0</v>
      </c>
      <c r="C6329" s="2">
        <v>160.0</v>
      </c>
      <c r="D6329" s="2">
        <v>59.0</v>
      </c>
      <c r="E6329" s="3">
        <f t="shared" si="1"/>
        <v>0.404109589</v>
      </c>
      <c r="F6329" s="2">
        <v>17.0</v>
      </c>
      <c r="G6329" s="3">
        <f t="shared" si="2"/>
        <v>0.1164383562</v>
      </c>
      <c r="H6329" s="2">
        <v>29.0</v>
      </c>
      <c r="I6329" s="3">
        <f t="shared" si="3"/>
        <v>0.198630137</v>
      </c>
      <c r="J6329" s="2">
        <v>23.0</v>
      </c>
      <c r="K6329" s="3">
        <f t="shared" si="4"/>
        <v>0.1575342466</v>
      </c>
      <c r="L6329" s="2">
        <v>15.0</v>
      </c>
      <c r="M6329" s="3">
        <f t="shared" si="5"/>
        <v>0.5172413793</v>
      </c>
      <c r="N6329" s="2">
        <v>164000.0</v>
      </c>
      <c r="O6329" s="4">
        <f t="shared" si="6"/>
        <v>5655.172414</v>
      </c>
      <c r="P6329" s="2">
        <v>0.0</v>
      </c>
      <c r="Q6329" s="3">
        <f t="shared" si="7"/>
        <v>0</v>
      </c>
      <c r="R6329" s="2">
        <v>14.0</v>
      </c>
      <c r="S6329" s="5">
        <f t="shared" si="8"/>
        <v>1</v>
      </c>
    </row>
    <row r="6330">
      <c r="A6330" s="2" t="s">
        <v>6328</v>
      </c>
      <c r="B6330" s="2">
        <v>161.0</v>
      </c>
      <c r="C6330" s="2">
        <v>1913.0</v>
      </c>
      <c r="D6330" s="2">
        <v>577.0</v>
      </c>
      <c r="E6330" s="3">
        <f t="shared" si="1"/>
        <v>0.3293378995</v>
      </c>
      <c r="F6330" s="2">
        <v>204.0</v>
      </c>
      <c r="G6330" s="3">
        <f t="shared" si="2"/>
        <v>0.1164383562</v>
      </c>
      <c r="H6330" s="2">
        <v>325.0</v>
      </c>
      <c r="I6330" s="3">
        <f t="shared" si="3"/>
        <v>0.1855022831</v>
      </c>
      <c r="J6330" s="2">
        <v>253.0</v>
      </c>
      <c r="K6330" s="3">
        <f t="shared" si="4"/>
        <v>0.1444063927</v>
      </c>
      <c r="L6330" s="2">
        <v>184.0</v>
      </c>
      <c r="M6330" s="3">
        <f t="shared" si="5"/>
        <v>0.5661538462</v>
      </c>
      <c r="N6330" s="2">
        <v>1730400.0</v>
      </c>
      <c r="O6330" s="4">
        <f t="shared" si="6"/>
        <v>5324.307692</v>
      </c>
      <c r="P6330" s="2">
        <v>1.0</v>
      </c>
      <c r="Q6330" s="3">
        <f t="shared" si="7"/>
        <v>0.006211180124</v>
      </c>
      <c r="R6330" s="2">
        <v>0.0</v>
      </c>
      <c r="S6330" s="5">
        <f t="shared" si="8"/>
        <v>0</v>
      </c>
    </row>
    <row r="6331">
      <c r="A6331" s="2" t="s">
        <v>6329</v>
      </c>
      <c r="B6331" s="2">
        <v>210.0</v>
      </c>
      <c r="C6331" s="2">
        <v>2443.0</v>
      </c>
      <c r="D6331" s="2">
        <v>652.0</v>
      </c>
      <c r="E6331" s="3">
        <f t="shared" si="1"/>
        <v>0.2919838782</v>
      </c>
      <c r="F6331" s="2">
        <v>260.0</v>
      </c>
      <c r="G6331" s="3">
        <f t="shared" si="2"/>
        <v>0.1164352888</v>
      </c>
      <c r="H6331" s="2">
        <v>440.0</v>
      </c>
      <c r="I6331" s="3">
        <f t="shared" si="3"/>
        <v>0.197044335</v>
      </c>
      <c r="J6331" s="2">
        <v>349.0</v>
      </c>
      <c r="K6331" s="3">
        <f t="shared" si="4"/>
        <v>0.1562919839</v>
      </c>
      <c r="L6331" s="2">
        <v>256.0</v>
      </c>
      <c r="M6331" s="3">
        <f t="shared" si="5"/>
        <v>0.5818181818</v>
      </c>
      <c r="N6331" s="2">
        <v>2631600.0</v>
      </c>
      <c r="O6331" s="4">
        <f t="shared" si="6"/>
        <v>5980.909091</v>
      </c>
      <c r="P6331" s="2">
        <v>1.0</v>
      </c>
      <c r="Q6331" s="3">
        <f t="shared" si="7"/>
        <v>0.004761904762</v>
      </c>
      <c r="R6331" s="2">
        <v>207.0</v>
      </c>
      <c r="S6331" s="5">
        <f t="shared" si="8"/>
        <v>0.9857142857</v>
      </c>
    </row>
    <row r="6332">
      <c r="A6332" s="2" t="s">
        <v>6330</v>
      </c>
      <c r="B6332" s="2">
        <v>250.0</v>
      </c>
      <c r="C6332" s="2">
        <v>2947.0</v>
      </c>
      <c r="D6332" s="2">
        <v>875.0</v>
      </c>
      <c r="E6332" s="3">
        <f t="shared" si="1"/>
        <v>0.3244345569</v>
      </c>
      <c r="F6332" s="2">
        <v>314.0</v>
      </c>
      <c r="G6332" s="3">
        <f t="shared" si="2"/>
        <v>0.1164256581</v>
      </c>
      <c r="H6332" s="2">
        <v>558.0</v>
      </c>
      <c r="I6332" s="3">
        <f t="shared" si="3"/>
        <v>0.2068965517</v>
      </c>
      <c r="J6332" s="2">
        <v>414.0</v>
      </c>
      <c r="K6332" s="3">
        <f t="shared" si="4"/>
        <v>0.1535038932</v>
      </c>
      <c r="L6332" s="2">
        <v>331.0</v>
      </c>
      <c r="M6332" s="3">
        <f t="shared" si="5"/>
        <v>0.5931899642</v>
      </c>
      <c r="N6332" s="2">
        <v>3117000.0</v>
      </c>
      <c r="O6332" s="4">
        <f t="shared" si="6"/>
        <v>5586.021505</v>
      </c>
      <c r="P6332" s="2">
        <v>0.0</v>
      </c>
      <c r="Q6332" s="3">
        <f t="shared" si="7"/>
        <v>0</v>
      </c>
      <c r="R6332" s="2">
        <v>7.0</v>
      </c>
      <c r="S6332" s="5">
        <f t="shared" si="8"/>
        <v>0.028</v>
      </c>
    </row>
    <row r="6333">
      <c r="A6333" s="2" t="s">
        <v>6331</v>
      </c>
      <c r="B6333" s="2">
        <v>86.0</v>
      </c>
      <c r="C6333" s="2">
        <v>1048.0</v>
      </c>
      <c r="D6333" s="2">
        <v>323.0</v>
      </c>
      <c r="E6333" s="3">
        <f t="shared" si="1"/>
        <v>0.3357588358</v>
      </c>
      <c r="F6333" s="2">
        <v>112.0</v>
      </c>
      <c r="G6333" s="3">
        <f t="shared" si="2"/>
        <v>0.1164241164</v>
      </c>
      <c r="H6333" s="2">
        <v>176.0</v>
      </c>
      <c r="I6333" s="3">
        <f t="shared" si="3"/>
        <v>0.182952183</v>
      </c>
      <c r="J6333" s="2">
        <v>156.0</v>
      </c>
      <c r="K6333" s="3">
        <f t="shared" si="4"/>
        <v>0.1621621622</v>
      </c>
      <c r="L6333" s="2">
        <v>95.0</v>
      </c>
      <c r="M6333" s="3">
        <f t="shared" si="5"/>
        <v>0.5397727273</v>
      </c>
      <c r="N6333" s="2">
        <v>1064900.0</v>
      </c>
      <c r="O6333" s="4">
        <f t="shared" si="6"/>
        <v>6050.568182</v>
      </c>
      <c r="P6333" s="2">
        <v>0.0</v>
      </c>
      <c r="Q6333" s="3">
        <f t="shared" si="7"/>
        <v>0</v>
      </c>
      <c r="R6333" s="2">
        <v>0.0</v>
      </c>
      <c r="S6333" s="5">
        <f t="shared" si="8"/>
        <v>0</v>
      </c>
    </row>
    <row r="6334">
      <c r="A6334" s="2" t="s">
        <v>6332</v>
      </c>
      <c r="B6334" s="2">
        <v>599.0</v>
      </c>
      <c r="C6334" s="2">
        <v>7110.0</v>
      </c>
      <c r="D6334" s="2">
        <v>2089.0</v>
      </c>
      <c r="E6334" s="3">
        <f t="shared" si="1"/>
        <v>0.3208416526</v>
      </c>
      <c r="F6334" s="2">
        <v>758.0</v>
      </c>
      <c r="G6334" s="3">
        <f t="shared" si="2"/>
        <v>0.1164183689</v>
      </c>
      <c r="H6334" s="2">
        <v>1345.0</v>
      </c>
      <c r="I6334" s="3">
        <f t="shared" si="3"/>
        <v>0.206573491</v>
      </c>
      <c r="J6334" s="2">
        <v>1034.0</v>
      </c>
      <c r="K6334" s="3">
        <f t="shared" si="4"/>
        <v>0.1588081708</v>
      </c>
      <c r="L6334" s="2">
        <v>784.0</v>
      </c>
      <c r="M6334" s="3">
        <f t="shared" si="5"/>
        <v>0.5828996283</v>
      </c>
      <c r="N6334" s="2">
        <v>7416000.0</v>
      </c>
      <c r="O6334" s="4">
        <f t="shared" si="6"/>
        <v>5513.754647</v>
      </c>
      <c r="P6334" s="2">
        <v>1.0</v>
      </c>
      <c r="Q6334" s="3">
        <f t="shared" si="7"/>
        <v>0.001669449082</v>
      </c>
      <c r="R6334" s="2">
        <v>280.0</v>
      </c>
      <c r="S6334" s="5">
        <f t="shared" si="8"/>
        <v>0.4674457429</v>
      </c>
    </row>
    <row r="6335">
      <c r="A6335" s="2" t="s">
        <v>6333</v>
      </c>
      <c r="B6335" s="2">
        <v>50.0</v>
      </c>
      <c r="C6335" s="2">
        <v>574.0</v>
      </c>
      <c r="D6335" s="2">
        <v>185.0</v>
      </c>
      <c r="E6335" s="3">
        <f t="shared" si="1"/>
        <v>0.3530534351</v>
      </c>
      <c r="F6335" s="2">
        <v>61.0</v>
      </c>
      <c r="G6335" s="3">
        <f t="shared" si="2"/>
        <v>0.1164122137</v>
      </c>
      <c r="H6335" s="2">
        <v>106.0</v>
      </c>
      <c r="I6335" s="3">
        <f t="shared" si="3"/>
        <v>0.2022900763</v>
      </c>
      <c r="J6335" s="2">
        <v>93.0</v>
      </c>
      <c r="K6335" s="3">
        <f t="shared" si="4"/>
        <v>0.177480916</v>
      </c>
      <c r="L6335" s="2">
        <v>55.0</v>
      </c>
      <c r="M6335" s="3">
        <f t="shared" si="5"/>
        <v>0.5188679245</v>
      </c>
      <c r="N6335" s="2">
        <v>512300.0</v>
      </c>
      <c r="O6335" s="4">
        <f t="shared" si="6"/>
        <v>4833.018868</v>
      </c>
      <c r="P6335" s="2">
        <v>0.0</v>
      </c>
      <c r="Q6335" s="3">
        <f t="shared" si="7"/>
        <v>0</v>
      </c>
      <c r="R6335" s="2">
        <v>0.0</v>
      </c>
      <c r="S6335" s="5">
        <f t="shared" si="8"/>
        <v>0</v>
      </c>
    </row>
    <row r="6336">
      <c r="A6336" s="2" t="s">
        <v>6334</v>
      </c>
      <c r="B6336" s="2">
        <v>114.0</v>
      </c>
      <c r="C6336" s="2">
        <v>1351.0</v>
      </c>
      <c r="D6336" s="2">
        <v>531.0</v>
      </c>
      <c r="E6336" s="3">
        <f t="shared" si="1"/>
        <v>0.4292643492</v>
      </c>
      <c r="F6336" s="2">
        <v>144.0</v>
      </c>
      <c r="G6336" s="3">
        <f t="shared" si="2"/>
        <v>0.116410671</v>
      </c>
      <c r="H6336" s="2">
        <v>262.0</v>
      </c>
      <c r="I6336" s="3">
        <f t="shared" si="3"/>
        <v>0.2118027486</v>
      </c>
      <c r="J6336" s="2">
        <v>182.0</v>
      </c>
      <c r="K6336" s="3">
        <f t="shared" si="4"/>
        <v>0.1471301536</v>
      </c>
      <c r="L6336" s="2">
        <v>167.0</v>
      </c>
      <c r="M6336" s="3">
        <f t="shared" si="5"/>
        <v>0.6374045802</v>
      </c>
      <c r="N6336" s="2">
        <v>1298300.0</v>
      </c>
      <c r="O6336" s="4">
        <f t="shared" si="6"/>
        <v>4955.343511</v>
      </c>
      <c r="P6336" s="2">
        <v>0.0</v>
      </c>
      <c r="Q6336" s="3">
        <f t="shared" si="7"/>
        <v>0</v>
      </c>
      <c r="R6336" s="2">
        <v>114.0</v>
      </c>
      <c r="S6336" s="5">
        <f t="shared" si="8"/>
        <v>1</v>
      </c>
    </row>
    <row r="6337">
      <c r="A6337" s="2" t="s">
        <v>6335</v>
      </c>
      <c r="B6337" s="2">
        <v>1008.0</v>
      </c>
      <c r="C6337" s="2">
        <v>11979.0</v>
      </c>
      <c r="D6337" s="2">
        <v>3747.0</v>
      </c>
      <c r="E6337" s="3">
        <f t="shared" si="1"/>
        <v>0.3415367788</v>
      </c>
      <c r="F6337" s="2">
        <v>1277.0</v>
      </c>
      <c r="G6337" s="3">
        <f t="shared" si="2"/>
        <v>0.116397776</v>
      </c>
      <c r="H6337" s="2">
        <v>2235.0</v>
      </c>
      <c r="I6337" s="3">
        <f t="shared" si="3"/>
        <v>0.2037188953</v>
      </c>
      <c r="J6337" s="2">
        <v>2011.0</v>
      </c>
      <c r="K6337" s="3">
        <f t="shared" si="4"/>
        <v>0.183301431</v>
      </c>
      <c r="L6337" s="2">
        <v>1351.0</v>
      </c>
      <c r="M6337" s="3">
        <f t="shared" si="5"/>
        <v>0.6044742729</v>
      </c>
      <c r="N6337" s="2">
        <v>1.25718E7</v>
      </c>
      <c r="O6337" s="4">
        <f t="shared" si="6"/>
        <v>5624.966443</v>
      </c>
      <c r="P6337" s="2">
        <v>3.0</v>
      </c>
      <c r="Q6337" s="3">
        <f t="shared" si="7"/>
        <v>0.002976190476</v>
      </c>
      <c r="R6337" s="2">
        <v>1008.0</v>
      </c>
      <c r="S6337" s="5">
        <f t="shared" si="8"/>
        <v>1</v>
      </c>
    </row>
    <row r="6338">
      <c r="A6338" s="2" t="s">
        <v>6336</v>
      </c>
      <c r="B6338" s="2">
        <v>2532.0</v>
      </c>
      <c r="C6338" s="2">
        <v>30293.0</v>
      </c>
      <c r="D6338" s="2">
        <v>10146.0</v>
      </c>
      <c r="E6338" s="3">
        <f t="shared" si="1"/>
        <v>0.365476748</v>
      </c>
      <c r="F6338" s="2">
        <v>3231.0</v>
      </c>
      <c r="G6338" s="3">
        <f t="shared" si="2"/>
        <v>0.1163862973</v>
      </c>
      <c r="H6338" s="2">
        <v>5707.0</v>
      </c>
      <c r="I6338" s="3">
        <f t="shared" si="3"/>
        <v>0.205576168</v>
      </c>
      <c r="J6338" s="2">
        <v>4649.0</v>
      </c>
      <c r="K6338" s="3">
        <f t="shared" si="4"/>
        <v>0.1674651489</v>
      </c>
      <c r="L6338" s="2">
        <v>3444.0</v>
      </c>
      <c r="M6338" s="3">
        <f t="shared" si="5"/>
        <v>0.6034694235</v>
      </c>
      <c r="N6338" s="2">
        <v>3.15018E7</v>
      </c>
      <c r="O6338" s="4">
        <f t="shared" si="6"/>
        <v>5519.852812</v>
      </c>
      <c r="P6338" s="2">
        <v>9.0</v>
      </c>
      <c r="Q6338" s="3">
        <f t="shared" si="7"/>
        <v>0.00355450237</v>
      </c>
      <c r="R6338" s="2">
        <v>2532.0</v>
      </c>
      <c r="S6338" s="5">
        <f t="shared" si="8"/>
        <v>1</v>
      </c>
    </row>
    <row r="6339">
      <c r="A6339" s="2" t="s">
        <v>6337</v>
      </c>
      <c r="B6339" s="2">
        <v>594.0</v>
      </c>
      <c r="C6339" s="2">
        <v>7013.0</v>
      </c>
      <c r="D6339" s="2">
        <v>2778.0</v>
      </c>
      <c r="E6339" s="3">
        <f t="shared" si="1"/>
        <v>0.4327776912</v>
      </c>
      <c r="F6339" s="2">
        <v>747.0</v>
      </c>
      <c r="G6339" s="3">
        <f t="shared" si="2"/>
        <v>0.1163732669</v>
      </c>
      <c r="H6339" s="2">
        <v>1382.0</v>
      </c>
      <c r="I6339" s="3">
        <f t="shared" si="3"/>
        <v>0.2152983331</v>
      </c>
      <c r="J6339" s="2">
        <v>1015.0</v>
      </c>
      <c r="K6339" s="3">
        <f t="shared" si="4"/>
        <v>0.1581243184</v>
      </c>
      <c r="L6339" s="2">
        <v>815.0</v>
      </c>
      <c r="M6339" s="3">
        <f t="shared" si="5"/>
        <v>0.5897250362</v>
      </c>
      <c r="N6339" s="2">
        <v>7290900.0</v>
      </c>
      <c r="O6339" s="4">
        <f t="shared" si="6"/>
        <v>5275.615051</v>
      </c>
      <c r="P6339" s="2">
        <v>1.0</v>
      </c>
      <c r="Q6339" s="3">
        <f t="shared" si="7"/>
        <v>0.001683501684</v>
      </c>
      <c r="R6339" s="2">
        <v>594.0</v>
      </c>
      <c r="S6339" s="5">
        <f t="shared" si="8"/>
        <v>1</v>
      </c>
    </row>
    <row r="6340">
      <c r="A6340" s="2" t="s">
        <v>6338</v>
      </c>
      <c r="B6340" s="2">
        <v>95.0</v>
      </c>
      <c r="C6340" s="2">
        <v>1109.0</v>
      </c>
      <c r="D6340" s="2">
        <v>325.0</v>
      </c>
      <c r="E6340" s="3">
        <f t="shared" si="1"/>
        <v>0.3205128205</v>
      </c>
      <c r="F6340" s="2">
        <v>118.0</v>
      </c>
      <c r="G6340" s="3">
        <f t="shared" si="2"/>
        <v>0.1163708087</v>
      </c>
      <c r="H6340" s="2">
        <v>212.0</v>
      </c>
      <c r="I6340" s="3">
        <f t="shared" si="3"/>
        <v>0.2090729783</v>
      </c>
      <c r="J6340" s="2">
        <v>176.0</v>
      </c>
      <c r="K6340" s="3">
        <f t="shared" si="4"/>
        <v>0.1735700197</v>
      </c>
      <c r="L6340" s="2">
        <v>130.0</v>
      </c>
      <c r="M6340" s="3">
        <f t="shared" si="5"/>
        <v>0.6132075472</v>
      </c>
      <c r="N6340" s="2">
        <v>1163400.0</v>
      </c>
      <c r="O6340" s="4">
        <f t="shared" si="6"/>
        <v>5487.735849</v>
      </c>
      <c r="P6340" s="2">
        <v>0.0</v>
      </c>
      <c r="Q6340" s="3">
        <f t="shared" si="7"/>
        <v>0</v>
      </c>
      <c r="R6340" s="2">
        <v>95.0</v>
      </c>
      <c r="S6340" s="5">
        <f t="shared" si="8"/>
        <v>1</v>
      </c>
    </row>
    <row r="6341">
      <c r="A6341" s="2" t="s">
        <v>6339</v>
      </c>
      <c r="B6341" s="2">
        <v>1575.0</v>
      </c>
      <c r="C6341" s="2">
        <v>18530.0</v>
      </c>
      <c r="D6341" s="2">
        <v>6272.0</v>
      </c>
      <c r="E6341" s="3">
        <f t="shared" si="1"/>
        <v>0.3699203775</v>
      </c>
      <c r="F6341" s="2">
        <v>1973.0</v>
      </c>
      <c r="G6341" s="3">
        <f t="shared" si="2"/>
        <v>0.1163668534</v>
      </c>
      <c r="H6341" s="2">
        <v>3691.0</v>
      </c>
      <c r="I6341" s="3">
        <f t="shared" si="3"/>
        <v>0.2176938956</v>
      </c>
      <c r="J6341" s="2">
        <v>2602.0</v>
      </c>
      <c r="K6341" s="3">
        <f t="shared" si="4"/>
        <v>0.1534650546</v>
      </c>
      <c r="L6341" s="2">
        <v>2232.0</v>
      </c>
      <c r="M6341" s="3">
        <f t="shared" si="5"/>
        <v>0.6047141696</v>
      </c>
      <c r="N6341" s="2">
        <v>2.07679E7</v>
      </c>
      <c r="O6341" s="4">
        <f t="shared" si="6"/>
        <v>5626.632349</v>
      </c>
      <c r="P6341" s="2">
        <v>2.0</v>
      </c>
      <c r="Q6341" s="3">
        <f t="shared" si="7"/>
        <v>0.00126984127</v>
      </c>
      <c r="R6341" s="2">
        <v>1575.0</v>
      </c>
      <c r="S6341" s="5">
        <f t="shared" si="8"/>
        <v>1</v>
      </c>
    </row>
    <row r="6342">
      <c r="A6342" s="2" t="s">
        <v>6340</v>
      </c>
      <c r="B6342" s="2">
        <v>821.0</v>
      </c>
      <c r="C6342" s="2">
        <v>9690.0</v>
      </c>
      <c r="D6342" s="2">
        <v>3163.0</v>
      </c>
      <c r="E6342" s="3">
        <f t="shared" si="1"/>
        <v>0.3566354719</v>
      </c>
      <c r="F6342" s="2">
        <v>1032.0</v>
      </c>
      <c r="G6342" s="3">
        <f t="shared" si="2"/>
        <v>0.1163603563</v>
      </c>
      <c r="H6342" s="2">
        <v>1817.0</v>
      </c>
      <c r="I6342" s="3">
        <f t="shared" si="3"/>
        <v>0.2048708986</v>
      </c>
      <c r="J6342" s="2">
        <v>1475.0</v>
      </c>
      <c r="K6342" s="3">
        <f t="shared" si="4"/>
        <v>0.1663096178</v>
      </c>
      <c r="L6342" s="2">
        <v>1087.0</v>
      </c>
      <c r="M6342" s="3">
        <f t="shared" si="5"/>
        <v>0.5982388553</v>
      </c>
      <c r="N6342" s="2">
        <v>1.03739E7</v>
      </c>
      <c r="O6342" s="4">
        <f t="shared" si="6"/>
        <v>5709.356081</v>
      </c>
      <c r="P6342" s="2">
        <v>1.0</v>
      </c>
      <c r="Q6342" s="3">
        <f t="shared" si="7"/>
        <v>0.001218026797</v>
      </c>
      <c r="R6342" s="2">
        <v>821.0</v>
      </c>
      <c r="S6342" s="5">
        <f t="shared" si="8"/>
        <v>1</v>
      </c>
    </row>
    <row r="6343">
      <c r="A6343" s="2" t="s">
        <v>6341</v>
      </c>
      <c r="B6343" s="2">
        <v>2984.0</v>
      </c>
      <c r="C6343" s="2">
        <v>35118.0</v>
      </c>
      <c r="D6343" s="2">
        <v>10678.0</v>
      </c>
      <c r="E6343" s="3">
        <f t="shared" si="1"/>
        <v>0.3322960105</v>
      </c>
      <c r="F6343" s="2">
        <v>3739.0</v>
      </c>
      <c r="G6343" s="3">
        <f t="shared" si="2"/>
        <v>0.1163565071</v>
      </c>
      <c r="H6343" s="2">
        <v>6777.0</v>
      </c>
      <c r="I6343" s="3">
        <f t="shared" si="3"/>
        <v>0.2108981141</v>
      </c>
      <c r="J6343" s="2">
        <v>4952.0</v>
      </c>
      <c r="K6343" s="3">
        <f t="shared" si="4"/>
        <v>0.1541046866</v>
      </c>
      <c r="L6343" s="2">
        <v>4092.0</v>
      </c>
      <c r="M6343" s="3">
        <f t="shared" si="5"/>
        <v>0.6038069942</v>
      </c>
      <c r="N6343" s="2">
        <v>3.82764E7</v>
      </c>
      <c r="O6343" s="4">
        <f t="shared" si="6"/>
        <v>5647.985834</v>
      </c>
      <c r="P6343" s="2">
        <v>4.0</v>
      </c>
      <c r="Q6343" s="3">
        <f t="shared" si="7"/>
        <v>0.001340482574</v>
      </c>
      <c r="R6343" s="2">
        <v>2981.0</v>
      </c>
      <c r="S6343" s="5">
        <f t="shared" si="8"/>
        <v>0.9989946381</v>
      </c>
    </row>
    <row r="6344">
      <c r="A6344" s="2" t="s">
        <v>6342</v>
      </c>
      <c r="B6344" s="2">
        <v>149.0</v>
      </c>
      <c r="C6344" s="2">
        <v>1739.0</v>
      </c>
      <c r="D6344" s="2">
        <v>631.0</v>
      </c>
      <c r="E6344" s="3">
        <f t="shared" si="1"/>
        <v>0.3968553459</v>
      </c>
      <c r="F6344" s="2">
        <v>185.0</v>
      </c>
      <c r="G6344" s="3">
        <f t="shared" si="2"/>
        <v>0.1163522013</v>
      </c>
      <c r="H6344" s="2">
        <v>313.0</v>
      </c>
      <c r="I6344" s="3">
        <f t="shared" si="3"/>
        <v>0.1968553459</v>
      </c>
      <c r="J6344" s="2">
        <v>225.0</v>
      </c>
      <c r="K6344" s="3">
        <f t="shared" si="4"/>
        <v>0.141509434</v>
      </c>
      <c r="L6344" s="2">
        <v>190.0</v>
      </c>
      <c r="M6344" s="3">
        <f t="shared" si="5"/>
        <v>0.607028754</v>
      </c>
      <c r="N6344" s="2">
        <v>1645100.0</v>
      </c>
      <c r="O6344" s="4">
        <f t="shared" si="6"/>
        <v>5255.910543</v>
      </c>
      <c r="P6344" s="2">
        <v>0.0</v>
      </c>
      <c r="Q6344" s="3">
        <f t="shared" si="7"/>
        <v>0</v>
      </c>
      <c r="R6344" s="2">
        <v>149.0</v>
      </c>
      <c r="S6344" s="5">
        <f t="shared" si="8"/>
        <v>1</v>
      </c>
    </row>
    <row r="6345">
      <c r="A6345" s="2" t="s">
        <v>6343</v>
      </c>
      <c r="B6345" s="2">
        <v>2342.0</v>
      </c>
      <c r="C6345" s="2">
        <v>27482.0</v>
      </c>
      <c r="D6345" s="2">
        <v>9242.0</v>
      </c>
      <c r="E6345" s="3">
        <f t="shared" si="1"/>
        <v>0.3676213206</v>
      </c>
      <c r="F6345" s="2">
        <v>2925.0</v>
      </c>
      <c r="G6345" s="3">
        <f t="shared" si="2"/>
        <v>0.1163484487</v>
      </c>
      <c r="H6345" s="2">
        <v>5433.0</v>
      </c>
      <c r="I6345" s="3">
        <f t="shared" si="3"/>
        <v>0.2161097852</v>
      </c>
      <c r="J6345" s="2">
        <v>4435.0</v>
      </c>
      <c r="K6345" s="3">
        <f t="shared" si="4"/>
        <v>0.1764120923</v>
      </c>
      <c r="L6345" s="2">
        <v>3237.0</v>
      </c>
      <c r="M6345" s="3">
        <f t="shared" si="5"/>
        <v>0.5958034235</v>
      </c>
      <c r="N6345" s="2">
        <v>2.9991E7</v>
      </c>
      <c r="O6345" s="4">
        <f t="shared" si="6"/>
        <v>5520.154611</v>
      </c>
      <c r="P6345" s="2">
        <v>1.0</v>
      </c>
      <c r="Q6345" s="3">
        <f t="shared" si="7"/>
        <v>0.0004269854825</v>
      </c>
      <c r="R6345" s="2">
        <v>2338.0</v>
      </c>
      <c r="S6345" s="5">
        <f t="shared" si="8"/>
        <v>0.9982920581</v>
      </c>
    </row>
    <row r="6346">
      <c r="A6346" s="2" t="s">
        <v>6344</v>
      </c>
      <c r="B6346" s="2">
        <v>198.0</v>
      </c>
      <c r="C6346" s="2">
        <v>2347.0</v>
      </c>
      <c r="D6346" s="2">
        <v>673.0</v>
      </c>
      <c r="E6346" s="3">
        <f t="shared" si="1"/>
        <v>0.3131689158</v>
      </c>
      <c r="F6346" s="2">
        <v>250.0</v>
      </c>
      <c r="G6346" s="3">
        <f t="shared" si="2"/>
        <v>0.1163331782</v>
      </c>
      <c r="H6346" s="2">
        <v>437.0</v>
      </c>
      <c r="I6346" s="3">
        <f t="shared" si="3"/>
        <v>0.2033503955</v>
      </c>
      <c r="J6346" s="2">
        <v>347.0</v>
      </c>
      <c r="K6346" s="3">
        <f t="shared" si="4"/>
        <v>0.1614704514</v>
      </c>
      <c r="L6346" s="2">
        <v>268.0</v>
      </c>
      <c r="M6346" s="3">
        <f t="shared" si="5"/>
        <v>0.6132723112</v>
      </c>
      <c r="N6346" s="2">
        <v>2541200.0</v>
      </c>
      <c r="O6346" s="4">
        <f t="shared" si="6"/>
        <v>5815.102975</v>
      </c>
      <c r="P6346" s="2">
        <v>1.0</v>
      </c>
      <c r="Q6346" s="3">
        <f t="shared" si="7"/>
        <v>0.005050505051</v>
      </c>
      <c r="R6346" s="2">
        <v>198.0</v>
      </c>
      <c r="S6346" s="5">
        <f t="shared" si="8"/>
        <v>1</v>
      </c>
    </row>
    <row r="6347">
      <c r="A6347" s="2" t="s">
        <v>6345</v>
      </c>
      <c r="B6347" s="2">
        <v>260.0</v>
      </c>
      <c r="C6347" s="2">
        <v>3028.0</v>
      </c>
      <c r="D6347" s="2">
        <v>1004.0</v>
      </c>
      <c r="E6347" s="3">
        <f t="shared" si="1"/>
        <v>0.362716763</v>
      </c>
      <c r="F6347" s="2">
        <v>322.0</v>
      </c>
      <c r="G6347" s="3">
        <f t="shared" si="2"/>
        <v>0.1163294798</v>
      </c>
      <c r="H6347" s="2">
        <v>548.0</v>
      </c>
      <c r="I6347" s="3">
        <f t="shared" si="3"/>
        <v>0.1979768786</v>
      </c>
      <c r="J6347" s="2">
        <v>436.0</v>
      </c>
      <c r="K6347" s="3">
        <f t="shared" si="4"/>
        <v>0.1575144509</v>
      </c>
      <c r="L6347" s="2">
        <v>331.0</v>
      </c>
      <c r="M6347" s="3">
        <f t="shared" si="5"/>
        <v>0.6040145985</v>
      </c>
      <c r="N6347" s="2">
        <v>2978900.0</v>
      </c>
      <c r="O6347" s="4">
        <f t="shared" si="6"/>
        <v>5435.948905</v>
      </c>
      <c r="P6347" s="2">
        <v>1.0</v>
      </c>
      <c r="Q6347" s="3">
        <f t="shared" si="7"/>
        <v>0.003846153846</v>
      </c>
      <c r="R6347" s="2">
        <v>255.0</v>
      </c>
      <c r="S6347" s="5">
        <f t="shared" si="8"/>
        <v>0.9807692308</v>
      </c>
    </row>
    <row r="6348">
      <c r="A6348" s="2" t="s">
        <v>6346</v>
      </c>
      <c r="B6348" s="2">
        <v>522.0</v>
      </c>
      <c r="C6348" s="2">
        <v>6024.0</v>
      </c>
      <c r="D6348" s="2">
        <v>1846.0</v>
      </c>
      <c r="E6348" s="3">
        <f t="shared" si="1"/>
        <v>0.3355143584</v>
      </c>
      <c r="F6348" s="2">
        <v>640.0</v>
      </c>
      <c r="G6348" s="3">
        <f t="shared" si="2"/>
        <v>0.1163213377</v>
      </c>
      <c r="H6348" s="2">
        <v>1190.0</v>
      </c>
      <c r="I6348" s="3">
        <f t="shared" si="3"/>
        <v>0.2162849873</v>
      </c>
      <c r="J6348" s="2">
        <v>939.0</v>
      </c>
      <c r="K6348" s="3">
        <f t="shared" si="4"/>
        <v>0.1706652126</v>
      </c>
      <c r="L6348" s="2">
        <v>687.0</v>
      </c>
      <c r="M6348" s="3">
        <f t="shared" si="5"/>
        <v>0.5773109244</v>
      </c>
      <c r="N6348" s="2">
        <v>7111300.0</v>
      </c>
      <c r="O6348" s="4">
        <f t="shared" si="6"/>
        <v>5975.882353</v>
      </c>
      <c r="P6348" s="2">
        <v>1.0</v>
      </c>
      <c r="Q6348" s="3">
        <f t="shared" si="7"/>
        <v>0.001915708812</v>
      </c>
      <c r="R6348" s="2">
        <v>0.0</v>
      </c>
      <c r="S6348" s="5">
        <f t="shared" si="8"/>
        <v>0</v>
      </c>
    </row>
    <row r="6349">
      <c r="A6349" s="2" t="s">
        <v>6347</v>
      </c>
      <c r="B6349" s="2">
        <v>765.0</v>
      </c>
      <c r="C6349" s="2">
        <v>9044.0</v>
      </c>
      <c r="D6349" s="2">
        <v>2902.0</v>
      </c>
      <c r="E6349" s="3">
        <f t="shared" si="1"/>
        <v>0.3505254258</v>
      </c>
      <c r="F6349" s="2">
        <v>963.0</v>
      </c>
      <c r="G6349" s="3">
        <f t="shared" si="2"/>
        <v>0.1163183959</v>
      </c>
      <c r="H6349" s="2">
        <v>1733.0</v>
      </c>
      <c r="I6349" s="3">
        <f t="shared" si="3"/>
        <v>0.2093247977</v>
      </c>
      <c r="J6349" s="2">
        <v>1352.0</v>
      </c>
      <c r="K6349" s="3">
        <f t="shared" si="4"/>
        <v>0.163304747</v>
      </c>
      <c r="L6349" s="2">
        <v>1051.0</v>
      </c>
      <c r="M6349" s="3">
        <f t="shared" si="5"/>
        <v>0.6064627813</v>
      </c>
      <c r="N6349" s="2">
        <v>9348300.0</v>
      </c>
      <c r="O6349" s="4">
        <f t="shared" si="6"/>
        <v>5394.287363</v>
      </c>
      <c r="P6349" s="2">
        <v>0.0</v>
      </c>
      <c r="Q6349" s="3">
        <f t="shared" si="7"/>
        <v>0</v>
      </c>
      <c r="R6349" s="2">
        <v>763.0</v>
      </c>
      <c r="S6349" s="5">
        <f t="shared" si="8"/>
        <v>0.9973856209</v>
      </c>
    </row>
    <row r="6350">
      <c r="A6350" s="2" t="s">
        <v>6348</v>
      </c>
      <c r="B6350" s="2">
        <v>176.0</v>
      </c>
      <c r="C6350" s="2">
        <v>2033.0</v>
      </c>
      <c r="D6350" s="2">
        <v>684.0</v>
      </c>
      <c r="E6350" s="3">
        <f t="shared" si="1"/>
        <v>0.3683360258</v>
      </c>
      <c r="F6350" s="2">
        <v>216.0</v>
      </c>
      <c r="G6350" s="3">
        <f t="shared" si="2"/>
        <v>0.1163166397</v>
      </c>
      <c r="H6350" s="2">
        <v>371.0</v>
      </c>
      <c r="I6350" s="3">
        <f t="shared" si="3"/>
        <v>0.1997845988</v>
      </c>
      <c r="J6350" s="2">
        <v>321.0</v>
      </c>
      <c r="K6350" s="3">
        <f t="shared" si="4"/>
        <v>0.1728594507</v>
      </c>
      <c r="L6350" s="2">
        <v>240.0</v>
      </c>
      <c r="M6350" s="3">
        <f t="shared" si="5"/>
        <v>0.6469002695</v>
      </c>
      <c r="N6350" s="2">
        <v>2200600.0</v>
      </c>
      <c r="O6350" s="4">
        <f t="shared" si="6"/>
        <v>5931.536388</v>
      </c>
      <c r="P6350" s="2">
        <v>0.0</v>
      </c>
      <c r="Q6350" s="3">
        <f t="shared" si="7"/>
        <v>0</v>
      </c>
      <c r="R6350" s="2">
        <v>176.0</v>
      </c>
      <c r="S6350" s="5">
        <f t="shared" si="8"/>
        <v>1</v>
      </c>
    </row>
    <row r="6351">
      <c r="A6351" s="2" t="s">
        <v>6349</v>
      </c>
      <c r="B6351" s="2">
        <v>450.0</v>
      </c>
      <c r="C6351" s="2">
        <v>5334.0</v>
      </c>
      <c r="D6351" s="2">
        <v>2134.0</v>
      </c>
      <c r="E6351" s="3">
        <f t="shared" si="1"/>
        <v>0.4369369369</v>
      </c>
      <c r="F6351" s="2">
        <v>568.0</v>
      </c>
      <c r="G6351" s="3">
        <f t="shared" si="2"/>
        <v>0.1162981163</v>
      </c>
      <c r="H6351" s="2">
        <v>1009.0</v>
      </c>
      <c r="I6351" s="3">
        <f t="shared" si="3"/>
        <v>0.2065929566</v>
      </c>
      <c r="J6351" s="2">
        <v>689.0</v>
      </c>
      <c r="K6351" s="3">
        <f t="shared" si="4"/>
        <v>0.1410728911</v>
      </c>
      <c r="L6351" s="2">
        <v>615.0</v>
      </c>
      <c r="M6351" s="3">
        <f t="shared" si="5"/>
        <v>0.6095143707</v>
      </c>
      <c r="N6351" s="2">
        <v>5215800.0</v>
      </c>
      <c r="O6351" s="4">
        <f t="shared" si="6"/>
        <v>5169.276511</v>
      </c>
      <c r="P6351" s="2">
        <v>1.0</v>
      </c>
      <c r="Q6351" s="3">
        <f t="shared" si="7"/>
        <v>0.002222222222</v>
      </c>
      <c r="R6351" s="2">
        <v>439.0</v>
      </c>
      <c r="S6351" s="5">
        <f t="shared" si="8"/>
        <v>0.9755555556</v>
      </c>
    </row>
    <row r="6352">
      <c r="A6352" s="2" t="s">
        <v>6350</v>
      </c>
      <c r="B6352" s="2">
        <v>130.0</v>
      </c>
      <c r="C6352" s="2">
        <v>1523.0</v>
      </c>
      <c r="D6352" s="2">
        <v>495.0</v>
      </c>
      <c r="E6352" s="3">
        <f t="shared" si="1"/>
        <v>0.3553481694</v>
      </c>
      <c r="F6352" s="2">
        <v>162.0</v>
      </c>
      <c r="G6352" s="3">
        <f t="shared" si="2"/>
        <v>0.1162957645</v>
      </c>
      <c r="H6352" s="2">
        <v>268.0</v>
      </c>
      <c r="I6352" s="3">
        <f t="shared" si="3"/>
        <v>0.192390524</v>
      </c>
      <c r="J6352" s="2">
        <v>203.0</v>
      </c>
      <c r="K6352" s="3">
        <f t="shared" si="4"/>
        <v>0.1457286432</v>
      </c>
      <c r="L6352" s="2">
        <v>175.0</v>
      </c>
      <c r="M6352" s="3">
        <f t="shared" si="5"/>
        <v>0.6529850746</v>
      </c>
      <c r="N6352" s="2">
        <v>1595100.0</v>
      </c>
      <c r="O6352" s="4">
        <f t="shared" si="6"/>
        <v>5951.865672</v>
      </c>
      <c r="P6352" s="2">
        <v>0.0</v>
      </c>
      <c r="Q6352" s="3">
        <f t="shared" si="7"/>
        <v>0</v>
      </c>
      <c r="R6352" s="2">
        <v>130.0</v>
      </c>
      <c r="S6352" s="5">
        <f t="shared" si="8"/>
        <v>1</v>
      </c>
    </row>
    <row r="6353">
      <c r="A6353" s="2" t="s">
        <v>6351</v>
      </c>
      <c r="B6353" s="2">
        <v>153.0</v>
      </c>
      <c r="C6353" s="2">
        <v>1804.0</v>
      </c>
      <c r="D6353" s="2">
        <v>547.0</v>
      </c>
      <c r="E6353" s="3">
        <f t="shared" si="1"/>
        <v>0.3313143549</v>
      </c>
      <c r="F6353" s="2">
        <v>192.0</v>
      </c>
      <c r="G6353" s="3">
        <f t="shared" si="2"/>
        <v>0.1162931557</v>
      </c>
      <c r="H6353" s="2">
        <v>333.0</v>
      </c>
      <c r="I6353" s="3">
        <f t="shared" si="3"/>
        <v>0.2016959419</v>
      </c>
      <c r="J6353" s="2">
        <v>289.0</v>
      </c>
      <c r="K6353" s="3">
        <f t="shared" si="4"/>
        <v>0.175045427</v>
      </c>
      <c r="L6353" s="2">
        <v>200.0</v>
      </c>
      <c r="M6353" s="3">
        <f t="shared" si="5"/>
        <v>0.6006006006</v>
      </c>
      <c r="N6353" s="2">
        <v>1711400.0</v>
      </c>
      <c r="O6353" s="4">
        <f t="shared" si="6"/>
        <v>5139.339339</v>
      </c>
      <c r="P6353" s="2">
        <v>0.0</v>
      </c>
      <c r="Q6353" s="3">
        <f t="shared" si="7"/>
        <v>0</v>
      </c>
      <c r="R6353" s="2">
        <v>152.0</v>
      </c>
      <c r="S6353" s="5">
        <f t="shared" si="8"/>
        <v>0.9934640523</v>
      </c>
    </row>
    <row r="6354">
      <c r="A6354" s="2" t="s">
        <v>6352</v>
      </c>
      <c r="B6354" s="2">
        <v>5729.0</v>
      </c>
      <c r="C6354" s="2">
        <v>67344.0</v>
      </c>
      <c r="D6354" s="2">
        <v>23690.0</v>
      </c>
      <c r="E6354" s="3">
        <f t="shared" si="1"/>
        <v>0.3844842977</v>
      </c>
      <c r="F6354" s="2">
        <v>7165.0</v>
      </c>
      <c r="G6354" s="3">
        <f t="shared" si="2"/>
        <v>0.1162866185</v>
      </c>
      <c r="H6354" s="2">
        <v>12551.0</v>
      </c>
      <c r="I6354" s="3">
        <f t="shared" si="3"/>
        <v>0.2037003976</v>
      </c>
      <c r="J6354" s="2">
        <v>7230.0</v>
      </c>
      <c r="K6354" s="3">
        <f t="shared" si="4"/>
        <v>0.1173415564</v>
      </c>
      <c r="L6354" s="2">
        <v>7804.0</v>
      </c>
      <c r="M6354" s="3">
        <f t="shared" si="5"/>
        <v>0.6217831249</v>
      </c>
      <c r="N6354" s="2">
        <v>7.01024E7</v>
      </c>
      <c r="O6354" s="4">
        <f t="shared" si="6"/>
        <v>5585.403554</v>
      </c>
      <c r="P6354" s="2">
        <v>17.0</v>
      </c>
      <c r="Q6354" s="3">
        <f t="shared" si="7"/>
        <v>0.00296735905</v>
      </c>
      <c r="R6354" s="2">
        <v>5729.0</v>
      </c>
      <c r="S6354" s="5">
        <f t="shared" si="8"/>
        <v>1</v>
      </c>
    </row>
    <row r="6355">
      <c r="A6355" s="2" t="s">
        <v>6353</v>
      </c>
      <c r="B6355" s="2">
        <v>1873.0</v>
      </c>
      <c r="C6355" s="2">
        <v>22057.0</v>
      </c>
      <c r="D6355" s="2">
        <v>7852.0</v>
      </c>
      <c r="E6355" s="3">
        <f t="shared" si="1"/>
        <v>0.3890210067</v>
      </c>
      <c r="F6355" s="2">
        <v>2347.0</v>
      </c>
      <c r="G6355" s="3">
        <f t="shared" si="2"/>
        <v>0.116280222</v>
      </c>
      <c r="H6355" s="2">
        <v>4191.0</v>
      </c>
      <c r="I6355" s="3">
        <f t="shared" si="3"/>
        <v>0.2076397146</v>
      </c>
      <c r="J6355" s="2">
        <v>3131.0</v>
      </c>
      <c r="K6355" s="3">
        <f t="shared" si="4"/>
        <v>0.1551228696</v>
      </c>
      <c r="L6355" s="2">
        <v>2525.0</v>
      </c>
      <c r="M6355" s="3">
        <f t="shared" si="5"/>
        <v>0.602481508</v>
      </c>
      <c r="N6355" s="2">
        <v>2.25721E7</v>
      </c>
      <c r="O6355" s="4">
        <f t="shared" si="6"/>
        <v>5385.850632</v>
      </c>
      <c r="P6355" s="2">
        <v>3.0</v>
      </c>
      <c r="Q6355" s="3">
        <f t="shared" si="7"/>
        <v>0.001601708489</v>
      </c>
      <c r="R6355" s="2">
        <v>1872.0</v>
      </c>
      <c r="S6355" s="5">
        <f t="shared" si="8"/>
        <v>0.9994660972</v>
      </c>
    </row>
    <row r="6356">
      <c r="A6356" s="2" t="s">
        <v>6354</v>
      </c>
      <c r="B6356" s="2">
        <v>154.0</v>
      </c>
      <c r="C6356" s="2">
        <v>1831.0</v>
      </c>
      <c r="D6356" s="2">
        <v>413.0</v>
      </c>
      <c r="E6356" s="3">
        <f t="shared" si="1"/>
        <v>0.2462731067</v>
      </c>
      <c r="F6356" s="2">
        <v>195.0</v>
      </c>
      <c r="G6356" s="3">
        <f t="shared" si="2"/>
        <v>0.1162790698</v>
      </c>
      <c r="H6356" s="2">
        <v>308.0</v>
      </c>
      <c r="I6356" s="3">
        <f t="shared" si="3"/>
        <v>0.1836612999</v>
      </c>
      <c r="J6356" s="2">
        <v>257.0</v>
      </c>
      <c r="K6356" s="3">
        <f t="shared" si="4"/>
        <v>0.1532498509</v>
      </c>
      <c r="L6356" s="2">
        <v>197.0</v>
      </c>
      <c r="M6356" s="3">
        <f t="shared" si="5"/>
        <v>0.6396103896</v>
      </c>
      <c r="N6356" s="2">
        <v>1830200.0</v>
      </c>
      <c r="O6356" s="4">
        <f t="shared" si="6"/>
        <v>5942.207792</v>
      </c>
      <c r="P6356" s="2">
        <v>0.0</v>
      </c>
      <c r="Q6356" s="3">
        <f t="shared" si="7"/>
        <v>0</v>
      </c>
      <c r="R6356" s="2">
        <v>0.0</v>
      </c>
      <c r="S6356" s="5">
        <f t="shared" si="8"/>
        <v>0</v>
      </c>
    </row>
    <row r="6357">
      <c r="A6357" s="2" t="s">
        <v>6355</v>
      </c>
      <c r="B6357" s="2">
        <v>426.0</v>
      </c>
      <c r="C6357" s="2">
        <v>5010.0</v>
      </c>
      <c r="D6357" s="2">
        <v>1504.0</v>
      </c>
      <c r="E6357" s="3">
        <f t="shared" si="1"/>
        <v>0.3280977312</v>
      </c>
      <c r="F6357" s="2">
        <v>533.0</v>
      </c>
      <c r="G6357" s="3">
        <f t="shared" si="2"/>
        <v>0.1162739965</v>
      </c>
      <c r="H6357" s="2">
        <v>961.0</v>
      </c>
      <c r="I6357" s="3">
        <f t="shared" si="3"/>
        <v>0.2096422339</v>
      </c>
      <c r="J6357" s="2">
        <v>875.0</v>
      </c>
      <c r="K6357" s="3">
        <f t="shared" si="4"/>
        <v>0.1908813264</v>
      </c>
      <c r="L6357" s="2">
        <v>547.0</v>
      </c>
      <c r="M6357" s="3">
        <f t="shared" si="5"/>
        <v>0.5691987513</v>
      </c>
      <c r="N6357" s="2">
        <v>5642300.0</v>
      </c>
      <c r="O6357" s="4">
        <f t="shared" si="6"/>
        <v>5871.279917</v>
      </c>
      <c r="P6357" s="2">
        <v>0.0</v>
      </c>
      <c r="Q6357" s="3">
        <f t="shared" si="7"/>
        <v>0</v>
      </c>
      <c r="R6357" s="2">
        <v>39.0</v>
      </c>
      <c r="S6357" s="5">
        <f t="shared" si="8"/>
        <v>0.09154929577</v>
      </c>
    </row>
    <row r="6358">
      <c r="A6358" s="2" t="s">
        <v>6356</v>
      </c>
      <c r="B6358" s="2">
        <v>971.0</v>
      </c>
      <c r="C6358" s="2">
        <v>11481.0</v>
      </c>
      <c r="D6358" s="2">
        <v>3369.0</v>
      </c>
      <c r="E6358" s="3">
        <f t="shared" si="1"/>
        <v>0.3205518554</v>
      </c>
      <c r="F6358" s="2">
        <v>1222.0</v>
      </c>
      <c r="G6358" s="3">
        <f t="shared" si="2"/>
        <v>0.1162702188</v>
      </c>
      <c r="H6358" s="2">
        <v>2039.0</v>
      </c>
      <c r="I6358" s="3">
        <f t="shared" si="3"/>
        <v>0.1940057088</v>
      </c>
      <c r="J6358" s="2">
        <v>1214.0</v>
      </c>
      <c r="K6358" s="3">
        <f t="shared" si="4"/>
        <v>0.115509039</v>
      </c>
      <c r="L6358" s="2">
        <v>1256.0</v>
      </c>
      <c r="M6358" s="3">
        <f t="shared" si="5"/>
        <v>0.6159882295</v>
      </c>
      <c r="N6358" s="2">
        <v>1.12405E7</v>
      </c>
      <c r="O6358" s="4">
        <f t="shared" si="6"/>
        <v>5512.751349</v>
      </c>
      <c r="P6358" s="2">
        <v>0.0</v>
      </c>
      <c r="Q6358" s="3">
        <f t="shared" si="7"/>
        <v>0</v>
      </c>
      <c r="R6358" s="2">
        <v>971.0</v>
      </c>
      <c r="S6358" s="5">
        <f t="shared" si="8"/>
        <v>1</v>
      </c>
    </row>
    <row r="6359">
      <c r="A6359" s="2" t="s">
        <v>6357</v>
      </c>
      <c r="B6359" s="2">
        <v>492.0</v>
      </c>
      <c r="C6359" s="2">
        <v>5696.0</v>
      </c>
      <c r="D6359" s="2">
        <v>1452.0</v>
      </c>
      <c r="E6359" s="3">
        <f t="shared" si="1"/>
        <v>0.2790161414</v>
      </c>
      <c r="F6359" s="2">
        <v>605.0</v>
      </c>
      <c r="G6359" s="3">
        <f t="shared" si="2"/>
        <v>0.1162567256</v>
      </c>
      <c r="H6359" s="2">
        <v>1020.0</v>
      </c>
      <c r="I6359" s="3">
        <f t="shared" si="3"/>
        <v>0.1960030746</v>
      </c>
      <c r="J6359" s="2">
        <v>998.0</v>
      </c>
      <c r="K6359" s="3">
        <f t="shared" si="4"/>
        <v>0.1917755573</v>
      </c>
      <c r="L6359" s="2">
        <v>622.0</v>
      </c>
      <c r="M6359" s="3">
        <f t="shared" si="5"/>
        <v>0.6098039216</v>
      </c>
      <c r="N6359" s="2">
        <v>6039200.0</v>
      </c>
      <c r="O6359" s="4">
        <f t="shared" si="6"/>
        <v>5920.784314</v>
      </c>
      <c r="P6359" s="2">
        <v>4.0</v>
      </c>
      <c r="Q6359" s="3">
        <f t="shared" si="7"/>
        <v>0.008130081301</v>
      </c>
      <c r="R6359" s="2">
        <v>492.0</v>
      </c>
      <c r="S6359" s="5">
        <f t="shared" si="8"/>
        <v>1</v>
      </c>
    </row>
    <row r="6360">
      <c r="A6360" s="2" t="s">
        <v>6358</v>
      </c>
      <c r="B6360" s="2">
        <v>87.0</v>
      </c>
      <c r="C6360" s="2">
        <v>1016.0</v>
      </c>
      <c r="D6360" s="2">
        <v>317.0</v>
      </c>
      <c r="E6360" s="3">
        <f t="shared" si="1"/>
        <v>0.3412271259</v>
      </c>
      <c r="F6360" s="2">
        <v>108.0</v>
      </c>
      <c r="G6360" s="3">
        <f t="shared" si="2"/>
        <v>0.1162540366</v>
      </c>
      <c r="H6360" s="2">
        <v>200.0</v>
      </c>
      <c r="I6360" s="3">
        <f t="shared" si="3"/>
        <v>0.215285253</v>
      </c>
      <c r="J6360" s="2">
        <v>138.0</v>
      </c>
      <c r="K6360" s="3">
        <f t="shared" si="4"/>
        <v>0.1485468245</v>
      </c>
      <c r="L6360" s="2">
        <v>122.0</v>
      </c>
      <c r="M6360" s="3">
        <f t="shared" si="5"/>
        <v>0.61</v>
      </c>
      <c r="N6360" s="2">
        <v>1071600.0</v>
      </c>
      <c r="O6360" s="4">
        <f t="shared" si="6"/>
        <v>5358</v>
      </c>
      <c r="P6360" s="2">
        <v>0.0</v>
      </c>
      <c r="Q6360" s="3">
        <f t="shared" si="7"/>
        <v>0</v>
      </c>
      <c r="R6360" s="2">
        <v>87.0</v>
      </c>
      <c r="S6360" s="5">
        <f t="shared" si="8"/>
        <v>1</v>
      </c>
    </row>
    <row r="6361">
      <c r="A6361" s="2" t="s">
        <v>6359</v>
      </c>
      <c r="B6361" s="2">
        <v>79.0</v>
      </c>
      <c r="C6361" s="2">
        <v>922.0</v>
      </c>
      <c r="D6361" s="2">
        <v>327.0</v>
      </c>
      <c r="E6361" s="3">
        <f t="shared" si="1"/>
        <v>0.3879003559</v>
      </c>
      <c r="F6361" s="2">
        <v>98.0</v>
      </c>
      <c r="G6361" s="3">
        <f t="shared" si="2"/>
        <v>0.1162514828</v>
      </c>
      <c r="H6361" s="2">
        <v>185.0</v>
      </c>
      <c r="I6361" s="3">
        <f t="shared" si="3"/>
        <v>0.2194543298</v>
      </c>
      <c r="J6361" s="2">
        <v>150.0</v>
      </c>
      <c r="K6361" s="3">
        <f t="shared" si="4"/>
        <v>0.1779359431</v>
      </c>
      <c r="L6361" s="2">
        <v>108.0</v>
      </c>
      <c r="M6361" s="3">
        <f t="shared" si="5"/>
        <v>0.5837837838</v>
      </c>
      <c r="N6361" s="2">
        <v>982800.0</v>
      </c>
      <c r="O6361" s="4">
        <f t="shared" si="6"/>
        <v>5312.432432</v>
      </c>
      <c r="P6361" s="2">
        <v>0.0</v>
      </c>
      <c r="Q6361" s="3">
        <f t="shared" si="7"/>
        <v>0</v>
      </c>
      <c r="R6361" s="2">
        <v>1.0</v>
      </c>
      <c r="S6361" s="5">
        <f t="shared" si="8"/>
        <v>0.01265822785</v>
      </c>
    </row>
    <row r="6362">
      <c r="A6362" s="2" t="s">
        <v>6360</v>
      </c>
      <c r="B6362" s="2">
        <v>539.0</v>
      </c>
      <c r="C6362" s="2">
        <v>6337.0</v>
      </c>
      <c r="D6362" s="2">
        <v>2202.0</v>
      </c>
      <c r="E6362" s="3">
        <f t="shared" si="1"/>
        <v>0.3797861331</v>
      </c>
      <c r="F6362" s="2">
        <v>674.0</v>
      </c>
      <c r="G6362" s="3">
        <f t="shared" si="2"/>
        <v>0.1162469817</v>
      </c>
      <c r="H6362" s="2">
        <v>1152.0</v>
      </c>
      <c r="I6362" s="3">
        <f t="shared" si="3"/>
        <v>0.1986892032</v>
      </c>
      <c r="J6362" s="2">
        <v>657.0</v>
      </c>
      <c r="K6362" s="3">
        <f t="shared" si="4"/>
        <v>0.1133149362</v>
      </c>
      <c r="L6362" s="2">
        <v>717.0</v>
      </c>
      <c r="M6362" s="3">
        <f t="shared" si="5"/>
        <v>0.6223958333</v>
      </c>
      <c r="N6362" s="2">
        <v>6071900.0</v>
      </c>
      <c r="O6362" s="4">
        <f t="shared" si="6"/>
        <v>5270.746528</v>
      </c>
      <c r="P6362" s="2">
        <v>0.0</v>
      </c>
      <c r="Q6362" s="3">
        <f t="shared" si="7"/>
        <v>0</v>
      </c>
      <c r="R6362" s="2">
        <v>1.0</v>
      </c>
      <c r="S6362" s="5">
        <f t="shared" si="8"/>
        <v>0.00185528757</v>
      </c>
    </row>
    <row r="6363">
      <c r="A6363" s="2" t="s">
        <v>6361</v>
      </c>
      <c r="B6363" s="2">
        <v>4118.0</v>
      </c>
      <c r="C6363" s="2">
        <v>48774.0</v>
      </c>
      <c r="D6363" s="2">
        <v>14514.0</v>
      </c>
      <c r="E6363" s="3">
        <f t="shared" si="1"/>
        <v>0.3250179147</v>
      </c>
      <c r="F6363" s="2">
        <v>5191.0</v>
      </c>
      <c r="G6363" s="3">
        <f t="shared" si="2"/>
        <v>0.1162441777</v>
      </c>
      <c r="H6363" s="2">
        <v>9369.0</v>
      </c>
      <c r="I6363" s="3">
        <f t="shared" si="3"/>
        <v>0.2098038338</v>
      </c>
      <c r="J6363" s="2">
        <v>7406.0</v>
      </c>
      <c r="K6363" s="3">
        <f t="shared" si="4"/>
        <v>0.1658455751</v>
      </c>
      <c r="L6363" s="2">
        <v>5594.0</v>
      </c>
      <c r="M6363" s="3">
        <f t="shared" si="5"/>
        <v>0.5970754616</v>
      </c>
      <c r="N6363" s="2">
        <v>5.13835E7</v>
      </c>
      <c r="O6363" s="4">
        <f t="shared" si="6"/>
        <v>5484.416693</v>
      </c>
      <c r="P6363" s="2">
        <v>12.0</v>
      </c>
      <c r="Q6363" s="3">
        <f t="shared" si="7"/>
        <v>0.00291403594</v>
      </c>
      <c r="R6363" s="2">
        <v>4103.0</v>
      </c>
      <c r="S6363" s="5">
        <f t="shared" si="8"/>
        <v>0.9963574551</v>
      </c>
    </row>
    <row r="6364">
      <c r="A6364" s="2" t="s">
        <v>6362</v>
      </c>
      <c r="B6364" s="2">
        <v>286.0</v>
      </c>
      <c r="C6364" s="2">
        <v>3383.0</v>
      </c>
      <c r="D6364" s="2">
        <v>1077.0</v>
      </c>
      <c r="E6364" s="3">
        <f t="shared" si="1"/>
        <v>0.3477558928</v>
      </c>
      <c r="F6364" s="2">
        <v>360.0</v>
      </c>
      <c r="G6364" s="3">
        <f t="shared" si="2"/>
        <v>0.1162415241</v>
      </c>
      <c r="H6364" s="2">
        <v>607.0</v>
      </c>
      <c r="I6364" s="3">
        <f t="shared" si="3"/>
        <v>0.1959961253</v>
      </c>
      <c r="J6364" s="2">
        <v>524.0</v>
      </c>
      <c r="K6364" s="3">
        <f t="shared" si="4"/>
        <v>0.1691959961</v>
      </c>
      <c r="L6364" s="2">
        <v>348.0</v>
      </c>
      <c r="M6364" s="3">
        <f t="shared" si="5"/>
        <v>0.5733113674</v>
      </c>
      <c r="N6364" s="2">
        <v>3417100.0</v>
      </c>
      <c r="O6364" s="4">
        <f t="shared" si="6"/>
        <v>5629.489292</v>
      </c>
      <c r="P6364" s="2">
        <v>1.0</v>
      </c>
      <c r="Q6364" s="3">
        <f t="shared" si="7"/>
        <v>0.003496503497</v>
      </c>
      <c r="R6364" s="2">
        <v>286.0</v>
      </c>
      <c r="S6364" s="5">
        <f t="shared" si="8"/>
        <v>1</v>
      </c>
    </row>
    <row r="6365">
      <c r="A6365" s="2" t="s">
        <v>6363</v>
      </c>
      <c r="B6365" s="2">
        <v>603.0</v>
      </c>
      <c r="C6365" s="2">
        <v>7038.0</v>
      </c>
      <c r="D6365" s="2">
        <v>2278.0</v>
      </c>
      <c r="E6365" s="3">
        <f t="shared" si="1"/>
        <v>0.354001554</v>
      </c>
      <c r="F6365" s="2">
        <v>748.0</v>
      </c>
      <c r="G6365" s="3">
        <f t="shared" si="2"/>
        <v>0.1162393162</v>
      </c>
      <c r="H6365" s="2">
        <v>1383.0</v>
      </c>
      <c r="I6365" s="3">
        <f t="shared" si="3"/>
        <v>0.2149184149</v>
      </c>
      <c r="J6365" s="2">
        <v>1084.0</v>
      </c>
      <c r="K6365" s="3">
        <f t="shared" si="4"/>
        <v>0.1684537685</v>
      </c>
      <c r="L6365" s="2">
        <v>834.0</v>
      </c>
      <c r="M6365" s="3">
        <f t="shared" si="5"/>
        <v>0.6030368764</v>
      </c>
      <c r="N6365" s="2">
        <v>7686900.0</v>
      </c>
      <c r="O6365" s="4">
        <f t="shared" si="6"/>
        <v>5558.13449</v>
      </c>
      <c r="P6365" s="2">
        <v>2.0</v>
      </c>
      <c r="Q6365" s="3">
        <f t="shared" si="7"/>
        <v>0.003316749585</v>
      </c>
      <c r="R6365" s="2">
        <v>2.0</v>
      </c>
      <c r="S6365" s="5">
        <f t="shared" si="8"/>
        <v>0.003316749585</v>
      </c>
    </row>
    <row r="6366">
      <c r="A6366" s="2" t="s">
        <v>6364</v>
      </c>
      <c r="B6366" s="2">
        <v>2405.0</v>
      </c>
      <c r="C6366" s="2">
        <v>28498.0</v>
      </c>
      <c r="D6366" s="2">
        <v>10671.0</v>
      </c>
      <c r="E6366" s="3">
        <f t="shared" si="1"/>
        <v>0.4089602575</v>
      </c>
      <c r="F6366" s="2">
        <v>3033.0</v>
      </c>
      <c r="G6366" s="3">
        <f t="shared" si="2"/>
        <v>0.1162380715</v>
      </c>
      <c r="H6366" s="2">
        <v>5485.0</v>
      </c>
      <c r="I6366" s="3">
        <f t="shared" si="3"/>
        <v>0.2102096348</v>
      </c>
      <c r="J6366" s="2">
        <v>3806.0</v>
      </c>
      <c r="K6366" s="3">
        <f t="shared" si="4"/>
        <v>0.1458628751</v>
      </c>
      <c r="L6366" s="2">
        <v>3294.0</v>
      </c>
      <c r="M6366" s="3">
        <f t="shared" si="5"/>
        <v>0.6005469462</v>
      </c>
      <c r="N6366" s="2">
        <v>2.95447E7</v>
      </c>
      <c r="O6366" s="4">
        <f t="shared" si="6"/>
        <v>5386.453965</v>
      </c>
      <c r="P6366" s="2">
        <v>7.0</v>
      </c>
      <c r="Q6366" s="3">
        <f t="shared" si="7"/>
        <v>0.002910602911</v>
      </c>
      <c r="R6366" s="2">
        <v>2393.0</v>
      </c>
      <c r="S6366" s="5">
        <f t="shared" si="8"/>
        <v>0.995010395</v>
      </c>
    </row>
    <row r="6367">
      <c r="A6367" s="2" t="s">
        <v>6365</v>
      </c>
      <c r="B6367" s="2">
        <v>704.0</v>
      </c>
      <c r="C6367" s="2">
        <v>8215.0</v>
      </c>
      <c r="D6367" s="2">
        <v>2480.0</v>
      </c>
      <c r="E6367" s="3">
        <f t="shared" si="1"/>
        <v>0.3301823991</v>
      </c>
      <c r="F6367" s="2">
        <v>873.0</v>
      </c>
      <c r="G6367" s="3">
        <f t="shared" si="2"/>
        <v>0.11622953</v>
      </c>
      <c r="H6367" s="2">
        <v>1516.0</v>
      </c>
      <c r="I6367" s="3">
        <f t="shared" si="3"/>
        <v>0.2018373053</v>
      </c>
      <c r="J6367" s="2">
        <v>1315.0</v>
      </c>
      <c r="K6367" s="3">
        <f t="shared" si="4"/>
        <v>0.1750765544</v>
      </c>
      <c r="L6367" s="2">
        <v>930.0</v>
      </c>
      <c r="M6367" s="3">
        <f t="shared" si="5"/>
        <v>0.6134564644</v>
      </c>
      <c r="N6367" s="2">
        <v>8907600.0</v>
      </c>
      <c r="O6367" s="4">
        <f t="shared" si="6"/>
        <v>5875.725594</v>
      </c>
      <c r="P6367" s="2">
        <v>1.0</v>
      </c>
      <c r="Q6367" s="3">
        <f t="shared" si="7"/>
        <v>0.001420454545</v>
      </c>
      <c r="R6367" s="2">
        <v>0.0</v>
      </c>
      <c r="S6367" s="5">
        <f t="shared" si="8"/>
        <v>0</v>
      </c>
    </row>
    <row r="6368">
      <c r="A6368" s="2" t="s">
        <v>6366</v>
      </c>
      <c r="B6368" s="2">
        <v>110.0</v>
      </c>
      <c r="C6368" s="2">
        <v>1306.0</v>
      </c>
      <c r="D6368" s="2">
        <v>421.0</v>
      </c>
      <c r="E6368" s="3">
        <f t="shared" si="1"/>
        <v>0.352006689</v>
      </c>
      <c r="F6368" s="2">
        <v>139.0</v>
      </c>
      <c r="G6368" s="3">
        <f t="shared" si="2"/>
        <v>0.1162207358</v>
      </c>
      <c r="H6368" s="2">
        <v>239.0</v>
      </c>
      <c r="I6368" s="3">
        <f t="shared" si="3"/>
        <v>0.1998327759</v>
      </c>
      <c r="J6368" s="2">
        <v>190.0</v>
      </c>
      <c r="K6368" s="3">
        <f t="shared" si="4"/>
        <v>0.1588628763</v>
      </c>
      <c r="L6368" s="2">
        <v>142.0</v>
      </c>
      <c r="M6368" s="3">
        <f t="shared" si="5"/>
        <v>0.5941422594</v>
      </c>
      <c r="N6368" s="2">
        <v>1292200.0</v>
      </c>
      <c r="O6368" s="4">
        <f t="shared" si="6"/>
        <v>5406.694561</v>
      </c>
      <c r="P6368" s="2">
        <v>0.0</v>
      </c>
      <c r="Q6368" s="3">
        <f t="shared" si="7"/>
        <v>0</v>
      </c>
      <c r="R6368" s="2">
        <v>54.0</v>
      </c>
      <c r="S6368" s="5">
        <f t="shared" si="8"/>
        <v>0.4909090909</v>
      </c>
    </row>
    <row r="6369">
      <c r="A6369" s="2" t="s">
        <v>6367</v>
      </c>
      <c r="B6369" s="2">
        <v>636.0</v>
      </c>
      <c r="C6369" s="2">
        <v>7546.0</v>
      </c>
      <c r="D6369" s="2">
        <v>2113.0</v>
      </c>
      <c r="E6369" s="3">
        <f t="shared" si="1"/>
        <v>0.305788712</v>
      </c>
      <c r="F6369" s="2">
        <v>803.0</v>
      </c>
      <c r="G6369" s="3">
        <f t="shared" si="2"/>
        <v>0.1162083936</v>
      </c>
      <c r="H6369" s="2">
        <v>1395.0</v>
      </c>
      <c r="I6369" s="3">
        <f t="shared" si="3"/>
        <v>0.2018813314</v>
      </c>
      <c r="J6369" s="2">
        <v>1183.0</v>
      </c>
      <c r="K6369" s="3">
        <f t="shared" si="4"/>
        <v>0.1712011577</v>
      </c>
      <c r="L6369" s="2">
        <v>796.0</v>
      </c>
      <c r="M6369" s="3">
        <f t="shared" si="5"/>
        <v>0.570609319</v>
      </c>
      <c r="N6369" s="2">
        <v>7914100.0</v>
      </c>
      <c r="O6369" s="4">
        <f t="shared" si="6"/>
        <v>5673.189964</v>
      </c>
      <c r="P6369" s="2">
        <v>0.0</v>
      </c>
      <c r="Q6369" s="3">
        <f t="shared" si="7"/>
        <v>0</v>
      </c>
      <c r="R6369" s="2">
        <v>0.0</v>
      </c>
      <c r="S6369" s="5">
        <f t="shared" si="8"/>
        <v>0</v>
      </c>
    </row>
    <row r="6370">
      <c r="A6370" s="2" t="s">
        <v>6368</v>
      </c>
      <c r="B6370" s="2">
        <v>1679.0</v>
      </c>
      <c r="C6370" s="2">
        <v>19579.0</v>
      </c>
      <c r="D6370" s="2">
        <v>5349.0</v>
      </c>
      <c r="E6370" s="3">
        <f t="shared" si="1"/>
        <v>0.2988268156</v>
      </c>
      <c r="F6370" s="2">
        <v>2080.0</v>
      </c>
      <c r="G6370" s="3">
        <f t="shared" si="2"/>
        <v>0.1162011173</v>
      </c>
      <c r="H6370" s="2">
        <v>3681.0</v>
      </c>
      <c r="I6370" s="3">
        <f t="shared" si="3"/>
        <v>0.2056424581</v>
      </c>
      <c r="J6370" s="2">
        <v>2650.0</v>
      </c>
      <c r="K6370" s="3">
        <f t="shared" si="4"/>
        <v>0.1480446927</v>
      </c>
      <c r="L6370" s="2">
        <v>2228.0</v>
      </c>
      <c r="M6370" s="3">
        <f t="shared" si="5"/>
        <v>0.605270307</v>
      </c>
      <c r="N6370" s="2">
        <v>2.15958E7</v>
      </c>
      <c r="O6370" s="4">
        <f t="shared" si="6"/>
        <v>5866.829666</v>
      </c>
      <c r="P6370" s="2">
        <v>7.0</v>
      </c>
      <c r="Q6370" s="3">
        <f t="shared" si="7"/>
        <v>0.004169148303</v>
      </c>
      <c r="R6370" s="2">
        <v>0.0</v>
      </c>
      <c r="S6370" s="5">
        <f t="shared" si="8"/>
        <v>0</v>
      </c>
    </row>
    <row r="6371">
      <c r="A6371" s="2" t="s">
        <v>6369</v>
      </c>
      <c r="B6371" s="2">
        <v>3295.0</v>
      </c>
      <c r="C6371" s="2">
        <v>38752.0</v>
      </c>
      <c r="D6371" s="2">
        <v>13872.0</v>
      </c>
      <c r="E6371" s="3">
        <f t="shared" si="1"/>
        <v>0.391234453</v>
      </c>
      <c r="F6371" s="2">
        <v>4120.0</v>
      </c>
      <c r="G6371" s="3">
        <f t="shared" si="2"/>
        <v>0.1161970838</v>
      </c>
      <c r="H6371" s="2">
        <v>7762.0</v>
      </c>
      <c r="I6371" s="3">
        <f t="shared" si="3"/>
        <v>0.2189130496</v>
      </c>
      <c r="J6371" s="2">
        <v>5288.0</v>
      </c>
      <c r="K6371" s="3">
        <f t="shared" si="4"/>
        <v>0.149138393</v>
      </c>
      <c r="L6371" s="2">
        <v>4843.0</v>
      </c>
      <c r="M6371" s="3">
        <f t="shared" si="5"/>
        <v>0.6239371296</v>
      </c>
      <c r="N6371" s="2">
        <v>4.03282E7</v>
      </c>
      <c r="O6371" s="4">
        <f t="shared" si="6"/>
        <v>5195.593919</v>
      </c>
      <c r="P6371" s="2">
        <v>2.0</v>
      </c>
      <c r="Q6371" s="3">
        <f t="shared" si="7"/>
        <v>0.0006069802731</v>
      </c>
      <c r="R6371" s="2">
        <v>3295.0</v>
      </c>
      <c r="S6371" s="5">
        <f t="shared" si="8"/>
        <v>1</v>
      </c>
    </row>
    <row r="6372">
      <c r="A6372" s="2" t="s">
        <v>6370</v>
      </c>
      <c r="B6372" s="2">
        <v>585.0</v>
      </c>
      <c r="C6372" s="2">
        <v>6988.0</v>
      </c>
      <c r="D6372" s="2">
        <v>1928.0</v>
      </c>
      <c r="E6372" s="3">
        <f t="shared" si="1"/>
        <v>0.3011088552</v>
      </c>
      <c r="F6372" s="2">
        <v>744.0</v>
      </c>
      <c r="G6372" s="3">
        <f t="shared" si="2"/>
        <v>0.1161955333</v>
      </c>
      <c r="H6372" s="2">
        <v>1361.0</v>
      </c>
      <c r="I6372" s="3">
        <f t="shared" si="3"/>
        <v>0.2125566141</v>
      </c>
      <c r="J6372" s="2">
        <v>1213.0</v>
      </c>
      <c r="K6372" s="3">
        <f t="shared" si="4"/>
        <v>0.1894424489</v>
      </c>
      <c r="L6372" s="2">
        <v>827.0</v>
      </c>
      <c r="M6372" s="3">
        <f t="shared" si="5"/>
        <v>0.6076414401</v>
      </c>
      <c r="N6372" s="2">
        <v>7762200.0</v>
      </c>
      <c r="O6372" s="4">
        <f t="shared" si="6"/>
        <v>5703.306392</v>
      </c>
      <c r="P6372" s="2">
        <v>0.0</v>
      </c>
      <c r="Q6372" s="3">
        <f t="shared" si="7"/>
        <v>0</v>
      </c>
      <c r="R6372" s="2">
        <v>585.0</v>
      </c>
      <c r="S6372" s="5">
        <f t="shared" si="8"/>
        <v>1</v>
      </c>
    </row>
    <row r="6373">
      <c r="A6373" s="2" t="s">
        <v>6371</v>
      </c>
      <c r="B6373" s="2">
        <v>287.0</v>
      </c>
      <c r="C6373" s="2">
        <v>3351.0</v>
      </c>
      <c r="D6373" s="2">
        <v>1240.0</v>
      </c>
      <c r="E6373" s="3">
        <f t="shared" si="1"/>
        <v>0.4046997389</v>
      </c>
      <c r="F6373" s="2">
        <v>356.0</v>
      </c>
      <c r="G6373" s="3">
        <f t="shared" si="2"/>
        <v>0.1161879896</v>
      </c>
      <c r="H6373" s="2">
        <v>665.0</v>
      </c>
      <c r="I6373" s="3">
        <f t="shared" si="3"/>
        <v>0.2170365535</v>
      </c>
      <c r="J6373" s="2">
        <v>428.0</v>
      </c>
      <c r="K6373" s="3">
        <f t="shared" si="4"/>
        <v>0.1396866841</v>
      </c>
      <c r="L6373" s="2">
        <v>416.0</v>
      </c>
      <c r="M6373" s="3">
        <f t="shared" si="5"/>
        <v>0.6255639098</v>
      </c>
      <c r="N6373" s="2">
        <v>3349500.0</v>
      </c>
      <c r="O6373" s="4">
        <f t="shared" si="6"/>
        <v>5036.842105</v>
      </c>
      <c r="P6373" s="2">
        <v>0.0</v>
      </c>
      <c r="Q6373" s="3">
        <f t="shared" si="7"/>
        <v>0</v>
      </c>
      <c r="R6373" s="2">
        <v>287.0</v>
      </c>
      <c r="S6373" s="5">
        <f t="shared" si="8"/>
        <v>1</v>
      </c>
    </row>
    <row r="6374">
      <c r="A6374" s="2" t="s">
        <v>6372</v>
      </c>
      <c r="B6374" s="2">
        <v>360.0</v>
      </c>
      <c r="C6374" s="2">
        <v>4173.0</v>
      </c>
      <c r="D6374" s="2">
        <v>1270.0</v>
      </c>
      <c r="E6374" s="3">
        <f t="shared" si="1"/>
        <v>0.3330710726</v>
      </c>
      <c r="F6374" s="2">
        <v>443.0</v>
      </c>
      <c r="G6374" s="3">
        <f t="shared" si="2"/>
        <v>0.1161814844</v>
      </c>
      <c r="H6374" s="2">
        <v>853.0</v>
      </c>
      <c r="I6374" s="3">
        <f t="shared" si="3"/>
        <v>0.2237083661</v>
      </c>
      <c r="J6374" s="2">
        <v>584.0</v>
      </c>
      <c r="K6374" s="3">
        <f t="shared" si="4"/>
        <v>0.1531602413</v>
      </c>
      <c r="L6374" s="2">
        <v>546.0</v>
      </c>
      <c r="M6374" s="3">
        <f t="shared" si="5"/>
        <v>0.6400937866</v>
      </c>
      <c r="N6374" s="2">
        <v>4469000.0</v>
      </c>
      <c r="O6374" s="4">
        <f t="shared" si="6"/>
        <v>5239.15592</v>
      </c>
      <c r="P6374" s="2">
        <v>1.0</v>
      </c>
      <c r="Q6374" s="3">
        <f t="shared" si="7"/>
        <v>0.002777777778</v>
      </c>
      <c r="R6374" s="2">
        <v>360.0</v>
      </c>
      <c r="S6374" s="5">
        <f t="shared" si="8"/>
        <v>1</v>
      </c>
    </row>
    <row r="6375">
      <c r="A6375" s="2" t="s">
        <v>6373</v>
      </c>
      <c r="B6375" s="2">
        <v>985.0</v>
      </c>
      <c r="C6375" s="2">
        <v>11522.0</v>
      </c>
      <c r="D6375" s="2">
        <v>3915.0</v>
      </c>
      <c r="E6375" s="3">
        <f t="shared" si="1"/>
        <v>0.3715478789</v>
      </c>
      <c r="F6375" s="2">
        <v>1224.0</v>
      </c>
      <c r="G6375" s="3">
        <f t="shared" si="2"/>
        <v>0.1161620955</v>
      </c>
      <c r="H6375" s="2">
        <v>2332.0</v>
      </c>
      <c r="I6375" s="3">
        <f t="shared" si="3"/>
        <v>0.2213153649</v>
      </c>
      <c r="J6375" s="2">
        <v>1983.0</v>
      </c>
      <c r="K6375" s="3">
        <f t="shared" si="4"/>
        <v>0.1881939831</v>
      </c>
      <c r="L6375" s="2">
        <v>1365.0</v>
      </c>
      <c r="M6375" s="3">
        <f t="shared" si="5"/>
        <v>0.5853344768</v>
      </c>
      <c r="N6375" s="2">
        <v>1.23467E7</v>
      </c>
      <c r="O6375" s="4">
        <f t="shared" si="6"/>
        <v>5294.468268</v>
      </c>
      <c r="P6375" s="2">
        <v>0.0</v>
      </c>
      <c r="Q6375" s="3">
        <f t="shared" si="7"/>
        <v>0</v>
      </c>
      <c r="R6375" s="2">
        <v>985.0</v>
      </c>
      <c r="S6375" s="5">
        <f t="shared" si="8"/>
        <v>1</v>
      </c>
    </row>
    <row r="6376">
      <c r="A6376" s="2" t="s">
        <v>6374</v>
      </c>
      <c r="B6376" s="2">
        <v>251.0</v>
      </c>
      <c r="C6376" s="2">
        <v>3006.0</v>
      </c>
      <c r="D6376" s="2">
        <v>949.0</v>
      </c>
      <c r="E6376" s="3">
        <f t="shared" si="1"/>
        <v>0.3444646098</v>
      </c>
      <c r="F6376" s="2">
        <v>320.0</v>
      </c>
      <c r="G6376" s="3">
        <f t="shared" si="2"/>
        <v>0.1161524501</v>
      </c>
      <c r="H6376" s="2">
        <v>551.0</v>
      </c>
      <c r="I6376" s="3">
        <f t="shared" si="3"/>
        <v>0.2</v>
      </c>
      <c r="J6376" s="2">
        <v>444.0</v>
      </c>
      <c r="K6376" s="3">
        <f t="shared" si="4"/>
        <v>0.1611615245</v>
      </c>
      <c r="L6376" s="2">
        <v>327.0</v>
      </c>
      <c r="M6376" s="3">
        <f t="shared" si="5"/>
        <v>0.5934664247</v>
      </c>
      <c r="N6376" s="2">
        <v>3064700.0</v>
      </c>
      <c r="O6376" s="4">
        <f t="shared" si="6"/>
        <v>5562.068966</v>
      </c>
      <c r="P6376" s="2">
        <v>0.0</v>
      </c>
      <c r="Q6376" s="3">
        <f t="shared" si="7"/>
        <v>0</v>
      </c>
      <c r="R6376" s="2">
        <v>251.0</v>
      </c>
      <c r="S6376" s="5">
        <f t="shared" si="8"/>
        <v>1</v>
      </c>
    </row>
    <row r="6377">
      <c r="A6377" s="2" t="s">
        <v>6375</v>
      </c>
      <c r="B6377" s="2">
        <v>3384.0</v>
      </c>
      <c r="C6377" s="2">
        <v>39819.0</v>
      </c>
      <c r="D6377" s="2">
        <v>11658.0</v>
      </c>
      <c r="E6377" s="3">
        <f t="shared" si="1"/>
        <v>0.3199670646</v>
      </c>
      <c r="F6377" s="2">
        <v>4232.0</v>
      </c>
      <c r="G6377" s="3">
        <f t="shared" si="2"/>
        <v>0.1161520516</v>
      </c>
      <c r="H6377" s="2">
        <v>7493.0</v>
      </c>
      <c r="I6377" s="3">
        <f t="shared" si="3"/>
        <v>0.2056539042</v>
      </c>
      <c r="J6377" s="2">
        <v>6683.0</v>
      </c>
      <c r="K6377" s="3">
        <f t="shared" si="4"/>
        <v>0.1834225333</v>
      </c>
      <c r="L6377" s="2">
        <v>4438.0</v>
      </c>
      <c r="M6377" s="3">
        <f t="shared" si="5"/>
        <v>0.5922861337</v>
      </c>
      <c r="N6377" s="2">
        <v>4.20453E7</v>
      </c>
      <c r="O6377" s="4">
        <f t="shared" si="6"/>
        <v>5611.277192</v>
      </c>
      <c r="P6377" s="2">
        <v>7.0</v>
      </c>
      <c r="Q6377" s="3">
        <f t="shared" si="7"/>
        <v>0.00206855792</v>
      </c>
      <c r="R6377" s="2">
        <v>3377.0</v>
      </c>
      <c r="S6377" s="5">
        <f t="shared" si="8"/>
        <v>0.9979314421</v>
      </c>
    </row>
    <row r="6378">
      <c r="A6378" s="2" t="s">
        <v>6376</v>
      </c>
      <c r="B6378" s="2">
        <v>997.0</v>
      </c>
      <c r="C6378" s="2">
        <v>11811.0</v>
      </c>
      <c r="D6378" s="2">
        <v>3771.0</v>
      </c>
      <c r="E6378" s="3">
        <f t="shared" si="1"/>
        <v>0.3487146292</v>
      </c>
      <c r="F6378" s="2">
        <v>1256.0</v>
      </c>
      <c r="G6378" s="3">
        <f t="shared" si="2"/>
        <v>0.116145737</v>
      </c>
      <c r="H6378" s="2">
        <v>2298.0</v>
      </c>
      <c r="I6378" s="3">
        <f t="shared" si="3"/>
        <v>0.2125023118</v>
      </c>
      <c r="J6378" s="2">
        <v>1922.0</v>
      </c>
      <c r="K6378" s="3">
        <f t="shared" si="4"/>
        <v>0.1777325689</v>
      </c>
      <c r="L6378" s="2">
        <v>1350.0</v>
      </c>
      <c r="M6378" s="3">
        <f t="shared" si="5"/>
        <v>0.5874673629</v>
      </c>
      <c r="N6378" s="2">
        <v>1.24605E7</v>
      </c>
      <c r="O6378" s="4">
        <f t="shared" si="6"/>
        <v>5422.32376</v>
      </c>
      <c r="P6378" s="2">
        <v>0.0</v>
      </c>
      <c r="Q6378" s="3">
        <f t="shared" si="7"/>
        <v>0</v>
      </c>
      <c r="R6378" s="2">
        <v>997.0</v>
      </c>
      <c r="S6378" s="5">
        <f t="shared" si="8"/>
        <v>1</v>
      </c>
    </row>
    <row r="6379">
      <c r="A6379" s="2" t="s">
        <v>6377</v>
      </c>
      <c r="B6379" s="2">
        <v>119.0</v>
      </c>
      <c r="C6379" s="2">
        <v>1411.0</v>
      </c>
      <c r="D6379" s="2">
        <v>343.0</v>
      </c>
      <c r="E6379" s="3">
        <f t="shared" si="1"/>
        <v>0.2654798762</v>
      </c>
      <c r="F6379" s="2">
        <v>150.0</v>
      </c>
      <c r="G6379" s="3">
        <f t="shared" si="2"/>
        <v>0.1160990712</v>
      </c>
      <c r="H6379" s="2">
        <v>247.0</v>
      </c>
      <c r="I6379" s="3">
        <f t="shared" si="3"/>
        <v>0.1911764706</v>
      </c>
      <c r="J6379" s="2">
        <v>222.0</v>
      </c>
      <c r="K6379" s="3">
        <f t="shared" si="4"/>
        <v>0.1718266254</v>
      </c>
      <c r="L6379" s="2">
        <v>147.0</v>
      </c>
      <c r="M6379" s="3">
        <f t="shared" si="5"/>
        <v>0.5951417004</v>
      </c>
      <c r="N6379" s="2">
        <v>1372800.0</v>
      </c>
      <c r="O6379" s="4">
        <f t="shared" si="6"/>
        <v>5557.894737</v>
      </c>
      <c r="P6379" s="2">
        <v>0.0</v>
      </c>
      <c r="Q6379" s="3">
        <f t="shared" si="7"/>
        <v>0</v>
      </c>
      <c r="R6379" s="2">
        <v>0.0</v>
      </c>
      <c r="S6379" s="5">
        <f t="shared" si="8"/>
        <v>0</v>
      </c>
    </row>
    <row r="6380">
      <c r="A6380" s="2" t="s">
        <v>6378</v>
      </c>
      <c r="B6380" s="2">
        <v>164.0</v>
      </c>
      <c r="C6380" s="2">
        <v>1947.0</v>
      </c>
      <c r="D6380" s="2">
        <v>587.0</v>
      </c>
      <c r="E6380" s="3">
        <f t="shared" si="1"/>
        <v>0.329220415</v>
      </c>
      <c r="F6380" s="2">
        <v>207.0</v>
      </c>
      <c r="G6380" s="3">
        <f t="shared" si="2"/>
        <v>0.1160964666</v>
      </c>
      <c r="H6380" s="2">
        <v>362.0</v>
      </c>
      <c r="I6380" s="3">
        <f t="shared" si="3"/>
        <v>0.2030286035</v>
      </c>
      <c r="J6380" s="2">
        <v>321.0</v>
      </c>
      <c r="K6380" s="3">
        <f t="shared" si="4"/>
        <v>0.1800336511</v>
      </c>
      <c r="L6380" s="2">
        <v>209.0</v>
      </c>
      <c r="M6380" s="3">
        <f t="shared" si="5"/>
        <v>0.5773480663</v>
      </c>
      <c r="N6380" s="2">
        <v>2170500.0</v>
      </c>
      <c r="O6380" s="4">
        <f t="shared" si="6"/>
        <v>5995.856354</v>
      </c>
      <c r="P6380" s="2">
        <v>2.0</v>
      </c>
      <c r="Q6380" s="3">
        <f t="shared" si="7"/>
        <v>0.01219512195</v>
      </c>
      <c r="R6380" s="2">
        <v>164.0</v>
      </c>
      <c r="S6380" s="5">
        <f t="shared" si="8"/>
        <v>1</v>
      </c>
    </row>
    <row r="6381">
      <c r="A6381" s="2" t="s">
        <v>6379</v>
      </c>
      <c r="B6381" s="2">
        <v>114.0</v>
      </c>
      <c r="C6381" s="2">
        <v>1363.0</v>
      </c>
      <c r="D6381" s="2">
        <v>504.0</v>
      </c>
      <c r="E6381" s="3">
        <f t="shared" si="1"/>
        <v>0.4035228183</v>
      </c>
      <c r="F6381" s="2">
        <v>145.0</v>
      </c>
      <c r="G6381" s="3">
        <f t="shared" si="2"/>
        <v>0.1160928743</v>
      </c>
      <c r="H6381" s="2">
        <v>253.0</v>
      </c>
      <c r="I6381" s="3">
        <f t="shared" si="3"/>
        <v>0.2025620496</v>
      </c>
      <c r="J6381" s="2">
        <v>217.0</v>
      </c>
      <c r="K6381" s="3">
        <f t="shared" si="4"/>
        <v>0.1737389912</v>
      </c>
      <c r="L6381" s="2">
        <v>153.0</v>
      </c>
      <c r="M6381" s="3">
        <f t="shared" si="5"/>
        <v>0.604743083</v>
      </c>
      <c r="N6381" s="2">
        <v>1354100.0</v>
      </c>
      <c r="O6381" s="4">
        <f t="shared" si="6"/>
        <v>5352.173913</v>
      </c>
      <c r="P6381" s="2">
        <v>0.0</v>
      </c>
      <c r="Q6381" s="3">
        <f t="shared" si="7"/>
        <v>0</v>
      </c>
      <c r="R6381" s="2">
        <v>114.0</v>
      </c>
      <c r="S6381" s="5">
        <f t="shared" si="8"/>
        <v>1</v>
      </c>
    </row>
    <row r="6382">
      <c r="A6382" s="2" t="s">
        <v>6380</v>
      </c>
      <c r="B6382" s="2">
        <v>198.0</v>
      </c>
      <c r="C6382" s="2">
        <v>2317.0</v>
      </c>
      <c r="D6382" s="2">
        <v>757.0</v>
      </c>
      <c r="E6382" s="3">
        <f t="shared" si="1"/>
        <v>0.357243983</v>
      </c>
      <c r="F6382" s="2">
        <v>246.0</v>
      </c>
      <c r="G6382" s="3">
        <f t="shared" si="2"/>
        <v>0.1160924965</v>
      </c>
      <c r="H6382" s="2">
        <v>467.0</v>
      </c>
      <c r="I6382" s="3">
        <f t="shared" si="3"/>
        <v>0.220386975</v>
      </c>
      <c r="J6382" s="2">
        <v>386.0</v>
      </c>
      <c r="K6382" s="3">
        <f t="shared" si="4"/>
        <v>0.1821613969</v>
      </c>
      <c r="L6382" s="2">
        <v>287.0</v>
      </c>
      <c r="M6382" s="3">
        <f t="shared" si="5"/>
        <v>0.6145610278</v>
      </c>
      <c r="N6382" s="2">
        <v>2622900.0</v>
      </c>
      <c r="O6382" s="4">
        <f t="shared" si="6"/>
        <v>5616.488223</v>
      </c>
      <c r="P6382" s="2">
        <v>0.0</v>
      </c>
      <c r="Q6382" s="3">
        <f t="shared" si="7"/>
        <v>0</v>
      </c>
      <c r="R6382" s="2">
        <v>98.0</v>
      </c>
      <c r="S6382" s="5">
        <f t="shared" si="8"/>
        <v>0.4949494949</v>
      </c>
    </row>
    <row r="6383">
      <c r="A6383" s="2" t="s">
        <v>6381</v>
      </c>
      <c r="B6383" s="2">
        <v>102.0</v>
      </c>
      <c r="C6383" s="2">
        <v>1196.0</v>
      </c>
      <c r="D6383" s="2">
        <v>244.0</v>
      </c>
      <c r="E6383" s="3">
        <f t="shared" si="1"/>
        <v>0.2230347349</v>
      </c>
      <c r="F6383" s="2">
        <v>127.0</v>
      </c>
      <c r="G6383" s="3">
        <f t="shared" si="2"/>
        <v>0.1160877514</v>
      </c>
      <c r="H6383" s="2">
        <v>212.0</v>
      </c>
      <c r="I6383" s="3">
        <f t="shared" si="3"/>
        <v>0.1937842779</v>
      </c>
      <c r="J6383" s="2">
        <v>243.0</v>
      </c>
      <c r="K6383" s="3">
        <f t="shared" si="4"/>
        <v>0.2221206581</v>
      </c>
      <c r="L6383" s="2">
        <v>116.0</v>
      </c>
      <c r="M6383" s="3">
        <f t="shared" si="5"/>
        <v>0.5471698113</v>
      </c>
      <c r="N6383" s="2">
        <v>1371700.0</v>
      </c>
      <c r="O6383" s="4">
        <f t="shared" si="6"/>
        <v>6470.283019</v>
      </c>
      <c r="P6383" s="2">
        <v>0.0</v>
      </c>
      <c r="Q6383" s="3">
        <f t="shared" si="7"/>
        <v>0</v>
      </c>
      <c r="R6383" s="2">
        <v>102.0</v>
      </c>
      <c r="S6383" s="5">
        <f t="shared" si="8"/>
        <v>1</v>
      </c>
    </row>
    <row r="6384">
      <c r="A6384" s="2" t="s">
        <v>6382</v>
      </c>
      <c r="B6384" s="2">
        <v>520.0</v>
      </c>
      <c r="C6384" s="2">
        <v>6120.0</v>
      </c>
      <c r="D6384" s="2">
        <v>1868.0</v>
      </c>
      <c r="E6384" s="3">
        <f t="shared" si="1"/>
        <v>0.3335714286</v>
      </c>
      <c r="F6384" s="2">
        <v>650.0</v>
      </c>
      <c r="G6384" s="3">
        <f t="shared" si="2"/>
        <v>0.1160714286</v>
      </c>
      <c r="H6384" s="2">
        <v>1136.0</v>
      </c>
      <c r="I6384" s="3">
        <f t="shared" si="3"/>
        <v>0.2028571429</v>
      </c>
      <c r="J6384" s="2">
        <v>937.0</v>
      </c>
      <c r="K6384" s="3">
        <f t="shared" si="4"/>
        <v>0.1673214286</v>
      </c>
      <c r="L6384" s="2">
        <v>697.0</v>
      </c>
      <c r="M6384" s="3">
        <f t="shared" si="5"/>
        <v>0.613556338</v>
      </c>
      <c r="N6384" s="2">
        <v>6473500.0</v>
      </c>
      <c r="O6384" s="4">
        <f t="shared" si="6"/>
        <v>5698.503521</v>
      </c>
      <c r="P6384" s="2">
        <v>2.0</v>
      </c>
      <c r="Q6384" s="3">
        <f t="shared" si="7"/>
        <v>0.003846153846</v>
      </c>
      <c r="R6384" s="2">
        <v>505.0</v>
      </c>
      <c r="S6384" s="5">
        <f t="shared" si="8"/>
        <v>0.9711538462</v>
      </c>
    </row>
    <row r="6385">
      <c r="A6385" s="2" t="s">
        <v>6383</v>
      </c>
      <c r="B6385" s="2">
        <v>1742.0</v>
      </c>
      <c r="C6385" s="2">
        <v>20558.0</v>
      </c>
      <c r="D6385" s="2">
        <v>7394.0</v>
      </c>
      <c r="E6385" s="3">
        <f t="shared" si="1"/>
        <v>0.3929634354</v>
      </c>
      <c r="F6385" s="2">
        <v>2184.0</v>
      </c>
      <c r="G6385" s="3">
        <f t="shared" si="2"/>
        <v>0.1160714286</v>
      </c>
      <c r="H6385" s="2">
        <v>4045.0</v>
      </c>
      <c r="I6385" s="3">
        <f t="shared" si="3"/>
        <v>0.2149766156</v>
      </c>
      <c r="J6385" s="2">
        <v>2485.0</v>
      </c>
      <c r="K6385" s="3">
        <f t="shared" si="4"/>
        <v>0.1320684524</v>
      </c>
      <c r="L6385" s="2">
        <v>2475.0</v>
      </c>
      <c r="M6385" s="3">
        <f t="shared" si="5"/>
        <v>0.6118665019</v>
      </c>
      <c r="N6385" s="2">
        <v>2.10594E7</v>
      </c>
      <c r="O6385" s="4">
        <f t="shared" si="6"/>
        <v>5206.279357</v>
      </c>
      <c r="P6385" s="2">
        <v>3.0</v>
      </c>
      <c r="Q6385" s="3">
        <f t="shared" si="7"/>
        <v>0.001722158439</v>
      </c>
      <c r="R6385" s="2">
        <v>925.0</v>
      </c>
      <c r="S6385" s="5">
        <f t="shared" si="8"/>
        <v>0.5309988519</v>
      </c>
    </row>
    <row r="6386">
      <c r="A6386" s="2" t="s">
        <v>6384</v>
      </c>
      <c r="B6386" s="2">
        <v>1500.0</v>
      </c>
      <c r="C6386" s="2">
        <v>17370.0</v>
      </c>
      <c r="D6386" s="2">
        <v>5128.0</v>
      </c>
      <c r="E6386" s="3">
        <f t="shared" si="1"/>
        <v>0.3231253938</v>
      </c>
      <c r="F6386" s="2">
        <v>1842.0</v>
      </c>
      <c r="G6386" s="3">
        <f t="shared" si="2"/>
        <v>0.1160680529</v>
      </c>
      <c r="H6386" s="2">
        <v>3274.0</v>
      </c>
      <c r="I6386" s="3">
        <f t="shared" si="3"/>
        <v>0.2063011972</v>
      </c>
      <c r="J6386" s="2">
        <v>2447.0</v>
      </c>
      <c r="K6386" s="3">
        <f t="shared" si="4"/>
        <v>0.1541902962</v>
      </c>
      <c r="L6386" s="2">
        <v>1990.0</v>
      </c>
      <c r="M6386" s="3">
        <f t="shared" si="5"/>
        <v>0.6078191814</v>
      </c>
      <c r="N6386" s="2">
        <v>1.93601E7</v>
      </c>
      <c r="O6386" s="4">
        <f t="shared" si="6"/>
        <v>5913.2865</v>
      </c>
      <c r="P6386" s="2">
        <v>5.0</v>
      </c>
      <c r="Q6386" s="3">
        <f t="shared" si="7"/>
        <v>0.003333333333</v>
      </c>
      <c r="R6386" s="2">
        <v>1500.0</v>
      </c>
      <c r="S6386" s="5">
        <f t="shared" si="8"/>
        <v>1</v>
      </c>
    </row>
    <row r="6387">
      <c r="A6387" s="2" t="s">
        <v>6385</v>
      </c>
      <c r="B6387" s="2">
        <v>1398.0</v>
      </c>
      <c r="C6387" s="2">
        <v>16648.0</v>
      </c>
      <c r="D6387" s="2">
        <v>5362.0</v>
      </c>
      <c r="E6387" s="3">
        <f t="shared" si="1"/>
        <v>0.3516065574</v>
      </c>
      <c r="F6387" s="2">
        <v>1770.0</v>
      </c>
      <c r="G6387" s="3">
        <f t="shared" si="2"/>
        <v>0.1160655738</v>
      </c>
      <c r="H6387" s="2">
        <v>3456.0</v>
      </c>
      <c r="I6387" s="3">
        <f t="shared" si="3"/>
        <v>0.2266229508</v>
      </c>
      <c r="J6387" s="2">
        <v>2401.0</v>
      </c>
      <c r="K6387" s="3">
        <f t="shared" si="4"/>
        <v>0.157442623</v>
      </c>
      <c r="L6387" s="2">
        <v>2117.0</v>
      </c>
      <c r="M6387" s="3">
        <f t="shared" si="5"/>
        <v>0.6125578704</v>
      </c>
      <c r="N6387" s="2">
        <v>1.76971E7</v>
      </c>
      <c r="O6387" s="4">
        <f t="shared" si="6"/>
        <v>5120.688657</v>
      </c>
      <c r="P6387" s="2">
        <v>2.0</v>
      </c>
      <c r="Q6387" s="3">
        <f t="shared" si="7"/>
        <v>0.001430615165</v>
      </c>
      <c r="R6387" s="2">
        <v>1398.0</v>
      </c>
      <c r="S6387" s="5">
        <f t="shared" si="8"/>
        <v>1</v>
      </c>
    </row>
    <row r="6388">
      <c r="A6388" s="2" t="s">
        <v>6386</v>
      </c>
      <c r="B6388" s="2">
        <v>745.0</v>
      </c>
      <c r="C6388" s="2">
        <v>8586.0</v>
      </c>
      <c r="D6388" s="2">
        <v>2556.0</v>
      </c>
      <c r="E6388" s="3">
        <f t="shared" si="1"/>
        <v>0.3259788292</v>
      </c>
      <c r="F6388" s="2">
        <v>910.0</v>
      </c>
      <c r="G6388" s="3">
        <f t="shared" si="2"/>
        <v>0.1160566254</v>
      </c>
      <c r="H6388" s="2">
        <v>1626.0</v>
      </c>
      <c r="I6388" s="3">
        <f t="shared" si="3"/>
        <v>0.2073715087</v>
      </c>
      <c r="J6388" s="2">
        <v>1340.0</v>
      </c>
      <c r="K6388" s="3">
        <f t="shared" si="4"/>
        <v>0.1708965693</v>
      </c>
      <c r="L6388" s="2">
        <v>947.0</v>
      </c>
      <c r="M6388" s="3">
        <f t="shared" si="5"/>
        <v>0.5824108241</v>
      </c>
      <c r="N6388" s="2">
        <v>9117300.0</v>
      </c>
      <c r="O6388" s="4">
        <f t="shared" si="6"/>
        <v>5607.195572</v>
      </c>
      <c r="P6388" s="2">
        <v>0.0</v>
      </c>
      <c r="Q6388" s="3">
        <f t="shared" si="7"/>
        <v>0</v>
      </c>
      <c r="R6388" s="2">
        <v>2.0</v>
      </c>
      <c r="S6388" s="5">
        <f t="shared" si="8"/>
        <v>0.002684563758</v>
      </c>
    </row>
    <row r="6389">
      <c r="A6389" s="2" t="s">
        <v>6387</v>
      </c>
      <c r="B6389" s="2">
        <v>741.0</v>
      </c>
      <c r="C6389" s="2">
        <v>8763.0</v>
      </c>
      <c r="D6389" s="2">
        <v>2915.0</v>
      </c>
      <c r="E6389" s="3">
        <f t="shared" si="1"/>
        <v>0.3633757168</v>
      </c>
      <c r="F6389" s="2">
        <v>931.0</v>
      </c>
      <c r="G6389" s="3">
        <f t="shared" si="2"/>
        <v>0.1160558464</v>
      </c>
      <c r="H6389" s="2">
        <v>1682.0</v>
      </c>
      <c r="I6389" s="3">
        <f t="shared" si="3"/>
        <v>0.2096733982</v>
      </c>
      <c r="J6389" s="2">
        <v>1377.0</v>
      </c>
      <c r="K6389" s="3">
        <f t="shared" si="4"/>
        <v>0.1716529544</v>
      </c>
      <c r="L6389" s="2">
        <v>1000.0</v>
      </c>
      <c r="M6389" s="3">
        <f t="shared" si="5"/>
        <v>0.594530321</v>
      </c>
      <c r="N6389" s="2">
        <v>8885000.0</v>
      </c>
      <c r="O6389" s="4">
        <f t="shared" si="6"/>
        <v>5282.401902</v>
      </c>
      <c r="P6389" s="2">
        <v>0.0</v>
      </c>
      <c r="Q6389" s="3">
        <f t="shared" si="7"/>
        <v>0</v>
      </c>
      <c r="R6389" s="2">
        <v>741.0</v>
      </c>
      <c r="S6389" s="5">
        <f t="shared" si="8"/>
        <v>1</v>
      </c>
    </row>
    <row r="6390">
      <c r="A6390" s="2" t="s">
        <v>6388</v>
      </c>
      <c r="B6390" s="2">
        <v>48.0</v>
      </c>
      <c r="C6390" s="2">
        <v>565.0</v>
      </c>
      <c r="D6390" s="2">
        <v>132.0</v>
      </c>
      <c r="E6390" s="3">
        <f t="shared" si="1"/>
        <v>0.2553191489</v>
      </c>
      <c r="F6390" s="2">
        <v>60.0</v>
      </c>
      <c r="G6390" s="3">
        <f t="shared" si="2"/>
        <v>0.1160541586</v>
      </c>
      <c r="H6390" s="2">
        <v>91.0</v>
      </c>
      <c r="I6390" s="3">
        <f t="shared" si="3"/>
        <v>0.1760154739</v>
      </c>
      <c r="J6390" s="2">
        <v>79.0</v>
      </c>
      <c r="K6390" s="3">
        <f t="shared" si="4"/>
        <v>0.1528046422</v>
      </c>
      <c r="L6390" s="2">
        <v>47.0</v>
      </c>
      <c r="M6390" s="3">
        <f t="shared" si="5"/>
        <v>0.5164835165</v>
      </c>
      <c r="N6390" s="2">
        <v>543600.0</v>
      </c>
      <c r="O6390" s="4">
        <f t="shared" si="6"/>
        <v>5973.626374</v>
      </c>
      <c r="P6390" s="2">
        <v>0.0</v>
      </c>
      <c r="Q6390" s="3">
        <f t="shared" si="7"/>
        <v>0</v>
      </c>
      <c r="R6390" s="2">
        <v>0.0</v>
      </c>
      <c r="S6390" s="5">
        <f t="shared" si="8"/>
        <v>0</v>
      </c>
    </row>
    <row r="6391">
      <c r="A6391" s="2" t="s">
        <v>6389</v>
      </c>
      <c r="B6391" s="2">
        <v>271.0</v>
      </c>
      <c r="C6391" s="2">
        <v>3149.0</v>
      </c>
      <c r="D6391" s="2">
        <v>1165.0</v>
      </c>
      <c r="E6391" s="3">
        <f t="shared" si="1"/>
        <v>0.4047949965</v>
      </c>
      <c r="F6391" s="2">
        <v>334.0</v>
      </c>
      <c r="G6391" s="3">
        <f t="shared" si="2"/>
        <v>0.1160528145</v>
      </c>
      <c r="H6391" s="2">
        <v>617.0</v>
      </c>
      <c r="I6391" s="3">
        <f t="shared" si="3"/>
        <v>0.2143849896</v>
      </c>
      <c r="J6391" s="2">
        <v>499.0</v>
      </c>
      <c r="K6391" s="3">
        <f t="shared" si="4"/>
        <v>0.1733842946</v>
      </c>
      <c r="L6391" s="2">
        <v>391.0</v>
      </c>
      <c r="M6391" s="3">
        <f t="shared" si="5"/>
        <v>0.6337115073</v>
      </c>
      <c r="N6391" s="2">
        <v>3193400.0</v>
      </c>
      <c r="O6391" s="4">
        <f t="shared" si="6"/>
        <v>5175.688817</v>
      </c>
      <c r="P6391" s="2">
        <v>0.0</v>
      </c>
      <c r="Q6391" s="3">
        <f t="shared" si="7"/>
        <v>0</v>
      </c>
      <c r="R6391" s="2">
        <v>271.0</v>
      </c>
      <c r="S6391" s="5">
        <f t="shared" si="8"/>
        <v>1</v>
      </c>
    </row>
    <row r="6392">
      <c r="A6392" s="2" t="s">
        <v>6390</v>
      </c>
      <c r="B6392" s="2">
        <v>810.0</v>
      </c>
      <c r="C6392" s="2">
        <v>9470.0</v>
      </c>
      <c r="D6392" s="2">
        <v>2799.0</v>
      </c>
      <c r="E6392" s="3">
        <f t="shared" si="1"/>
        <v>0.3232101617</v>
      </c>
      <c r="F6392" s="2">
        <v>1005.0</v>
      </c>
      <c r="G6392" s="3">
        <f t="shared" si="2"/>
        <v>0.1160508083</v>
      </c>
      <c r="H6392" s="2">
        <v>1859.0</v>
      </c>
      <c r="I6392" s="3">
        <f t="shared" si="3"/>
        <v>0.214665127</v>
      </c>
      <c r="J6392" s="2">
        <v>1551.0</v>
      </c>
      <c r="K6392" s="3">
        <f t="shared" si="4"/>
        <v>0.1790993072</v>
      </c>
      <c r="L6392" s="2">
        <v>1115.0</v>
      </c>
      <c r="M6392" s="3">
        <f t="shared" si="5"/>
        <v>0.5997848306</v>
      </c>
      <c r="N6392" s="2">
        <v>1.09166E7</v>
      </c>
      <c r="O6392" s="4">
        <f t="shared" si="6"/>
        <v>5872.296934</v>
      </c>
      <c r="P6392" s="2">
        <v>3.0</v>
      </c>
      <c r="Q6392" s="3">
        <f t="shared" si="7"/>
        <v>0.003703703704</v>
      </c>
      <c r="R6392" s="2">
        <v>810.0</v>
      </c>
      <c r="S6392" s="5">
        <f t="shared" si="8"/>
        <v>1</v>
      </c>
    </row>
    <row r="6393">
      <c r="A6393" s="2" t="s">
        <v>6391</v>
      </c>
      <c r="B6393" s="2">
        <v>531.0</v>
      </c>
      <c r="C6393" s="2">
        <v>6201.0</v>
      </c>
      <c r="D6393" s="2">
        <v>1916.0</v>
      </c>
      <c r="E6393" s="3">
        <f t="shared" si="1"/>
        <v>0.3379188713</v>
      </c>
      <c r="F6393" s="2">
        <v>658.0</v>
      </c>
      <c r="G6393" s="3">
        <f t="shared" si="2"/>
        <v>0.1160493827</v>
      </c>
      <c r="H6393" s="2">
        <v>1209.0</v>
      </c>
      <c r="I6393" s="3">
        <f t="shared" si="3"/>
        <v>0.2132275132</v>
      </c>
      <c r="J6393" s="2">
        <v>1166.0</v>
      </c>
      <c r="K6393" s="3">
        <f t="shared" si="4"/>
        <v>0.205643739</v>
      </c>
      <c r="L6393" s="2">
        <v>685.0</v>
      </c>
      <c r="M6393" s="3">
        <f t="shared" si="5"/>
        <v>0.5665839537</v>
      </c>
      <c r="N6393" s="2">
        <v>7256300.0</v>
      </c>
      <c r="O6393" s="4">
        <f t="shared" si="6"/>
        <v>6001.902399</v>
      </c>
      <c r="P6393" s="2">
        <v>0.0</v>
      </c>
      <c r="Q6393" s="3">
        <f t="shared" si="7"/>
        <v>0</v>
      </c>
      <c r="R6393" s="2">
        <v>531.0</v>
      </c>
      <c r="S6393" s="5">
        <f t="shared" si="8"/>
        <v>1</v>
      </c>
    </row>
    <row r="6394">
      <c r="A6394" s="2" t="s">
        <v>6392</v>
      </c>
      <c r="B6394" s="2">
        <v>1528.0</v>
      </c>
      <c r="C6394" s="2">
        <v>17979.0</v>
      </c>
      <c r="D6394" s="2">
        <v>6478.0</v>
      </c>
      <c r="E6394" s="3">
        <f t="shared" si="1"/>
        <v>0.3937754544</v>
      </c>
      <c r="F6394" s="2">
        <v>1909.0</v>
      </c>
      <c r="G6394" s="3">
        <f t="shared" si="2"/>
        <v>0.116041578</v>
      </c>
      <c r="H6394" s="2">
        <v>3559.0</v>
      </c>
      <c r="I6394" s="3">
        <f t="shared" si="3"/>
        <v>0.2163394323</v>
      </c>
      <c r="J6394" s="2">
        <v>2742.0</v>
      </c>
      <c r="K6394" s="3">
        <f t="shared" si="4"/>
        <v>0.1666767978</v>
      </c>
      <c r="L6394" s="2">
        <v>2136.0</v>
      </c>
      <c r="M6394" s="3">
        <f t="shared" si="5"/>
        <v>0.6001685867</v>
      </c>
      <c r="N6394" s="2">
        <v>1.91282E7</v>
      </c>
      <c r="O6394" s="4">
        <f t="shared" si="6"/>
        <v>5374.599607</v>
      </c>
      <c r="P6394" s="2">
        <v>3.0</v>
      </c>
      <c r="Q6394" s="3">
        <f t="shared" si="7"/>
        <v>0.001963350785</v>
      </c>
      <c r="R6394" s="2">
        <v>1528.0</v>
      </c>
      <c r="S6394" s="5">
        <f t="shared" si="8"/>
        <v>1</v>
      </c>
    </row>
    <row r="6395">
      <c r="A6395" s="2" t="s">
        <v>6393</v>
      </c>
      <c r="B6395" s="2">
        <v>113.0</v>
      </c>
      <c r="C6395" s="2">
        <v>1354.0</v>
      </c>
      <c r="D6395" s="2">
        <v>395.0</v>
      </c>
      <c r="E6395" s="3">
        <f t="shared" si="1"/>
        <v>0.3182917002</v>
      </c>
      <c r="F6395" s="2">
        <v>144.0</v>
      </c>
      <c r="G6395" s="3">
        <f t="shared" si="2"/>
        <v>0.1160354553</v>
      </c>
      <c r="H6395" s="2">
        <v>219.0</v>
      </c>
      <c r="I6395" s="3">
        <f t="shared" si="3"/>
        <v>0.1764705882</v>
      </c>
      <c r="J6395" s="2">
        <v>213.0</v>
      </c>
      <c r="K6395" s="3">
        <f t="shared" si="4"/>
        <v>0.1716357776</v>
      </c>
      <c r="L6395" s="2">
        <v>127.0</v>
      </c>
      <c r="M6395" s="3">
        <f t="shared" si="5"/>
        <v>0.5799086758</v>
      </c>
      <c r="N6395" s="2">
        <v>1303400.0</v>
      </c>
      <c r="O6395" s="4">
        <f t="shared" si="6"/>
        <v>5951.598174</v>
      </c>
      <c r="P6395" s="2">
        <v>1.0</v>
      </c>
      <c r="Q6395" s="3">
        <f t="shared" si="7"/>
        <v>0.008849557522</v>
      </c>
      <c r="R6395" s="2">
        <v>113.0</v>
      </c>
      <c r="S6395" s="5">
        <f t="shared" si="8"/>
        <v>1</v>
      </c>
    </row>
    <row r="6396">
      <c r="A6396" s="2" t="s">
        <v>6394</v>
      </c>
      <c r="B6396" s="2">
        <v>91.0</v>
      </c>
      <c r="C6396" s="2">
        <v>1108.0</v>
      </c>
      <c r="D6396" s="2">
        <v>283.0</v>
      </c>
      <c r="E6396" s="3">
        <f t="shared" si="1"/>
        <v>0.2782694199</v>
      </c>
      <c r="F6396" s="2">
        <v>118.0</v>
      </c>
      <c r="G6396" s="3">
        <f t="shared" si="2"/>
        <v>0.116027532</v>
      </c>
      <c r="H6396" s="2">
        <v>213.0</v>
      </c>
      <c r="I6396" s="3">
        <f t="shared" si="3"/>
        <v>0.209439528</v>
      </c>
      <c r="J6396" s="2">
        <v>203.0</v>
      </c>
      <c r="K6396" s="3">
        <f t="shared" si="4"/>
        <v>0.1996066863</v>
      </c>
      <c r="L6396" s="2">
        <v>121.0</v>
      </c>
      <c r="M6396" s="3">
        <f t="shared" si="5"/>
        <v>0.5680751174</v>
      </c>
      <c r="N6396" s="2">
        <v>1269900.0</v>
      </c>
      <c r="O6396" s="4">
        <f t="shared" si="6"/>
        <v>5961.971831</v>
      </c>
      <c r="P6396" s="2">
        <v>0.0</v>
      </c>
      <c r="Q6396" s="3">
        <f t="shared" si="7"/>
        <v>0</v>
      </c>
      <c r="R6396" s="2">
        <v>91.0</v>
      </c>
      <c r="S6396" s="5">
        <f t="shared" si="8"/>
        <v>1</v>
      </c>
    </row>
    <row r="6397">
      <c r="A6397" s="2" t="s">
        <v>6395</v>
      </c>
      <c r="B6397" s="2">
        <v>176.0</v>
      </c>
      <c r="C6397" s="2">
        <v>2098.0</v>
      </c>
      <c r="D6397" s="2">
        <v>361.0</v>
      </c>
      <c r="E6397" s="3">
        <f t="shared" si="1"/>
        <v>0.1878251821</v>
      </c>
      <c r="F6397" s="2">
        <v>223.0</v>
      </c>
      <c r="G6397" s="3">
        <f t="shared" si="2"/>
        <v>0.116024974</v>
      </c>
      <c r="H6397" s="2">
        <v>352.0</v>
      </c>
      <c r="I6397" s="3">
        <f t="shared" si="3"/>
        <v>0.1831425598</v>
      </c>
      <c r="J6397" s="2">
        <v>352.0</v>
      </c>
      <c r="K6397" s="3">
        <f t="shared" si="4"/>
        <v>0.1831425598</v>
      </c>
      <c r="L6397" s="2">
        <v>203.0</v>
      </c>
      <c r="M6397" s="3">
        <f t="shared" si="5"/>
        <v>0.5767045455</v>
      </c>
      <c r="N6397" s="2">
        <v>2322000.0</v>
      </c>
      <c r="O6397" s="4">
        <f t="shared" si="6"/>
        <v>6596.590909</v>
      </c>
      <c r="P6397" s="2">
        <v>1.0</v>
      </c>
      <c r="Q6397" s="3">
        <f t="shared" si="7"/>
        <v>0.005681818182</v>
      </c>
      <c r="R6397" s="2">
        <v>0.0</v>
      </c>
      <c r="S6397" s="5">
        <f t="shared" si="8"/>
        <v>0</v>
      </c>
    </row>
    <row r="6398">
      <c r="A6398" s="2" t="s">
        <v>6396</v>
      </c>
      <c r="B6398" s="2">
        <v>75.0</v>
      </c>
      <c r="C6398" s="2">
        <v>868.0</v>
      </c>
      <c r="D6398" s="2">
        <v>297.0</v>
      </c>
      <c r="E6398" s="3">
        <f t="shared" si="1"/>
        <v>0.3745271122</v>
      </c>
      <c r="F6398" s="2">
        <v>92.0</v>
      </c>
      <c r="G6398" s="3">
        <f t="shared" si="2"/>
        <v>0.1160151324</v>
      </c>
      <c r="H6398" s="2">
        <v>144.0</v>
      </c>
      <c r="I6398" s="3">
        <f t="shared" si="3"/>
        <v>0.1815889029</v>
      </c>
      <c r="J6398" s="2">
        <v>129.0</v>
      </c>
      <c r="K6398" s="3">
        <f t="shared" si="4"/>
        <v>0.1626733922</v>
      </c>
      <c r="L6398" s="2">
        <v>86.0</v>
      </c>
      <c r="M6398" s="3">
        <f t="shared" si="5"/>
        <v>0.5972222222</v>
      </c>
      <c r="N6398" s="2">
        <v>748600.0</v>
      </c>
      <c r="O6398" s="4">
        <f t="shared" si="6"/>
        <v>5198.611111</v>
      </c>
      <c r="P6398" s="2">
        <v>0.0</v>
      </c>
      <c r="Q6398" s="3">
        <f t="shared" si="7"/>
        <v>0</v>
      </c>
      <c r="R6398" s="2">
        <v>0.0</v>
      </c>
      <c r="S6398" s="5">
        <f t="shared" si="8"/>
        <v>0</v>
      </c>
    </row>
    <row r="6399">
      <c r="A6399" s="2" t="s">
        <v>6397</v>
      </c>
      <c r="B6399" s="2">
        <v>1881.0</v>
      </c>
      <c r="C6399" s="2">
        <v>22095.0</v>
      </c>
      <c r="D6399" s="2">
        <v>6440.0</v>
      </c>
      <c r="E6399" s="3">
        <f t="shared" si="1"/>
        <v>0.3185910755</v>
      </c>
      <c r="F6399" s="2">
        <v>2345.0</v>
      </c>
      <c r="G6399" s="3">
        <f t="shared" si="2"/>
        <v>0.1160087068</v>
      </c>
      <c r="H6399" s="2">
        <v>4216.0</v>
      </c>
      <c r="I6399" s="3">
        <f t="shared" si="3"/>
        <v>0.208568319</v>
      </c>
      <c r="J6399" s="2">
        <v>3196.0</v>
      </c>
      <c r="K6399" s="3">
        <f t="shared" si="4"/>
        <v>0.1581082418</v>
      </c>
      <c r="L6399" s="2">
        <v>2525.0</v>
      </c>
      <c r="M6399" s="3">
        <f t="shared" si="5"/>
        <v>0.5989089184</v>
      </c>
      <c r="N6399" s="2">
        <v>2.35208E7</v>
      </c>
      <c r="O6399" s="4">
        <f t="shared" si="6"/>
        <v>5578.937381</v>
      </c>
      <c r="P6399" s="2">
        <v>1.0</v>
      </c>
      <c r="Q6399" s="3">
        <f t="shared" si="7"/>
        <v>0.0005316321106</v>
      </c>
      <c r="R6399" s="2">
        <v>1881.0</v>
      </c>
      <c r="S6399" s="5">
        <f t="shared" si="8"/>
        <v>1</v>
      </c>
    </row>
    <row r="6400">
      <c r="A6400" s="2" t="s">
        <v>6398</v>
      </c>
      <c r="B6400" s="2">
        <v>98.0</v>
      </c>
      <c r="C6400" s="2">
        <v>1210.0</v>
      </c>
      <c r="D6400" s="2">
        <v>314.0</v>
      </c>
      <c r="E6400" s="3">
        <f t="shared" si="1"/>
        <v>0.2823741007</v>
      </c>
      <c r="F6400" s="2">
        <v>129.0</v>
      </c>
      <c r="G6400" s="3">
        <f t="shared" si="2"/>
        <v>0.1160071942</v>
      </c>
      <c r="H6400" s="2">
        <v>195.0</v>
      </c>
      <c r="I6400" s="3">
        <f t="shared" si="3"/>
        <v>0.1753597122</v>
      </c>
      <c r="J6400" s="2">
        <v>177.0</v>
      </c>
      <c r="K6400" s="3">
        <f t="shared" si="4"/>
        <v>0.1591726619</v>
      </c>
      <c r="L6400" s="2">
        <v>119.0</v>
      </c>
      <c r="M6400" s="3">
        <f t="shared" si="5"/>
        <v>0.6102564103</v>
      </c>
      <c r="N6400" s="2">
        <v>1009200.0</v>
      </c>
      <c r="O6400" s="4">
        <f t="shared" si="6"/>
        <v>5175.384615</v>
      </c>
      <c r="P6400" s="2">
        <v>0.0</v>
      </c>
      <c r="Q6400" s="3">
        <f t="shared" si="7"/>
        <v>0</v>
      </c>
      <c r="R6400" s="2">
        <v>1.0</v>
      </c>
      <c r="S6400" s="5">
        <f t="shared" si="8"/>
        <v>0.01020408163</v>
      </c>
    </row>
    <row r="6401">
      <c r="A6401" s="2" t="s">
        <v>6399</v>
      </c>
      <c r="B6401" s="2">
        <v>399.0</v>
      </c>
      <c r="C6401" s="2">
        <v>4761.0</v>
      </c>
      <c r="D6401" s="2">
        <v>1427.0</v>
      </c>
      <c r="E6401" s="3">
        <f t="shared" si="1"/>
        <v>0.3271435122</v>
      </c>
      <c r="F6401" s="2">
        <v>506.0</v>
      </c>
      <c r="G6401" s="3">
        <f t="shared" si="2"/>
        <v>0.116001834</v>
      </c>
      <c r="H6401" s="2">
        <v>926.0</v>
      </c>
      <c r="I6401" s="3">
        <f t="shared" si="3"/>
        <v>0.2122879413</v>
      </c>
      <c r="J6401" s="2">
        <v>796.0</v>
      </c>
      <c r="K6401" s="3">
        <f t="shared" si="4"/>
        <v>0.1824850986</v>
      </c>
      <c r="L6401" s="2">
        <v>572.0</v>
      </c>
      <c r="M6401" s="3">
        <f t="shared" si="5"/>
        <v>0.6177105832</v>
      </c>
      <c r="N6401" s="2">
        <v>5408500.0</v>
      </c>
      <c r="O6401" s="4">
        <f t="shared" si="6"/>
        <v>5840.712743</v>
      </c>
      <c r="P6401" s="2">
        <v>0.0</v>
      </c>
      <c r="Q6401" s="3">
        <f t="shared" si="7"/>
        <v>0</v>
      </c>
      <c r="R6401" s="2">
        <v>392.0</v>
      </c>
      <c r="S6401" s="5">
        <f t="shared" si="8"/>
        <v>0.9824561404</v>
      </c>
    </row>
    <row r="6402">
      <c r="A6402" s="2" t="s">
        <v>6400</v>
      </c>
      <c r="B6402" s="2">
        <v>596.0</v>
      </c>
      <c r="C6402" s="2">
        <v>7045.0</v>
      </c>
      <c r="D6402" s="2">
        <v>2660.0</v>
      </c>
      <c r="E6402" s="3">
        <f t="shared" si="1"/>
        <v>0.4124670492</v>
      </c>
      <c r="F6402" s="2">
        <v>748.0</v>
      </c>
      <c r="G6402" s="3">
        <f t="shared" si="2"/>
        <v>0.1159869747</v>
      </c>
      <c r="H6402" s="2">
        <v>1352.0</v>
      </c>
      <c r="I6402" s="3">
        <f t="shared" si="3"/>
        <v>0.2096449062</v>
      </c>
      <c r="J6402" s="2">
        <v>989.0</v>
      </c>
      <c r="K6402" s="3">
        <f t="shared" si="4"/>
        <v>0.1533571096</v>
      </c>
      <c r="L6402" s="2">
        <v>820.0</v>
      </c>
      <c r="M6402" s="3">
        <f t="shared" si="5"/>
        <v>0.6065088757</v>
      </c>
      <c r="N6402" s="2">
        <v>7205500.0</v>
      </c>
      <c r="O6402" s="4">
        <f t="shared" si="6"/>
        <v>5329.511834</v>
      </c>
      <c r="P6402" s="2">
        <v>0.0</v>
      </c>
      <c r="Q6402" s="3">
        <f t="shared" si="7"/>
        <v>0</v>
      </c>
      <c r="R6402" s="2">
        <v>0.0</v>
      </c>
      <c r="S6402" s="5">
        <f t="shared" si="8"/>
        <v>0</v>
      </c>
    </row>
    <row r="6403">
      <c r="A6403" s="2" t="s">
        <v>6401</v>
      </c>
      <c r="B6403" s="2">
        <v>303.0</v>
      </c>
      <c r="C6403" s="2">
        <v>3562.0</v>
      </c>
      <c r="D6403" s="2">
        <v>1276.0</v>
      </c>
      <c r="E6403" s="3">
        <f t="shared" si="1"/>
        <v>0.3915311445</v>
      </c>
      <c r="F6403" s="2">
        <v>378.0</v>
      </c>
      <c r="G6403" s="3">
        <f t="shared" si="2"/>
        <v>0.1159864989</v>
      </c>
      <c r="H6403" s="2">
        <v>708.0</v>
      </c>
      <c r="I6403" s="3">
        <f t="shared" si="3"/>
        <v>0.2172445535</v>
      </c>
      <c r="J6403" s="2">
        <v>554.0</v>
      </c>
      <c r="K6403" s="3">
        <f t="shared" si="4"/>
        <v>0.1699907947</v>
      </c>
      <c r="L6403" s="2">
        <v>431.0</v>
      </c>
      <c r="M6403" s="3">
        <f t="shared" si="5"/>
        <v>0.6087570621</v>
      </c>
      <c r="N6403" s="2">
        <v>3929500.0</v>
      </c>
      <c r="O6403" s="4">
        <f t="shared" si="6"/>
        <v>5550.141243</v>
      </c>
      <c r="P6403" s="2">
        <v>2.0</v>
      </c>
      <c r="Q6403" s="3">
        <f t="shared" si="7"/>
        <v>0.006600660066</v>
      </c>
      <c r="R6403" s="2">
        <v>0.0</v>
      </c>
      <c r="S6403" s="5">
        <f t="shared" si="8"/>
        <v>0</v>
      </c>
    </row>
    <row r="6404">
      <c r="A6404" s="2" t="s">
        <v>6402</v>
      </c>
      <c r="B6404" s="2">
        <v>158.0</v>
      </c>
      <c r="C6404" s="2">
        <v>1822.0</v>
      </c>
      <c r="D6404" s="2">
        <v>524.0</v>
      </c>
      <c r="E6404" s="3">
        <f t="shared" si="1"/>
        <v>0.3149038462</v>
      </c>
      <c r="F6404" s="2">
        <v>193.0</v>
      </c>
      <c r="G6404" s="3">
        <f t="shared" si="2"/>
        <v>0.1159855769</v>
      </c>
      <c r="H6404" s="2">
        <v>345.0</v>
      </c>
      <c r="I6404" s="3">
        <f t="shared" si="3"/>
        <v>0.2073317308</v>
      </c>
      <c r="J6404" s="2">
        <v>295.0</v>
      </c>
      <c r="K6404" s="3">
        <f t="shared" si="4"/>
        <v>0.1772836538</v>
      </c>
      <c r="L6404" s="2">
        <v>206.0</v>
      </c>
      <c r="M6404" s="3">
        <f t="shared" si="5"/>
        <v>0.5971014493</v>
      </c>
      <c r="N6404" s="2">
        <v>2089000.0</v>
      </c>
      <c r="O6404" s="4">
        <f t="shared" si="6"/>
        <v>6055.072464</v>
      </c>
      <c r="P6404" s="2">
        <v>1.0</v>
      </c>
      <c r="Q6404" s="3">
        <f t="shared" si="7"/>
        <v>0.006329113924</v>
      </c>
      <c r="R6404" s="2">
        <v>0.0</v>
      </c>
      <c r="S6404" s="5">
        <f t="shared" si="8"/>
        <v>0</v>
      </c>
    </row>
    <row r="6405">
      <c r="A6405" s="2" t="s">
        <v>6403</v>
      </c>
      <c r="B6405" s="2">
        <v>242.0</v>
      </c>
      <c r="C6405" s="2">
        <v>2872.0</v>
      </c>
      <c r="D6405" s="2">
        <v>1098.0</v>
      </c>
      <c r="E6405" s="3">
        <f t="shared" si="1"/>
        <v>0.4174904943</v>
      </c>
      <c r="F6405" s="2">
        <v>305.0</v>
      </c>
      <c r="G6405" s="3">
        <f t="shared" si="2"/>
        <v>0.1159695817</v>
      </c>
      <c r="H6405" s="2">
        <v>505.0</v>
      </c>
      <c r="I6405" s="3">
        <f t="shared" si="3"/>
        <v>0.1920152091</v>
      </c>
      <c r="J6405" s="2">
        <v>433.0</v>
      </c>
      <c r="K6405" s="3">
        <f t="shared" si="4"/>
        <v>0.1646387833</v>
      </c>
      <c r="L6405" s="2">
        <v>293.0</v>
      </c>
      <c r="M6405" s="3">
        <f t="shared" si="5"/>
        <v>0.5801980198</v>
      </c>
      <c r="N6405" s="2">
        <v>2907300.0</v>
      </c>
      <c r="O6405" s="4">
        <f t="shared" si="6"/>
        <v>5757.029703</v>
      </c>
      <c r="P6405" s="2">
        <v>0.0</v>
      </c>
      <c r="Q6405" s="3">
        <f t="shared" si="7"/>
        <v>0</v>
      </c>
      <c r="R6405" s="2">
        <v>242.0</v>
      </c>
      <c r="S6405" s="5">
        <f t="shared" si="8"/>
        <v>1</v>
      </c>
    </row>
    <row r="6406">
      <c r="A6406" s="2" t="s">
        <v>6404</v>
      </c>
      <c r="B6406" s="2">
        <v>62.0</v>
      </c>
      <c r="C6406" s="2">
        <v>726.0</v>
      </c>
      <c r="D6406" s="2">
        <v>266.0</v>
      </c>
      <c r="E6406" s="3">
        <f t="shared" si="1"/>
        <v>0.4006024096</v>
      </c>
      <c r="F6406" s="2">
        <v>77.0</v>
      </c>
      <c r="G6406" s="3">
        <f t="shared" si="2"/>
        <v>0.1159638554</v>
      </c>
      <c r="H6406" s="2">
        <v>144.0</v>
      </c>
      <c r="I6406" s="3">
        <f t="shared" si="3"/>
        <v>0.2168674699</v>
      </c>
      <c r="J6406" s="2">
        <v>103.0</v>
      </c>
      <c r="K6406" s="3">
        <f t="shared" si="4"/>
        <v>0.1551204819</v>
      </c>
      <c r="L6406" s="2">
        <v>87.0</v>
      </c>
      <c r="M6406" s="3">
        <f t="shared" si="5"/>
        <v>0.6041666667</v>
      </c>
      <c r="N6406" s="2">
        <v>699400.0</v>
      </c>
      <c r="O6406" s="4">
        <f t="shared" si="6"/>
        <v>4856.944444</v>
      </c>
      <c r="P6406" s="2">
        <v>0.0</v>
      </c>
      <c r="Q6406" s="3">
        <f t="shared" si="7"/>
        <v>0</v>
      </c>
      <c r="R6406" s="2">
        <v>62.0</v>
      </c>
      <c r="S6406" s="5">
        <f t="shared" si="8"/>
        <v>1</v>
      </c>
    </row>
    <row r="6407">
      <c r="A6407" s="2" t="s">
        <v>6405</v>
      </c>
      <c r="B6407" s="2">
        <v>207.0</v>
      </c>
      <c r="C6407" s="2">
        <v>2475.0</v>
      </c>
      <c r="D6407" s="2">
        <v>781.0</v>
      </c>
      <c r="E6407" s="3">
        <f t="shared" si="1"/>
        <v>0.344356261</v>
      </c>
      <c r="F6407" s="2">
        <v>263.0</v>
      </c>
      <c r="G6407" s="3">
        <f t="shared" si="2"/>
        <v>0.1159611993</v>
      </c>
      <c r="H6407" s="2">
        <v>438.0</v>
      </c>
      <c r="I6407" s="3">
        <f t="shared" si="3"/>
        <v>0.1931216931</v>
      </c>
      <c r="J6407" s="2">
        <v>396.0</v>
      </c>
      <c r="K6407" s="3">
        <f t="shared" si="4"/>
        <v>0.1746031746</v>
      </c>
      <c r="L6407" s="2">
        <v>268.0</v>
      </c>
      <c r="M6407" s="3">
        <f t="shared" si="5"/>
        <v>0.6118721461</v>
      </c>
      <c r="N6407" s="2">
        <v>2354900.0</v>
      </c>
      <c r="O6407" s="4">
        <f t="shared" si="6"/>
        <v>5376.484018</v>
      </c>
      <c r="P6407" s="2">
        <v>0.0</v>
      </c>
      <c r="Q6407" s="3">
        <f t="shared" si="7"/>
        <v>0</v>
      </c>
      <c r="R6407" s="2">
        <v>207.0</v>
      </c>
      <c r="S6407" s="5">
        <f t="shared" si="8"/>
        <v>1</v>
      </c>
    </row>
    <row r="6408">
      <c r="A6408" s="2" t="s">
        <v>6406</v>
      </c>
      <c r="B6408" s="2">
        <v>328.0</v>
      </c>
      <c r="C6408" s="2">
        <v>3950.0</v>
      </c>
      <c r="D6408" s="2">
        <v>1191.0</v>
      </c>
      <c r="E6408" s="3">
        <f t="shared" si="1"/>
        <v>0.3288238542</v>
      </c>
      <c r="F6408" s="2">
        <v>420.0</v>
      </c>
      <c r="G6408" s="3">
        <f t="shared" si="2"/>
        <v>0.1159580342</v>
      </c>
      <c r="H6408" s="2">
        <v>700.0</v>
      </c>
      <c r="I6408" s="3">
        <f t="shared" si="3"/>
        <v>0.1932633904</v>
      </c>
      <c r="J6408" s="2">
        <v>483.0</v>
      </c>
      <c r="K6408" s="3">
        <f t="shared" si="4"/>
        <v>0.1333517394</v>
      </c>
      <c r="L6408" s="2">
        <v>401.0</v>
      </c>
      <c r="M6408" s="3">
        <f t="shared" si="5"/>
        <v>0.5728571429</v>
      </c>
      <c r="N6408" s="2">
        <v>3842200.0</v>
      </c>
      <c r="O6408" s="4">
        <f t="shared" si="6"/>
        <v>5488.857143</v>
      </c>
      <c r="P6408" s="2">
        <v>0.0</v>
      </c>
      <c r="Q6408" s="3">
        <f t="shared" si="7"/>
        <v>0</v>
      </c>
      <c r="R6408" s="2">
        <v>328.0</v>
      </c>
      <c r="S6408" s="5">
        <f t="shared" si="8"/>
        <v>1</v>
      </c>
    </row>
    <row r="6409">
      <c r="A6409" s="2" t="s">
        <v>6407</v>
      </c>
      <c r="B6409" s="2">
        <v>1072.0</v>
      </c>
      <c r="C6409" s="2">
        <v>12654.0</v>
      </c>
      <c r="D6409" s="2">
        <v>3720.0</v>
      </c>
      <c r="E6409" s="3">
        <f t="shared" si="1"/>
        <v>0.3211880504</v>
      </c>
      <c r="F6409" s="2">
        <v>1343.0</v>
      </c>
      <c r="G6409" s="3">
        <f t="shared" si="2"/>
        <v>0.1159557935</v>
      </c>
      <c r="H6409" s="2">
        <v>2242.0</v>
      </c>
      <c r="I6409" s="3">
        <f t="shared" si="3"/>
        <v>0.193576239</v>
      </c>
      <c r="J6409" s="2">
        <v>1900.0</v>
      </c>
      <c r="K6409" s="3">
        <f t="shared" si="4"/>
        <v>0.1640476602</v>
      </c>
      <c r="L6409" s="2">
        <v>1341.0</v>
      </c>
      <c r="M6409" s="3">
        <f t="shared" si="5"/>
        <v>0.5981266726</v>
      </c>
      <c r="N6409" s="2">
        <v>1.31756E7</v>
      </c>
      <c r="O6409" s="4">
        <f t="shared" si="6"/>
        <v>5876.717217</v>
      </c>
      <c r="P6409" s="2">
        <v>3.0</v>
      </c>
      <c r="Q6409" s="3">
        <f t="shared" si="7"/>
        <v>0.002798507463</v>
      </c>
      <c r="R6409" s="2">
        <v>1072.0</v>
      </c>
      <c r="S6409" s="5">
        <f t="shared" si="8"/>
        <v>1</v>
      </c>
    </row>
    <row r="6410">
      <c r="A6410" s="2" t="s">
        <v>6408</v>
      </c>
      <c r="B6410" s="2">
        <v>4316.0</v>
      </c>
      <c r="C6410" s="2">
        <v>50948.0</v>
      </c>
      <c r="D6410" s="2">
        <v>15493.0</v>
      </c>
      <c r="E6410" s="3">
        <f t="shared" si="1"/>
        <v>0.3322396638</v>
      </c>
      <c r="F6410" s="2">
        <v>5407.0</v>
      </c>
      <c r="G6410" s="3">
        <f t="shared" si="2"/>
        <v>0.1159504203</v>
      </c>
      <c r="H6410" s="2">
        <v>9566.0</v>
      </c>
      <c r="I6410" s="3">
        <f t="shared" si="3"/>
        <v>0.2051381026</v>
      </c>
      <c r="J6410" s="2">
        <v>7637.0</v>
      </c>
      <c r="K6410" s="3">
        <f t="shared" si="4"/>
        <v>0.1637716589</v>
      </c>
      <c r="L6410" s="2">
        <v>5619.0</v>
      </c>
      <c r="M6410" s="3">
        <f t="shared" si="5"/>
        <v>0.5873928497</v>
      </c>
      <c r="N6410" s="2">
        <v>5.39961E7</v>
      </c>
      <c r="O6410" s="4">
        <f t="shared" si="6"/>
        <v>5644.584989</v>
      </c>
      <c r="P6410" s="2">
        <v>9.0</v>
      </c>
      <c r="Q6410" s="3">
        <f t="shared" si="7"/>
        <v>0.002085264133</v>
      </c>
      <c r="R6410" s="2">
        <v>4298.0</v>
      </c>
      <c r="S6410" s="5">
        <f t="shared" si="8"/>
        <v>0.9958294717</v>
      </c>
    </row>
    <row r="6411">
      <c r="A6411" s="2" t="s">
        <v>6409</v>
      </c>
      <c r="B6411" s="2">
        <v>3557.0</v>
      </c>
      <c r="C6411" s="2">
        <v>41937.0</v>
      </c>
      <c r="D6411" s="2">
        <v>14153.0</v>
      </c>
      <c r="E6411" s="3">
        <f t="shared" si="1"/>
        <v>0.3687597707</v>
      </c>
      <c r="F6411" s="2">
        <v>4450.0</v>
      </c>
      <c r="G6411" s="3">
        <f t="shared" si="2"/>
        <v>0.1159458051</v>
      </c>
      <c r="H6411" s="2">
        <v>8257.0</v>
      </c>
      <c r="I6411" s="3">
        <f t="shared" si="3"/>
        <v>0.2151380928</v>
      </c>
      <c r="J6411" s="2">
        <v>6306.0</v>
      </c>
      <c r="K6411" s="3">
        <f t="shared" si="4"/>
        <v>0.1643043252</v>
      </c>
      <c r="L6411" s="2">
        <v>4930.0</v>
      </c>
      <c r="M6411" s="3">
        <f t="shared" si="5"/>
        <v>0.5970691534</v>
      </c>
      <c r="N6411" s="2">
        <v>4.43754E7</v>
      </c>
      <c r="O6411" s="4">
        <f t="shared" si="6"/>
        <v>5374.276372</v>
      </c>
      <c r="P6411" s="2">
        <v>4.0</v>
      </c>
      <c r="Q6411" s="3">
        <f t="shared" si="7"/>
        <v>0.001124543154</v>
      </c>
      <c r="R6411" s="2">
        <v>2912.0</v>
      </c>
      <c r="S6411" s="5">
        <f t="shared" si="8"/>
        <v>0.8186674164</v>
      </c>
    </row>
    <row r="6412">
      <c r="A6412" s="2" t="s">
        <v>6410</v>
      </c>
      <c r="B6412" s="2">
        <v>2286.0</v>
      </c>
      <c r="C6412" s="2">
        <v>26842.0</v>
      </c>
      <c r="D6412" s="2">
        <v>8260.0</v>
      </c>
      <c r="E6412" s="3">
        <f t="shared" si="1"/>
        <v>0.3363740023</v>
      </c>
      <c r="F6412" s="2">
        <v>2847.0</v>
      </c>
      <c r="G6412" s="3">
        <f t="shared" si="2"/>
        <v>0.115939078</v>
      </c>
      <c r="H6412" s="2">
        <v>5286.0</v>
      </c>
      <c r="I6412" s="3">
        <f t="shared" si="3"/>
        <v>0.2152630722</v>
      </c>
      <c r="J6412" s="2">
        <v>4040.0</v>
      </c>
      <c r="K6412" s="3">
        <f t="shared" si="4"/>
        <v>0.1645219091</v>
      </c>
      <c r="L6412" s="2">
        <v>3205.0</v>
      </c>
      <c r="M6412" s="3">
        <f t="shared" si="5"/>
        <v>0.6063185774</v>
      </c>
      <c r="N6412" s="2">
        <v>2.94589E7</v>
      </c>
      <c r="O6412" s="4">
        <f t="shared" si="6"/>
        <v>5573.004162</v>
      </c>
      <c r="P6412" s="2">
        <v>8.0</v>
      </c>
      <c r="Q6412" s="3">
        <f t="shared" si="7"/>
        <v>0.003499562555</v>
      </c>
      <c r="R6412" s="2">
        <v>13.0</v>
      </c>
      <c r="S6412" s="5">
        <f t="shared" si="8"/>
        <v>0.005686789151</v>
      </c>
    </row>
    <row r="6413">
      <c r="A6413" s="2" t="s">
        <v>6411</v>
      </c>
      <c r="B6413" s="2">
        <v>132.0</v>
      </c>
      <c r="C6413" s="2">
        <v>1607.0</v>
      </c>
      <c r="D6413" s="2">
        <v>605.0</v>
      </c>
      <c r="E6413" s="3">
        <f t="shared" si="1"/>
        <v>0.4101694915</v>
      </c>
      <c r="F6413" s="2">
        <v>171.0</v>
      </c>
      <c r="G6413" s="3">
        <f t="shared" si="2"/>
        <v>0.1159322034</v>
      </c>
      <c r="H6413" s="2">
        <v>295.0</v>
      </c>
      <c r="I6413" s="3">
        <f t="shared" si="3"/>
        <v>0.2</v>
      </c>
      <c r="J6413" s="2">
        <v>246.0</v>
      </c>
      <c r="K6413" s="3">
        <f t="shared" si="4"/>
        <v>0.166779661</v>
      </c>
      <c r="L6413" s="2">
        <v>174.0</v>
      </c>
      <c r="M6413" s="3">
        <f t="shared" si="5"/>
        <v>0.5898305085</v>
      </c>
      <c r="N6413" s="2">
        <v>1549800.0</v>
      </c>
      <c r="O6413" s="4">
        <f t="shared" si="6"/>
        <v>5253.559322</v>
      </c>
      <c r="P6413" s="2">
        <v>0.0</v>
      </c>
      <c r="Q6413" s="3">
        <f t="shared" si="7"/>
        <v>0</v>
      </c>
      <c r="R6413" s="2">
        <v>132.0</v>
      </c>
      <c r="S6413" s="5">
        <f t="shared" si="8"/>
        <v>1</v>
      </c>
    </row>
    <row r="6414">
      <c r="A6414" s="2" t="s">
        <v>6412</v>
      </c>
      <c r="B6414" s="2">
        <v>69.0</v>
      </c>
      <c r="C6414" s="2">
        <v>854.0</v>
      </c>
      <c r="D6414" s="2">
        <v>232.0</v>
      </c>
      <c r="E6414" s="3">
        <f t="shared" si="1"/>
        <v>0.2955414013</v>
      </c>
      <c r="F6414" s="2">
        <v>91.0</v>
      </c>
      <c r="G6414" s="3">
        <f t="shared" si="2"/>
        <v>0.1159235669</v>
      </c>
      <c r="H6414" s="2">
        <v>149.0</v>
      </c>
      <c r="I6414" s="3">
        <f t="shared" si="3"/>
        <v>0.1898089172</v>
      </c>
      <c r="J6414" s="2">
        <v>117.0</v>
      </c>
      <c r="K6414" s="3">
        <f t="shared" si="4"/>
        <v>0.149044586</v>
      </c>
      <c r="L6414" s="2">
        <v>92.0</v>
      </c>
      <c r="M6414" s="3">
        <f t="shared" si="5"/>
        <v>0.6174496644</v>
      </c>
      <c r="N6414" s="2">
        <v>817500.0</v>
      </c>
      <c r="O6414" s="4">
        <f t="shared" si="6"/>
        <v>5486.577181</v>
      </c>
      <c r="P6414" s="2">
        <v>0.0</v>
      </c>
      <c r="Q6414" s="3">
        <f t="shared" si="7"/>
        <v>0</v>
      </c>
      <c r="R6414" s="2">
        <v>69.0</v>
      </c>
      <c r="S6414" s="5">
        <f t="shared" si="8"/>
        <v>1</v>
      </c>
    </row>
    <row r="6415">
      <c r="A6415" s="2" t="s">
        <v>6413</v>
      </c>
      <c r="B6415" s="2">
        <v>1407.0</v>
      </c>
      <c r="C6415" s="2">
        <v>16582.0</v>
      </c>
      <c r="D6415" s="2">
        <v>5606.0</v>
      </c>
      <c r="E6415" s="3">
        <f t="shared" si="1"/>
        <v>0.3694233937</v>
      </c>
      <c r="F6415" s="2">
        <v>1759.0</v>
      </c>
      <c r="G6415" s="3">
        <f t="shared" si="2"/>
        <v>0.1159143328</v>
      </c>
      <c r="H6415" s="2">
        <v>3145.0</v>
      </c>
      <c r="I6415" s="3">
        <f t="shared" si="3"/>
        <v>0.2072487644</v>
      </c>
      <c r="J6415" s="2">
        <v>2465.0</v>
      </c>
      <c r="K6415" s="3">
        <f t="shared" si="4"/>
        <v>0.1624382208</v>
      </c>
      <c r="L6415" s="2">
        <v>1839.0</v>
      </c>
      <c r="M6415" s="3">
        <f t="shared" si="5"/>
        <v>0.5847376789</v>
      </c>
      <c r="N6415" s="2">
        <v>1.768E7</v>
      </c>
      <c r="O6415" s="4">
        <f t="shared" si="6"/>
        <v>5621.621622</v>
      </c>
      <c r="P6415" s="2">
        <v>5.0</v>
      </c>
      <c r="Q6415" s="3">
        <f t="shared" si="7"/>
        <v>0.00355366027</v>
      </c>
      <c r="R6415" s="2">
        <v>1407.0</v>
      </c>
      <c r="S6415" s="5">
        <f t="shared" si="8"/>
        <v>1</v>
      </c>
    </row>
    <row r="6416">
      <c r="A6416" s="2" t="s">
        <v>6414</v>
      </c>
      <c r="B6416" s="2">
        <v>4670.0</v>
      </c>
      <c r="C6416" s="2">
        <v>54854.0</v>
      </c>
      <c r="D6416" s="2">
        <v>18138.0</v>
      </c>
      <c r="E6416" s="3">
        <f t="shared" si="1"/>
        <v>0.3614299378</v>
      </c>
      <c r="F6416" s="2">
        <v>5817.0</v>
      </c>
      <c r="G6416" s="3">
        <f t="shared" si="2"/>
        <v>0.1159134385</v>
      </c>
      <c r="H6416" s="2">
        <v>10953.0</v>
      </c>
      <c r="I6416" s="3">
        <f t="shared" si="3"/>
        <v>0.2182568149</v>
      </c>
      <c r="J6416" s="2">
        <v>8711.0</v>
      </c>
      <c r="K6416" s="3">
        <f t="shared" si="4"/>
        <v>0.1735812211</v>
      </c>
      <c r="L6416" s="2">
        <v>6575.0</v>
      </c>
      <c r="M6416" s="3">
        <f t="shared" si="5"/>
        <v>0.6002921574</v>
      </c>
      <c r="N6416" s="2">
        <v>6.04209E7</v>
      </c>
      <c r="O6416" s="4">
        <f t="shared" si="6"/>
        <v>5516.379074</v>
      </c>
      <c r="P6416" s="2">
        <v>5.0</v>
      </c>
      <c r="Q6416" s="3">
        <f t="shared" si="7"/>
        <v>0.001070663812</v>
      </c>
      <c r="R6416" s="2">
        <v>3345.0</v>
      </c>
      <c r="S6416" s="5">
        <f t="shared" si="8"/>
        <v>0.7162740899</v>
      </c>
    </row>
    <row r="6417">
      <c r="A6417" s="2" t="s">
        <v>6415</v>
      </c>
      <c r="B6417" s="2">
        <v>784.0</v>
      </c>
      <c r="C6417" s="2">
        <v>9023.0</v>
      </c>
      <c r="D6417" s="2">
        <v>2718.0</v>
      </c>
      <c r="E6417" s="3">
        <f t="shared" si="1"/>
        <v>0.3298944047</v>
      </c>
      <c r="F6417" s="2">
        <v>955.0</v>
      </c>
      <c r="G6417" s="3">
        <f t="shared" si="2"/>
        <v>0.1159121253</v>
      </c>
      <c r="H6417" s="2">
        <v>1689.0</v>
      </c>
      <c r="I6417" s="3">
        <f t="shared" si="3"/>
        <v>0.2050006069</v>
      </c>
      <c r="J6417" s="2">
        <v>1558.0</v>
      </c>
      <c r="K6417" s="3">
        <f t="shared" si="4"/>
        <v>0.189100619</v>
      </c>
      <c r="L6417" s="2">
        <v>980.0</v>
      </c>
      <c r="M6417" s="3">
        <f t="shared" si="5"/>
        <v>0.5802249852</v>
      </c>
      <c r="N6417" s="2">
        <v>9778100.0</v>
      </c>
      <c r="O6417" s="4">
        <f t="shared" si="6"/>
        <v>5789.2836</v>
      </c>
      <c r="P6417" s="2">
        <v>1.0</v>
      </c>
      <c r="Q6417" s="3">
        <f t="shared" si="7"/>
        <v>0.001275510204</v>
      </c>
      <c r="R6417" s="2">
        <v>784.0</v>
      </c>
      <c r="S6417" s="5">
        <f t="shared" si="8"/>
        <v>1</v>
      </c>
    </row>
    <row r="6418">
      <c r="A6418" s="2" t="s">
        <v>6416</v>
      </c>
      <c r="B6418" s="2">
        <v>272.0</v>
      </c>
      <c r="C6418" s="2">
        <v>3283.0</v>
      </c>
      <c r="D6418" s="2">
        <v>941.0</v>
      </c>
      <c r="E6418" s="3">
        <f t="shared" si="1"/>
        <v>0.3125207572</v>
      </c>
      <c r="F6418" s="2">
        <v>349.0</v>
      </c>
      <c r="G6418" s="3">
        <f t="shared" si="2"/>
        <v>0.1159083361</v>
      </c>
      <c r="H6418" s="2">
        <v>608.0</v>
      </c>
      <c r="I6418" s="3">
        <f t="shared" si="3"/>
        <v>0.2019262703</v>
      </c>
      <c r="J6418" s="2">
        <v>575.0</v>
      </c>
      <c r="K6418" s="3">
        <f t="shared" si="4"/>
        <v>0.1909664563</v>
      </c>
      <c r="L6418" s="2">
        <v>348.0</v>
      </c>
      <c r="M6418" s="3">
        <f t="shared" si="5"/>
        <v>0.5723684211</v>
      </c>
      <c r="N6418" s="2">
        <v>3461400.0</v>
      </c>
      <c r="O6418" s="4">
        <f t="shared" si="6"/>
        <v>5693.092105</v>
      </c>
      <c r="P6418" s="2">
        <v>0.0</v>
      </c>
      <c r="Q6418" s="3">
        <f t="shared" si="7"/>
        <v>0</v>
      </c>
      <c r="R6418" s="2">
        <v>272.0</v>
      </c>
      <c r="S6418" s="5">
        <f t="shared" si="8"/>
        <v>1</v>
      </c>
    </row>
    <row r="6419">
      <c r="A6419" s="2" t="s">
        <v>6417</v>
      </c>
      <c r="B6419" s="2">
        <v>360.0</v>
      </c>
      <c r="C6419" s="2">
        <v>4208.0</v>
      </c>
      <c r="D6419" s="2">
        <v>1119.0</v>
      </c>
      <c r="E6419" s="3">
        <f t="shared" si="1"/>
        <v>0.2908004158</v>
      </c>
      <c r="F6419" s="2">
        <v>446.0</v>
      </c>
      <c r="G6419" s="3">
        <f t="shared" si="2"/>
        <v>0.1159043659</v>
      </c>
      <c r="H6419" s="2">
        <v>801.0</v>
      </c>
      <c r="I6419" s="3">
        <f t="shared" si="3"/>
        <v>0.2081600832</v>
      </c>
      <c r="J6419" s="2">
        <v>637.0</v>
      </c>
      <c r="K6419" s="3">
        <f t="shared" si="4"/>
        <v>0.1655405405</v>
      </c>
      <c r="L6419" s="2">
        <v>479.0</v>
      </c>
      <c r="M6419" s="3">
        <f t="shared" si="5"/>
        <v>0.5980024969</v>
      </c>
      <c r="N6419" s="2">
        <v>4710900.0</v>
      </c>
      <c r="O6419" s="4">
        <f t="shared" si="6"/>
        <v>5881.273408</v>
      </c>
      <c r="P6419" s="2">
        <v>1.0</v>
      </c>
      <c r="Q6419" s="3">
        <f t="shared" si="7"/>
        <v>0.002777777778</v>
      </c>
      <c r="R6419" s="2">
        <v>285.0</v>
      </c>
      <c r="S6419" s="5">
        <f t="shared" si="8"/>
        <v>0.7916666667</v>
      </c>
    </row>
    <row r="6420">
      <c r="A6420" s="2" t="s">
        <v>6418</v>
      </c>
      <c r="B6420" s="2">
        <v>3341.0</v>
      </c>
      <c r="C6420" s="2">
        <v>39207.0</v>
      </c>
      <c r="D6420" s="2">
        <v>11037.0</v>
      </c>
      <c r="E6420" s="3">
        <f t="shared" si="1"/>
        <v>0.3077287682</v>
      </c>
      <c r="F6420" s="2">
        <v>4157.0</v>
      </c>
      <c r="G6420" s="3">
        <f t="shared" si="2"/>
        <v>0.1159036413</v>
      </c>
      <c r="H6420" s="2">
        <v>7502.0</v>
      </c>
      <c r="I6420" s="3">
        <f t="shared" si="3"/>
        <v>0.2091674566</v>
      </c>
      <c r="J6420" s="2">
        <v>6934.0</v>
      </c>
      <c r="K6420" s="3">
        <f t="shared" si="4"/>
        <v>0.1933307311</v>
      </c>
      <c r="L6420" s="2">
        <v>4409.0</v>
      </c>
      <c r="M6420" s="3">
        <f t="shared" si="5"/>
        <v>0.587709944</v>
      </c>
      <c r="N6420" s="2">
        <v>4.39396E7</v>
      </c>
      <c r="O6420" s="4">
        <f t="shared" si="6"/>
        <v>5857.051453</v>
      </c>
      <c r="P6420" s="2">
        <v>4.0</v>
      </c>
      <c r="Q6420" s="3">
        <f t="shared" si="7"/>
        <v>0.001197246333</v>
      </c>
      <c r="R6420" s="2">
        <v>3341.0</v>
      </c>
      <c r="S6420" s="5">
        <f t="shared" si="8"/>
        <v>1</v>
      </c>
    </row>
    <row r="6421">
      <c r="A6421" s="2" t="s">
        <v>6419</v>
      </c>
      <c r="B6421" s="2">
        <v>814.0</v>
      </c>
      <c r="C6421" s="2">
        <v>9589.0</v>
      </c>
      <c r="D6421" s="2">
        <v>3083.0</v>
      </c>
      <c r="E6421" s="3">
        <f t="shared" si="1"/>
        <v>0.3513390313</v>
      </c>
      <c r="F6421" s="2">
        <v>1017.0</v>
      </c>
      <c r="G6421" s="3">
        <f t="shared" si="2"/>
        <v>0.1158974359</v>
      </c>
      <c r="H6421" s="2">
        <v>1797.0</v>
      </c>
      <c r="I6421" s="3">
        <f t="shared" si="3"/>
        <v>0.2047863248</v>
      </c>
      <c r="J6421" s="2">
        <v>1352.0</v>
      </c>
      <c r="K6421" s="3">
        <f t="shared" si="4"/>
        <v>0.1540740741</v>
      </c>
      <c r="L6421" s="2">
        <v>1077.0</v>
      </c>
      <c r="M6421" s="3">
        <f t="shared" si="5"/>
        <v>0.5993322204</v>
      </c>
      <c r="N6421" s="2">
        <v>9887000.0</v>
      </c>
      <c r="O6421" s="4">
        <f t="shared" si="6"/>
        <v>5501.947691</v>
      </c>
      <c r="P6421" s="2">
        <v>0.0</v>
      </c>
      <c r="Q6421" s="3">
        <f t="shared" si="7"/>
        <v>0</v>
      </c>
      <c r="R6421" s="2">
        <v>661.0</v>
      </c>
      <c r="S6421" s="5">
        <f t="shared" si="8"/>
        <v>0.812039312</v>
      </c>
    </row>
    <row r="6422">
      <c r="A6422" s="2" t="s">
        <v>6420</v>
      </c>
      <c r="B6422" s="2">
        <v>2049.0</v>
      </c>
      <c r="C6422" s="2">
        <v>24043.0</v>
      </c>
      <c r="D6422" s="2">
        <v>5685.0</v>
      </c>
      <c r="E6422" s="3">
        <f t="shared" si="1"/>
        <v>0.2584795853</v>
      </c>
      <c r="F6422" s="2">
        <v>2549.0</v>
      </c>
      <c r="G6422" s="3">
        <f t="shared" si="2"/>
        <v>0.1158952442</v>
      </c>
      <c r="H6422" s="2">
        <v>4430.0</v>
      </c>
      <c r="I6422" s="3">
        <f t="shared" si="3"/>
        <v>0.2014185687</v>
      </c>
      <c r="J6422" s="2">
        <v>4399.0</v>
      </c>
      <c r="K6422" s="3">
        <f t="shared" si="4"/>
        <v>0.2000090934</v>
      </c>
      <c r="L6422" s="2">
        <v>2567.0</v>
      </c>
      <c r="M6422" s="3">
        <f t="shared" si="5"/>
        <v>0.5794582393</v>
      </c>
      <c r="N6422" s="2">
        <v>2.63767E7</v>
      </c>
      <c r="O6422" s="4">
        <f t="shared" si="6"/>
        <v>5954.108352</v>
      </c>
      <c r="P6422" s="2">
        <v>3.0</v>
      </c>
      <c r="Q6422" s="3">
        <f t="shared" si="7"/>
        <v>0.001464128843</v>
      </c>
      <c r="R6422" s="2">
        <v>253.0</v>
      </c>
      <c r="S6422" s="5">
        <f t="shared" si="8"/>
        <v>0.1234748658</v>
      </c>
    </row>
    <row r="6423">
      <c r="A6423" s="2" t="s">
        <v>6421</v>
      </c>
      <c r="B6423" s="2">
        <v>95.0</v>
      </c>
      <c r="C6423" s="2">
        <v>1165.0</v>
      </c>
      <c r="D6423" s="2">
        <v>391.0</v>
      </c>
      <c r="E6423" s="3">
        <f t="shared" si="1"/>
        <v>0.3654205607</v>
      </c>
      <c r="F6423" s="2">
        <v>124.0</v>
      </c>
      <c r="G6423" s="3">
        <f t="shared" si="2"/>
        <v>0.1158878505</v>
      </c>
      <c r="H6423" s="2">
        <v>207.0</v>
      </c>
      <c r="I6423" s="3">
        <f t="shared" si="3"/>
        <v>0.1934579439</v>
      </c>
      <c r="J6423" s="2">
        <v>174.0</v>
      </c>
      <c r="K6423" s="3">
        <f t="shared" si="4"/>
        <v>0.1626168224</v>
      </c>
      <c r="L6423" s="2">
        <v>120.0</v>
      </c>
      <c r="M6423" s="3">
        <f t="shared" si="5"/>
        <v>0.5797101449</v>
      </c>
      <c r="N6423" s="2">
        <v>1086800.0</v>
      </c>
      <c r="O6423" s="4">
        <f t="shared" si="6"/>
        <v>5250.241546</v>
      </c>
      <c r="P6423" s="2">
        <v>0.0</v>
      </c>
      <c r="Q6423" s="3">
        <f t="shared" si="7"/>
        <v>0</v>
      </c>
      <c r="R6423" s="2">
        <v>1.0</v>
      </c>
      <c r="S6423" s="5">
        <f t="shared" si="8"/>
        <v>0.01052631579</v>
      </c>
    </row>
    <row r="6424">
      <c r="A6424" s="2" t="s">
        <v>6422</v>
      </c>
      <c r="B6424" s="2">
        <v>3423.0</v>
      </c>
      <c r="C6424" s="2">
        <v>39953.0</v>
      </c>
      <c r="D6424" s="2">
        <v>12507.0</v>
      </c>
      <c r="E6424" s="3">
        <f t="shared" si="1"/>
        <v>0.3423761292</v>
      </c>
      <c r="F6424" s="2">
        <v>4233.0</v>
      </c>
      <c r="G6424" s="3">
        <f t="shared" si="2"/>
        <v>0.1158773611</v>
      </c>
      <c r="H6424" s="2">
        <v>7836.0</v>
      </c>
      <c r="I6424" s="3">
        <f t="shared" si="3"/>
        <v>0.214508623</v>
      </c>
      <c r="J6424" s="2">
        <v>6331.0</v>
      </c>
      <c r="K6424" s="3">
        <f t="shared" si="4"/>
        <v>0.1733096085</v>
      </c>
      <c r="L6424" s="2">
        <v>4711.0</v>
      </c>
      <c r="M6424" s="3">
        <f t="shared" si="5"/>
        <v>0.6011995916</v>
      </c>
      <c r="N6424" s="2">
        <v>4.34871E7</v>
      </c>
      <c r="O6424" s="4">
        <f t="shared" si="6"/>
        <v>5549.655436</v>
      </c>
      <c r="P6424" s="2">
        <v>4.0</v>
      </c>
      <c r="Q6424" s="3">
        <f t="shared" si="7"/>
        <v>0.001168565586</v>
      </c>
      <c r="R6424" s="2">
        <v>1.0</v>
      </c>
      <c r="S6424" s="5">
        <f t="shared" si="8"/>
        <v>0.0002921413964</v>
      </c>
    </row>
    <row r="6425">
      <c r="A6425" s="2" t="s">
        <v>6423</v>
      </c>
      <c r="B6425" s="2">
        <v>839.0</v>
      </c>
      <c r="C6425" s="2">
        <v>9987.0</v>
      </c>
      <c r="D6425" s="2">
        <v>3535.0</v>
      </c>
      <c r="E6425" s="3">
        <f t="shared" si="1"/>
        <v>0.3864232619</v>
      </c>
      <c r="F6425" s="2">
        <v>1060.0</v>
      </c>
      <c r="G6425" s="3">
        <f t="shared" si="2"/>
        <v>0.1158723218</v>
      </c>
      <c r="H6425" s="2">
        <v>1910.0</v>
      </c>
      <c r="I6425" s="3">
        <f t="shared" si="3"/>
        <v>0.2087888063</v>
      </c>
      <c r="J6425" s="2">
        <v>1243.0</v>
      </c>
      <c r="K6425" s="3">
        <f t="shared" si="4"/>
        <v>0.1358766944</v>
      </c>
      <c r="L6425" s="2">
        <v>1131.0</v>
      </c>
      <c r="M6425" s="3">
        <f t="shared" si="5"/>
        <v>0.5921465969</v>
      </c>
      <c r="N6425" s="2">
        <v>1.02546E7</v>
      </c>
      <c r="O6425" s="4">
        <f t="shared" si="6"/>
        <v>5368.900524</v>
      </c>
      <c r="P6425" s="2">
        <v>0.0</v>
      </c>
      <c r="Q6425" s="3">
        <f t="shared" si="7"/>
        <v>0</v>
      </c>
      <c r="R6425" s="2">
        <v>0.0</v>
      </c>
      <c r="S6425" s="5">
        <f t="shared" si="8"/>
        <v>0</v>
      </c>
    </row>
    <row r="6426">
      <c r="A6426" s="2" t="s">
        <v>6424</v>
      </c>
      <c r="B6426" s="2">
        <v>2371.0</v>
      </c>
      <c r="C6426" s="2">
        <v>27927.0</v>
      </c>
      <c r="D6426" s="2">
        <v>9776.0</v>
      </c>
      <c r="E6426" s="3">
        <f t="shared" si="1"/>
        <v>0.3825324777</v>
      </c>
      <c r="F6426" s="2">
        <v>2961.0</v>
      </c>
      <c r="G6426" s="3">
        <f t="shared" si="2"/>
        <v>0.1158632024</v>
      </c>
      <c r="H6426" s="2">
        <v>5498.0</v>
      </c>
      <c r="I6426" s="3">
        <f t="shared" si="3"/>
        <v>0.2151353889</v>
      </c>
      <c r="J6426" s="2">
        <v>4237.0</v>
      </c>
      <c r="K6426" s="3">
        <f t="shared" si="4"/>
        <v>0.1657927688</v>
      </c>
      <c r="L6426" s="2">
        <v>3263.0</v>
      </c>
      <c r="M6426" s="3">
        <f t="shared" si="5"/>
        <v>0.5934885413</v>
      </c>
      <c r="N6426" s="2">
        <v>2.98373E7</v>
      </c>
      <c r="O6426" s="4">
        <f t="shared" si="6"/>
        <v>5426.937068</v>
      </c>
      <c r="P6426" s="2">
        <v>2.0</v>
      </c>
      <c r="Q6426" s="3">
        <f t="shared" si="7"/>
        <v>0.0008435259384</v>
      </c>
      <c r="R6426" s="2">
        <v>2371.0</v>
      </c>
      <c r="S6426" s="5">
        <f t="shared" si="8"/>
        <v>1</v>
      </c>
    </row>
    <row r="6427">
      <c r="A6427" s="2" t="s">
        <v>6425</v>
      </c>
      <c r="B6427" s="2">
        <v>328.0</v>
      </c>
      <c r="C6427" s="2">
        <v>3789.0</v>
      </c>
      <c r="D6427" s="2">
        <v>1161.0</v>
      </c>
      <c r="E6427" s="3">
        <f t="shared" si="1"/>
        <v>0.3354521815</v>
      </c>
      <c r="F6427" s="2">
        <v>401.0</v>
      </c>
      <c r="G6427" s="3">
        <f t="shared" si="2"/>
        <v>0.1158624675</v>
      </c>
      <c r="H6427" s="2">
        <v>736.0</v>
      </c>
      <c r="I6427" s="3">
        <f t="shared" si="3"/>
        <v>0.2126553019</v>
      </c>
      <c r="J6427" s="2">
        <v>593.0</v>
      </c>
      <c r="K6427" s="3">
        <f t="shared" si="4"/>
        <v>0.1713377637</v>
      </c>
      <c r="L6427" s="2">
        <v>414.0</v>
      </c>
      <c r="M6427" s="3">
        <f t="shared" si="5"/>
        <v>0.5625</v>
      </c>
      <c r="N6427" s="2">
        <v>4112500.0</v>
      </c>
      <c r="O6427" s="4">
        <f t="shared" si="6"/>
        <v>5587.63587</v>
      </c>
      <c r="P6427" s="2">
        <v>1.0</v>
      </c>
      <c r="Q6427" s="3">
        <f t="shared" si="7"/>
        <v>0.003048780488</v>
      </c>
      <c r="R6427" s="2">
        <v>328.0</v>
      </c>
      <c r="S6427" s="5">
        <f t="shared" si="8"/>
        <v>1</v>
      </c>
    </row>
    <row r="6428">
      <c r="A6428" s="2" t="s">
        <v>6426</v>
      </c>
      <c r="B6428" s="2">
        <v>159.0</v>
      </c>
      <c r="C6428" s="2">
        <v>1868.0</v>
      </c>
      <c r="D6428" s="2">
        <v>660.0</v>
      </c>
      <c r="E6428" s="3">
        <f t="shared" si="1"/>
        <v>0.3861907548</v>
      </c>
      <c r="F6428" s="2">
        <v>198.0</v>
      </c>
      <c r="G6428" s="3">
        <f t="shared" si="2"/>
        <v>0.1158572264</v>
      </c>
      <c r="H6428" s="2">
        <v>359.0</v>
      </c>
      <c r="I6428" s="3">
        <f t="shared" si="3"/>
        <v>0.2100643651</v>
      </c>
      <c r="J6428" s="2">
        <v>225.0</v>
      </c>
      <c r="K6428" s="3">
        <f t="shared" si="4"/>
        <v>0.1316559391</v>
      </c>
      <c r="L6428" s="2">
        <v>221.0</v>
      </c>
      <c r="M6428" s="3">
        <f t="shared" si="5"/>
        <v>0.6155988858</v>
      </c>
      <c r="N6428" s="2">
        <v>2009000.0</v>
      </c>
      <c r="O6428" s="4">
        <f t="shared" si="6"/>
        <v>5596.100279</v>
      </c>
      <c r="P6428" s="2">
        <v>0.0</v>
      </c>
      <c r="Q6428" s="3">
        <f t="shared" si="7"/>
        <v>0</v>
      </c>
      <c r="R6428" s="2">
        <v>159.0</v>
      </c>
      <c r="S6428" s="5">
        <f t="shared" si="8"/>
        <v>1</v>
      </c>
    </row>
    <row r="6429">
      <c r="A6429" s="2" t="s">
        <v>6427</v>
      </c>
      <c r="B6429" s="2">
        <v>356.0</v>
      </c>
      <c r="C6429" s="2">
        <v>4275.0</v>
      </c>
      <c r="D6429" s="2">
        <v>779.0</v>
      </c>
      <c r="E6429" s="3">
        <f t="shared" si="1"/>
        <v>0.1987751978</v>
      </c>
      <c r="F6429" s="2">
        <v>454.0</v>
      </c>
      <c r="G6429" s="3">
        <f t="shared" si="2"/>
        <v>0.1158458791</v>
      </c>
      <c r="H6429" s="2">
        <v>694.0</v>
      </c>
      <c r="I6429" s="3">
        <f t="shared" si="3"/>
        <v>0.1770859913</v>
      </c>
      <c r="J6429" s="2">
        <v>705.0</v>
      </c>
      <c r="K6429" s="3">
        <f t="shared" si="4"/>
        <v>0.1798928298</v>
      </c>
      <c r="L6429" s="2">
        <v>413.0</v>
      </c>
      <c r="M6429" s="3">
        <f t="shared" si="5"/>
        <v>0.5951008646</v>
      </c>
      <c r="N6429" s="2">
        <v>4223300.0</v>
      </c>
      <c r="O6429" s="4">
        <f t="shared" si="6"/>
        <v>6085.446686</v>
      </c>
      <c r="P6429" s="2">
        <v>2.0</v>
      </c>
      <c r="Q6429" s="3">
        <f t="shared" si="7"/>
        <v>0.005617977528</v>
      </c>
      <c r="R6429" s="2">
        <v>356.0</v>
      </c>
      <c r="S6429" s="5">
        <f t="shared" si="8"/>
        <v>1</v>
      </c>
    </row>
    <row r="6430">
      <c r="A6430" s="2" t="s">
        <v>6428</v>
      </c>
      <c r="B6430" s="2">
        <v>77.0</v>
      </c>
      <c r="C6430" s="2">
        <v>923.0</v>
      </c>
      <c r="D6430" s="2">
        <v>278.0</v>
      </c>
      <c r="E6430" s="3">
        <f t="shared" si="1"/>
        <v>0.3286052009</v>
      </c>
      <c r="F6430" s="2">
        <v>98.0</v>
      </c>
      <c r="G6430" s="3">
        <f t="shared" si="2"/>
        <v>0.1158392435</v>
      </c>
      <c r="H6430" s="2">
        <v>143.0</v>
      </c>
      <c r="I6430" s="3">
        <f t="shared" si="3"/>
        <v>0.1690307329</v>
      </c>
      <c r="J6430" s="2">
        <v>134.0</v>
      </c>
      <c r="K6430" s="3">
        <f t="shared" si="4"/>
        <v>0.158392435</v>
      </c>
      <c r="L6430" s="2">
        <v>80.0</v>
      </c>
      <c r="M6430" s="3">
        <f t="shared" si="5"/>
        <v>0.5594405594</v>
      </c>
      <c r="N6430" s="2">
        <v>901800.0</v>
      </c>
      <c r="O6430" s="4">
        <f t="shared" si="6"/>
        <v>6306.293706</v>
      </c>
      <c r="P6430" s="2">
        <v>0.0</v>
      </c>
      <c r="Q6430" s="3">
        <f t="shared" si="7"/>
        <v>0</v>
      </c>
      <c r="R6430" s="2">
        <v>77.0</v>
      </c>
      <c r="S6430" s="5">
        <f t="shared" si="8"/>
        <v>1</v>
      </c>
    </row>
    <row r="6431">
      <c r="A6431" s="2" t="s">
        <v>6429</v>
      </c>
      <c r="B6431" s="2">
        <v>1241.0</v>
      </c>
      <c r="C6431" s="2">
        <v>14648.0</v>
      </c>
      <c r="D6431" s="2">
        <v>4936.0</v>
      </c>
      <c r="E6431" s="3">
        <f t="shared" si="1"/>
        <v>0.3681658835</v>
      </c>
      <c r="F6431" s="2">
        <v>1553.0</v>
      </c>
      <c r="G6431" s="3">
        <f t="shared" si="2"/>
        <v>0.1158350116</v>
      </c>
      <c r="H6431" s="2">
        <v>2912.0</v>
      </c>
      <c r="I6431" s="3">
        <f t="shared" si="3"/>
        <v>0.2171999702</v>
      </c>
      <c r="J6431" s="2">
        <v>2527.0</v>
      </c>
      <c r="K6431" s="3">
        <f t="shared" si="4"/>
        <v>0.188483628</v>
      </c>
      <c r="L6431" s="2">
        <v>1721.0</v>
      </c>
      <c r="M6431" s="3">
        <f t="shared" si="5"/>
        <v>0.5910027473</v>
      </c>
      <c r="N6431" s="2">
        <v>1.74024E7</v>
      </c>
      <c r="O6431" s="4">
        <f t="shared" si="6"/>
        <v>5976.098901</v>
      </c>
      <c r="P6431" s="2">
        <v>2.0</v>
      </c>
      <c r="Q6431" s="3">
        <f t="shared" si="7"/>
        <v>0.001611603546</v>
      </c>
      <c r="R6431" s="2">
        <v>1241.0</v>
      </c>
      <c r="S6431" s="5">
        <f t="shared" si="8"/>
        <v>1</v>
      </c>
    </row>
    <row r="6432">
      <c r="A6432" s="2" t="s">
        <v>6430</v>
      </c>
      <c r="B6432" s="2">
        <v>24.0</v>
      </c>
      <c r="C6432" s="2">
        <v>283.0</v>
      </c>
      <c r="D6432" s="2">
        <v>66.0</v>
      </c>
      <c r="E6432" s="3">
        <f t="shared" si="1"/>
        <v>0.2548262548</v>
      </c>
      <c r="F6432" s="2">
        <v>30.0</v>
      </c>
      <c r="G6432" s="3">
        <f t="shared" si="2"/>
        <v>0.1158301158</v>
      </c>
      <c r="H6432" s="2">
        <v>43.0</v>
      </c>
      <c r="I6432" s="3">
        <f t="shared" si="3"/>
        <v>0.166023166</v>
      </c>
      <c r="J6432" s="2">
        <v>36.0</v>
      </c>
      <c r="K6432" s="3">
        <f t="shared" si="4"/>
        <v>0.138996139</v>
      </c>
      <c r="L6432" s="2">
        <v>23.0</v>
      </c>
      <c r="M6432" s="3">
        <f t="shared" si="5"/>
        <v>0.5348837209</v>
      </c>
      <c r="N6432" s="2">
        <v>230200.0</v>
      </c>
      <c r="O6432" s="4">
        <f t="shared" si="6"/>
        <v>5353.488372</v>
      </c>
      <c r="P6432" s="2">
        <v>0.0</v>
      </c>
      <c r="Q6432" s="3">
        <f t="shared" si="7"/>
        <v>0</v>
      </c>
      <c r="R6432" s="2">
        <v>23.0</v>
      </c>
      <c r="S6432" s="5">
        <f t="shared" si="8"/>
        <v>0.9583333333</v>
      </c>
    </row>
    <row r="6433">
      <c r="A6433" s="2" t="s">
        <v>6431</v>
      </c>
      <c r="B6433" s="2">
        <v>1457.0</v>
      </c>
      <c r="C6433" s="2">
        <v>16929.0</v>
      </c>
      <c r="D6433" s="2">
        <v>4770.0</v>
      </c>
      <c r="E6433" s="3">
        <f t="shared" si="1"/>
        <v>0.3082988625</v>
      </c>
      <c r="F6433" s="2">
        <v>1792.0</v>
      </c>
      <c r="G6433" s="3">
        <f t="shared" si="2"/>
        <v>0.1158221303</v>
      </c>
      <c r="H6433" s="2">
        <v>3179.0</v>
      </c>
      <c r="I6433" s="3">
        <f t="shared" si="3"/>
        <v>0.2054679421</v>
      </c>
      <c r="J6433" s="2">
        <v>2677.0</v>
      </c>
      <c r="K6433" s="3">
        <f t="shared" si="4"/>
        <v>0.1730222337</v>
      </c>
      <c r="L6433" s="2">
        <v>1935.0</v>
      </c>
      <c r="M6433" s="3">
        <f t="shared" si="5"/>
        <v>0.6086819755</v>
      </c>
      <c r="N6433" s="2">
        <v>1.80789E7</v>
      </c>
      <c r="O6433" s="4">
        <f t="shared" si="6"/>
        <v>5686.977037</v>
      </c>
      <c r="P6433" s="2">
        <v>3.0</v>
      </c>
      <c r="Q6433" s="3">
        <f t="shared" si="7"/>
        <v>0.002059025395</v>
      </c>
      <c r="R6433" s="2">
        <v>1457.0</v>
      </c>
      <c r="S6433" s="5">
        <f t="shared" si="8"/>
        <v>1</v>
      </c>
    </row>
    <row r="6434">
      <c r="A6434" s="2" t="s">
        <v>6432</v>
      </c>
      <c r="B6434" s="2">
        <v>90.0</v>
      </c>
      <c r="C6434" s="2">
        <v>1109.0</v>
      </c>
      <c r="D6434" s="2">
        <v>282.0</v>
      </c>
      <c r="E6434" s="3">
        <f t="shared" si="1"/>
        <v>0.2767419038</v>
      </c>
      <c r="F6434" s="2">
        <v>118.0</v>
      </c>
      <c r="G6434" s="3">
        <f t="shared" si="2"/>
        <v>0.1157998037</v>
      </c>
      <c r="H6434" s="2">
        <v>188.0</v>
      </c>
      <c r="I6434" s="3">
        <f t="shared" si="3"/>
        <v>0.1844946026</v>
      </c>
      <c r="J6434" s="2">
        <v>161.0</v>
      </c>
      <c r="K6434" s="3">
        <f t="shared" si="4"/>
        <v>0.1579980373</v>
      </c>
      <c r="L6434" s="2">
        <v>109.0</v>
      </c>
      <c r="M6434" s="3">
        <f t="shared" si="5"/>
        <v>0.579787234</v>
      </c>
      <c r="N6434" s="2">
        <v>1157700.0</v>
      </c>
      <c r="O6434" s="4">
        <f t="shared" si="6"/>
        <v>6157.978723</v>
      </c>
      <c r="P6434" s="2">
        <v>0.0</v>
      </c>
      <c r="Q6434" s="3">
        <f t="shared" si="7"/>
        <v>0</v>
      </c>
      <c r="R6434" s="2">
        <v>90.0</v>
      </c>
      <c r="S6434" s="5">
        <f t="shared" si="8"/>
        <v>1</v>
      </c>
    </row>
    <row r="6435">
      <c r="A6435" s="2" t="s">
        <v>6433</v>
      </c>
      <c r="B6435" s="2">
        <v>243.0</v>
      </c>
      <c r="C6435" s="2">
        <v>2808.0</v>
      </c>
      <c r="D6435" s="2">
        <v>748.0</v>
      </c>
      <c r="E6435" s="3">
        <f t="shared" si="1"/>
        <v>0.2916179337</v>
      </c>
      <c r="F6435" s="2">
        <v>297.0</v>
      </c>
      <c r="G6435" s="3">
        <f t="shared" si="2"/>
        <v>0.1157894737</v>
      </c>
      <c r="H6435" s="2">
        <v>481.0</v>
      </c>
      <c r="I6435" s="3">
        <f t="shared" si="3"/>
        <v>0.1875243665</v>
      </c>
      <c r="J6435" s="2">
        <v>409.0</v>
      </c>
      <c r="K6435" s="3">
        <f t="shared" si="4"/>
        <v>0.159454191</v>
      </c>
      <c r="L6435" s="2">
        <v>287.0</v>
      </c>
      <c r="M6435" s="3">
        <f t="shared" si="5"/>
        <v>0.5966735967</v>
      </c>
      <c r="N6435" s="2">
        <v>2873000.0</v>
      </c>
      <c r="O6435" s="4">
        <f t="shared" si="6"/>
        <v>5972.972973</v>
      </c>
      <c r="P6435" s="2">
        <v>0.0</v>
      </c>
      <c r="Q6435" s="3">
        <f t="shared" si="7"/>
        <v>0</v>
      </c>
      <c r="R6435" s="2">
        <v>0.0</v>
      </c>
      <c r="S6435" s="5">
        <f t="shared" si="8"/>
        <v>0</v>
      </c>
    </row>
    <row r="6436">
      <c r="A6436" s="2" t="s">
        <v>6434</v>
      </c>
      <c r="B6436" s="2">
        <v>862.0</v>
      </c>
      <c r="C6436" s="2">
        <v>10242.0</v>
      </c>
      <c r="D6436" s="2">
        <v>3923.0</v>
      </c>
      <c r="E6436" s="3">
        <f t="shared" si="1"/>
        <v>0.4182302772</v>
      </c>
      <c r="F6436" s="2">
        <v>1086.0</v>
      </c>
      <c r="G6436" s="3">
        <f t="shared" si="2"/>
        <v>0.1157782516</v>
      </c>
      <c r="H6436" s="2">
        <v>1911.0</v>
      </c>
      <c r="I6436" s="3">
        <f t="shared" si="3"/>
        <v>0.2037313433</v>
      </c>
      <c r="J6436" s="2">
        <v>1559.0</v>
      </c>
      <c r="K6436" s="3">
        <f t="shared" si="4"/>
        <v>0.1662046908</v>
      </c>
      <c r="L6436" s="2">
        <v>1109.0</v>
      </c>
      <c r="M6436" s="3">
        <f t="shared" si="5"/>
        <v>0.5803244375</v>
      </c>
      <c r="N6436" s="2">
        <v>1.06026E7</v>
      </c>
      <c r="O6436" s="4">
        <f t="shared" si="6"/>
        <v>5548.194662</v>
      </c>
      <c r="P6436" s="2">
        <v>0.0</v>
      </c>
      <c r="Q6436" s="3">
        <f t="shared" si="7"/>
        <v>0</v>
      </c>
      <c r="R6436" s="2">
        <v>862.0</v>
      </c>
      <c r="S6436" s="5">
        <f t="shared" si="8"/>
        <v>1</v>
      </c>
    </row>
    <row r="6437">
      <c r="A6437" s="2" t="s">
        <v>6435</v>
      </c>
      <c r="B6437" s="2">
        <v>1993.0</v>
      </c>
      <c r="C6437" s="2">
        <v>23631.0</v>
      </c>
      <c r="D6437" s="2">
        <v>7763.0</v>
      </c>
      <c r="E6437" s="3">
        <f t="shared" si="1"/>
        <v>0.358766984</v>
      </c>
      <c r="F6437" s="2">
        <v>2505.0</v>
      </c>
      <c r="G6437" s="3">
        <f t="shared" si="2"/>
        <v>0.1157685553</v>
      </c>
      <c r="H6437" s="2">
        <v>4727.0</v>
      </c>
      <c r="I6437" s="3">
        <f t="shared" si="3"/>
        <v>0.2184582679</v>
      </c>
      <c r="J6437" s="2">
        <v>3729.0</v>
      </c>
      <c r="K6437" s="3">
        <f t="shared" si="4"/>
        <v>0.1723357057</v>
      </c>
      <c r="L6437" s="2">
        <v>2863.0</v>
      </c>
      <c r="M6437" s="3">
        <f t="shared" si="5"/>
        <v>0.6056695579</v>
      </c>
      <c r="N6437" s="2">
        <v>2.54548E7</v>
      </c>
      <c r="O6437" s="4">
        <f t="shared" si="6"/>
        <v>5384.979903</v>
      </c>
      <c r="P6437" s="2">
        <v>3.0</v>
      </c>
      <c r="Q6437" s="3">
        <f t="shared" si="7"/>
        <v>0.00150526844</v>
      </c>
      <c r="R6437" s="2">
        <v>1993.0</v>
      </c>
      <c r="S6437" s="5">
        <f t="shared" si="8"/>
        <v>1</v>
      </c>
    </row>
    <row r="6438">
      <c r="A6438" s="2" t="s">
        <v>6436</v>
      </c>
      <c r="B6438" s="2">
        <v>796.0</v>
      </c>
      <c r="C6438" s="2">
        <v>9305.0</v>
      </c>
      <c r="D6438" s="2">
        <v>2416.0</v>
      </c>
      <c r="E6438" s="3">
        <f t="shared" si="1"/>
        <v>0.2839346574</v>
      </c>
      <c r="F6438" s="2">
        <v>985.0</v>
      </c>
      <c r="G6438" s="3">
        <f t="shared" si="2"/>
        <v>0.1157597838</v>
      </c>
      <c r="H6438" s="2">
        <v>1795.0</v>
      </c>
      <c r="I6438" s="3">
        <f t="shared" si="3"/>
        <v>0.2109531085</v>
      </c>
      <c r="J6438" s="2">
        <v>1453.0</v>
      </c>
      <c r="K6438" s="3">
        <f t="shared" si="4"/>
        <v>0.1707603714</v>
      </c>
      <c r="L6438" s="2">
        <v>1087.0</v>
      </c>
      <c r="M6438" s="3">
        <f t="shared" si="5"/>
        <v>0.6055710306</v>
      </c>
      <c r="N6438" s="2">
        <v>9947100.0</v>
      </c>
      <c r="O6438" s="4">
        <f t="shared" si="6"/>
        <v>5541.559889</v>
      </c>
      <c r="P6438" s="2">
        <v>1.0</v>
      </c>
      <c r="Q6438" s="3">
        <f t="shared" si="7"/>
        <v>0.001256281407</v>
      </c>
      <c r="R6438" s="2">
        <v>0.0</v>
      </c>
      <c r="S6438" s="5">
        <f t="shared" si="8"/>
        <v>0</v>
      </c>
    </row>
    <row r="6439">
      <c r="A6439" s="2" t="s">
        <v>6437</v>
      </c>
      <c r="B6439" s="2">
        <v>617.0</v>
      </c>
      <c r="C6439" s="2">
        <v>7347.0</v>
      </c>
      <c r="D6439" s="2">
        <v>2466.0</v>
      </c>
      <c r="E6439" s="3">
        <f t="shared" si="1"/>
        <v>0.3664190193</v>
      </c>
      <c r="F6439" s="2">
        <v>779.0</v>
      </c>
      <c r="G6439" s="3">
        <f t="shared" si="2"/>
        <v>0.1157503715</v>
      </c>
      <c r="H6439" s="2">
        <v>1394.0</v>
      </c>
      <c r="I6439" s="3">
        <f t="shared" si="3"/>
        <v>0.2071322437</v>
      </c>
      <c r="J6439" s="2">
        <v>1006.0</v>
      </c>
      <c r="K6439" s="3">
        <f t="shared" si="4"/>
        <v>0.1494799406</v>
      </c>
      <c r="L6439" s="2">
        <v>836.0</v>
      </c>
      <c r="M6439" s="3">
        <f t="shared" si="5"/>
        <v>0.599713056</v>
      </c>
      <c r="N6439" s="2">
        <v>7480900.0</v>
      </c>
      <c r="O6439" s="4">
        <f t="shared" si="6"/>
        <v>5366.499283</v>
      </c>
      <c r="P6439" s="2">
        <v>3.0</v>
      </c>
      <c r="Q6439" s="3">
        <f t="shared" si="7"/>
        <v>0.004862236629</v>
      </c>
      <c r="R6439" s="2">
        <v>567.0</v>
      </c>
      <c r="S6439" s="5">
        <f t="shared" si="8"/>
        <v>0.9189627229</v>
      </c>
    </row>
    <row r="6440">
      <c r="A6440" s="2" t="s">
        <v>6438</v>
      </c>
      <c r="B6440" s="2">
        <v>4930.0</v>
      </c>
      <c r="C6440" s="2">
        <v>57970.0</v>
      </c>
      <c r="D6440" s="2">
        <v>19275.0</v>
      </c>
      <c r="E6440" s="3">
        <f t="shared" si="1"/>
        <v>0.3634049774</v>
      </c>
      <c r="F6440" s="2">
        <v>6139.0</v>
      </c>
      <c r="G6440" s="3">
        <f t="shared" si="2"/>
        <v>0.1157428356</v>
      </c>
      <c r="H6440" s="2">
        <v>11404.0</v>
      </c>
      <c r="I6440" s="3">
        <f t="shared" si="3"/>
        <v>0.2150075415</v>
      </c>
      <c r="J6440" s="2">
        <v>9249.0</v>
      </c>
      <c r="K6440" s="3">
        <f t="shared" si="4"/>
        <v>0.1743778281</v>
      </c>
      <c r="L6440" s="2">
        <v>6816.0</v>
      </c>
      <c r="M6440" s="3">
        <f t="shared" si="5"/>
        <v>0.5976850228</v>
      </c>
      <c r="N6440" s="2">
        <v>6.19023E7</v>
      </c>
      <c r="O6440" s="4">
        <f t="shared" si="6"/>
        <v>5428.121712</v>
      </c>
      <c r="P6440" s="2">
        <v>7.0</v>
      </c>
      <c r="Q6440" s="3">
        <f t="shared" si="7"/>
        <v>0.001419878296</v>
      </c>
      <c r="R6440" s="2">
        <v>3432.0</v>
      </c>
      <c r="S6440" s="5">
        <f t="shared" si="8"/>
        <v>0.6961460446</v>
      </c>
    </row>
    <row r="6441">
      <c r="A6441" s="2" t="s">
        <v>6439</v>
      </c>
      <c r="B6441" s="2">
        <v>159.0</v>
      </c>
      <c r="C6441" s="2">
        <v>1844.0</v>
      </c>
      <c r="D6441" s="2">
        <v>689.0</v>
      </c>
      <c r="E6441" s="3">
        <f t="shared" si="1"/>
        <v>0.4089020772</v>
      </c>
      <c r="F6441" s="2">
        <v>195.0</v>
      </c>
      <c r="G6441" s="3">
        <f t="shared" si="2"/>
        <v>0.115727003</v>
      </c>
      <c r="H6441" s="2">
        <v>400.0</v>
      </c>
      <c r="I6441" s="3">
        <f t="shared" si="3"/>
        <v>0.237388724</v>
      </c>
      <c r="J6441" s="2">
        <v>245.0</v>
      </c>
      <c r="K6441" s="3">
        <f t="shared" si="4"/>
        <v>0.1454005935</v>
      </c>
      <c r="L6441" s="2">
        <v>232.0</v>
      </c>
      <c r="M6441" s="3">
        <f t="shared" si="5"/>
        <v>0.58</v>
      </c>
      <c r="N6441" s="2">
        <v>2002800.0</v>
      </c>
      <c r="O6441" s="4">
        <f t="shared" si="6"/>
        <v>5007</v>
      </c>
      <c r="P6441" s="2">
        <v>0.0</v>
      </c>
      <c r="Q6441" s="3">
        <f t="shared" si="7"/>
        <v>0</v>
      </c>
      <c r="R6441" s="2">
        <v>159.0</v>
      </c>
      <c r="S6441" s="5">
        <f t="shared" si="8"/>
        <v>1</v>
      </c>
    </row>
    <row r="6442">
      <c r="A6442" s="2" t="s">
        <v>6440</v>
      </c>
      <c r="B6442" s="2">
        <v>30.0</v>
      </c>
      <c r="C6442" s="2">
        <v>367.0</v>
      </c>
      <c r="D6442" s="2">
        <v>143.0</v>
      </c>
      <c r="E6442" s="3">
        <f t="shared" si="1"/>
        <v>0.4243323442</v>
      </c>
      <c r="F6442" s="2">
        <v>39.0</v>
      </c>
      <c r="G6442" s="3">
        <f t="shared" si="2"/>
        <v>0.115727003</v>
      </c>
      <c r="H6442" s="2">
        <v>71.0</v>
      </c>
      <c r="I6442" s="3">
        <f t="shared" si="3"/>
        <v>0.2106824926</v>
      </c>
      <c r="J6442" s="2">
        <v>45.0</v>
      </c>
      <c r="K6442" s="3">
        <f t="shared" si="4"/>
        <v>0.1335311573</v>
      </c>
      <c r="L6442" s="2">
        <v>40.0</v>
      </c>
      <c r="M6442" s="3">
        <f t="shared" si="5"/>
        <v>0.5633802817</v>
      </c>
      <c r="N6442" s="2">
        <v>392000.0</v>
      </c>
      <c r="O6442" s="4">
        <f t="shared" si="6"/>
        <v>5521.126761</v>
      </c>
      <c r="P6442" s="2">
        <v>0.0</v>
      </c>
      <c r="Q6442" s="3">
        <f t="shared" si="7"/>
        <v>0</v>
      </c>
      <c r="R6442" s="2">
        <v>0.0</v>
      </c>
      <c r="S6442" s="5">
        <f t="shared" si="8"/>
        <v>0</v>
      </c>
    </row>
    <row r="6443">
      <c r="A6443" s="2" t="s">
        <v>6441</v>
      </c>
      <c r="B6443" s="2">
        <v>74.0</v>
      </c>
      <c r="C6443" s="2">
        <v>826.0</v>
      </c>
      <c r="D6443" s="2">
        <v>239.0</v>
      </c>
      <c r="E6443" s="3">
        <f t="shared" si="1"/>
        <v>0.3178191489</v>
      </c>
      <c r="F6443" s="2">
        <v>87.0</v>
      </c>
      <c r="G6443" s="3">
        <f t="shared" si="2"/>
        <v>0.1156914894</v>
      </c>
      <c r="H6443" s="2">
        <v>154.0</v>
      </c>
      <c r="I6443" s="3">
        <f t="shared" si="3"/>
        <v>0.204787234</v>
      </c>
      <c r="J6443" s="2">
        <v>133.0</v>
      </c>
      <c r="K6443" s="3">
        <f t="shared" si="4"/>
        <v>0.1768617021</v>
      </c>
      <c r="L6443" s="2">
        <v>83.0</v>
      </c>
      <c r="M6443" s="3">
        <f t="shared" si="5"/>
        <v>0.538961039</v>
      </c>
      <c r="N6443" s="2">
        <v>885900.0</v>
      </c>
      <c r="O6443" s="4">
        <f t="shared" si="6"/>
        <v>5752.597403</v>
      </c>
      <c r="P6443" s="2">
        <v>0.0</v>
      </c>
      <c r="Q6443" s="3">
        <f t="shared" si="7"/>
        <v>0</v>
      </c>
      <c r="R6443" s="2">
        <v>74.0</v>
      </c>
      <c r="S6443" s="5">
        <f t="shared" si="8"/>
        <v>1</v>
      </c>
    </row>
    <row r="6444">
      <c r="A6444" s="2" t="s">
        <v>6442</v>
      </c>
      <c r="B6444" s="2">
        <v>934.0</v>
      </c>
      <c r="C6444" s="2">
        <v>10996.0</v>
      </c>
      <c r="D6444" s="2">
        <v>3052.0</v>
      </c>
      <c r="E6444" s="3">
        <f t="shared" si="1"/>
        <v>0.3033194196</v>
      </c>
      <c r="F6444" s="2">
        <v>1164.0</v>
      </c>
      <c r="G6444" s="3">
        <f t="shared" si="2"/>
        <v>0.1156827668</v>
      </c>
      <c r="H6444" s="2">
        <v>2019.0</v>
      </c>
      <c r="I6444" s="3">
        <f t="shared" si="3"/>
        <v>0.2006559332</v>
      </c>
      <c r="J6444" s="2">
        <v>1818.0</v>
      </c>
      <c r="K6444" s="3">
        <f t="shared" si="4"/>
        <v>0.1806797853</v>
      </c>
      <c r="L6444" s="2">
        <v>1167.0</v>
      </c>
      <c r="M6444" s="3">
        <f t="shared" si="5"/>
        <v>0.5780089153</v>
      </c>
      <c r="N6444" s="2">
        <v>1.21897E7</v>
      </c>
      <c r="O6444" s="4">
        <f t="shared" si="6"/>
        <v>6037.493809</v>
      </c>
      <c r="P6444" s="2">
        <v>1.0</v>
      </c>
      <c r="Q6444" s="3">
        <f t="shared" si="7"/>
        <v>0.001070663812</v>
      </c>
      <c r="R6444" s="2">
        <v>803.0</v>
      </c>
      <c r="S6444" s="5">
        <f t="shared" si="8"/>
        <v>0.8597430407</v>
      </c>
    </row>
    <row r="6445">
      <c r="A6445" s="2" t="s">
        <v>6443</v>
      </c>
      <c r="B6445" s="2">
        <v>244.0</v>
      </c>
      <c r="C6445" s="2">
        <v>2846.0</v>
      </c>
      <c r="D6445" s="2">
        <v>986.0</v>
      </c>
      <c r="E6445" s="3">
        <f t="shared" si="1"/>
        <v>0.3789392775</v>
      </c>
      <c r="F6445" s="2">
        <v>301.0</v>
      </c>
      <c r="G6445" s="3">
        <f t="shared" si="2"/>
        <v>0.115680246</v>
      </c>
      <c r="H6445" s="2">
        <v>517.0</v>
      </c>
      <c r="I6445" s="3">
        <f t="shared" si="3"/>
        <v>0.1986933128</v>
      </c>
      <c r="J6445" s="2">
        <v>380.0</v>
      </c>
      <c r="K6445" s="3">
        <f t="shared" si="4"/>
        <v>0.1460415065</v>
      </c>
      <c r="L6445" s="2">
        <v>315.0</v>
      </c>
      <c r="M6445" s="3">
        <f t="shared" si="5"/>
        <v>0.6092843327</v>
      </c>
      <c r="N6445" s="2">
        <v>2954900.0</v>
      </c>
      <c r="O6445" s="4">
        <f t="shared" si="6"/>
        <v>5715.473888</v>
      </c>
      <c r="P6445" s="2">
        <v>1.0</v>
      </c>
      <c r="Q6445" s="3">
        <f t="shared" si="7"/>
        <v>0.004098360656</v>
      </c>
      <c r="R6445" s="2">
        <v>244.0</v>
      </c>
      <c r="S6445" s="5">
        <f t="shared" si="8"/>
        <v>1</v>
      </c>
    </row>
    <row r="6446">
      <c r="A6446" s="2" t="s">
        <v>6444</v>
      </c>
      <c r="B6446" s="2">
        <v>1179.0</v>
      </c>
      <c r="C6446" s="2">
        <v>13888.0</v>
      </c>
      <c r="D6446" s="2">
        <v>4500.0</v>
      </c>
      <c r="E6446" s="3">
        <f t="shared" si="1"/>
        <v>0.354079786</v>
      </c>
      <c r="F6446" s="2">
        <v>1470.0</v>
      </c>
      <c r="G6446" s="3">
        <f t="shared" si="2"/>
        <v>0.1156660634</v>
      </c>
      <c r="H6446" s="2">
        <v>2534.0</v>
      </c>
      <c r="I6446" s="3">
        <f t="shared" si="3"/>
        <v>0.1993862617</v>
      </c>
      <c r="J6446" s="2">
        <v>2250.0</v>
      </c>
      <c r="K6446" s="3">
        <f t="shared" si="4"/>
        <v>0.177039893</v>
      </c>
      <c r="L6446" s="2">
        <v>1513.0</v>
      </c>
      <c r="M6446" s="3">
        <f t="shared" si="5"/>
        <v>0.5970797159</v>
      </c>
      <c r="N6446" s="2">
        <v>1.42237E7</v>
      </c>
      <c r="O6446" s="4">
        <f t="shared" si="6"/>
        <v>5613.141279</v>
      </c>
      <c r="P6446" s="2">
        <v>1.0</v>
      </c>
      <c r="Q6446" s="3">
        <f t="shared" si="7"/>
        <v>0.0008481764207</v>
      </c>
      <c r="R6446" s="2">
        <v>1179.0</v>
      </c>
      <c r="S6446" s="5">
        <f t="shared" si="8"/>
        <v>1</v>
      </c>
    </row>
    <row r="6447">
      <c r="A6447" s="2" t="s">
        <v>6445</v>
      </c>
      <c r="B6447" s="2">
        <v>2775.0</v>
      </c>
      <c r="C6447" s="2">
        <v>32924.0</v>
      </c>
      <c r="D6447" s="2">
        <v>10149.0</v>
      </c>
      <c r="E6447" s="3">
        <f t="shared" si="1"/>
        <v>0.3366280805</v>
      </c>
      <c r="F6447" s="2">
        <v>3487.0</v>
      </c>
      <c r="G6447" s="3">
        <f t="shared" si="2"/>
        <v>0.1156588942</v>
      </c>
      <c r="H6447" s="2">
        <v>6336.0</v>
      </c>
      <c r="I6447" s="3">
        <f t="shared" si="3"/>
        <v>0.2101562241</v>
      </c>
      <c r="J6447" s="2">
        <v>4927.0</v>
      </c>
      <c r="K6447" s="3">
        <f t="shared" si="4"/>
        <v>0.1634216724</v>
      </c>
      <c r="L6447" s="2">
        <v>3781.0</v>
      </c>
      <c r="M6447" s="3">
        <f t="shared" si="5"/>
        <v>0.5967487374</v>
      </c>
      <c r="N6447" s="2">
        <v>3.43886E7</v>
      </c>
      <c r="O6447" s="4">
        <f t="shared" si="6"/>
        <v>5427.493687</v>
      </c>
      <c r="P6447" s="2">
        <v>3.0</v>
      </c>
      <c r="Q6447" s="3">
        <f t="shared" si="7"/>
        <v>0.001081081081</v>
      </c>
      <c r="R6447" s="2">
        <v>2775.0</v>
      </c>
      <c r="S6447" s="5">
        <f t="shared" si="8"/>
        <v>1</v>
      </c>
    </row>
    <row r="6448">
      <c r="A6448" s="2" t="s">
        <v>6446</v>
      </c>
      <c r="B6448" s="2">
        <v>345.0</v>
      </c>
      <c r="C6448" s="2">
        <v>4115.0</v>
      </c>
      <c r="D6448" s="2">
        <v>1149.0</v>
      </c>
      <c r="E6448" s="3">
        <f t="shared" si="1"/>
        <v>0.3047745358</v>
      </c>
      <c r="F6448" s="2">
        <v>436.0</v>
      </c>
      <c r="G6448" s="3">
        <f t="shared" si="2"/>
        <v>0.1156498674</v>
      </c>
      <c r="H6448" s="2">
        <v>776.0</v>
      </c>
      <c r="I6448" s="3">
        <f t="shared" si="3"/>
        <v>0.2058355438</v>
      </c>
      <c r="J6448" s="2">
        <v>578.0</v>
      </c>
      <c r="K6448" s="3">
        <f t="shared" si="4"/>
        <v>0.1533156499</v>
      </c>
      <c r="L6448" s="2">
        <v>451.0</v>
      </c>
      <c r="M6448" s="3">
        <f t="shared" si="5"/>
        <v>0.581185567</v>
      </c>
      <c r="N6448" s="2">
        <v>4256500.0</v>
      </c>
      <c r="O6448" s="4">
        <f t="shared" si="6"/>
        <v>5485.180412</v>
      </c>
      <c r="P6448" s="2">
        <v>2.0</v>
      </c>
      <c r="Q6448" s="3">
        <f t="shared" si="7"/>
        <v>0.005797101449</v>
      </c>
      <c r="R6448" s="2">
        <v>345.0</v>
      </c>
      <c r="S6448" s="5">
        <f t="shared" si="8"/>
        <v>1</v>
      </c>
    </row>
    <row r="6449">
      <c r="A6449" s="2" t="s">
        <v>6447</v>
      </c>
      <c r="B6449" s="2">
        <v>1586.0</v>
      </c>
      <c r="C6449" s="2">
        <v>18615.0</v>
      </c>
      <c r="D6449" s="2">
        <v>6593.0</v>
      </c>
      <c r="E6449" s="3">
        <f t="shared" si="1"/>
        <v>0.3871630748</v>
      </c>
      <c r="F6449" s="2">
        <v>1969.0</v>
      </c>
      <c r="G6449" s="3">
        <f t="shared" si="2"/>
        <v>0.1156262846</v>
      </c>
      <c r="H6449" s="2">
        <v>3544.0</v>
      </c>
      <c r="I6449" s="3">
        <f t="shared" si="3"/>
        <v>0.2081155676</v>
      </c>
      <c r="J6449" s="2">
        <v>2562.0</v>
      </c>
      <c r="K6449" s="3">
        <f t="shared" si="4"/>
        <v>0.1504492337</v>
      </c>
      <c r="L6449" s="2">
        <v>2115.0</v>
      </c>
      <c r="M6449" s="3">
        <f t="shared" si="5"/>
        <v>0.5967832957</v>
      </c>
      <c r="N6449" s="2">
        <v>1.93798E7</v>
      </c>
      <c r="O6449" s="4">
        <f t="shared" si="6"/>
        <v>5468.340858</v>
      </c>
      <c r="P6449" s="2">
        <v>1.0</v>
      </c>
      <c r="Q6449" s="3">
        <f t="shared" si="7"/>
        <v>0.000630517024</v>
      </c>
      <c r="R6449" s="2">
        <v>1586.0</v>
      </c>
      <c r="S6449" s="5">
        <f t="shared" si="8"/>
        <v>1</v>
      </c>
    </row>
    <row r="6450">
      <c r="A6450" s="2" t="s">
        <v>6448</v>
      </c>
      <c r="B6450" s="2">
        <v>1178.0</v>
      </c>
      <c r="C6450" s="2">
        <v>13926.0</v>
      </c>
      <c r="D6450" s="2">
        <v>4853.0</v>
      </c>
      <c r="E6450" s="3">
        <f t="shared" si="1"/>
        <v>0.3806871666</v>
      </c>
      <c r="F6450" s="2">
        <v>1474.0</v>
      </c>
      <c r="G6450" s="3">
        <f t="shared" si="2"/>
        <v>0.1156259805</v>
      </c>
      <c r="H6450" s="2">
        <v>2579.0</v>
      </c>
      <c r="I6450" s="3">
        <f t="shared" si="3"/>
        <v>0.2023062441</v>
      </c>
      <c r="J6450" s="2">
        <v>1929.0</v>
      </c>
      <c r="K6450" s="3">
        <f t="shared" si="4"/>
        <v>0.1513178538</v>
      </c>
      <c r="L6450" s="2">
        <v>1568.0</v>
      </c>
      <c r="M6450" s="3">
        <f t="shared" si="5"/>
        <v>0.6079875921</v>
      </c>
      <c r="N6450" s="2">
        <v>1.38065E7</v>
      </c>
      <c r="O6450" s="4">
        <f t="shared" si="6"/>
        <v>5353.431563</v>
      </c>
      <c r="P6450" s="2">
        <v>1.0</v>
      </c>
      <c r="Q6450" s="3">
        <f t="shared" si="7"/>
        <v>0.0008488964346</v>
      </c>
      <c r="R6450" s="2">
        <v>1178.0</v>
      </c>
      <c r="S6450" s="5">
        <f t="shared" si="8"/>
        <v>1</v>
      </c>
    </row>
    <row r="6451">
      <c r="A6451" s="2" t="s">
        <v>6449</v>
      </c>
      <c r="B6451" s="2">
        <v>154.0</v>
      </c>
      <c r="C6451" s="2">
        <v>1754.0</v>
      </c>
      <c r="D6451" s="2">
        <v>551.0</v>
      </c>
      <c r="E6451" s="3">
        <f t="shared" si="1"/>
        <v>0.344375</v>
      </c>
      <c r="F6451" s="2">
        <v>185.0</v>
      </c>
      <c r="G6451" s="3">
        <f t="shared" si="2"/>
        <v>0.115625</v>
      </c>
      <c r="H6451" s="2">
        <v>376.0</v>
      </c>
      <c r="I6451" s="3">
        <f t="shared" si="3"/>
        <v>0.235</v>
      </c>
      <c r="J6451" s="2">
        <v>286.0</v>
      </c>
      <c r="K6451" s="3">
        <f t="shared" si="4"/>
        <v>0.17875</v>
      </c>
      <c r="L6451" s="2">
        <v>223.0</v>
      </c>
      <c r="M6451" s="3">
        <f t="shared" si="5"/>
        <v>0.5930851064</v>
      </c>
      <c r="N6451" s="2">
        <v>2034800.0</v>
      </c>
      <c r="O6451" s="4">
        <f t="shared" si="6"/>
        <v>5411.702128</v>
      </c>
      <c r="P6451" s="2">
        <v>0.0</v>
      </c>
      <c r="Q6451" s="3">
        <f t="shared" si="7"/>
        <v>0</v>
      </c>
      <c r="R6451" s="2">
        <v>154.0</v>
      </c>
      <c r="S6451" s="5">
        <f t="shared" si="8"/>
        <v>1</v>
      </c>
    </row>
    <row r="6452">
      <c r="A6452" s="2" t="s">
        <v>6450</v>
      </c>
      <c r="B6452" s="2">
        <v>1930.0</v>
      </c>
      <c r="C6452" s="2">
        <v>22801.0</v>
      </c>
      <c r="D6452" s="2">
        <v>7783.0</v>
      </c>
      <c r="E6452" s="3">
        <f t="shared" si="1"/>
        <v>0.3729097791</v>
      </c>
      <c r="F6452" s="2">
        <v>2413.0</v>
      </c>
      <c r="G6452" s="3">
        <f t="shared" si="2"/>
        <v>0.1156149681</v>
      </c>
      <c r="H6452" s="2">
        <v>4593.0</v>
      </c>
      <c r="I6452" s="3">
        <f t="shared" si="3"/>
        <v>0.2200661205</v>
      </c>
      <c r="J6452" s="2">
        <v>3052.0</v>
      </c>
      <c r="K6452" s="3">
        <f t="shared" si="4"/>
        <v>0.1462316132</v>
      </c>
      <c r="L6452" s="2">
        <v>2802.0</v>
      </c>
      <c r="M6452" s="3">
        <f t="shared" si="5"/>
        <v>0.6100587851</v>
      </c>
      <c r="N6452" s="2">
        <v>2.42437E7</v>
      </c>
      <c r="O6452" s="4">
        <f t="shared" si="6"/>
        <v>5278.401916</v>
      </c>
      <c r="P6452" s="2">
        <v>12.0</v>
      </c>
      <c r="Q6452" s="3">
        <f t="shared" si="7"/>
        <v>0.00621761658</v>
      </c>
      <c r="R6452" s="2">
        <v>1930.0</v>
      </c>
      <c r="S6452" s="5">
        <f t="shared" si="8"/>
        <v>1</v>
      </c>
    </row>
    <row r="6453">
      <c r="A6453" s="2" t="s">
        <v>6451</v>
      </c>
      <c r="B6453" s="2">
        <v>15.0</v>
      </c>
      <c r="C6453" s="2">
        <v>188.0</v>
      </c>
      <c r="D6453" s="2">
        <v>71.0</v>
      </c>
      <c r="E6453" s="3">
        <f t="shared" si="1"/>
        <v>0.4104046243</v>
      </c>
      <c r="F6453" s="2">
        <v>20.0</v>
      </c>
      <c r="G6453" s="3">
        <f t="shared" si="2"/>
        <v>0.1156069364</v>
      </c>
      <c r="H6453" s="2">
        <v>39.0</v>
      </c>
      <c r="I6453" s="3">
        <f t="shared" si="3"/>
        <v>0.225433526</v>
      </c>
      <c r="J6453" s="2">
        <v>37.0</v>
      </c>
      <c r="K6453" s="3">
        <f t="shared" si="4"/>
        <v>0.2138728324</v>
      </c>
      <c r="L6453" s="2">
        <v>26.0</v>
      </c>
      <c r="M6453" s="3">
        <f t="shared" si="5"/>
        <v>0.6666666667</v>
      </c>
      <c r="N6453" s="2">
        <v>220500.0</v>
      </c>
      <c r="O6453" s="4">
        <f t="shared" si="6"/>
        <v>5653.846154</v>
      </c>
      <c r="P6453" s="2">
        <v>0.0</v>
      </c>
      <c r="Q6453" s="3">
        <f t="shared" si="7"/>
        <v>0</v>
      </c>
      <c r="R6453" s="2">
        <v>15.0</v>
      </c>
      <c r="S6453" s="5">
        <f t="shared" si="8"/>
        <v>1</v>
      </c>
    </row>
    <row r="6454">
      <c r="A6454" s="2" t="s">
        <v>6452</v>
      </c>
      <c r="B6454" s="2">
        <v>126.0</v>
      </c>
      <c r="C6454" s="2">
        <v>1510.0</v>
      </c>
      <c r="D6454" s="2">
        <v>303.0</v>
      </c>
      <c r="E6454" s="3">
        <f t="shared" si="1"/>
        <v>0.2189306358</v>
      </c>
      <c r="F6454" s="2">
        <v>160.0</v>
      </c>
      <c r="G6454" s="3">
        <f t="shared" si="2"/>
        <v>0.1156069364</v>
      </c>
      <c r="H6454" s="2">
        <v>240.0</v>
      </c>
      <c r="I6454" s="3">
        <f t="shared" si="3"/>
        <v>0.1734104046</v>
      </c>
      <c r="J6454" s="2">
        <v>253.0</v>
      </c>
      <c r="K6454" s="3">
        <f t="shared" si="4"/>
        <v>0.1828034682</v>
      </c>
      <c r="L6454" s="2">
        <v>143.0</v>
      </c>
      <c r="M6454" s="3">
        <f t="shared" si="5"/>
        <v>0.5958333333</v>
      </c>
      <c r="N6454" s="2">
        <v>1494400.0</v>
      </c>
      <c r="O6454" s="4">
        <f t="shared" si="6"/>
        <v>6226.666667</v>
      </c>
      <c r="P6454" s="2">
        <v>0.0</v>
      </c>
      <c r="Q6454" s="3">
        <f t="shared" si="7"/>
        <v>0</v>
      </c>
      <c r="R6454" s="2">
        <v>126.0</v>
      </c>
      <c r="S6454" s="5">
        <f t="shared" si="8"/>
        <v>1</v>
      </c>
    </row>
    <row r="6455">
      <c r="A6455" s="2" t="s">
        <v>6453</v>
      </c>
      <c r="B6455" s="2">
        <v>721.0</v>
      </c>
      <c r="C6455" s="2">
        <v>8455.0</v>
      </c>
      <c r="D6455" s="2">
        <v>2942.0</v>
      </c>
      <c r="E6455" s="3">
        <f t="shared" si="1"/>
        <v>0.3803982415</v>
      </c>
      <c r="F6455" s="2">
        <v>894.0</v>
      </c>
      <c r="G6455" s="3">
        <f t="shared" si="2"/>
        <v>0.1155934833</v>
      </c>
      <c r="H6455" s="2">
        <v>1646.0</v>
      </c>
      <c r="I6455" s="3">
        <f t="shared" si="3"/>
        <v>0.2128264805</v>
      </c>
      <c r="J6455" s="2">
        <v>1209.0</v>
      </c>
      <c r="K6455" s="3">
        <f t="shared" si="4"/>
        <v>0.1563227308</v>
      </c>
      <c r="L6455" s="2">
        <v>963.0</v>
      </c>
      <c r="M6455" s="3">
        <f t="shared" si="5"/>
        <v>0.585054678</v>
      </c>
      <c r="N6455" s="2">
        <v>8950200.0</v>
      </c>
      <c r="O6455" s="4">
        <f t="shared" si="6"/>
        <v>5437.545565</v>
      </c>
      <c r="P6455" s="2">
        <v>1.0</v>
      </c>
      <c r="Q6455" s="3">
        <f t="shared" si="7"/>
        <v>0.001386962552</v>
      </c>
      <c r="R6455" s="2">
        <v>632.0</v>
      </c>
      <c r="S6455" s="5">
        <f t="shared" si="8"/>
        <v>0.8765603329</v>
      </c>
    </row>
    <row r="6456">
      <c r="A6456" s="2" t="s">
        <v>6454</v>
      </c>
      <c r="B6456" s="2">
        <v>239.0</v>
      </c>
      <c r="C6456" s="2">
        <v>2826.0</v>
      </c>
      <c r="D6456" s="2">
        <v>1080.0</v>
      </c>
      <c r="E6456" s="3">
        <f t="shared" si="1"/>
        <v>0.4174719753</v>
      </c>
      <c r="F6456" s="2">
        <v>299.0</v>
      </c>
      <c r="G6456" s="3">
        <f t="shared" si="2"/>
        <v>0.1155778894</v>
      </c>
      <c r="H6456" s="2">
        <v>565.0</v>
      </c>
      <c r="I6456" s="3">
        <f t="shared" si="3"/>
        <v>0.2183996908</v>
      </c>
      <c r="J6456" s="2">
        <v>403.0</v>
      </c>
      <c r="K6456" s="3">
        <f t="shared" si="4"/>
        <v>0.1557788945</v>
      </c>
      <c r="L6456" s="2">
        <v>348.0</v>
      </c>
      <c r="M6456" s="3">
        <f t="shared" si="5"/>
        <v>0.6159292035</v>
      </c>
      <c r="N6456" s="2">
        <v>3011500.0</v>
      </c>
      <c r="O6456" s="4">
        <f t="shared" si="6"/>
        <v>5330.088496</v>
      </c>
      <c r="P6456" s="2">
        <v>0.0</v>
      </c>
      <c r="Q6456" s="3">
        <f t="shared" si="7"/>
        <v>0</v>
      </c>
      <c r="R6456" s="2">
        <v>239.0</v>
      </c>
      <c r="S6456" s="5">
        <f t="shared" si="8"/>
        <v>1</v>
      </c>
    </row>
    <row r="6457">
      <c r="A6457" s="2" t="s">
        <v>6455</v>
      </c>
      <c r="B6457" s="2">
        <v>190.0</v>
      </c>
      <c r="C6457" s="2">
        <v>2258.0</v>
      </c>
      <c r="D6457" s="2">
        <v>655.0</v>
      </c>
      <c r="E6457" s="3">
        <f t="shared" si="1"/>
        <v>0.3167311412</v>
      </c>
      <c r="F6457" s="2">
        <v>239.0</v>
      </c>
      <c r="G6457" s="3">
        <f t="shared" si="2"/>
        <v>0.1155705996</v>
      </c>
      <c r="H6457" s="2">
        <v>408.0</v>
      </c>
      <c r="I6457" s="3">
        <f t="shared" si="3"/>
        <v>0.1972920696</v>
      </c>
      <c r="J6457" s="2">
        <v>310.0</v>
      </c>
      <c r="K6457" s="3">
        <f t="shared" si="4"/>
        <v>0.1499032882</v>
      </c>
      <c r="L6457" s="2">
        <v>247.0</v>
      </c>
      <c r="M6457" s="3">
        <f t="shared" si="5"/>
        <v>0.6053921569</v>
      </c>
      <c r="N6457" s="2">
        <v>2303300.0</v>
      </c>
      <c r="O6457" s="4">
        <f t="shared" si="6"/>
        <v>5645.343137</v>
      </c>
      <c r="P6457" s="2">
        <v>1.0</v>
      </c>
      <c r="Q6457" s="3">
        <f t="shared" si="7"/>
        <v>0.005263157895</v>
      </c>
      <c r="R6457" s="2">
        <v>190.0</v>
      </c>
      <c r="S6457" s="5">
        <f t="shared" si="8"/>
        <v>1</v>
      </c>
    </row>
    <row r="6458">
      <c r="A6458" s="2" t="s">
        <v>6456</v>
      </c>
      <c r="B6458" s="2">
        <v>1595.0</v>
      </c>
      <c r="C6458" s="2">
        <v>18642.0</v>
      </c>
      <c r="D6458" s="2">
        <v>5922.0</v>
      </c>
      <c r="E6458" s="3">
        <f t="shared" si="1"/>
        <v>0.3473925031</v>
      </c>
      <c r="F6458" s="2">
        <v>1970.0</v>
      </c>
      <c r="G6458" s="3">
        <f t="shared" si="2"/>
        <v>0.1155628556</v>
      </c>
      <c r="H6458" s="2">
        <v>3596.0</v>
      </c>
      <c r="I6458" s="3">
        <f t="shared" si="3"/>
        <v>0.2109462075</v>
      </c>
      <c r="J6458" s="2">
        <v>2915.0</v>
      </c>
      <c r="K6458" s="3">
        <f t="shared" si="4"/>
        <v>0.1709978295</v>
      </c>
      <c r="L6458" s="2">
        <v>2173.0</v>
      </c>
      <c r="M6458" s="3">
        <f t="shared" si="5"/>
        <v>0.6042825362</v>
      </c>
      <c r="N6458" s="2">
        <v>2.00713E7</v>
      </c>
      <c r="O6458" s="4">
        <f t="shared" si="6"/>
        <v>5581.562848</v>
      </c>
      <c r="P6458" s="2">
        <v>2.0</v>
      </c>
      <c r="Q6458" s="3">
        <f t="shared" si="7"/>
        <v>0.001253918495</v>
      </c>
      <c r="R6458" s="2">
        <v>0.0</v>
      </c>
      <c r="S6458" s="5">
        <f t="shared" si="8"/>
        <v>0</v>
      </c>
    </row>
    <row r="6459">
      <c r="A6459" s="2" t="s">
        <v>6457</v>
      </c>
      <c r="B6459" s="2">
        <v>2225.0</v>
      </c>
      <c r="C6459" s="2">
        <v>26238.0</v>
      </c>
      <c r="D6459" s="2">
        <v>9506.0</v>
      </c>
      <c r="E6459" s="3">
        <f t="shared" si="1"/>
        <v>0.3958689043</v>
      </c>
      <c r="F6459" s="2">
        <v>2775.0</v>
      </c>
      <c r="G6459" s="3">
        <f t="shared" si="2"/>
        <v>0.1155624037</v>
      </c>
      <c r="H6459" s="2">
        <v>5363.0</v>
      </c>
      <c r="I6459" s="3">
        <f t="shared" si="3"/>
        <v>0.2233373589</v>
      </c>
      <c r="J6459" s="2">
        <v>3911.0</v>
      </c>
      <c r="K6459" s="3">
        <f t="shared" si="4"/>
        <v>0.162870112</v>
      </c>
      <c r="L6459" s="2">
        <v>3196.0</v>
      </c>
      <c r="M6459" s="3">
        <f t="shared" si="5"/>
        <v>0.5959351109</v>
      </c>
      <c r="N6459" s="2">
        <v>2.9458E7</v>
      </c>
      <c r="O6459" s="4">
        <f t="shared" si="6"/>
        <v>5492.821182</v>
      </c>
      <c r="P6459" s="2">
        <v>5.0</v>
      </c>
      <c r="Q6459" s="3">
        <f t="shared" si="7"/>
        <v>0.002247191011</v>
      </c>
      <c r="R6459" s="2">
        <v>0.0</v>
      </c>
      <c r="S6459" s="5">
        <f t="shared" si="8"/>
        <v>0</v>
      </c>
    </row>
    <row r="6460">
      <c r="A6460" s="2" t="s">
        <v>6458</v>
      </c>
      <c r="B6460" s="2">
        <v>641.0</v>
      </c>
      <c r="C6460" s="2">
        <v>7607.0</v>
      </c>
      <c r="D6460" s="2">
        <v>2485.0</v>
      </c>
      <c r="E6460" s="3">
        <f t="shared" si="1"/>
        <v>0.3567327017</v>
      </c>
      <c r="F6460" s="2">
        <v>805.0</v>
      </c>
      <c r="G6460" s="3">
        <f t="shared" si="2"/>
        <v>0.1155612977</v>
      </c>
      <c r="H6460" s="2">
        <v>1415.0</v>
      </c>
      <c r="I6460" s="3">
        <f t="shared" si="3"/>
        <v>0.2031294861</v>
      </c>
      <c r="J6460" s="2">
        <v>973.0</v>
      </c>
      <c r="K6460" s="3">
        <f t="shared" si="4"/>
        <v>0.1396784381</v>
      </c>
      <c r="L6460" s="2">
        <v>857.0</v>
      </c>
      <c r="M6460" s="3">
        <f t="shared" si="5"/>
        <v>0.6056537102</v>
      </c>
      <c r="N6460" s="2">
        <v>7524100.0</v>
      </c>
      <c r="O6460" s="4">
        <f t="shared" si="6"/>
        <v>5317.385159</v>
      </c>
      <c r="P6460" s="2">
        <v>0.0</v>
      </c>
      <c r="Q6460" s="3">
        <f t="shared" si="7"/>
        <v>0</v>
      </c>
      <c r="R6460" s="2">
        <v>641.0</v>
      </c>
      <c r="S6460" s="5">
        <f t="shared" si="8"/>
        <v>1</v>
      </c>
    </row>
    <row r="6461">
      <c r="A6461" s="2" t="s">
        <v>6459</v>
      </c>
      <c r="B6461" s="2">
        <v>240.0</v>
      </c>
      <c r="C6461" s="2">
        <v>2862.0</v>
      </c>
      <c r="D6461" s="2">
        <v>1030.0</v>
      </c>
      <c r="E6461" s="3">
        <f t="shared" si="1"/>
        <v>0.3928299008</v>
      </c>
      <c r="F6461" s="2">
        <v>303.0</v>
      </c>
      <c r="G6461" s="3">
        <f t="shared" si="2"/>
        <v>0.1155606407</v>
      </c>
      <c r="H6461" s="2">
        <v>557.0</v>
      </c>
      <c r="I6461" s="3">
        <f t="shared" si="3"/>
        <v>0.2124332571</v>
      </c>
      <c r="J6461" s="2">
        <v>377.0</v>
      </c>
      <c r="K6461" s="3">
        <f t="shared" si="4"/>
        <v>0.1437833715</v>
      </c>
      <c r="L6461" s="2">
        <v>353.0</v>
      </c>
      <c r="M6461" s="3">
        <f t="shared" si="5"/>
        <v>0.6337522442</v>
      </c>
      <c r="N6461" s="2">
        <v>3075700.0</v>
      </c>
      <c r="O6461" s="4">
        <f t="shared" si="6"/>
        <v>5521.903052</v>
      </c>
      <c r="P6461" s="2">
        <v>0.0</v>
      </c>
      <c r="Q6461" s="3">
        <f t="shared" si="7"/>
        <v>0</v>
      </c>
      <c r="R6461" s="2">
        <v>240.0</v>
      </c>
      <c r="S6461" s="5">
        <f t="shared" si="8"/>
        <v>1</v>
      </c>
    </row>
    <row r="6462">
      <c r="A6462" s="2" t="s">
        <v>6460</v>
      </c>
      <c r="B6462" s="2">
        <v>122.0</v>
      </c>
      <c r="C6462" s="2">
        <v>1446.0</v>
      </c>
      <c r="D6462" s="2">
        <v>413.0</v>
      </c>
      <c r="E6462" s="3">
        <f t="shared" si="1"/>
        <v>0.3119335347</v>
      </c>
      <c r="F6462" s="2">
        <v>153.0</v>
      </c>
      <c r="G6462" s="3">
        <f t="shared" si="2"/>
        <v>0.1155589124</v>
      </c>
      <c r="H6462" s="2">
        <v>267.0</v>
      </c>
      <c r="I6462" s="3">
        <f t="shared" si="3"/>
        <v>0.2016616314</v>
      </c>
      <c r="J6462" s="2">
        <v>240.0</v>
      </c>
      <c r="K6462" s="3">
        <f t="shared" si="4"/>
        <v>0.1812688822</v>
      </c>
      <c r="L6462" s="2">
        <v>146.0</v>
      </c>
      <c r="M6462" s="3">
        <f t="shared" si="5"/>
        <v>0.5468164794</v>
      </c>
      <c r="N6462" s="2">
        <v>1536000.0</v>
      </c>
      <c r="O6462" s="4">
        <f t="shared" si="6"/>
        <v>5752.808989</v>
      </c>
      <c r="P6462" s="2">
        <v>0.0</v>
      </c>
      <c r="Q6462" s="3">
        <f t="shared" si="7"/>
        <v>0</v>
      </c>
      <c r="R6462" s="2">
        <v>122.0</v>
      </c>
      <c r="S6462" s="5">
        <f t="shared" si="8"/>
        <v>1</v>
      </c>
    </row>
    <row r="6463">
      <c r="A6463" s="2" t="s">
        <v>6461</v>
      </c>
      <c r="B6463" s="2">
        <v>1097.0</v>
      </c>
      <c r="C6463" s="2">
        <v>12936.0</v>
      </c>
      <c r="D6463" s="2">
        <v>3695.0</v>
      </c>
      <c r="E6463" s="3">
        <f t="shared" si="1"/>
        <v>0.3121040628</v>
      </c>
      <c r="F6463" s="2">
        <v>1368.0</v>
      </c>
      <c r="G6463" s="3">
        <f t="shared" si="2"/>
        <v>0.1155502999</v>
      </c>
      <c r="H6463" s="2">
        <v>2316.0</v>
      </c>
      <c r="I6463" s="3">
        <f t="shared" si="3"/>
        <v>0.1956246305</v>
      </c>
      <c r="J6463" s="2">
        <v>1982.0</v>
      </c>
      <c r="K6463" s="3">
        <f t="shared" si="4"/>
        <v>0.1674127882</v>
      </c>
      <c r="L6463" s="2">
        <v>1397.0</v>
      </c>
      <c r="M6463" s="3">
        <f t="shared" si="5"/>
        <v>0.6031951641</v>
      </c>
      <c r="N6463" s="2">
        <v>1.29721E7</v>
      </c>
      <c r="O6463" s="4">
        <f t="shared" si="6"/>
        <v>5601.079447</v>
      </c>
      <c r="P6463" s="2">
        <v>0.0</v>
      </c>
      <c r="Q6463" s="3">
        <f t="shared" si="7"/>
        <v>0</v>
      </c>
      <c r="R6463" s="2">
        <v>128.0</v>
      </c>
      <c r="S6463" s="5">
        <f t="shared" si="8"/>
        <v>0.1166818596</v>
      </c>
    </row>
    <row r="6464">
      <c r="A6464" s="2" t="s">
        <v>6462</v>
      </c>
      <c r="B6464" s="2">
        <v>997.0</v>
      </c>
      <c r="C6464" s="2">
        <v>11859.0</v>
      </c>
      <c r="D6464" s="2">
        <v>4120.0</v>
      </c>
      <c r="E6464" s="3">
        <f t="shared" si="1"/>
        <v>0.3793039956</v>
      </c>
      <c r="F6464" s="2">
        <v>1255.0</v>
      </c>
      <c r="G6464" s="3">
        <f t="shared" si="2"/>
        <v>0.1155404161</v>
      </c>
      <c r="H6464" s="2">
        <v>2239.0</v>
      </c>
      <c r="I6464" s="3">
        <f t="shared" si="3"/>
        <v>0.2061314675</v>
      </c>
      <c r="J6464" s="2">
        <v>1686.0</v>
      </c>
      <c r="K6464" s="3">
        <f t="shared" si="4"/>
        <v>0.1552200331</v>
      </c>
      <c r="L6464" s="2">
        <v>1347.0</v>
      </c>
      <c r="M6464" s="3">
        <f t="shared" si="5"/>
        <v>0.6016078607</v>
      </c>
      <c r="N6464" s="2">
        <v>1.20065E7</v>
      </c>
      <c r="O6464" s="4">
        <f t="shared" si="6"/>
        <v>5362.438589</v>
      </c>
      <c r="P6464" s="2">
        <v>1.0</v>
      </c>
      <c r="Q6464" s="3">
        <f t="shared" si="7"/>
        <v>0.001003009027</v>
      </c>
      <c r="R6464" s="2">
        <v>667.0</v>
      </c>
      <c r="S6464" s="5">
        <f t="shared" si="8"/>
        <v>0.6690070211</v>
      </c>
    </row>
    <row r="6465">
      <c r="A6465" s="2" t="s">
        <v>6463</v>
      </c>
      <c r="B6465" s="2">
        <v>161.0</v>
      </c>
      <c r="C6465" s="2">
        <v>1892.0</v>
      </c>
      <c r="D6465" s="2">
        <v>592.0</v>
      </c>
      <c r="E6465" s="3">
        <f t="shared" si="1"/>
        <v>0.3419988446</v>
      </c>
      <c r="F6465" s="2">
        <v>200.0</v>
      </c>
      <c r="G6465" s="3">
        <f t="shared" si="2"/>
        <v>0.1155401502</v>
      </c>
      <c r="H6465" s="2">
        <v>337.0</v>
      </c>
      <c r="I6465" s="3">
        <f t="shared" si="3"/>
        <v>0.1946851531</v>
      </c>
      <c r="J6465" s="2">
        <v>293.0</v>
      </c>
      <c r="K6465" s="3">
        <f t="shared" si="4"/>
        <v>0.16926632</v>
      </c>
      <c r="L6465" s="2">
        <v>213.0</v>
      </c>
      <c r="M6465" s="3">
        <f t="shared" si="5"/>
        <v>0.6320474777</v>
      </c>
      <c r="N6465" s="2">
        <v>1991500.0</v>
      </c>
      <c r="O6465" s="4">
        <f t="shared" si="6"/>
        <v>5909.495549</v>
      </c>
      <c r="P6465" s="2">
        <v>1.0</v>
      </c>
      <c r="Q6465" s="3">
        <f t="shared" si="7"/>
        <v>0.006211180124</v>
      </c>
      <c r="R6465" s="2">
        <v>161.0</v>
      </c>
      <c r="S6465" s="5">
        <f t="shared" si="8"/>
        <v>1</v>
      </c>
    </row>
    <row r="6466">
      <c r="A6466" s="2" t="s">
        <v>6464</v>
      </c>
      <c r="B6466" s="2">
        <v>575.0</v>
      </c>
      <c r="C6466" s="2">
        <v>6850.0</v>
      </c>
      <c r="D6466" s="2">
        <v>1792.0</v>
      </c>
      <c r="E6466" s="3">
        <f t="shared" si="1"/>
        <v>0.2855776892</v>
      </c>
      <c r="F6466" s="2">
        <v>725.0</v>
      </c>
      <c r="G6466" s="3">
        <f t="shared" si="2"/>
        <v>0.1155378486</v>
      </c>
      <c r="H6466" s="2">
        <v>1194.0</v>
      </c>
      <c r="I6466" s="3">
        <f t="shared" si="3"/>
        <v>0.1902788845</v>
      </c>
      <c r="J6466" s="2">
        <v>986.0</v>
      </c>
      <c r="K6466" s="3">
        <f t="shared" si="4"/>
        <v>0.1571314741</v>
      </c>
      <c r="L6466" s="2">
        <v>686.0</v>
      </c>
      <c r="M6466" s="3">
        <f t="shared" si="5"/>
        <v>0.5745393635</v>
      </c>
      <c r="N6466" s="2">
        <v>6842200.0</v>
      </c>
      <c r="O6466" s="4">
        <f t="shared" si="6"/>
        <v>5730.485762</v>
      </c>
      <c r="P6466" s="2">
        <v>1.0</v>
      </c>
      <c r="Q6466" s="3">
        <f t="shared" si="7"/>
        <v>0.001739130435</v>
      </c>
      <c r="R6466" s="2">
        <v>143.0</v>
      </c>
      <c r="S6466" s="5">
        <f t="shared" si="8"/>
        <v>0.2486956522</v>
      </c>
    </row>
    <row r="6467">
      <c r="A6467" s="2" t="s">
        <v>6465</v>
      </c>
      <c r="B6467" s="2">
        <v>164.0</v>
      </c>
      <c r="C6467" s="2">
        <v>1921.0</v>
      </c>
      <c r="D6467" s="2">
        <v>560.0</v>
      </c>
      <c r="E6467" s="3">
        <f t="shared" si="1"/>
        <v>0.3187250996</v>
      </c>
      <c r="F6467" s="2">
        <v>203.0</v>
      </c>
      <c r="G6467" s="3">
        <f t="shared" si="2"/>
        <v>0.1155378486</v>
      </c>
      <c r="H6467" s="2">
        <v>339.0</v>
      </c>
      <c r="I6467" s="3">
        <f t="shared" si="3"/>
        <v>0.1929425157</v>
      </c>
      <c r="J6467" s="2">
        <v>260.0</v>
      </c>
      <c r="K6467" s="3">
        <f t="shared" si="4"/>
        <v>0.1479795105</v>
      </c>
      <c r="L6467" s="2">
        <v>200.0</v>
      </c>
      <c r="M6467" s="3">
        <f t="shared" si="5"/>
        <v>0.5899705015</v>
      </c>
      <c r="N6467" s="2">
        <v>2002700.0</v>
      </c>
      <c r="O6467" s="4">
        <f t="shared" si="6"/>
        <v>5907.669617</v>
      </c>
      <c r="P6467" s="2">
        <v>0.0</v>
      </c>
      <c r="Q6467" s="3">
        <f t="shared" si="7"/>
        <v>0</v>
      </c>
      <c r="R6467" s="2">
        <v>164.0</v>
      </c>
      <c r="S6467" s="5">
        <f t="shared" si="8"/>
        <v>1</v>
      </c>
    </row>
    <row r="6468">
      <c r="A6468" s="2" t="s">
        <v>6466</v>
      </c>
      <c r="B6468" s="2">
        <v>133.0</v>
      </c>
      <c r="C6468" s="2">
        <v>1596.0</v>
      </c>
      <c r="D6468" s="2">
        <v>450.0</v>
      </c>
      <c r="E6468" s="3">
        <f t="shared" si="1"/>
        <v>0.3075871497</v>
      </c>
      <c r="F6468" s="2">
        <v>169.0</v>
      </c>
      <c r="G6468" s="3">
        <f t="shared" si="2"/>
        <v>0.1155160629</v>
      </c>
      <c r="H6468" s="2">
        <v>280.0</v>
      </c>
      <c r="I6468" s="3">
        <f t="shared" si="3"/>
        <v>0.1913875598</v>
      </c>
      <c r="J6468" s="2">
        <v>212.0</v>
      </c>
      <c r="K6468" s="3">
        <f t="shared" si="4"/>
        <v>0.1449077239</v>
      </c>
      <c r="L6468" s="2">
        <v>166.0</v>
      </c>
      <c r="M6468" s="3">
        <f t="shared" si="5"/>
        <v>0.5928571429</v>
      </c>
      <c r="N6468" s="2">
        <v>1620400.0</v>
      </c>
      <c r="O6468" s="4">
        <f t="shared" si="6"/>
        <v>5787.142857</v>
      </c>
      <c r="P6468" s="2">
        <v>0.0</v>
      </c>
      <c r="Q6468" s="3">
        <f t="shared" si="7"/>
        <v>0</v>
      </c>
      <c r="R6468" s="2">
        <v>133.0</v>
      </c>
      <c r="S6468" s="5">
        <f t="shared" si="8"/>
        <v>1</v>
      </c>
    </row>
    <row r="6469">
      <c r="A6469" s="2" t="s">
        <v>6467</v>
      </c>
      <c r="B6469" s="2">
        <v>532.0</v>
      </c>
      <c r="C6469" s="2">
        <v>6272.0</v>
      </c>
      <c r="D6469" s="2">
        <v>2416.0</v>
      </c>
      <c r="E6469" s="3">
        <f t="shared" si="1"/>
        <v>0.4209059233</v>
      </c>
      <c r="F6469" s="2">
        <v>663.0</v>
      </c>
      <c r="G6469" s="3">
        <f t="shared" si="2"/>
        <v>0.1155052265</v>
      </c>
      <c r="H6469" s="2">
        <v>1133.0</v>
      </c>
      <c r="I6469" s="3">
        <f t="shared" si="3"/>
        <v>0.1973867596</v>
      </c>
      <c r="J6469" s="2">
        <v>895.0</v>
      </c>
      <c r="K6469" s="3">
        <f t="shared" si="4"/>
        <v>0.1559233449</v>
      </c>
      <c r="L6469" s="2">
        <v>689.0</v>
      </c>
      <c r="M6469" s="3">
        <f t="shared" si="5"/>
        <v>0.6081200353</v>
      </c>
      <c r="N6469" s="2">
        <v>6226800.0</v>
      </c>
      <c r="O6469" s="4">
        <f t="shared" si="6"/>
        <v>5495.851721</v>
      </c>
      <c r="P6469" s="2">
        <v>0.0</v>
      </c>
      <c r="Q6469" s="3">
        <f t="shared" si="7"/>
        <v>0</v>
      </c>
      <c r="R6469" s="2">
        <v>0.0</v>
      </c>
      <c r="S6469" s="5">
        <f t="shared" si="8"/>
        <v>0</v>
      </c>
    </row>
    <row r="6470">
      <c r="A6470" s="2" t="s">
        <v>6468</v>
      </c>
      <c r="B6470" s="2">
        <v>176.0</v>
      </c>
      <c r="C6470" s="2">
        <v>2124.0</v>
      </c>
      <c r="D6470" s="2">
        <v>531.0</v>
      </c>
      <c r="E6470" s="3">
        <f t="shared" si="1"/>
        <v>0.272587269</v>
      </c>
      <c r="F6470" s="2">
        <v>225.0</v>
      </c>
      <c r="G6470" s="3">
        <f t="shared" si="2"/>
        <v>0.1155030801</v>
      </c>
      <c r="H6470" s="2">
        <v>349.0</v>
      </c>
      <c r="I6470" s="3">
        <f t="shared" si="3"/>
        <v>0.1791581109</v>
      </c>
      <c r="J6470" s="2">
        <v>328.0</v>
      </c>
      <c r="K6470" s="3">
        <f t="shared" si="4"/>
        <v>0.1683778234</v>
      </c>
      <c r="L6470" s="2">
        <v>226.0</v>
      </c>
      <c r="M6470" s="3">
        <f t="shared" si="5"/>
        <v>0.6475644699</v>
      </c>
      <c r="N6470" s="2">
        <v>1988200.0</v>
      </c>
      <c r="O6470" s="4">
        <f t="shared" si="6"/>
        <v>5696.848138</v>
      </c>
      <c r="P6470" s="2">
        <v>2.0</v>
      </c>
      <c r="Q6470" s="3">
        <f t="shared" si="7"/>
        <v>0.01136363636</v>
      </c>
      <c r="R6470" s="2">
        <v>176.0</v>
      </c>
      <c r="S6470" s="5">
        <f t="shared" si="8"/>
        <v>1</v>
      </c>
    </row>
    <row r="6471">
      <c r="A6471" s="2" t="s">
        <v>6469</v>
      </c>
      <c r="B6471" s="2">
        <v>2638.0</v>
      </c>
      <c r="C6471" s="2">
        <v>30694.0</v>
      </c>
      <c r="D6471" s="2">
        <v>10852.0</v>
      </c>
      <c r="E6471" s="3">
        <f t="shared" si="1"/>
        <v>0.3867978329</v>
      </c>
      <c r="F6471" s="2">
        <v>3240.0</v>
      </c>
      <c r="G6471" s="3">
        <f t="shared" si="2"/>
        <v>0.1154833191</v>
      </c>
      <c r="H6471" s="2">
        <v>5728.0</v>
      </c>
      <c r="I6471" s="3">
        <f t="shared" si="3"/>
        <v>0.2041631024</v>
      </c>
      <c r="J6471" s="2">
        <v>4245.0</v>
      </c>
      <c r="K6471" s="3">
        <f t="shared" si="4"/>
        <v>0.1513045338</v>
      </c>
      <c r="L6471" s="2">
        <v>3502.0</v>
      </c>
      <c r="M6471" s="3">
        <f t="shared" si="5"/>
        <v>0.6113826816</v>
      </c>
      <c r="N6471" s="2">
        <v>3.30845E7</v>
      </c>
      <c r="O6471" s="4">
        <f t="shared" si="6"/>
        <v>5775.925279</v>
      </c>
      <c r="P6471" s="2">
        <v>6.0</v>
      </c>
      <c r="Q6471" s="3">
        <f t="shared" si="7"/>
        <v>0.002274450341</v>
      </c>
      <c r="R6471" s="2">
        <v>438.0</v>
      </c>
      <c r="S6471" s="5">
        <f t="shared" si="8"/>
        <v>0.1660348749</v>
      </c>
    </row>
    <row r="6472">
      <c r="A6472" s="2" t="s">
        <v>6470</v>
      </c>
      <c r="B6472" s="2">
        <v>142.0</v>
      </c>
      <c r="C6472" s="2">
        <v>1718.0</v>
      </c>
      <c r="D6472" s="2">
        <v>507.0</v>
      </c>
      <c r="E6472" s="3">
        <f t="shared" si="1"/>
        <v>0.3217005076</v>
      </c>
      <c r="F6472" s="2">
        <v>182.0</v>
      </c>
      <c r="G6472" s="3">
        <f t="shared" si="2"/>
        <v>0.1154822335</v>
      </c>
      <c r="H6472" s="2">
        <v>301.0</v>
      </c>
      <c r="I6472" s="3">
        <f t="shared" si="3"/>
        <v>0.1909898477</v>
      </c>
      <c r="J6472" s="2">
        <v>211.0</v>
      </c>
      <c r="K6472" s="3">
        <f t="shared" si="4"/>
        <v>0.1338832487</v>
      </c>
      <c r="L6472" s="2">
        <v>188.0</v>
      </c>
      <c r="M6472" s="3">
        <f t="shared" si="5"/>
        <v>0.6245847176</v>
      </c>
      <c r="N6472" s="2">
        <v>1610800.0</v>
      </c>
      <c r="O6472" s="4">
        <f t="shared" si="6"/>
        <v>5351.495017</v>
      </c>
      <c r="P6472" s="2">
        <v>0.0</v>
      </c>
      <c r="Q6472" s="3">
        <f t="shared" si="7"/>
        <v>0</v>
      </c>
      <c r="R6472" s="2">
        <v>142.0</v>
      </c>
      <c r="S6472" s="5">
        <f t="shared" si="8"/>
        <v>1</v>
      </c>
    </row>
    <row r="6473">
      <c r="A6473" s="2" t="s">
        <v>6471</v>
      </c>
      <c r="B6473" s="2">
        <v>187.0</v>
      </c>
      <c r="C6473" s="2">
        <v>2179.0</v>
      </c>
      <c r="D6473" s="2">
        <v>581.0</v>
      </c>
      <c r="E6473" s="3">
        <f t="shared" si="1"/>
        <v>0.2916666667</v>
      </c>
      <c r="F6473" s="2">
        <v>230.0</v>
      </c>
      <c r="G6473" s="3">
        <f t="shared" si="2"/>
        <v>0.1154618474</v>
      </c>
      <c r="H6473" s="2">
        <v>365.0</v>
      </c>
      <c r="I6473" s="3">
        <f t="shared" si="3"/>
        <v>0.1832329317</v>
      </c>
      <c r="J6473" s="2">
        <v>293.0</v>
      </c>
      <c r="K6473" s="3">
        <f t="shared" si="4"/>
        <v>0.1470883534</v>
      </c>
      <c r="L6473" s="2">
        <v>223.0</v>
      </c>
      <c r="M6473" s="3">
        <f t="shared" si="5"/>
        <v>0.6109589041</v>
      </c>
      <c r="N6473" s="2">
        <v>2059300.0</v>
      </c>
      <c r="O6473" s="4">
        <f t="shared" si="6"/>
        <v>5641.917808</v>
      </c>
      <c r="P6473" s="2">
        <v>0.0</v>
      </c>
      <c r="Q6473" s="3">
        <f t="shared" si="7"/>
        <v>0</v>
      </c>
      <c r="R6473" s="2">
        <v>187.0</v>
      </c>
      <c r="S6473" s="5">
        <f t="shared" si="8"/>
        <v>1</v>
      </c>
    </row>
    <row r="6474">
      <c r="A6474" s="2">
        <v>1309.0</v>
      </c>
      <c r="B6474" s="2">
        <v>316.0</v>
      </c>
      <c r="C6474" s="2">
        <v>3815.0</v>
      </c>
      <c r="D6474" s="2">
        <v>1288.0</v>
      </c>
      <c r="E6474" s="3">
        <f t="shared" si="1"/>
        <v>0.3681051729</v>
      </c>
      <c r="F6474" s="2">
        <v>404.0</v>
      </c>
      <c r="G6474" s="3">
        <f t="shared" si="2"/>
        <v>0.1154615604</v>
      </c>
      <c r="H6474" s="2">
        <v>735.0</v>
      </c>
      <c r="I6474" s="3">
        <f t="shared" si="3"/>
        <v>0.2100600171</v>
      </c>
      <c r="J6474" s="2">
        <v>553.0</v>
      </c>
      <c r="K6474" s="3">
        <f t="shared" si="4"/>
        <v>0.1580451558</v>
      </c>
      <c r="L6474" s="2">
        <v>437.0</v>
      </c>
      <c r="M6474" s="3">
        <f t="shared" si="5"/>
        <v>0.5945578231</v>
      </c>
      <c r="N6474" s="2">
        <v>3723700.0</v>
      </c>
      <c r="O6474" s="4">
        <f t="shared" si="6"/>
        <v>5066.258503</v>
      </c>
      <c r="P6474" s="2">
        <v>0.0</v>
      </c>
      <c r="Q6474" s="3">
        <f t="shared" si="7"/>
        <v>0</v>
      </c>
      <c r="R6474" s="2">
        <v>290.0</v>
      </c>
      <c r="S6474" s="5">
        <f t="shared" si="8"/>
        <v>0.917721519</v>
      </c>
    </row>
    <row r="6475">
      <c r="A6475" s="2" t="s">
        <v>6472</v>
      </c>
      <c r="B6475" s="2">
        <v>46.0</v>
      </c>
      <c r="C6475" s="2">
        <v>557.0</v>
      </c>
      <c r="D6475" s="2">
        <v>151.0</v>
      </c>
      <c r="E6475" s="3">
        <f t="shared" si="1"/>
        <v>0.2954990215</v>
      </c>
      <c r="F6475" s="2">
        <v>59.0</v>
      </c>
      <c r="G6475" s="3">
        <f t="shared" si="2"/>
        <v>0.1154598826</v>
      </c>
      <c r="H6475" s="2">
        <v>108.0</v>
      </c>
      <c r="I6475" s="3">
        <f t="shared" si="3"/>
        <v>0.2113502935</v>
      </c>
      <c r="J6475" s="2">
        <v>96.0</v>
      </c>
      <c r="K6475" s="3">
        <f t="shared" si="4"/>
        <v>0.1878669276</v>
      </c>
      <c r="L6475" s="2">
        <v>55.0</v>
      </c>
      <c r="M6475" s="3">
        <f t="shared" si="5"/>
        <v>0.5092592593</v>
      </c>
      <c r="N6475" s="2">
        <v>594300.0</v>
      </c>
      <c r="O6475" s="4">
        <f t="shared" si="6"/>
        <v>5502.777778</v>
      </c>
      <c r="P6475" s="2">
        <v>0.0</v>
      </c>
      <c r="Q6475" s="3">
        <f t="shared" si="7"/>
        <v>0</v>
      </c>
      <c r="R6475" s="2">
        <v>46.0</v>
      </c>
      <c r="S6475" s="5">
        <f t="shared" si="8"/>
        <v>1</v>
      </c>
    </row>
    <row r="6476">
      <c r="A6476" s="2" t="s">
        <v>6473</v>
      </c>
      <c r="B6476" s="2">
        <v>299.0</v>
      </c>
      <c r="C6476" s="2">
        <v>3469.0</v>
      </c>
      <c r="D6476" s="2">
        <v>1167.0</v>
      </c>
      <c r="E6476" s="3">
        <f t="shared" si="1"/>
        <v>0.3681388013</v>
      </c>
      <c r="F6476" s="2">
        <v>366.0</v>
      </c>
      <c r="G6476" s="3">
        <f t="shared" si="2"/>
        <v>0.1154574132</v>
      </c>
      <c r="H6476" s="2">
        <v>678.0</v>
      </c>
      <c r="I6476" s="3">
        <f t="shared" si="3"/>
        <v>0.2138801262</v>
      </c>
      <c r="J6476" s="2">
        <v>605.0</v>
      </c>
      <c r="K6476" s="3">
        <f t="shared" si="4"/>
        <v>0.190851735</v>
      </c>
      <c r="L6476" s="2">
        <v>417.0</v>
      </c>
      <c r="M6476" s="3">
        <f t="shared" si="5"/>
        <v>0.6150442478</v>
      </c>
      <c r="N6476" s="2">
        <v>3710500.0</v>
      </c>
      <c r="O6476" s="4">
        <f t="shared" si="6"/>
        <v>5472.713864</v>
      </c>
      <c r="P6476" s="2">
        <v>0.0</v>
      </c>
      <c r="Q6476" s="3">
        <f t="shared" si="7"/>
        <v>0</v>
      </c>
      <c r="R6476" s="2">
        <v>299.0</v>
      </c>
      <c r="S6476" s="5">
        <f t="shared" si="8"/>
        <v>1</v>
      </c>
    </row>
    <row r="6477">
      <c r="A6477" s="2" t="s">
        <v>6474</v>
      </c>
      <c r="B6477" s="2">
        <v>147.0</v>
      </c>
      <c r="C6477" s="2">
        <v>1732.0</v>
      </c>
      <c r="D6477" s="2">
        <v>507.0</v>
      </c>
      <c r="E6477" s="3">
        <f t="shared" si="1"/>
        <v>0.319873817</v>
      </c>
      <c r="F6477" s="2">
        <v>183.0</v>
      </c>
      <c r="G6477" s="3">
        <f t="shared" si="2"/>
        <v>0.1154574132</v>
      </c>
      <c r="H6477" s="2">
        <v>299.0</v>
      </c>
      <c r="I6477" s="3">
        <f t="shared" si="3"/>
        <v>0.1886435331</v>
      </c>
      <c r="J6477" s="2">
        <v>229.0</v>
      </c>
      <c r="K6477" s="3">
        <f t="shared" si="4"/>
        <v>0.1444794953</v>
      </c>
      <c r="L6477" s="2">
        <v>177.0</v>
      </c>
      <c r="M6477" s="3">
        <f t="shared" si="5"/>
        <v>0.5919732441</v>
      </c>
      <c r="N6477" s="2">
        <v>1647200.0</v>
      </c>
      <c r="O6477" s="4">
        <f t="shared" si="6"/>
        <v>5509.0301</v>
      </c>
      <c r="P6477" s="2">
        <v>1.0</v>
      </c>
      <c r="Q6477" s="3">
        <f t="shared" si="7"/>
        <v>0.006802721088</v>
      </c>
      <c r="R6477" s="2">
        <v>147.0</v>
      </c>
      <c r="S6477" s="5">
        <f t="shared" si="8"/>
        <v>1</v>
      </c>
    </row>
    <row r="6478">
      <c r="A6478" s="2" t="s">
        <v>6475</v>
      </c>
      <c r="B6478" s="2">
        <v>764.0</v>
      </c>
      <c r="C6478" s="2">
        <v>9053.0</v>
      </c>
      <c r="D6478" s="2">
        <v>2221.0</v>
      </c>
      <c r="E6478" s="3">
        <f t="shared" si="1"/>
        <v>0.2679454699</v>
      </c>
      <c r="F6478" s="2">
        <v>957.0</v>
      </c>
      <c r="G6478" s="3">
        <f t="shared" si="2"/>
        <v>0.1154542164</v>
      </c>
      <c r="H6478" s="2">
        <v>1583.0</v>
      </c>
      <c r="I6478" s="3">
        <f t="shared" si="3"/>
        <v>0.1909759923</v>
      </c>
      <c r="J6478" s="2">
        <v>1468.0</v>
      </c>
      <c r="K6478" s="3">
        <f t="shared" si="4"/>
        <v>0.1771021836</v>
      </c>
      <c r="L6478" s="2">
        <v>924.0</v>
      </c>
      <c r="M6478" s="3">
        <f t="shared" si="5"/>
        <v>0.583701832</v>
      </c>
      <c r="N6478" s="2">
        <v>9611600.0</v>
      </c>
      <c r="O6478" s="4">
        <f t="shared" si="6"/>
        <v>6071.762476</v>
      </c>
      <c r="P6478" s="2">
        <v>3.0</v>
      </c>
      <c r="Q6478" s="3">
        <f t="shared" si="7"/>
        <v>0.003926701571</v>
      </c>
      <c r="R6478" s="2">
        <v>764.0</v>
      </c>
      <c r="S6478" s="5">
        <f t="shared" si="8"/>
        <v>1</v>
      </c>
    </row>
    <row r="6479">
      <c r="A6479" s="2" t="s">
        <v>6476</v>
      </c>
      <c r="B6479" s="2">
        <v>524.0</v>
      </c>
      <c r="C6479" s="2">
        <v>6267.0</v>
      </c>
      <c r="D6479" s="2">
        <v>2242.0</v>
      </c>
      <c r="E6479" s="3">
        <f t="shared" si="1"/>
        <v>0.3903882988</v>
      </c>
      <c r="F6479" s="2">
        <v>663.0</v>
      </c>
      <c r="G6479" s="3">
        <f t="shared" si="2"/>
        <v>0.1154448894</v>
      </c>
      <c r="H6479" s="2">
        <v>1124.0</v>
      </c>
      <c r="I6479" s="3">
        <f t="shared" si="3"/>
        <v>0.1957165245</v>
      </c>
      <c r="J6479" s="2">
        <v>766.0</v>
      </c>
      <c r="K6479" s="3">
        <f t="shared" si="4"/>
        <v>0.1333797667</v>
      </c>
      <c r="L6479" s="2">
        <v>694.0</v>
      </c>
      <c r="M6479" s="3">
        <f t="shared" si="5"/>
        <v>0.6174377224</v>
      </c>
      <c r="N6479" s="2">
        <v>6183000.0</v>
      </c>
      <c r="O6479" s="4">
        <f t="shared" si="6"/>
        <v>5500.88968</v>
      </c>
      <c r="P6479" s="2">
        <v>0.0</v>
      </c>
      <c r="Q6479" s="3">
        <f t="shared" si="7"/>
        <v>0</v>
      </c>
      <c r="R6479" s="2">
        <v>0.0</v>
      </c>
      <c r="S6479" s="5">
        <f t="shared" si="8"/>
        <v>0</v>
      </c>
    </row>
    <row r="6480">
      <c r="A6480" s="2" t="s">
        <v>6477</v>
      </c>
      <c r="B6480" s="2">
        <v>118.0</v>
      </c>
      <c r="C6480" s="2">
        <v>1400.0</v>
      </c>
      <c r="D6480" s="2">
        <v>349.0</v>
      </c>
      <c r="E6480" s="3">
        <f t="shared" si="1"/>
        <v>0.2722308892</v>
      </c>
      <c r="F6480" s="2">
        <v>148.0</v>
      </c>
      <c r="G6480" s="3">
        <f t="shared" si="2"/>
        <v>0.1154446178</v>
      </c>
      <c r="H6480" s="2">
        <v>244.0</v>
      </c>
      <c r="I6480" s="3">
        <f t="shared" si="3"/>
        <v>0.1903276131</v>
      </c>
      <c r="J6480" s="2">
        <v>160.0</v>
      </c>
      <c r="K6480" s="3">
        <f t="shared" si="4"/>
        <v>0.1248049922</v>
      </c>
      <c r="L6480" s="2">
        <v>155.0</v>
      </c>
      <c r="M6480" s="3">
        <f t="shared" si="5"/>
        <v>0.6352459016</v>
      </c>
      <c r="N6480" s="2">
        <v>1175600.0</v>
      </c>
      <c r="O6480" s="4">
        <f t="shared" si="6"/>
        <v>4818.032787</v>
      </c>
      <c r="P6480" s="2">
        <v>0.0</v>
      </c>
      <c r="Q6480" s="3">
        <f t="shared" si="7"/>
        <v>0</v>
      </c>
      <c r="R6480" s="2">
        <v>118.0</v>
      </c>
      <c r="S6480" s="5">
        <f t="shared" si="8"/>
        <v>1</v>
      </c>
    </row>
    <row r="6481">
      <c r="A6481" s="2" t="s">
        <v>6478</v>
      </c>
      <c r="B6481" s="2">
        <v>1578.0</v>
      </c>
      <c r="C6481" s="2">
        <v>18498.0</v>
      </c>
      <c r="D6481" s="2">
        <v>5650.0</v>
      </c>
      <c r="E6481" s="3">
        <f t="shared" si="1"/>
        <v>0.3339243499</v>
      </c>
      <c r="F6481" s="2">
        <v>1953.0</v>
      </c>
      <c r="G6481" s="3">
        <f t="shared" si="2"/>
        <v>0.1154255319</v>
      </c>
      <c r="H6481" s="2">
        <v>3426.0</v>
      </c>
      <c r="I6481" s="3">
        <f t="shared" si="3"/>
        <v>0.2024822695</v>
      </c>
      <c r="J6481" s="2">
        <v>2796.0</v>
      </c>
      <c r="K6481" s="3">
        <f t="shared" si="4"/>
        <v>0.165248227</v>
      </c>
      <c r="L6481" s="2">
        <v>2047.0</v>
      </c>
      <c r="M6481" s="3">
        <f t="shared" si="5"/>
        <v>0.597489784</v>
      </c>
      <c r="N6481" s="2">
        <v>1.92738E7</v>
      </c>
      <c r="O6481" s="4">
        <f t="shared" si="6"/>
        <v>5625.744308</v>
      </c>
      <c r="P6481" s="2">
        <v>2.0</v>
      </c>
      <c r="Q6481" s="3">
        <f t="shared" si="7"/>
        <v>0.001267427123</v>
      </c>
      <c r="R6481" s="2">
        <v>1578.0</v>
      </c>
      <c r="S6481" s="5">
        <f t="shared" si="8"/>
        <v>1</v>
      </c>
    </row>
    <row r="6482">
      <c r="A6482" s="2" t="s">
        <v>6479</v>
      </c>
      <c r="B6482" s="2">
        <v>1351.0</v>
      </c>
      <c r="C6482" s="2">
        <v>15675.0</v>
      </c>
      <c r="D6482" s="2">
        <v>4844.0</v>
      </c>
      <c r="E6482" s="3">
        <f t="shared" si="1"/>
        <v>0.3381736945</v>
      </c>
      <c r="F6482" s="2">
        <v>1653.0</v>
      </c>
      <c r="G6482" s="3">
        <f t="shared" si="2"/>
        <v>0.1154007261</v>
      </c>
      <c r="H6482" s="2">
        <v>3115.0</v>
      </c>
      <c r="I6482" s="3">
        <f t="shared" si="3"/>
        <v>0.2174671879</v>
      </c>
      <c r="J6482" s="2">
        <v>2533.0</v>
      </c>
      <c r="K6482" s="3">
        <f t="shared" si="4"/>
        <v>0.1768360793</v>
      </c>
      <c r="L6482" s="2">
        <v>1825.0</v>
      </c>
      <c r="M6482" s="3">
        <f t="shared" si="5"/>
        <v>0.5858747994</v>
      </c>
      <c r="N6482" s="2">
        <v>1.73752E7</v>
      </c>
      <c r="O6482" s="4">
        <f t="shared" si="6"/>
        <v>5577.913323</v>
      </c>
      <c r="P6482" s="2">
        <v>3.0</v>
      </c>
      <c r="Q6482" s="3">
        <f t="shared" si="7"/>
        <v>0.00222057735</v>
      </c>
      <c r="R6482" s="2">
        <v>1351.0</v>
      </c>
      <c r="S6482" s="5">
        <f t="shared" si="8"/>
        <v>1</v>
      </c>
    </row>
    <row r="6483">
      <c r="A6483" s="2" t="s">
        <v>6480</v>
      </c>
      <c r="B6483" s="2">
        <v>901.0</v>
      </c>
      <c r="C6483" s="2">
        <v>10797.0</v>
      </c>
      <c r="D6483" s="2">
        <v>3540.0</v>
      </c>
      <c r="E6483" s="3">
        <f t="shared" si="1"/>
        <v>0.357720291</v>
      </c>
      <c r="F6483" s="2">
        <v>1142.0</v>
      </c>
      <c r="G6483" s="3">
        <f t="shared" si="2"/>
        <v>0.1154001617</v>
      </c>
      <c r="H6483" s="2">
        <v>2051.0</v>
      </c>
      <c r="I6483" s="3">
        <f t="shared" si="3"/>
        <v>0.2072554568</v>
      </c>
      <c r="J6483" s="2">
        <v>1660.0</v>
      </c>
      <c r="K6483" s="3">
        <f t="shared" si="4"/>
        <v>0.1677445432</v>
      </c>
      <c r="L6483" s="2">
        <v>1197.0</v>
      </c>
      <c r="M6483" s="3">
        <f t="shared" si="5"/>
        <v>0.5836177474</v>
      </c>
      <c r="N6483" s="2">
        <v>1.1341E7</v>
      </c>
      <c r="O6483" s="4">
        <f t="shared" si="6"/>
        <v>5529.497806</v>
      </c>
      <c r="P6483" s="2">
        <v>2.0</v>
      </c>
      <c r="Q6483" s="3">
        <f t="shared" si="7"/>
        <v>0.002219755827</v>
      </c>
      <c r="R6483" s="2">
        <v>11.0</v>
      </c>
      <c r="S6483" s="5">
        <f t="shared" si="8"/>
        <v>0.01220865705</v>
      </c>
    </row>
    <row r="6484">
      <c r="A6484" s="2" t="s">
        <v>6481</v>
      </c>
      <c r="B6484" s="2">
        <v>2568.0</v>
      </c>
      <c r="C6484" s="2">
        <v>29934.0</v>
      </c>
      <c r="D6484" s="2">
        <v>10072.0</v>
      </c>
      <c r="E6484" s="3">
        <f t="shared" si="1"/>
        <v>0.3680479427</v>
      </c>
      <c r="F6484" s="2">
        <v>3158.0</v>
      </c>
      <c r="G6484" s="3">
        <f t="shared" si="2"/>
        <v>0.1153986699</v>
      </c>
      <c r="H6484" s="2">
        <v>5279.0</v>
      </c>
      <c r="I6484" s="3">
        <f t="shared" si="3"/>
        <v>0.192903603</v>
      </c>
      <c r="J6484" s="2">
        <v>3919.0</v>
      </c>
      <c r="K6484" s="3">
        <f t="shared" si="4"/>
        <v>0.1432068991</v>
      </c>
      <c r="L6484" s="2">
        <v>3164.0</v>
      </c>
      <c r="M6484" s="3">
        <f t="shared" si="5"/>
        <v>0.5993559386</v>
      </c>
      <c r="N6484" s="2">
        <v>3.29588E7</v>
      </c>
      <c r="O6484" s="4">
        <f t="shared" si="6"/>
        <v>6243.379428</v>
      </c>
      <c r="P6484" s="2">
        <v>13.0</v>
      </c>
      <c r="Q6484" s="3">
        <f t="shared" si="7"/>
        <v>0.005062305296</v>
      </c>
      <c r="R6484" s="2">
        <v>2533.0</v>
      </c>
      <c r="S6484" s="5">
        <f t="shared" si="8"/>
        <v>0.9863707165</v>
      </c>
    </row>
    <row r="6485">
      <c r="A6485" s="2" t="s">
        <v>6482</v>
      </c>
      <c r="B6485" s="2">
        <v>1280.0</v>
      </c>
      <c r="C6485" s="2">
        <v>15007.0</v>
      </c>
      <c r="D6485" s="2">
        <v>4943.0</v>
      </c>
      <c r="E6485" s="3">
        <f t="shared" si="1"/>
        <v>0.3600932469</v>
      </c>
      <c r="F6485" s="2">
        <v>1584.0</v>
      </c>
      <c r="G6485" s="3">
        <f t="shared" si="2"/>
        <v>0.1153930211</v>
      </c>
      <c r="H6485" s="2">
        <v>2796.0</v>
      </c>
      <c r="I6485" s="3">
        <f t="shared" si="3"/>
        <v>0.203686166</v>
      </c>
      <c r="J6485" s="2">
        <v>2213.0</v>
      </c>
      <c r="K6485" s="3">
        <f t="shared" si="4"/>
        <v>0.1612151235</v>
      </c>
      <c r="L6485" s="2">
        <v>1613.0</v>
      </c>
      <c r="M6485" s="3">
        <f t="shared" si="5"/>
        <v>0.5768955651</v>
      </c>
      <c r="N6485" s="2">
        <v>1.59632E7</v>
      </c>
      <c r="O6485" s="4">
        <f t="shared" si="6"/>
        <v>5709.298999</v>
      </c>
      <c r="P6485" s="2">
        <v>3.0</v>
      </c>
      <c r="Q6485" s="3">
        <f t="shared" si="7"/>
        <v>0.00234375</v>
      </c>
      <c r="R6485" s="2">
        <v>1280.0</v>
      </c>
      <c r="S6485" s="5">
        <f t="shared" si="8"/>
        <v>1</v>
      </c>
    </row>
    <row r="6486">
      <c r="A6486" s="2" t="s">
        <v>6483</v>
      </c>
      <c r="B6486" s="2">
        <v>2534.0</v>
      </c>
      <c r="C6486" s="2">
        <v>29729.0</v>
      </c>
      <c r="D6486" s="2">
        <v>8426.0</v>
      </c>
      <c r="E6486" s="3">
        <f t="shared" si="1"/>
        <v>0.309836367</v>
      </c>
      <c r="F6486" s="2">
        <v>3138.0</v>
      </c>
      <c r="G6486" s="3">
        <f t="shared" si="2"/>
        <v>0.1153888582</v>
      </c>
      <c r="H6486" s="2">
        <v>5822.0</v>
      </c>
      <c r="I6486" s="3">
        <f t="shared" si="3"/>
        <v>0.2140834712</v>
      </c>
      <c r="J6486" s="2">
        <v>5070.0</v>
      </c>
      <c r="K6486" s="3">
        <f t="shared" si="4"/>
        <v>0.1864313293</v>
      </c>
      <c r="L6486" s="2">
        <v>3462.0</v>
      </c>
      <c r="M6486" s="3">
        <f t="shared" si="5"/>
        <v>0.5946410168</v>
      </c>
      <c r="N6486" s="2">
        <v>3.27641E7</v>
      </c>
      <c r="O6486" s="4">
        <f t="shared" si="6"/>
        <v>5627.636551</v>
      </c>
      <c r="P6486" s="2">
        <v>8.0</v>
      </c>
      <c r="Q6486" s="3">
        <f t="shared" si="7"/>
        <v>0.003157063931</v>
      </c>
      <c r="R6486" s="2">
        <v>2534.0</v>
      </c>
      <c r="S6486" s="5">
        <f t="shared" si="8"/>
        <v>1</v>
      </c>
    </row>
    <row r="6487">
      <c r="A6487" s="2" t="s">
        <v>6484</v>
      </c>
      <c r="B6487" s="2">
        <v>22.0</v>
      </c>
      <c r="C6487" s="2">
        <v>256.0</v>
      </c>
      <c r="D6487" s="2">
        <v>86.0</v>
      </c>
      <c r="E6487" s="3">
        <f t="shared" si="1"/>
        <v>0.3675213675</v>
      </c>
      <c r="F6487" s="2">
        <v>27.0</v>
      </c>
      <c r="G6487" s="3">
        <f t="shared" si="2"/>
        <v>0.1153846154</v>
      </c>
      <c r="H6487" s="2">
        <v>45.0</v>
      </c>
      <c r="I6487" s="3">
        <f t="shared" si="3"/>
        <v>0.1923076923</v>
      </c>
      <c r="J6487" s="2">
        <v>48.0</v>
      </c>
      <c r="K6487" s="3">
        <f t="shared" si="4"/>
        <v>0.2051282051</v>
      </c>
      <c r="L6487" s="2">
        <v>26.0</v>
      </c>
      <c r="M6487" s="3">
        <f t="shared" si="5"/>
        <v>0.5777777778</v>
      </c>
      <c r="N6487" s="2">
        <v>230900.0</v>
      </c>
      <c r="O6487" s="4">
        <f t="shared" si="6"/>
        <v>5131.111111</v>
      </c>
      <c r="P6487" s="2">
        <v>0.0</v>
      </c>
      <c r="Q6487" s="3">
        <f t="shared" si="7"/>
        <v>0</v>
      </c>
      <c r="R6487" s="2">
        <v>13.0</v>
      </c>
      <c r="S6487" s="5">
        <f t="shared" si="8"/>
        <v>0.5909090909</v>
      </c>
    </row>
    <row r="6488">
      <c r="A6488" s="2" t="s">
        <v>6485</v>
      </c>
      <c r="B6488" s="2">
        <v>2.0</v>
      </c>
      <c r="C6488" s="2">
        <v>28.0</v>
      </c>
      <c r="D6488" s="2">
        <v>3.0</v>
      </c>
      <c r="E6488" s="3">
        <f t="shared" si="1"/>
        <v>0.1153846154</v>
      </c>
      <c r="F6488" s="2">
        <v>3.0</v>
      </c>
      <c r="G6488" s="3">
        <f t="shared" si="2"/>
        <v>0.1153846154</v>
      </c>
      <c r="H6488" s="2">
        <v>6.0</v>
      </c>
      <c r="I6488" s="3">
        <f t="shared" si="3"/>
        <v>0.2307692308</v>
      </c>
      <c r="J6488" s="2">
        <v>5.0</v>
      </c>
      <c r="K6488" s="3">
        <f t="shared" si="4"/>
        <v>0.1923076923</v>
      </c>
      <c r="L6488" s="2">
        <v>3.0</v>
      </c>
      <c r="M6488" s="3">
        <f t="shared" si="5"/>
        <v>0.5</v>
      </c>
      <c r="N6488" s="2">
        <v>37400.0</v>
      </c>
      <c r="O6488" s="4">
        <f t="shared" si="6"/>
        <v>6233.333333</v>
      </c>
      <c r="P6488" s="2">
        <v>0.0</v>
      </c>
      <c r="Q6488" s="3">
        <f t="shared" si="7"/>
        <v>0</v>
      </c>
      <c r="R6488" s="2">
        <v>2.0</v>
      </c>
      <c r="S6488" s="5">
        <f t="shared" si="8"/>
        <v>1</v>
      </c>
    </row>
    <row r="6489">
      <c r="A6489" s="2" t="s">
        <v>6486</v>
      </c>
      <c r="B6489" s="2">
        <v>87.0</v>
      </c>
      <c r="C6489" s="2">
        <v>1023.0</v>
      </c>
      <c r="D6489" s="2">
        <v>317.0</v>
      </c>
      <c r="E6489" s="3">
        <f t="shared" si="1"/>
        <v>0.3386752137</v>
      </c>
      <c r="F6489" s="2">
        <v>108.0</v>
      </c>
      <c r="G6489" s="3">
        <f t="shared" si="2"/>
        <v>0.1153846154</v>
      </c>
      <c r="H6489" s="2">
        <v>189.0</v>
      </c>
      <c r="I6489" s="3">
        <f t="shared" si="3"/>
        <v>0.2019230769</v>
      </c>
      <c r="J6489" s="2">
        <v>157.0</v>
      </c>
      <c r="K6489" s="3">
        <f t="shared" si="4"/>
        <v>0.1677350427</v>
      </c>
      <c r="L6489" s="2">
        <v>114.0</v>
      </c>
      <c r="M6489" s="3">
        <f t="shared" si="5"/>
        <v>0.6031746032</v>
      </c>
      <c r="N6489" s="2">
        <v>1024300.0</v>
      </c>
      <c r="O6489" s="4">
        <f t="shared" si="6"/>
        <v>5419.57672</v>
      </c>
      <c r="P6489" s="2">
        <v>0.0</v>
      </c>
      <c r="Q6489" s="3">
        <f t="shared" si="7"/>
        <v>0</v>
      </c>
      <c r="R6489" s="2">
        <v>87.0</v>
      </c>
      <c r="S6489" s="5">
        <f t="shared" si="8"/>
        <v>1</v>
      </c>
    </row>
    <row r="6490">
      <c r="A6490" s="2" t="s">
        <v>6487</v>
      </c>
      <c r="B6490" s="2">
        <v>22.0</v>
      </c>
      <c r="C6490" s="2">
        <v>256.0</v>
      </c>
      <c r="D6490" s="2">
        <v>87.0</v>
      </c>
      <c r="E6490" s="3">
        <f t="shared" si="1"/>
        <v>0.3717948718</v>
      </c>
      <c r="F6490" s="2">
        <v>27.0</v>
      </c>
      <c r="G6490" s="3">
        <f t="shared" si="2"/>
        <v>0.1153846154</v>
      </c>
      <c r="H6490" s="2">
        <v>40.0</v>
      </c>
      <c r="I6490" s="3">
        <f t="shared" si="3"/>
        <v>0.1709401709</v>
      </c>
      <c r="J6490" s="2">
        <v>35.0</v>
      </c>
      <c r="K6490" s="3">
        <f t="shared" si="4"/>
        <v>0.1495726496</v>
      </c>
      <c r="L6490" s="2">
        <v>26.0</v>
      </c>
      <c r="M6490" s="3">
        <f t="shared" si="5"/>
        <v>0.65</v>
      </c>
      <c r="N6490" s="2">
        <v>251300.0</v>
      </c>
      <c r="O6490" s="4">
        <f t="shared" si="6"/>
        <v>6282.5</v>
      </c>
      <c r="P6490" s="2">
        <v>0.0</v>
      </c>
      <c r="Q6490" s="3">
        <f t="shared" si="7"/>
        <v>0</v>
      </c>
      <c r="R6490" s="2">
        <v>22.0</v>
      </c>
      <c r="S6490" s="5">
        <f t="shared" si="8"/>
        <v>1</v>
      </c>
    </row>
    <row r="6491">
      <c r="A6491" s="2" t="s">
        <v>6488</v>
      </c>
      <c r="B6491" s="2">
        <v>240.0</v>
      </c>
      <c r="C6491" s="2">
        <v>2840.0</v>
      </c>
      <c r="D6491" s="2">
        <v>1055.0</v>
      </c>
      <c r="E6491" s="3">
        <f t="shared" si="1"/>
        <v>0.4057692308</v>
      </c>
      <c r="F6491" s="2">
        <v>300.0</v>
      </c>
      <c r="G6491" s="3">
        <f t="shared" si="2"/>
        <v>0.1153846154</v>
      </c>
      <c r="H6491" s="2">
        <v>517.0</v>
      </c>
      <c r="I6491" s="3">
        <f t="shared" si="3"/>
        <v>0.1988461538</v>
      </c>
      <c r="J6491" s="2">
        <v>378.0</v>
      </c>
      <c r="K6491" s="3">
        <f t="shared" si="4"/>
        <v>0.1453846154</v>
      </c>
      <c r="L6491" s="2">
        <v>281.0</v>
      </c>
      <c r="M6491" s="3">
        <f t="shared" si="5"/>
        <v>0.5435203095</v>
      </c>
      <c r="N6491" s="2">
        <v>2991100.0</v>
      </c>
      <c r="O6491" s="4">
        <f t="shared" si="6"/>
        <v>5785.49323</v>
      </c>
      <c r="P6491" s="2">
        <v>1.0</v>
      </c>
      <c r="Q6491" s="3">
        <f t="shared" si="7"/>
        <v>0.004166666667</v>
      </c>
      <c r="R6491" s="2">
        <v>240.0</v>
      </c>
      <c r="S6491" s="5">
        <f t="shared" si="8"/>
        <v>1</v>
      </c>
    </row>
    <row r="6492">
      <c r="A6492" s="2" t="s">
        <v>6489</v>
      </c>
      <c r="B6492" s="2">
        <v>2.0</v>
      </c>
      <c r="C6492" s="2">
        <v>28.0</v>
      </c>
      <c r="D6492" s="2">
        <v>14.0</v>
      </c>
      <c r="E6492" s="3">
        <f t="shared" si="1"/>
        <v>0.5384615385</v>
      </c>
      <c r="F6492" s="2">
        <v>3.0</v>
      </c>
      <c r="G6492" s="3">
        <f t="shared" si="2"/>
        <v>0.1153846154</v>
      </c>
      <c r="H6492" s="2">
        <v>9.0</v>
      </c>
      <c r="I6492" s="3">
        <f t="shared" si="3"/>
        <v>0.3461538462</v>
      </c>
      <c r="J6492" s="2">
        <v>3.0</v>
      </c>
      <c r="K6492" s="3">
        <f t="shared" si="4"/>
        <v>0.1153846154</v>
      </c>
      <c r="L6492" s="2">
        <v>5.0</v>
      </c>
      <c r="M6492" s="3">
        <f t="shared" si="5"/>
        <v>0.5555555556</v>
      </c>
      <c r="N6492" s="2">
        <v>29900.0</v>
      </c>
      <c r="O6492" s="4">
        <f t="shared" si="6"/>
        <v>3322.222222</v>
      </c>
      <c r="P6492" s="2">
        <v>0.0</v>
      </c>
      <c r="Q6492" s="3">
        <f t="shared" si="7"/>
        <v>0</v>
      </c>
      <c r="R6492" s="2">
        <v>2.0</v>
      </c>
      <c r="S6492" s="5">
        <f t="shared" si="8"/>
        <v>1</v>
      </c>
    </row>
    <row r="6493">
      <c r="A6493" s="2" t="s">
        <v>6490</v>
      </c>
      <c r="B6493" s="2">
        <v>1089.0</v>
      </c>
      <c r="C6493" s="2">
        <v>12859.0</v>
      </c>
      <c r="D6493" s="2">
        <v>4002.0</v>
      </c>
      <c r="E6493" s="3">
        <f t="shared" si="1"/>
        <v>0.3400169924</v>
      </c>
      <c r="F6493" s="2">
        <v>1358.0</v>
      </c>
      <c r="G6493" s="3">
        <f t="shared" si="2"/>
        <v>0.1153780799</v>
      </c>
      <c r="H6493" s="2">
        <v>2382.0</v>
      </c>
      <c r="I6493" s="3">
        <f t="shared" si="3"/>
        <v>0.2023789295</v>
      </c>
      <c r="J6493" s="2">
        <v>1902.0</v>
      </c>
      <c r="K6493" s="3">
        <f t="shared" si="4"/>
        <v>0.1615972812</v>
      </c>
      <c r="L6493" s="2">
        <v>1425.0</v>
      </c>
      <c r="M6493" s="3">
        <f t="shared" si="5"/>
        <v>0.5982367758</v>
      </c>
      <c r="N6493" s="2">
        <v>1.31496E7</v>
      </c>
      <c r="O6493" s="4">
        <f t="shared" si="6"/>
        <v>5520.403023</v>
      </c>
      <c r="P6493" s="2">
        <v>0.0</v>
      </c>
      <c r="Q6493" s="3">
        <f t="shared" si="7"/>
        <v>0</v>
      </c>
      <c r="R6493" s="2">
        <v>1089.0</v>
      </c>
      <c r="S6493" s="5">
        <f t="shared" si="8"/>
        <v>1</v>
      </c>
    </row>
    <row r="6494">
      <c r="A6494" s="2" t="s">
        <v>6491</v>
      </c>
      <c r="B6494" s="2">
        <v>793.0</v>
      </c>
      <c r="C6494" s="2">
        <v>9287.0</v>
      </c>
      <c r="D6494" s="2">
        <v>3310.0</v>
      </c>
      <c r="E6494" s="3">
        <f t="shared" si="1"/>
        <v>0.3896868378</v>
      </c>
      <c r="F6494" s="2">
        <v>980.0</v>
      </c>
      <c r="G6494" s="3">
        <f t="shared" si="2"/>
        <v>0.1153755592</v>
      </c>
      <c r="H6494" s="2">
        <v>1825.0</v>
      </c>
      <c r="I6494" s="3">
        <f t="shared" si="3"/>
        <v>0.2148575465</v>
      </c>
      <c r="J6494" s="2">
        <v>1348.0</v>
      </c>
      <c r="K6494" s="3">
        <f t="shared" si="4"/>
        <v>0.158700259</v>
      </c>
      <c r="L6494" s="2">
        <v>1122.0</v>
      </c>
      <c r="M6494" s="3">
        <f t="shared" si="5"/>
        <v>0.6147945205</v>
      </c>
      <c r="N6494" s="2">
        <v>9805500.0</v>
      </c>
      <c r="O6494" s="4">
        <f t="shared" si="6"/>
        <v>5372.876712</v>
      </c>
      <c r="P6494" s="2">
        <v>1.0</v>
      </c>
      <c r="Q6494" s="3">
        <f t="shared" si="7"/>
        <v>0.001261034048</v>
      </c>
      <c r="R6494" s="2">
        <v>0.0</v>
      </c>
      <c r="S6494" s="5">
        <f t="shared" si="8"/>
        <v>0</v>
      </c>
    </row>
    <row r="6495">
      <c r="A6495" s="2" t="s">
        <v>6492</v>
      </c>
      <c r="B6495" s="2">
        <v>350.0</v>
      </c>
      <c r="C6495" s="2">
        <v>4181.0</v>
      </c>
      <c r="D6495" s="2">
        <v>1305.0</v>
      </c>
      <c r="E6495" s="3">
        <f t="shared" si="1"/>
        <v>0.34064213</v>
      </c>
      <c r="F6495" s="2">
        <v>442.0</v>
      </c>
      <c r="G6495" s="3">
        <f t="shared" si="2"/>
        <v>0.1153745758</v>
      </c>
      <c r="H6495" s="2">
        <v>780.0</v>
      </c>
      <c r="I6495" s="3">
        <f t="shared" si="3"/>
        <v>0.2036021926</v>
      </c>
      <c r="J6495" s="2">
        <v>615.0</v>
      </c>
      <c r="K6495" s="3">
        <f t="shared" si="4"/>
        <v>0.160532498</v>
      </c>
      <c r="L6495" s="2">
        <v>482.0</v>
      </c>
      <c r="M6495" s="3">
        <f t="shared" si="5"/>
        <v>0.6179487179</v>
      </c>
      <c r="N6495" s="2">
        <v>4354100.0</v>
      </c>
      <c r="O6495" s="4">
        <f t="shared" si="6"/>
        <v>5582.179487</v>
      </c>
      <c r="P6495" s="2">
        <v>0.0</v>
      </c>
      <c r="Q6495" s="3">
        <f t="shared" si="7"/>
        <v>0</v>
      </c>
      <c r="R6495" s="2">
        <v>350.0</v>
      </c>
      <c r="S6495" s="5">
        <f t="shared" si="8"/>
        <v>1</v>
      </c>
    </row>
    <row r="6496">
      <c r="A6496" s="2" t="s">
        <v>6493</v>
      </c>
      <c r="B6496" s="2">
        <v>1027.0</v>
      </c>
      <c r="C6496" s="2">
        <v>12026.0</v>
      </c>
      <c r="D6496" s="2">
        <v>4585.0</v>
      </c>
      <c r="E6496" s="3">
        <f t="shared" si="1"/>
        <v>0.4168560778</v>
      </c>
      <c r="F6496" s="2">
        <v>1269.0</v>
      </c>
      <c r="G6496" s="3">
        <f t="shared" si="2"/>
        <v>0.1153741249</v>
      </c>
      <c r="H6496" s="2">
        <v>2318.0</v>
      </c>
      <c r="I6496" s="3">
        <f t="shared" si="3"/>
        <v>0.2107464315</v>
      </c>
      <c r="J6496" s="2">
        <v>1529.0</v>
      </c>
      <c r="K6496" s="3">
        <f t="shared" si="4"/>
        <v>0.1390126375</v>
      </c>
      <c r="L6496" s="2">
        <v>1397.0</v>
      </c>
      <c r="M6496" s="3">
        <f t="shared" si="5"/>
        <v>0.6026747196</v>
      </c>
      <c r="N6496" s="2">
        <v>1.27922E7</v>
      </c>
      <c r="O6496" s="4">
        <f t="shared" si="6"/>
        <v>5518.636756</v>
      </c>
      <c r="P6496" s="2">
        <v>1.0</v>
      </c>
      <c r="Q6496" s="3">
        <f t="shared" si="7"/>
        <v>0.0009737098345</v>
      </c>
      <c r="R6496" s="2">
        <v>0.0</v>
      </c>
      <c r="S6496" s="5">
        <f t="shared" si="8"/>
        <v>0</v>
      </c>
    </row>
    <row r="6497">
      <c r="A6497" s="2" t="s">
        <v>6494</v>
      </c>
      <c r="B6497" s="2">
        <v>871.0</v>
      </c>
      <c r="C6497" s="2">
        <v>10163.0</v>
      </c>
      <c r="D6497" s="2">
        <v>3349.0</v>
      </c>
      <c r="E6497" s="3">
        <f t="shared" si="1"/>
        <v>0.3604175635</v>
      </c>
      <c r="F6497" s="2">
        <v>1072.0</v>
      </c>
      <c r="G6497" s="3">
        <f t="shared" si="2"/>
        <v>0.1153680585</v>
      </c>
      <c r="H6497" s="2">
        <v>2007.0</v>
      </c>
      <c r="I6497" s="3">
        <f t="shared" si="3"/>
        <v>0.2159922514</v>
      </c>
      <c r="J6497" s="2">
        <v>1622.0</v>
      </c>
      <c r="K6497" s="3">
        <f t="shared" si="4"/>
        <v>0.1745587602</v>
      </c>
      <c r="L6497" s="2">
        <v>1182.0</v>
      </c>
      <c r="M6497" s="3">
        <f t="shared" si="5"/>
        <v>0.5889387145</v>
      </c>
      <c r="N6497" s="2">
        <v>1.0994E7</v>
      </c>
      <c r="O6497" s="4">
        <f t="shared" si="6"/>
        <v>5477.827603</v>
      </c>
      <c r="P6497" s="2">
        <v>3.0</v>
      </c>
      <c r="Q6497" s="3">
        <f t="shared" si="7"/>
        <v>0.003444316877</v>
      </c>
      <c r="R6497" s="2">
        <v>0.0</v>
      </c>
      <c r="S6497" s="5">
        <f t="shared" si="8"/>
        <v>0</v>
      </c>
    </row>
    <row r="6498">
      <c r="A6498" s="2" t="s">
        <v>6495</v>
      </c>
      <c r="B6498" s="2">
        <v>213.0</v>
      </c>
      <c r="C6498" s="2">
        <v>2432.0</v>
      </c>
      <c r="D6498" s="2">
        <v>749.0</v>
      </c>
      <c r="E6498" s="3">
        <f t="shared" si="1"/>
        <v>0.3375394322</v>
      </c>
      <c r="F6498" s="2">
        <v>256.0</v>
      </c>
      <c r="G6498" s="3">
        <f t="shared" si="2"/>
        <v>0.1153672826</v>
      </c>
      <c r="H6498" s="2">
        <v>457.0</v>
      </c>
      <c r="I6498" s="3">
        <f t="shared" si="3"/>
        <v>0.2059486255</v>
      </c>
      <c r="J6498" s="2">
        <v>363.0</v>
      </c>
      <c r="K6498" s="3">
        <f t="shared" si="4"/>
        <v>0.1635872014</v>
      </c>
      <c r="L6498" s="2">
        <v>281.0</v>
      </c>
      <c r="M6498" s="3">
        <f t="shared" si="5"/>
        <v>0.6148796499</v>
      </c>
      <c r="N6498" s="2">
        <v>2585400.0</v>
      </c>
      <c r="O6498" s="4">
        <f t="shared" si="6"/>
        <v>5657.330416</v>
      </c>
      <c r="P6498" s="2">
        <v>0.0</v>
      </c>
      <c r="Q6498" s="3">
        <f t="shared" si="7"/>
        <v>0</v>
      </c>
      <c r="R6498" s="2">
        <v>213.0</v>
      </c>
      <c r="S6498" s="5">
        <f t="shared" si="8"/>
        <v>1</v>
      </c>
    </row>
    <row r="6499">
      <c r="A6499" s="2" t="s">
        <v>6496</v>
      </c>
      <c r="B6499" s="2">
        <v>655.0</v>
      </c>
      <c r="C6499" s="2">
        <v>7685.0</v>
      </c>
      <c r="D6499" s="2">
        <v>2461.0</v>
      </c>
      <c r="E6499" s="3">
        <f t="shared" si="1"/>
        <v>0.3500711238</v>
      </c>
      <c r="F6499" s="2">
        <v>811.0</v>
      </c>
      <c r="G6499" s="3">
        <f t="shared" si="2"/>
        <v>0.1153627312</v>
      </c>
      <c r="H6499" s="2">
        <v>1498.0</v>
      </c>
      <c r="I6499" s="3">
        <f t="shared" si="3"/>
        <v>0.213086771</v>
      </c>
      <c r="J6499" s="2">
        <v>1193.0</v>
      </c>
      <c r="K6499" s="3">
        <f t="shared" si="4"/>
        <v>0.1697012802</v>
      </c>
      <c r="L6499" s="2">
        <v>868.0</v>
      </c>
      <c r="M6499" s="3">
        <f t="shared" si="5"/>
        <v>0.5794392523</v>
      </c>
      <c r="N6499" s="2">
        <v>8586100.0</v>
      </c>
      <c r="O6499" s="4">
        <f t="shared" si="6"/>
        <v>5731.708945</v>
      </c>
      <c r="P6499" s="2">
        <v>5.0</v>
      </c>
      <c r="Q6499" s="3">
        <f t="shared" si="7"/>
        <v>0.007633587786</v>
      </c>
      <c r="R6499" s="2">
        <v>412.0</v>
      </c>
      <c r="S6499" s="5">
        <f t="shared" si="8"/>
        <v>0.6290076336</v>
      </c>
    </row>
    <row r="6500">
      <c r="A6500" s="2" t="s">
        <v>6497</v>
      </c>
      <c r="B6500" s="2">
        <v>139.0</v>
      </c>
      <c r="C6500" s="2">
        <v>1604.0</v>
      </c>
      <c r="D6500" s="2">
        <v>310.0</v>
      </c>
      <c r="E6500" s="3">
        <f t="shared" si="1"/>
        <v>0.2116040956</v>
      </c>
      <c r="F6500" s="2">
        <v>169.0</v>
      </c>
      <c r="G6500" s="3">
        <f t="shared" si="2"/>
        <v>0.1153583618</v>
      </c>
      <c r="H6500" s="2">
        <v>271.0</v>
      </c>
      <c r="I6500" s="3">
        <f t="shared" si="3"/>
        <v>0.1849829352</v>
      </c>
      <c r="J6500" s="2">
        <v>276.0</v>
      </c>
      <c r="K6500" s="3">
        <f t="shared" si="4"/>
        <v>0.1883959044</v>
      </c>
      <c r="L6500" s="2">
        <v>165.0</v>
      </c>
      <c r="M6500" s="3">
        <f t="shared" si="5"/>
        <v>0.6088560886</v>
      </c>
      <c r="N6500" s="2">
        <v>1787900.0</v>
      </c>
      <c r="O6500" s="4">
        <f t="shared" si="6"/>
        <v>6597.416974</v>
      </c>
      <c r="P6500" s="2">
        <v>0.0</v>
      </c>
      <c r="Q6500" s="3">
        <f t="shared" si="7"/>
        <v>0</v>
      </c>
      <c r="R6500" s="2">
        <v>139.0</v>
      </c>
      <c r="S6500" s="5">
        <f t="shared" si="8"/>
        <v>1</v>
      </c>
    </row>
    <row r="6501">
      <c r="A6501" s="2" t="s">
        <v>6498</v>
      </c>
      <c r="B6501" s="2">
        <v>313.0</v>
      </c>
      <c r="C6501" s="2">
        <v>3642.0</v>
      </c>
      <c r="D6501" s="2">
        <v>1109.0</v>
      </c>
      <c r="E6501" s="3">
        <f t="shared" si="1"/>
        <v>0.333133073</v>
      </c>
      <c r="F6501" s="2">
        <v>384.0</v>
      </c>
      <c r="G6501" s="3">
        <f t="shared" si="2"/>
        <v>0.1153499549</v>
      </c>
      <c r="H6501" s="2">
        <v>696.0</v>
      </c>
      <c r="I6501" s="3">
        <f t="shared" si="3"/>
        <v>0.2090717933</v>
      </c>
      <c r="J6501" s="2">
        <v>552.0</v>
      </c>
      <c r="K6501" s="3">
        <f t="shared" si="4"/>
        <v>0.1658155602</v>
      </c>
      <c r="L6501" s="2">
        <v>412.0</v>
      </c>
      <c r="M6501" s="3">
        <f t="shared" si="5"/>
        <v>0.591954023</v>
      </c>
      <c r="N6501" s="2">
        <v>3885400.0</v>
      </c>
      <c r="O6501" s="4">
        <f t="shared" si="6"/>
        <v>5582.471264</v>
      </c>
      <c r="P6501" s="2">
        <v>1.0</v>
      </c>
      <c r="Q6501" s="3">
        <f t="shared" si="7"/>
        <v>0.003194888179</v>
      </c>
      <c r="R6501" s="2">
        <v>313.0</v>
      </c>
      <c r="S6501" s="5">
        <f t="shared" si="8"/>
        <v>1</v>
      </c>
    </row>
    <row r="6502">
      <c r="A6502" s="2" t="s">
        <v>6499</v>
      </c>
      <c r="B6502" s="2">
        <v>419.0</v>
      </c>
      <c r="C6502" s="2">
        <v>4858.0</v>
      </c>
      <c r="D6502" s="2">
        <v>1382.0</v>
      </c>
      <c r="E6502" s="3">
        <f t="shared" si="1"/>
        <v>0.3113313809</v>
      </c>
      <c r="F6502" s="2">
        <v>512.0</v>
      </c>
      <c r="G6502" s="3">
        <f t="shared" si="2"/>
        <v>0.1153412931</v>
      </c>
      <c r="H6502" s="2">
        <v>839.0</v>
      </c>
      <c r="I6502" s="3">
        <f t="shared" si="3"/>
        <v>0.189006533</v>
      </c>
      <c r="J6502" s="2">
        <v>770.0</v>
      </c>
      <c r="K6502" s="3">
        <f t="shared" si="4"/>
        <v>0.1734624916</v>
      </c>
      <c r="L6502" s="2">
        <v>504.0</v>
      </c>
      <c r="M6502" s="3">
        <f t="shared" si="5"/>
        <v>0.6007151371</v>
      </c>
      <c r="N6502" s="2">
        <v>4913900.0</v>
      </c>
      <c r="O6502" s="4">
        <f t="shared" si="6"/>
        <v>5856.853397</v>
      </c>
      <c r="P6502" s="2">
        <v>1.0</v>
      </c>
      <c r="Q6502" s="3">
        <f t="shared" si="7"/>
        <v>0.002386634845</v>
      </c>
      <c r="R6502" s="2">
        <v>419.0</v>
      </c>
      <c r="S6502" s="5">
        <f t="shared" si="8"/>
        <v>1</v>
      </c>
    </row>
    <row r="6503">
      <c r="A6503" s="2" t="s">
        <v>6500</v>
      </c>
      <c r="B6503" s="2">
        <v>827.0</v>
      </c>
      <c r="C6503" s="2">
        <v>9870.0</v>
      </c>
      <c r="D6503" s="2">
        <v>3618.0</v>
      </c>
      <c r="E6503" s="3">
        <f t="shared" si="1"/>
        <v>0.4000884662</v>
      </c>
      <c r="F6503" s="2">
        <v>1043.0</v>
      </c>
      <c r="G6503" s="3">
        <f t="shared" si="2"/>
        <v>0.1153378304</v>
      </c>
      <c r="H6503" s="2">
        <v>1858.0</v>
      </c>
      <c r="I6503" s="3">
        <f t="shared" si="3"/>
        <v>0.2054627889</v>
      </c>
      <c r="J6503" s="2">
        <v>1345.0</v>
      </c>
      <c r="K6503" s="3">
        <f t="shared" si="4"/>
        <v>0.1487338273</v>
      </c>
      <c r="L6503" s="2">
        <v>1088.0</v>
      </c>
      <c r="M6503" s="3">
        <f t="shared" si="5"/>
        <v>0.5855758881</v>
      </c>
      <c r="N6503" s="2">
        <v>1.01108E7</v>
      </c>
      <c r="O6503" s="4">
        <f t="shared" si="6"/>
        <v>5441.765339</v>
      </c>
      <c r="P6503" s="2">
        <v>2.0</v>
      </c>
      <c r="Q6503" s="3">
        <f t="shared" si="7"/>
        <v>0.002418379686</v>
      </c>
      <c r="R6503" s="2">
        <v>164.0</v>
      </c>
      <c r="S6503" s="5">
        <f t="shared" si="8"/>
        <v>0.1983071342</v>
      </c>
    </row>
    <row r="6504">
      <c r="A6504" s="2" t="s">
        <v>6501</v>
      </c>
      <c r="B6504" s="2">
        <v>71.0</v>
      </c>
      <c r="C6504" s="2">
        <v>860.0</v>
      </c>
      <c r="D6504" s="2">
        <v>308.0</v>
      </c>
      <c r="E6504" s="3">
        <f t="shared" si="1"/>
        <v>0.3903675539</v>
      </c>
      <c r="F6504" s="2">
        <v>91.0</v>
      </c>
      <c r="G6504" s="3">
        <f t="shared" si="2"/>
        <v>0.1153358682</v>
      </c>
      <c r="H6504" s="2">
        <v>133.0</v>
      </c>
      <c r="I6504" s="3">
        <f t="shared" si="3"/>
        <v>0.1685678074</v>
      </c>
      <c r="J6504" s="2">
        <v>125.0</v>
      </c>
      <c r="K6504" s="3">
        <f t="shared" si="4"/>
        <v>0.1584283904</v>
      </c>
      <c r="L6504" s="2">
        <v>74.0</v>
      </c>
      <c r="M6504" s="3">
        <f t="shared" si="5"/>
        <v>0.5563909774</v>
      </c>
      <c r="N6504" s="2">
        <v>717000.0</v>
      </c>
      <c r="O6504" s="4">
        <f t="shared" si="6"/>
        <v>5390.977444</v>
      </c>
      <c r="P6504" s="2">
        <v>0.0</v>
      </c>
      <c r="Q6504" s="3">
        <f t="shared" si="7"/>
        <v>0</v>
      </c>
      <c r="R6504" s="2">
        <v>71.0</v>
      </c>
      <c r="S6504" s="5">
        <f t="shared" si="8"/>
        <v>1</v>
      </c>
    </row>
    <row r="6505">
      <c r="A6505" s="2" t="s">
        <v>6502</v>
      </c>
      <c r="B6505" s="2">
        <v>579.0</v>
      </c>
      <c r="C6505" s="2">
        <v>6952.0</v>
      </c>
      <c r="D6505" s="2">
        <v>2063.0</v>
      </c>
      <c r="E6505" s="3">
        <f t="shared" si="1"/>
        <v>0.323709399</v>
      </c>
      <c r="F6505" s="2">
        <v>735.0</v>
      </c>
      <c r="G6505" s="3">
        <f t="shared" si="2"/>
        <v>0.1153302997</v>
      </c>
      <c r="H6505" s="2">
        <v>1242.0</v>
      </c>
      <c r="I6505" s="3">
        <f t="shared" si="3"/>
        <v>0.1948846697</v>
      </c>
      <c r="J6505" s="2">
        <v>795.0</v>
      </c>
      <c r="K6505" s="3">
        <f t="shared" si="4"/>
        <v>0.124745018</v>
      </c>
      <c r="L6505" s="2">
        <v>733.0</v>
      </c>
      <c r="M6505" s="3">
        <f t="shared" si="5"/>
        <v>0.5901771337</v>
      </c>
      <c r="N6505" s="2">
        <v>6977500.0</v>
      </c>
      <c r="O6505" s="4">
        <f t="shared" si="6"/>
        <v>5617.954911</v>
      </c>
      <c r="P6505" s="2">
        <v>0.0</v>
      </c>
      <c r="Q6505" s="3">
        <f t="shared" si="7"/>
        <v>0</v>
      </c>
      <c r="R6505" s="2">
        <v>579.0</v>
      </c>
      <c r="S6505" s="5">
        <f t="shared" si="8"/>
        <v>1</v>
      </c>
    </row>
    <row r="6506">
      <c r="A6506" s="2" t="s">
        <v>6503</v>
      </c>
      <c r="B6506" s="2">
        <v>167.0</v>
      </c>
      <c r="C6506" s="2">
        <v>1910.0</v>
      </c>
      <c r="D6506" s="2">
        <v>686.0</v>
      </c>
      <c r="E6506" s="3">
        <f t="shared" si="1"/>
        <v>0.3935742972</v>
      </c>
      <c r="F6506" s="2">
        <v>201.0</v>
      </c>
      <c r="G6506" s="3">
        <f t="shared" si="2"/>
        <v>0.1153184165</v>
      </c>
      <c r="H6506" s="2">
        <v>351.0</v>
      </c>
      <c r="I6506" s="3">
        <f t="shared" si="3"/>
        <v>0.2013769363</v>
      </c>
      <c r="J6506" s="2">
        <v>264.0</v>
      </c>
      <c r="K6506" s="3">
        <f t="shared" si="4"/>
        <v>0.1514629948</v>
      </c>
      <c r="L6506" s="2">
        <v>217.0</v>
      </c>
      <c r="M6506" s="3">
        <f t="shared" si="5"/>
        <v>0.6182336182</v>
      </c>
      <c r="N6506" s="2">
        <v>1933400.0</v>
      </c>
      <c r="O6506" s="4">
        <f t="shared" si="6"/>
        <v>5508.262108</v>
      </c>
      <c r="P6506" s="2">
        <v>0.0</v>
      </c>
      <c r="Q6506" s="3">
        <f t="shared" si="7"/>
        <v>0</v>
      </c>
      <c r="R6506" s="2">
        <v>167.0</v>
      </c>
      <c r="S6506" s="5">
        <f t="shared" si="8"/>
        <v>1</v>
      </c>
    </row>
    <row r="6507">
      <c r="A6507" s="2" t="s">
        <v>6504</v>
      </c>
      <c r="B6507" s="2">
        <v>1686.0</v>
      </c>
      <c r="C6507" s="2">
        <v>19706.0</v>
      </c>
      <c r="D6507" s="2">
        <v>6321.0</v>
      </c>
      <c r="E6507" s="3">
        <f t="shared" si="1"/>
        <v>0.3507769145</v>
      </c>
      <c r="F6507" s="2">
        <v>2078.0</v>
      </c>
      <c r="G6507" s="3">
        <f t="shared" si="2"/>
        <v>0.1153163152</v>
      </c>
      <c r="H6507" s="2">
        <v>3815.0</v>
      </c>
      <c r="I6507" s="3">
        <f t="shared" si="3"/>
        <v>0.211709212</v>
      </c>
      <c r="J6507" s="2">
        <v>2838.0</v>
      </c>
      <c r="K6507" s="3">
        <f t="shared" si="4"/>
        <v>0.1574916759</v>
      </c>
      <c r="L6507" s="2">
        <v>2355.0</v>
      </c>
      <c r="M6507" s="3">
        <f t="shared" si="5"/>
        <v>0.6173001311</v>
      </c>
      <c r="N6507" s="2">
        <v>2.14335E7</v>
      </c>
      <c r="O6507" s="4">
        <f t="shared" si="6"/>
        <v>5618.217562</v>
      </c>
      <c r="P6507" s="2">
        <v>3.0</v>
      </c>
      <c r="Q6507" s="3">
        <f t="shared" si="7"/>
        <v>0.001779359431</v>
      </c>
      <c r="R6507" s="2">
        <v>1686.0</v>
      </c>
      <c r="S6507" s="5">
        <f t="shared" si="8"/>
        <v>1</v>
      </c>
    </row>
    <row r="6508">
      <c r="A6508" s="2" t="s">
        <v>6505</v>
      </c>
      <c r="B6508" s="2">
        <v>1305.0</v>
      </c>
      <c r="C6508" s="2">
        <v>15571.0</v>
      </c>
      <c r="D6508" s="2">
        <v>6402.0</v>
      </c>
      <c r="E6508" s="3">
        <f t="shared" si="1"/>
        <v>0.4487592878</v>
      </c>
      <c r="F6508" s="2">
        <v>1645.0</v>
      </c>
      <c r="G6508" s="3">
        <f t="shared" si="2"/>
        <v>0.1153091266</v>
      </c>
      <c r="H6508" s="2">
        <v>3051.0</v>
      </c>
      <c r="I6508" s="3">
        <f t="shared" si="3"/>
        <v>0.2138651339</v>
      </c>
      <c r="J6508" s="2">
        <v>2306.0</v>
      </c>
      <c r="K6508" s="3">
        <f t="shared" si="4"/>
        <v>0.1616430674</v>
      </c>
      <c r="L6508" s="2">
        <v>1802.0</v>
      </c>
      <c r="M6508" s="3">
        <f t="shared" si="5"/>
        <v>0.5906260243</v>
      </c>
      <c r="N6508" s="2">
        <v>1.643E7</v>
      </c>
      <c r="O6508" s="4">
        <f t="shared" si="6"/>
        <v>5385.119633</v>
      </c>
      <c r="P6508" s="2">
        <v>1.0</v>
      </c>
      <c r="Q6508" s="3">
        <f t="shared" si="7"/>
        <v>0.0007662835249</v>
      </c>
      <c r="R6508" s="2">
        <v>1269.0</v>
      </c>
      <c r="S6508" s="5">
        <f t="shared" si="8"/>
        <v>0.9724137931</v>
      </c>
    </row>
    <row r="6509">
      <c r="A6509" s="2" t="s">
        <v>6506</v>
      </c>
      <c r="B6509" s="2">
        <v>319.0</v>
      </c>
      <c r="C6509" s="2">
        <v>3684.0</v>
      </c>
      <c r="D6509" s="2">
        <v>1013.0</v>
      </c>
      <c r="E6509" s="3">
        <f t="shared" si="1"/>
        <v>0.3010401189</v>
      </c>
      <c r="F6509" s="2">
        <v>388.0</v>
      </c>
      <c r="G6509" s="3">
        <f t="shared" si="2"/>
        <v>0.1153046062</v>
      </c>
      <c r="H6509" s="2">
        <v>662.0</v>
      </c>
      <c r="I6509" s="3">
        <f t="shared" si="3"/>
        <v>0.196731055</v>
      </c>
      <c r="J6509" s="2">
        <v>659.0</v>
      </c>
      <c r="K6509" s="3">
        <f t="shared" si="4"/>
        <v>0.1958395245</v>
      </c>
      <c r="L6509" s="2">
        <v>382.0</v>
      </c>
      <c r="M6509" s="3">
        <f t="shared" si="5"/>
        <v>0.5770392749</v>
      </c>
      <c r="N6509" s="2">
        <v>3958500.0</v>
      </c>
      <c r="O6509" s="4">
        <f t="shared" si="6"/>
        <v>5979.607251</v>
      </c>
      <c r="P6509" s="2">
        <v>0.0</v>
      </c>
      <c r="Q6509" s="3">
        <f t="shared" si="7"/>
        <v>0</v>
      </c>
      <c r="R6509" s="2">
        <v>319.0</v>
      </c>
      <c r="S6509" s="5">
        <f t="shared" si="8"/>
        <v>1</v>
      </c>
    </row>
    <row r="6510">
      <c r="A6510" s="2" t="s">
        <v>6507</v>
      </c>
      <c r="B6510" s="2">
        <v>662.0</v>
      </c>
      <c r="C6510" s="2">
        <v>7956.0</v>
      </c>
      <c r="D6510" s="2">
        <v>2730.0</v>
      </c>
      <c r="E6510" s="3">
        <f t="shared" si="1"/>
        <v>0.3742802303</v>
      </c>
      <c r="F6510" s="2">
        <v>841.0</v>
      </c>
      <c r="G6510" s="3">
        <f t="shared" si="2"/>
        <v>0.1153002468</v>
      </c>
      <c r="H6510" s="2">
        <v>1574.0</v>
      </c>
      <c r="I6510" s="3">
        <f t="shared" si="3"/>
        <v>0.2157938031</v>
      </c>
      <c r="J6510" s="2">
        <v>1184.0</v>
      </c>
      <c r="K6510" s="3">
        <f t="shared" si="4"/>
        <v>0.1623251988</v>
      </c>
      <c r="L6510" s="2">
        <v>959.0</v>
      </c>
      <c r="M6510" s="3">
        <f t="shared" si="5"/>
        <v>0.6092757306</v>
      </c>
      <c r="N6510" s="2">
        <v>8303100.0</v>
      </c>
      <c r="O6510" s="4">
        <f t="shared" si="6"/>
        <v>5275.158831</v>
      </c>
      <c r="P6510" s="2">
        <v>0.0</v>
      </c>
      <c r="Q6510" s="3">
        <f t="shared" si="7"/>
        <v>0</v>
      </c>
      <c r="R6510" s="2">
        <v>662.0</v>
      </c>
      <c r="S6510" s="5">
        <f t="shared" si="8"/>
        <v>1</v>
      </c>
    </row>
    <row r="6511">
      <c r="A6511" s="2" t="s">
        <v>6508</v>
      </c>
      <c r="B6511" s="2">
        <v>419.0</v>
      </c>
      <c r="C6511" s="2">
        <v>4955.0</v>
      </c>
      <c r="D6511" s="2">
        <v>1605.0</v>
      </c>
      <c r="E6511" s="3">
        <f t="shared" si="1"/>
        <v>0.3538359788</v>
      </c>
      <c r="F6511" s="2">
        <v>523.0</v>
      </c>
      <c r="G6511" s="3">
        <f t="shared" si="2"/>
        <v>0.1152998236</v>
      </c>
      <c r="H6511" s="2">
        <v>955.0</v>
      </c>
      <c r="I6511" s="3">
        <f t="shared" si="3"/>
        <v>0.2105379189</v>
      </c>
      <c r="J6511" s="2">
        <v>855.0</v>
      </c>
      <c r="K6511" s="3">
        <f t="shared" si="4"/>
        <v>0.1884920635</v>
      </c>
      <c r="L6511" s="2">
        <v>541.0</v>
      </c>
      <c r="M6511" s="3">
        <f t="shared" si="5"/>
        <v>0.5664921466</v>
      </c>
      <c r="N6511" s="2">
        <v>5356300.0</v>
      </c>
      <c r="O6511" s="4">
        <f t="shared" si="6"/>
        <v>5608.691099</v>
      </c>
      <c r="P6511" s="2">
        <v>0.0</v>
      </c>
      <c r="Q6511" s="3">
        <f t="shared" si="7"/>
        <v>0</v>
      </c>
      <c r="R6511" s="2">
        <v>408.0</v>
      </c>
      <c r="S6511" s="5">
        <f t="shared" si="8"/>
        <v>0.9737470167</v>
      </c>
    </row>
    <row r="6512">
      <c r="A6512" s="2" t="s">
        <v>6509</v>
      </c>
      <c r="B6512" s="2">
        <v>579.0</v>
      </c>
      <c r="C6512" s="2">
        <v>6789.0</v>
      </c>
      <c r="D6512" s="2">
        <v>2167.0</v>
      </c>
      <c r="E6512" s="3">
        <f t="shared" si="1"/>
        <v>0.3489533011</v>
      </c>
      <c r="F6512" s="2">
        <v>716.0</v>
      </c>
      <c r="G6512" s="3">
        <f t="shared" si="2"/>
        <v>0.1152979066</v>
      </c>
      <c r="H6512" s="2">
        <v>1304.0</v>
      </c>
      <c r="I6512" s="3">
        <f t="shared" si="3"/>
        <v>0.2099838969</v>
      </c>
      <c r="J6512" s="2">
        <v>1056.0</v>
      </c>
      <c r="K6512" s="3">
        <f t="shared" si="4"/>
        <v>0.1700483092</v>
      </c>
      <c r="L6512" s="2">
        <v>766.0</v>
      </c>
      <c r="M6512" s="3">
        <f t="shared" si="5"/>
        <v>0.5874233129</v>
      </c>
      <c r="N6512" s="2">
        <v>7505400.0</v>
      </c>
      <c r="O6512" s="4">
        <f t="shared" si="6"/>
        <v>5755.674847</v>
      </c>
      <c r="P6512" s="2">
        <v>2.0</v>
      </c>
      <c r="Q6512" s="3">
        <f t="shared" si="7"/>
        <v>0.003454231434</v>
      </c>
      <c r="R6512" s="2">
        <v>579.0</v>
      </c>
      <c r="S6512" s="5">
        <f t="shared" si="8"/>
        <v>1</v>
      </c>
    </row>
    <row r="6513">
      <c r="A6513" s="2" t="s">
        <v>6510</v>
      </c>
      <c r="B6513" s="2">
        <v>666.0</v>
      </c>
      <c r="C6513" s="2">
        <v>7813.0</v>
      </c>
      <c r="D6513" s="2">
        <v>2873.0</v>
      </c>
      <c r="E6513" s="3">
        <f t="shared" si="1"/>
        <v>0.4019868476</v>
      </c>
      <c r="F6513" s="2">
        <v>824.0</v>
      </c>
      <c r="G6513" s="3">
        <f t="shared" si="2"/>
        <v>0.11529313</v>
      </c>
      <c r="H6513" s="2">
        <v>1533.0</v>
      </c>
      <c r="I6513" s="3">
        <f t="shared" si="3"/>
        <v>0.2144955926</v>
      </c>
      <c r="J6513" s="2">
        <v>1062.0</v>
      </c>
      <c r="K6513" s="3">
        <f t="shared" si="4"/>
        <v>0.1485938156</v>
      </c>
      <c r="L6513" s="2">
        <v>911.0</v>
      </c>
      <c r="M6513" s="3">
        <f t="shared" si="5"/>
        <v>0.5942596217</v>
      </c>
      <c r="N6513" s="2">
        <v>7989200.0</v>
      </c>
      <c r="O6513" s="4">
        <f t="shared" si="6"/>
        <v>5211.480757</v>
      </c>
      <c r="P6513" s="2">
        <v>1.0</v>
      </c>
      <c r="Q6513" s="3">
        <f t="shared" si="7"/>
        <v>0.001501501502</v>
      </c>
      <c r="R6513" s="2">
        <v>666.0</v>
      </c>
      <c r="S6513" s="5">
        <f t="shared" si="8"/>
        <v>1</v>
      </c>
    </row>
    <row r="6514">
      <c r="A6514" s="2" t="s">
        <v>6511</v>
      </c>
      <c r="B6514" s="2">
        <v>268.0</v>
      </c>
      <c r="C6514" s="2">
        <v>3148.0</v>
      </c>
      <c r="D6514" s="2">
        <v>979.0</v>
      </c>
      <c r="E6514" s="3">
        <f t="shared" si="1"/>
        <v>0.3399305556</v>
      </c>
      <c r="F6514" s="2">
        <v>332.0</v>
      </c>
      <c r="G6514" s="3">
        <f t="shared" si="2"/>
        <v>0.1152777778</v>
      </c>
      <c r="H6514" s="2">
        <v>594.0</v>
      </c>
      <c r="I6514" s="3">
        <f t="shared" si="3"/>
        <v>0.20625</v>
      </c>
      <c r="J6514" s="2">
        <v>406.0</v>
      </c>
      <c r="K6514" s="3">
        <f t="shared" si="4"/>
        <v>0.1409722222</v>
      </c>
      <c r="L6514" s="2">
        <v>364.0</v>
      </c>
      <c r="M6514" s="3">
        <f t="shared" si="5"/>
        <v>0.6127946128</v>
      </c>
      <c r="N6514" s="2">
        <v>3335800.0</v>
      </c>
      <c r="O6514" s="4">
        <f t="shared" si="6"/>
        <v>5615.824916</v>
      </c>
      <c r="P6514" s="2">
        <v>0.0</v>
      </c>
      <c r="Q6514" s="3">
        <f t="shared" si="7"/>
        <v>0</v>
      </c>
      <c r="R6514" s="2">
        <v>268.0</v>
      </c>
      <c r="S6514" s="5">
        <f t="shared" si="8"/>
        <v>1</v>
      </c>
    </row>
    <row r="6515">
      <c r="A6515" s="2" t="s">
        <v>6512</v>
      </c>
      <c r="B6515" s="2">
        <v>192.0</v>
      </c>
      <c r="C6515" s="2">
        <v>2248.0</v>
      </c>
      <c r="D6515" s="2">
        <v>749.0</v>
      </c>
      <c r="E6515" s="3">
        <f t="shared" si="1"/>
        <v>0.3642996109</v>
      </c>
      <c r="F6515" s="2">
        <v>237.0</v>
      </c>
      <c r="G6515" s="3">
        <f t="shared" si="2"/>
        <v>0.1152723735</v>
      </c>
      <c r="H6515" s="2">
        <v>431.0</v>
      </c>
      <c r="I6515" s="3">
        <f t="shared" si="3"/>
        <v>0.2096303502</v>
      </c>
      <c r="J6515" s="2">
        <v>362.0</v>
      </c>
      <c r="K6515" s="3">
        <f t="shared" si="4"/>
        <v>0.1760700389</v>
      </c>
      <c r="L6515" s="2">
        <v>258.0</v>
      </c>
      <c r="M6515" s="3">
        <f t="shared" si="5"/>
        <v>0.5986078886</v>
      </c>
      <c r="N6515" s="2">
        <v>2355900.0</v>
      </c>
      <c r="O6515" s="4">
        <f t="shared" si="6"/>
        <v>5466.12529</v>
      </c>
      <c r="P6515" s="2">
        <v>0.0</v>
      </c>
      <c r="Q6515" s="3">
        <f t="shared" si="7"/>
        <v>0</v>
      </c>
      <c r="R6515" s="2">
        <v>192.0</v>
      </c>
      <c r="S6515" s="5">
        <f t="shared" si="8"/>
        <v>1</v>
      </c>
    </row>
    <row r="6516">
      <c r="A6516" s="2" t="s">
        <v>6513</v>
      </c>
      <c r="B6516" s="2">
        <v>193.0</v>
      </c>
      <c r="C6516" s="2">
        <v>2249.0</v>
      </c>
      <c r="D6516" s="2">
        <v>821.0</v>
      </c>
      <c r="E6516" s="3">
        <f t="shared" si="1"/>
        <v>0.3993190661</v>
      </c>
      <c r="F6516" s="2">
        <v>237.0</v>
      </c>
      <c r="G6516" s="3">
        <f t="shared" si="2"/>
        <v>0.1152723735</v>
      </c>
      <c r="H6516" s="2">
        <v>415.0</v>
      </c>
      <c r="I6516" s="3">
        <f t="shared" si="3"/>
        <v>0.201848249</v>
      </c>
      <c r="J6516" s="2">
        <v>358.0</v>
      </c>
      <c r="K6516" s="3">
        <f t="shared" si="4"/>
        <v>0.1741245136</v>
      </c>
      <c r="L6516" s="2">
        <v>232.0</v>
      </c>
      <c r="M6516" s="3">
        <f t="shared" si="5"/>
        <v>0.5590361446</v>
      </c>
      <c r="N6516" s="2">
        <v>2324800.0</v>
      </c>
      <c r="O6516" s="4">
        <f t="shared" si="6"/>
        <v>5601.927711</v>
      </c>
      <c r="P6516" s="2">
        <v>0.0</v>
      </c>
      <c r="Q6516" s="3">
        <f t="shared" si="7"/>
        <v>0</v>
      </c>
      <c r="R6516" s="2">
        <v>0.0</v>
      </c>
      <c r="S6516" s="5">
        <f t="shared" si="8"/>
        <v>0</v>
      </c>
    </row>
    <row r="6517">
      <c r="A6517" s="2" t="s">
        <v>6514</v>
      </c>
      <c r="B6517" s="2">
        <v>158.0</v>
      </c>
      <c r="C6517" s="2">
        <v>1815.0</v>
      </c>
      <c r="D6517" s="2">
        <v>606.0</v>
      </c>
      <c r="E6517" s="3">
        <f t="shared" si="1"/>
        <v>0.3657211829</v>
      </c>
      <c r="F6517" s="2">
        <v>191.0</v>
      </c>
      <c r="G6517" s="3">
        <f t="shared" si="2"/>
        <v>0.1152685576</v>
      </c>
      <c r="H6517" s="2">
        <v>350.0</v>
      </c>
      <c r="I6517" s="3">
        <f t="shared" si="3"/>
        <v>0.2112251056</v>
      </c>
      <c r="J6517" s="2">
        <v>284.0</v>
      </c>
      <c r="K6517" s="3">
        <f t="shared" si="4"/>
        <v>0.1713940857</v>
      </c>
      <c r="L6517" s="2">
        <v>208.0</v>
      </c>
      <c r="M6517" s="3">
        <f t="shared" si="5"/>
        <v>0.5942857143</v>
      </c>
      <c r="N6517" s="2">
        <v>1936000.0</v>
      </c>
      <c r="O6517" s="4">
        <f t="shared" si="6"/>
        <v>5531.428571</v>
      </c>
      <c r="P6517" s="2">
        <v>0.0</v>
      </c>
      <c r="Q6517" s="3">
        <f t="shared" si="7"/>
        <v>0</v>
      </c>
      <c r="R6517" s="2">
        <v>0.0</v>
      </c>
      <c r="S6517" s="5">
        <f t="shared" si="8"/>
        <v>0</v>
      </c>
    </row>
    <row r="6518">
      <c r="A6518" s="2" t="s">
        <v>6515</v>
      </c>
      <c r="B6518" s="2">
        <v>3660.0</v>
      </c>
      <c r="C6518" s="2">
        <v>42934.0</v>
      </c>
      <c r="D6518" s="2">
        <v>13349.0</v>
      </c>
      <c r="E6518" s="3">
        <f t="shared" si="1"/>
        <v>0.3398940775</v>
      </c>
      <c r="F6518" s="2">
        <v>4527.0</v>
      </c>
      <c r="G6518" s="3">
        <f t="shared" si="2"/>
        <v>0.1152670978</v>
      </c>
      <c r="H6518" s="2">
        <v>8112.0</v>
      </c>
      <c r="I6518" s="3">
        <f t="shared" si="3"/>
        <v>0.2065488618</v>
      </c>
      <c r="J6518" s="2">
        <v>6428.0</v>
      </c>
      <c r="K6518" s="3">
        <f t="shared" si="4"/>
        <v>0.1636706218</v>
      </c>
      <c r="L6518" s="2">
        <v>4816.0</v>
      </c>
      <c r="M6518" s="3">
        <f t="shared" si="5"/>
        <v>0.5936883629</v>
      </c>
      <c r="N6518" s="2">
        <v>4.44539E7</v>
      </c>
      <c r="O6518" s="4">
        <f t="shared" si="6"/>
        <v>5480.017258</v>
      </c>
      <c r="P6518" s="2">
        <v>4.0</v>
      </c>
      <c r="Q6518" s="3">
        <f t="shared" si="7"/>
        <v>0.001092896175</v>
      </c>
      <c r="R6518" s="2">
        <v>3619.0</v>
      </c>
      <c r="S6518" s="5">
        <f t="shared" si="8"/>
        <v>0.9887978142</v>
      </c>
    </row>
    <row r="6519">
      <c r="A6519" s="2" t="s">
        <v>6516</v>
      </c>
      <c r="B6519" s="2">
        <v>176.0</v>
      </c>
      <c r="C6519" s="2">
        <v>2050.0</v>
      </c>
      <c r="D6519" s="2">
        <v>599.0</v>
      </c>
      <c r="E6519" s="3">
        <f t="shared" si="1"/>
        <v>0.3196371398</v>
      </c>
      <c r="F6519" s="2">
        <v>216.0</v>
      </c>
      <c r="G6519" s="3">
        <f t="shared" si="2"/>
        <v>0.1152614728</v>
      </c>
      <c r="H6519" s="2">
        <v>368.0</v>
      </c>
      <c r="I6519" s="3">
        <f t="shared" si="3"/>
        <v>0.1963713981</v>
      </c>
      <c r="J6519" s="2">
        <v>290.0</v>
      </c>
      <c r="K6519" s="3">
        <f t="shared" si="4"/>
        <v>0.1547491996</v>
      </c>
      <c r="L6519" s="2">
        <v>210.0</v>
      </c>
      <c r="M6519" s="3">
        <f t="shared" si="5"/>
        <v>0.5706521739</v>
      </c>
      <c r="N6519" s="2">
        <v>2238600.0</v>
      </c>
      <c r="O6519" s="4">
        <f t="shared" si="6"/>
        <v>6083.152174</v>
      </c>
      <c r="P6519" s="2">
        <v>1.0</v>
      </c>
      <c r="Q6519" s="3">
        <f t="shared" si="7"/>
        <v>0.005681818182</v>
      </c>
      <c r="R6519" s="2">
        <v>45.0</v>
      </c>
      <c r="S6519" s="5">
        <f t="shared" si="8"/>
        <v>0.2556818182</v>
      </c>
    </row>
    <row r="6520">
      <c r="A6520" s="2" t="s">
        <v>6517</v>
      </c>
      <c r="B6520" s="2">
        <v>531.0</v>
      </c>
      <c r="C6520" s="2">
        <v>6293.0</v>
      </c>
      <c r="D6520" s="2">
        <v>1845.0</v>
      </c>
      <c r="E6520" s="3">
        <f t="shared" si="1"/>
        <v>0.320201319</v>
      </c>
      <c r="F6520" s="2">
        <v>664.0</v>
      </c>
      <c r="G6520" s="3">
        <f t="shared" si="2"/>
        <v>0.1152377647</v>
      </c>
      <c r="H6520" s="2">
        <v>1181.0</v>
      </c>
      <c r="I6520" s="3">
        <f t="shared" si="3"/>
        <v>0.2049635543</v>
      </c>
      <c r="J6520" s="2">
        <v>1033.0</v>
      </c>
      <c r="K6520" s="3">
        <f t="shared" si="4"/>
        <v>0.1792780285</v>
      </c>
      <c r="L6520" s="2">
        <v>669.0</v>
      </c>
      <c r="M6520" s="3">
        <f t="shared" si="5"/>
        <v>0.566469094</v>
      </c>
      <c r="N6520" s="2">
        <v>6290600.0</v>
      </c>
      <c r="O6520" s="4">
        <f t="shared" si="6"/>
        <v>5326.502964</v>
      </c>
      <c r="P6520" s="2">
        <v>2.0</v>
      </c>
      <c r="Q6520" s="3">
        <f t="shared" si="7"/>
        <v>0.003766478343</v>
      </c>
      <c r="R6520" s="2">
        <v>531.0</v>
      </c>
      <c r="S6520" s="5">
        <f t="shared" si="8"/>
        <v>1</v>
      </c>
    </row>
    <row r="6521">
      <c r="A6521" s="2" t="s">
        <v>6518</v>
      </c>
      <c r="B6521" s="2">
        <v>47.0</v>
      </c>
      <c r="C6521" s="2">
        <v>559.0</v>
      </c>
      <c r="D6521" s="2">
        <v>174.0</v>
      </c>
      <c r="E6521" s="3">
        <f t="shared" si="1"/>
        <v>0.33984375</v>
      </c>
      <c r="F6521" s="2">
        <v>59.0</v>
      </c>
      <c r="G6521" s="3">
        <f t="shared" si="2"/>
        <v>0.115234375</v>
      </c>
      <c r="H6521" s="2">
        <v>115.0</v>
      </c>
      <c r="I6521" s="3">
        <f t="shared" si="3"/>
        <v>0.224609375</v>
      </c>
      <c r="J6521" s="2">
        <v>97.0</v>
      </c>
      <c r="K6521" s="3">
        <f t="shared" si="4"/>
        <v>0.189453125</v>
      </c>
      <c r="L6521" s="2">
        <v>68.0</v>
      </c>
      <c r="M6521" s="3">
        <f t="shared" si="5"/>
        <v>0.5913043478</v>
      </c>
      <c r="N6521" s="2">
        <v>647200.0</v>
      </c>
      <c r="O6521" s="4">
        <f t="shared" si="6"/>
        <v>5627.826087</v>
      </c>
      <c r="P6521" s="2">
        <v>0.0</v>
      </c>
      <c r="Q6521" s="3">
        <f t="shared" si="7"/>
        <v>0</v>
      </c>
      <c r="R6521" s="2">
        <v>47.0</v>
      </c>
      <c r="S6521" s="5">
        <f t="shared" si="8"/>
        <v>1</v>
      </c>
    </row>
    <row r="6522">
      <c r="A6522" s="2" t="s">
        <v>6519</v>
      </c>
      <c r="B6522" s="2">
        <v>317.0</v>
      </c>
      <c r="C6522" s="2">
        <v>3719.0</v>
      </c>
      <c r="D6522" s="2">
        <v>1171.0</v>
      </c>
      <c r="E6522" s="3">
        <f t="shared" si="1"/>
        <v>0.3442092887</v>
      </c>
      <c r="F6522" s="2">
        <v>392.0</v>
      </c>
      <c r="G6522" s="3">
        <f t="shared" si="2"/>
        <v>0.1152263374</v>
      </c>
      <c r="H6522" s="2">
        <v>730.0</v>
      </c>
      <c r="I6522" s="3">
        <f t="shared" si="3"/>
        <v>0.214579659</v>
      </c>
      <c r="J6522" s="2">
        <v>617.0</v>
      </c>
      <c r="K6522" s="3">
        <f t="shared" si="4"/>
        <v>0.1813639036</v>
      </c>
      <c r="L6522" s="2">
        <v>457.0</v>
      </c>
      <c r="M6522" s="3">
        <f t="shared" si="5"/>
        <v>0.6260273973</v>
      </c>
      <c r="N6522" s="2">
        <v>4204400.0</v>
      </c>
      <c r="O6522" s="4">
        <f t="shared" si="6"/>
        <v>5759.452055</v>
      </c>
      <c r="P6522" s="2">
        <v>0.0</v>
      </c>
      <c r="Q6522" s="3">
        <f t="shared" si="7"/>
        <v>0</v>
      </c>
      <c r="R6522" s="2">
        <v>0.0</v>
      </c>
      <c r="S6522" s="5">
        <f t="shared" si="8"/>
        <v>0</v>
      </c>
    </row>
    <row r="6523">
      <c r="A6523" s="2" t="s">
        <v>6520</v>
      </c>
      <c r="B6523" s="2">
        <v>2497.0</v>
      </c>
      <c r="C6523" s="2">
        <v>29141.0</v>
      </c>
      <c r="D6523" s="2">
        <v>9130.0</v>
      </c>
      <c r="E6523" s="3">
        <f t="shared" si="1"/>
        <v>0.3426662663</v>
      </c>
      <c r="F6523" s="2">
        <v>3070.0</v>
      </c>
      <c r="G6523" s="3">
        <f t="shared" si="2"/>
        <v>0.1152229395</v>
      </c>
      <c r="H6523" s="2">
        <v>5730.0</v>
      </c>
      <c r="I6523" s="3">
        <f t="shared" si="3"/>
        <v>0.2150577991</v>
      </c>
      <c r="J6523" s="2">
        <v>4754.0</v>
      </c>
      <c r="K6523" s="3">
        <f t="shared" si="4"/>
        <v>0.1784266627</v>
      </c>
      <c r="L6523" s="2">
        <v>3466.0</v>
      </c>
      <c r="M6523" s="3">
        <f t="shared" si="5"/>
        <v>0.604886562</v>
      </c>
      <c r="N6523" s="2">
        <v>3.281E7</v>
      </c>
      <c r="O6523" s="4">
        <f t="shared" si="6"/>
        <v>5726.00349</v>
      </c>
      <c r="P6523" s="2">
        <v>2.0</v>
      </c>
      <c r="Q6523" s="3">
        <f t="shared" si="7"/>
        <v>0.0008009611534</v>
      </c>
      <c r="R6523" s="2">
        <v>1654.0</v>
      </c>
      <c r="S6523" s="5">
        <f t="shared" si="8"/>
        <v>0.6623948738</v>
      </c>
    </row>
    <row r="6524">
      <c r="A6524" s="2" t="s">
        <v>6521</v>
      </c>
      <c r="B6524" s="2">
        <v>443.0</v>
      </c>
      <c r="C6524" s="2">
        <v>5261.0</v>
      </c>
      <c r="D6524" s="2">
        <v>1787.0</v>
      </c>
      <c r="E6524" s="3">
        <f t="shared" si="1"/>
        <v>0.3709007887</v>
      </c>
      <c r="F6524" s="2">
        <v>555.0</v>
      </c>
      <c r="G6524" s="3">
        <f t="shared" si="2"/>
        <v>0.1151930262</v>
      </c>
      <c r="H6524" s="2">
        <v>952.0</v>
      </c>
      <c r="I6524" s="3">
        <f t="shared" si="3"/>
        <v>0.197592362</v>
      </c>
      <c r="J6524" s="2">
        <v>785.0</v>
      </c>
      <c r="K6524" s="3">
        <f t="shared" si="4"/>
        <v>0.1629306766</v>
      </c>
      <c r="L6524" s="2">
        <v>573.0</v>
      </c>
      <c r="M6524" s="3">
        <f t="shared" si="5"/>
        <v>0.6018907563</v>
      </c>
      <c r="N6524" s="2">
        <v>5409600.0</v>
      </c>
      <c r="O6524" s="4">
        <f t="shared" si="6"/>
        <v>5682.352941</v>
      </c>
      <c r="P6524" s="2">
        <v>0.0</v>
      </c>
      <c r="Q6524" s="3">
        <f t="shared" si="7"/>
        <v>0</v>
      </c>
      <c r="R6524" s="2">
        <v>443.0</v>
      </c>
      <c r="S6524" s="5">
        <f t="shared" si="8"/>
        <v>1</v>
      </c>
    </row>
    <row r="6525">
      <c r="A6525" s="2" t="s">
        <v>6522</v>
      </c>
      <c r="B6525" s="2">
        <v>85.0</v>
      </c>
      <c r="C6525" s="2">
        <v>1014.0</v>
      </c>
      <c r="D6525" s="2">
        <v>306.0</v>
      </c>
      <c r="E6525" s="3">
        <f t="shared" si="1"/>
        <v>0.329386437</v>
      </c>
      <c r="F6525" s="2">
        <v>107.0</v>
      </c>
      <c r="G6525" s="3">
        <f t="shared" si="2"/>
        <v>0.1151776103</v>
      </c>
      <c r="H6525" s="2">
        <v>172.0</v>
      </c>
      <c r="I6525" s="3">
        <f t="shared" si="3"/>
        <v>0.1851453175</v>
      </c>
      <c r="J6525" s="2">
        <v>114.0</v>
      </c>
      <c r="K6525" s="3">
        <f t="shared" si="4"/>
        <v>0.1227125942</v>
      </c>
      <c r="L6525" s="2">
        <v>108.0</v>
      </c>
      <c r="M6525" s="3">
        <f t="shared" si="5"/>
        <v>0.6279069767</v>
      </c>
      <c r="N6525" s="2">
        <v>868400.0</v>
      </c>
      <c r="O6525" s="4">
        <f t="shared" si="6"/>
        <v>5048.837209</v>
      </c>
      <c r="P6525" s="2">
        <v>0.0</v>
      </c>
      <c r="Q6525" s="3">
        <f t="shared" si="7"/>
        <v>0</v>
      </c>
      <c r="R6525" s="2">
        <v>85.0</v>
      </c>
      <c r="S6525" s="5">
        <f t="shared" si="8"/>
        <v>1</v>
      </c>
    </row>
    <row r="6526">
      <c r="A6526" s="2" t="s">
        <v>6523</v>
      </c>
      <c r="B6526" s="2">
        <v>77.0</v>
      </c>
      <c r="C6526" s="2">
        <v>928.0</v>
      </c>
      <c r="D6526" s="2">
        <v>225.0</v>
      </c>
      <c r="E6526" s="3">
        <f t="shared" si="1"/>
        <v>0.2643948296</v>
      </c>
      <c r="F6526" s="2">
        <v>98.0</v>
      </c>
      <c r="G6526" s="3">
        <f t="shared" si="2"/>
        <v>0.1151586369</v>
      </c>
      <c r="H6526" s="2">
        <v>182.0</v>
      </c>
      <c r="I6526" s="3">
        <f t="shared" si="3"/>
        <v>0.21386604</v>
      </c>
      <c r="J6526" s="2">
        <v>167.0</v>
      </c>
      <c r="K6526" s="3">
        <f t="shared" si="4"/>
        <v>0.196239718</v>
      </c>
      <c r="L6526" s="2">
        <v>108.0</v>
      </c>
      <c r="M6526" s="3">
        <f t="shared" si="5"/>
        <v>0.5934065934</v>
      </c>
      <c r="N6526" s="2">
        <v>1022200.0</v>
      </c>
      <c r="O6526" s="4">
        <f t="shared" si="6"/>
        <v>5616.483516</v>
      </c>
      <c r="P6526" s="2">
        <v>0.0</v>
      </c>
      <c r="Q6526" s="3">
        <f t="shared" si="7"/>
        <v>0</v>
      </c>
      <c r="R6526" s="2">
        <v>77.0</v>
      </c>
      <c r="S6526" s="5">
        <f t="shared" si="8"/>
        <v>1</v>
      </c>
    </row>
    <row r="6527">
      <c r="A6527" s="2" t="s">
        <v>6524</v>
      </c>
      <c r="B6527" s="2">
        <v>2232.0</v>
      </c>
      <c r="C6527" s="2">
        <v>26312.0</v>
      </c>
      <c r="D6527" s="2">
        <v>7920.0</v>
      </c>
      <c r="E6527" s="3">
        <f t="shared" si="1"/>
        <v>0.3289036545</v>
      </c>
      <c r="F6527" s="2">
        <v>2773.0</v>
      </c>
      <c r="G6527" s="3">
        <f t="shared" si="2"/>
        <v>0.1151578073</v>
      </c>
      <c r="H6527" s="2">
        <v>4940.0</v>
      </c>
      <c r="I6527" s="3">
        <f t="shared" si="3"/>
        <v>0.2051495017</v>
      </c>
      <c r="J6527" s="2">
        <v>3889.0</v>
      </c>
      <c r="K6527" s="3">
        <f t="shared" si="4"/>
        <v>0.1615033223</v>
      </c>
      <c r="L6527" s="2">
        <v>2977.0</v>
      </c>
      <c r="M6527" s="3">
        <f t="shared" si="5"/>
        <v>0.6026315789</v>
      </c>
      <c r="N6527" s="2">
        <v>2.73517E7</v>
      </c>
      <c r="O6527" s="4">
        <f t="shared" si="6"/>
        <v>5536.781377</v>
      </c>
      <c r="P6527" s="2">
        <v>1.0</v>
      </c>
      <c r="Q6527" s="3">
        <f t="shared" si="7"/>
        <v>0.0004480286738</v>
      </c>
      <c r="R6527" s="2">
        <v>2232.0</v>
      </c>
      <c r="S6527" s="5">
        <f t="shared" si="8"/>
        <v>1</v>
      </c>
    </row>
    <row r="6528">
      <c r="A6528" s="2" t="s">
        <v>6525</v>
      </c>
      <c r="B6528" s="2">
        <v>353.0</v>
      </c>
      <c r="C6528" s="2">
        <v>4174.0</v>
      </c>
      <c r="D6528" s="2">
        <v>1497.0</v>
      </c>
      <c r="E6528" s="3">
        <f t="shared" si="1"/>
        <v>0.391782256</v>
      </c>
      <c r="F6528" s="2">
        <v>440.0</v>
      </c>
      <c r="G6528" s="3">
        <f t="shared" si="2"/>
        <v>0.1151531013</v>
      </c>
      <c r="H6528" s="2">
        <v>760.0</v>
      </c>
      <c r="I6528" s="3">
        <f t="shared" si="3"/>
        <v>0.1989008113</v>
      </c>
      <c r="J6528" s="2">
        <v>517.0</v>
      </c>
      <c r="K6528" s="3">
        <f t="shared" si="4"/>
        <v>0.135304894</v>
      </c>
      <c r="L6528" s="2">
        <v>456.0</v>
      </c>
      <c r="M6528" s="3">
        <f t="shared" si="5"/>
        <v>0.6</v>
      </c>
      <c r="N6528" s="2">
        <v>4066100.0</v>
      </c>
      <c r="O6528" s="4">
        <f t="shared" si="6"/>
        <v>5350.131579</v>
      </c>
      <c r="P6528" s="2">
        <v>1.0</v>
      </c>
      <c r="Q6528" s="3">
        <f t="shared" si="7"/>
        <v>0.00283286119</v>
      </c>
      <c r="R6528" s="2">
        <v>353.0</v>
      </c>
      <c r="S6528" s="5">
        <f t="shared" si="8"/>
        <v>1</v>
      </c>
    </row>
    <row r="6529">
      <c r="A6529" s="2" t="s">
        <v>6526</v>
      </c>
      <c r="B6529" s="2">
        <v>263.0</v>
      </c>
      <c r="C6529" s="2">
        <v>3068.0</v>
      </c>
      <c r="D6529" s="2">
        <v>962.0</v>
      </c>
      <c r="E6529" s="3">
        <f t="shared" si="1"/>
        <v>0.3429590018</v>
      </c>
      <c r="F6529" s="2">
        <v>323.0</v>
      </c>
      <c r="G6529" s="3">
        <f t="shared" si="2"/>
        <v>0.1151515152</v>
      </c>
      <c r="H6529" s="2">
        <v>585.0</v>
      </c>
      <c r="I6529" s="3">
        <f t="shared" si="3"/>
        <v>0.2085561497</v>
      </c>
      <c r="J6529" s="2">
        <v>478.0</v>
      </c>
      <c r="K6529" s="3">
        <f t="shared" si="4"/>
        <v>0.1704099822</v>
      </c>
      <c r="L6529" s="2">
        <v>350.0</v>
      </c>
      <c r="M6529" s="3">
        <f t="shared" si="5"/>
        <v>0.5982905983</v>
      </c>
      <c r="N6529" s="2">
        <v>3182600.0</v>
      </c>
      <c r="O6529" s="4">
        <f t="shared" si="6"/>
        <v>5440.34188</v>
      </c>
      <c r="P6529" s="2">
        <v>0.0</v>
      </c>
      <c r="Q6529" s="3">
        <f t="shared" si="7"/>
        <v>0</v>
      </c>
      <c r="R6529" s="2">
        <v>263.0</v>
      </c>
      <c r="S6529" s="5">
        <f t="shared" si="8"/>
        <v>1</v>
      </c>
    </row>
    <row r="6530">
      <c r="A6530" s="2" t="s">
        <v>6527</v>
      </c>
      <c r="B6530" s="2">
        <v>159.0</v>
      </c>
      <c r="C6530" s="2">
        <v>1922.0</v>
      </c>
      <c r="D6530" s="2">
        <v>566.0</v>
      </c>
      <c r="E6530" s="3">
        <f t="shared" si="1"/>
        <v>0.3210436756</v>
      </c>
      <c r="F6530" s="2">
        <v>203.0</v>
      </c>
      <c r="G6530" s="3">
        <f t="shared" si="2"/>
        <v>0.1151446398</v>
      </c>
      <c r="H6530" s="2">
        <v>360.0</v>
      </c>
      <c r="I6530" s="3">
        <f t="shared" si="3"/>
        <v>0.2041973908</v>
      </c>
      <c r="J6530" s="2">
        <v>247.0</v>
      </c>
      <c r="K6530" s="3">
        <f t="shared" si="4"/>
        <v>0.1401020987</v>
      </c>
      <c r="L6530" s="2">
        <v>210.0</v>
      </c>
      <c r="M6530" s="3">
        <f t="shared" si="5"/>
        <v>0.5833333333</v>
      </c>
      <c r="N6530" s="2">
        <v>1904900.0</v>
      </c>
      <c r="O6530" s="4">
        <f t="shared" si="6"/>
        <v>5291.388889</v>
      </c>
      <c r="P6530" s="2">
        <v>0.0</v>
      </c>
      <c r="Q6530" s="3">
        <f t="shared" si="7"/>
        <v>0</v>
      </c>
      <c r="R6530" s="2">
        <v>0.0</v>
      </c>
      <c r="S6530" s="5">
        <f t="shared" si="8"/>
        <v>0</v>
      </c>
    </row>
    <row r="6531">
      <c r="A6531" s="2" t="s">
        <v>6528</v>
      </c>
      <c r="B6531" s="2">
        <v>501.0</v>
      </c>
      <c r="C6531" s="2">
        <v>5877.0</v>
      </c>
      <c r="D6531" s="2">
        <v>1727.0</v>
      </c>
      <c r="E6531" s="3">
        <f t="shared" si="1"/>
        <v>0.3212425595</v>
      </c>
      <c r="F6531" s="2">
        <v>619.0</v>
      </c>
      <c r="G6531" s="3">
        <f t="shared" si="2"/>
        <v>0.115141369</v>
      </c>
      <c r="H6531" s="2">
        <v>1142.0</v>
      </c>
      <c r="I6531" s="3">
        <f t="shared" si="3"/>
        <v>0.2124255952</v>
      </c>
      <c r="J6531" s="2">
        <v>899.0</v>
      </c>
      <c r="K6531" s="3">
        <f t="shared" si="4"/>
        <v>0.1672247024</v>
      </c>
      <c r="L6531" s="2">
        <v>706.0</v>
      </c>
      <c r="M6531" s="3">
        <f t="shared" si="5"/>
        <v>0.6182136602</v>
      </c>
      <c r="N6531" s="2">
        <v>6442700.0</v>
      </c>
      <c r="O6531" s="4">
        <f t="shared" si="6"/>
        <v>5641.593695</v>
      </c>
      <c r="P6531" s="2">
        <v>2.0</v>
      </c>
      <c r="Q6531" s="3">
        <f t="shared" si="7"/>
        <v>0.003992015968</v>
      </c>
      <c r="R6531" s="2">
        <v>501.0</v>
      </c>
      <c r="S6531" s="5">
        <f t="shared" si="8"/>
        <v>1</v>
      </c>
    </row>
    <row r="6532">
      <c r="A6532" s="2" t="s">
        <v>6529</v>
      </c>
      <c r="B6532" s="2">
        <v>1523.0</v>
      </c>
      <c r="C6532" s="2">
        <v>18164.0</v>
      </c>
      <c r="D6532" s="2">
        <v>6531.0</v>
      </c>
      <c r="E6532" s="3">
        <f t="shared" si="1"/>
        <v>0.3924643952</v>
      </c>
      <c r="F6532" s="2">
        <v>1916.0</v>
      </c>
      <c r="G6532" s="3">
        <f t="shared" si="2"/>
        <v>0.1151373115</v>
      </c>
      <c r="H6532" s="2">
        <v>3679.0</v>
      </c>
      <c r="I6532" s="3">
        <f t="shared" si="3"/>
        <v>0.2210804639</v>
      </c>
      <c r="J6532" s="2">
        <v>2805.0</v>
      </c>
      <c r="K6532" s="3">
        <f t="shared" si="4"/>
        <v>0.1685595818</v>
      </c>
      <c r="L6532" s="2">
        <v>2218.0</v>
      </c>
      <c r="M6532" s="3">
        <f t="shared" si="5"/>
        <v>0.6028812177</v>
      </c>
      <c r="N6532" s="2">
        <v>1.97821E7</v>
      </c>
      <c r="O6532" s="4">
        <f t="shared" si="6"/>
        <v>5377.031802</v>
      </c>
      <c r="P6532" s="2">
        <v>2.0</v>
      </c>
      <c r="Q6532" s="3">
        <f t="shared" si="7"/>
        <v>0.001313197636</v>
      </c>
      <c r="R6532" s="2">
        <v>1523.0</v>
      </c>
      <c r="S6532" s="5">
        <f t="shared" si="8"/>
        <v>1</v>
      </c>
    </row>
    <row r="6533">
      <c r="A6533" s="2" t="s">
        <v>6530</v>
      </c>
      <c r="B6533" s="2">
        <v>227.0</v>
      </c>
      <c r="C6533" s="2">
        <v>2685.0</v>
      </c>
      <c r="D6533" s="2">
        <v>847.0</v>
      </c>
      <c r="E6533" s="3">
        <f t="shared" si="1"/>
        <v>0.3445890968</v>
      </c>
      <c r="F6533" s="2">
        <v>283.0</v>
      </c>
      <c r="G6533" s="3">
        <f t="shared" si="2"/>
        <v>0.1151342555</v>
      </c>
      <c r="H6533" s="2">
        <v>520.0</v>
      </c>
      <c r="I6533" s="3">
        <f t="shared" si="3"/>
        <v>0.211554109</v>
      </c>
      <c r="J6533" s="2">
        <v>457.0</v>
      </c>
      <c r="K6533" s="3">
        <f t="shared" si="4"/>
        <v>0.1859235151</v>
      </c>
      <c r="L6533" s="2">
        <v>315.0</v>
      </c>
      <c r="M6533" s="3">
        <f t="shared" si="5"/>
        <v>0.6057692308</v>
      </c>
      <c r="N6533" s="2">
        <v>2946100.0</v>
      </c>
      <c r="O6533" s="4">
        <f t="shared" si="6"/>
        <v>5665.576923</v>
      </c>
      <c r="P6533" s="2">
        <v>0.0</v>
      </c>
      <c r="Q6533" s="3">
        <f t="shared" si="7"/>
        <v>0</v>
      </c>
      <c r="R6533" s="2">
        <v>40.0</v>
      </c>
      <c r="S6533" s="5">
        <f t="shared" si="8"/>
        <v>0.1762114537</v>
      </c>
    </row>
    <row r="6534">
      <c r="A6534" s="2" t="s">
        <v>6531</v>
      </c>
      <c r="B6534" s="2">
        <v>861.0</v>
      </c>
      <c r="C6534" s="2">
        <v>10251.0</v>
      </c>
      <c r="D6534" s="2">
        <v>3381.0</v>
      </c>
      <c r="E6534" s="3">
        <f t="shared" si="1"/>
        <v>0.3600638978</v>
      </c>
      <c r="F6534" s="2">
        <v>1081.0</v>
      </c>
      <c r="G6534" s="3">
        <f t="shared" si="2"/>
        <v>0.1151224707</v>
      </c>
      <c r="H6534" s="2">
        <v>1862.0</v>
      </c>
      <c r="I6534" s="3">
        <f t="shared" si="3"/>
        <v>0.1982960596</v>
      </c>
      <c r="J6534" s="2">
        <v>1531.0</v>
      </c>
      <c r="K6534" s="3">
        <f t="shared" si="4"/>
        <v>0.1630457934</v>
      </c>
      <c r="L6534" s="2">
        <v>1095.0</v>
      </c>
      <c r="M6534" s="3">
        <f t="shared" si="5"/>
        <v>0.5880773362</v>
      </c>
      <c r="N6534" s="2">
        <v>1.01078E7</v>
      </c>
      <c r="O6534" s="4">
        <f t="shared" si="6"/>
        <v>5428.464017</v>
      </c>
      <c r="P6534" s="2">
        <v>1.0</v>
      </c>
      <c r="Q6534" s="3">
        <f t="shared" si="7"/>
        <v>0.001161440186</v>
      </c>
      <c r="R6534" s="2">
        <v>345.0</v>
      </c>
      <c r="S6534" s="5">
        <f t="shared" si="8"/>
        <v>0.4006968641</v>
      </c>
    </row>
    <row r="6535">
      <c r="A6535" s="2" t="s">
        <v>6532</v>
      </c>
      <c r="B6535" s="2">
        <v>428.0</v>
      </c>
      <c r="C6535" s="2">
        <v>5084.0</v>
      </c>
      <c r="D6535" s="2">
        <v>1408.0</v>
      </c>
      <c r="E6535" s="3">
        <f t="shared" si="1"/>
        <v>0.3024054983</v>
      </c>
      <c r="F6535" s="2">
        <v>536.0</v>
      </c>
      <c r="G6535" s="3">
        <f t="shared" si="2"/>
        <v>0.1151202749</v>
      </c>
      <c r="H6535" s="2">
        <v>953.0</v>
      </c>
      <c r="I6535" s="3">
        <f t="shared" si="3"/>
        <v>0.2046821306</v>
      </c>
      <c r="J6535" s="2">
        <v>794.0</v>
      </c>
      <c r="K6535" s="3">
        <f t="shared" si="4"/>
        <v>0.170532646</v>
      </c>
      <c r="L6535" s="2">
        <v>555.0</v>
      </c>
      <c r="M6535" s="3">
        <f t="shared" si="5"/>
        <v>0.5823714586</v>
      </c>
      <c r="N6535" s="2">
        <v>5141100.0</v>
      </c>
      <c r="O6535" s="4">
        <f t="shared" si="6"/>
        <v>5394.648478</v>
      </c>
      <c r="P6535" s="2">
        <v>0.0</v>
      </c>
      <c r="Q6535" s="3">
        <f t="shared" si="7"/>
        <v>0</v>
      </c>
      <c r="R6535" s="2">
        <v>428.0</v>
      </c>
      <c r="S6535" s="5">
        <f t="shared" si="8"/>
        <v>1</v>
      </c>
    </row>
    <row r="6536">
      <c r="A6536" s="2" t="s">
        <v>6533</v>
      </c>
      <c r="B6536" s="2">
        <v>6633.0</v>
      </c>
      <c r="C6536" s="2">
        <v>77597.0</v>
      </c>
      <c r="D6536" s="2">
        <v>11686.0</v>
      </c>
      <c r="E6536" s="3">
        <f t="shared" si="1"/>
        <v>0.1646750465</v>
      </c>
      <c r="F6536" s="2">
        <v>8169.0</v>
      </c>
      <c r="G6536" s="3">
        <f t="shared" si="2"/>
        <v>0.115114706</v>
      </c>
      <c r="H6536" s="2">
        <v>14156.0</v>
      </c>
      <c r="I6536" s="3">
        <f t="shared" si="3"/>
        <v>0.1994814272</v>
      </c>
      <c r="J6536" s="2">
        <v>13792.0</v>
      </c>
      <c r="K6536" s="3">
        <f t="shared" si="4"/>
        <v>0.1943520658</v>
      </c>
      <c r="L6536" s="2">
        <v>8431.0</v>
      </c>
      <c r="M6536" s="3">
        <f t="shared" si="5"/>
        <v>0.5955778468</v>
      </c>
      <c r="N6536" s="2">
        <v>8.72495E7</v>
      </c>
      <c r="O6536" s="4">
        <f t="shared" si="6"/>
        <v>6163.428935</v>
      </c>
      <c r="P6536" s="2">
        <v>17.0</v>
      </c>
      <c r="Q6536" s="3">
        <f t="shared" si="7"/>
        <v>0.002562942861</v>
      </c>
      <c r="R6536" s="2">
        <v>6633.0</v>
      </c>
      <c r="S6536" s="5">
        <f t="shared" si="8"/>
        <v>1</v>
      </c>
    </row>
    <row r="6537">
      <c r="A6537" s="2" t="s">
        <v>6534</v>
      </c>
      <c r="B6537" s="2">
        <v>1591.0</v>
      </c>
      <c r="C6537" s="2">
        <v>18835.0</v>
      </c>
      <c r="D6537" s="2">
        <v>4676.0</v>
      </c>
      <c r="E6537" s="3">
        <f t="shared" si="1"/>
        <v>0.2711667826</v>
      </c>
      <c r="F6537" s="2">
        <v>1985.0</v>
      </c>
      <c r="G6537" s="3">
        <f t="shared" si="2"/>
        <v>0.1151125029</v>
      </c>
      <c r="H6537" s="2">
        <v>3493.0</v>
      </c>
      <c r="I6537" s="3">
        <f t="shared" si="3"/>
        <v>0.2025632104</v>
      </c>
      <c r="J6537" s="2">
        <v>2792.0</v>
      </c>
      <c r="K6537" s="3">
        <f t="shared" si="4"/>
        <v>0.1619113895</v>
      </c>
      <c r="L6537" s="2">
        <v>2133.0</v>
      </c>
      <c r="M6537" s="3">
        <f t="shared" si="5"/>
        <v>0.6106498712</v>
      </c>
      <c r="N6537" s="2">
        <v>1.92419E7</v>
      </c>
      <c r="O6537" s="4">
        <f t="shared" si="6"/>
        <v>5508.703121</v>
      </c>
      <c r="P6537" s="2">
        <v>3.0</v>
      </c>
      <c r="Q6537" s="3">
        <f t="shared" si="7"/>
        <v>0.001885606537</v>
      </c>
      <c r="R6537" s="2">
        <v>1591.0</v>
      </c>
      <c r="S6537" s="5">
        <f t="shared" si="8"/>
        <v>1</v>
      </c>
    </row>
    <row r="6538">
      <c r="A6538" s="2" t="s">
        <v>6535</v>
      </c>
      <c r="B6538" s="2">
        <v>67.0</v>
      </c>
      <c r="C6538" s="2">
        <v>762.0</v>
      </c>
      <c r="D6538" s="2">
        <v>216.0</v>
      </c>
      <c r="E6538" s="3">
        <f t="shared" si="1"/>
        <v>0.3107913669</v>
      </c>
      <c r="F6538" s="2">
        <v>80.0</v>
      </c>
      <c r="G6538" s="3">
        <f t="shared" si="2"/>
        <v>0.1151079137</v>
      </c>
      <c r="H6538" s="2">
        <v>134.0</v>
      </c>
      <c r="I6538" s="3">
        <f t="shared" si="3"/>
        <v>0.1928057554</v>
      </c>
      <c r="J6538" s="2">
        <v>128.0</v>
      </c>
      <c r="K6538" s="3">
        <f t="shared" si="4"/>
        <v>0.1841726619</v>
      </c>
      <c r="L6538" s="2">
        <v>74.0</v>
      </c>
      <c r="M6538" s="3">
        <f t="shared" si="5"/>
        <v>0.552238806</v>
      </c>
      <c r="N6538" s="2">
        <v>794400.0</v>
      </c>
      <c r="O6538" s="4">
        <f t="shared" si="6"/>
        <v>5928.358209</v>
      </c>
      <c r="P6538" s="2">
        <v>1.0</v>
      </c>
      <c r="Q6538" s="3">
        <f t="shared" si="7"/>
        <v>0.01492537313</v>
      </c>
      <c r="R6538" s="2">
        <v>67.0</v>
      </c>
      <c r="S6538" s="5">
        <f t="shared" si="8"/>
        <v>1</v>
      </c>
    </row>
    <row r="6539">
      <c r="A6539" s="2" t="s">
        <v>6536</v>
      </c>
      <c r="B6539" s="2">
        <v>246.0</v>
      </c>
      <c r="C6539" s="2">
        <v>2861.0</v>
      </c>
      <c r="D6539" s="2">
        <v>886.0</v>
      </c>
      <c r="E6539" s="3">
        <f t="shared" si="1"/>
        <v>0.3388145315</v>
      </c>
      <c r="F6539" s="2">
        <v>301.0</v>
      </c>
      <c r="G6539" s="3">
        <f t="shared" si="2"/>
        <v>0.1151051625</v>
      </c>
      <c r="H6539" s="2">
        <v>564.0</v>
      </c>
      <c r="I6539" s="3">
        <f t="shared" si="3"/>
        <v>0.2156787763</v>
      </c>
      <c r="J6539" s="2">
        <v>469.0</v>
      </c>
      <c r="K6539" s="3">
        <f t="shared" si="4"/>
        <v>0.1793499044</v>
      </c>
      <c r="L6539" s="2">
        <v>345.0</v>
      </c>
      <c r="M6539" s="3">
        <f t="shared" si="5"/>
        <v>0.6117021277</v>
      </c>
      <c r="N6539" s="2">
        <v>2962400.0</v>
      </c>
      <c r="O6539" s="4">
        <f t="shared" si="6"/>
        <v>5252.48227</v>
      </c>
      <c r="P6539" s="2">
        <v>0.0</v>
      </c>
      <c r="Q6539" s="3">
        <f t="shared" si="7"/>
        <v>0</v>
      </c>
      <c r="R6539" s="2">
        <v>246.0</v>
      </c>
      <c r="S6539" s="5">
        <f t="shared" si="8"/>
        <v>1</v>
      </c>
    </row>
    <row r="6540">
      <c r="A6540" s="2" t="s">
        <v>6537</v>
      </c>
      <c r="B6540" s="2">
        <v>1184.0</v>
      </c>
      <c r="C6540" s="2">
        <v>13921.0</v>
      </c>
      <c r="D6540" s="2">
        <v>4915.0</v>
      </c>
      <c r="E6540" s="3">
        <f t="shared" si="1"/>
        <v>0.3858836461</v>
      </c>
      <c r="F6540" s="2">
        <v>1466.0</v>
      </c>
      <c r="G6540" s="3">
        <f t="shared" si="2"/>
        <v>0.1150977467</v>
      </c>
      <c r="H6540" s="2">
        <v>2747.0</v>
      </c>
      <c r="I6540" s="3">
        <f t="shared" si="3"/>
        <v>0.2156708801</v>
      </c>
      <c r="J6540" s="2">
        <v>2187.0</v>
      </c>
      <c r="K6540" s="3">
        <f t="shared" si="4"/>
        <v>0.171704483</v>
      </c>
      <c r="L6540" s="2">
        <v>1647.0</v>
      </c>
      <c r="M6540" s="3">
        <f t="shared" si="5"/>
        <v>0.5995631598</v>
      </c>
      <c r="N6540" s="2">
        <v>1.51666E7</v>
      </c>
      <c r="O6540" s="4">
        <f t="shared" si="6"/>
        <v>5521.150346</v>
      </c>
      <c r="P6540" s="2">
        <v>1.0</v>
      </c>
      <c r="Q6540" s="3">
        <f t="shared" si="7"/>
        <v>0.0008445945946</v>
      </c>
      <c r="R6540" s="2">
        <v>1184.0</v>
      </c>
      <c r="S6540" s="5">
        <f t="shared" si="8"/>
        <v>1</v>
      </c>
    </row>
    <row r="6541">
      <c r="A6541" s="2" t="s">
        <v>6538</v>
      </c>
      <c r="B6541" s="2">
        <v>807.0</v>
      </c>
      <c r="C6541" s="2">
        <v>9565.0</v>
      </c>
      <c r="D6541" s="2">
        <v>2815.0</v>
      </c>
      <c r="E6541" s="3">
        <f t="shared" si="1"/>
        <v>0.3214204156</v>
      </c>
      <c r="F6541" s="2">
        <v>1008.0</v>
      </c>
      <c r="G6541" s="3">
        <f t="shared" si="2"/>
        <v>0.1150947705</v>
      </c>
      <c r="H6541" s="2">
        <v>1646.0</v>
      </c>
      <c r="I6541" s="3">
        <f t="shared" si="3"/>
        <v>0.1879424526</v>
      </c>
      <c r="J6541" s="2">
        <v>1543.0</v>
      </c>
      <c r="K6541" s="3">
        <f t="shared" si="4"/>
        <v>0.1761817767</v>
      </c>
      <c r="L6541" s="2">
        <v>949.0</v>
      </c>
      <c r="M6541" s="3">
        <f t="shared" si="5"/>
        <v>0.5765492102</v>
      </c>
      <c r="N6541" s="2">
        <v>9650300.0</v>
      </c>
      <c r="O6541" s="4">
        <f t="shared" si="6"/>
        <v>5862.879708</v>
      </c>
      <c r="P6541" s="2">
        <v>1.0</v>
      </c>
      <c r="Q6541" s="3">
        <f t="shared" si="7"/>
        <v>0.001239157373</v>
      </c>
      <c r="R6541" s="2">
        <v>807.0</v>
      </c>
      <c r="S6541" s="5">
        <f t="shared" si="8"/>
        <v>1</v>
      </c>
    </row>
    <row r="6542">
      <c r="A6542" s="2" t="s">
        <v>6539</v>
      </c>
      <c r="B6542" s="2">
        <v>631.0</v>
      </c>
      <c r="C6542" s="2">
        <v>7496.0</v>
      </c>
      <c r="D6542" s="2">
        <v>2351.0</v>
      </c>
      <c r="E6542" s="3">
        <f t="shared" si="1"/>
        <v>0.3424617626</v>
      </c>
      <c r="F6542" s="2">
        <v>790.0</v>
      </c>
      <c r="G6542" s="3">
        <f t="shared" si="2"/>
        <v>0.1150764749</v>
      </c>
      <c r="H6542" s="2">
        <v>1433.0</v>
      </c>
      <c r="I6542" s="3">
        <f t="shared" si="3"/>
        <v>0.2087399854</v>
      </c>
      <c r="J6542" s="2">
        <v>958.0</v>
      </c>
      <c r="K6542" s="3">
        <f t="shared" si="4"/>
        <v>0.1395484341</v>
      </c>
      <c r="L6542" s="2">
        <v>874.0</v>
      </c>
      <c r="M6542" s="3">
        <f t="shared" si="5"/>
        <v>0.6099092812</v>
      </c>
      <c r="N6542" s="2">
        <v>7791800.0</v>
      </c>
      <c r="O6542" s="4">
        <f t="shared" si="6"/>
        <v>5437.404047</v>
      </c>
      <c r="P6542" s="2">
        <v>0.0</v>
      </c>
      <c r="Q6542" s="3">
        <f t="shared" si="7"/>
        <v>0</v>
      </c>
      <c r="R6542" s="2">
        <v>631.0</v>
      </c>
      <c r="S6542" s="5">
        <f t="shared" si="8"/>
        <v>1</v>
      </c>
    </row>
    <row r="6543">
      <c r="A6543" s="2" t="s">
        <v>6540</v>
      </c>
      <c r="B6543" s="2">
        <v>333.0</v>
      </c>
      <c r="C6543" s="2">
        <v>3992.0</v>
      </c>
      <c r="D6543" s="2">
        <v>1486.0</v>
      </c>
      <c r="E6543" s="3">
        <f t="shared" si="1"/>
        <v>0.4061218912</v>
      </c>
      <c r="F6543" s="2">
        <v>421.0</v>
      </c>
      <c r="G6543" s="3">
        <f t="shared" si="2"/>
        <v>0.1150587592</v>
      </c>
      <c r="H6543" s="2">
        <v>783.0</v>
      </c>
      <c r="I6543" s="3">
        <f t="shared" si="3"/>
        <v>0.2139928942</v>
      </c>
      <c r="J6543" s="2">
        <v>629.0</v>
      </c>
      <c r="K6543" s="3">
        <f t="shared" si="4"/>
        <v>0.171904892</v>
      </c>
      <c r="L6543" s="2">
        <v>476.0</v>
      </c>
      <c r="M6543" s="3">
        <f t="shared" si="5"/>
        <v>0.6079182631</v>
      </c>
      <c r="N6543" s="2">
        <v>4247800.0</v>
      </c>
      <c r="O6543" s="4">
        <f t="shared" si="6"/>
        <v>5425.031928</v>
      </c>
      <c r="P6543" s="2">
        <v>0.0</v>
      </c>
      <c r="Q6543" s="3">
        <f t="shared" si="7"/>
        <v>0</v>
      </c>
      <c r="R6543" s="2">
        <v>333.0</v>
      </c>
      <c r="S6543" s="5">
        <f t="shared" si="8"/>
        <v>1</v>
      </c>
    </row>
    <row r="6544">
      <c r="A6544" s="2" t="s">
        <v>6541</v>
      </c>
      <c r="B6544" s="2">
        <v>448.0</v>
      </c>
      <c r="C6544" s="2">
        <v>5098.0</v>
      </c>
      <c r="D6544" s="2">
        <v>1423.0</v>
      </c>
      <c r="E6544" s="3">
        <f t="shared" si="1"/>
        <v>0.3060215054</v>
      </c>
      <c r="F6544" s="2">
        <v>535.0</v>
      </c>
      <c r="G6544" s="3">
        <f t="shared" si="2"/>
        <v>0.1150537634</v>
      </c>
      <c r="H6544" s="2">
        <v>992.0</v>
      </c>
      <c r="I6544" s="3">
        <f t="shared" si="3"/>
        <v>0.2133333333</v>
      </c>
      <c r="J6544" s="2">
        <v>880.0</v>
      </c>
      <c r="K6544" s="3">
        <f t="shared" si="4"/>
        <v>0.1892473118</v>
      </c>
      <c r="L6544" s="2">
        <v>553.0</v>
      </c>
      <c r="M6544" s="3">
        <f t="shared" si="5"/>
        <v>0.5574596774</v>
      </c>
      <c r="N6544" s="2">
        <v>6096300.0</v>
      </c>
      <c r="O6544" s="4">
        <f t="shared" si="6"/>
        <v>6145.46371</v>
      </c>
      <c r="P6544" s="2">
        <v>1.0</v>
      </c>
      <c r="Q6544" s="3">
        <f t="shared" si="7"/>
        <v>0.002232142857</v>
      </c>
      <c r="R6544" s="2">
        <v>448.0</v>
      </c>
      <c r="S6544" s="5">
        <f t="shared" si="8"/>
        <v>1</v>
      </c>
    </row>
    <row r="6545">
      <c r="A6545" s="2" t="s">
        <v>6542</v>
      </c>
      <c r="B6545" s="2">
        <v>283.0</v>
      </c>
      <c r="C6545" s="2">
        <v>3299.0</v>
      </c>
      <c r="D6545" s="2">
        <v>1118.0</v>
      </c>
      <c r="E6545" s="3">
        <f t="shared" si="1"/>
        <v>0.3706896552</v>
      </c>
      <c r="F6545" s="2">
        <v>347.0</v>
      </c>
      <c r="G6545" s="3">
        <f t="shared" si="2"/>
        <v>0.1150530504</v>
      </c>
      <c r="H6545" s="2">
        <v>609.0</v>
      </c>
      <c r="I6545" s="3">
        <f t="shared" si="3"/>
        <v>0.2019230769</v>
      </c>
      <c r="J6545" s="2">
        <v>492.0</v>
      </c>
      <c r="K6545" s="3">
        <f t="shared" si="4"/>
        <v>0.1631299735</v>
      </c>
      <c r="L6545" s="2">
        <v>358.0</v>
      </c>
      <c r="M6545" s="3">
        <f t="shared" si="5"/>
        <v>0.5878489327</v>
      </c>
      <c r="N6545" s="2">
        <v>3270200.0</v>
      </c>
      <c r="O6545" s="4">
        <f t="shared" si="6"/>
        <v>5369.786535</v>
      </c>
      <c r="P6545" s="2">
        <v>0.0</v>
      </c>
      <c r="Q6545" s="3">
        <f t="shared" si="7"/>
        <v>0</v>
      </c>
      <c r="R6545" s="2">
        <v>283.0</v>
      </c>
      <c r="S6545" s="5">
        <f t="shared" si="8"/>
        <v>1</v>
      </c>
    </row>
    <row r="6546">
      <c r="A6546" s="2" t="s">
        <v>6543</v>
      </c>
      <c r="B6546" s="2">
        <v>819.0</v>
      </c>
      <c r="C6546" s="2">
        <v>9737.0</v>
      </c>
      <c r="D6546" s="2">
        <v>2823.0</v>
      </c>
      <c r="E6546" s="3">
        <f t="shared" si="1"/>
        <v>0.3165507961</v>
      </c>
      <c r="F6546" s="2">
        <v>1026.0</v>
      </c>
      <c r="G6546" s="3">
        <f t="shared" si="2"/>
        <v>0.1150482171</v>
      </c>
      <c r="H6546" s="2">
        <v>1798.0</v>
      </c>
      <c r="I6546" s="3">
        <f t="shared" si="3"/>
        <v>0.2016147118</v>
      </c>
      <c r="J6546" s="2">
        <v>1112.0</v>
      </c>
      <c r="K6546" s="3">
        <f t="shared" si="4"/>
        <v>0.1246916349</v>
      </c>
      <c r="L6546" s="2">
        <v>1100.0</v>
      </c>
      <c r="M6546" s="3">
        <f t="shared" si="5"/>
        <v>0.6117908788</v>
      </c>
      <c r="N6546" s="2">
        <v>9791100.0</v>
      </c>
      <c r="O6546" s="4">
        <f t="shared" si="6"/>
        <v>5445.550612</v>
      </c>
      <c r="P6546" s="2">
        <v>0.0</v>
      </c>
      <c r="Q6546" s="3">
        <f t="shared" si="7"/>
        <v>0</v>
      </c>
      <c r="R6546" s="2">
        <v>819.0</v>
      </c>
      <c r="S6546" s="5">
        <f t="shared" si="8"/>
        <v>1</v>
      </c>
    </row>
    <row r="6547">
      <c r="A6547" s="2" t="s">
        <v>6544</v>
      </c>
      <c r="B6547" s="2">
        <v>773.0</v>
      </c>
      <c r="C6547" s="2">
        <v>9196.0</v>
      </c>
      <c r="D6547" s="2">
        <v>2874.0</v>
      </c>
      <c r="E6547" s="3">
        <f t="shared" si="1"/>
        <v>0.3412085955</v>
      </c>
      <c r="F6547" s="2">
        <v>969.0</v>
      </c>
      <c r="G6547" s="3">
        <f t="shared" si="2"/>
        <v>0.1150421465</v>
      </c>
      <c r="H6547" s="2">
        <v>1685.0</v>
      </c>
      <c r="I6547" s="3">
        <f t="shared" si="3"/>
        <v>0.200047489</v>
      </c>
      <c r="J6547" s="2">
        <v>1473.0</v>
      </c>
      <c r="K6547" s="3">
        <f t="shared" si="4"/>
        <v>0.1748783094</v>
      </c>
      <c r="L6547" s="2">
        <v>1011.0</v>
      </c>
      <c r="M6547" s="3">
        <f t="shared" si="5"/>
        <v>0.6</v>
      </c>
      <c r="N6547" s="2">
        <v>9701500.0</v>
      </c>
      <c r="O6547" s="4">
        <f t="shared" si="6"/>
        <v>5757.566766</v>
      </c>
      <c r="P6547" s="2">
        <v>1.0</v>
      </c>
      <c r="Q6547" s="3">
        <f t="shared" si="7"/>
        <v>0.001293661061</v>
      </c>
      <c r="R6547" s="2">
        <v>746.0</v>
      </c>
      <c r="S6547" s="5">
        <f t="shared" si="8"/>
        <v>0.9650711514</v>
      </c>
    </row>
    <row r="6548">
      <c r="A6548" s="2" t="s">
        <v>6545</v>
      </c>
      <c r="B6548" s="2">
        <v>81.0</v>
      </c>
      <c r="C6548" s="2">
        <v>994.0</v>
      </c>
      <c r="D6548" s="2">
        <v>400.0</v>
      </c>
      <c r="E6548" s="3">
        <f t="shared" si="1"/>
        <v>0.4381161008</v>
      </c>
      <c r="F6548" s="2">
        <v>105.0</v>
      </c>
      <c r="G6548" s="3">
        <f t="shared" si="2"/>
        <v>0.1150054765</v>
      </c>
      <c r="H6548" s="2">
        <v>184.0</v>
      </c>
      <c r="I6548" s="3">
        <f t="shared" si="3"/>
        <v>0.2015334064</v>
      </c>
      <c r="J6548" s="2">
        <v>117.0</v>
      </c>
      <c r="K6548" s="3">
        <f t="shared" si="4"/>
        <v>0.1281489595</v>
      </c>
      <c r="L6548" s="2">
        <v>113.0</v>
      </c>
      <c r="M6548" s="3">
        <f t="shared" si="5"/>
        <v>0.6141304348</v>
      </c>
      <c r="N6548" s="2">
        <v>949700.0</v>
      </c>
      <c r="O6548" s="4">
        <f t="shared" si="6"/>
        <v>5161.413043</v>
      </c>
      <c r="P6548" s="2">
        <v>0.0</v>
      </c>
      <c r="Q6548" s="3">
        <f t="shared" si="7"/>
        <v>0</v>
      </c>
      <c r="R6548" s="2">
        <v>81.0</v>
      </c>
      <c r="S6548" s="5">
        <f t="shared" si="8"/>
        <v>1</v>
      </c>
    </row>
    <row r="6549">
      <c r="A6549" s="2" t="s">
        <v>6546</v>
      </c>
      <c r="B6549" s="2">
        <v>4898.0</v>
      </c>
      <c r="C6549" s="2">
        <v>57244.0</v>
      </c>
      <c r="D6549" s="2">
        <v>12345.0</v>
      </c>
      <c r="E6549" s="3">
        <f t="shared" si="1"/>
        <v>0.2358346387</v>
      </c>
      <c r="F6549" s="2">
        <v>6020.0</v>
      </c>
      <c r="G6549" s="3">
        <f t="shared" si="2"/>
        <v>0.1150040118</v>
      </c>
      <c r="H6549" s="2">
        <v>10352.0</v>
      </c>
      <c r="I6549" s="3">
        <f t="shared" si="3"/>
        <v>0.1977610515</v>
      </c>
      <c r="J6549" s="2">
        <v>10468.0</v>
      </c>
      <c r="K6549" s="3">
        <f t="shared" si="4"/>
        <v>0.1999770756</v>
      </c>
      <c r="L6549" s="2">
        <v>5972.0</v>
      </c>
      <c r="M6549" s="3">
        <f t="shared" si="5"/>
        <v>0.5768933539</v>
      </c>
      <c r="N6549" s="2">
        <v>6.38471E7</v>
      </c>
      <c r="O6549" s="4">
        <f t="shared" si="6"/>
        <v>6167.610124</v>
      </c>
      <c r="P6549" s="2">
        <v>9.0</v>
      </c>
      <c r="Q6549" s="3">
        <f t="shared" si="7"/>
        <v>0.001837484688</v>
      </c>
      <c r="R6549" s="2">
        <v>4898.0</v>
      </c>
      <c r="S6549" s="5">
        <f t="shared" si="8"/>
        <v>1</v>
      </c>
    </row>
    <row r="6550">
      <c r="A6550" s="2" t="s">
        <v>6547</v>
      </c>
      <c r="B6550" s="2">
        <v>2004.0</v>
      </c>
      <c r="C6550" s="2">
        <v>23475.0</v>
      </c>
      <c r="D6550" s="2">
        <v>7120.0</v>
      </c>
      <c r="E6550" s="3">
        <f t="shared" si="1"/>
        <v>0.3316100787</v>
      </c>
      <c r="F6550" s="2">
        <v>2469.0</v>
      </c>
      <c r="G6550" s="3">
        <f t="shared" si="2"/>
        <v>0.1149923152</v>
      </c>
      <c r="H6550" s="2">
        <v>4289.0</v>
      </c>
      <c r="I6550" s="3">
        <f t="shared" si="3"/>
        <v>0.1997578129</v>
      </c>
      <c r="J6550" s="2">
        <v>3701.0</v>
      </c>
      <c r="K6550" s="3">
        <f t="shared" si="4"/>
        <v>0.1723720367</v>
      </c>
      <c r="L6550" s="2">
        <v>2567.0</v>
      </c>
      <c r="M6550" s="3">
        <f t="shared" si="5"/>
        <v>0.5985078107</v>
      </c>
      <c r="N6550" s="2">
        <v>2.51381E7</v>
      </c>
      <c r="O6550" s="4">
        <f t="shared" si="6"/>
        <v>5861.063185</v>
      </c>
      <c r="P6550" s="2">
        <v>7.0</v>
      </c>
      <c r="Q6550" s="3">
        <f t="shared" si="7"/>
        <v>0.003493013972</v>
      </c>
      <c r="R6550" s="2">
        <v>2004.0</v>
      </c>
      <c r="S6550" s="5">
        <f t="shared" si="8"/>
        <v>1</v>
      </c>
    </row>
    <row r="6551">
      <c r="A6551" s="2" t="s">
        <v>6548</v>
      </c>
      <c r="B6551" s="2">
        <v>337.0</v>
      </c>
      <c r="C6551" s="2">
        <v>3981.0</v>
      </c>
      <c r="D6551" s="2">
        <v>1521.0</v>
      </c>
      <c r="E6551" s="3">
        <f t="shared" si="1"/>
        <v>0.4173984632</v>
      </c>
      <c r="F6551" s="2">
        <v>419.0</v>
      </c>
      <c r="G6551" s="3">
        <f t="shared" si="2"/>
        <v>0.1149835346</v>
      </c>
      <c r="H6551" s="2">
        <v>784.0</v>
      </c>
      <c r="I6551" s="3">
        <f t="shared" si="3"/>
        <v>0.2151481888</v>
      </c>
      <c r="J6551" s="2">
        <v>517.0</v>
      </c>
      <c r="K6551" s="3">
        <f t="shared" si="4"/>
        <v>0.1418770582</v>
      </c>
      <c r="L6551" s="2">
        <v>505.0</v>
      </c>
      <c r="M6551" s="3">
        <f t="shared" si="5"/>
        <v>0.6441326531</v>
      </c>
      <c r="N6551" s="2">
        <v>3727200.0</v>
      </c>
      <c r="O6551" s="4">
        <f t="shared" si="6"/>
        <v>4754.081633</v>
      </c>
      <c r="P6551" s="2">
        <v>0.0</v>
      </c>
      <c r="Q6551" s="3">
        <f t="shared" si="7"/>
        <v>0</v>
      </c>
      <c r="R6551" s="2">
        <v>337.0</v>
      </c>
      <c r="S6551" s="5">
        <f t="shared" si="8"/>
        <v>1</v>
      </c>
    </row>
    <row r="6552">
      <c r="A6552" s="2" t="s">
        <v>6549</v>
      </c>
      <c r="B6552" s="2">
        <v>249.0</v>
      </c>
      <c r="C6552" s="2">
        <v>2902.0</v>
      </c>
      <c r="D6552" s="2">
        <v>925.0</v>
      </c>
      <c r="E6552" s="3">
        <f t="shared" si="1"/>
        <v>0.3486618922</v>
      </c>
      <c r="F6552" s="2">
        <v>305.0</v>
      </c>
      <c r="G6552" s="3">
        <f t="shared" si="2"/>
        <v>0.1149641915</v>
      </c>
      <c r="H6552" s="2">
        <v>548.0</v>
      </c>
      <c r="I6552" s="3">
        <f t="shared" si="3"/>
        <v>0.2065586129</v>
      </c>
      <c r="J6552" s="2">
        <v>493.0</v>
      </c>
      <c r="K6552" s="3">
        <f t="shared" si="4"/>
        <v>0.1858273652</v>
      </c>
      <c r="L6552" s="2">
        <v>314.0</v>
      </c>
      <c r="M6552" s="3">
        <f t="shared" si="5"/>
        <v>0.5729927007</v>
      </c>
      <c r="N6552" s="2">
        <v>3148100.0</v>
      </c>
      <c r="O6552" s="4">
        <f t="shared" si="6"/>
        <v>5744.708029</v>
      </c>
      <c r="P6552" s="2">
        <v>0.0</v>
      </c>
      <c r="Q6552" s="3">
        <f t="shared" si="7"/>
        <v>0</v>
      </c>
      <c r="R6552" s="2">
        <v>249.0</v>
      </c>
      <c r="S6552" s="5">
        <f t="shared" si="8"/>
        <v>1</v>
      </c>
    </row>
    <row r="6553">
      <c r="A6553" s="2" t="s">
        <v>6550</v>
      </c>
      <c r="B6553" s="2">
        <v>2794.0</v>
      </c>
      <c r="C6553" s="2">
        <v>33109.0</v>
      </c>
      <c r="D6553" s="2">
        <v>11515.0</v>
      </c>
      <c r="E6553" s="3">
        <f t="shared" si="1"/>
        <v>0.3798449612</v>
      </c>
      <c r="F6553" s="2">
        <v>3485.0</v>
      </c>
      <c r="G6553" s="3">
        <f t="shared" si="2"/>
        <v>0.114959591</v>
      </c>
      <c r="H6553" s="2">
        <v>6271.0</v>
      </c>
      <c r="I6553" s="3">
        <f t="shared" si="3"/>
        <v>0.2068612898</v>
      </c>
      <c r="J6553" s="2">
        <v>4750.0</v>
      </c>
      <c r="K6553" s="3">
        <f t="shared" si="4"/>
        <v>0.1566881082</v>
      </c>
      <c r="L6553" s="2">
        <v>3789.0</v>
      </c>
      <c r="M6553" s="3">
        <f t="shared" si="5"/>
        <v>0.6042098549</v>
      </c>
      <c r="N6553" s="2">
        <v>3.49415E7</v>
      </c>
      <c r="O6553" s="4">
        <f t="shared" si="6"/>
        <v>5571.918354</v>
      </c>
      <c r="P6553" s="2">
        <v>2.0</v>
      </c>
      <c r="Q6553" s="3">
        <f t="shared" si="7"/>
        <v>0.0007158196135</v>
      </c>
      <c r="R6553" s="2">
        <v>1.0</v>
      </c>
      <c r="S6553" s="5">
        <f t="shared" si="8"/>
        <v>0.0003579098067</v>
      </c>
    </row>
    <row r="6554">
      <c r="A6554" s="2" t="s">
        <v>6551</v>
      </c>
      <c r="B6554" s="2">
        <v>9.0</v>
      </c>
      <c r="C6554" s="2">
        <v>96.0</v>
      </c>
      <c r="D6554" s="2">
        <v>28.0</v>
      </c>
      <c r="E6554" s="3">
        <f t="shared" si="1"/>
        <v>0.3218390805</v>
      </c>
      <c r="F6554" s="2">
        <v>10.0</v>
      </c>
      <c r="G6554" s="3">
        <f t="shared" si="2"/>
        <v>0.1149425287</v>
      </c>
      <c r="H6554" s="2">
        <v>20.0</v>
      </c>
      <c r="I6554" s="3">
        <f t="shared" si="3"/>
        <v>0.2298850575</v>
      </c>
      <c r="J6554" s="2">
        <v>20.0</v>
      </c>
      <c r="K6554" s="3">
        <f t="shared" si="4"/>
        <v>0.2298850575</v>
      </c>
      <c r="L6554" s="2">
        <v>10.0</v>
      </c>
      <c r="M6554" s="3">
        <f t="shared" si="5"/>
        <v>0.5</v>
      </c>
      <c r="N6554" s="2">
        <v>152400.0</v>
      </c>
      <c r="O6554" s="4">
        <f t="shared" si="6"/>
        <v>7620</v>
      </c>
      <c r="P6554" s="2">
        <v>0.0</v>
      </c>
      <c r="Q6554" s="3">
        <f t="shared" si="7"/>
        <v>0</v>
      </c>
      <c r="R6554" s="2">
        <v>0.0</v>
      </c>
      <c r="S6554" s="5">
        <f t="shared" si="8"/>
        <v>0</v>
      </c>
    </row>
    <row r="6555">
      <c r="A6555" s="2" t="s">
        <v>6552</v>
      </c>
      <c r="B6555" s="2">
        <v>144.0</v>
      </c>
      <c r="C6555" s="2">
        <v>1710.0</v>
      </c>
      <c r="D6555" s="2">
        <v>584.0</v>
      </c>
      <c r="E6555" s="3">
        <f t="shared" si="1"/>
        <v>0.3729246488</v>
      </c>
      <c r="F6555" s="2">
        <v>180.0</v>
      </c>
      <c r="G6555" s="3">
        <f t="shared" si="2"/>
        <v>0.1149425287</v>
      </c>
      <c r="H6555" s="2">
        <v>319.0</v>
      </c>
      <c r="I6555" s="3">
        <f t="shared" si="3"/>
        <v>0.2037037037</v>
      </c>
      <c r="J6555" s="2">
        <v>259.0</v>
      </c>
      <c r="K6555" s="3">
        <f t="shared" si="4"/>
        <v>0.1653895275</v>
      </c>
      <c r="L6555" s="2">
        <v>194.0</v>
      </c>
      <c r="M6555" s="3">
        <f t="shared" si="5"/>
        <v>0.6081504702</v>
      </c>
      <c r="N6555" s="2">
        <v>1693000.0</v>
      </c>
      <c r="O6555" s="4">
        <f t="shared" si="6"/>
        <v>5307.210031</v>
      </c>
      <c r="P6555" s="2">
        <v>0.0</v>
      </c>
      <c r="Q6555" s="3">
        <f t="shared" si="7"/>
        <v>0</v>
      </c>
      <c r="R6555" s="2">
        <v>144.0</v>
      </c>
      <c r="S6555" s="5">
        <f t="shared" si="8"/>
        <v>1</v>
      </c>
    </row>
    <row r="6556">
      <c r="A6556" s="2" t="s">
        <v>6553</v>
      </c>
      <c r="B6556" s="2">
        <v>222.0</v>
      </c>
      <c r="C6556" s="2">
        <v>2615.0</v>
      </c>
      <c r="D6556" s="2">
        <v>894.0</v>
      </c>
      <c r="E6556" s="3">
        <f t="shared" si="1"/>
        <v>0.3735896364</v>
      </c>
      <c r="F6556" s="2">
        <v>275.0</v>
      </c>
      <c r="G6556" s="3">
        <f t="shared" si="2"/>
        <v>0.1149185123</v>
      </c>
      <c r="H6556" s="2">
        <v>462.0</v>
      </c>
      <c r="I6556" s="3">
        <f t="shared" si="3"/>
        <v>0.1930631007</v>
      </c>
      <c r="J6556" s="2">
        <v>415.0</v>
      </c>
      <c r="K6556" s="3">
        <f t="shared" si="4"/>
        <v>0.1734224822</v>
      </c>
      <c r="L6556" s="2">
        <v>265.0</v>
      </c>
      <c r="M6556" s="3">
        <f t="shared" si="5"/>
        <v>0.5735930736</v>
      </c>
      <c r="N6556" s="2">
        <v>2744200.0</v>
      </c>
      <c r="O6556" s="4">
        <f t="shared" si="6"/>
        <v>5939.82684</v>
      </c>
      <c r="P6556" s="2">
        <v>0.0</v>
      </c>
      <c r="Q6556" s="3">
        <f t="shared" si="7"/>
        <v>0</v>
      </c>
      <c r="R6556" s="2">
        <v>222.0</v>
      </c>
      <c r="S6556" s="5">
        <f t="shared" si="8"/>
        <v>1</v>
      </c>
    </row>
    <row r="6557">
      <c r="A6557" s="2" t="s">
        <v>6554</v>
      </c>
      <c r="B6557" s="2">
        <v>5059.0</v>
      </c>
      <c r="C6557" s="2">
        <v>59042.0</v>
      </c>
      <c r="D6557" s="2">
        <v>16446.0</v>
      </c>
      <c r="E6557" s="3">
        <f t="shared" si="1"/>
        <v>0.3046514643</v>
      </c>
      <c r="F6557" s="2">
        <v>6203.0</v>
      </c>
      <c r="G6557" s="3">
        <f t="shared" si="2"/>
        <v>0.1149065447</v>
      </c>
      <c r="H6557" s="2">
        <v>11408.0</v>
      </c>
      <c r="I6557" s="3">
        <f t="shared" si="3"/>
        <v>0.2113257877</v>
      </c>
      <c r="J6557" s="2">
        <v>9184.0</v>
      </c>
      <c r="K6557" s="3">
        <f t="shared" si="4"/>
        <v>0.1701276328</v>
      </c>
      <c r="L6557" s="2">
        <v>6838.0</v>
      </c>
      <c r="M6557" s="3">
        <f t="shared" si="5"/>
        <v>0.5994039271</v>
      </c>
      <c r="N6557" s="2">
        <v>6.72841E7</v>
      </c>
      <c r="O6557" s="4">
        <f t="shared" si="6"/>
        <v>5897.975105</v>
      </c>
      <c r="P6557" s="2">
        <v>9.0</v>
      </c>
      <c r="Q6557" s="3">
        <f t="shared" si="7"/>
        <v>0.001779007709</v>
      </c>
      <c r="R6557" s="2">
        <v>5059.0</v>
      </c>
      <c r="S6557" s="5">
        <f t="shared" si="8"/>
        <v>1</v>
      </c>
    </row>
    <row r="6558">
      <c r="A6558" s="2" t="s">
        <v>6555</v>
      </c>
      <c r="B6558" s="2">
        <v>214.0</v>
      </c>
      <c r="C6558" s="2">
        <v>2564.0</v>
      </c>
      <c r="D6558" s="2">
        <v>819.0</v>
      </c>
      <c r="E6558" s="3">
        <f t="shared" si="1"/>
        <v>0.3485106383</v>
      </c>
      <c r="F6558" s="2">
        <v>270.0</v>
      </c>
      <c r="G6558" s="3">
        <f t="shared" si="2"/>
        <v>0.114893617</v>
      </c>
      <c r="H6558" s="2">
        <v>498.0</v>
      </c>
      <c r="I6558" s="3">
        <f t="shared" si="3"/>
        <v>0.2119148936</v>
      </c>
      <c r="J6558" s="2">
        <v>330.0</v>
      </c>
      <c r="K6558" s="3">
        <f t="shared" si="4"/>
        <v>0.1404255319</v>
      </c>
      <c r="L6558" s="2">
        <v>300.0</v>
      </c>
      <c r="M6558" s="3">
        <f t="shared" si="5"/>
        <v>0.6024096386</v>
      </c>
      <c r="N6558" s="2">
        <v>2777700.0</v>
      </c>
      <c r="O6558" s="4">
        <f t="shared" si="6"/>
        <v>5577.710843</v>
      </c>
      <c r="P6558" s="2">
        <v>1.0</v>
      </c>
      <c r="Q6558" s="3">
        <f t="shared" si="7"/>
        <v>0.004672897196</v>
      </c>
      <c r="R6558" s="2">
        <v>214.0</v>
      </c>
      <c r="S6558" s="5">
        <f t="shared" si="8"/>
        <v>1</v>
      </c>
    </row>
    <row r="6559">
      <c r="A6559" s="2" t="s">
        <v>6556</v>
      </c>
      <c r="B6559" s="2">
        <v>1417.0</v>
      </c>
      <c r="C6559" s="2">
        <v>16527.0</v>
      </c>
      <c r="D6559" s="2">
        <v>5133.0</v>
      </c>
      <c r="E6559" s="3">
        <f t="shared" si="1"/>
        <v>0.3397088021</v>
      </c>
      <c r="F6559" s="2">
        <v>1736.0</v>
      </c>
      <c r="G6559" s="3">
        <f t="shared" si="2"/>
        <v>0.1148908008</v>
      </c>
      <c r="H6559" s="2">
        <v>3204.0</v>
      </c>
      <c r="I6559" s="3">
        <f t="shared" si="3"/>
        <v>0.2120450033</v>
      </c>
      <c r="J6559" s="2">
        <v>2573.0</v>
      </c>
      <c r="K6559" s="3">
        <f t="shared" si="4"/>
        <v>0.1702845797</v>
      </c>
      <c r="L6559" s="2">
        <v>1937.0</v>
      </c>
      <c r="M6559" s="3">
        <f t="shared" si="5"/>
        <v>0.604556804</v>
      </c>
      <c r="N6559" s="2">
        <v>1.86497E7</v>
      </c>
      <c r="O6559" s="4">
        <f t="shared" si="6"/>
        <v>5820.755306</v>
      </c>
      <c r="P6559" s="2">
        <v>1.0</v>
      </c>
      <c r="Q6559" s="3">
        <f t="shared" si="7"/>
        <v>0.000705716302</v>
      </c>
      <c r="R6559" s="2">
        <v>1128.0</v>
      </c>
      <c r="S6559" s="5">
        <f t="shared" si="8"/>
        <v>0.7960479887</v>
      </c>
    </row>
    <row r="6560">
      <c r="A6560" s="2" t="s">
        <v>6557</v>
      </c>
      <c r="B6560" s="2">
        <v>473.0</v>
      </c>
      <c r="C6560" s="2">
        <v>5530.0</v>
      </c>
      <c r="D6560" s="2">
        <v>1711.0</v>
      </c>
      <c r="E6560" s="3">
        <f t="shared" si="1"/>
        <v>0.338342891</v>
      </c>
      <c r="F6560" s="2">
        <v>581.0</v>
      </c>
      <c r="G6560" s="3">
        <f t="shared" si="2"/>
        <v>0.1148902511</v>
      </c>
      <c r="H6560" s="2">
        <v>1133.0</v>
      </c>
      <c r="I6560" s="3">
        <f t="shared" si="3"/>
        <v>0.224045877</v>
      </c>
      <c r="J6560" s="2">
        <v>950.0</v>
      </c>
      <c r="K6560" s="3">
        <f t="shared" si="4"/>
        <v>0.1878584141</v>
      </c>
      <c r="L6560" s="2">
        <v>709.0</v>
      </c>
      <c r="M6560" s="3">
        <f t="shared" si="5"/>
        <v>0.625772286</v>
      </c>
      <c r="N6560" s="2">
        <v>6489300.0</v>
      </c>
      <c r="O6560" s="4">
        <f t="shared" si="6"/>
        <v>5727.537511</v>
      </c>
      <c r="P6560" s="2">
        <v>0.0</v>
      </c>
      <c r="Q6560" s="3">
        <f t="shared" si="7"/>
        <v>0</v>
      </c>
      <c r="R6560" s="2">
        <v>473.0</v>
      </c>
      <c r="S6560" s="5">
        <f t="shared" si="8"/>
        <v>1</v>
      </c>
    </row>
    <row r="6561">
      <c r="A6561" s="2" t="s">
        <v>6558</v>
      </c>
      <c r="B6561" s="2">
        <v>578.0</v>
      </c>
      <c r="C6561" s="2">
        <v>6758.0</v>
      </c>
      <c r="D6561" s="2">
        <v>2343.0</v>
      </c>
      <c r="E6561" s="3">
        <f t="shared" si="1"/>
        <v>0.3791262136</v>
      </c>
      <c r="F6561" s="2">
        <v>710.0</v>
      </c>
      <c r="G6561" s="3">
        <f t="shared" si="2"/>
        <v>0.1148867314</v>
      </c>
      <c r="H6561" s="2">
        <v>1319.0</v>
      </c>
      <c r="I6561" s="3">
        <f t="shared" si="3"/>
        <v>0.2134304207</v>
      </c>
      <c r="J6561" s="2">
        <v>987.0</v>
      </c>
      <c r="K6561" s="3">
        <f t="shared" si="4"/>
        <v>0.1597087379</v>
      </c>
      <c r="L6561" s="2">
        <v>770.0</v>
      </c>
      <c r="M6561" s="3">
        <f t="shared" si="5"/>
        <v>0.5837755876</v>
      </c>
      <c r="N6561" s="2">
        <v>7267400.0</v>
      </c>
      <c r="O6561" s="4">
        <f t="shared" si="6"/>
        <v>5509.780136</v>
      </c>
      <c r="P6561" s="2">
        <v>0.0</v>
      </c>
      <c r="Q6561" s="3">
        <f t="shared" si="7"/>
        <v>0</v>
      </c>
      <c r="R6561" s="2">
        <v>578.0</v>
      </c>
      <c r="S6561" s="5">
        <f t="shared" si="8"/>
        <v>1</v>
      </c>
    </row>
    <row r="6562">
      <c r="A6562" s="2" t="s">
        <v>6559</v>
      </c>
      <c r="B6562" s="2">
        <v>35.0</v>
      </c>
      <c r="C6562" s="2">
        <v>418.0</v>
      </c>
      <c r="D6562" s="2">
        <v>176.0</v>
      </c>
      <c r="E6562" s="3">
        <f t="shared" si="1"/>
        <v>0.4595300261</v>
      </c>
      <c r="F6562" s="2">
        <v>44.0</v>
      </c>
      <c r="G6562" s="3">
        <f t="shared" si="2"/>
        <v>0.1148825065</v>
      </c>
      <c r="H6562" s="2">
        <v>81.0</v>
      </c>
      <c r="I6562" s="3">
        <f t="shared" si="3"/>
        <v>0.2114882507</v>
      </c>
      <c r="J6562" s="2">
        <v>51.0</v>
      </c>
      <c r="K6562" s="3">
        <f t="shared" si="4"/>
        <v>0.1331592689</v>
      </c>
      <c r="L6562" s="2">
        <v>45.0</v>
      </c>
      <c r="M6562" s="3">
        <f t="shared" si="5"/>
        <v>0.5555555556</v>
      </c>
      <c r="N6562" s="2">
        <v>345300.0</v>
      </c>
      <c r="O6562" s="4">
        <f t="shared" si="6"/>
        <v>4262.962963</v>
      </c>
      <c r="P6562" s="2">
        <v>0.0</v>
      </c>
      <c r="Q6562" s="3">
        <f t="shared" si="7"/>
        <v>0</v>
      </c>
      <c r="R6562" s="2">
        <v>34.0</v>
      </c>
      <c r="S6562" s="5">
        <f t="shared" si="8"/>
        <v>0.9714285714</v>
      </c>
    </row>
    <row r="6563">
      <c r="A6563" s="2" t="s">
        <v>6560</v>
      </c>
      <c r="B6563" s="2">
        <v>83.0</v>
      </c>
      <c r="C6563" s="2">
        <v>997.0</v>
      </c>
      <c r="D6563" s="2">
        <v>278.0</v>
      </c>
      <c r="E6563" s="3">
        <f t="shared" si="1"/>
        <v>0.3041575492</v>
      </c>
      <c r="F6563" s="2">
        <v>105.0</v>
      </c>
      <c r="G6563" s="3">
        <f t="shared" si="2"/>
        <v>0.1148796499</v>
      </c>
      <c r="H6563" s="2">
        <v>168.0</v>
      </c>
      <c r="I6563" s="3">
        <f t="shared" si="3"/>
        <v>0.1838074398</v>
      </c>
      <c r="J6563" s="2">
        <v>156.0</v>
      </c>
      <c r="K6563" s="3">
        <f t="shared" si="4"/>
        <v>0.170678337</v>
      </c>
      <c r="L6563" s="2">
        <v>91.0</v>
      </c>
      <c r="M6563" s="3">
        <f t="shared" si="5"/>
        <v>0.5416666667</v>
      </c>
      <c r="N6563" s="2">
        <v>1003900.0</v>
      </c>
      <c r="O6563" s="4">
        <f t="shared" si="6"/>
        <v>5975.595238</v>
      </c>
      <c r="P6563" s="2">
        <v>0.0</v>
      </c>
      <c r="Q6563" s="3">
        <f t="shared" si="7"/>
        <v>0</v>
      </c>
      <c r="R6563" s="2">
        <v>42.0</v>
      </c>
      <c r="S6563" s="5">
        <f t="shared" si="8"/>
        <v>0.5060240964</v>
      </c>
    </row>
    <row r="6564">
      <c r="A6564" s="2" t="s">
        <v>6561</v>
      </c>
      <c r="B6564" s="2">
        <v>849.0</v>
      </c>
      <c r="C6564" s="2">
        <v>9981.0</v>
      </c>
      <c r="D6564" s="2">
        <v>3003.0</v>
      </c>
      <c r="E6564" s="3">
        <f t="shared" si="1"/>
        <v>0.3288436268</v>
      </c>
      <c r="F6564" s="2">
        <v>1049.0</v>
      </c>
      <c r="G6564" s="3">
        <f t="shared" si="2"/>
        <v>0.1148707841</v>
      </c>
      <c r="H6564" s="2">
        <v>1863.0</v>
      </c>
      <c r="I6564" s="3">
        <f t="shared" si="3"/>
        <v>0.2040078844</v>
      </c>
      <c r="J6564" s="2">
        <v>1450.0</v>
      </c>
      <c r="K6564" s="3">
        <f t="shared" si="4"/>
        <v>0.158782304</v>
      </c>
      <c r="L6564" s="2">
        <v>1127.0</v>
      </c>
      <c r="M6564" s="3">
        <f t="shared" si="5"/>
        <v>0.6049382716</v>
      </c>
      <c r="N6564" s="2">
        <v>1.05592E7</v>
      </c>
      <c r="O6564" s="4">
        <f t="shared" si="6"/>
        <v>5667.847558</v>
      </c>
      <c r="P6564" s="2">
        <v>3.0</v>
      </c>
      <c r="Q6564" s="3">
        <f t="shared" si="7"/>
        <v>0.003533568905</v>
      </c>
      <c r="R6564" s="2">
        <v>849.0</v>
      </c>
      <c r="S6564" s="5">
        <f t="shared" si="8"/>
        <v>1</v>
      </c>
    </row>
    <row r="6565">
      <c r="A6565" s="2" t="s">
        <v>6562</v>
      </c>
      <c r="B6565" s="2">
        <v>2680.0</v>
      </c>
      <c r="C6565" s="2">
        <v>31391.0</v>
      </c>
      <c r="D6565" s="2">
        <v>10180.0</v>
      </c>
      <c r="E6565" s="3">
        <f t="shared" si="1"/>
        <v>0.3545679356</v>
      </c>
      <c r="F6565" s="2">
        <v>3298.0</v>
      </c>
      <c r="G6565" s="3">
        <f t="shared" si="2"/>
        <v>0.1148688656</v>
      </c>
      <c r="H6565" s="2">
        <v>6046.0</v>
      </c>
      <c r="I6565" s="3">
        <f t="shared" si="3"/>
        <v>0.2105813103</v>
      </c>
      <c r="J6565" s="2">
        <v>4697.0</v>
      </c>
      <c r="K6565" s="3">
        <f t="shared" si="4"/>
        <v>0.1635958343</v>
      </c>
      <c r="L6565" s="2">
        <v>3683.0</v>
      </c>
      <c r="M6565" s="3">
        <f t="shared" si="5"/>
        <v>0.609163083</v>
      </c>
      <c r="N6565" s="2">
        <v>3.38711E7</v>
      </c>
      <c r="O6565" s="4">
        <f t="shared" si="6"/>
        <v>5602.232881</v>
      </c>
      <c r="P6565" s="2">
        <v>3.0</v>
      </c>
      <c r="Q6565" s="3">
        <f t="shared" si="7"/>
        <v>0.001119402985</v>
      </c>
      <c r="R6565" s="2">
        <v>782.0</v>
      </c>
      <c r="S6565" s="5">
        <f t="shared" si="8"/>
        <v>0.2917910448</v>
      </c>
    </row>
    <row r="6566">
      <c r="A6566" s="2" t="s">
        <v>6563</v>
      </c>
      <c r="B6566" s="2">
        <v>14.0</v>
      </c>
      <c r="C6566" s="2">
        <v>162.0</v>
      </c>
      <c r="D6566" s="2">
        <v>45.0</v>
      </c>
      <c r="E6566" s="3">
        <f t="shared" si="1"/>
        <v>0.3040540541</v>
      </c>
      <c r="F6566" s="2">
        <v>17.0</v>
      </c>
      <c r="G6566" s="3">
        <f t="shared" si="2"/>
        <v>0.1148648649</v>
      </c>
      <c r="H6566" s="2">
        <v>35.0</v>
      </c>
      <c r="I6566" s="3">
        <f t="shared" si="3"/>
        <v>0.2364864865</v>
      </c>
      <c r="J6566" s="2">
        <v>18.0</v>
      </c>
      <c r="K6566" s="3">
        <f t="shared" si="4"/>
        <v>0.1216216216</v>
      </c>
      <c r="L6566" s="2">
        <v>22.0</v>
      </c>
      <c r="M6566" s="3">
        <f t="shared" si="5"/>
        <v>0.6285714286</v>
      </c>
      <c r="N6566" s="2">
        <v>172000.0</v>
      </c>
      <c r="O6566" s="4">
        <f t="shared" si="6"/>
        <v>4914.285714</v>
      </c>
      <c r="P6566" s="2">
        <v>0.0</v>
      </c>
      <c r="Q6566" s="3">
        <f t="shared" si="7"/>
        <v>0</v>
      </c>
      <c r="R6566" s="2">
        <v>14.0</v>
      </c>
      <c r="S6566" s="5">
        <f t="shared" si="8"/>
        <v>1</v>
      </c>
    </row>
    <row r="6567">
      <c r="A6567" s="2" t="s">
        <v>6564</v>
      </c>
      <c r="B6567" s="2">
        <v>145.0</v>
      </c>
      <c r="C6567" s="2">
        <v>1721.0</v>
      </c>
      <c r="D6567" s="2">
        <v>549.0</v>
      </c>
      <c r="E6567" s="3">
        <f t="shared" si="1"/>
        <v>0.3483502538</v>
      </c>
      <c r="F6567" s="2">
        <v>181.0</v>
      </c>
      <c r="G6567" s="3">
        <f t="shared" si="2"/>
        <v>0.1148477157</v>
      </c>
      <c r="H6567" s="2">
        <v>304.0</v>
      </c>
      <c r="I6567" s="3">
        <f t="shared" si="3"/>
        <v>0.192893401</v>
      </c>
      <c r="J6567" s="2">
        <v>254.0</v>
      </c>
      <c r="K6567" s="3">
        <f t="shared" si="4"/>
        <v>0.1611675127</v>
      </c>
      <c r="L6567" s="2">
        <v>189.0</v>
      </c>
      <c r="M6567" s="3">
        <f t="shared" si="5"/>
        <v>0.6217105263</v>
      </c>
      <c r="N6567" s="2">
        <v>1471700.0</v>
      </c>
      <c r="O6567" s="4">
        <f t="shared" si="6"/>
        <v>4841.118421</v>
      </c>
      <c r="P6567" s="2">
        <v>0.0</v>
      </c>
      <c r="Q6567" s="3">
        <f t="shared" si="7"/>
        <v>0</v>
      </c>
      <c r="R6567" s="2">
        <v>145.0</v>
      </c>
      <c r="S6567" s="5">
        <f t="shared" si="8"/>
        <v>1</v>
      </c>
    </row>
    <row r="6568">
      <c r="A6568" s="2" t="s">
        <v>6565</v>
      </c>
      <c r="B6568" s="2">
        <v>853.0</v>
      </c>
      <c r="C6568" s="2">
        <v>9996.0</v>
      </c>
      <c r="D6568" s="2">
        <v>2892.0</v>
      </c>
      <c r="E6568" s="3">
        <f t="shared" si="1"/>
        <v>0.3163075577</v>
      </c>
      <c r="F6568" s="2">
        <v>1050.0</v>
      </c>
      <c r="G6568" s="3">
        <f t="shared" si="2"/>
        <v>0.1148419556</v>
      </c>
      <c r="H6568" s="2">
        <v>1888.0</v>
      </c>
      <c r="I6568" s="3">
        <f t="shared" si="3"/>
        <v>0.2064967735</v>
      </c>
      <c r="J6568" s="2">
        <v>1621.0</v>
      </c>
      <c r="K6568" s="3">
        <f t="shared" si="4"/>
        <v>0.1772941048</v>
      </c>
      <c r="L6568" s="2">
        <v>1142.0</v>
      </c>
      <c r="M6568" s="3">
        <f t="shared" si="5"/>
        <v>0.6048728814</v>
      </c>
      <c r="N6568" s="2">
        <v>1.07618E7</v>
      </c>
      <c r="O6568" s="4">
        <f t="shared" si="6"/>
        <v>5700.105932</v>
      </c>
      <c r="P6568" s="2">
        <v>0.0</v>
      </c>
      <c r="Q6568" s="3">
        <f t="shared" si="7"/>
        <v>0</v>
      </c>
      <c r="R6568" s="2">
        <v>853.0</v>
      </c>
      <c r="S6568" s="5">
        <f t="shared" si="8"/>
        <v>1</v>
      </c>
    </row>
    <row r="6569">
      <c r="A6569" s="2" t="s">
        <v>6566</v>
      </c>
      <c r="B6569" s="2">
        <v>1192.0</v>
      </c>
      <c r="C6569" s="2">
        <v>13914.0</v>
      </c>
      <c r="D6569" s="2">
        <v>3769.0</v>
      </c>
      <c r="E6569" s="3">
        <f t="shared" si="1"/>
        <v>0.2962584499</v>
      </c>
      <c r="F6569" s="2">
        <v>1461.0</v>
      </c>
      <c r="G6569" s="3">
        <f t="shared" si="2"/>
        <v>0.1148404339</v>
      </c>
      <c r="H6569" s="2">
        <v>2583.0</v>
      </c>
      <c r="I6569" s="3">
        <f t="shared" si="3"/>
        <v>0.2030341141</v>
      </c>
      <c r="J6569" s="2">
        <v>1839.0</v>
      </c>
      <c r="K6569" s="3">
        <f t="shared" si="4"/>
        <v>0.1445527433</v>
      </c>
      <c r="L6569" s="2">
        <v>1541.0</v>
      </c>
      <c r="M6569" s="3">
        <f t="shared" si="5"/>
        <v>0.5965931088</v>
      </c>
      <c r="N6569" s="2">
        <v>1.45215E7</v>
      </c>
      <c r="O6569" s="4">
        <f t="shared" si="6"/>
        <v>5621.95122</v>
      </c>
      <c r="P6569" s="2">
        <v>2.0</v>
      </c>
      <c r="Q6569" s="3">
        <f t="shared" si="7"/>
        <v>0.001677852349</v>
      </c>
      <c r="R6569" s="2">
        <v>1169.0</v>
      </c>
      <c r="S6569" s="5">
        <f t="shared" si="8"/>
        <v>0.980704698</v>
      </c>
    </row>
    <row r="6570">
      <c r="A6570" s="2" t="s">
        <v>6567</v>
      </c>
      <c r="B6570" s="2">
        <v>75.0</v>
      </c>
      <c r="C6570" s="2">
        <v>850.0</v>
      </c>
      <c r="D6570" s="2">
        <v>231.0</v>
      </c>
      <c r="E6570" s="3">
        <f t="shared" si="1"/>
        <v>0.2980645161</v>
      </c>
      <c r="F6570" s="2">
        <v>89.0</v>
      </c>
      <c r="G6570" s="3">
        <f t="shared" si="2"/>
        <v>0.1148387097</v>
      </c>
      <c r="H6570" s="2">
        <v>158.0</v>
      </c>
      <c r="I6570" s="3">
        <f t="shared" si="3"/>
        <v>0.2038709677</v>
      </c>
      <c r="J6570" s="2">
        <v>132.0</v>
      </c>
      <c r="K6570" s="3">
        <f t="shared" si="4"/>
        <v>0.1703225806</v>
      </c>
      <c r="L6570" s="2">
        <v>86.0</v>
      </c>
      <c r="M6570" s="3">
        <f t="shared" si="5"/>
        <v>0.5443037975</v>
      </c>
      <c r="N6570" s="2">
        <v>804200.0</v>
      </c>
      <c r="O6570" s="4">
        <f t="shared" si="6"/>
        <v>5089.873418</v>
      </c>
      <c r="P6570" s="2">
        <v>0.0</v>
      </c>
      <c r="Q6570" s="3">
        <f t="shared" si="7"/>
        <v>0</v>
      </c>
      <c r="R6570" s="2">
        <v>10.0</v>
      </c>
      <c r="S6570" s="5">
        <f t="shared" si="8"/>
        <v>0.1333333333</v>
      </c>
    </row>
    <row r="6571">
      <c r="A6571" s="2" t="s">
        <v>6568</v>
      </c>
      <c r="B6571" s="2">
        <v>40.0</v>
      </c>
      <c r="C6571" s="2">
        <v>458.0</v>
      </c>
      <c r="D6571" s="2">
        <v>107.0</v>
      </c>
      <c r="E6571" s="3">
        <f t="shared" si="1"/>
        <v>0.2559808612</v>
      </c>
      <c r="F6571" s="2">
        <v>48.0</v>
      </c>
      <c r="G6571" s="3">
        <f t="shared" si="2"/>
        <v>0.1148325359</v>
      </c>
      <c r="H6571" s="2">
        <v>77.0</v>
      </c>
      <c r="I6571" s="3">
        <f t="shared" si="3"/>
        <v>0.1842105263</v>
      </c>
      <c r="J6571" s="2">
        <v>82.0</v>
      </c>
      <c r="K6571" s="3">
        <f t="shared" si="4"/>
        <v>0.1961722488</v>
      </c>
      <c r="L6571" s="2">
        <v>41.0</v>
      </c>
      <c r="M6571" s="3">
        <f t="shared" si="5"/>
        <v>0.5324675325</v>
      </c>
      <c r="N6571" s="2">
        <v>382100.0</v>
      </c>
      <c r="O6571" s="4">
        <f t="shared" si="6"/>
        <v>4962.337662</v>
      </c>
      <c r="P6571" s="2">
        <v>0.0</v>
      </c>
      <c r="Q6571" s="3">
        <f t="shared" si="7"/>
        <v>0</v>
      </c>
      <c r="R6571" s="2">
        <v>40.0</v>
      </c>
      <c r="S6571" s="5">
        <f t="shared" si="8"/>
        <v>1</v>
      </c>
    </row>
    <row r="6572">
      <c r="A6572" s="2" t="s">
        <v>6569</v>
      </c>
      <c r="B6572" s="2">
        <v>704.0</v>
      </c>
      <c r="C6572" s="2">
        <v>8263.0</v>
      </c>
      <c r="D6572" s="2">
        <v>2522.0</v>
      </c>
      <c r="E6572" s="3">
        <f t="shared" si="1"/>
        <v>0.3336420161</v>
      </c>
      <c r="F6572" s="2">
        <v>868.0</v>
      </c>
      <c r="G6572" s="3">
        <f t="shared" si="2"/>
        <v>0.114830004</v>
      </c>
      <c r="H6572" s="2">
        <v>1658.0</v>
      </c>
      <c r="I6572" s="3">
        <f t="shared" si="3"/>
        <v>0.2193411827</v>
      </c>
      <c r="J6572" s="2">
        <v>876.0</v>
      </c>
      <c r="K6572" s="3">
        <f t="shared" si="4"/>
        <v>0.115888345</v>
      </c>
      <c r="L6572" s="2">
        <v>1018.0</v>
      </c>
      <c r="M6572" s="3">
        <f t="shared" si="5"/>
        <v>0.6139927624</v>
      </c>
      <c r="N6572" s="2">
        <v>8481000.0</v>
      </c>
      <c r="O6572" s="4">
        <f t="shared" si="6"/>
        <v>5115.199035</v>
      </c>
      <c r="P6572" s="2">
        <v>1.0</v>
      </c>
      <c r="Q6572" s="3">
        <f t="shared" si="7"/>
        <v>0.001420454545</v>
      </c>
      <c r="R6572" s="2">
        <v>486.0</v>
      </c>
      <c r="S6572" s="5">
        <f t="shared" si="8"/>
        <v>0.6903409091</v>
      </c>
    </row>
    <row r="6573">
      <c r="A6573" s="2" t="s">
        <v>6570</v>
      </c>
      <c r="B6573" s="2">
        <v>540.0</v>
      </c>
      <c r="C6573" s="2">
        <v>6314.0</v>
      </c>
      <c r="D6573" s="2">
        <v>2000.0</v>
      </c>
      <c r="E6573" s="3">
        <f t="shared" si="1"/>
        <v>0.3463803256</v>
      </c>
      <c r="F6573" s="2">
        <v>663.0</v>
      </c>
      <c r="G6573" s="3">
        <f t="shared" si="2"/>
        <v>0.1148250779</v>
      </c>
      <c r="H6573" s="2">
        <v>1231.0</v>
      </c>
      <c r="I6573" s="3">
        <f t="shared" si="3"/>
        <v>0.2131970904</v>
      </c>
      <c r="J6573" s="2">
        <v>871.0</v>
      </c>
      <c r="K6573" s="3">
        <f t="shared" si="4"/>
        <v>0.1508486318</v>
      </c>
      <c r="L6573" s="2">
        <v>758.0</v>
      </c>
      <c r="M6573" s="3">
        <f t="shared" si="5"/>
        <v>0.6157595451</v>
      </c>
      <c r="N6573" s="2">
        <v>6838200.0</v>
      </c>
      <c r="O6573" s="4">
        <f t="shared" si="6"/>
        <v>5554.995938</v>
      </c>
      <c r="P6573" s="2">
        <v>1.0</v>
      </c>
      <c r="Q6573" s="3">
        <f t="shared" si="7"/>
        <v>0.001851851852</v>
      </c>
      <c r="R6573" s="2">
        <v>540.0</v>
      </c>
      <c r="S6573" s="5">
        <f t="shared" si="8"/>
        <v>1</v>
      </c>
    </row>
    <row r="6574">
      <c r="A6574" s="2" t="s">
        <v>6571</v>
      </c>
      <c r="B6574" s="2">
        <v>388.0</v>
      </c>
      <c r="C6574" s="2">
        <v>4543.0</v>
      </c>
      <c r="D6574" s="2">
        <v>1371.0</v>
      </c>
      <c r="E6574" s="3">
        <f t="shared" si="1"/>
        <v>0.3299638989</v>
      </c>
      <c r="F6574" s="2">
        <v>477.0</v>
      </c>
      <c r="G6574" s="3">
        <f t="shared" si="2"/>
        <v>0.114801444</v>
      </c>
      <c r="H6574" s="2">
        <v>840.0</v>
      </c>
      <c r="I6574" s="3">
        <f t="shared" si="3"/>
        <v>0.202166065</v>
      </c>
      <c r="J6574" s="2">
        <v>788.0</v>
      </c>
      <c r="K6574" s="3">
        <f t="shared" si="4"/>
        <v>0.1896510229</v>
      </c>
      <c r="L6574" s="2">
        <v>474.0</v>
      </c>
      <c r="M6574" s="3">
        <f t="shared" si="5"/>
        <v>0.5642857143</v>
      </c>
      <c r="N6574" s="2">
        <v>4747500.0</v>
      </c>
      <c r="O6574" s="4">
        <f t="shared" si="6"/>
        <v>5651.785714</v>
      </c>
      <c r="P6574" s="2">
        <v>0.0</v>
      </c>
      <c r="Q6574" s="3">
        <f t="shared" si="7"/>
        <v>0</v>
      </c>
      <c r="R6574" s="2">
        <v>388.0</v>
      </c>
      <c r="S6574" s="5">
        <f t="shared" si="8"/>
        <v>1</v>
      </c>
    </row>
    <row r="6575">
      <c r="A6575" s="2" t="s">
        <v>6572</v>
      </c>
      <c r="B6575" s="2">
        <v>545.0</v>
      </c>
      <c r="C6575" s="2">
        <v>6391.0</v>
      </c>
      <c r="D6575" s="2">
        <v>1515.0</v>
      </c>
      <c r="E6575" s="3">
        <f t="shared" si="1"/>
        <v>0.2591515566</v>
      </c>
      <c r="F6575" s="2">
        <v>671.0</v>
      </c>
      <c r="G6575" s="3">
        <f t="shared" si="2"/>
        <v>0.1147793363</v>
      </c>
      <c r="H6575" s="2">
        <v>1114.0</v>
      </c>
      <c r="I6575" s="3">
        <f t="shared" si="3"/>
        <v>0.1905576463</v>
      </c>
      <c r="J6575" s="2">
        <v>974.0</v>
      </c>
      <c r="K6575" s="3">
        <f t="shared" si="4"/>
        <v>0.1666096476</v>
      </c>
      <c r="L6575" s="2">
        <v>670.0</v>
      </c>
      <c r="M6575" s="3">
        <f t="shared" si="5"/>
        <v>0.6014362657</v>
      </c>
      <c r="N6575" s="2">
        <v>6785200.0</v>
      </c>
      <c r="O6575" s="4">
        <f t="shared" si="6"/>
        <v>6090.843806</v>
      </c>
      <c r="P6575" s="2">
        <v>1.0</v>
      </c>
      <c r="Q6575" s="3">
        <f t="shared" si="7"/>
        <v>0.001834862385</v>
      </c>
      <c r="R6575" s="2">
        <v>545.0</v>
      </c>
      <c r="S6575" s="5">
        <f t="shared" si="8"/>
        <v>1</v>
      </c>
    </row>
    <row r="6576">
      <c r="A6576" s="2" t="s">
        <v>6573</v>
      </c>
      <c r="B6576" s="2">
        <v>1240.0</v>
      </c>
      <c r="C6576" s="2">
        <v>14483.0</v>
      </c>
      <c r="D6576" s="2">
        <v>4488.0</v>
      </c>
      <c r="E6576" s="3">
        <f t="shared" si="1"/>
        <v>0.3388960205</v>
      </c>
      <c r="F6576" s="2">
        <v>1520.0</v>
      </c>
      <c r="G6576" s="3">
        <f t="shared" si="2"/>
        <v>0.1147776184</v>
      </c>
      <c r="H6576" s="2">
        <v>2756.0</v>
      </c>
      <c r="I6576" s="3">
        <f t="shared" si="3"/>
        <v>0.2081099449</v>
      </c>
      <c r="J6576" s="2">
        <v>2169.0</v>
      </c>
      <c r="K6576" s="3">
        <f t="shared" si="4"/>
        <v>0.1637846409</v>
      </c>
      <c r="L6576" s="2">
        <v>1620.0</v>
      </c>
      <c r="M6576" s="3">
        <f t="shared" si="5"/>
        <v>0.587808418</v>
      </c>
      <c r="N6576" s="2">
        <v>1.51669E7</v>
      </c>
      <c r="O6576" s="4">
        <f t="shared" si="6"/>
        <v>5503.229318</v>
      </c>
      <c r="P6576" s="2">
        <v>3.0</v>
      </c>
      <c r="Q6576" s="3">
        <f t="shared" si="7"/>
        <v>0.002419354839</v>
      </c>
      <c r="R6576" s="2">
        <v>1240.0</v>
      </c>
      <c r="S6576" s="5">
        <f t="shared" si="8"/>
        <v>1</v>
      </c>
    </row>
    <row r="6577">
      <c r="A6577" s="2" t="s">
        <v>6574</v>
      </c>
      <c r="B6577" s="2">
        <v>67.0</v>
      </c>
      <c r="C6577" s="2">
        <v>764.0</v>
      </c>
      <c r="D6577" s="2">
        <v>263.0</v>
      </c>
      <c r="E6577" s="3">
        <f t="shared" si="1"/>
        <v>0.3773314204</v>
      </c>
      <c r="F6577" s="2">
        <v>80.0</v>
      </c>
      <c r="G6577" s="3">
        <f t="shared" si="2"/>
        <v>0.1147776184</v>
      </c>
      <c r="H6577" s="2">
        <v>134.0</v>
      </c>
      <c r="I6577" s="3">
        <f t="shared" si="3"/>
        <v>0.1922525108</v>
      </c>
      <c r="J6577" s="2">
        <v>98.0</v>
      </c>
      <c r="K6577" s="3">
        <f t="shared" si="4"/>
        <v>0.1406025825</v>
      </c>
      <c r="L6577" s="2">
        <v>91.0</v>
      </c>
      <c r="M6577" s="3">
        <f t="shared" si="5"/>
        <v>0.6791044776</v>
      </c>
      <c r="N6577" s="2">
        <v>643900.0</v>
      </c>
      <c r="O6577" s="4">
        <f t="shared" si="6"/>
        <v>4805.223881</v>
      </c>
      <c r="P6577" s="2">
        <v>1.0</v>
      </c>
      <c r="Q6577" s="3">
        <f t="shared" si="7"/>
        <v>0.01492537313</v>
      </c>
      <c r="R6577" s="2">
        <v>0.0</v>
      </c>
      <c r="S6577" s="5">
        <f t="shared" si="8"/>
        <v>0</v>
      </c>
    </row>
    <row r="6578">
      <c r="A6578" s="2" t="s">
        <v>6575</v>
      </c>
      <c r="B6578" s="2">
        <v>3251.0</v>
      </c>
      <c r="C6578" s="2">
        <v>37946.0</v>
      </c>
      <c r="D6578" s="2">
        <v>12658.0</v>
      </c>
      <c r="E6578" s="3">
        <f t="shared" si="1"/>
        <v>0.3648364318</v>
      </c>
      <c r="F6578" s="2">
        <v>3982.0</v>
      </c>
      <c r="G6578" s="3">
        <f t="shared" si="2"/>
        <v>0.1147715809</v>
      </c>
      <c r="H6578" s="2">
        <v>7262.0</v>
      </c>
      <c r="I6578" s="3">
        <f t="shared" si="3"/>
        <v>0.2093096988</v>
      </c>
      <c r="J6578" s="2">
        <v>6009.0</v>
      </c>
      <c r="K6578" s="3">
        <f t="shared" si="4"/>
        <v>0.1731949849</v>
      </c>
      <c r="L6578" s="2">
        <v>4286.0</v>
      </c>
      <c r="M6578" s="3">
        <f t="shared" si="5"/>
        <v>0.5901955384</v>
      </c>
      <c r="N6578" s="2">
        <v>4.13493E7</v>
      </c>
      <c r="O6578" s="4">
        <f t="shared" si="6"/>
        <v>5693.927293</v>
      </c>
      <c r="P6578" s="2">
        <v>2.0</v>
      </c>
      <c r="Q6578" s="3">
        <f t="shared" si="7"/>
        <v>0.0006151953245</v>
      </c>
      <c r="R6578" s="2">
        <v>2329.0</v>
      </c>
      <c r="S6578" s="5">
        <f t="shared" si="8"/>
        <v>0.7163949554</v>
      </c>
    </row>
    <row r="6579">
      <c r="A6579" s="2" t="s">
        <v>6576</v>
      </c>
      <c r="B6579" s="2">
        <v>1030.0</v>
      </c>
      <c r="C6579" s="2">
        <v>12253.0</v>
      </c>
      <c r="D6579" s="2">
        <v>3741.0</v>
      </c>
      <c r="E6579" s="3">
        <f t="shared" si="1"/>
        <v>0.3333333333</v>
      </c>
      <c r="F6579" s="2">
        <v>1288.0</v>
      </c>
      <c r="G6579" s="3">
        <f t="shared" si="2"/>
        <v>0.1147643233</v>
      </c>
      <c r="H6579" s="2">
        <v>2262.0</v>
      </c>
      <c r="I6579" s="3">
        <f t="shared" si="3"/>
        <v>0.2015503876</v>
      </c>
      <c r="J6579" s="2">
        <v>1663.0</v>
      </c>
      <c r="K6579" s="3">
        <f t="shared" si="4"/>
        <v>0.1481778491</v>
      </c>
      <c r="L6579" s="2">
        <v>1346.0</v>
      </c>
      <c r="M6579" s="3">
        <f t="shared" si="5"/>
        <v>0.5950486295</v>
      </c>
      <c r="N6579" s="2">
        <v>1.23959E7</v>
      </c>
      <c r="O6579" s="4">
        <f t="shared" si="6"/>
        <v>5480.061892</v>
      </c>
      <c r="P6579" s="2">
        <v>1.0</v>
      </c>
      <c r="Q6579" s="3">
        <f t="shared" si="7"/>
        <v>0.0009708737864</v>
      </c>
      <c r="R6579" s="2">
        <v>858.0</v>
      </c>
      <c r="S6579" s="5">
        <f t="shared" si="8"/>
        <v>0.8330097087</v>
      </c>
    </row>
    <row r="6580">
      <c r="A6580" s="2" t="s">
        <v>6577</v>
      </c>
      <c r="B6580" s="2">
        <v>16.0</v>
      </c>
      <c r="C6580" s="2">
        <v>199.0</v>
      </c>
      <c r="D6580" s="2">
        <v>59.0</v>
      </c>
      <c r="E6580" s="3">
        <f t="shared" si="1"/>
        <v>0.3224043716</v>
      </c>
      <c r="F6580" s="2">
        <v>21.0</v>
      </c>
      <c r="G6580" s="3">
        <f t="shared" si="2"/>
        <v>0.1147540984</v>
      </c>
      <c r="H6580" s="2">
        <v>35.0</v>
      </c>
      <c r="I6580" s="3">
        <f t="shared" si="3"/>
        <v>0.1912568306</v>
      </c>
      <c r="J6580" s="2">
        <v>34.0</v>
      </c>
      <c r="K6580" s="3">
        <f t="shared" si="4"/>
        <v>0.1857923497</v>
      </c>
      <c r="L6580" s="2">
        <v>25.0</v>
      </c>
      <c r="M6580" s="3">
        <f t="shared" si="5"/>
        <v>0.7142857143</v>
      </c>
      <c r="N6580" s="2">
        <v>214000.0</v>
      </c>
      <c r="O6580" s="4">
        <f t="shared" si="6"/>
        <v>6114.285714</v>
      </c>
      <c r="P6580" s="2">
        <v>1.0</v>
      </c>
      <c r="Q6580" s="3">
        <f t="shared" si="7"/>
        <v>0.0625</v>
      </c>
      <c r="R6580" s="2">
        <v>16.0</v>
      </c>
      <c r="S6580" s="5">
        <f t="shared" si="8"/>
        <v>1</v>
      </c>
    </row>
    <row r="6581">
      <c r="A6581" s="2" t="s">
        <v>6578</v>
      </c>
      <c r="B6581" s="2">
        <v>17.0</v>
      </c>
      <c r="C6581" s="2">
        <v>200.0</v>
      </c>
      <c r="D6581" s="2">
        <v>73.0</v>
      </c>
      <c r="E6581" s="3">
        <f t="shared" si="1"/>
        <v>0.3989071038</v>
      </c>
      <c r="F6581" s="2">
        <v>21.0</v>
      </c>
      <c r="G6581" s="3">
        <f t="shared" si="2"/>
        <v>0.1147540984</v>
      </c>
      <c r="H6581" s="2">
        <v>37.0</v>
      </c>
      <c r="I6581" s="3">
        <f t="shared" si="3"/>
        <v>0.2021857923</v>
      </c>
      <c r="J6581" s="2">
        <v>32.0</v>
      </c>
      <c r="K6581" s="3">
        <f t="shared" si="4"/>
        <v>0.174863388</v>
      </c>
      <c r="L6581" s="2">
        <v>23.0</v>
      </c>
      <c r="M6581" s="3">
        <f t="shared" si="5"/>
        <v>0.6216216216</v>
      </c>
      <c r="N6581" s="2">
        <v>170600.0</v>
      </c>
      <c r="O6581" s="4">
        <f t="shared" si="6"/>
        <v>4610.810811</v>
      </c>
      <c r="P6581" s="2">
        <v>0.0</v>
      </c>
      <c r="Q6581" s="3">
        <f t="shared" si="7"/>
        <v>0</v>
      </c>
      <c r="R6581" s="2">
        <v>17.0</v>
      </c>
      <c r="S6581" s="5">
        <f t="shared" si="8"/>
        <v>1</v>
      </c>
    </row>
    <row r="6582">
      <c r="A6582" s="2" t="s">
        <v>6579</v>
      </c>
      <c r="B6582" s="2">
        <v>2413.0</v>
      </c>
      <c r="C6582" s="2">
        <v>28330.0</v>
      </c>
      <c r="D6582" s="2">
        <v>8209.0</v>
      </c>
      <c r="E6582" s="3">
        <f t="shared" si="1"/>
        <v>0.3167419069</v>
      </c>
      <c r="F6582" s="2">
        <v>2974.0</v>
      </c>
      <c r="G6582" s="3">
        <f t="shared" si="2"/>
        <v>0.1147509357</v>
      </c>
      <c r="H6582" s="2">
        <v>5319.0</v>
      </c>
      <c r="I6582" s="3">
        <f t="shared" si="3"/>
        <v>0.205232087</v>
      </c>
      <c r="J6582" s="2">
        <v>3933.0</v>
      </c>
      <c r="K6582" s="3">
        <f t="shared" si="4"/>
        <v>0.1517536752</v>
      </c>
      <c r="L6582" s="2">
        <v>3159.0</v>
      </c>
      <c r="M6582" s="3">
        <f t="shared" si="5"/>
        <v>0.5939086294</v>
      </c>
      <c r="N6582" s="2">
        <v>3.03154E7</v>
      </c>
      <c r="O6582" s="4">
        <f t="shared" si="6"/>
        <v>5699.454785</v>
      </c>
      <c r="P6582" s="2">
        <v>2.0</v>
      </c>
      <c r="Q6582" s="3">
        <f t="shared" si="7"/>
        <v>0.000828843763</v>
      </c>
      <c r="R6582" s="2">
        <v>2413.0</v>
      </c>
      <c r="S6582" s="5">
        <f t="shared" si="8"/>
        <v>1</v>
      </c>
    </row>
    <row r="6583">
      <c r="A6583" s="2" t="s">
        <v>6580</v>
      </c>
      <c r="B6583" s="2">
        <v>172.0</v>
      </c>
      <c r="C6583" s="2">
        <v>2037.0</v>
      </c>
      <c r="D6583" s="2">
        <v>609.0</v>
      </c>
      <c r="E6583" s="3">
        <f t="shared" si="1"/>
        <v>0.326541555</v>
      </c>
      <c r="F6583" s="2">
        <v>214.0</v>
      </c>
      <c r="G6583" s="3">
        <f t="shared" si="2"/>
        <v>0.1147453083</v>
      </c>
      <c r="H6583" s="2">
        <v>381.0</v>
      </c>
      <c r="I6583" s="3">
        <f t="shared" si="3"/>
        <v>0.2042895442</v>
      </c>
      <c r="J6583" s="2">
        <v>356.0</v>
      </c>
      <c r="K6583" s="3">
        <f t="shared" si="4"/>
        <v>0.1908847185</v>
      </c>
      <c r="L6583" s="2">
        <v>233.0</v>
      </c>
      <c r="M6583" s="3">
        <f t="shared" si="5"/>
        <v>0.6115485564</v>
      </c>
      <c r="N6583" s="2">
        <v>1987200.0</v>
      </c>
      <c r="O6583" s="4">
        <f t="shared" si="6"/>
        <v>5215.748031</v>
      </c>
      <c r="P6583" s="2">
        <v>0.0</v>
      </c>
      <c r="Q6583" s="3">
        <f t="shared" si="7"/>
        <v>0</v>
      </c>
      <c r="R6583" s="2">
        <v>172.0</v>
      </c>
      <c r="S6583" s="5">
        <f t="shared" si="8"/>
        <v>1</v>
      </c>
    </row>
    <row r="6584">
      <c r="A6584" s="2" t="s">
        <v>6581</v>
      </c>
      <c r="B6584" s="2">
        <v>82.0</v>
      </c>
      <c r="C6584" s="2">
        <v>971.0</v>
      </c>
      <c r="D6584" s="2">
        <v>277.0</v>
      </c>
      <c r="E6584" s="3">
        <f t="shared" si="1"/>
        <v>0.3115860517</v>
      </c>
      <c r="F6584" s="2">
        <v>102.0</v>
      </c>
      <c r="G6584" s="3">
        <f t="shared" si="2"/>
        <v>0.114735658</v>
      </c>
      <c r="H6584" s="2">
        <v>178.0</v>
      </c>
      <c r="I6584" s="3">
        <f t="shared" si="3"/>
        <v>0.2002249719</v>
      </c>
      <c r="J6584" s="2">
        <v>172.0</v>
      </c>
      <c r="K6584" s="3">
        <f t="shared" si="4"/>
        <v>0.1934758155</v>
      </c>
      <c r="L6584" s="2">
        <v>116.0</v>
      </c>
      <c r="M6584" s="3">
        <f t="shared" si="5"/>
        <v>0.6516853933</v>
      </c>
      <c r="N6584" s="2">
        <v>981900.0</v>
      </c>
      <c r="O6584" s="4">
        <f t="shared" si="6"/>
        <v>5516.292135</v>
      </c>
      <c r="P6584" s="2">
        <v>0.0</v>
      </c>
      <c r="Q6584" s="3">
        <f t="shared" si="7"/>
        <v>0</v>
      </c>
      <c r="R6584" s="2">
        <v>82.0</v>
      </c>
      <c r="S6584" s="5">
        <f t="shared" si="8"/>
        <v>1</v>
      </c>
    </row>
    <row r="6585">
      <c r="A6585" s="2" t="s">
        <v>6582</v>
      </c>
      <c r="B6585" s="2">
        <v>3127.0</v>
      </c>
      <c r="C6585" s="2">
        <v>37005.0</v>
      </c>
      <c r="D6585" s="2">
        <v>11791.0</v>
      </c>
      <c r="E6585" s="3">
        <f t="shared" si="1"/>
        <v>0.3480429777</v>
      </c>
      <c r="F6585" s="2">
        <v>3887.0</v>
      </c>
      <c r="G6585" s="3">
        <f t="shared" si="2"/>
        <v>0.1147352264</v>
      </c>
      <c r="H6585" s="2">
        <v>6985.0</v>
      </c>
      <c r="I6585" s="3">
        <f t="shared" si="3"/>
        <v>0.2061810024</v>
      </c>
      <c r="J6585" s="2">
        <v>5494.0</v>
      </c>
      <c r="K6585" s="3">
        <f t="shared" si="4"/>
        <v>0.1621701399</v>
      </c>
      <c r="L6585" s="2">
        <v>4251.0</v>
      </c>
      <c r="M6585" s="3">
        <f t="shared" si="5"/>
        <v>0.6085898354</v>
      </c>
      <c r="N6585" s="2">
        <v>3.96155E7</v>
      </c>
      <c r="O6585" s="4">
        <f t="shared" si="6"/>
        <v>5671.510379</v>
      </c>
      <c r="P6585" s="2">
        <v>5.0</v>
      </c>
      <c r="Q6585" s="3">
        <f t="shared" si="7"/>
        <v>0.001598976655</v>
      </c>
      <c r="R6585" s="2">
        <v>3127.0</v>
      </c>
      <c r="S6585" s="5">
        <f t="shared" si="8"/>
        <v>1</v>
      </c>
    </row>
    <row r="6586">
      <c r="A6586" s="2" t="s">
        <v>6583</v>
      </c>
      <c r="B6586" s="2">
        <v>401.0</v>
      </c>
      <c r="C6586" s="2">
        <v>4681.0</v>
      </c>
      <c r="D6586" s="2">
        <v>1358.0</v>
      </c>
      <c r="E6586" s="3">
        <f t="shared" si="1"/>
        <v>0.3172897196</v>
      </c>
      <c r="F6586" s="2">
        <v>491.0</v>
      </c>
      <c r="G6586" s="3">
        <f t="shared" si="2"/>
        <v>0.1147196262</v>
      </c>
      <c r="H6586" s="2">
        <v>876.0</v>
      </c>
      <c r="I6586" s="3">
        <f t="shared" si="3"/>
        <v>0.2046728972</v>
      </c>
      <c r="J6586" s="2">
        <v>784.0</v>
      </c>
      <c r="K6586" s="3">
        <f t="shared" si="4"/>
        <v>0.1831775701</v>
      </c>
      <c r="L6586" s="2">
        <v>504.0</v>
      </c>
      <c r="M6586" s="3">
        <f t="shared" si="5"/>
        <v>0.5753424658</v>
      </c>
      <c r="N6586" s="2">
        <v>5043800.0</v>
      </c>
      <c r="O6586" s="4">
        <f t="shared" si="6"/>
        <v>5757.762557</v>
      </c>
      <c r="P6586" s="2">
        <v>0.0</v>
      </c>
      <c r="Q6586" s="3">
        <f t="shared" si="7"/>
        <v>0</v>
      </c>
      <c r="R6586" s="2">
        <v>0.0</v>
      </c>
      <c r="S6586" s="5">
        <f t="shared" si="8"/>
        <v>0</v>
      </c>
    </row>
    <row r="6587">
      <c r="A6587" s="2" t="s">
        <v>6584</v>
      </c>
      <c r="B6587" s="2">
        <v>550.0</v>
      </c>
      <c r="C6587" s="2">
        <v>6408.0</v>
      </c>
      <c r="D6587" s="2">
        <v>1917.0</v>
      </c>
      <c r="E6587" s="3">
        <f t="shared" si="1"/>
        <v>0.3272447934</v>
      </c>
      <c r="F6587" s="2">
        <v>672.0</v>
      </c>
      <c r="G6587" s="3">
        <f t="shared" si="2"/>
        <v>0.1147149198</v>
      </c>
      <c r="H6587" s="2">
        <v>1284.0</v>
      </c>
      <c r="I6587" s="3">
        <f t="shared" si="3"/>
        <v>0.219187436</v>
      </c>
      <c r="J6587" s="2">
        <v>972.0</v>
      </c>
      <c r="K6587" s="3">
        <f t="shared" si="4"/>
        <v>0.1659269375</v>
      </c>
      <c r="L6587" s="2">
        <v>791.0</v>
      </c>
      <c r="M6587" s="3">
        <f t="shared" si="5"/>
        <v>0.6160436137</v>
      </c>
      <c r="N6587" s="2">
        <v>7289800.0</v>
      </c>
      <c r="O6587" s="4">
        <f t="shared" si="6"/>
        <v>5677.41433</v>
      </c>
      <c r="P6587" s="2">
        <v>2.0</v>
      </c>
      <c r="Q6587" s="3">
        <f t="shared" si="7"/>
        <v>0.003636363636</v>
      </c>
      <c r="R6587" s="2">
        <v>550.0</v>
      </c>
      <c r="S6587" s="5">
        <f t="shared" si="8"/>
        <v>1</v>
      </c>
    </row>
    <row r="6588">
      <c r="A6588" s="2" t="s">
        <v>6585</v>
      </c>
      <c r="B6588" s="2">
        <v>130.0</v>
      </c>
      <c r="C6588" s="2">
        <v>1551.0</v>
      </c>
      <c r="D6588" s="2">
        <v>495.0</v>
      </c>
      <c r="E6588" s="3">
        <f t="shared" si="1"/>
        <v>0.348346235</v>
      </c>
      <c r="F6588" s="2">
        <v>163.0</v>
      </c>
      <c r="G6588" s="3">
        <f t="shared" si="2"/>
        <v>0.1147079521</v>
      </c>
      <c r="H6588" s="2">
        <v>267.0</v>
      </c>
      <c r="I6588" s="3">
        <f t="shared" si="3"/>
        <v>0.187895848</v>
      </c>
      <c r="J6588" s="2">
        <v>217.0</v>
      </c>
      <c r="K6588" s="3">
        <f t="shared" si="4"/>
        <v>0.1527093596</v>
      </c>
      <c r="L6588" s="2">
        <v>156.0</v>
      </c>
      <c r="M6588" s="3">
        <f t="shared" si="5"/>
        <v>0.5842696629</v>
      </c>
      <c r="N6588" s="2">
        <v>1419200.0</v>
      </c>
      <c r="O6588" s="4">
        <f t="shared" si="6"/>
        <v>5315.355805</v>
      </c>
      <c r="P6588" s="2">
        <v>0.0</v>
      </c>
      <c r="Q6588" s="3">
        <f t="shared" si="7"/>
        <v>0</v>
      </c>
      <c r="R6588" s="2">
        <v>81.0</v>
      </c>
      <c r="S6588" s="5">
        <f t="shared" si="8"/>
        <v>0.6230769231</v>
      </c>
    </row>
    <row r="6589">
      <c r="A6589" s="2" t="s">
        <v>6586</v>
      </c>
      <c r="B6589" s="2">
        <v>324.0</v>
      </c>
      <c r="C6589" s="2">
        <v>3785.0</v>
      </c>
      <c r="D6589" s="2">
        <v>1174.0</v>
      </c>
      <c r="E6589" s="3">
        <f t="shared" si="1"/>
        <v>0.3392083213</v>
      </c>
      <c r="F6589" s="2">
        <v>397.0</v>
      </c>
      <c r="G6589" s="3">
        <f t="shared" si="2"/>
        <v>0.1147067322</v>
      </c>
      <c r="H6589" s="2">
        <v>733.0</v>
      </c>
      <c r="I6589" s="3">
        <f t="shared" si="3"/>
        <v>0.2117885004</v>
      </c>
      <c r="J6589" s="2">
        <v>531.0</v>
      </c>
      <c r="K6589" s="3">
        <f t="shared" si="4"/>
        <v>0.1534238659</v>
      </c>
      <c r="L6589" s="2">
        <v>461.0</v>
      </c>
      <c r="M6589" s="3">
        <f t="shared" si="5"/>
        <v>0.6289222374</v>
      </c>
      <c r="N6589" s="2">
        <v>4375300.0</v>
      </c>
      <c r="O6589" s="4">
        <f t="shared" si="6"/>
        <v>5969.031378</v>
      </c>
      <c r="P6589" s="2">
        <v>1.0</v>
      </c>
      <c r="Q6589" s="3">
        <f t="shared" si="7"/>
        <v>0.003086419753</v>
      </c>
      <c r="R6589" s="2">
        <v>324.0</v>
      </c>
      <c r="S6589" s="5">
        <f t="shared" si="8"/>
        <v>1</v>
      </c>
    </row>
    <row r="6590">
      <c r="A6590" s="2" t="s">
        <v>6587</v>
      </c>
      <c r="B6590" s="2">
        <v>904.0</v>
      </c>
      <c r="C6590" s="2">
        <v>10459.0</v>
      </c>
      <c r="D6590" s="2">
        <v>3364.0</v>
      </c>
      <c r="E6590" s="3">
        <f t="shared" si="1"/>
        <v>0.3520669806</v>
      </c>
      <c r="F6590" s="2">
        <v>1096.0</v>
      </c>
      <c r="G6590" s="3">
        <f t="shared" si="2"/>
        <v>0.1147043433</v>
      </c>
      <c r="H6590" s="2">
        <v>2120.0</v>
      </c>
      <c r="I6590" s="3">
        <f t="shared" si="3"/>
        <v>0.2218733647</v>
      </c>
      <c r="J6590" s="2">
        <v>1625.0</v>
      </c>
      <c r="K6590" s="3">
        <f t="shared" si="4"/>
        <v>0.1700680272</v>
      </c>
      <c r="L6590" s="2">
        <v>1273.0</v>
      </c>
      <c r="M6590" s="3">
        <f t="shared" si="5"/>
        <v>0.6004716981</v>
      </c>
      <c r="N6590" s="2">
        <v>1.2034E7</v>
      </c>
      <c r="O6590" s="4">
        <f t="shared" si="6"/>
        <v>5676.415094</v>
      </c>
      <c r="P6590" s="2">
        <v>4.0</v>
      </c>
      <c r="Q6590" s="3">
        <f t="shared" si="7"/>
        <v>0.004424778761</v>
      </c>
      <c r="R6590" s="2">
        <v>614.0</v>
      </c>
      <c r="S6590" s="5">
        <f t="shared" si="8"/>
        <v>0.6792035398</v>
      </c>
    </row>
    <row r="6591">
      <c r="A6591" s="2" t="s">
        <v>6588</v>
      </c>
      <c r="B6591" s="2">
        <v>57.0</v>
      </c>
      <c r="C6591" s="2">
        <v>676.0</v>
      </c>
      <c r="D6591" s="2">
        <v>228.0</v>
      </c>
      <c r="E6591" s="3">
        <f t="shared" si="1"/>
        <v>0.3683360258</v>
      </c>
      <c r="F6591" s="2">
        <v>71.0</v>
      </c>
      <c r="G6591" s="3">
        <f t="shared" si="2"/>
        <v>0.1147011309</v>
      </c>
      <c r="H6591" s="2">
        <v>136.0</v>
      </c>
      <c r="I6591" s="3">
        <f t="shared" si="3"/>
        <v>0.2197092084</v>
      </c>
      <c r="J6591" s="2">
        <v>101.0</v>
      </c>
      <c r="K6591" s="3">
        <f t="shared" si="4"/>
        <v>0.1631663974</v>
      </c>
      <c r="L6591" s="2">
        <v>78.0</v>
      </c>
      <c r="M6591" s="3">
        <f t="shared" si="5"/>
        <v>0.5735294118</v>
      </c>
      <c r="N6591" s="2">
        <v>754200.0</v>
      </c>
      <c r="O6591" s="4">
        <f t="shared" si="6"/>
        <v>5545.588235</v>
      </c>
      <c r="P6591" s="2">
        <v>0.0</v>
      </c>
      <c r="Q6591" s="3">
        <f t="shared" si="7"/>
        <v>0</v>
      </c>
      <c r="R6591" s="2">
        <v>57.0</v>
      </c>
      <c r="S6591" s="5">
        <f t="shared" si="8"/>
        <v>1</v>
      </c>
    </row>
    <row r="6592">
      <c r="A6592" s="2" t="s">
        <v>6589</v>
      </c>
      <c r="B6592" s="2">
        <v>140.0</v>
      </c>
      <c r="C6592" s="2">
        <v>1657.0</v>
      </c>
      <c r="D6592" s="2">
        <v>594.0</v>
      </c>
      <c r="E6592" s="3">
        <f t="shared" si="1"/>
        <v>0.391562294</v>
      </c>
      <c r="F6592" s="2">
        <v>174.0</v>
      </c>
      <c r="G6592" s="3">
        <f t="shared" si="2"/>
        <v>0.1147000659</v>
      </c>
      <c r="H6592" s="2">
        <v>327.0</v>
      </c>
      <c r="I6592" s="3">
        <f t="shared" si="3"/>
        <v>0.2155570204</v>
      </c>
      <c r="J6592" s="2">
        <v>239.0</v>
      </c>
      <c r="K6592" s="3">
        <f t="shared" si="4"/>
        <v>0.1575477917</v>
      </c>
      <c r="L6592" s="2">
        <v>183.0</v>
      </c>
      <c r="M6592" s="3">
        <f t="shared" si="5"/>
        <v>0.5596330275</v>
      </c>
      <c r="N6592" s="2">
        <v>1701700.0</v>
      </c>
      <c r="O6592" s="4">
        <f t="shared" si="6"/>
        <v>5203.975535</v>
      </c>
      <c r="P6592" s="2">
        <v>0.0</v>
      </c>
      <c r="Q6592" s="3">
        <f t="shared" si="7"/>
        <v>0</v>
      </c>
      <c r="R6592" s="2">
        <v>119.0</v>
      </c>
      <c r="S6592" s="5">
        <f t="shared" si="8"/>
        <v>0.85</v>
      </c>
    </row>
    <row r="6593">
      <c r="A6593" s="2" t="s">
        <v>6590</v>
      </c>
      <c r="B6593" s="2">
        <v>345.0</v>
      </c>
      <c r="C6593" s="2">
        <v>4094.0</v>
      </c>
      <c r="D6593" s="2">
        <v>1505.0</v>
      </c>
      <c r="E6593" s="3">
        <f t="shared" si="1"/>
        <v>0.4014403841</v>
      </c>
      <c r="F6593" s="2">
        <v>430.0</v>
      </c>
      <c r="G6593" s="3">
        <f t="shared" si="2"/>
        <v>0.1146972526</v>
      </c>
      <c r="H6593" s="2">
        <v>727.0</v>
      </c>
      <c r="I6593" s="3">
        <f t="shared" si="3"/>
        <v>0.1939183782</v>
      </c>
      <c r="J6593" s="2">
        <v>634.0</v>
      </c>
      <c r="K6593" s="3">
        <f t="shared" si="4"/>
        <v>0.1691117631</v>
      </c>
      <c r="L6593" s="2">
        <v>432.0</v>
      </c>
      <c r="M6593" s="3">
        <f t="shared" si="5"/>
        <v>0.5942228336</v>
      </c>
      <c r="N6593" s="2">
        <v>3809000.0</v>
      </c>
      <c r="O6593" s="4">
        <f t="shared" si="6"/>
        <v>5239.339752</v>
      </c>
      <c r="P6593" s="2">
        <v>0.0</v>
      </c>
      <c r="Q6593" s="3">
        <f t="shared" si="7"/>
        <v>0</v>
      </c>
      <c r="R6593" s="2">
        <v>345.0</v>
      </c>
      <c r="S6593" s="5">
        <f t="shared" si="8"/>
        <v>1</v>
      </c>
    </row>
    <row r="6594">
      <c r="A6594" s="2" t="s">
        <v>6591</v>
      </c>
      <c r="B6594" s="2">
        <v>467.0</v>
      </c>
      <c r="C6594" s="2">
        <v>5437.0</v>
      </c>
      <c r="D6594" s="2">
        <v>1083.0</v>
      </c>
      <c r="E6594" s="3">
        <f t="shared" si="1"/>
        <v>0.2179074447</v>
      </c>
      <c r="F6594" s="2">
        <v>570.0</v>
      </c>
      <c r="G6594" s="3">
        <f t="shared" si="2"/>
        <v>0.1146881288</v>
      </c>
      <c r="H6594" s="2">
        <v>969.0</v>
      </c>
      <c r="I6594" s="3">
        <f t="shared" si="3"/>
        <v>0.1949698189</v>
      </c>
      <c r="J6594" s="2">
        <v>923.0</v>
      </c>
      <c r="K6594" s="3">
        <f t="shared" si="4"/>
        <v>0.1857142857</v>
      </c>
      <c r="L6594" s="2">
        <v>543.0</v>
      </c>
      <c r="M6594" s="3">
        <f t="shared" si="5"/>
        <v>0.560371517</v>
      </c>
      <c r="N6594" s="2">
        <v>6210400.0</v>
      </c>
      <c r="O6594" s="4">
        <f t="shared" si="6"/>
        <v>6409.081527</v>
      </c>
      <c r="P6594" s="2">
        <v>4.0</v>
      </c>
      <c r="Q6594" s="3">
        <f t="shared" si="7"/>
        <v>0.008565310493</v>
      </c>
      <c r="R6594" s="2">
        <v>467.0</v>
      </c>
      <c r="S6594" s="5">
        <f t="shared" si="8"/>
        <v>1</v>
      </c>
    </row>
    <row r="6595">
      <c r="A6595" s="2" t="s">
        <v>6592</v>
      </c>
      <c r="B6595" s="2">
        <v>1054.0</v>
      </c>
      <c r="C6595" s="2">
        <v>12313.0</v>
      </c>
      <c r="D6595" s="2">
        <v>2610.0</v>
      </c>
      <c r="E6595" s="3">
        <f t="shared" si="1"/>
        <v>0.2318145484</v>
      </c>
      <c r="F6595" s="2">
        <v>1291.0</v>
      </c>
      <c r="G6595" s="3">
        <f t="shared" si="2"/>
        <v>0.1146638245</v>
      </c>
      <c r="H6595" s="2">
        <v>2189.0</v>
      </c>
      <c r="I6595" s="3">
        <f t="shared" si="3"/>
        <v>0.19442224</v>
      </c>
      <c r="J6595" s="2">
        <v>1978.0</v>
      </c>
      <c r="K6595" s="3">
        <f t="shared" si="4"/>
        <v>0.1756816769</v>
      </c>
      <c r="L6595" s="2">
        <v>1313.0</v>
      </c>
      <c r="M6595" s="3">
        <f t="shared" si="5"/>
        <v>0.5998172682</v>
      </c>
      <c r="N6595" s="2">
        <v>1.36255E7</v>
      </c>
      <c r="O6595" s="4">
        <f t="shared" si="6"/>
        <v>6224.53175</v>
      </c>
      <c r="P6595" s="2">
        <v>2.0</v>
      </c>
      <c r="Q6595" s="3">
        <f t="shared" si="7"/>
        <v>0.001897533207</v>
      </c>
      <c r="R6595" s="2">
        <v>1054.0</v>
      </c>
      <c r="S6595" s="5">
        <f t="shared" si="8"/>
        <v>1</v>
      </c>
    </row>
    <row r="6596">
      <c r="A6596" s="2" t="s">
        <v>6593</v>
      </c>
      <c r="B6596" s="2">
        <v>1180.0</v>
      </c>
      <c r="C6596" s="2">
        <v>13713.0</v>
      </c>
      <c r="D6596" s="2">
        <v>4085.0</v>
      </c>
      <c r="E6596" s="3">
        <f t="shared" si="1"/>
        <v>0.3259395197</v>
      </c>
      <c r="F6596" s="2">
        <v>1437.0</v>
      </c>
      <c r="G6596" s="3">
        <f t="shared" si="2"/>
        <v>0.1146573047</v>
      </c>
      <c r="H6596" s="2">
        <v>2669.0</v>
      </c>
      <c r="I6596" s="3">
        <f t="shared" si="3"/>
        <v>0.2129577914</v>
      </c>
      <c r="J6596" s="2">
        <v>2319.0</v>
      </c>
      <c r="K6596" s="3">
        <f t="shared" si="4"/>
        <v>0.1850315168</v>
      </c>
      <c r="L6596" s="2">
        <v>1599.0</v>
      </c>
      <c r="M6596" s="3">
        <f t="shared" si="5"/>
        <v>0.5991007868</v>
      </c>
      <c r="N6596" s="2">
        <v>1.53841E7</v>
      </c>
      <c r="O6596" s="4">
        <f t="shared" si="6"/>
        <v>5763.994005</v>
      </c>
      <c r="P6596" s="2">
        <v>1.0</v>
      </c>
      <c r="Q6596" s="3">
        <f t="shared" si="7"/>
        <v>0.0008474576271</v>
      </c>
      <c r="R6596" s="2">
        <v>1180.0</v>
      </c>
      <c r="S6596" s="5">
        <f t="shared" si="8"/>
        <v>1</v>
      </c>
    </row>
    <row r="6597">
      <c r="A6597" s="2" t="s">
        <v>6594</v>
      </c>
      <c r="B6597" s="2">
        <v>2723.0</v>
      </c>
      <c r="C6597" s="2">
        <v>31977.0</v>
      </c>
      <c r="D6597" s="2">
        <v>9283.0</v>
      </c>
      <c r="E6597" s="3">
        <f t="shared" si="1"/>
        <v>0.3173241266</v>
      </c>
      <c r="F6597" s="2">
        <v>3354.0</v>
      </c>
      <c r="G6597" s="3">
        <f t="shared" si="2"/>
        <v>0.1146509879</v>
      </c>
      <c r="H6597" s="2">
        <v>5854.0</v>
      </c>
      <c r="I6597" s="3">
        <f t="shared" si="3"/>
        <v>0.2001093868</v>
      </c>
      <c r="J6597" s="2">
        <v>4777.0</v>
      </c>
      <c r="K6597" s="3">
        <f t="shared" si="4"/>
        <v>0.1632939085</v>
      </c>
      <c r="L6597" s="2">
        <v>3577.0</v>
      </c>
      <c r="M6597" s="3">
        <f t="shared" si="5"/>
        <v>0.6110351896</v>
      </c>
      <c r="N6597" s="2">
        <v>3.32399E7</v>
      </c>
      <c r="O6597" s="4">
        <f t="shared" si="6"/>
        <v>5678.151691</v>
      </c>
      <c r="P6597" s="2">
        <v>1.0</v>
      </c>
      <c r="Q6597" s="3">
        <f t="shared" si="7"/>
        <v>0.0003672420125</v>
      </c>
      <c r="R6597" s="2">
        <v>2723.0</v>
      </c>
      <c r="S6597" s="5">
        <f t="shared" si="8"/>
        <v>1</v>
      </c>
    </row>
    <row r="6598">
      <c r="A6598" s="2" t="s">
        <v>6595</v>
      </c>
      <c r="B6598" s="2">
        <v>98.0</v>
      </c>
      <c r="C6598" s="2">
        <v>1136.0</v>
      </c>
      <c r="D6598" s="2">
        <v>399.0</v>
      </c>
      <c r="E6598" s="3">
        <f t="shared" si="1"/>
        <v>0.3843930636</v>
      </c>
      <c r="F6598" s="2">
        <v>119.0</v>
      </c>
      <c r="G6598" s="3">
        <f t="shared" si="2"/>
        <v>0.1146435453</v>
      </c>
      <c r="H6598" s="2">
        <v>225.0</v>
      </c>
      <c r="I6598" s="3">
        <f t="shared" si="3"/>
        <v>0.2167630058</v>
      </c>
      <c r="J6598" s="2">
        <v>149.0</v>
      </c>
      <c r="K6598" s="3">
        <f t="shared" si="4"/>
        <v>0.1435452794</v>
      </c>
      <c r="L6598" s="2">
        <v>146.0</v>
      </c>
      <c r="M6598" s="3">
        <f t="shared" si="5"/>
        <v>0.6488888889</v>
      </c>
      <c r="N6598" s="2">
        <v>1180700.0</v>
      </c>
      <c r="O6598" s="4">
        <f t="shared" si="6"/>
        <v>5247.555556</v>
      </c>
      <c r="P6598" s="2">
        <v>0.0</v>
      </c>
      <c r="Q6598" s="3">
        <f t="shared" si="7"/>
        <v>0</v>
      </c>
      <c r="R6598" s="2">
        <v>0.0</v>
      </c>
      <c r="S6598" s="5">
        <f t="shared" si="8"/>
        <v>0</v>
      </c>
    </row>
    <row r="6599">
      <c r="A6599" s="2" t="s">
        <v>6596</v>
      </c>
      <c r="B6599" s="2">
        <v>574.0</v>
      </c>
      <c r="C6599" s="2">
        <v>6785.0</v>
      </c>
      <c r="D6599" s="2">
        <v>2064.0</v>
      </c>
      <c r="E6599" s="3">
        <f t="shared" si="1"/>
        <v>0.3323136371</v>
      </c>
      <c r="F6599" s="2">
        <v>712.0</v>
      </c>
      <c r="G6599" s="3">
        <f t="shared" si="2"/>
        <v>0.1146353244</v>
      </c>
      <c r="H6599" s="2">
        <v>1198.0</v>
      </c>
      <c r="I6599" s="3">
        <f t="shared" si="3"/>
        <v>0.1928835936</v>
      </c>
      <c r="J6599" s="2">
        <v>1185.0</v>
      </c>
      <c r="K6599" s="3">
        <f t="shared" si="4"/>
        <v>0.1907905329</v>
      </c>
      <c r="L6599" s="2">
        <v>717.0</v>
      </c>
      <c r="M6599" s="3">
        <f t="shared" si="5"/>
        <v>0.5984974958</v>
      </c>
      <c r="N6599" s="2">
        <v>6991800.0</v>
      </c>
      <c r="O6599" s="4">
        <f t="shared" si="6"/>
        <v>5836.227045</v>
      </c>
      <c r="P6599" s="2">
        <v>2.0</v>
      </c>
      <c r="Q6599" s="3">
        <f t="shared" si="7"/>
        <v>0.003484320557</v>
      </c>
      <c r="R6599" s="2">
        <v>77.0</v>
      </c>
      <c r="S6599" s="5">
        <f t="shared" si="8"/>
        <v>0.1341463415</v>
      </c>
    </row>
    <row r="6600">
      <c r="A6600" s="2" t="s">
        <v>6597</v>
      </c>
      <c r="B6600" s="2">
        <v>427.0</v>
      </c>
      <c r="C6600" s="2">
        <v>5033.0</v>
      </c>
      <c r="D6600" s="2">
        <v>1613.0</v>
      </c>
      <c r="E6600" s="3">
        <f t="shared" si="1"/>
        <v>0.3501953973</v>
      </c>
      <c r="F6600" s="2">
        <v>528.0</v>
      </c>
      <c r="G6600" s="3">
        <f t="shared" si="2"/>
        <v>0.1146330873</v>
      </c>
      <c r="H6600" s="2">
        <v>933.0</v>
      </c>
      <c r="I6600" s="3">
        <f t="shared" si="3"/>
        <v>0.2025618758</v>
      </c>
      <c r="J6600" s="2">
        <v>785.0</v>
      </c>
      <c r="K6600" s="3">
        <f t="shared" si="4"/>
        <v>0.1704298741</v>
      </c>
      <c r="L6600" s="2">
        <v>550.0</v>
      </c>
      <c r="M6600" s="3">
        <f t="shared" si="5"/>
        <v>0.5894962487</v>
      </c>
      <c r="N6600" s="2">
        <v>5081100.0</v>
      </c>
      <c r="O6600" s="4">
        <f t="shared" si="6"/>
        <v>5445.980707</v>
      </c>
      <c r="P6600" s="2">
        <v>0.0</v>
      </c>
      <c r="Q6600" s="3">
        <f t="shared" si="7"/>
        <v>0</v>
      </c>
      <c r="R6600" s="2">
        <v>0.0</v>
      </c>
      <c r="S6600" s="5">
        <f t="shared" si="8"/>
        <v>0</v>
      </c>
    </row>
    <row r="6601">
      <c r="A6601" s="2" t="s">
        <v>6598</v>
      </c>
      <c r="B6601" s="2">
        <v>710.0</v>
      </c>
      <c r="C6601" s="2">
        <v>8256.0</v>
      </c>
      <c r="D6601" s="2">
        <v>2738.0</v>
      </c>
      <c r="E6601" s="3">
        <f t="shared" si="1"/>
        <v>0.3628412404</v>
      </c>
      <c r="F6601" s="2">
        <v>865.0</v>
      </c>
      <c r="G6601" s="3">
        <f t="shared" si="2"/>
        <v>0.1146302677</v>
      </c>
      <c r="H6601" s="2">
        <v>1590.0</v>
      </c>
      <c r="I6601" s="3">
        <f t="shared" si="3"/>
        <v>0.2107076597</v>
      </c>
      <c r="J6601" s="2">
        <v>1212.0</v>
      </c>
      <c r="K6601" s="3">
        <f t="shared" si="4"/>
        <v>0.1606148953</v>
      </c>
      <c r="L6601" s="2">
        <v>991.0</v>
      </c>
      <c r="M6601" s="3">
        <f t="shared" si="5"/>
        <v>0.6232704403</v>
      </c>
      <c r="N6601" s="2">
        <v>8719600.0</v>
      </c>
      <c r="O6601" s="4">
        <f t="shared" si="6"/>
        <v>5484.025157</v>
      </c>
      <c r="P6601" s="2">
        <v>1.0</v>
      </c>
      <c r="Q6601" s="3">
        <f t="shared" si="7"/>
        <v>0.001408450704</v>
      </c>
      <c r="R6601" s="2">
        <v>710.0</v>
      </c>
      <c r="S6601" s="5">
        <f t="shared" si="8"/>
        <v>1</v>
      </c>
    </row>
    <row r="6602">
      <c r="A6602" s="2" t="s">
        <v>6599</v>
      </c>
      <c r="B6602" s="2">
        <v>716.0</v>
      </c>
      <c r="C6602" s="2">
        <v>8350.0</v>
      </c>
      <c r="D6602" s="2">
        <v>2381.0</v>
      </c>
      <c r="E6602" s="3">
        <f t="shared" si="1"/>
        <v>0.3118941577</v>
      </c>
      <c r="F6602" s="2">
        <v>875.0</v>
      </c>
      <c r="G6602" s="3">
        <f t="shared" si="2"/>
        <v>0.1146188106</v>
      </c>
      <c r="H6602" s="2">
        <v>1628.0</v>
      </c>
      <c r="I6602" s="3">
        <f t="shared" si="3"/>
        <v>0.2132564841</v>
      </c>
      <c r="J6602" s="2">
        <v>1300.0</v>
      </c>
      <c r="K6602" s="3">
        <f t="shared" si="4"/>
        <v>0.1702908043</v>
      </c>
      <c r="L6602" s="2">
        <v>960.0</v>
      </c>
      <c r="M6602" s="3">
        <f t="shared" si="5"/>
        <v>0.5896805897</v>
      </c>
      <c r="N6602" s="2">
        <v>9310900.0</v>
      </c>
      <c r="O6602" s="4">
        <f t="shared" si="6"/>
        <v>5719.226044</v>
      </c>
      <c r="P6602" s="2">
        <v>2.0</v>
      </c>
      <c r="Q6602" s="3">
        <f t="shared" si="7"/>
        <v>0.002793296089</v>
      </c>
      <c r="R6602" s="2">
        <v>716.0</v>
      </c>
      <c r="S6602" s="5">
        <f t="shared" si="8"/>
        <v>1</v>
      </c>
    </row>
    <row r="6603">
      <c r="A6603" s="2" t="s">
        <v>6600</v>
      </c>
      <c r="B6603" s="2">
        <v>1282.0</v>
      </c>
      <c r="C6603" s="2">
        <v>14840.0</v>
      </c>
      <c r="D6603" s="2">
        <v>3699.0</v>
      </c>
      <c r="E6603" s="3">
        <f t="shared" si="1"/>
        <v>0.2728278507</v>
      </c>
      <c r="F6603" s="2">
        <v>1554.0</v>
      </c>
      <c r="G6603" s="3">
        <f t="shared" si="2"/>
        <v>0.1146186753</v>
      </c>
      <c r="H6603" s="2">
        <v>2660.0</v>
      </c>
      <c r="I6603" s="3">
        <f t="shared" si="3"/>
        <v>0.1961941289</v>
      </c>
      <c r="J6603" s="2">
        <v>2377.0</v>
      </c>
      <c r="K6603" s="3">
        <f t="shared" si="4"/>
        <v>0.1753208438</v>
      </c>
      <c r="L6603" s="2">
        <v>1581.0</v>
      </c>
      <c r="M6603" s="3">
        <f t="shared" si="5"/>
        <v>0.5943609023</v>
      </c>
      <c r="N6603" s="2">
        <v>1.59274E7</v>
      </c>
      <c r="O6603" s="4">
        <f t="shared" si="6"/>
        <v>5987.744361</v>
      </c>
      <c r="P6603" s="2">
        <v>3.0</v>
      </c>
      <c r="Q6603" s="3">
        <f t="shared" si="7"/>
        <v>0.002340093604</v>
      </c>
      <c r="R6603" s="2">
        <v>1282.0</v>
      </c>
      <c r="S6603" s="5">
        <f t="shared" si="8"/>
        <v>1</v>
      </c>
    </row>
    <row r="6604">
      <c r="A6604" s="2" t="s">
        <v>6601</v>
      </c>
      <c r="B6604" s="2">
        <v>186.0</v>
      </c>
      <c r="C6604" s="2">
        <v>2219.0</v>
      </c>
      <c r="D6604" s="2">
        <v>638.0</v>
      </c>
      <c r="E6604" s="3">
        <f t="shared" si="1"/>
        <v>0.313821938</v>
      </c>
      <c r="F6604" s="2">
        <v>233.0</v>
      </c>
      <c r="G6604" s="3">
        <f t="shared" si="2"/>
        <v>0.1146089523</v>
      </c>
      <c r="H6604" s="2">
        <v>396.0</v>
      </c>
      <c r="I6604" s="3">
        <f t="shared" si="3"/>
        <v>0.1947860305</v>
      </c>
      <c r="J6604" s="2">
        <v>321.0</v>
      </c>
      <c r="K6604" s="3">
        <f t="shared" si="4"/>
        <v>0.1578947368</v>
      </c>
      <c r="L6604" s="2">
        <v>229.0</v>
      </c>
      <c r="M6604" s="3">
        <f t="shared" si="5"/>
        <v>0.5782828283</v>
      </c>
      <c r="N6604" s="2">
        <v>2163600.0</v>
      </c>
      <c r="O6604" s="4">
        <f t="shared" si="6"/>
        <v>5463.636364</v>
      </c>
      <c r="P6604" s="2">
        <v>0.0</v>
      </c>
      <c r="Q6604" s="3">
        <f t="shared" si="7"/>
        <v>0</v>
      </c>
      <c r="R6604" s="2">
        <v>186.0</v>
      </c>
      <c r="S6604" s="5">
        <f t="shared" si="8"/>
        <v>1</v>
      </c>
    </row>
    <row r="6605">
      <c r="A6605" s="2" t="s">
        <v>6602</v>
      </c>
      <c r="B6605" s="2">
        <v>195.0</v>
      </c>
      <c r="C6605" s="2">
        <v>2324.0</v>
      </c>
      <c r="D6605" s="2">
        <v>336.0</v>
      </c>
      <c r="E6605" s="3">
        <f t="shared" si="1"/>
        <v>0.157820573</v>
      </c>
      <c r="F6605" s="2">
        <v>244.0</v>
      </c>
      <c r="G6605" s="3">
        <f t="shared" si="2"/>
        <v>0.1146077971</v>
      </c>
      <c r="H6605" s="2">
        <v>383.0</v>
      </c>
      <c r="I6605" s="3">
        <f t="shared" si="3"/>
        <v>0.1798966651</v>
      </c>
      <c r="J6605" s="2">
        <v>462.0</v>
      </c>
      <c r="K6605" s="3">
        <f t="shared" si="4"/>
        <v>0.2170032879</v>
      </c>
      <c r="L6605" s="2">
        <v>215.0</v>
      </c>
      <c r="M6605" s="3">
        <f t="shared" si="5"/>
        <v>0.5613577023</v>
      </c>
      <c r="N6605" s="2">
        <v>2379000.0</v>
      </c>
      <c r="O6605" s="4">
        <f t="shared" si="6"/>
        <v>6211.488251</v>
      </c>
      <c r="P6605" s="2">
        <v>0.0</v>
      </c>
      <c r="Q6605" s="3">
        <f t="shared" si="7"/>
        <v>0</v>
      </c>
      <c r="R6605" s="2">
        <v>195.0</v>
      </c>
      <c r="S6605" s="5">
        <f t="shared" si="8"/>
        <v>1</v>
      </c>
    </row>
    <row r="6606">
      <c r="A6606" s="2" t="s">
        <v>6603</v>
      </c>
      <c r="B6606" s="2">
        <v>1524.0</v>
      </c>
      <c r="C6606" s="2">
        <v>17675.0</v>
      </c>
      <c r="D6606" s="2">
        <v>4706.0</v>
      </c>
      <c r="E6606" s="3">
        <f t="shared" si="1"/>
        <v>0.291375147</v>
      </c>
      <c r="F6606" s="2">
        <v>1851.0</v>
      </c>
      <c r="G6606" s="3">
        <f t="shared" si="2"/>
        <v>0.1146059068</v>
      </c>
      <c r="H6606" s="2">
        <v>3461.0</v>
      </c>
      <c r="I6606" s="3">
        <f t="shared" si="3"/>
        <v>0.2142901368</v>
      </c>
      <c r="J6606" s="2">
        <v>3260.0</v>
      </c>
      <c r="K6606" s="3">
        <f t="shared" si="4"/>
        <v>0.201845087</v>
      </c>
      <c r="L6606" s="2">
        <v>2045.0</v>
      </c>
      <c r="M6606" s="3">
        <f t="shared" si="5"/>
        <v>0.5908696908</v>
      </c>
      <c r="N6606" s="2">
        <v>2.06731E7</v>
      </c>
      <c r="O6606" s="4">
        <f t="shared" si="6"/>
        <v>5973.158047</v>
      </c>
      <c r="P6606" s="2">
        <v>2.0</v>
      </c>
      <c r="Q6606" s="3">
        <f t="shared" si="7"/>
        <v>0.001312335958</v>
      </c>
      <c r="R6606" s="2">
        <v>1524.0</v>
      </c>
      <c r="S6606" s="5">
        <f t="shared" si="8"/>
        <v>1</v>
      </c>
    </row>
    <row r="6607">
      <c r="A6607" s="2" t="s">
        <v>6604</v>
      </c>
      <c r="B6607" s="2">
        <v>51.0</v>
      </c>
      <c r="C6607" s="2">
        <v>592.0</v>
      </c>
      <c r="D6607" s="2">
        <v>172.0</v>
      </c>
      <c r="E6607" s="3">
        <f t="shared" si="1"/>
        <v>0.3179297597</v>
      </c>
      <c r="F6607" s="2">
        <v>62.0</v>
      </c>
      <c r="G6607" s="3">
        <f t="shared" si="2"/>
        <v>0.1146025878</v>
      </c>
      <c r="H6607" s="2">
        <v>92.0</v>
      </c>
      <c r="I6607" s="3">
        <f t="shared" si="3"/>
        <v>0.1700554529</v>
      </c>
      <c r="J6607" s="2">
        <v>92.0</v>
      </c>
      <c r="K6607" s="3">
        <f t="shared" si="4"/>
        <v>0.1700554529</v>
      </c>
      <c r="L6607" s="2">
        <v>48.0</v>
      </c>
      <c r="M6607" s="3">
        <f t="shared" si="5"/>
        <v>0.5217391304</v>
      </c>
      <c r="N6607" s="2">
        <v>553600.0</v>
      </c>
      <c r="O6607" s="4">
        <f t="shared" si="6"/>
        <v>6017.391304</v>
      </c>
      <c r="P6607" s="2">
        <v>0.0</v>
      </c>
      <c r="Q6607" s="3">
        <f t="shared" si="7"/>
        <v>0</v>
      </c>
      <c r="R6607" s="2">
        <v>51.0</v>
      </c>
      <c r="S6607" s="5">
        <f t="shared" si="8"/>
        <v>1</v>
      </c>
    </row>
    <row r="6608">
      <c r="A6608" s="2" t="s">
        <v>6605</v>
      </c>
      <c r="B6608" s="2">
        <v>831.0</v>
      </c>
      <c r="C6608" s="2">
        <v>9906.0</v>
      </c>
      <c r="D6608" s="2">
        <v>3494.0</v>
      </c>
      <c r="E6608" s="3">
        <f t="shared" si="1"/>
        <v>0.3850137741</v>
      </c>
      <c r="F6608" s="2">
        <v>1040.0</v>
      </c>
      <c r="G6608" s="3">
        <f t="shared" si="2"/>
        <v>0.114600551</v>
      </c>
      <c r="H6608" s="2">
        <v>1988.0</v>
      </c>
      <c r="I6608" s="3">
        <f t="shared" si="3"/>
        <v>0.2190633609</v>
      </c>
      <c r="J6608" s="2">
        <v>1447.0</v>
      </c>
      <c r="K6608" s="3">
        <f t="shared" si="4"/>
        <v>0.1594490358</v>
      </c>
      <c r="L6608" s="2">
        <v>1175.0</v>
      </c>
      <c r="M6608" s="3">
        <f t="shared" si="5"/>
        <v>0.5910462777</v>
      </c>
      <c r="N6608" s="2">
        <v>1.04236E7</v>
      </c>
      <c r="O6608" s="4">
        <f t="shared" si="6"/>
        <v>5243.259557</v>
      </c>
      <c r="P6608" s="2">
        <v>0.0</v>
      </c>
      <c r="Q6608" s="3">
        <f t="shared" si="7"/>
        <v>0</v>
      </c>
      <c r="R6608" s="2">
        <v>608.0</v>
      </c>
      <c r="S6608" s="5">
        <f t="shared" si="8"/>
        <v>0.7316486161</v>
      </c>
    </row>
    <row r="6609">
      <c r="A6609" s="2" t="s">
        <v>6606</v>
      </c>
      <c r="B6609" s="2">
        <v>260.0</v>
      </c>
      <c r="C6609" s="2">
        <v>3131.0</v>
      </c>
      <c r="D6609" s="2">
        <v>1014.0</v>
      </c>
      <c r="E6609" s="3">
        <f t="shared" si="1"/>
        <v>0.3531870428</v>
      </c>
      <c r="F6609" s="2">
        <v>329.0</v>
      </c>
      <c r="G6609" s="3">
        <f t="shared" si="2"/>
        <v>0.114594218</v>
      </c>
      <c r="H6609" s="2">
        <v>558.0</v>
      </c>
      <c r="I6609" s="3">
        <f t="shared" si="3"/>
        <v>0.1943573668</v>
      </c>
      <c r="J6609" s="2">
        <v>498.0</v>
      </c>
      <c r="K6609" s="3">
        <f t="shared" si="4"/>
        <v>0.1734587252</v>
      </c>
      <c r="L6609" s="2">
        <v>316.0</v>
      </c>
      <c r="M6609" s="3">
        <f t="shared" si="5"/>
        <v>0.5663082437</v>
      </c>
      <c r="N6609" s="2">
        <v>3344400.0</v>
      </c>
      <c r="O6609" s="4">
        <f t="shared" si="6"/>
        <v>5993.548387</v>
      </c>
      <c r="P6609" s="2">
        <v>3.0</v>
      </c>
      <c r="Q6609" s="3">
        <f t="shared" si="7"/>
        <v>0.01153846154</v>
      </c>
      <c r="R6609" s="2">
        <v>0.0</v>
      </c>
      <c r="S6609" s="5">
        <f t="shared" si="8"/>
        <v>0</v>
      </c>
    </row>
    <row r="6610">
      <c r="A6610" s="2" t="s">
        <v>6607</v>
      </c>
      <c r="B6610" s="2">
        <v>9.0</v>
      </c>
      <c r="C6610" s="2">
        <v>105.0</v>
      </c>
      <c r="D6610" s="2">
        <v>27.0</v>
      </c>
      <c r="E6610" s="3">
        <f t="shared" si="1"/>
        <v>0.28125</v>
      </c>
      <c r="F6610" s="2">
        <v>11.0</v>
      </c>
      <c r="G6610" s="3">
        <f t="shared" si="2"/>
        <v>0.1145833333</v>
      </c>
      <c r="H6610" s="2">
        <v>23.0</v>
      </c>
      <c r="I6610" s="3">
        <f t="shared" si="3"/>
        <v>0.2395833333</v>
      </c>
      <c r="J6610" s="2">
        <v>16.0</v>
      </c>
      <c r="K6610" s="3">
        <f t="shared" si="4"/>
        <v>0.1666666667</v>
      </c>
      <c r="L6610" s="2">
        <v>11.0</v>
      </c>
      <c r="M6610" s="3">
        <f t="shared" si="5"/>
        <v>0.4782608696</v>
      </c>
      <c r="N6610" s="2">
        <v>127100.0</v>
      </c>
      <c r="O6610" s="4">
        <f t="shared" si="6"/>
        <v>5526.086957</v>
      </c>
      <c r="P6610" s="2">
        <v>0.0</v>
      </c>
      <c r="Q6610" s="3">
        <f t="shared" si="7"/>
        <v>0</v>
      </c>
      <c r="R6610" s="2">
        <v>9.0</v>
      </c>
      <c r="S6610" s="5">
        <f t="shared" si="8"/>
        <v>1</v>
      </c>
    </row>
    <row r="6611">
      <c r="A6611" s="2" t="s">
        <v>6608</v>
      </c>
      <c r="B6611" s="2">
        <v>87.0</v>
      </c>
      <c r="C6611" s="2">
        <v>986.0</v>
      </c>
      <c r="D6611" s="2">
        <v>368.0</v>
      </c>
      <c r="E6611" s="3">
        <f t="shared" si="1"/>
        <v>0.4093437152</v>
      </c>
      <c r="F6611" s="2">
        <v>103.0</v>
      </c>
      <c r="G6611" s="3">
        <f t="shared" si="2"/>
        <v>0.1145717464</v>
      </c>
      <c r="H6611" s="2">
        <v>202.0</v>
      </c>
      <c r="I6611" s="3">
        <f t="shared" si="3"/>
        <v>0.2246941046</v>
      </c>
      <c r="J6611" s="2">
        <v>152.0</v>
      </c>
      <c r="K6611" s="3">
        <f t="shared" si="4"/>
        <v>0.1690767519</v>
      </c>
      <c r="L6611" s="2">
        <v>121.0</v>
      </c>
      <c r="M6611" s="3">
        <f t="shared" si="5"/>
        <v>0.599009901</v>
      </c>
      <c r="N6611" s="2">
        <v>1056900.0</v>
      </c>
      <c r="O6611" s="4">
        <f t="shared" si="6"/>
        <v>5232.178218</v>
      </c>
      <c r="P6611" s="2">
        <v>0.0</v>
      </c>
      <c r="Q6611" s="3">
        <f t="shared" si="7"/>
        <v>0</v>
      </c>
      <c r="R6611" s="2">
        <v>87.0</v>
      </c>
      <c r="S6611" s="5">
        <f t="shared" si="8"/>
        <v>1</v>
      </c>
    </row>
    <row r="6612">
      <c r="A6612" s="2" t="s">
        <v>6609</v>
      </c>
      <c r="B6612" s="2">
        <v>589.0</v>
      </c>
      <c r="C6612" s="2">
        <v>6926.0</v>
      </c>
      <c r="D6612" s="2">
        <v>2397.0</v>
      </c>
      <c r="E6612" s="3">
        <f t="shared" si="1"/>
        <v>0.3782546947</v>
      </c>
      <c r="F6612" s="2">
        <v>726.0</v>
      </c>
      <c r="G6612" s="3">
        <f t="shared" si="2"/>
        <v>0.1145652517</v>
      </c>
      <c r="H6612" s="2">
        <v>1339.0</v>
      </c>
      <c r="I6612" s="3">
        <f t="shared" si="3"/>
        <v>0.2112987218</v>
      </c>
      <c r="J6612" s="2">
        <v>1007.0</v>
      </c>
      <c r="K6612" s="3">
        <f t="shared" si="4"/>
        <v>0.1589080006</v>
      </c>
      <c r="L6612" s="2">
        <v>816.0</v>
      </c>
      <c r="M6612" s="3">
        <f t="shared" si="5"/>
        <v>0.6094100075</v>
      </c>
      <c r="N6612" s="2">
        <v>6939300.0</v>
      </c>
      <c r="O6612" s="4">
        <f t="shared" si="6"/>
        <v>5182.449589</v>
      </c>
      <c r="P6612" s="2">
        <v>0.0</v>
      </c>
      <c r="Q6612" s="3">
        <f t="shared" si="7"/>
        <v>0</v>
      </c>
      <c r="R6612" s="2">
        <v>589.0</v>
      </c>
      <c r="S6612" s="5">
        <f t="shared" si="8"/>
        <v>1</v>
      </c>
    </row>
    <row r="6613">
      <c r="A6613" s="2" t="s">
        <v>6610</v>
      </c>
      <c r="B6613" s="2">
        <v>912.0</v>
      </c>
      <c r="C6613" s="2">
        <v>10741.0</v>
      </c>
      <c r="D6613" s="2">
        <v>3780.0</v>
      </c>
      <c r="E6613" s="3">
        <f t="shared" si="1"/>
        <v>0.3845762539</v>
      </c>
      <c r="F6613" s="2">
        <v>1126.0</v>
      </c>
      <c r="G6613" s="3">
        <f t="shared" si="2"/>
        <v>0.1145589582</v>
      </c>
      <c r="H6613" s="2">
        <v>2181.0</v>
      </c>
      <c r="I6613" s="3">
        <f t="shared" si="3"/>
        <v>0.2218943941</v>
      </c>
      <c r="J6613" s="2">
        <v>1961.0</v>
      </c>
      <c r="K6613" s="3">
        <f t="shared" si="4"/>
        <v>0.1995116492</v>
      </c>
      <c r="L6613" s="2">
        <v>1282.0</v>
      </c>
      <c r="M6613" s="3">
        <f t="shared" si="5"/>
        <v>0.5878037597</v>
      </c>
      <c r="N6613" s="2">
        <v>1.21238E7</v>
      </c>
      <c r="O6613" s="4">
        <f t="shared" si="6"/>
        <v>5558.826227</v>
      </c>
      <c r="P6613" s="2">
        <v>3.0</v>
      </c>
      <c r="Q6613" s="3">
        <f t="shared" si="7"/>
        <v>0.003289473684</v>
      </c>
      <c r="R6613" s="2">
        <v>912.0</v>
      </c>
      <c r="S6613" s="5">
        <f t="shared" si="8"/>
        <v>1</v>
      </c>
    </row>
    <row r="6614">
      <c r="A6614" s="2" t="s">
        <v>6611</v>
      </c>
      <c r="B6614" s="2">
        <v>116.0</v>
      </c>
      <c r="C6614" s="2">
        <v>1373.0</v>
      </c>
      <c r="D6614" s="2">
        <v>424.0</v>
      </c>
      <c r="E6614" s="3">
        <f t="shared" si="1"/>
        <v>0.3373110581</v>
      </c>
      <c r="F6614" s="2">
        <v>144.0</v>
      </c>
      <c r="G6614" s="3">
        <f t="shared" si="2"/>
        <v>0.1145584726</v>
      </c>
      <c r="H6614" s="2">
        <v>242.0</v>
      </c>
      <c r="I6614" s="3">
        <f t="shared" si="3"/>
        <v>0.1925218775</v>
      </c>
      <c r="J6614" s="2">
        <v>174.0</v>
      </c>
      <c r="K6614" s="3">
        <f t="shared" si="4"/>
        <v>0.138424821</v>
      </c>
      <c r="L6614" s="2">
        <v>136.0</v>
      </c>
      <c r="M6614" s="3">
        <f t="shared" si="5"/>
        <v>0.5619834711</v>
      </c>
      <c r="N6614" s="2">
        <v>1403300.0</v>
      </c>
      <c r="O6614" s="4">
        <f t="shared" si="6"/>
        <v>5798.760331</v>
      </c>
      <c r="P6614" s="2">
        <v>1.0</v>
      </c>
      <c r="Q6614" s="3">
        <f t="shared" si="7"/>
        <v>0.008620689655</v>
      </c>
      <c r="R6614" s="2">
        <v>0.0</v>
      </c>
      <c r="S6614" s="5">
        <f t="shared" si="8"/>
        <v>0</v>
      </c>
    </row>
    <row r="6615">
      <c r="A6615" s="2" t="s">
        <v>6612</v>
      </c>
      <c r="B6615" s="2">
        <v>110.0</v>
      </c>
      <c r="C6615" s="2">
        <v>1306.0</v>
      </c>
      <c r="D6615" s="2">
        <v>416.0</v>
      </c>
      <c r="E6615" s="3">
        <f t="shared" si="1"/>
        <v>0.347826087</v>
      </c>
      <c r="F6615" s="2">
        <v>137.0</v>
      </c>
      <c r="G6615" s="3">
        <f t="shared" si="2"/>
        <v>0.114548495</v>
      </c>
      <c r="H6615" s="2">
        <v>256.0</v>
      </c>
      <c r="I6615" s="3">
        <f t="shared" si="3"/>
        <v>0.2140468227</v>
      </c>
      <c r="J6615" s="2">
        <v>223.0</v>
      </c>
      <c r="K6615" s="3">
        <f t="shared" si="4"/>
        <v>0.1864548495</v>
      </c>
      <c r="L6615" s="2">
        <v>165.0</v>
      </c>
      <c r="M6615" s="3">
        <f t="shared" si="5"/>
        <v>0.64453125</v>
      </c>
      <c r="N6615" s="2">
        <v>1534400.0</v>
      </c>
      <c r="O6615" s="4">
        <f t="shared" si="6"/>
        <v>5993.75</v>
      </c>
      <c r="P6615" s="2">
        <v>0.0</v>
      </c>
      <c r="Q6615" s="3">
        <f t="shared" si="7"/>
        <v>0</v>
      </c>
      <c r="R6615" s="2">
        <v>0.0</v>
      </c>
      <c r="S6615" s="5">
        <f t="shared" si="8"/>
        <v>0</v>
      </c>
    </row>
    <row r="6616">
      <c r="A6616" s="2" t="s">
        <v>6613</v>
      </c>
      <c r="B6616" s="2">
        <v>4237.0</v>
      </c>
      <c r="C6616" s="2">
        <v>49910.0</v>
      </c>
      <c r="D6616" s="2">
        <v>17987.0</v>
      </c>
      <c r="E6616" s="3">
        <f t="shared" si="1"/>
        <v>0.3938212949</v>
      </c>
      <c r="F6616" s="2">
        <v>5231.0</v>
      </c>
      <c r="G6616" s="3">
        <f t="shared" si="2"/>
        <v>0.1145315613</v>
      </c>
      <c r="H6616" s="2">
        <v>9517.0</v>
      </c>
      <c r="I6616" s="3">
        <f t="shared" si="3"/>
        <v>0.2083725615</v>
      </c>
      <c r="J6616" s="2">
        <v>7873.0</v>
      </c>
      <c r="K6616" s="3">
        <f t="shared" si="4"/>
        <v>0.1723775535</v>
      </c>
      <c r="L6616" s="2">
        <v>5673.0</v>
      </c>
      <c r="M6616" s="3">
        <f t="shared" si="5"/>
        <v>0.5960912052</v>
      </c>
      <c r="N6616" s="2">
        <v>5.31089E7</v>
      </c>
      <c r="O6616" s="4">
        <f t="shared" si="6"/>
        <v>5580.424504</v>
      </c>
      <c r="P6616" s="2">
        <v>7.0</v>
      </c>
      <c r="Q6616" s="3">
        <f t="shared" si="7"/>
        <v>0.001652112344</v>
      </c>
      <c r="R6616" s="2">
        <v>4237.0</v>
      </c>
      <c r="S6616" s="5">
        <f t="shared" si="8"/>
        <v>1</v>
      </c>
    </row>
    <row r="6617">
      <c r="A6617" s="2" t="s">
        <v>6614</v>
      </c>
      <c r="B6617" s="2">
        <v>46.0</v>
      </c>
      <c r="C6617" s="2">
        <v>535.0</v>
      </c>
      <c r="D6617" s="2">
        <v>176.0</v>
      </c>
      <c r="E6617" s="3">
        <f t="shared" si="1"/>
        <v>0.3599182004</v>
      </c>
      <c r="F6617" s="2">
        <v>56.0</v>
      </c>
      <c r="G6617" s="3">
        <f t="shared" si="2"/>
        <v>0.1145194274</v>
      </c>
      <c r="H6617" s="2">
        <v>106.0</v>
      </c>
      <c r="I6617" s="3">
        <f t="shared" si="3"/>
        <v>0.2167689162</v>
      </c>
      <c r="J6617" s="2">
        <v>102.0</v>
      </c>
      <c r="K6617" s="3">
        <f t="shared" si="4"/>
        <v>0.2085889571</v>
      </c>
      <c r="L6617" s="2">
        <v>80.0</v>
      </c>
      <c r="M6617" s="3">
        <f t="shared" si="5"/>
        <v>0.7547169811</v>
      </c>
      <c r="N6617" s="2">
        <v>550300.0</v>
      </c>
      <c r="O6617" s="4">
        <f t="shared" si="6"/>
        <v>5191.509434</v>
      </c>
      <c r="P6617" s="2">
        <v>0.0</v>
      </c>
      <c r="Q6617" s="3">
        <f t="shared" si="7"/>
        <v>0</v>
      </c>
      <c r="R6617" s="2">
        <v>46.0</v>
      </c>
      <c r="S6617" s="5">
        <f t="shared" si="8"/>
        <v>1</v>
      </c>
    </row>
    <row r="6618">
      <c r="A6618" s="2" t="s">
        <v>6615</v>
      </c>
      <c r="B6618" s="2">
        <v>47.0</v>
      </c>
      <c r="C6618" s="2">
        <v>536.0</v>
      </c>
      <c r="D6618" s="2">
        <v>122.0</v>
      </c>
      <c r="E6618" s="3">
        <f t="shared" si="1"/>
        <v>0.2494887526</v>
      </c>
      <c r="F6618" s="2">
        <v>56.0</v>
      </c>
      <c r="G6618" s="3">
        <f t="shared" si="2"/>
        <v>0.1145194274</v>
      </c>
      <c r="H6618" s="2">
        <v>93.0</v>
      </c>
      <c r="I6618" s="3">
        <f t="shared" si="3"/>
        <v>0.1901840491</v>
      </c>
      <c r="J6618" s="2">
        <v>81.0</v>
      </c>
      <c r="K6618" s="3">
        <f t="shared" si="4"/>
        <v>0.1656441718</v>
      </c>
      <c r="L6618" s="2">
        <v>59.0</v>
      </c>
      <c r="M6618" s="3">
        <f t="shared" si="5"/>
        <v>0.6344086022</v>
      </c>
      <c r="N6618" s="2">
        <v>512600.0</v>
      </c>
      <c r="O6618" s="4">
        <f t="shared" si="6"/>
        <v>5511.827957</v>
      </c>
      <c r="P6618" s="2">
        <v>0.0</v>
      </c>
      <c r="Q6618" s="3">
        <f t="shared" si="7"/>
        <v>0</v>
      </c>
      <c r="R6618" s="2">
        <v>0.0</v>
      </c>
      <c r="S6618" s="5">
        <f t="shared" si="8"/>
        <v>0</v>
      </c>
    </row>
    <row r="6619">
      <c r="A6619" s="2" t="s">
        <v>6616</v>
      </c>
      <c r="B6619" s="2">
        <v>714.0</v>
      </c>
      <c r="C6619" s="2">
        <v>8390.0</v>
      </c>
      <c r="D6619" s="2">
        <v>2143.0</v>
      </c>
      <c r="E6619" s="3">
        <f t="shared" si="1"/>
        <v>0.2791818656</v>
      </c>
      <c r="F6619" s="2">
        <v>879.0</v>
      </c>
      <c r="G6619" s="3">
        <f t="shared" si="2"/>
        <v>0.1145127671</v>
      </c>
      <c r="H6619" s="2">
        <v>1463.0</v>
      </c>
      <c r="I6619" s="3">
        <f t="shared" si="3"/>
        <v>0.1905940594</v>
      </c>
      <c r="J6619" s="2">
        <v>1468.0</v>
      </c>
      <c r="K6619" s="3">
        <f t="shared" si="4"/>
        <v>0.1912454403</v>
      </c>
      <c r="L6619" s="2">
        <v>835.0</v>
      </c>
      <c r="M6619" s="3">
        <f t="shared" si="5"/>
        <v>0.5707450444</v>
      </c>
      <c r="N6619" s="2">
        <v>8705400.0</v>
      </c>
      <c r="O6619" s="4">
        <f t="shared" si="6"/>
        <v>5950.37594</v>
      </c>
      <c r="P6619" s="2">
        <v>1.0</v>
      </c>
      <c r="Q6619" s="3">
        <f t="shared" si="7"/>
        <v>0.001400560224</v>
      </c>
      <c r="R6619" s="2">
        <v>714.0</v>
      </c>
      <c r="S6619" s="5">
        <f t="shared" si="8"/>
        <v>1</v>
      </c>
    </row>
    <row r="6620">
      <c r="A6620" s="2" t="s">
        <v>6617</v>
      </c>
      <c r="B6620" s="2">
        <v>140.0</v>
      </c>
      <c r="C6620" s="2">
        <v>1677.0</v>
      </c>
      <c r="D6620" s="2">
        <v>493.0</v>
      </c>
      <c r="E6620" s="3">
        <f t="shared" si="1"/>
        <v>0.320754717</v>
      </c>
      <c r="F6620" s="2">
        <v>176.0</v>
      </c>
      <c r="G6620" s="3">
        <f t="shared" si="2"/>
        <v>0.1145087833</v>
      </c>
      <c r="H6620" s="2">
        <v>315.0</v>
      </c>
      <c r="I6620" s="3">
        <f t="shared" si="3"/>
        <v>0.2049446975</v>
      </c>
      <c r="J6620" s="2">
        <v>263.0</v>
      </c>
      <c r="K6620" s="3">
        <f t="shared" si="4"/>
        <v>0.1711125569</v>
      </c>
      <c r="L6620" s="2">
        <v>173.0</v>
      </c>
      <c r="M6620" s="3">
        <f t="shared" si="5"/>
        <v>0.5492063492</v>
      </c>
      <c r="N6620" s="2">
        <v>1800600.0</v>
      </c>
      <c r="O6620" s="4">
        <f t="shared" si="6"/>
        <v>5716.190476</v>
      </c>
      <c r="P6620" s="2">
        <v>1.0</v>
      </c>
      <c r="Q6620" s="3">
        <f t="shared" si="7"/>
        <v>0.007142857143</v>
      </c>
      <c r="R6620" s="2">
        <v>61.0</v>
      </c>
      <c r="S6620" s="5">
        <f t="shared" si="8"/>
        <v>0.4357142857</v>
      </c>
    </row>
    <row r="6621">
      <c r="A6621" s="2" t="s">
        <v>6618</v>
      </c>
      <c r="B6621" s="2">
        <v>155.0</v>
      </c>
      <c r="C6621" s="2">
        <v>1832.0</v>
      </c>
      <c r="D6621" s="2">
        <v>438.0</v>
      </c>
      <c r="E6621" s="3">
        <f t="shared" si="1"/>
        <v>0.2611806798</v>
      </c>
      <c r="F6621" s="2">
        <v>192.0</v>
      </c>
      <c r="G6621" s="3">
        <f t="shared" si="2"/>
        <v>0.114490161</v>
      </c>
      <c r="H6621" s="2">
        <v>325.0</v>
      </c>
      <c r="I6621" s="3">
        <f t="shared" si="3"/>
        <v>0.1937984496</v>
      </c>
      <c r="J6621" s="2">
        <v>237.0</v>
      </c>
      <c r="K6621" s="3">
        <f t="shared" si="4"/>
        <v>0.1413237925</v>
      </c>
      <c r="L6621" s="2">
        <v>181.0</v>
      </c>
      <c r="M6621" s="3">
        <f t="shared" si="5"/>
        <v>0.5569230769</v>
      </c>
      <c r="N6621" s="2">
        <v>1953300.0</v>
      </c>
      <c r="O6621" s="4">
        <f t="shared" si="6"/>
        <v>6010.153846</v>
      </c>
      <c r="P6621" s="2">
        <v>0.0</v>
      </c>
      <c r="Q6621" s="3">
        <f t="shared" si="7"/>
        <v>0</v>
      </c>
      <c r="R6621" s="2">
        <v>155.0</v>
      </c>
      <c r="S6621" s="5">
        <f t="shared" si="8"/>
        <v>1</v>
      </c>
    </row>
    <row r="6622">
      <c r="A6622" s="2" t="s">
        <v>6619</v>
      </c>
      <c r="B6622" s="2">
        <v>766.0</v>
      </c>
      <c r="C6622" s="2">
        <v>9038.0</v>
      </c>
      <c r="D6622" s="2">
        <v>2796.0</v>
      </c>
      <c r="E6622" s="3">
        <f t="shared" si="1"/>
        <v>0.3380077369</v>
      </c>
      <c r="F6622" s="2">
        <v>947.0</v>
      </c>
      <c r="G6622" s="3">
        <f t="shared" si="2"/>
        <v>0.1144825919</v>
      </c>
      <c r="H6622" s="2">
        <v>1673.0</v>
      </c>
      <c r="I6622" s="3">
        <f t="shared" si="3"/>
        <v>0.2022485493</v>
      </c>
      <c r="J6622" s="2">
        <v>1355.0</v>
      </c>
      <c r="K6622" s="3">
        <f t="shared" si="4"/>
        <v>0.1638056093</v>
      </c>
      <c r="L6622" s="2">
        <v>1000.0</v>
      </c>
      <c r="M6622" s="3">
        <f t="shared" si="5"/>
        <v>0.5977286312</v>
      </c>
      <c r="N6622" s="2">
        <v>9218000.0</v>
      </c>
      <c r="O6622" s="4">
        <f t="shared" si="6"/>
        <v>5509.862522</v>
      </c>
      <c r="P6622" s="2">
        <v>1.0</v>
      </c>
      <c r="Q6622" s="3">
        <f t="shared" si="7"/>
        <v>0.001305483029</v>
      </c>
      <c r="R6622" s="2">
        <v>766.0</v>
      </c>
      <c r="S6622" s="5">
        <f t="shared" si="8"/>
        <v>1</v>
      </c>
    </row>
    <row r="6623">
      <c r="A6623" s="2" t="s">
        <v>6620</v>
      </c>
      <c r="B6623" s="2">
        <v>1715.0</v>
      </c>
      <c r="C6623" s="2">
        <v>20269.0</v>
      </c>
      <c r="D6623" s="2">
        <v>5917.0</v>
      </c>
      <c r="E6623" s="3">
        <f t="shared" si="1"/>
        <v>0.3189069742</v>
      </c>
      <c r="F6623" s="2">
        <v>2124.0</v>
      </c>
      <c r="G6623" s="3">
        <f t="shared" si="2"/>
        <v>0.1144766627</v>
      </c>
      <c r="H6623" s="2">
        <v>4124.0</v>
      </c>
      <c r="I6623" s="3">
        <f t="shared" si="3"/>
        <v>0.2222701304</v>
      </c>
      <c r="J6623" s="2">
        <v>3453.0</v>
      </c>
      <c r="K6623" s="3">
        <f t="shared" si="4"/>
        <v>0.186105422</v>
      </c>
      <c r="L6623" s="2">
        <v>2485.0</v>
      </c>
      <c r="M6623" s="3">
        <f t="shared" si="5"/>
        <v>0.6025703201</v>
      </c>
      <c r="N6623" s="2">
        <v>2.30251E7</v>
      </c>
      <c r="O6623" s="4">
        <f t="shared" si="6"/>
        <v>5583.195926</v>
      </c>
      <c r="P6623" s="2">
        <v>7.0</v>
      </c>
      <c r="Q6623" s="3">
        <f t="shared" si="7"/>
        <v>0.004081632653</v>
      </c>
      <c r="R6623" s="2">
        <v>1715.0</v>
      </c>
      <c r="S6623" s="5">
        <f t="shared" si="8"/>
        <v>1</v>
      </c>
    </row>
    <row r="6624">
      <c r="A6624" s="2" t="s">
        <v>6621</v>
      </c>
      <c r="B6624" s="2">
        <v>278.0</v>
      </c>
      <c r="C6624" s="2">
        <v>3257.0</v>
      </c>
      <c r="D6624" s="2">
        <v>605.0</v>
      </c>
      <c r="E6624" s="3">
        <f t="shared" si="1"/>
        <v>0.2030882847</v>
      </c>
      <c r="F6624" s="2">
        <v>341.0</v>
      </c>
      <c r="G6624" s="3">
        <f t="shared" si="2"/>
        <v>0.1144679423</v>
      </c>
      <c r="H6624" s="2">
        <v>597.0</v>
      </c>
      <c r="I6624" s="3">
        <f t="shared" si="3"/>
        <v>0.2004028197</v>
      </c>
      <c r="J6624" s="2">
        <v>641.0</v>
      </c>
      <c r="K6624" s="3">
        <f t="shared" si="4"/>
        <v>0.2151728768</v>
      </c>
      <c r="L6624" s="2">
        <v>367.0</v>
      </c>
      <c r="M6624" s="3">
        <f t="shared" si="5"/>
        <v>0.6147403685</v>
      </c>
      <c r="N6624" s="2">
        <v>3762800.0</v>
      </c>
      <c r="O6624" s="4">
        <f t="shared" si="6"/>
        <v>6302.847571</v>
      </c>
      <c r="P6624" s="2">
        <v>0.0</v>
      </c>
      <c r="Q6624" s="3">
        <f t="shared" si="7"/>
        <v>0</v>
      </c>
      <c r="R6624" s="2">
        <v>278.0</v>
      </c>
      <c r="S6624" s="5">
        <f t="shared" si="8"/>
        <v>1</v>
      </c>
    </row>
    <row r="6625">
      <c r="A6625" s="2" t="s">
        <v>6622</v>
      </c>
      <c r="B6625" s="2">
        <v>1227.0</v>
      </c>
      <c r="C6625" s="2">
        <v>14340.0</v>
      </c>
      <c r="D6625" s="2">
        <v>3928.0</v>
      </c>
      <c r="E6625" s="3">
        <f t="shared" si="1"/>
        <v>0.2995500648</v>
      </c>
      <c r="F6625" s="2">
        <v>1501.0</v>
      </c>
      <c r="G6625" s="3">
        <f t="shared" si="2"/>
        <v>0.1144665599</v>
      </c>
      <c r="H6625" s="2">
        <v>2794.0</v>
      </c>
      <c r="I6625" s="3">
        <f t="shared" si="3"/>
        <v>0.2130709982</v>
      </c>
      <c r="J6625" s="2">
        <v>1980.0</v>
      </c>
      <c r="K6625" s="3">
        <f t="shared" si="4"/>
        <v>0.1509951956</v>
      </c>
      <c r="L6625" s="2">
        <v>1743.0</v>
      </c>
      <c r="M6625" s="3">
        <f t="shared" si="5"/>
        <v>0.6238367931</v>
      </c>
      <c r="N6625" s="2">
        <v>1.53784E7</v>
      </c>
      <c r="O6625" s="4">
        <f t="shared" si="6"/>
        <v>5504.080172</v>
      </c>
      <c r="P6625" s="2">
        <v>2.0</v>
      </c>
      <c r="Q6625" s="3">
        <f t="shared" si="7"/>
        <v>0.00162999185</v>
      </c>
      <c r="R6625" s="2">
        <v>1227.0</v>
      </c>
      <c r="S6625" s="5">
        <f t="shared" si="8"/>
        <v>1</v>
      </c>
    </row>
    <row r="6626">
      <c r="A6626" s="2" t="s">
        <v>6623</v>
      </c>
      <c r="B6626" s="2">
        <v>32.0</v>
      </c>
      <c r="C6626" s="2">
        <v>364.0</v>
      </c>
      <c r="D6626" s="2">
        <v>89.0</v>
      </c>
      <c r="E6626" s="3">
        <f t="shared" si="1"/>
        <v>0.2680722892</v>
      </c>
      <c r="F6626" s="2">
        <v>38.0</v>
      </c>
      <c r="G6626" s="3">
        <f t="shared" si="2"/>
        <v>0.1144578313</v>
      </c>
      <c r="H6626" s="2">
        <v>65.0</v>
      </c>
      <c r="I6626" s="3">
        <f t="shared" si="3"/>
        <v>0.1957831325</v>
      </c>
      <c r="J6626" s="2">
        <v>61.0</v>
      </c>
      <c r="K6626" s="3">
        <f t="shared" si="4"/>
        <v>0.1837349398</v>
      </c>
      <c r="L6626" s="2">
        <v>35.0</v>
      </c>
      <c r="M6626" s="3">
        <f t="shared" si="5"/>
        <v>0.5384615385</v>
      </c>
      <c r="N6626" s="2">
        <v>405200.0</v>
      </c>
      <c r="O6626" s="4">
        <f t="shared" si="6"/>
        <v>6233.846154</v>
      </c>
      <c r="P6626" s="2">
        <v>0.0</v>
      </c>
      <c r="Q6626" s="3">
        <f t="shared" si="7"/>
        <v>0</v>
      </c>
      <c r="R6626" s="2">
        <v>32.0</v>
      </c>
      <c r="S6626" s="5">
        <f t="shared" si="8"/>
        <v>1</v>
      </c>
    </row>
    <row r="6627">
      <c r="A6627" s="2" t="s">
        <v>6624</v>
      </c>
      <c r="B6627" s="2">
        <v>130.0</v>
      </c>
      <c r="C6627" s="2">
        <v>1458.0</v>
      </c>
      <c r="D6627" s="2">
        <v>485.0</v>
      </c>
      <c r="E6627" s="3">
        <f t="shared" si="1"/>
        <v>0.3652108434</v>
      </c>
      <c r="F6627" s="2">
        <v>152.0</v>
      </c>
      <c r="G6627" s="3">
        <f t="shared" si="2"/>
        <v>0.1144578313</v>
      </c>
      <c r="H6627" s="2">
        <v>261.0</v>
      </c>
      <c r="I6627" s="3">
        <f t="shared" si="3"/>
        <v>0.1965361446</v>
      </c>
      <c r="J6627" s="2">
        <v>186.0</v>
      </c>
      <c r="K6627" s="3">
        <f t="shared" si="4"/>
        <v>0.140060241</v>
      </c>
      <c r="L6627" s="2">
        <v>148.0</v>
      </c>
      <c r="M6627" s="3">
        <f t="shared" si="5"/>
        <v>0.5670498084</v>
      </c>
      <c r="N6627" s="2">
        <v>1504800.0</v>
      </c>
      <c r="O6627" s="4">
        <f t="shared" si="6"/>
        <v>5765.517241</v>
      </c>
      <c r="P6627" s="2">
        <v>0.0</v>
      </c>
      <c r="Q6627" s="3">
        <f t="shared" si="7"/>
        <v>0</v>
      </c>
      <c r="R6627" s="2">
        <v>19.0</v>
      </c>
      <c r="S6627" s="5">
        <f t="shared" si="8"/>
        <v>0.1461538462</v>
      </c>
    </row>
    <row r="6628">
      <c r="A6628" s="2" t="s">
        <v>6625</v>
      </c>
      <c r="B6628" s="2">
        <v>2319.0</v>
      </c>
      <c r="C6628" s="2">
        <v>26967.0</v>
      </c>
      <c r="D6628" s="2">
        <v>6497.0</v>
      </c>
      <c r="E6628" s="3">
        <f t="shared" si="1"/>
        <v>0.2635913664</v>
      </c>
      <c r="F6628" s="2">
        <v>2821.0</v>
      </c>
      <c r="G6628" s="3">
        <f t="shared" si="2"/>
        <v>0.1144514768</v>
      </c>
      <c r="H6628" s="2">
        <v>4912.0</v>
      </c>
      <c r="I6628" s="3">
        <f t="shared" si="3"/>
        <v>0.1992859461</v>
      </c>
      <c r="J6628" s="2">
        <v>4367.0</v>
      </c>
      <c r="K6628" s="3">
        <f t="shared" si="4"/>
        <v>0.1771746186</v>
      </c>
      <c r="L6628" s="2">
        <v>2927.0</v>
      </c>
      <c r="M6628" s="3">
        <f t="shared" si="5"/>
        <v>0.5958876221</v>
      </c>
      <c r="N6628" s="2">
        <v>3.0412E7</v>
      </c>
      <c r="O6628" s="4">
        <f t="shared" si="6"/>
        <v>6191.368078</v>
      </c>
      <c r="P6628" s="2">
        <v>3.0</v>
      </c>
      <c r="Q6628" s="3">
        <f t="shared" si="7"/>
        <v>0.001293661061</v>
      </c>
      <c r="R6628" s="2">
        <v>2312.0</v>
      </c>
      <c r="S6628" s="5">
        <f t="shared" si="8"/>
        <v>0.9969814575</v>
      </c>
    </row>
    <row r="6629">
      <c r="A6629" s="2" t="s">
        <v>6626</v>
      </c>
      <c r="B6629" s="2">
        <v>875.0</v>
      </c>
      <c r="C6629" s="2">
        <v>10321.0</v>
      </c>
      <c r="D6629" s="2">
        <v>2537.0</v>
      </c>
      <c r="E6629" s="3">
        <f t="shared" si="1"/>
        <v>0.2685792928</v>
      </c>
      <c r="F6629" s="2">
        <v>1081.0</v>
      </c>
      <c r="G6629" s="3">
        <f t="shared" si="2"/>
        <v>0.1144399746</v>
      </c>
      <c r="H6629" s="2">
        <v>1850.0</v>
      </c>
      <c r="I6629" s="3">
        <f t="shared" si="3"/>
        <v>0.1958500953</v>
      </c>
      <c r="J6629" s="2">
        <v>1523.0</v>
      </c>
      <c r="K6629" s="3">
        <f t="shared" si="4"/>
        <v>0.1612322676</v>
      </c>
      <c r="L6629" s="2">
        <v>1117.0</v>
      </c>
      <c r="M6629" s="3">
        <f t="shared" si="5"/>
        <v>0.6037837838</v>
      </c>
      <c r="N6629" s="2">
        <v>1.04392E7</v>
      </c>
      <c r="O6629" s="4">
        <f t="shared" si="6"/>
        <v>5642.810811</v>
      </c>
      <c r="P6629" s="2">
        <v>0.0</v>
      </c>
      <c r="Q6629" s="3">
        <f t="shared" si="7"/>
        <v>0</v>
      </c>
      <c r="R6629" s="2">
        <v>875.0</v>
      </c>
      <c r="S6629" s="5">
        <f t="shared" si="8"/>
        <v>1</v>
      </c>
    </row>
    <row r="6630">
      <c r="A6630" s="2" t="s">
        <v>6627</v>
      </c>
      <c r="B6630" s="2">
        <v>123.0</v>
      </c>
      <c r="C6630" s="2">
        <v>1425.0</v>
      </c>
      <c r="D6630" s="2">
        <v>438.0</v>
      </c>
      <c r="E6630" s="3">
        <f t="shared" si="1"/>
        <v>0.33640553</v>
      </c>
      <c r="F6630" s="2">
        <v>149.0</v>
      </c>
      <c r="G6630" s="3">
        <f t="shared" si="2"/>
        <v>0.1144393241</v>
      </c>
      <c r="H6630" s="2">
        <v>281.0</v>
      </c>
      <c r="I6630" s="3">
        <f t="shared" si="3"/>
        <v>0.2158218126</v>
      </c>
      <c r="J6630" s="2">
        <v>208.0</v>
      </c>
      <c r="K6630" s="3">
        <f t="shared" si="4"/>
        <v>0.1597542243</v>
      </c>
      <c r="L6630" s="2">
        <v>172.0</v>
      </c>
      <c r="M6630" s="3">
        <f t="shared" si="5"/>
        <v>0.6120996441</v>
      </c>
      <c r="N6630" s="2">
        <v>1571300.0</v>
      </c>
      <c r="O6630" s="4">
        <f t="shared" si="6"/>
        <v>5591.814947</v>
      </c>
      <c r="P6630" s="2">
        <v>0.0</v>
      </c>
      <c r="Q6630" s="3">
        <f t="shared" si="7"/>
        <v>0</v>
      </c>
      <c r="R6630" s="2">
        <v>123.0</v>
      </c>
      <c r="S6630" s="5">
        <f t="shared" si="8"/>
        <v>1</v>
      </c>
    </row>
    <row r="6631">
      <c r="A6631" s="2" t="s">
        <v>6628</v>
      </c>
      <c r="B6631" s="2">
        <v>2342.0</v>
      </c>
      <c r="C6631" s="2">
        <v>27833.0</v>
      </c>
      <c r="D6631" s="2">
        <v>9837.0</v>
      </c>
      <c r="E6631" s="3">
        <f t="shared" si="1"/>
        <v>0.3859009062</v>
      </c>
      <c r="F6631" s="2">
        <v>2917.0</v>
      </c>
      <c r="G6631" s="3">
        <f t="shared" si="2"/>
        <v>0.1144325448</v>
      </c>
      <c r="H6631" s="2">
        <v>5387.0</v>
      </c>
      <c r="I6631" s="3">
        <f t="shared" si="3"/>
        <v>0.2113294888</v>
      </c>
      <c r="J6631" s="2">
        <v>4171.0</v>
      </c>
      <c r="K6631" s="3">
        <f t="shared" si="4"/>
        <v>0.1636263779</v>
      </c>
      <c r="L6631" s="2">
        <v>3247.0</v>
      </c>
      <c r="M6631" s="3">
        <f t="shared" si="5"/>
        <v>0.6027473547</v>
      </c>
      <c r="N6631" s="2">
        <v>2.87362E7</v>
      </c>
      <c r="O6631" s="4">
        <f t="shared" si="6"/>
        <v>5334.360497</v>
      </c>
      <c r="P6631" s="2">
        <v>8.0</v>
      </c>
      <c r="Q6631" s="3">
        <f t="shared" si="7"/>
        <v>0.00341588386</v>
      </c>
      <c r="R6631" s="2">
        <v>2342.0</v>
      </c>
      <c r="S6631" s="5">
        <f t="shared" si="8"/>
        <v>1</v>
      </c>
    </row>
    <row r="6632">
      <c r="A6632" s="2" t="s">
        <v>6629</v>
      </c>
      <c r="B6632" s="2">
        <v>710.0</v>
      </c>
      <c r="C6632" s="2">
        <v>8446.0</v>
      </c>
      <c r="D6632" s="2">
        <v>3013.0</v>
      </c>
      <c r="E6632" s="3">
        <f t="shared" si="1"/>
        <v>0.3894777663</v>
      </c>
      <c r="F6632" s="2">
        <v>885.0</v>
      </c>
      <c r="G6632" s="3">
        <f t="shared" si="2"/>
        <v>0.1144002068</v>
      </c>
      <c r="H6632" s="2">
        <v>1535.0</v>
      </c>
      <c r="I6632" s="3">
        <f t="shared" si="3"/>
        <v>0.1984229576</v>
      </c>
      <c r="J6632" s="2">
        <v>1282.0</v>
      </c>
      <c r="K6632" s="3">
        <f t="shared" si="4"/>
        <v>0.1657187177</v>
      </c>
      <c r="L6632" s="2">
        <v>933.0</v>
      </c>
      <c r="M6632" s="3">
        <f t="shared" si="5"/>
        <v>0.6078175896</v>
      </c>
      <c r="N6632" s="2">
        <v>8217700.0</v>
      </c>
      <c r="O6632" s="4">
        <f t="shared" si="6"/>
        <v>5353.550489</v>
      </c>
      <c r="P6632" s="2">
        <v>0.0</v>
      </c>
      <c r="Q6632" s="3">
        <f t="shared" si="7"/>
        <v>0</v>
      </c>
      <c r="R6632" s="2">
        <v>710.0</v>
      </c>
      <c r="S6632" s="5">
        <f t="shared" si="8"/>
        <v>1</v>
      </c>
    </row>
    <row r="6633">
      <c r="A6633" s="2" t="s">
        <v>6630</v>
      </c>
      <c r="B6633" s="2">
        <v>152.0</v>
      </c>
      <c r="C6633" s="2">
        <v>1778.0</v>
      </c>
      <c r="D6633" s="2">
        <v>518.0</v>
      </c>
      <c r="E6633" s="3">
        <f t="shared" si="1"/>
        <v>0.3185731857</v>
      </c>
      <c r="F6633" s="2">
        <v>186.0</v>
      </c>
      <c r="G6633" s="3">
        <f t="shared" si="2"/>
        <v>0.1143911439</v>
      </c>
      <c r="H6633" s="2">
        <v>350.0</v>
      </c>
      <c r="I6633" s="3">
        <f t="shared" si="3"/>
        <v>0.2152521525</v>
      </c>
      <c r="J6633" s="2">
        <v>305.0</v>
      </c>
      <c r="K6633" s="3">
        <f t="shared" si="4"/>
        <v>0.1875768758</v>
      </c>
      <c r="L6633" s="2">
        <v>195.0</v>
      </c>
      <c r="M6633" s="3">
        <f t="shared" si="5"/>
        <v>0.5571428571</v>
      </c>
      <c r="N6633" s="2">
        <v>1917300.0</v>
      </c>
      <c r="O6633" s="4">
        <f t="shared" si="6"/>
        <v>5478</v>
      </c>
      <c r="P6633" s="2">
        <v>1.0</v>
      </c>
      <c r="Q6633" s="3">
        <f t="shared" si="7"/>
        <v>0.006578947368</v>
      </c>
      <c r="R6633" s="2">
        <v>152.0</v>
      </c>
      <c r="S6633" s="5">
        <f t="shared" si="8"/>
        <v>1</v>
      </c>
    </row>
    <row r="6634">
      <c r="A6634" s="2" t="s">
        <v>6631</v>
      </c>
      <c r="B6634" s="2">
        <v>26.0</v>
      </c>
      <c r="C6634" s="2">
        <v>297.0</v>
      </c>
      <c r="D6634" s="2">
        <v>110.0</v>
      </c>
      <c r="E6634" s="3">
        <f t="shared" si="1"/>
        <v>0.405904059</v>
      </c>
      <c r="F6634" s="2">
        <v>31.0</v>
      </c>
      <c r="G6634" s="3">
        <f t="shared" si="2"/>
        <v>0.1143911439</v>
      </c>
      <c r="H6634" s="2">
        <v>59.0</v>
      </c>
      <c r="I6634" s="3">
        <f t="shared" si="3"/>
        <v>0.2177121771</v>
      </c>
      <c r="J6634" s="2">
        <v>40.0</v>
      </c>
      <c r="K6634" s="3">
        <f t="shared" si="4"/>
        <v>0.147601476</v>
      </c>
      <c r="L6634" s="2">
        <v>34.0</v>
      </c>
      <c r="M6634" s="3">
        <f t="shared" si="5"/>
        <v>0.5762711864</v>
      </c>
      <c r="N6634" s="2">
        <v>302500.0</v>
      </c>
      <c r="O6634" s="4">
        <f t="shared" si="6"/>
        <v>5127.118644</v>
      </c>
      <c r="P6634" s="2">
        <v>0.0</v>
      </c>
      <c r="Q6634" s="3">
        <f t="shared" si="7"/>
        <v>0</v>
      </c>
      <c r="R6634" s="2">
        <v>26.0</v>
      </c>
      <c r="S6634" s="5">
        <f t="shared" si="8"/>
        <v>1</v>
      </c>
    </row>
    <row r="6635">
      <c r="A6635" s="2" t="s">
        <v>6632</v>
      </c>
      <c r="B6635" s="2">
        <v>27.0</v>
      </c>
      <c r="C6635" s="2">
        <v>333.0</v>
      </c>
      <c r="D6635" s="2">
        <v>72.0</v>
      </c>
      <c r="E6635" s="3">
        <f t="shared" si="1"/>
        <v>0.2352941176</v>
      </c>
      <c r="F6635" s="2">
        <v>35.0</v>
      </c>
      <c r="G6635" s="3">
        <f t="shared" si="2"/>
        <v>0.114379085</v>
      </c>
      <c r="H6635" s="2">
        <v>62.0</v>
      </c>
      <c r="I6635" s="3">
        <f t="shared" si="3"/>
        <v>0.2026143791</v>
      </c>
      <c r="J6635" s="2">
        <v>61.0</v>
      </c>
      <c r="K6635" s="3">
        <f t="shared" si="4"/>
        <v>0.1993464052</v>
      </c>
      <c r="L6635" s="2">
        <v>33.0</v>
      </c>
      <c r="M6635" s="3">
        <f t="shared" si="5"/>
        <v>0.5322580645</v>
      </c>
      <c r="N6635" s="2">
        <v>331100.0</v>
      </c>
      <c r="O6635" s="4">
        <f t="shared" si="6"/>
        <v>5340.322581</v>
      </c>
      <c r="P6635" s="2">
        <v>0.0</v>
      </c>
      <c r="Q6635" s="3">
        <f t="shared" si="7"/>
        <v>0</v>
      </c>
      <c r="R6635" s="2">
        <v>27.0</v>
      </c>
      <c r="S6635" s="5">
        <f t="shared" si="8"/>
        <v>1</v>
      </c>
    </row>
    <row r="6636">
      <c r="A6636" s="2" t="s">
        <v>6633</v>
      </c>
      <c r="B6636" s="2">
        <v>670.0</v>
      </c>
      <c r="C6636" s="2">
        <v>7883.0</v>
      </c>
      <c r="D6636" s="2">
        <v>2294.0</v>
      </c>
      <c r="E6636" s="3">
        <f t="shared" si="1"/>
        <v>0.3180368779</v>
      </c>
      <c r="F6636" s="2">
        <v>825.0</v>
      </c>
      <c r="G6636" s="3">
        <f t="shared" si="2"/>
        <v>0.1143768196</v>
      </c>
      <c r="H6636" s="2">
        <v>1451.0</v>
      </c>
      <c r="I6636" s="3">
        <f t="shared" si="3"/>
        <v>0.201164564</v>
      </c>
      <c r="J6636" s="2">
        <v>1212.0</v>
      </c>
      <c r="K6636" s="3">
        <f t="shared" si="4"/>
        <v>0.1680299459</v>
      </c>
      <c r="L6636" s="2">
        <v>884.0</v>
      </c>
      <c r="M6636" s="3">
        <f t="shared" si="5"/>
        <v>0.6092350103</v>
      </c>
      <c r="N6636" s="2">
        <v>8641400.0</v>
      </c>
      <c r="O6636" s="4">
        <f t="shared" si="6"/>
        <v>5955.47898</v>
      </c>
      <c r="P6636" s="2">
        <v>0.0</v>
      </c>
      <c r="Q6636" s="3">
        <f t="shared" si="7"/>
        <v>0</v>
      </c>
      <c r="R6636" s="2">
        <v>4.0</v>
      </c>
      <c r="S6636" s="5">
        <f t="shared" si="8"/>
        <v>0.005970149254</v>
      </c>
    </row>
    <row r="6637">
      <c r="A6637" s="2" t="s">
        <v>6634</v>
      </c>
      <c r="B6637" s="2">
        <v>142.0</v>
      </c>
      <c r="C6637" s="2">
        <v>1742.0</v>
      </c>
      <c r="D6637" s="2">
        <v>616.0</v>
      </c>
      <c r="E6637" s="3">
        <f t="shared" si="1"/>
        <v>0.385</v>
      </c>
      <c r="F6637" s="2">
        <v>183.0</v>
      </c>
      <c r="G6637" s="3">
        <f t="shared" si="2"/>
        <v>0.114375</v>
      </c>
      <c r="H6637" s="2">
        <v>305.0</v>
      </c>
      <c r="I6637" s="3">
        <f t="shared" si="3"/>
        <v>0.190625</v>
      </c>
      <c r="J6637" s="2">
        <v>233.0</v>
      </c>
      <c r="K6637" s="3">
        <f t="shared" si="4"/>
        <v>0.145625</v>
      </c>
      <c r="L6637" s="2">
        <v>179.0</v>
      </c>
      <c r="M6637" s="3">
        <f t="shared" si="5"/>
        <v>0.5868852459</v>
      </c>
      <c r="N6637" s="2">
        <v>1523400.0</v>
      </c>
      <c r="O6637" s="4">
        <f t="shared" si="6"/>
        <v>4994.754098</v>
      </c>
      <c r="P6637" s="2">
        <v>0.0</v>
      </c>
      <c r="Q6637" s="3">
        <f t="shared" si="7"/>
        <v>0</v>
      </c>
      <c r="R6637" s="2">
        <v>142.0</v>
      </c>
      <c r="S6637" s="5">
        <f t="shared" si="8"/>
        <v>1</v>
      </c>
    </row>
    <row r="6638">
      <c r="A6638" s="2" t="s">
        <v>6635</v>
      </c>
      <c r="B6638" s="2">
        <v>2488.0</v>
      </c>
      <c r="C6638" s="2">
        <v>29208.0</v>
      </c>
      <c r="D6638" s="2">
        <v>8992.0</v>
      </c>
      <c r="E6638" s="3">
        <f t="shared" si="1"/>
        <v>0.3365269461</v>
      </c>
      <c r="F6638" s="2">
        <v>3056.0</v>
      </c>
      <c r="G6638" s="3">
        <f t="shared" si="2"/>
        <v>0.1143712575</v>
      </c>
      <c r="H6638" s="2">
        <v>5421.0</v>
      </c>
      <c r="I6638" s="3">
        <f t="shared" si="3"/>
        <v>0.2028817365</v>
      </c>
      <c r="J6638" s="2">
        <v>4628.0</v>
      </c>
      <c r="K6638" s="3">
        <f t="shared" si="4"/>
        <v>0.1732035928</v>
      </c>
      <c r="L6638" s="2">
        <v>3304.0</v>
      </c>
      <c r="M6638" s="3">
        <f t="shared" si="5"/>
        <v>0.6094816455</v>
      </c>
      <c r="N6638" s="2">
        <v>3.09671E7</v>
      </c>
      <c r="O6638" s="4">
        <f t="shared" si="6"/>
        <v>5712.43313</v>
      </c>
      <c r="P6638" s="2">
        <v>1.0</v>
      </c>
      <c r="Q6638" s="3">
        <f t="shared" si="7"/>
        <v>0.0004019292605</v>
      </c>
      <c r="R6638" s="2">
        <v>2488.0</v>
      </c>
      <c r="S6638" s="5">
        <f t="shared" si="8"/>
        <v>1</v>
      </c>
    </row>
    <row r="6639">
      <c r="A6639" s="2" t="s">
        <v>6636</v>
      </c>
      <c r="B6639" s="2">
        <v>305.0</v>
      </c>
      <c r="C6639" s="2">
        <v>3645.0</v>
      </c>
      <c r="D6639" s="2">
        <v>1111.0</v>
      </c>
      <c r="E6639" s="3">
        <f t="shared" si="1"/>
        <v>0.3326347305</v>
      </c>
      <c r="F6639" s="2">
        <v>382.0</v>
      </c>
      <c r="G6639" s="3">
        <f t="shared" si="2"/>
        <v>0.1143712575</v>
      </c>
      <c r="H6639" s="2">
        <v>726.0</v>
      </c>
      <c r="I6639" s="3">
        <f t="shared" si="3"/>
        <v>0.2173652695</v>
      </c>
      <c r="J6639" s="2">
        <v>549.0</v>
      </c>
      <c r="K6639" s="3">
        <f t="shared" si="4"/>
        <v>0.1643712575</v>
      </c>
      <c r="L6639" s="2">
        <v>424.0</v>
      </c>
      <c r="M6639" s="3">
        <f t="shared" si="5"/>
        <v>0.5840220386</v>
      </c>
      <c r="N6639" s="2">
        <v>3813300.0</v>
      </c>
      <c r="O6639" s="4">
        <f t="shared" si="6"/>
        <v>5252.479339</v>
      </c>
      <c r="P6639" s="2">
        <v>1.0</v>
      </c>
      <c r="Q6639" s="3">
        <f t="shared" si="7"/>
        <v>0.003278688525</v>
      </c>
      <c r="R6639" s="2">
        <v>305.0</v>
      </c>
      <c r="S6639" s="5">
        <f t="shared" si="8"/>
        <v>1</v>
      </c>
    </row>
    <row r="6640">
      <c r="A6640" s="2" t="s">
        <v>6637</v>
      </c>
      <c r="B6640" s="2">
        <v>253.0</v>
      </c>
      <c r="C6640" s="2">
        <v>3016.0</v>
      </c>
      <c r="D6640" s="2">
        <v>991.0</v>
      </c>
      <c r="E6640" s="3">
        <f t="shared" si="1"/>
        <v>0.3586681144</v>
      </c>
      <c r="F6640" s="2">
        <v>316.0</v>
      </c>
      <c r="G6640" s="3">
        <f t="shared" si="2"/>
        <v>0.1143684401</v>
      </c>
      <c r="H6640" s="2">
        <v>525.0</v>
      </c>
      <c r="I6640" s="3">
        <f t="shared" si="3"/>
        <v>0.1900108578</v>
      </c>
      <c r="J6640" s="2">
        <v>447.0</v>
      </c>
      <c r="K6640" s="3">
        <f t="shared" si="4"/>
        <v>0.1617806732</v>
      </c>
      <c r="L6640" s="2">
        <v>306.0</v>
      </c>
      <c r="M6640" s="3">
        <f t="shared" si="5"/>
        <v>0.5828571429</v>
      </c>
      <c r="N6640" s="2">
        <v>2994400.0</v>
      </c>
      <c r="O6640" s="4">
        <f t="shared" si="6"/>
        <v>5703.619048</v>
      </c>
      <c r="P6640" s="2">
        <v>2.0</v>
      </c>
      <c r="Q6640" s="3">
        <f t="shared" si="7"/>
        <v>0.00790513834</v>
      </c>
      <c r="R6640" s="2">
        <v>253.0</v>
      </c>
      <c r="S6640" s="5">
        <f t="shared" si="8"/>
        <v>1</v>
      </c>
    </row>
    <row r="6641">
      <c r="A6641" s="2" t="s">
        <v>6638</v>
      </c>
      <c r="B6641" s="2">
        <v>358.0</v>
      </c>
      <c r="C6641" s="2">
        <v>4258.0</v>
      </c>
      <c r="D6641" s="2">
        <v>1258.0</v>
      </c>
      <c r="E6641" s="3">
        <f t="shared" si="1"/>
        <v>0.3225641026</v>
      </c>
      <c r="F6641" s="2">
        <v>446.0</v>
      </c>
      <c r="G6641" s="3">
        <f t="shared" si="2"/>
        <v>0.1143589744</v>
      </c>
      <c r="H6641" s="2">
        <v>762.0</v>
      </c>
      <c r="I6641" s="3">
        <f t="shared" si="3"/>
        <v>0.1953846154</v>
      </c>
      <c r="J6641" s="2">
        <v>630.0</v>
      </c>
      <c r="K6641" s="3">
        <f t="shared" si="4"/>
        <v>0.1615384615</v>
      </c>
      <c r="L6641" s="2">
        <v>458.0</v>
      </c>
      <c r="M6641" s="3">
        <f t="shared" si="5"/>
        <v>0.6010498688</v>
      </c>
      <c r="N6641" s="2">
        <v>4429200.0</v>
      </c>
      <c r="O6641" s="4">
        <f t="shared" si="6"/>
        <v>5812.598425</v>
      </c>
      <c r="P6641" s="2">
        <v>0.0</v>
      </c>
      <c r="Q6641" s="3">
        <f t="shared" si="7"/>
        <v>0</v>
      </c>
      <c r="R6641" s="2">
        <v>358.0</v>
      </c>
      <c r="S6641" s="5">
        <f t="shared" si="8"/>
        <v>1</v>
      </c>
    </row>
    <row r="6642">
      <c r="A6642" s="2" t="s">
        <v>6639</v>
      </c>
      <c r="B6642" s="2">
        <v>610.0</v>
      </c>
      <c r="C6642" s="2">
        <v>7169.0</v>
      </c>
      <c r="D6642" s="2">
        <v>2104.0</v>
      </c>
      <c r="E6642" s="3">
        <f t="shared" si="1"/>
        <v>0.3207806068</v>
      </c>
      <c r="F6642" s="2">
        <v>750.0</v>
      </c>
      <c r="G6642" s="3">
        <f t="shared" si="2"/>
        <v>0.1143466992</v>
      </c>
      <c r="H6642" s="2">
        <v>1307.0</v>
      </c>
      <c r="I6642" s="3">
        <f t="shared" si="3"/>
        <v>0.1992681811</v>
      </c>
      <c r="J6642" s="2">
        <v>1074.0</v>
      </c>
      <c r="K6642" s="3">
        <f t="shared" si="4"/>
        <v>0.1637444732</v>
      </c>
      <c r="L6642" s="2">
        <v>761.0</v>
      </c>
      <c r="M6642" s="3">
        <f t="shared" si="5"/>
        <v>0.5822494262</v>
      </c>
      <c r="N6642" s="2">
        <v>7568600.0</v>
      </c>
      <c r="O6642" s="4">
        <f t="shared" si="6"/>
        <v>5790.818669</v>
      </c>
      <c r="P6642" s="2">
        <v>3.0</v>
      </c>
      <c r="Q6642" s="3">
        <f t="shared" si="7"/>
        <v>0.004918032787</v>
      </c>
      <c r="R6642" s="2">
        <v>0.0</v>
      </c>
      <c r="S6642" s="5">
        <f t="shared" si="8"/>
        <v>0</v>
      </c>
    </row>
    <row r="6643">
      <c r="A6643" s="2" t="s">
        <v>6640</v>
      </c>
      <c r="B6643" s="2">
        <v>255.0</v>
      </c>
      <c r="C6643" s="2">
        <v>3010.0</v>
      </c>
      <c r="D6643" s="2">
        <v>1095.0</v>
      </c>
      <c r="E6643" s="3">
        <f t="shared" si="1"/>
        <v>0.3974591652</v>
      </c>
      <c r="F6643" s="2">
        <v>315.0</v>
      </c>
      <c r="G6643" s="3">
        <f t="shared" si="2"/>
        <v>0.1143375681</v>
      </c>
      <c r="H6643" s="2">
        <v>628.0</v>
      </c>
      <c r="I6643" s="3">
        <f t="shared" si="3"/>
        <v>0.2279491833</v>
      </c>
      <c r="J6643" s="2">
        <v>413.0</v>
      </c>
      <c r="K6643" s="3">
        <f t="shared" si="4"/>
        <v>0.1499092559</v>
      </c>
      <c r="L6643" s="2">
        <v>372.0</v>
      </c>
      <c r="M6643" s="3">
        <f t="shared" si="5"/>
        <v>0.5923566879</v>
      </c>
      <c r="N6643" s="2">
        <v>3257400.0</v>
      </c>
      <c r="O6643" s="4">
        <f t="shared" si="6"/>
        <v>5186.942675</v>
      </c>
      <c r="P6643" s="2">
        <v>1.0</v>
      </c>
      <c r="Q6643" s="3">
        <f t="shared" si="7"/>
        <v>0.003921568627</v>
      </c>
      <c r="R6643" s="2">
        <v>251.0</v>
      </c>
      <c r="S6643" s="5">
        <f t="shared" si="8"/>
        <v>0.9843137255</v>
      </c>
    </row>
    <row r="6644">
      <c r="A6644" s="2" t="s">
        <v>6641</v>
      </c>
      <c r="B6644" s="2">
        <v>179.0</v>
      </c>
      <c r="C6644" s="2">
        <v>2077.0</v>
      </c>
      <c r="D6644" s="2">
        <v>857.0</v>
      </c>
      <c r="E6644" s="3">
        <f t="shared" si="1"/>
        <v>0.4515279241</v>
      </c>
      <c r="F6644" s="2">
        <v>217.0</v>
      </c>
      <c r="G6644" s="3">
        <f t="shared" si="2"/>
        <v>0.1143308746</v>
      </c>
      <c r="H6644" s="2">
        <v>386.0</v>
      </c>
      <c r="I6644" s="3">
        <f t="shared" si="3"/>
        <v>0.2033719705</v>
      </c>
      <c r="J6644" s="2">
        <v>212.0</v>
      </c>
      <c r="K6644" s="3">
        <f t="shared" si="4"/>
        <v>0.1116965227</v>
      </c>
      <c r="L6644" s="2">
        <v>240.0</v>
      </c>
      <c r="M6644" s="3">
        <f t="shared" si="5"/>
        <v>0.621761658</v>
      </c>
      <c r="N6644" s="2">
        <v>1987000.0</v>
      </c>
      <c r="O6644" s="4">
        <f t="shared" si="6"/>
        <v>5147.668394</v>
      </c>
      <c r="P6644" s="2">
        <v>0.0</v>
      </c>
      <c r="Q6644" s="3">
        <f t="shared" si="7"/>
        <v>0</v>
      </c>
      <c r="R6644" s="2">
        <v>179.0</v>
      </c>
      <c r="S6644" s="5">
        <f t="shared" si="8"/>
        <v>1</v>
      </c>
    </row>
    <row r="6645">
      <c r="A6645" s="2" t="s">
        <v>6642</v>
      </c>
      <c r="B6645" s="2">
        <v>1499.0</v>
      </c>
      <c r="C6645" s="2">
        <v>17506.0</v>
      </c>
      <c r="D6645" s="2">
        <v>5299.0</v>
      </c>
      <c r="E6645" s="3">
        <f t="shared" si="1"/>
        <v>0.3310426688</v>
      </c>
      <c r="F6645" s="2">
        <v>1830.0</v>
      </c>
      <c r="G6645" s="3">
        <f t="shared" si="2"/>
        <v>0.1143249828</v>
      </c>
      <c r="H6645" s="2">
        <v>3349.0</v>
      </c>
      <c r="I6645" s="3">
        <f t="shared" si="3"/>
        <v>0.2092209658</v>
      </c>
      <c r="J6645" s="2">
        <v>2735.0</v>
      </c>
      <c r="K6645" s="3">
        <f t="shared" si="4"/>
        <v>0.1708627475</v>
      </c>
      <c r="L6645" s="2">
        <v>2021.0</v>
      </c>
      <c r="M6645" s="3">
        <f t="shared" si="5"/>
        <v>0.6034637205</v>
      </c>
      <c r="N6645" s="2">
        <v>1.8839E7</v>
      </c>
      <c r="O6645" s="4">
        <f t="shared" si="6"/>
        <v>5625.261272</v>
      </c>
      <c r="P6645" s="2">
        <v>1.0</v>
      </c>
      <c r="Q6645" s="3">
        <f t="shared" si="7"/>
        <v>0.0006671114076</v>
      </c>
      <c r="R6645" s="2">
        <v>1497.0</v>
      </c>
      <c r="S6645" s="5">
        <f t="shared" si="8"/>
        <v>0.9986657772</v>
      </c>
    </row>
    <row r="6646">
      <c r="A6646" s="2" t="s">
        <v>6643</v>
      </c>
      <c r="B6646" s="2">
        <v>566.0</v>
      </c>
      <c r="C6646" s="2">
        <v>6724.0</v>
      </c>
      <c r="D6646" s="2">
        <v>2090.0</v>
      </c>
      <c r="E6646" s="3">
        <f t="shared" si="1"/>
        <v>0.3393959078</v>
      </c>
      <c r="F6646" s="2">
        <v>704.0</v>
      </c>
      <c r="G6646" s="3">
        <f t="shared" si="2"/>
        <v>0.1143228321</v>
      </c>
      <c r="H6646" s="2">
        <v>1280.0</v>
      </c>
      <c r="I6646" s="3">
        <f t="shared" si="3"/>
        <v>0.2078596947</v>
      </c>
      <c r="J6646" s="2">
        <v>895.0</v>
      </c>
      <c r="K6646" s="3">
        <f t="shared" si="4"/>
        <v>0.1453393959</v>
      </c>
      <c r="L6646" s="2">
        <v>742.0</v>
      </c>
      <c r="M6646" s="3">
        <f t="shared" si="5"/>
        <v>0.5796875</v>
      </c>
      <c r="N6646" s="2">
        <v>6751900.0</v>
      </c>
      <c r="O6646" s="4">
        <f t="shared" si="6"/>
        <v>5274.921875</v>
      </c>
      <c r="P6646" s="2">
        <v>4.0</v>
      </c>
      <c r="Q6646" s="3">
        <f t="shared" si="7"/>
        <v>0.007067137809</v>
      </c>
      <c r="R6646" s="2">
        <v>323.0</v>
      </c>
      <c r="S6646" s="5">
        <f t="shared" si="8"/>
        <v>0.5706713781</v>
      </c>
    </row>
    <row r="6647">
      <c r="A6647" s="2" t="s">
        <v>6644</v>
      </c>
      <c r="B6647" s="2">
        <v>1220.0</v>
      </c>
      <c r="C6647" s="2">
        <v>14534.0</v>
      </c>
      <c r="D6647" s="2">
        <v>5157.0</v>
      </c>
      <c r="E6647" s="3">
        <f t="shared" si="1"/>
        <v>0.3873366381</v>
      </c>
      <c r="F6647" s="2">
        <v>1522.0</v>
      </c>
      <c r="G6647" s="3">
        <f t="shared" si="2"/>
        <v>0.1143157578</v>
      </c>
      <c r="H6647" s="2">
        <v>2665.0</v>
      </c>
      <c r="I6647" s="3">
        <f t="shared" si="3"/>
        <v>0.2001652396</v>
      </c>
      <c r="J6647" s="2">
        <v>2244.0</v>
      </c>
      <c r="K6647" s="3">
        <f t="shared" si="4"/>
        <v>0.1685443894</v>
      </c>
      <c r="L6647" s="2">
        <v>1562.0</v>
      </c>
      <c r="M6647" s="3">
        <f t="shared" si="5"/>
        <v>0.5861163227</v>
      </c>
      <c r="N6647" s="2">
        <v>1.4962E7</v>
      </c>
      <c r="O6647" s="4">
        <f t="shared" si="6"/>
        <v>5614.258912</v>
      </c>
      <c r="P6647" s="2">
        <v>0.0</v>
      </c>
      <c r="Q6647" s="3">
        <f t="shared" si="7"/>
        <v>0</v>
      </c>
      <c r="R6647" s="2">
        <v>1210.0</v>
      </c>
      <c r="S6647" s="5">
        <f t="shared" si="8"/>
        <v>0.9918032787</v>
      </c>
    </row>
    <row r="6648">
      <c r="A6648" s="2" t="s">
        <v>6645</v>
      </c>
      <c r="B6648" s="2">
        <v>271.0</v>
      </c>
      <c r="C6648" s="2">
        <v>3263.0</v>
      </c>
      <c r="D6648" s="2">
        <v>1113.0</v>
      </c>
      <c r="E6648" s="3">
        <f t="shared" si="1"/>
        <v>0.3719919786</v>
      </c>
      <c r="F6648" s="2">
        <v>342.0</v>
      </c>
      <c r="G6648" s="3">
        <f t="shared" si="2"/>
        <v>0.1143048128</v>
      </c>
      <c r="H6648" s="2">
        <v>592.0</v>
      </c>
      <c r="I6648" s="3">
        <f t="shared" si="3"/>
        <v>0.1978609626</v>
      </c>
      <c r="J6648" s="2">
        <v>428.0</v>
      </c>
      <c r="K6648" s="3">
        <f t="shared" si="4"/>
        <v>0.1430481283</v>
      </c>
      <c r="L6648" s="2">
        <v>364.0</v>
      </c>
      <c r="M6648" s="3">
        <f t="shared" si="5"/>
        <v>0.6148648649</v>
      </c>
      <c r="N6648" s="2">
        <v>3152900.0</v>
      </c>
      <c r="O6648" s="4">
        <f t="shared" si="6"/>
        <v>5325.844595</v>
      </c>
      <c r="P6648" s="2">
        <v>0.0</v>
      </c>
      <c r="Q6648" s="3">
        <f t="shared" si="7"/>
        <v>0</v>
      </c>
      <c r="R6648" s="2">
        <v>0.0</v>
      </c>
      <c r="S6648" s="5">
        <f t="shared" si="8"/>
        <v>0</v>
      </c>
    </row>
    <row r="6649">
      <c r="A6649" s="2" t="s">
        <v>6646</v>
      </c>
      <c r="B6649" s="2">
        <v>2013.0</v>
      </c>
      <c r="C6649" s="2">
        <v>23789.0</v>
      </c>
      <c r="D6649" s="2">
        <v>7759.0</v>
      </c>
      <c r="E6649" s="3">
        <f t="shared" si="1"/>
        <v>0.3563096988</v>
      </c>
      <c r="F6649" s="2">
        <v>2489.0</v>
      </c>
      <c r="G6649" s="3">
        <f t="shared" si="2"/>
        <v>0.114300147</v>
      </c>
      <c r="H6649" s="2">
        <v>4554.0</v>
      </c>
      <c r="I6649" s="3">
        <f t="shared" si="3"/>
        <v>0.2091293167</v>
      </c>
      <c r="J6649" s="2">
        <v>3483.0</v>
      </c>
      <c r="K6649" s="3">
        <f t="shared" si="4"/>
        <v>0.1599467303</v>
      </c>
      <c r="L6649" s="2">
        <v>2674.0</v>
      </c>
      <c r="M6649" s="3">
        <f t="shared" si="5"/>
        <v>0.5871761089</v>
      </c>
      <c r="N6649" s="2">
        <v>2.50873E7</v>
      </c>
      <c r="O6649" s="4">
        <f t="shared" si="6"/>
        <v>5508.849363</v>
      </c>
      <c r="P6649" s="2">
        <v>2.0</v>
      </c>
      <c r="Q6649" s="3">
        <f t="shared" si="7"/>
        <v>0.0009935419771</v>
      </c>
      <c r="R6649" s="2">
        <v>79.0</v>
      </c>
      <c r="S6649" s="5">
        <f t="shared" si="8"/>
        <v>0.0392449081</v>
      </c>
    </row>
    <row r="6650">
      <c r="A6650" s="2" t="s">
        <v>6647</v>
      </c>
      <c r="B6650" s="2">
        <v>1381.0</v>
      </c>
      <c r="C6650" s="2">
        <v>16343.0</v>
      </c>
      <c r="D6650" s="2">
        <v>4253.0</v>
      </c>
      <c r="E6650" s="3">
        <f t="shared" si="1"/>
        <v>0.2842534421</v>
      </c>
      <c r="F6650" s="2">
        <v>1710.0</v>
      </c>
      <c r="G6650" s="3">
        <f t="shared" si="2"/>
        <v>0.1142895335</v>
      </c>
      <c r="H6650" s="2">
        <v>3029.0</v>
      </c>
      <c r="I6650" s="3">
        <f t="shared" si="3"/>
        <v>0.202446197</v>
      </c>
      <c r="J6650" s="2">
        <v>2352.0</v>
      </c>
      <c r="K6650" s="3">
        <f t="shared" si="4"/>
        <v>0.1571982355</v>
      </c>
      <c r="L6650" s="2">
        <v>1849.0</v>
      </c>
      <c r="M6650" s="3">
        <f t="shared" si="5"/>
        <v>0.610432486</v>
      </c>
      <c r="N6650" s="2">
        <v>1.68876E7</v>
      </c>
      <c r="O6650" s="4">
        <f t="shared" si="6"/>
        <v>5575.305381</v>
      </c>
      <c r="P6650" s="2">
        <v>1.0</v>
      </c>
      <c r="Q6650" s="3">
        <f t="shared" si="7"/>
        <v>0.0007241129616</v>
      </c>
      <c r="R6650" s="2">
        <v>1373.0</v>
      </c>
      <c r="S6650" s="5">
        <f t="shared" si="8"/>
        <v>0.9942070963</v>
      </c>
    </row>
    <row r="6651">
      <c r="A6651" s="2" t="s">
        <v>6648</v>
      </c>
      <c r="B6651" s="2">
        <v>3.0</v>
      </c>
      <c r="C6651" s="2">
        <v>38.0</v>
      </c>
      <c r="D6651" s="2">
        <v>9.0</v>
      </c>
      <c r="E6651" s="3">
        <f t="shared" si="1"/>
        <v>0.2571428571</v>
      </c>
      <c r="F6651" s="2">
        <v>4.0</v>
      </c>
      <c r="G6651" s="3">
        <f t="shared" si="2"/>
        <v>0.1142857143</v>
      </c>
      <c r="H6651" s="2">
        <v>5.0</v>
      </c>
      <c r="I6651" s="3">
        <f t="shared" si="3"/>
        <v>0.1428571429</v>
      </c>
      <c r="J6651" s="2">
        <v>10.0</v>
      </c>
      <c r="K6651" s="3">
        <f t="shared" si="4"/>
        <v>0.2857142857</v>
      </c>
      <c r="L6651" s="2">
        <v>4.0</v>
      </c>
      <c r="M6651" s="3">
        <f t="shared" si="5"/>
        <v>0.8</v>
      </c>
      <c r="N6651" s="2">
        <v>27800.0</v>
      </c>
      <c r="O6651" s="4">
        <f t="shared" si="6"/>
        <v>5560</v>
      </c>
      <c r="P6651" s="2">
        <v>0.0</v>
      </c>
      <c r="Q6651" s="3">
        <f t="shared" si="7"/>
        <v>0</v>
      </c>
      <c r="R6651" s="2">
        <v>3.0</v>
      </c>
      <c r="S6651" s="5">
        <f t="shared" si="8"/>
        <v>1</v>
      </c>
    </row>
    <row r="6652">
      <c r="A6652" s="2" t="s">
        <v>6649</v>
      </c>
      <c r="B6652" s="2">
        <v>3.0</v>
      </c>
      <c r="C6652" s="2">
        <v>38.0</v>
      </c>
      <c r="D6652" s="2">
        <v>12.0</v>
      </c>
      <c r="E6652" s="3">
        <f t="shared" si="1"/>
        <v>0.3428571429</v>
      </c>
      <c r="F6652" s="2">
        <v>4.0</v>
      </c>
      <c r="G6652" s="3">
        <f t="shared" si="2"/>
        <v>0.1142857143</v>
      </c>
      <c r="H6652" s="2">
        <v>8.0</v>
      </c>
      <c r="I6652" s="3">
        <f t="shared" si="3"/>
        <v>0.2285714286</v>
      </c>
      <c r="J6652" s="2">
        <v>7.0</v>
      </c>
      <c r="K6652" s="3">
        <f t="shared" si="4"/>
        <v>0.2</v>
      </c>
      <c r="L6652" s="2">
        <v>4.0</v>
      </c>
      <c r="M6652" s="3">
        <f t="shared" si="5"/>
        <v>0.5</v>
      </c>
      <c r="N6652" s="2">
        <v>40400.0</v>
      </c>
      <c r="O6652" s="4">
        <f t="shared" si="6"/>
        <v>5050</v>
      </c>
      <c r="P6652" s="2">
        <v>0.0</v>
      </c>
      <c r="Q6652" s="3">
        <f t="shared" si="7"/>
        <v>0</v>
      </c>
      <c r="R6652" s="2">
        <v>0.0</v>
      </c>
      <c r="S6652" s="5">
        <f t="shared" si="8"/>
        <v>0</v>
      </c>
    </row>
    <row r="6653">
      <c r="A6653" s="2" t="s">
        <v>6650</v>
      </c>
      <c r="B6653" s="2">
        <v>9.0</v>
      </c>
      <c r="C6653" s="2">
        <v>114.0</v>
      </c>
      <c r="D6653" s="2">
        <v>49.0</v>
      </c>
      <c r="E6653" s="3">
        <f t="shared" si="1"/>
        <v>0.4666666667</v>
      </c>
      <c r="F6653" s="2">
        <v>12.0</v>
      </c>
      <c r="G6653" s="3">
        <f t="shared" si="2"/>
        <v>0.1142857143</v>
      </c>
      <c r="H6653" s="2">
        <v>19.0</v>
      </c>
      <c r="I6653" s="3">
        <f t="shared" si="3"/>
        <v>0.180952381</v>
      </c>
      <c r="J6653" s="2">
        <v>15.0</v>
      </c>
      <c r="K6653" s="3">
        <f t="shared" si="4"/>
        <v>0.1428571429</v>
      </c>
      <c r="L6653" s="2">
        <v>13.0</v>
      </c>
      <c r="M6653" s="3">
        <f t="shared" si="5"/>
        <v>0.6842105263</v>
      </c>
      <c r="N6653" s="2">
        <v>103300.0</v>
      </c>
      <c r="O6653" s="4">
        <f t="shared" si="6"/>
        <v>5436.842105</v>
      </c>
      <c r="P6653" s="2">
        <v>0.0</v>
      </c>
      <c r="Q6653" s="3">
        <f t="shared" si="7"/>
        <v>0</v>
      </c>
      <c r="R6653" s="2">
        <v>9.0</v>
      </c>
      <c r="S6653" s="5">
        <f t="shared" si="8"/>
        <v>1</v>
      </c>
    </row>
    <row r="6654">
      <c r="A6654" s="2" t="s">
        <v>6651</v>
      </c>
      <c r="B6654" s="2">
        <v>1267.0</v>
      </c>
      <c r="C6654" s="2">
        <v>14935.0</v>
      </c>
      <c r="D6654" s="2">
        <v>4869.0</v>
      </c>
      <c r="E6654" s="3">
        <f t="shared" si="1"/>
        <v>0.3562335382</v>
      </c>
      <c r="F6654" s="2">
        <v>1562.0</v>
      </c>
      <c r="G6654" s="3">
        <f t="shared" si="2"/>
        <v>0.1142815335</v>
      </c>
      <c r="H6654" s="2">
        <v>2745.0</v>
      </c>
      <c r="I6654" s="3">
        <f t="shared" si="3"/>
        <v>0.200834065</v>
      </c>
      <c r="J6654" s="2">
        <v>2245.0</v>
      </c>
      <c r="K6654" s="3">
        <f t="shared" si="4"/>
        <v>0.1642522681</v>
      </c>
      <c r="L6654" s="2">
        <v>1646.0</v>
      </c>
      <c r="M6654" s="3">
        <f t="shared" si="5"/>
        <v>0.5996357013</v>
      </c>
      <c r="N6654" s="2">
        <v>1.55946E7</v>
      </c>
      <c r="O6654" s="4">
        <f t="shared" si="6"/>
        <v>5681.092896</v>
      </c>
      <c r="P6654" s="2">
        <v>2.0</v>
      </c>
      <c r="Q6654" s="3">
        <f t="shared" si="7"/>
        <v>0.001578531965</v>
      </c>
      <c r="R6654" s="2">
        <v>1267.0</v>
      </c>
      <c r="S6654" s="5">
        <f t="shared" si="8"/>
        <v>1</v>
      </c>
    </row>
    <row r="6655">
      <c r="A6655" s="2" t="s">
        <v>6652</v>
      </c>
      <c r="B6655" s="2">
        <v>1105.0</v>
      </c>
      <c r="C6655" s="2">
        <v>13181.0</v>
      </c>
      <c r="D6655" s="2">
        <v>4290.0</v>
      </c>
      <c r="E6655" s="3">
        <f t="shared" si="1"/>
        <v>0.3552500828</v>
      </c>
      <c r="F6655" s="2">
        <v>1380.0</v>
      </c>
      <c r="G6655" s="3">
        <f t="shared" si="2"/>
        <v>0.1142762504</v>
      </c>
      <c r="H6655" s="2">
        <v>2534.0</v>
      </c>
      <c r="I6655" s="3">
        <f t="shared" si="3"/>
        <v>0.2098376946</v>
      </c>
      <c r="J6655" s="2">
        <v>1875.0</v>
      </c>
      <c r="K6655" s="3">
        <f t="shared" si="4"/>
        <v>0.1552666446</v>
      </c>
      <c r="L6655" s="2">
        <v>1506.0</v>
      </c>
      <c r="M6655" s="3">
        <f t="shared" si="5"/>
        <v>0.5943172849</v>
      </c>
      <c r="N6655" s="2">
        <v>1.41139E7</v>
      </c>
      <c r="O6655" s="4">
        <f t="shared" si="6"/>
        <v>5569.810576</v>
      </c>
      <c r="P6655" s="2">
        <v>5.0</v>
      </c>
      <c r="Q6655" s="3">
        <f t="shared" si="7"/>
        <v>0.004524886878</v>
      </c>
      <c r="R6655" s="2">
        <v>1105.0</v>
      </c>
      <c r="S6655" s="5">
        <f t="shared" si="8"/>
        <v>1</v>
      </c>
    </row>
    <row r="6656">
      <c r="A6656" s="2" t="s">
        <v>6653</v>
      </c>
      <c r="B6656" s="2">
        <v>103.0</v>
      </c>
      <c r="C6656" s="2">
        <v>1232.0</v>
      </c>
      <c r="D6656" s="2">
        <v>368.0</v>
      </c>
      <c r="E6656" s="3">
        <f t="shared" si="1"/>
        <v>0.3259521701</v>
      </c>
      <c r="F6656" s="2">
        <v>129.0</v>
      </c>
      <c r="G6656" s="3">
        <f t="shared" si="2"/>
        <v>0.1142604074</v>
      </c>
      <c r="H6656" s="2">
        <v>219.0</v>
      </c>
      <c r="I6656" s="3">
        <f t="shared" si="3"/>
        <v>0.1939769708</v>
      </c>
      <c r="J6656" s="2">
        <v>181.0</v>
      </c>
      <c r="K6656" s="3">
        <f t="shared" si="4"/>
        <v>0.1603188663</v>
      </c>
      <c r="L6656" s="2">
        <v>138.0</v>
      </c>
      <c r="M6656" s="3">
        <f t="shared" si="5"/>
        <v>0.6301369863</v>
      </c>
      <c r="N6656" s="2">
        <v>1128100.0</v>
      </c>
      <c r="O6656" s="4">
        <f t="shared" si="6"/>
        <v>5151.141553</v>
      </c>
      <c r="P6656" s="2">
        <v>0.0</v>
      </c>
      <c r="Q6656" s="3">
        <f t="shared" si="7"/>
        <v>0</v>
      </c>
      <c r="R6656" s="2">
        <v>103.0</v>
      </c>
      <c r="S6656" s="5">
        <f t="shared" si="8"/>
        <v>1</v>
      </c>
    </row>
    <row r="6657">
      <c r="A6657" s="2" t="s">
        <v>6654</v>
      </c>
      <c r="B6657" s="2">
        <v>200.0</v>
      </c>
      <c r="C6657" s="2">
        <v>2318.0</v>
      </c>
      <c r="D6657" s="2">
        <v>754.0</v>
      </c>
      <c r="E6657" s="3">
        <f t="shared" si="1"/>
        <v>0.3559962229</v>
      </c>
      <c r="F6657" s="2">
        <v>242.0</v>
      </c>
      <c r="G6657" s="3">
        <f t="shared" si="2"/>
        <v>0.1142587347</v>
      </c>
      <c r="H6657" s="2">
        <v>426.0</v>
      </c>
      <c r="I6657" s="3">
        <f t="shared" si="3"/>
        <v>0.2011331445</v>
      </c>
      <c r="J6657" s="2">
        <v>353.0</v>
      </c>
      <c r="K6657" s="3">
        <f t="shared" si="4"/>
        <v>0.1666666667</v>
      </c>
      <c r="L6657" s="2">
        <v>266.0</v>
      </c>
      <c r="M6657" s="3">
        <f t="shared" si="5"/>
        <v>0.6244131455</v>
      </c>
      <c r="N6657" s="2">
        <v>2316700.0</v>
      </c>
      <c r="O6657" s="4">
        <f t="shared" si="6"/>
        <v>5438.262911</v>
      </c>
      <c r="P6657" s="2">
        <v>0.0</v>
      </c>
      <c r="Q6657" s="3">
        <f t="shared" si="7"/>
        <v>0</v>
      </c>
      <c r="R6657" s="2">
        <v>200.0</v>
      </c>
      <c r="S6657" s="5">
        <f t="shared" si="8"/>
        <v>1</v>
      </c>
    </row>
    <row r="6658">
      <c r="A6658" s="2" t="s">
        <v>6655</v>
      </c>
      <c r="B6658" s="2">
        <v>727.0</v>
      </c>
      <c r="C6658" s="2">
        <v>8500.0</v>
      </c>
      <c r="D6658" s="2">
        <v>1634.0</v>
      </c>
      <c r="E6658" s="3">
        <f t="shared" si="1"/>
        <v>0.2102148463</v>
      </c>
      <c r="F6658" s="2">
        <v>888.0</v>
      </c>
      <c r="G6658" s="3">
        <f t="shared" si="2"/>
        <v>0.1142416056</v>
      </c>
      <c r="H6658" s="2">
        <v>1577.0</v>
      </c>
      <c r="I6658" s="3">
        <f t="shared" si="3"/>
        <v>0.2028817702</v>
      </c>
      <c r="J6658" s="2">
        <v>1528.0</v>
      </c>
      <c r="K6658" s="3">
        <f t="shared" si="4"/>
        <v>0.1965778979</v>
      </c>
      <c r="L6658" s="2">
        <v>959.0</v>
      </c>
      <c r="M6658" s="3">
        <f t="shared" si="5"/>
        <v>0.6081166772</v>
      </c>
      <c r="N6658" s="2">
        <v>9879000.0</v>
      </c>
      <c r="O6658" s="4">
        <f t="shared" si="6"/>
        <v>6264.426126</v>
      </c>
      <c r="P6658" s="2">
        <v>3.0</v>
      </c>
      <c r="Q6658" s="3">
        <f t="shared" si="7"/>
        <v>0.004126547455</v>
      </c>
      <c r="R6658" s="2">
        <v>727.0</v>
      </c>
      <c r="S6658" s="5">
        <f t="shared" si="8"/>
        <v>1</v>
      </c>
    </row>
    <row r="6659">
      <c r="A6659" s="2" t="s">
        <v>6656</v>
      </c>
      <c r="B6659" s="2">
        <v>680.0</v>
      </c>
      <c r="C6659" s="2">
        <v>8173.0</v>
      </c>
      <c r="D6659" s="2">
        <v>2207.0</v>
      </c>
      <c r="E6659" s="3">
        <f t="shared" si="1"/>
        <v>0.2945415721</v>
      </c>
      <c r="F6659" s="2">
        <v>856.0</v>
      </c>
      <c r="G6659" s="3">
        <f t="shared" si="2"/>
        <v>0.1142399573</v>
      </c>
      <c r="H6659" s="2">
        <v>1421.0</v>
      </c>
      <c r="I6659" s="3">
        <f t="shared" si="3"/>
        <v>0.1896436674</v>
      </c>
      <c r="J6659" s="2">
        <v>1101.0</v>
      </c>
      <c r="K6659" s="3">
        <f t="shared" si="4"/>
        <v>0.1469371413</v>
      </c>
      <c r="L6659" s="2">
        <v>830.0</v>
      </c>
      <c r="M6659" s="3">
        <f t="shared" si="5"/>
        <v>0.5840957072</v>
      </c>
      <c r="N6659" s="2">
        <v>8325800.0</v>
      </c>
      <c r="O6659" s="4">
        <f t="shared" si="6"/>
        <v>5859.1133</v>
      </c>
      <c r="P6659" s="2">
        <v>2.0</v>
      </c>
      <c r="Q6659" s="3">
        <f t="shared" si="7"/>
        <v>0.002941176471</v>
      </c>
      <c r="R6659" s="2">
        <v>680.0</v>
      </c>
      <c r="S6659" s="5">
        <f t="shared" si="8"/>
        <v>1</v>
      </c>
    </row>
    <row r="6660">
      <c r="A6660" s="2" t="s">
        <v>6657</v>
      </c>
      <c r="B6660" s="2">
        <v>4848.0</v>
      </c>
      <c r="C6660" s="2">
        <v>57137.0</v>
      </c>
      <c r="D6660" s="2">
        <v>17915.0</v>
      </c>
      <c r="E6660" s="3">
        <f t="shared" si="1"/>
        <v>0.3426150816</v>
      </c>
      <c r="F6660" s="2">
        <v>5973.0</v>
      </c>
      <c r="G6660" s="3">
        <f t="shared" si="2"/>
        <v>0.1142305265</v>
      </c>
      <c r="H6660" s="2">
        <v>11194.0</v>
      </c>
      <c r="I6660" s="3">
        <f t="shared" si="3"/>
        <v>0.2140794431</v>
      </c>
      <c r="J6660" s="2">
        <v>9668.0</v>
      </c>
      <c r="K6660" s="3">
        <f t="shared" si="4"/>
        <v>0.1848954847</v>
      </c>
      <c r="L6660" s="2">
        <v>6682.0</v>
      </c>
      <c r="M6660" s="3">
        <f t="shared" si="5"/>
        <v>0.5969269251</v>
      </c>
      <c r="N6660" s="2">
        <v>6.3177E7</v>
      </c>
      <c r="O6660" s="4">
        <f t="shared" si="6"/>
        <v>5643.82705</v>
      </c>
      <c r="P6660" s="2">
        <v>7.0</v>
      </c>
      <c r="Q6660" s="3">
        <f t="shared" si="7"/>
        <v>0.001443894389</v>
      </c>
      <c r="R6660" s="2">
        <v>4848.0</v>
      </c>
      <c r="S6660" s="5">
        <f t="shared" si="8"/>
        <v>1</v>
      </c>
    </row>
    <row r="6661">
      <c r="A6661" s="2" t="s">
        <v>6658</v>
      </c>
      <c r="B6661" s="2">
        <v>183.0</v>
      </c>
      <c r="C6661" s="2">
        <v>2188.0</v>
      </c>
      <c r="D6661" s="2">
        <v>666.0</v>
      </c>
      <c r="E6661" s="3">
        <f t="shared" si="1"/>
        <v>0.3321695761</v>
      </c>
      <c r="F6661" s="2">
        <v>229.0</v>
      </c>
      <c r="G6661" s="3">
        <f t="shared" si="2"/>
        <v>0.1142144638</v>
      </c>
      <c r="H6661" s="2">
        <v>404.0</v>
      </c>
      <c r="I6661" s="3">
        <f t="shared" si="3"/>
        <v>0.2014962594</v>
      </c>
      <c r="J6661" s="2">
        <v>297.0</v>
      </c>
      <c r="K6661" s="3">
        <f t="shared" si="4"/>
        <v>0.1481296758</v>
      </c>
      <c r="L6661" s="2">
        <v>238.0</v>
      </c>
      <c r="M6661" s="3">
        <f t="shared" si="5"/>
        <v>0.5891089109</v>
      </c>
      <c r="N6661" s="2">
        <v>2314500.0</v>
      </c>
      <c r="O6661" s="4">
        <f t="shared" si="6"/>
        <v>5728.960396</v>
      </c>
      <c r="P6661" s="2">
        <v>0.0</v>
      </c>
      <c r="Q6661" s="3">
        <f t="shared" si="7"/>
        <v>0</v>
      </c>
      <c r="R6661" s="2">
        <v>183.0</v>
      </c>
      <c r="S6661" s="5">
        <f t="shared" si="8"/>
        <v>1</v>
      </c>
    </row>
    <row r="6662">
      <c r="A6662" s="2" t="s">
        <v>6659</v>
      </c>
      <c r="B6662" s="2">
        <v>1590.0</v>
      </c>
      <c r="C6662" s="2">
        <v>18568.0</v>
      </c>
      <c r="D6662" s="2">
        <v>5857.0</v>
      </c>
      <c r="E6662" s="3">
        <f t="shared" si="1"/>
        <v>0.3449758511</v>
      </c>
      <c r="F6662" s="2">
        <v>1939.0</v>
      </c>
      <c r="G6662" s="3">
        <f t="shared" si="2"/>
        <v>0.1142066203</v>
      </c>
      <c r="H6662" s="2">
        <v>3473.0</v>
      </c>
      <c r="I6662" s="3">
        <f t="shared" si="3"/>
        <v>0.2045588409</v>
      </c>
      <c r="J6662" s="2">
        <v>2680.0</v>
      </c>
      <c r="K6662" s="3">
        <f t="shared" si="4"/>
        <v>0.157851337</v>
      </c>
      <c r="L6662" s="2">
        <v>2083.0</v>
      </c>
      <c r="M6662" s="3">
        <f t="shared" si="5"/>
        <v>0.5997696516</v>
      </c>
      <c r="N6662" s="2">
        <v>1.9779E7</v>
      </c>
      <c r="O6662" s="4">
        <f t="shared" si="6"/>
        <v>5695.076303</v>
      </c>
      <c r="P6662" s="2">
        <v>1.0</v>
      </c>
      <c r="Q6662" s="3">
        <f t="shared" si="7"/>
        <v>0.0006289308176</v>
      </c>
      <c r="R6662" s="2">
        <v>1127.0</v>
      </c>
      <c r="S6662" s="5">
        <f t="shared" si="8"/>
        <v>0.7088050314</v>
      </c>
    </row>
    <row r="6663">
      <c r="A6663" s="2" t="s">
        <v>6660</v>
      </c>
      <c r="B6663" s="2">
        <v>110.0</v>
      </c>
      <c r="C6663" s="2">
        <v>1336.0</v>
      </c>
      <c r="D6663" s="2">
        <v>359.0</v>
      </c>
      <c r="E6663" s="3">
        <f t="shared" si="1"/>
        <v>0.292822186</v>
      </c>
      <c r="F6663" s="2">
        <v>140.0</v>
      </c>
      <c r="G6663" s="3">
        <f t="shared" si="2"/>
        <v>0.1141924959</v>
      </c>
      <c r="H6663" s="2">
        <v>255.0</v>
      </c>
      <c r="I6663" s="3">
        <f t="shared" si="3"/>
        <v>0.2079934747</v>
      </c>
      <c r="J6663" s="2">
        <v>178.0</v>
      </c>
      <c r="K6663" s="3">
        <f t="shared" si="4"/>
        <v>0.145187602</v>
      </c>
      <c r="L6663" s="2">
        <v>154.0</v>
      </c>
      <c r="M6663" s="3">
        <f t="shared" si="5"/>
        <v>0.6039215686</v>
      </c>
      <c r="N6663" s="2">
        <v>1506100.0</v>
      </c>
      <c r="O6663" s="4">
        <f t="shared" si="6"/>
        <v>5906.27451</v>
      </c>
      <c r="P6663" s="2">
        <v>0.0</v>
      </c>
      <c r="Q6663" s="3">
        <f t="shared" si="7"/>
        <v>0</v>
      </c>
      <c r="R6663" s="2">
        <v>110.0</v>
      </c>
      <c r="S6663" s="5">
        <f t="shared" si="8"/>
        <v>1</v>
      </c>
    </row>
    <row r="6664">
      <c r="A6664" s="2" t="s">
        <v>6661</v>
      </c>
      <c r="B6664" s="2">
        <v>335.0</v>
      </c>
      <c r="C6664" s="2">
        <v>3908.0</v>
      </c>
      <c r="D6664" s="2">
        <v>1115.0</v>
      </c>
      <c r="E6664" s="3">
        <f t="shared" si="1"/>
        <v>0.3120626924</v>
      </c>
      <c r="F6664" s="2">
        <v>408.0</v>
      </c>
      <c r="G6664" s="3">
        <f t="shared" si="2"/>
        <v>0.1141897565</v>
      </c>
      <c r="H6664" s="2">
        <v>723.0</v>
      </c>
      <c r="I6664" s="3">
        <f t="shared" si="3"/>
        <v>0.2023509656</v>
      </c>
      <c r="J6664" s="2">
        <v>545.0</v>
      </c>
      <c r="K6664" s="3">
        <f t="shared" si="4"/>
        <v>0.1525328855</v>
      </c>
      <c r="L6664" s="2">
        <v>454.0</v>
      </c>
      <c r="M6664" s="3">
        <f t="shared" si="5"/>
        <v>0.6279391425</v>
      </c>
      <c r="N6664" s="2">
        <v>4014900.0</v>
      </c>
      <c r="O6664" s="4">
        <f t="shared" si="6"/>
        <v>5553.112033</v>
      </c>
      <c r="P6664" s="2">
        <v>0.0</v>
      </c>
      <c r="Q6664" s="3">
        <f t="shared" si="7"/>
        <v>0</v>
      </c>
      <c r="R6664" s="2">
        <v>335.0</v>
      </c>
      <c r="S6664" s="5">
        <f t="shared" si="8"/>
        <v>1</v>
      </c>
    </row>
    <row r="6665">
      <c r="A6665" s="2" t="s">
        <v>6662</v>
      </c>
      <c r="B6665" s="2">
        <v>1923.0</v>
      </c>
      <c r="C6665" s="2">
        <v>22398.0</v>
      </c>
      <c r="D6665" s="2">
        <v>7343.0</v>
      </c>
      <c r="E6665" s="3">
        <f t="shared" si="1"/>
        <v>0.3586324786</v>
      </c>
      <c r="F6665" s="2">
        <v>2338.0</v>
      </c>
      <c r="G6665" s="3">
        <f t="shared" si="2"/>
        <v>0.1141880342</v>
      </c>
      <c r="H6665" s="2">
        <v>4141.0</v>
      </c>
      <c r="I6665" s="3">
        <f t="shared" si="3"/>
        <v>0.2022466422</v>
      </c>
      <c r="J6665" s="2">
        <v>3544.0</v>
      </c>
      <c r="K6665" s="3">
        <f t="shared" si="4"/>
        <v>0.1730891331</v>
      </c>
      <c r="L6665" s="2">
        <v>2442.0</v>
      </c>
      <c r="M6665" s="3">
        <f t="shared" si="5"/>
        <v>0.5897126298</v>
      </c>
      <c r="N6665" s="2">
        <v>2.40248E7</v>
      </c>
      <c r="O6665" s="4">
        <f t="shared" si="6"/>
        <v>5801.690413</v>
      </c>
      <c r="P6665" s="2">
        <v>4.0</v>
      </c>
      <c r="Q6665" s="3">
        <f t="shared" si="7"/>
        <v>0.002080083203</v>
      </c>
      <c r="R6665" s="2">
        <v>1923.0</v>
      </c>
      <c r="S6665" s="5">
        <f t="shared" si="8"/>
        <v>1</v>
      </c>
    </row>
    <row r="6666">
      <c r="A6666" s="2" t="s">
        <v>6663</v>
      </c>
      <c r="B6666" s="2">
        <v>855.0</v>
      </c>
      <c r="C6666" s="2">
        <v>10114.0</v>
      </c>
      <c r="D6666" s="2">
        <v>3247.0</v>
      </c>
      <c r="E6666" s="3">
        <f t="shared" si="1"/>
        <v>0.3506858192</v>
      </c>
      <c r="F6666" s="2">
        <v>1057.0</v>
      </c>
      <c r="G6666" s="3">
        <f t="shared" si="2"/>
        <v>0.1141591965</v>
      </c>
      <c r="H6666" s="2">
        <v>1869.0</v>
      </c>
      <c r="I6666" s="3">
        <f t="shared" si="3"/>
        <v>0.201857652</v>
      </c>
      <c r="J6666" s="2">
        <v>1409.0</v>
      </c>
      <c r="K6666" s="3">
        <f t="shared" si="4"/>
        <v>0.1521762609</v>
      </c>
      <c r="L6666" s="2">
        <v>1110.0</v>
      </c>
      <c r="M6666" s="3">
        <f t="shared" si="5"/>
        <v>0.5939004815</v>
      </c>
      <c r="N6666" s="2">
        <v>1.03173E7</v>
      </c>
      <c r="O6666" s="4">
        <f t="shared" si="6"/>
        <v>5520.224719</v>
      </c>
      <c r="P6666" s="2">
        <v>1.0</v>
      </c>
      <c r="Q6666" s="3">
        <f t="shared" si="7"/>
        <v>0.001169590643</v>
      </c>
      <c r="R6666" s="2">
        <v>855.0</v>
      </c>
      <c r="S6666" s="5">
        <f t="shared" si="8"/>
        <v>1</v>
      </c>
    </row>
    <row r="6667">
      <c r="A6667" s="2" t="s">
        <v>6664</v>
      </c>
      <c r="B6667" s="2">
        <v>202.0</v>
      </c>
      <c r="C6667" s="2">
        <v>2410.0</v>
      </c>
      <c r="D6667" s="2">
        <v>790.0</v>
      </c>
      <c r="E6667" s="3">
        <f t="shared" si="1"/>
        <v>0.3577898551</v>
      </c>
      <c r="F6667" s="2">
        <v>252.0</v>
      </c>
      <c r="G6667" s="3">
        <f t="shared" si="2"/>
        <v>0.1141304348</v>
      </c>
      <c r="H6667" s="2">
        <v>453.0</v>
      </c>
      <c r="I6667" s="3">
        <f t="shared" si="3"/>
        <v>0.2051630435</v>
      </c>
      <c r="J6667" s="2">
        <v>396.0</v>
      </c>
      <c r="K6667" s="3">
        <f t="shared" si="4"/>
        <v>0.1793478261</v>
      </c>
      <c r="L6667" s="2">
        <v>274.0</v>
      </c>
      <c r="M6667" s="3">
        <f t="shared" si="5"/>
        <v>0.6048565121</v>
      </c>
      <c r="N6667" s="2">
        <v>2509600.0</v>
      </c>
      <c r="O6667" s="4">
        <f t="shared" si="6"/>
        <v>5539.95585</v>
      </c>
      <c r="P6667" s="2">
        <v>0.0</v>
      </c>
      <c r="Q6667" s="3">
        <f t="shared" si="7"/>
        <v>0</v>
      </c>
      <c r="R6667" s="2">
        <v>202.0</v>
      </c>
      <c r="S6667" s="5">
        <f t="shared" si="8"/>
        <v>1</v>
      </c>
    </row>
    <row r="6668">
      <c r="A6668" s="2" t="s">
        <v>6665</v>
      </c>
      <c r="B6668" s="2">
        <v>100.0</v>
      </c>
      <c r="C6668" s="2">
        <v>1204.0</v>
      </c>
      <c r="D6668" s="2">
        <v>325.0</v>
      </c>
      <c r="E6668" s="3">
        <f t="shared" si="1"/>
        <v>0.294384058</v>
      </c>
      <c r="F6668" s="2">
        <v>126.0</v>
      </c>
      <c r="G6668" s="3">
        <f t="shared" si="2"/>
        <v>0.1141304348</v>
      </c>
      <c r="H6668" s="2">
        <v>229.0</v>
      </c>
      <c r="I6668" s="3">
        <f t="shared" si="3"/>
        <v>0.2074275362</v>
      </c>
      <c r="J6668" s="2">
        <v>191.0</v>
      </c>
      <c r="K6668" s="3">
        <f t="shared" si="4"/>
        <v>0.1730072464</v>
      </c>
      <c r="L6668" s="2">
        <v>125.0</v>
      </c>
      <c r="M6668" s="3">
        <f t="shared" si="5"/>
        <v>0.5458515284</v>
      </c>
      <c r="N6668" s="2">
        <v>1374300.0</v>
      </c>
      <c r="O6668" s="4">
        <f t="shared" si="6"/>
        <v>6001.310044</v>
      </c>
      <c r="P6668" s="2">
        <v>1.0</v>
      </c>
      <c r="Q6668" s="3">
        <f t="shared" si="7"/>
        <v>0.01</v>
      </c>
      <c r="R6668" s="2">
        <v>100.0</v>
      </c>
      <c r="S6668" s="5">
        <f t="shared" si="8"/>
        <v>1</v>
      </c>
    </row>
    <row r="6669">
      <c r="A6669" s="2" t="s">
        <v>6666</v>
      </c>
      <c r="B6669" s="2">
        <v>18.0</v>
      </c>
      <c r="C6669" s="2">
        <v>202.0</v>
      </c>
      <c r="D6669" s="2">
        <v>60.0</v>
      </c>
      <c r="E6669" s="3">
        <f t="shared" si="1"/>
        <v>0.3260869565</v>
      </c>
      <c r="F6669" s="2">
        <v>21.0</v>
      </c>
      <c r="G6669" s="3">
        <f t="shared" si="2"/>
        <v>0.1141304348</v>
      </c>
      <c r="H6669" s="2">
        <v>43.0</v>
      </c>
      <c r="I6669" s="3">
        <f t="shared" si="3"/>
        <v>0.2336956522</v>
      </c>
      <c r="J6669" s="2">
        <v>27.0</v>
      </c>
      <c r="K6669" s="3">
        <f t="shared" si="4"/>
        <v>0.1467391304</v>
      </c>
      <c r="L6669" s="2">
        <v>21.0</v>
      </c>
      <c r="M6669" s="3">
        <f t="shared" si="5"/>
        <v>0.488372093</v>
      </c>
      <c r="N6669" s="2">
        <v>244600.0</v>
      </c>
      <c r="O6669" s="4">
        <f t="shared" si="6"/>
        <v>5688.372093</v>
      </c>
      <c r="P6669" s="2">
        <v>1.0</v>
      </c>
      <c r="Q6669" s="3">
        <f t="shared" si="7"/>
        <v>0.05555555556</v>
      </c>
      <c r="R6669" s="2">
        <v>0.0</v>
      </c>
      <c r="S6669" s="5">
        <f t="shared" si="8"/>
        <v>0</v>
      </c>
    </row>
    <row r="6670">
      <c r="A6670" s="2" t="s">
        <v>6667</v>
      </c>
      <c r="B6670" s="2">
        <v>3800.0</v>
      </c>
      <c r="C6670" s="2">
        <v>44407.0</v>
      </c>
      <c r="D6670" s="2">
        <v>13336.0</v>
      </c>
      <c r="E6670" s="3">
        <f t="shared" si="1"/>
        <v>0.3284162829</v>
      </c>
      <c r="F6670" s="2">
        <v>4634.0</v>
      </c>
      <c r="G6670" s="3">
        <f t="shared" si="2"/>
        <v>0.1141182555</v>
      </c>
      <c r="H6670" s="2">
        <v>8598.0</v>
      </c>
      <c r="I6670" s="3">
        <f t="shared" si="3"/>
        <v>0.2117368927</v>
      </c>
      <c r="J6670" s="2">
        <v>7466.0</v>
      </c>
      <c r="K6670" s="3">
        <f t="shared" si="4"/>
        <v>0.1838599256</v>
      </c>
      <c r="L6670" s="2">
        <v>5034.0</v>
      </c>
      <c r="M6670" s="3">
        <f t="shared" si="5"/>
        <v>0.5854849965</v>
      </c>
      <c r="N6670" s="2">
        <v>4.8738E7</v>
      </c>
      <c r="O6670" s="4">
        <f t="shared" si="6"/>
        <v>5668.527565</v>
      </c>
      <c r="P6670" s="2">
        <v>5.0</v>
      </c>
      <c r="Q6670" s="3">
        <f t="shared" si="7"/>
        <v>0.001315789474</v>
      </c>
      <c r="R6670" s="2">
        <v>1273.0</v>
      </c>
      <c r="S6670" s="5">
        <f t="shared" si="8"/>
        <v>0.335</v>
      </c>
    </row>
    <row r="6671">
      <c r="A6671" s="2" t="s">
        <v>6668</v>
      </c>
      <c r="B6671" s="2">
        <v>297.0</v>
      </c>
      <c r="C6671" s="2">
        <v>3513.0</v>
      </c>
      <c r="D6671" s="2">
        <v>1320.0</v>
      </c>
      <c r="E6671" s="3">
        <f t="shared" si="1"/>
        <v>0.4104477612</v>
      </c>
      <c r="F6671" s="2">
        <v>367.0</v>
      </c>
      <c r="G6671" s="3">
        <f t="shared" si="2"/>
        <v>0.1141169154</v>
      </c>
      <c r="H6671" s="2">
        <v>675.0</v>
      </c>
      <c r="I6671" s="3">
        <f t="shared" si="3"/>
        <v>0.2098880597</v>
      </c>
      <c r="J6671" s="2">
        <v>460.0</v>
      </c>
      <c r="K6671" s="3">
        <f t="shared" si="4"/>
        <v>0.1430348259</v>
      </c>
      <c r="L6671" s="2">
        <v>414.0</v>
      </c>
      <c r="M6671" s="3">
        <f t="shared" si="5"/>
        <v>0.6133333333</v>
      </c>
      <c r="N6671" s="2">
        <v>3486300.0</v>
      </c>
      <c r="O6671" s="4">
        <f t="shared" si="6"/>
        <v>5164.888889</v>
      </c>
      <c r="P6671" s="2">
        <v>1.0</v>
      </c>
      <c r="Q6671" s="3">
        <f t="shared" si="7"/>
        <v>0.003367003367</v>
      </c>
      <c r="R6671" s="2">
        <v>297.0</v>
      </c>
      <c r="S6671" s="5">
        <f t="shared" si="8"/>
        <v>1</v>
      </c>
    </row>
    <row r="6672">
      <c r="A6672" s="2" t="s">
        <v>6669</v>
      </c>
      <c r="B6672" s="2">
        <v>1003.0</v>
      </c>
      <c r="C6672" s="2">
        <v>12027.0</v>
      </c>
      <c r="D6672" s="2">
        <v>2830.0</v>
      </c>
      <c r="E6672" s="3">
        <f t="shared" si="1"/>
        <v>0.256712627</v>
      </c>
      <c r="F6672" s="2">
        <v>1258.0</v>
      </c>
      <c r="G6672" s="3">
        <f t="shared" si="2"/>
        <v>0.1141146589</v>
      </c>
      <c r="H6672" s="2">
        <v>1918.0</v>
      </c>
      <c r="I6672" s="3">
        <f t="shared" si="3"/>
        <v>0.1739840348</v>
      </c>
      <c r="J6672" s="2">
        <v>1605.0</v>
      </c>
      <c r="K6672" s="3">
        <f t="shared" si="4"/>
        <v>0.1455914369</v>
      </c>
      <c r="L6672" s="2">
        <v>1114.0</v>
      </c>
      <c r="M6672" s="3">
        <f t="shared" si="5"/>
        <v>0.5808133472</v>
      </c>
      <c r="N6672" s="2">
        <v>1.18715E7</v>
      </c>
      <c r="O6672" s="4">
        <f t="shared" si="6"/>
        <v>6189.520334</v>
      </c>
      <c r="P6672" s="2">
        <v>0.0</v>
      </c>
      <c r="Q6672" s="3">
        <f t="shared" si="7"/>
        <v>0</v>
      </c>
      <c r="R6672" s="2">
        <v>1003.0</v>
      </c>
      <c r="S6672" s="5">
        <f t="shared" si="8"/>
        <v>1</v>
      </c>
    </row>
    <row r="6673">
      <c r="A6673" s="2" t="s">
        <v>6670</v>
      </c>
      <c r="B6673" s="2">
        <v>102.0</v>
      </c>
      <c r="C6673" s="2">
        <v>1215.0</v>
      </c>
      <c r="D6673" s="2">
        <v>353.0</v>
      </c>
      <c r="E6673" s="3">
        <f t="shared" si="1"/>
        <v>0.3171608266</v>
      </c>
      <c r="F6673" s="2">
        <v>127.0</v>
      </c>
      <c r="G6673" s="3">
        <f t="shared" si="2"/>
        <v>0.1141060198</v>
      </c>
      <c r="H6673" s="2">
        <v>203.0</v>
      </c>
      <c r="I6673" s="3">
        <f t="shared" si="3"/>
        <v>0.1823899371</v>
      </c>
      <c r="J6673" s="2">
        <v>156.0</v>
      </c>
      <c r="K6673" s="3">
        <f t="shared" si="4"/>
        <v>0.1401617251</v>
      </c>
      <c r="L6673" s="2">
        <v>128.0</v>
      </c>
      <c r="M6673" s="3">
        <f t="shared" si="5"/>
        <v>0.6305418719</v>
      </c>
      <c r="N6673" s="2">
        <v>1168400.0</v>
      </c>
      <c r="O6673" s="4">
        <f t="shared" si="6"/>
        <v>5755.665025</v>
      </c>
      <c r="P6673" s="2">
        <v>0.0</v>
      </c>
      <c r="Q6673" s="3">
        <f t="shared" si="7"/>
        <v>0</v>
      </c>
      <c r="R6673" s="2">
        <v>0.0</v>
      </c>
      <c r="S6673" s="5">
        <f t="shared" si="8"/>
        <v>0</v>
      </c>
    </row>
    <row r="6674">
      <c r="A6674" s="2" t="s">
        <v>6671</v>
      </c>
      <c r="B6674" s="2">
        <v>114.0</v>
      </c>
      <c r="C6674" s="2">
        <v>1376.0</v>
      </c>
      <c r="D6674" s="2">
        <v>402.0</v>
      </c>
      <c r="E6674" s="3">
        <f t="shared" si="1"/>
        <v>0.3185419968</v>
      </c>
      <c r="F6674" s="2">
        <v>144.0</v>
      </c>
      <c r="G6674" s="3">
        <f t="shared" si="2"/>
        <v>0.1141045959</v>
      </c>
      <c r="H6674" s="2">
        <v>241.0</v>
      </c>
      <c r="I6674" s="3">
        <f t="shared" si="3"/>
        <v>0.1909667195</v>
      </c>
      <c r="J6674" s="2">
        <v>159.0</v>
      </c>
      <c r="K6674" s="3">
        <f t="shared" si="4"/>
        <v>0.1259904913</v>
      </c>
      <c r="L6674" s="2">
        <v>133.0</v>
      </c>
      <c r="M6674" s="3">
        <f t="shared" si="5"/>
        <v>0.5518672199</v>
      </c>
      <c r="N6674" s="2">
        <v>1274900.0</v>
      </c>
      <c r="O6674" s="4">
        <f t="shared" si="6"/>
        <v>5290.041494</v>
      </c>
      <c r="P6674" s="2">
        <v>0.0</v>
      </c>
      <c r="Q6674" s="3">
        <f t="shared" si="7"/>
        <v>0</v>
      </c>
      <c r="R6674" s="2">
        <v>114.0</v>
      </c>
      <c r="S6674" s="5">
        <f t="shared" si="8"/>
        <v>1</v>
      </c>
    </row>
    <row r="6675">
      <c r="A6675" s="2" t="s">
        <v>6672</v>
      </c>
      <c r="B6675" s="2">
        <v>149.0</v>
      </c>
      <c r="C6675" s="2">
        <v>1788.0</v>
      </c>
      <c r="D6675" s="2">
        <v>531.0</v>
      </c>
      <c r="E6675" s="3">
        <f t="shared" si="1"/>
        <v>0.3239780354</v>
      </c>
      <c r="F6675" s="2">
        <v>187.0</v>
      </c>
      <c r="G6675" s="3">
        <f t="shared" si="2"/>
        <v>0.1140939597</v>
      </c>
      <c r="H6675" s="2">
        <v>337.0</v>
      </c>
      <c r="I6675" s="3">
        <f t="shared" si="3"/>
        <v>0.2056131788</v>
      </c>
      <c r="J6675" s="2">
        <v>286.0</v>
      </c>
      <c r="K6675" s="3">
        <f t="shared" si="4"/>
        <v>0.1744966443</v>
      </c>
      <c r="L6675" s="2">
        <v>209.0</v>
      </c>
      <c r="M6675" s="3">
        <f t="shared" si="5"/>
        <v>0.6201780415</v>
      </c>
      <c r="N6675" s="2">
        <v>1898800.0</v>
      </c>
      <c r="O6675" s="4">
        <f t="shared" si="6"/>
        <v>5634.421365</v>
      </c>
      <c r="P6675" s="2">
        <v>0.0</v>
      </c>
      <c r="Q6675" s="3">
        <f t="shared" si="7"/>
        <v>0</v>
      </c>
      <c r="R6675" s="2">
        <v>0.0</v>
      </c>
      <c r="S6675" s="5">
        <f t="shared" si="8"/>
        <v>0</v>
      </c>
    </row>
    <row r="6676">
      <c r="A6676" s="2" t="s">
        <v>6673</v>
      </c>
      <c r="B6676" s="2">
        <v>26.0</v>
      </c>
      <c r="C6676" s="2">
        <v>324.0</v>
      </c>
      <c r="D6676" s="2">
        <v>107.0</v>
      </c>
      <c r="E6676" s="3">
        <f t="shared" si="1"/>
        <v>0.3590604027</v>
      </c>
      <c r="F6676" s="2">
        <v>34.0</v>
      </c>
      <c r="G6676" s="3">
        <f t="shared" si="2"/>
        <v>0.1140939597</v>
      </c>
      <c r="H6676" s="2">
        <v>60.0</v>
      </c>
      <c r="I6676" s="3">
        <f t="shared" si="3"/>
        <v>0.2013422819</v>
      </c>
      <c r="J6676" s="2">
        <v>51.0</v>
      </c>
      <c r="K6676" s="3">
        <f t="shared" si="4"/>
        <v>0.1711409396</v>
      </c>
      <c r="L6676" s="2">
        <v>37.0</v>
      </c>
      <c r="M6676" s="3">
        <f t="shared" si="5"/>
        <v>0.6166666667</v>
      </c>
      <c r="N6676" s="2">
        <v>354500.0</v>
      </c>
      <c r="O6676" s="4">
        <f t="shared" si="6"/>
        <v>5908.333333</v>
      </c>
      <c r="P6676" s="2">
        <v>0.0</v>
      </c>
      <c r="Q6676" s="3">
        <f t="shared" si="7"/>
        <v>0</v>
      </c>
      <c r="R6676" s="2">
        <v>15.0</v>
      </c>
      <c r="S6676" s="5">
        <f t="shared" si="8"/>
        <v>0.5769230769</v>
      </c>
    </row>
    <row r="6677">
      <c r="A6677" s="2" t="s">
        <v>6674</v>
      </c>
      <c r="B6677" s="2">
        <v>659.0</v>
      </c>
      <c r="C6677" s="2">
        <v>7820.0</v>
      </c>
      <c r="D6677" s="2">
        <v>2702.0</v>
      </c>
      <c r="E6677" s="3">
        <f t="shared" si="1"/>
        <v>0.3773216031</v>
      </c>
      <c r="F6677" s="2">
        <v>817.0</v>
      </c>
      <c r="G6677" s="3">
        <f t="shared" si="2"/>
        <v>0.1140902109</v>
      </c>
      <c r="H6677" s="2">
        <v>1554.0</v>
      </c>
      <c r="I6677" s="3">
        <f t="shared" si="3"/>
        <v>0.2170087977</v>
      </c>
      <c r="J6677" s="2">
        <v>1171.0</v>
      </c>
      <c r="K6677" s="3">
        <f t="shared" si="4"/>
        <v>0.1635246474</v>
      </c>
      <c r="L6677" s="2">
        <v>937.0</v>
      </c>
      <c r="M6677" s="3">
        <f t="shared" si="5"/>
        <v>0.602960103</v>
      </c>
      <c r="N6677" s="2">
        <v>7918800.0</v>
      </c>
      <c r="O6677" s="4">
        <f t="shared" si="6"/>
        <v>5095.752896</v>
      </c>
      <c r="P6677" s="2">
        <v>0.0</v>
      </c>
      <c r="Q6677" s="3">
        <f t="shared" si="7"/>
        <v>0</v>
      </c>
      <c r="R6677" s="2">
        <v>510.0</v>
      </c>
      <c r="S6677" s="5">
        <f t="shared" si="8"/>
        <v>0.7738998483</v>
      </c>
    </row>
    <row r="6678">
      <c r="A6678" s="2" t="s">
        <v>6675</v>
      </c>
      <c r="B6678" s="2">
        <v>66.0</v>
      </c>
      <c r="C6678" s="2">
        <v>776.0</v>
      </c>
      <c r="D6678" s="2">
        <v>248.0</v>
      </c>
      <c r="E6678" s="3">
        <f t="shared" si="1"/>
        <v>0.3492957746</v>
      </c>
      <c r="F6678" s="2">
        <v>81.0</v>
      </c>
      <c r="G6678" s="3">
        <f t="shared" si="2"/>
        <v>0.114084507</v>
      </c>
      <c r="H6678" s="2">
        <v>147.0</v>
      </c>
      <c r="I6678" s="3">
        <f t="shared" si="3"/>
        <v>0.2070422535</v>
      </c>
      <c r="J6678" s="2">
        <v>120.0</v>
      </c>
      <c r="K6678" s="3">
        <f t="shared" si="4"/>
        <v>0.1690140845</v>
      </c>
      <c r="L6678" s="2">
        <v>86.0</v>
      </c>
      <c r="M6678" s="3">
        <f t="shared" si="5"/>
        <v>0.5850340136</v>
      </c>
      <c r="N6678" s="2">
        <v>775400.0</v>
      </c>
      <c r="O6678" s="4">
        <f t="shared" si="6"/>
        <v>5274.829932</v>
      </c>
      <c r="P6678" s="2">
        <v>1.0</v>
      </c>
      <c r="Q6678" s="3">
        <f t="shared" si="7"/>
        <v>0.01515151515</v>
      </c>
      <c r="R6678" s="2">
        <v>32.0</v>
      </c>
      <c r="S6678" s="5">
        <f t="shared" si="8"/>
        <v>0.4848484848</v>
      </c>
    </row>
    <row r="6679">
      <c r="A6679" s="2" t="s">
        <v>6676</v>
      </c>
      <c r="B6679" s="2">
        <v>195.0</v>
      </c>
      <c r="C6679" s="2">
        <v>2264.0</v>
      </c>
      <c r="D6679" s="2">
        <v>585.0</v>
      </c>
      <c r="E6679" s="3">
        <f t="shared" si="1"/>
        <v>0.2827452876</v>
      </c>
      <c r="F6679" s="2">
        <v>236.0</v>
      </c>
      <c r="G6679" s="3">
        <f t="shared" si="2"/>
        <v>0.1140647656</v>
      </c>
      <c r="H6679" s="2">
        <v>437.0</v>
      </c>
      <c r="I6679" s="3">
        <f t="shared" si="3"/>
        <v>0.2112131464</v>
      </c>
      <c r="J6679" s="2">
        <v>387.0</v>
      </c>
      <c r="K6679" s="3">
        <f t="shared" si="4"/>
        <v>0.1870468826</v>
      </c>
      <c r="L6679" s="2">
        <v>252.0</v>
      </c>
      <c r="M6679" s="3">
        <f t="shared" si="5"/>
        <v>0.5766590389</v>
      </c>
      <c r="N6679" s="2">
        <v>2644200.0</v>
      </c>
      <c r="O6679" s="4">
        <f t="shared" si="6"/>
        <v>6050.800915</v>
      </c>
      <c r="P6679" s="2">
        <v>0.0</v>
      </c>
      <c r="Q6679" s="3">
        <f t="shared" si="7"/>
        <v>0</v>
      </c>
      <c r="R6679" s="2">
        <v>195.0</v>
      </c>
      <c r="S6679" s="5">
        <f t="shared" si="8"/>
        <v>1</v>
      </c>
    </row>
    <row r="6680">
      <c r="A6680" s="2" t="s">
        <v>6677</v>
      </c>
      <c r="B6680" s="2">
        <v>33.0</v>
      </c>
      <c r="C6680" s="2">
        <v>410.0</v>
      </c>
      <c r="D6680" s="2">
        <v>161.0</v>
      </c>
      <c r="E6680" s="3">
        <f t="shared" si="1"/>
        <v>0.4270557029</v>
      </c>
      <c r="F6680" s="2">
        <v>43.0</v>
      </c>
      <c r="G6680" s="3">
        <f t="shared" si="2"/>
        <v>0.1140583554</v>
      </c>
      <c r="H6680" s="2">
        <v>72.0</v>
      </c>
      <c r="I6680" s="3">
        <f t="shared" si="3"/>
        <v>0.1909814324</v>
      </c>
      <c r="J6680" s="2">
        <v>68.0</v>
      </c>
      <c r="K6680" s="3">
        <f t="shared" si="4"/>
        <v>0.1803713528</v>
      </c>
      <c r="L6680" s="2">
        <v>37.0</v>
      </c>
      <c r="M6680" s="3">
        <f t="shared" si="5"/>
        <v>0.5138888889</v>
      </c>
      <c r="N6680" s="2">
        <v>359300.0</v>
      </c>
      <c r="O6680" s="4">
        <f t="shared" si="6"/>
        <v>4990.277778</v>
      </c>
      <c r="P6680" s="2">
        <v>0.0</v>
      </c>
      <c r="Q6680" s="3">
        <f t="shared" si="7"/>
        <v>0</v>
      </c>
      <c r="R6680" s="2">
        <v>33.0</v>
      </c>
      <c r="S6680" s="5">
        <f t="shared" si="8"/>
        <v>1</v>
      </c>
    </row>
    <row r="6681">
      <c r="A6681" s="2" t="s">
        <v>6678</v>
      </c>
      <c r="B6681" s="2">
        <v>860.0</v>
      </c>
      <c r="C6681" s="2">
        <v>10122.0</v>
      </c>
      <c r="D6681" s="2">
        <v>3091.0</v>
      </c>
      <c r="E6681" s="3">
        <f t="shared" si="1"/>
        <v>0.3337292162</v>
      </c>
      <c r="F6681" s="2">
        <v>1056.0</v>
      </c>
      <c r="G6681" s="3">
        <f t="shared" si="2"/>
        <v>0.1140142518</v>
      </c>
      <c r="H6681" s="2">
        <v>1969.0</v>
      </c>
      <c r="I6681" s="3">
        <f t="shared" si="3"/>
        <v>0.2125890736</v>
      </c>
      <c r="J6681" s="2">
        <v>1247.0</v>
      </c>
      <c r="K6681" s="3">
        <f t="shared" si="4"/>
        <v>0.1346361477</v>
      </c>
      <c r="L6681" s="2">
        <v>1186.0</v>
      </c>
      <c r="M6681" s="3">
        <f t="shared" si="5"/>
        <v>0.6023362113</v>
      </c>
      <c r="N6681" s="2">
        <v>1.10867E7</v>
      </c>
      <c r="O6681" s="4">
        <f t="shared" si="6"/>
        <v>5630.624683</v>
      </c>
      <c r="P6681" s="2">
        <v>1.0</v>
      </c>
      <c r="Q6681" s="3">
        <f t="shared" si="7"/>
        <v>0.001162790698</v>
      </c>
      <c r="R6681" s="2">
        <v>860.0</v>
      </c>
      <c r="S6681" s="5">
        <f t="shared" si="8"/>
        <v>1</v>
      </c>
    </row>
    <row r="6682">
      <c r="A6682" s="2" t="s">
        <v>6679</v>
      </c>
      <c r="B6682" s="2">
        <v>1350.0</v>
      </c>
      <c r="C6682" s="2">
        <v>15673.0</v>
      </c>
      <c r="D6682" s="2">
        <v>5283.0</v>
      </c>
      <c r="E6682" s="3">
        <f t="shared" si="1"/>
        <v>0.3688473085</v>
      </c>
      <c r="F6682" s="2">
        <v>1633.0</v>
      </c>
      <c r="G6682" s="3">
        <f t="shared" si="2"/>
        <v>0.1140124276</v>
      </c>
      <c r="H6682" s="2">
        <v>3174.0</v>
      </c>
      <c r="I6682" s="3">
        <f t="shared" si="3"/>
        <v>0.2216016198</v>
      </c>
      <c r="J6682" s="2">
        <v>2410.0</v>
      </c>
      <c r="K6682" s="3">
        <f t="shared" si="4"/>
        <v>0.1682608392</v>
      </c>
      <c r="L6682" s="2">
        <v>1870.0</v>
      </c>
      <c r="M6682" s="3">
        <f t="shared" si="5"/>
        <v>0.5891619408</v>
      </c>
      <c r="N6682" s="2">
        <v>1.72856E7</v>
      </c>
      <c r="O6682" s="4">
        <f t="shared" si="6"/>
        <v>5445.99874</v>
      </c>
      <c r="P6682" s="2">
        <v>1.0</v>
      </c>
      <c r="Q6682" s="3">
        <f t="shared" si="7"/>
        <v>0.0007407407407</v>
      </c>
      <c r="R6682" s="2">
        <v>1350.0</v>
      </c>
      <c r="S6682" s="5">
        <f t="shared" si="8"/>
        <v>1</v>
      </c>
    </row>
    <row r="6683">
      <c r="A6683" s="2" t="s">
        <v>6680</v>
      </c>
      <c r="B6683" s="2">
        <v>28.0</v>
      </c>
      <c r="C6683" s="2">
        <v>335.0</v>
      </c>
      <c r="D6683" s="2">
        <v>109.0</v>
      </c>
      <c r="E6683" s="3">
        <f t="shared" si="1"/>
        <v>0.3550488599</v>
      </c>
      <c r="F6683" s="2">
        <v>35.0</v>
      </c>
      <c r="G6683" s="3">
        <f t="shared" si="2"/>
        <v>0.1140065147</v>
      </c>
      <c r="H6683" s="2">
        <v>70.0</v>
      </c>
      <c r="I6683" s="3">
        <f t="shared" si="3"/>
        <v>0.2280130293</v>
      </c>
      <c r="J6683" s="2">
        <v>59.0</v>
      </c>
      <c r="K6683" s="3">
        <f t="shared" si="4"/>
        <v>0.1921824104</v>
      </c>
      <c r="L6683" s="2">
        <v>44.0</v>
      </c>
      <c r="M6683" s="3">
        <f t="shared" si="5"/>
        <v>0.6285714286</v>
      </c>
      <c r="N6683" s="2">
        <v>373200.0</v>
      </c>
      <c r="O6683" s="4">
        <f t="shared" si="6"/>
        <v>5331.428571</v>
      </c>
      <c r="P6683" s="2">
        <v>0.0</v>
      </c>
      <c r="Q6683" s="3">
        <f t="shared" si="7"/>
        <v>0</v>
      </c>
      <c r="R6683" s="2">
        <v>28.0</v>
      </c>
      <c r="S6683" s="5">
        <f t="shared" si="8"/>
        <v>1</v>
      </c>
    </row>
    <row r="6684">
      <c r="A6684" s="2" t="s">
        <v>6681</v>
      </c>
      <c r="B6684" s="2">
        <v>971.0</v>
      </c>
      <c r="C6684" s="2">
        <v>11288.0</v>
      </c>
      <c r="D6684" s="2">
        <v>3272.0</v>
      </c>
      <c r="E6684" s="3">
        <f t="shared" si="1"/>
        <v>0.3171464573</v>
      </c>
      <c r="F6684" s="2">
        <v>1176.0</v>
      </c>
      <c r="G6684" s="3">
        <f t="shared" si="2"/>
        <v>0.113986624</v>
      </c>
      <c r="H6684" s="2">
        <v>2131.0</v>
      </c>
      <c r="I6684" s="3">
        <f t="shared" si="3"/>
        <v>0.2065522923</v>
      </c>
      <c r="J6684" s="2">
        <v>1795.0</v>
      </c>
      <c r="K6684" s="3">
        <f t="shared" si="4"/>
        <v>0.1739846855</v>
      </c>
      <c r="L6684" s="2">
        <v>1273.0</v>
      </c>
      <c r="M6684" s="3">
        <f t="shared" si="5"/>
        <v>0.5973721258</v>
      </c>
      <c r="N6684" s="2">
        <v>1.14222E7</v>
      </c>
      <c r="O6684" s="4">
        <f t="shared" si="6"/>
        <v>5360.018771</v>
      </c>
      <c r="P6684" s="2">
        <v>2.0</v>
      </c>
      <c r="Q6684" s="3">
        <f t="shared" si="7"/>
        <v>0.002059732235</v>
      </c>
      <c r="R6684" s="2">
        <v>971.0</v>
      </c>
      <c r="S6684" s="5">
        <f t="shared" si="8"/>
        <v>1</v>
      </c>
    </row>
    <row r="6685">
      <c r="A6685" s="2" t="s">
        <v>6682</v>
      </c>
      <c r="B6685" s="2">
        <v>331.0</v>
      </c>
      <c r="C6685" s="2">
        <v>3928.0</v>
      </c>
      <c r="D6685" s="2">
        <v>1229.0</v>
      </c>
      <c r="E6685" s="3">
        <f t="shared" si="1"/>
        <v>0.3416736169</v>
      </c>
      <c r="F6685" s="2">
        <v>410.0</v>
      </c>
      <c r="G6685" s="3">
        <f t="shared" si="2"/>
        <v>0.1139838755</v>
      </c>
      <c r="H6685" s="2">
        <v>763.0</v>
      </c>
      <c r="I6685" s="3">
        <f t="shared" si="3"/>
        <v>0.2121212121</v>
      </c>
      <c r="J6685" s="2">
        <v>624.0</v>
      </c>
      <c r="K6685" s="3">
        <f t="shared" si="4"/>
        <v>0.1734778982</v>
      </c>
      <c r="L6685" s="2">
        <v>476.0</v>
      </c>
      <c r="M6685" s="3">
        <f t="shared" si="5"/>
        <v>0.623853211</v>
      </c>
      <c r="N6685" s="2">
        <v>4247400.0</v>
      </c>
      <c r="O6685" s="4">
        <f t="shared" si="6"/>
        <v>5566.710354</v>
      </c>
      <c r="P6685" s="2">
        <v>0.0</v>
      </c>
      <c r="Q6685" s="3">
        <f t="shared" si="7"/>
        <v>0</v>
      </c>
      <c r="R6685" s="2">
        <v>331.0</v>
      </c>
      <c r="S6685" s="5">
        <f t="shared" si="8"/>
        <v>1</v>
      </c>
    </row>
    <row r="6686">
      <c r="A6686" s="2" t="s">
        <v>6683</v>
      </c>
      <c r="B6686" s="2">
        <v>144.0</v>
      </c>
      <c r="C6686" s="2">
        <v>1653.0</v>
      </c>
      <c r="D6686" s="2">
        <v>431.0</v>
      </c>
      <c r="E6686" s="3">
        <f t="shared" si="1"/>
        <v>0.2856196156</v>
      </c>
      <c r="F6686" s="2">
        <v>172.0</v>
      </c>
      <c r="G6686" s="3">
        <f t="shared" si="2"/>
        <v>0.11398277</v>
      </c>
      <c r="H6686" s="2">
        <v>315.0</v>
      </c>
      <c r="I6686" s="3">
        <f t="shared" si="3"/>
        <v>0.2087475149</v>
      </c>
      <c r="J6686" s="2">
        <v>268.0</v>
      </c>
      <c r="K6686" s="3">
        <f t="shared" si="4"/>
        <v>0.1776010603</v>
      </c>
      <c r="L6686" s="2">
        <v>184.0</v>
      </c>
      <c r="M6686" s="3">
        <f t="shared" si="5"/>
        <v>0.5841269841</v>
      </c>
      <c r="N6686" s="2">
        <v>1815900.0</v>
      </c>
      <c r="O6686" s="4">
        <f t="shared" si="6"/>
        <v>5764.761905</v>
      </c>
      <c r="P6686" s="2">
        <v>0.0</v>
      </c>
      <c r="Q6686" s="3">
        <f t="shared" si="7"/>
        <v>0</v>
      </c>
      <c r="R6686" s="2">
        <v>144.0</v>
      </c>
      <c r="S6686" s="5">
        <f t="shared" si="8"/>
        <v>1</v>
      </c>
    </row>
    <row r="6687">
      <c r="A6687" s="2" t="s">
        <v>6684</v>
      </c>
      <c r="B6687" s="2">
        <v>50.0</v>
      </c>
      <c r="C6687" s="2">
        <v>594.0</v>
      </c>
      <c r="D6687" s="2">
        <v>164.0</v>
      </c>
      <c r="E6687" s="3">
        <f t="shared" si="1"/>
        <v>0.3014705882</v>
      </c>
      <c r="F6687" s="2">
        <v>62.0</v>
      </c>
      <c r="G6687" s="3">
        <f t="shared" si="2"/>
        <v>0.1139705882</v>
      </c>
      <c r="H6687" s="2">
        <v>102.0</v>
      </c>
      <c r="I6687" s="3">
        <f t="shared" si="3"/>
        <v>0.1875</v>
      </c>
      <c r="J6687" s="2">
        <v>110.0</v>
      </c>
      <c r="K6687" s="3">
        <f t="shared" si="4"/>
        <v>0.2022058824</v>
      </c>
      <c r="L6687" s="2">
        <v>61.0</v>
      </c>
      <c r="M6687" s="3">
        <f t="shared" si="5"/>
        <v>0.5980392157</v>
      </c>
      <c r="N6687" s="2">
        <v>713000.0</v>
      </c>
      <c r="O6687" s="4">
        <f t="shared" si="6"/>
        <v>6990.196078</v>
      </c>
      <c r="P6687" s="2">
        <v>1.0</v>
      </c>
      <c r="Q6687" s="3">
        <f t="shared" si="7"/>
        <v>0.02</v>
      </c>
      <c r="R6687" s="2">
        <v>0.0</v>
      </c>
      <c r="S6687" s="5">
        <f t="shared" si="8"/>
        <v>0</v>
      </c>
    </row>
    <row r="6688">
      <c r="A6688" s="2" t="s">
        <v>6685</v>
      </c>
      <c r="B6688" s="2">
        <v>489.0</v>
      </c>
      <c r="C6688" s="2">
        <v>5833.0</v>
      </c>
      <c r="D6688" s="2">
        <v>1985.0</v>
      </c>
      <c r="E6688" s="3">
        <f t="shared" si="1"/>
        <v>0.3714446108</v>
      </c>
      <c r="F6688" s="2">
        <v>609.0</v>
      </c>
      <c r="G6688" s="3">
        <f t="shared" si="2"/>
        <v>0.1139595808</v>
      </c>
      <c r="H6688" s="2">
        <v>1140.0</v>
      </c>
      <c r="I6688" s="3">
        <f t="shared" si="3"/>
        <v>0.2133233533</v>
      </c>
      <c r="J6688" s="2">
        <v>913.0</v>
      </c>
      <c r="K6688" s="3">
        <f t="shared" si="4"/>
        <v>0.1708458084</v>
      </c>
      <c r="L6688" s="2">
        <v>702.0</v>
      </c>
      <c r="M6688" s="3">
        <f t="shared" si="5"/>
        <v>0.6157894737</v>
      </c>
      <c r="N6688" s="2">
        <v>6037900.0</v>
      </c>
      <c r="O6688" s="4">
        <f t="shared" si="6"/>
        <v>5296.403509</v>
      </c>
      <c r="P6688" s="2">
        <v>0.0</v>
      </c>
      <c r="Q6688" s="3">
        <f t="shared" si="7"/>
        <v>0</v>
      </c>
      <c r="R6688" s="2">
        <v>0.0</v>
      </c>
      <c r="S6688" s="5">
        <f t="shared" si="8"/>
        <v>0</v>
      </c>
    </row>
    <row r="6689">
      <c r="A6689" s="2" t="s">
        <v>6686</v>
      </c>
      <c r="B6689" s="2">
        <v>2147.0</v>
      </c>
      <c r="C6689" s="2">
        <v>25256.0</v>
      </c>
      <c r="D6689" s="2">
        <v>8076.0</v>
      </c>
      <c r="E6689" s="3">
        <f t="shared" si="1"/>
        <v>0.3494742308</v>
      </c>
      <c r="F6689" s="2">
        <v>2633.0</v>
      </c>
      <c r="G6689" s="3">
        <f t="shared" si="2"/>
        <v>0.1139382924</v>
      </c>
      <c r="H6689" s="2">
        <v>5019.0</v>
      </c>
      <c r="I6689" s="3">
        <f t="shared" si="3"/>
        <v>0.2171881085</v>
      </c>
      <c r="J6689" s="2">
        <v>4404.0</v>
      </c>
      <c r="K6689" s="3">
        <f t="shared" si="4"/>
        <v>0.1905751006</v>
      </c>
      <c r="L6689" s="2">
        <v>3008.0</v>
      </c>
      <c r="M6689" s="3">
        <f t="shared" si="5"/>
        <v>0.5993225742</v>
      </c>
      <c r="N6689" s="2">
        <v>2.81298E7</v>
      </c>
      <c r="O6689" s="4">
        <f t="shared" si="6"/>
        <v>5604.662283</v>
      </c>
      <c r="P6689" s="2">
        <v>3.0</v>
      </c>
      <c r="Q6689" s="3">
        <f t="shared" si="7"/>
        <v>0.001397298556</v>
      </c>
      <c r="R6689" s="2">
        <v>2147.0</v>
      </c>
      <c r="S6689" s="5">
        <f t="shared" si="8"/>
        <v>1</v>
      </c>
    </row>
    <row r="6690">
      <c r="A6690" s="2" t="s">
        <v>6687</v>
      </c>
      <c r="B6690" s="2">
        <v>156.0</v>
      </c>
      <c r="C6690" s="2">
        <v>1815.0</v>
      </c>
      <c r="D6690" s="2">
        <v>591.0</v>
      </c>
      <c r="E6690" s="3">
        <f t="shared" si="1"/>
        <v>0.356238698</v>
      </c>
      <c r="F6690" s="2">
        <v>189.0</v>
      </c>
      <c r="G6690" s="3">
        <f t="shared" si="2"/>
        <v>0.1139240506</v>
      </c>
      <c r="H6690" s="2">
        <v>357.0</v>
      </c>
      <c r="I6690" s="3">
        <f t="shared" si="3"/>
        <v>0.2151898734</v>
      </c>
      <c r="J6690" s="2">
        <v>334.0</v>
      </c>
      <c r="K6690" s="3">
        <f t="shared" si="4"/>
        <v>0.2013261001</v>
      </c>
      <c r="L6690" s="2">
        <v>218.0</v>
      </c>
      <c r="M6690" s="3">
        <f t="shared" si="5"/>
        <v>0.6106442577</v>
      </c>
      <c r="N6690" s="2">
        <v>2056500.0</v>
      </c>
      <c r="O6690" s="4">
        <f t="shared" si="6"/>
        <v>5760.504202</v>
      </c>
      <c r="P6690" s="2">
        <v>0.0</v>
      </c>
      <c r="Q6690" s="3">
        <f t="shared" si="7"/>
        <v>0</v>
      </c>
      <c r="R6690" s="2">
        <v>103.0</v>
      </c>
      <c r="S6690" s="5">
        <f t="shared" si="8"/>
        <v>0.6602564103</v>
      </c>
    </row>
    <row r="6691">
      <c r="A6691" s="2" t="s">
        <v>6688</v>
      </c>
      <c r="B6691" s="2">
        <v>289.0</v>
      </c>
      <c r="C6691" s="2">
        <v>3414.0</v>
      </c>
      <c r="D6691" s="2">
        <v>1235.0</v>
      </c>
      <c r="E6691" s="3">
        <f t="shared" si="1"/>
        <v>0.3952</v>
      </c>
      <c r="F6691" s="2">
        <v>356.0</v>
      </c>
      <c r="G6691" s="3">
        <f t="shared" si="2"/>
        <v>0.11392</v>
      </c>
      <c r="H6691" s="2">
        <v>657.0</v>
      </c>
      <c r="I6691" s="3">
        <f t="shared" si="3"/>
        <v>0.21024</v>
      </c>
      <c r="J6691" s="2">
        <v>494.0</v>
      </c>
      <c r="K6691" s="3">
        <f t="shared" si="4"/>
        <v>0.15808</v>
      </c>
      <c r="L6691" s="2">
        <v>379.0</v>
      </c>
      <c r="M6691" s="3">
        <f t="shared" si="5"/>
        <v>0.5768645358</v>
      </c>
      <c r="N6691" s="2">
        <v>3381600.0</v>
      </c>
      <c r="O6691" s="4">
        <f t="shared" si="6"/>
        <v>5147.031963</v>
      </c>
      <c r="P6691" s="2">
        <v>0.0</v>
      </c>
      <c r="Q6691" s="3">
        <f t="shared" si="7"/>
        <v>0</v>
      </c>
      <c r="R6691" s="2">
        <v>289.0</v>
      </c>
      <c r="S6691" s="5">
        <f t="shared" si="8"/>
        <v>1</v>
      </c>
    </row>
    <row r="6692">
      <c r="A6692" s="2" t="s">
        <v>6689</v>
      </c>
      <c r="B6692" s="2">
        <v>944.0</v>
      </c>
      <c r="C6692" s="2">
        <v>11294.0</v>
      </c>
      <c r="D6692" s="2">
        <v>4046.0</v>
      </c>
      <c r="E6692" s="3">
        <f t="shared" si="1"/>
        <v>0.3909178744</v>
      </c>
      <c r="F6692" s="2">
        <v>1179.0</v>
      </c>
      <c r="G6692" s="3">
        <f t="shared" si="2"/>
        <v>0.1139130435</v>
      </c>
      <c r="H6692" s="2">
        <v>2112.0</v>
      </c>
      <c r="I6692" s="3">
        <f t="shared" si="3"/>
        <v>0.204057971</v>
      </c>
      <c r="J6692" s="2">
        <v>1502.0</v>
      </c>
      <c r="K6692" s="3">
        <f t="shared" si="4"/>
        <v>0.1451207729</v>
      </c>
      <c r="L6692" s="2">
        <v>1262.0</v>
      </c>
      <c r="M6692" s="3">
        <f t="shared" si="5"/>
        <v>0.5975378788</v>
      </c>
      <c r="N6692" s="2">
        <v>1.12525E7</v>
      </c>
      <c r="O6692" s="4">
        <f t="shared" si="6"/>
        <v>5327.888258</v>
      </c>
      <c r="P6692" s="2">
        <v>2.0</v>
      </c>
      <c r="Q6692" s="3">
        <f t="shared" si="7"/>
        <v>0.002118644068</v>
      </c>
      <c r="R6692" s="2">
        <v>944.0</v>
      </c>
      <c r="S6692" s="5">
        <f t="shared" si="8"/>
        <v>1</v>
      </c>
    </row>
    <row r="6693">
      <c r="A6693" s="2" t="s">
        <v>6690</v>
      </c>
      <c r="B6693" s="2">
        <v>1029.0</v>
      </c>
      <c r="C6693" s="2">
        <v>12178.0</v>
      </c>
      <c r="D6693" s="2">
        <v>3407.0</v>
      </c>
      <c r="E6693" s="3">
        <f t="shared" si="1"/>
        <v>0.3055879451</v>
      </c>
      <c r="F6693" s="2">
        <v>1270.0</v>
      </c>
      <c r="G6693" s="3">
        <f t="shared" si="2"/>
        <v>0.1139115616</v>
      </c>
      <c r="H6693" s="2">
        <v>2305.0</v>
      </c>
      <c r="I6693" s="3">
        <f t="shared" si="3"/>
        <v>0.2067449996</v>
      </c>
      <c r="J6693" s="2">
        <v>1718.0</v>
      </c>
      <c r="K6693" s="3">
        <f t="shared" si="4"/>
        <v>0.1540945376</v>
      </c>
      <c r="L6693" s="2">
        <v>1404.0</v>
      </c>
      <c r="M6693" s="3">
        <f t="shared" si="5"/>
        <v>0.6091106291</v>
      </c>
      <c r="N6693" s="2">
        <v>1.27604E7</v>
      </c>
      <c r="O6693" s="4">
        <f t="shared" si="6"/>
        <v>5535.965293</v>
      </c>
      <c r="P6693" s="2">
        <v>1.0</v>
      </c>
      <c r="Q6693" s="3">
        <f t="shared" si="7"/>
        <v>0.0009718172983</v>
      </c>
      <c r="R6693" s="2">
        <v>758.0</v>
      </c>
      <c r="S6693" s="5">
        <f t="shared" si="8"/>
        <v>0.7366375121</v>
      </c>
    </row>
    <row r="6694">
      <c r="A6694" s="2" t="s">
        <v>6691</v>
      </c>
      <c r="B6694" s="2">
        <v>884.0</v>
      </c>
      <c r="C6694" s="2">
        <v>10270.0</v>
      </c>
      <c r="D6694" s="2">
        <v>3338.0</v>
      </c>
      <c r="E6694" s="3">
        <f t="shared" si="1"/>
        <v>0.3556360537</v>
      </c>
      <c r="F6694" s="2">
        <v>1069.0</v>
      </c>
      <c r="G6694" s="3">
        <f t="shared" si="2"/>
        <v>0.1138930322</v>
      </c>
      <c r="H6694" s="2">
        <v>1964.0</v>
      </c>
      <c r="I6694" s="3">
        <f t="shared" si="3"/>
        <v>0.2092478159</v>
      </c>
      <c r="J6694" s="2">
        <v>1580.0</v>
      </c>
      <c r="K6694" s="3">
        <f t="shared" si="4"/>
        <v>0.1683358193</v>
      </c>
      <c r="L6694" s="2">
        <v>1160.0</v>
      </c>
      <c r="M6694" s="3">
        <f t="shared" si="5"/>
        <v>0.5906313646</v>
      </c>
      <c r="N6694" s="2">
        <v>1.09896E7</v>
      </c>
      <c r="O6694" s="4">
        <f t="shared" si="6"/>
        <v>5595.519348</v>
      </c>
      <c r="P6694" s="2">
        <v>1.0</v>
      </c>
      <c r="Q6694" s="3">
        <f t="shared" si="7"/>
        <v>0.001131221719</v>
      </c>
      <c r="R6694" s="2">
        <v>880.0</v>
      </c>
      <c r="S6694" s="5">
        <f t="shared" si="8"/>
        <v>0.9954751131</v>
      </c>
    </row>
    <row r="6695">
      <c r="A6695" s="2" t="s">
        <v>6692</v>
      </c>
      <c r="B6695" s="2">
        <v>1632.0</v>
      </c>
      <c r="C6695" s="2">
        <v>19440.0</v>
      </c>
      <c r="D6695" s="2">
        <v>6367.0</v>
      </c>
      <c r="E6695" s="3">
        <f t="shared" si="1"/>
        <v>0.3575359389</v>
      </c>
      <c r="F6695" s="2">
        <v>2028.0</v>
      </c>
      <c r="G6695" s="3">
        <f t="shared" si="2"/>
        <v>0.1138814016</v>
      </c>
      <c r="H6695" s="2">
        <v>3677.0</v>
      </c>
      <c r="I6695" s="3">
        <f t="shared" si="3"/>
        <v>0.2064802336</v>
      </c>
      <c r="J6695" s="2">
        <v>3100.0</v>
      </c>
      <c r="K6695" s="3">
        <f t="shared" si="4"/>
        <v>0.1740790656</v>
      </c>
      <c r="L6695" s="2">
        <v>2194.0</v>
      </c>
      <c r="M6695" s="3">
        <f t="shared" si="5"/>
        <v>0.5966820778</v>
      </c>
      <c r="N6695" s="2">
        <v>1.99278E7</v>
      </c>
      <c r="O6695" s="4">
        <f t="shared" si="6"/>
        <v>5419.58118</v>
      </c>
      <c r="P6695" s="2">
        <v>4.0</v>
      </c>
      <c r="Q6695" s="3">
        <f t="shared" si="7"/>
        <v>0.002450980392</v>
      </c>
      <c r="R6695" s="2">
        <v>1632.0</v>
      </c>
      <c r="S6695" s="5">
        <f t="shared" si="8"/>
        <v>1</v>
      </c>
    </row>
    <row r="6696">
      <c r="A6696" s="2" t="s">
        <v>6693</v>
      </c>
      <c r="B6696" s="2">
        <v>329.0</v>
      </c>
      <c r="C6696" s="2">
        <v>3833.0</v>
      </c>
      <c r="D6696" s="2">
        <v>1125.0</v>
      </c>
      <c r="E6696" s="3">
        <f t="shared" si="1"/>
        <v>0.3210616438</v>
      </c>
      <c r="F6696" s="2">
        <v>399.0</v>
      </c>
      <c r="G6696" s="3">
        <f t="shared" si="2"/>
        <v>0.113869863</v>
      </c>
      <c r="H6696" s="2">
        <v>682.0</v>
      </c>
      <c r="I6696" s="3">
        <f t="shared" si="3"/>
        <v>0.1946347032</v>
      </c>
      <c r="J6696" s="2">
        <v>614.0</v>
      </c>
      <c r="K6696" s="3">
        <f t="shared" si="4"/>
        <v>0.1752283105</v>
      </c>
      <c r="L6696" s="2">
        <v>400.0</v>
      </c>
      <c r="M6696" s="3">
        <f t="shared" si="5"/>
        <v>0.5865102639</v>
      </c>
      <c r="N6696" s="2">
        <v>4046600.0</v>
      </c>
      <c r="O6696" s="4">
        <f t="shared" si="6"/>
        <v>5933.431085</v>
      </c>
      <c r="P6696" s="2">
        <v>2.0</v>
      </c>
      <c r="Q6696" s="3">
        <f t="shared" si="7"/>
        <v>0.006079027356</v>
      </c>
      <c r="R6696" s="2">
        <v>329.0</v>
      </c>
      <c r="S6696" s="5">
        <f t="shared" si="8"/>
        <v>1</v>
      </c>
    </row>
    <row r="6697">
      <c r="A6697" s="2" t="s">
        <v>6694</v>
      </c>
      <c r="B6697" s="2">
        <v>261.0</v>
      </c>
      <c r="C6697" s="2">
        <v>3054.0</v>
      </c>
      <c r="D6697" s="2">
        <v>1004.0</v>
      </c>
      <c r="E6697" s="3">
        <f t="shared" si="1"/>
        <v>0.3594701038</v>
      </c>
      <c r="F6697" s="2">
        <v>318.0</v>
      </c>
      <c r="G6697" s="3">
        <f t="shared" si="2"/>
        <v>0.1138560687</v>
      </c>
      <c r="H6697" s="2">
        <v>578.0</v>
      </c>
      <c r="I6697" s="3">
        <f t="shared" si="3"/>
        <v>0.2069459363</v>
      </c>
      <c r="J6697" s="2">
        <v>427.0</v>
      </c>
      <c r="K6697" s="3">
        <f t="shared" si="4"/>
        <v>0.1528822055</v>
      </c>
      <c r="L6697" s="2">
        <v>356.0</v>
      </c>
      <c r="M6697" s="3">
        <f t="shared" si="5"/>
        <v>0.615916955</v>
      </c>
      <c r="N6697" s="2">
        <v>2893000.0</v>
      </c>
      <c r="O6697" s="4">
        <f t="shared" si="6"/>
        <v>5005.190311</v>
      </c>
      <c r="P6697" s="2">
        <v>0.0</v>
      </c>
      <c r="Q6697" s="3">
        <f t="shared" si="7"/>
        <v>0</v>
      </c>
      <c r="R6697" s="2">
        <v>0.0</v>
      </c>
      <c r="S6697" s="5">
        <f t="shared" si="8"/>
        <v>0</v>
      </c>
    </row>
    <row r="6698">
      <c r="A6698" s="2" t="s">
        <v>6695</v>
      </c>
      <c r="B6698" s="2">
        <v>93.0</v>
      </c>
      <c r="C6698" s="2">
        <v>1068.0</v>
      </c>
      <c r="D6698" s="2">
        <v>386.0</v>
      </c>
      <c r="E6698" s="3">
        <f t="shared" si="1"/>
        <v>0.3958974359</v>
      </c>
      <c r="F6698" s="2">
        <v>111.0</v>
      </c>
      <c r="G6698" s="3">
        <f t="shared" si="2"/>
        <v>0.1138461538</v>
      </c>
      <c r="H6698" s="2">
        <v>195.0</v>
      </c>
      <c r="I6698" s="3">
        <f t="shared" si="3"/>
        <v>0.2</v>
      </c>
      <c r="J6698" s="2">
        <v>142.0</v>
      </c>
      <c r="K6698" s="3">
        <f t="shared" si="4"/>
        <v>0.1456410256</v>
      </c>
      <c r="L6698" s="2">
        <v>121.0</v>
      </c>
      <c r="M6698" s="3">
        <f t="shared" si="5"/>
        <v>0.6205128205</v>
      </c>
      <c r="N6698" s="2">
        <v>1014200.0</v>
      </c>
      <c r="O6698" s="4">
        <f t="shared" si="6"/>
        <v>5201.025641</v>
      </c>
      <c r="P6698" s="2">
        <v>0.0</v>
      </c>
      <c r="Q6698" s="3">
        <f t="shared" si="7"/>
        <v>0</v>
      </c>
      <c r="R6698" s="2">
        <v>92.0</v>
      </c>
      <c r="S6698" s="5">
        <f t="shared" si="8"/>
        <v>0.9892473118</v>
      </c>
    </row>
    <row r="6699">
      <c r="A6699" s="2" t="s">
        <v>6696</v>
      </c>
      <c r="B6699" s="2">
        <v>1543.0</v>
      </c>
      <c r="C6699" s="2">
        <v>18136.0</v>
      </c>
      <c r="D6699" s="2">
        <v>5238.0</v>
      </c>
      <c r="E6699" s="3">
        <f t="shared" si="1"/>
        <v>0.3156752848</v>
      </c>
      <c r="F6699" s="2">
        <v>1889.0</v>
      </c>
      <c r="G6699" s="3">
        <f t="shared" si="2"/>
        <v>0.1138431869</v>
      </c>
      <c r="H6699" s="2">
        <v>3503.0</v>
      </c>
      <c r="I6699" s="3">
        <f t="shared" si="3"/>
        <v>0.21111312</v>
      </c>
      <c r="J6699" s="2">
        <v>2576.0</v>
      </c>
      <c r="K6699" s="3">
        <f t="shared" si="4"/>
        <v>0.1552461882</v>
      </c>
      <c r="L6699" s="2">
        <v>2062.0</v>
      </c>
      <c r="M6699" s="3">
        <f t="shared" si="5"/>
        <v>0.58863831</v>
      </c>
      <c r="N6699" s="2">
        <v>2.03213E7</v>
      </c>
      <c r="O6699" s="4">
        <f t="shared" si="6"/>
        <v>5801.113331</v>
      </c>
      <c r="P6699" s="2">
        <v>0.0</v>
      </c>
      <c r="Q6699" s="3">
        <f t="shared" si="7"/>
        <v>0</v>
      </c>
      <c r="R6699" s="2">
        <v>1543.0</v>
      </c>
      <c r="S6699" s="5">
        <f t="shared" si="8"/>
        <v>1</v>
      </c>
    </row>
    <row r="6700">
      <c r="A6700" s="2" t="s">
        <v>6697</v>
      </c>
      <c r="B6700" s="2">
        <v>1899.0</v>
      </c>
      <c r="C6700" s="2">
        <v>22709.0</v>
      </c>
      <c r="D6700" s="2">
        <v>7736.0</v>
      </c>
      <c r="E6700" s="3">
        <f t="shared" si="1"/>
        <v>0.3717443537</v>
      </c>
      <c r="F6700" s="2">
        <v>2369.0</v>
      </c>
      <c r="G6700" s="3">
        <f t="shared" si="2"/>
        <v>0.1138395002</v>
      </c>
      <c r="H6700" s="2">
        <v>4580.0</v>
      </c>
      <c r="I6700" s="3">
        <f t="shared" si="3"/>
        <v>0.2200864969</v>
      </c>
      <c r="J6700" s="2">
        <v>3182.0</v>
      </c>
      <c r="K6700" s="3">
        <f t="shared" si="4"/>
        <v>0.1529072561</v>
      </c>
      <c r="L6700" s="2">
        <v>2792.0</v>
      </c>
      <c r="M6700" s="3">
        <f t="shared" si="5"/>
        <v>0.6096069869</v>
      </c>
      <c r="N6700" s="2">
        <v>2.37006E7</v>
      </c>
      <c r="O6700" s="4">
        <f t="shared" si="6"/>
        <v>5174.803493</v>
      </c>
      <c r="P6700" s="2">
        <v>5.0</v>
      </c>
      <c r="Q6700" s="3">
        <f t="shared" si="7"/>
        <v>0.002632964718</v>
      </c>
      <c r="R6700" s="2">
        <v>1899.0</v>
      </c>
      <c r="S6700" s="5">
        <f t="shared" si="8"/>
        <v>1</v>
      </c>
    </row>
    <row r="6701">
      <c r="A6701" s="2" t="s">
        <v>6698</v>
      </c>
      <c r="B6701" s="2">
        <v>635.0</v>
      </c>
      <c r="C6701" s="2">
        <v>7399.0</v>
      </c>
      <c r="D6701" s="2">
        <v>1969.0</v>
      </c>
      <c r="E6701" s="3">
        <f t="shared" si="1"/>
        <v>0.2910999409</v>
      </c>
      <c r="F6701" s="2">
        <v>770.0</v>
      </c>
      <c r="G6701" s="3">
        <f t="shared" si="2"/>
        <v>0.1138379657</v>
      </c>
      <c r="H6701" s="2">
        <v>1337.0</v>
      </c>
      <c r="I6701" s="3">
        <f t="shared" si="3"/>
        <v>0.1976641041</v>
      </c>
      <c r="J6701" s="2">
        <v>1171.0</v>
      </c>
      <c r="K6701" s="3">
        <f t="shared" si="4"/>
        <v>0.1731224128</v>
      </c>
      <c r="L6701" s="2">
        <v>781.0</v>
      </c>
      <c r="M6701" s="3">
        <f t="shared" si="5"/>
        <v>0.5841436051</v>
      </c>
      <c r="N6701" s="2">
        <v>7601600.0</v>
      </c>
      <c r="O6701" s="4">
        <f t="shared" si="6"/>
        <v>5685.564697</v>
      </c>
      <c r="P6701" s="2">
        <v>1.0</v>
      </c>
      <c r="Q6701" s="3">
        <f t="shared" si="7"/>
        <v>0.00157480315</v>
      </c>
      <c r="R6701" s="2">
        <v>0.0</v>
      </c>
      <c r="S6701" s="5">
        <f t="shared" si="8"/>
        <v>0</v>
      </c>
    </row>
    <row r="6702">
      <c r="A6702" s="2" t="s">
        <v>6699</v>
      </c>
      <c r="B6702" s="2">
        <v>657.0</v>
      </c>
      <c r="C6702" s="2">
        <v>7712.0</v>
      </c>
      <c r="D6702" s="2">
        <v>2480.0</v>
      </c>
      <c r="E6702" s="3">
        <f t="shared" si="1"/>
        <v>0.351523742</v>
      </c>
      <c r="F6702" s="2">
        <v>803.0</v>
      </c>
      <c r="G6702" s="3">
        <f t="shared" si="2"/>
        <v>0.1138199858</v>
      </c>
      <c r="H6702" s="2">
        <v>1500.0</v>
      </c>
      <c r="I6702" s="3">
        <f t="shared" si="3"/>
        <v>0.2126151665</v>
      </c>
      <c r="J6702" s="2">
        <v>1191.0</v>
      </c>
      <c r="K6702" s="3">
        <f t="shared" si="4"/>
        <v>0.1688164422</v>
      </c>
      <c r="L6702" s="2">
        <v>901.0</v>
      </c>
      <c r="M6702" s="3">
        <f t="shared" si="5"/>
        <v>0.6006666667</v>
      </c>
      <c r="N6702" s="2">
        <v>8434900.0</v>
      </c>
      <c r="O6702" s="4">
        <f t="shared" si="6"/>
        <v>5623.266667</v>
      </c>
      <c r="P6702" s="2">
        <v>0.0</v>
      </c>
      <c r="Q6702" s="3">
        <f t="shared" si="7"/>
        <v>0</v>
      </c>
      <c r="R6702" s="2">
        <v>657.0</v>
      </c>
      <c r="S6702" s="5">
        <f t="shared" si="8"/>
        <v>1</v>
      </c>
    </row>
    <row r="6703">
      <c r="A6703" s="2" t="s">
        <v>6700</v>
      </c>
      <c r="B6703" s="2">
        <v>6850.0</v>
      </c>
      <c r="C6703" s="2">
        <v>80793.0</v>
      </c>
      <c r="D6703" s="2">
        <v>25804.0</v>
      </c>
      <c r="E6703" s="3">
        <f t="shared" si="1"/>
        <v>0.3489715051</v>
      </c>
      <c r="F6703" s="2">
        <v>8415.0</v>
      </c>
      <c r="G6703" s="3">
        <f t="shared" si="2"/>
        <v>0.113803876</v>
      </c>
      <c r="H6703" s="2">
        <v>15069.0</v>
      </c>
      <c r="I6703" s="3">
        <f t="shared" si="3"/>
        <v>0.2037921101</v>
      </c>
      <c r="J6703" s="2">
        <v>11218.0</v>
      </c>
      <c r="K6703" s="3">
        <f t="shared" si="4"/>
        <v>0.1517114534</v>
      </c>
      <c r="L6703" s="2">
        <v>8986.0</v>
      </c>
      <c r="M6703" s="3">
        <f t="shared" si="5"/>
        <v>0.5963235782</v>
      </c>
      <c r="N6703" s="2">
        <v>8.56381E7</v>
      </c>
      <c r="O6703" s="4">
        <f t="shared" si="6"/>
        <v>5683.06457</v>
      </c>
      <c r="P6703" s="2">
        <v>13.0</v>
      </c>
      <c r="Q6703" s="3">
        <f t="shared" si="7"/>
        <v>0.001897810219</v>
      </c>
      <c r="R6703" s="2">
        <v>6849.0</v>
      </c>
      <c r="S6703" s="5">
        <f t="shared" si="8"/>
        <v>0.9998540146</v>
      </c>
    </row>
    <row r="6704">
      <c r="A6704" s="2" t="s">
        <v>6701</v>
      </c>
      <c r="B6704" s="2">
        <v>620.0</v>
      </c>
      <c r="C6704" s="2">
        <v>7360.0</v>
      </c>
      <c r="D6704" s="2">
        <v>2617.0</v>
      </c>
      <c r="E6704" s="3">
        <f t="shared" si="1"/>
        <v>0.3882789318</v>
      </c>
      <c r="F6704" s="2">
        <v>767.0</v>
      </c>
      <c r="G6704" s="3">
        <f t="shared" si="2"/>
        <v>0.1137982196</v>
      </c>
      <c r="H6704" s="2">
        <v>1466.0</v>
      </c>
      <c r="I6704" s="3">
        <f t="shared" si="3"/>
        <v>0.2175074184</v>
      </c>
      <c r="J6704" s="2">
        <v>1065.0</v>
      </c>
      <c r="K6704" s="3">
        <f t="shared" si="4"/>
        <v>0.1580118694</v>
      </c>
      <c r="L6704" s="2">
        <v>883.0</v>
      </c>
      <c r="M6704" s="3">
        <f t="shared" si="5"/>
        <v>0.602319236</v>
      </c>
      <c r="N6704" s="2">
        <v>7518600.0</v>
      </c>
      <c r="O6704" s="4">
        <f t="shared" si="6"/>
        <v>5128.649386</v>
      </c>
      <c r="P6704" s="2">
        <v>1.0</v>
      </c>
      <c r="Q6704" s="3">
        <f t="shared" si="7"/>
        <v>0.001612903226</v>
      </c>
      <c r="R6704" s="2">
        <v>101.0</v>
      </c>
      <c r="S6704" s="5">
        <f t="shared" si="8"/>
        <v>0.1629032258</v>
      </c>
    </row>
    <row r="6705">
      <c r="A6705" s="2" t="s">
        <v>6702</v>
      </c>
      <c r="B6705" s="2">
        <v>80.0</v>
      </c>
      <c r="C6705" s="2">
        <v>950.0</v>
      </c>
      <c r="D6705" s="2">
        <v>257.0</v>
      </c>
      <c r="E6705" s="3">
        <f t="shared" si="1"/>
        <v>0.2954022989</v>
      </c>
      <c r="F6705" s="2">
        <v>99.0</v>
      </c>
      <c r="G6705" s="3">
        <f t="shared" si="2"/>
        <v>0.1137931034</v>
      </c>
      <c r="H6705" s="2">
        <v>181.0</v>
      </c>
      <c r="I6705" s="3">
        <f t="shared" si="3"/>
        <v>0.208045977</v>
      </c>
      <c r="J6705" s="2">
        <v>143.0</v>
      </c>
      <c r="K6705" s="3">
        <f t="shared" si="4"/>
        <v>0.1643678161</v>
      </c>
      <c r="L6705" s="2">
        <v>112.0</v>
      </c>
      <c r="M6705" s="3">
        <f t="shared" si="5"/>
        <v>0.6187845304</v>
      </c>
      <c r="N6705" s="2">
        <v>980800.0</v>
      </c>
      <c r="O6705" s="4">
        <f t="shared" si="6"/>
        <v>5418.78453</v>
      </c>
      <c r="P6705" s="2">
        <v>0.0</v>
      </c>
      <c r="Q6705" s="3">
        <f t="shared" si="7"/>
        <v>0</v>
      </c>
      <c r="R6705" s="2">
        <v>79.0</v>
      </c>
      <c r="S6705" s="5">
        <f t="shared" si="8"/>
        <v>0.9875</v>
      </c>
    </row>
    <row r="6706">
      <c r="A6706" s="2" t="s">
        <v>6703</v>
      </c>
      <c r="B6706" s="2">
        <v>82.0</v>
      </c>
      <c r="C6706" s="2">
        <v>952.0</v>
      </c>
      <c r="D6706" s="2">
        <v>350.0</v>
      </c>
      <c r="E6706" s="3">
        <f t="shared" si="1"/>
        <v>0.4022988506</v>
      </c>
      <c r="F6706" s="2">
        <v>99.0</v>
      </c>
      <c r="G6706" s="3">
        <f t="shared" si="2"/>
        <v>0.1137931034</v>
      </c>
      <c r="H6706" s="2">
        <v>191.0</v>
      </c>
      <c r="I6706" s="3">
        <f t="shared" si="3"/>
        <v>0.2195402299</v>
      </c>
      <c r="J6706" s="2">
        <v>105.0</v>
      </c>
      <c r="K6706" s="3">
        <f t="shared" si="4"/>
        <v>0.1206896552</v>
      </c>
      <c r="L6706" s="2">
        <v>119.0</v>
      </c>
      <c r="M6706" s="3">
        <f t="shared" si="5"/>
        <v>0.6230366492</v>
      </c>
      <c r="N6706" s="2">
        <v>947700.0</v>
      </c>
      <c r="O6706" s="4">
        <f t="shared" si="6"/>
        <v>4961.780105</v>
      </c>
      <c r="P6706" s="2">
        <v>0.0</v>
      </c>
      <c r="Q6706" s="3">
        <f t="shared" si="7"/>
        <v>0</v>
      </c>
      <c r="R6706" s="2">
        <v>82.0</v>
      </c>
      <c r="S6706" s="5">
        <f t="shared" si="8"/>
        <v>1</v>
      </c>
    </row>
    <row r="6707">
      <c r="A6707" s="2" t="s">
        <v>6704</v>
      </c>
      <c r="B6707" s="2">
        <v>59.0</v>
      </c>
      <c r="C6707" s="2">
        <v>683.0</v>
      </c>
      <c r="D6707" s="2">
        <v>154.0</v>
      </c>
      <c r="E6707" s="3">
        <f t="shared" si="1"/>
        <v>0.2467948718</v>
      </c>
      <c r="F6707" s="2">
        <v>71.0</v>
      </c>
      <c r="G6707" s="3">
        <f t="shared" si="2"/>
        <v>0.1137820513</v>
      </c>
      <c r="H6707" s="2">
        <v>103.0</v>
      </c>
      <c r="I6707" s="3">
        <f t="shared" si="3"/>
        <v>0.1650641026</v>
      </c>
      <c r="J6707" s="2">
        <v>84.0</v>
      </c>
      <c r="K6707" s="3">
        <f t="shared" si="4"/>
        <v>0.1346153846</v>
      </c>
      <c r="L6707" s="2">
        <v>71.0</v>
      </c>
      <c r="M6707" s="3">
        <f t="shared" si="5"/>
        <v>0.6893203883</v>
      </c>
      <c r="N6707" s="2">
        <v>680400.0</v>
      </c>
      <c r="O6707" s="4">
        <f t="shared" si="6"/>
        <v>6605.825243</v>
      </c>
      <c r="P6707" s="2">
        <v>1.0</v>
      </c>
      <c r="Q6707" s="3">
        <f t="shared" si="7"/>
        <v>0.01694915254</v>
      </c>
      <c r="R6707" s="2">
        <v>59.0</v>
      </c>
      <c r="S6707" s="5">
        <f t="shared" si="8"/>
        <v>1</v>
      </c>
    </row>
    <row r="6708">
      <c r="A6708" s="2" t="s">
        <v>6705</v>
      </c>
      <c r="B6708" s="2">
        <v>382.0</v>
      </c>
      <c r="C6708" s="2">
        <v>4460.0</v>
      </c>
      <c r="D6708" s="2">
        <v>1508.0</v>
      </c>
      <c r="E6708" s="3">
        <f t="shared" si="1"/>
        <v>0.3697891123</v>
      </c>
      <c r="F6708" s="2">
        <v>464.0</v>
      </c>
      <c r="G6708" s="3">
        <f t="shared" si="2"/>
        <v>0.1137812653</v>
      </c>
      <c r="H6708" s="2">
        <v>821.0</v>
      </c>
      <c r="I6708" s="3">
        <f t="shared" si="3"/>
        <v>0.2013241785</v>
      </c>
      <c r="J6708" s="2">
        <v>616.0</v>
      </c>
      <c r="K6708" s="3">
        <f t="shared" si="4"/>
        <v>0.1510544385</v>
      </c>
      <c r="L6708" s="2">
        <v>500.0</v>
      </c>
      <c r="M6708" s="3">
        <f t="shared" si="5"/>
        <v>0.6090133983</v>
      </c>
      <c r="N6708" s="2">
        <v>4368800.0</v>
      </c>
      <c r="O6708" s="4">
        <f t="shared" si="6"/>
        <v>5321.315469</v>
      </c>
      <c r="P6708" s="2">
        <v>0.0</v>
      </c>
      <c r="Q6708" s="3">
        <f t="shared" si="7"/>
        <v>0</v>
      </c>
      <c r="R6708" s="2">
        <v>16.0</v>
      </c>
      <c r="S6708" s="5">
        <f t="shared" si="8"/>
        <v>0.04188481675</v>
      </c>
    </row>
    <row r="6709">
      <c r="A6709" s="2" t="s">
        <v>6706</v>
      </c>
      <c r="B6709" s="2">
        <v>366.0</v>
      </c>
      <c r="C6709" s="2">
        <v>4286.0</v>
      </c>
      <c r="D6709" s="2">
        <v>1485.0</v>
      </c>
      <c r="E6709" s="3">
        <f t="shared" si="1"/>
        <v>0.3788265306</v>
      </c>
      <c r="F6709" s="2">
        <v>446.0</v>
      </c>
      <c r="G6709" s="3">
        <f t="shared" si="2"/>
        <v>0.1137755102</v>
      </c>
      <c r="H6709" s="2">
        <v>799.0</v>
      </c>
      <c r="I6709" s="3">
        <f t="shared" si="3"/>
        <v>0.2038265306</v>
      </c>
      <c r="J6709" s="2">
        <v>743.0</v>
      </c>
      <c r="K6709" s="3">
        <f t="shared" si="4"/>
        <v>0.1895408163</v>
      </c>
      <c r="L6709" s="2">
        <v>471.0</v>
      </c>
      <c r="M6709" s="3">
        <f t="shared" si="5"/>
        <v>0.5894868586</v>
      </c>
      <c r="N6709" s="2">
        <v>4406600.0</v>
      </c>
      <c r="O6709" s="4">
        <f t="shared" si="6"/>
        <v>5515.14393</v>
      </c>
      <c r="P6709" s="2">
        <v>1.0</v>
      </c>
      <c r="Q6709" s="3">
        <f t="shared" si="7"/>
        <v>0.002732240437</v>
      </c>
      <c r="R6709" s="2">
        <v>366.0</v>
      </c>
      <c r="S6709" s="5">
        <f t="shared" si="8"/>
        <v>1</v>
      </c>
    </row>
    <row r="6710">
      <c r="A6710" s="2" t="s">
        <v>6707</v>
      </c>
      <c r="B6710" s="2">
        <v>1276.0</v>
      </c>
      <c r="C6710" s="2">
        <v>15058.0</v>
      </c>
      <c r="D6710" s="2">
        <v>5515.0</v>
      </c>
      <c r="E6710" s="3">
        <f t="shared" si="1"/>
        <v>0.4001596285</v>
      </c>
      <c r="F6710" s="2">
        <v>1568.0</v>
      </c>
      <c r="G6710" s="3">
        <f t="shared" si="2"/>
        <v>0.1137715861</v>
      </c>
      <c r="H6710" s="2">
        <v>2996.0</v>
      </c>
      <c r="I6710" s="3">
        <f t="shared" si="3"/>
        <v>0.2173849949</v>
      </c>
      <c r="J6710" s="2">
        <v>2221.0</v>
      </c>
      <c r="K6710" s="3">
        <f t="shared" si="4"/>
        <v>0.1611522275</v>
      </c>
      <c r="L6710" s="2">
        <v>1793.0</v>
      </c>
      <c r="M6710" s="3">
        <f t="shared" si="5"/>
        <v>0.5984646195</v>
      </c>
      <c r="N6710" s="2">
        <v>1.53929E7</v>
      </c>
      <c r="O6710" s="4">
        <f t="shared" si="6"/>
        <v>5137.817089</v>
      </c>
      <c r="P6710" s="2">
        <v>1.0</v>
      </c>
      <c r="Q6710" s="3">
        <f t="shared" si="7"/>
        <v>0.0007836990596</v>
      </c>
      <c r="R6710" s="2">
        <v>0.0</v>
      </c>
      <c r="S6710" s="5">
        <f t="shared" si="8"/>
        <v>0</v>
      </c>
    </row>
    <row r="6711">
      <c r="A6711" s="2" t="s">
        <v>6708</v>
      </c>
      <c r="B6711" s="2">
        <v>162.0</v>
      </c>
      <c r="C6711" s="2">
        <v>1920.0</v>
      </c>
      <c r="D6711" s="2">
        <v>481.0</v>
      </c>
      <c r="E6711" s="3">
        <f t="shared" si="1"/>
        <v>0.2736063709</v>
      </c>
      <c r="F6711" s="2">
        <v>200.0</v>
      </c>
      <c r="G6711" s="3">
        <f t="shared" si="2"/>
        <v>0.1137656428</v>
      </c>
      <c r="H6711" s="2">
        <v>351.0</v>
      </c>
      <c r="I6711" s="3">
        <f t="shared" si="3"/>
        <v>0.1996587031</v>
      </c>
      <c r="J6711" s="2">
        <v>265.0</v>
      </c>
      <c r="K6711" s="3">
        <f t="shared" si="4"/>
        <v>0.1507394767</v>
      </c>
      <c r="L6711" s="2">
        <v>222.0</v>
      </c>
      <c r="M6711" s="3">
        <f t="shared" si="5"/>
        <v>0.6324786325</v>
      </c>
      <c r="N6711" s="2">
        <v>1995300.0</v>
      </c>
      <c r="O6711" s="4">
        <f t="shared" si="6"/>
        <v>5684.615385</v>
      </c>
      <c r="P6711" s="2">
        <v>0.0</v>
      </c>
      <c r="Q6711" s="3">
        <f t="shared" si="7"/>
        <v>0</v>
      </c>
      <c r="R6711" s="2">
        <v>162.0</v>
      </c>
      <c r="S6711" s="5">
        <f t="shared" si="8"/>
        <v>1</v>
      </c>
    </row>
    <row r="6712">
      <c r="A6712" s="2" t="s">
        <v>6709</v>
      </c>
      <c r="B6712" s="2">
        <v>1040.0</v>
      </c>
      <c r="C6712" s="2">
        <v>12186.0</v>
      </c>
      <c r="D6712" s="2">
        <v>3463.0</v>
      </c>
      <c r="E6712" s="3">
        <f t="shared" si="1"/>
        <v>0.3106944195</v>
      </c>
      <c r="F6712" s="2">
        <v>1268.0</v>
      </c>
      <c r="G6712" s="3">
        <f t="shared" si="2"/>
        <v>0.1137627849</v>
      </c>
      <c r="H6712" s="2">
        <v>2400.0</v>
      </c>
      <c r="I6712" s="3">
        <f t="shared" si="3"/>
        <v>0.215323883</v>
      </c>
      <c r="J6712" s="2">
        <v>1793.0</v>
      </c>
      <c r="K6712" s="3">
        <f t="shared" si="4"/>
        <v>0.1608648843</v>
      </c>
      <c r="L6712" s="2">
        <v>1468.0</v>
      </c>
      <c r="M6712" s="3">
        <f t="shared" si="5"/>
        <v>0.6116666667</v>
      </c>
      <c r="N6712" s="2">
        <v>1.34872E7</v>
      </c>
      <c r="O6712" s="4">
        <f t="shared" si="6"/>
        <v>5619.666667</v>
      </c>
      <c r="P6712" s="2">
        <v>3.0</v>
      </c>
      <c r="Q6712" s="3">
        <f t="shared" si="7"/>
        <v>0.002884615385</v>
      </c>
      <c r="R6712" s="2">
        <v>1040.0</v>
      </c>
      <c r="S6712" s="5">
        <f t="shared" si="8"/>
        <v>1</v>
      </c>
    </row>
    <row r="6713">
      <c r="A6713" s="2" t="s">
        <v>6710</v>
      </c>
      <c r="B6713" s="2">
        <v>2500.0</v>
      </c>
      <c r="C6713" s="2">
        <v>29668.0</v>
      </c>
      <c r="D6713" s="2">
        <v>10155.0</v>
      </c>
      <c r="E6713" s="3">
        <f t="shared" si="1"/>
        <v>0.3737853357</v>
      </c>
      <c r="F6713" s="2">
        <v>3090.0</v>
      </c>
      <c r="G6713" s="3">
        <f t="shared" si="2"/>
        <v>0.1137367491</v>
      </c>
      <c r="H6713" s="2">
        <v>5629.0</v>
      </c>
      <c r="I6713" s="3">
        <f t="shared" si="3"/>
        <v>0.207192285</v>
      </c>
      <c r="J6713" s="2">
        <v>4493.0</v>
      </c>
      <c r="K6713" s="3">
        <f t="shared" si="4"/>
        <v>0.1653783863</v>
      </c>
      <c r="L6713" s="2">
        <v>3318.0</v>
      </c>
      <c r="M6713" s="3">
        <f t="shared" si="5"/>
        <v>0.589447504</v>
      </c>
      <c r="N6713" s="2">
        <v>3.13351E7</v>
      </c>
      <c r="O6713" s="4">
        <f t="shared" si="6"/>
        <v>5566.725884</v>
      </c>
      <c r="P6713" s="2">
        <v>2.0</v>
      </c>
      <c r="Q6713" s="3">
        <f t="shared" si="7"/>
        <v>0.0008</v>
      </c>
      <c r="R6713" s="2">
        <v>2500.0</v>
      </c>
      <c r="S6713" s="5">
        <f t="shared" si="8"/>
        <v>1</v>
      </c>
    </row>
    <row r="6714">
      <c r="A6714" s="2" t="s">
        <v>6711</v>
      </c>
      <c r="B6714" s="2">
        <v>457.0</v>
      </c>
      <c r="C6714" s="2">
        <v>5495.0</v>
      </c>
      <c r="D6714" s="2">
        <v>1765.0</v>
      </c>
      <c r="E6714" s="3">
        <f t="shared" si="1"/>
        <v>0.3503374355</v>
      </c>
      <c r="F6714" s="2">
        <v>573.0</v>
      </c>
      <c r="G6714" s="3">
        <f t="shared" si="2"/>
        <v>0.1137356094</v>
      </c>
      <c r="H6714" s="2">
        <v>1003.0</v>
      </c>
      <c r="I6714" s="3">
        <f t="shared" si="3"/>
        <v>0.1990869393</v>
      </c>
      <c r="J6714" s="2">
        <v>791.0</v>
      </c>
      <c r="K6714" s="3">
        <f t="shared" si="4"/>
        <v>0.1570067487</v>
      </c>
      <c r="L6714" s="2">
        <v>581.0</v>
      </c>
      <c r="M6714" s="3">
        <f t="shared" si="5"/>
        <v>0.5792622134</v>
      </c>
      <c r="N6714" s="2">
        <v>5423500.0</v>
      </c>
      <c r="O6714" s="4">
        <f t="shared" si="6"/>
        <v>5407.278166</v>
      </c>
      <c r="P6714" s="2">
        <v>0.0</v>
      </c>
      <c r="Q6714" s="3">
        <f t="shared" si="7"/>
        <v>0</v>
      </c>
      <c r="R6714" s="2">
        <v>457.0</v>
      </c>
      <c r="S6714" s="5">
        <f t="shared" si="8"/>
        <v>1</v>
      </c>
    </row>
    <row r="6715">
      <c r="A6715" s="2" t="s">
        <v>6712</v>
      </c>
      <c r="B6715" s="2">
        <v>512.0</v>
      </c>
      <c r="C6715" s="2">
        <v>6018.0</v>
      </c>
      <c r="D6715" s="2">
        <v>1689.0</v>
      </c>
      <c r="E6715" s="3">
        <f t="shared" si="1"/>
        <v>0.3067562659</v>
      </c>
      <c r="F6715" s="2">
        <v>626.0</v>
      </c>
      <c r="G6715" s="3">
        <f t="shared" si="2"/>
        <v>0.1136941518</v>
      </c>
      <c r="H6715" s="2">
        <v>1113.0</v>
      </c>
      <c r="I6715" s="3">
        <f t="shared" si="3"/>
        <v>0.2021431166</v>
      </c>
      <c r="J6715" s="2">
        <v>1014.0</v>
      </c>
      <c r="K6715" s="3">
        <f t="shared" si="4"/>
        <v>0.1841627316</v>
      </c>
      <c r="L6715" s="2">
        <v>649.0</v>
      </c>
      <c r="M6715" s="3">
        <f t="shared" si="5"/>
        <v>0.5831087152</v>
      </c>
      <c r="N6715" s="2">
        <v>6289800.0</v>
      </c>
      <c r="O6715" s="4">
        <f t="shared" si="6"/>
        <v>5651.212938</v>
      </c>
      <c r="P6715" s="2">
        <v>0.0</v>
      </c>
      <c r="Q6715" s="3">
        <f t="shared" si="7"/>
        <v>0</v>
      </c>
      <c r="R6715" s="2">
        <v>0.0</v>
      </c>
      <c r="S6715" s="5">
        <f t="shared" si="8"/>
        <v>0</v>
      </c>
    </row>
    <row r="6716">
      <c r="A6716" s="2" t="s">
        <v>6713</v>
      </c>
      <c r="B6716" s="2">
        <v>5918.0</v>
      </c>
      <c r="C6716" s="2">
        <v>69938.0</v>
      </c>
      <c r="D6716" s="2">
        <v>25050.0</v>
      </c>
      <c r="E6716" s="3">
        <f t="shared" si="1"/>
        <v>0.3912839738</v>
      </c>
      <c r="F6716" s="2">
        <v>7278.0</v>
      </c>
      <c r="G6716" s="3">
        <f t="shared" si="2"/>
        <v>0.113683224</v>
      </c>
      <c r="H6716" s="2">
        <v>13632.0</v>
      </c>
      <c r="I6716" s="3">
        <f t="shared" si="3"/>
        <v>0.2129334583</v>
      </c>
      <c r="J6716" s="2">
        <v>9991.0</v>
      </c>
      <c r="K6716" s="3">
        <f t="shared" si="4"/>
        <v>0.1560606061</v>
      </c>
      <c r="L6716" s="2">
        <v>8174.0</v>
      </c>
      <c r="M6716" s="3">
        <f t="shared" si="5"/>
        <v>0.5996185446</v>
      </c>
      <c r="N6716" s="2">
        <v>7.37962E7</v>
      </c>
      <c r="O6716" s="4">
        <f t="shared" si="6"/>
        <v>5413.453638</v>
      </c>
      <c r="P6716" s="2">
        <v>15.0</v>
      </c>
      <c r="Q6716" s="3">
        <f t="shared" si="7"/>
        <v>0.002534640081</v>
      </c>
      <c r="R6716" s="2">
        <v>5323.0</v>
      </c>
      <c r="S6716" s="5">
        <f t="shared" si="8"/>
        <v>0.8994592768</v>
      </c>
    </row>
    <row r="6717">
      <c r="A6717" s="2" t="s">
        <v>6714</v>
      </c>
      <c r="B6717" s="2">
        <v>4716.0</v>
      </c>
      <c r="C6717" s="2">
        <v>55563.0</v>
      </c>
      <c r="D6717" s="2">
        <v>16780.0</v>
      </c>
      <c r="E6717" s="3">
        <f t="shared" si="1"/>
        <v>0.3300096368</v>
      </c>
      <c r="F6717" s="2">
        <v>5780.0</v>
      </c>
      <c r="G6717" s="3">
        <f t="shared" si="2"/>
        <v>0.1136743564</v>
      </c>
      <c r="H6717" s="2">
        <v>10586.0</v>
      </c>
      <c r="I6717" s="3">
        <f t="shared" si="3"/>
        <v>0.2081932071</v>
      </c>
      <c r="J6717" s="2">
        <v>9553.0</v>
      </c>
      <c r="K6717" s="3">
        <f t="shared" si="4"/>
        <v>0.1878773576</v>
      </c>
      <c r="L6717" s="2">
        <v>6181.0</v>
      </c>
      <c r="M6717" s="3">
        <f t="shared" si="5"/>
        <v>0.5838843756</v>
      </c>
      <c r="N6717" s="2">
        <v>6.18221E7</v>
      </c>
      <c r="O6717" s="4">
        <f t="shared" si="6"/>
        <v>5839.986775</v>
      </c>
      <c r="P6717" s="2">
        <v>6.0</v>
      </c>
      <c r="Q6717" s="3">
        <f t="shared" si="7"/>
        <v>0.001272264631</v>
      </c>
      <c r="R6717" s="2">
        <v>4522.0</v>
      </c>
      <c r="S6717" s="5">
        <f t="shared" si="8"/>
        <v>0.9588634436</v>
      </c>
    </row>
    <row r="6718">
      <c r="A6718" s="2" t="s">
        <v>6715</v>
      </c>
      <c r="B6718" s="2">
        <v>59.0</v>
      </c>
      <c r="C6718" s="2">
        <v>754.0</v>
      </c>
      <c r="D6718" s="2">
        <v>202.0</v>
      </c>
      <c r="E6718" s="3">
        <f t="shared" si="1"/>
        <v>0.290647482</v>
      </c>
      <c r="F6718" s="2">
        <v>79.0</v>
      </c>
      <c r="G6718" s="3">
        <f t="shared" si="2"/>
        <v>0.1136690647</v>
      </c>
      <c r="H6718" s="2">
        <v>146.0</v>
      </c>
      <c r="I6718" s="3">
        <f t="shared" si="3"/>
        <v>0.2100719424</v>
      </c>
      <c r="J6718" s="2">
        <v>116.0</v>
      </c>
      <c r="K6718" s="3">
        <f t="shared" si="4"/>
        <v>0.1669064748</v>
      </c>
      <c r="L6718" s="2">
        <v>89.0</v>
      </c>
      <c r="M6718" s="3">
        <f t="shared" si="5"/>
        <v>0.6095890411</v>
      </c>
      <c r="N6718" s="2">
        <v>769900.0</v>
      </c>
      <c r="O6718" s="4">
        <f t="shared" si="6"/>
        <v>5273.287671</v>
      </c>
      <c r="P6718" s="2">
        <v>0.0</v>
      </c>
      <c r="Q6718" s="3">
        <f t="shared" si="7"/>
        <v>0</v>
      </c>
      <c r="R6718" s="2">
        <v>59.0</v>
      </c>
      <c r="S6718" s="5">
        <f t="shared" si="8"/>
        <v>1</v>
      </c>
    </row>
    <row r="6719">
      <c r="A6719" s="2" t="s">
        <v>6716</v>
      </c>
      <c r="B6719" s="2">
        <v>112.0</v>
      </c>
      <c r="C6719" s="2">
        <v>1335.0</v>
      </c>
      <c r="D6719" s="2">
        <v>475.0</v>
      </c>
      <c r="E6719" s="3">
        <f t="shared" si="1"/>
        <v>0.3883892069</v>
      </c>
      <c r="F6719" s="2">
        <v>139.0</v>
      </c>
      <c r="G6719" s="3">
        <f t="shared" si="2"/>
        <v>0.1136549469</v>
      </c>
      <c r="H6719" s="2">
        <v>223.0</v>
      </c>
      <c r="I6719" s="3">
        <f t="shared" si="3"/>
        <v>0.1823385119</v>
      </c>
      <c r="J6719" s="2">
        <v>157.0</v>
      </c>
      <c r="K6719" s="3">
        <f t="shared" si="4"/>
        <v>0.1283728536</v>
      </c>
      <c r="L6719" s="2">
        <v>145.0</v>
      </c>
      <c r="M6719" s="3">
        <f t="shared" si="5"/>
        <v>0.6502242152</v>
      </c>
      <c r="N6719" s="2">
        <v>1139100.0</v>
      </c>
      <c r="O6719" s="4">
        <f t="shared" si="6"/>
        <v>5108.071749</v>
      </c>
      <c r="P6719" s="2">
        <v>0.0</v>
      </c>
      <c r="Q6719" s="3">
        <f t="shared" si="7"/>
        <v>0</v>
      </c>
      <c r="R6719" s="2">
        <v>112.0</v>
      </c>
      <c r="S6719" s="5">
        <f t="shared" si="8"/>
        <v>1</v>
      </c>
    </row>
    <row r="6720">
      <c r="A6720" s="2" t="s">
        <v>6717</v>
      </c>
      <c r="B6720" s="2">
        <v>1586.0</v>
      </c>
      <c r="C6720" s="2">
        <v>18409.0</v>
      </c>
      <c r="D6720" s="2">
        <v>5980.0</v>
      </c>
      <c r="E6720" s="3">
        <f t="shared" si="1"/>
        <v>0.3554657314</v>
      </c>
      <c r="F6720" s="2">
        <v>1912.0</v>
      </c>
      <c r="G6720" s="3">
        <f t="shared" si="2"/>
        <v>0.1136539262</v>
      </c>
      <c r="H6720" s="2">
        <v>3604.0</v>
      </c>
      <c r="I6720" s="3">
        <f t="shared" si="3"/>
        <v>0.2142305177</v>
      </c>
      <c r="J6720" s="2">
        <v>2960.0</v>
      </c>
      <c r="K6720" s="3">
        <f t="shared" si="4"/>
        <v>0.1759495928</v>
      </c>
      <c r="L6720" s="2">
        <v>2130.0</v>
      </c>
      <c r="M6720" s="3">
        <f t="shared" si="5"/>
        <v>0.5910099889</v>
      </c>
      <c r="N6720" s="2">
        <v>1.95196E7</v>
      </c>
      <c r="O6720" s="4">
        <f t="shared" si="6"/>
        <v>5416.09323</v>
      </c>
      <c r="P6720" s="2">
        <v>2.0</v>
      </c>
      <c r="Q6720" s="3">
        <f t="shared" si="7"/>
        <v>0.001261034048</v>
      </c>
      <c r="R6720" s="2">
        <v>1452.0</v>
      </c>
      <c r="S6720" s="5">
        <f t="shared" si="8"/>
        <v>0.9155107188</v>
      </c>
    </row>
    <row r="6721">
      <c r="A6721" s="2" t="s">
        <v>6718</v>
      </c>
      <c r="B6721" s="2">
        <v>27.0</v>
      </c>
      <c r="C6721" s="2">
        <v>335.0</v>
      </c>
      <c r="D6721" s="2">
        <v>127.0</v>
      </c>
      <c r="E6721" s="3">
        <f t="shared" si="1"/>
        <v>0.4123376623</v>
      </c>
      <c r="F6721" s="2">
        <v>35.0</v>
      </c>
      <c r="G6721" s="3">
        <f t="shared" si="2"/>
        <v>0.1136363636</v>
      </c>
      <c r="H6721" s="2">
        <v>57.0</v>
      </c>
      <c r="I6721" s="3">
        <f t="shared" si="3"/>
        <v>0.1850649351</v>
      </c>
      <c r="J6721" s="2">
        <v>54.0</v>
      </c>
      <c r="K6721" s="3">
        <f t="shared" si="4"/>
        <v>0.1753246753</v>
      </c>
      <c r="L6721" s="2">
        <v>26.0</v>
      </c>
      <c r="M6721" s="3">
        <f t="shared" si="5"/>
        <v>0.4561403509</v>
      </c>
      <c r="N6721" s="2">
        <v>282300.0</v>
      </c>
      <c r="O6721" s="4">
        <f t="shared" si="6"/>
        <v>4952.631579</v>
      </c>
      <c r="P6721" s="2">
        <v>0.0</v>
      </c>
      <c r="Q6721" s="3">
        <f t="shared" si="7"/>
        <v>0</v>
      </c>
      <c r="R6721" s="2">
        <v>27.0</v>
      </c>
      <c r="S6721" s="5">
        <f t="shared" si="8"/>
        <v>1</v>
      </c>
    </row>
    <row r="6722">
      <c r="A6722" s="2" t="s">
        <v>6719</v>
      </c>
      <c r="B6722" s="2">
        <v>8.0</v>
      </c>
      <c r="C6722" s="2">
        <v>96.0</v>
      </c>
      <c r="D6722" s="2">
        <v>26.0</v>
      </c>
      <c r="E6722" s="3">
        <f t="shared" si="1"/>
        <v>0.2954545455</v>
      </c>
      <c r="F6722" s="2">
        <v>10.0</v>
      </c>
      <c r="G6722" s="3">
        <f t="shared" si="2"/>
        <v>0.1136363636</v>
      </c>
      <c r="H6722" s="2">
        <v>14.0</v>
      </c>
      <c r="I6722" s="3">
        <f t="shared" si="3"/>
        <v>0.1590909091</v>
      </c>
      <c r="J6722" s="2">
        <v>11.0</v>
      </c>
      <c r="K6722" s="3">
        <f t="shared" si="4"/>
        <v>0.125</v>
      </c>
      <c r="L6722" s="2">
        <v>7.0</v>
      </c>
      <c r="M6722" s="3">
        <f t="shared" si="5"/>
        <v>0.5</v>
      </c>
      <c r="N6722" s="2">
        <v>96100.0</v>
      </c>
      <c r="O6722" s="4">
        <f t="shared" si="6"/>
        <v>6864.285714</v>
      </c>
      <c r="P6722" s="2">
        <v>0.0</v>
      </c>
      <c r="Q6722" s="3">
        <f t="shared" si="7"/>
        <v>0</v>
      </c>
      <c r="R6722" s="2">
        <v>8.0</v>
      </c>
      <c r="S6722" s="5">
        <f t="shared" si="8"/>
        <v>1</v>
      </c>
    </row>
    <row r="6723">
      <c r="A6723" s="2" t="s">
        <v>6720</v>
      </c>
      <c r="B6723" s="2">
        <v>1325.0</v>
      </c>
      <c r="C6723" s="2">
        <v>15639.0</v>
      </c>
      <c r="D6723" s="2">
        <v>4486.0</v>
      </c>
      <c r="E6723" s="3">
        <f t="shared" si="1"/>
        <v>0.3133994691</v>
      </c>
      <c r="F6723" s="2">
        <v>1626.0</v>
      </c>
      <c r="G6723" s="3">
        <f t="shared" si="2"/>
        <v>0.1135950817</v>
      </c>
      <c r="H6723" s="2">
        <v>2847.0</v>
      </c>
      <c r="I6723" s="3">
        <f t="shared" si="3"/>
        <v>0.1988961856</v>
      </c>
      <c r="J6723" s="2">
        <v>1952.0</v>
      </c>
      <c r="K6723" s="3">
        <f t="shared" si="4"/>
        <v>0.1363699874</v>
      </c>
      <c r="L6723" s="2">
        <v>1707.0</v>
      </c>
      <c r="M6723" s="3">
        <f t="shared" si="5"/>
        <v>0.5995785037</v>
      </c>
      <c r="N6723" s="2">
        <v>1.55647E7</v>
      </c>
      <c r="O6723" s="4">
        <f t="shared" si="6"/>
        <v>5467.053038</v>
      </c>
      <c r="P6723" s="2">
        <v>2.0</v>
      </c>
      <c r="Q6723" s="3">
        <f t="shared" si="7"/>
        <v>0.001509433962</v>
      </c>
      <c r="R6723" s="2">
        <v>1325.0</v>
      </c>
      <c r="S6723" s="5">
        <f t="shared" si="8"/>
        <v>1</v>
      </c>
    </row>
    <row r="6724">
      <c r="A6724" s="2" t="s">
        <v>6721</v>
      </c>
      <c r="B6724" s="2">
        <v>134.0</v>
      </c>
      <c r="C6724" s="2">
        <v>1613.0</v>
      </c>
      <c r="D6724" s="2">
        <v>541.0</v>
      </c>
      <c r="E6724" s="3">
        <f t="shared" si="1"/>
        <v>0.3657876944</v>
      </c>
      <c r="F6724" s="2">
        <v>168.0</v>
      </c>
      <c r="G6724" s="3">
        <f t="shared" si="2"/>
        <v>0.1135902637</v>
      </c>
      <c r="H6724" s="2">
        <v>307.0</v>
      </c>
      <c r="I6724" s="3">
        <f t="shared" si="3"/>
        <v>0.2075726842</v>
      </c>
      <c r="J6724" s="2">
        <v>223.0</v>
      </c>
      <c r="K6724" s="3">
        <f t="shared" si="4"/>
        <v>0.1507775524</v>
      </c>
      <c r="L6724" s="2">
        <v>177.0</v>
      </c>
      <c r="M6724" s="3">
        <f t="shared" si="5"/>
        <v>0.5765472313</v>
      </c>
      <c r="N6724" s="2">
        <v>1705200.0</v>
      </c>
      <c r="O6724" s="4">
        <f t="shared" si="6"/>
        <v>5554.397394</v>
      </c>
      <c r="P6724" s="2">
        <v>0.0</v>
      </c>
      <c r="Q6724" s="3">
        <f t="shared" si="7"/>
        <v>0</v>
      </c>
      <c r="R6724" s="2">
        <v>134.0</v>
      </c>
      <c r="S6724" s="5">
        <f t="shared" si="8"/>
        <v>1</v>
      </c>
    </row>
    <row r="6725">
      <c r="A6725" s="2" t="s">
        <v>6722</v>
      </c>
      <c r="B6725" s="2">
        <v>37.0</v>
      </c>
      <c r="C6725" s="2">
        <v>442.0</v>
      </c>
      <c r="D6725" s="2">
        <v>146.0</v>
      </c>
      <c r="E6725" s="3">
        <f t="shared" si="1"/>
        <v>0.3604938272</v>
      </c>
      <c r="F6725" s="2">
        <v>46.0</v>
      </c>
      <c r="G6725" s="3">
        <f t="shared" si="2"/>
        <v>0.1135802469</v>
      </c>
      <c r="H6725" s="2">
        <v>69.0</v>
      </c>
      <c r="I6725" s="3">
        <f t="shared" si="3"/>
        <v>0.1703703704</v>
      </c>
      <c r="J6725" s="2">
        <v>57.0</v>
      </c>
      <c r="K6725" s="3">
        <f t="shared" si="4"/>
        <v>0.1407407407</v>
      </c>
      <c r="L6725" s="2">
        <v>30.0</v>
      </c>
      <c r="M6725" s="3">
        <f t="shared" si="5"/>
        <v>0.4347826087</v>
      </c>
      <c r="N6725" s="2">
        <v>401000.0</v>
      </c>
      <c r="O6725" s="4">
        <f t="shared" si="6"/>
        <v>5811.594203</v>
      </c>
      <c r="P6725" s="2">
        <v>1.0</v>
      </c>
      <c r="Q6725" s="3">
        <f t="shared" si="7"/>
        <v>0.02702702703</v>
      </c>
      <c r="R6725" s="2">
        <v>37.0</v>
      </c>
      <c r="S6725" s="5">
        <f t="shared" si="8"/>
        <v>1</v>
      </c>
    </row>
    <row r="6726">
      <c r="A6726" s="2" t="s">
        <v>6723</v>
      </c>
      <c r="B6726" s="2">
        <v>142.0</v>
      </c>
      <c r="C6726" s="2">
        <v>1718.0</v>
      </c>
      <c r="D6726" s="2">
        <v>606.0</v>
      </c>
      <c r="E6726" s="3">
        <f t="shared" si="1"/>
        <v>0.3845177665</v>
      </c>
      <c r="F6726" s="2">
        <v>179.0</v>
      </c>
      <c r="G6726" s="3">
        <f t="shared" si="2"/>
        <v>0.1135786802</v>
      </c>
      <c r="H6726" s="2">
        <v>325.0</v>
      </c>
      <c r="I6726" s="3">
        <f t="shared" si="3"/>
        <v>0.2062182741</v>
      </c>
      <c r="J6726" s="2">
        <v>239.0</v>
      </c>
      <c r="K6726" s="3">
        <f t="shared" si="4"/>
        <v>0.1516497462</v>
      </c>
      <c r="L6726" s="2">
        <v>185.0</v>
      </c>
      <c r="M6726" s="3">
        <f t="shared" si="5"/>
        <v>0.5692307692</v>
      </c>
      <c r="N6726" s="2">
        <v>1731200.0</v>
      </c>
      <c r="O6726" s="4">
        <f t="shared" si="6"/>
        <v>5326.769231</v>
      </c>
      <c r="P6726" s="2">
        <v>0.0</v>
      </c>
      <c r="Q6726" s="3">
        <f t="shared" si="7"/>
        <v>0</v>
      </c>
      <c r="R6726" s="2">
        <v>142.0</v>
      </c>
      <c r="S6726" s="5">
        <f t="shared" si="8"/>
        <v>1</v>
      </c>
    </row>
    <row r="6727">
      <c r="A6727" s="2" t="s">
        <v>6724</v>
      </c>
      <c r="B6727" s="2">
        <v>1013.0</v>
      </c>
      <c r="C6727" s="2">
        <v>12019.0</v>
      </c>
      <c r="D6727" s="2">
        <v>3275.0</v>
      </c>
      <c r="E6727" s="3">
        <f t="shared" si="1"/>
        <v>0.2975649646</v>
      </c>
      <c r="F6727" s="2">
        <v>1250.0</v>
      </c>
      <c r="G6727" s="3">
        <f t="shared" si="2"/>
        <v>0.113574414</v>
      </c>
      <c r="H6727" s="2">
        <v>2206.0</v>
      </c>
      <c r="I6727" s="3">
        <f t="shared" si="3"/>
        <v>0.2004361257</v>
      </c>
      <c r="J6727" s="2">
        <v>1910.0</v>
      </c>
      <c r="K6727" s="3">
        <f t="shared" si="4"/>
        <v>0.1735417045</v>
      </c>
      <c r="L6727" s="2">
        <v>1290.0</v>
      </c>
      <c r="M6727" s="3">
        <f t="shared" si="5"/>
        <v>0.5847688123</v>
      </c>
      <c r="N6727" s="2">
        <v>1.28055E7</v>
      </c>
      <c r="O6727" s="4">
        <f t="shared" si="6"/>
        <v>5804.850408</v>
      </c>
      <c r="P6727" s="2">
        <v>2.0</v>
      </c>
      <c r="Q6727" s="3">
        <f t="shared" si="7"/>
        <v>0.001974333662</v>
      </c>
      <c r="R6727" s="2">
        <v>570.0</v>
      </c>
      <c r="S6727" s="5">
        <f t="shared" si="8"/>
        <v>0.5626850938</v>
      </c>
    </row>
    <row r="6728">
      <c r="A6728" s="2" t="s">
        <v>6725</v>
      </c>
      <c r="B6728" s="2">
        <v>47.0</v>
      </c>
      <c r="C6728" s="2">
        <v>549.0</v>
      </c>
      <c r="D6728" s="2">
        <v>177.0</v>
      </c>
      <c r="E6728" s="3">
        <f t="shared" si="1"/>
        <v>0.3525896414</v>
      </c>
      <c r="F6728" s="2">
        <v>57.0</v>
      </c>
      <c r="G6728" s="3">
        <f t="shared" si="2"/>
        <v>0.1135458167</v>
      </c>
      <c r="H6728" s="2">
        <v>92.0</v>
      </c>
      <c r="I6728" s="3">
        <f t="shared" si="3"/>
        <v>0.1832669323</v>
      </c>
      <c r="J6728" s="2">
        <v>97.0</v>
      </c>
      <c r="K6728" s="3">
        <f t="shared" si="4"/>
        <v>0.1932270916</v>
      </c>
      <c r="L6728" s="2">
        <v>56.0</v>
      </c>
      <c r="M6728" s="3">
        <f t="shared" si="5"/>
        <v>0.6086956522</v>
      </c>
      <c r="N6728" s="2">
        <v>544800.0</v>
      </c>
      <c r="O6728" s="4">
        <f t="shared" si="6"/>
        <v>5921.73913</v>
      </c>
      <c r="P6728" s="2">
        <v>0.0</v>
      </c>
      <c r="Q6728" s="3">
        <f t="shared" si="7"/>
        <v>0</v>
      </c>
      <c r="R6728" s="2">
        <v>47.0</v>
      </c>
      <c r="S6728" s="5">
        <f t="shared" si="8"/>
        <v>1</v>
      </c>
    </row>
    <row r="6729">
      <c r="A6729" s="2" t="s">
        <v>6726</v>
      </c>
      <c r="B6729" s="2">
        <v>206.0</v>
      </c>
      <c r="C6729" s="2">
        <v>2443.0</v>
      </c>
      <c r="D6729" s="2">
        <v>753.0</v>
      </c>
      <c r="E6729" s="3">
        <f t="shared" si="1"/>
        <v>0.3366115333</v>
      </c>
      <c r="F6729" s="2">
        <v>254.0</v>
      </c>
      <c r="G6729" s="3">
        <f t="shared" si="2"/>
        <v>0.1135449262</v>
      </c>
      <c r="H6729" s="2">
        <v>435.0</v>
      </c>
      <c r="I6729" s="3">
        <f t="shared" si="3"/>
        <v>0.1944568619</v>
      </c>
      <c r="J6729" s="2">
        <v>330.0</v>
      </c>
      <c r="K6729" s="3">
        <f t="shared" si="4"/>
        <v>0.1475189987</v>
      </c>
      <c r="L6729" s="2">
        <v>263.0</v>
      </c>
      <c r="M6729" s="3">
        <f t="shared" si="5"/>
        <v>0.6045977011</v>
      </c>
      <c r="N6729" s="2">
        <v>2480000.0</v>
      </c>
      <c r="O6729" s="4">
        <f t="shared" si="6"/>
        <v>5701.149425</v>
      </c>
      <c r="P6729" s="2">
        <v>0.0</v>
      </c>
      <c r="Q6729" s="3">
        <f t="shared" si="7"/>
        <v>0</v>
      </c>
      <c r="R6729" s="2">
        <v>206.0</v>
      </c>
      <c r="S6729" s="5">
        <f t="shared" si="8"/>
        <v>1</v>
      </c>
    </row>
    <row r="6730">
      <c r="A6730" s="2" t="s">
        <v>6727</v>
      </c>
      <c r="B6730" s="2">
        <v>154.0</v>
      </c>
      <c r="C6730" s="2">
        <v>1801.0</v>
      </c>
      <c r="D6730" s="2">
        <v>677.0</v>
      </c>
      <c r="E6730" s="3">
        <f t="shared" si="1"/>
        <v>0.4110503947</v>
      </c>
      <c r="F6730" s="2">
        <v>187.0</v>
      </c>
      <c r="G6730" s="3">
        <f t="shared" si="2"/>
        <v>0.1135397693</v>
      </c>
      <c r="H6730" s="2">
        <v>320.0</v>
      </c>
      <c r="I6730" s="3">
        <f t="shared" si="3"/>
        <v>0.1942926533</v>
      </c>
      <c r="J6730" s="2">
        <v>235.0</v>
      </c>
      <c r="K6730" s="3">
        <f t="shared" si="4"/>
        <v>0.1426836673</v>
      </c>
      <c r="L6730" s="2">
        <v>197.0</v>
      </c>
      <c r="M6730" s="3">
        <f t="shared" si="5"/>
        <v>0.615625</v>
      </c>
      <c r="N6730" s="2">
        <v>1662400.0</v>
      </c>
      <c r="O6730" s="4">
        <f t="shared" si="6"/>
        <v>5195</v>
      </c>
      <c r="P6730" s="2">
        <v>0.0</v>
      </c>
      <c r="Q6730" s="3">
        <f t="shared" si="7"/>
        <v>0</v>
      </c>
      <c r="R6730" s="2">
        <v>154.0</v>
      </c>
      <c r="S6730" s="5">
        <f t="shared" si="8"/>
        <v>1</v>
      </c>
    </row>
    <row r="6731">
      <c r="A6731" s="2" t="s">
        <v>6728</v>
      </c>
      <c r="B6731" s="2">
        <v>315.0</v>
      </c>
      <c r="C6731" s="2">
        <v>3838.0</v>
      </c>
      <c r="D6731" s="2">
        <v>1298.0</v>
      </c>
      <c r="E6731" s="3">
        <f t="shared" si="1"/>
        <v>0.3684359921</v>
      </c>
      <c r="F6731" s="2">
        <v>400.0</v>
      </c>
      <c r="G6731" s="3">
        <f t="shared" si="2"/>
        <v>0.1135395969</v>
      </c>
      <c r="H6731" s="2">
        <v>670.0</v>
      </c>
      <c r="I6731" s="3">
        <f t="shared" si="3"/>
        <v>0.1901788249</v>
      </c>
      <c r="J6731" s="2">
        <v>534.0</v>
      </c>
      <c r="K6731" s="3">
        <f t="shared" si="4"/>
        <v>0.1515753619</v>
      </c>
      <c r="L6731" s="2">
        <v>388.0</v>
      </c>
      <c r="M6731" s="3">
        <f t="shared" si="5"/>
        <v>0.5791044776</v>
      </c>
      <c r="N6731" s="2">
        <v>3958000.0</v>
      </c>
      <c r="O6731" s="4">
        <f t="shared" si="6"/>
        <v>5907.462687</v>
      </c>
      <c r="P6731" s="2">
        <v>2.0</v>
      </c>
      <c r="Q6731" s="3">
        <f t="shared" si="7"/>
        <v>0.006349206349</v>
      </c>
      <c r="R6731" s="2">
        <v>315.0</v>
      </c>
      <c r="S6731" s="5">
        <f t="shared" si="8"/>
        <v>1</v>
      </c>
    </row>
    <row r="6732">
      <c r="A6732" s="2" t="s">
        <v>6729</v>
      </c>
      <c r="B6732" s="2">
        <v>1658.0</v>
      </c>
      <c r="C6732" s="2">
        <v>19443.0</v>
      </c>
      <c r="D6732" s="2">
        <v>4859.0</v>
      </c>
      <c r="E6732" s="3">
        <f t="shared" si="1"/>
        <v>0.2732077593</v>
      </c>
      <c r="F6732" s="2">
        <v>2019.0</v>
      </c>
      <c r="G6732" s="3">
        <f t="shared" si="2"/>
        <v>0.1135226314</v>
      </c>
      <c r="H6732" s="2">
        <v>3467.0</v>
      </c>
      <c r="I6732" s="3">
        <f t="shared" si="3"/>
        <v>0.1949395558</v>
      </c>
      <c r="J6732" s="2">
        <v>2821.0</v>
      </c>
      <c r="K6732" s="3">
        <f t="shared" si="4"/>
        <v>0.1586168119</v>
      </c>
      <c r="L6732" s="2">
        <v>2027.0</v>
      </c>
      <c r="M6732" s="3">
        <f t="shared" si="5"/>
        <v>0.5846553216</v>
      </c>
      <c r="N6732" s="2">
        <v>2.14778E7</v>
      </c>
      <c r="O6732" s="4">
        <f t="shared" si="6"/>
        <v>6194.923565</v>
      </c>
      <c r="P6732" s="2">
        <v>5.0</v>
      </c>
      <c r="Q6732" s="3">
        <f t="shared" si="7"/>
        <v>0.003015681544</v>
      </c>
      <c r="R6732" s="2">
        <v>4.0</v>
      </c>
      <c r="S6732" s="5">
        <f t="shared" si="8"/>
        <v>0.002412545235</v>
      </c>
    </row>
    <row r="6733">
      <c r="A6733" s="2" t="s">
        <v>6730</v>
      </c>
      <c r="B6733" s="2">
        <v>119.0</v>
      </c>
      <c r="C6733" s="2">
        <v>1458.0</v>
      </c>
      <c r="D6733" s="2">
        <v>480.0</v>
      </c>
      <c r="E6733" s="3">
        <f t="shared" si="1"/>
        <v>0.358476475</v>
      </c>
      <c r="F6733" s="2">
        <v>152.0</v>
      </c>
      <c r="G6733" s="3">
        <f t="shared" si="2"/>
        <v>0.1135175504</v>
      </c>
      <c r="H6733" s="2">
        <v>260.0</v>
      </c>
      <c r="I6733" s="3">
        <f t="shared" si="3"/>
        <v>0.1941747573</v>
      </c>
      <c r="J6733" s="2">
        <v>227.0</v>
      </c>
      <c r="K6733" s="3">
        <f t="shared" si="4"/>
        <v>0.1695294996</v>
      </c>
      <c r="L6733" s="2">
        <v>154.0</v>
      </c>
      <c r="M6733" s="3">
        <f t="shared" si="5"/>
        <v>0.5923076923</v>
      </c>
      <c r="N6733" s="2">
        <v>1348900.0</v>
      </c>
      <c r="O6733" s="4">
        <f t="shared" si="6"/>
        <v>5188.076923</v>
      </c>
      <c r="P6733" s="2">
        <v>0.0</v>
      </c>
      <c r="Q6733" s="3">
        <f t="shared" si="7"/>
        <v>0</v>
      </c>
      <c r="R6733" s="2">
        <v>0.0</v>
      </c>
      <c r="S6733" s="5">
        <f t="shared" si="8"/>
        <v>0</v>
      </c>
    </row>
    <row r="6734">
      <c r="A6734" s="2" t="s">
        <v>6731</v>
      </c>
      <c r="B6734" s="2">
        <v>906.0</v>
      </c>
      <c r="C6734" s="2">
        <v>10686.0</v>
      </c>
      <c r="D6734" s="2">
        <v>3223.0</v>
      </c>
      <c r="E6734" s="3">
        <f t="shared" si="1"/>
        <v>0.3295501022</v>
      </c>
      <c r="F6734" s="2">
        <v>1110.0</v>
      </c>
      <c r="G6734" s="3">
        <f t="shared" si="2"/>
        <v>0.1134969325</v>
      </c>
      <c r="H6734" s="2">
        <v>2095.0</v>
      </c>
      <c r="I6734" s="3">
        <f t="shared" si="3"/>
        <v>0.2142126789</v>
      </c>
      <c r="J6734" s="2">
        <v>1623.0</v>
      </c>
      <c r="K6734" s="3">
        <f t="shared" si="4"/>
        <v>0.1659509202</v>
      </c>
      <c r="L6734" s="2">
        <v>1242.0</v>
      </c>
      <c r="M6734" s="3">
        <f t="shared" si="5"/>
        <v>0.5928400955</v>
      </c>
      <c r="N6734" s="2">
        <v>1.20493E7</v>
      </c>
      <c r="O6734" s="4">
        <f t="shared" si="6"/>
        <v>5751.455847</v>
      </c>
      <c r="P6734" s="2">
        <v>3.0</v>
      </c>
      <c r="Q6734" s="3">
        <f t="shared" si="7"/>
        <v>0.003311258278</v>
      </c>
      <c r="R6734" s="2">
        <v>906.0</v>
      </c>
      <c r="S6734" s="5">
        <f t="shared" si="8"/>
        <v>1</v>
      </c>
    </row>
    <row r="6735">
      <c r="A6735" s="2" t="s">
        <v>6732</v>
      </c>
      <c r="B6735" s="2">
        <v>450.0</v>
      </c>
      <c r="C6735" s="2">
        <v>5305.0</v>
      </c>
      <c r="D6735" s="2">
        <v>1496.0</v>
      </c>
      <c r="E6735" s="3">
        <f t="shared" si="1"/>
        <v>0.3081359423</v>
      </c>
      <c r="F6735" s="2">
        <v>551.0</v>
      </c>
      <c r="G6735" s="3">
        <f t="shared" si="2"/>
        <v>0.1134912461</v>
      </c>
      <c r="H6735" s="2">
        <v>916.0</v>
      </c>
      <c r="I6735" s="3">
        <f t="shared" si="3"/>
        <v>0.1886714727</v>
      </c>
      <c r="J6735" s="2">
        <v>855.0</v>
      </c>
      <c r="K6735" s="3">
        <f t="shared" si="4"/>
        <v>0.1761071061</v>
      </c>
      <c r="L6735" s="2">
        <v>541.0</v>
      </c>
      <c r="M6735" s="3">
        <f t="shared" si="5"/>
        <v>0.5906113537</v>
      </c>
      <c r="N6735" s="2">
        <v>5445600.0</v>
      </c>
      <c r="O6735" s="4">
        <f t="shared" si="6"/>
        <v>5944.978166</v>
      </c>
      <c r="P6735" s="2">
        <v>1.0</v>
      </c>
      <c r="Q6735" s="3">
        <f t="shared" si="7"/>
        <v>0.002222222222</v>
      </c>
      <c r="R6735" s="2">
        <v>450.0</v>
      </c>
      <c r="S6735" s="5">
        <f t="shared" si="8"/>
        <v>1</v>
      </c>
    </row>
    <row r="6736">
      <c r="A6736" s="2" t="s">
        <v>6733</v>
      </c>
      <c r="B6736" s="2">
        <v>1904.0</v>
      </c>
      <c r="C6736" s="2">
        <v>22419.0</v>
      </c>
      <c r="D6736" s="2">
        <v>7850.0</v>
      </c>
      <c r="E6736" s="3">
        <f t="shared" si="1"/>
        <v>0.3826468438</v>
      </c>
      <c r="F6736" s="2">
        <v>2328.0</v>
      </c>
      <c r="G6736" s="3">
        <f t="shared" si="2"/>
        <v>0.113477943</v>
      </c>
      <c r="H6736" s="2">
        <v>4485.0</v>
      </c>
      <c r="I6736" s="3">
        <f t="shared" si="3"/>
        <v>0.2186205216</v>
      </c>
      <c r="J6736" s="2">
        <v>3646.0</v>
      </c>
      <c r="K6736" s="3">
        <f t="shared" si="4"/>
        <v>0.1777236169</v>
      </c>
      <c r="L6736" s="2">
        <v>2668.0</v>
      </c>
      <c r="M6736" s="3">
        <f t="shared" si="5"/>
        <v>0.5948717949</v>
      </c>
      <c r="N6736" s="2">
        <v>2.42047E7</v>
      </c>
      <c r="O6736" s="4">
        <f t="shared" si="6"/>
        <v>5396.811594</v>
      </c>
      <c r="P6736" s="2">
        <v>2.0</v>
      </c>
      <c r="Q6736" s="3">
        <f t="shared" si="7"/>
        <v>0.001050420168</v>
      </c>
      <c r="R6736" s="2">
        <v>1413.0</v>
      </c>
      <c r="S6736" s="5">
        <f t="shared" si="8"/>
        <v>0.7421218487</v>
      </c>
    </row>
    <row r="6737">
      <c r="A6737" s="2" t="s">
        <v>6734</v>
      </c>
      <c r="B6737" s="2">
        <v>64.0</v>
      </c>
      <c r="C6737" s="2">
        <v>769.0</v>
      </c>
      <c r="D6737" s="2">
        <v>221.0</v>
      </c>
      <c r="E6737" s="3">
        <f t="shared" si="1"/>
        <v>0.3134751773</v>
      </c>
      <c r="F6737" s="2">
        <v>80.0</v>
      </c>
      <c r="G6737" s="3">
        <f t="shared" si="2"/>
        <v>0.1134751773</v>
      </c>
      <c r="H6737" s="2">
        <v>145.0</v>
      </c>
      <c r="I6737" s="3">
        <f t="shared" si="3"/>
        <v>0.2056737589</v>
      </c>
      <c r="J6737" s="2">
        <v>126.0</v>
      </c>
      <c r="K6737" s="3">
        <f t="shared" si="4"/>
        <v>0.1787234043</v>
      </c>
      <c r="L6737" s="2">
        <v>82.0</v>
      </c>
      <c r="M6737" s="3">
        <f t="shared" si="5"/>
        <v>0.5655172414</v>
      </c>
      <c r="N6737" s="2">
        <v>731000.0</v>
      </c>
      <c r="O6737" s="4">
        <f t="shared" si="6"/>
        <v>5041.37931</v>
      </c>
      <c r="P6737" s="2">
        <v>0.0</v>
      </c>
      <c r="Q6737" s="3">
        <f t="shared" si="7"/>
        <v>0</v>
      </c>
      <c r="R6737" s="2">
        <v>3.0</v>
      </c>
      <c r="S6737" s="5">
        <f t="shared" si="8"/>
        <v>0.046875</v>
      </c>
    </row>
    <row r="6738">
      <c r="A6738" s="2" t="s">
        <v>6735</v>
      </c>
      <c r="B6738" s="2">
        <v>40.0</v>
      </c>
      <c r="C6738" s="2">
        <v>463.0</v>
      </c>
      <c r="D6738" s="2">
        <v>151.0</v>
      </c>
      <c r="E6738" s="3">
        <f t="shared" si="1"/>
        <v>0.3569739953</v>
      </c>
      <c r="F6738" s="2">
        <v>48.0</v>
      </c>
      <c r="G6738" s="3">
        <f t="shared" si="2"/>
        <v>0.1134751773</v>
      </c>
      <c r="H6738" s="2">
        <v>99.0</v>
      </c>
      <c r="I6738" s="3">
        <f t="shared" si="3"/>
        <v>0.2340425532</v>
      </c>
      <c r="J6738" s="2">
        <v>70.0</v>
      </c>
      <c r="K6738" s="3">
        <f t="shared" si="4"/>
        <v>0.1654846336</v>
      </c>
      <c r="L6738" s="2">
        <v>56.0</v>
      </c>
      <c r="M6738" s="3">
        <f t="shared" si="5"/>
        <v>0.5656565657</v>
      </c>
      <c r="N6738" s="2">
        <v>518700.0</v>
      </c>
      <c r="O6738" s="4">
        <f t="shared" si="6"/>
        <v>5239.393939</v>
      </c>
      <c r="P6738" s="2">
        <v>0.0</v>
      </c>
      <c r="Q6738" s="3">
        <f t="shared" si="7"/>
        <v>0</v>
      </c>
      <c r="R6738" s="2">
        <v>40.0</v>
      </c>
      <c r="S6738" s="5">
        <f t="shared" si="8"/>
        <v>1</v>
      </c>
    </row>
    <row r="6739">
      <c r="A6739" s="2" t="s">
        <v>6736</v>
      </c>
      <c r="B6739" s="2">
        <v>1268.0</v>
      </c>
      <c r="C6739" s="2">
        <v>15245.0</v>
      </c>
      <c r="D6739" s="2">
        <v>4504.0</v>
      </c>
      <c r="E6739" s="3">
        <f t="shared" si="1"/>
        <v>0.3222436861</v>
      </c>
      <c r="F6739" s="2">
        <v>1586.0</v>
      </c>
      <c r="G6739" s="3">
        <f t="shared" si="2"/>
        <v>0.1134721328</v>
      </c>
      <c r="H6739" s="2">
        <v>2805.0</v>
      </c>
      <c r="I6739" s="3">
        <f t="shared" si="3"/>
        <v>0.2006868427</v>
      </c>
      <c r="J6739" s="2">
        <v>1934.0</v>
      </c>
      <c r="K6739" s="3">
        <f t="shared" si="4"/>
        <v>0.1383701796</v>
      </c>
      <c r="L6739" s="2">
        <v>1643.0</v>
      </c>
      <c r="M6739" s="3">
        <f t="shared" si="5"/>
        <v>0.5857397504</v>
      </c>
      <c r="N6739" s="2">
        <v>1.54965E7</v>
      </c>
      <c r="O6739" s="4">
        <f t="shared" si="6"/>
        <v>5524.59893</v>
      </c>
      <c r="P6739" s="2">
        <v>2.0</v>
      </c>
      <c r="Q6739" s="3">
        <f t="shared" si="7"/>
        <v>0.001577287066</v>
      </c>
      <c r="R6739" s="2">
        <v>1268.0</v>
      </c>
      <c r="S6739" s="5">
        <f t="shared" si="8"/>
        <v>1</v>
      </c>
    </row>
    <row r="6740">
      <c r="A6740" s="2" t="s">
        <v>6737</v>
      </c>
      <c r="B6740" s="2">
        <v>496.0</v>
      </c>
      <c r="C6740" s="2">
        <v>5819.0</v>
      </c>
      <c r="D6740" s="2">
        <v>1938.0</v>
      </c>
      <c r="E6740" s="3">
        <f t="shared" si="1"/>
        <v>0.3640804058</v>
      </c>
      <c r="F6740" s="2">
        <v>604.0</v>
      </c>
      <c r="G6740" s="3">
        <f t="shared" si="2"/>
        <v>0.1134698478</v>
      </c>
      <c r="H6740" s="2">
        <v>1096.0</v>
      </c>
      <c r="I6740" s="3">
        <f t="shared" si="3"/>
        <v>0.2058989292</v>
      </c>
      <c r="J6740" s="2">
        <v>822.0</v>
      </c>
      <c r="K6740" s="3">
        <f t="shared" si="4"/>
        <v>0.1544241969</v>
      </c>
      <c r="L6740" s="2">
        <v>668.0</v>
      </c>
      <c r="M6740" s="3">
        <f t="shared" si="5"/>
        <v>0.6094890511</v>
      </c>
      <c r="N6740" s="2">
        <v>6122100.0</v>
      </c>
      <c r="O6740" s="4">
        <f t="shared" si="6"/>
        <v>5585.857664</v>
      </c>
      <c r="P6740" s="2">
        <v>1.0</v>
      </c>
      <c r="Q6740" s="3">
        <f t="shared" si="7"/>
        <v>0.002016129032</v>
      </c>
      <c r="R6740" s="2">
        <v>461.0</v>
      </c>
      <c r="S6740" s="5">
        <f t="shared" si="8"/>
        <v>0.9294354839</v>
      </c>
    </row>
    <row r="6741">
      <c r="A6741" s="2" t="s">
        <v>6738</v>
      </c>
      <c r="B6741" s="2">
        <v>492.0</v>
      </c>
      <c r="C6741" s="2">
        <v>5965.0</v>
      </c>
      <c r="D6741" s="2">
        <v>1718.0</v>
      </c>
      <c r="E6741" s="3">
        <f t="shared" si="1"/>
        <v>0.3139046227</v>
      </c>
      <c r="F6741" s="2">
        <v>621.0</v>
      </c>
      <c r="G6741" s="3">
        <f t="shared" si="2"/>
        <v>0.1134661063</v>
      </c>
      <c r="H6741" s="2">
        <v>1072.0</v>
      </c>
      <c r="I6741" s="3">
        <f t="shared" si="3"/>
        <v>0.1958706377</v>
      </c>
      <c r="J6741" s="2">
        <v>853.0</v>
      </c>
      <c r="K6741" s="3">
        <f t="shared" si="4"/>
        <v>0.1558560205</v>
      </c>
      <c r="L6741" s="2">
        <v>650.0</v>
      </c>
      <c r="M6741" s="3">
        <f t="shared" si="5"/>
        <v>0.6063432836</v>
      </c>
      <c r="N6741" s="2">
        <v>5881000.0</v>
      </c>
      <c r="O6741" s="4">
        <f t="shared" si="6"/>
        <v>5486.007463</v>
      </c>
      <c r="P6741" s="2">
        <v>1.0</v>
      </c>
      <c r="Q6741" s="3">
        <f t="shared" si="7"/>
        <v>0.002032520325</v>
      </c>
      <c r="R6741" s="2">
        <v>492.0</v>
      </c>
      <c r="S6741" s="5">
        <f t="shared" si="8"/>
        <v>1</v>
      </c>
    </row>
    <row r="6742">
      <c r="A6742" s="2" t="s">
        <v>6739</v>
      </c>
      <c r="B6742" s="2">
        <v>3590.0</v>
      </c>
      <c r="C6742" s="2">
        <v>41893.0</v>
      </c>
      <c r="D6742" s="2">
        <v>12796.0</v>
      </c>
      <c r="E6742" s="3">
        <f t="shared" si="1"/>
        <v>0.3340730491</v>
      </c>
      <c r="F6742" s="2">
        <v>4345.0</v>
      </c>
      <c r="G6742" s="3">
        <f t="shared" si="2"/>
        <v>0.1134375897</v>
      </c>
      <c r="H6742" s="2">
        <v>8066.0</v>
      </c>
      <c r="I6742" s="3">
        <f t="shared" si="3"/>
        <v>0.2105840274</v>
      </c>
      <c r="J6742" s="2">
        <v>6479.0</v>
      </c>
      <c r="K6742" s="3">
        <f t="shared" si="4"/>
        <v>0.1691512414</v>
      </c>
      <c r="L6742" s="2">
        <v>4783.0</v>
      </c>
      <c r="M6742" s="3">
        <f t="shared" si="5"/>
        <v>0.5929828911</v>
      </c>
      <c r="N6742" s="2">
        <v>4.53772E7</v>
      </c>
      <c r="O6742" s="4">
        <f t="shared" si="6"/>
        <v>5625.737664</v>
      </c>
      <c r="P6742" s="2">
        <v>2.0</v>
      </c>
      <c r="Q6742" s="3">
        <f t="shared" si="7"/>
        <v>0.0005571030641</v>
      </c>
      <c r="R6742" s="2">
        <v>3590.0</v>
      </c>
      <c r="S6742" s="5">
        <f t="shared" si="8"/>
        <v>1</v>
      </c>
    </row>
    <row r="6743">
      <c r="A6743" s="2" t="s">
        <v>6740</v>
      </c>
      <c r="B6743" s="2">
        <v>3256.0</v>
      </c>
      <c r="C6743" s="2">
        <v>38457.0</v>
      </c>
      <c r="D6743" s="2">
        <v>12030.0</v>
      </c>
      <c r="E6743" s="3">
        <f t="shared" si="1"/>
        <v>0.3417516548</v>
      </c>
      <c r="F6743" s="2">
        <v>3993.0</v>
      </c>
      <c r="G6743" s="3">
        <f t="shared" si="2"/>
        <v>0.1134342774</v>
      </c>
      <c r="H6743" s="2">
        <v>7278.0</v>
      </c>
      <c r="I6743" s="3">
        <f t="shared" si="3"/>
        <v>0.2067554899</v>
      </c>
      <c r="J6743" s="2">
        <v>5779.0</v>
      </c>
      <c r="K6743" s="3">
        <f t="shared" si="4"/>
        <v>0.1641714724</v>
      </c>
      <c r="L6743" s="2">
        <v>4346.0</v>
      </c>
      <c r="M6743" s="3">
        <f t="shared" si="5"/>
        <v>0.597142072</v>
      </c>
      <c r="N6743" s="2">
        <v>3.93814E7</v>
      </c>
      <c r="O6743" s="4">
        <f t="shared" si="6"/>
        <v>5411.019511</v>
      </c>
      <c r="P6743" s="2">
        <v>10.0</v>
      </c>
      <c r="Q6743" s="3">
        <f t="shared" si="7"/>
        <v>0.003071253071</v>
      </c>
      <c r="R6743" s="2">
        <v>3256.0</v>
      </c>
      <c r="S6743" s="5">
        <f t="shared" si="8"/>
        <v>1</v>
      </c>
    </row>
    <row r="6744">
      <c r="A6744" s="2" t="s">
        <v>6741</v>
      </c>
      <c r="B6744" s="2">
        <v>73.0</v>
      </c>
      <c r="C6744" s="2">
        <v>840.0</v>
      </c>
      <c r="D6744" s="2">
        <v>290.0</v>
      </c>
      <c r="E6744" s="3">
        <f t="shared" si="1"/>
        <v>0.3780964798</v>
      </c>
      <c r="F6744" s="2">
        <v>87.0</v>
      </c>
      <c r="G6744" s="3">
        <f t="shared" si="2"/>
        <v>0.1134289439</v>
      </c>
      <c r="H6744" s="2">
        <v>147.0</v>
      </c>
      <c r="I6744" s="3">
        <f t="shared" si="3"/>
        <v>0.1916558018</v>
      </c>
      <c r="J6744" s="2">
        <v>135.0</v>
      </c>
      <c r="K6744" s="3">
        <f t="shared" si="4"/>
        <v>0.1760104302</v>
      </c>
      <c r="L6744" s="2">
        <v>104.0</v>
      </c>
      <c r="M6744" s="3">
        <f t="shared" si="5"/>
        <v>0.7074829932</v>
      </c>
      <c r="N6744" s="2">
        <v>856500.0</v>
      </c>
      <c r="O6744" s="4">
        <f t="shared" si="6"/>
        <v>5826.530612</v>
      </c>
      <c r="P6744" s="2">
        <v>0.0</v>
      </c>
      <c r="Q6744" s="3">
        <f t="shared" si="7"/>
        <v>0</v>
      </c>
      <c r="R6744" s="2">
        <v>35.0</v>
      </c>
      <c r="S6744" s="5">
        <f t="shared" si="8"/>
        <v>0.4794520548</v>
      </c>
    </row>
    <row r="6745">
      <c r="A6745" s="2" t="s">
        <v>6742</v>
      </c>
      <c r="B6745" s="2">
        <v>853.0</v>
      </c>
      <c r="C6745" s="2">
        <v>9925.0</v>
      </c>
      <c r="D6745" s="2">
        <v>2885.0</v>
      </c>
      <c r="E6745" s="3">
        <f t="shared" si="1"/>
        <v>0.3180114638</v>
      </c>
      <c r="F6745" s="2">
        <v>1029.0</v>
      </c>
      <c r="G6745" s="3">
        <f t="shared" si="2"/>
        <v>0.1134259259</v>
      </c>
      <c r="H6745" s="2">
        <v>1846.0</v>
      </c>
      <c r="I6745" s="3">
        <f t="shared" si="3"/>
        <v>0.2034832451</v>
      </c>
      <c r="J6745" s="2">
        <v>1706.0</v>
      </c>
      <c r="K6745" s="3">
        <f t="shared" si="4"/>
        <v>0.1880511464</v>
      </c>
      <c r="L6745" s="2">
        <v>1127.0</v>
      </c>
      <c r="M6745" s="3">
        <f t="shared" si="5"/>
        <v>0.6105092091</v>
      </c>
      <c r="N6745" s="2">
        <v>1.09132E7</v>
      </c>
      <c r="O6745" s="4">
        <f t="shared" si="6"/>
        <v>5911.809317</v>
      </c>
      <c r="P6745" s="2">
        <v>0.0</v>
      </c>
      <c r="Q6745" s="3">
        <f t="shared" si="7"/>
        <v>0</v>
      </c>
      <c r="R6745" s="2">
        <v>853.0</v>
      </c>
      <c r="S6745" s="5">
        <f t="shared" si="8"/>
        <v>1</v>
      </c>
    </row>
    <row r="6746">
      <c r="A6746" s="2" t="s">
        <v>6743</v>
      </c>
      <c r="B6746" s="2">
        <v>1064.0</v>
      </c>
      <c r="C6746" s="2">
        <v>12729.0</v>
      </c>
      <c r="D6746" s="2">
        <v>3568.0</v>
      </c>
      <c r="E6746" s="3">
        <f t="shared" si="1"/>
        <v>0.3058722675</v>
      </c>
      <c r="F6746" s="2">
        <v>1323.0</v>
      </c>
      <c r="G6746" s="3">
        <f t="shared" si="2"/>
        <v>0.1134162023</v>
      </c>
      <c r="H6746" s="2">
        <v>2344.0</v>
      </c>
      <c r="I6746" s="3">
        <f t="shared" si="3"/>
        <v>0.2009429919</v>
      </c>
      <c r="J6746" s="2">
        <v>1839.0</v>
      </c>
      <c r="K6746" s="3">
        <f t="shared" si="4"/>
        <v>0.157651093</v>
      </c>
      <c r="L6746" s="2">
        <v>1400.0</v>
      </c>
      <c r="M6746" s="3">
        <f t="shared" si="5"/>
        <v>0.5972696246</v>
      </c>
      <c r="N6746" s="2">
        <v>1.2963E7</v>
      </c>
      <c r="O6746" s="4">
        <f t="shared" si="6"/>
        <v>5530.290102</v>
      </c>
      <c r="P6746" s="2">
        <v>1.0</v>
      </c>
      <c r="Q6746" s="3">
        <f t="shared" si="7"/>
        <v>0.0009398496241</v>
      </c>
      <c r="R6746" s="2">
        <v>1062.0</v>
      </c>
      <c r="S6746" s="5">
        <f t="shared" si="8"/>
        <v>0.9981203008</v>
      </c>
    </row>
    <row r="6747">
      <c r="A6747" s="2" t="s">
        <v>6744</v>
      </c>
      <c r="B6747" s="2">
        <v>1841.0</v>
      </c>
      <c r="C6747" s="2">
        <v>21716.0</v>
      </c>
      <c r="D6747" s="2">
        <v>6727.0</v>
      </c>
      <c r="E6747" s="3">
        <f t="shared" si="1"/>
        <v>0.3384654088</v>
      </c>
      <c r="F6747" s="2">
        <v>2254.0</v>
      </c>
      <c r="G6747" s="3">
        <f t="shared" si="2"/>
        <v>0.113408805</v>
      </c>
      <c r="H6747" s="2">
        <v>3994.0</v>
      </c>
      <c r="I6747" s="3">
        <f t="shared" si="3"/>
        <v>0.2009559748</v>
      </c>
      <c r="J6747" s="2">
        <v>3091.0</v>
      </c>
      <c r="K6747" s="3">
        <f t="shared" si="4"/>
        <v>0.1555220126</v>
      </c>
      <c r="L6747" s="2">
        <v>2397.0</v>
      </c>
      <c r="M6747" s="3">
        <f t="shared" si="5"/>
        <v>0.6001502253</v>
      </c>
      <c r="N6747" s="2">
        <v>2.28087E7</v>
      </c>
      <c r="O6747" s="4">
        <f t="shared" si="6"/>
        <v>5710.741112</v>
      </c>
      <c r="P6747" s="2">
        <v>8.0</v>
      </c>
      <c r="Q6747" s="3">
        <f t="shared" si="7"/>
        <v>0.004345464422</v>
      </c>
      <c r="R6747" s="2">
        <v>1841.0</v>
      </c>
      <c r="S6747" s="5">
        <f t="shared" si="8"/>
        <v>1</v>
      </c>
    </row>
    <row r="6748">
      <c r="A6748" s="2" t="s">
        <v>6745</v>
      </c>
      <c r="B6748" s="2">
        <v>294.0</v>
      </c>
      <c r="C6748" s="2">
        <v>3486.0</v>
      </c>
      <c r="D6748" s="2">
        <v>1226.0</v>
      </c>
      <c r="E6748" s="3">
        <f t="shared" si="1"/>
        <v>0.384085213</v>
      </c>
      <c r="F6748" s="2">
        <v>362.0</v>
      </c>
      <c r="G6748" s="3">
        <f t="shared" si="2"/>
        <v>0.1134085213</v>
      </c>
      <c r="H6748" s="2">
        <v>622.0</v>
      </c>
      <c r="I6748" s="3">
        <f t="shared" si="3"/>
        <v>0.1948621554</v>
      </c>
      <c r="J6748" s="2">
        <v>509.0</v>
      </c>
      <c r="K6748" s="3">
        <f t="shared" si="4"/>
        <v>0.1594611529</v>
      </c>
      <c r="L6748" s="2">
        <v>383.0</v>
      </c>
      <c r="M6748" s="3">
        <f t="shared" si="5"/>
        <v>0.615755627</v>
      </c>
      <c r="N6748" s="2">
        <v>3582800.0</v>
      </c>
      <c r="O6748" s="4">
        <f t="shared" si="6"/>
        <v>5760.128617</v>
      </c>
      <c r="P6748" s="2">
        <v>0.0</v>
      </c>
      <c r="Q6748" s="3">
        <f t="shared" si="7"/>
        <v>0</v>
      </c>
      <c r="R6748" s="2">
        <v>294.0</v>
      </c>
      <c r="S6748" s="5">
        <f t="shared" si="8"/>
        <v>1</v>
      </c>
    </row>
    <row r="6749">
      <c r="A6749" s="2" t="s">
        <v>6746</v>
      </c>
      <c r="B6749" s="2">
        <v>591.0</v>
      </c>
      <c r="C6749" s="2">
        <v>6931.0</v>
      </c>
      <c r="D6749" s="2">
        <v>2688.0</v>
      </c>
      <c r="E6749" s="3">
        <f t="shared" si="1"/>
        <v>0.4239747634</v>
      </c>
      <c r="F6749" s="2">
        <v>719.0</v>
      </c>
      <c r="G6749" s="3">
        <f t="shared" si="2"/>
        <v>0.1134069401</v>
      </c>
      <c r="H6749" s="2">
        <v>1415.0</v>
      </c>
      <c r="I6749" s="3">
        <f t="shared" si="3"/>
        <v>0.2231861199</v>
      </c>
      <c r="J6749" s="2">
        <v>1240.0</v>
      </c>
      <c r="K6749" s="3">
        <f t="shared" si="4"/>
        <v>0.1955835962</v>
      </c>
      <c r="L6749" s="2">
        <v>844.0</v>
      </c>
      <c r="M6749" s="3">
        <f t="shared" si="5"/>
        <v>0.5964664311</v>
      </c>
      <c r="N6749" s="2">
        <v>8080600.0</v>
      </c>
      <c r="O6749" s="4">
        <f t="shared" si="6"/>
        <v>5710.671378</v>
      </c>
      <c r="P6749" s="2">
        <v>3.0</v>
      </c>
      <c r="Q6749" s="3">
        <f t="shared" si="7"/>
        <v>0.005076142132</v>
      </c>
      <c r="R6749" s="2">
        <v>591.0</v>
      </c>
      <c r="S6749" s="5">
        <f t="shared" si="8"/>
        <v>1</v>
      </c>
    </row>
    <row r="6750">
      <c r="A6750" s="2" t="s">
        <v>6747</v>
      </c>
      <c r="B6750" s="2">
        <v>19.0</v>
      </c>
      <c r="C6750" s="2">
        <v>213.0</v>
      </c>
      <c r="D6750" s="2">
        <v>62.0</v>
      </c>
      <c r="E6750" s="3">
        <f t="shared" si="1"/>
        <v>0.3195876289</v>
      </c>
      <c r="F6750" s="2">
        <v>22.0</v>
      </c>
      <c r="G6750" s="3">
        <f t="shared" si="2"/>
        <v>0.1134020619</v>
      </c>
      <c r="H6750" s="2">
        <v>45.0</v>
      </c>
      <c r="I6750" s="3">
        <f t="shared" si="3"/>
        <v>0.2319587629</v>
      </c>
      <c r="J6750" s="2">
        <v>29.0</v>
      </c>
      <c r="K6750" s="3">
        <f t="shared" si="4"/>
        <v>0.1494845361</v>
      </c>
      <c r="L6750" s="2">
        <v>33.0</v>
      </c>
      <c r="M6750" s="3">
        <f t="shared" si="5"/>
        <v>0.7333333333</v>
      </c>
      <c r="N6750" s="2">
        <v>233500.0</v>
      </c>
      <c r="O6750" s="4">
        <f t="shared" si="6"/>
        <v>5188.888889</v>
      </c>
      <c r="P6750" s="2">
        <v>0.0</v>
      </c>
      <c r="Q6750" s="3">
        <f t="shared" si="7"/>
        <v>0</v>
      </c>
      <c r="R6750" s="2">
        <v>19.0</v>
      </c>
      <c r="S6750" s="5">
        <f t="shared" si="8"/>
        <v>1</v>
      </c>
    </row>
    <row r="6751">
      <c r="A6751" s="2" t="s">
        <v>6748</v>
      </c>
      <c r="B6751" s="2">
        <v>19.0</v>
      </c>
      <c r="C6751" s="2">
        <v>213.0</v>
      </c>
      <c r="D6751" s="2">
        <v>53.0</v>
      </c>
      <c r="E6751" s="3">
        <f t="shared" si="1"/>
        <v>0.2731958763</v>
      </c>
      <c r="F6751" s="2">
        <v>22.0</v>
      </c>
      <c r="G6751" s="3">
        <f t="shared" si="2"/>
        <v>0.1134020619</v>
      </c>
      <c r="H6751" s="2">
        <v>46.0</v>
      </c>
      <c r="I6751" s="3">
        <f t="shared" si="3"/>
        <v>0.2371134021</v>
      </c>
      <c r="J6751" s="2">
        <v>22.0</v>
      </c>
      <c r="K6751" s="3">
        <f t="shared" si="4"/>
        <v>0.1134020619</v>
      </c>
      <c r="L6751" s="2">
        <v>30.0</v>
      </c>
      <c r="M6751" s="3">
        <f t="shared" si="5"/>
        <v>0.652173913</v>
      </c>
      <c r="N6751" s="2">
        <v>252100.0</v>
      </c>
      <c r="O6751" s="4">
        <f t="shared" si="6"/>
        <v>5480.434783</v>
      </c>
      <c r="P6751" s="2">
        <v>0.0</v>
      </c>
      <c r="Q6751" s="3">
        <f t="shared" si="7"/>
        <v>0</v>
      </c>
      <c r="R6751" s="2">
        <v>19.0</v>
      </c>
      <c r="S6751" s="5">
        <f t="shared" si="8"/>
        <v>1</v>
      </c>
    </row>
    <row r="6752">
      <c r="A6752" s="2" t="s">
        <v>6749</v>
      </c>
      <c r="B6752" s="2">
        <v>1286.0</v>
      </c>
      <c r="C6752" s="2">
        <v>15096.0</v>
      </c>
      <c r="D6752" s="2">
        <v>5320.0</v>
      </c>
      <c r="E6752" s="3">
        <f t="shared" si="1"/>
        <v>0.3852280956</v>
      </c>
      <c r="F6752" s="2">
        <v>1566.0</v>
      </c>
      <c r="G6752" s="3">
        <f t="shared" si="2"/>
        <v>0.1133960898</v>
      </c>
      <c r="H6752" s="2">
        <v>2856.0</v>
      </c>
      <c r="I6752" s="3">
        <f t="shared" si="3"/>
        <v>0.2068066618</v>
      </c>
      <c r="J6752" s="2">
        <v>2127.0</v>
      </c>
      <c r="K6752" s="3">
        <f t="shared" si="4"/>
        <v>0.1540188269</v>
      </c>
      <c r="L6752" s="2">
        <v>1744.0</v>
      </c>
      <c r="M6752" s="3">
        <f t="shared" si="5"/>
        <v>0.6106442577</v>
      </c>
      <c r="N6752" s="2">
        <v>1.5625E7</v>
      </c>
      <c r="O6752" s="4">
        <f t="shared" si="6"/>
        <v>5470.938375</v>
      </c>
      <c r="P6752" s="2">
        <v>2.0</v>
      </c>
      <c r="Q6752" s="3">
        <f t="shared" si="7"/>
        <v>0.001555209953</v>
      </c>
      <c r="R6752" s="2">
        <v>666.0</v>
      </c>
      <c r="S6752" s="5">
        <f t="shared" si="8"/>
        <v>0.5178849145</v>
      </c>
    </row>
    <row r="6753">
      <c r="A6753" s="2" t="s">
        <v>6750</v>
      </c>
      <c r="B6753" s="2">
        <v>2885.0</v>
      </c>
      <c r="C6753" s="2">
        <v>33655.0</v>
      </c>
      <c r="D6753" s="2">
        <v>10242.0</v>
      </c>
      <c r="E6753" s="3">
        <f t="shared" si="1"/>
        <v>0.3328566786</v>
      </c>
      <c r="F6753" s="2">
        <v>3489.0</v>
      </c>
      <c r="G6753" s="3">
        <f t="shared" si="2"/>
        <v>0.1133896653</v>
      </c>
      <c r="H6753" s="2">
        <v>6290.0</v>
      </c>
      <c r="I6753" s="3">
        <f t="shared" si="3"/>
        <v>0.2044198895</v>
      </c>
      <c r="J6753" s="2">
        <v>5373.0</v>
      </c>
      <c r="K6753" s="3">
        <f t="shared" si="4"/>
        <v>0.1746181345</v>
      </c>
      <c r="L6753" s="2">
        <v>3789.0</v>
      </c>
      <c r="M6753" s="3">
        <f t="shared" si="5"/>
        <v>0.6023847377</v>
      </c>
      <c r="N6753" s="2">
        <v>3.70001E7</v>
      </c>
      <c r="O6753" s="4">
        <f t="shared" si="6"/>
        <v>5882.368839</v>
      </c>
      <c r="P6753" s="2">
        <v>8.0</v>
      </c>
      <c r="Q6753" s="3">
        <f t="shared" si="7"/>
        <v>0.002772963605</v>
      </c>
      <c r="R6753" s="2">
        <v>2885.0</v>
      </c>
      <c r="S6753" s="5">
        <f t="shared" si="8"/>
        <v>1</v>
      </c>
    </row>
    <row r="6754">
      <c r="A6754" s="2" t="s">
        <v>6751</v>
      </c>
      <c r="B6754" s="2">
        <v>65.0</v>
      </c>
      <c r="C6754" s="2">
        <v>753.0</v>
      </c>
      <c r="D6754" s="2">
        <v>233.0</v>
      </c>
      <c r="E6754" s="3">
        <f t="shared" si="1"/>
        <v>0.3386627907</v>
      </c>
      <c r="F6754" s="2">
        <v>78.0</v>
      </c>
      <c r="G6754" s="3">
        <f t="shared" si="2"/>
        <v>0.113372093</v>
      </c>
      <c r="H6754" s="2">
        <v>120.0</v>
      </c>
      <c r="I6754" s="3">
        <f t="shared" si="3"/>
        <v>0.1744186047</v>
      </c>
      <c r="J6754" s="2">
        <v>83.0</v>
      </c>
      <c r="K6754" s="3">
        <f t="shared" si="4"/>
        <v>0.1206395349</v>
      </c>
      <c r="L6754" s="2">
        <v>82.0</v>
      </c>
      <c r="M6754" s="3">
        <f t="shared" si="5"/>
        <v>0.6833333333</v>
      </c>
      <c r="N6754" s="2">
        <v>586100.0</v>
      </c>
      <c r="O6754" s="4">
        <f t="shared" si="6"/>
        <v>4884.166667</v>
      </c>
      <c r="P6754" s="2">
        <v>0.0</v>
      </c>
      <c r="Q6754" s="3">
        <f t="shared" si="7"/>
        <v>0</v>
      </c>
      <c r="R6754" s="2">
        <v>10.0</v>
      </c>
      <c r="S6754" s="5">
        <f t="shared" si="8"/>
        <v>0.1538461538</v>
      </c>
    </row>
    <row r="6755">
      <c r="A6755" s="2" t="s">
        <v>6752</v>
      </c>
      <c r="B6755" s="2">
        <v>1745.0</v>
      </c>
      <c r="C6755" s="2">
        <v>20648.0</v>
      </c>
      <c r="D6755" s="2">
        <v>4846.0</v>
      </c>
      <c r="E6755" s="3">
        <f t="shared" si="1"/>
        <v>0.2563614241</v>
      </c>
      <c r="F6755" s="2">
        <v>2143.0</v>
      </c>
      <c r="G6755" s="3">
        <f t="shared" si="2"/>
        <v>0.1133682484</v>
      </c>
      <c r="H6755" s="2">
        <v>3898.0</v>
      </c>
      <c r="I6755" s="3">
        <f t="shared" si="3"/>
        <v>0.2062106544</v>
      </c>
      <c r="J6755" s="2">
        <v>4045.0</v>
      </c>
      <c r="K6755" s="3">
        <f t="shared" si="4"/>
        <v>0.2139871978</v>
      </c>
      <c r="L6755" s="2">
        <v>2254.0</v>
      </c>
      <c r="M6755" s="3">
        <f t="shared" si="5"/>
        <v>0.578245254</v>
      </c>
      <c r="N6755" s="2">
        <v>2.30538E7</v>
      </c>
      <c r="O6755" s="4">
        <f t="shared" si="6"/>
        <v>5914.263725</v>
      </c>
      <c r="P6755" s="2">
        <v>4.0</v>
      </c>
      <c r="Q6755" s="3">
        <f t="shared" si="7"/>
        <v>0.00229226361</v>
      </c>
      <c r="R6755" s="2">
        <v>1745.0</v>
      </c>
      <c r="S6755" s="5">
        <f t="shared" si="8"/>
        <v>1</v>
      </c>
    </row>
    <row r="6756">
      <c r="A6756" s="2" t="s">
        <v>6753</v>
      </c>
      <c r="B6756" s="2">
        <v>1382.0</v>
      </c>
      <c r="C6756" s="2">
        <v>16184.0</v>
      </c>
      <c r="D6756" s="2">
        <v>5049.0</v>
      </c>
      <c r="E6756" s="3">
        <f t="shared" si="1"/>
        <v>0.3411025537</v>
      </c>
      <c r="F6756" s="2">
        <v>1678.0</v>
      </c>
      <c r="G6756" s="3">
        <f t="shared" si="2"/>
        <v>0.113363059</v>
      </c>
      <c r="H6756" s="2">
        <v>3063.0</v>
      </c>
      <c r="I6756" s="3">
        <f t="shared" si="3"/>
        <v>0.2069314957</v>
      </c>
      <c r="J6756" s="2">
        <v>2260.0</v>
      </c>
      <c r="K6756" s="3">
        <f t="shared" si="4"/>
        <v>0.15268207</v>
      </c>
      <c r="L6756" s="2">
        <v>1828.0</v>
      </c>
      <c r="M6756" s="3">
        <f t="shared" si="5"/>
        <v>0.5968005224</v>
      </c>
      <c r="N6756" s="2">
        <v>1.70717E7</v>
      </c>
      <c r="O6756" s="4">
        <f t="shared" si="6"/>
        <v>5573.52269</v>
      </c>
      <c r="P6756" s="2">
        <v>5.0</v>
      </c>
      <c r="Q6756" s="3">
        <f t="shared" si="7"/>
        <v>0.003617945007</v>
      </c>
      <c r="R6756" s="2">
        <v>1382.0</v>
      </c>
      <c r="S6756" s="5">
        <f t="shared" si="8"/>
        <v>1</v>
      </c>
    </row>
    <row r="6757">
      <c r="A6757" s="2" t="s">
        <v>6754</v>
      </c>
      <c r="B6757" s="2">
        <v>2308.0</v>
      </c>
      <c r="C6757" s="2">
        <v>27256.0</v>
      </c>
      <c r="D6757" s="2">
        <v>8714.0</v>
      </c>
      <c r="E6757" s="3">
        <f t="shared" si="1"/>
        <v>0.349286516</v>
      </c>
      <c r="F6757" s="2">
        <v>2828.0</v>
      </c>
      <c r="G6757" s="3">
        <f t="shared" si="2"/>
        <v>0.11335578</v>
      </c>
      <c r="H6757" s="2">
        <v>5158.0</v>
      </c>
      <c r="I6757" s="3">
        <f t="shared" si="3"/>
        <v>0.2067500401</v>
      </c>
      <c r="J6757" s="2">
        <v>4123.0</v>
      </c>
      <c r="K6757" s="3">
        <f t="shared" si="4"/>
        <v>0.1652637486</v>
      </c>
      <c r="L6757" s="2">
        <v>3082.0</v>
      </c>
      <c r="M6757" s="3">
        <f t="shared" si="5"/>
        <v>0.597518418</v>
      </c>
      <c r="N6757" s="2">
        <v>2.82263E7</v>
      </c>
      <c r="O6757" s="4">
        <f t="shared" si="6"/>
        <v>5472.334238</v>
      </c>
      <c r="P6757" s="2">
        <v>4.0</v>
      </c>
      <c r="Q6757" s="3">
        <f t="shared" si="7"/>
        <v>0.001733102253</v>
      </c>
      <c r="R6757" s="2">
        <v>2308.0</v>
      </c>
      <c r="S6757" s="5">
        <f t="shared" si="8"/>
        <v>1</v>
      </c>
    </row>
    <row r="6758">
      <c r="A6758" s="2" t="s">
        <v>6755</v>
      </c>
      <c r="B6758" s="2">
        <v>1412.0</v>
      </c>
      <c r="C6758" s="2">
        <v>16701.0</v>
      </c>
      <c r="D6758" s="2">
        <v>4339.0</v>
      </c>
      <c r="E6758" s="3">
        <f t="shared" si="1"/>
        <v>0.2837988096</v>
      </c>
      <c r="F6758" s="2">
        <v>1733.0</v>
      </c>
      <c r="G6758" s="3">
        <f t="shared" si="2"/>
        <v>0.1133494669</v>
      </c>
      <c r="H6758" s="2">
        <v>3109.0</v>
      </c>
      <c r="I6758" s="3">
        <f t="shared" si="3"/>
        <v>0.2033488129</v>
      </c>
      <c r="J6758" s="2">
        <v>3193.0</v>
      </c>
      <c r="K6758" s="3">
        <f t="shared" si="4"/>
        <v>0.208842959</v>
      </c>
      <c r="L6758" s="2">
        <v>1802.0</v>
      </c>
      <c r="M6758" s="3">
        <f t="shared" si="5"/>
        <v>0.5796075909</v>
      </c>
      <c r="N6758" s="2">
        <v>1.8619E7</v>
      </c>
      <c r="O6758" s="4">
        <f t="shared" si="6"/>
        <v>5988.742361</v>
      </c>
      <c r="P6758" s="2">
        <v>5.0</v>
      </c>
      <c r="Q6758" s="3">
        <f t="shared" si="7"/>
        <v>0.003541076487</v>
      </c>
      <c r="R6758" s="2">
        <v>1412.0</v>
      </c>
      <c r="S6758" s="5">
        <f t="shared" si="8"/>
        <v>1</v>
      </c>
    </row>
    <row r="6759">
      <c r="A6759" s="2" t="s">
        <v>6756</v>
      </c>
      <c r="B6759" s="2">
        <v>3197.0</v>
      </c>
      <c r="C6759" s="2">
        <v>37588.0</v>
      </c>
      <c r="D6759" s="2">
        <v>12380.0</v>
      </c>
      <c r="E6759" s="3">
        <f t="shared" si="1"/>
        <v>0.3599779012</v>
      </c>
      <c r="F6759" s="2">
        <v>3898.0</v>
      </c>
      <c r="G6759" s="3">
        <f t="shared" si="2"/>
        <v>0.1133436073</v>
      </c>
      <c r="H6759" s="2">
        <v>7330.0</v>
      </c>
      <c r="I6759" s="3">
        <f t="shared" si="3"/>
        <v>0.213137158</v>
      </c>
      <c r="J6759" s="2">
        <v>5181.0</v>
      </c>
      <c r="K6759" s="3">
        <f t="shared" si="4"/>
        <v>0.1506498793</v>
      </c>
      <c r="L6759" s="2">
        <v>4457.0</v>
      </c>
      <c r="M6759" s="3">
        <f t="shared" si="5"/>
        <v>0.6080491132</v>
      </c>
      <c r="N6759" s="2">
        <v>4.01736E7</v>
      </c>
      <c r="O6759" s="4">
        <f t="shared" si="6"/>
        <v>5480.709413</v>
      </c>
      <c r="P6759" s="2">
        <v>2.0</v>
      </c>
      <c r="Q6759" s="3">
        <f t="shared" si="7"/>
        <v>0.0006255864873</v>
      </c>
      <c r="R6759" s="2">
        <v>3197.0</v>
      </c>
      <c r="S6759" s="5">
        <f t="shared" si="8"/>
        <v>1</v>
      </c>
    </row>
    <row r="6760">
      <c r="A6760" s="2" t="s">
        <v>6757</v>
      </c>
      <c r="B6760" s="2">
        <v>3867.0</v>
      </c>
      <c r="C6760" s="2">
        <v>45241.0</v>
      </c>
      <c r="D6760" s="2">
        <v>13313.0</v>
      </c>
      <c r="E6760" s="3">
        <f t="shared" si="1"/>
        <v>0.3217721274</v>
      </c>
      <c r="F6760" s="2">
        <v>4689.0</v>
      </c>
      <c r="G6760" s="3">
        <f t="shared" si="2"/>
        <v>0.1133320443</v>
      </c>
      <c r="H6760" s="2">
        <v>8387.0</v>
      </c>
      <c r="I6760" s="3">
        <f t="shared" si="3"/>
        <v>0.202711848</v>
      </c>
      <c r="J6760" s="2">
        <v>7401.0</v>
      </c>
      <c r="K6760" s="3">
        <f t="shared" si="4"/>
        <v>0.1788804563</v>
      </c>
      <c r="L6760" s="2">
        <v>4922.0</v>
      </c>
      <c r="M6760" s="3">
        <f t="shared" si="5"/>
        <v>0.5868606176</v>
      </c>
      <c r="N6760" s="2">
        <v>5.04728E7</v>
      </c>
      <c r="O6760" s="4">
        <f t="shared" si="6"/>
        <v>6017.980207</v>
      </c>
      <c r="P6760" s="2">
        <v>12.0</v>
      </c>
      <c r="Q6760" s="3">
        <f t="shared" si="7"/>
        <v>0.00310318076</v>
      </c>
      <c r="R6760" s="2">
        <v>3867.0</v>
      </c>
      <c r="S6760" s="5">
        <f t="shared" si="8"/>
        <v>1</v>
      </c>
    </row>
    <row r="6761">
      <c r="A6761" s="2" t="s">
        <v>6758</v>
      </c>
      <c r="B6761" s="2">
        <v>197.0</v>
      </c>
      <c r="C6761" s="2">
        <v>2350.0</v>
      </c>
      <c r="D6761" s="2">
        <v>605.0</v>
      </c>
      <c r="E6761" s="3">
        <f t="shared" si="1"/>
        <v>0.2810032513</v>
      </c>
      <c r="F6761" s="2">
        <v>244.0</v>
      </c>
      <c r="G6761" s="3">
        <f t="shared" si="2"/>
        <v>0.1133302369</v>
      </c>
      <c r="H6761" s="2">
        <v>385.0</v>
      </c>
      <c r="I6761" s="3">
        <f t="shared" si="3"/>
        <v>0.1788202508</v>
      </c>
      <c r="J6761" s="2">
        <v>453.0</v>
      </c>
      <c r="K6761" s="3">
        <f t="shared" si="4"/>
        <v>0.2104040873</v>
      </c>
      <c r="L6761" s="2">
        <v>214.0</v>
      </c>
      <c r="M6761" s="3">
        <f t="shared" si="5"/>
        <v>0.5558441558</v>
      </c>
      <c r="N6761" s="2">
        <v>2392600.0</v>
      </c>
      <c r="O6761" s="4">
        <f t="shared" si="6"/>
        <v>6214.545455</v>
      </c>
      <c r="P6761" s="2">
        <v>0.0</v>
      </c>
      <c r="Q6761" s="3">
        <f t="shared" si="7"/>
        <v>0</v>
      </c>
      <c r="R6761" s="2">
        <v>197.0</v>
      </c>
      <c r="S6761" s="5">
        <f t="shared" si="8"/>
        <v>1</v>
      </c>
    </row>
    <row r="6762">
      <c r="A6762" s="2" t="s">
        <v>6759</v>
      </c>
      <c r="B6762" s="2">
        <v>800.0</v>
      </c>
      <c r="C6762" s="2">
        <v>9474.0</v>
      </c>
      <c r="D6762" s="2">
        <v>2718.0</v>
      </c>
      <c r="E6762" s="3">
        <f t="shared" si="1"/>
        <v>0.3133502421</v>
      </c>
      <c r="F6762" s="2">
        <v>983.0</v>
      </c>
      <c r="G6762" s="3">
        <f t="shared" si="2"/>
        <v>0.1133271847</v>
      </c>
      <c r="H6762" s="2">
        <v>1745.0</v>
      </c>
      <c r="I6762" s="3">
        <f t="shared" si="3"/>
        <v>0.2011759281</v>
      </c>
      <c r="J6762" s="2">
        <v>1574.0</v>
      </c>
      <c r="K6762" s="3">
        <f t="shared" si="4"/>
        <v>0.18146184</v>
      </c>
      <c r="L6762" s="2">
        <v>973.0</v>
      </c>
      <c r="M6762" s="3">
        <f t="shared" si="5"/>
        <v>0.5575931232</v>
      </c>
      <c r="N6762" s="2">
        <v>1.08387E7</v>
      </c>
      <c r="O6762" s="4">
        <f t="shared" si="6"/>
        <v>6211.289398</v>
      </c>
      <c r="P6762" s="2">
        <v>6.0</v>
      </c>
      <c r="Q6762" s="3">
        <f t="shared" si="7"/>
        <v>0.0075</v>
      </c>
      <c r="R6762" s="2">
        <v>800.0</v>
      </c>
      <c r="S6762" s="5">
        <f t="shared" si="8"/>
        <v>1</v>
      </c>
    </row>
    <row r="6763">
      <c r="A6763" s="2" t="s">
        <v>6760</v>
      </c>
      <c r="B6763" s="2">
        <v>92.0</v>
      </c>
      <c r="C6763" s="2">
        <v>1054.0</v>
      </c>
      <c r="D6763" s="2">
        <v>318.0</v>
      </c>
      <c r="E6763" s="3">
        <f t="shared" si="1"/>
        <v>0.3305613306</v>
      </c>
      <c r="F6763" s="2">
        <v>109.0</v>
      </c>
      <c r="G6763" s="3">
        <f t="shared" si="2"/>
        <v>0.1133056133</v>
      </c>
      <c r="H6763" s="2">
        <v>171.0</v>
      </c>
      <c r="I6763" s="3">
        <f t="shared" si="3"/>
        <v>0.1777546778</v>
      </c>
      <c r="J6763" s="2">
        <v>152.0</v>
      </c>
      <c r="K6763" s="3">
        <f t="shared" si="4"/>
        <v>0.158004158</v>
      </c>
      <c r="L6763" s="2">
        <v>91.0</v>
      </c>
      <c r="M6763" s="3">
        <f t="shared" si="5"/>
        <v>0.5321637427</v>
      </c>
      <c r="N6763" s="2">
        <v>1016300.0</v>
      </c>
      <c r="O6763" s="4">
        <f t="shared" si="6"/>
        <v>5943.274854</v>
      </c>
      <c r="P6763" s="2">
        <v>0.0</v>
      </c>
      <c r="Q6763" s="3">
        <f t="shared" si="7"/>
        <v>0</v>
      </c>
      <c r="R6763" s="2">
        <v>0.0</v>
      </c>
      <c r="S6763" s="5">
        <f t="shared" si="8"/>
        <v>0</v>
      </c>
    </row>
    <row r="6764">
      <c r="A6764" s="2" t="s">
        <v>6761</v>
      </c>
      <c r="B6764" s="2">
        <v>1064.0</v>
      </c>
      <c r="C6764" s="2">
        <v>12458.0</v>
      </c>
      <c r="D6764" s="2">
        <v>3922.0</v>
      </c>
      <c r="E6764" s="3">
        <f t="shared" si="1"/>
        <v>0.3442162542</v>
      </c>
      <c r="F6764" s="2">
        <v>1291.0</v>
      </c>
      <c r="G6764" s="3">
        <f t="shared" si="2"/>
        <v>0.1133052484</v>
      </c>
      <c r="H6764" s="2">
        <v>2374.0</v>
      </c>
      <c r="I6764" s="3">
        <f t="shared" si="3"/>
        <v>0.2083552747</v>
      </c>
      <c r="J6764" s="2">
        <v>1762.0</v>
      </c>
      <c r="K6764" s="3">
        <f t="shared" si="4"/>
        <v>0.1546427945</v>
      </c>
      <c r="L6764" s="2">
        <v>1427.0</v>
      </c>
      <c r="M6764" s="3">
        <f t="shared" si="5"/>
        <v>0.601095198</v>
      </c>
      <c r="N6764" s="2">
        <v>1.29881E7</v>
      </c>
      <c r="O6764" s="4">
        <f t="shared" si="6"/>
        <v>5470.977254</v>
      </c>
      <c r="P6764" s="2">
        <v>1.0</v>
      </c>
      <c r="Q6764" s="3">
        <f t="shared" si="7"/>
        <v>0.0009398496241</v>
      </c>
      <c r="R6764" s="2">
        <v>1064.0</v>
      </c>
      <c r="S6764" s="5">
        <f t="shared" si="8"/>
        <v>1</v>
      </c>
    </row>
    <row r="6765">
      <c r="A6765" s="2" t="s">
        <v>6762</v>
      </c>
      <c r="B6765" s="2">
        <v>288.0</v>
      </c>
      <c r="C6765" s="2">
        <v>3430.0</v>
      </c>
      <c r="D6765" s="2">
        <v>1143.0</v>
      </c>
      <c r="E6765" s="3">
        <f t="shared" si="1"/>
        <v>0.3637810312</v>
      </c>
      <c r="F6765" s="2">
        <v>356.0</v>
      </c>
      <c r="G6765" s="3">
        <f t="shared" si="2"/>
        <v>0.1133036283</v>
      </c>
      <c r="H6765" s="2">
        <v>641.0</v>
      </c>
      <c r="I6765" s="3">
        <f t="shared" si="3"/>
        <v>0.2040101846</v>
      </c>
      <c r="J6765" s="2">
        <v>554.0</v>
      </c>
      <c r="K6765" s="3">
        <f t="shared" si="4"/>
        <v>0.1763208148</v>
      </c>
      <c r="L6765" s="2">
        <v>384.0</v>
      </c>
      <c r="M6765" s="3">
        <f t="shared" si="5"/>
        <v>0.5990639626</v>
      </c>
      <c r="N6765" s="2">
        <v>3309900.0</v>
      </c>
      <c r="O6765" s="4">
        <f t="shared" si="6"/>
        <v>5163.650546</v>
      </c>
      <c r="P6765" s="2">
        <v>1.0</v>
      </c>
      <c r="Q6765" s="3">
        <f t="shared" si="7"/>
        <v>0.003472222222</v>
      </c>
      <c r="R6765" s="2">
        <v>10.0</v>
      </c>
      <c r="S6765" s="5">
        <f t="shared" si="8"/>
        <v>0.03472222222</v>
      </c>
    </row>
    <row r="6766">
      <c r="A6766" s="2" t="s">
        <v>6763</v>
      </c>
      <c r="B6766" s="2">
        <v>103.0</v>
      </c>
      <c r="C6766" s="2">
        <v>1224.0</v>
      </c>
      <c r="D6766" s="2">
        <v>353.0</v>
      </c>
      <c r="E6766" s="3">
        <f t="shared" si="1"/>
        <v>0.314897413</v>
      </c>
      <c r="F6766" s="2">
        <v>127.0</v>
      </c>
      <c r="G6766" s="3">
        <f t="shared" si="2"/>
        <v>0.1132917038</v>
      </c>
      <c r="H6766" s="2">
        <v>248.0</v>
      </c>
      <c r="I6766" s="3">
        <f t="shared" si="3"/>
        <v>0.2212310437</v>
      </c>
      <c r="J6766" s="2">
        <v>174.0</v>
      </c>
      <c r="K6766" s="3">
        <f t="shared" si="4"/>
        <v>0.1552185549</v>
      </c>
      <c r="L6766" s="2">
        <v>153.0</v>
      </c>
      <c r="M6766" s="3">
        <f t="shared" si="5"/>
        <v>0.6169354839</v>
      </c>
      <c r="N6766" s="2">
        <v>1353300.0</v>
      </c>
      <c r="O6766" s="4">
        <f t="shared" si="6"/>
        <v>5456.854839</v>
      </c>
      <c r="P6766" s="2">
        <v>0.0</v>
      </c>
      <c r="Q6766" s="3">
        <f t="shared" si="7"/>
        <v>0</v>
      </c>
      <c r="R6766" s="2">
        <v>6.0</v>
      </c>
      <c r="S6766" s="5">
        <f t="shared" si="8"/>
        <v>0.05825242718</v>
      </c>
    </row>
    <row r="6767">
      <c r="A6767" s="2" t="s">
        <v>6764</v>
      </c>
      <c r="B6767" s="2">
        <v>131.0</v>
      </c>
      <c r="C6767" s="2">
        <v>1517.0</v>
      </c>
      <c r="D6767" s="2">
        <v>512.0</v>
      </c>
      <c r="E6767" s="3">
        <f t="shared" si="1"/>
        <v>0.3694083694</v>
      </c>
      <c r="F6767" s="2">
        <v>157.0</v>
      </c>
      <c r="G6767" s="3">
        <f t="shared" si="2"/>
        <v>0.1132756133</v>
      </c>
      <c r="H6767" s="2">
        <v>290.0</v>
      </c>
      <c r="I6767" s="3">
        <f t="shared" si="3"/>
        <v>0.2092352092</v>
      </c>
      <c r="J6767" s="2">
        <v>235.0</v>
      </c>
      <c r="K6767" s="3">
        <f t="shared" si="4"/>
        <v>0.1695526696</v>
      </c>
      <c r="L6767" s="2">
        <v>165.0</v>
      </c>
      <c r="M6767" s="3">
        <f t="shared" si="5"/>
        <v>0.5689655172</v>
      </c>
      <c r="N6767" s="2">
        <v>1475800.0</v>
      </c>
      <c r="O6767" s="4">
        <f t="shared" si="6"/>
        <v>5088.965517</v>
      </c>
      <c r="P6767" s="2">
        <v>1.0</v>
      </c>
      <c r="Q6767" s="3">
        <f t="shared" si="7"/>
        <v>0.007633587786</v>
      </c>
      <c r="R6767" s="2">
        <v>131.0</v>
      </c>
      <c r="S6767" s="5">
        <f t="shared" si="8"/>
        <v>1</v>
      </c>
    </row>
    <row r="6768">
      <c r="A6768" s="2" t="s">
        <v>6765</v>
      </c>
      <c r="B6768" s="2">
        <v>1084.0</v>
      </c>
      <c r="C6768" s="2">
        <v>12667.0</v>
      </c>
      <c r="D6768" s="2">
        <v>3609.0</v>
      </c>
      <c r="E6768" s="3">
        <f t="shared" si="1"/>
        <v>0.3115773116</v>
      </c>
      <c r="F6768" s="2">
        <v>1312.0</v>
      </c>
      <c r="G6768" s="3">
        <f t="shared" si="2"/>
        <v>0.1132694466</v>
      </c>
      <c r="H6768" s="2">
        <v>2291.0</v>
      </c>
      <c r="I6768" s="3">
        <f t="shared" si="3"/>
        <v>0.1977898645</v>
      </c>
      <c r="J6768" s="2">
        <v>1852.0</v>
      </c>
      <c r="K6768" s="3">
        <f t="shared" si="4"/>
        <v>0.1598894932</v>
      </c>
      <c r="L6768" s="2">
        <v>1405.0</v>
      </c>
      <c r="M6768" s="3">
        <f t="shared" si="5"/>
        <v>0.6132693147</v>
      </c>
      <c r="N6768" s="2">
        <v>1.34876E7</v>
      </c>
      <c r="O6768" s="4">
        <f t="shared" si="6"/>
        <v>5887.210825</v>
      </c>
      <c r="P6768" s="2">
        <v>4.0</v>
      </c>
      <c r="Q6768" s="3">
        <f t="shared" si="7"/>
        <v>0.0036900369</v>
      </c>
      <c r="R6768" s="2">
        <v>1084.0</v>
      </c>
      <c r="S6768" s="5">
        <f t="shared" si="8"/>
        <v>1</v>
      </c>
    </row>
    <row r="6769">
      <c r="A6769" s="2" t="s">
        <v>6766</v>
      </c>
      <c r="B6769" s="2">
        <v>846.0</v>
      </c>
      <c r="C6769" s="2">
        <v>9966.0</v>
      </c>
      <c r="D6769" s="2">
        <v>3396.0</v>
      </c>
      <c r="E6769" s="3">
        <f t="shared" si="1"/>
        <v>0.3723684211</v>
      </c>
      <c r="F6769" s="2">
        <v>1033.0</v>
      </c>
      <c r="G6769" s="3">
        <f t="shared" si="2"/>
        <v>0.1132675439</v>
      </c>
      <c r="H6769" s="2">
        <v>1873.0</v>
      </c>
      <c r="I6769" s="3">
        <f t="shared" si="3"/>
        <v>0.205372807</v>
      </c>
      <c r="J6769" s="2">
        <v>1546.0</v>
      </c>
      <c r="K6769" s="3">
        <f t="shared" si="4"/>
        <v>0.1695175439</v>
      </c>
      <c r="L6769" s="2">
        <v>1070.0</v>
      </c>
      <c r="M6769" s="3">
        <f t="shared" si="5"/>
        <v>0.5712760278</v>
      </c>
      <c r="N6769" s="2">
        <v>1.02015E7</v>
      </c>
      <c r="O6769" s="4">
        <f t="shared" si="6"/>
        <v>5446.609717</v>
      </c>
      <c r="P6769" s="2">
        <v>3.0</v>
      </c>
      <c r="Q6769" s="3">
        <f t="shared" si="7"/>
        <v>0.003546099291</v>
      </c>
      <c r="R6769" s="2">
        <v>846.0</v>
      </c>
      <c r="S6769" s="5">
        <f t="shared" si="8"/>
        <v>1</v>
      </c>
    </row>
    <row r="6770">
      <c r="A6770" s="2" t="s">
        <v>6767</v>
      </c>
      <c r="B6770" s="2">
        <v>185.0</v>
      </c>
      <c r="C6770" s="2">
        <v>2198.0</v>
      </c>
      <c r="D6770" s="2">
        <v>804.0</v>
      </c>
      <c r="E6770" s="3">
        <f t="shared" si="1"/>
        <v>0.3994038748</v>
      </c>
      <c r="F6770" s="2">
        <v>228.0</v>
      </c>
      <c r="G6770" s="3">
        <f t="shared" si="2"/>
        <v>0.1132637854</v>
      </c>
      <c r="H6770" s="2">
        <v>407.0</v>
      </c>
      <c r="I6770" s="3">
        <f t="shared" si="3"/>
        <v>0.2021857923</v>
      </c>
      <c r="J6770" s="2">
        <v>249.0</v>
      </c>
      <c r="K6770" s="3">
        <f t="shared" si="4"/>
        <v>0.1236959762</v>
      </c>
      <c r="L6770" s="2">
        <v>246.0</v>
      </c>
      <c r="M6770" s="3">
        <f t="shared" si="5"/>
        <v>0.6044226044</v>
      </c>
      <c r="N6770" s="2">
        <v>2274700.0</v>
      </c>
      <c r="O6770" s="4">
        <f t="shared" si="6"/>
        <v>5588.943489</v>
      </c>
      <c r="P6770" s="2">
        <v>1.0</v>
      </c>
      <c r="Q6770" s="3">
        <f t="shared" si="7"/>
        <v>0.005405405405</v>
      </c>
      <c r="R6770" s="2">
        <v>185.0</v>
      </c>
      <c r="S6770" s="5">
        <f t="shared" si="8"/>
        <v>1</v>
      </c>
    </row>
    <row r="6771">
      <c r="A6771" s="2" t="s">
        <v>6768</v>
      </c>
      <c r="B6771" s="2">
        <v>698.0</v>
      </c>
      <c r="C6771" s="2">
        <v>8168.0</v>
      </c>
      <c r="D6771" s="2">
        <v>2733.0</v>
      </c>
      <c r="E6771" s="3">
        <f t="shared" si="1"/>
        <v>0.3658634538</v>
      </c>
      <c r="F6771" s="2">
        <v>846.0</v>
      </c>
      <c r="G6771" s="3">
        <f t="shared" si="2"/>
        <v>0.113253012</v>
      </c>
      <c r="H6771" s="2">
        <v>1656.0</v>
      </c>
      <c r="I6771" s="3">
        <f t="shared" si="3"/>
        <v>0.221686747</v>
      </c>
      <c r="J6771" s="2">
        <v>1086.0</v>
      </c>
      <c r="K6771" s="3">
        <f t="shared" si="4"/>
        <v>0.1453815261</v>
      </c>
      <c r="L6771" s="2">
        <v>1000.0</v>
      </c>
      <c r="M6771" s="3">
        <f t="shared" si="5"/>
        <v>0.6038647343</v>
      </c>
      <c r="N6771" s="2">
        <v>8923000.0</v>
      </c>
      <c r="O6771" s="4">
        <f t="shared" si="6"/>
        <v>5388.285024</v>
      </c>
      <c r="P6771" s="2">
        <v>0.0</v>
      </c>
      <c r="Q6771" s="3">
        <f t="shared" si="7"/>
        <v>0</v>
      </c>
      <c r="R6771" s="2">
        <v>698.0</v>
      </c>
      <c r="S6771" s="5">
        <f t="shared" si="8"/>
        <v>1</v>
      </c>
    </row>
    <row r="6772">
      <c r="A6772" s="2" t="s">
        <v>6769</v>
      </c>
      <c r="B6772" s="2">
        <v>201.0</v>
      </c>
      <c r="C6772" s="2">
        <v>2382.0</v>
      </c>
      <c r="D6772" s="2">
        <v>824.0</v>
      </c>
      <c r="E6772" s="3">
        <f t="shared" si="1"/>
        <v>0.3778083448</v>
      </c>
      <c r="F6772" s="2">
        <v>247.0</v>
      </c>
      <c r="G6772" s="3">
        <f t="shared" si="2"/>
        <v>0.1132508024</v>
      </c>
      <c r="H6772" s="2">
        <v>424.0</v>
      </c>
      <c r="I6772" s="3">
        <f t="shared" si="3"/>
        <v>0.1944062357</v>
      </c>
      <c r="J6772" s="2">
        <v>259.0</v>
      </c>
      <c r="K6772" s="3">
        <f t="shared" si="4"/>
        <v>0.1187528657</v>
      </c>
      <c r="L6772" s="2">
        <v>251.0</v>
      </c>
      <c r="M6772" s="3">
        <f t="shared" si="5"/>
        <v>0.5919811321</v>
      </c>
      <c r="N6772" s="2">
        <v>2272000.0</v>
      </c>
      <c r="O6772" s="4">
        <f t="shared" si="6"/>
        <v>5358.490566</v>
      </c>
      <c r="P6772" s="2">
        <v>0.0</v>
      </c>
      <c r="Q6772" s="3">
        <f t="shared" si="7"/>
        <v>0</v>
      </c>
      <c r="R6772" s="2">
        <v>201.0</v>
      </c>
      <c r="S6772" s="5">
        <f t="shared" si="8"/>
        <v>1</v>
      </c>
    </row>
    <row r="6773">
      <c r="A6773" s="2" t="s">
        <v>6770</v>
      </c>
      <c r="B6773" s="2">
        <v>42.0</v>
      </c>
      <c r="C6773" s="2">
        <v>510.0</v>
      </c>
      <c r="D6773" s="2">
        <v>159.0</v>
      </c>
      <c r="E6773" s="3">
        <f t="shared" si="1"/>
        <v>0.3397435897</v>
      </c>
      <c r="F6773" s="2">
        <v>53.0</v>
      </c>
      <c r="G6773" s="3">
        <f t="shared" si="2"/>
        <v>0.1132478632</v>
      </c>
      <c r="H6773" s="2">
        <v>94.0</v>
      </c>
      <c r="I6773" s="3">
        <f t="shared" si="3"/>
        <v>0.2008547009</v>
      </c>
      <c r="J6773" s="2">
        <v>83.0</v>
      </c>
      <c r="K6773" s="3">
        <f t="shared" si="4"/>
        <v>0.1773504274</v>
      </c>
      <c r="L6773" s="2">
        <v>64.0</v>
      </c>
      <c r="M6773" s="3">
        <f t="shared" si="5"/>
        <v>0.6808510638</v>
      </c>
      <c r="N6773" s="2">
        <v>486000.0</v>
      </c>
      <c r="O6773" s="4">
        <f t="shared" si="6"/>
        <v>5170.212766</v>
      </c>
      <c r="P6773" s="2">
        <v>0.0</v>
      </c>
      <c r="Q6773" s="3">
        <f t="shared" si="7"/>
        <v>0</v>
      </c>
      <c r="R6773" s="2">
        <v>40.0</v>
      </c>
      <c r="S6773" s="5">
        <f t="shared" si="8"/>
        <v>0.9523809524</v>
      </c>
    </row>
    <row r="6774">
      <c r="A6774" s="2" t="s">
        <v>6771</v>
      </c>
      <c r="B6774" s="2">
        <v>351.0</v>
      </c>
      <c r="C6774" s="2">
        <v>4095.0</v>
      </c>
      <c r="D6774" s="2">
        <v>1068.0</v>
      </c>
      <c r="E6774" s="3">
        <f t="shared" si="1"/>
        <v>0.2852564103</v>
      </c>
      <c r="F6774" s="2">
        <v>424.0</v>
      </c>
      <c r="G6774" s="3">
        <f t="shared" si="2"/>
        <v>0.1132478632</v>
      </c>
      <c r="H6774" s="2">
        <v>706.0</v>
      </c>
      <c r="I6774" s="3">
        <f t="shared" si="3"/>
        <v>0.1885683761</v>
      </c>
      <c r="J6774" s="2">
        <v>570.0</v>
      </c>
      <c r="K6774" s="3">
        <f t="shared" si="4"/>
        <v>0.1522435897</v>
      </c>
      <c r="L6774" s="2">
        <v>427.0</v>
      </c>
      <c r="M6774" s="3">
        <f t="shared" si="5"/>
        <v>0.604815864</v>
      </c>
      <c r="N6774" s="2">
        <v>4193400.0</v>
      </c>
      <c r="O6774" s="4">
        <f t="shared" si="6"/>
        <v>5939.660057</v>
      </c>
      <c r="P6774" s="2">
        <v>3.0</v>
      </c>
      <c r="Q6774" s="3">
        <f t="shared" si="7"/>
        <v>0.008547008547</v>
      </c>
      <c r="R6774" s="2">
        <v>351.0</v>
      </c>
      <c r="S6774" s="5">
        <f t="shared" si="8"/>
        <v>1</v>
      </c>
    </row>
    <row r="6775">
      <c r="A6775" s="2" t="s">
        <v>6772</v>
      </c>
      <c r="B6775" s="2">
        <v>1029.0</v>
      </c>
      <c r="C6775" s="2">
        <v>12024.0</v>
      </c>
      <c r="D6775" s="2">
        <v>3831.0</v>
      </c>
      <c r="E6775" s="3">
        <f t="shared" si="1"/>
        <v>0.348431105</v>
      </c>
      <c r="F6775" s="2">
        <v>1245.0</v>
      </c>
      <c r="G6775" s="3">
        <f t="shared" si="2"/>
        <v>0.1132332879</v>
      </c>
      <c r="H6775" s="2">
        <v>2401.0</v>
      </c>
      <c r="I6775" s="3">
        <f t="shared" si="3"/>
        <v>0.2183719873</v>
      </c>
      <c r="J6775" s="2">
        <v>1866.0</v>
      </c>
      <c r="K6775" s="3">
        <f t="shared" si="4"/>
        <v>0.1697135061</v>
      </c>
      <c r="L6775" s="2">
        <v>1487.0</v>
      </c>
      <c r="M6775" s="3">
        <f t="shared" si="5"/>
        <v>0.6193252811</v>
      </c>
      <c r="N6775" s="2">
        <v>1.28526E7</v>
      </c>
      <c r="O6775" s="4">
        <f t="shared" si="6"/>
        <v>5353.019575</v>
      </c>
      <c r="P6775" s="2">
        <v>0.0</v>
      </c>
      <c r="Q6775" s="3">
        <f t="shared" si="7"/>
        <v>0</v>
      </c>
      <c r="R6775" s="2">
        <v>1029.0</v>
      </c>
      <c r="S6775" s="5">
        <f t="shared" si="8"/>
        <v>1</v>
      </c>
    </row>
    <row r="6776">
      <c r="A6776" s="2" t="s">
        <v>6773</v>
      </c>
      <c r="B6776" s="2">
        <v>368.0</v>
      </c>
      <c r="C6776" s="2">
        <v>4254.0</v>
      </c>
      <c r="D6776" s="2">
        <v>1242.0</v>
      </c>
      <c r="E6776" s="3">
        <f t="shared" si="1"/>
        <v>0.3196088523</v>
      </c>
      <c r="F6776" s="2">
        <v>440.0</v>
      </c>
      <c r="G6776" s="3">
        <f t="shared" si="2"/>
        <v>0.1132269686</v>
      </c>
      <c r="H6776" s="2">
        <v>803.0</v>
      </c>
      <c r="I6776" s="3">
        <f t="shared" si="3"/>
        <v>0.2066392177</v>
      </c>
      <c r="J6776" s="2">
        <v>778.0</v>
      </c>
      <c r="K6776" s="3">
        <f t="shared" si="4"/>
        <v>0.2002058672</v>
      </c>
      <c r="L6776" s="2">
        <v>475.0</v>
      </c>
      <c r="M6776" s="3">
        <f t="shared" si="5"/>
        <v>0.5915317559</v>
      </c>
      <c r="N6776" s="2">
        <v>4794800.0</v>
      </c>
      <c r="O6776" s="4">
        <f t="shared" si="6"/>
        <v>5971.108344</v>
      </c>
      <c r="P6776" s="2">
        <v>2.0</v>
      </c>
      <c r="Q6776" s="3">
        <f t="shared" si="7"/>
        <v>0.005434782609</v>
      </c>
      <c r="R6776" s="2">
        <v>114.0</v>
      </c>
      <c r="S6776" s="5">
        <f t="shared" si="8"/>
        <v>0.3097826087</v>
      </c>
    </row>
    <row r="6777">
      <c r="A6777" s="2" t="s">
        <v>6774</v>
      </c>
      <c r="B6777" s="2">
        <v>1408.0</v>
      </c>
      <c r="C6777" s="2">
        <v>16326.0</v>
      </c>
      <c r="D6777" s="2">
        <v>4729.0</v>
      </c>
      <c r="E6777" s="3">
        <f t="shared" si="1"/>
        <v>0.3169995978</v>
      </c>
      <c r="F6777" s="2">
        <v>1689.0</v>
      </c>
      <c r="G6777" s="3">
        <f t="shared" si="2"/>
        <v>0.1132189302</v>
      </c>
      <c r="H6777" s="2">
        <v>2900.0</v>
      </c>
      <c r="I6777" s="3">
        <f t="shared" si="3"/>
        <v>0.1943960316</v>
      </c>
      <c r="J6777" s="2">
        <v>2479.0</v>
      </c>
      <c r="K6777" s="3">
        <f t="shared" si="4"/>
        <v>0.1661750905</v>
      </c>
      <c r="L6777" s="2">
        <v>1660.0</v>
      </c>
      <c r="M6777" s="3">
        <f t="shared" si="5"/>
        <v>0.5724137931</v>
      </c>
      <c r="N6777" s="2">
        <v>1.71615E7</v>
      </c>
      <c r="O6777" s="4">
        <f t="shared" si="6"/>
        <v>5917.758621</v>
      </c>
      <c r="P6777" s="2">
        <v>2.0</v>
      </c>
      <c r="Q6777" s="3">
        <f t="shared" si="7"/>
        <v>0.001420454545</v>
      </c>
      <c r="R6777" s="2">
        <v>0.0</v>
      </c>
      <c r="S6777" s="5">
        <f t="shared" si="8"/>
        <v>0</v>
      </c>
    </row>
    <row r="6778">
      <c r="A6778" s="2" t="s">
        <v>6775</v>
      </c>
      <c r="B6778" s="2">
        <v>188.0</v>
      </c>
      <c r="C6778" s="2">
        <v>2202.0</v>
      </c>
      <c r="D6778" s="2">
        <v>548.0</v>
      </c>
      <c r="E6778" s="3">
        <f t="shared" si="1"/>
        <v>0.2720953327</v>
      </c>
      <c r="F6778" s="2">
        <v>228.0</v>
      </c>
      <c r="G6778" s="3">
        <f t="shared" si="2"/>
        <v>0.1132075472</v>
      </c>
      <c r="H6778" s="2">
        <v>374.0</v>
      </c>
      <c r="I6778" s="3">
        <f t="shared" si="3"/>
        <v>0.1857000993</v>
      </c>
      <c r="J6778" s="2">
        <v>396.0</v>
      </c>
      <c r="K6778" s="3">
        <f t="shared" si="4"/>
        <v>0.1966236346</v>
      </c>
      <c r="L6778" s="2">
        <v>204.0</v>
      </c>
      <c r="M6778" s="3">
        <f t="shared" si="5"/>
        <v>0.5454545455</v>
      </c>
      <c r="N6778" s="2">
        <v>2144400.0</v>
      </c>
      <c r="O6778" s="4">
        <f t="shared" si="6"/>
        <v>5733.68984</v>
      </c>
      <c r="P6778" s="2">
        <v>0.0</v>
      </c>
      <c r="Q6778" s="3">
        <f t="shared" si="7"/>
        <v>0</v>
      </c>
      <c r="R6778" s="2">
        <v>0.0</v>
      </c>
      <c r="S6778" s="5">
        <f t="shared" si="8"/>
        <v>0</v>
      </c>
    </row>
    <row r="6779">
      <c r="A6779" s="2" t="s">
        <v>6776</v>
      </c>
      <c r="B6779" s="2">
        <v>1006.0</v>
      </c>
      <c r="C6779" s="2">
        <v>11935.0</v>
      </c>
      <c r="D6779" s="2">
        <v>4276.0</v>
      </c>
      <c r="E6779" s="3">
        <f t="shared" si="1"/>
        <v>0.3912526306</v>
      </c>
      <c r="F6779" s="2">
        <v>1237.0</v>
      </c>
      <c r="G6779" s="3">
        <f t="shared" si="2"/>
        <v>0.1131851039</v>
      </c>
      <c r="H6779" s="2">
        <v>2277.0</v>
      </c>
      <c r="I6779" s="3">
        <f t="shared" si="3"/>
        <v>0.2083447708</v>
      </c>
      <c r="J6779" s="2">
        <v>1790.0</v>
      </c>
      <c r="K6779" s="3">
        <f t="shared" si="4"/>
        <v>0.1637844268</v>
      </c>
      <c r="L6779" s="2">
        <v>1327.0</v>
      </c>
      <c r="M6779" s="3">
        <f t="shared" si="5"/>
        <v>0.5827843654</v>
      </c>
      <c r="N6779" s="2">
        <v>1.26736E7</v>
      </c>
      <c r="O6779" s="4">
        <f t="shared" si="6"/>
        <v>5565.92007</v>
      </c>
      <c r="P6779" s="2">
        <v>0.0</v>
      </c>
      <c r="Q6779" s="3">
        <f t="shared" si="7"/>
        <v>0</v>
      </c>
      <c r="R6779" s="2">
        <v>309.0</v>
      </c>
      <c r="S6779" s="5">
        <f t="shared" si="8"/>
        <v>0.3071570577</v>
      </c>
    </row>
    <row r="6780">
      <c r="A6780" s="2" t="s">
        <v>6777</v>
      </c>
      <c r="B6780" s="2">
        <v>299.0</v>
      </c>
      <c r="C6780" s="2">
        <v>3462.0</v>
      </c>
      <c r="D6780" s="2">
        <v>1142.0</v>
      </c>
      <c r="E6780" s="3">
        <f t="shared" si="1"/>
        <v>0.3610496364</v>
      </c>
      <c r="F6780" s="2">
        <v>358.0</v>
      </c>
      <c r="G6780" s="3">
        <f t="shared" si="2"/>
        <v>0.1131836864</v>
      </c>
      <c r="H6780" s="2">
        <v>602.0</v>
      </c>
      <c r="I6780" s="3">
        <f t="shared" si="3"/>
        <v>0.1903256402</v>
      </c>
      <c r="J6780" s="2">
        <v>440.0</v>
      </c>
      <c r="K6780" s="3">
        <f t="shared" si="4"/>
        <v>0.1391084414</v>
      </c>
      <c r="L6780" s="2">
        <v>355.0</v>
      </c>
      <c r="M6780" s="3">
        <f t="shared" si="5"/>
        <v>0.5897009967</v>
      </c>
      <c r="N6780" s="2">
        <v>3287200.0</v>
      </c>
      <c r="O6780" s="4">
        <f t="shared" si="6"/>
        <v>5460.465116</v>
      </c>
      <c r="P6780" s="2">
        <v>0.0</v>
      </c>
      <c r="Q6780" s="3">
        <f t="shared" si="7"/>
        <v>0</v>
      </c>
      <c r="R6780" s="2">
        <v>299.0</v>
      </c>
      <c r="S6780" s="5">
        <f t="shared" si="8"/>
        <v>1</v>
      </c>
    </row>
    <row r="6781">
      <c r="A6781" s="2" t="s">
        <v>6778</v>
      </c>
      <c r="B6781" s="2">
        <v>282.0</v>
      </c>
      <c r="C6781" s="2">
        <v>3339.0</v>
      </c>
      <c r="D6781" s="2">
        <v>916.0</v>
      </c>
      <c r="E6781" s="3">
        <f t="shared" si="1"/>
        <v>0.2996401701</v>
      </c>
      <c r="F6781" s="2">
        <v>346.0</v>
      </c>
      <c r="G6781" s="3">
        <f t="shared" si="2"/>
        <v>0.113182859</v>
      </c>
      <c r="H6781" s="2">
        <v>633.0</v>
      </c>
      <c r="I6781" s="3">
        <f t="shared" si="3"/>
        <v>0.2070657507</v>
      </c>
      <c r="J6781" s="2">
        <v>498.0</v>
      </c>
      <c r="K6781" s="3">
        <f t="shared" si="4"/>
        <v>0.1629048086</v>
      </c>
      <c r="L6781" s="2">
        <v>399.0</v>
      </c>
      <c r="M6781" s="3">
        <f t="shared" si="5"/>
        <v>0.6303317536</v>
      </c>
      <c r="N6781" s="2">
        <v>3672300.0</v>
      </c>
      <c r="O6781" s="4">
        <f t="shared" si="6"/>
        <v>5801.421801</v>
      </c>
      <c r="P6781" s="2">
        <v>1.0</v>
      </c>
      <c r="Q6781" s="3">
        <f t="shared" si="7"/>
        <v>0.003546099291</v>
      </c>
      <c r="R6781" s="2">
        <v>0.0</v>
      </c>
      <c r="S6781" s="5">
        <f t="shared" si="8"/>
        <v>0</v>
      </c>
    </row>
    <row r="6782">
      <c r="A6782" s="2" t="s">
        <v>6779</v>
      </c>
      <c r="B6782" s="2">
        <v>1225.0</v>
      </c>
      <c r="C6782" s="2">
        <v>14523.0</v>
      </c>
      <c r="D6782" s="2">
        <v>4833.0</v>
      </c>
      <c r="E6782" s="3">
        <f t="shared" si="1"/>
        <v>0.363438111</v>
      </c>
      <c r="F6782" s="2">
        <v>1505.0</v>
      </c>
      <c r="G6782" s="3">
        <f t="shared" si="2"/>
        <v>0.1131749135</v>
      </c>
      <c r="H6782" s="2">
        <v>2715.0</v>
      </c>
      <c r="I6782" s="3">
        <f t="shared" si="3"/>
        <v>0.20416604</v>
      </c>
      <c r="J6782" s="2">
        <v>2202.0</v>
      </c>
      <c r="K6782" s="3">
        <f t="shared" si="4"/>
        <v>0.1655888103</v>
      </c>
      <c r="L6782" s="2">
        <v>1659.0</v>
      </c>
      <c r="M6782" s="3">
        <f t="shared" si="5"/>
        <v>0.6110497238</v>
      </c>
      <c r="N6782" s="2">
        <v>1.51365E7</v>
      </c>
      <c r="O6782" s="4">
        <f t="shared" si="6"/>
        <v>5575.138122</v>
      </c>
      <c r="P6782" s="2">
        <v>1.0</v>
      </c>
      <c r="Q6782" s="3">
        <f t="shared" si="7"/>
        <v>0.0008163265306</v>
      </c>
      <c r="R6782" s="2">
        <v>1225.0</v>
      </c>
      <c r="S6782" s="5">
        <f t="shared" si="8"/>
        <v>1</v>
      </c>
    </row>
    <row r="6783">
      <c r="A6783" s="2" t="s">
        <v>6780</v>
      </c>
      <c r="B6783" s="2">
        <v>98.0</v>
      </c>
      <c r="C6783" s="2">
        <v>1176.0</v>
      </c>
      <c r="D6783" s="2">
        <v>437.0</v>
      </c>
      <c r="E6783" s="3">
        <f t="shared" si="1"/>
        <v>0.405380334</v>
      </c>
      <c r="F6783" s="2">
        <v>122.0</v>
      </c>
      <c r="G6783" s="3">
        <f t="shared" si="2"/>
        <v>0.1131725417</v>
      </c>
      <c r="H6783" s="2">
        <v>218.0</v>
      </c>
      <c r="I6783" s="3">
        <f t="shared" si="3"/>
        <v>0.2022263451</v>
      </c>
      <c r="J6783" s="2">
        <v>144.0</v>
      </c>
      <c r="K6783" s="3">
        <f t="shared" si="4"/>
        <v>0.133580705</v>
      </c>
      <c r="L6783" s="2">
        <v>119.0</v>
      </c>
      <c r="M6783" s="3">
        <f t="shared" si="5"/>
        <v>0.5458715596</v>
      </c>
      <c r="N6783" s="2">
        <v>1190400.0</v>
      </c>
      <c r="O6783" s="4">
        <f t="shared" si="6"/>
        <v>5460.550459</v>
      </c>
      <c r="P6783" s="2">
        <v>0.0</v>
      </c>
      <c r="Q6783" s="3">
        <f t="shared" si="7"/>
        <v>0</v>
      </c>
      <c r="R6783" s="2">
        <v>0.0</v>
      </c>
      <c r="S6783" s="5">
        <f t="shared" si="8"/>
        <v>0</v>
      </c>
    </row>
    <row r="6784">
      <c r="A6784" s="2" t="s">
        <v>6781</v>
      </c>
      <c r="B6784" s="2">
        <v>1155.0</v>
      </c>
      <c r="C6784" s="2">
        <v>13698.0</v>
      </c>
      <c r="D6784" s="2">
        <v>4248.0</v>
      </c>
      <c r="E6784" s="3">
        <f t="shared" si="1"/>
        <v>0.3386749581</v>
      </c>
      <c r="F6784" s="2">
        <v>1419.0</v>
      </c>
      <c r="G6784" s="3">
        <f t="shared" si="2"/>
        <v>0.1131308299</v>
      </c>
      <c r="H6784" s="2">
        <v>2621.0</v>
      </c>
      <c r="I6784" s="3">
        <f t="shared" si="3"/>
        <v>0.2089611736</v>
      </c>
      <c r="J6784" s="2">
        <v>1711.0</v>
      </c>
      <c r="K6784" s="3">
        <f t="shared" si="4"/>
        <v>0.136410747</v>
      </c>
      <c r="L6784" s="2">
        <v>1631.0</v>
      </c>
      <c r="M6784" s="3">
        <f t="shared" si="5"/>
        <v>0.6222815719</v>
      </c>
      <c r="N6784" s="2">
        <v>1.38844E7</v>
      </c>
      <c r="O6784" s="4">
        <f t="shared" si="6"/>
        <v>5297.367417</v>
      </c>
      <c r="P6784" s="2">
        <v>3.0</v>
      </c>
      <c r="Q6784" s="3">
        <f t="shared" si="7"/>
        <v>0.002597402597</v>
      </c>
      <c r="R6784" s="2">
        <v>1155.0</v>
      </c>
      <c r="S6784" s="5">
        <f t="shared" si="8"/>
        <v>1</v>
      </c>
    </row>
    <row r="6785">
      <c r="A6785" s="2" t="s">
        <v>6782</v>
      </c>
      <c r="B6785" s="2">
        <v>198.0</v>
      </c>
      <c r="C6785" s="2">
        <v>2346.0</v>
      </c>
      <c r="D6785" s="2">
        <v>629.0</v>
      </c>
      <c r="E6785" s="3">
        <f t="shared" si="1"/>
        <v>0.29283054</v>
      </c>
      <c r="F6785" s="2">
        <v>243.0</v>
      </c>
      <c r="G6785" s="3">
        <f t="shared" si="2"/>
        <v>0.1131284916</v>
      </c>
      <c r="H6785" s="2">
        <v>400.0</v>
      </c>
      <c r="I6785" s="3">
        <f t="shared" si="3"/>
        <v>0.1862197393</v>
      </c>
      <c r="J6785" s="2">
        <v>311.0</v>
      </c>
      <c r="K6785" s="3">
        <f t="shared" si="4"/>
        <v>0.1447858473</v>
      </c>
      <c r="L6785" s="2">
        <v>243.0</v>
      </c>
      <c r="M6785" s="3">
        <f t="shared" si="5"/>
        <v>0.6075</v>
      </c>
      <c r="N6785" s="2">
        <v>2265100.0</v>
      </c>
      <c r="O6785" s="4">
        <f t="shared" si="6"/>
        <v>5662.75</v>
      </c>
      <c r="P6785" s="2">
        <v>1.0</v>
      </c>
      <c r="Q6785" s="3">
        <f t="shared" si="7"/>
        <v>0.005050505051</v>
      </c>
      <c r="R6785" s="2">
        <v>198.0</v>
      </c>
      <c r="S6785" s="5">
        <f t="shared" si="8"/>
        <v>1</v>
      </c>
    </row>
    <row r="6786">
      <c r="A6786" s="2" t="s">
        <v>6783</v>
      </c>
      <c r="B6786" s="2">
        <v>2154.0</v>
      </c>
      <c r="C6786" s="2">
        <v>25252.0</v>
      </c>
      <c r="D6786" s="2">
        <v>7854.0</v>
      </c>
      <c r="E6786" s="3">
        <f t="shared" si="1"/>
        <v>0.3400294398</v>
      </c>
      <c r="F6786" s="2">
        <v>2613.0</v>
      </c>
      <c r="G6786" s="3">
        <f t="shared" si="2"/>
        <v>0.1131266776</v>
      </c>
      <c r="H6786" s="2">
        <v>4757.0</v>
      </c>
      <c r="I6786" s="3">
        <f t="shared" si="3"/>
        <v>0.205948567</v>
      </c>
      <c r="J6786" s="2">
        <v>4151.0</v>
      </c>
      <c r="K6786" s="3">
        <f t="shared" si="4"/>
        <v>0.1797125292</v>
      </c>
      <c r="L6786" s="2">
        <v>2830.0</v>
      </c>
      <c r="M6786" s="3">
        <f t="shared" si="5"/>
        <v>0.5949127601</v>
      </c>
      <c r="N6786" s="2">
        <v>2.66921E7</v>
      </c>
      <c r="O6786" s="4">
        <f t="shared" si="6"/>
        <v>5611.120454</v>
      </c>
      <c r="P6786" s="2">
        <v>5.0</v>
      </c>
      <c r="Q6786" s="3">
        <f t="shared" si="7"/>
        <v>0.002321262767</v>
      </c>
      <c r="R6786" s="2">
        <v>2154.0</v>
      </c>
      <c r="S6786" s="5">
        <f t="shared" si="8"/>
        <v>1</v>
      </c>
    </row>
    <row r="6787">
      <c r="A6787" s="2" t="s">
        <v>6784</v>
      </c>
      <c r="B6787" s="2">
        <v>506.0</v>
      </c>
      <c r="C6787" s="2">
        <v>5934.0</v>
      </c>
      <c r="D6787" s="2">
        <v>1897.0</v>
      </c>
      <c r="E6787" s="3">
        <f t="shared" si="1"/>
        <v>0.3494841562</v>
      </c>
      <c r="F6787" s="2">
        <v>614.0</v>
      </c>
      <c r="G6787" s="3">
        <f t="shared" si="2"/>
        <v>0.1131171702</v>
      </c>
      <c r="H6787" s="2">
        <v>1162.0</v>
      </c>
      <c r="I6787" s="3">
        <f t="shared" si="3"/>
        <v>0.2140751658</v>
      </c>
      <c r="J6787" s="2">
        <v>855.0</v>
      </c>
      <c r="K6787" s="3">
        <f t="shared" si="4"/>
        <v>0.1575165807</v>
      </c>
      <c r="L6787" s="2">
        <v>690.0</v>
      </c>
      <c r="M6787" s="3">
        <f t="shared" si="5"/>
        <v>0.5938037866</v>
      </c>
      <c r="N6787" s="2">
        <v>6274800.0</v>
      </c>
      <c r="O6787" s="4">
        <f t="shared" si="6"/>
        <v>5400</v>
      </c>
      <c r="P6787" s="2">
        <v>1.0</v>
      </c>
      <c r="Q6787" s="3">
        <f t="shared" si="7"/>
        <v>0.001976284585</v>
      </c>
      <c r="R6787" s="2">
        <v>506.0</v>
      </c>
      <c r="S6787" s="5">
        <f t="shared" si="8"/>
        <v>1</v>
      </c>
    </row>
    <row r="6788">
      <c r="A6788" s="2" t="s">
        <v>6785</v>
      </c>
      <c r="B6788" s="2">
        <v>148.0</v>
      </c>
      <c r="C6788" s="2">
        <v>1757.0</v>
      </c>
      <c r="D6788" s="2">
        <v>544.0</v>
      </c>
      <c r="E6788" s="3">
        <f t="shared" si="1"/>
        <v>0.3380981976</v>
      </c>
      <c r="F6788" s="2">
        <v>182.0</v>
      </c>
      <c r="G6788" s="3">
        <f t="shared" si="2"/>
        <v>0.1131137352</v>
      </c>
      <c r="H6788" s="2">
        <v>308.0</v>
      </c>
      <c r="I6788" s="3">
        <f t="shared" si="3"/>
        <v>0.1914232443</v>
      </c>
      <c r="J6788" s="2">
        <v>184.0</v>
      </c>
      <c r="K6788" s="3">
        <f t="shared" si="4"/>
        <v>0.1143567433</v>
      </c>
      <c r="L6788" s="2">
        <v>185.0</v>
      </c>
      <c r="M6788" s="3">
        <f t="shared" si="5"/>
        <v>0.6006493506</v>
      </c>
      <c r="N6788" s="2">
        <v>1602700.0</v>
      </c>
      <c r="O6788" s="4">
        <f t="shared" si="6"/>
        <v>5203.571429</v>
      </c>
      <c r="P6788" s="2">
        <v>0.0</v>
      </c>
      <c r="Q6788" s="3">
        <f t="shared" si="7"/>
        <v>0</v>
      </c>
      <c r="R6788" s="2">
        <v>0.0</v>
      </c>
      <c r="S6788" s="5">
        <f t="shared" si="8"/>
        <v>0</v>
      </c>
    </row>
    <row r="6789">
      <c r="A6789" s="2" t="s">
        <v>6786</v>
      </c>
      <c r="B6789" s="2">
        <v>103.0</v>
      </c>
      <c r="C6789" s="2">
        <v>1226.0</v>
      </c>
      <c r="D6789" s="2">
        <v>316.0</v>
      </c>
      <c r="E6789" s="3">
        <f t="shared" si="1"/>
        <v>0.2813891362</v>
      </c>
      <c r="F6789" s="2">
        <v>127.0</v>
      </c>
      <c r="G6789" s="3">
        <f t="shared" si="2"/>
        <v>0.1130899377</v>
      </c>
      <c r="H6789" s="2">
        <v>225.0</v>
      </c>
      <c r="I6789" s="3">
        <f t="shared" si="3"/>
        <v>0.2003561888</v>
      </c>
      <c r="J6789" s="2">
        <v>192.0</v>
      </c>
      <c r="K6789" s="3">
        <f t="shared" si="4"/>
        <v>0.1709706144</v>
      </c>
      <c r="L6789" s="2">
        <v>137.0</v>
      </c>
      <c r="M6789" s="3">
        <f t="shared" si="5"/>
        <v>0.6088888889</v>
      </c>
      <c r="N6789" s="2">
        <v>1276000.0</v>
      </c>
      <c r="O6789" s="4">
        <f t="shared" si="6"/>
        <v>5671.111111</v>
      </c>
      <c r="P6789" s="2">
        <v>0.0</v>
      </c>
      <c r="Q6789" s="3">
        <f t="shared" si="7"/>
        <v>0</v>
      </c>
      <c r="R6789" s="2">
        <v>103.0</v>
      </c>
      <c r="S6789" s="5">
        <f t="shared" si="8"/>
        <v>1</v>
      </c>
    </row>
    <row r="6790">
      <c r="A6790" s="2" t="s">
        <v>6787</v>
      </c>
      <c r="B6790" s="2">
        <v>651.0</v>
      </c>
      <c r="C6790" s="2">
        <v>7672.0</v>
      </c>
      <c r="D6790" s="2">
        <v>1792.0</v>
      </c>
      <c r="E6790" s="3">
        <f t="shared" si="1"/>
        <v>0.2552342971</v>
      </c>
      <c r="F6790" s="2">
        <v>794.0</v>
      </c>
      <c r="G6790" s="3">
        <f t="shared" si="2"/>
        <v>0.1130893035</v>
      </c>
      <c r="H6790" s="2">
        <v>1317.0</v>
      </c>
      <c r="I6790" s="3">
        <f t="shared" si="3"/>
        <v>0.1875801168</v>
      </c>
      <c r="J6790" s="2">
        <v>1152.0</v>
      </c>
      <c r="K6790" s="3">
        <f t="shared" si="4"/>
        <v>0.164079191</v>
      </c>
      <c r="L6790" s="2">
        <v>776.0</v>
      </c>
      <c r="M6790" s="3">
        <f t="shared" si="5"/>
        <v>0.5892179195</v>
      </c>
      <c r="N6790" s="2">
        <v>7643500.0</v>
      </c>
      <c r="O6790" s="4">
        <f t="shared" si="6"/>
        <v>5803.720577</v>
      </c>
      <c r="P6790" s="2">
        <v>2.0</v>
      </c>
      <c r="Q6790" s="3">
        <f t="shared" si="7"/>
        <v>0.003072196621</v>
      </c>
      <c r="R6790" s="2">
        <v>651.0</v>
      </c>
      <c r="S6790" s="5">
        <f t="shared" si="8"/>
        <v>1</v>
      </c>
    </row>
    <row r="6791">
      <c r="A6791" s="2" t="s">
        <v>6788</v>
      </c>
      <c r="B6791" s="2">
        <v>51.0</v>
      </c>
      <c r="C6791" s="2">
        <v>564.0</v>
      </c>
      <c r="D6791" s="2">
        <v>175.0</v>
      </c>
      <c r="E6791" s="3">
        <f t="shared" si="1"/>
        <v>0.3411306043</v>
      </c>
      <c r="F6791" s="2">
        <v>58.0</v>
      </c>
      <c r="G6791" s="3">
        <f t="shared" si="2"/>
        <v>0.1130604288</v>
      </c>
      <c r="H6791" s="2">
        <v>118.0</v>
      </c>
      <c r="I6791" s="3">
        <f t="shared" si="3"/>
        <v>0.2300194932</v>
      </c>
      <c r="J6791" s="2">
        <v>102.0</v>
      </c>
      <c r="K6791" s="3">
        <f t="shared" si="4"/>
        <v>0.1988304094</v>
      </c>
      <c r="L6791" s="2">
        <v>66.0</v>
      </c>
      <c r="M6791" s="3">
        <f t="shared" si="5"/>
        <v>0.5593220339</v>
      </c>
      <c r="N6791" s="2">
        <v>774400.0</v>
      </c>
      <c r="O6791" s="4">
        <f t="shared" si="6"/>
        <v>6562.711864</v>
      </c>
      <c r="P6791" s="2">
        <v>0.0</v>
      </c>
      <c r="Q6791" s="3">
        <f t="shared" si="7"/>
        <v>0</v>
      </c>
      <c r="R6791" s="2">
        <v>51.0</v>
      </c>
      <c r="S6791" s="5">
        <f t="shared" si="8"/>
        <v>1</v>
      </c>
    </row>
    <row r="6792">
      <c r="A6792" s="2" t="s">
        <v>6789</v>
      </c>
      <c r="B6792" s="2">
        <v>788.0</v>
      </c>
      <c r="C6792" s="2">
        <v>9324.0</v>
      </c>
      <c r="D6792" s="2">
        <v>3247.0</v>
      </c>
      <c r="E6792" s="3">
        <f t="shared" si="1"/>
        <v>0.380388941</v>
      </c>
      <c r="F6792" s="2">
        <v>965.0</v>
      </c>
      <c r="G6792" s="3">
        <f t="shared" si="2"/>
        <v>0.1130506092</v>
      </c>
      <c r="H6792" s="2">
        <v>1805.0</v>
      </c>
      <c r="I6792" s="3">
        <f t="shared" si="3"/>
        <v>0.2114573571</v>
      </c>
      <c r="J6792" s="2">
        <v>1442.0</v>
      </c>
      <c r="K6792" s="3">
        <f t="shared" si="4"/>
        <v>0.1689315839</v>
      </c>
      <c r="L6792" s="2">
        <v>1087.0</v>
      </c>
      <c r="M6792" s="3">
        <f t="shared" si="5"/>
        <v>0.6022160665</v>
      </c>
      <c r="N6792" s="2">
        <v>9960700.0</v>
      </c>
      <c r="O6792" s="4">
        <f t="shared" si="6"/>
        <v>5518.393352</v>
      </c>
      <c r="P6792" s="2">
        <v>4.0</v>
      </c>
      <c r="Q6792" s="3">
        <f t="shared" si="7"/>
        <v>0.005076142132</v>
      </c>
      <c r="R6792" s="2">
        <v>788.0</v>
      </c>
      <c r="S6792" s="5">
        <f t="shared" si="8"/>
        <v>1</v>
      </c>
    </row>
    <row r="6793">
      <c r="A6793" s="2" t="s">
        <v>6790</v>
      </c>
      <c r="B6793" s="2">
        <v>563.0</v>
      </c>
      <c r="C6793" s="2">
        <v>6702.0</v>
      </c>
      <c r="D6793" s="2">
        <v>2311.0</v>
      </c>
      <c r="E6793" s="3">
        <f t="shared" si="1"/>
        <v>0.3764456752</v>
      </c>
      <c r="F6793" s="2">
        <v>694.0</v>
      </c>
      <c r="G6793" s="3">
        <f t="shared" si="2"/>
        <v>0.1130477276</v>
      </c>
      <c r="H6793" s="2">
        <v>1308.0</v>
      </c>
      <c r="I6793" s="3">
        <f t="shared" si="3"/>
        <v>0.2130640169</v>
      </c>
      <c r="J6793" s="2">
        <v>915.0</v>
      </c>
      <c r="K6793" s="3">
        <f t="shared" si="4"/>
        <v>0.1490470761</v>
      </c>
      <c r="L6793" s="2">
        <v>798.0</v>
      </c>
      <c r="M6793" s="3">
        <f t="shared" si="5"/>
        <v>0.6100917431</v>
      </c>
      <c r="N6793" s="2">
        <v>7175600.0</v>
      </c>
      <c r="O6793" s="4">
        <f t="shared" si="6"/>
        <v>5485.932722</v>
      </c>
      <c r="P6793" s="2">
        <v>0.0</v>
      </c>
      <c r="Q6793" s="3">
        <f t="shared" si="7"/>
        <v>0</v>
      </c>
      <c r="R6793" s="2">
        <v>563.0</v>
      </c>
      <c r="S6793" s="5">
        <f t="shared" si="8"/>
        <v>1</v>
      </c>
    </row>
    <row r="6794">
      <c r="A6794" s="2" t="s">
        <v>6791</v>
      </c>
      <c r="B6794" s="2">
        <v>400.0</v>
      </c>
      <c r="C6794" s="2">
        <v>4691.0</v>
      </c>
      <c r="D6794" s="2">
        <v>1483.0</v>
      </c>
      <c r="E6794" s="3">
        <f t="shared" si="1"/>
        <v>0.3456070846</v>
      </c>
      <c r="F6794" s="2">
        <v>485.0</v>
      </c>
      <c r="G6794" s="3">
        <f t="shared" si="2"/>
        <v>0.1130272664</v>
      </c>
      <c r="H6794" s="2">
        <v>850.0</v>
      </c>
      <c r="I6794" s="3">
        <f t="shared" si="3"/>
        <v>0.1980890235</v>
      </c>
      <c r="J6794" s="2">
        <v>797.0</v>
      </c>
      <c r="K6794" s="3">
        <f t="shared" si="4"/>
        <v>0.1857375903</v>
      </c>
      <c r="L6794" s="2">
        <v>503.0</v>
      </c>
      <c r="M6794" s="3">
        <f t="shared" si="5"/>
        <v>0.5917647059</v>
      </c>
      <c r="N6794" s="2">
        <v>5019500.0</v>
      </c>
      <c r="O6794" s="4">
        <f t="shared" si="6"/>
        <v>5905.294118</v>
      </c>
      <c r="P6794" s="2">
        <v>0.0</v>
      </c>
      <c r="Q6794" s="3">
        <f t="shared" si="7"/>
        <v>0</v>
      </c>
      <c r="R6794" s="2">
        <v>400.0</v>
      </c>
      <c r="S6794" s="5">
        <f t="shared" si="8"/>
        <v>1</v>
      </c>
    </row>
    <row r="6795">
      <c r="A6795" s="2" t="s">
        <v>6792</v>
      </c>
      <c r="B6795" s="2">
        <v>4406.0</v>
      </c>
      <c r="C6795" s="2">
        <v>52148.0</v>
      </c>
      <c r="D6795" s="2">
        <v>16878.0</v>
      </c>
      <c r="E6795" s="3">
        <f t="shared" si="1"/>
        <v>0.3535251979</v>
      </c>
      <c r="F6795" s="2">
        <v>5396.0</v>
      </c>
      <c r="G6795" s="3">
        <f t="shared" si="2"/>
        <v>0.1130241716</v>
      </c>
      <c r="H6795" s="2">
        <v>10174.0</v>
      </c>
      <c r="I6795" s="3">
        <f t="shared" si="3"/>
        <v>0.2131037661</v>
      </c>
      <c r="J6795" s="2">
        <v>7445.0</v>
      </c>
      <c r="K6795" s="3">
        <f t="shared" si="4"/>
        <v>0.1559423568</v>
      </c>
      <c r="L6795" s="2">
        <v>6134.0</v>
      </c>
      <c r="M6795" s="3">
        <f t="shared" si="5"/>
        <v>0.6029093768</v>
      </c>
      <c r="N6795" s="2">
        <v>5.57068E7</v>
      </c>
      <c r="O6795" s="4">
        <f t="shared" si="6"/>
        <v>5475.407902</v>
      </c>
      <c r="P6795" s="2">
        <v>8.0</v>
      </c>
      <c r="Q6795" s="3">
        <f t="shared" si="7"/>
        <v>0.001815705856</v>
      </c>
      <c r="R6795" s="2">
        <v>4344.0</v>
      </c>
      <c r="S6795" s="5">
        <f t="shared" si="8"/>
        <v>0.9859282796</v>
      </c>
    </row>
    <row r="6796">
      <c r="A6796" s="2" t="s">
        <v>6793</v>
      </c>
      <c r="B6796" s="2">
        <v>662.0</v>
      </c>
      <c r="C6796" s="2">
        <v>7696.0</v>
      </c>
      <c r="D6796" s="2">
        <v>2475.0</v>
      </c>
      <c r="E6796" s="3">
        <f t="shared" si="1"/>
        <v>0.3518623827</v>
      </c>
      <c r="F6796" s="2">
        <v>795.0</v>
      </c>
      <c r="G6796" s="3">
        <f t="shared" si="2"/>
        <v>0.1130224623</v>
      </c>
      <c r="H6796" s="2">
        <v>1465.0</v>
      </c>
      <c r="I6796" s="3">
        <f t="shared" si="3"/>
        <v>0.2082740972</v>
      </c>
      <c r="J6796" s="2">
        <v>1227.0</v>
      </c>
      <c r="K6796" s="3">
        <f t="shared" si="4"/>
        <v>0.1744384419</v>
      </c>
      <c r="L6796" s="2">
        <v>868.0</v>
      </c>
      <c r="M6796" s="3">
        <f t="shared" si="5"/>
        <v>0.5924914676</v>
      </c>
      <c r="N6796" s="2">
        <v>8207400.0</v>
      </c>
      <c r="O6796" s="4">
        <f t="shared" si="6"/>
        <v>5602.320819</v>
      </c>
      <c r="P6796" s="2">
        <v>1.0</v>
      </c>
      <c r="Q6796" s="3">
        <f t="shared" si="7"/>
        <v>0.001510574018</v>
      </c>
      <c r="R6796" s="2">
        <v>662.0</v>
      </c>
      <c r="S6796" s="5">
        <f t="shared" si="8"/>
        <v>1</v>
      </c>
    </row>
    <row r="6797">
      <c r="A6797" s="2" t="s">
        <v>6794</v>
      </c>
      <c r="B6797" s="2">
        <v>530.0</v>
      </c>
      <c r="C6797" s="2">
        <v>6140.0</v>
      </c>
      <c r="D6797" s="2">
        <v>2017.0</v>
      </c>
      <c r="E6797" s="3">
        <f t="shared" si="1"/>
        <v>0.3595365419</v>
      </c>
      <c r="F6797" s="2">
        <v>634.0</v>
      </c>
      <c r="G6797" s="3">
        <f t="shared" si="2"/>
        <v>0.1130124777</v>
      </c>
      <c r="H6797" s="2">
        <v>1183.0</v>
      </c>
      <c r="I6797" s="3">
        <f t="shared" si="3"/>
        <v>0.2108734403</v>
      </c>
      <c r="J6797" s="2">
        <v>1009.0</v>
      </c>
      <c r="K6797" s="3">
        <f t="shared" si="4"/>
        <v>0.1798573975</v>
      </c>
      <c r="L6797" s="2">
        <v>674.0</v>
      </c>
      <c r="M6797" s="3">
        <f t="shared" si="5"/>
        <v>0.5697379544</v>
      </c>
      <c r="N6797" s="2">
        <v>6693800.0</v>
      </c>
      <c r="O6797" s="4">
        <f t="shared" si="6"/>
        <v>5658.326289</v>
      </c>
      <c r="P6797" s="2">
        <v>1.0</v>
      </c>
      <c r="Q6797" s="3">
        <f t="shared" si="7"/>
        <v>0.001886792453</v>
      </c>
      <c r="R6797" s="2">
        <v>530.0</v>
      </c>
      <c r="S6797" s="5">
        <f t="shared" si="8"/>
        <v>1</v>
      </c>
    </row>
    <row r="6798">
      <c r="A6798" s="2" t="s">
        <v>6795</v>
      </c>
      <c r="B6798" s="2">
        <v>319.0</v>
      </c>
      <c r="C6798" s="2">
        <v>3717.0</v>
      </c>
      <c r="D6798" s="2">
        <v>1327.0</v>
      </c>
      <c r="E6798" s="3">
        <f t="shared" si="1"/>
        <v>0.3905238376</v>
      </c>
      <c r="F6798" s="2">
        <v>384.0</v>
      </c>
      <c r="G6798" s="3">
        <f t="shared" si="2"/>
        <v>0.1130076516</v>
      </c>
      <c r="H6798" s="2">
        <v>729.0</v>
      </c>
      <c r="I6798" s="3">
        <f t="shared" si="3"/>
        <v>0.2145379635</v>
      </c>
      <c r="J6798" s="2">
        <v>533.0</v>
      </c>
      <c r="K6798" s="3">
        <f t="shared" si="4"/>
        <v>0.1568569747</v>
      </c>
      <c r="L6798" s="2">
        <v>450.0</v>
      </c>
      <c r="M6798" s="3">
        <f t="shared" si="5"/>
        <v>0.6172839506</v>
      </c>
      <c r="N6798" s="2">
        <v>3693900.0</v>
      </c>
      <c r="O6798" s="4">
        <f t="shared" si="6"/>
        <v>5067.078189</v>
      </c>
      <c r="P6798" s="2">
        <v>1.0</v>
      </c>
      <c r="Q6798" s="3">
        <f t="shared" si="7"/>
        <v>0.003134796238</v>
      </c>
      <c r="R6798" s="2">
        <v>319.0</v>
      </c>
      <c r="S6798" s="5">
        <f t="shared" si="8"/>
        <v>1</v>
      </c>
    </row>
    <row r="6799">
      <c r="A6799" s="2" t="s">
        <v>6796</v>
      </c>
      <c r="B6799" s="2">
        <v>1195.0</v>
      </c>
      <c r="C6799" s="2">
        <v>14018.0</v>
      </c>
      <c r="D6799" s="2">
        <v>4512.0</v>
      </c>
      <c r="E6799" s="3">
        <f t="shared" si="1"/>
        <v>0.3518677377</v>
      </c>
      <c r="F6799" s="2">
        <v>1449.0</v>
      </c>
      <c r="G6799" s="3">
        <f t="shared" si="2"/>
        <v>0.113000078</v>
      </c>
      <c r="H6799" s="2">
        <v>2757.0</v>
      </c>
      <c r="I6799" s="3">
        <f t="shared" si="3"/>
        <v>0.2150042892</v>
      </c>
      <c r="J6799" s="2">
        <v>2060.0</v>
      </c>
      <c r="K6799" s="3">
        <f t="shared" si="4"/>
        <v>0.1606488341</v>
      </c>
      <c r="L6799" s="2">
        <v>1637.0</v>
      </c>
      <c r="M6799" s="3">
        <f t="shared" si="5"/>
        <v>0.5937613348</v>
      </c>
      <c r="N6799" s="2">
        <v>1.53735E7</v>
      </c>
      <c r="O6799" s="4">
        <f t="shared" si="6"/>
        <v>5576.16975</v>
      </c>
      <c r="P6799" s="2">
        <v>4.0</v>
      </c>
      <c r="Q6799" s="3">
        <f t="shared" si="7"/>
        <v>0.003347280335</v>
      </c>
      <c r="R6799" s="2">
        <v>1195.0</v>
      </c>
      <c r="S6799" s="5">
        <f t="shared" si="8"/>
        <v>1</v>
      </c>
    </row>
    <row r="6800">
      <c r="A6800" s="2" t="s">
        <v>6797</v>
      </c>
      <c r="B6800" s="2">
        <v>92.0</v>
      </c>
      <c r="C6800" s="2">
        <v>1092.0</v>
      </c>
      <c r="D6800" s="2">
        <v>387.0</v>
      </c>
      <c r="E6800" s="3">
        <f t="shared" si="1"/>
        <v>0.387</v>
      </c>
      <c r="F6800" s="2">
        <v>113.0</v>
      </c>
      <c r="G6800" s="3">
        <f t="shared" si="2"/>
        <v>0.113</v>
      </c>
      <c r="H6800" s="2">
        <v>188.0</v>
      </c>
      <c r="I6800" s="3">
        <f t="shared" si="3"/>
        <v>0.188</v>
      </c>
      <c r="J6800" s="2">
        <v>157.0</v>
      </c>
      <c r="K6800" s="3">
        <f t="shared" si="4"/>
        <v>0.157</v>
      </c>
      <c r="L6800" s="2">
        <v>120.0</v>
      </c>
      <c r="M6800" s="3">
        <f t="shared" si="5"/>
        <v>0.6382978723</v>
      </c>
      <c r="N6800" s="2">
        <v>981700.0</v>
      </c>
      <c r="O6800" s="4">
        <f t="shared" si="6"/>
        <v>5221.808511</v>
      </c>
      <c r="P6800" s="2">
        <v>0.0</v>
      </c>
      <c r="Q6800" s="3">
        <f t="shared" si="7"/>
        <v>0</v>
      </c>
      <c r="R6800" s="2">
        <v>90.0</v>
      </c>
      <c r="S6800" s="5">
        <f t="shared" si="8"/>
        <v>0.9782608696</v>
      </c>
    </row>
    <row r="6801">
      <c r="A6801" s="2" t="s">
        <v>6798</v>
      </c>
      <c r="B6801" s="2">
        <v>80.0</v>
      </c>
      <c r="C6801" s="2">
        <v>965.0</v>
      </c>
      <c r="D6801" s="2">
        <v>232.0</v>
      </c>
      <c r="E6801" s="3">
        <f t="shared" si="1"/>
        <v>0.2621468927</v>
      </c>
      <c r="F6801" s="2">
        <v>100.0</v>
      </c>
      <c r="G6801" s="3">
        <f t="shared" si="2"/>
        <v>0.1129943503</v>
      </c>
      <c r="H6801" s="2">
        <v>182.0</v>
      </c>
      <c r="I6801" s="3">
        <f t="shared" si="3"/>
        <v>0.2056497175</v>
      </c>
      <c r="J6801" s="2">
        <v>153.0</v>
      </c>
      <c r="K6801" s="3">
        <f t="shared" si="4"/>
        <v>0.1728813559</v>
      </c>
      <c r="L6801" s="2">
        <v>111.0</v>
      </c>
      <c r="M6801" s="3">
        <f t="shared" si="5"/>
        <v>0.6098901099</v>
      </c>
      <c r="N6801" s="2">
        <v>1085600.0</v>
      </c>
      <c r="O6801" s="4">
        <f t="shared" si="6"/>
        <v>5964.835165</v>
      </c>
      <c r="P6801" s="2">
        <v>0.0</v>
      </c>
      <c r="Q6801" s="3">
        <f t="shared" si="7"/>
        <v>0</v>
      </c>
      <c r="R6801" s="2">
        <v>80.0</v>
      </c>
      <c r="S6801" s="5">
        <f t="shared" si="8"/>
        <v>1</v>
      </c>
    </row>
    <row r="6802">
      <c r="A6802" s="2" t="s">
        <v>6799</v>
      </c>
      <c r="B6802" s="2">
        <v>135.0</v>
      </c>
      <c r="C6802" s="2">
        <v>1613.0</v>
      </c>
      <c r="D6802" s="2">
        <v>566.0</v>
      </c>
      <c r="E6802" s="3">
        <f t="shared" si="1"/>
        <v>0.3829499323</v>
      </c>
      <c r="F6802" s="2">
        <v>167.0</v>
      </c>
      <c r="G6802" s="3">
        <f t="shared" si="2"/>
        <v>0.1129905277</v>
      </c>
      <c r="H6802" s="2">
        <v>315.0</v>
      </c>
      <c r="I6802" s="3">
        <f t="shared" si="3"/>
        <v>0.2131258457</v>
      </c>
      <c r="J6802" s="2">
        <v>236.0</v>
      </c>
      <c r="K6802" s="3">
        <f t="shared" si="4"/>
        <v>0.1596752368</v>
      </c>
      <c r="L6802" s="2">
        <v>200.0</v>
      </c>
      <c r="M6802" s="3">
        <f t="shared" si="5"/>
        <v>0.6349206349</v>
      </c>
      <c r="N6802" s="2">
        <v>1604000.0</v>
      </c>
      <c r="O6802" s="4">
        <f t="shared" si="6"/>
        <v>5092.063492</v>
      </c>
      <c r="P6802" s="2">
        <v>0.0</v>
      </c>
      <c r="Q6802" s="3">
        <f t="shared" si="7"/>
        <v>0</v>
      </c>
      <c r="R6802" s="2">
        <v>111.0</v>
      </c>
      <c r="S6802" s="5">
        <f t="shared" si="8"/>
        <v>0.8222222222</v>
      </c>
    </row>
    <row r="6803">
      <c r="A6803" s="2" t="s">
        <v>6800</v>
      </c>
      <c r="B6803" s="2">
        <v>54.0</v>
      </c>
      <c r="C6803" s="2">
        <v>647.0</v>
      </c>
      <c r="D6803" s="2">
        <v>208.0</v>
      </c>
      <c r="E6803" s="3">
        <f t="shared" si="1"/>
        <v>0.3507588533</v>
      </c>
      <c r="F6803" s="2">
        <v>67.0</v>
      </c>
      <c r="G6803" s="3">
        <f t="shared" si="2"/>
        <v>0.1129848229</v>
      </c>
      <c r="H6803" s="2">
        <v>115.0</v>
      </c>
      <c r="I6803" s="3">
        <f t="shared" si="3"/>
        <v>0.1939291737</v>
      </c>
      <c r="J6803" s="2">
        <v>104.0</v>
      </c>
      <c r="K6803" s="3">
        <f t="shared" si="4"/>
        <v>0.1753794266</v>
      </c>
      <c r="L6803" s="2">
        <v>74.0</v>
      </c>
      <c r="M6803" s="3">
        <f t="shared" si="5"/>
        <v>0.6434782609</v>
      </c>
      <c r="N6803" s="2">
        <v>666800.0</v>
      </c>
      <c r="O6803" s="4">
        <f t="shared" si="6"/>
        <v>5798.26087</v>
      </c>
      <c r="P6803" s="2">
        <v>0.0</v>
      </c>
      <c r="Q6803" s="3">
        <f t="shared" si="7"/>
        <v>0</v>
      </c>
      <c r="R6803" s="2">
        <v>0.0</v>
      </c>
      <c r="S6803" s="5">
        <f t="shared" si="8"/>
        <v>0</v>
      </c>
    </row>
    <row r="6804">
      <c r="A6804" s="2" t="s">
        <v>6801</v>
      </c>
      <c r="B6804" s="2">
        <v>123.0</v>
      </c>
      <c r="C6804" s="2">
        <v>1433.0</v>
      </c>
      <c r="D6804" s="2">
        <v>393.0</v>
      </c>
      <c r="E6804" s="3">
        <f t="shared" si="1"/>
        <v>0.3</v>
      </c>
      <c r="F6804" s="2">
        <v>148.0</v>
      </c>
      <c r="G6804" s="3">
        <f t="shared" si="2"/>
        <v>0.1129770992</v>
      </c>
      <c r="H6804" s="2">
        <v>270.0</v>
      </c>
      <c r="I6804" s="3">
        <f t="shared" si="3"/>
        <v>0.2061068702</v>
      </c>
      <c r="J6804" s="2">
        <v>196.0</v>
      </c>
      <c r="K6804" s="3">
        <f t="shared" si="4"/>
        <v>0.1496183206</v>
      </c>
      <c r="L6804" s="2">
        <v>165.0</v>
      </c>
      <c r="M6804" s="3">
        <f t="shared" si="5"/>
        <v>0.6111111111</v>
      </c>
      <c r="N6804" s="2">
        <v>1537200.0</v>
      </c>
      <c r="O6804" s="4">
        <f t="shared" si="6"/>
        <v>5693.333333</v>
      </c>
      <c r="P6804" s="2">
        <v>0.0</v>
      </c>
      <c r="Q6804" s="3">
        <f t="shared" si="7"/>
        <v>0</v>
      </c>
      <c r="R6804" s="2">
        <v>9.0</v>
      </c>
      <c r="S6804" s="5">
        <f t="shared" si="8"/>
        <v>0.07317073171</v>
      </c>
    </row>
    <row r="6805">
      <c r="A6805" s="2" t="s">
        <v>6802</v>
      </c>
      <c r="B6805" s="2">
        <v>821.0</v>
      </c>
      <c r="C6805" s="2">
        <v>9629.0</v>
      </c>
      <c r="D6805" s="2">
        <v>2640.0</v>
      </c>
      <c r="E6805" s="3">
        <f t="shared" si="1"/>
        <v>0.2997275204</v>
      </c>
      <c r="F6805" s="2">
        <v>995.0</v>
      </c>
      <c r="G6805" s="3">
        <f t="shared" si="2"/>
        <v>0.1129654859</v>
      </c>
      <c r="H6805" s="2">
        <v>1733.0</v>
      </c>
      <c r="I6805" s="3">
        <f t="shared" si="3"/>
        <v>0.1967529519</v>
      </c>
      <c r="J6805" s="2">
        <v>1383.0</v>
      </c>
      <c r="K6805" s="3">
        <f t="shared" si="4"/>
        <v>0.1570163488</v>
      </c>
      <c r="L6805" s="2">
        <v>1064.0</v>
      </c>
      <c r="M6805" s="3">
        <f t="shared" si="5"/>
        <v>0.6139642239</v>
      </c>
      <c r="N6805" s="2">
        <v>9663400.0</v>
      </c>
      <c r="O6805" s="4">
        <f t="shared" si="6"/>
        <v>5576.110791</v>
      </c>
      <c r="P6805" s="2">
        <v>0.0</v>
      </c>
      <c r="Q6805" s="3">
        <f t="shared" si="7"/>
        <v>0</v>
      </c>
      <c r="R6805" s="2">
        <v>729.0</v>
      </c>
      <c r="S6805" s="5">
        <f t="shared" si="8"/>
        <v>0.8879415347</v>
      </c>
    </row>
    <row r="6806">
      <c r="A6806" s="2" t="s">
        <v>6803</v>
      </c>
      <c r="B6806" s="2">
        <v>356.0</v>
      </c>
      <c r="C6806" s="2">
        <v>4198.0</v>
      </c>
      <c r="D6806" s="2">
        <v>1437.0</v>
      </c>
      <c r="E6806" s="3">
        <f t="shared" si="1"/>
        <v>0.3740239459</v>
      </c>
      <c r="F6806" s="2">
        <v>434.0</v>
      </c>
      <c r="G6806" s="3">
        <f t="shared" si="2"/>
        <v>0.112961999</v>
      </c>
      <c r="H6806" s="2">
        <v>786.0</v>
      </c>
      <c r="I6806" s="3">
        <f t="shared" si="3"/>
        <v>0.2045809474</v>
      </c>
      <c r="J6806" s="2">
        <v>639.0</v>
      </c>
      <c r="K6806" s="3">
        <f t="shared" si="4"/>
        <v>0.1663196252</v>
      </c>
      <c r="L6806" s="2">
        <v>483.0</v>
      </c>
      <c r="M6806" s="3">
        <f t="shared" si="5"/>
        <v>0.6145038168</v>
      </c>
      <c r="N6806" s="2">
        <v>4174500.0</v>
      </c>
      <c r="O6806" s="4">
        <f t="shared" si="6"/>
        <v>5311.068702</v>
      </c>
      <c r="P6806" s="2">
        <v>0.0</v>
      </c>
      <c r="Q6806" s="3">
        <f t="shared" si="7"/>
        <v>0</v>
      </c>
      <c r="R6806" s="2">
        <v>0.0</v>
      </c>
      <c r="S6806" s="5">
        <f t="shared" si="8"/>
        <v>0</v>
      </c>
    </row>
    <row r="6807">
      <c r="A6807" s="2" t="s">
        <v>6804</v>
      </c>
      <c r="B6807" s="2">
        <v>237.0</v>
      </c>
      <c r="C6807" s="2">
        <v>2822.0</v>
      </c>
      <c r="D6807" s="2">
        <v>506.0</v>
      </c>
      <c r="E6807" s="3">
        <f t="shared" si="1"/>
        <v>0.1957446809</v>
      </c>
      <c r="F6807" s="2">
        <v>292.0</v>
      </c>
      <c r="G6807" s="3">
        <f t="shared" si="2"/>
        <v>0.112959381</v>
      </c>
      <c r="H6807" s="2">
        <v>469.0</v>
      </c>
      <c r="I6807" s="3">
        <f t="shared" si="3"/>
        <v>0.1814313346</v>
      </c>
      <c r="J6807" s="2">
        <v>429.0</v>
      </c>
      <c r="K6807" s="3">
        <f t="shared" si="4"/>
        <v>0.1659574468</v>
      </c>
      <c r="L6807" s="2">
        <v>276.0</v>
      </c>
      <c r="M6807" s="3">
        <f t="shared" si="5"/>
        <v>0.5884861407</v>
      </c>
      <c r="N6807" s="2">
        <v>2738600.0</v>
      </c>
      <c r="O6807" s="4">
        <f t="shared" si="6"/>
        <v>5839.232409</v>
      </c>
      <c r="P6807" s="2">
        <v>1.0</v>
      </c>
      <c r="Q6807" s="3">
        <f t="shared" si="7"/>
        <v>0.004219409283</v>
      </c>
      <c r="R6807" s="2">
        <v>237.0</v>
      </c>
      <c r="S6807" s="5">
        <f t="shared" si="8"/>
        <v>1</v>
      </c>
    </row>
    <row r="6808">
      <c r="A6808" s="2" t="s">
        <v>6805</v>
      </c>
      <c r="B6808" s="2">
        <v>174.0</v>
      </c>
      <c r="C6808" s="2">
        <v>2042.0</v>
      </c>
      <c r="D6808" s="2">
        <v>594.0</v>
      </c>
      <c r="E6808" s="3">
        <f t="shared" si="1"/>
        <v>0.317987152</v>
      </c>
      <c r="F6808" s="2">
        <v>211.0</v>
      </c>
      <c r="G6808" s="3">
        <f t="shared" si="2"/>
        <v>0.1129550321</v>
      </c>
      <c r="H6808" s="2">
        <v>389.0</v>
      </c>
      <c r="I6808" s="3">
        <f t="shared" si="3"/>
        <v>0.2082441113</v>
      </c>
      <c r="J6808" s="2">
        <v>323.0</v>
      </c>
      <c r="K6808" s="3">
        <f t="shared" si="4"/>
        <v>0.1729122056</v>
      </c>
      <c r="L6808" s="2">
        <v>224.0</v>
      </c>
      <c r="M6808" s="3">
        <f t="shared" si="5"/>
        <v>0.5758354756</v>
      </c>
      <c r="N6808" s="2">
        <v>2261700.0</v>
      </c>
      <c r="O6808" s="4">
        <f t="shared" si="6"/>
        <v>5814.138817</v>
      </c>
      <c r="P6808" s="2">
        <v>0.0</v>
      </c>
      <c r="Q6808" s="3">
        <f t="shared" si="7"/>
        <v>0</v>
      </c>
      <c r="R6808" s="2">
        <v>174.0</v>
      </c>
      <c r="S6808" s="5">
        <f t="shared" si="8"/>
        <v>1</v>
      </c>
    </row>
    <row r="6809">
      <c r="A6809" s="2" t="s">
        <v>6806</v>
      </c>
      <c r="B6809" s="2">
        <v>329.0</v>
      </c>
      <c r="C6809" s="2">
        <v>3826.0</v>
      </c>
      <c r="D6809" s="2">
        <v>1094.0</v>
      </c>
      <c r="E6809" s="3">
        <f t="shared" si="1"/>
        <v>0.3128395768</v>
      </c>
      <c r="F6809" s="2">
        <v>395.0</v>
      </c>
      <c r="G6809" s="3">
        <f t="shared" si="2"/>
        <v>0.1129539605</v>
      </c>
      <c r="H6809" s="2">
        <v>741.0</v>
      </c>
      <c r="I6809" s="3">
        <f t="shared" si="3"/>
        <v>0.2118959108</v>
      </c>
      <c r="J6809" s="2">
        <v>573.0</v>
      </c>
      <c r="K6809" s="3">
        <f t="shared" si="4"/>
        <v>0.1638547326</v>
      </c>
      <c r="L6809" s="2">
        <v>440.0</v>
      </c>
      <c r="M6809" s="3">
        <f t="shared" si="5"/>
        <v>0.5937921727</v>
      </c>
      <c r="N6809" s="2">
        <v>4063000.0</v>
      </c>
      <c r="O6809" s="4">
        <f t="shared" si="6"/>
        <v>5483.130904</v>
      </c>
      <c r="P6809" s="2">
        <v>1.0</v>
      </c>
      <c r="Q6809" s="3">
        <f t="shared" si="7"/>
        <v>0.003039513678</v>
      </c>
      <c r="R6809" s="2">
        <v>329.0</v>
      </c>
      <c r="S6809" s="5">
        <f t="shared" si="8"/>
        <v>1</v>
      </c>
    </row>
    <row r="6810">
      <c r="A6810" s="2" t="s">
        <v>6807</v>
      </c>
      <c r="B6810" s="2">
        <v>563.0</v>
      </c>
      <c r="C6810" s="2">
        <v>6806.0</v>
      </c>
      <c r="D6810" s="2">
        <v>2298.0</v>
      </c>
      <c r="E6810" s="3">
        <f t="shared" si="1"/>
        <v>0.3680922633</v>
      </c>
      <c r="F6810" s="2">
        <v>705.0</v>
      </c>
      <c r="G6810" s="3">
        <f t="shared" si="2"/>
        <v>0.1129264777</v>
      </c>
      <c r="H6810" s="2">
        <v>1308.0</v>
      </c>
      <c r="I6810" s="3">
        <f t="shared" si="3"/>
        <v>0.2095146564</v>
      </c>
      <c r="J6810" s="2">
        <v>1137.0</v>
      </c>
      <c r="K6810" s="3">
        <f t="shared" si="4"/>
        <v>0.1821239789</v>
      </c>
      <c r="L6810" s="2">
        <v>739.0</v>
      </c>
      <c r="M6810" s="3">
        <f t="shared" si="5"/>
        <v>0.5649847095</v>
      </c>
      <c r="N6810" s="2">
        <v>7463800.0</v>
      </c>
      <c r="O6810" s="4">
        <f t="shared" si="6"/>
        <v>5706.269113</v>
      </c>
      <c r="P6810" s="2">
        <v>0.0</v>
      </c>
      <c r="Q6810" s="3">
        <f t="shared" si="7"/>
        <v>0</v>
      </c>
      <c r="R6810" s="2">
        <v>386.0</v>
      </c>
      <c r="S6810" s="5">
        <f t="shared" si="8"/>
        <v>0.6856127886</v>
      </c>
    </row>
    <row r="6811">
      <c r="A6811" s="2" t="s">
        <v>6808</v>
      </c>
      <c r="B6811" s="2">
        <v>206.0</v>
      </c>
      <c r="C6811" s="2">
        <v>2411.0</v>
      </c>
      <c r="D6811" s="2">
        <v>725.0</v>
      </c>
      <c r="E6811" s="3">
        <f t="shared" si="1"/>
        <v>0.3287981859</v>
      </c>
      <c r="F6811" s="2">
        <v>249.0</v>
      </c>
      <c r="G6811" s="3">
        <f t="shared" si="2"/>
        <v>0.1129251701</v>
      </c>
      <c r="H6811" s="2">
        <v>417.0</v>
      </c>
      <c r="I6811" s="3">
        <f t="shared" si="3"/>
        <v>0.1891156463</v>
      </c>
      <c r="J6811" s="2">
        <v>352.0</v>
      </c>
      <c r="K6811" s="3">
        <f t="shared" si="4"/>
        <v>0.1596371882</v>
      </c>
      <c r="L6811" s="2">
        <v>251.0</v>
      </c>
      <c r="M6811" s="3">
        <f t="shared" si="5"/>
        <v>0.6019184652</v>
      </c>
      <c r="N6811" s="2">
        <v>2489700.0</v>
      </c>
      <c r="O6811" s="4">
        <f t="shared" si="6"/>
        <v>5970.503597</v>
      </c>
      <c r="P6811" s="2">
        <v>0.0</v>
      </c>
      <c r="Q6811" s="3">
        <f t="shared" si="7"/>
        <v>0</v>
      </c>
      <c r="R6811" s="2">
        <v>206.0</v>
      </c>
      <c r="S6811" s="5">
        <f t="shared" si="8"/>
        <v>1</v>
      </c>
    </row>
    <row r="6812">
      <c r="A6812" s="2" t="s">
        <v>6809</v>
      </c>
      <c r="B6812" s="2">
        <v>760.0</v>
      </c>
      <c r="C6812" s="2">
        <v>9014.0</v>
      </c>
      <c r="D6812" s="2">
        <v>3210.0</v>
      </c>
      <c r="E6812" s="3">
        <f t="shared" si="1"/>
        <v>0.3889023504</v>
      </c>
      <c r="F6812" s="2">
        <v>932.0</v>
      </c>
      <c r="G6812" s="3">
        <f t="shared" si="2"/>
        <v>0.1129149503</v>
      </c>
      <c r="H6812" s="2">
        <v>1709.0</v>
      </c>
      <c r="I6812" s="3">
        <f t="shared" si="3"/>
        <v>0.2070511267</v>
      </c>
      <c r="J6812" s="2">
        <v>1097.0</v>
      </c>
      <c r="K6812" s="3">
        <f t="shared" si="4"/>
        <v>0.1329052581</v>
      </c>
      <c r="L6812" s="2">
        <v>1004.0</v>
      </c>
      <c r="M6812" s="3">
        <f t="shared" si="5"/>
        <v>0.5874780573</v>
      </c>
      <c r="N6812" s="2">
        <v>9361600.0</v>
      </c>
      <c r="O6812" s="4">
        <f t="shared" si="6"/>
        <v>5477.823288</v>
      </c>
      <c r="P6812" s="2">
        <v>1.0</v>
      </c>
      <c r="Q6812" s="3">
        <f t="shared" si="7"/>
        <v>0.001315789474</v>
      </c>
      <c r="R6812" s="2">
        <v>0.0</v>
      </c>
      <c r="S6812" s="5">
        <f t="shared" si="8"/>
        <v>0</v>
      </c>
    </row>
    <row r="6813">
      <c r="A6813" s="2" t="s">
        <v>6810</v>
      </c>
      <c r="B6813" s="2">
        <v>470.0</v>
      </c>
      <c r="C6813" s="2">
        <v>5545.0</v>
      </c>
      <c r="D6813" s="2">
        <v>1610.0</v>
      </c>
      <c r="E6813" s="3">
        <f t="shared" si="1"/>
        <v>0.3172413793</v>
      </c>
      <c r="F6813" s="2">
        <v>573.0</v>
      </c>
      <c r="G6813" s="3">
        <f t="shared" si="2"/>
        <v>0.1129064039</v>
      </c>
      <c r="H6813" s="2">
        <v>969.0</v>
      </c>
      <c r="I6813" s="3">
        <f t="shared" si="3"/>
        <v>0.1909359606</v>
      </c>
      <c r="J6813" s="2">
        <v>779.0</v>
      </c>
      <c r="K6813" s="3">
        <f t="shared" si="4"/>
        <v>0.1534975369</v>
      </c>
      <c r="L6813" s="2">
        <v>589.0</v>
      </c>
      <c r="M6813" s="3">
        <f t="shared" si="5"/>
        <v>0.6078431373</v>
      </c>
      <c r="N6813" s="2">
        <v>5625800.0</v>
      </c>
      <c r="O6813" s="4">
        <f t="shared" si="6"/>
        <v>5805.779154</v>
      </c>
      <c r="P6813" s="2">
        <v>1.0</v>
      </c>
      <c r="Q6813" s="3">
        <f t="shared" si="7"/>
        <v>0.002127659574</v>
      </c>
      <c r="R6813" s="2">
        <v>470.0</v>
      </c>
      <c r="S6813" s="5">
        <f t="shared" si="8"/>
        <v>1</v>
      </c>
    </row>
    <row r="6814">
      <c r="A6814" s="2" t="s">
        <v>6811</v>
      </c>
      <c r="B6814" s="2">
        <v>12.0</v>
      </c>
      <c r="C6814" s="2">
        <v>136.0</v>
      </c>
      <c r="D6814" s="2">
        <v>54.0</v>
      </c>
      <c r="E6814" s="3">
        <f t="shared" si="1"/>
        <v>0.435483871</v>
      </c>
      <c r="F6814" s="2">
        <v>14.0</v>
      </c>
      <c r="G6814" s="3">
        <f t="shared" si="2"/>
        <v>0.1129032258</v>
      </c>
      <c r="H6814" s="2">
        <v>21.0</v>
      </c>
      <c r="I6814" s="3">
        <f t="shared" si="3"/>
        <v>0.1693548387</v>
      </c>
      <c r="J6814" s="2">
        <v>17.0</v>
      </c>
      <c r="K6814" s="3">
        <f t="shared" si="4"/>
        <v>0.1370967742</v>
      </c>
      <c r="L6814" s="2">
        <v>14.0</v>
      </c>
      <c r="M6814" s="3">
        <f t="shared" si="5"/>
        <v>0.6666666667</v>
      </c>
      <c r="N6814" s="2">
        <v>127700.0</v>
      </c>
      <c r="O6814" s="4">
        <f t="shared" si="6"/>
        <v>6080.952381</v>
      </c>
      <c r="P6814" s="2">
        <v>0.0</v>
      </c>
      <c r="Q6814" s="3">
        <f t="shared" si="7"/>
        <v>0</v>
      </c>
      <c r="R6814" s="2">
        <v>0.0</v>
      </c>
      <c r="S6814" s="5">
        <f t="shared" si="8"/>
        <v>0</v>
      </c>
    </row>
    <row r="6815">
      <c r="A6815" s="2" t="s">
        <v>6812</v>
      </c>
      <c r="B6815" s="2">
        <v>1156.0</v>
      </c>
      <c r="C6815" s="2">
        <v>13452.0</v>
      </c>
      <c r="D6815" s="2">
        <v>3642.0</v>
      </c>
      <c r="E6815" s="3">
        <f t="shared" si="1"/>
        <v>0.2961938842</v>
      </c>
      <c r="F6815" s="2">
        <v>1388.0</v>
      </c>
      <c r="G6815" s="3">
        <f t="shared" si="2"/>
        <v>0.1128822381</v>
      </c>
      <c r="H6815" s="2">
        <v>2610.0</v>
      </c>
      <c r="I6815" s="3">
        <f t="shared" si="3"/>
        <v>0.2122641509</v>
      </c>
      <c r="J6815" s="2">
        <v>1935.0</v>
      </c>
      <c r="K6815" s="3">
        <f t="shared" si="4"/>
        <v>0.1573682498</v>
      </c>
      <c r="L6815" s="2">
        <v>1569.0</v>
      </c>
      <c r="M6815" s="3">
        <f t="shared" si="5"/>
        <v>0.6011494253</v>
      </c>
      <c r="N6815" s="2">
        <v>1.5352E7</v>
      </c>
      <c r="O6815" s="4">
        <f t="shared" si="6"/>
        <v>5881.992337</v>
      </c>
      <c r="P6815" s="2">
        <v>1.0</v>
      </c>
      <c r="Q6815" s="3">
        <f t="shared" si="7"/>
        <v>0.0008650519031</v>
      </c>
      <c r="R6815" s="2">
        <v>1156.0</v>
      </c>
      <c r="S6815" s="5">
        <f t="shared" si="8"/>
        <v>1</v>
      </c>
    </row>
    <row r="6816">
      <c r="A6816" s="2" t="s">
        <v>6813</v>
      </c>
      <c r="B6816" s="2">
        <v>894.0</v>
      </c>
      <c r="C6816" s="2">
        <v>10454.0</v>
      </c>
      <c r="D6816" s="2">
        <v>3615.0</v>
      </c>
      <c r="E6816" s="3">
        <f t="shared" si="1"/>
        <v>0.3781380753</v>
      </c>
      <c r="F6816" s="2">
        <v>1079.0</v>
      </c>
      <c r="G6816" s="3">
        <f t="shared" si="2"/>
        <v>0.1128661088</v>
      </c>
      <c r="H6816" s="2">
        <v>1998.0</v>
      </c>
      <c r="I6816" s="3">
        <f t="shared" si="3"/>
        <v>0.2089958159</v>
      </c>
      <c r="J6816" s="2">
        <v>1536.0</v>
      </c>
      <c r="K6816" s="3">
        <f t="shared" si="4"/>
        <v>0.1606694561</v>
      </c>
      <c r="L6816" s="2">
        <v>1206.0</v>
      </c>
      <c r="M6816" s="3">
        <f t="shared" si="5"/>
        <v>0.6036036036</v>
      </c>
      <c r="N6816" s="2">
        <v>1.11431E7</v>
      </c>
      <c r="O6816" s="4">
        <f t="shared" si="6"/>
        <v>5577.127127</v>
      </c>
      <c r="P6816" s="2">
        <v>4.0</v>
      </c>
      <c r="Q6816" s="3">
        <f t="shared" si="7"/>
        <v>0.004474272931</v>
      </c>
      <c r="R6816" s="2">
        <v>894.0</v>
      </c>
      <c r="S6816" s="5">
        <f t="shared" si="8"/>
        <v>1</v>
      </c>
    </row>
    <row r="6817">
      <c r="A6817" s="2" t="s">
        <v>6814</v>
      </c>
      <c r="B6817" s="2">
        <v>348.0</v>
      </c>
      <c r="C6817" s="2">
        <v>4176.0</v>
      </c>
      <c r="D6817" s="2">
        <v>1318.0</v>
      </c>
      <c r="E6817" s="3">
        <f t="shared" si="1"/>
        <v>0.3443051202</v>
      </c>
      <c r="F6817" s="2">
        <v>432.0</v>
      </c>
      <c r="G6817" s="3">
        <f t="shared" si="2"/>
        <v>0.1128526646</v>
      </c>
      <c r="H6817" s="2">
        <v>802.0</v>
      </c>
      <c r="I6817" s="3">
        <f t="shared" si="3"/>
        <v>0.2095088819</v>
      </c>
      <c r="J6817" s="2">
        <v>679.0</v>
      </c>
      <c r="K6817" s="3">
        <f t="shared" si="4"/>
        <v>0.1773772205</v>
      </c>
      <c r="L6817" s="2">
        <v>505.0</v>
      </c>
      <c r="M6817" s="3">
        <f t="shared" si="5"/>
        <v>0.6296758105</v>
      </c>
      <c r="N6817" s="2">
        <v>4376400.0</v>
      </c>
      <c r="O6817" s="4">
        <f t="shared" si="6"/>
        <v>5456.857855</v>
      </c>
      <c r="P6817" s="2">
        <v>0.0</v>
      </c>
      <c r="Q6817" s="3">
        <f t="shared" si="7"/>
        <v>0</v>
      </c>
      <c r="R6817" s="2">
        <v>348.0</v>
      </c>
      <c r="S6817" s="5">
        <f t="shared" si="8"/>
        <v>1</v>
      </c>
    </row>
    <row r="6818">
      <c r="A6818" s="2" t="s">
        <v>6815</v>
      </c>
      <c r="B6818" s="2">
        <v>2847.0</v>
      </c>
      <c r="C6818" s="2">
        <v>33527.0</v>
      </c>
      <c r="D6818" s="2">
        <v>9288.0</v>
      </c>
      <c r="E6818" s="3">
        <f t="shared" si="1"/>
        <v>0.30273794</v>
      </c>
      <c r="F6818" s="2">
        <v>3462.0</v>
      </c>
      <c r="G6818" s="3">
        <f t="shared" si="2"/>
        <v>0.1128422425</v>
      </c>
      <c r="H6818" s="2">
        <v>6044.0</v>
      </c>
      <c r="I6818" s="3">
        <f t="shared" si="3"/>
        <v>0.1970013038</v>
      </c>
      <c r="J6818" s="2">
        <v>4555.0</v>
      </c>
      <c r="K6818" s="3">
        <f t="shared" si="4"/>
        <v>0.1484680574</v>
      </c>
      <c r="L6818" s="2">
        <v>3613.0</v>
      </c>
      <c r="M6818" s="3">
        <f t="shared" si="5"/>
        <v>0.5977829252</v>
      </c>
      <c r="N6818" s="2">
        <v>3.46467E7</v>
      </c>
      <c r="O6818" s="4">
        <f t="shared" si="6"/>
        <v>5732.41231</v>
      </c>
      <c r="P6818" s="2">
        <v>6.0</v>
      </c>
      <c r="Q6818" s="3">
        <f t="shared" si="7"/>
        <v>0.00210748156</v>
      </c>
      <c r="R6818" s="2">
        <v>2847.0</v>
      </c>
      <c r="S6818" s="5">
        <f t="shared" si="8"/>
        <v>1</v>
      </c>
    </row>
    <row r="6819">
      <c r="A6819" s="2" t="s">
        <v>6816</v>
      </c>
      <c r="B6819" s="2">
        <v>4748.0</v>
      </c>
      <c r="C6819" s="2">
        <v>55728.0</v>
      </c>
      <c r="D6819" s="2">
        <v>16403.0</v>
      </c>
      <c r="E6819" s="3">
        <f t="shared" si="1"/>
        <v>0.3217536289</v>
      </c>
      <c r="F6819" s="2">
        <v>5752.0</v>
      </c>
      <c r="G6819" s="3">
        <f t="shared" si="2"/>
        <v>0.1128285602</v>
      </c>
      <c r="H6819" s="2">
        <v>10676.0</v>
      </c>
      <c r="I6819" s="3">
        <f t="shared" si="3"/>
        <v>0.209415457</v>
      </c>
      <c r="J6819" s="2">
        <v>9372.0</v>
      </c>
      <c r="K6819" s="3">
        <f t="shared" si="4"/>
        <v>0.1838367987</v>
      </c>
      <c r="L6819" s="2">
        <v>6411.0</v>
      </c>
      <c r="M6819" s="3">
        <f t="shared" si="5"/>
        <v>0.6005058074</v>
      </c>
      <c r="N6819" s="2">
        <v>5.96994E7</v>
      </c>
      <c r="O6819" s="4">
        <f t="shared" si="6"/>
        <v>5591.925815</v>
      </c>
      <c r="P6819" s="2">
        <v>8.0</v>
      </c>
      <c r="Q6819" s="3">
        <f t="shared" si="7"/>
        <v>0.001684919966</v>
      </c>
      <c r="R6819" s="2">
        <v>4743.0</v>
      </c>
      <c r="S6819" s="5">
        <f t="shared" si="8"/>
        <v>0.998946925</v>
      </c>
    </row>
    <row r="6820">
      <c r="A6820" s="2" t="s">
        <v>6817</v>
      </c>
      <c r="B6820" s="2">
        <v>18.0</v>
      </c>
      <c r="C6820" s="2">
        <v>213.0</v>
      </c>
      <c r="D6820" s="2">
        <v>64.0</v>
      </c>
      <c r="E6820" s="3">
        <f t="shared" si="1"/>
        <v>0.3282051282</v>
      </c>
      <c r="F6820" s="2">
        <v>22.0</v>
      </c>
      <c r="G6820" s="3">
        <f t="shared" si="2"/>
        <v>0.1128205128</v>
      </c>
      <c r="H6820" s="2">
        <v>23.0</v>
      </c>
      <c r="I6820" s="3">
        <f t="shared" si="3"/>
        <v>0.1179487179</v>
      </c>
      <c r="J6820" s="2">
        <v>21.0</v>
      </c>
      <c r="K6820" s="3">
        <f t="shared" si="4"/>
        <v>0.1076923077</v>
      </c>
      <c r="L6820" s="2">
        <v>15.0</v>
      </c>
      <c r="M6820" s="3">
        <f t="shared" si="5"/>
        <v>0.652173913</v>
      </c>
      <c r="N6820" s="2">
        <v>116000.0</v>
      </c>
      <c r="O6820" s="4">
        <f t="shared" si="6"/>
        <v>5043.478261</v>
      </c>
      <c r="P6820" s="2">
        <v>0.0</v>
      </c>
      <c r="Q6820" s="3">
        <f t="shared" si="7"/>
        <v>0</v>
      </c>
      <c r="R6820" s="2">
        <v>18.0</v>
      </c>
      <c r="S6820" s="5">
        <f t="shared" si="8"/>
        <v>1</v>
      </c>
    </row>
    <row r="6821">
      <c r="A6821" s="2" t="s">
        <v>6818</v>
      </c>
      <c r="B6821" s="2">
        <v>2468.0</v>
      </c>
      <c r="C6821" s="2">
        <v>29192.0</v>
      </c>
      <c r="D6821" s="2">
        <v>9489.0</v>
      </c>
      <c r="E6821" s="3">
        <f t="shared" si="1"/>
        <v>0.3550740907</v>
      </c>
      <c r="F6821" s="2">
        <v>3015.0</v>
      </c>
      <c r="G6821" s="3">
        <f t="shared" si="2"/>
        <v>0.1128199371</v>
      </c>
      <c r="H6821" s="2">
        <v>5503.0</v>
      </c>
      <c r="I6821" s="3">
        <f t="shared" si="3"/>
        <v>0.2059197725</v>
      </c>
      <c r="J6821" s="2">
        <v>3668.0</v>
      </c>
      <c r="K6821" s="3">
        <f t="shared" si="4"/>
        <v>0.137254902</v>
      </c>
      <c r="L6821" s="2">
        <v>3284.0</v>
      </c>
      <c r="M6821" s="3">
        <f t="shared" si="5"/>
        <v>0.5967654007</v>
      </c>
      <c r="N6821" s="2">
        <v>3.1391E7</v>
      </c>
      <c r="O6821" s="4">
        <f t="shared" si="6"/>
        <v>5704.343086</v>
      </c>
      <c r="P6821" s="2">
        <v>14.0</v>
      </c>
      <c r="Q6821" s="3">
        <f t="shared" si="7"/>
        <v>0.0056726094</v>
      </c>
      <c r="R6821" s="2">
        <v>1778.0</v>
      </c>
      <c r="S6821" s="5">
        <f t="shared" si="8"/>
        <v>0.7204213938</v>
      </c>
    </row>
    <row r="6822">
      <c r="A6822" s="2" t="s">
        <v>6819</v>
      </c>
      <c r="B6822" s="2">
        <v>152.0</v>
      </c>
      <c r="C6822" s="2">
        <v>1739.0</v>
      </c>
      <c r="D6822" s="2">
        <v>542.0</v>
      </c>
      <c r="E6822" s="3">
        <f t="shared" si="1"/>
        <v>0.3415248897</v>
      </c>
      <c r="F6822" s="2">
        <v>179.0</v>
      </c>
      <c r="G6822" s="3">
        <f t="shared" si="2"/>
        <v>0.1127914304</v>
      </c>
      <c r="H6822" s="2">
        <v>351.0</v>
      </c>
      <c r="I6822" s="3">
        <f t="shared" si="3"/>
        <v>0.2211720227</v>
      </c>
      <c r="J6822" s="2">
        <v>262.0</v>
      </c>
      <c r="K6822" s="3">
        <f t="shared" si="4"/>
        <v>0.1650913674</v>
      </c>
      <c r="L6822" s="2">
        <v>197.0</v>
      </c>
      <c r="M6822" s="3">
        <f t="shared" si="5"/>
        <v>0.5612535613</v>
      </c>
      <c r="N6822" s="2">
        <v>2089000.0</v>
      </c>
      <c r="O6822" s="4">
        <f t="shared" si="6"/>
        <v>5951.566952</v>
      </c>
      <c r="P6822" s="2">
        <v>0.0</v>
      </c>
      <c r="Q6822" s="3">
        <f t="shared" si="7"/>
        <v>0</v>
      </c>
      <c r="R6822" s="2">
        <v>152.0</v>
      </c>
      <c r="S6822" s="5">
        <f t="shared" si="8"/>
        <v>1</v>
      </c>
    </row>
    <row r="6823">
      <c r="A6823" s="2" t="s">
        <v>6820</v>
      </c>
      <c r="B6823" s="2">
        <v>358.0</v>
      </c>
      <c r="C6823" s="2">
        <v>4144.0</v>
      </c>
      <c r="D6823" s="2">
        <v>1158.0</v>
      </c>
      <c r="E6823" s="3">
        <f t="shared" si="1"/>
        <v>0.3058637084</v>
      </c>
      <c r="F6823" s="2">
        <v>427.0</v>
      </c>
      <c r="G6823" s="3">
        <f t="shared" si="2"/>
        <v>0.1127839408</v>
      </c>
      <c r="H6823" s="2">
        <v>762.0</v>
      </c>
      <c r="I6823" s="3">
        <f t="shared" si="3"/>
        <v>0.2012678288</v>
      </c>
      <c r="J6823" s="2">
        <v>562.0</v>
      </c>
      <c r="K6823" s="3">
        <f t="shared" si="4"/>
        <v>0.148441627</v>
      </c>
      <c r="L6823" s="2">
        <v>446.0</v>
      </c>
      <c r="M6823" s="3">
        <f t="shared" si="5"/>
        <v>0.5853018373</v>
      </c>
      <c r="N6823" s="2">
        <v>4293300.0</v>
      </c>
      <c r="O6823" s="4">
        <f t="shared" si="6"/>
        <v>5634.251969</v>
      </c>
      <c r="P6823" s="2">
        <v>0.0</v>
      </c>
      <c r="Q6823" s="3">
        <f t="shared" si="7"/>
        <v>0</v>
      </c>
      <c r="R6823" s="2">
        <v>1.0</v>
      </c>
      <c r="S6823" s="5">
        <f t="shared" si="8"/>
        <v>0.002793296089</v>
      </c>
    </row>
    <row r="6824">
      <c r="A6824" s="2" t="s">
        <v>6821</v>
      </c>
      <c r="B6824" s="2">
        <v>512.0</v>
      </c>
      <c r="C6824" s="2">
        <v>5993.0</v>
      </c>
      <c r="D6824" s="2">
        <v>1792.0</v>
      </c>
      <c r="E6824" s="3">
        <f t="shared" si="1"/>
        <v>0.3269476373</v>
      </c>
      <c r="F6824" s="2">
        <v>618.0</v>
      </c>
      <c r="G6824" s="3">
        <f t="shared" si="2"/>
        <v>0.1127531472</v>
      </c>
      <c r="H6824" s="2">
        <v>1095.0</v>
      </c>
      <c r="I6824" s="3">
        <f t="shared" si="3"/>
        <v>0.1997810619</v>
      </c>
      <c r="J6824" s="2">
        <v>873.0</v>
      </c>
      <c r="K6824" s="3">
        <f t="shared" si="4"/>
        <v>0.1592775041</v>
      </c>
      <c r="L6824" s="2">
        <v>661.0</v>
      </c>
      <c r="M6824" s="3">
        <f t="shared" si="5"/>
        <v>0.603652968</v>
      </c>
      <c r="N6824" s="2">
        <v>6289800.0</v>
      </c>
      <c r="O6824" s="4">
        <f t="shared" si="6"/>
        <v>5744.109589</v>
      </c>
      <c r="P6824" s="2">
        <v>0.0</v>
      </c>
      <c r="Q6824" s="3">
        <f t="shared" si="7"/>
        <v>0</v>
      </c>
      <c r="R6824" s="2">
        <v>512.0</v>
      </c>
      <c r="S6824" s="5">
        <f t="shared" si="8"/>
        <v>1</v>
      </c>
    </row>
    <row r="6825">
      <c r="A6825" s="2" t="s">
        <v>6822</v>
      </c>
      <c r="B6825" s="2">
        <v>2223.0</v>
      </c>
      <c r="C6825" s="2">
        <v>26045.0</v>
      </c>
      <c r="D6825" s="2">
        <v>9131.0</v>
      </c>
      <c r="E6825" s="3">
        <f t="shared" si="1"/>
        <v>0.3833011502</v>
      </c>
      <c r="F6825" s="2">
        <v>2686.0</v>
      </c>
      <c r="G6825" s="3">
        <f t="shared" si="2"/>
        <v>0.1127529175</v>
      </c>
      <c r="H6825" s="2">
        <v>5126.0</v>
      </c>
      <c r="I6825" s="3">
        <f t="shared" si="3"/>
        <v>0.2151792461</v>
      </c>
      <c r="J6825" s="2">
        <v>4267.0</v>
      </c>
      <c r="K6825" s="3">
        <f t="shared" si="4"/>
        <v>0.179120141</v>
      </c>
      <c r="L6825" s="2">
        <v>2987.0</v>
      </c>
      <c r="M6825" s="3">
        <f t="shared" si="5"/>
        <v>0.5827155677</v>
      </c>
      <c r="N6825" s="2">
        <v>2.84695E7</v>
      </c>
      <c r="O6825" s="4">
        <f t="shared" si="6"/>
        <v>5553.940694</v>
      </c>
      <c r="P6825" s="2">
        <v>4.0</v>
      </c>
      <c r="Q6825" s="3">
        <f t="shared" si="7"/>
        <v>0.00179937022</v>
      </c>
      <c r="R6825" s="2">
        <v>434.0</v>
      </c>
      <c r="S6825" s="5">
        <f t="shared" si="8"/>
        <v>0.1952316689</v>
      </c>
    </row>
    <row r="6826">
      <c r="A6826" s="2" t="s">
        <v>6823</v>
      </c>
      <c r="B6826" s="2">
        <v>570.0</v>
      </c>
      <c r="C6826" s="2">
        <v>6823.0</v>
      </c>
      <c r="D6826" s="2">
        <v>2592.0</v>
      </c>
      <c r="E6826" s="3">
        <f t="shared" si="1"/>
        <v>0.4145210299</v>
      </c>
      <c r="F6826" s="2">
        <v>705.0</v>
      </c>
      <c r="G6826" s="3">
        <f t="shared" si="2"/>
        <v>0.112745882</v>
      </c>
      <c r="H6826" s="2">
        <v>1283.0</v>
      </c>
      <c r="I6826" s="3">
        <f t="shared" si="3"/>
        <v>0.2051815129</v>
      </c>
      <c r="J6826" s="2">
        <v>788.0</v>
      </c>
      <c r="K6826" s="3">
        <f t="shared" si="4"/>
        <v>0.1260195106</v>
      </c>
      <c r="L6826" s="2">
        <v>752.0</v>
      </c>
      <c r="M6826" s="3">
        <f t="shared" si="5"/>
        <v>0.5861262666</v>
      </c>
      <c r="N6826" s="2">
        <v>6429800.0</v>
      </c>
      <c r="O6826" s="4">
        <f t="shared" si="6"/>
        <v>5011.535464</v>
      </c>
      <c r="P6826" s="2">
        <v>0.0</v>
      </c>
      <c r="Q6826" s="3">
        <f t="shared" si="7"/>
        <v>0</v>
      </c>
      <c r="R6826" s="2">
        <v>465.0</v>
      </c>
      <c r="S6826" s="5">
        <f t="shared" si="8"/>
        <v>0.8157894737</v>
      </c>
    </row>
    <row r="6827">
      <c r="A6827" s="2" t="s">
        <v>6824</v>
      </c>
      <c r="B6827" s="2">
        <v>122.0</v>
      </c>
      <c r="C6827" s="2">
        <v>1417.0</v>
      </c>
      <c r="D6827" s="2">
        <v>390.0</v>
      </c>
      <c r="E6827" s="3">
        <f t="shared" si="1"/>
        <v>0.3011583012</v>
      </c>
      <c r="F6827" s="2">
        <v>146.0</v>
      </c>
      <c r="G6827" s="3">
        <f t="shared" si="2"/>
        <v>0.1127413127</v>
      </c>
      <c r="H6827" s="2">
        <v>307.0</v>
      </c>
      <c r="I6827" s="3">
        <f t="shared" si="3"/>
        <v>0.2370656371</v>
      </c>
      <c r="J6827" s="2">
        <v>229.0</v>
      </c>
      <c r="K6827" s="3">
        <f t="shared" si="4"/>
        <v>0.1768339768</v>
      </c>
      <c r="L6827" s="2">
        <v>183.0</v>
      </c>
      <c r="M6827" s="3">
        <f t="shared" si="5"/>
        <v>0.5960912052</v>
      </c>
      <c r="N6827" s="2">
        <v>1667200.0</v>
      </c>
      <c r="O6827" s="4">
        <f t="shared" si="6"/>
        <v>5430.618893</v>
      </c>
      <c r="P6827" s="2">
        <v>1.0</v>
      </c>
      <c r="Q6827" s="3">
        <f t="shared" si="7"/>
        <v>0.008196721311</v>
      </c>
      <c r="R6827" s="2">
        <v>122.0</v>
      </c>
      <c r="S6827" s="5">
        <f t="shared" si="8"/>
        <v>1</v>
      </c>
    </row>
    <row r="6828">
      <c r="A6828" s="2" t="s">
        <v>6825</v>
      </c>
      <c r="B6828" s="2">
        <v>6301.0</v>
      </c>
      <c r="C6828" s="2">
        <v>74317.0</v>
      </c>
      <c r="D6828" s="2">
        <v>25114.0</v>
      </c>
      <c r="E6828" s="3">
        <f t="shared" si="1"/>
        <v>0.3692366502</v>
      </c>
      <c r="F6828" s="2">
        <v>7667.0</v>
      </c>
      <c r="G6828" s="3">
        <f t="shared" si="2"/>
        <v>0.1127234768</v>
      </c>
      <c r="H6828" s="2">
        <v>14431.0</v>
      </c>
      <c r="I6828" s="3">
        <f t="shared" si="3"/>
        <v>0.2121706657</v>
      </c>
      <c r="J6828" s="2">
        <v>10779.0</v>
      </c>
      <c r="K6828" s="3">
        <f t="shared" si="4"/>
        <v>0.1584774171</v>
      </c>
      <c r="L6828" s="2">
        <v>8590.0</v>
      </c>
      <c r="M6828" s="3">
        <f t="shared" si="5"/>
        <v>0.5952463447</v>
      </c>
      <c r="N6828" s="2">
        <v>7.82528E7</v>
      </c>
      <c r="O6828" s="4">
        <f t="shared" si="6"/>
        <v>5422.54868</v>
      </c>
      <c r="P6828" s="2">
        <v>9.0</v>
      </c>
      <c r="Q6828" s="3">
        <f t="shared" si="7"/>
        <v>0.001428344707</v>
      </c>
      <c r="R6828" s="2">
        <v>6297.0</v>
      </c>
      <c r="S6828" s="5">
        <f t="shared" si="8"/>
        <v>0.9993651801</v>
      </c>
    </row>
    <row r="6829">
      <c r="A6829" s="2" t="s">
        <v>6826</v>
      </c>
      <c r="B6829" s="2">
        <v>173.0</v>
      </c>
      <c r="C6829" s="2">
        <v>2036.0</v>
      </c>
      <c r="D6829" s="2">
        <v>658.0</v>
      </c>
      <c r="E6829" s="3">
        <f t="shared" si="1"/>
        <v>0.3531937735</v>
      </c>
      <c r="F6829" s="2">
        <v>210.0</v>
      </c>
      <c r="G6829" s="3">
        <f t="shared" si="2"/>
        <v>0.1127214171</v>
      </c>
      <c r="H6829" s="2">
        <v>356.0</v>
      </c>
      <c r="I6829" s="3">
        <f t="shared" si="3"/>
        <v>0.1910896404</v>
      </c>
      <c r="J6829" s="2">
        <v>269.0</v>
      </c>
      <c r="K6829" s="3">
        <f t="shared" si="4"/>
        <v>0.1443907676</v>
      </c>
      <c r="L6829" s="2">
        <v>194.0</v>
      </c>
      <c r="M6829" s="3">
        <f t="shared" si="5"/>
        <v>0.5449438202</v>
      </c>
      <c r="N6829" s="2">
        <v>1821100.0</v>
      </c>
      <c r="O6829" s="4">
        <f t="shared" si="6"/>
        <v>5115.449438</v>
      </c>
      <c r="P6829" s="2">
        <v>0.0</v>
      </c>
      <c r="Q6829" s="3">
        <f t="shared" si="7"/>
        <v>0</v>
      </c>
      <c r="R6829" s="2">
        <v>0.0</v>
      </c>
      <c r="S6829" s="5">
        <f t="shared" si="8"/>
        <v>0</v>
      </c>
    </row>
    <row r="6830">
      <c r="A6830" s="2" t="s">
        <v>6827</v>
      </c>
      <c r="B6830" s="2">
        <v>341.0</v>
      </c>
      <c r="C6830" s="2">
        <v>3952.0</v>
      </c>
      <c r="D6830" s="2">
        <v>972.0</v>
      </c>
      <c r="E6830" s="3">
        <f t="shared" si="1"/>
        <v>0.2691775132</v>
      </c>
      <c r="F6830" s="2">
        <v>407.0</v>
      </c>
      <c r="G6830" s="3">
        <f t="shared" si="2"/>
        <v>0.1127111603</v>
      </c>
      <c r="H6830" s="2">
        <v>671.0</v>
      </c>
      <c r="I6830" s="3">
        <f t="shared" si="3"/>
        <v>0.1858211022</v>
      </c>
      <c r="J6830" s="2">
        <v>656.0</v>
      </c>
      <c r="K6830" s="3">
        <f t="shared" si="4"/>
        <v>0.1816671282</v>
      </c>
      <c r="L6830" s="2">
        <v>425.0</v>
      </c>
      <c r="M6830" s="3">
        <f t="shared" si="5"/>
        <v>0.6333830104</v>
      </c>
      <c r="N6830" s="2">
        <v>4047500.0</v>
      </c>
      <c r="O6830" s="4">
        <f t="shared" si="6"/>
        <v>6032.041729</v>
      </c>
      <c r="P6830" s="2">
        <v>1.0</v>
      </c>
      <c r="Q6830" s="3">
        <f t="shared" si="7"/>
        <v>0.00293255132</v>
      </c>
      <c r="R6830" s="2">
        <v>341.0</v>
      </c>
      <c r="S6830" s="5">
        <f t="shared" si="8"/>
        <v>1</v>
      </c>
    </row>
    <row r="6831">
      <c r="A6831" s="2" t="s">
        <v>6828</v>
      </c>
      <c r="B6831" s="2">
        <v>41.0</v>
      </c>
      <c r="C6831" s="2">
        <v>458.0</v>
      </c>
      <c r="D6831" s="2">
        <v>158.0</v>
      </c>
      <c r="E6831" s="3">
        <f t="shared" si="1"/>
        <v>0.3788968825</v>
      </c>
      <c r="F6831" s="2">
        <v>47.0</v>
      </c>
      <c r="G6831" s="3">
        <f t="shared" si="2"/>
        <v>0.1127098321</v>
      </c>
      <c r="H6831" s="2">
        <v>95.0</v>
      </c>
      <c r="I6831" s="3">
        <f t="shared" si="3"/>
        <v>0.2278177458</v>
      </c>
      <c r="J6831" s="2">
        <v>66.0</v>
      </c>
      <c r="K6831" s="3">
        <f t="shared" si="4"/>
        <v>0.1582733813</v>
      </c>
      <c r="L6831" s="2">
        <v>54.0</v>
      </c>
      <c r="M6831" s="3">
        <f t="shared" si="5"/>
        <v>0.5684210526</v>
      </c>
      <c r="N6831" s="2">
        <v>525800.0</v>
      </c>
      <c r="O6831" s="4">
        <f t="shared" si="6"/>
        <v>5534.736842</v>
      </c>
      <c r="P6831" s="2">
        <v>0.0</v>
      </c>
      <c r="Q6831" s="3">
        <f t="shared" si="7"/>
        <v>0</v>
      </c>
      <c r="R6831" s="2">
        <v>41.0</v>
      </c>
      <c r="S6831" s="5">
        <f t="shared" si="8"/>
        <v>1</v>
      </c>
    </row>
    <row r="6832">
      <c r="A6832" s="2" t="s">
        <v>6829</v>
      </c>
      <c r="B6832" s="2">
        <v>640.0</v>
      </c>
      <c r="C6832" s="2">
        <v>7659.0</v>
      </c>
      <c r="D6832" s="2">
        <v>2321.0</v>
      </c>
      <c r="E6832" s="3">
        <f t="shared" si="1"/>
        <v>0.3306738852</v>
      </c>
      <c r="F6832" s="2">
        <v>791.0</v>
      </c>
      <c r="G6832" s="3">
        <f t="shared" si="2"/>
        <v>0.112694116</v>
      </c>
      <c r="H6832" s="2">
        <v>1375.0</v>
      </c>
      <c r="I6832" s="3">
        <f t="shared" si="3"/>
        <v>0.1958968514</v>
      </c>
      <c r="J6832" s="2">
        <v>1083.0</v>
      </c>
      <c r="K6832" s="3">
        <f t="shared" si="4"/>
        <v>0.1542954837</v>
      </c>
      <c r="L6832" s="2">
        <v>803.0</v>
      </c>
      <c r="M6832" s="3">
        <f t="shared" si="5"/>
        <v>0.584</v>
      </c>
      <c r="N6832" s="2">
        <v>7201100.0</v>
      </c>
      <c r="O6832" s="4">
        <f t="shared" si="6"/>
        <v>5237.163636</v>
      </c>
      <c r="P6832" s="2">
        <v>1.0</v>
      </c>
      <c r="Q6832" s="3">
        <f t="shared" si="7"/>
        <v>0.0015625</v>
      </c>
      <c r="R6832" s="2">
        <v>251.0</v>
      </c>
      <c r="S6832" s="5">
        <f t="shared" si="8"/>
        <v>0.3921875</v>
      </c>
    </row>
    <row r="6833">
      <c r="A6833" s="2" t="s">
        <v>6830</v>
      </c>
      <c r="B6833" s="2">
        <v>173.0</v>
      </c>
      <c r="C6833" s="2">
        <v>2072.0</v>
      </c>
      <c r="D6833" s="2">
        <v>658.0</v>
      </c>
      <c r="E6833" s="3">
        <f t="shared" si="1"/>
        <v>0.3464981569</v>
      </c>
      <c r="F6833" s="2">
        <v>214.0</v>
      </c>
      <c r="G6833" s="3">
        <f t="shared" si="2"/>
        <v>0.1126908899</v>
      </c>
      <c r="H6833" s="2">
        <v>365.0</v>
      </c>
      <c r="I6833" s="3">
        <f t="shared" si="3"/>
        <v>0.1922064244</v>
      </c>
      <c r="J6833" s="2">
        <v>239.0</v>
      </c>
      <c r="K6833" s="3">
        <f t="shared" si="4"/>
        <v>0.1258557135</v>
      </c>
      <c r="L6833" s="2">
        <v>219.0</v>
      </c>
      <c r="M6833" s="3">
        <f t="shared" si="5"/>
        <v>0.6</v>
      </c>
      <c r="N6833" s="2">
        <v>1954100.0</v>
      </c>
      <c r="O6833" s="4">
        <f t="shared" si="6"/>
        <v>5353.69863</v>
      </c>
      <c r="P6833" s="2">
        <v>0.0</v>
      </c>
      <c r="Q6833" s="3">
        <f t="shared" si="7"/>
        <v>0</v>
      </c>
      <c r="R6833" s="2">
        <v>173.0</v>
      </c>
      <c r="S6833" s="5">
        <f t="shared" si="8"/>
        <v>1</v>
      </c>
    </row>
    <row r="6834">
      <c r="A6834" s="2" t="s">
        <v>6831</v>
      </c>
      <c r="B6834" s="2">
        <v>205.0</v>
      </c>
      <c r="C6834" s="2">
        <v>2468.0</v>
      </c>
      <c r="D6834" s="2">
        <v>849.0</v>
      </c>
      <c r="E6834" s="3">
        <f t="shared" si="1"/>
        <v>0.3751657092</v>
      </c>
      <c r="F6834" s="2">
        <v>255.0</v>
      </c>
      <c r="G6834" s="3">
        <f t="shared" si="2"/>
        <v>0.1126822802</v>
      </c>
      <c r="H6834" s="2">
        <v>413.0</v>
      </c>
      <c r="I6834" s="3">
        <f t="shared" si="3"/>
        <v>0.1825011047</v>
      </c>
      <c r="J6834" s="2">
        <v>333.0</v>
      </c>
      <c r="K6834" s="3">
        <f t="shared" si="4"/>
        <v>0.1471498011</v>
      </c>
      <c r="L6834" s="2">
        <v>245.0</v>
      </c>
      <c r="M6834" s="3">
        <f t="shared" si="5"/>
        <v>0.593220339</v>
      </c>
      <c r="N6834" s="2">
        <v>2354700.0</v>
      </c>
      <c r="O6834" s="4">
        <f t="shared" si="6"/>
        <v>5701.452785</v>
      </c>
      <c r="P6834" s="2">
        <v>1.0</v>
      </c>
      <c r="Q6834" s="3">
        <f t="shared" si="7"/>
        <v>0.00487804878</v>
      </c>
      <c r="R6834" s="2">
        <v>98.0</v>
      </c>
      <c r="S6834" s="5">
        <f t="shared" si="8"/>
        <v>0.4780487805</v>
      </c>
    </row>
    <row r="6835">
      <c r="A6835" s="2" t="s">
        <v>6832</v>
      </c>
      <c r="B6835" s="2">
        <v>7238.0</v>
      </c>
      <c r="C6835" s="2">
        <v>85265.0</v>
      </c>
      <c r="D6835" s="2">
        <v>23891.0</v>
      </c>
      <c r="E6835" s="3">
        <f t="shared" si="1"/>
        <v>0.3061888833</v>
      </c>
      <c r="F6835" s="2">
        <v>8792.0</v>
      </c>
      <c r="G6835" s="3">
        <f t="shared" si="2"/>
        <v>0.1126789445</v>
      </c>
      <c r="H6835" s="2">
        <v>16202.0</v>
      </c>
      <c r="I6835" s="3">
        <f t="shared" si="3"/>
        <v>0.2076460712</v>
      </c>
      <c r="J6835" s="2">
        <v>12722.0</v>
      </c>
      <c r="K6835" s="3">
        <f t="shared" si="4"/>
        <v>0.1630461251</v>
      </c>
      <c r="L6835" s="2">
        <v>9683.0</v>
      </c>
      <c r="M6835" s="3">
        <f t="shared" si="5"/>
        <v>0.5976422664</v>
      </c>
      <c r="N6835" s="2">
        <v>9.30958E7</v>
      </c>
      <c r="O6835" s="4">
        <f t="shared" si="6"/>
        <v>5745.944945</v>
      </c>
      <c r="P6835" s="2">
        <v>14.0</v>
      </c>
      <c r="Q6835" s="3">
        <f t="shared" si="7"/>
        <v>0.001934235977</v>
      </c>
      <c r="R6835" s="2">
        <v>7238.0</v>
      </c>
      <c r="S6835" s="5">
        <f t="shared" si="8"/>
        <v>1</v>
      </c>
    </row>
    <row r="6836">
      <c r="A6836" s="2" t="s">
        <v>6833</v>
      </c>
      <c r="B6836" s="2">
        <v>449.0</v>
      </c>
      <c r="C6836" s="2">
        <v>5323.0</v>
      </c>
      <c r="D6836" s="2">
        <v>1922.0</v>
      </c>
      <c r="E6836" s="3">
        <f t="shared" si="1"/>
        <v>0.3943373</v>
      </c>
      <c r="F6836" s="2">
        <v>549.0</v>
      </c>
      <c r="G6836" s="3">
        <f t="shared" si="2"/>
        <v>0.1126384899</v>
      </c>
      <c r="H6836" s="2">
        <v>1020.0</v>
      </c>
      <c r="I6836" s="3">
        <f t="shared" si="3"/>
        <v>0.2092736972</v>
      </c>
      <c r="J6836" s="2">
        <v>754.0</v>
      </c>
      <c r="K6836" s="3">
        <f t="shared" si="4"/>
        <v>0.1546983997</v>
      </c>
      <c r="L6836" s="2">
        <v>606.0</v>
      </c>
      <c r="M6836" s="3">
        <f t="shared" si="5"/>
        <v>0.5941176471</v>
      </c>
      <c r="N6836" s="2">
        <v>5475600.0</v>
      </c>
      <c r="O6836" s="4">
        <f t="shared" si="6"/>
        <v>5368.235294</v>
      </c>
      <c r="P6836" s="2">
        <v>1.0</v>
      </c>
      <c r="Q6836" s="3">
        <f t="shared" si="7"/>
        <v>0.002227171492</v>
      </c>
      <c r="R6836" s="2">
        <v>36.0</v>
      </c>
      <c r="S6836" s="5">
        <f t="shared" si="8"/>
        <v>0.08017817372</v>
      </c>
    </row>
    <row r="6837">
      <c r="A6837" s="2" t="s">
        <v>6834</v>
      </c>
      <c r="B6837" s="2">
        <v>623.0</v>
      </c>
      <c r="C6837" s="2">
        <v>7140.0</v>
      </c>
      <c r="D6837" s="2">
        <v>2403.0</v>
      </c>
      <c r="E6837" s="3">
        <f t="shared" si="1"/>
        <v>0.3687279423</v>
      </c>
      <c r="F6837" s="2">
        <v>734.0</v>
      </c>
      <c r="G6837" s="3">
        <f t="shared" si="2"/>
        <v>0.1126285101</v>
      </c>
      <c r="H6837" s="2">
        <v>1457.0</v>
      </c>
      <c r="I6837" s="3">
        <f t="shared" si="3"/>
        <v>0.2235691269</v>
      </c>
      <c r="J6837" s="2">
        <v>1224.0</v>
      </c>
      <c r="K6837" s="3">
        <f t="shared" si="4"/>
        <v>0.18781648</v>
      </c>
      <c r="L6837" s="2">
        <v>879.0</v>
      </c>
      <c r="M6837" s="3">
        <f t="shared" si="5"/>
        <v>0.6032944406</v>
      </c>
      <c r="N6837" s="2">
        <v>8366700.0</v>
      </c>
      <c r="O6837" s="4">
        <f t="shared" si="6"/>
        <v>5742.415923</v>
      </c>
      <c r="P6837" s="2">
        <v>2.0</v>
      </c>
      <c r="Q6837" s="3">
        <f t="shared" si="7"/>
        <v>0.003210272873</v>
      </c>
      <c r="R6837" s="2">
        <v>145.0</v>
      </c>
      <c r="S6837" s="5">
        <f t="shared" si="8"/>
        <v>0.2327447833</v>
      </c>
    </row>
    <row r="6838">
      <c r="A6838" s="2" t="s">
        <v>6835</v>
      </c>
      <c r="B6838" s="2">
        <v>27.0</v>
      </c>
      <c r="C6838" s="2">
        <v>320.0</v>
      </c>
      <c r="D6838" s="2">
        <v>116.0</v>
      </c>
      <c r="E6838" s="3">
        <f t="shared" si="1"/>
        <v>0.3959044369</v>
      </c>
      <c r="F6838" s="2">
        <v>33.0</v>
      </c>
      <c r="G6838" s="3">
        <f t="shared" si="2"/>
        <v>0.1126279863</v>
      </c>
      <c r="H6838" s="2">
        <v>66.0</v>
      </c>
      <c r="I6838" s="3">
        <f t="shared" si="3"/>
        <v>0.2252559727</v>
      </c>
      <c r="J6838" s="2">
        <v>44.0</v>
      </c>
      <c r="K6838" s="3">
        <f t="shared" si="4"/>
        <v>0.1501706485</v>
      </c>
      <c r="L6838" s="2">
        <v>39.0</v>
      </c>
      <c r="M6838" s="3">
        <f t="shared" si="5"/>
        <v>0.5909090909</v>
      </c>
      <c r="N6838" s="2">
        <v>309700.0</v>
      </c>
      <c r="O6838" s="4">
        <f t="shared" si="6"/>
        <v>4692.424242</v>
      </c>
      <c r="P6838" s="2">
        <v>0.0</v>
      </c>
      <c r="Q6838" s="3">
        <f t="shared" si="7"/>
        <v>0</v>
      </c>
      <c r="R6838" s="2">
        <v>27.0</v>
      </c>
      <c r="S6838" s="5">
        <f t="shared" si="8"/>
        <v>1</v>
      </c>
    </row>
    <row r="6839">
      <c r="A6839" s="2" t="s">
        <v>6836</v>
      </c>
      <c r="B6839" s="2">
        <v>823.0</v>
      </c>
      <c r="C6839" s="2">
        <v>9827.0</v>
      </c>
      <c r="D6839" s="2">
        <v>2248.0</v>
      </c>
      <c r="E6839" s="3">
        <f t="shared" si="1"/>
        <v>0.2496668147</v>
      </c>
      <c r="F6839" s="2">
        <v>1014.0</v>
      </c>
      <c r="G6839" s="3">
        <f t="shared" si="2"/>
        <v>0.1126166148</v>
      </c>
      <c r="H6839" s="2">
        <v>1699.0</v>
      </c>
      <c r="I6839" s="3">
        <f t="shared" si="3"/>
        <v>0.1886939138</v>
      </c>
      <c r="J6839" s="2">
        <v>1668.0</v>
      </c>
      <c r="K6839" s="3">
        <f t="shared" si="4"/>
        <v>0.1852509996</v>
      </c>
      <c r="L6839" s="2">
        <v>989.0</v>
      </c>
      <c r="M6839" s="3">
        <f t="shared" si="5"/>
        <v>0.5821071218</v>
      </c>
      <c r="N6839" s="2">
        <v>9783200.0</v>
      </c>
      <c r="O6839" s="4">
        <f t="shared" si="6"/>
        <v>5758.210712</v>
      </c>
      <c r="P6839" s="2">
        <v>2.0</v>
      </c>
      <c r="Q6839" s="3">
        <f t="shared" si="7"/>
        <v>0.002430133657</v>
      </c>
      <c r="R6839" s="2">
        <v>0.0</v>
      </c>
      <c r="S6839" s="5">
        <f t="shared" si="8"/>
        <v>0</v>
      </c>
    </row>
    <row r="6840">
      <c r="A6840" s="2" t="s">
        <v>6837</v>
      </c>
      <c r="B6840" s="2">
        <v>155.0</v>
      </c>
      <c r="C6840" s="2">
        <v>1860.0</v>
      </c>
      <c r="D6840" s="2">
        <v>570.0</v>
      </c>
      <c r="E6840" s="3">
        <f t="shared" si="1"/>
        <v>0.3343108504</v>
      </c>
      <c r="F6840" s="2">
        <v>192.0</v>
      </c>
      <c r="G6840" s="3">
        <f t="shared" si="2"/>
        <v>0.1126099707</v>
      </c>
      <c r="H6840" s="2">
        <v>311.0</v>
      </c>
      <c r="I6840" s="3">
        <f t="shared" si="3"/>
        <v>0.1824046921</v>
      </c>
      <c r="J6840" s="2">
        <v>239.0</v>
      </c>
      <c r="K6840" s="3">
        <f t="shared" si="4"/>
        <v>0.1401759531</v>
      </c>
      <c r="L6840" s="2">
        <v>195.0</v>
      </c>
      <c r="M6840" s="3">
        <f t="shared" si="5"/>
        <v>0.6270096463</v>
      </c>
      <c r="N6840" s="2">
        <v>1654200.0</v>
      </c>
      <c r="O6840" s="4">
        <f t="shared" si="6"/>
        <v>5318.971061</v>
      </c>
      <c r="P6840" s="2">
        <v>0.0</v>
      </c>
      <c r="Q6840" s="3">
        <f t="shared" si="7"/>
        <v>0</v>
      </c>
      <c r="R6840" s="2">
        <v>155.0</v>
      </c>
      <c r="S6840" s="5">
        <f t="shared" si="8"/>
        <v>1</v>
      </c>
    </row>
    <row r="6841">
      <c r="A6841" s="2" t="s">
        <v>6838</v>
      </c>
      <c r="B6841" s="2">
        <v>54.0</v>
      </c>
      <c r="C6841" s="2">
        <v>649.0</v>
      </c>
      <c r="D6841" s="2">
        <v>176.0</v>
      </c>
      <c r="E6841" s="3">
        <f t="shared" si="1"/>
        <v>0.2957983193</v>
      </c>
      <c r="F6841" s="2">
        <v>67.0</v>
      </c>
      <c r="G6841" s="3">
        <f t="shared" si="2"/>
        <v>0.112605042</v>
      </c>
      <c r="H6841" s="2">
        <v>115.0</v>
      </c>
      <c r="I6841" s="3">
        <f t="shared" si="3"/>
        <v>0.1932773109</v>
      </c>
      <c r="J6841" s="2">
        <v>126.0</v>
      </c>
      <c r="K6841" s="3">
        <f t="shared" si="4"/>
        <v>0.2117647059</v>
      </c>
      <c r="L6841" s="2">
        <v>64.0</v>
      </c>
      <c r="M6841" s="3">
        <f t="shared" si="5"/>
        <v>0.5565217391</v>
      </c>
      <c r="N6841" s="2">
        <v>661600.0</v>
      </c>
      <c r="O6841" s="4">
        <f t="shared" si="6"/>
        <v>5753.043478</v>
      </c>
      <c r="P6841" s="2">
        <v>0.0</v>
      </c>
      <c r="Q6841" s="3">
        <f t="shared" si="7"/>
        <v>0</v>
      </c>
      <c r="R6841" s="2">
        <v>54.0</v>
      </c>
      <c r="S6841" s="5">
        <f t="shared" si="8"/>
        <v>1</v>
      </c>
    </row>
    <row r="6842">
      <c r="A6842" s="2" t="s">
        <v>6839</v>
      </c>
      <c r="B6842" s="2">
        <v>458.0</v>
      </c>
      <c r="C6842" s="2">
        <v>5378.0</v>
      </c>
      <c r="D6842" s="2">
        <v>2037.0</v>
      </c>
      <c r="E6842" s="3">
        <f t="shared" si="1"/>
        <v>0.4140243902</v>
      </c>
      <c r="F6842" s="2">
        <v>554.0</v>
      </c>
      <c r="G6842" s="3">
        <f t="shared" si="2"/>
        <v>0.112601626</v>
      </c>
      <c r="H6842" s="2">
        <v>987.0</v>
      </c>
      <c r="I6842" s="3">
        <f t="shared" si="3"/>
        <v>0.2006097561</v>
      </c>
      <c r="J6842" s="2">
        <v>731.0</v>
      </c>
      <c r="K6842" s="3">
        <f t="shared" si="4"/>
        <v>0.1485772358</v>
      </c>
      <c r="L6842" s="2">
        <v>582.0</v>
      </c>
      <c r="M6842" s="3">
        <f t="shared" si="5"/>
        <v>0.5896656535</v>
      </c>
      <c r="N6842" s="2">
        <v>5294600.0</v>
      </c>
      <c r="O6842" s="4">
        <f t="shared" si="6"/>
        <v>5364.336373</v>
      </c>
      <c r="P6842" s="2">
        <v>1.0</v>
      </c>
      <c r="Q6842" s="3">
        <f t="shared" si="7"/>
        <v>0.002183406114</v>
      </c>
      <c r="R6842" s="2">
        <v>458.0</v>
      </c>
      <c r="S6842" s="5">
        <f t="shared" si="8"/>
        <v>1</v>
      </c>
    </row>
    <row r="6843">
      <c r="A6843" s="2" t="s">
        <v>6840</v>
      </c>
      <c r="B6843" s="2">
        <v>7836.0</v>
      </c>
      <c r="C6843" s="2">
        <v>92712.0</v>
      </c>
      <c r="D6843" s="2">
        <v>23526.0</v>
      </c>
      <c r="E6843" s="3">
        <f t="shared" si="1"/>
        <v>0.2771808285</v>
      </c>
      <c r="F6843" s="2">
        <v>9556.0</v>
      </c>
      <c r="G6843" s="3">
        <f t="shared" si="2"/>
        <v>0.1125877751</v>
      </c>
      <c r="H6843" s="2">
        <v>15914.0</v>
      </c>
      <c r="I6843" s="3">
        <f t="shared" si="3"/>
        <v>0.1874970545</v>
      </c>
      <c r="J6843" s="2">
        <v>14934.0</v>
      </c>
      <c r="K6843" s="3">
        <f t="shared" si="4"/>
        <v>0.1759507988</v>
      </c>
      <c r="L6843" s="2">
        <v>9278.0</v>
      </c>
      <c r="M6843" s="3">
        <f t="shared" si="5"/>
        <v>0.5830086716</v>
      </c>
      <c r="N6843" s="2">
        <v>9.74463E7</v>
      </c>
      <c r="O6843" s="4">
        <f t="shared" si="6"/>
        <v>6123.306523</v>
      </c>
      <c r="P6843" s="2">
        <v>20.0</v>
      </c>
      <c r="Q6843" s="3">
        <f t="shared" si="7"/>
        <v>0.002552322614</v>
      </c>
      <c r="R6843" s="2">
        <v>7836.0</v>
      </c>
      <c r="S6843" s="5">
        <f t="shared" si="8"/>
        <v>1</v>
      </c>
    </row>
    <row r="6844">
      <c r="A6844" s="2" t="s">
        <v>6841</v>
      </c>
      <c r="B6844" s="2">
        <v>15.0</v>
      </c>
      <c r="C6844" s="2">
        <v>166.0</v>
      </c>
      <c r="D6844" s="2">
        <v>59.0</v>
      </c>
      <c r="E6844" s="3">
        <f t="shared" si="1"/>
        <v>0.3907284768</v>
      </c>
      <c r="F6844" s="2">
        <v>17.0</v>
      </c>
      <c r="G6844" s="3">
        <f t="shared" si="2"/>
        <v>0.1125827815</v>
      </c>
      <c r="H6844" s="2">
        <v>35.0</v>
      </c>
      <c r="I6844" s="3">
        <f t="shared" si="3"/>
        <v>0.2317880795</v>
      </c>
      <c r="J6844" s="2">
        <v>31.0</v>
      </c>
      <c r="K6844" s="3">
        <f t="shared" si="4"/>
        <v>0.2052980132</v>
      </c>
      <c r="L6844" s="2">
        <v>25.0</v>
      </c>
      <c r="M6844" s="3">
        <f t="shared" si="5"/>
        <v>0.7142857143</v>
      </c>
      <c r="N6844" s="2">
        <v>221000.0</v>
      </c>
      <c r="O6844" s="4">
        <f t="shared" si="6"/>
        <v>6314.285714</v>
      </c>
      <c r="P6844" s="2">
        <v>0.0</v>
      </c>
      <c r="Q6844" s="3">
        <f t="shared" si="7"/>
        <v>0</v>
      </c>
      <c r="R6844" s="2">
        <v>15.0</v>
      </c>
      <c r="S6844" s="5">
        <f t="shared" si="8"/>
        <v>1</v>
      </c>
    </row>
    <row r="6845">
      <c r="A6845" s="2" t="s">
        <v>6842</v>
      </c>
      <c r="B6845" s="2">
        <v>2118.0</v>
      </c>
      <c r="C6845" s="2">
        <v>24629.0</v>
      </c>
      <c r="D6845" s="2">
        <v>7154.0</v>
      </c>
      <c r="E6845" s="3">
        <f t="shared" si="1"/>
        <v>0.3178001866</v>
      </c>
      <c r="F6845" s="2">
        <v>2534.0</v>
      </c>
      <c r="G6845" s="3">
        <f t="shared" si="2"/>
        <v>0.1125671894</v>
      </c>
      <c r="H6845" s="2">
        <v>4565.0</v>
      </c>
      <c r="I6845" s="3">
        <f t="shared" si="3"/>
        <v>0.2027897472</v>
      </c>
      <c r="J6845" s="2">
        <v>3921.0</v>
      </c>
      <c r="K6845" s="3">
        <f t="shared" si="4"/>
        <v>0.1741815113</v>
      </c>
      <c r="L6845" s="2">
        <v>2727.0</v>
      </c>
      <c r="M6845" s="3">
        <f t="shared" si="5"/>
        <v>0.5973713034</v>
      </c>
      <c r="N6845" s="2">
        <v>2.63997E7</v>
      </c>
      <c r="O6845" s="4">
        <f t="shared" si="6"/>
        <v>5783.066813</v>
      </c>
      <c r="P6845" s="2">
        <v>5.0</v>
      </c>
      <c r="Q6845" s="3">
        <f t="shared" si="7"/>
        <v>0.002360717658</v>
      </c>
      <c r="R6845" s="2">
        <v>1915.0</v>
      </c>
      <c r="S6845" s="5">
        <f t="shared" si="8"/>
        <v>0.9041548631</v>
      </c>
    </row>
    <row r="6846">
      <c r="A6846" s="2" t="s">
        <v>6843</v>
      </c>
      <c r="B6846" s="2">
        <v>123.0</v>
      </c>
      <c r="C6846" s="2">
        <v>1429.0</v>
      </c>
      <c r="D6846" s="2">
        <v>454.0</v>
      </c>
      <c r="E6846" s="3">
        <f t="shared" si="1"/>
        <v>0.34762634</v>
      </c>
      <c r="F6846" s="2">
        <v>147.0</v>
      </c>
      <c r="G6846" s="3">
        <f t="shared" si="2"/>
        <v>0.1125574273</v>
      </c>
      <c r="H6846" s="2">
        <v>261.0</v>
      </c>
      <c r="I6846" s="3">
        <f t="shared" si="3"/>
        <v>0.1998468606</v>
      </c>
      <c r="J6846" s="2">
        <v>203.0</v>
      </c>
      <c r="K6846" s="3">
        <f t="shared" si="4"/>
        <v>0.1554364472</v>
      </c>
      <c r="L6846" s="2">
        <v>164.0</v>
      </c>
      <c r="M6846" s="3">
        <f t="shared" si="5"/>
        <v>0.6283524904</v>
      </c>
      <c r="N6846" s="2">
        <v>1267100.0</v>
      </c>
      <c r="O6846" s="4">
        <f t="shared" si="6"/>
        <v>4854.789272</v>
      </c>
      <c r="P6846" s="2">
        <v>0.0</v>
      </c>
      <c r="Q6846" s="3">
        <f t="shared" si="7"/>
        <v>0</v>
      </c>
      <c r="R6846" s="2">
        <v>0.0</v>
      </c>
      <c r="S6846" s="5">
        <f t="shared" si="8"/>
        <v>0</v>
      </c>
    </row>
    <row r="6847">
      <c r="A6847" s="2" t="s">
        <v>6844</v>
      </c>
      <c r="B6847" s="2">
        <v>311.0</v>
      </c>
      <c r="C6847" s="2">
        <v>3625.0</v>
      </c>
      <c r="D6847" s="2">
        <v>1225.0</v>
      </c>
      <c r="E6847" s="3">
        <f t="shared" si="1"/>
        <v>0.3696439348</v>
      </c>
      <c r="F6847" s="2">
        <v>373.0</v>
      </c>
      <c r="G6847" s="3">
        <f t="shared" si="2"/>
        <v>0.1125528063</v>
      </c>
      <c r="H6847" s="2">
        <v>679.0</v>
      </c>
      <c r="I6847" s="3">
        <f t="shared" si="3"/>
        <v>0.2048883524</v>
      </c>
      <c r="J6847" s="2">
        <v>492.0</v>
      </c>
      <c r="K6847" s="3">
        <f t="shared" si="4"/>
        <v>0.1484610742</v>
      </c>
      <c r="L6847" s="2">
        <v>424.0</v>
      </c>
      <c r="M6847" s="3">
        <f t="shared" si="5"/>
        <v>0.6244477172</v>
      </c>
      <c r="N6847" s="2">
        <v>3741400.0</v>
      </c>
      <c r="O6847" s="4">
        <f t="shared" si="6"/>
        <v>5510.162003</v>
      </c>
      <c r="P6847" s="2">
        <v>1.0</v>
      </c>
      <c r="Q6847" s="3">
        <f t="shared" si="7"/>
        <v>0.003215434084</v>
      </c>
      <c r="R6847" s="2">
        <v>117.0</v>
      </c>
      <c r="S6847" s="5">
        <f t="shared" si="8"/>
        <v>0.3762057878</v>
      </c>
    </row>
    <row r="6848">
      <c r="A6848" s="2" t="s">
        <v>6845</v>
      </c>
      <c r="B6848" s="2">
        <v>1896.0</v>
      </c>
      <c r="C6848" s="2">
        <v>22174.0</v>
      </c>
      <c r="D6848" s="2">
        <v>6316.0</v>
      </c>
      <c r="E6848" s="3">
        <f t="shared" si="1"/>
        <v>0.3114705592</v>
      </c>
      <c r="F6848" s="2">
        <v>2282.0</v>
      </c>
      <c r="G6848" s="3">
        <f t="shared" si="2"/>
        <v>0.112535753</v>
      </c>
      <c r="H6848" s="2">
        <v>4175.0</v>
      </c>
      <c r="I6848" s="3">
        <f t="shared" si="3"/>
        <v>0.2058881547</v>
      </c>
      <c r="J6848" s="2">
        <v>3400.0</v>
      </c>
      <c r="K6848" s="3">
        <f t="shared" si="4"/>
        <v>0.1676693954</v>
      </c>
      <c r="L6848" s="2">
        <v>2516.0</v>
      </c>
      <c r="M6848" s="3">
        <f t="shared" si="5"/>
        <v>0.6026347305</v>
      </c>
      <c r="N6848" s="2">
        <v>2.33435E7</v>
      </c>
      <c r="O6848" s="4">
        <f t="shared" si="6"/>
        <v>5591.257485</v>
      </c>
      <c r="P6848" s="2">
        <v>2.0</v>
      </c>
      <c r="Q6848" s="3">
        <f t="shared" si="7"/>
        <v>0.001054852321</v>
      </c>
      <c r="R6848" s="2">
        <v>1759.0</v>
      </c>
      <c r="S6848" s="5">
        <f t="shared" si="8"/>
        <v>0.927742616</v>
      </c>
    </row>
    <row r="6849">
      <c r="A6849" s="2" t="s">
        <v>6846</v>
      </c>
      <c r="B6849" s="2">
        <v>1612.0</v>
      </c>
      <c r="C6849" s="2">
        <v>19065.0</v>
      </c>
      <c r="D6849" s="2">
        <v>5319.0</v>
      </c>
      <c r="E6849" s="3">
        <f t="shared" si="1"/>
        <v>0.3047613591</v>
      </c>
      <c r="F6849" s="2">
        <v>1964.0</v>
      </c>
      <c r="G6849" s="3">
        <f t="shared" si="2"/>
        <v>0.112530797</v>
      </c>
      <c r="H6849" s="2">
        <v>3602.0</v>
      </c>
      <c r="I6849" s="3">
        <f t="shared" si="3"/>
        <v>0.2063828568</v>
      </c>
      <c r="J6849" s="2">
        <v>2925.0</v>
      </c>
      <c r="K6849" s="3">
        <f t="shared" si="4"/>
        <v>0.167592964</v>
      </c>
      <c r="L6849" s="2">
        <v>2182.0</v>
      </c>
      <c r="M6849" s="3">
        <f t="shared" si="5"/>
        <v>0.6057745697</v>
      </c>
      <c r="N6849" s="2">
        <v>2.0689E7</v>
      </c>
      <c r="O6849" s="4">
        <f t="shared" si="6"/>
        <v>5743.75347</v>
      </c>
      <c r="P6849" s="2">
        <v>2.0</v>
      </c>
      <c r="Q6849" s="3">
        <f t="shared" si="7"/>
        <v>0.001240694789</v>
      </c>
      <c r="R6849" s="2">
        <v>1594.0</v>
      </c>
      <c r="S6849" s="5">
        <f t="shared" si="8"/>
        <v>0.9888337469</v>
      </c>
    </row>
    <row r="6850">
      <c r="A6850" s="2" t="s">
        <v>6847</v>
      </c>
      <c r="B6850" s="2">
        <v>196.0</v>
      </c>
      <c r="C6850" s="2">
        <v>2391.0</v>
      </c>
      <c r="D6850" s="2">
        <v>712.0</v>
      </c>
      <c r="E6850" s="3">
        <f t="shared" si="1"/>
        <v>0.3243735763</v>
      </c>
      <c r="F6850" s="2">
        <v>247.0</v>
      </c>
      <c r="G6850" s="3">
        <f t="shared" si="2"/>
        <v>0.1125284738</v>
      </c>
      <c r="H6850" s="2">
        <v>410.0</v>
      </c>
      <c r="I6850" s="3">
        <f t="shared" si="3"/>
        <v>0.1867881549</v>
      </c>
      <c r="J6850" s="2">
        <v>330.0</v>
      </c>
      <c r="K6850" s="3">
        <f t="shared" si="4"/>
        <v>0.1503416856</v>
      </c>
      <c r="L6850" s="2">
        <v>237.0</v>
      </c>
      <c r="M6850" s="3">
        <f t="shared" si="5"/>
        <v>0.5780487805</v>
      </c>
      <c r="N6850" s="2">
        <v>2050000.0</v>
      </c>
      <c r="O6850" s="4">
        <f t="shared" si="6"/>
        <v>5000</v>
      </c>
      <c r="P6850" s="2">
        <v>0.0</v>
      </c>
      <c r="Q6850" s="3">
        <f t="shared" si="7"/>
        <v>0</v>
      </c>
      <c r="R6850" s="2">
        <v>196.0</v>
      </c>
      <c r="S6850" s="5">
        <f t="shared" si="8"/>
        <v>1</v>
      </c>
    </row>
    <row r="6851">
      <c r="A6851" s="2" t="s">
        <v>6848</v>
      </c>
      <c r="B6851" s="2">
        <v>487.0</v>
      </c>
      <c r="C6851" s="2">
        <v>5819.0</v>
      </c>
      <c r="D6851" s="2">
        <v>1879.0</v>
      </c>
      <c r="E6851" s="3">
        <f t="shared" si="1"/>
        <v>0.3524006002</v>
      </c>
      <c r="F6851" s="2">
        <v>600.0</v>
      </c>
      <c r="G6851" s="3">
        <f t="shared" si="2"/>
        <v>0.112528132</v>
      </c>
      <c r="H6851" s="2">
        <v>1080.0</v>
      </c>
      <c r="I6851" s="3">
        <f t="shared" si="3"/>
        <v>0.2025506377</v>
      </c>
      <c r="J6851" s="2">
        <v>833.0</v>
      </c>
      <c r="K6851" s="3">
        <f t="shared" si="4"/>
        <v>0.1562265566</v>
      </c>
      <c r="L6851" s="2">
        <v>623.0</v>
      </c>
      <c r="M6851" s="3">
        <f t="shared" si="5"/>
        <v>0.5768518519</v>
      </c>
      <c r="N6851" s="2">
        <v>5770000.0</v>
      </c>
      <c r="O6851" s="4">
        <f t="shared" si="6"/>
        <v>5342.592593</v>
      </c>
      <c r="P6851" s="2">
        <v>1.0</v>
      </c>
      <c r="Q6851" s="3">
        <f t="shared" si="7"/>
        <v>0.00205338809</v>
      </c>
      <c r="R6851" s="2">
        <v>484.0</v>
      </c>
      <c r="S6851" s="5">
        <f t="shared" si="8"/>
        <v>0.9938398357</v>
      </c>
    </row>
    <row r="6852">
      <c r="A6852" s="2" t="s">
        <v>6849</v>
      </c>
      <c r="B6852" s="2">
        <v>778.0</v>
      </c>
      <c r="C6852" s="2">
        <v>9114.0</v>
      </c>
      <c r="D6852" s="2">
        <v>2550.0</v>
      </c>
      <c r="E6852" s="3">
        <f t="shared" si="1"/>
        <v>0.3059021113</v>
      </c>
      <c r="F6852" s="2">
        <v>938.0</v>
      </c>
      <c r="G6852" s="3">
        <f t="shared" si="2"/>
        <v>0.1125239923</v>
      </c>
      <c r="H6852" s="2">
        <v>1769.0</v>
      </c>
      <c r="I6852" s="3">
        <f t="shared" si="3"/>
        <v>0.2122120921</v>
      </c>
      <c r="J6852" s="2">
        <v>1306.0</v>
      </c>
      <c r="K6852" s="3">
        <f t="shared" si="4"/>
        <v>0.1566698656</v>
      </c>
      <c r="L6852" s="2">
        <v>1028.0</v>
      </c>
      <c r="M6852" s="3">
        <f t="shared" si="5"/>
        <v>0.5811192764</v>
      </c>
      <c r="N6852" s="2">
        <v>1.03664E7</v>
      </c>
      <c r="O6852" s="4">
        <f t="shared" si="6"/>
        <v>5860.033917</v>
      </c>
      <c r="P6852" s="2">
        <v>1.0</v>
      </c>
      <c r="Q6852" s="3">
        <f t="shared" si="7"/>
        <v>0.001285347044</v>
      </c>
      <c r="R6852" s="2">
        <v>778.0</v>
      </c>
      <c r="S6852" s="5">
        <f t="shared" si="8"/>
        <v>1</v>
      </c>
    </row>
    <row r="6853">
      <c r="A6853" s="2" t="s">
        <v>6850</v>
      </c>
      <c r="B6853" s="2">
        <v>1635.0</v>
      </c>
      <c r="C6853" s="2">
        <v>19224.0</v>
      </c>
      <c r="D6853" s="2">
        <v>5793.0</v>
      </c>
      <c r="E6853" s="3">
        <f t="shared" si="1"/>
        <v>0.3293535733</v>
      </c>
      <c r="F6853" s="2">
        <v>1979.0</v>
      </c>
      <c r="G6853" s="3">
        <f t="shared" si="2"/>
        <v>0.1125135028</v>
      </c>
      <c r="H6853" s="2">
        <v>3655.0</v>
      </c>
      <c r="I6853" s="3">
        <f t="shared" si="3"/>
        <v>0.2078003298</v>
      </c>
      <c r="J6853" s="2">
        <v>3123.0</v>
      </c>
      <c r="K6853" s="3">
        <f t="shared" si="4"/>
        <v>0.1775541532</v>
      </c>
      <c r="L6853" s="2">
        <v>2151.0</v>
      </c>
      <c r="M6853" s="3">
        <f t="shared" si="5"/>
        <v>0.5885088919</v>
      </c>
      <c r="N6853" s="2">
        <v>2.08822E7</v>
      </c>
      <c r="O6853" s="4">
        <f t="shared" si="6"/>
        <v>5713.324213</v>
      </c>
      <c r="P6853" s="2">
        <v>6.0</v>
      </c>
      <c r="Q6853" s="3">
        <f t="shared" si="7"/>
        <v>0.003669724771</v>
      </c>
      <c r="R6853" s="2">
        <v>1635.0</v>
      </c>
      <c r="S6853" s="5">
        <f t="shared" si="8"/>
        <v>1</v>
      </c>
    </row>
    <row r="6854">
      <c r="A6854" s="2" t="s">
        <v>6851</v>
      </c>
      <c r="B6854" s="2">
        <v>3879.0</v>
      </c>
      <c r="C6854" s="2">
        <v>45858.0</v>
      </c>
      <c r="D6854" s="2">
        <v>14722.0</v>
      </c>
      <c r="E6854" s="3">
        <f t="shared" si="1"/>
        <v>0.3506991591</v>
      </c>
      <c r="F6854" s="2">
        <v>4723.0</v>
      </c>
      <c r="G6854" s="3">
        <f t="shared" si="2"/>
        <v>0.1125086353</v>
      </c>
      <c r="H6854" s="2">
        <v>9263.0</v>
      </c>
      <c r="I6854" s="3">
        <f t="shared" si="3"/>
        <v>0.220657948</v>
      </c>
      <c r="J6854" s="2">
        <v>6273.0</v>
      </c>
      <c r="K6854" s="3">
        <f t="shared" si="4"/>
        <v>0.1494318588</v>
      </c>
      <c r="L6854" s="2">
        <v>5622.0</v>
      </c>
      <c r="M6854" s="3">
        <f t="shared" si="5"/>
        <v>0.6069308</v>
      </c>
      <c r="N6854" s="2">
        <v>4.90767E7</v>
      </c>
      <c r="O6854" s="4">
        <f t="shared" si="6"/>
        <v>5298.14315</v>
      </c>
      <c r="P6854" s="2">
        <v>12.0</v>
      </c>
      <c r="Q6854" s="3">
        <f t="shared" si="7"/>
        <v>0.00309358082</v>
      </c>
      <c r="R6854" s="2">
        <v>3456.0</v>
      </c>
      <c r="S6854" s="5">
        <f t="shared" si="8"/>
        <v>0.8909512761</v>
      </c>
    </row>
    <row r="6855">
      <c r="A6855" s="2" t="s">
        <v>6852</v>
      </c>
      <c r="B6855" s="2">
        <v>2275.0</v>
      </c>
      <c r="C6855" s="2">
        <v>26755.0</v>
      </c>
      <c r="D6855" s="2">
        <v>6047.0</v>
      </c>
      <c r="E6855" s="3">
        <f t="shared" si="1"/>
        <v>0.2470179739</v>
      </c>
      <c r="F6855" s="2">
        <v>2754.0</v>
      </c>
      <c r="G6855" s="3">
        <f t="shared" si="2"/>
        <v>0.1125</v>
      </c>
      <c r="H6855" s="2">
        <v>5270.0</v>
      </c>
      <c r="I6855" s="3">
        <f t="shared" si="3"/>
        <v>0.2152777778</v>
      </c>
      <c r="J6855" s="2">
        <v>5012.0</v>
      </c>
      <c r="K6855" s="3">
        <f t="shared" si="4"/>
        <v>0.2047385621</v>
      </c>
      <c r="L6855" s="2">
        <v>3027.0</v>
      </c>
      <c r="M6855" s="3">
        <f t="shared" si="5"/>
        <v>0.5743833017</v>
      </c>
      <c r="N6855" s="2">
        <v>2.97184E7</v>
      </c>
      <c r="O6855" s="4">
        <f t="shared" si="6"/>
        <v>5639.165085</v>
      </c>
      <c r="P6855" s="2">
        <v>7.0</v>
      </c>
      <c r="Q6855" s="3">
        <f t="shared" si="7"/>
        <v>0.003076923077</v>
      </c>
      <c r="R6855" s="2">
        <v>3.0</v>
      </c>
      <c r="S6855" s="5">
        <f t="shared" si="8"/>
        <v>0.001318681319</v>
      </c>
    </row>
    <row r="6856">
      <c r="A6856" s="2" t="s">
        <v>6853</v>
      </c>
      <c r="B6856" s="2">
        <v>28.0</v>
      </c>
      <c r="C6856" s="2">
        <v>348.0</v>
      </c>
      <c r="D6856" s="2">
        <v>79.0</v>
      </c>
      <c r="E6856" s="3">
        <f t="shared" si="1"/>
        <v>0.246875</v>
      </c>
      <c r="F6856" s="2">
        <v>36.0</v>
      </c>
      <c r="G6856" s="3">
        <f t="shared" si="2"/>
        <v>0.1125</v>
      </c>
      <c r="H6856" s="2">
        <v>70.0</v>
      </c>
      <c r="I6856" s="3">
        <f t="shared" si="3"/>
        <v>0.21875</v>
      </c>
      <c r="J6856" s="2">
        <v>64.0</v>
      </c>
      <c r="K6856" s="3">
        <f t="shared" si="4"/>
        <v>0.2</v>
      </c>
      <c r="L6856" s="2">
        <v>42.0</v>
      </c>
      <c r="M6856" s="3">
        <f t="shared" si="5"/>
        <v>0.6</v>
      </c>
      <c r="N6856" s="2">
        <v>431300.0</v>
      </c>
      <c r="O6856" s="4">
        <f t="shared" si="6"/>
        <v>6161.428571</v>
      </c>
      <c r="P6856" s="2">
        <v>0.0</v>
      </c>
      <c r="Q6856" s="3">
        <f t="shared" si="7"/>
        <v>0</v>
      </c>
      <c r="R6856" s="2">
        <v>28.0</v>
      </c>
      <c r="S6856" s="5">
        <f t="shared" si="8"/>
        <v>1</v>
      </c>
    </row>
    <row r="6857">
      <c r="A6857" s="2" t="s">
        <v>6854</v>
      </c>
      <c r="B6857" s="2">
        <v>908.0</v>
      </c>
      <c r="C6857" s="2">
        <v>10837.0</v>
      </c>
      <c r="D6857" s="2">
        <v>3484.0</v>
      </c>
      <c r="E6857" s="3">
        <f t="shared" si="1"/>
        <v>0.3508913284</v>
      </c>
      <c r="F6857" s="2">
        <v>1117.0</v>
      </c>
      <c r="G6857" s="3">
        <f t="shared" si="2"/>
        <v>0.1124987411</v>
      </c>
      <c r="H6857" s="2">
        <v>2086.0</v>
      </c>
      <c r="I6857" s="3">
        <f t="shared" si="3"/>
        <v>0.2100916507</v>
      </c>
      <c r="J6857" s="2">
        <v>1596.0</v>
      </c>
      <c r="K6857" s="3">
        <f t="shared" si="4"/>
        <v>0.160741263</v>
      </c>
      <c r="L6857" s="2">
        <v>1250.0</v>
      </c>
      <c r="M6857" s="3">
        <f t="shared" si="5"/>
        <v>0.5992329818</v>
      </c>
      <c r="N6857" s="2">
        <v>1.16438E7</v>
      </c>
      <c r="O6857" s="4">
        <f t="shared" si="6"/>
        <v>5581.879195</v>
      </c>
      <c r="P6857" s="2">
        <v>0.0</v>
      </c>
      <c r="Q6857" s="3">
        <f t="shared" si="7"/>
        <v>0</v>
      </c>
      <c r="R6857" s="2">
        <v>908.0</v>
      </c>
      <c r="S6857" s="5">
        <f t="shared" si="8"/>
        <v>1</v>
      </c>
    </row>
    <row r="6858">
      <c r="A6858" s="2" t="s">
        <v>6855</v>
      </c>
      <c r="B6858" s="2">
        <v>2561.0</v>
      </c>
      <c r="C6858" s="2">
        <v>30317.0</v>
      </c>
      <c r="D6858" s="2">
        <v>9788.0</v>
      </c>
      <c r="E6858" s="3">
        <f t="shared" si="1"/>
        <v>0.3526444733</v>
      </c>
      <c r="F6858" s="2">
        <v>3122.0</v>
      </c>
      <c r="G6858" s="3">
        <f t="shared" si="2"/>
        <v>0.1124801845</v>
      </c>
      <c r="H6858" s="2">
        <v>5761.0</v>
      </c>
      <c r="I6858" s="3">
        <f t="shared" si="3"/>
        <v>0.207558726</v>
      </c>
      <c r="J6858" s="2">
        <v>4843.0</v>
      </c>
      <c r="K6858" s="3">
        <f t="shared" si="4"/>
        <v>0.1744847961</v>
      </c>
      <c r="L6858" s="2">
        <v>3417.0</v>
      </c>
      <c r="M6858" s="3">
        <f t="shared" si="5"/>
        <v>0.5931261934</v>
      </c>
      <c r="N6858" s="2">
        <v>3.3658E7</v>
      </c>
      <c r="O6858" s="4">
        <f t="shared" si="6"/>
        <v>5842.388474</v>
      </c>
      <c r="P6858" s="2">
        <v>6.0</v>
      </c>
      <c r="Q6858" s="3">
        <f t="shared" si="7"/>
        <v>0.00234283483</v>
      </c>
      <c r="R6858" s="2">
        <v>2561.0</v>
      </c>
      <c r="S6858" s="5">
        <f t="shared" si="8"/>
        <v>1</v>
      </c>
    </row>
    <row r="6859">
      <c r="A6859" s="2" t="s">
        <v>6856</v>
      </c>
      <c r="B6859" s="2">
        <v>1075.0</v>
      </c>
      <c r="C6859" s="2">
        <v>12786.0</v>
      </c>
      <c r="D6859" s="2">
        <v>4389.0</v>
      </c>
      <c r="E6859" s="3">
        <f t="shared" si="1"/>
        <v>0.3747758518</v>
      </c>
      <c r="F6859" s="2">
        <v>1317.0</v>
      </c>
      <c r="G6859" s="3">
        <f t="shared" si="2"/>
        <v>0.1124583725</v>
      </c>
      <c r="H6859" s="2">
        <v>2404.0</v>
      </c>
      <c r="I6859" s="3">
        <f t="shared" si="3"/>
        <v>0.2052770899</v>
      </c>
      <c r="J6859" s="2">
        <v>1900.0</v>
      </c>
      <c r="K6859" s="3">
        <f t="shared" si="4"/>
        <v>0.1622406285</v>
      </c>
      <c r="L6859" s="2">
        <v>1449.0</v>
      </c>
      <c r="M6859" s="3">
        <f t="shared" si="5"/>
        <v>0.6027454243</v>
      </c>
      <c r="N6859" s="2">
        <v>1.31887E7</v>
      </c>
      <c r="O6859" s="4">
        <f t="shared" si="6"/>
        <v>5486.148087</v>
      </c>
      <c r="P6859" s="2">
        <v>1.0</v>
      </c>
      <c r="Q6859" s="3">
        <f t="shared" si="7"/>
        <v>0.0009302325581</v>
      </c>
      <c r="R6859" s="2">
        <v>1016.0</v>
      </c>
      <c r="S6859" s="5">
        <f t="shared" si="8"/>
        <v>0.9451162791</v>
      </c>
    </row>
    <row r="6860">
      <c r="A6860" s="2" t="s">
        <v>6857</v>
      </c>
      <c r="B6860" s="2">
        <v>45.0</v>
      </c>
      <c r="C6860" s="2">
        <v>543.0</v>
      </c>
      <c r="D6860" s="2">
        <v>190.0</v>
      </c>
      <c r="E6860" s="3">
        <f t="shared" si="1"/>
        <v>0.3815261044</v>
      </c>
      <c r="F6860" s="2">
        <v>56.0</v>
      </c>
      <c r="G6860" s="3">
        <f t="shared" si="2"/>
        <v>0.1124497992</v>
      </c>
      <c r="H6860" s="2">
        <v>107.0</v>
      </c>
      <c r="I6860" s="3">
        <f t="shared" si="3"/>
        <v>0.2148594378</v>
      </c>
      <c r="J6860" s="2">
        <v>71.0</v>
      </c>
      <c r="K6860" s="3">
        <f t="shared" si="4"/>
        <v>0.1425702811</v>
      </c>
      <c r="L6860" s="2">
        <v>58.0</v>
      </c>
      <c r="M6860" s="3">
        <f t="shared" si="5"/>
        <v>0.5420560748</v>
      </c>
      <c r="N6860" s="2">
        <v>528000.0</v>
      </c>
      <c r="O6860" s="4">
        <f t="shared" si="6"/>
        <v>4934.579439</v>
      </c>
      <c r="P6860" s="2">
        <v>0.0</v>
      </c>
      <c r="Q6860" s="3">
        <f t="shared" si="7"/>
        <v>0</v>
      </c>
      <c r="R6860" s="2">
        <v>45.0</v>
      </c>
      <c r="S6860" s="5">
        <f t="shared" si="8"/>
        <v>1</v>
      </c>
    </row>
    <row r="6861">
      <c r="A6861" s="2" t="s">
        <v>6858</v>
      </c>
      <c r="B6861" s="2">
        <v>1606.0</v>
      </c>
      <c r="C6861" s="2">
        <v>18956.0</v>
      </c>
      <c r="D6861" s="2">
        <v>4262.0</v>
      </c>
      <c r="E6861" s="3">
        <f t="shared" si="1"/>
        <v>0.245648415</v>
      </c>
      <c r="F6861" s="2">
        <v>1951.0</v>
      </c>
      <c r="G6861" s="3">
        <f t="shared" si="2"/>
        <v>0.1124495677</v>
      </c>
      <c r="H6861" s="2">
        <v>3266.0</v>
      </c>
      <c r="I6861" s="3">
        <f t="shared" si="3"/>
        <v>0.1882420749</v>
      </c>
      <c r="J6861" s="2">
        <v>3571.0</v>
      </c>
      <c r="K6861" s="3">
        <f t="shared" si="4"/>
        <v>0.2058213256</v>
      </c>
      <c r="L6861" s="2">
        <v>1846.0</v>
      </c>
      <c r="M6861" s="3">
        <f t="shared" si="5"/>
        <v>0.5652173913</v>
      </c>
      <c r="N6861" s="2">
        <v>2.03958E7</v>
      </c>
      <c r="O6861" s="4">
        <f t="shared" si="6"/>
        <v>6244.886712</v>
      </c>
      <c r="P6861" s="2">
        <v>4.0</v>
      </c>
      <c r="Q6861" s="3">
        <f t="shared" si="7"/>
        <v>0.002490660025</v>
      </c>
      <c r="R6861" s="2">
        <v>1606.0</v>
      </c>
      <c r="S6861" s="5">
        <f t="shared" si="8"/>
        <v>1</v>
      </c>
    </row>
    <row r="6862">
      <c r="A6862" s="2" t="s">
        <v>6859</v>
      </c>
      <c r="B6862" s="2">
        <v>137.0</v>
      </c>
      <c r="C6862" s="2">
        <v>1640.0</v>
      </c>
      <c r="D6862" s="2">
        <v>465.0</v>
      </c>
      <c r="E6862" s="3">
        <f t="shared" si="1"/>
        <v>0.3093812375</v>
      </c>
      <c r="F6862" s="2">
        <v>169.0</v>
      </c>
      <c r="G6862" s="3">
        <f t="shared" si="2"/>
        <v>0.1124417831</v>
      </c>
      <c r="H6862" s="2">
        <v>307.0</v>
      </c>
      <c r="I6862" s="3">
        <f t="shared" si="3"/>
        <v>0.2042581504</v>
      </c>
      <c r="J6862" s="2">
        <v>259.0</v>
      </c>
      <c r="K6862" s="3">
        <f t="shared" si="4"/>
        <v>0.1723220226</v>
      </c>
      <c r="L6862" s="2">
        <v>156.0</v>
      </c>
      <c r="M6862" s="3">
        <f t="shared" si="5"/>
        <v>0.5081433225</v>
      </c>
      <c r="N6862" s="2">
        <v>1749700.0</v>
      </c>
      <c r="O6862" s="4">
        <f t="shared" si="6"/>
        <v>5699.348534</v>
      </c>
      <c r="P6862" s="2">
        <v>0.0</v>
      </c>
      <c r="Q6862" s="3">
        <f t="shared" si="7"/>
        <v>0</v>
      </c>
      <c r="R6862" s="2">
        <v>0.0</v>
      </c>
      <c r="S6862" s="5">
        <f t="shared" si="8"/>
        <v>0</v>
      </c>
    </row>
    <row r="6863">
      <c r="A6863" s="2" t="s">
        <v>6860</v>
      </c>
      <c r="B6863" s="2">
        <v>347.0</v>
      </c>
      <c r="C6863" s="2">
        <v>4083.0</v>
      </c>
      <c r="D6863" s="2">
        <v>1381.0</v>
      </c>
      <c r="E6863" s="3">
        <f t="shared" si="1"/>
        <v>0.3696466809</v>
      </c>
      <c r="F6863" s="2">
        <v>420.0</v>
      </c>
      <c r="G6863" s="3">
        <f t="shared" si="2"/>
        <v>0.1124197002</v>
      </c>
      <c r="H6863" s="2">
        <v>761.0</v>
      </c>
      <c r="I6863" s="3">
        <f t="shared" si="3"/>
        <v>0.2036937901</v>
      </c>
      <c r="J6863" s="2">
        <v>626.0</v>
      </c>
      <c r="K6863" s="3">
        <f t="shared" si="4"/>
        <v>0.1675588865</v>
      </c>
      <c r="L6863" s="2">
        <v>465.0</v>
      </c>
      <c r="M6863" s="3">
        <f t="shared" si="5"/>
        <v>0.6110381078</v>
      </c>
      <c r="N6863" s="2">
        <v>4538900.0</v>
      </c>
      <c r="O6863" s="4">
        <f t="shared" si="6"/>
        <v>5964.388962</v>
      </c>
      <c r="P6863" s="2">
        <v>1.0</v>
      </c>
      <c r="Q6863" s="3">
        <f t="shared" si="7"/>
        <v>0.00288184438</v>
      </c>
      <c r="R6863" s="2">
        <v>347.0</v>
      </c>
      <c r="S6863" s="5">
        <f t="shared" si="8"/>
        <v>1</v>
      </c>
    </row>
    <row r="6864">
      <c r="A6864" s="2" t="s">
        <v>6861</v>
      </c>
      <c r="B6864" s="2">
        <v>1655.0</v>
      </c>
      <c r="C6864" s="2">
        <v>19465.0</v>
      </c>
      <c r="D6864" s="2">
        <v>6992.0</v>
      </c>
      <c r="E6864" s="3">
        <f t="shared" si="1"/>
        <v>0.3925884335</v>
      </c>
      <c r="F6864" s="2">
        <v>2002.0</v>
      </c>
      <c r="G6864" s="3">
        <f t="shared" si="2"/>
        <v>0.1124087591</v>
      </c>
      <c r="H6864" s="2">
        <v>3897.0</v>
      </c>
      <c r="I6864" s="3">
        <f t="shared" si="3"/>
        <v>0.2188096575</v>
      </c>
      <c r="J6864" s="2">
        <v>3053.0</v>
      </c>
      <c r="K6864" s="3">
        <f t="shared" si="4"/>
        <v>0.1714205503</v>
      </c>
      <c r="L6864" s="2">
        <v>2361.0</v>
      </c>
      <c r="M6864" s="3">
        <f t="shared" si="5"/>
        <v>0.6058506543</v>
      </c>
      <c r="N6864" s="2">
        <v>2.13797E7</v>
      </c>
      <c r="O6864" s="4">
        <f t="shared" si="6"/>
        <v>5486.194509</v>
      </c>
      <c r="P6864" s="2">
        <v>0.0</v>
      </c>
      <c r="Q6864" s="3">
        <f t="shared" si="7"/>
        <v>0</v>
      </c>
      <c r="R6864" s="2">
        <v>1639.0</v>
      </c>
      <c r="S6864" s="5">
        <f t="shared" si="8"/>
        <v>0.9903323263</v>
      </c>
    </row>
    <row r="6865">
      <c r="A6865" s="2" t="s">
        <v>6862</v>
      </c>
      <c r="B6865" s="2">
        <v>62.0</v>
      </c>
      <c r="C6865" s="2">
        <v>747.0</v>
      </c>
      <c r="D6865" s="2">
        <v>261.0</v>
      </c>
      <c r="E6865" s="3">
        <f t="shared" si="1"/>
        <v>0.3810218978</v>
      </c>
      <c r="F6865" s="2">
        <v>77.0</v>
      </c>
      <c r="G6865" s="3">
        <f t="shared" si="2"/>
        <v>0.1124087591</v>
      </c>
      <c r="H6865" s="2">
        <v>135.0</v>
      </c>
      <c r="I6865" s="3">
        <f t="shared" si="3"/>
        <v>0.197080292</v>
      </c>
      <c r="J6865" s="2">
        <v>87.0</v>
      </c>
      <c r="K6865" s="3">
        <f t="shared" si="4"/>
        <v>0.1270072993</v>
      </c>
      <c r="L6865" s="2">
        <v>80.0</v>
      </c>
      <c r="M6865" s="3">
        <f t="shared" si="5"/>
        <v>0.5925925926</v>
      </c>
      <c r="N6865" s="2">
        <v>682600.0</v>
      </c>
      <c r="O6865" s="4">
        <f t="shared" si="6"/>
        <v>5056.296296</v>
      </c>
      <c r="P6865" s="2">
        <v>0.0</v>
      </c>
      <c r="Q6865" s="3">
        <f t="shared" si="7"/>
        <v>0</v>
      </c>
      <c r="R6865" s="2">
        <v>62.0</v>
      </c>
      <c r="S6865" s="5">
        <f t="shared" si="8"/>
        <v>1</v>
      </c>
    </row>
    <row r="6866">
      <c r="A6866" s="2" t="s">
        <v>6863</v>
      </c>
      <c r="B6866" s="2">
        <v>3219.0</v>
      </c>
      <c r="C6866" s="2">
        <v>37683.0</v>
      </c>
      <c r="D6866" s="2">
        <v>11049.0</v>
      </c>
      <c r="E6866" s="3">
        <f t="shared" si="1"/>
        <v>0.3205954039</v>
      </c>
      <c r="F6866" s="2">
        <v>3874.0</v>
      </c>
      <c r="G6866" s="3">
        <f t="shared" si="2"/>
        <v>0.1124071495</v>
      </c>
      <c r="H6866" s="2">
        <v>7180.0</v>
      </c>
      <c r="I6866" s="3">
        <f t="shared" si="3"/>
        <v>0.2083333333</v>
      </c>
      <c r="J6866" s="2">
        <v>6210.0</v>
      </c>
      <c r="K6866" s="3">
        <f t="shared" si="4"/>
        <v>0.1801880223</v>
      </c>
      <c r="L6866" s="2">
        <v>4264.0</v>
      </c>
      <c r="M6866" s="3">
        <f t="shared" si="5"/>
        <v>0.5938718663</v>
      </c>
      <c r="N6866" s="2">
        <v>4.18354E7</v>
      </c>
      <c r="O6866" s="4">
        <f t="shared" si="6"/>
        <v>5826.657382</v>
      </c>
      <c r="P6866" s="2">
        <v>9.0</v>
      </c>
      <c r="Q6866" s="3">
        <f t="shared" si="7"/>
        <v>0.002795899348</v>
      </c>
      <c r="R6866" s="2">
        <v>3219.0</v>
      </c>
      <c r="S6866" s="5">
        <f t="shared" si="8"/>
        <v>1</v>
      </c>
    </row>
    <row r="6867">
      <c r="A6867" s="2" t="s">
        <v>6864</v>
      </c>
      <c r="B6867" s="2">
        <v>258.0</v>
      </c>
      <c r="C6867" s="2">
        <v>3061.0</v>
      </c>
      <c r="D6867" s="2">
        <v>798.0</v>
      </c>
      <c r="E6867" s="3">
        <f t="shared" si="1"/>
        <v>0.2846949697</v>
      </c>
      <c r="F6867" s="2">
        <v>315.0</v>
      </c>
      <c r="G6867" s="3">
        <f t="shared" si="2"/>
        <v>0.1123795933</v>
      </c>
      <c r="H6867" s="2">
        <v>543.0</v>
      </c>
      <c r="I6867" s="3">
        <f t="shared" si="3"/>
        <v>0.1937210132</v>
      </c>
      <c r="J6867" s="2">
        <v>402.0</v>
      </c>
      <c r="K6867" s="3">
        <f t="shared" si="4"/>
        <v>0.1434177667</v>
      </c>
      <c r="L6867" s="2">
        <v>325.0</v>
      </c>
      <c r="M6867" s="3">
        <f t="shared" si="5"/>
        <v>0.5985267035</v>
      </c>
      <c r="N6867" s="2">
        <v>3030700.0</v>
      </c>
      <c r="O6867" s="4">
        <f t="shared" si="6"/>
        <v>5581.399632</v>
      </c>
      <c r="P6867" s="2">
        <v>2.0</v>
      </c>
      <c r="Q6867" s="3">
        <f t="shared" si="7"/>
        <v>0.007751937984</v>
      </c>
      <c r="R6867" s="2">
        <v>258.0</v>
      </c>
      <c r="S6867" s="5">
        <f t="shared" si="8"/>
        <v>1</v>
      </c>
    </row>
    <row r="6868">
      <c r="A6868" s="2" t="s">
        <v>6865</v>
      </c>
      <c r="B6868" s="2">
        <v>257.0</v>
      </c>
      <c r="C6868" s="2">
        <v>3069.0</v>
      </c>
      <c r="D6868" s="2">
        <v>476.0</v>
      </c>
      <c r="E6868" s="3">
        <f t="shared" si="1"/>
        <v>0.1692745377</v>
      </c>
      <c r="F6868" s="2">
        <v>316.0</v>
      </c>
      <c r="G6868" s="3">
        <f t="shared" si="2"/>
        <v>0.1123755334</v>
      </c>
      <c r="H6868" s="2">
        <v>475.0</v>
      </c>
      <c r="I6868" s="3">
        <f t="shared" si="3"/>
        <v>0.1689189189</v>
      </c>
      <c r="J6868" s="2">
        <v>343.0</v>
      </c>
      <c r="K6868" s="3">
        <f t="shared" si="4"/>
        <v>0.1219772404</v>
      </c>
      <c r="L6868" s="2">
        <v>276.0</v>
      </c>
      <c r="M6868" s="3">
        <f t="shared" si="5"/>
        <v>0.5810526316</v>
      </c>
      <c r="N6868" s="2">
        <v>2985300.0</v>
      </c>
      <c r="O6868" s="4">
        <f t="shared" si="6"/>
        <v>6284.842105</v>
      </c>
      <c r="P6868" s="2">
        <v>1.0</v>
      </c>
      <c r="Q6868" s="3">
        <f t="shared" si="7"/>
        <v>0.003891050584</v>
      </c>
      <c r="R6868" s="2">
        <v>257.0</v>
      </c>
      <c r="S6868" s="5">
        <f t="shared" si="8"/>
        <v>1</v>
      </c>
    </row>
    <row r="6869">
      <c r="A6869" s="2" t="s">
        <v>6866</v>
      </c>
      <c r="B6869" s="2">
        <v>48.0</v>
      </c>
      <c r="C6869" s="2">
        <v>582.0</v>
      </c>
      <c r="D6869" s="2">
        <v>174.0</v>
      </c>
      <c r="E6869" s="3">
        <f t="shared" si="1"/>
        <v>0.3258426966</v>
      </c>
      <c r="F6869" s="2">
        <v>60.0</v>
      </c>
      <c r="G6869" s="3">
        <f t="shared" si="2"/>
        <v>0.1123595506</v>
      </c>
      <c r="H6869" s="2">
        <v>107.0</v>
      </c>
      <c r="I6869" s="3">
        <f t="shared" si="3"/>
        <v>0.2003745318</v>
      </c>
      <c r="J6869" s="2">
        <v>90.0</v>
      </c>
      <c r="K6869" s="3">
        <f t="shared" si="4"/>
        <v>0.1685393258</v>
      </c>
      <c r="L6869" s="2">
        <v>62.0</v>
      </c>
      <c r="M6869" s="3">
        <f t="shared" si="5"/>
        <v>0.5794392523</v>
      </c>
      <c r="N6869" s="2">
        <v>522400.0</v>
      </c>
      <c r="O6869" s="4">
        <f t="shared" si="6"/>
        <v>4882.242991</v>
      </c>
      <c r="P6869" s="2">
        <v>0.0</v>
      </c>
      <c r="Q6869" s="3">
        <f t="shared" si="7"/>
        <v>0</v>
      </c>
      <c r="R6869" s="2">
        <v>48.0</v>
      </c>
      <c r="S6869" s="5">
        <f t="shared" si="8"/>
        <v>1</v>
      </c>
    </row>
    <row r="6870">
      <c r="A6870" s="2" t="s">
        <v>6867</v>
      </c>
      <c r="B6870" s="2">
        <v>286.0</v>
      </c>
      <c r="C6870" s="2">
        <v>3410.0</v>
      </c>
      <c r="D6870" s="2">
        <v>930.0</v>
      </c>
      <c r="E6870" s="3">
        <f t="shared" si="1"/>
        <v>0.2976952625</v>
      </c>
      <c r="F6870" s="2">
        <v>351.0</v>
      </c>
      <c r="G6870" s="3">
        <f t="shared" si="2"/>
        <v>0.1123559539</v>
      </c>
      <c r="H6870" s="2">
        <v>627.0</v>
      </c>
      <c r="I6870" s="3">
        <f t="shared" si="3"/>
        <v>0.2007042254</v>
      </c>
      <c r="J6870" s="2">
        <v>496.0</v>
      </c>
      <c r="K6870" s="3">
        <f t="shared" si="4"/>
        <v>0.1587708067</v>
      </c>
      <c r="L6870" s="2">
        <v>371.0</v>
      </c>
      <c r="M6870" s="3">
        <f t="shared" si="5"/>
        <v>0.5917065391</v>
      </c>
      <c r="N6870" s="2">
        <v>3444400.0</v>
      </c>
      <c r="O6870" s="4">
        <f t="shared" si="6"/>
        <v>5493.460925</v>
      </c>
      <c r="P6870" s="2">
        <v>1.0</v>
      </c>
      <c r="Q6870" s="3">
        <f t="shared" si="7"/>
        <v>0.003496503497</v>
      </c>
      <c r="R6870" s="2">
        <v>0.0</v>
      </c>
      <c r="S6870" s="5">
        <f t="shared" si="8"/>
        <v>0</v>
      </c>
    </row>
    <row r="6871">
      <c r="A6871" s="2" t="s">
        <v>6868</v>
      </c>
      <c r="B6871" s="2">
        <v>645.0</v>
      </c>
      <c r="C6871" s="2">
        <v>7561.0</v>
      </c>
      <c r="D6871" s="2">
        <v>2257.0</v>
      </c>
      <c r="E6871" s="3">
        <f t="shared" si="1"/>
        <v>0.3263447079</v>
      </c>
      <c r="F6871" s="2">
        <v>777.0</v>
      </c>
      <c r="G6871" s="3">
        <f t="shared" si="2"/>
        <v>0.1123481781</v>
      </c>
      <c r="H6871" s="2">
        <v>1373.0</v>
      </c>
      <c r="I6871" s="3">
        <f t="shared" si="3"/>
        <v>0.1985251591</v>
      </c>
      <c r="J6871" s="2">
        <v>1182.0</v>
      </c>
      <c r="K6871" s="3">
        <f t="shared" si="4"/>
        <v>0.1709080393</v>
      </c>
      <c r="L6871" s="2">
        <v>803.0</v>
      </c>
      <c r="M6871" s="3">
        <f t="shared" si="5"/>
        <v>0.5848506919</v>
      </c>
      <c r="N6871" s="2">
        <v>7740100.0</v>
      </c>
      <c r="O6871" s="4">
        <f t="shared" si="6"/>
        <v>5637.363438</v>
      </c>
      <c r="P6871" s="2">
        <v>4.0</v>
      </c>
      <c r="Q6871" s="3">
        <f t="shared" si="7"/>
        <v>0.006201550388</v>
      </c>
      <c r="R6871" s="2">
        <v>645.0</v>
      </c>
      <c r="S6871" s="5">
        <f t="shared" si="8"/>
        <v>1</v>
      </c>
    </row>
    <row r="6872">
      <c r="A6872" s="2" t="s">
        <v>6869</v>
      </c>
      <c r="B6872" s="2">
        <v>33.0</v>
      </c>
      <c r="C6872" s="2">
        <v>398.0</v>
      </c>
      <c r="D6872" s="2">
        <v>115.0</v>
      </c>
      <c r="E6872" s="3">
        <f t="shared" si="1"/>
        <v>0.3150684932</v>
      </c>
      <c r="F6872" s="2">
        <v>41.0</v>
      </c>
      <c r="G6872" s="3">
        <f t="shared" si="2"/>
        <v>0.1123287671</v>
      </c>
      <c r="H6872" s="2">
        <v>84.0</v>
      </c>
      <c r="I6872" s="3">
        <f t="shared" si="3"/>
        <v>0.2301369863</v>
      </c>
      <c r="J6872" s="2">
        <v>53.0</v>
      </c>
      <c r="K6872" s="3">
        <f t="shared" si="4"/>
        <v>0.1452054795</v>
      </c>
      <c r="L6872" s="2">
        <v>45.0</v>
      </c>
      <c r="M6872" s="3">
        <f t="shared" si="5"/>
        <v>0.5357142857</v>
      </c>
      <c r="N6872" s="2">
        <v>478300.0</v>
      </c>
      <c r="O6872" s="4">
        <f t="shared" si="6"/>
        <v>5694.047619</v>
      </c>
      <c r="P6872" s="2">
        <v>0.0</v>
      </c>
      <c r="Q6872" s="3">
        <f t="shared" si="7"/>
        <v>0</v>
      </c>
      <c r="R6872" s="2">
        <v>33.0</v>
      </c>
      <c r="S6872" s="5">
        <f t="shared" si="8"/>
        <v>1</v>
      </c>
    </row>
    <row r="6873">
      <c r="A6873" s="2" t="s">
        <v>6870</v>
      </c>
      <c r="B6873" s="2">
        <v>59.0</v>
      </c>
      <c r="C6873" s="2">
        <v>700.0</v>
      </c>
      <c r="D6873" s="2">
        <v>193.0</v>
      </c>
      <c r="E6873" s="3">
        <f t="shared" si="1"/>
        <v>0.3010920437</v>
      </c>
      <c r="F6873" s="2">
        <v>72.0</v>
      </c>
      <c r="G6873" s="3">
        <f t="shared" si="2"/>
        <v>0.112324493</v>
      </c>
      <c r="H6873" s="2">
        <v>122.0</v>
      </c>
      <c r="I6873" s="3">
        <f t="shared" si="3"/>
        <v>0.1903276131</v>
      </c>
      <c r="J6873" s="2">
        <v>115.0</v>
      </c>
      <c r="K6873" s="3">
        <f t="shared" si="4"/>
        <v>0.1794071763</v>
      </c>
      <c r="L6873" s="2">
        <v>77.0</v>
      </c>
      <c r="M6873" s="3">
        <f t="shared" si="5"/>
        <v>0.631147541</v>
      </c>
      <c r="N6873" s="2">
        <v>663200.0</v>
      </c>
      <c r="O6873" s="4">
        <f t="shared" si="6"/>
        <v>5436.065574</v>
      </c>
      <c r="P6873" s="2">
        <v>0.0</v>
      </c>
      <c r="Q6873" s="3">
        <f t="shared" si="7"/>
        <v>0</v>
      </c>
      <c r="R6873" s="2">
        <v>59.0</v>
      </c>
      <c r="S6873" s="5">
        <f t="shared" si="8"/>
        <v>1</v>
      </c>
    </row>
    <row r="6874">
      <c r="A6874" s="2" t="s">
        <v>6871</v>
      </c>
      <c r="B6874" s="2">
        <v>287.0</v>
      </c>
      <c r="C6874" s="2">
        <v>3421.0</v>
      </c>
      <c r="D6874" s="2">
        <v>1205.0</v>
      </c>
      <c r="E6874" s="3">
        <f t="shared" si="1"/>
        <v>0.3844926611</v>
      </c>
      <c r="F6874" s="2">
        <v>352.0</v>
      </c>
      <c r="G6874" s="3">
        <f t="shared" si="2"/>
        <v>0.1123165284</v>
      </c>
      <c r="H6874" s="2">
        <v>654.0</v>
      </c>
      <c r="I6874" s="3">
        <f t="shared" si="3"/>
        <v>0.2086790045</v>
      </c>
      <c r="J6874" s="2">
        <v>481.0</v>
      </c>
      <c r="K6874" s="3">
        <f t="shared" si="4"/>
        <v>0.1534779834</v>
      </c>
      <c r="L6874" s="2">
        <v>371.0</v>
      </c>
      <c r="M6874" s="3">
        <f t="shared" si="5"/>
        <v>0.5672782875</v>
      </c>
      <c r="N6874" s="2">
        <v>3691500.0</v>
      </c>
      <c r="O6874" s="4">
        <f t="shared" si="6"/>
        <v>5644.495413</v>
      </c>
      <c r="P6874" s="2">
        <v>0.0</v>
      </c>
      <c r="Q6874" s="3">
        <f t="shared" si="7"/>
        <v>0</v>
      </c>
      <c r="R6874" s="2">
        <v>278.0</v>
      </c>
      <c r="S6874" s="5">
        <f t="shared" si="8"/>
        <v>0.968641115</v>
      </c>
    </row>
    <row r="6875">
      <c r="A6875" s="2" t="s">
        <v>6872</v>
      </c>
      <c r="B6875" s="2">
        <v>50.0</v>
      </c>
      <c r="C6875" s="2">
        <v>611.0</v>
      </c>
      <c r="D6875" s="2">
        <v>179.0</v>
      </c>
      <c r="E6875" s="3">
        <f t="shared" si="1"/>
        <v>0.3190730838</v>
      </c>
      <c r="F6875" s="2">
        <v>63.0</v>
      </c>
      <c r="G6875" s="3">
        <f t="shared" si="2"/>
        <v>0.1122994652</v>
      </c>
      <c r="H6875" s="2">
        <v>107.0</v>
      </c>
      <c r="I6875" s="3">
        <f t="shared" si="3"/>
        <v>0.1907308378</v>
      </c>
      <c r="J6875" s="2">
        <v>101.0</v>
      </c>
      <c r="K6875" s="3">
        <f t="shared" si="4"/>
        <v>0.1800356506</v>
      </c>
      <c r="L6875" s="2">
        <v>59.0</v>
      </c>
      <c r="M6875" s="3">
        <f t="shared" si="5"/>
        <v>0.5514018692</v>
      </c>
      <c r="N6875" s="2">
        <v>614500.0</v>
      </c>
      <c r="O6875" s="4">
        <f t="shared" si="6"/>
        <v>5742.990654</v>
      </c>
      <c r="P6875" s="2">
        <v>1.0</v>
      </c>
      <c r="Q6875" s="3">
        <f t="shared" si="7"/>
        <v>0.02</v>
      </c>
      <c r="R6875" s="2">
        <v>50.0</v>
      </c>
      <c r="S6875" s="5">
        <f t="shared" si="8"/>
        <v>1</v>
      </c>
    </row>
    <row r="6876">
      <c r="A6876" s="2" t="s">
        <v>6873</v>
      </c>
      <c r="B6876" s="2">
        <v>209.0</v>
      </c>
      <c r="C6876" s="2">
        <v>2489.0</v>
      </c>
      <c r="D6876" s="2">
        <v>757.0</v>
      </c>
      <c r="E6876" s="3">
        <f t="shared" si="1"/>
        <v>0.3320175439</v>
      </c>
      <c r="F6876" s="2">
        <v>256.0</v>
      </c>
      <c r="G6876" s="3">
        <f t="shared" si="2"/>
        <v>0.1122807018</v>
      </c>
      <c r="H6876" s="2">
        <v>454.0</v>
      </c>
      <c r="I6876" s="3">
        <f t="shared" si="3"/>
        <v>0.199122807</v>
      </c>
      <c r="J6876" s="2">
        <v>373.0</v>
      </c>
      <c r="K6876" s="3">
        <f t="shared" si="4"/>
        <v>0.1635964912</v>
      </c>
      <c r="L6876" s="2">
        <v>252.0</v>
      </c>
      <c r="M6876" s="3">
        <f t="shared" si="5"/>
        <v>0.5550660793</v>
      </c>
      <c r="N6876" s="2">
        <v>2755300.0</v>
      </c>
      <c r="O6876" s="4">
        <f t="shared" si="6"/>
        <v>6068.942731</v>
      </c>
      <c r="P6876" s="2">
        <v>0.0</v>
      </c>
      <c r="Q6876" s="3">
        <f t="shared" si="7"/>
        <v>0</v>
      </c>
      <c r="R6876" s="2">
        <v>45.0</v>
      </c>
      <c r="S6876" s="5">
        <f t="shared" si="8"/>
        <v>0.2153110048</v>
      </c>
    </row>
    <row r="6877">
      <c r="A6877" s="2" t="s">
        <v>6874</v>
      </c>
      <c r="B6877" s="2">
        <v>764.0</v>
      </c>
      <c r="C6877" s="2">
        <v>8949.0</v>
      </c>
      <c r="D6877" s="2">
        <v>2900.0</v>
      </c>
      <c r="E6877" s="3">
        <f t="shared" si="1"/>
        <v>0.3543066585</v>
      </c>
      <c r="F6877" s="2">
        <v>919.0</v>
      </c>
      <c r="G6877" s="3">
        <f t="shared" si="2"/>
        <v>0.1122785583</v>
      </c>
      <c r="H6877" s="2">
        <v>1715.0</v>
      </c>
      <c r="I6877" s="3">
        <f t="shared" si="3"/>
        <v>0.2095296274</v>
      </c>
      <c r="J6877" s="2">
        <v>1395.0</v>
      </c>
      <c r="K6877" s="3">
        <f t="shared" si="4"/>
        <v>0.1704337202</v>
      </c>
      <c r="L6877" s="2">
        <v>1033.0</v>
      </c>
      <c r="M6877" s="3">
        <f t="shared" si="5"/>
        <v>0.6023323615</v>
      </c>
      <c r="N6877" s="2">
        <v>9261300.0</v>
      </c>
      <c r="O6877" s="4">
        <f t="shared" si="6"/>
        <v>5400.174927</v>
      </c>
      <c r="P6877" s="2">
        <v>2.0</v>
      </c>
      <c r="Q6877" s="3">
        <f t="shared" si="7"/>
        <v>0.002617801047</v>
      </c>
      <c r="R6877" s="2">
        <v>764.0</v>
      </c>
      <c r="S6877" s="5">
        <f t="shared" si="8"/>
        <v>1</v>
      </c>
    </row>
    <row r="6878">
      <c r="A6878" s="2" t="s">
        <v>6875</v>
      </c>
      <c r="B6878" s="2">
        <v>139.0</v>
      </c>
      <c r="C6878" s="2">
        <v>1600.0</v>
      </c>
      <c r="D6878" s="2">
        <v>357.0</v>
      </c>
      <c r="E6878" s="3">
        <f t="shared" si="1"/>
        <v>0.2443531828</v>
      </c>
      <c r="F6878" s="2">
        <v>164.0</v>
      </c>
      <c r="G6878" s="3">
        <f t="shared" si="2"/>
        <v>0.1122518823</v>
      </c>
      <c r="H6878" s="2">
        <v>267.0</v>
      </c>
      <c r="I6878" s="3">
        <f t="shared" si="3"/>
        <v>0.18275154</v>
      </c>
      <c r="J6878" s="2">
        <v>227.0</v>
      </c>
      <c r="K6878" s="3">
        <f t="shared" si="4"/>
        <v>0.1553730322</v>
      </c>
      <c r="L6878" s="2">
        <v>167.0</v>
      </c>
      <c r="M6878" s="3">
        <f t="shared" si="5"/>
        <v>0.6254681648</v>
      </c>
      <c r="N6878" s="2">
        <v>1580400.0</v>
      </c>
      <c r="O6878" s="4">
        <f t="shared" si="6"/>
        <v>5919.101124</v>
      </c>
      <c r="P6878" s="2">
        <v>0.0</v>
      </c>
      <c r="Q6878" s="3">
        <f t="shared" si="7"/>
        <v>0</v>
      </c>
      <c r="R6878" s="2">
        <v>139.0</v>
      </c>
      <c r="S6878" s="5">
        <f t="shared" si="8"/>
        <v>1</v>
      </c>
    </row>
    <row r="6879">
      <c r="A6879" s="2" t="s">
        <v>6876</v>
      </c>
      <c r="B6879" s="2">
        <v>525.0</v>
      </c>
      <c r="C6879" s="2">
        <v>6289.0</v>
      </c>
      <c r="D6879" s="2">
        <v>2176.0</v>
      </c>
      <c r="E6879" s="3">
        <f t="shared" si="1"/>
        <v>0.3775156142</v>
      </c>
      <c r="F6879" s="2">
        <v>647.0</v>
      </c>
      <c r="G6879" s="3">
        <f t="shared" si="2"/>
        <v>0.1122484386</v>
      </c>
      <c r="H6879" s="2">
        <v>1178.0</v>
      </c>
      <c r="I6879" s="3">
        <f t="shared" si="3"/>
        <v>0.2043719639</v>
      </c>
      <c r="J6879" s="2">
        <v>957.0</v>
      </c>
      <c r="K6879" s="3">
        <f t="shared" si="4"/>
        <v>0.1660305344</v>
      </c>
      <c r="L6879" s="2">
        <v>705.0</v>
      </c>
      <c r="M6879" s="3">
        <f t="shared" si="5"/>
        <v>0.5984719864</v>
      </c>
      <c r="N6879" s="2">
        <v>6330100.0</v>
      </c>
      <c r="O6879" s="4">
        <f t="shared" si="6"/>
        <v>5373.599321</v>
      </c>
      <c r="P6879" s="2">
        <v>0.0</v>
      </c>
      <c r="Q6879" s="3">
        <f t="shared" si="7"/>
        <v>0</v>
      </c>
      <c r="R6879" s="2">
        <v>0.0</v>
      </c>
      <c r="S6879" s="5">
        <f t="shared" si="8"/>
        <v>0</v>
      </c>
    </row>
    <row r="6880">
      <c r="A6880" s="2" t="s">
        <v>6877</v>
      </c>
      <c r="B6880" s="2">
        <v>130.0</v>
      </c>
      <c r="C6880" s="2">
        <v>1502.0</v>
      </c>
      <c r="D6880" s="2">
        <v>359.0</v>
      </c>
      <c r="E6880" s="3">
        <f t="shared" si="1"/>
        <v>0.2616618076</v>
      </c>
      <c r="F6880" s="2">
        <v>154.0</v>
      </c>
      <c r="G6880" s="3">
        <f t="shared" si="2"/>
        <v>0.112244898</v>
      </c>
      <c r="H6880" s="2">
        <v>267.0</v>
      </c>
      <c r="I6880" s="3">
        <f t="shared" si="3"/>
        <v>0.194606414</v>
      </c>
      <c r="J6880" s="2">
        <v>231.0</v>
      </c>
      <c r="K6880" s="3">
        <f t="shared" si="4"/>
        <v>0.1683673469</v>
      </c>
      <c r="L6880" s="2">
        <v>146.0</v>
      </c>
      <c r="M6880" s="3">
        <f t="shared" si="5"/>
        <v>0.5468164794</v>
      </c>
      <c r="N6880" s="2">
        <v>1685900.0</v>
      </c>
      <c r="O6880" s="4">
        <f t="shared" si="6"/>
        <v>6314.23221</v>
      </c>
      <c r="P6880" s="2">
        <v>1.0</v>
      </c>
      <c r="Q6880" s="3">
        <f t="shared" si="7"/>
        <v>0.007692307692</v>
      </c>
      <c r="R6880" s="2">
        <v>0.0</v>
      </c>
      <c r="S6880" s="5">
        <f t="shared" si="8"/>
        <v>0</v>
      </c>
    </row>
    <row r="6881">
      <c r="A6881" s="2" t="s">
        <v>6878</v>
      </c>
      <c r="B6881" s="2">
        <v>18.0</v>
      </c>
      <c r="C6881" s="2">
        <v>214.0</v>
      </c>
      <c r="D6881" s="2">
        <v>77.0</v>
      </c>
      <c r="E6881" s="3">
        <f t="shared" si="1"/>
        <v>0.3928571429</v>
      </c>
      <c r="F6881" s="2">
        <v>22.0</v>
      </c>
      <c r="G6881" s="3">
        <f t="shared" si="2"/>
        <v>0.112244898</v>
      </c>
      <c r="H6881" s="2">
        <v>37.0</v>
      </c>
      <c r="I6881" s="3">
        <f t="shared" si="3"/>
        <v>0.1887755102</v>
      </c>
      <c r="J6881" s="2">
        <v>29.0</v>
      </c>
      <c r="K6881" s="3">
        <f t="shared" si="4"/>
        <v>0.1479591837</v>
      </c>
      <c r="L6881" s="2">
        <v>18.0</v>
      </c>
      <c r="M6881" s="3">
        <f t="shared" si="5"/>
        <v>0.4864864865</v>
      </c>
      <c r="N6881" s="2">
        <v>203500.0</v>
      </c>
      <c r="O6881" s="4">
        <f t="shared" si="6"/>
        <v>5500</v>
      </c>
      <c r="P6881" s="2">
        <v>0.0</v>
      </c>
      <c r="Q6881" s="3">
        <f t="shared" si="7"/>
        <v>0</v>
      </c>
      <c r="R6881" s="2">
        <v>18.0</v>
      </c>
      <c r="S6881" s="5">
        <f t="shared" si="8"/>
        <v>1</v>
      </c>
    </row>
    <row r="6882">
      <c r="A6882" s="2" t="s">
        <v>6879</v>
      </c>
      <c r="B6882" s="2">
        <v>471.0</v>
      </c>
      <c r="C6882" s="2">
        <v>5487.0</v>
      </c>
      <c r="D6882" s="2">
        <v>1812.0</v>
      </c>
      <c r="E6882" s="3">
        <f t="shared" si="1"/>
        <v>0.3612440191</v>
      </c>
      <c r="F6882" s="2">
        <v>563.0</v>
      </c>
      <c r="G6882" s="3">
        <f t="shared" si="2"/>
        <v>0.1122408293</v>
      </c>
      <c r="H6882" s="2">
        <v>1104.0</v>
      </c>
      <c r="I6882" s="3">
        <f t="shared" si="3"/>
        <v>0.2200956938</v>
      </c>
      <c r="J6882" s="2">
        <v>783.0</v>
      </c>
      <c r="K6882" s="3">
        <f t="shared" si="4"/>
        <v>0.1561004785</v>
      </c>
      <c r="L6882" s="2">
        <v>621.0</v>
      </c>
      <c r="M6882" s="3">
        <f t="shared" si="5"/>
        <v>0.5625</v>
      </c>
      <c r="N6882" s="2">
        <v>5944900.0</v>
      </c>
      <c r="O6882" s="4">
        <f t="shared" si="6"/>
        <v>5384.873188</v>
      </c>
      <c r="P6882" s="2">
        <v>1.0</v>
      </c>
      <c r="Q6882" s="3">
        <f t="shared" si="7"/>
        <v>0.002123142251</v>
      </c>
      <c r="R6882" s="2">
        <v>268.0</v>
      </c>
      <c r="S6882" s="5">
        <f t="shared" si="8"/>
        <v>0.5690021231</v>
      </c>
    </row>
    <row r="6883">
      <c r="A6883" s="2" t="s">
        <v>6880</v>
      </c>
      <c r="B6883" s="2">
        <v>2919.0</v>
      </c>
      <c r="C6883" s="2">
        <v>34353.0</v>
      </c>
      <c r="D6883" s="2">
        <v>10772.0</v>
      </c>
      <c r="E6883" s="3">
        <f t="shared" si="1"/>
        <v>0.3426862633</v>
      </c>
      <c r="F6883" s="2">
        <v>3528.0</v>
      </c>
      <c r="G6883" s="3">
        <f t="shared" si="2"/>
        <v>0.1122351594</v>
      </c>
      <c r="H6883" s="2">
        <v>6658.0</v>
      </c>
      <c r="I6883" s="3">
        <f t="shared" si="3"/>
        <v>0.2118088694</v>
      </c>
      <c r="J6883" s="2">
        <v>5443.0</v>
      </c>
      <c r="K6883" s="3">
        <f t="shared" si="4"/>
        <v>0.1731564548</v>
      </c>
      <c r="L6883" s="2">
        <v>3990.0</v>
      </c>
      <c r="M6883" s="3">
        <f t="shared" si="5"/>
        <v>0.5992790628</v>
      </c>
      <c r="N6883" s="2">
        <v>3.60203E7</v>
      </c>
      <c r="O6883" s="4">
        <f t="shared" si="6"/>
        <v>5410.078102</v>
      </c>
      <c r="P6883" s="2">
        <v>2.0</v>
      </c>
      <c r="Q6883" s="3">
        <f t="shared" si="7"/>
        <v>0.0006851661528</v>
      </c>
      <c r="R6883" s="2">
        <v>2919.0</v>
      </c>
      <c r="S6883" s="5">
        <f t="shared" si="8"/>
        <v>1</v>
      </c>
    </row>
    <row r="6884">
      <c r="A6884" s="2" t="s">
        <v>6881</v>
      </c>
      <c r="B6884" s="2">
        <v>1187.0</v>
      </c>
      <c r="C6884" s="2">
        <v>14053.0</v>
      </c>
      <c r="D6884" s="2">
        <v>3854.0</v>
      </c>
      <c r="E6884" s="3">
        <f t="shared" si="1"/>
        <v>0.2995491994</v>
      </c>
      <c r="F6884" s="2">
        <v>1444.0</v>
      </c>
      <c r="G6884" s="3">
        <f t="shared" si="2"/>
        <v>0.1122337945</v>
      </c>
      <c r="H6884" s="2">
        <v>2613.0</v>
      </c>
      <c r="I6884" s="3">
        <f t="shared" si="3"/>
        <v>0.2030934245</v>
      </c>
      <c r="J6884" s="2">
        <v>2130.0</v>
      </c>
      <c r="K6884" s="3">
        <f t="shared" si="4"/>
        <v>0.1655526193</v>
      </c>
      <c r="L6884" s="2">
        <v>1599.0</v>
      </c>
      <c r="M6884" s="3">
        <f t="shared" si="5"/>
        <v>0.6119402985</v>
      </c>
      <c r="N6884" s="2">
        <v>1.55215E7</v>
      </c>
      <c r="O6884" s="4">
        <f t="shared" si="6"/>
        <v>5940.107157</v>
      </c>
      <c r="P6884" s="2">
        <v>2.0</v>
      </c>
      <c r="Q6884" s="3">
        <f t="shared" si="7"/>
        <v>0.001684919966</v>
      </c>
      <c r="R6884" s="2">
        <v>1187.0</v>
      </c>
      <c r="S6884" s="5">
        <f t="shared" si="8"/>
        <v>1</v>
      </c>
    </row>
    <row r="6885">
      <c r="A6885" s="2" t="s">
        <v>6882</v>
      </c>
      <c r="B6885" s="2">
        <v>219.0</v>
      </c>
      <c r="C6885" s="2">
        <v>2509.0</v>
      </c>
      <c r="D6885" s="2">
        <v>730.0</v>
      </c>
      <c r="E6885" s="3">
        <f t="shared" si="1"/>
        <v>0.3187772926</v>
      </c>
      <c r="F6885" s="2">
        <v>257.0</v>
      </c>
      <c r="G6885" s="3">
        <f t="shared" si="2"/>
        <v>0.1122270742</v>
      </c>
      <c r="H6885" s="2">
        <v>459.0</v>
      </c>
      <c r="I6885" s="3">
        <f t="shared" si="3"/>
        <v>0.2004366812</v>
      </c>
      <c r="J6885" s="2">
        <v>385.0</v>
      </c>
      <c r="K6885" s="3">
        <f t="shared" si="4"/>
        <v>0.1681222707</v>
      </c>
      <c r="L6885" s="2">
        <v>271.0</v>
      </c>
      <c r="M6885" s="3">
        <f t="shared" si="5"/>
        <v>0.5904139434</v>
      </c>
      <c r="N6885" s="2">
        <v>2545200.0</v>
      </c>
      <c r="O6885" s="4">
        <f t="shared" si="6"/>
        <v>5545.098039</v>
      </c>
      <c r="P6885" s="2">
        <v>0.0</v>
      </c>
      <c r="Q6885" s="3">
        <f t="shared" si="7"/>
        <v>0</v>
      </c>
      <c r="R6885" s="2">
        <v>219.0</v>
      </c>
      <c r="S6885" s="5">
        <f t="shared" si="8"/>
        <v>1</v>
      </c>
    </row>
    <row r="6886">
      <c r="A6886" s="2" t="s">
        <v>6883</v>
      </c>
      <c r="B6886" s="2">
        <v>1116.0</v>
      </c>
      <c r="C6886" s="2">
        <v>13093.0</v>
      </c>
      <c r="D6886" s="2">
        <v>4965.0</v>
      </c>
      <c r="E6886" s="3">
        <f t="shared" si="1"/>
        <v>0.4145445437</v>
      </c>
      <c r="F6886" s="2">
        <v>1344.0</v>
      </c>
      <c r="G6886" s="3">
        <f t="shared" si="2"/>
        <v>0.1122150789</v>
      </c>
      <c r="H6886" s="2">
        <v>2365.0</v>
      </c>
      <c r="I6886" s="3">
        <f t="shared" si="3"/>
        <v>0.1974618018</v>
      </c>
      <c r="J6886" s="2">
        <v>1883.0</v>
      </c>
      <c r="K6886" s="3">
        <f t="shared" si="4"/>
        <v>0.1572180012</v>
      </c>
      <c r="L6886" s="2">
        <v>1403.0</v>
      </c>
      <c r="M6886" s="3">
        <f t="shared" si="5"/>
        <v>0.5932346723</v>
      </c>
      <c r="N6886" s="2">
        <v>1.36412E7</v>
      </c>
      <c r="O6886" s="4">
        <f t="shared" si="6"/>
        <v>5767.94926</v>
      </c>
      <c r="P6886" s="2">
        <v>2.0</v>
      </c>
      <c r="Q6886" s="3">
        <f t="shared" si="7"/>
        <v>0.001792114695</v>
      </c>
      <c r="R6886" s="2">
        <v>1116.0</v>
      </c>
      <c r="S6886" s="5">
        <f t="shared" si="8"/>
        <v>1</v>
      </c>
    </row>
    <row r="6887">
      <c r="A6887" s="2" t="s">
        <v>6884</v>
      </c>
      <c r="B6887" s="2">
        <v>291.0</v>
      </c>
      <c r="C6887" s="2">
        <v>3437.0</v>
      </c>
      <c r="D6887" s="2">
        <v>1195.0</v>
      </c>
      <c r="E6887" s="3">
        <f t="shared" si="1"/>
        <v>0.3798474253</v>
      </c>
      <c r="F6887" s="2">
        <v>353.0</v>
      </c>
      <c r="G6887" s="3">
        <f t="shared" si="2"/>
        <v>0.1122059758</v>
      </c>
      <c r="H6887" s="2">
        <v>659.0</v>
      </c>
      <c r="I6887" s="3">
        <f t="shared" si="3"/>
        <v>0.2094723458</v>
      </c>
      <c r="J6887" s="2">
        <v>460.0</v>
      </c>
      <c r="K6887" s="3">
        <f t="shared" si="4"/>
        <v>0.1462174189</v>
      </c>
      <c r="L6887" s="2">
        <v>410.0</v>
      </c>
      <c r="M6887" s="3">
        <f t="shared" si="5"/>
        <v>0.62215478</v>
      </c>
      <c r="N6887" s="2">
        <v>3573300.0</v>
      </c>
      <c r="O6887" s="4">
        <f t="shared" si="6"/>
        <v>5422.306525</v>
      </c>
      <c r="P6887" s="2">
        <v>0.0</v>
      </c>
      <c r="Q6887" s="3">
        <f t="shared" si="7"/>
        <v>0</v>
      </c>
      <c r="R6887" s="2">
        <v>291.0</v>
      </c>
      <c r="S6887" s="5">
        <f t="shared" si="8"/>
        <v>1</v>
      </c>
    </row>
    <row r="6888">
      <c r="A6888" s="2" t="s">
        <v>6885</v>
      </c>
      <c r="B6888" s="2">
        <v>265.0</v>
      </c>
      <c r="C6888" s="2">
        <v>3108.0</v>
      </c>
      <c r="D6888" s="2">
        <v>1102.0</v>
      </c>
      <c r="E6888" s="3">
        <f t="shared" si="1"/>
        <v>0.3876187126</v>
      </c>
      <c r="F6888" s="2">
        <v>319.0</v>
      </c>
      <c r="G6888" s="3">
        <f t="shared" si="2"/>
        <v>0.1122054168</v>
      </c>
      <c r="H6888" s="2">
        <v>542.0</v>
      </c>
      <c r="I6888" s="3">
        <f t="shared" si="3"/>
        <v>0.1906436862</v>
      </c>
      <c r="J6888" s="2">
        <v>342.0</v>
      </c>
      <c r="K6888" s="3">
        <f t="shared" si="4"/>
        <v>0.1202954625</v>
      </c>
      <c r="L6888" s="2">
        <v>368.0</v>
      </c>
      <c r="M6888" s="3">
        <f t="shared" si="5"/>
        <v>0.6789667897</v>
      </c>
      <c r="N6888" s="2">
        <v>3133800.0</v>
      </c>
      <c r="O6888" s="4">
        <f t="shared" si="6"/>
        <v>5781.918819</v>
      </c>
      <c r="P6888" s="2">
        <v>2.0</v>
      </c>
      <c r="Q6888" s="3">
        <f t="shared" si="7"/>
        <v>0.007547169811</v>
      </c>
      <c r="R6888" s="2">
        <v>265.0</v>
      </c>
      <c r="S6888" s="5">
        <f t="shared" si="8"/>
        <v>1</v>
      </c>
    </row>
    <row r="6889">
      <c r="A6889" s="2" t="s">
        <v>6886</v>
      </c>
      <c r="B6889" s="2">
        <v>616.0</v>
      </c>
      <c r="C6889" s="2">
        <v>7327.0</v>
      </c>
      <c r="D6889" s="2">
        <v>2176.0</v>
      </c>
      <c r="E6889" s="3">
        <f t="shared" si="1"/>
        <v>0.3242437789</v>
      </c>
      <c r="F6889" s="2">
        <v>753.0</v>
      </c>
      <c r="G6889" s="3">
        <f t="shared" si="2"/>
        <v>0.1122038444</v>
      </c>
      <c r="H6889" s="2">
        <v>1389.0</v>
      </c>
      <c r="I6889" s="3">
        <f t="shared" si="3"/>
        <v>0.2069736254</v>
      </c>
      <c r="J6889" s="2">
        <v>1129.0</v>
      </c>
      <c r="K6889" s="3">
        <f t="shared" si="4"/>
        <v>0.1682312621</v>
      </c>
      <c r="L6889" s="2">
        <v>830.0</v>
      </c>
      <c r="M6889" s="3">
        <f t="shared" si="5"/>
        <v>0.5975521958</v>
      </c>
      <c r="N6889" s="2">
        <v>7874000.0</v>
      </c>
      <c r="O6889" s="4">
        <f t="shared" si="6"/>
        <v>5668.826494</v>
      </c>
      <c r="P6889" s="2">
        <v>2.0</v>
      </c>
      <c r="Q6889" s="3">
        <f t="shared" si="7"/>
        <v>0.003246753247</v>
      </c>
      <c r="R6889" s="2">
        <v>616.0</v>
      </c>
      <c r="S6889" s="5">
        <f t="shared" si="8"/>
        <v>1</v>
      </c>
    </row>
    <row r="6890">
      <c r="A6890" s="2" t="s">
        <v>6887</v>
      </c>
      <c r="B6890" s="2">
        <v>2024.0</v>
      </c>
      <c r="C6890" s="2">
        <v>23614.0</v>
      </c>
      <c r="D6890" s="2">
        <v>7957.0</v>
      </c>
      <c r="E6890" s="3">
        <f t="shared" si="1"/>
        <v>0.3685502547</v>
      </c>
      <c r="F6890" s="2">
        <v>2422.0</v>
      </c>
      <c r="G6890" s="3">
        <f t="shared" si="2"/>
        <v>0.1121815655</v>
      </c>
      <c r="H6890" s="2">
        <v>4333.0</v>
      </c>
      <c r="I6890" s="3">
        <f t="shared" si="3"/>
        <v>0.2006947661</v>
      </c>
      <c r="J6890" s="2">
        <v>3216.0</v>
      </c>
      <c r="K6890" s="3">
        <f t="shared" si="4"/>
        <v>0.1489578509</v>
      </c>
      <c r="L6890" s="2">
        <v>2594.0</v>
      </c>
      <c r="M6890" s="3">
        <f t="shared" si="5"/>
        <v>0.5986614355</v>
      </c>
      <c r="N6890" s="2">
        <v>2.42717E7</v>
      </c>
      <c r="O6890" s="4">
        <f t="shared" si="6"/>
        <v>5601.59243</v>
      </c>
      <c r="P6890" s="2">
        <v>4.0</v>
      </c>
      <c r="Q6890" s="3">
        <f t="shared" si="7"/>
        <v>0.001976284585</v>
      </c>
      <c r="R6890" s="2">
        <v>2024.0</v>
      </c>
      <c r="S6890" s="5">
        <f t="shared" si="8"/>
        <v>1</v>
      </c>
    </row>
    <row r="6891">
      <c r="A6891" s="2" t="s">
        <v>6888</v>
      </c>
      <c r="B6891" s="2">
        <v>469.0</v>
      </c>
      <c r="C6891" s="2">
        <v>5515.0</v>
      </c>
      <c r="D6891" s="2">
        <v>1922.0</v>
      </c>
      <c r="E6891" s="3">
        <f t="shared" si="1"/>
        <v>0.380895759</v>
      </c>
      <c r="F6891" s="2">
        <v>566.0</v>
      </c>
      <c r="G6891" s="3">
        <f t="shared" si="2"/>
        <v>0.1121680539</v>
      </c>
      <c r="H6891" s="2">
        <v>1027.0</v>
      </c>
      <c r="I6891" s="3">
        <f t="shared" si="3"/>
        <v>0.2035275466</v>
      </c>
      <c r="J6891" s="2">
        <v>796.0</v>
      </c>
      <c r="K6891" s="3">
        <f t="shared" si="4"/>
        <v>0.1577487119</v>
      </c>
      <c r="L6891" s="2">
        <v>583.0</v>
      </c>
      <c r="M6891" s="3">
        <f t="shared" si="5"/>
        <v>0.5676728335</v>
      </c>
      <c r="N6891" s="2">
        <v>5702700.0</v>
      </c>
      <c r="O6891" s="4">
        <f t="shared" si="6"/>
        <v>5552.775073</v>
      </c>
      <c r="P6891" s="2">
        <v>1.0</v>
      </c>
      <c r="Q6891" s="3">
        <f t="shared" si="7"/>
        <v>0.002132196162</v>
      </c>
      <c r="R6891" s="2">
        <v>0.0</v>
      </c>
      <c r="S6891" s="5">
        <f t="shared" si="8"/>
        <v>0</v>
      </c>
    </row>
    <row r="6892">
      <c r="A6892" s="2" t="s">
        <v>6889</v>
      </c>
      <c r="B6892" s="2">
        <v>281.0</v>
      </c>
      <c r="C6892" s="2">
        <v>3339.0</v>
      </c>
      <c r="D6892" s="2">
        <v>1194.0</v>
      </c>
      <c r="E6892" s="3">
        <f t="shared" si="1"/>
        <v>0.3904512753</v>
      </c>
      <c r="F6892" s="2">
        <v>343.0</v>
      </c>
      <c r="G6892" s="3">
        <f t="shared" si="2"/>
        <v>0.1121648136</v>
      </c>
      <c r="H6892" s="2">
        <v>636.0</v>
      </c>
      <c r="I6892" s="3">
        <f t="shared" si="3"/>
        <v>0.2079790713</v>
      </c>
      <c r="J6892" s="2">
        <v>484.0</v>
      </c>
      <c r="K6892" s="3">
        <f t="shared" si="4"/>
        <v>0.1582733813</v>
      </c>
      <c r="L6892" s="2">
        <v>378.0</v>
      </c>
      <c r="M6892" s="3">
        <f t="shared" si="5"/>
        <v>0.5943396226</v>
      </c>
      <c r="N6892" s="2">
        <v>3244900.0</v>
      </c>
      <c r="O6892" s="4">
        <f t="shared" si="6"/>
        <v>5102.044025</v>
      </c>
      <c r="P6892" s="2">
        <v>0.0</v>
      </c>
      <c r="Q6892" s="3">
        <f t="shared" si="7"/>
        <v>0</v>
      </c>
      <c r="R6892" s="2">
        <v>281.0</v>
      </c>
      <c r="S6892" s="5">
        <f t="shared" si="8"/>
        <v>1</v>
      </c>
    </row>
    <row r="6893">
      <c r="A6893" s="2" t="s">
        <v>6890</v>
      </c>
      <c r="B6893" s="2">
        <v>1122.0</v>
      </c>
      <c r="C6893" s="2">
        <v>13125.0</v>
      </c>
      <c r="D6893" s="2">
        <v>4102.0</v>
      </c>
      <c r="E6893" s="3">
        <f t="shared" si="1"/>
        <v>0.3417478964</v>
      </c>
      <c r="F6893" s="2">
        <v>1346.0</v>
      </c>
      <c r="G6893" s="3">
        <f t="shared" si="2"/>
        <v>0.112138632</v>
      </c>
      <c r="H6893" s="2">
        <v>2363.0</v>
      </c>
      <c r="I6893" s="3">
        <f t="shared" si="3"/>
        <v>0.1968674498</v>
      </c>
      <c r="J6893" s="2">
        <v>1823.0</v>
      </c>
      <c r="K6893" s="3">
        <f t="shared" si="4"/>
        <v>0.151878697</v>
      </c>
      <c r="L6893" s="2">
        <v>1423.0</v>
      </c>
      <c r="M6893" s="3">
        <f t="shared" si="5"/>
        <v>0.6022005925</v>
      </c>
      <c r="N6893" s="2">
        <v>1.37554E7</v>
      </c>
      <c r="O6893" s="4">
        <f t="shared" si="6"/>
        <v>5821.159543</v>
      </c>
      <c r="P6893" s="2">
        <v>0.0</v>
      </c>
      <c r="Q6893" s="3">
        <f t="shared" si="7"/>
        <v>0</v>
      </c>
      <c r="R6893" s="2">
        <v>453.0</v>
      </c>
      <c r="S6893" s="5">
        <f t="shared" si="8"/>
        <v>0.4037433155</v>
      </c>
    </row>
    <row r="6894">
      <c r="A6894" s="2" t="s">
        <v>6891</v>
      </c>
      <c r="B6894" s="2">
        <v>1524.0</v>
      </c>
      <c r="C6894" s="2">
        <v>17968.0</v>
      </c>
      <c r="D6894" s="2">
        <v>5761.0</v>
      </c>
      <c r="E6894" s="3">
        <f t="shared" si="1"/>
        <v>0.3503405497</v>
      </c>
      <c r="F6894" s="2">
        <v>1844.0</v>
      </c>
      <c r="G6894" s="3">
        <f t="shared" si="2"/>
        <v>0.1121381659</v>
      </c>
      <c r="H6894" s="2">
        <v>3404.0</v>
      </c>
      <c r="I6894" s="3">
        <f t="shared" si="3"/>
        <v>0.2070055947</v>
      </c>
      <c r="J6894" s="2">
        <v>3021.0</v>
      </c>
      <c r="K6894" s="3">
        <f t="shared" si="4"/>
        <v>0.1837144247</v>
      </c>
      <c r="L6894" s="2">
        <v>2031.0</v>
      </c>
      <c r="M6894" s="3">
        <f t="shared" si="5"/>
        <v>0.5966509988</v>
      </c>
      <c r="N6894" s="2">
        <v>1.91408E7</v>
      </c>
      <c r="O6894" s="4">
        <f t="shared" si="6"/>
        <v>5623.031727</v>
      </c>
      <c r="P6894" s="2">
        <v>3.0</v>
      </c>
      <c r="Q6894" s="3">
        <f t="shared" si="7"/>
        <v>0.001968503937</v>
      </c>
      <c r="R6894" s="2">
        <v>1201.0</v>
      </c>
      <c r="S6894" s="5">
        <f t="shared" si="8"/>
        <v>0.7880577428</v>
      </c>
    </row>
    <row r="6895">
      <c r="A6895" s="2" t="s">
        <v>6892</v>
      </c>
      <c r="B6895" s="2">
        <v>242.0</v>
      </c>
      <c r="C6895" s="2">
        <v>2864.0</v>
      </c>
      <c r="D6895" s="2">
        <v>954.0</v>
      </c>
      <c r="E6895" s="3">
        <f t="shared" si="1"/>
        <v>0.3638443936</v>
      </c>
      <c r="F6895" s="2">
        <v>294.0</v>
      </c>
      <c r="G6895" s="3">
        <f t="shared" si="2"/>
        <v>0.1121281465</v>
      </c>
      <c r="H6895" s="2">
        <v>518.0</v>
      </c>
      <c r="I6895" s="3">
        <f t="shared" si="3"/>
        <v>0.1975591152</v>
      </c>
      <c r="J6895" s="2">
        <v>467.0</v>
      </c>
      <c r="K6895" s="3">
        <f t="shared" si="4"/>
        <v>0.1781083143</v>
      </c>
      <c r="L6895" s="2">
        <v>288.0</v>
      </c>
      <c r="M6895" s="3">
        <f t="shared" si="5"/>
        <v>0.555984556</v>
      </c>
      <c r="N6895" s="2">
        <v>2887900.0</v>
      </c>
      <c r="O6895" s="4">
        <f t="shared" si="6"/>
        <v>5575.096525</v>
      </c>
      <c r="P6895" s="2">
        <v>0.0</v>
      </c>
      <c r="Q6895" s="3">
        <f t="shared" si="7"/>
        <v>0</v>
      </c>
      <c r="R6895" s="2">
        <v>242.0</v>
      </c>
      <c r="S6895" s="5">
        <f t="shared" si="8"/>
        <v>1</v>
      </c>
    </row>
    <row r="6896">
      <c r="A6896" s="2" t="s">
        <v>6893</v>
      </c>
      <c r="B6896" s="2">
        <v>410.0</v>
      </c>
      <c r="C6896" s="2">
        <v>4897.0</v>
      </c>
      <c r="D6896" s="2">
        <v>1850.0</v>
      </c>
      <c r="E6896" s="3">
        <f t="shared" si="1"/>
        <v>0.4123022064</v>
      </c>
      <c r="F6896" s="2">
        <v>503.0</v>
      </c>
      <c r="G6896" s="3">
        <f t="shared" si="2"/>
        <v>0.1121016269</v>
      </c>
      <c r="H6896" s="2">
        <v>1000.0</v>
      </c>
      <c r="I6896" s="3">
        <f t="shared" si="3"/>
        <v>0.2228660575</v>
      </c>
      <c r="J6896" s="2">
        <v>683.0</v>
      </c>
      <c r="K6896" s="3">
        <f t="shared" si="4"/>
        <v>0.1522175173</v>
      </c>
      <c r="L6896" s="2">
        <v>581.0</v>
      </c>
      <c r="M6896" s="3">
        <f t="shared" si="5"/>
        <v>0.581</v>
      </c>
      <c r="N6896" s="2">
        <v>5214100.0</v>
      </c>
      <c r="O6896" s="4">
        <f t="shared" si="6"/>
        <v>5214.1</v>
      </c>
      <c r="P6896" s="2">
        <v>1.0</v>
      </c>
      <c r="Q6896" s="3">
        <f t="shared" si="7"/>
        <v>0.00243902439</v>
      </c>
      <c r="R6896" s="2">
        <v>410.0</v>
      </c>
      <c r="S6896" s="5">
        <f t="shared" si="8"/>
        <v>1</v>
      </c>
    </row>
    <row r="6897">
      <c r="A6897" s="2" t="s">
        <v>6894</v>
      </c>
      <c r="B6897" s="2">
        <v>457.0</v>
      </c>
      <c r="C6897" s="2">
        <v>5399.0</v>
      </c>
      <c r="D6897" s="2">
        <v>1384.0</v>
      </c>
      <c r="E6897" s="3">
        <f t="shared" si="1"/>
        <v>0.2800485633</v>
      </c>
      <c r="F6897" s="2">
        <v>554.0</v>
      </c>
      <c r="G6897" s="3">
        <f t="shared" si="2"/>
        <v>0.1121003642</v>
      </c>
      <c r="H6897" s="2">
        <v>934.0</v>
      </c>
      <c r="I6897" s="3">
        <f t="shared" si="3"/>
        <v>0.1889923108</v>
      </c>
      <c r="J6897" s="2">
        <v>811.0</v>
      </c>
      <c r="K6897" s="3">
        <f t="shared" si="4"/>
        <v>0.1641036018</v>
      </c>
      <c r="L6897" s="2">
        <v>562.0</v>
      </c>
      <c r="M6897" s="3">
        <f t="shared" si="5"/>
        <v>0.6017130621</v>
      </c>
      <c r="N6897" s="2">
        <v>5355200.0</v>
      </c>
      <c r="O6897" s="4">
        <f t="shared" si="6"/>
        <v>5733.618844</v>
      </c>
      <c r="P6897" s="2">
        <v>2.0</v>
      </c>
      <c r="Q6897" s="3">
        <f t="shared" si="7"/>
        <v>0.004376367615</v>
      </c>
      <c r="R6897" s="2">
        <v>457.0</v>
      </c>
      <c r="S6897" s="5">
        <f t="shared" si="8"/>
        <v>1</v>
      </c>
    </row>
    <row r="6898">
      <c r="A6898" s="2" t="s">
        <v>6895</v>
      </c>
      <c r="B6898" s="2">
        <v>119.0</v>
      </c>
      <c r="C6898" s="2">
        <v>1386.0</v>
      </c>
      <c r="D6898" s="2">
        <v>409.0</v>
      </c>
      <c r="E6898" s="3">
        <f t="shared" si="1"/>
        <v>0.3228097869</v>
      </c>
      <c r="F6898" s="2">
        <v>142.0</v>
      </c>
      <c r="G6898" s="3">
        <f t="shared" si="2"/>
        <v>0.1120757695</v>
      </c>
      <c r="H6898" s="2">
        <v>250.0</v>
      </c>
      <c r="I6898" s="3">
        <f t="shared" si="3"/>
        <v>0.1973164957</v>
      </c>
      <c r="J6898" s="2">
        <v>224.0</v>
      </c>
      <c r="K6898" s="3">
        <f t="shared" si="4"/>
        <v>0.1767955801</v>
      </c>
      <c r="L6898" s="2">
        <v>144.0</v>
      </c>
      <c r="M6898" s="3">
        <f t="shared" si="5"/>
        <v>0.576</v>
      </c>
      <c r="N6898" s="2">
        <v>1471600.0</v>
      </c>
      <c r="O6898" s="4">
        <f t="shared" si="6"/>
        <v>5886.4</v>
      </c>
      <c r="P6898" s="2">
        <v>0.0</v>
      </c>
      <c r="Q6898" s="3">
        <f t="shared" si="7"/>
        <v>0</v>
      </c>
      <c r="R6898" s="2">
        <v>119.0</v>
      </c>
      <c r="S6898" s="5">
        <f t="shared" si="8"/>
        <v>1</v>
      </c>
    </row>
    <row r="6899">
      <c r="A6899" s="2" t="s">
        <v>6896</v>
      </c>
      <c r="B6899" s="2">
        <v>10.0</v>
      </c>
      <c r="C6899" s="2">
        <v>126.0</v>
      </c>
      <c r="D6899" s="2">
        <v>47.0</v>
      </c>
      <c r="E6899" s="3">
        <f t="shared" si="1"/>
        <v>0.4051724138</v>
      </c>
      <c r="F6899" s="2">
        <v>13.0</v>
      </c>
      <c r="G6899" s="3">
        <f t="shared" si="2"/>
        <v>0.1120689655</v>
      </c>
      <c r="H6899" s="2">
        <v>18.0</v>
      </c>
      <c r="I6899" s="3">
        <f t="shared" si="3"/>
        <v>0.1551724138</v>
      </c>
      <c r="J6899" s="2">
        <v>17.0</v>
      </c>
      <c r="K6899" s="3">
        <f t="shared" si="4"/>
        <v>0.1465517241</v>
      </c>
      <c r="L6899" s="2">
        <v>10.0</v>
      </c>
      <c r="M6899" s="3">
        <f t="shared" si="5"/>
        <v>0.5555555556</v>
      </c>
      <c r="N6899" s="2">
        <v>104900.0</v>
      </c>
      <c r="O6899" s="4">
        <f t="shared" si="6"/>
        <v>5827.777778</v>
      </c>
      <c r="P6899" s="2">
        <v>0.0</v>
      </c>
      <c r="Q6899" s="3">
        <f t="shared" si="7"/>
        <v>0</v>
      </c>
      <c r="R6899" s="2">
        <v>0.0</v>
      </c>
      <c r="S6899" s="5">
        <f t="shared" si="8"/>
        <v>0</v>
      </c>
    </row>
    <row r="6900">
      <c r="A6900" s="2" t="s">
        <v>6897</v>
      </c>
      <c r="B6900" s="2">
        <v>812.0</v>
      </c>
      <c r="C6900" s="2">
        <v>9682.0</v>
      </c>
      <c r="D6900" s="2">
        <v>2873.0</v>
      </c>
      <c r="E6900" s="3">
        <f t="shared" si="1"/>
        <v>0.3239007892</v>
      </c>
      <c r="F6900" s="2">
        <v>994.0</v>
      </c>
      <c r="G6900" s="3">
        <f t="shared" si="2"/>
        <v>0.1120631342</v>
      </c>
      <c r="H6900" s="2">
        <v>1911.0</v>
      </c>
      <c r="I6900" s="3">
        <f t="shared" si="3"/>
        <v>0.2154453213</v>
      </c>
      <c r="J6900" s="2">
        <v>1396.0</v>
      </c>
      <c r="K6900" s="3">
        <f t="shared" si="4"/>
        <v>0.1573844419</v>
      </c>
      <c r="L6900" s="2">
        <v>1109.0</v>
      </c>
      <c r="M6900" s="3">
        <f t="shared" si="5"/>
        <v>0.5803244375</v>
      </c>
      <c r="N6900" s="2">
        <v>1.04318E7</v>
      </c>
      <c r="O6900" s="4">
        <f t="shared" si="6"/>
        <v>5458.817373</v>
      </c>
      <c r="P6900" s="2">
        <v>1.0</v>
      </c>
      <c r="Q6900" s="3">
        <f t="shared" si="7"/>
        <v>0.001231527094</v>
      </c>
      <c r="R6900" s="2">
        <v>812.0</v>
      </c>
      <c r="S6900" s="5">
        <f t="shared" si="8"/>
        <v>1</v>
      </c>
    </row>
    <row r="6901">
      <c r="A6901" s="2" t="s">
        <v>6898</v>
      </c>
      <c r="B6901" s="2">
        <v>429.0</v>
      </c>
      <c r="C6901" s="2">
        <v>4963.0</v>
      </c>
      <c r="D6901" s="2">
        <v>1331.0</v>
      </c>
      <c r="E6901" s="3">
        <f t="shared" si="1"/>
        <v>0.2935597706</v>
      </c>
      <c r="F6901" s="2">
        <v>508.0</v>
      </c>
      <c r="G6901" s="3">
        <f t="shared" si="2"/>
        <v>0.1120423467</v>
      </c>
      <c r="H6901" s="2">
        <v>965.0</v>
      </c>
      <c r="I6901" s="3">
        <f t="shared" si="3"/>
        <v>0.2128363476</v>
      </c>
      <c r="J6901" s="2">
        <v>896.0</v>
      </c>
      <c r="K6901" s="3">
        <f t="shared" si="4"/>
        <v>0.1976179974</v>
      </c>
      <c r="L6901" s="2">
        <v>581.0</v>
      </c>
      <c r="M6901" s="3">
        <f t="shared" si="5"/>
        <v>0.6020725389</v>
      </c>
      <c r="N6901" s="2">
        <v>5619300.0</v>
      </c>
      <c r="O6901" s="4">
        <f t="shared" si="6"/>
        <v>5823.108808</v>
      </c>
      <c r="P6901" s="2">
        <v>4.0</v>
      </c>
      <c r="Q6901" s="3">
        <f t="shared" si="7"/>
        <v>0.009324009324</v>
      </c>
      <c r="R6901" s="2">
        <v>429.0</v>
      </c>
      <c r="S6901" s="5">
        <f t="shared" si="8"/>
        <v>1</v>
      </c>
    </row>
    <row r="6902">
      <c r="A6902" s="2" t="s">
        <v>6899</v>
      </c>
      <c r="B6902" s="2">
        <v>60.0</v>
      </c>
      <c r="C6902" s="2">
        <v>667.0</v>
      </c>
      <c r="D6902" s="2">
        <v>225.0</v>
      </c>
      <c r="E6902" s="3">
        <f t="shared" si="1"/>
        <v>0.370675453</v>
      </c>
      <c r="F6902" s="2">
        <v>68.0</v>
      </c>
      <c r="G6902" s="3">
        <f t="shared" si="2"/>
        <v>0.1120263591</v>
      </c>
      <c r="H6902" s="2">
        <v>123.0</v>
      </c>
      <c r="I6902" s="3">
        <f t="shared" si="3"/>
        <v>0.2026359143</v>
      </c>
      <c r="J6902" s="2">
        <v>114.0</v>
      </c>
      <c r="K6902" s="3">
        <f t="shared" si="4"/>
        <v>0.1878088962</v>
      </c>
      <c r="L6902" s="2">
        <v>69.0</v>
      </c>
      <c r="M6902" s="3">
        <f t="shared" si="5"/>
        <v>0.5609756098</v>
      </c>
      <c r="N6902" s="2">
        <v>688400.0</v>
      </c>
      <c r="O6902" s="4">
        <f t="shared" si="6"/>
        <v>5596.747967</v>
      </c>
      <c r="P6902" s="2">
        <v>0.0</v>
      </c>
      <c r="Q6902" s="3">
        <f t="shared" si="7"/>
        <v>0</v>
      </c>
      <c r="R6902" s="2">
        <v>60.0</v>
      </c>
      <c r="S6902" s="5">
        <f t="shared" si="8"/>
        <v>1</v>
      </c>
    </row>
    <row r="6903">
      <c r="A6903" s="2" t="s">
        <v>6900</v>
      </c>
      <c r="B6903" s="2">
        <v>531.0</v>
      </c>
      <c r="C6903" s="2">
        <v>6244.0</v>
      </c>
      <c r="D6903" s="2">
        <v>1387.0</v>
      </c>
      <c r="E6903" s="3">
        <f t="shared" si="1"/>
        <v>0.2427796254</v>
      </c>
      <c r="F6903" s="2">
        <v>640.0</v>
      </c>
      <c r="G6903" s="3">
        <f t="shared" si="2"/>
        <v>0.1120252057</v>
      </c>
      <c r="H6903" s="2">
        <v>1061.0</v>
      </c>
      <c r="I6903" s="3">
        <f t="shared" si="3"/>
        <v>0.1857167863</v>
      </c>
      <c r="J6903" s="2">
        <v>973.0</v>
      </c>
      <c r="K6903" s="3">
        <f t="shared" si="4"/>
        <v>0.1703133205</v>
      </c>
      <c r="L6903" s="2">
        <v>611.0</v>
      </c>
      <c r="M6903" s="3">
        <f t="shared" si="5"/>
        <v>0.575871819</v>
      </c>
      <c r="N6903" s="2">
        <v>6406500.0</v>
      </c>
      <c r="O6903" s="4">
        <f t="shared" si="6"/>
        <v>6038.171536</v>
      </c>
      <c r="P6903" s="2">
        <v>1.0</v>
      </c>
      <c r="Q6903" s="3">
        <f t="shared" si="7"/>
        <v>0.001883239171</v>
      </c>
      <c r="R6903" s="2">
        <v>531.0</v>
      </c>
      <c r="S6903" s="5">
        <f t="shared" si="8"/>
        <v>1</v>
      </c>
    </row>
    <row r="6904">
      <c r="A6904" s="2" t="s">
        <v>6901</v>
      </c>
      <c r="B6904" s="2">
        <v>170.0</v>
      </c>
      <c r="C6904" s="2">
        <v>2009.0</v>
      </c>
      <c r="D6904" s="2">
        <v>754.0</v>
      </c>
      <c r="E6904" s="3">
        <f t="shared" si="1"/>
        <v>0.4100054377</v>
      </c>
      <c r="F6904" s="2">
        <v>206.0</v>
      </c>
      <c r="G6904" s="3">
        <f t="shared" si="2"/>
        <v>0.1120174008</v>
      </c>
      <c r="H6904" s="2">
        <v>350.0</v>
      </c>
      <c r="I6904" s="3">
        <f t="shared" si="3"/>
        <v>0.1903208265</v>
      </c>
      <c r="J6904" s="2">
        <v>220.0</v>
      </c>
      <c r="K6904" s="3">
        <f t="shared" si="4"/>
        <v>0.1196302338</v>
      </c>
      <c r="L6904" s="2">
        <v>217.0</v>
      </c>
      <c r="M6904" s="3">
        <f t="shared" si="5"/>
        <v>0.62</v>
      </c>
      <c r="N6904" s="2">
        <v>2033300.0</v>
      </c>
      <c r="O6904" s="4">
        <f t="shared" si="6"/>
        <v>5809.428571</v>
      </c>
      <c r="P6904" s="2">
        <v>0.0</v>
      </c>
      <c r="Q6904" s="3">
        <f t="shared" si="7"/>
        <v>0</v>
      </c>
      <c r="R6904" s="2">
        <v>170.0</v>
      </c>
      <c r="S6904" s="5">
        <f t="shared" si="8"/>
        <v>1</v>
      </c>
    </row>
    <row r="6905">
      <c r="A6905" s="2" t="s">
        <v>6902</v>
      </c>
      <c r="B6905" s="2">
        <v>184.0</v>
      </c>
      <c r="C6905" s="2">
        <v>2148.0</v>
      </c>
      <c r="D6905" s="2">
        <v>659.0</v>
      </c>
      <c r="E6905" s="3">
        <f t="shared" si="1"/>
        <v>0.3355397149</v>
      </c>
      <c r="F6905" s="2">
        <v>220.0</v>
      </c>
      <c r="G6905" s="3">
        <f t="shared" si="2"/>
        <v>0.1120162933</v>
      </c>
      <c r="H6905" s="2">
        <v>390.0</v>
      </c>
      <c r="I6905" s="3">
        <f t="shared" si="3"/>
        <v>0.1985743381</v>
      </c>
      <c r="J6905" s="2">
        <v>334.0</v>
      </c>
      <c r="K6905" s="3">
        <f t="shared" si="4"/>
        <v>0.1700610998</v>
      </c>
      <c r="L6905" s="2">
        <v>216.0</v>
      </c>
      <c r="M6905" s="3">
        <f t="shared" si="5"/>
        <v>0.5538461538</v>
      </c>
      <c r="N6905" s="2">
        <v>2210200.0</v>
      </c>
      <c r="O6905" s="4">
        <f t="shared" si="6"/>
        <v>5667.179487</v>
      </c>
      <c r="P6905" s="2">
        <v>0.0</v>
      </c>
      <c r="Q6905" s="3">
        <f t="shared" si="7"/>
        <v>0</v>
      </c>
      <c r="R6905" s="2">
        <v>0.0</v>
      </c>
      <c r="S6905" s="5">
        <f t="shared" si="8"/>
        <v>0</v>
      </c>
    </row>
    <row r="6906">
      <c r="A6906" s="2" t="s">
        <v>6903</v>
      </c>
      <c r="B6906" s="2">
        <v>165.0</v>
      </c>
      <c r="C6906" s="2">
        <v>1915.0</v>
      </c>
      <c r="D6906" s="2">
        <v>546.0</v>
      </c>
      <c r="E6906" s="3">
        <f t="shared" si="1"/>
        <v>0.312</v>
      </c>
      <c r="F6906" s="2">
        <v>196.0</v>
      </c>
      <c r="G6906" s="3">
        <f t="shared" si="2"/>
        <v>0.112</v>
      </c>
      <c r="H6906" s="2">
        <v>382.0</v>
      </c>
      <c r="I6906" s="3">
        <f t="shared" si="3"/>
        <v>0.2182857143</v>
      </c>
      <c r="J6906" s="2">
        <v>270.0</v>
      </c>
      <c r="K6906" s="3">
        <f t="shared" si="4"/>
        <v>0.1542857143</v>
      </c>
      <c r="L6906" s="2">
        <v>224.0</v>
      </c>
      <c r="M6906" s="3">
        <f t="shared" si="5"/>
        <v>0.5863874346</v>
      </c>
      <c r="N6906" s="2">
        <v>2089600.0</v>
      </c>
      <c r="O6906" s="4">
        <f t="shared" si="6"/>
        <v>5470.157068</v>
      </c>
      <c r="P6906" s="2">
        <v>0.0</v>
      </c>
      <c r="Q6906" s="3">
        <f t="shared" si="7"/>
        <v>0</v>
      </c>
      <c r="R6906" s="2">
        <v>165.0</v>
      </c>
      <c r="S6906" s="5">
        <f t="shared" si="8"/>
        <v>1</v>
      </c>
    </row>
    <row r="6907">
      <c r="A6907" s="2" t="s">
        <v>6904</v>
      </c>
      <c r="B6907" s="2">
        <v>997.0</v>
      </c>
      <c r="C6907" s="2">
        <v>11855.0</v>
      </c>
      <c r="D6907" s="2">
        <v>4131.0</v>
      </c>
      <c r="E6907" s="3">
        <f t="shared" si="1"/>
        <v>0.380456806</v>
      </c>
      <c r="F6907" s="2">
        <v>1216.0</v>
      </c>
      <c r="G6907" s="3">
        <f t="shared" si="2"/>
        <v>0.1119911586</v>
      </c>
      <c r="H6907" s="2">
        <v>2324.0</v>
      </c>
      <c r="I6907" s="3">
        <f t="shared" si="3"/>
        <v>0.214035734</v>
      </c>
      <c r="J6907" s="2">
        <v>1713.0</v>
      </c>
      <c r="K6907" s="3">
        <f t="shared" si="4"/>
        <v>0.1577638607</v>
      </c>
      <c r="L6907" s="2">
        <v>1388.0</v>
      </c>
      <c r="M6907" s="3">
        <f t="shared" si="5"/>
        <v>0.5972461274</v>
      </c>
      <c r="N6907" s="2">
        <v>1.1978E7</v>
      </c>
      <c r="O6907" s="4">
        <f t="shared" si="6"/>
        <v>5154.04475</v>
      </c>
      <c r="P6907" s="2">
        <v>0.0</v>
      </c>
      <c r="Q6907" s="3">
        <f t="shared" si="7"/>
        <v>0</v>
      </c>
      <c r="R6907" s="2">
        <v>0.0</v>
      </c>
      <c r="S6907" s="5">
        <f t="shared" si="8"/>
        <v>0</v>
      </c>
    </row>
    <row r="6908">
      <c r="A6908" s="2" t="s">
        <v>6905</v>
      </c>
      <c r="B6908" s="2">
        <v>394.0</v>
      </c>
      <c r="C6908" s="2">
        <v>4698.0</v>
      </c>
      <c r="D6908" s="2">
        <v>1454.0</v>
      </c>
      <c r="E6908" s="3">
        <f t="shared" si="1"/>
        <v>0.3378252788</v>
      </c>
      <c r="F6908" s="2">
        <v>482.0</v>
      </c>
      <c r="G6908" s="3">
        <f t="shared" si="2"/>
        <v>0.1119888476</v>
      </c>
      <c r="H6908" s="2">
        <v>937.0</v>
      </c>
      <c r="I6908" s="3">
        <f t="shared" si="3"/>
        <v>0.217704461</v>
      </c>
      <c r="J6908" s="2">
        <v>737.0</v>
      </c>
      <c r="K6908" s="3">
        <f t="shared" si="4"/>
        <v>0.1712360595</v>
      </c>
      <c r="L6908" s="2">
        <v>540.0</v>
      </c>
      <c r="M6908" s="3">
        <f t="shared" si="5"/>
        <v>0.5763073639</v>
      </c>
      <c r="N6908" s="2">
        <v>5187700.0</v>
      </c>
      <c r="O6908" s="4">
        <f t="shared" si="6"/>
        <v>5536.499466</v>
      </c>
      <c r="P6908" s="2">
        <v>1.0</v>
      </c>
      <c r="Q6908" s="3">
        <f t="shared" si="7"/>
        <v>0.002538071066</v>
      </c>
      <c r="R6908" s="2">
        <v>394.0</v>
      </c>
      <c r="S6908" s="5">
        <f t="shared" si="8"/>
        <v>1</v>
      </c>
    </row>
    <row r="6909">
      <c r="A6909" s="2" t="s">
        <v>6906</v>
      </c>
      <c r="B6909" s="2">
        <v>1771.0</v>
      </c>
      <c r="C6909" s="2">
        <v>20759.0</v>
      </c>
      <c r="D6909" s="2">
        <v>5982.0</v>
      </c>
      <c r="E6909" s="3">
        <f t="shared" si="1"/>
        <v>0.3150410786</v>
      </c>
      <c r="F6909" s="2">
        <v>2126.0</v>
      </c>
      <c r="G6909" s="3">
        <f t="shared" si="2"/>
        <v>0.1119654519</v>
      </c>
      <c r="H6909" s="2">
        <v>3717.0</v>
      </c>
      <c r="I6909" s="3">
        <f t="shared" si="3"/>
        <v>0.1957552138</v>
      </c>
      <c r="J6909" s="2">
        <v>3026.0</v>
      </c>
      <c r="K6909" s="3">
        <f t="shared" si="4"/>
        <v>0.1593638087</v>
      </c>
      <c r="L6909" s="2">
        <v>2241.0</v>
      </c>
      <c r="M6909" s="3">
        <f t="shared" si="5"/>
        <v>0.602905569</v>
      </c>
      <c r="N6909" s="2">
        <v>2.15886E7</v>
      </c>
      <c r="O6909" s="4">
        <f t="shared" si="6"/>
        <v>5808.071025</v>
      </c>
      <c r="P6909" s="2">
        <v>10.0</v>
      </c>
      <c r="Q6909" s="3">
        <f t="shared" si="7"/>
        <v>0.005646527386</v>
      </c>
      <c r="R6909" s="2">
        <v>1771.0</v>
      </c>
      <c r="S6909" s="5">
        <f t="shared" si="8"/>
        <v>1</v>
      </c>
    </row>
    <row r="6910">
      <c r="A6910" s="2" t="s">
        <v>6907</v>
      </c>
      <c r="B6910" s="2">
        <v>3056.0</v>
      </c>
      <c r="C6910" s="2">
        <v>35774.0</v>
      </c>
      <c r="D6910" s="2">
        <v>10778.0</v>
      </c>
      <c r="E6910" s="3">
        <f t="shared" si="1"/>
        <v>0.3294211138</v>
      </c>
      <c r="F6910" s="2">
        <v>3663.0</v>
      </c>
      <c r="G6910" s="3">
        <f t="shared" si="2"/>
        <v>0.1119567211</v>
      </c>
      <c r="H6910" s="2">
        <v>6914.0</v>
      </c>
      <c r="I6910" s="3">
        <f t="shared" si="3"/>
        <v>0.2113209854</v>
      </c>
      <c r="J6910" s="2">
        <v>5321.0</v>
      </c>
      <c r="K6910" s="3">
        <f t="shared" si="4"/>
        <v>0.1626321902</v>
      </c>
      <c r="L6910" s="2">
        <v>4150.0</v>
      </c>
      <c r="M6910" s="3">
        <f t="shared" si="5"/>
        <v>0.6002314145</v>
      </c>
      <c r="N6910" s="2">
        <v>3.84676E7</v>
      </c>
      <c r="O6910" s="4">
        <f t="shared" si="6"/>
        <v>5563.725774</v>
      </c>
      <c r="P6910" s="2">
        <v>5.0</v>
      </c>
      <c r="Q6910" s="3">
        <f t="shared" si="7"/>
        <v>0.001636125654</v>
      </c>
      <c r="R6910" s="2">
        <v>3056.0</v>
      </c>
      <c r="S6910" s="5">
        <f t="shared" si="8"/>
        <v>1</v>
      </c>
    </row>
    <row r="6911">
      <c r="A6911" s="2" t="s">
        <v>6908</v>
      </c>
      <c r="B6911" s="2">
        <v>1126.0</v>
      </c>
      <c r="C6911" s="2">
        <v>13220.0</v>
      </c>
      <c r="D6911" s="2">
        <v>3457.0</v>
      </c>
      <c r="E6911" s="3">
        <f t="shared" si="1"/>
        <v>0.2858442203</v>
      </c>
      <c r="F6911" s="2">
        <v>1354.0</v>
      </c>
      <c r="G6911" s="3">
        <f t="shared" si="2"/>
        <v>0.111956342</v>
      </c>
      <c r="H6911" s="2">
        <v>2357.0</v>
      </c>
      <c r="I6911" s="3">
        <f t="shared" si="3"/>
        <v>0.1948900281</v>
      </c>
      <c r="J6911" s="2">
        <v>1923.0</v>
      </c>
      <c r="K6911" s="3">
        <f t="shared" si="4"/>
        <v>0.159004465</v>
      </c>
      <c r="L6911" s="2">
        <v>1347.0</v>
      </c>
      <c r="M6911" s="3">
        <f t="shared" si="5"/>
        <v>0.5714891812</v>
      </c>
      <c r="N6911" s="2">
        <v>1.35545E7</v>
      </c>
      <c r="O6911" s="4">
        <f t="shared" si="6"/>
        <v>5750.742469</v>
      </c>
      <c r="P6911" s="2">
        <v>0.0</v>
      </c>
      <c r="Q6911" s="3">
        <f t="shared" si="7"/>
        <v>0</v>
      </c>
      <c r="R6911" s="2">
        <v>1126.0</v>
      </c>
      <c r="S6911" s="5">
        <f t="shared" si="8"/>
        <v>1</v>
      </c>
    </row>
    <row r="6912">
      <c r="A6912" s="2" t="s">
        <v>6909</v>
      </c>
      <c r="B6912" s="2">
        <v>2647.0</v>
      </c>
      <c r="C6912" s="2">
        <v>31249.0</v>
      </c>
      <c r="D6912" s="2">
        <v>10100.0</v>
      </c>
      <c r="E6912" s="3">
        <f t="shared" si="1"/>
        <v>0.3531221593</v>
      </c>
      <c r="F6912" s="2">
        <v>3202.0</v>
      </c>
      <c r="G6912" s="3">
        <f t="shared" si="2"/>
        <v>0.1119502133</v>
      </c>
      <c r="H6912" s="2">
        <v>5851.0</v>
      </c>
      <c r="I6912" s="3">
        <f t="shared" si="3"/>
        <v>0.2045661143</v>
      </c>
      <c r="J6912" s="2">
        <v>3791.0</v>
      </c>
      <c r="K6912" s="3">
        <f t="shared" si="4"/>
        <v>0.1325431788</v>
      </c>
      <c r="L6912" s="2">
        <v>3547.0</v>
      </c>
      <c r="M6912" s="3">
        <f t="shared" si="5"/>
        <v>0.6062211588</v>
      </c>
      <c r="N6912" s="2">
        <v>3.16859E7</v>
      </c>
      <c r="O6912" s="4">
        <f t="shared" si="6"/>
        <v>5415.467441</v>
      </c>
      <c r="P6912" s="2">
        <v>3.0</v>
      </c>
      <c r="Q6912" s="3">
        <f t="shared" si="7"/>
        <v>0.001133358519</v>
      </c>
      <c r="R6912" s="2">
        <v>2522.0</v>
      </c>
      <c r="S6912" s="5">
        <f t="shared" si="8"/>
        <v>0.9527767284</v>
      </c>
    </row>
    <row r="6913">
      <c r="A6913" s="2" t="s">
        <v>6910</v>
      </c>
      <c r="B6913" s="2">
        <v>377.0</v>
      </c>
      <c r="C6913" s="2">
        <v>4496.0</v>
      </c>
      <c r="D6913" s="2">
        <v>1417.0</v>
      </c>
      <c r="E6913" s="3">
        <f t="shared" si="1"/>
        <v>0.3440155378</v>
      </c>
      <c r="F6913" s="2">
        <v>461.0</v>
      </c>
      <c r="G6913" s="3">
        <f t="shared" si="2"/>
        <v>0.111920369</v>
      </c>
      <c r="H6913" s="2">
        <v>805.0</v>
      </c>
      <c r="I6913" s="3">
        <f t="shared" si="3"/>
        <v>0.1954357854</v>
      </c>
      <c r="J6913" s="2">
        <v>653.0</v>
      </c>
      <c r="K6913" s="3">
        <f t="shared" si="4"/>
        <v>0.1585336247</v>
      </c>
      <c r="L6913" s="2">
        <v>456.0</v>
      </c>
      <c r="M6913" s="3">
        <f t="shared" si="5"/>
        <v>0.5664596273</v>
      </c>
      <c r="N6913" s="2">
        <v>4391900.0</v>
      </c>
      <c r="O6913" s="4">
        <f t="shared" si="6"/>
        <v>5455.776398</v>
      </c>
      <c r="P6913" s="2">
        <v>0.0</v>
      </c>
      <c r="Q6913" s="3">
        <f t="shared" si="7"/>
        <v>0</v>
      </c>
      <c r="R6913" s="2">
        <v>1.0</v>
      </c>
      <c r="S6913" s="5">
        <f t="shared" si="8"/>
        <v>0.002652519894</v>
      </c>
    </row>
    <row r="6914">
      <c r="A6914" s="2" t="s">
        <v>6911</v>
      </c>
      <c r="B6914" s="2">
        <v>1305.0</v>
      </c>
      <c r="C6914" s="2">
        <v>15262.0</v>
      </c>
      <c r="D6914" s="2">
        <v>4851.0</v>
      </c>
      <c r="E6914" s="3">
        <f t="shared" si="1"/>
        <v>0.3475675288</v>
      </c>
      <c r="F6914" s="2">
        <v>1562.0</v>
      </c>
      <c r="G6914" s="3">
        <f t="shared" si="2"/>
        <v>0.111915168</v>
      </c>
      <c r="H6914" s="2">
        <v>3072.0</v>
      </c>
      <c r="I6914" s="3">
        <f t="shared" si="3"/>
        <v>0.220104607</v>
      </c>
      <c r="J6914" s="2">
        <v>2367.0</v>
      </c>
      <c r="K6914" s="3">
        <f t="shared" si="4"/>
        <v>0.1695923193</v>
      </c>
      <c r="L6914" s="2">
        <v>1806.0</v>
      </c>
      <c r="M6914" s="3">
        <f t="shared" si="5"/>
        <v>0.587890625</v>
      </c>
      <c r="N6914" s="2">
        <v>1.71661E7</v>
      </c>
      <c r="O6914" s="4">
        <f t="shared" si="6"/>
        <v>5587.923177</v>
      </c>
      <c r="P6914" s="2">
        <v>0.0</v>
      </c>
      <c r="Q6914" s="3">
        <f t="shared" si="7"/>
        <v>0</v>
      </c>
      <c r="R6914" s="2">
        <v>0.0</v>
      </c>
      <c r="S6914" s="5">
        <f t="shared" si="8"/>
        <v>0</v>
      </c>
    </row>
    <row r="6915">
      <c r="A6915" s="2" t="s">
        <v>6912</v>
      </c>
      <c r="B6915" s="2">
        <v>2901.0</v>
      </c>
      <c r="C6915" s="2">
        <v>34245.0</v>
      </c>
      <c r="D6915" s="2">
        <v>11440.0</v>
      </c>
      <c r="E6915" s="3">
        <f t="shared" si="1"/>
        <v>0.3649821337</v>
      </c>
      <c r="F6915" s="2">
        <v>3507.0</v>
      </c>
      <c r="G6915" s="3">
        <f t="shared" si="2"/>
        <v>0.1118874426</v>
      </c>
      <c r="H6915" s="2">
        <v>6126.0</v>
      </c>
      <c r="I6915" s="3">
        <f t="shared" si="3"/>
        <v>0.1954441041</v>
      </c>
      <c r="J6915" s="2">
        <v>5089.0</v>
      </c>
      <c r="K6915" s="3">
        <f t="shared" si="4"/>
        <v>0.1623596223</v>
      </c>
      <c r="L6915" s="2">
        <v>3638.0</v>
      </c>
      <c r="M6915" s="3">
        <f t="shared" si="5"/>
        <v>0.5938622266</v>
      </c>
      <c r="N6915" s="2">
        <v>3.41862E7</v>
      </c>
      <c r="O6915" s="4">
        <f t="shared" si="6"/>
        <v>5580.509305</v>
      </c>
      <c r="P6915" s="2">
        <v>4.0</v>
      </c>
      <c r="Q6915" s="3">
        <f t="shared" si="7"/>
        <v>0.001378834885</v>
      </c>
      <c r="R6915" s="2">
        <v>2901.0</v>
      </c>
      <c r="S6915" s="5">
        <f t="shared" si="8"/>
        <v>1</v>
      </c>
    </row>
    <row r="6916">
      <c r="A6916" s="2" t="s">
        <v>6913</v>
      </c>
      <c r="B6916" s="2">
        <v>283.0</v>
      </c>
      <c r="C6916" s="2">
        <v>3295.0</v>
      </c>
      <c r="D6916" s="2">
        <v>944.0</v>
      </c>
      <c r="E6916" s="3">
        <f t="shared" si="1"/>
        <v>0.3134130146</v>
      </c>
      <c r="F6916" s="2">
        <v>337.0</v>
      </c>
      <c r="G6916" s="3">
        <f t="shared" si="2"/>
        <v>0.1118857902</v>
      </c>
      <c r="H6916" s="2">
        <v>643.0</v>
      </c>
      <c r="I6916" s="3">
        <f t="shared" si="3"/>
        <v>0.2134794157</v>
      </c>
      <c r="J6916" s="2">
        <v>452.0</v>
      </c>
      <c r="K6916" s="3">
        <f t="shared" si="4"/>
        <v>0.1500664011</v>
      </c>
      <c r="L6916" s="2">
        <v>380.0</v>
      </c>
      <c r="M6916" s="3">
        <f t="shared" si="5"/>
        <v>0.5909797823</v>
      </c>
      <c r="N6916" s="2">
        <v>3442300.0</v>
      </c>
      <c r="O6916" s="4">
        <f t="shared" si="6"/>
        <v>5353.499222</v>
      </c>
      <c r="P6916" s="2">
        <v>0.0</v>
      </c>
      <c r="Q6916" s="3">
        <f t="shared" si="7"/>
        <v>0</v>
      </c>
      <c r="R6916" s="2">
        <v>283.0</v>
      </c>
      <c r="S6916" s="5">
        <f t="shared" si="8"/>
        <v>1</v>
      </c>
    </row>
    <row r="6917">
      <c r="A6917" s="2" t="s">
        <v>6914</v>
      </c>
      <c r="B6917" s="2">
        <v>1988.0</v>
      </c>
      <c r="C6917" s="2">
        <v>23504.0</v>
      </c>
      <c r="D6917" s="2">
        <v>7497.0</v>
      </c>
      <c r="E6917" s="3">
        <f t="shared" si="1"/>
        <v>0.3484383714</v>
      </c>
      <c r="F6917" s="2">
        <v>2407.0</v>
      </c>
      <c r="G6917" s="3">
        <f t="shared" si="2"/>
        <v>0.1118702361</v>
      </c>
      <c r="H6917" s="2">
        <v>4517.0</v>
      </c>
      <c r="I6917" s="3">
        <f t="shared" si="3"/>
        <v>0.2099367912</v>
      </c>
      <c r="J6917" s="2">
        <v>3440.0</v>
      </c>
      <c r="K6917" s="3">
        <f t="shared" si="4"/>
        <v>0.1598810188</v>
      </c>
      <c r="L6917" s="2">
        <v>2712.0</v>
      </c>
      <c r="M6917" s="3">
        <f t="shared" si="5"/>
        <v>0.6003984946</v>
      </c>
      <c r="N6917" s="2">
        <v>2.51983E7</v>
      </c>
      <c r="O6917" s="4">
        <f t="shared" si="6"/>
        <v>5578.547709</v>
      </c>
      <c r="P6917" s="2">
        <v>5.0</v>
      </c>
      <c r="Q6917" s="3">
        <f t="shared" si="7"/>
        <v>0.002515090543</v>
      </c>
      <c r="R6917" s="2">
        <v>38.0</v>
      </c>
      <c r="S6917" s="5">
        <f t="shared" si="8"/>
        <v>0.01911468813</v>
      </c>
    </row>
    <row r="6918">
      <c r="A6918" s="2" t="s">
        <v>6915</v>
      </c>
      <c r="B6918" s="2">
        <v>1262.0</v>
      </c>
      <c r="C6918" s="2">
        <v>14877.0</v>
      </c>
      <c r="D6918" s="2">
        <v>5556.0</v>
      </c>
      <c r="E6918" s="3">
        <f t="shared" si="1"/>
        <v>0.4080793243</v>
      </c>
      <c r="F6918" s="2">
        <v>1523.0</v>
      </c>
      <c r="G6918" s="3">
        <f t="shared" si="2"/>
        <v>0.111861917</v>
      </c>
      <c r="H6918" s="2">
        <v>2906.0</v>
      </c>
      <c r="I6918" s="3">
        <f t="shared" si="3"/>
        <v>0.2134410577</v>
      </c>
      <c r="J6918" s="2">
        <v>1930.0</v>
      </c>
      <c r="K6918" s="3">
        <f t="shared" si="4"/>
        <v>0.1417554168</v>
      </c>
      <c r="L6918" s="2">
        <v>1762.0</v>
      </c>
      <c r="M6918" s="3">
        <f t="shared" si="5"/>
        <v>0.6063317275</v>
      </c>
      <c r="N6918" s="2">
        <v>1.49634E7</v>
      </c>
      <c r="O6918" s="4">
        <f t="shared" si="6"/>
        <v>5149.139711</v>
      </c>
      <c r="P6918" s="2">
        <v>4.0</v>
      </c>
      <c r="Q6918" s="3">
        <f t="shared" si="7"/>
        <v>0.003169572108</v>
      </c>
      <c r="R6918" s="2">
        <v>1262.0</v>
      </c>
      <c r="S6918" s="5">
        <f t="shared" si="8"/>
        <v>1</v>
      </c>
    </row>
    <row r="6919">
      <c r="A6919" s="2" t="s">
        <v>6916</v>
      </c>
      <c r="B6919" s="2">
        <v>991.0</v>
      </c>
      <c r="C6919" s="2">
        <v>11755.0</v>
      </c>
      <c r="D6919" s="2">
        <v>3827.0</v>
      </c>
      <c r="E6919" s="3">
        <f t="shared" si="1"/>
        <v>0.3555369751</v>
      </c>
      <c r="F6919" s="2">
        <v>1204.0</v>
      </c>
      <c r="G6919" s="3">
        <f t="shared" si="2"/>
        <v>0.1118543292</v>
      </c>
      <c r="H6919" s="2">
        <v>2259.0</v>
      </c>
      <c r="I6919" s="3">
        <f t="shared" si="3"/>
        <v>0.2098662207</v>
      </c>
      <c r="J6919" s="2">
        <v>1749.0</v>
      </c>
      <c r="K6919" s="3">
        <f t="shared" si="4"/>
        <v>0.1624860647</v>
      </c>
      <c r="L6919" s="2">
        <v>1356.0</v>
      </c>
      <c r="M6919" s="3">
        <f t="shared" si="5"/>
        <v>0.6002656042</v>
      </c>
      <c r="N6919" s="2">
        <v>1.20171E7</v>
      </c>
      <c r="O6919" s="4">
        <f t="shared" si="6"/>
        <v>5319.654714</v>
      </c>
      <c r="P6919" s="2">
        <v>0.0</v>
      </c>
      <c r="Q6919" s="3">
        <f t="shared" si="7"/>
        <v>0</v>
      </c>
      <c r="R6919" s="2">
        <v>991.0</v>
      </c>
      <c r="S6919" s="5">
        <f t="shared" si="8"/>
        <v>1</v>
      </c>
    </row>
    <row r="6920">
      <c r="A6920" s="2" t="s">
        <v>6917</v>
      </c>
      <c r="B6920" s="2">
        <v>448.0</v>
      </c>
      <c r="C6920" s="2">
        <v>5205.0</v>
      </c>
      <c r="D6920" s="2">
        <v>1178.0</v>
      </c>
      <c r="E6920" s="3">
        <f t="shared" si="1"/>
        <v>0.2476350641</v>
      </c>
      <c r="F6920" s="2">
        <v>532.0</v>
      </c>
      <c r="G6920" s="3">
        <f t="shared" si="2"/>
        <v>0.1118351902</v>
      </c>
      <c r="H6920" s="2">
        <v>918.0</v>
      </c>
      <c r="I6920" s="3">
        <f t="shared" si="3"/>
        <v>0.1929787681</v>
      </c>
      <c r="J6920" s="2">
        <v>801.0</v>
      </c>
      <c r="K6920" s="3">
        <f t="shared" si="4"/>
        <v>0.1683834349</v>
      </c>
      <c r="L6920" s="2">
        <v>543.0</v>
      </c>
      <c r="M6920" s="3">
        <f t="shared" si="5"/>
        <v>0.591503268</v>
      </c>
      <c r="N6920" s="2">
        <v>5354300.0</v>
      </c>
      <c r="O6920" s="4">
        <f t="shared" si="6"/>
        <v>5832.570806</v>
      </c>
      <c r="P6920" s="2">
        <v>2.0</v>
      </c>
      <c r="Q6920" s="3">
        <f t="shared" si="7"/>
        <v>0.004464285714</v>
      </c>
      <c r="R6920" s="2">
        <v>285.0</v>
      </c>
      <c r="S6920" s="5">
        <f t="shared" si="8"/>
        <v>0.6361607143</v>
      </c>
    </row>
    <row r="6921">
      <c r="A6921" s="2" t="s">
        <v>6918</v>
      </c>
      <c r="B6921" s="2">
        <v>3756.0</v>
      </c>
      <c r="C6921" s="2">
        <v>44509.0</v>
      </c>
      <c r="D6921" s="2">
        <v>15066.0</v>
      </c>
      <c r="E6921" s="3">
        <f t="shared" si="1"/>
        <v>0.3696905749</v>
      </c>
      <c r="F6921" s="2">
        <v>4557.0</v>
      </c>
      <c r="G6921" s="3">
        <f t="shared" si="2"/>
        <v>0.1118199887</v>
      </c>
      <c r="H6921" s="2">
        <v>7940.0</v>
      </c>
      <c r="I6921" s="3">
        <f t="shared" si="3"/>
        <v>0.1948322823</v>
      </c>
      <c r="J6921" s="2">
        <v>5697.0</v>
      </c>
      <c r="K6921" s="3">
        <f t="shared" si="4"/>
        <v>0.1397933894</v>
      </c>
      <c r="L6921" s="2">
        <v>4817.0</v>
      </c>
      <c r="M6921" s="3">
        <f t="shared" si="5"/>
        <v>0.606675063</v>
      </c>
      <c r="N6921" s="2">
        <v>4.58316E7</v>
      </c>
      <c r="O6921" s="4">
        <f t="shared" si="6"/>
        <v>5772.241814</v>
      </c>
      <c r="P6921" s="2">
        <v>13.0</v>
      </c>
      <c r="Q6921" s="3">
        <f t="shared" si="7"/>
        <v>0.00346112886</v>
      </c>
      <c r="R6921" s="2">
        <v>3756.0</v>
      </c>
      <c r="S6921" s="5">
        <f t="shared" si="8"/>
        <v>1</v>
      </c>
    </row>
    <row r="6922">
      <c r="A6922" s="2" t="s">
        <v>6919</v>
      </c>
      <c r="B6922" s="2">
        <v>3852.0</v>
      </c>
      <c r="C6922" s="2">
        <v>45279.0</v>
      </c>
      <c r="D6922" s="2">
        <v>14606.0</v>
      </c>
      <c r="E6922" s="3">
        <f t="shared" si="1"/>
        <v>0.3525719941</v>
      </c>
      <c r="F6922" s="2">
        <v>4632.0</v>
      </c>
      <c r="G6922" s="3">
        <f t="shared" si="2"/>
        <v>0.1118111377</v>
      </c>
      <c r="H6922" s="2">
        <v>8552.0</v>
      </c>
      <c r="I6922" s="3">
        <f t="shared" si="3"/>
        <v>0.2064354165</v>
      </c>
      <c r="J6922" s="2">
        <v>6187.0</v>
      </c>
      <c r="K6922" s="3">
        <f t="shared" si="4"/>
        <v>0.1493470442</v>
      </c>
      <c r="L6922" s="2">
        <v>5138.0</v>
      </c>
      <c r="M6922" s="3">
        <f t="shared" si="5"/>
        <v>0.6007951356</v>
      </c>
      <c r="N6922" s="2">
        <v>4.82272E7</v>
      </c>
      <c r="O6922" s="4">
        <f t="shared" si="6"/>
        <v>5639.289055</v>
      </c>
      <c r="P6922" s="2">
        <v>10.0</v>
      </c>
      <c r="Q6922" s="3">
        <f t="shared" si="7"/>
        <v>0.002596053998</v>
      </c>
      <c r="R6922" s="2">
        <v>3844.0</v>
      </c>
      <c r="S6922" s="5">
        <f t="shared" si="8"/>
        <v>0.9979231568</v>
      </c>
    </row>
    <row r="6923">
      <c r="A6923" s="2" t="s">
        <v>6920</v>
      </c>
      <c r="B6923" s="2">
        <v>57.0</v>
      </c>
      <c r="C6923" s="2">
        <v>692.0</v>
      </c>
      <c r="D6923" s="2">
        <v>226.0</v>
      </c>
      <c r="E6923" s="3">
        <f t="shared" si="1"/>
        <v>0.3559055118</v>
      </c>
      <c r="F6923" s="2">
        <v>71.0</v>
      </c>
      <c r="G6923" s="3">
        <f t="shared" si="2"/>
        <v>0.1118110236</v>
      </c>
      <c r="H6923" s="2">
        <v>144.0</v>
      </c>
      <c r="I6923" s="3">
        <f t="shared" si="3"/>
        <v>0.2267716535</v>
      </c>
      <c r="J6923" s="2">
        <v>101.0</v>
      </c>
      <c r="K6923" s="3">
        <f t="shared" si="4"/>
        <v>0.1590551181</v>
      </c>
      <c r="L6923" s="2">
        <v>84.0</v>
      </c>
      <c r="M6923" s="3">
        <f t="shared" si="5"/>
        <v>0.5833333333</v>
      </c>
      <c r="N6923" s="2">
        <v>791100.0</v>
      </c>
      <c r="O6923" s="4">
        <f t="shared" si="6"/>
        <v>5493.75</v>
      </c>
      <c r="P6923" s="2">
        <v>0.0</v>
      </c>
      <c r="Q6923" s="3">
        <f t="shared" si="7"/>
        <v>0</v>
      </c>
      <c r="R6923" s="2">
        <v>57.0</v>
      </c>
      <c r="S6923" s="5">
        <f t="shared" si="8"/>
        <v>1</v>
      </c>
    </row>
    <row r="6924">
      <c r="A6924" s="2" t="s">
        <v>6921</v>
      </c>
      <c r="B6924" s="2">
        <v>91.0</v>
      </c>
      <c r="C6924" s="2">
        <v>1066.0</v>
      </c>
      <c r="D6924" s="2">
        <v>310.0</v>
      </c>
      <c r="E6924" s="3">
        <f t="shared" si="1"/>
        <v>0.3179487179</v>
      </c>
      <c r="F6924" s="2">
        <v>109.0</v>
      </c>
      <c r="G6924" s="3">
        <f t="shared" si="2"/>
        <v>0.1117948718</v>
      </c>
      <c r="H6924" s="2">
        <v>178.0</v>
      </c>
      <c r="I6924" s="3">
        <f t="shared" si="3"/>
        <v>0.1825641026</v>
      </c>
      <c r="J6924" s="2">
        <v>199.0</v>
      </c>
      <c r="K6924" s="3">
        <f t="shared" si="4"/>
        <v>0.2041025641</v>
      </c>
      <c r="L6924" s="2">
        <v>99.0</v>
      </c>
      <c r="M6924" s="3">
        <f t="shared" si="5"/>
        <v>0.5561797753</v>
      </c>
      <c r="N6924" s="2">
        <v>1089900.0</v>
      </c>
      <c r="O6924" s="4">
        <f t="shared" si="6"/>
        <v>6123.033708</v>
      </c>
      <c r="P6924" s="2">
        <v>0.0</v>
      </c>
      <c r="Q6924" s="3">
        <f t="shared" si="7"/>
        <v>0</v>
      </c>
      <c r="R6924" s="2">
        <v>91.0</v>
      </c>
      <c r="S6924" s="5">
        <f t="shared" si="8"/>
        <v>1</v>
      </c>
    </row>
    <row r="6925">
      <c r="A6925" s="2" t="s">
        <v>6922</v>
      </c>
      <c r="B6925" s="2">
        <v>178.0</v>
      </c>
      <c r="C6925" s="2">
        <v>2128.0</v>
      </c>
      <c r="D6925" s="2">
        <v>716.0</v>
      </c>
      <c r="E6925" s="3">
        <f t="shared" si="1"/>
        <v>0.3671794872</v>
      </c>
      <c r="F6925" s="2">
        <v>218.0</v>
      </c>
      <c r="G6925" s="3">
        <f t="shared" si="2"/>
        <v>0.1117948718</v>
      </c>
      <c r="H6925" s="2">
        <v>372.0</v>
      </c>
      <c r="I6925" s="3">
        <f t="shared" si="3"/>
        <v>0.1907692308</v>
      </c>
      <c r="J6925" s="2">
        <v>365.0</v>
      </c>
      <c r="K6925" s="3">
        <f t="shared" si="4"/>
        <v>0.1871794872</v>
      </c>
      <c r="L6925" s="2">
        <v>215.0</v>
      </c>
      <c r="M6925" s="3">
        <f t="shared" si="5"/>
        <v>0.5779569892</v>
      </c>
      <c r="N6925" s="2">
        <v>1876700.0</v>
      </c>
      <c r="O6925" s="4">
        <f t="shared" si="6"/>
        <v>5044.892473</v>
      </c>
      <c r="P6925" s="2">
        <v>0.0</v>
      </c>
      <c r="Q6925" s="3">
        <f t="shared" si="7"/>
        <v>0</v>
      </c>
      <c r="R6925" s="2">
        <v>178.0</v>
      </c>
      <c r="S6925" s="5">
        <f t="shared" si="8"/>
        <v>1</v>
      </c>
    </row>
    <row r="6926">
      <c r="A6926" s="2" t="s">
        <v>6923</v>
      </c>
      <c r="B6926" s="2">
        <v>44.0</v>
      </c>
      <c r="C6926" s="2">
        <v>536.0</v>
      </c>
      <c r="D6926" s="2">
        <v>187.0</v>
      </c>
      <c r="E6926" s="3">
        <f t="shared" si="1"/>
        <v>0.3800813008</v>
      </c>
      <c r="F6926" s="2">
        <v>55.0</v>
      </c>
      <c r="G6926" s="3">
        <f t="shared" si="2"/>
        <v>0.1117886179</v>
      </c>
      <c r="H6926" s="2">
        <v>91.0</v>
      </c>
      <c r="I6926" s="3">
        <f t="shared" si="3"/>
        <v>0.1849593496</v>
      </c>
      <c r="J6926" s="2">
        <v>86.0</v>
      </c>
      <c r="K6926" s="3">
        <f t="shared" si="4"/>
        <v>0.174796748</v>
      </c>
      <c r="L6926" s="2">
        <v>49.0</v>
      </c>
      <c r="M6926" s="3">
        <f t="shared" si="5"/>
        <v>0.5384615385</v>
      </c>
      <c r="N6926" s="2">
        <v>477800.0</v>
      </c>
      <c r="O6926" s="4">
        <f t="shared" si="6"/>
        <v>5250.549451</v>
      </c>
      <c r="P6926" s="2">
        <v>0.0</v>
      </c>
      <c r="Q6926" s="3">
        <f t="shared" si="7"/>
        <v>0</v>
      </c>
      <c r="R6926" s="2">
        <v>44.0</v>
      </c>
      <c r="S6926" s="5">
        <f t="shared" si="8"/>
        <v>1</v>
      </c>
    </row>
    <row r="6927">
      <c r="A6927" s="2" t="s">
        <v>6924</v>
      </c>
      <c r="B6927" s="2">
        <v>444.0</v>
      </c>
      <c r="C6927" s="2">
        <v>5266.0</v>
      </c>
      <c r="D6927" s="2">
        <v>1526.0</v>
      </c>
      <c r="E6927" s="3">
        <f t="shared" si="1"/>
        <v>0.3164661966</v>
      </c>
      <c r="F6927" s="2">
        <v>539.0</v>
      </c>
      <c r="G6927" s="3">
        <f t="shared" si="2"/>
        <v>0.1117793447</v>
      </c>
      <c r="H6927" s="2">
        <v>1008.0</v>
      </c>
      <c r="I6927" s="3">
        <f t="shared" si="3"/>
        <v>0.2090418913</v>
      </c>
      <c r="J6927" s="2">
        <v>855.0</v>
      </c>
      <c r="K6927" s="3">
        <f t="shared" si="4"/>
        <v>0.1773123185</v>
      </c>
      <c r="L6927" s="2">
        <v>588.0</v>
      </c>
      <c r="M6927" s="3">
        <f t="shared" si="5"/>
        <v>0.5833333333</v>
      </c>
      <c r="N6927" s="2">
        <v>5678600.0</v>
      </c>
      <c r="O6927" s="4">
        <f t="shared" si="6"/>
        <v>5633.531746</v>
      </c>
      <c r="P6927" s="2">
        <v>0.0</v>
      </c>
      <c r="Q6927" s="3">
        <f t="shared" si="7"/>
        <v>0</v>
      </c>
      <c r="R6927" s="2">
        <v>444.0</v>
      </c>
      <c r="S6927" s="5">
        <f t="shared" si="8"/>
        <v>1</v>
      </c>
    </row>
    <row r="6928">
      <c r="A6928" s="2" t="s">
        <v>6925</v>
      </c>
      <c r="B6928" s="2">
        <v>96.0</v>
      </c>
      <c r="C6928" s="2">
        <v>1161.0</v>
      </c>
      <c r="D6928" s="2">
        <v>367.0</v>
      </c>
      <c r="E6928" s="3">
        <f t="shared" si="1"/>
        <v>0.344600939</v>
      </c>
      <c r="F6928" s="2">
        <v>119.0</v>
      </c>
      <c r="G6928" s="3">
        <f t="shared" si="2"/>
        <v>0.1117370892</v>
      </c>
      <c r="H6928" s="2">
        <v>201.0</v>
      </c>
      <c r="I6928" s="3">
        <f t="shared" si="3"/>
        <v>0.1887323944</v>
      </c>
      <c r="J6928" s="2">
        <v>151.0</v>
      </c>
      <c r="K6928" s="3">
        <f t="shared" si="4"/>
        <v>0.1417840376</v>
      </c>
      <c r="L6928" s="2">
        <v>118.0</v>
      </c>
      <c r="M6928" s="3">
        <f t="shared" si="5"/>
        <v>0.5870646766</v>
      </c>
      <c r="N6928" s="2">
        <v>1090100.0</v>
      </c>
      <c r="O6928" s="4">
        <f t="shared" si="6"/>
        <v>5423.383085</v>
      </c>
      <c r="P6928" s="2">
        <v>0.0</v>
      </c>
      <c r="Q6928" s="3">
        <f t="shared" si="7"/>
        <v>0</v>
      </c>
      <c r="R6928" s="2">
        <v>0.0</v>
      </c>
      <c r="S6928" s="5">
        <f t="shared" si="8"/>
        <v>0</v>
      </c>
    </row>
    <row r="6929">
      <c r="A6929" s="2" t="s">
        <v>6926</v>
      </c>
      <c r="B6929" s="2">
        <v>199.0</v>
      </c>
      <c r="C6929" s="2">
        <v>2374.0</v>
      </c>
      <c r="D6929" s="2">
        <v>746.0</v>
      </c>
      <c r="E6929" s="3">
        <f t="shared" si="1"/>
        <v>0.3429885057</v>
      </c>
      <c r="F6929" s="2">
        <v>243.0</v>
      </c>
      <c r="G6929" s="3">
        <f t="shared" si="2"/>
        <v>0.1117241379</v>
      </c>
      <c r="H6929" s="2">
        <v>437.0</v>
      </c>
      <c r="I6929" s="3">
        <f t="shared" si="3"/>
        <v>0.2009195402</v>
      </c>
      <c r="J6929" s="2">
        <v>371.0</v>
      </c>
      <c r="K6929" s="3">
        <f t="shared" si="4"/>
        <v>0.1705747126</v>
      </c>
      <c r="L6929" s="2">
        <v>253.0</v>
      </c>
      <c r="M6929" s="3">
        <f t="shared" si="5"/>
        <v>0.5789473684</v>
      </c>
      <c r="N6929" s="2">
        <v>2591300.0</v>
      </c>
      <c r="O6929" s="4">
        <f t="shared" si="6"/>
        <v>5929.748284</v>
      </c>
      <c r="P6929" s="2">
        <v>1.0</v>
      </c>
      <c r="Q6929" s="3">
        <f t="shared" si="7"/>
        <v>0.005025125628</v>
      </c>
      <c r="R6929" s="2">
        <v>157.0</v>
      </c>
      <c r="S6929" s="5">
        <f t="shared" si="8"/>
        <v>0.7889447236</v>
      </c>
    </row>
    <row r="6930">
      <c r="A6930" s="2" t="s">
        <v>6927</v>
      </c>
      <c r="B6930" s="2">
        <v>86.0</v>
      </c>
      <c r="C6930" s="2">
        <v>1008.0</v>
      </c>
      <c r="D6930" s="2">
        <v>335.0</v>
      </c>
      <c r="E6930" s="3">
        <f t="shared" si="1"/>
        <v>0.363340564</v>
      </c>
      <c r="F6930" s="2">
        <v>103.0</v>
      </c>
      <c r="G6930" s="3">
        <f t="shared" si="2"/>
        <v>0.1117136659</v>
      </c>
      <c r="H6930" s="2">
        <v>210.0</v>
      </c>
      <c r="I6930" s="3">
        <f t="shared" si="3"/>
        <v>0.2277657267</v>
      </c>
      <c r="J6930" s="2">
        <v>138.0</v>
      </c>
      <c r="K6930" s="3">
        <f t="shared" si="4"/>
        <v>0.1496746204</v>
      </c>
      <c r="L6930" s="2">
        <v>134.0</v>
      </c>
      <c r="M6930" s="3">
        <f t="shared" si="5"/>
        <v>0.6380952381</v>
      </c>
      <c r="N6930" s="2">
        <v>1142400.0</v>
      </c>
      <c r="O6930" s="4">
        <f t="shared" si="6"/>
        <v>5440</v>
      </c>
      <c r="P6930" s="2">
        <v>0.0</v>
      </c>
      <c r="Q6930" s="3">
        <f t="shared" si="7"/>
        <v>0</v>
      </c>
      <c r="R6930" s="2">
        <v>0.0</v>
      </c>
      <c r="S6930" s="5">
        <f t="shared" si="8"/>
        <v>0</v>
      </c>
    </row>
    <row r="6931">
      <c r="A6931" s="2" t="s">
        <v>6928</v>
      </c>
      <c r="B6931" s="2">
        <v>1604.0</v>
      </c>
      <c r="C6931" s="2">
        <v>18899.0</v>
      </c>
      <c r="D6931" s="2">
        <v>6821.0</v>
      </c>
      <c r="E6931" s="3">
        <f t="shared" si="1"/>
        <v>0.3943914426</v>
      </c>
      <c r="F6931" s="2">
        <v>1932.0</v>
      </c>
      <c r="G6931" s="3">
        <f t="shared" si="2"/>
        <v>0.1117085863</v>
      </c>
      <c r="H6931" s="2">
        <v>3386.0</v>
      </c>
      <c r="I6931" s="3">
        <f t="shared" si="3"/>
        <v>0.1957791269</v>
      </c>
      <c r="J6931" s="2">
        <v>2657.0</v>
      </c>
      <c r="K6931" s="3">
        <f t="shared" si="4"/>
        <v>0.1536282162</v>
      </c>
      <c r="L6931" s="2">
        <v>2070.0</v>
      </c>
      <c r="M6931" s="3">
        <f t="shared" si="5"/>
        <v>0.6113408151</v>
      </c>
      <c r="N6931" s="2">
        <v>1.90637E7</v>
      </c>
      <c r="O6931" s="4">
        <f t="shared" si="6"/>
        <v>5630.153574</v>
      </c>
      <c r="P6931" s="2">
        <v>0.0</v>
      </c>
      <c r="Q6931" s="3">
        <f t="shared" si="7"/>
        <v>0</v>
      </c>
      <c r="R6931" s="2">
        <v>1604.0</v>
      </c>
      <c r="S6931" s="5">
        <f t="shared" si="8"/>
        <v>1</v>
      </c>
    </row>
    <row r="6932">
      <c r="A6932" s="2" t="s">
        <v>6929</v>
      </c>
      <c r="B6932" s="2">
        <v>1070.0</v>
      </c>
      <c r="C6932" s="2">
        <v>12484.0</v>
      </c>
      <c r="D6932" s="2">
        <v>2863.0</v>
      </c>
      <c r="E6932" s="3">
        <f t="shared" si="1"/>
        <v>0.2508323112</v>
      </c>
      <c r="F6932" s="2">
        <v>1275.0</v>
      </c>
      <c r="G6932" s="3">
        <f t="shared" si="2"/>
        <v>0.1117049238</v>
      </c>
      <c r="H6932" s="2">
        <v>2219.0</v>
      </c>
      <c r="I6932" s="3">
        <f t="shared" si="3"/>
        <v>0.1944103732</v>
      </c>
      <c r="J6932" s="2">
        <v>2006.0</v>
      </c>
      <c r="K6932" s="3">
        <f t="shared" si="4"/>
        <v>0.1757490801</v>
      </c>
      <c r="L6932" s="2">
        <v>1294.0</v>
      </c>
      <c r="M6932" s="3">
        <f t="shared" si="5"/>
        <v>0.5831455611</v>
      </c>
      <c r="N6932" s="2">
        <v>1.37305E7</v>
      </c>
      <c r="O6932" s="4">
        <f t="shared" si="6"/>
        <v>6187.697161</v>
      </c>
      <c r="P6932" s="2">
        <v>2.0</v>
      </c>
      <c r="Q6932" s="3">
        <f t="shared" si="7"/>
        <v>0.001869158879</v>
      </c>
      <c r="R6932" s="2">
        <v>1070.0</v>
      </c>
      <c r="S6932" s="5">
        <f t="shared" si="8"/>
        <v>1</v>
      </c>
    </row>
    <row r="6933">
      <c r="A6933" s="2" t="s">
        <v>6930</v>
      </c>
      <c r="B6933" s="2">
        <v>157.0</v>
      </c>
      <c r="C6933" s="2">
        <v>1849.0</v>
      </c>
      <c r="D6933" s="2">
        <v>533.0</v>
      </c>
      <c r="E6933" s="3">
        <f t="shared" si="1"/>
        <v>0.3150118203</v>
      </c>
      <c r="F6933" s="2">
        <v>189.0</v>
      </c>
      <c r="G6933" s="3">
        <f t="shared" si="2"/>
        <v>0.1117021277</v>
      </c>
      <c r="H6933" s="2">
        <v>318.0</v>
      </c>
      <c r="I6933" s="3">
        <f t="shared" si="3"/>
        <v>0.1879432624</v>
      </c>
      <c r="J6933" s="2">
        <v>240.0</v>
      </c>
      <c r="K6933" s="3">
        <f t="shared" si="4"/>
        <v>0.1418439716</v>
      </c>
      <c r="L6933" s="2">
        <v>196.0</v>
      </c>
      <c r="M6933" s="3">
        <f t="shared" si="5"/>
        <v>0.6163522013</v>
      </c>
      <c r="N6933" s="2">
        <v>1640700.0</v>
      </c>
      <c r="O6933" s="4">
        <f t="shared" si="6"/>
        <v>5159.433962</v>
      </c>
      <c r="P6933" s="2">
        <v>0.0</v>
      </c>
      <c r="Q6933" s="3">
        <f t="shared" si="7"/>
        <v>0</v>
      </c>
      <c r="R6933" s="2">
        <v>157.0</v>
      </c>
      <c r="S6933" s="5">
        <f t="shared" si="8"/>
        <v>1</v>
      </c>
    </row>
    <row r="6934">
      <c r="A6934" s="2" t="s">
        <v>6931</v>
      </c>
      <c r="B6934" s="2">
        <v>544.0</v>
      </c>
      <c r="C6934" s="2">
        <v>6417.0</v>
      </c>
      <c r="D6934" s="2">
        <v>2024.0</v>
      </c>
      <c r="E6934" s="3">
        <f t="shared" si="1"/>
        <v>0.3446279585</v>
      </c>
      <c r="F6934" s="2">
        <v>656.0</v>
      </c>
      <c r="G6934" s="3">
        <f t="shared" si="2"/>
        <v>0.1116975992</v>
      </c>
      <c r="H6934" s="2">
        <v>1242.0</v>
      </c>
      <c r="I6934" s="3">
        <f t="shared" si="3"/>
        <v>0.2114762472</v>
      </c>
      <c r="J6934" s="2">
        <v>815.0</v>
      </c>
      <c r="K6934" s="3">
        <f t="shared" si="4"/>
        <v>0.1387706453</v>
      </c>
      <c r="L6934" s="2">
        <v>767.0</v>
      </c>
      <c r="M6934" s="3">
        <f t="shared" si="5"/>
        <v>0.6175523349</v>
      </c>
      <c r="N6934" s="2">
        <v>6885200.0</v>
      </c>
      <c r="O6934" s="4">
        <f t="shared" si="6"/>
        <v>5543.639291</v>
      </c>
      <c r="P6934" s="2">
        <v>2.0</v>
      </c>
      <c r="Q6934" s="3">
        <f t="shared" si="7"/>
        <v>0.003676470588</v>
      </c>
      <c r="R6934" s="2">
        <v>0.0</v>
      </c>
      <c r="S6934" s="5">
        <f t="shared" si="8"/>
        <v>0</v>
      </c>
    </row>
    <row r="6935">
      <c r="A6935" s="2" t="s">
        <v>6932</v>
      </c>
      <c r="B6935" s="2">
        <v>830.0</v>
      </c>
      <c r="C6935" s="2">
        <v>9747.0</v>
      </c>
      <c r="D6935" s="2">
        <v>2870.0</v>
      </c>
      <c r="E6935" s="3">
        <f t="shared" si="1"/>
        <v>0.3218571268</v>
      </c>
      <c r="F6935" s="2">
        <v>996.0</v>
      </c>
      <c r="G6935" s="3">
        <f t="shared" si="2"/>
        <v>0.111696759</v>
      </c>
      <c r="H6935" s="2">
        <v>1795.0</v>
      </c>
      <c r="I6935" s="3">
        <f t="shared" si="3"/>
        <v>0.2013008859</v>
      </c>
      <c r="J6935" s="2">
        <v>1551.0</v>
      </c>
      <c r="K6935" s="3">
        <f t="shared" si="4"/>
        <v>0.1739374229</v>
      </c>
      <c r="L6935" s="2">
        <v>1078.0</v>
      </c>
      <c r="M6935" s="3">
        <f t="shared" si="5"/>
        <v>0.6005571031</v>
      </c>
      <c r="N6935" s="2">
        <v>9792900.0</v>
      </c>
      <c r="O6935" s="4">
        <f t="shared" si="6"/>
        <v>5455.654596</v>
      </c>
      <c r="P6935" s="2">
        <v>1.0</v>
      </c>
      <c r="Q6935" s="3">
        <f t="shared" si="7"/>
        <v>0.001204819277</v>
      </c>
      <c r="R6935" s="2">
        <v>830.0</v>
      </c>
      <c r="S6935" s="5">
        <f t="shared" si="8"/>
        <v>1</v>
      </c>
    </row>
    <row r="6936">
      <c r="A6936" s="2" t="s">
        <v>6933</v>
      </c>
      <c r="B6936" s="2">
        <v>73.0</v>
      </c>
      <c r="C6936" s="2">
        <v>843.0</v>
      </c>
      <c r="D6936" s="2">
        <v>222.0</v>
      </c>
      <c r="E6936" s="3">
        <f t="shared" si="1"/>
        <v>0.2883116883</v>
      </c>
      <c r="F6936" s="2">
        <v>86.0</v>
      </c>
      <c r="G6936" s="3">
        <f t="shared" si="2"/>
        <v>0.1116883117</v>
      </c>
      <c r="H6936" s="2">
        <v>147.0</v>
      </c>
      <c r="I6936" s="3">
        <f t="shared" si="3"/>
        <v>0.1909090909</v>
      </c>
      <c r="J6936" s="2">
        <v>149.0</v>
      </c>
      <c r="K6936" s="3">
        <f t="shared" si="4"/>
        <v>0.1935064935</v>
      </c>
      <c r="L6936" s="2">
        <v>88.0</v>
      </c>
      <c r="M6936" s="3">
        <f t="shared" si="5"/>
        <v>0.5986394558</v>
      </c>
      <c r="N6936" s="2">
        <v>865700.0</v>
      </c>
      <c r="O6936" s="4">
        <f t="shared" si="6"/>
        <v>5889.115646</v>
      </c>
      <c r="P6936" s="2">
        <v>0.0</v>
      </c>
      <c r="Q6936" s="3">
        <f t="shared" si="7"/>
        <v>0</v>
      </c>
      <c r="R6936" s="2">
        <v>73.0</v>
      </c>
      <c r="S6936" s="5">
        <f t="shared" si="8"/>
        <v>1</v>
      </c>
    </row>
    <row r="6937">
      <c r="A6937" s="2" t="s">
        <v>6934</v>
      </c>
      <c r="B6937" s="2">
        <v>606.0</v>
      </c>
      <c r="C6937" s="2">
        <v>7241.0</v>
      </c>
      <c r="D6937" s="2">
        <v>2115.0</v>
      </c>
      <c r="E6937" s="3">
        <f t="shared" si="1"/>
        <v>0.3187641296</v>
      </c>
      <c r="F6937" s="2">
        <v>741.0</v>
      </c>
      <c r="G6937" s="3">
        <f t="shared" si="2"/>
        <v>0.1116804823</v>
      </c>
      <c r="H6937" s="2">
        <v>1275.0</v>
      </c>
      <c r="I6937" s="3">
        <f t="shared" si="3"/>
        <v>0.1921627732</v>
      </c>
      <c r="J6937" s="2">
        <v>1087.0</v>
      </c>
      <c r="K6937" s="3">
        <f t="shared" si="4"/>
        <v>0.1638281839</v>
      </c>
      <c r="L6937" s="2">
        <v>747.0</v>
      </c>
      <c r="M6937" s="3">
        <f t="shared" si="5"/>
        <v>0.5858823529</v>
      </c>
      <c r="N6937" s="2">
        <v>7669300.0</v>
      </c>
      <c r="O6937" s="4">
        <f t="shared" si="6"/>
        <v>6015.137255</v>
      </c>
      <c r="P6937" s="2">
        <v>1.0</v>
      </c>
      <c r="Q6937" s="3">
        <f t="shared" si="7"/>
        <v>0.001650165017</v>
      </c>
      <c r="R6937" s="2">
        <v>606.0</v>
      </c>
      <c r="S6937" s="5">
        <f t="shared" si="8"/>
        <v>1</v>
      </c>
    </row>
    <row r="6938">
      <c r="A6938" s="2" t="s">
        <v>6935</v>
      </c>
      <c r="B6938" s="2">
        <v>38.0</v>
      </c>
      <c r="C6938" s="2">
        <v>441.0</v>
      </c>
      <c r="D6938" s="2">
        <v>135.0</v>
      </c>
      <c r="E6938" s="3">
        <f t="shared" si="1"/>
        <v>0.3349875931</v>
      </c>
      <c r="F6938" s="2">
        <v>45.0</v>
      </c>
      <c r="G6938" s="3">
        <f t="shared" si="2"/>
        <v>0.111662531</v>
      </c>
      <c r="H6938" s="2">
        <v>74.0</v>
      </c>
      <c r="I6938" s="3">
        <f t="shared" si="3"/>
        <v>0.1836228288</v>
      </c>
      <c r="J6938" s="2">
        <v>83.0</v>
      </c>
      <c r="K6938" s="3">
        <f t="shared" si="4"/>
        <v>0.205955335</v>
      </c>
      <c r="L6938" s="2">
        <v>43.0</v>
      </c>
      <c r="M6938" s="3">
        <f t="shared" si="5"/>
        <v>0.5810810811</v>
      </c>
      <c r="N6938" s="2">
        <v>434900.0</v>
      </c>
      <c r="O6938" s="4">
        <f t="shared" si="6"/>
        <v>5877.027027</v>
      </c>
      <c r="P6938" s="2">
        <v>1.0</v>
      </c>
      <c r="Q6938" s="3">
        <f t="shared" si="7"/>
        <v>0.02631578947</v>
      </c>
      <c r="R6938" s="2">
        <v>0.0</v>
      </c>
      <c r="S6938" s="5">
        <f t="shared" si="8"/>
        <v>0</v>
      </c>
    </row>
    <row r="6939">
      <c r="A6939" s="2" t="s">
        <v>6936</v>
      </c>
      <c r="B6939" s="2">
        <v>1160.0</v>
      </c>
      <c r="C6939" s="2">
        <v>13584.0</v>
      </c>
      <c r="D6939" s="2">
        <v>4110.0</v>
      </c>
      <c r="E6939" s="3">
        <f t="shared" si="1"/>
        <v>0.3308113329</v>
      </c>
      <c r="F6939" s="2">
        <v>1387.0</v>
      </c>
      <c r="G6939" s="3">
        <f t="shared" si="2"/>
        <v>0.1116387637</v>
      </c>
      <c r="H6939" s="2">
        <v>2641.0</v>
      </c>
      <c r="I6939" s="3">
        <f t="shared" si="3"/>
        <v>0.2125724404</v>
      </c>
      <c r="J6939" s="2">
        <v>2506.0</v>
      </c>
      <c r="K6939" s="3">
        <f t="shared" si="4"/>
        <v>0.2017063748</v>
      </c>
      <c r="L6939" s="2">
        <v>1529.0</v>
      </c>
      <c r="M6939" s="3">
        <f t="shared" si="5"/>
        <v>0.5789473684</v>
      </c>
      <c r="N6939" s="2">
        <v>1.4938E7</v>
      </c>
      <c r="O6939" s="4">
        <f t="shared" si="6"/>
        <v>5656.190837</v>
      </c>
      <c r="P6939" s="2">
        <v>1.0</v>
      </c>
      <c r="Q6939" s="3">
        <f t="shared" si="7"/>
        <v>0.0008620689655</v>
      </c>
      <c r="R6939" s="2">
        <v>1159.0</v>
      </c>
      <c r="S6939" s="5">
        <f t="shared" si="8"/>
        <v>0.999137931</v>
      </c>
    </row>
    <row r="6940">
      <c r="A6940" s="2" t="s">
        <v>6937</v>
      </c>
      <c r="B6940" s="2">
        <v>1588.0</v>
      </c>
      <c r="C6940" s="2">
        <v>18841.0</v>
      </c>
      <c r="D6940" s="2">
        <v>6492.0</v>
      </c>
      <c r="E6940" s="3">
        <f t="shared" si="1"/>
        <v>0.3762823857</v>
      </c>
      <c r="F6940" s="2">
        <v>1926.0</v>
      </c>
      <c r="G6940" s="3">
        <f t="shared" si="2"/>
        <v>0.1116327595</v>
      </c>
      <c r="H6940" s="2">
        <v>3628.0</v>
      </c>
      <c r="I6940" s="3">
        <f t="shared" si="3"/>
        <v>0.2102822698</v>
      </c>
      <c r="J6940" s="2">
        <v>2893.0</v>
      </c>
      <c r="K6940" s="3">
        <f t="shared" si="4"/>
        <v>0.167680983</v>
      </c>
      <c r="L6940" s="2">
        <v>2173.0</v>
      </c>
      <c r="M6940" s="3">
        <f t="shared" si="5"/>
        <v>0.598952591</v>
      </c>
      <c r="N6940" s="2">
        <v>2.06521E7</v>
      </c>
      <c r="O6940" s="4">
        <f t="shared" si="6"/>
        <v>5692.420066</v>
      </c>
      <c r="P6940" s="2">
        <v>6.0</v>
      </c>
      <c r="Q6940" s="3">
        <f t="shared" si="7"/>
        <v>0.003778337531</v>
      </c>
      <c r="R6940" s="2">
        <v>1588.0</v>
      </c>
      <c r="S6940" s="5">
        <f t="shared" si="8"/>
        <v>1</v>
      </c>
    </row>
    <row r="6941">
      <c r="A6941" s="2" t="s">
        <v>6938</v>
      </c>
      <c r="B6941" s="2">
        <v>523.0</v>
      </c>
      <c r="C6941" s="2">
        <v>6077.0</v>
      </c>
      <c r="D6941" s="2">
        <v>1836.0</v>
      </c>
      <c r="E6941" s="3">
        <f t="shared" si="1"/>
        <v>0.3305725603</v>
      </c>
      <c r="F6941" s="2">
        <v>620.0</v>
      </c>
      <c r="G6941" s="3">
        <f t="shared" si="2"/>
        <v>0.1116312568</v>
      </c>
      <c r="H6941" s="2">
        <v>1199.0</v>
      </c>
      <c r="I6941" s="3">
        <f t="shared" si="3"/>
        <v>0.2158804465</v>
      </c>
      <c r="J6941" s="2">
        <v>1044.0</v>
      </c>
      <c r="K6941" s="3">
        <f t="shared" si="4"/>
        <v>0.1879726323</v>
      </c>
      <c r="L6941" s="2">
        <v>703.0</v>
      </c>
      <c r="M6941" s="3">
        <f t="shared" si="5"/>
        <v>0.5863219349</v>
      </c>
      <c r="N6941" s="2">
        <v>7018900.0</v>
      </c>
      <c r="O6941" s="4">
        <f t="shared" si="6"/>
        <v>5853.961635</v>
      </c>
      <c r="P6941" s="2">
        <v>0.0</v>
      </c>
      <c r="Q6941" s="3">
        <f t="shared" si="7"/>
        <v>0</v>
      </c>
      <c r="R6941" s="2">
        <v>523.0</v>
      </c>
      <c r="S6941" s="5">
        <f t="shared" si="8"/>
        <v>1</v>
      </c>
    </row>
    <row r="6942">
      <c r="A6942" s="2" t="s">
        <v>6939</v>
      </c>
      <c r="B6942" s="2">
        <v>354.0</v>
      </c>
      <c r="C6942" s="2">
        <v>4099.0</v>
      </c>
      <c r="D6942" s="2">
        <v>980.0</v>
      </c>
      <c r="E6942" s="3">
        <f t="shared" si="1"/>
        <v>0.261682243</v>
      </c>
      <c r="F6942" s="2">
        <v>418.0</v>
      </c>
      <c r="G6942" s="3">
        <f t="shared" si="2"/>
        <v>0.1116154873</v>
      </c>
      <c r="H6942" s="2">
        <v>701.0</v>
      </c>
      <c r="I6942" s="3">
        <f t="shared" si="3"/>
        <v>0.1871829105</v>
      </c>
      <c r="J6942" s="2">
        <v>724.0</v>
      </c>
      <c r="K6942" s="3">
        <f t="shared" si="4"/>
        <v>0.1933244326</v>
      </c>
      <c r="L6942" s="2">
        <v>394.0</v>
      </c>
      <c r="M6942" s="3">
        <f t="shared" si="5"/>
        <v>0.5620542083</v>
      </c>
      <c r="N6942" s="2">
        <v>4442900.0</v>
      </c>
      <c r="O6942" s="4">
        <f t="shared" si="6"/>
        <v>6337.945792</v>
      </c>
      <c r="P6942" s="2">
        <v>2.0</v>
      </c>
      <c r="Q6942" s="3">
        <f t="shared" si="7"/>
        <v>0.005649717514</v>
      </c>
      <c r="R6942" s="2">
        <v>354.0</v>
      </c>
      <c r="S6942" s="5">
        <f t="shared" si="8"/>
        <v>1</v>
      </c>
    </row>
    <row r="6943">
      <c r="A6943" s="2" t="s">
        <v>6940</v>
      </c>
      <c r="B6943" s="2">
        <v>436.0</v>
      </c>
      <c r="C6943" s="2">
        <v>5149.0</v>
      </c>
      <c r="D6943" s="2">
        <v>1384.0</v>
      </c>
      <c r="E6943" s="3">
        <f t="shared" si="1"/>
        <v>0.2936558455</v>
      </c>
      <c r="F6943" s="2">
        <v>526.0</v>
      </c>
      <c r="G6943" s="3">
        <f t="shared" si="2"/>
        <v>0.1116061956</v>
      </c>
      <c r="H6943" s="2">
        <v>1001.0</v>
      </c>
      <c r="I6943" s="3">
        <f t="shared" si="3"/>
        <v>0.2123912582</v>
      </c>
      <c r="J6943" s="2">
        <v>681.0</v>
      </c>
      <c r="K6943" s="3">
        <f t="shared" si="4"/>
        <v>0.1444939529</v>
      </c>
      <c r="L6943" s="2">
        <v>590.0</v>
      </c>
      <c r="M6943" s="3">
        <f t="shared" si="5"/>
        <v>0.5894105894</v>
      </c>
      <c r="N6943" s="2">
        <v>5512300.0</v>
      </c>
      <c r="O6943" s="4">
        <f t="shared" si="6"/>
        <v>5506.793207</v>
      </c>
      <c r="P6943" s="2">
        <v>1.0</v>
      </c>
      <c r="Q6943" s="3">
        <f t="shared" si="7"/>
        <v>0.002293577982</v>
      </c>
      <c r="R6943" s="2">
        <v>436.0</v>
      </c>
      <c r="S6943" s="5">
        <f t="shared" si="8"/>
        <v>1</v>
      </c>
    </row>
    <row r="6944">
      <c r="A6944" s="2" t="s">
        <v>6941</v>
      </c>
      <c r="B6944" s="2">
        <v>4530.0</v>
      </c>
      <c r="C6944" s="2">
        <v>53189.0</v>
      </c>
      <c r="D6944" s="2">
        <v>16507.0</v>
      </c>
      <c r="E6944" s="3">
        <f t="shared" si="1"/>
        <v>0.3392383732</v>
      </c>
      <c r="F6944" s="2">
        <v>5430.0</v>
      </c>
      <c r="G6944" s="3">
        <f t="shared" si="2"/>
        <v>0.1115929222</v>
      </c>
      <c r="H6944" s="2">
        <v>10159.0</v>
      </c>
      <c r="I6944" s="3">
        <f t="shared" si="3"/>
        <v>0.2087794653</v>
      </c>
      <c r="J6944" s="2">
        <v>8253.0</v>
      </c>
      <c r="K6944" s="3">
        <f t="shared" si="4"/>
        <v>0.169608911</v>
      </c>
      <c r="L6944" s="2">
        <v>6143.0</v>
      </c>
      <c r="M6944" s="3">
        <f t="shared" si="5"/>
        <v>0.6046855005</v>
      </c>
      <c r="N6944" s="2">
        <v>5.75215E7</v>
      </c>
      <c r="O6944" s="4">
        <f t="shared" si="6"/>
        <v>5662.122256</v>
      </c>
      <c r="P6944" s="2">
        <v>7.0</v>
      </c>
      <c r="Q6944" s="3">
        <f t="shared" si="7"/>
        <v>0.001545253863</v>
      </c>
      <c r="R6944" s="2">
        <v>4530.0</v>
      </c>
      <c r="S6944" s="5">
        <f t="shared" si="8"/>
        <v>1</v>
      </c>
    </row>
    <row r="6945">
      <c r="A6945" s="2" t="s">
        <v>6942</v>
      </c>
      <c r="B6945" s="2">
        <v>358.0</v>
      </c>
      <c r="C6945" s="2">
        <v>4283.0</v>
      </c>
      <c r="D6945" s="2">
        <v>1417.0</v>
      </c>
      <c r="E6945" s="3">
        <f t="shared" si="1"/>
        <v>0.3610191083</v>
      </c>
      <c r="F6945" s="2">
        <v>438.0</v>
      </c>
      <c r="G6945" s="3">
        <f t="shared" si="2"/>
        <v>0.1115923567</v>
      </c>
      <c r="H6945" s="2">
        <v>825.0</v>
      </c>
      <c r="I6945" s="3">
        <f t="shared" si="3"/>
        <v>0.2101910828</v>
      </c>
      <c r="J6945" s="2">
        <v>661.0</v>
      </c>
      <c r="K6945" s="3">
        <f t="shared" si="4"/>
        <v>0.1684076433</v>
      </c>
      <c r="L6945" s="2">
        <v>534.0</v>
      </c>
      <c r="M6945" s="3">
        <f t="shared" si="5"/>
        <v>0.6472727273</v>
      </c>
      <c r="N6945" s="2">
        <v>4562700.0</v>
      </c>
      <c r="O6945" s="4">
        <f t="shared" si="6"/>
        <v>5530.545455</v>
      </c>
      <c r="P6945" s="2">
        <v>0.0</v>
      </c>
      <c r="Q6945" s="3">
        <f t="shared" si="7"/>
        <v>0</v>
      </c>
      <c r="R6945" s="2">
        <v>177.0</v>
      </c>
      <c r="S6945" s="5">
        <f t="shared" si="8"/>
        <v>0.4944134078</v>
      </c>
    </row>
    <row r="6946">
      <c r="A6946" s="2" t="s">
        <v>6943</v>
      </c>
      <c r="B6946" s="2">
        <v>1216.0</v>
      </c>
      <c r="C6946" s="2">
        <v>14088.0</v>
      </c>
      <c r="D6946" s="2">
        <v>4269.0</v>
      </c>
      <c r="E6946" s="3">
        <f t="shared" si="1"/>
        <v>0.3316500932</v>
      </c>
      <c r="F6946" s="2">
        <v>1436.0</v>
      </c>
      <c r="G6946" s="3">
        <f t="shared" si="2"/>
        <v>0.1115599751</v>
      </c>
      <c r="H6946" s="2">
        <v>2711.0</v>
      </c>
      <c r="I6946" s="3">
        <f t="shared" si="3"/>
        <v>0.2106121815</v>
      </c>
      <c r="J6946" s="2">
        <v>2110.0</v>
      </c>
      <c r="K6946" s="3">
        <f t="shared" si="4"/>
        <v>0.1639216905</v>
      </c>
      <c r="L6946" s="2">
        <v>1633.0</v>
      </c>
      <c r="M6946" s="3">
        <f t="shared" si="5"/>
        <v>0.6023607525</v>
      </c>
      <c r="N6946" s="2">
        <v>1.48215E7</v>
      </c>
      <c r="O6946" s="4">
        <f t="shared" si="6"/>
        <v>5467.170786</v>
      </c>
      <c r="P6946" s="2">
        <v>1.0</v>
      </c>
      <c r="Q6946" s="3">
        <f t="shared" si="7"/>
        <v>0.0008223684211</v>
      </c>
      <c r="R6946" s="2">
        <v>1216.0</v>
      </c>
      <c r="S6946" s="5">
        <f t="shared" si="8"/>
        <v>1</v>
      </c>
    </row>
    <row r="6947">
      <c r="A6947" s="2" t="s">
        <v>6944</v>
      </c>
      <c r="B6947" s="2">
        <v>23.0</v>
      </c>
      <c r="C6947" s="2">
        <v>274.0</v>
      </c>
      <c r="D6947" s="2">
        <v>88.0</v>
      </c>
      <c r="E6947" s="3">
        <f t="shared" si="1"/>
        <v>0.3505976096</v>
      </c>
      <c r="F6947" s="2">
        <v>28.0</v>
      </c>
      <c r="G6947" s="3">
        <f t="shared" si="2"/>
        <v>0.1115537849</v>
      </c>
      <c r="H6947" s="2">
        <v>46.0</v>
      </c>
      <c r="I6947" s="3">
        <f t="shared" si="3"/>
        <v>0.1832669323</v>
      </c>
      <c r="J6947" s="2">
        <v>32.0</v>
      </c>
      <c r="K6947" s="3">
        <f t="shared" si="4"/>
        <v>0.1274900398</v>
      </c>
      <c r="L6947" s="2">
        <v>24.0</v>
      </c>
      <c r="M6947" s="3">
        <f t="shared" si="5"/>
        <v>0.5217391304</v>
      </c>
      <c r="N6947" s="2">
        <v>286000.0</v>
      </c>
      <c r="O6947" s="4">
        <f t="shared" si="6"/>
        <v>6217.391304</v>
      </c>
      <c r="P6947" s="2">
        <v>0.0</v>
      </c>
      <c r="Q6947" s="3">
        <f t="shared" si="7"/>
        <v>0</v>
      </c>
      <c r="R6947" s="2">
        <v>23.0</v>
      </c>
      <c r="S6947" s="5">
        <f t="shared" si="8"/>
        <v>1</v>
      </c>
    </row>
    <row r="6948">
      <c r="A6948" s="2" t="s">
        <v>6945</v>
      </c>
      <c r="B6948" s="2">
        <v>333.0</v>
      </c>
      <c r="C6948" s="2">
        <v>3856.0</v>
      </c>
      <c r="D6948" s="2">
        <v>1268.0</v>
      </c>
      <c r="E6948" s="3">
        <f t="shared" si="1"/>
        <v>0.3599205223</v>
      </c>
      <c r="F6948" s="2">
        <v>393.0</v>
      </c>
      <c r="G6948" s="3">
        <f t="shared" si="2"/>
        <v>0.111552654</v>
      </c>
      <c r="H6948" s="2">
        <v>717.0</v>
      </c>
      <c r="I6948" s="3">
        <f t="shared" si="3"/>
        <v>0.2035197275</v>
      </c>
      <c r="J6948" s="2">
        <v>584.0</v>
      </c>
      <c r="K6948" s="3">
        <f t="shared" si="4"/>
        <v>0.1657678115</v>
      </c>
      <c r="L6948" s="2">
        <v>429.0</v>
      </c>
      <c r="M6948" s="3">
        <f t="shared" si="5"/>
        <v>0.5983263598</v>
      </c>
      <c r="N6948" s="2">
        <v>4114200.0</v>
      </c>
      <c r="O6948" s="4">
        <f t="shared" si="6"/>
        <v>5738.075314</v>
      </c>
      <c r="P6948" s="2">
        <v>0.0</v>
      </c>
      <c r="Q6948" s="3">
        <f t="shared" si="7"/>
        <v>0</v>
      </c>
      <c r="R6948" s="2">
        <v>329.0</v>
      </c>
      <c r="S6948" s="5">
        <f t="shared" si="8"/>
        <v>0.987987988</v>
      </c>
    </row>
    <row r="6949">
      <c r="A6949" s="2" t="s">
        <v>6946</v>
      </c>
      <c r="B6949" s="2">
        <v>471.0</v>
      </c>
      <c r="C6949" s="2">
        <v>5509.0</v>
      </c>
      <c r="D6949" s="2">
        <v>1939.0</v>
      </c>
      <c r="E6949" s="3">
        <f t="shared" si="1"/>
        <v>0.3848749504</v>
      </c>
      <c r="F6949" s="2">
        <v>562.0</v>
      </c>
      <c r="G6949" s="3">
        <f t="shared" si="2"/>
        <v>0.1115522033</v>
      </c>
      <c r="H6949" s="2">
        <v>1133.0</v>
      </c>
      <c r="I6949" s="3">
        <f t="shared" si="3"/>
        <v>0.2248908297</v>
      </c>
      <c r="J6949" s="2">
        <v>756.0</v>
      </c>
      <c r="K6949" s="3">
        <f t="shared" si="4"/>
        <v>0.1500595474</v>
      </c>
      <c r="L6949" s="2">
        <v>689.0</v>
      </c>
      <c r="M6949" s="3">
        <f t="shared" si="5"/>
        <v>0.6081200353</v>
      </c>
      <c r="N6949" s="2">
        <v>6062800.0</v>
      </c>
      <c r="O6949" s="4">
        <f t="shared" si="6"/>
        <v>5351.103266</v>
      </c>
      <c r="P6949" s="2">
        <v>1.0</v>
      </c>
      <c r="Q6949" s="3">
        <f t="shared" si="7"/>
        <v>0.002123142251</v>
      </c>
      <c r="R6949" s="2">
        <v>471.0</v>
      </c>
      <c r="S6949" s="5">
        <f t="shared" si="8"/>
        <v>1</v>
      </c>
    </row>
    <row r="6950">
      <c r="A6950" s="2" t="s">
        <v>6947</v>
      </c>
      <c r="B6950" s="2">
        <v>1160.0</v>
      </c>
      <c r="C6950" s="2">
        <v>13607.0</v>
      </c>
      <c r="D6950" s="2">
        <v>3926.0</v>
      </c>
      <c r="E6950" s="3">
        <f t="shared" si="1"/>
        <v>0.3154173696</v>
      </c>
      <c r="F6950" s="2">
        <v>1388.0</v>
      </c>
      <c r="G6950" s="3">
        <f t="shared" si="2"/>
        <v>0.1115128143</v>
      </c>
      <c r="H6950" s="2">
        <v>2548.0</v>
      </c>
      <c r="I6950" s="3">
        <f t="shared" si="3"/>
        <v>0.2047079618</v>
      </c>
      <c r="J6950" s="2">
        <v>1758.0</v>
      </c>
      <c r="K6950" s="3">
        <f t="shared" si="4"/>
        <v>0.1412388527</v>
      </c>
      <c r="L6950" s="2">
        <v>1530.0</v>
      </c>
      <c r="M6950" s="3">
        <f t="shared" si="5"/>
        <v>0.6004709576</v>
      </c>
      <c r="N6950" s="2">
        <v>1.48397E7</v>
      </c>
      <c r="O6950" s="4">
        <f t="shared" si="6"/>
        <v>5824.058085</v>
      </c>
      <c r="P6950" s="2">
        <v>1.0</v>
      </c>
      <c r="Q6950" s="3">
        <f t="shared" si="7"/>
        <v>0.0008620689655</v>
      </c>
      <c r="R6950" s="2">
        <v>1160.0</v>
      </c>
      <c r="S6950" s="5">
        <f t="shared" si="8"/>
        <v>1</v>
      </c>
    </row>
    <row r="6951">
      <c r="A6951" s="2" t="s">
        <v>6948</v>
      </c>
      <c r="B6951" s="2">
        <v>323.0</v>
      </c>
      <c r="C6951" s="2">
        <v>3821.0</v>
      </c>
      <c r="D6951" s="2">
        <v>1130.0</v>
      </c>
      <c r="E6951" s="3">
        <f t="shared" si="1"/>
        <v>0.3230417381</v>
      </c>
      <c r="F6951" s="2">
        <v>390.0</v>
      </c>
      <c r="G6951" s="3">
        <f t="shared" si="2"/>
        <v>0.1114922813</v>
      </c>
      <c r="H6951" s="2">
        <v>687.0</v>
      </c>
      <c r="I6951" s="3">
        <f t="shared" si="3"/>
        <v>0.1963979417</v>
      </c>
      <c r="J6951" s="2">
        <v>541.0</v>
      </c>
      <c r="K6951" s="3">
        <f t="shared" si="4"/>
        <v>0.1546598056</v>
      </c>
      <c r="L6951" s="2">
        <v>411.0</v>
      </c>
      <c r="M6951" s="3">
        <f t="shared" si="5"/>
        <v>0.5982532751</v>
      </c>
      <c r="N6951" s="2">
        <v>3744700.0</v>
      </c>
      <c r="O6951" s="4">
        <f t="shared" si="6"/>
        <v>5450.800582</v>
      </c>
      <c r="P6951" s="2">
        <v>0.0</v>
      </c>
      <c r="Q6951" s="3">
        <f t="shared" si="7"/>
        <v>0</v>
      </c>
      <c r="R6951" s="2">
        <v>0.0</v>
      </c>
      <c r="S6951" s="5">
        <f t="shared" si="8"/>
        <v>0</v>
      </c>
    </row>
    <row r="6952">
      <c r="A6952" s="2" t="s">
        <v>6949</v>
      </c>
      <c r="B6952" s="2">
        <v>5001.0</v>
      </c>
      <c r="C6952" s="2">
        <v>59230.0</v>
      </c>
      <c r="D6952" s="2">
        <v>16708.0</v>
      </c>
      <c r="E6952" s="3">
        <f t="shared" si="1"/>
        <v>0.3081008317</v>
      </c>
      <c r="F6952" s="2">
        <v>6045.0</v>
      </c>
      <c r="G6952" s="3">
        <f t="shared" si="2"/>
        <v>0.1114717218</v>
      </c>
      <c r="H6952" s="2">
        <v>11216.0</v>
      </c>
      <c r="I6952" s="3">
        <f t="shared" si="3"/>
        <v>0.2068266057</v>
      </c>
      <c r="J6952" s="2">
        <v>8756.0</v>
      </c>
      <c r="K6952" s="3">
        <f t="shared" si="4"/>
        <v>0.1614634236</v>
      </c>
      <c r="L6952" s="2">
        <v>6705.0</v>
      </c>
      <c r="M6952" s="3">
        <f t="shared" si="5"/>
        <v>0.5978067047</v>
      </c>
      <c r="N6952" s="2">
        <v>6.13292E7</v>
      </c>
      <c r="O6952" s="4">
        <f t="shared" si="6"/>
        <v>5468.009986</v>
      </c>
      <c r="P6952" s="2">
        <v>9.0</v>
      </c>
      <c r="Q6952" s="3">
        <f t="shared" si="7"/>
        <v>0.001799640072</v>
      </c>
      <c r="R6952" s="2">
        <v>5001.0</v>
      </c>
      <c r="S6952" s="5">
        <f t="shared" si="8"/>
        <v>1</v>
      </c>
    </row>
    <row r="6953">
      <c r="A6953" s="2" t="s">
        <v>6950</v>
      </c>
      <c r="B6953" s="2">
        <v>115.0</v>
      </c>
      <c r="C6953" s="2">
        <v>1362.0</v>
      </c>
      <c r="D6953" s="2">
        <v>409.0</v>
      </c>
      <c r="E6953" s="3">
        <f t="shared" si="1"/>
        <v>0.3279871692</v>
      </c>
      <c r="F6953" s="2">
        <v>139.0</v>
      </c>
      <c r="G6953" s="3">
        <f t="shared" si="2"/>
        <v>0.1114675221</v>
      </c>
      <c r="H6953" s="2">
        <v>228.0</v>
      </c>
      <c r="I6953" s="3">
        <f t="shared" si="3"/>
        <v>0.1828388132</v>
      </c>
      <c r="J6953" s="2">
        <v>207.0</v>
      </c>
      <c r="K6953" s="3">
        <f t="shared" si="4"/>
        <v>0.1659983962</v>
      </c>
      <c r="L6953" s="2">
        <v>126.0</v>
      </c>
      <c r="M6953" s="3">
        <f t="shared" si="5"/>
        <v>0.5526315789</v>
      </c>
      <c r="N6953" s="2">
        <v>1332700.0</v>
      </c>
      <c r="O6953" s="4">
        <f t="shared" si="6"/>
        <v>5845.175439</v>
      </c>
      <c r="P6953" s="2">
        <v>0.0</v>
      </c>
      <c r="Q6953" s="3">
        <f t="shared" si="7"/>
        <v>0</v>
      </c>
      <c r="R6953" s="2">
        <v>115.0</v>
      </c>
      <c r="S6953" s="5">
        <f t="shared" si="8"/>
        <v>1</v>
      </c>
    </row>
    <row r="6954">
      <c r="A6954" s="2" t="s">
        <v>6951</v>
      </c>
      <c r="B6954" s="2">
        <v>1296.0</v>
      </c>
      <c r="C6954" s="2">
        <v>15121.0</v>
      </c>
      <c r="D6954" s="2">
        <v>5037.0</v>
      </c>
      <c r="E6954" s="3">
        <f t="shared" si="1"/>
        <v>0.3643399638</v>
      </c>
      <c r="F6954" s="2">
        <v>1541.0</v>
      </c>
      <c r="G6954" s="3">
        <f t="shared" si="2"/>
        <v>0.1114647378</v>
      </c>
      <c r="H6954" s="2">
        <v>2880.0</v>
      </c>
      <c r="I6954" s="3">
        <f t="shared" si="3"/>
        <v>0.208318264</v>
      </c>
      <c r="J6954" s="2">
        <v>2053.0</v>
      </c>
      <c r="K6954" s="3">
        <f t="shared" si="4"/>
        <v>0.1484990958</v>
      </c>
      <c r="L6954" s="2">
        <v>1689.0</v>
      </c>
      <c r="M6954" s="3">
        <f t="shared" si="5"/>
        <v>0.5864583333</v>
      </c>
      <c r="N6954" s="2">
        <v>1.59075E7</v>
      </c>
      <c r="O6954" s="4">
        <f t="shared" si="6"/>
        <v>5523.4375</v>
      </c>
      <c r="P6954" s="2">
        <v>1.0</v>
      </c>
      <c r="Q6954" s="3">
        <f t="shared" si="7"/>
        <v>0.0007716049383</v>
      </c>
      <c r="R6954" s="2">
        <v>853.0</v>
      </c>
      <c r="S6954" s="5">
        <f t="shared" si="8"/>
        <v>0.6581790123</v>
      </c>
    </row>
    <row r="6955">
      <c r="A6955" s="2" t="s">
        <v>6952</v>
      </c>
      <c r="B6955" s="2">
        <v>177.0</v>
      </c>
      <c r="C6955" s="2">
        <v>2070.0</v>
      </c>
      <c r="D6955" s="2">
        <v>696.0</v>
      </c>
      <c r="E6955" s="3">
        <f t="shared" si="1"/>
        <v>0.3676703645</v>
      </c>
      <c r="F6955" s="2">
        <v>211.0</v>
      </c>
      <c r="G6955" s="3">
        <f t="shared" si="2"/>
        <v>0.1114632858</v>
      </c>
      <c r="H6955" s="2">
        <v>373.0</v>
      </c>
      <c r="I6955" s="3">
        <f t="shared" si="3"/>
        <v>0.1970417327</v>
      </c>
      <c r="J6955" s="2">
        <v>326.0</v>
      </c>
      <c r="K6955" s="3">
        <f t="shared" si="4"/>
        <v>0.1722134179</v>
      </c>
      <c r="L6955" s="2">
        <v>220.0</v>
      </c>
      <c r="M6955" s="3">
        <f t="shared" si="5"/>
        <v>0.5898123324</v>
      </c>
      <c r="N6955" s="2">
        <v>2047700.0</v>
      </c>
      <c r="O6955" s="4">
        <f t="shared" si="6"/>
        <v>5489.812332</v>
      </c>
      <c r="P6955" s="2">
        <v>1.0</v>
      </c>
      <c r="Q6955" s="3">
        <f t="shared" si="7"/>
        <v>0.005649717514</v>
      </c>
      <c r="R6955" s="2">
        <v>177.0</v>
      </c>
      <c r="S6955" s="5">
        <f t="shared" si="8"/>
        <v>1</v>
      </c>
    </row>
    <row r="6956">
      <c r="A6956" s="2" t="s">
        <v>6953</v>
      </c>
      <c r="B6956" s="2">
        <v>97.0</v>
      </c>
      <c r="C6956" s="2">
        <v>1138.0</v>
      </c>
      <c r="D6956" s="2">
        <v>365.0</v>
      </c>
      <c r="E6956" s="3">
        <f t="shared" si="1"/>
        <v>0.3506243996</v>
      </c>
      <c r="F6956" s="2">
        <v>116.0</v>
      </c>
      <c r="G6956" s="3">
        <f t="shared" si="2"/>
        <v>0.111431316</v>
      </c>
      <c r="H6956" s="2">
        <v>234.0</v>
      </c>
      <c r="I6956" s="3">
        <f t="shared" si="3"/>
        <v>0.2247838617</v>
      </c>
      <c r="J6956" s="2">
        <v>180.0</v>
      </c>
      <c r="K6956" s="3">
        <f t="shared" si="4"/>
        <v>0.1729106628</v>
      </c>
      <c r="L6956" s="2">
        <v>156.0</v>
      </c>
      <c r="M6956" s="3">
        <f t="shared" si="5"/>
        <v>0.6666666667</v>
      </c>
      <c r="N6956" s="2">
        <v>1291500.0</v>
      </c>
      <c r="O6956" s="4">
        <f t="shared" si="6"/>
        <v>5519.230769</v>
      </c>
      <c r="P6956" s="2">
        <v>0.0</v>
      </c>
      <c r="Q6956" s="3">
        <f t="shared" si="7"/>
        <v>0</v>
      </c>
      <c r="R6956" s="2">
        <v>97.0</v>
      </c>
      <c r="S6956" s="5">
        <f t="shared" si="8"/>
        <v>1</v>
      </c>
    </row>
    <row r="6957">
      <c r="A6957" s="2" t="s">
        <v>6954</v>
      </c>
      <c r="B6957" s="2">
        <v>67.0</v>
      </c>
      <c r="C6957" s="2">
        <v>776.0</v>
      </c>
      <c r="D6957" s="2">
        <v>228.0</v>
      </c>
      <c r="E6957" s="3">
        <f t="shared" si="1"/>
        <v>0.3215796897</v>
      </c>
      <c r="F6957" s="2">
        <v>79.0</v>
      </c>
      <c r="G6957" s="3">
        <f t="shared" si="2"/>
        <v>0.1114245416</v>
      </c>
      <c r="H6957" s="2">
        <v>141.0</v>
      </c>
      <c r="I6957" s="3">
        <f t="shared" si="3"/>
        <v>0.1988716502</v>
      </c>
      <c r="J6957" s="2">
        <v>126.0</v>
      </c>
      <c r="K6957" s="3">
        <f t="shared" si="4"/>
        <v>0.1777150917</v>
      </c>
      <c r="L6957" s="2">
        <v>93.0</v>
      </c>
      <c r="M6957" s="3">
        <f t="shared" si="5"/>
        <v>0.6595744681</v>
      </c>
      <c r="N6957" s="2">
        <v>786300.0</v>
      </c>
      <c r="O6957" s="4">
        <f t="shared" si="6"/>
        <v>5576.595745</v>
      </c>
      <c r="P6957" s="2">
        <v>0.0</v>
      </c>
      <c r="Q6957" s="3">
        <f t="shared" si="7"/>
        <v>0</v>
      </c>
      <c r="R6957" s="2">
        <v>0.0</v>
      </c>
      <c r="S6957" s="5">
        <f t="shared" si="8"/>
        <v>0</v>
      </c>
    </row>
    <row r="6958">
      <c r="A6958" s="2" t="s">
        <v>6955</v>
      </c>
      <c r="B6958" s="2">
        <v>102.0</v>
      </c>
      <c r="C6958" s="2">
        <v>1170.0</v>
      </c>
      <c r="D6958" s="2">
        <v>388.0</v>
      </c>
      <c r="E6958" s="3">
        <f t="shared" si="1"/>
        <v>0.3632958801</v>
      </c>
      <c r="F6958" s="2">
        <v>119.0</v>
      </c>
      <c r="G6958" s="3">
        <f t="shared" si="2"/>
        <v>0.111423221</v>
      </c>
      <c r="H6958" s="2">
        <v>247.0</v>
      </c>
      <c r="I6958" s="3">
        <f t="shared" si="3"/>
        <v>0.2312734082</v>
      </c>
      <c r="J6958" s="2">
        <v>206.0</v>
      </c>
      <c r="K6958" s="3">
        <f t="shared" si="4"/>
        <v>0.1928838951</v>
      </c>
      <c r="L6958" s="2">
        <v>145.0</v>
      </c>
      <c r="M6958" s="3">
        <f t="shared" si="5"/>
        <v>0.5870445344</v>
      </c>
      <c r="N6958" s="2">
        <v>1403500.0</v>
      </c>
      <c r="O6958" s="4">
        <f t="shared" si="6"/>
        <v>5682.186235</v>
      </c>
      <c r="P6958" s="2">
        <v>0.0</v>
      </c>
      <c r="Q6958" s="3">
        <f t="shared" si="7"/>
        <v>0</v>
      </c>
      <c r="R6958" s="2">
        <v>19.0</v>
      </c>
      <c r="S6958" s="5">
        <f t="shared" si="8"/>
        <v>0.1862745098</v>
      </c>
    </row>
    <row r="6959">
      <c r="A6959" s="2" t="s">
        <v>6956</v>
      </c>
      <c r="B6959" s="2">
        <v>34.0</v>
      </c>
      <c r="C6959" s="2">
        <v>393.0</v>
      </c>
      <c r="D6959" s="2">
        <v>123.0</v>
      </c>
      <c r="E6959" s="3">
        <f t="shared" si="1"/>
        <v>0.3426183844</v>
      </c>
      <c r="F6959" s="2">
        <v>40.0</v>
      </c>
      <c r="G6959" s="3">
        <f t="shared" si="2"/>
        <v>0.1114206128</v>
      </c>
      <c r="H6959" s="2">
        <v>70.0</v>
      </c>
      <c r="I6959" s="3">
        <f t="shared" si="3"/>
        <v>0.1949860724</v>
      </c>
      <c r="J6959" s="2">
        <v>74.0</v>
      </c>
      <c r="K6959" s="3">
        <f t="shared" si="4"/>
        <v>0.2061281337</v>
      </c>
      <c r="L6959" s="2">
        <v>38.0</v>
      </c>
      <c r="M6959" s="3">
        <f t="shared" si="5"/>
        <v>0.5428571429</v>
      </c>
      <c r="N6959" s="2">
        <v>347000.0</v>
      </c>
      <c r="O6959" s="4">
        <f t="shared" si="6"/>
        <v>4957.142857</v>
      </c>
      <c r="P6959" s="2">
        <v>0.0</v>
      </c>
      <c r="Q6959" s="3">
        <f t="shared" si="7"/>
        <v>0</v>
      </c>
      <c r="R6959" s="2">
        <v>34.0</v>
      </c>
      <c r="S6959" s="5">
        <f t="shared" si="8"/>
        <v>1</v>
      </c>
    </row>
    <row r="6960">
      <c r="A6960" s="2" t="s">
        <v>6957</v>
      </c>
      <c r="B6960" s="2">
        <v>104.0</v>
      </c>
      <c r="C6960" s="2">
        <v>1199.0</v>
      </c>
      <c r="D6960" s="2">
        <v>377.0</v>
      </c>
      <c r="E6960" s="3">
        <f t="shared" si="1"/>
        <v>0.3442922374</v>
      </c>
      <c r="F6960" s="2">
        <v>122.0</v>
      </c>
      <c r="G6960" s="3">
        <f t="shared" si="2"/>
        <v>0.1114155251</v>
      </c>
      <c r="H6960" s="2">
        <v>214.0</v>
      </c>
      <c r="I6960" s="3">
        <f t="shared" si="3"/>
        <v>0.19543379</v>
      </c>
      <c r="J6960" s="2">
        <v>181.0</v>
      </c>
      <c r="K6960" s="3">
        <f t="shared" si="4"/>
        <v>0.1652968037</v>
      </c>
      <c r="L6960" s="2">
        <v>134.0</v>
      </c>
      <c r="M6960" s="3">
        <f t="shared" si="5"/>
        <v>0.6261682243</v>
      </c>
      <c r="N6960" s="2">
        <v>1254200.0</v>
      </c>
      <c r="O6960" s="4">
        <f t="shared" si="6"/>
        <v>5860.747664</v>
      </c>
      <c r="P6960" s="2">
        <v>0.0</v>
      </c>
      <c r="Q6960" s="3">
        <f t="shared" si="7"/>
        <v>0</v>
      </c>
      <c r="R6960" s="2">
        <v>81.0</v>
      </c>
      <c r="S6960" s="5">
        <f t="shared" si="8"/>
        <v>0.7788461538</v>
      </c>
    </row>
    <row r="6961">
      <c r="A6961" s="2" t="s">
        <v>6958</v>
      </c>
      <c r="B6961" s="2">
        <v>87.0</v>
      </c>
      <c r="C6961" s="2">
        <v>1003.0</v>
      </c>
      <c r="D6961" s="2">
        <v>249.0</v>
      </c>
      <c r="E6961" s="3">
        <f t="shared" si="1"/>
        <v>0.2718340611</v>
      </c>
      <c r="F6961" s="2">
        <v>102.0</v>
      </c>
      <c r="G6961" s="3">
        <f t="shared" si="2"/>
        <v>0.1113537118</v>
      </c>
      <c r="H6961" s="2">
        <v>164.0</v>
      </c>
      <c r="I6961" s="3">
        <f t="shared" si="3"/>
        <v>0.1790393013</v>
      </c>
      <c r="J6961" s="2">
        <v>149.0</v>
      </c>
      <c r="K6961" s="3">
        <f t="shared" si="4"/>
        <v>0.1626637555</v>
      </c>
      <c r="L6961" s="2">
        <v>90.0</v>
      </c>
      <c r="M6961" s="3">
        <f t="shared" si="5"/>
        <v>0.5487804878</v>
      </c>
      <c r="N6961" s="2">
        <v>971700.0</v>
      </c>
      <c r="O6961" s="4">
        <f t="shared" si="6"/>
        <v>5925</v>
      </c>
      <c r="P6961" s="2">
        <v>0.0</v>
      </c>
      <c r="Q6961" s="3">
        <f t="shared" si="7"/>
        <v>0</v>
      </c>
      <c r="R6961" s="2">
        <v>81.0</v>
      </c>
      <c r="S6961" s="5">
        <f t="shared" si="8"/>
        <v>0.9310344828</v>
      </c>
    </row>
    <row r="6962">
      <c r="A6962" s="2" t="s">
        <v>6959</v>
      </c>
      <c r="B6962" s="2">
        <v>136.0</v>
      </c>
      <c r="C6962" s="2">
        <v>1582.0</v>
      </c>
      <c r="D6962" s="2">
        <v>558.0</v>
      </c>
      <c r="E6962" s="3">
        <f t="shared" si="1"/>
        <v>0.3858921162</v>
      </c>
      <c r="F6962" s="2">
        <v>161.0</v>
      </c>
      <c r="G6962" s="3">
        <f t="shared" si="2"/>
        <v>0.1113416321</v>
      </c>
      <c r="H6962" s="2">
        <v>246.0</v>
      </c>
      <c r="I6962" s="3">
        <f t="shared" si="3"/>
        <v>0.1701244813</v>
      </c>
      <c r="J6962" s="2">
        <v>118.0</v>
      </c>
      <c r="K6962" s="3">
        <f t="shared" si="4"/>
        <v>0.081604426</v>
      </c>
      <c r="L6962" s="2">
        <v>152.0</v>
      </c>
      <c r="M6962" s="3">
        <f t="shared" si="5"/>
        <v>0.6178861789</v>
      </c>
      <c r="N6962" s="2">
        <v>1269500.0</v>
      </c>
      <c r="O6962" s="4">
        <f t="shared" si="6"/>
        <v>5160.569106</v>
      </c>
      <c r="P6962" s="2">
        <v>0.0</v>
      </c>
      <c r="Q6962" s="3">
        <f t="shared" si="7"/>
        <v>0</v>
      </c>
      <c r="R6962" s="2">
        <v>136.0</v>
      </c>
      <c r="S6962" s="5">
        <f t="shared" si="8"/>
        <v>1</v>
      </c>
    </row>
    <row r="6963">
      <c r="A6963" s="2" t="s">
        <v>6960</v>
      </c>
      <c r="B6963" s="2">
        <v>898.0</v>
      </c>
      <c r="C6963" s="2">
        <v>10562.0</v>
      </c>
      <c r="D6963" s="2">
        <v>3353.0</v>
      </c>
      <c r="E6963" s="3">
        <f t="shared" si="1"/>
        <v>0.3469577815</v>
      </c>
      <c r="F6963" s="2">
        <v>1076.0</v>
      </c>
      <c r="G6963" s="3">
        <f t="shared" si="2"/>
        <v>0.1113410596</v>
      </c>
      <c r="H6963" s="2">
        <v>2031.0</v>
      </c>
      <c r="I6963" s="3">
        <f t="shared" si="3"/>
        <v>0.2101614238</v>
      </c>
      <c r="J6963" s="2">
        <v>1833.0</v>
      </c>
      <c r="K6963" s="3">
        <f t="shared" si="4"/>
        <v>0.1896730132</v>
      </c>
      <c r="L6963" s="2">
        <v>1211.0</v>
      </c>
      <c r="M6963" s="3">
        <f t="shared" si="5"/>
        <v>0.596258001</v>
      </c>
      <c r="N6963" s="2">
        <v>1.16242E7</v>
      </c>
      <c r="O6963" s="4">
        <f t="shared" si="6"/>
        <v>5723.387494</v>
      </c>
      <c r="P6963" s="2">
        <v>1.0</v>
      </c>
      <c r="Q6963" s="3">
        <f t="shared" si="7"/>
        <v>0.001113585746</v>
      </c>
      <c r="R6963" s="2">
        <v>898.0</v>
      </c>
      <c r="S6963" s="5">
        <f t="shared" si="8"/>
        <v>1</v>
      </c>
    </row>
    <row r="6964">
      <c r="A6964" s="2" t="s">
        <v>6961</v>
      </c>
      <c r="B6964" s="2">
        <v>1516.0</v>
      </c>
      <c r="C6964" s="2">
        <v>17883.0</v>
      </c>
      <c r="D6964" s="2">
        <v>6082.0</v>
      </c>
      <c r="E6964" s="3">
        <f t="shared" si="1"/>
        <v>0.371601393</v>
      </c>
      <c r="F6964" s="2">
        <v>1822.0</v>
      </c>
      <c r="G6964" s="3">
        <f t="shared" si="2"/>
        <v>0.1113215617</v>
      </c>
      <c r="H6964" s="2">
        <v>3508.0</v>
      </c>
      <c r="I6964" s="3">
        <f t="shared" si="3"/>
        <v>0.2143337203</v>
      </c>
      <c r="J6964" s="2">
        <v>3033.0</v>
      </c>
      <c r="K6964" s="3">
        <f t="shared" si="4"/>
        <v>0.1853119081</v>
      </c>
      <c r="L6964" s="2">
        <v>2045.0</v>
      </c>
      <c r="M6964" s="3">
        <f t="shared" si="5"/>
        <v>0.5829532497</v>
      </c>
      <c r="N6964" s="2">
        <v>2.05237E7</v>
      </c>
      <c r="O6964" s="4">
        <f t="shared" si="6"/>
        <v>5850.541619</v>
      </c>
      <c r="P6964" s="2">
        <v>1.0</v>
      </c>
      <c r="Q6964" s="3">
        <f t="shared" si="7"/>
        <v>0.0006596306069</v>
      </c>
      <c r="R6964" s="2">
        <v>1516.0</v>
      </c>
      <c r="S6964" s="5">
        <f t="shared" si="8"/>
        <v>1</v>
      </c>
    </row>
    <row r="6965">
      <c r="A6965" s="2" t="s">
        <v>6962</v>
      </c>
      <c r="B6965" s="2">
        <v>157.0</v>
      </c>
      <c r="C6965" s="2">
        <v>1801.0</v>
      </c>
      <c r="D6965" s="2">
        <v>469.0</v>
      </c>
      <c r="E6965" s="3">
        <f t="shared" si="1"/>
        <v>0.2852798054</v>
      </c>
      <c r="F6965" s="2">
        <v>183.0</v>
      </c>
      <c r="G6965" s="3">
        <f t="shared" si="2"/>
        <v>0.1113138686</v>
      </c>
      <c r="H6965" s="2">
        <v>328.0</v>
      </c>
      <c r="I6965" s="3">
        <f t="shared" si="3"/>
        <v>0.199513382</v>
      </c>
      <c r="J6965" s="2">
        <v>304.0</v>
      </c>
      <c r="K6965" s="3">
        <f t="shared" si="4"/>
        <v>0.1849148418</v>
      </c>
      <c r="L6965" s="2">
        <v>207.0</v>
      </c>
      <c r="M6965" s="3">
        <f t="shared" si="5"/>
        <v>0.631097561</v>
      </c>
      <c r="N6965" s="2">
        <v>1934800.0</v>
      </c>
      <c r="O6965" s="4">
        <f t="shared" si="6"/>
        <v>5898.780488</v>
      </c>
      <c r="P6965" s="2">
        <v>0.0</v>
      </c>
      <c r="Q6965" s="3">
        <f t="shared" si="7"/>
        <v>0</v>
      </c>
      <c r="R6965" s="2">
        <v>157.0</v>
      </c>
      <c r="S6965" s="5">
        <f t="shared" si="8"/>
        <v>1</v>
      </c>
    </row>
    <row r="6966">
      <c r="A6966" s="2" t="s">
        <v>6963</v>
      </c>
      <c r="B6966" s="2">
        <v>455.0</v>
      </c>
      <c r="C6966" s="2">
        <v>5432.0</v>
      </c>
      <c r="D6966" s="2">
        <v>1802.0</v>
      </c>
      <c r="E6966" s="3">
        <f t="shared" si="1"/>
        <v>0.3620655013</v>
      </c>
      <c r="F6966" s="2">
        <v>554.0</v>
      </c>
      <c r="G6966" s="3">
        <f t="shared" si="2"/>
        <v>0.1113120354</v>
      </c>
      <c r="H6966" s="2">
        <v>1104.0</v>
      </c>
      <c r="I6966" s="3">
        <f t="shared" si="3"/>
        <v>0.2218203737</v>
      </c>
      <c r="J6966" s="2">
        <v>883.0</v>
      </c>
      <c r="K6966" s="3">
        <f t="shared" si="4"/>
        <v>0.1774161141</v>
      </c>
      <c r="L6966" s="2">
        <v>646.0</v>
      </c>
      <c r="M6966" s="3">
        <f t="shared" si="5"/>
        <v>0.5851449275</v>
      </c>
      <c r="N6966" s="2">
        <v>6037000.0</v>
      </c>
      <c r="O6966" s="4">
        <f t="shared" si="6"/>
        <v>5468.297101</v>
      </c>
      <c r="P6966" s="2">
        <v>1.0</v>
      </c>
      <c r="Q6966" s="3">
        <f t="shared" si="7"/>
        <v>0.002197802198</v>
      </c>
      <c r="R6966" s="2">
        <v>1.0</v>
      </c>
      <c r="S6966" s="5">
        <f t="shared" si="8"/>
        <v>0.002197802198</v>
      </c>
    </row>
    <row r="6967">
      <c r="A6967" s="2" t="s">
        <v>6964</v>
      </c>
      <c r="B6967" s="2">
        <v>155.0</v>
      </c>
      <c r="C6967" s="2">
        <v>1862.0</v>
      </c>
      <c r="D6967" s="2">
        <v>665.0</v>
      </c>
      <c r="E6967" s="3">
        <f t="shared" si="1"/>
        <v>0.3895723492</v>
      </c>
      <c r="F6967" s="2">
        <v>190.0</v>
      </c>
      <c r="G6967" s="3">
        <f t="shared" si="2"/>
        <v>0.1113063855</v>
      </c>
      <c r="H6967" s="2">
        <v>375.0</v>
      </c>
      <c r="I6967" s="3">
        <f t="shared" si="3"/>
        <v>0.2196836555</v>
      </c>
      <c r="J6967" s="2">
        <v>310.0</v>
      </c>
      <c r="K6967" s="3">
        <f t="shared" si="4"/>
        <v>0.1816051552</v>
      </c>
      <c r="L6967" s="2">
        <v>203.0</v>
      </c>
      <c r="M6967" s="3">
        <f t="shared" si="5"/>
        <v>0.5413333333</v>
      </c>
      <c r="N6967" s="2">
        <v>2243900.0</v>
      </c>
      <c r="O6967" s="4">
        <f t="shared" si="6"/>
        <v>5983.733333</v>
      </c>
      <c r="P6967" s="2">
        <v>0.0</v>
      </c>
      <c r="Q6967" s="3">
        <f t="shared" si="7"/>
        <v>0</v>
      </c>
      <c r="R6967" s="2">
        <v>155.0</v>
      </c>
      <c r="S6967" s="5">
        <f t="shared" si="8"/>
        <v>1</v>
      </c>
    </row>
    <row r="6968">
      <c r="A6968" s="2" t="s">
        <v>6965</v>
      </c>
      <c r="B6968" s="2">
        <v>164.0</v>
      </c>
      <c r="C6968" s="2">
        <v>1988.0</v>
      </c>
      <c r="D6968" s="2">
        <v>637.0</v>
      </c>
      <c r="E6968" s="3">
        <f t="shared" si="1"/>
        <v>0.3492324561</v>
      </c>
      <c r="F6968" s="2">
        <v>203.0</v>
      </c>
      <c r="G6968" s="3">
        <f t="shared" si="2"/>
        <v>0.1112938596</v>
      </c>
      <c r="H6968" s="2">
        <v>343.0</v>
      </c>
      <c r="I6968" s="3">
        <f t="shared" si="3"/>
        <v>0.1880482456</v>
      </c>
      <c r="J6968" s="2">
        <v>329.0</v>
      </c>
      <c r="K6968" s="3">
        <f t="shared" si="4"/>
        <v>0.180372807</v>
      </c>
      <c r="L6968" s="2">
        <v>207.0</v>
      </c>
      <c r="M6968" s="3">
        <f t="shared" si="5"/>
        <v>0.6034985423</v>
      </c>
      <c r="N6968" s="2">
        <v>2004300.0</v>
      </c>
      <c r="O6968" s="4">
        <f t="shared" si="6"/>
        <v>5843.440233</v>
      </c>
      <c r="P6968" s="2">
        <v>0.0</v>
      </c>
      <c r="Q6968" s="3">
        <f t="shared" si="7"/>
        <v>0</v>
      </c>
      <c r="R6968" s="2">
        <v>164.0</v>
      </c>
      <c r="S6968" s="5">
        <f t="shared" si="8"/>
        <v>1</v>
      </c>
    </row>
    <row r="6969">
      <c r="A6969" s="2" t="s">
        <v>6966</v>
      </c>
      <c r="B6969" s="2">
        <v>354.0</v>
      </c>
      <c r="C6969" s="2">
        <v>4146.0</v>
      </c>
      <c r="D6969" s="2">
        <v>1142.0</v>
      </c>
      <c r="E6969" s="3">
        <f t="shared" si="1"/>
        <v>0.3011603376</v>
      </c>
      <c r="F6969" s="2">
        <v>422.0</v>
      </c>
      <c r="G6969" s="3">
        <f t="shared" si="2"/>
        <v>0.1112869198</v>
      </c>
      <c r="H6969" s="2">
        <v>726.0</v>
      </c>
      <c r="I6969" s="3">
        <f t="shared" si="3"/>
        <v>0.1914556962</v>
      </c>
      <c r="J6969" s="2">
        <v>560.0</v>
      </c>
      <c r="K6969" s="3">
        <f t="shared" si="4"/>
        <v>0.1476793249</v>
      </c>
      <c r="L6969" s="2">
        <v>433.0</v>
      </c>
      <c r="M6969" s="3">
        <f t="shared" si="5"/>
        <v>0.5964187328</v>
      </c>
      <c r="N6969" s="2">
        <v>4033100.0</v>
      </c>
      <c r="O6969" s="4">
        <f t="shared" si="6"/>
        <v>5555.23416</v>
      </c>
      <c r="P6969" s="2">
        <v>0.0</v>
      </c>
      <c r="Q6969" s="3">
        <f t="shared" si="7"/>
        <v>0</v>
      </c>
      <c r="R6969" s="2">
        <v>354.0</v>
      </c>
      <c r="S6969" s="5">
        <f t="shared" si="8"/>
        <v>1</v>
      </c>
    </row>
    <row r="6970">
      <c r="A6970" s="2" t="s">
        <v>6967</v>
      </c>
      <c r="B6970" s="2">
        <v>3421.0</v>
      </c>
      <c r="C6970" s="2">
        <v>40301.0</v>
      </c>
      <c r="D6970" s="2">
        <v>9703.0</v>
      </c>
      <c r="E6970" s="3">
        <f t="shared" si="1"/>
        <v>0.2630965293</v>
      </c>
      <c r="F6970" s="2">
        <v>4104.0</v>
      </c>
      <c r="G6970" s="3">
        <f t="shared" si="2"/>
        <v>0.1112798265</v>
      </c>
      <c r="H6970" s="2">
        <v>7458.0</v>
      </c>
      <c r="I6970" s="3">
        <f t="shared" si="3"/>
        <v>0.2022234273</v>
      </c>
      <c r="J6970" s="2">
        <v>7240.0</v>
      </c>
      <c r="K6970" s="3">
        <f t="shared" si="4"/>
        <v>0.1963123644</v>
      </c>
      <c r="L6970" s="2">
        <v>4421.0</v>
      </c>
      <c r="M6970" s="3">
        <f t="shared" si="5"/>
        <v>0.5927862698</v>
      </c>
      <c r="N6970" s="2">
        <v>4.21302E7</v>
      </c>
      <c r="O6970" s="4">
        <f t="shared" si="6"/>
        <v>5648.994368</v>
      </c>
      <c r="P6970" s="2">
        <v>5.0</v>
      </c>
      <c r="Q6970" s="3">
        <f t="shared" si="7"/>
        <v>0.001461560947</v>
      </c>
      <c r="R6970" s="2">
        <v>3421.0</v>
      </c>
      <c r="S6970" s="5">
        <f t="shared" si="8"/>
        <v>1</v>
      </c>
    </row>
    <row r="6971">
      <c r="A6971" s="2" t="s">
        <v>6968</v>
      </c>
      <c r="B6971" s="2">
        <v>1598.0</v>
      </c>
      <c r="C6971" s="2">
        <v>18762.0</v>
      </c>
      <c r="D6971" s="2">
        <v>5590.0</v>
      </c>
      <c r="E6971" s="3">
        <f t="shared" si="1"/>
        <v>0.3256816593</v>
      </c>
      <c r="F6971" s="2">
        <v>1910.0</v>
      </c>
      <c r="G6971" s="3">
        <f t="shared" si="2"/>
        <v>0.111279422</v>
      </c>
      <c r="H6971" s="2">
        <v>3536.0</v>
      </c>
      <c r="I6971" s="3">
        <f t="shared" si="3"/>
        <v>0.2060125845</v>
      </c>
      <c r="J6971" s="2">
        <v>2714.0</v>
      </c>
      <c r="K6971" s="3">
        <f t="shared" si="4"/>
        <v>0.15812165</v>
      </c>
      <c r="L6971" s="2">
        <v>2087.0</v>
      </c>
      <c r="M6971" s="3">
        <f t="shared" si="5"/>
        <v>0.5902149321</v>
      </c>
      <c r="N6971" s="2">
        <v>1.97908E7</v>
      </c>
      <c r="O6971" s="4">
        <f t="shared" si="6"/>
        <v>5596.945701</v>
      </c>
      <c r="P6971" s="2">
        <v>5.0</v>
      </c>
      <c r="Q6971" s="3">
        <f t="shared" si="7"/>
        <v>0.003128911139</v>
      </c>
      <c r="R6971" s="2">
        <v>1598.0</v>
      </c>
      <c r="S6971" s="5">
        <f t="shared" si="8"/>
        <v>1</v>
      </c>
    </row>
    <row r="6972">
      <c r="A6972" s="2" t="s">
        <v>6969</v>
      </c>
      <c r="B6972" s="2">
        <v>1619.0</v>
      </c>
      <c r="C6972" s="2">
        <v>18990.0</v>
      </c>
      <c r="D6972" s="2">
        <v>6379.0</v>
      </c>
      <c r="E6972" s="3">
        <f t="shared" si="1"/>
        <v>0.3672212308</v>
      </c>
      <c r="F6972" s="2">
        <v>1933.0</v>
      </c>
      <c r="G6972" s="3">
        <f t="shared" si="2"/>
        <v>0.1112774164</v>
      </c>
      <c r="H6972" s="2">
        <v>3474.0</v>
      </c>
      <c r="I6972" s="3">
        <f t="shared" si="3"/>
        <v>0.1999884866</v>
      </c>
      <c r="J6972" s="2">
        <v>2668.0</v>
      </c>
      <c r="K6972" s="3">
        <f t="shared" si="4"/>
        <v>0.1535893155</v>
      </c>
      <c r="L6972" s="2">
        <v>2066.0</v>
      </c>
      <c r="M6972" s="3">
        <f t="shared" si="5"/>
        <v>0.5947035118</v>
      </c>
      <c r="N6972" s="2">
        <v>1.96553E7</v>
      </c>
      <c r="O6972" s="4">
        <f t="shared" si="6"/>
        <v>5657.829591</v>
      </c>
      <c r="P6972" s="2">
        <v>1.0</v>
      </c>
      <c r="Q6972" s="3">
        <f t="shared" si="7"/>
        <v>0.0006176652254</v>
      </c>
      <c r="R6972" s="2">
        <v>1619.0</v>
      </c>
      <c r="S6972" s="5">
        <f t="shared" si="8"/>
        <v>1</v>
      </c>
    </row>
    <row r="6973">
      <c r="A6973" s="2" t="s">
        <v>6970</v>
      </c>
      <c r="B6973" s="2">
        <v>141.0</v>
      </c>
      <c r="C6973" s="2">
        <v>1660.0</v>
      </c>
      <c r="D6973" s="2">
        <v>223.0</v>
      </c>
      <c r="E6973" s="3">
        <f t="shared" si="1"/>
        <v>0.1468071099</v>
      </c>
      <c r="F6973" s="2">
        <v>169.0</v>
      </c>
      <c r="G6973" s="3">
        <f t="shared" si="2"/>
        <v>0.1112574062</v>
      </c>
      <c r="H6973" s="2">
        <v>255.0</v>
      </c>
      <c r="I6973" s="3">
        <f t="shared" si="3"/>
        <v>0.1678736011</v>
      </c>
      <c r="J6973" s="2">
        <v>249.0</v>
      </c>
      <c r="K6973" s="3">
        <f t="shared" si="4"/>
        <v>0.163923634</v>
      </c>
      <c r="L6973" s="2">
        <v>144.0</v>
      </c>
      <c r="M6973" s="3">
        <f t="shared" si="5"/>
        <v>0.5647058824</v>
      </c>
      <c r="N6973" s="2">
        <v>1588600.0</v>
      </c>
      <c r="O6973" s="4">
        <f t="shared" si="6"/>
        <v>6229.803922</v>
      </c>
      <c r="P6973" s="2">
        <v>0.0</v>
      </c>
      <c r="Q6973" s="3">
        <f t="shared" si="7"/>
        <v>0</v>
      </c>
      <c r="R6973" s="2">
        <v>141.0</v>
      </c>
      <c r="S6973" s="5">
        <f t="shared" si="8"/>
        <v>1</v>
      </c>
    </row>
    <row r="6974">
      <c r="A6974" s="2" t="s">
        <v>6971</v>
      </c>
      <c r="B6974" s="2">
        <v>155.0</v>
      </c>
      <c r="C6974" s="2">
        <v>1881.0</v>
      </c>
      <c r="D6974" s="2">
        <v>498.0</v>
      </c>
      <c r="E6974" s="3">
        <f t="shared" si="1"/>
        <v>0.2885283893</v>
      </c>
      <c r="F6974" s="2">
        <v>192.0</v>
      </c>
      <c r="G6974" s="3">
        <f t="shared" si="2"/>
        <v>0.111239861</v>
      </c>
      <c r="H6974" s="2">
        <v>362.0</v>
      </c>
      <c r="I6974" s="3">
        <f t="shared" si="3"/>
        <v>0.2097334878</v>
      </c>
      <c r="J6974" s="2">
        <v>262.0</v>
      </c>
      <c r="K6974" s="3">
        <f t="shared" si="4"/>
        <v>0.1517960603</v>
      </c>
      <c r="L6974" s="2">
        <v>225.0</v>
      </c>
      <c r="M6974" s="3">
        <f t="shared" si="5"/>
        <v>0.6215469613</v>
      </c>
      <c r="N6974" s="2">
        <v>1820800.0</v>
      </c>
      <c r="O6974" s="4">
        <f t="shared" si="6"/>
        <v>5029.834254</v>
      </c>
      <c r="P6974" s="2">
        <v>0.0</v>
      </c>
      <c r="Q6974" s="3">
        <f t="shared" si="7"/>
        <v>0</v>
      </c>
      <c r="R6974" s="2">
        <v>155.0</v>
      </c>
      <c r="S6974" s="5">
        <f t="shared" si="8"/>
        <v>1</v>
      </c>
    </row>
    <row r="6975">
      <c r="A6975" s="2" t="s">
        <v>6972</v>
      </c>
      <c r="B6975" s="2">
        <v>9.0</v>
      </c>
      <c r="C6975" s="2">
        <v>81.0</v>
      </c>
      <c r="D6975" s="2">
        <v>14.0</v>
      </c>
      <c r="E6975" s="3">
        <f t="shared" si="1"/>
        <v>0.1944444444</v>
      </c>
      <c r="F6975" s="2">
        <v>8.0</v>
      </c>
      <c r="G6975" s="3">
        <f t="shared" si="2"/>
        <v>0.1111111111</v>
      </c>
      <c r="H6975" s="2">
        <v>18.0</v>
      </c>
      <c r="I6975" s="3">
        <f t="shared" si="3"/>
        <v>0.25</v>
      </c>
      <c r="J6975" s="2">
        <v>17.0</v>
      </c>
      <c r="K6975" s="3">
        <f t="shared" si="4"/>
        <v>0.2361111111</v>
      </c>
      <c r="L6975" s="2">
        <v>12.0</v>
      </c>
      <c r="M6975" s="3">
        <f t="shared" si="5"/>
        <v>0.6666666667</v>
      </c>
      <c r="N6975" s="2">
        <v>100100.0</v>
      </c>
      <c r="O6975" s="4">
        <f t="shared" si="6"/>
        <v>5561.111111</v>
      </c>
      <c r="P6975" s="2">
        <v>0.0</v>
      </c>
      <c r="Q6975" s="3">
        <f t="shared" si="7"/>
        <v>0</v>
      </c>
      <c r="R6975" s="2">
        <v>9.0</v>
      </c>
      <c r="S6975" s="5">
        <f t="shared" si="8"/>
        <v>1</v>
      </c>
    </row>
    <row r="6976">
      <c r="A6976" s="2" t="s">
        <v>6973</v>
      </c>
      <c r="B6976" s="2">
        <v>4.0</v>
      </c>
      <c r="C6976" s="2">
        <v>40.0</v>
      </c>
      <c r="D6976" s="2">
        <v>15.0</v>
      </c>
      <c r="E6976" s="3">
        <f t="shared" si="1"/>
        <v>0.4166666667</v>
      </c>
      <c r="F6976" s="2">
        <v>4.0</v>
      </c>
      <c r="G6976" s="3">
        <f t="shared" si="2"/>
        <v>0.1111111111</v>
      </c>
      <c r="H6976" s="2">
        <v>8.0</v>
      </c>
      <c r="I6976" s="3">
        <f t="shared" si="3"/>
        <v>0.2222222222</v>
      </c>
      <c r="J6976" s="2">
        <v>8.0</v>
      </c>
      <c r="K6976" s="3">
        <f t="shared" si="4"/>
        <v>0.2222222222</v>
      </c>
      <c r="L6976" s="2">
        <v>2.0</v>
      </c>
      <c r="M6976" s="3">
        <f t="shared" si="5"/>
        <v>0.25</v>
      </c>
      <c r="N6976" s="2">
        <v>49200.0</v>
      </c>
      <c r="O6976" s="4">
        <f t="shared" si="6"/>
        <v>6150</v>
      </c>
      <c r="P6976" s="2">
        <v>0.0</v>
      </c>
      <c r="Q6976" s="3">
        <f t="shared" si="7"/>
        <v>0</v>
      </c>
      <c r="R6976" s="2">
        <v>0.0</v>
      </c>
      <c r="S6976" s="5">
        <f t="shared" si="8"/>
        <v>0</v>
      </c>
    </row>
    <row r="6977">
      <c r="A6977" s="2" t="s">
        <v>6974</v>
      </c>
      <c r="B6977" s="2">
        <v>48.0</v>
      </c>
      <c r="C6977" s="2">
        <v>561.0</v>
      </c>
      <c r="D6977" s="2">
        <v>181.0</v>
      </c>
      <c r="E6977" s="3">
        <f t="shared" si="1"/>
        <v>0.3528265107</v>
      </c>
      <c r="F6977" s="2">
        <v>57.0</v>
      </c>
      <c r="G6977" s="3">
        <f t="shared" si="2"/>
        <v>0.1111111111</v>
      </c>
      <c r="H6977" s="2">
        <v>116.0</v>
      </c>
      <c r="I6977" s="3">
        <f t="shared" si="3"/>
        <v>0.2261208577</v>
      </c>
      <c r="J6977" s="2">
        <v>106.0</v>
      </c>
      <c r="K6977" s="3">
        <f t="shared" si="4"/>
        <v>0.2066276803</v>
      </c>
      <c r="L6977" s="2">
        <v>78.0</v>
      </c>
      <c r="M6977" s="3">
        <f t="shared" si="5"/>
        <v>0.6724137931</v>
      </c>
      <c r="N6977" s="2">
        <v>605800.0</v>
      </c>
      <c r="O6977" s="4">
        <f t="shared" si="6"/>
        <v>5222.413793</v>
      </c>
      <c r="P6977" s="2">
        <v>0.0</v>
      </c>
      <c r="Q6977" s="3">
        <f t="shared" si="7"/>
        <v>0</v>
      </c>
      <c r="R6977" s="2">
        <v>17.0</v>
      </c>
      <c r="S6977" s="5">
        <f t="shared" si="8"/>
        <v>0.3541666667</v>
      </c>
    </row>
    <row r="6978">
      <c r="A6978" s="2" t="s">
        <v>6975</v>
      </c>
      <c r="B6978" s="2">
        <v>40.0</v>
      </c>
      <c r="C6978" s="2">
        <v>463.0</v>
      </c>
      <c r="D6978" s="2">
        <v>166.0</v>
      </c>
      <c r="E6978" s="3">
        <f t="shared" si="1"/>
        <v>0.3924349882</v>
      </c>
      <c r="F6978" s="2">
        <v>47.0</v>
      </c>
      <c r="G6978" s="3">
        <f t="shared" si="2"/>
        <v>0.1111111111</v>
      </c>
      <c r="H6978" s="2">
        <v>107.0</v>
      </c>
      <c r="I6978" s="3">
        <f t="shared" si="3"/>
        <v>0.2529550827</v>
      </c>
      <c r="J6978" s="2">
        <v>82.0</v>
      </c>
      <c r="K6978" s="3">
        <f t="shared" si="4"/>
        <v>0.1938534279</v>
      </c>
      <c r="L6978" s="2">
        <v>58.0</v>
      </c>
      <c r="M6978" s="3">
        <f t="shared" si="5"/>
        <v>0.5420560748</v>
      </c>
      <c r="N6978" s="2">
        <v>516900.0</v>
      </c>
      <c r="O6978" s="4">
        <f t="shared" si="6"/>
        <v>4830.841121</v>
      </c>
      <c r="P6978" s="2">
        <v>0.0</v>
      </c>
      <c r="Q6978" s="3">
        <f t="shared" si="7"/>
        <v>0</v>
      </c>
      <c r="R6978" s="2">
        <v>40.0</v>
      </c>
      <c r="S6978" s="5">
        <f t="shared" si="8"/>
        <v>1</v>
      </c>
    </row>
    <row r="6979">
      <c r="A6979" s="2" t="s">
        <v>6976</v>
      </c>
      <c r="B6979" s="2">
        <v>38.0</v>
      </c>
      <c r="C6979" s="2">
        <v>452.0</v>
      </c>
      <c r="D6979" s="2">
        <v>159.0</v>
      </c>
      <c r="E6979" s="3">
        <f t="shared" si="1"/>
        <v>0.384057971</v>
      </c>
      <c r="F6979" s="2">
        <v>46.0</v>
      </c>
      <c r="G6979" s="3">
        <f t="shared" si="2"/>
        <v>0.1111111111</v>
      </c>
      <c r="H6979" s="2">
        <v>85.0</v>
      </c>
      <c r="I6979" s="3">
        <f t="shared" si="3"/>
        <v>0.2053140097</v>
      </c>
      <c r="J6979" s="2">
        <v>79.0</v>
      </c>
      <c r="K6979" s="3">
        <f t="shared" si="4"/>
        <v>0.190821256</v>
      </c>
      <c r="L6979" s="2">
        <v>48.0</v>
      </c>
      <c r="M6979" s="3">
        <f t="shared" si="5"/>
        <v>0.5647058824</v>
      </c>
      <c r="N6979" s="2">
        <v>451400.0</v>
      </c>
      <c r="O6979" s="4">
        <f t="shared" si="6"/>
        <v>5310.588235</v>
      </c>
      <c r="P6979" s="2">
        <v>0.0</v>
      </c>
      <c r="Q6979" s="3">
        <f t="shared" si="7"/>
        <v>0</v>
      </c>
      <c r="R6979" s="2">
        <v>38.0</v>
      </c>
      <c r="S6979" s="5">
        <f t="shared" si="8"/>
        <v>1</v>
      </c>
    </row>
    <row r="6980">
      <c r="A6980" s="2" t="s">
        <v>6977</v>
      </c>
      <c r="B6980" s="2">
        <v>167.0</v>
      </c>
      <c r="C6980" s="2">
        <v>1994.0</v>
      </c>
      <c r="D6980" s="2">
        <v>615.0</v>
      </c>
      <c r="E6980" s="3">
        <f t="shared" si="1"/>
        <v>0.3366174056</v>
      </c>
      <c r="F6980" s="2">
        <v>203.0</v>
      </c>
      <c r="G6980" s="3">
        <f t="shared" si="2"/>
        <v>0.1111111111</v>
      </c>
      <c r="H6980" s="2">
        <v>396.0</v>
      </c>
      <c r="I6980" s="3">
        <f t="shared" si="3"/>
        <v>0.2167487685</v>
      </c>
      <c r="J6980" s="2">
        <v>346.0</v>
      </c>
      <c r="K6980" s="3">
        <f t="shared" si="4"/>
        <v>0.1893814997</v>
      </c>
      <c r="L6980" s="2">
        <v>232.0</v>
      </c>
      <c r="M6980" s="3">
        <f t="shared" si="5"/>
        <v>0.5858585859</v>
      </c>
      <c r="N6980" s="2">
        <v>2366700.0</v>
      </c>
      <c r="O6980" s="4">
        <f t="shared" si="6"/>
        <v>5976.515152</v>
      </c>
      <c r="P6980" s="2">
        <v>0.0</v>
      </c>
      <c r="Q6980" s="3">
        <f t="shared" si="7"/>
        <v>0</v>
      </c>
      <c r="R6980" s="2">
        <v>167.0</v>
      </c>
      <c r="S6980" s="5">
        <f t="shared" si="8"/>
        <v>1</v>
      </c>
    </row>
    <row r="6981">
      <c r="A6981" s="2" t="s">
        <v>6978</v>
      </c>
      <c r="B6981" s="2">
        <v>328.0</v>
      </c>
      <c r="C6981" s="2">
        <v>3847.0</v>
      </c>
      <c r="D6981" s="2">
        <v>1129.0</v>
      </c>
      <c r="E6981" s="3">
        <f t="shared" si="1"/>
        <v>0.3208297812</v>
      </c>
      <c r="F6981" s="2">
        <v>391.0</v>
      </c>
      <c r="G6981" s="3">
        <f t="shared" si="2"/>
        <v>0.1111111111</v>
      </c>
      <c r="H6981" s="2">
        <v>706.0</v>
      </c>
      <c r="I6981" s="3">
        <f t="shared" si="3"/>
        <v>0.2006251776</v>
      </c>
      <c r="J6981" s="2">
        <v>612.0</v>
      </c>
      <c r="K6981" s="3">
        <f t="shared" si="4"/>
        <v>0.1739130435</v>
      </c>
      <c r="L6981" s="2">
        <v>427.0</v>
      </c>
      <c r="M6981" s="3">
        <f t="shared" si="5"/>
        <v>0.604815864</v>
      </c>
      <c r="N6981" s="2">
        <v>3879900.0</v>
      </c>
      <c r="O6981" s="4">
        <f t="shared" si="6"/>
        <v>5495.609065</v>
      </c>
      <c r="P6981" s="2">
        <v>0.0</v>
      </c>
      <c r="Q6981" s="3">
        <f t="shared" si="7"/>
        <v>0</v>
      </c>
      <c r="R6981" s="2">
        <v>328.0</v>
      </c>
      <c r="S6981" s="5">
        <f t="shared" si="8"/>
        <v>1</v>
      </c>
    </row>
    <row r="6982">
      <c r="A6982" s="2" t="s">
        <v>6979</v>
      </c>
      <c r="B6982" s="2">
        <v>14.0</v>
      </c>
      <c r="C6982" s="2">
        <v>158.0</v>
      </c>
      <c r="D6982" s="2">
        <v>41.0</v>
      </c>
      <c r="E6982" s="3">
        <f t="shared" si="1"/>
        <v>0.2847222222</v>
      </c>
      <c r="F6982" s="2">
        <v>16.0</v>
      </c>
      <c r="G6982" s="3">
        <f t="shared" si="2"/>
        <v>0.1111111111</v>
      </c>
      <c r="H6982" s="2">
        <v>30.0</v>
      </c>
      <c r="I6982" s="3">
        <f t="shared" si="3"/>
        <v>0.2083333333</v>
      </c>
      <c r="J6982" s="2">
        <v>25.0</v>
      </c>
      <c r="K6982" s="3">
        <f t="shared" si="4"/>
        <v>0.1736111111</v>
      </c>
      <c r="L6982" s="2">
        <v>20.0</v>
      </c>
      <c r="M6982" s="3">
        <f t="shared" si="5"/>
        <v>0.6666666667</v>
      </c>
      <c r="N6982" s="2">
        <v>169600.0</v>
      </c>
      <c r="O6982" s="4">
        <f t="shared" si="6"/>
        <v>5653.333333</v>
      </c>
      <c r="P6982" s="2">
        <v>0.0</v>
      </c>
      <c r="Q6982" s="3">
        <f t="shared" si="7"/>
        <v>0</v>
      </c>
      <c r="R6982" s="2">
        <v>9.0</v>
      </c>
      <c r="S6982" s="5">
        <f t="shared" si="8"/>
        <v>0.6428571429</v>
      </c>
    </row>
    <row r="6983">
      <c r="A6983" s="2" t="s">
        <v>6980</v>
      </c>
      <c r="B6983" s="2">
        <v>45.0</v>
      </c>
      <c r="C6983" s="2">
        <v>549.0</v>
      </c>
      <c r="D6983" s="2">
        <v>200.0</v>
      </c>
      <c r="E6983" s="3">
        <f t="shared" si="1"/>
        <v>0.3968253968</v>
      </c>
      <c r="F6983" s="2">
        <v>56.0</v>
      </c>
      <c r="G6983" s="3">
        <f t="shared" si="2"/>
        <v>0.1111111111</v>
      </c>
      <c r="H6983" s="2">
        <v>99.0</v>
      </c>
      <c r="I6983" s="3">
        <f t="shared" si="3"/>
        <v>0.1964285714</v>
      </c>
      <c r="J6983" s="2">
        <v>79.0</v>
      </c>
      <c r="K6983" s="3">
        <f t="shared" si="4"/>
        <v>0.1567460317</v>
      </c>
      <c r="L6983" s="2">
        <v>52.0</v>
      </c>
      <c r="M6983" s="3">
        <f t="shared" si="5"/>
        <v>0.5252525253</v>
      </c>
      <c r="N6983" s="2">
        <v>554800.0</v>
      </c>
      <c r="O6983" s="4">
        <f t="shared" si="6"/>
        <v>5604.040404</v>
      </c>
      <c r="P6983" s="2">
        <v>0.0</v>
      </c>
      <c r="Q6983" s="3">
        <f t="shared" si="7"/>
        <v>0</v>
      </c>
      <c r="R6983" s="2">
        <v>45.0</v>
      </c>
      <c r="S6983" s="5">
        <f t="shared" si="8"/>
        <v>1</v>
      </c>
    </row>
    <row r="6984">
      <c r="A6984" s="2" t="s">
        <v>6981</v>
      </c>
      <c r="B6984" s="2">
        <v>184.0</v>
      </c>
      <c r="C6984" s="2">
        <v>2173.0</v>
      </c>
      <c r="D6984" s="2">
        <v>700.0</v>
      </c>
      <c r="E6984" s="3">
        <f t="shared" si="1"/>
        <v>0.3519356461</v>
      </c>
      <c r="F6984" s="2">
        <v>221.0</v>
      </c>
      <c r="G6984" s="3">
        <f t="shared" si="2"/>
        <v>0.1111111111</v>
      </c>
      <c r="H6984" s="2">
        <v>402.0</v>
      </c>
      <c r="I6984" s="3">
        <f t="shared" si="3"/>
        <v>0.2021116139</v>
      </c>
      <c r="J6984" s="2">
        <v>295.0</v>
      </c>
      <c r="K6984" s="3">
        <f t="shared" si="4"/>
        <v>0.1483157366</v>
      </c>
      <c r="L6984" s="2">
        <v>252.0</v>
      </c>
      <c r="M6984" s="3">
        <f t="shared" si="5"/>
        <v>0.6268656716</v>
      </c>
      <c r="N6984" s="2">
        <v>2274400.0</v>
      </c>
      <c r="O6984" s="4">
        <f t="shared" si="6"/>
        <v>5657.711443</v>
      </c>
      <c r="P6984" s="2">
        <v>0.0</v>
      </c>
      <c r="Q6984" s="3">
        <f t="shared" si="7"/>
        <v>0</v>
      </c>
      <c r="R6984" s="2">
        <v>184.0</v>
      </c>
      <c r="S6984" s="5">
        <f t="shared" si="8"/>
        <v>1</v>
      </c>
    </row>
    <row r="6985">
      <c r="A6985" s="2" t="s">
        <v>6982</v>
      </c>
      <c r="B6985" s="2">
        <v>6.0</v>
      </c>
      <c r="C6985" s="2">
        <v>60.0</v>
      </c>
      <c r="D6985" s="2">
        <v>28.0</v>
      </c>
      <c r="E6985" s="3">
        <f t="shared" si="1"/>
        <v>0.5185185185</v>
      </c>
      <c r="F6985" s="2">
        <v>6.0</v>
      </c>
      <c r="G6985" s="3">
        <f t="shared" si="2"/>
        <v>0.1111111111</v>
      </c>
      <c r="H6985" s="2">
        <v>8.0</v>
      </c>
      <c r="I6985" s="3">
        <f t="shared" si="3"/>
        <v>0.1481481481</v>
      </c>
      <c r="J6985" s="2">
        <v>8.0</v>
      </c>
      <c r="K6985" s="3">
        <f t="shared" si="4"/>
        <v>0.1481481481</v>
      </c>
      <c r="L6985" s="2">
        <v>6.0</v>
      </c>
      <c r="M6985" s="3">
        <f t="shared" si="5"/>
        <v>0.75</v>
      </c>
      <c r="N6985" s="2">
        <v>33800.0</v>
      </c>
      <c r="O6985" s="4">
        <f t="shared" si="6"/>
        <v>4225</v>
      </c>
      <c r="P6985" s="2">
        <v>0.0</v>
      </c>
      <c r="Q6985" s="3">
        <f t="shared" si="7"/>
        <v>0</v>
      </c>
      <c r="R6985" s="2">
        <v>6.0</v>
      </c>
      <c r="S6985" s="5">
        <f t="shared" si="8"/>
        <v>1</v>
      </c>
    </row>
    <row r="6986">
      <c r="A6986" s="2" t="s">
        <v>6983</v>
      </c>
      <c r="B6986" s="2">
        <v>21.0</v>
      </c>
      <c r="C6986" s="2">
        <v>255.0</v>
      </c>
      <c r="D6986" s="2">
        <v>97.0</v>
      </c>
      <c r="E6986" s="3">
        <f t="shared" si="1"/>
        <v>0.4145299145</v>
      </c>
      <c r="F6986" s="2">
        <v>26.0</v>
      </c>
      <c r="G6986" s="3">
        <f t="shared" si="2"/>
        <v>0.1111111111</v>
      </c>
      <c r="H6986" s="2">
        <v>53.0</v>
      </c>
      <c r="I6986" s="3">
        <f t="shared" si="3"/>
        <v>0.2264957265</v>
      </c>
      <c r="J6986" s="2">
        <v>32.0</v>
      </c>
      <c r="K6986" s="3">
        <f t="shared" si="4"/>
        <v>0.1367521368</v>
      </c>
      <c r="L6986" s="2">
        <v>28.0</v>
      </c>
      <c r="M6986" s="3">
        <f t="shared" si="5"/>
        <v>0.5283018868</v>
      </c>
      <c r="N6986" s="2">
        <v>222700.0</v>
      </c>
      <c r="O6986" s="4">
        <f t="shared" si="6"/>
        <v>4201.886792</v>
      </c>
      <c r="P6986" s="2">
        <v>0.0</v>
      </c>
      <c r="Q6986" s="3">
        <f t="shared" si="7"/>
        <v>0</v>
      </c>
      <c r="R6986" s="2">
        <v>0.0</v>
      </c>
      <c r="S6986" s="5">
        <f t="shared" si="8"/>
        <v>0</v>
      </c>
    </row>
    <row r="6987">
      <c r="A6987" s="2" t="s">
        <v>6984</v>
      </c>
      <c r="B6987" s="2">
        <v>33.0</v>
      </c>
      <c r="C6987" s="2">
        <v>420.0</v>
      </c>
      <c r="D6987" s="2">
        <v>104.0</v>
      </c>
      <c r="E6987" s="3">
        <f t="shared" si="1"/>
        <v>0.2687338501</v>
      </c>
      <c r="F6987" s="2">
        <v>43.0</v>
      </c>
      <c r="G6987" s="3">
        <f t="shared" si="2"/>
        <v>0.1111111111</v>
      </c>
      <c r="H6987" s="2">
        <v>69.0</v>
      </c>
      <c r="I6987" s="3">
        <f t="shared" si="3"/>
        <v>0.1782945736</v>
      </c>
      <c r="J6987" s="2">
        <v>44.0</v>
      </c>
      <c r="K6987" s="3">
        <f t="shared" si="4"/>
        <v>0.1136950904</v>
      </c>
      <c r="L6987" s="2">
        <v>50.0</v>
      </c>
      <c r="M6987" s="3">
        <f t="shared" si="5"/>
        <v>0.7246376812</v>
      </c>
      <c r="N6987" s="2">
        <v>346000.0</v>
      </c>
      <c r="O6987" s="4">
        <f t="shared" si="6"/>
        <v>5014.492754</v>
      </c>
      <c r="P6987" s="2">
        <v>0.0</v>
      </c>
      <c r="Q6987" s="3">
        <f t="shared" si="7"/>
        <v>0</v>
      </c>
      <c r="R6987" s="2">
        <v>0.0</v>
      </c>
      <c r="S6987" s="5">
        <f t="shared" si="8"/>
        <v>0</v>
      </c>
    </row>
    <row r="6988">
      <c r="A6988" s="2" t="s">
        <v>6985</v>
      </c>
      <c r="B6988" s="2">
        <v>1.0</v>
      </c>
      <c r="C6988" s="2">
        <v>10.0</v>
      </c>
      <c r="D6988" s="2">
        <v>2.0</v>
      </c>
      <c r="E6988" s="3">
        <f t="shared" si="1"/>
        <v>0.2222222222</v>
      </c>
      <c r="F6988" s="2">
        <v>1.0</v>
      </c>
      <c r="G6988" s="3">
        <f t="shared" si="2"/>
        <v>0.1111111111</v>
      </c>
      <c r="H6988" s="2">
        <v>0.0</v>
      </c>
      <c r="I6988" s="3">
        <f t="shared" si="3"/>
        <v>0</v>
      </c>
      <c r="J6988" s="2">
        <v>1.0</v>
      </c>
      <c r="K6988" s="3">
        <f t="shared" si="4"/>
        <v>0.1111111111</v>
      </c>
      <c r="L6988" s="2">
        <v>0.0</v>
      </c>
      <c r="M6988" s="3" t="str">
        <f t="shared" si="5"/>
        <v>#DIV/0!</v>
      </c>
      <c r="N6988" s="2">
        <v>0.0</v>
      </c>
      <c r="O6988" s="4" t="str">
        <f t="shared" si="6"/>
        <v>#DIV/0!</v>
      </c>
      <c r="P6988" s="2">
        <v>0.0</v>
      </c>
      <c r="Q6988" s="3">
        <f t="shared" si="7"/>
        <v>0</v>
      </c>
      <c r="R6988" s="2">
        <v>1.0</v>
      </c>
      <c r="S6988" s="5">
        <f t="shared" si="8"/>
        <v>1</v>
      </c>
    </row>
    <row r="6989">
      <c r="A6989" s="2" t="s">
        <v>6986</v>
      </c>
      <c r="B6989" s="2">
        <v>4.0</v>
      </c>
      <c r="C6989" s="2">
        <v>40.0</v>
      </c>
      <c r="D6989" s="2">
        <v>7.0</v>
      </c>
      <c r="E6989" s="3">
        <f t="shared" si="1"/>
        <v>0.1944444444</v>
      </c>
      <c r="F6989" s="2">
        <v>4.0</v>
      </c>
      <c r="G6989" s="3">
        <f t="shared" si="2"/>
        <v>0.1111111111</v>
      </c>
      <c r="H6989" s="2">
        <v>7.0</v>
      </c>
      <c r="I6989" s="3">
        <f t="shared" si="3"/>
        <v>0.1944444444</v>
      </c>
      <c r="J6989" s="2">
        <v>2.0</v>
      </c>
      <c r="K6989" s="3">
        <f t="shared" si="4"/>
        <v>0.05555555556</v>
      </c>
      <c r="L6989" s="2">
        <v>5.0</v>
      </c>
      <c r="M6989" s="3">
        <f t="shared" si="5"/>
        <v>0.7142857143</v>
      </c>
      <c r="N6989" s="2">
        <v>47100.0</v>
      </c>
      <c r="O6989" s="4">
        <f t="shared" si="6"/>
        <v>6728.571429</v>
      </c>
      <c r="P6989" s="2">
        <v>0.0</v>
      </c>
      <c r="Q6989" s="3">
        <f t="shared" si="7"/>
        <v>0</v>
      </c>
      <c r="R6989" s="2">
        <v>4.0</v>
      </c>
      <c r="S6989" s="5">
        <f t="shared" si="8"/>
        <v>1</v>
      </c>
    </row>
    <row r="6990">
      <c r="A6990" s="2" t="s">
        <v>6987</v>
      </c>
      <c r="B6990" s="2">
        <v>1.0</v>
      </c>
      <c r="C6990" s="2">
        <v>10.0</v>
      </c>
      <c r="D6990" s="2">
        <v>6.0</v>
      </c>
      <c r="E6990" s="3">
        <f t="shared" si="1"/>
        <v>0.6666666667</v>
      </c>
      <c r="F6990" s="2">
        <v>1.0</v>
      </c>
      <c r="G6990" s="3">
        <f t="shared" si="2"/>
        <v>0.1111111111</v>
      </c>
      <c r="H6990" s="2">
        <v>3.0</v>
      </c>
      <c r="I6990" s="3">
        <f t="shared" si="3"/>
        <v>0.3333333333</v>
      </c>
      <c r="J6990" s="2">
        <v>0.0</v>
      </c>
      <c r="K6990" s="3">
        <f t="shared" si="4"/>
        <v>0</v>
      </c>
      <c r="L6990" s="2">
        <v>2.0</v>
      </c>
      <c r="M6990" s="3">
        <f t="shared" si="5"/>
        <v>0.6666666667</v>
      </c>
      <c r="N6990" s="2">
        <v>25200.0</v>
      </c>
      <c r="O6990" s="4">
        <f t="shared" si="6"/>
        <v>8400</v>
      </c>
      <c r="P6990" s="2">
        <v>0.0</v>
      </c>
      <c r="Q6990" s="3">
        <f t="shared" si="7"/>
        <v>0</v>
      </c>
      <c r="R6990" s="2">
        <v>0.0</v>
      </c>
      <c r="S6990" s="5">
        <f t="shared" si="8"/>
        <v>0</v>
      </c>
    </row>
    <row r="6991">
      <c r="A6991" s="2" t="s">
        <v>6988</v>
      </c>
      <c r="B6991" s="2">
        <v>476.0</v>
      </c>
      <c r="C6991" s="2">
        <v>5643.0</v>
      </c>
      <c r="D6991" s="2">
        <v>1827.0</v>
      </c>
      <c r="E6991" s="3">
        <f t="shared" si="1"/>
        <v>0.353590091</v>
      </c>
      <c r="F6991" s="2">
        <v>574.0</v>
      </c>
      <c r="G6991" s="3">
        <f t="shared" si="2"/>
        <v>0.1110896071</v>
      </c>
      <c r="H6991" s="2">
        <v>1061.0</v>
      </c>
      <c r="I6991" s="3">
        <f t="shared" si="3"/>
        <v>0.2053415909</v>
      </c>
      <c r="J6991" s="2">
        <v>859.0</v>
      </c>
      <c r="K6991" s="3">
        <f t="shared" si="4"/>
        <v>0.1662473389</v>
      </c>
      <c r="L6991" s="2">
        <v>614.0</v>
      </c>
      <c r="M6991" s="3">
        <f t="shared" si="5"/>
        <v>0.5786993402</v>
      </c>
      <c r="N6991" s="2">
        <v>5877900.0</v>
      </c>
      <c r="O6991" s="4">
        <f t="shared" si="6"/>
        <v>5539.9623</v>
      </c>
      <c r="P6991" s="2">
        <v>0.0</v>
      </c>
      <c r="Q6991" s="3">
        <f t="shared" si="7"/>
        <v>0</v>
      </c>
      <c r="R6991" s="2">
        <v>476.0</v>
      </c>
      <c r="S6991" s="5">
        <f t="shared" si="8"/>
        <v>1</v>
      </c>
    </row>
    <row r="6992">
      <c r="A6992" s="2" t="s">
        <v>6989</v>
      </c>
      <c r="B6992" s="2">
        <v>2057.0</v>
      </c>
      <c r="C6992" s="2">
        <v>24009.0</v>
      </c>
      <c r="D6992" s="2">
        <v>8693.0</v>
      </c>
      <c r="E6992" s="3">
        <f t="shared" si="1"/>
        <v>0.3960003644</v>
      </c>
      <c r="F6992" s="2">
        <v>2438.0</v>
      </c>
      <c r="G6992" s="3">
        <f t="shared" si="2"/>
        <v>0.1110604956</v>
      </c>
      <c r="H6992" s="2">
        <v>4491.0</v>
      </c>
      <c r="I6992" s="3">
        <f t="shared" si="3"/>
        <v>0.2045827259</v>
      </c>
      <c r="J6992" s="2">
        <v>3334.0</v>
      </c>
      <c r="K6992" s="3">
        <f t="shared" si="4"/>
        <v>0.1518768222</v>
      </c>
      <c r="L6992" s="2">
        <v>2749.0</v>
      </c>
      <c r="M6992" s="3">
        <f t="shared" si="5"/>
        <v>0.6121131151</v>
      </c>
      <c r="N6992" s="2">
        <v>2.43751E7</v>
      </c>
      <c r="O6992" s="4">
        <f t="shared" si="6"/>
        <v>5427.543977</v>
      </c>
      <c r="P6992" s="2">
        <v>1.0</v>
      </c>
      <c r="Q6992" s="3">
        <f t="shared" si="7"/>
        <v>0.0004861448712</v>
      </c>
      <c r="R6992" s="2">
        <v>2057.0</v>
      </c>
      <c r="S6992" s="5">
        <f t="shared" si="8"/>
        <v>1</v>
      </c>
    </row>
    <row r="6993">
      <c r="A6993" s="2" t="s">
        <v>6990</v>
      </c>
      <c r="B6993" s="2">
        <v>1732.0</v>
      </c>
      <c r="C6993" s="2">
        <v>20235.0</v>
      </c>
      <c r="D6993" s="2">
        <v>3642.0</v>
      </c>
      <c r="E6993" s="3">
        <f t="shared" si="1"/>
        <v>0.196832946</v>
      </c>
      <c r="F6993" s="2">
        <v>2054.0</v>
      </c>
      <c r="G6993" s="3">
        <f t="shared" si="2"/>
        <v>0.1110090256</v>
      </c>
      <c r="H6993" s="2">
        <v>3495.0</v>
      </c>
      <c r="I6993" s="3">
        <f t="shared" si="3"/>
        <v>0.1888882884</v>
      </c>
      <c r="J6993" s="2">
        <v>2804.0</v>
      </c>
      <c r="K6993" s="3">
        <f t="shared" si="4"/>
        <v>0.151542993</v>
      </c>
      <c r="L6993" s="2">
        <v>2092.0</v>
      </c>
      <c r="M6993" s="3">
        <f t="shared" si="5"/>
        <v>0.5985693848</v>
      </c>
      <c r="N6993" s="2">
        <v>2.13301E7</v>
      </c>
      <c r="O6993" s="4">
        <f t="shared" si="6"/>
        <v>6103.032904</v>
      </c>
      <c r="P6993" s="2">
        <v>6.0</v>
      </c>
      <c r="Q6993" s="3">
        <f t="shared" si="7"/>
        <v>0.003464203233</v>
      </c>
      <c r="R6993" s="2">
        <v>1732.0</v>
      </c>
      <c r="S6993" s="5">
        <f t="shared" si="8"/>
        <v>1</v>
      </c>
    </row>
    <row r="6994">
      <c r="A6994" s="2" t="s">
        <v>6991</v>
      </c>
      <c r="B6994" s="2">
        <v>1859.0</v>
      </c>
      <c r="C6994" s="2">
        <v>21714.0</v>
      </c>
      <c r="D6994" s="2">
        <v>6371.0</v>
      </c>
      <c r="E6994" s="3">
        <f t="shared" si="1"/>
        <v>0.3208763536</v>
      </c>
      <c r="F6994" s="2">
        <v>2204.0</v>
      </c>
      <c r="G6994" s="3">
        <f t="shared" si="2"/>
        <v>0.1110047847</v>
      </c>
      <c r="H6994" s="2">
        <v>4036.0</v>
      </c>
      <c r="I6994" s="3">
        <f t="shared" si="3"/>
        <v>0.2032737346</v>
      </c>
      <c r="J6994" s="2">
        <v>3228.0</v>
      </c>
      <c r="K6994" s="3">
        <f t="shared" si="4"/>
        <v>0.1625786955</v>
      </c>
      <c r="L6994" s="2">
        <v>2464.0</v>
      </c>
      <c r="M6994" s="3">
        <f t="shared" si="5"/>
        <v>0.6105054509</v>
      </c>
      <c r="N6994" s="2">
        <v>2.27443E7</v>
      </c>
      <c r="O6994" s="4">
        <f t="shared" si="6"/>
        <v>5635.356789</v>
      </c>
      <c r="P6994" s="2">
        <v>3.0</v>
      </c>
      <c r="Q6994" s="3">
        <f t="shared" si="7"/>
        <v>0.001613770845</v>
      </c>
      <c r="R6994" s="2">
        <v>1859.0</v>
      </c>
      <c r="S6994" s="5">
        <f t="shared" si="8"/>
        <v>1</v>
      </c>
    </row>
    <row r="6995">
      <c r="A6995" s="2" t="s">
        <v>6992</v>
      </c>
      <c r="B6995" s="2">
        <v>777.0</v>
      </c>
      <c r="C6995" s="2">
        <v>9201.0</v>
      </c>
      <c r="D6995" s="2">
        <v>2656.0</v>
      </c>
      <c r="E6995" s="3">
        <f t="shared" si="1"/>
        <v>0.3152896486</v>
      </c>
      <c r="F6995" s="2">
        <v>935.0</v>
      </c>
      <c r="G6995" s="3">
        <f t="shared" si="2"/>
        <v>0.1109924027</v>
      </c>
      <c r="H6995" s="2">
        <v>1703.0</v>
      </c>
      <c r="I6995" s="3">
        <f t="shared" si="3"/>
        <v>0.2021604938</v>
      </c>
      <c r="J6995" s="2">
        <v>1307.0</v>
      </c>
      <c r="K6995" s="3">
        <f t="shared" si="4"/>
        <v>0.1551519468</v>
      </c>
      <c r="L6995" s="2">
        <v>1011.0</v>
      </c>
      <c r="M6995" s="3">
        <f t="shared" si="5"/>
        <v>0.5936582501</v>
      </c>
      <c r="N6995" s="2">
        <v>9481300.0</v>
      </c>
      <c r="O6995" s="4">
        <f t="shared" si="6"/>
        <v>5567.410452</v>
      </c>
      <c r="P6995" s="2">
        <v>1.0</v>
      </c>
      <c r="Q6995" s="3">
        <f t="shared" si="7"/>
        <v>0.001287001287</v>
      </c>
      <c r="R6995" s="2">
        <v>777.0</v>
      </c>
      <c r="S6995" s="5">
        <f t="shared" si="8"/>
        <v>1</v>
      </c>
    </row>
    <row r="6996">
      <c r="A6996" s="2" t="s">
        <v>6993</v>
      </c>
      <c r="B6996" s="2">
        <v>124.0</v>
      </c>
      <c r="C6996" s="2">
        <v>1485.0</v>
      </c>
      <c r="D6996" s="2">
        <v>580.0</v>
      </c>
      <c r="E6996" s="3">
        <f t="shared" si="1"/>
        <v>0.4261572373</v>
      </c>
      <c r="F6996" s="2">
        <v>151.0</v>
      </c>
      <c r="G6996" s="3">
        <f t="shared" si="2"/>
        <v>0.1109478325</v>
      </c>
      <c r="H6996" s="2">
        <v>287.0</v>
      </c>
      <c r="I6996" s="3">
        <f t="shared" si="3"/>
        <v>0.2108743571</v>
      </c>
      <c r="J6996" s="2">
        <v>204.0</v>
      </c>
      <c r="K6996" s="3">
        <f t="shared" si="4"/>
        <v>0.1498897869</v>
      </c>
      <c r="L6996" s="2">
        <v>168.0</v>
      </c>
      <c r="M6996" s="3">
        <f t="shared" si="5"/>
        <v>0.5853658537</v>
      </c>
      <c r="N6996" s="2">
        <v>1339900.0</v>
      </c>
      <c r="O6996" s="4">
        <f t="shared" si="6"/>
        <v>4668.641115</v>
      </c>
      <c r="P6996" s="2">
        <v>0.0</v>
      </c>
      <c r="Q6996" s="3">
        <f t="shared" si="7"/>
        <v>0</v>
      </c>
      <c r="R6996" s="2">
        <v>0.0</v>
      </c>
      <c r="S6996" s="5">
        <f t="shared" si="8"/>
        <v>0</v>
      </c>
    </row>
    <row r="6997">
      <c r="A6997" s="2" t="s">
        <v>6994</v>
      </c>
      <c r="B6997" s="2">
        <v>1668.0</v>
      </c>
      <c r="C6997" s="2">
        <v>19330.0</v>
      </c>
      <c r="D6997" s="2">
        <v>5514.0</v>
      </c>
      <c r="E6997" s="3">
        <f t="shared" si="1"/>
        <v>0.3121956743</v>
      </c>
      <c r="F6997" s="2">
        <v>1959.0</v>
      </c>
      <c r="G6997" s="3">
        <f t="shared" si="2"/>
        <v>0.110916091</v>
      </c>
      <c r="H6997" s="2">
        <v>3624.0</v>
      </c>
      <c r="I6997" s="3">
        <f t="shared" si="3"/>
        <v>0.2051862756</v>
      </c>
      <c r="J6997" s="2">
        <v>2981.0</v>
      </c>
      <c r="K6997" s="3">
        <f t="shared" si="4"/>
        <v>0.1687804326</v>
      </c>
      <c r="L6997" s="2">
        <v>2140.0</v>
      </c>
      <c r="M6997" s="3">
        <f t="shared" si="5"/>
        <v>0.5905077263</v>
      </c>
      <c r="N6997" s="2">
        <v>2.09161E7</v>
      </c>
      <c r="O6997" s="4">
        <f t="shared" si="6"/>
        <v>5771.550773</v>
      </c>
      <c r="P6997" s="2">
        <v>4.0</v>
      </c>
      <c r="Q6997" s="3">
        <f t="shared" si="7"/>
        <v>0.002398081535</v>
      </c>
      <c r="R6997" s="2">
        <v>1668.0</v>
      </c>
      <c r="S6997" s="5">
        <f t="shared" si="8"/>
        <v>1</v>
      </c>
    </row>
    <row r="6998">
      <c r="A6998" s="2" t="s">
        <v>6995</v>
      </c>
      <c r="B6998" s="2">
        <v>203.0</v>
      </c>
      <c r="C6998" s="2">
        <v>2439.0</v>
      </c>
      <c r="D6998" s="2">
        <v>750.0</v>
      </c>
      <c r="E6998" s="3">
        <f t="shared" si="1"/>
        <v>0.3354203936</v>
      </c>
      <c r="F6998" s="2">
        <v>248.0</v>
      </c>
      <c r="G6998" s="3">
        <f t="shared" si="2"/>
        <v>0.1109123435</v>
      </c>
      <c r="H6998" s="2">
        <v>453.0</v>
      </c>
      <c r="I6998" s="3">
        <f t="shared" si="3"/>
        <v>0.2025939177</v>
      </c>
      <c r="J6998" s="2">
        <v>339.0</v>
      </c>
      <c r="K6998" s="3">
        <f t="shared" si="4"/>
        <v>0.1516100179</v>
      </c>
      <c r="L6998" s="2">
        <v>265.0</v>
      </c>
      <c r="M6998" s="3">
        <f t="shared" si="5"/>
        <v>0.5849889625</v>
      </c>
      <c r="N6998" s="2">
        <v>2476800.0</v>
      </c>
      <c r="O6998" s="4">
        <f t="shared" si="6"/>
        <v>5467.549669</v>
      </c>
      <c r="P6998" s="2">
        <v>0.0</v>
      </c>
      <c r="Q6998" s="3">
        <f t="shared" si="7"/>
        <v>0</v>
      </c>
      <c r="R6998" s="2">
        <v>203.0</v>
      </c>
      <c r="S6998" s="5">
        <f t="shared" si="8"/>
        <v>1</v>
      </c>
    </row>
    <row r="6999">
      <c r="A6999" s="2" t="s">
        <v>6996</v>
      </c>
      <c r="B6999" s="2">
        <v>1396.0</v>
      </c>
      <c r="C6999" s="2">
        <v>16355.0</v>
      </c>
      <c r="D6999" s="2">
        <v>5607.0</v>
      </c>
      <c r="E6999" s="3">
        <f t="shared" si="1"/>
        <v>0.3748245204</v>
      </c>
      <c r="F6999" s="2">
        <v>1659.0</v>
      </c>
      <c r="G6999" s="3">
        <f t="shared" si="2"/>
        <v>0.1109031352</v>
      </c>
      <c r="H6999" s="2">
        <v>3201.0</v>
      </c>
      <c r="I6999" s="3">
        <f t="shared" si="3"/>
        <v>0.213984892</v>
      </c>
      <c r="J6999" s="2">
        <v>2421.0</v>
      </c>
      <c r="K6999" s="3">
        <f t="shared" si="4"/>
        <v>0.1618423691</v>
      </c>
      <c r="L6999" s="2">
        <v>1962.0</v>
      </c>
      <c r="M6999" s="3">
        <f t="shared" si="5"/>
        <v>0.6129334583</v>
      </c>
      <c r="N6999" s="2">
        <v>1.67271E7</v>
      </c>
      <c r="O6999" s="4">
        <f t="shared" si="6"/>
        <v>5225.585754</v>
      </c>
      <c r="P6999" s="2">
        <v>4.0</v>
      </c>
      <c r="Q6999" s="3">
        <f t="shared" si="7"/>
        <v>0.002865329513</v>
      </c>
      <c r="R6999" s="2">
        <v>1396.0</v>
      </c>
      <c r="S6999" s="5">
        <f t="shared" si="8"/>
        <v>1</v>
      </c>
    </row>
    <row r="7000">
      <c r="A7000" s="2" t="s">
        <v>6997</v>
      </c>
      <c r="B7000" s="2">
        <v>194.0</v>
      </c>
      <c r="C7000" s="2">
        <v>2223.0</v>
      </c>
      <c r="D7000" s="2">
        <v>656.0</v>
      </c>
      <c r="E7000" s="3">
        <f t="shared" si="1"/>
        <v>0.3233119763</v>
      </c>
      <c r="F7000" s="2">
        <v>225.0</v>
      </c>
      <c r="G7000" s="3">
        <f t="shared" si="2"/>
        <v>0.1108920651</v>
      </c>
      <c r="H7000" s="2">
        <v>450.0</v>
      </c>
      <c r="I7000" s="3">
        <f t="shared" si="3"/>
        <v>0.2217841301</v>
      </c>
      <c r="J7000" s="2">
        <v>379.0</v>
      </c>
      <c r="K7000" s="3">
        <f t="shared" si="4"/>
        <v>0.1867915229</v>
      </c>
      <c r="L7000" s="2">
        <v>256.0</v>
      </c>
      <c r="M7000" s="3">
        <f t="shared" si="5"/>
        <v>0.5688888889</v>
      </c>
      <c r="N7000" s="2">
        <v>2643800.0</v>
      </c>
      <c r="O7000" s="4">
        <f t="shared" si="6"/>
        <v>5875.111111</v>
      </c>
      <c r="P7000" s="2">
        <v>0.0</v>
      </c>
      <c r="Q7000" s="3">
        <f t="shared" si="7"/>
        <v>0</v>
      </c>
      <c r="R7000" s="2">
        <v>194.0</v>
      </c>
      <c r="S7000" s="5">
        <f t="shared" si="8"/>
        <v>1</v>
      </c>
    </row>
    <row r="7001">
      <c r="A7001" s="2" t="s">
        <v>6998</v>
      </c>
      <c r="B7001" s="2">
        <v>173.0</v>
      </c>
      <c r="C7001" s="2">
        <v>1995.0</v>
      </c>
      <c r="D7001" s="2">
        <v>515.0</v>
      </c>
      <c r="E7001" s="3">
        <f t="shared" si="1"/>
        <v>0.2826564215</v>
      </c>
      <c r="F7001" s="2">
        <v>202.0</v>
      </c>
      <c r="G7001" s="3">
        <f t="shared" si="2"/>
        <v>0.1108671789</v>
      </c>
      <c r="H7001" s="2">
        <v>312.0</v>
      </c>
      <c r="I7001" s="3">
        <f t="shared" si="3"/>
        <v>0.1712403952</v>
      </c>
      <c r="J7001" s="2">
        <v>250.0</v>
      </c>
      <c r="K7001" s="3">
        <f t="shared" si="4"/>
        <v>0.1372118551</v>
      </c>
      <c r="L7001" s="2">
        <v>174.0</v>
      </c>
      <c r="M7001" s="3">
        <f t="shared" si="5"/>
        <v>0.5576923077</v>
      </c>
      <c r="N7001" s="2">
        <v>1996300.0</v>
      </c>
      <c r="O7001" s="4">
        <f t="shared" si="6"/>
        <v>6398.397436</v>
      </c>
      <c r="P7001" s="2">
        <v>1.0</v>
      </c>
      <c r="Q7001" s="3">
        <f t="shared" si="7"/>
        <v>0.005780346821</v>
      </c>
      <c r="R7001" s="2">
        <v>173.0</v>
      </c>
      <c r="S7001" s="5">
        <f t="shared" si="8"/>
        <v>1</v>
      </c>
    </row>
    <row r="7002">
      <c r="A7002" s="2" t="s">
        <v>6999</v>
      </c>
      <c r="B7002" s="2">
        <v>4032.0</v>
      </c>
      <c r="C7002" s="2">
        <v>47566.0</v>
      </c>
      <c r="D7002" s="2">
        <v>14699.0</v>
      </c>
      <c r="E7002" s="3">
        <f t="shared" si="1"/>
        <v>0.3376441402</v>
      </c>
      <c r="F7002" s="2">
        <v>4826.0</v>
      </c>
      <c r="G7002" s="3">
        <f t="shared" si="2"/>
        <v>0.1108558828</v>
      </c>
      <c r="H7002" s="2">
        <v>9195.0</v>
      </c>
      <c r="I7002" s="3">
        <f t="shared" si="3"/>
        <v>0.2112142234</v>
      </c>
      <c r="J7002" s="2">
        <v>7282.0</v>
      </c>
      <c r="K7002" s="3">
        <f t="shared" si="4"/>
        <v>0.1672715579</v>
      </c>
      <c r="L7002" s="2">
        <v>5431.0</v>
      </c>
      <c r="M7002" s="3">
        <f t="shared" si="5"/>
        <v>0.5906470908</v>
      </c>
      <c r="N7002" s="2">
        <v>5.03272E7</v>
      </c>
      <c r="O7002" s="4">
        <f t="shared" si="6"/>
        <v>5473.322458</v>
      </c>
      <c r="P7002" s="2">
        <v>10.0</v>
      </c>
      <c r="Q7002" s="3">
        <f t="shared" si="7"/>
        <v>0.00248015873</v>
      </c>
      <c r="R7002" s="2">
        <v>4032.0</v>
      </c>
      <c r="S7002" s="5">
        <f t="shared" si="8"/>
        <v>1</v>
      </c>
    </row>
    <row r="7003">
      <c r="A7003" s="2" t="s">
        <v>7000</v>
      </c>
      <c r="B7003" s="2">
        <v>6695.0</v>
      </c>
      <c r="C7003" s="2">
        <v>79381.0</v>
      </c>
      <c r="D7003" s="2">
        <v>25648.0</v>
      </c>
      <c r="E7003" s="3">
        <f t="shared" si="1"/>
        <v>0.3528602482</v>
      </c>
      <c r="F7003" s="2">
        <v>8057.0</v>
      </c>
      <c r="G7003" s="3">
        <f t="shared" si="2"/>
        <v>0.1108466555</v>
      </c>
      <c r="H7003" s="2">
        <v>14811.0</v>
      </c>
      <c r="I7003" s="3">
        <f t="shared" si="3"/>
        <v>0.2037668877</v>
      </c>
      <c r="J7003" s="2">
        <v>9811.0</v>
      </c>
      <c r="K7003" s="3">
        <f t="shared" si="4"/>
        <v>0.1349778499</v>
      </c>
      <c r="L7003" s="2">
        <v>8872.0</v>
      </c>
      <c r="M7003" s="3">
        <f t="shared" si="5"/>
        <v>0.5990142462</v>
      </c>
      <c r="N7003" s="2">
        <v>8.29085E7</v>
      </c>
      <c r="O7003" s="4">
        <f t="shared" si="6"/>
        <v>5597.765175</v>
      </c>
      <c r="P7003" s="2">
        <v>7.0</v>
      </c>
      <c r="Q7003" s="3">
        <f t="shared" si="7"/>
        <v>0.001045556385</v>
      </c>
      <c r="R7003" s="2">
        <v>6350.0</v>
      </c>
      <c r="S7003" s="5">
        <f t="shared" si="8"/>
        <v>0.9484690067</v>
      </c>
    </row>
    <row r="7004">
      <c r="A7004" s="2" t="s">
        <v>7001</v>
      </c>
      <c r="B7004" s="2">
        <v>39.0</v>
      </c>
      <c r="C7004" s="2">
        <v>454.0</v>
      </c>
      <c r="D7004" s="2">
        <v>150.0</v>
      </c>
      <c r="E7004" s="3">
        <f t="shared" si="1"/>
        <v>0.3614457831</v>
      </c>
      <c r="F7004" s="2">
        <v>46.0</v>
      </c>
      <c r="G7004" s="3">
        <f t="shared" si="2"/>
        <v>0.1108433735</v>
      </c>
      <c r="H7004" s="2">
        <v>95.0</v>
      </c>
      <c r="I7004" s="3">
        <f t="shared" si="3"/>
        <v>0.2289156627</v>
      </c>
      <c r="J7004" s="2">
        <v>77.0</v>
      </c>
      <c r="K7004" s="3">
        <f t="shared" si="4"/>
        <v>0.1855421687</v>
      </c>
      <c r="L7004" s="2">
        <v>54.0</v>
      </c>
      <c r="M7004" s="3">
        <f t="shared" si="5"/>
        <v>0.5684210526</v>
      </c>
      <c r="N7004" s="2">
        <v>490900.0</v>
      </c>
      <c r="O7004" s="4">
        <f t="shared" si="6"/>
        <v>5167.368421</v>
      </c>
      <c r="P7004" s="2">
        <v>0.0</v>
      </c>
      <c r="Q7004" s="3">
        <f t="shared" si="7"/>
        <v>0</v>
      </c>
      <c r="R7004" s="2">
        <v>39.0</v>
      </c>
      <c r="S7004" s="5">
        <f t="shared" si="8"/>
        <v>1</v>
      </c>
    </row>
    <row r="7005">
      <c r="A7005" s="2" t="s">
        <v>7002</v>
      </c>
      <c r="B7005" s="2">
        <v>103.0</v>
      </c>
      <c r="C7005" s="2">
        <v>1222.0</v>
      </c>
      <c r="D7005" s="2">
        <v>342.0</v>
      </c>
      <c r="E7005" s="3">
        <f t="shared" si="1"/>
        <v>0.3056300268</v>
      </c>
      <c r="F7005" s="2">
        <v>124.0</v>
      </c>
      <c r="G7005" s="3">
        <f t="shared" si="2"/>
        <v>0.1108132261</v>
      </c>
      <c r="H7005" s="2">
        <v>207.0</v>
      </c>
      <c r="I7005" s="3">
        <f t="shared" si="3"/>
        <v>0.1849865952</v>
      </c>
      <c r="J7005" s="2">
        <v>180.0</v>
      </c>
      <c r="K7005" s="3">
        <f t="shared" si="4"/>
        <v>0.1608579088</v>
      </c>
      <c r="L7005" s="2">
        <v>106.0</v>
      </c>
      <c r="M7005" s="3">
        <f t="shared" si="5"/>
        <v>0.5120772947</v>
      </c>
      <c r="N7005" s="2">
        <v>1122500.0</v>
      </c>
      <c r="O7005" s="4">
        <f t="shared" si="6"/>
        <v>5422.705314</v>
      </c>
      <c r="P7005" s="2">
        <v>0.0</v>
      </c>
      <c r="Q7005" s="3">
        <f t="shared" si="7"/>
        <v>0</v>
      </c>
      <c r="R7005" s="2">
        <v>101.0</v>
      </c>
      <c r="S7005" s="5">
        <f t="shared" si="8"/>
        <v>0.9805825243</v>
      </c>
    </row>
    <row r="7006">
      <c r="A7006" s="2" t="s">
        <v>7003</v>
      </c>
      <c r="B7006" s="2">
        <v>1574.0</v>
      </c>
      <c r="C7006" s="2">
        <v>18802.0</v>
      </c>
      <c r="D7006" s="2">
        <v>6336.0</v>
      </c>
      <c r="E7006" s="3">
        <f t="shared" si="1"/>
        <v>0.3677733922</v>
      </c>
      <c r="F7006" s="2">
        <v>1909.0</v>
      </c>
      <c r="G7006" s="3">
        <f t="shared" si="2"/>
        <v>0.110807987</v>
      </c>
      <c r="H7006" s="2">
        <v>3322.0</v>
      </c>
      <c r="I7006" s="3">
        <f t="shared" si="3"/>
        <v>0.1928256327</v>
      </c>
      <c r="J7006" s="2">
        <v>2646.0</v>
      </c>
      <c r="K7006" s="3">
        <f t="shared" si="4"/>
        <v>0.1535871837</v>
      </c>
      <c r="L7006" s="2">
        <v>1981.0</v>
      </c>
      <c r="M7006" s="3">
        <f t="shared" si="5"/>
        <v>0.5963275135</v>
      </c>
      <c r="N7006" s="2">
        <v>1.76926E7</v>
      </c>
      <c r="O7006" s="4">
        <f t="shared" si="6"/>
        <v>5325.888019</v>
      </c>
      <c r="P7006" s="2">
        <v>1.0</v>
      </c>
      <c r="Q7006" s="3">
        <f t="shared" si="7"/>
        <v>0.0006353240152</v>
      </c>
      <c r="R7006" s="2">
        <v>1574.0</v>
      </c>
      <c r="S7006" s="5">
        <f t="shared" si="8"/>
        <v>1</v>
      </c>
    </row>
    <row r="7007">
      <c r="A7007" s="2" t="s">
        <v>7004</v>
      </c>
      <c r="B7007" s="2">
        <v>169.0</v>
      </c>
      <c r="C7007" s="2">
        <v>1974.0</v>
      </c>
      <c r="D7007" s="2">
        <v>590.0</v>
      </c>
      <c r="E7007" s="3">
        <f t="shared" si="1"/>
        <v>0.3268698061</v>
      </c>
      <c r="F7007" s="2">
        <v>200.0</v>
      </c>
      <c r="G7007" s="3">
        <f t="shared" si="2"/>
        <v>0.1108033241</v>
      </c>
      <c r="H7007" s="2">
        <v>376.0</v>
      </c>
      <c r="I7007" s="3">
        <f t="shared" si="3"/>
        <v>0.2083102493</v>
      </c>
      <c r="J7007" s="2">
        <v>293.0</v>
      </c>
      <c r="K7007" s="3">
        <f t="shared" si="4"/>
        <v>0.1623268698</v>
      </c>
      <c r="L7007" s="2">
        <v>216.0</v>
      </c>
      <c r="M7007" s="3">
        <f t="shared" si="5"/>
        <v>0.5744680851</v>
      </c>
      <c r="N7007" s="2">
        <v>1967800.0</v>
      </c>
      <c r="O7007" s="4">
        <f t="shared" si="6"/>
        <v>5233.510638</v>
      </c>
      <c r="P7007" s="2">
        <v>1.0</v>
      </c>
      <c r="Q7007" s="3">
        <f t="shared" si="7"/>
        <v>0.005917159763</v>
      </c>
      <c r="R7007" s="2">
        <v>169.0</v>
      </c>
      <c r="S7007" s="5">
        <f t="shared" si="8"/>
        <v>1</v>
      </c>
    </row>
    <row r="7008">
      <c r="A7008" s="2" t="s">
        <v>7005</v>
      </c>
      <c r="B7008" s="2">
        <v>448.0</v>
      </c>
      <c r="C7008" s="2">
        <v>5259.0</v>
      </c>
      <c r="D7008" s="2">
        <v>1686.0</v>
      </c>
      <c r="E7008" s="3">
        <f t="shared" si="1"/>
        <v>0.3504468925</v>
      </c>
      <c r="F7008" s="2">
        <v>533.0</v>
      </c>
      <c r="G7008" s="3">
        <f t="shared" si="2"/>
        <v>0.110787778</v>
      </c>
      <c r="H7008" s="2">
        <v>976.0</v>
      </c>
      <c r="I7008" s="3">
        <f t="shared" si="3"/>
        <v>0.2028684265</v>
      </c>
      <c r="J7008" s="2">
        <v>733.0</v>
      </c>
      <c r="K7008" s="3">
        <f t="shared" si="4"/>
        <v>0.1523591769</v>
      </c>
      <c r="L7008" s="2">
        <v>578.0</v>
      </c>
      <c r="M7008" s="3">
        <f t="shared" si="5"/>
        <v>0.5922131148</v>
      </c>
      <c r="N7008" s="2">
        <v>5501300.0</v>
      </c>
      <c r="O7008" s="4">
        <f t="shared" si="6"/>
        <v>5636.577869</v>
      </c>
      <c r="P7008" s="2">
        <v>0.0</v>
      </c>
      <c r="Q7008" s="3">
        <f t="shared" si="7"/>
        <v>0</v>
      </c>
      <c r="R7008" s="2">
        <v>448.0</v>
      </c>
      <c r="S7008" s="5">
        <f t="shared" si="8"/>
        <v>1</v>
      </c>
    </row>
    <row r="7009">
      <c r="A7009" s="2" t="s">
        <v>7006</v>
      </c>
      <c r="B7009" s="2">
        <v>252.0</v>
      </c>
      <c r="C7009" s="2">
        <v>2915.0</v>
      </c>
      <c r="D7009" s="2">
        <v>880.0</v>
      </c>
      <c r="E7009" s="3">
        <f t="shared" si="1"/>
        <v>0.3304543748</v>
      </c>
      <c r="F7009" s="2">
        <v>295.0</v>
      </c>
      <c r="G7009" s="3">
        <f t="shared" si="2"/>
        <v>0.1107773188</v>
      </c>
      <c r="H7009" s="2">
        <v>547.0</v>
      </c>
      <c r="I7009" s="3">
        <f t="shared" si="3"/>
        <v>0.2054074352</v>
      </c>
      <c r="J7009" s="2">
        <v>532.0</v>
      </c>
      <c r="K7009" s="3">
        <f t="shared" si="4"/>
        <v>0.1997746902</v>
      </c>
      <c r="L7009" s="2">
        <v>341.0</v>
      </c>
      <c r="M7009" s="3">
        <f t="shared" si="5"/>
        <v>0.6234003656</v>
      </c>
      <c r="N7009" s="2">
        <v>3052500.0</v>
      </c>
      <c r="O7009" s="4">
        <f t="shared" si="6"/>
        <v>5580.438757</v>
      </c>
      <c r="P7009" s="2">
        <v>0.0</v>
      </c>
      <c r="Q7009" s="3">
        <f t="shared" si="7"/>
        <v>0</v>
      </c>
      <c r="R7009" s="2">
        <v>13.0</v>
      </c>
      <c r="S7009" s="5">
        <f t="shared" si="8"/>
        <v>0.05158730159</v>
      </c>
    </row>
    <row r="7010">
      <c r="A7010" s="2" t="s">
        <v>7007</v>
      </c>
      <c r="B7010" s="2">
        <v>1402.0</v>
      </c>
      <c r="C7010" s="2">
        <v>16297.0</v>
      </c>
      <c r="D7010" s="2">
        <v>5000.0</v>
      </c>
      <c r="E7010" s="3">
        <f t="shared" si="1"/>
        <v>0.3356831151</v>
      </c>
      <c r="F7010" s="2">
        <v>1650.0</v>
      </c>
      <c r="G7010" s="3">
        <f t="shared" si="2"/>
        <v>0.110775428</v>
      </c>
      <c r="H7010" s="2">
        <v>3002.0</v>
      </c>
      <c r="I7010" s="3">
        <f t="shared" si="3"/>
        <v>0.2015441423</v>
      </c>
      <c r="J7010" s="2">
        <v>2573.0</v>
      </c>
      <c r="K7010" s="3">
        <f t="shared" si="4"/>
        <v>0.1727425311</v>
      </c>
      <c r="L7010" s="2">
        <v>1787.0</v>
      </c>
      <c r="M7010" s="3">
        <f t="shared" si="5"/>
        <v>0.5952698201</v>
      </c>
      <c r="N7010" s="2">
        <v>1.68871E7</v>
      </c>
      <c r="O7010" s="4">
        <f t="shared" si="6"/>
        <v>5625.283145</v>
      </c>
      <c r="P7010" s="2">
        <v>3.0</v>
      </c>
      <c r="Q7010" s="3">
        <f t="shared" si="7"/>
        <v>0.002139800285</v>
      </c>
      <c r="R7010" s="2">
        <v>1389.0</v>
      </c>
      <c r="S7010" s="5">
        <f t="shared" si="8"/>
        <v>0.9907275321</v>
      </c>
    </row>
    <row r="7011">
      <c r="A7011" s="2" t="s">
        <v>7008</v>
      </c>
      <c r="B7011" s="2">
        <v>668.0</v>
      </c>
      <c r="C7011" s="2">
        <v>7908.0</v>
      </c>
      <c r="D7011" s="2">
        <v>2529.0</v>
      </c>
      <c r="E7011" s="3">
        <f t="shared" si="1"/>
        <v>0.3493093923</v>
      </c>
      <c r="F7011" s="2">
        <v>802.0</v>
      </c>
      <c r="G7011" s="3">
        <f t="shared" si="2"/>
        <v>0.1107734807</v>
      </c>
      <c r="H7011" s="2">
        <v>1437.0</v>
      </c>
      <c r="I7011" s="3">
        <f t="shared" si="3"/>
        <v>0.198480663</v>
      </c>
      <c r="J7011" s="2">
        <v>1182.0</v>
      </c>
      <c r="K7011" s="3">
        <f t="shared" si="4"/>
        <v>0.1632596685</v>
      </c>
      <c r="L7011" s="2">
        <v>852.0</v>
      </c>
      <c r="M7011" s="3">
        <f t="shared" si="5"/>
        <v>0.5929018789</v>
      </c>
      <c r="N7011" s="2">
        <v>7938600.0</v>
      </c>
      <c r="O7011" s="4">
        <f t="shared" si="6"/>
        <v>5524.425887</v>
      </c>
      <c r="P7011" s="2">
        <v>0.0</v>
      </c>
      <c r="Q7011" s="3">
        <f t="shared" si="7"/>
        <v>0</v>
      </c>
      <c r="R7011" s="2">
        <v>642.0</v>
      </c>
      <c r="S7011" s="5">
        <f t="shared" si="8"/>
        <v>0.9610778443</v>
      </c>
    </row>
    <row r="7012">
      <c r="A7012" s="2" t="s">
        <v>7009</v>
      </c>
      <c r="B7012" s="2">
        <v>3649.0</v>
      </c>
      <c r="C7012" s="2">
        <v>42738.0</v>
      </c>
      <c r="D7012" s="2">
        <v>13763.0</v>
      </c>
      <c r="E7012" s="3">
        <f t="shared" si="1"/>
        <v>0.3520939395</v>
      </c>
      <c r="F7012" s="2">
        <v>4330.0</v>
      </c>
      <c r="G7012" s="3">
        <f t="shared" si="2"/>
        <v>0.1107728517</v>
      </c>
      <c r="H7012" s="2">
        <v>7993.0</v>
      </c>
      <c r="I7012" s="3">
        <f t="shared" si="3"/>
        <v>0.2044820794</v>
      </c>
      <c r="J7012" s="2">
        <v>5989.0</v>
      </c>
      <c r="K7012" s="3">
        <f t="shared" si="4"/>
        <v>0.1532144593</v>
      </c>
      <c r="L7012" s="2">
        <v>4856.0</v>
      </c>
      <c r="M7012" s="3">
        <f t="shared" si="5"/>
        <v>0.6075315901</v>
      </c>
      <c r="N7012" s="2">
        <v>4.47391E7</v>
      </c>
      <c r="O7012" s="4">
        <f t="shared" si="6"/>
        <v>5597.285124</v>
      </c>
      <c r="P7012" s="2">
        <v>8.0</v>
      </c>
      <c r="Q7012" s="3">
        <f t="shared" si="7"/>
        <v>0.002192381474</v>
      </c>
      <c r="R7012" s="2">
        <v>3521.0</v>
      </c>
      <c r="S7012" s="5">
        <f t="shared" si="8"/>
        <v>0.9649218964</v>
      </c>
    </row>
    <row r="7013">
      <c r="A7013" s="2" t="s">
        <v>7010</v>
      </c>
      <c r="B7013" s="2">
        <v>2535.0</v>
      </c>
      <c r="C7013" s="2">
        <v>29652.0</v>
      </c>
      <c r="D7013" s="2">
        <v>8929.0</v>
      </c>
      <c r="E7013" s="3">
        <f t="shared" si="1"/>
        <v>0.3292768374</v>
      </c>
      <c r="F7013" s="2">
        <v>3003.0</v>
      </c>
      <c r="G7013" s="3">
        <f t="shared" si="2"/>
        <v>0.1107423388</v>
      </c>
      <c r="H7013" s="2">
        <v>5642.0</v>
      </c>
      <c r="I7013" s="3">
        <f t="shared" si="3"/>
        <v>0.2080613637</v>
      </c>
      <c r="J7013" s="2">
        <v>4951.0</v>
      </c>
      <c r="K7013" s="3">
        <f t="shared" si="4"/>
        <v>0.1825791939</v>
      </c>
      <c r="L7013" s="2">
        <v>3324.0</v>
      </c>
      <c r="M7013" s="3">
        <f t="shared" si="5"/>
        <v>0.5891527827</v>
      </c>
      <c r="N7013" s="2">
        <v>3.27785E7</v>
      </c>
      <c r="O7013" s="4">
        <f t="shared" si="6"/>
        <v>5809.730592</v>
      </c>
      <c r="P7013" s="2">
        <v>5.0</v>
      </c>
      <c r="Q7013" s="3">
        <f t="shared" si="7"/>
        <v>0.001972386588</v>
      </c>
      <c r="R7013" s="2">
        <v>307.0</v>
      </c>
      <c r="S7013" s="5">
        <f t="shared" si="8"/>
        <v>0.1211045365</v>
      </c>
    </row>
    <row r="7014">
      <c r="A7014" s="2" t="s">
        <v>7011</v>
      </c>
      <c r="B7014" s="2">
        <v>627.0</v>
      </c>
      <c r="C7014" s="2">
        <v>7383.0</v>
      </c>
      <c r="D7014" s="2">
        <v>2441.0</v>
      </c>
      <c r="E7014" s="3">
        <f t="shared" si="1"/>
        <v>0.3613084665</v>
      </c>
      <c r="F7014" s="2">
        <v>748.0</v>
      </c>
      <c r="G7014" s="3">
        <f t="shared" si="2"/>
        <v>0.1107164002</v>
      </c>
      <c r="H7014" s="2">
        <v>1399.0</v>
      </c>
      <c r="I7014" s="3">
        <f t="shared" si="3"/>
        <v>0.2070751924</v>
      </c>
      <c r="J7014" s="2">
        <v>1071.0</v>
      </c>
      <c r="K7014" s="3">
        <f t="shared" si="4"/>
        <v>0.1585257549</v>
      </c>
      <c r="L7014" s="2">
        <v>802.0</v>
      </c>
      <c r="M7014" s="3">
        <f t="shared" si="5"/>
        <v>0.573266619</v>
      </c>
      <c r="N7014" s="2">
        <v>7944800.0</v>
      </c>
      <c r="O7014" s="4">
        <f t="shared" si="6"/>
        <v>5678.91351</v>
      </c>
      <c r="P7014" s="2">
        <v>1.0</v>
      </c>
      <c r="Q7014" s="3">
        <f t="shared" si="7"/>
        <v>0.001594896332</v>
      </c>
      <c r="R7014" s="2">
        <v>627.0</v>
      </c>
      <c r="S7014" s="5">
        <f t="shared" si="8"/>
        <v>1</v>
      </c>
    </row>
    <row r="7015">
      <c r="A7015" s="2" t="s">
        <v>7012</v>
      </c>
      <c r="B7015" s="2">
        <v>179.0</v>
      </c>
      <c r="C7015" s="2">
        <v>2112.0</v>
      </c>
      <c r="D7015" s="2">
        <v>799.0</v>
      </c>
      <c r="E7015" s="3">
        <f t="shared" si="1"/>
        <v>0.4133471288</v>
      </c>
      <c r="F7015" s="2">
        <v>214.0</v>
      </c>
      <c r="G7015" s="3">
        <f t="shared" si="2"/>
        <v>0.1107087429</v>
      </c>
      <c r="H7015" s="2">
        <v>423.0</v>
      </c>
      <c r="I7015" s="3">
        <f t="shared" si="3"/>
        <v>0.2188308329</v>
      </c>
      <c r="J7015" s="2">
        <v>281.0</v>
      </c>
      <c r="K7015" s="3">
        <f t="shared" si="4"/>
        <v>0.1453698914</v>
      </c>
      <c r="L7015" s="2">
        <v>253.0</v>
      </c>
      <c r="M7015" s="3">
        <f t="shared" si="5"/>
        <v>0.598108747</v>
      </c>
      <c r="N7015" s="2">
        <v>2171200.0</v>
      </c>
      <c r="O7015" s="4">
        <f t="shared" si="6"/>
        <v>5132.86052</v>
      </c>
      <c r="P7015" s="2">
        <v>0.0</v>
      </c>
      <c r="Q7015" s="3">
        <f t="shared" si="7"/>
        <v>0</v>
      </c>
      <c r="R7015" s="2">
        <v>179.0</v>
      </c>
      <c r="S7015" s="5">
        <f t="shared" si="8"/>
        <v>1</v>
      </c>
    </row>
    <row r="7016">
      <c r="A7016" s="2" t="s">
        <v>7013</v>
      </c>
      <c r="B7016" s="2">
        <v>126.0</v>
      </c>
      <c r="C7016" s="2">
        <v>1490.0</v>
      </c>
      <c r="D7016" s="2">
        <v>573.0</v>
      </c>
      <c r="E7016" s="3">
        <f t="shared" si="1"/>
        <v>0.4200879765</v>
      </c>
      <c r="F7016" s="2">
        <v>151.0</v>
      </c>
      <c r="G7016" s="3">
        <f t="shared" si="2"/>
        <v>0.1107038123</v>
      </c>
      <c r="H7016" s="2">
        <v>278.0</v>
      </c>
      <c r="I7016" s="3">
        <f t="shared" si="3"/>
        <v>0.2038123167</v>
      </c>
      <c r="J7016" s="2">
        <v>199.0</v>
      </c>
      <c r="K7016" s="3">
        <f t="shared" si="4"/>
        <v>0.1458944282</v>
      </c>
      <c r="L7016" s="2">
        <v>163.0</v>
      </c>
      <c r="M7016" s="3">
        <f t="shared" si="5"/>
        <v>0.5863309353</v>
      </c>
      <c r="N7016" s="2">
        <v>1347100.0</v>
      </c>
      <c r="O7016" s="4">
        <f t="shared" si="6"/>
        <v>4845.683453</v>
      </c>
      <c r="P7016" s="2">
        <v>0.0</v>
      </c>
      <c r="Q7016" s="3">
        <f t="shared" si="7"/>
        <v>0</v>
      </c>
      <c r="R7016" s="2">
        <v>126.0</v>
      </c>
      <c r="S7016" s="5">
        <f t="shared" si="8"/>
        <v>1</v>
      </c>
    </row>
    <row r="7017">
      <c r="A7017" s="2" t="s">
        <v>7014</v>
      </c>
      <c r="B7017" s="2">
        <v>565.0</v>
      </c>
      <c r="C7017" s="2">
        <v>6701.0</v>
      </c>
      <c r="D7017" s="2">
        <v>2105.0</v>
      </c>
      <c r="E7017" s="3">
        <f t="shared" si="1"/>
        <v>0.3430573664</v>
      </c>
      <c r="F7017" s="2">
        <v>679.0</v>
      </c>
      <c r="G7017" s="3">
        <f t="shared" si="2"/>
        <v>0.1106584094</v>
      </c>
      <c r="H7017" s="2">
        <v>1270.0</v>
      </c>
      <c r="I7017" s="3">
        <f t="shared" si="3"/>
        <v>0.2069752282</v>
      </c>
      <c r="J7017" s="2">
        <v>903.0</v>
      </c>
      <c r="K7017" s="3">
        <f t="shared" si="4"/>
        <v>0.1471642764</v>
      </c>
      <c r="L7017" s="2">
        <v>755.0</v>
      </c>
      <c r="M7017" s="3">
        <f t="shared" si="5"/>
        <v>0.594488189</v>
      </c>
      <c r="N7017" s="2">
        <v>6986600.0</v>
      </c>
      <c r="O7017" s="4">
        <f t="shared" si="6"/>
        <v>5501.259843</v>
      </c>
      <c r="P7017" s="2">
        <v>3.0</v>
      </c>
      <c r="Q7017" s="3">
        <f t="shared" si="7"/>
        <v>0.005309734513</v>
      </c>
      <c r="R7017" s="2">
        <v>565.0</v>
      </c>
      <c r="S7017" s="5">
        <f t="shared" si="8"/>
        <v>1</v>
      </c>
    </row>
    <row r="7018">
      <c r="A7018" s="2" t="s">
        <v>7015</v>
      </c>
      <c r="B7018" s="2">
        <v>220.0</v>
      </c>
      <c r="C7018" s="2">
        <v>2669.0</v>
      </c>
      <c r="D7018" s="2">
        <v>953.0</v>
      </c>
      <c r="E7018" s="3">
        <f t="shared" si="1"/>
        <v>0.3891384238</v>
      </c>
      <c r="F7018" s="2">
        <v>271.0</v>
      </c>
      <c r="G7018" s="3">
        <f t="shared" si="2"/>
        <v>0.1106574112</v>
      </c>
      <c r="H7018" s="2">
        <v>533.0</v>
      </c>
      <c r="I7018" s="3">
        <f t="shared" si="3"/>
        <v>0.217639853</v>
      </c>
      <c r="J7018" s="2">
        <v>423.0</v>
      </c>
      <c r="K7018" s="3">
        <f t="shared" si="4"/>
        <v>0.1727235606</v>
      </c>
      <c r="L7018" s="2">
        <v>313.0</v>
      </c>
      <c r="M7018" s="3">
        <f t="shared" si="5"/>
        <v>0.5872420263</v>
      </c>
      <c r="N7018" s="2">
        <v>2803500.0</v>
      </c>
      <c r="O7018" s="4">
        <f t="shared" si="6"/>
        <v>5259.849906</v>
      </c>
      <c r="P7018" s="2">
        <v>0.0</v>
      </c>
      <c r="Q7018" s="3">
        <f t="shared" si="7"/>
        <v>0</v>
      </c>
      <c r="R7018" s="2">
        <v>220.0</v>
      </c>
      <c r="S7018" s="5">
        <f t="shared" si="8"/>
        <v>1</v>
      </c>
    </row>
    <row r="7019">
      <c r="A7019" s="2" t="s">
        <v>7016</v>
      </c>
      <c r="B7019" s="2">
        <v>2064.0</v>
      </c>
      <c r="C7019" s="2">
        <v>24033.0</v>
      </c>
      <c r="D7019" s="2">
        <v>7401.0</v>
      </c>
      <c r="E7019" s="3">
        <f t="shared" si="1"/>
        <v>0.3368837908</v>
      </c>
      <c r="F7019" s="2">
        <v>2431.0</v>
      </c>
      <c r="G7019" s="3">
        <f t="shared" si="2"/>
        <v>0.1106559243</v>
      </c>
      <c r="H7019" s="2">
        <v>4804.0</v>
      </c>
      <c r="I7019" s="3">
        <f t="shared" si="3"/>
        <v>0.2186717648</v>
      </c>
      <c r="J7019" s="2">
        <v>3613.0</v>
      </c>
      <c r="K7019" s="3">
        <f t="shared" si="4"/>
        <v>0.1644590104</v>
      </c>
      <c r="L7019" s="2">
        <v>2874.0</v>
      </c>
      <c r="M7019" s="3">
        <f t="shared" si="5"/>
        <v>0.5982514571</v>
      </c>
      <c r="N7019" s="2">
        <v>2.67451E7</v>
      </c>
      <c r="O7019" s="4">
        <f t="shared" si="6"/>
        <v>5567.256453</v>
      </c>
      <c r="P7019" s="2">
        <v>1.0</v>
      </c>
      <c r="Q7019" s="3">
        <f t="shared" si="7"/>
        <v>0.000484496124</v>
      </c>
      <c r="R7019" s="2">
        <v>2064.0</v>
      </c>
      <c r="S7019" s="5">
        <f t="shared" si="8"/>
        <v>1</v>
      </c>
    </row>
    <row r="7020">
      <c r="A7020" s="2" t="s">
        <v>7017</v>
      </c>
      <c r="B7020" s="2">
        <v>260.0</v>
      </c>
      <c r="C7020" s="2">
        <v>3071.0</v>
      </c>
      <c r="D7020" s="2">
        <v>687.0</v>
      </c>
      <c r="E7020" s="3">
        <f t="shared" si="1"/>
        <v>0.2443970117</v>
      </c>
      <c r="F7020" s="2">
        <v>311.0</v>
      </c>
      <c r="G7020" s="3">
        <f t="shared" si="2"/>
        <v>0.1106367841</v>
      </c>
      <c r="H7020" s="2">
        <v>588.0</v>
      </c>
      <c r="I7020" s="3">
        <f t="shared" si="3"/>
        <v>0.2091782284</v>
      </c>
      <c r="J7020" s="2">
        <v>526.0</v>
      </c>
      <c r="K7020" s="3">
        <f t="shared" si="4"/>
        <v>0.1871220206</v>
      </c>
      <c r="L7020" s="2">
        <v>323.0</v>
      </c>
      <c r="M7020" s="3">
        <f t="shared" si="5"/>
        <v>0.5493197279</v>
      </c>
      <c r="N7020" s="2">
        <v>3385600.0</v>
      </c>
      <c r="O7020" s="4">
        <f t="shared" si="6"/>
        <v>5757.823129</v>
      </c>
      <c r="P7020" s="2">
        <v>0.0</v>
      </c>
      <c r="Q7020" s="3">
        <f t="shared" si="7"/>
        <v>0</v>
      </c>
      <c r="R7020" s="2">
        <v>0.0</v>
      </c>
      <c r="S7020" s="5">
        <f t="shared" si="8"/>
        <v>0</v>
      </c>
    </row>
    <row r="7021">
      <c r="A7021" s="2" t="s">
        <v>7018</v>
      </c>
      <c r="B7021" s="2">
        <v>62.0</v>
      </c>
      <c r="C7021" s="2">
        <v>740.0</v>
      </c>
      <c r="D7021" s="2">
        <v>248.0</v>
      </c>
      <c r="E7021" s="3">
        <f t="shared" si="1"/>
        <v>0.3657817109</v>
      </c>
      <c r="F7021" s="2">
        <v>75.0</v>
      </c>
      <c r="G7021" s="3">
        <f t="shared" si="2"/>
        <v>0.110619469</v>
      </c>
      <c r="H7021" s="2">
        <v>130.0</v>
      </c>
      <c r="I7021" s="3">
        <f t="shared" si="3"/>
        <v>0.191740413</v>
      </c>
      <c r="J7021" s="2">
        <v>99.0</v>
      </c>
      <c r="K7021" s="3">
        <f t="shared" si="4"/>
        <v>0.1460176991</v>
      </c>
      <c r="L7021" s="2">
        <v>79.0</v>
      </c>
      <c r="M7021" s="3">
        <f t="shared" si="5"/>
        <v>0.6076923077</v>
      </c>
      <c r="N7021" s="2">
        <v>763800.0</v>
      </c>
      <c r="O7021" s="4">
        <f t="shared" si="6"/>
        <v>5875.384615</v>
      </c>
      <c r="P7021" s="2">
        <v>1.0</v>
      </c>
      <c r="Q7021" s="3">
        <f t="shared" si="7"/>
        <v>0.01612903226</v>
      </c>
      <c r="R7021" s="2">
        <v>62.0</v>
      </c>
      <c r="S7021" s="5">
        <f t="shared" si="8"/>
        <v>1</v>
      </c>
    </row>
    <row r="7022">
      <c r="A7022" s="2" t="s">
        <v>7019</v>
      </c>
      <c r="B7022" s="2">
        <v>117.0</v>
      </c>
      <c r="C7022" s="2">
        <v>1464.0</v>
      </c>
      <c r="D7022" s="2">
        <v>475.0</v>
      </c>
      <c r="E7022" s="3">
        <f t="shared" si="1"/>
        <v>0.3526354863</v>
      </c>
      <c r="F7022" s="2">
        <v>149.0</v>
      </c>
      <c r="G7022" s="3">
        <f t="shared" si="2"/>
        <v>0.1106161841</v>
      </c>
      <c r="H7022" s="2">
        <v>286.0</v>
      </c>
      <c r="I7022" s="3">
        <f t="shared" si="3"/>
        <v>0.2123236823</v>
      </c>
      <c r="J7022" s="2">
        <v>230.0</v>
      </c>
      <c r="K7022" s="3">
        <f t="shared" si="4"/>
        <v>0.1707498144</v>
      </c>
      <c r="L7022" s="2">
        <v>190.0</v>
      </c>
      <c r="M7022" s="3">
        <f t="shared" si="5"/>
        <v>0.6643356643</v>
      </c>
      <c r="N7022" s="2">
        <v>1556000.0</v>
      </c>
      <c r="O7022" s="4">
        <f t="shared" si="6"/>
        <v>5440.559441</v>
      </c>
      <c r="P7022" s="2">
        <v>0.0</v>
      </c>
      <c r="Q7022" s="3">
        <f t="shared" si="7"/>
        <v>0</v>
      </c>
      <c r="R7022" s="2">
        <v>30.0</v>
      </c>
      <c r="S7022" s="5">
        <f t="shared" si="8"/>
        <v>0.2564102564</v>
      </c>
    </row>
    <row r="7023">
      <c r="A7023" s="2" t="s">
        <v>7020</v>
      </c>
      <c r="B7023" s="2">
        <v>245.0</v>
      </c>
      <c r="C7023" s="2">
        <v>2876.0</v>
      </c>
      <c r="D7023" s="2">
        <v>993.0</v>
      </c>
      <c r="E7023" s="3">
        <f t="shared" si="1"/>
        <v>0.3774230331</v>
      </c>
      <c r="F7023" s="2">
        <v>291.0</v>
      </c>
      <c r="G7023" s="3">
        <f t="shared" si="2"/>
        <v>0.110604333</v>
      </c>
      <c r="H7023" s="2">
        <v>559.0</v>
      </c>
      <c r="I7023" s="3">
        <f t="shared" si="3"/>
        <v>0.2124667427</v>
      </c>
      <c r="J7023" s="2">
        <v>469.0</v>
      </c>
      <c r="K7023" s="3">
        <f t="shared" si="4"/>
        <v>0.178259217</v>
      </c>
      <c r="L7023" s="2">
        <v>315.0</v>
      </c>
      <c r="M7023" s="3">
        <f t="shared" si="5"/>
        <v>0.5635062612</v>
      </c>
      <c r="N7023" s="2">
        <v>3291700.0</v>
      </c>
      <c r="O7023" s="4">
        <f t="shared" si="6"/>
        <v>5888.550984</v>
      </c>
      <c r="P7023" s="2">
        <v>1.0</v>
      </c>
      <c r="Q7023" s="3">
        <f t="shared" si="7"/>
        <v>0.004081632653</v>
      </c>
      <c r="R7023" s="2">
        <v>0.0</v>
      </c>
      <c r="S7023" s="5">
        <f t="shared" si="8"/>
        <v>0</v>
      </c>
    </row>
    <row r="7024">
      <c r="A7024" s="2" t="s">
        <v>7021</v>
      </c>
      <c r="B7024" s="2">
        <v>127.0</v>
      </c>
      <c r="C7024" s="2">
        <v>1520.0</v>
      </c>
      <c r="D7024" s="2">
        <v>246.0</v>
      </c>
      <c r="E7024" s="3">
        <f t="shared" si="1"/>
        <v>0.1765972721</v>
      </c>
      <c r="F7024" s="2">
        <v>154.0</v>
      </c>
      <c r="G7024" s="3">
        <f t="shared" si="2"/>
        <v>0.1105527638</v>
      </c>
      <c r="H7024" s="2">
        <v>229.0</v>
      </c>
      <c r="I7024" s="3">
        <f t="shared" si="3"/>
        <v>0.1643933955</v>
      </c>
      <c r="J7024" s="2">
        <v>237.0</v>
      </c>
      <c r="K7024" s="3">
        <f t="shared" si="4"/>
        <v>0.1701363963</v>
      </c>
      <c r="L7024" s="2">
        <v>139.0</v>
      </c>
      <c r="M7024" s="3">
        <f t="shared" si="5"/>
        <v>0.6069868996</v>
      </c>
      <c r="N7024" s="2">
        <v>1460400.0</v>
      </c>
      <c r="O7024" s="4">
        <f t="shared" si="6"/>
        <v>6377.292576</v>
      </c>
      <c r="P7024" s="2">
        <v>0.0</v>
      </c>
      <c r="Q7024" s="3">
        <f t="shared" si="7"/>
        <v>0</v>
      </c>
      <c r="R7024" s="2">
        <v>127.0</v>
      </c>
      <c r="S7024" s="5">
        <f t="shared" si="8"/>
        <v>1</v>
      </c>
    </row>
    <row r="7025">
      <c r="A7025" s="2" t="s">
        <v>7022</v>
      </c>
      <c r="B7025" s="2">
        <v>36.0</v>
      </c>
      <c r="C7025" s="2">
        <v>434.0</v>
      </c>
      <c r="D7025" s="2">
        <v>153.0</v>
      </c>
      <c r="E7025" s="3">
        <f t="shared" si="1"/>
        <v>0.3844221106</v>
      </c>
      <c r="F7025" s="2">
        <v>44.0</v>
      </c>
      <c r="G7025" s="3">
        <f t="shared" si="2"/>
        <v>0.1105527638</v>
      </c>
      <c r="H7025" s="2">
        <v>89.0</v>
      </c>
      <c r="I7025" s="3">
        <f t="shared" si="3"/>
        <v>0.2236180905</v>
      </c>
      <c r="J7025" s="2">
        <v>60.0</v>
      </c>
      <c r="K7025" s="3">
        <f t="shared" si="4"/>
        <v>0.1507537688</v>
      </c>
      <c r="L7025" s="2">
        <v>48.0</v>
      </c>
      <c r="M7025" s="3">
        <f t="shared" si="5"/>
        <v>0.5393258427</v>
      </c>
      <c r="N7025" s="2">
        <v>443200.0</v>
      </c>
      <c r="O7025" s="4">
        <f t="shared" si="6"/>
        <v>4979.775281</v>
      </c>
      <c r="P7025" s="2">
        <v>0.0</v>
      </c>
      <c r="Q7025" s="3">
        <f t="shared" si="7"/>
        <v>0</v>
      </c>
      <c r="R7025" s="2">
        <v>36.0</v>
      </c>
      <c r="S7025" s="5">
        <f t="shared" si="8"/>
        <v>1</v>
      </c>
    </row>
    <row r="7026">
      <c r="A7026" s="2" t="s">
        <v>7023</v>
      </c>
      <c r="B7026" s="2">
        <v>244.0</v>
      </c>
      <c r="C7026" s="2">
        <v>2822.0</v>
      </c>
      <c r="D7026" s="2">
        <v>734.0</v>
      </c>
      <c r="E7026" s="3">
        <f t="shared" si="1"/>
        <v>0.2847168348</v>
      </c>
      <c r="F7026" s="2">
        <v>285.0</v>
      </c>
      <c r="G7026" s="3">
        <f t="shared" si="2"/>
        <v>0.1105508146</v>
      </c>
      <c r="H7026" s="2">
        <v>499.0</v>
      </c>
      <c r="I7026" s="3">
        <f t="shared" si="3"/>
        <v>0.1935608999</v>
      </c>
      <c r="J7026" s="2">
        <v>501.0</v>
      </c>
      <c r="K7026" s="3">
        <f t="shared" si="4"/>
        <v>0.1943366951</v>
      </c>
      <c r="L7026" s="2">
        <v>281.0</v>
      </c>
      <c r="M7026" s="3">
        <f t="shared" si="5"/>
        <v>0.5631262525</v>
      </c>
      <c r="N7026" s="2">
        <v>3117200.0</v>
      </c>
      <c r="O7026" s="4">
        <f t="shared" si="6"/>
        <v>6246.893788</v>
      </c>
      <c r="P7026" s="2">
        <v>0.0</v>
      </c>
      <c r="Q7026" s="3">
        <f t="shared" si="7"/>
        <v>0</v>
      </c>
      <c r="R7026" s="2">
        <v>244.0</v>
      </c>
      <c r="S7026" s="5">
        <f t="shared" si="8"/>
        <v>1</v>
      </c>
    </row>
    <row r="7027">
      <c r="A7027" s="2" t="s">
        <v>7024</v>
      </c>
      <c r="B7027" s="2">
        <v>289.0</v>
      </c>
      <c r="C7027" s="2">
        <v>3419.0</v>
      </c>
      <c r="D7027" s="2">
        <v>1009.0</v>
      </c>
      <c r="E7027" s="3">
        <f t="shared" si="1"/>
        <v>0.3223642173</v>
      </c>
      <c r="F7027" s="2">
        <v>346.0</v>
      </c>
      <c r="G7027" s="3">
        <f t="shared" si="2"/>
        <v>0.110543131</v>
      </c>
      <c r="H7027" s="2">
        <v>618.0</v>
      </c>
      <c r="I7027" s="3">
        <f t="shared" si="3"/>
        <v>0.1974440895</v>
      </c>
      <c r="J7027" s="2">
        <v>558.0</v>
      </c>
      <c r="K7027" s="3">
        <f t="shared" si="4"/>
        <v>0.1782747604</v>
      </c>
      <c r="L7027" s="2">
        <v>374.0</v>
      </c>
      <c r="M7027" s="3">
        <f t="shared" si="5"/>
        <v>0.6051779935</v>
      </c>
      <c r="N7027" s="2">
        <v>3320200.0</v>
      </c>
      <c r="O7027" s="4">
        <f t="shared" si="6"/>
        <v>5372.491909</v>
      </c>
      <c r="P7027" s="2">
        <v>0.0</v>
      </c>
      <c r="Q7027" s="3">
        <f t="shared" si="7"/>
        <v>0</v>
      </c>
      <c r="R7027" s="2">
        <v>289.0</v>
      </c>
      <c r="S7027" s="5">
        <f t="shared" si="8"/>
        <v>1</v>
      </c>
    </row>
    <row r="7028">
      <c r="A7028" s="2" t="s">
        <v>7025</v>
      </c>
      <c r="B7028" s="2">
        <v>36.0</v>
      </c>
      <c r="C7028" s="2">
        <v>425.0</v>
      </c>
      <c r="D7028" s="2">
        <v>104.0</v>
      </c>
      <c r="E7028" s="3">
        <f t="shared" si="1"/>
        <v>0.2673521851</v>
      </c>
      <c r="F7028" s="2">
        <v>43.0</v>
      </c>
      <c r="G7028" s="3">
        <f t="shared" si="2"/>
        <v>0.1105398458</v>
      </c>
      <c r="H7028" s="2">
        <v>90.0</v>
      </c>
      <c r="I7028" s="3">
        <f t="shared" si="3"/>
        <v>0.2313624679</v>
      </c>
      <c r="J7028" s="2">
        <v>52.0</v>
      </c>
      <c r="K7028" s="3">
        <f t="shared" si="4"/>
        <v>0.1336760925</v>
      </c>
      <c r="L7028" s="2">
        <v>51.0</v>
      </c>
      <c r="M7028" s="3">
        <f t="shared" si="5"/>
        <v>0.5666666667</v>
      </c>
      <c r="N7028" s="2">
        <v>553700.0</v>
      </c>
      <c r="O7028" s="4">
        <f t="shared" si="6"/>
        <v>6152.222222</v>
      </c>
      <c r="P7028" s="2">
        <v>0.0</v>
      </c>
      <c r="Q7028" s="3">
        <f t="shared" si="7"/>
        <v>0</v>
      </c>
      <c r="R7028" s="2">
        <v>0.0</v>
      </c>
      <c r="S7028" s="5">
        <f t="shared" si="8"/>
        <v>0</v>
      </c>
    </row>
    <row r="7029">
      <c r="A7029" s="2" t="s">
        <v>7026</v>
      </c>
      <c r="B7029" s="2">
        <v>1802.0</v>
      </c>
      <c r="C7029" s="2">
        <v>21209.0</v>
      </c>
      <c r="D7029" s="2">
        <v>6630.0</v>
      </c>
      <c r="E7029" s="3">
        <f t="shared" si="1"/>
        <v>0.341629309</v>
      </c>
      <c r="F7029" s="2">
        <v>2145.0</v>
      </c>
      <c r="G7029" s="3">
        <f t="shared" si="2"/>
        <v>0.1105271294</v>
      </c>
      <c r="H7029" s="2">
        <v>3954.0</v>
      </c>
      <c r="I7029" s="3">
        <f t="shared" si="3"/>
        <v>0.2037409182</v>
      </c>
      <c r="J7029" s="2">
        <v>2688.0</v>
      </c>
      <c r="K7029" s="3">
        <f t="shared" si="4"/>
        <v>0.1385067244</v>
      </c>
      <c r="L7029" s="2">
        <v>2440.0</v>
      </c>
      <c r="M7029" s="3">
        <f t="shared" si="5"/>
        <v>0.617096611</v>
      </c>
      <c r="N7029" s="2">
        <v>2.17052E7</v>
      </c>
      <c r="O7029" s="4">
        <f t="shared" si="6"/>
        <v>5489.428427</v>
      </c>
      <c r="P7029" s="2">
        <v>3.0</v>
      </c>
      <c r="Q7029" s="3">
        <f t="shared" si="7"/>
        <v>0.00166481687</v>
      </c>
      <c r="R7029" s="2">
        <v>1802.0</v>
      </c>
      <c r="S7029" s="5">
        <f t="shared" si="8"/>
        <v>1</v>
      </c>
    </row>
    <row r="7030">
      <c r="A7030" s="2" t="s">
        <v>7027</v>
      </c>
      <c r="B7030" s="2">
        <v>1296.0</v>
      </c>
      <c r="C7030" s="2">
        <v>15275.0</v>
      </c>
      <c r="D7030" s="2">
        <v>4855.0</v>
      </c>
      <c r="E7030" s="3">
        <f t="shared" si="1"/>
        <v>0.3473066743</v>
      </c>
      <c r="F7030" s="2">
        <v>1545.0</v>
      </c>
      <c r="G7030" s="3">
        <f t="shared" si="2"/>
        <v>0.1105229272</v>
      </c>
      <c r="H7030" s="2">
        <v>2762.0</v>
      </c>
      <c r="I7030" s="3">
        <f t="shared" si="3"/>
        <v>0.1975820874</v>
      </c>
      <c r="J7030" s="2">
        <v>1683.0</v>
      </c>
      <c r="K7030" s="3">
        <f t="shared" si="4"/>
        <v>0.120394878</v>
      </c>
      <c r="L7030" s="2">
        <v>1686.0</v>
      </c>
      <c r="M7030" s="3">
        <f t="shared" si="5"/>
        <v>0.6104272266</v>
      </c>
      <c r="N7030" s="2">
        <v>1.473E7</v>
      </c>
      <c r="O7030" s="4">
        <f t="shared" si="6"/>
        <v>5333.091962</v>
      </c>
      <c r="P7030" s="2">
        <v>3.0</v>
      </c>
      <c r="Q7030" s="3">
        <f t="shared" si="7"/>
        <v>0.002314814815</v>
      </c>
      <c r="R7030" s="2">
        <v>1296.0</v>
      </c>
      <c r="S7030" s="5">
        <f t="shared" si="8"/>
        <v>1</v>
      </c>
    </row>
    <row r="7031">
      <c r="A7031" s="2" t="s">
        <v>7028</v>
      </c>
      <c r="B7031" s="2">
        <v>428.0</v>
      </c>
      <c r="C7031" s="2">
        <v>4935.0</v>
      </c>
      <c r="D7031" s="2">
        <v>1125.0</v>
      </c>
      <c r="E7031" s="3">
        <f t="shared" si="1"/>
        <v>0.2496117151</v>
      </c>
      <c r="F7031" s="2">
        <v>498.0</v>
      </c>
      <c r="G7031" s="3">
        <f t="shared" si="2"/>
        <v>0.1104947859</v>
      </c>
      <c r="H7031" s="2">
        <v>849.0</v>
      </c>
      <c r="I7031" s="3">
        <f t="shared" si="3"/>
        <v>0.188373641</v>
      </c>
      <c r="J7031" s="2">
        <v>886.0</v>
      </c>
      <c r="K7031" s="3">
        <f t="shared" si="4"/>
        <v>0.196583093</v>
      </c>
      <c r="L7031" s="2">
        <v>506.0</v>
      </c>
      <c r="M7031" s="3">
        <f t="shared" si="5"/>
        <v>0.5959952886</v>
      </c>
      <c r="N7031" s="2">
        <v>5287500.0</v>
      </c>
      <c r="O7031" s="4">
        <f t="shared" si="6"/>
        <v>6227.915194</v>
      </c>
      <c r="P7031" s="2">
        <v>3.0</v>
      </c>
      <c r="Q7031" s="3">
        <f t="shared" si="7"/>
        <v>0.007009345794</v>
      </c>
      <c r="R7031" s="2">
        <v>128.0</v>
      </c>
      <c r="S7031" s="5">
        <f t="shared" si="8"/>
        <v>0.2990654206</v>
      </c>
    </row>
    <row r="7032">
      <c r="A7032" s="2" t="s">
        <v>7029</v>
      </c>
      <c r="B7032" s="2">
        <v>1575.0</v>
      </c>
      <c r="C7032" s="2">
        <v>18394.0</v>
      </c>
      <c r="D7032" s="2">
        <v>6061.0</v>
      </c>
      <c r="E7032" s="3">
        <f t="shared" si="1"/>
        <v>0.3603662525</v>
      </c>
      <c r="F7032" s="2">
        <v>1858.0</v>
      </c>
      <c r="G7032" s="3">
        <f t="shared" si="2"/>
        <v>0.1104703014</v>
      </c>
      <c r="H7032" s="2">
        <v>3606.0</v>
      </c>
      <c r="I7032" s="3">
        <f t="shared" si="3"/>
        <v>0.2144003805</v>
      </c>
      <c r="J7032" s="2">
        <v>2744.0</v>
      </c>
      <c r="K7032" s="3">
        <f t="shared" si="4"/>
        <v>0.1631488198</v>
      </c>
      <c r="L7032" s="2">
        <v>2212.0</v>
      </c>
      <c r="M7032" s="3">
        <f t="shared" si="5"/>
        <v>0.6134220743</v>
      </c>
      <c r="N7032" s="2">
        <v>2.06721E7</v>
      </c>
      <c r="O7032" s="4">
        <f t="shared" si="6"/>
        <v>5732.695507</v>
      </c>
      <c r="P7032" s="2">
        <v>2.0</v>
      </c>
      <c r="Q7032" s="3">
        <f t="shared" si="7"/>
        <v>0.00126984127</v>
      </c>
      <c r="R7032" s="2">
        <v>1575.0</v>
      </c>
      <c r="S7032" s="5">
        <f t="shared" si="8"/>
        <v>1</v>
      </c>
    </row>
    <row r="7033">
      <c r="A7033" s="2" t="s">
        <v>7030</v>
      </c>
      <c r="B7033" s="2">
        <v>572.0</v>
      </c>
      <c r="C7033" s="2">
        <v>6737.0</v>
      </c>
      <c r="D7033" s="2">
        <v>1953.0</v>
      </c>
      <c r="E7033" s="3">
        <f t="shared" si="1"/>
        <v>0.3167883212</v>
      </c>
      <c r="F7033" s="2">
        <v>681.0</v>
      </c>
      <c r="G7033" s="3">
        <f t="shared" si="2"/>
        <v>0.1104622871</v>
      </c>
      <c r="H7033" s="2">
        <v>1228.0</v>
      </c>
      <c r="I7033" s="3">
        <f t="shared" si="3"/>
        <v>0.19918897</v>
      </c>
      <c r="J7033" s="2">
        <v>1031.0</v>
      </c>
      <c r="K7033" s="3">
        <f t="shared" si="4"/>
        <v>0.1672343877</v>
      </c>
      <c r="L7033" s="2">
        <v>708.0</v>
      </c>
      <c r="M7033" s="3">
        <f t="shared" si="5"/>
        <v>0.5765472313</v>
      </c>
      <c r="N7033" s="2">
        <v>6892600.0</v>
      </c>
      <c r="O7033" s="4">
        <f t="shared" si="6"/>
        <v>5612.86645</v>
      </c>
      <c r="P7033" s="2">
        <v>1.0</v>
      </c>
      <c r="Q7033" s="3">
        <f t="shared" si="7"/>
        <v>0.001748251748</v>
      </c>
      <c r="R7033" s="2">
        <v>0.0</v>
      </c>
      <c r="S7033" s="5">
        <f t="shared" si="8"/>
        <v>0</v>
      </c>
    </row>
    <row r="7034">
      <c r="A7034" s="2" t="s">
        <v>7031</v>
      </c>
      <c r="B7034" s="2">
        <v>2010.0</v>
      </c>
      <c r="C7034" s="2">
        <v>23384.0</v>
      </c>
      <c r="D7034" s="2">
        <v>7095.0</v>
      </c>
      <c r="E7034" s="3">
        <f t="shared" si="1"/>
        <v>0.3319453542</v>
      </c>
      <c r="F7034" s="2">
        <v>2361.0</v>
      </c>
      <c r="G7034" s="3">
        <f t="shared" si="2"/>
        <v>0.1104613081</v>
      </c>
      <c r="H7034" s="2">
        <v>4339.0</v>
      </c>
      <c r="I7034" s="3">
        <f t="shared" si="3"/>
        <v>0.2030036493</v>
      </c>
      <c r="J7034" s="2">
        <v>3608.0</v>
      </c>
      <c r="K7034" s="3">
        <f t="shared" si="4"/>
        <v>0.1688032189</v>
      </c>
      <c r="L7034" s="2">
        <v>2554.0</v>
      </c>
      <c r="M7034" s="3">
        <f t="shared" si="5"/>
        <v>0.5886148882</v>
      </c>
      <c r="N7034" s="2">
        <v>2.56974E7</v>
      </c>
      <c r="O7034" s="4">
        <f t="shared" si="6"/>
        <v>5922.424522</v>
      </c>
      <c r="P7034" s="2">
        <v>6.0</v>
      </c>
      <c r="Q7034" s="3">
        <f t="shared" si="7"/>
        <v>0.002985074627</v>
      </c>
      <c r="R7034" s="2">
        <v>0.0</v>
      </c>
      <c r="S7034" s="5">
        <f t="shared" si="8"/>
        <v>0</v>
      </c>
    </row>
    <row r="7035">
      <c r="A7035" s="2" t="s">
        <v>7032</v>
      </c>
      <c r="B7035" s="2">
        <v>2170.0</v>
      </c>
      <c r="C7035" s="2">
        <v>25639.0</v>
      </c>
      <c r="D7035" s="2">
        <v>9322.0</v>
      </c>
      <c r="E7035" s="3">
        <f t="shared" si="1"/>
        <v>0.3972048234</v>
      </c>
      <c r="F7035" s="2">
        <v>2592.0</v>
      </c>
      <c r="G7035" s="3">
        <f t="shared" si="2"/>
        <v>0.1104435639</v>
      </c>
      <c r="H7035" s="2">
        <v>5130.0</v>
      </c>
      <c r="I7035" s="3">
        <f t="shared" si="3"/>
        <v>0.2185862201</v>
      </c>
      <c r="J7035" s="2">
        <v>3697.0</v>
      </c>
      <c r="K7035" s="3">
        <f t="shared" si="4"/>
        <v>0.1575269504</v>
      </c>
      <c r="L7035" s="2">
        <v>3068.0</v>
      </c>
      <c r="M7035" s="3">
        <f t="shared" si="5"/>
        <v>0.5980506823</v>
      </c>
      <c r="N7035" s="2">
        <v>2.73565E7</v>
      </c>
      <c r="O7035" s="4">
        <f t="shared" si="6"/>
        <v>5332.651072</v>
      </c>
      <c r="P7035" s="2">
        <v>3.0</v>
      </c>
      <c r="Q7035" s="3">
        <f t="shared" si="7"/>
        <v>0.001382488479</v>
      </c>
      <c r="R7035" s="2">
        <v>2170.0</v>
      </c>
      <c r="S7035" s="5">
        <f t="shared" si="8"/>
        <v>1</v>
      </c>
    </row>
    <row r="7036">
      <c r="A7036" s="2" t="s">
        <v>7033</v>
      </c>
      <c r="B7036" s="2">
        <v>2662.0</v>
      </c>
      <c r="C7036" s="2">
        <v>31556.0</v>
      </c>
      <c r="D7036" s="2">
        <v>10096.0</v>
      </c>
      <c r="E7036" s="3">
        <f t="shared" si="1"/>
        <v>0.3494151035</v>
      </c>
      <c r="F7036" s="2">
        <v>3191.0</v>
      </c>
      <c r="G7036" s="3">
        <f t="shared" si="2"/>
        <v>0.1104381532</v>
      </c>
      <c r="H7036" s="2">
        <v>5830.0</v>
      </c>
      <c r="I7036" s="3">
        <f t="shared" si="3"/>
        <v>0.2017719942</v>
      </c>
      <c r="J7036" s="2">
        <v>4793.0</v>
      </c>
      <c r="K7036" s="3">
        <f t="shared" si="4"/>
        <v>0.1658821901</v>
      </c>
      <c r="L7036" s="2">
        <v>3441.0</v>
      </c>
      <c r="M7036" s="3">
        <f t="shared" si="5"/>
        <v>0.5902229846</v>
      </c>
      <c r="N7036" s="2">
        <v>3.22435E7</v>
      </c>
      <c r="O7036" s="4">
        <f t="shared" si="6"/>
        <v>5530.617496</v>
      </c>
      <c r="P7036" s="2">
        <v>2.0</v>
      </c>
      <c r="Q7036" s="3">
        <f t="shared" si="7"/>
        <v>0.0007513148009</v>
      </c>
      <c r="R7036" s="2">
        <v>2662.0</v>
      </c>
      <c r="S7036" s="5">
        <f t="shared" si="8"/>
        <v>1</v>
      </c>
    </row>
    <row r="7037">
      <c r="A7037" s="2" t="s">
        <v>7034</v>
      </c>
      <c r="B7037" s="2">
        <v>120.0</v>
      </c>
      <c r="C7037" s="2">
        <v>1415.0</v>
      </c>
      <c r="D7037" s="2">
        <v>440.0</v>
      </c>
      <c r="E7037" s="3">
        <f t="shared" si="1"/>
        <v>0.3397683398</v>
      </c>
      <c r="F7037" s="2">
        <v>143.0</v>
      </c>
      <c r="G7037" s="3">
        <f t="shared" si="2"/>
        <v>0.1104247104</v>
      </c>
      <c r="H7037" s="2">
        <v>262.0</v>
      </c>
      <c r="I7037" s="3">
        <f t="shared" si="3"/>
        <v>0.2023166023</v>
      </c>
      <c r="J7037" s="2">
        <v>221.0</v>
      </c>
      <c r="K7037" s="3">
        <f t="shared" si="4"/>
        <v>0.1706563707</v>
      </c>
      <c r="L7037" s="2">
        <v>148.0</v>
      </c>
      <c r="M7037" s="3">
        <f t="shared" si="5"/>
        <v>0.5648854962</v>
      </c>
      <c r="N7037" s="2">
        <v>1490000.0</v>
      </c>
      <c r="O7037" s="4">
        <f t="shared" si="6"/>
        <v>5687.022901</v>
      </c>
      <c r="P7037" s="2">
        <v>0.0</v>
      </c>
      <c r="Q7037" s="3">
        <f t="shared" si="7"/>
        <v>0</v>
      </c>
      <c r="R7037" s="2">
        <v>120.0</v>
      </c>
      <c r="S7037" s="5">
        <f t="shared" si="8"/>
        <v>1</v>
      </c>
    </row>
    <row r="7038">
      <c r="A7038" s="2" t="s">
        <v>7035</v>
      </c>
      <c r="B7038" s="2">
        <v>232.0</v>
      </c>
      <c r="C7038" s="2">
        <v>2659.0</v>
      </c>
      <c r="D7038" s="2">
        <v>808.0</v>
      </c>
      <c r="E7038" s="3">
        <f t="shared" si="1"/>
        <v>0.332921302</v>
      </c>
      <c r="F7038" s="2">
        <v>268.0</v>
      </c>
      <c r="G7038" s="3">
        <f t="shared" si="2"/>
        <v>0.1104243923</v>
      </c>
      <c r="H7038" s="2">
        <v>512.0</v>
      </c>
      <c r="I7038" s="3">
        <f t="shared" si="3"/>
        <v>0.210960033</v>
      </c>
      <c r="J7038" s="2">
        <v>453.0</v>
      </c>
      <c r="K7038" s="3">
        <f t="shared" si="4"/>
        <v>0.1866501854</v>
      </c>
      <c r="L7038" s="2">
        <v>320.0</v>
      </c>
      <c r="M7038" s="3">
        <f t="shared" si="5"/>
        <v>0.625</v>
      </c>
      <c r="N7038" s="2">
        <v>2919800.0</v>
      </c>
      <c r="O7038" s="4">
        <f t="shared" si="6"/>
        <v>5702.734375</v>
      </c>
      <c r="P7038" s="2">
        <v>0.0</v>
      </c>
      <c r="Q7038" s="3">
        <f t="shared" si="7"/>
        <v>0</v>
      </c>
      <c r="R7038" s="2">
        <v>0.0</v>
      </c>
      <c r="S7038" s="5">
        <f t="shared" si="8"/>
        <v>0</v>
      </c>
    </row>
    <row r="7039">
      <c r="A7039" s="2" t="s">
        <v>7036</v>
      </c>
      <c r="B7039" s="2">
        <v>2353.0</v>
      </c>
      <c r="C7039" s="2">
        <v>27547.0</v>
      </c>
      <c r="D7039" s="2">
        <v>8549.0</v>
      </c>
      <c r="E7039" s="3">
        <f t="shared" si="1"/>
        <v>0.3393268238</v>
      </c>
      <c r="F7039" s="2">
        <v>2782.0</v>
      </c>
      <c r="G7039" s="3">
        <f t="shared" si="2"/>
        <v>0.1104231166</v>
      </c>
      <c r="H7039" s="2">
        <v>5263.0</v>
      </c>
      <c r="I7039" s="3">
        <f t="shared" si="3"/>
        <v>0.2088989442</v>
      </c>
      <c r="J7039" s="2">
        <v>4556.0</v>
      </c>
      <c r="K7039" s="3">
        <f t="shared" si="4"/>
        <v>0.1808367072</v>
      </c>
      <c r="L7039" s="2">
        <v>3049.0</v>
      </c>
      <c r="M7039" s="3">
        <f t="shared" si="5"/>
        <v>0.5793273798</v>
      </c>
      <c r="N7039" s="2">
        <v>3.10509E7</v>
      </c>
      <c r="O7039" s="4">
        <f t="shared" si="6"/>
        <v>5899.847995</v>
      </c>
      <c r="P7039" s="2">
        <v>3.0</v>
      </c>
      <c r="Q7039" s="3">
        <f t="shared" si="7"/>
        <v>0.001274968126</v>
      </c>
      <c r="R7039" s="2">
        <v>2353.0</v>
      </c>
      <c r="S7039" s="5">
        <f t="shared" si="8"/>
        <v>1</v>
      </c>
    </row>
    <row r="7040">
      <c r="A7040" s="2" t="s">
        <v>7037</v>
      </c>
      <c r="B7040" s="2">
        <v>950.0</v>
      </c>
      <c r="C7040" s="2">
        <v>11067.0</v>
      </c>
      <c r="D7040" s="2">
        <v>3683.0</v>
      </c>
      <c r="E7040" s="3">
        <f t="shared" si="1"/>
        <v>0.3640407235</v>
      </c>
      <c r="F7040" s="2">
        <v>1117.0</v>
      </c>
      <c r="G7040" s="3">
        <f t="shared" si="2"/>
        <v>0.1104082238</v>
      </c>
      <c r="H7040" s="2">
        <v>2074.0</v>
      </c>
      <c r="I7040" s="3">
        <f t="shared" si="3"/>
        <v>0.2050014827</v>
      </c>
      <c r="J7040" s="2">
        <v>1620.0</v>
      </c>
      <c r="K7040" s="3">
        <f t="shared" si="4"/>
        <v>0.1601265197</v>
      </c>
      <c r="L7040" s="2">
        <v>1215.0</v>
      </c>
      <c r="M7040" s="3">
        <f t="shared" si="5"/>
        <v>0.5858244937</v>
      </c>
      <c r="N7040" s="2">
        <v>1.23654E7</v>
      </c>
      <c r="O7040" s="4">
        <f t="shared" si="6"/>
        <v>5962.102218</v>
      </c>
      <c r="P7040" s="2">
        <v>4.0</v>
      </c>
      <c r="Q7040" s="3">
        <f t="shared" si="7"/>
        <v>0.004210526316</v>
      </c>
      <c r="R7040" s="2">
        <v>950.0</v>
      </c>
      <c r="S7040" s="5">
        <f t="shared" si="8"/>
        <v>1</v>
      </c>
    </row>
    <row r="7041">
      <c r="A7041" s="2" t="s">
        <v>7038</v>
      </c>
      <c r="B7041" s="2">
        <v>129.0</v>
      </c>
      <c r="C7041" s="2">
        <v>1551.0</v>
      </c>
      <c r="D7041" s="2">
        <v>525.0</v>
      </c>
      <c r="E7041" s="3">
        <f t="shared" si="1"/>
        <v>0.3691983122</v>
      </c>
      <c r="F7041" s="2">
        <v>157.0</v>
      </c>
      <c r="G7041" s="3">
        <f t="shared" si="2"/>
        <v>0.1104078762</v>
      </c>
      <c r="H7041" s="2">
        <v>295.0</v>
      </c>
      <c r="I7041" s="3">
        <f t="shared" si="3"/>
        <v>0.2074542897</v>
      </c>
      <c r="J7041" s="2">
        <v>226.0</v>
      </c>
      <c r="K7041" s="3">
        <f t="shared" si="4"/>
        <v>0.158931083</v>
      </c>
      <c r="L7041" s="2">
        <v>189.0</v>
      </c>
      <c r="M7041" s="3">
        <f t="shared" si="5"/>
        <v>0.6406779661</v>
      </c>
      <c r="N7041" s="2">
        <v>1595400.0</v>
      </c>
      <c r="O7041" s="4">
        <f t="shared" si="6"/>
        <v>5408.135593</v>
      </c>
      <c r="P7041" s="2">
        <v>0.0</v>
      </c>
      <c r="Q7041" s="3">
        <f t="shared" si="7"/>
        <v>0</v>
      </c>
      <c r="R7041" s="2">
        <v>0.0</v>
      </c>
      <c r="S7041" s="5">
        <f t="shared" si="8"/>
        <v>0</v>
      </c>
    </row>
    <row r="7042">
      <c r="A7042" s="2" t="s">
        <v>7039</v>
      </c>
      <c r="B7042" s="2">
        <v>1187.0</v>
      </c>
      <c r="C7042" s="2">
        <v>14257.0</v>
      </c>
      <c r="D7042" s="2">
        <v>4969.0</v>
      </c>
      <c r="E7042" s="3">
        <f t="shared" si="1"/>
        <v>0.3801836266</v>
      </c>
      <c r="F7042" s="2">
        <v>1443.0</v>
      </c>
      <c r="G7042" s="3">
        <f t="shared" si="2"/>
        <v>0.1104055088</v>
      </c>
      <c r="H7042" s="2">
        <v>2774.0</v>
      </c>
      <c r="I7042" s="3">
        <f t="shared" si="3"/>
        <v>0.2122417751</v>
      </c>
      <c r="J7042" s="2">
        <v>2208.0</v>
      </c>
      <c r="K7042" s="3">
        <f t="shared" si="4"/>
        <v>0.1689364958</v>
      </c>
      <c r="L7042" s="2">
        <v>1595.0</v>
      </c>
      <c r="M7042" s="3">
        <f t="shared" si="5"/>
        <v>0.5749819755</v>
      </c>
      <c r="N7042" s="2">
        <v>1.51149E7</v>
      </c>
      <c r="O7042" s="4">
        <f t="shared" si="6"/>
        <v>5448.774333</v>
      </c>
      <c r="P7042" s="2">
        <v>1.0</v>
      </c>
      <c r="Q7042" s="3">
        <f t="shared" si="7"/>
        <v>0.0008424599832</v>
      </c>
      <c r="R7042" s="2">
        <v>1187.0</v>
      </c>
      <c r="S7042" s="5">
        <f t="shared" si="8"/>
        <v>1</v>
      </c>
    </row>
    <row r="7043">
      <c r="A7043" s="2" t="s">
        <v>7040</v>
      </c>
      <c r="B7043" s="2">
        <v>1076.0</v>
      </c>
      <c r="C7043" s="2">
        <v>12626.0</v>
      </c>
      <c r="D7043" s="2">
        <v>3439.0</v>
      </c>
      <c r="E7043" s="3">
        <f t="shared" si="1"/>
        <v>0.2977489177</v>
      </c>
      <c r="F7043" s="2">
        <v>1275.0</v>
      </c>
      <c r="G7043" s="3">
        <f t="shared" si="2"/>
        <v>0.1103896104</v>
      </c>
      <c r="H7043" s="2">
        <v>2163.0</v>
      </c>
      <c r="I7043" s="3">
        <f t="shared" si="3"/>
        <v>0.1872727273</v>
      </c>
      <c r="J7043" s="2">
        <v>1925.0</v>
      </c>
      <c r="K7043" s="3">
        <f t="shared" si="4"/>
        <v>0.1666666667</v>
      </c>
      <c r="L7043" s="2">
        <v>1296.0</v>
      </c>
      <c r="M7043" s="3">
        <f t="shared" si="5"/>
        <v>0.5991678225</v>
      </c>
      <c r="N7043" s="2">
        <v>1.31574E7</v>
      </c>
      <c r="O7043" s="4">
        <f t="shared" si="6"/>
        <v>6082.940361</v>
      </c>
      <c r="P7043" s="2">
        <v>2.0</v>
      </c>
      <c r="Q7043" s="3">
        <f t="shared" si="7"/>
        <v>0.001858736059</v>
      </c>
      <c r="R7043" s="2">
        <v>1076.0</v>
      </c>
      <c r="S7043" s="5">
        <f t="shared" si="8"/>
        <v>1</v>
      </c>
    </row>
    <row r="7044">
      <c r="A7044" s="2" t="s">
        <v>7041</v>
      </c>
      <c r="B7044" s="2">
        <v>15.0</v>
      </c>
      <c r="C7044" s="2">
        <v>169.0</v>
      </c>
      <c r="D7044" s="2">
        <v>54.0</v>
      </c>
      <c r="E7044" s="3">
        <f t="shared" si="1"/>
        <v>0.3506493506</v>
      </c>
      <c r="F7044" s="2">
        <v>17.0</v>
      </c>
      <c r="G7044" s="3">
        <f t="shared" si="2"/>
        <v>0.1103896104</v>
      </c>
      <c r="H7044" s="2">
        <v>35.0</v>
      </c>
      <c r="I7044" s="3">
        <f t="shared" si="3"/>
        <v>0.2272727273</v>
      </c>
      <c r="J7044" s="2">
        <v>19.0</v>
      </c>
      <c r="K7044" s="3">
        <f t="shared" si="4"/>
        <v>0.1233766234</v>
      </c>
      <c r="L7044" s="2">
        <v>23.0</v>
      </c>
      <c r="M7044" s="3">
        <f t="shared" si="5"/>
        <v>0.6571428571</v>
      </c>
      <c r="N7044" s="2">
        <v>138000.0</v>
      </c>
      <c r="O7044" s="4">
        <f t="shared" si="6"/>
        <v>3942.857143</v>
      </c>
      <c r="P7044" s="2">
        <v>0.0</v>
      </c>
      <c r="Q7044" s="3">
        <f t="shared" si="7"/>
        <v>0</v>
      </c>
      <c r="R7044" s="2">
        <v>15.0</v>
      </c>
      <c r="S7044" s="5">
        <f t="shared" si="8"/>
        <v>1</v>
      </c>
    </row>
    <row r="7045">
      <c r="A7045" s="2" t="s">
        <v>7042</v>
      </c>
      <c r="B7045" s="2">
        <v>212.0</v>
      </c>
      <c r="C7045" s="2">
        <v>2504.0</v>
      </c>
      <c r="D7045" s="2">
        <v>881.0</v>
      </c>
      <c r="E7045" s="3">
        <f t="shared" si="1"/>
        <v>0.3843804538</v>
      </c>
      <c r="F7045" s="2">
        <v>253.0</v>
      </c>
      <c r="G7045" s="3">
        <f t="shared" si="2"/>
        <v>0.1103839442</v>
      </c>
      <c r="H7045" s="2">
        <v>481.0</v>
      </c>
      <c r="I7045" s="3">
        <f t="shared" si="3"/>
        <v>0.2098603839</v>
      </c>
      <c r="J7045" s="2">
        <v>370.0</v>
      </c>
      <c r="K7045" s="3">
        <f t="shared" si="4"/>
        <v>0.1614310646</v>
      </c>
      <c r="L7045" s="2">
        <v>282.0</v>
      </c>
      <c r="M7045" s="3">
        <f t="shared" si="5"/>
        <v>0.5862785863</v>
      </c>
      <c r="N7045" s="2">
        <v>2635900.0</v>
      </c>
      <c r="O7045" s="4">
        <f t="shared" si="6"/>
        <v>5480.04158</v>
      </c>
      <c r="P7045" s="2">
        <v>0.0</v>
      </c>
      <c r="Q7045" s="3">
        <f t="shared" si="7"/>
        <v>0</v>
      </c>
      <c r="R7045" s="2">
        <v>0.0</v>
      </c>
      <c r="S7045" s="5">
        <f t="shared" si="8"/>
        <v>0</v>
      </c>
    </row>
    <row r="7046">
      <c r="A7046" s="2" t="s">
        <v>7043</v>
      </c>
      <c r="B7046" s="2">
        <v>82.0</v>
      </c>
      <c r="C7046" s="2">
        <v>988.0</v>
      </c>
      <c r="D7046" s="2">
        <v>208.0</v>
      </c>
      <c r="E7046" s="3">
        <f t="shared" si="1"/>
        <v>0.229580574</v>
      </c>
      <c r="F7046" s="2">
        <v>100.0</v>
      </c>
      <c r="G7046" s="3">
        <f t="shared" si="2"/>
        <v>0.1103752759</v>
      </c>
      <c r="H7046" s="2">
        <v>162.0</v>
      </c>
      <c r="I7046" s="3">
        <f t="shared" si="3"/>
        <v>0.178807947</v>
      </c>
      <c r="J7046" s="2">
        <v>128.0</v>
      </c>
      <c r="K7046" s="3">
        <f t="shared" si="4"/>
        <v>0.1412803532</v>
      </c>
      <c r="L7046" s="2">
        <v>96.0</v>
      </c>
      <c r="M7046" s="3">
        <f t="shared" si="5"/>
        <v>0.5925925926</v>
      </c>
      <c r="N7046" s="2">
        <v>925100.0</v>
      </c>
      <c r="O7046" s="4">
        <f t="shared" si="6"/>
        <v>5710.493827</v>
      </c>
      <c r="P7046" s="2">
        <v>1.0</v>
      </c>
      <c r="Q7046" s="3">
        <f t="shared" si="7"/>
        <v>0.01219512195</v>
      </c>
      <c r="R7046" s="2">
        <v>0.0</v>
      </c>
      <c r="S7046" s="5">
        <f t="shared" si="8"/>
        <v>0</v>
      </c>
    </row>
    <row r="7047">
      <c r="A7047" s="2" t="s">
        <v>7044</v>
      </c>
      <c r="B7047" s="2">
        <v>601.0</v>
      </c>
      <c r="C7047" s="2">
        <v>7061.0</v>
      </c>
      <c r="D7047" s="2">
        <v>2284.0</v>
      </c>
      <c r="E7047" s="3">
        <f t="shared" si="1"/>
        <v>0.3535603715</v>
      </c>
      <c r="F7047" s="2">
        <v>713.0</v>
      </c>
      <c r="G7047" s="3">
        <f t="shared" si="2"/>
        <v>0.110371517</v>
      </c>
      <c r="H7047" s="2">
        <v>1331.0</v>
      </c>
      <c r="I7047" s="3">
        <f t="shared" si="3"/>
        <v>0.2060371517</v>
      </c>
      <c r="J7047" s="2">
        <v>962.0</v>
      </c>
      <c r="K7047" s="3">
        <f t="shared" si="4"/>
        <v>0.1489164087</v>
      </c>
      <c r="L7047" s="2">
        <v>813.0</v>
      </c>
      <c r="M7047" s="3">
        <f t="shared" si="5"/>
        <v>0.6108189331</v>
      </c>
      <c r="N7047" s="2">
        <v>7157700.0</v>
      </c>
      <c r="O7047" s="4">
        <f t="shared" si="6"/>
        <v>5377.68595</v>
      </c>
      <c r="P7047" s="2">
        <v>0.0</v>
      </c>
      <c r="Q7047" s="3">
        <f t="shared" si="7"/>
        <v>0</v>
      </c>
      <c r="R7047" s="2">
        <v>600.0</v>
      </c>
      <c r="S7047" s="5">
        <f t="shared" si="8"/>
        <v>0.9983361065</v>
      </c>
    </row>
    <row r="7048">
      <c r="A7048" s="2" t="s">
        <v>7045</v>
      </c>
      <c r="B7048" s="2">
        <v>733.0</v>
      </c>
      <c r="C7048" s="2">
        <v>8625.0</v>
      </c>
      <c r="D7048" s="2">
        <v>2640.0</v>
      </c>
      <c r="E7048" s="3">
        <f t="shared" si="1"/>
        <v>0.3345159655</v>
      </c>
      <c r="F7048" s="2">
        <v>871.0</v>
      </c>
      <c r="G7048" s="3">
        <f t="shared" si="2"/>
        <v>0.1103649265</v>
      </c>
      <c r="H7048" s="2">
        <v>1560.0</v>
      </c>
      <c r="I7048" s="3">
        <f t="shared" si="3"/>
        <v>0.1976685251</v>
      </c>
      <c r="J7048" s="2">
        <v>1139.0</v>
      </c>
      <c r="K7048" s="3">
        <f t="shared" si="4"/>
        <v>0.1443233654</v>
      </c>
      <c r="L7048" s="2">
        <v>953.0</v>
      </c>
      <c r="M7048" s="3">
        <f t="shared" si="5"/>
        <v>0.6108974359</v>
      </c>
      <c r="N7048" s="2">
        <v>8217100.0</v>
      </c>
      <c r="O7048" s="4">
        <f t="shared" si="6"/>
        <v>5267.371795</v>
      </c>
      <c r="P7048" s="2">
        <v>2.0</v>
      </c>
      <c r="Q7048" s="3">
        <f t="shared" si="7"/>
        <v>0.00272851296</v>
      </c>
      <c r="R7048" s="2">
        <v>733.0</v>
      </c>
      <c r="S7048" s="5">
        <f t="shared" si="8"/>
        <v>1</v>
      </c>
    </row>
    <row r="7049">
      <c r="A7049" s="2" t="s">
        <v>7046</v>
      </c>
      <c r="B7049" s="2">
        <v>209.0</v>
      </c>
      <c r="C7049" s="2">
        <v>2402.0</v>
      </c>
      <c r="D7049" s="2">
        <v>649.0</v>
      </c>
      <c r="E7049" s="3">
        <f t="shared" si="1"/>
        <v>0.2959416325</v>
      </c>
      <c r="F7049" s="2">
        <v>242.0</v>
      </c>
      <c r="G7049" s="3">
        <f t="shared" si="2"/>
        <v>0.1103511172</v>
      </c>
      <c r="H7049" s="2">
        <v>416.0</v>
      </c>
      <c r="I7049" s="3">
        <f t="shared" si="3"/>
        <v>0.1896944824</v>
      </c>
      <c r="J7049" s="2">
        <v>443.0</v>
      </c>
      <c r="K7049" s="3">
        <f t="shared" si="4"/>
        <v>0.2020063839</v>
      </c>
      <c r="L7049" s="2">
        <v>218.0</v>
      </c>
      <c r="M7049" s="3">
        <f t="shared" si="5"/>
        <v>0.5240384615</v>
      </c>
      <c r="N7049" s="2">
        <v>2547900.0</v>
      </c>
      <c r="O7049" s="4">
        <f t="shared" si="6"/>
        <v>6124.759615</v>
      </c>
      <c r="P7049" s="2">
        <v>0.0</v>
      </c>
      <c r="Q7049" s="3">
        <f t="shared" si="7"/>
        <v>0</v>
      </c>
      <c r="R7049" s="2">
        <v>0.0</v>
      </c>
      <c r="S7049" s="5">
        <f t="shared" si="8"/>
        <v>0</v>
      </c>
    </row>
    <row r="7050">
      <c r="A7050" s="2" t="s">
        <v>7047</v>
      </c>
      <c r="B7050" s="2">
        <v>731.0</v>
      </c>
      <c r="C7050" s="2">
        <v>8643.0</v>
      </c>
      <c r="D7050" s="2">
        <v>2772.0</v>
      </c>
      <c r="E7050" s="3">
        <f t="shared" si="1"/>
        <v>0.3503538928</v>
      </c>
      <c r="F7050" s="2">
        <v>873.0</v>
      </c>
      <c r="G7050" s="3">
        <f t="shared" si="2"/>
        <v>0.110338726</v>
      </c>
      <c r="H7050" s="2">
        <v>1625.0</v>
      </c>
      <c r="I7050" s="3">
        <f t="shared" si="3"/>
        <v>0.2053842265</v>
      </c>
      <c r="J7050" s="2">
        <v>1253.0</v>
      </c>
      <c r="K7050" s="3">
        <f t="shared" si="4"/>
        <v>0.1583670374</v>
      </c>
      <c r="L7050" s="2">
        <v>999.0</v>
      </c>
      <c r="M7050" s="3">
        <f t="shared" si="5"/>
        <v>0.6147692308</v>
      </c>
      <c r="N7050" s="2">
        <v>9229700.0</v>
      </c>
      <c r="O7050" s="4">
        <f t="shared" si="6"/>
        <v>5679.815385</v>
      </c>
      <c r="P7050" s="2">
        <v>1.0</v>
      </c>
      <c r="Q7050" s="3">
        <f t="shared" si="7"/>
        <v>0.001367989056</v>
      </c>
      <c r="R7050" s="2">
        <v>731.0</v>
      </c>
      <c r="S7050" s="5">
        <f t="shared" si="8"/>
        <v>1</v>
      </c>
    </row>
    <row r="7051">
      <c r="A7051" s="2" t="s">
        <v>7048</v>
      </c>
      <c r="B7051" s="2">
        <v>415.0</v>
      </c>
      <c r="C7051" s="2">
        <v>4948.0</v>
      </c>
      <c r="D7051" s="2">
        <v>1775.0</v>
      </c>
      <c r="E7051" s="3">
        <f t="shared" si="1"/>
        <v>0.3915729098</v>
      </c>
      <c r="F7051" s="2">
        <v>500.0</v>
      </c>
      <c r="G7051" s="3">
        <f t="shared" si="2"/>
        <v>0.1103022281</v>
      </c>
      <c r="H7051" s="2">
        <v>920.0</v>
      </c>
      <c r="I7051" s="3">
        <f t="shared" si="3"/>
        <v>0.2029560997</v>
      </c>
      <c r="J7051" s="2">
        <v>715.0</v>
      </c>
      <c r="K7051" s="3">
        <f t="shared" si="4"/>
        <v>0.1577321862</v>
      </c>
      <c r="L7051" s="2">
        <v>551.0</v>
      </c>
      <c r="M7051" s="3">
        <f t="shared" si="5"/>
        <v>0.5989130435</v>
      </c>
      <c r="N7051" s="2">
        <v>5111300.0</v>
      </c>
      <c r="O7051" s="4">
        <f t="shared" si="6"/>
        <v>5555.76087</v>
      </c>
      <c r="P7051" s="2">
        <v>1.0</v>
      </c>
      <c r="Q7051" s="3">
        <f t="shared" si="7"/>
        <v>0.002409638554</v>
      </c>
      <c r="R7051" s="2">
        <v>0.0</v>
      </c>
      <c r="S7051" s="5">
        <f t="shared" si="8"/>
        <v>0</v>
      </c>
    </row>
    <row r="7052">
      <c r="A7052" s="2" t="s">
        <v>7049</v>
      </c>
      <c r="B7052" s="2">
        <v>251.0</v>
      </c>
      <c r="C7052" s="2">
        <v>2853.0</v>
      </c>
      <c r="D7052" s="2">
        <v>813.0</v>
      </c>
      <c r="E7052" s="3">
        <f t="shared" si="1"/>
        <v>0.31245196</v>
      </c>
      <c r="F7052" s="2">
        <v>287.0</v>
      </c>
      <c r="G7052" s="3">
        <f t="shared" si="2"/>
        <v>0.1102997694</v>
      </c>
      <c r="H7052" s="2">
        <v>533.0</v>
      </c>
      <c r="I7052" s="3">
        <f t="shared" si="3"/>
        <v>0.2048424289</v>
      </c>
      <c r="J7052" s="2">
        <v>443.0</v>
      </c>
      <c r="K7052" s="3">
        <f t="shared" si="4"/>
        <v>0.170253651</v>
      </c>
      <c r="L7052" s="2">
        <v>321.0</v>
      </c>
      <c r="M7052" s="3">
        <f t="shared" si="5"/>
        <v>0.6022514071</v>
      </c>
      <c r="N7052" s="2">
        <v>2976400.0</v>
      </c>
      <c r="O7052" s="4">
        <f t="shared" si="6"/>
        <v>5584.24015</v>
      </c>
      <c r="P7052" s="2">
        <v>3.0</v>
      </c>
      <c r="Q7052" s="3">
        <f t="shared" si="7"/>
        <v>0.01195219124</v>
      </c>
      <c r="R7052" s="2">
        <v>2.0</v>
      </c>
      <c r="S7052" s="5">
        <f t="shared" si="8"/>
        <v>0.00796812749</v>
      </c>
    </row>
    <row r="7053">
      <c r="A7053" s="2" t="s">
        <v>7050</v>
      </c>
      <c r="B7053" s="2">
        <v>7390.0</v>
      </c>
      <c r="C7053" s="2">
        <v>86721.0</v>
      </c>
      <c r="D7053" s="2">
        <v>27511.0</v>
      </c>
      <c r="E7053" s="3">
        <f t="shared" si="1"/>
        <v>0.3467875106</v>
      </c>
      <c r="F7053" s="2">
        <v>8750.0</v>
      </c>
      <c r="G7053" s="3">
        <f t="shared" si="2"/>
        <v>0.1102973617</v>
      </c>
      <c r="H7053" s="2">
        <v>16704.0</v>
      </c>
      <c r="I7053" s="3">
        <f t="shared" si="3"/>
        <v>0.2105608148</v>
      </c>
      <c r="J7053" s="2">
        <v>13362.0</v>
      </c>
      <c r="K7053" s="3">
        <f t="shared" si="4"/>
        <v>0.1684335254</v>
      </c>
      <c r="L7053" s="2">
        <v>10114.0</v>
      </c>
      <c r="M7053" s="3">
        <f t="shared" si="5"/>
        <v>0.6054837165</v>
      </c>
      <c r="N7053" s="2">
        <v>9.23559E7</v>
      </c>
      <c r="O7053" s="4">
        <f t="shared" si="6"/>
        <v>5528.969109</v>
      </c>
      <c r="P7053" s="2">
        <v>10.0</v>
      </c>
      <c r="Q7053" s="3">
        <f t="shared" si="7"/>
        <v>0.001353179973</v>
      </c>
      <c r="R7053" s="2">
        <v>7390.0</v>
      </c>
      <c r="S7053" s="5">
        <f t="shared" si="8"/>
        <v>1</v>
      </c>
    </row>
    <row r="7054">
      <c r="A7054" s="2" t="s">
        <v>7051</v>
      </c>
      <c r="B7054" s="2">
        <v>97.0</v>
      </c>
      <c r="C7054" s="2">
        <v>1185.0</v>
      </c>
      <c r="D7054" s="2">
        <v>419.0</v>
      </c>
      <c r="E7054" s="3">
        <f t="shared" si="1"/>
        <v>0.3851102941</v>
      </c>
      <c r="F7054" s="2">
        <v>120.0</v>
      </c>
      <c r="G7054" s="3">
        <f t="shared" si="2"/>
        <v>0.1102941176</v>
      </c>
      <c r="H7054" s="2">
        <v>214.0</v>
      </c>
      <c r="I7054" s="3">
        <f t="shared" si="3"/>
        <v>0.1966911765</v>
      </c>
      <c r="J7054" s="2">
        <v>163.0</v>
      </c>
      <c r="K7054" s="3">
        <f t="shared" si="4"/>
        <v>0.1498161765</v>
      </c>
      <c r="L7054" s="2">
        <v>116.0</v>
      </c>
      <c r="M7054" s="3">
        <f t="shared" si="5"/>
        <v>0.5420560748</v>
      </c>
      <c r="N7054" s="2">
        <v>1205400.0</v>
      </c>
      <c r="O7054" s="4">
        <f t="shared" si="6"/>
        <v>5632.71028</v>
      </c>
      <c r="P7054" s="2">
        <v>0.0</v>
      </c>
      <c r="Q7054" s="3">
        <f t="shared" si="7"/>
        <v>0</v>
      </c>
      <c r="R7054" s="2">
        <v>97.0</v>
      </c>
      <c r="S7054" s="5">
        <f t="shared" si="8"/>
        <v>1</v>
      </c>
    </row>
    <row r="7055">
      <c r="A7055" s="2" t="s">
        <v>7052</v>
      </c>
      <c r="B7055" s="2">
        <v>240.0</v>
      </c>
      <c r="C7055" s="2">
        <v>2824.0</v>
      </c>
      <c r="D7055" s="2">
        <v>1035.0</v>
      </c>
      <c r="E7055" s="3">
        <f t="shared" si="1"/>
        <v>0.4005417957</v>
      </c>
      <c r="F7055" s="2">
        <v>285.0</v>
      </c>
      <c r="G7055" s="3">
        <f t="shared" si="2"/>
        <v>0.1102941176</v>
      </c>
      <c r="H7055" s="2">
        <v>511.0</v>
      </c>
      <c r="I7055" s="3">
        <f t="shared" si="3"/>
        <v>0.197755418</v>
      </c>
      <c r="J7055" s="2">
        <v>386.0</v>
      </c>
      <c r="K7055" s="3">
        <f t="shared" si="4"/>
        <v>0.149380805</v>
      </c>
      <c r="L7055" s="2">
        <v>300.0</v>
      </c>
      <c r="M7055" s="3">
        <f t="shared" si="5"/>
        <v>0.5870841487</v>
      </c>
      <c r="N7055" s="2">
        <v>3048600.0</v>
      </c>
      <c r="O7055" s="4">
        <f t="shared" si="6"/>
        <v>5965.949119</v>
      </c>
      <c r="P7055" s="2">
        <v>2.0</v>
      </c>
      <c r="Q7055" s="3">
        <f t="shared" si="7"/>
        <v>0.008333333333</v>
      </c>
      <c r="R7055" s="2">
        <v>0.0</v>
      </c>
      <c r="S7055" s="5">
        <f t="shared" si="8"/>
        <v>0</v>
      </c>
    </row>
    <row r="7056">
      <c r="A7056" s="2" t="s">
        <v>7053</v>
      </c>
      <c r="B7056" s="2">
        <v>1085.0</v>
      </c>
      <c r="C7056" s="2">
        <v>12682.0</v>
      </c>
      <c r="D7056" s="2">
        <v>4238.0</v>
      </c>
      <c r="E7056" s="3">
        <f t="shared" si="1"/>
        <v>0.3654393378</v>
      </c>
      <c r="F7056" s="2">
        <v>1279.0</v>
      </c>
      <c r="G7056" s="3">
        <f t="shared" si="2"/>
        <v>0.1102871432</v>
      </c>
      <c r="H7056" s="2">
        <v>2526.0</v>
      </c>
      <c r="I7056" s="3">
        <f t="shared" si="3"/>
        <v>0.2178149521</v>
      </c>
      <c r="J7056" s="2">
        <v>1911.0</v>
      </c>
      <c r="K7056" s="3">
        <f t="shared" si="4"/>
        <v>0.1647839959</v>
      </c>
      <c r="L7056" s="2">
        <v>1510.0</v>
      </c>
      <c r="M7056" s="3">
        <f t="shared" si="5"/>
        <v>0.5977830562</v>
      </c>
      <c r="N7056" s="2">
        <v>1.42234E7</v>
      </c>
      <c r="O7056" s="4">
        <f t="shared" si="6"/>
        <v>5630.799683</v>
      </c>
      <c r="P7056" s="2">
        <v>4.0</v>
      </c>
      <c r="Q7056" s="3">
        <f t="shared" si="7"/>
        <v>0.003686635945</v>
      </c>
      <c r="R7056" s="2">
        <v>0.0</v>
      </c>
      <c r="S7056" s="5">
        <f t="shared" si="8"/>
        <v>0</v>
      </c>
    </row>
    <row r="7057">
      <c r="A7057" s="2" t="s">
        <v>7054</v>
      </c>
      <c r="B7057" s="2">
        <v>312.0</v>
      </c>
      <c r="C7057" s="2">
        <v>3622.0</v>
      </c>
      <c r="D7057" s="2">
        <v>1156.0</v>
      </c>
      <c r="E7057" s="3">
        <f t="shared" si="1"/>
        <v>0.349244713</v>
      </c>
      <c r="F7057" s="2">
        <v>365.0</v>
      </c>
      <c r="G7057" s="3">
        <f t="shared" si="2"/>
        <v>0.1102719033</v>
      </c>
      <c r="H7057" s="2">
        <v>682.0</v>
      </c>
      <c r="I7057" s="3">
        <f t="shared" si="3"/>
        <v>0.2060422961</v>
      </c>
      <c r="J7057" s="2">
        <v>539.0</v>
      </c>
      <c r="K7057" s="3">
        <f t="shared" si="4"/>
        <v>0.1628398792</v>
      </c>
      <c r="L7057" s="2">
        <v>408.0</v>
      </c>
      <c r="M7057" s="3">
        <f t="shared" si="5"/>
        <v>0.5982404692</v>
      </c>
      <c r="N7057" s="2">
        <v>3995700.0</v>
      </c>
      <c r="O7057" s="4">
        <f t="shared" si="6"/>
        <v>5858.797654</v>
      </c>
      <c r="P7057" s="2">
        <v>1.0</v>
      </c>
      <c r="Q7057" s="3">
        <f t="shared" si="7"/>
        <v>0.003205128205</v>
      </c>
      <c r="R7057" s="2">
        <v>0.0</v>
      </c>
      <c r="S7057" s="5">
        <f t="shared" si="8"/>
        <v>0</v>
      </c>
    </row>
    <row r="7058">
      <c r="A7058" s="2" t="s">
        <v>7055</v>
      </c>
      <c r="B7058" s="2">
        <v>3339.0</v>
      </c>
      <c r="C7058" s="2">
        <v>39152.0</v>
      </c>
      <c r="D7058" s="2">
        <v>10790.0</v>
      </c>
      <c r="E7058" s="3">
        <f t="shared" si="1"/>
        <v>0.3012872421</v>
      </c>
      <c r="F7058" s="2">
        <v>3949.0</v>
      </c>
      <c r="G7058" s="3">
        <f t="shared" si="2"/>
        <v>0.1102672214</v>
      </c>
      <c r="H7058" s="2">
        <v>7349.0</v>
      </c>
      <c r="I7058" s="3">
        <f t="shared" si="3"/>
        <v>0.2052048139</v>
      </c>
      <c r="J7058" s="2">
        <v>5680.0</v>
      </c>
      <c r="K7058" s="3">
        <f t="shared" si="4"/>
        <v>0.1586016251</v>
      </c>
      <c r="L7058" s="2">
        <v>4458.0</v>
      </c>
      <c r="M7058" s="3">
        <f t="shared" si="5"/>
        <v>0.6066131446</v>
      </c>
      <c r="N7058" s="2">
        <v>4.12496E7</v>
      </c>
      <c r="O7058" s="4">
        <f t="shared" si="6"/>
        <v>5612.954143</v>
      </c>
      <c r="P7058" s="2">
        <v>8.0</v>
      </c>
      <c r="Q7058" s="3">
        <f t="shared" si="7"/>
        <v>0.002395926924</v>
      </c>
      <c r="R7058" s="2">
        <v>3339.0</v>
      </c>
      <c r="S7058" s="5">
        <f t="shared" si="8"/>
        <v>1</v>
      </c>
    </row>
    <row r="7059">
      <c r="A7059" s="2" t="s">
        <v>7056</v>
      </c>
      <c r="B7059" s="2">
        <v>236.0</v>
      </c>
      <c r="C7059" s="2">
        <v>2712.0</v>
      </c>
      <c r="D7059" s="2">
        <v>918.0</v>
      </c>
      <c r="E7059" s="3">
        <f t="shared" si="1"/>
        <v>0.3707592892</v>
      </c>
      <c r="F7059" s="2">
        <v>273.0</v>
      </c>
      <c r="G7059" s="3">
        <f t="shared" si="2"/>
        <v>0.1102584814</v>
      </c>
      <c r="H7059" s="2">
        <v>564.0</v>
      </c>
      <c r="I7059" s="3">
        <f t="shared" si="3"/>
        <v>0.2277867528</v>
      </c>
      <c r="J7059" s="2">
        <v>457.0</v>
      </c>
      <c r="K7059" s="3">
        <f t="shared" si="4"/>
        <v>0.1845718901</v>
      </c>
      <c r="L7059" s="2">
        <v>349.0</v>
      </c>
      <c r="M7059" s="3">
        <f t="shared" si="5"/>
        <v>0.6187943262</v>
      </c>
      <c r="N7059" s="2">
        <v>3047500.0</v>
      </c>
      <c r="O7059" s="4">
        <f t="shared" si="6"/>
        <v>5403.368794</v>
      </c>
      <c r="P7059" s="2">
        <v>0.0</v>
      </c>
      <c r="Q7059" s="3">
        <f t="shared" si="7"/>
        <v>0</v>
      </c>
      <c r="R7059" s="2">
        <v>236.0</v>
      </c>
      <c r="S7059" s="5">
        <f t="shared" si="8"/>
        <v>1</v>
      </c>
    </row>
    <row r="7060">
      <c r="A7060" s="2" t="s">
        <v>7057</v>
      </c>
      <c r="B7060" s="2">
        <v>295.0</v>
      </c>
      <c r="C7060" s="2">
        <v>3525.0</v>
      </c>
      <c r="D7060" s="2">
        <v>1135.0</v>
      </c>
      <c r="E7060" s="3">
        <f t="shared" si="1"/>
        <v>0.3513931889</v>
      </c>
      <c r="F7060" s="2">
        <v>356.0</v>
      </c>
      <c r="G7060" s="3">
        <f t="shared" si="2"/>
        <v>0.1102167183</v>
      </c>
      <c r="H7060" s="2">
        <v>649.0</v>
      </c>
      <c r="I7060" s="3">
        <f t="shared" si="3"/>
        <v>0.2009287926</v>
      </c>
      <c r="J7060" s="2">
        <v>494.0</v>
      </c>
      <c r="K7060" s="3">
        <f t="shared" si="4"/>
        <v>0.1529411765</v>
      </c>
      <c r="L7060" s="2">
        <v>353.0</v>
      </c>
      <c r="M7060" s="3">
        <f t="shared" si="5"/>
        <v>0.5439137134</v>
      </c>
      <c r="N7060" s="2">
        <v>3509000.0</v>
      </c>
      <c r="O7060" s="4">
        <f t="shared" si="6"/>
        <v>5406.779661</v>
      </c>
      <c r="P7060" s="2">
        <v>1.0</v>
      </c>
      <c r="Q7060" s="3">
        <f t="shared" si="7"/>
        <v>0.003389830508</v>
      </c>
      <c r="R7060" s="2">
        <v>295.0</v>
      </c>
      <c r="S7060" s="5">
        <f t="shared" si="8"/>
        <v>1</v>
      </c>
    </row>
    <row r="7061">
      <c r="A7061" s="2" t="s">
        <v>7058</v>
      </c>
      <c r="B7061" s="2">
        <v>369.0</v>
      </c>
      <c r="C7061" s="2">
        <v>4307.0</v>
      </c>
      <c r="D7061" s="2">
        <v>1578.0</v>
      </c>
      <c r="E7061" s="3">
        <f t="shared" si="1"/>
        <v>0.4007110208</v>
      </c>
      <c r="F7061" s="2">
        <v>434.0</v>
      </c>
      <c r="G7061" s="3">
        <f t="shared" si="2"/>
        <v>0.1102082275</v>
      </c>
      <c r="H7061" s="2">
        <v>815.0</v>
      </c>
      <c r="I7061" s="3">
        <f t="shared" si="3"/>
        <v>0.2069578466</v>
      </c>
      <c r="J7061" s="2">
        <v>465.0</v>
      </c>
      <c r="K7061" s="3">
        <f t="shared" si="4"/>
        <v>0.1180802438</v>
      </c>
      <c r="L7061" s="2">
        <v>498.0</v>
      </c>
      <c r="M7061" s="3">
        <f t="shared" si="5"/>
        <v>0.6110429448</v>
      </c>
      <c r="N7061" s="2">
        <v>4364800.0</v>
      </c>
      <c r="O7061" s="4">
        <f t="shared" si="6"/>
        <v>5355.582822</v>
      </c>
      <c r="P7061" s="2">
        <v>0.0</v>
      </c>
      <c r="Q7061" s="3">
        <f t="shared" si="7"/>
        <v>0</v>
      </c>
      <c r="R7061" s="2">
        <v>367.0</v>
      </c>
      <c r="S7061" s="5">
        <f t="shared" si="8"/>
        <v>0.9945799458</v>
      </c>
    </row>
    <row r="7062">
      <c r="A7062" s="2" t="s">
        <v>7059</v>
      </c>
      <c r="B7062" s="2">
        <v>345.0</v>
      </c>
      <c r="C7062" s="2">
        <v>3984.0</v>
      </c>
      <c r="D7062" s="2">
        <v>1008.0</v>
      </c>
      <c r="E7062" s="3">
        <f t="shared" si="1"/>
        <v>0.2769991756</v>
      </c>
      <c r="F7062" s="2">
        <v>401.0</v>
      </c>
      <c r="G7062" s="3">
        <f t="shared" si="2"/>
        <v>0.1101951085</v>
      </c>
      <c r="H7062" s="2">
        <v>681.0</v>
      </c>
      <c r="I7062" s="3">
        <f t="shared" si="3"/>
        <v>0.187139324</v>
      </c>
      <c r="J7062" s="2">
        <v>666.0</v>
      </c>
      <c r="K7062" s="3">
        <f t="shared" si="4"/>
        <v>0.1830173124</v>
      </c>
      <c r="L7062" s="2">
        <v>391.0</v>
      </c>
      <c r="M7062" s="3">
        <f t="shared" si="5"/>
        <v>0.5741556535</v>
      </c>
      <c r="N7062" s="2">
        <v>4059900.0</v>
      </c>
      <c r="O7062" s="4">
        <f t="shared" si="6"/>
        <v>5961.674009</v>
      </c>
      <c r="P7062" s="2">
        <v>0.0</v>
      </c>
      <c r="Q7062" s="3">
        <f t="shared" si="7"/>
        <v>0</v>
      </c>
      <c r="R7062" s="2">
        <v>345.0</v>
      </c>
      <c r="S7062" s="5">
        <f t="shared" si="8"/>
        <v>1</v>
      </c>
    </row>
    <row r="7063">
      <c r="A7063" s="2" t="s">
        <v>7060</v>
      </c>
      <c r="B7063" s="2">
        <v>1103.0</v>
      </c>
      <c r="C7063" s="2">
        <v>12702.0</v>
      </c>
      <c r="D7063" s="2">
        <v>3993.0</v>
      </c>
      <c r="E7063" s="3">
        <f t="shared" si="1"/>
        <v>0.344253815</v>
      </c>
      <c r="F7063" s="2">
        <v>1278.0</v>
      </c>
      <c r="G7063" s="3">
        <f t="shared" si="2"/>
        <v>0.1101819122</v>
      </c>
      <c r="H7063" s="2">
        <v>2490.0</v>
      </c>
      <c r="I7063" s="3">
        <f t="shared" si="3"/>
        <v>0.2146736788</v>
      </c>
      <c r="J7063" s="2">
        <v>2007.0</v>
      </c>
      <c r="K7063" s="3">
        <f t="shared" si="4"/>
        <v>0.1730321579</v>
      </c>
      <c r="L7063" s="2">
        <v>1485.0</v>
      </c>
      <c r="M7063" s="3">
        <f t="shared" si="5"/>
        <v>0.5963855422</v>
      </c>
      <c r="N7063" s="2">
        <v>1.4334E7</v>
      </c>
      <c r="O7063" s="4">
        <f t="shared" si="6"/>
        <v>5756.626506</v>
      </c>
      <c r="P7063" s="2">
        <v>2.0</v>
      </c>
      <c r="Q7063" s="3">
        <f t="shared" si="7"/>
        <v>0.001813236627</v>
      </c>
      <c r="R7063" s="2">
        <v>1103.0</v>
      </c>
      <c r="S7063" s="5">
        <f t="shared" si="8"/>
        <v>1</v>
      </c>
    </row>
    <row r="7064">
      <c r="A7064" s="2" t="s">
        <v>7061</v>
      </c>
      <c r="B7064" s="2">
        <v>158.0</v>
      </c>
      <c r="C7064" s="2">
        <v>1828.0</v>
      </c>
      <c r="D7064" s="2">
        <v>513.0</v>
      </c>
      <c r="E7064" s="3">
        <f t="shared" si="1"/>
        <v>0.3071856287</v>
      </c>
      <c r="F7064" s="2">
        <v>184.0</v>
      </c>
      <c r="G7064" s="3">
        <f t="shared" si="2"/>
        <v>0.1101796407</v>
      </c>
      <c r="H7064" s="2">
        <v>367.0</v>
      </c>
      <c r="I7064" s="3">
        <f t="shared" si="3"/>
        <v>0.219760479</v>
      </c>
      <c r="J7064" s="2">
        <v>274.0</v>
      </c>
      <c r="K7064" s="3">
        <f t="shared" si="4"/>
        <v>0.1640718563</v>
      </c>
      <c r="L7064" s="2">
        <v>205.0</v>
      </c>
      <c r="M7064" s="3">
        <f t="shared" si="5"/>
        <v>0.5585831063</v>
      </c>
      <c r="N7064" s="2">
        <v>2099100.0</v>
      </c>
      <c r="O7064" s="4">
        <f t="shared" si="6"/>
        <v>5719.618529</v>
      </c>
      <c r="P7064" s="2">
        <v>1.0</v>
      </c>
      <c r="Q7064" s="3">
        <f t="shared" si="7"/>
        <v>0.006329113924</v>
      </c>
      <c r="R7064" s="2">
        <v>158.0</v>
      </c>
      <c r="S7064" s="5">
        <f t="shared" si="8"/>
        <v>1</v>
      </c>
    </row>
    <row r="7065">
      <c r="A7065" s="2" t="s">
        <v>7062</v>
      </c>
      <c r="B7065" s="2">
        <v>1648.0</v>
      </c>
      <c r="C7065" s="2">
        <v>19465.0</v>
      </c>
      <c r="D7065" s="2">
        <v>5634.0</v>
      </c>
      <c r="E7065" s="3">
        <f t="shared" si="1"/>
        <v>0.316214851</v>
      </c>
      <c r="F7065" s="2">
        <v>1963.0</v>
      </c>
      <c r="G7065" s="3">
        <f t="shared" si="2"/>
        <v>0.1101756749</v>
      </c>
      <c r="H7065" s="2">
        <v>3601.0</v>
      </c>
      <c r="I7065" s="3">
        <f t="shared" si="3"/>
        <v>0.2021103441</v>
      </c>
      <c r="J7065" s="2">
        <v>3001.0</v>
      </c>
      <c r="K7065" s="3">
        <f t="shared" si="4"/>
        <v>0.1684346411</v>
      </c>
      <c r="L7065" s="2">
        <v>2090.0</v>
      </c>
      <c r="M7065" s="3">
        <f t="shared" si="5"/>
        <v>0.5803943349</v>
      </c>
      <c r="N7065" s="2">
        <v>2.01042E7</v>
      </c>
      <c r="O7065" s="4">
        <f t="shared" si="6"/>
        <v>5582.949181</v>
      </c>
      <c r="P7065" s="2">
        <v>1.0</v>
      </c>
      <c r="Q7065" s="3">
        <f t="shared" si="7"/>
        <v>0.0006067961165</v>
      </c>
      <c r="R7065" s="2">
        <v>1648.0</v>
      </c>
      <c r="S7065" s="5">
        <f t="shared" si="8"/>
        <v>1</v>
      </c>
    </row>
    <row r="7066">
      <c r="A7066" s="2" t="s">
        <v>7063</v>
      </c>
      <c r="B7066" s="2">
        <v>698.0</v>
      </c>
      <c r="C7066" s="2">
        <v>8205.0</v>
      </c>
      <c r="D7066" s="2">
        <v>2672.0</v>
      </c>
      <c r="E7066" s="3">
        <f t="shared" si="1"/>
        <v>0.3559344612</v>
      </c>
      <c r="F7066" s="2">
        <v>827.0</v>
      </c>
      <c r="G7066" s="3">
        <f t="shared" si="2"/>
        <v>0.1101638471</v>
      </c>
      <c r="H7066" s="2">
        <v>1537.0</v>
      </c>
      <c r="I7066" s="3">
        <f t="shared" si="3"/>
        <v>0.2047422406</v>
      </c>
      <c r="J7066" s="2">
        <v>1219.0</v>
      </c>
      <c r="K7066" s="3">
        <f t="shared" si="4"/>
        <v>0.162381777</v>
      </c>
      <c r="L7066" s="2">
        <v>905.0</v>
      </c>
      <c r="M7066" s="3">
        <f t="shared" si="5"/>
        <v>0.5888093689</v>
      </c>
      <c r="N7066" s="2">
        <v>8481100.0</v>
      </c>
      <c r="O7066" s="4">
        <f t="shared" si="6"/>
        <v>5517.957059</v>
      </c>
      <c r="P7066" s="2">
        <v>1.0</v>
      </c>
      <c r="Q7066" s="3">
        <f t="shared" si="7"/>
        <v>0.001432664756</v>
      </c>
      <c r="R7066" s="2">
        <v>670.0</v>
      </c>
      <c r="S7066" s="5">
        <f t="shared" si="8"/>
        <v>0.9598853868</v>
      </c>
    </row>
    <row r="7067">
      <c r="A7067" s="2" t="s">
        <v>7064</v>
      </c>
      <c r="B7067" s="2">
        <v>1000.0</v>
      </c>
      <c r="C7067" s="2">
        <v>11612.0</v>
      </c>
      <c r="D7067" s="2">
        <v>3047.0</v>
      </c>
      <c r="E7067" s="3">
        <f t="shared" si="1"/>
        <v>0.2871277799</v>
      </c>
      <c r="F7067" s="2">
        <v>1169.0</v>
      </c>
      <c r="G7067" s="3">
        <f t="shared" si="2"/>
        <v>0.1101583113</v>
      </c>
      <c r="H7067" s="2">
        <v>2242.0</v>
      </c>
      <c r="I7067" s="3">
        <f t="shared" si="3"/>
        <v>0.2112702601</v>
      </c>
      <c r="J7067" s="2">
        <v>1787.0</v>
      </c>
      <c r="K7067" s="3">
        <f t="shared" si="4"/>
        <v>0.1683942706</v>
      </c>
      <c r="L7067" s="2">
        <v>1337.0</v>
      </c>
      <c r="M7067" s="3">
        <f t="shared" si="5"/>
        <v>0.5963425513</v>
      </c>
      <c r="N7067" s="2">
        <v>1.30677E7</v>
      </c>
      <c r="O7067" s="4">
        <f t="shared" si="6"/>
        <v>5828.590544</v>
      </c>
      <c r="P7067" s="2">
        <v>4.0</v>
      </c>
      <c r="Q7067" s="3">
        <f t="shared" si="7"/>
        <v>0.004</v>
      </c>
      <c r="R7067" s="2">
        <v>1000.0</v>
      </c>
      <c r="S7067" s="5">
        <f t="shared" si="8"/>
        <v>1</v>
      </c>
    </row>
    <row r="7068">
      <c r="A7068" s="2" t="s">
        <v>7065</v>
      </c>
      <c r="B7068" s="2">
        <v>66.0</v>
      </c>
      <c r="C7068" s="2">
        <v>756.0</v>
      </c>
      <c r="D7068" s="2">
        <v>214.0</v>
      </c>
      <c r="E7068" s="3">
        <f t="shared" si="1"/>
        <v>0.3101449275</v>
      </c>
      <c r="F7068" s="2">
        <v>76.0</v>
      </c>
      <c r="G7068" s="3">
        <f t="shared" si="2"/>
        <v>0.1101449275</v>
      </c>
      <c r="H7068" s="2">
        <v>134.0</v>
      </c>
      <c r="I7068" s="3">
        <f t="shared" si="3"/>
        <v>0.1942028986</v>
      </c>
      <c r="J7068" s="2">
        <v>114.0</v>
      </c>
      <c r="K7068" s="3">
        <f t="shared" si="4"/>
        <v>0.1652173913</v>
      </c>
      <c r="L7068" s="2">
        <v>70.0</v>
      </c>
      <c r="M7068" s="3">
        <f t="shared" si="5"/>
        <v>0.5223880597</v>
      </c>
      <c r="N7068" s="2">
        <v>727100.0</v>
      </c>
      <c r="O7068" s="4">
        <f t="shared" si="6"/>
        <v>5426.119403</v>
      </c>
      <c r="P7068" s="2">
        <v>0.0</v>
      </c>
      <c r="Q7068" s="3">
        <f t="shared" si="7"/>
        <v>0</v>
      </c>
      <c r="R7068" s="2">
        <v>66.0</v>
      </c>
      <c r="S7068" s="5">
        <f t="shared" si="8"/>
        <v>1</v>
      </c>
    </row>
    <row r="7069">
      <c r="A7069" s="2" t="s">
        <v>7066</v>
      </c>
      <c r="B7069" s="2">
        <v>487.0</v>
      </c>
      <c r="C7069" s="2">
        <v>5626.0</v>
      </c>
      <c r="D7069" s="2">
        <v>1617.0</v>
      </c>
      <c r="E7069" s="3">
        <f t="shared" si="1"/>
        <v>0.3146526562</v>
      </c>
      <c r="F7069" s="2">
        <v>566.0</v>
      </c>
      <c r="G7069" s="3">
        <f t="shared" si="2"/>
        <v>0.1101381592</v>
      </c>
      <c r="H7069" s="2">
        <v>1064.0</v>
      </c>
      <c r="I7069" s="3">
        <f t="shared" si="3"/>
        <v>0.207044172</v>
      </c>
      <c r="J7069" s="2">
        <v>879.0</v>
      </c>
      <c r="K7069" s="3">
        <f t="shared" si="4"/>
        <v>0.1710449504</v>
      </c>
      <c r="L7069" s="2">
        <v>634.0</v>
      </c>
      <c r="M7069" s="3">
        <f t="shared" si="5"/>
        <v>0.5958646617</v>
      </c>
      <c r="N7069" s="2">
        <v>6025500.0</v>
      </c>
      <c r="O7069" s="4">
        <f t="shared" si="6"/>
        <v>5663.06391</v>
      </c>
      <c r="P7069" s="2">
        <v>1.0</v>
      </c>
      <c r="Q7069" s="3">
        <f t="shared" si="7"/>
        <v>0.00205338809</v>
      </c>
      <c r="R7069" s="2">
        <v>487.0</v>
      </c>
      <c r="S7069" s="5">
        <f t="shared" si="8"/>
        <v>1</v>
      </c>
    </row>
    <row r="7070">
      <c r="A7070" s="2" t="s">
        <v>7067</v>
      </c>
      <c r="B7070" s="2">
        <v>468.0</v>
      </c>
      <c r="C7070" s="2">
        <v>5607.0</v>
      </c>
      <c r="D7070" s="2">
        <v>1714.0</v>
      </c>
      <c r="E7070" s="3">
        <f t="shared" si="1"/>
        <v>0.3335279237</v>
      </c>
      <c r="F7070" s="2">
        <v>566.0</v>
      </c>
      <c r="G7070" s="3">
        <f t="shared" si="2"/>
        <v>0.1101381592</v>
      </c>
      <c r="H7070" s="2">
        <v>1058.0</v>
      </c>
      <c r="I7070" s="3">
        <f t="shared" si="3"/>
        <v>0.2058766297</v>
      </c>
      <c r="J7070" s="2">
        <v>752.0</v>
      </c>
      <c r="K7070" s="3">
        <f t="shared" si="4"/>
        <v>0.1463319712</v>
      </c>
      <c r="L7070" s="2">
        <v>625.0</v>
      </c>
      <c r="M7070" s="3">
        <f t="shared" si="5"/>
        <v>0.5907372401</v>
      </c>
      <c r="N7070" s="2">
        <v>5712700.0</v>
      </c>
      <c r="O7070" s="4">
        <f t="shared" si="6"/>
        <v>5399.52741</v>
      </c>
      <c r="P7070" s="2">
        <v>0.0</v>
      </c>
      <c r="Q7070" s="3">
        <f t="shared" si="7"/>
        <v>0</v>
      </c>
      <c r="R7070" s="2">
        <v>468.0</v>
      </c>
      <c r="S7070" s="5">
        <f t="shared" si="8"/>
        <v>1</v>
      </c>
    </row>
    <row r="7071">
      <c r="A7071" s="2" t="s">
        <v>7068</v>
      </c>
      <c r="B7071" s="2">
        <v>813.0</v>
      </c>
      <c r="C7071" s="2">
        <v>9648.0</v>
      </c>
      <c r="D7071" s="2">
        <v>2924.0</v>
      </c>
      <c r="E7071" s="3">
        <f t="shared" si="1"/>
        <v>0.3309564233</v>
      </c>
      <c r="F7071" s="2">
        <v>973.0</v>
      </c>
      <c r="G7071" s="3">
        <f t="shared" si="2"/>
        <v>0.1101301641</v>
      </c>
      <c r="H7071" s="2">
        <v>1839.0</v>
      </c>
      <c r="I7071" s="3">
        <f t="shared" si="3"/>
        <v>0.2081494058</v>
      </c>
      <c r="J7071" s="2">
        <v>1511.0</v>
      </c>
      <c r="K7071" s="3">
        <f t="shared" si="4"/>
        <v>0.171024335</v>
      </c>
      <c r="L7071" s="2">
        <v>1060.0</v>
      </c>
      <c r="M7071" s="3">
        <f t="shared" si="5"/>
        <v>0.5764002175</v>
      </c>
      <c r="N7071" s="2">
        <v>1.0249E7</v>
      </c>
      <c r="O7071" s="4">
        <f t="shared" si="6"/>
        <v>5573.137575</v>
      </c>
      <c r="P7071" s="2">
        <v>2.0</v>
      </c>
      <c r="Q7071" s="3">
        <f t="shared" si="7"/>
        <v>0.0024600246</v>
      </c>
      <c r="R7071" s="2">
        <v>813.0</v>
      </c>
      <c r="S7071" s="5">
        <f t="shared" si="8"/>
        <v>1</v>
      </c>
    </row>
    <row r="7072">
      <c r="A7072" s="2" t="s">
        <v>7069</v>
      </c>
      <c r="B7072" s="2">
        <v>202.0</v>
      </c>
      <c r="C7072" s="2">
        <v>2354.0</v>
      </c>
      <c r="D7072" s="2">
        <v>788.0</v>
      </c>
      <c r="E7072" s="3">
        <f t="shared" si="1"/>
        <v>0.3661710037</v>
      </c>
      <c r="F7072" s="2">
        <v>237.0</v>
      </c>
      <c r="G7072" s="3">
        <f t="shared" si="2"/>
        <v>0.1101301115</v>
      </c>
      <c r="H7072" s="2">
        <v>490.0</v>
      </c>
      <c r="I7072" s="3">
        <f t="shared" si="3"/>
        <v>0.2276951673</v>
      </c>
      <c r="J7072" s="2">
        <v>413.0</v>
      </c>
      <c r="K7072" s="3">
        <f t="shared" si="4"/>
        <v>0.1919144981</v>
      </c>
      <c r="L7072" s="2">
        <v>292.0</v>
      </c>
      <c r="M7072" s="3">
        <f t="shared" si="5"/>
        <v>0.5959183673</v>
      </c>
      <c r="N7072" s="2">
        <v>2733700.0</v>
      </c>
      <c r="O7072" s="4">
        <f t="shared" si="6"/>
        <v>5578.979592</v>
      </c>
      <c r="P7072" s="2">
        <v>1.0</v>
      </c>
      <c r="Q7072" s="3">
        <f t="shared" si="7"/>
        <v>0.00495049505</v>
      </c>
      <c r="R7072" s="2">
        <v>202.0</v>
      </c>
      <c r="S7072" s="5">
        <f t="shared" si="8"/>
        <v>1</v>
      </c>
    </row>
    <row r="7073">
      <c r="A7073" s="2" t="s">
        <v>7070</v>
      </c>
      <c r="B7073" s="2">
        <v>151.0</v>
      </c>
      <c r="C7073" s="2">
        <v>1849.0</v>
      </c>
      <c r="D7073" s="2">
        <v>550.0</v>
      </c>
      <c r="E7073" s="3">
        <f t="shared" si="1"/>
        <v>0.3239104829</v>
      </c>
      <c r="F7073" s="2">
        <v>187.0</v>
      </c>
      <c r="G7073" s="3">
        <f t="shared" si="2"/>
        <v>0.1101295642</v>
      </c>
      <c r="H7073" s="2">
        <v>367.0</v>
      </c>
      <c r="I7073" s="3">
        <f t="shared" si="3"/>
        <v>0.2161366313</v>
      </c>
      <c r="J7073" s="2">
        <v>250.0</v>
      </c>
      <c r="K7073" s="3">
        <f t="shared" si="4"/>
        <v>0.1472320377</v>
      </c>
      <c r="L7073" s="2">
        <v>228.0</v>
      </c>
      <c r="M7073" s="3">
        <f t="shared" si="5"/>
        <v>0.621253406</v>
      </c>
      <c r="N7073" s="2">
        <v>1918100.0</v>
      </c>
      <c r="O7073" s="4">
        <f t="shared" si="6"/>
        <v>5226.430518</v>
      </c>
      <c r="P7073" s="2">
        <v>0.0</v>
      </c>
      <c r="Q7073" s="3">
        <f t="shared" si="7"/>
        <v>0</v>
      </c>
      <c r="R7073" s="2">
        <v>148.0</v>
      </c>
      <c r="S7073" s="5">
        <f t="shared" si="8"/>
        <v>0.9801324503</v>
      </c>
    </row>
    <row r="7074">
      <c r="A7074" s="2" t="s">
        <v>7071</v>
      </c>
      <c r="B7074" s="2">
        <v>114.0</v>
      </c>
      <c r="C7074" s="2">
        <v>1295.0</v>
      </c>
      <c r="D7074" s="2">
        <v>475.0</v>
      </c>
      <c r="E7074" s="3">
        <f t="shared" si="1"/>
        <v>0.4022015241</v>
      </c>
      <c r="F7074" s="2">
        <v>130.0</v>
      </c>
      <c r="G7074" s="3">
        <f t="shared" si="2"/>
        <v>0.1100762066</v>
      </c>
      <c r="H7074" s="2">
        <v>231.0</v>
      </c>
      <c r="I7074" s="3">
        <f t="shared" si="3"/>
        <v>0.1955969517</v>
      </c>
      <c r="J7074" s="2">
        <v>149.0</v>
      </c>
      <c r="K7074" s="3">
        <f t="shared" si="4"/>
        <v>0.1261642676</v>
      </c>
      <c r="L7074" s="2">
        <v>145.0</v>
      </c>
      <c r="M7074" s="3">
        <f t="shared" si="5"/>
        <v>0.6277056277</v>
      </c>
      <c r="N7074" s="2">
        <v>1352200.0</v>
      </c>
      <c r="O7074" s="4">
        <f t="shared" si="6"/>
        <v>5853.679654</v>
      </c>
      <c r="P7074" s="2">
        <v>0.0</v>
      </c>
      <c r="Q7074" s="3">
        <f t="shared" si="7"/>
        <v>0</v>
      </c>
      <c r="R7074" s="2">
        <v>114.0</v>
      </c>
      <c r="S7074" s="5">
        <f t="shared" si="8"/>
        <v>1</v>
      </c>
    </row>
    <row r="7075">
      <c r="A7075" s="2" t="s">
        <v>7072</v>
      </c>
      <c r="B7075" s="2">
        <v>124.0</v>
      </c>
      <c r="C7075" s="2">
        <v>1505.0</v>
      </c>
      <c r="D7075" s="2">
        <v>609.0</v>
      </c>
      <c r="E7075" s="3">
        <f t="shared" si="1"/>
        <v>0.4409847936</v>
      </c>
      <c r="F7075" s="2">
        <v>152.0</v>
      </c>
      <c r="G7075" s="3">
        <f t="shared" si="2"/>
        <v>0.1100651702</v>
      </c>
      <c r="H7075" s="2">
        <v>310.0</v>
      </c>
      <c r="I7075" s="3">
        <f t="shared" si="3"/>
        <v>0.2244750181</v>
      </c>
      <c r="J7075" s="2">
        <v>233.0</v>
      </c>
      <c r="K7075" s="3">
        <f t="shared" si="4"/>
        <v>0.1687183201</v>
      </c>
      <c r="L7075" s="2">
        <v>195.0</v>
      </c>
      <c r="M7075" s="3">
        <f t="shared" si="5"/>
        <v>0.6290322581</v>
      </c>
      <c r="N7075" s="2">
        <v>1516400.0</v>
      </c>
      <c r="O7075" s="4">
        <f t="shared" si="6"/>
        <v>4891.612903</v>
      </c>
      <c r="P7075" s="2">
        <v>0.0</v>
      </c>
      <c r="Q7075" s="3">
        <f t="shared" si="7"/>
        <v>0</v>
      </c>
      <c r="R7075" s="2">
        <v>124.0</v>
      </c>
      <c r="S7075" s="5">
        <f t="shared" si="8"/>
        <v>1</v>
      </c>
    </row>
    <row r="7076">
      <c r="A7076" s="2" t="s">
        <v>7073</v>
      </c>
      <c r="B7076" s="2">
        <v>675.0</v>
      </c>
      <c r="C7076" s="2">
        <v>7892.0</v>
      </c>
      <c r="D7076" s="2">
        <v>2082.0</v>
      </c>
      <c r="E7076" s="3">
        <f t="shared" si="1"/>
        <v>0.2884855203</v>
      </c>
      <c r="F7076" s="2">
        <v>794.0</v>
      </c>
      <c r="G7076" s="3">
        <f t="shared" si="2"/>
        <v>0.110018013</v>
      </c>
      <c r="H7076" s="2">
        <v>1355.0</v>
      </c>
      <c r="I7076" s="3">
        <f t="shared" si="3"/>
        <v>0.1877511431</v>
      </c>
      <c r="J7076" s="2">
        <v>1032.0</v>
      </c>
      <c r="K7076" s="3">
        <f t="shared" si="4"/>
        <v>0.1429957046</v>
      </c>
      <c r="L7076" s="2">
        <v>768.0</v>
      </c>
      <c r="M7076" s="3">
        <f t="shared" si="5"/>
        <v>0.5667896679</v>
      </c>
      <c r="N7076" s="2">
        <v>8306800.0</v>
      </c>
      <c r="O7076" s="4">
        <f t="shared" si="6"/>
        <v>6130.479705</v>
      </c>
      <c r="P7076" s="2">
        <v>2.0</v>
      </c>
      <c r="Q7076" s="3">
        <f t="shared" si="7"/>
        <v>0.002962962963</v>
      </c>
      <c r="R7076" s="2">
        <v>675.0</v>
      </c>
      <c r="S7076" s="5">
        <f t="shared" si="8"/>
        <v>1</v>
      </c>
    </row>
    <row r="7077">
      <c r="A7077" s="2" t="s">
        <v>7074</v>
      </c>
      <c r="B7077" s="2">
        <v>4962.0</v>
      </c>
      <c r="C7077" s="2">
        <v>58509.0</v>
      </c>
      <c r="D7077" s="2">
        <v>19020.0</v>
      </c>
      <c r="E7077" s="3">
        <f t="shared" si="1"/>
        <v>0.3552019721</v>
      </c>
      <c r="F7077" s="2">
        <v>5891.0</v>
      </c>
      <c r="G7077" s="3">
        <f t="shared" si="2"/>
        <v>0.1100155004</v>
      </c>
      <c r="H7077" s="2">
        <v>11066.0</v>
      </c>
      <c r="I7077" s="3">
        <f t="shared" si="3"/>
        <v>0.2066595701</v>
      </c>
      <c r="J7077" s="2">
        <v>8694.0</v>
      </c>
      <c r="K7077" s="3">
        <f t="shared" si="4"/>
        <v>0.1623620371</v>
      </c>
      <c r="L7077" s="2">
        <v>6642.0</v>
      </c>
      <c r="M7077" s="3">
        <f t="shared" si="5"/>
        <v>0.6002168805</v>
      </c>
      <c r="N7077" s="2">
        <v>6.25831E7</v>
      </c>
      <c r="O7077" s="4">
        <f t="shared" si="6"/>
        <v>5655.440087</v>
      </c>
      <c r="P7077" s="2">
        <v>13.0</v>
      </c>
      <c r="Q7077" s="3">
        <f t="shared" si="7"/>
        <v>0.002619911326</v>
      </c>
      <c r="R7077" s="2">
        <v>4953.0</v>
      </c>
      <c r="S7077" s="5">
        <f t="shared" si="8"/>
        <v>0.9981862152</v>
      </c>
    </row>
    <row r="7078">
      <c r="A7078" s="2" t="s">
        <v>7075</v>
      </c>
      <c r="B7078" s="2">
        <v>662.0</v>
      </c>
      <c r="C7078" s="2">
        <v>7698.0</v>
      </c>
      <c r="D7078" s="2">
        <v>2328.0</v>
      </c>
      <c r="E7078" s="3">
        <f t="shared" si="1"/>
        <v>0.3308698124</v>
      </c>
      <c r="F7078" s="2">
        <v>774.0</v>
      </c>
      <c r="G7078" s="3">
        <f t="shared" si="2"/>
        <v>0.110005685</v>
      </c>
      <c r="H7078" s="2">
        <v>1456.0</v>
      </c>
      <c r="I7078" s="3">
        <f t="shared" si="3"/>
        <v>0.206935759</v>
      </c>
      <c r="J7078" s="2">
        <v>1184.0</v>
      </c>
      <c r="K7078" s="3">
        <f t="shared" si="4"/>
        <v>0.1682774304</v>
      </c>
      <c r="L7078" s="2">
        <v>831.0</v>
      </c>
      <c r="M7078" s="3">
        <f t="shared" si="5"/>
        <v>0.5707417582</v>
      </c>
      <c r="N7078" s="2">
        <v>8633500.0</v>
      </c>
      <c r="O7078" s="4">
        <f t="shared" si="6"/>
        <v>5929.601648</v>
      </c>
      <c r="P7078" s="2">
        <v>1.0</v>
      </c>
      <c r="Q7078" s="3">
        <f t="shared" si="7"/>
        <v>0.001510574018</v>
      </c>
      <c r="R7078" s="2">
        <v>0.0</v>
      </c>
      <c r="S7078" s="5">
        <f t="shared" si="8"/>
        <v>0</v>
      </c>
    </row>
    <row r="7079">
      <c r="A7079" s="2" t="s">
        <v>7076</v>
      </c>
      <c r="B7079" s="2">
        <v>93.0</v>
      </c>
      <c r="C7079" s="2">
        <v>1093.0</v>
      </c>
      <c r="D7079" s="2">
        <v>337.0</v>
      </c>
      <c r="E7079" s="3">
        <f t="shared" si="1"/>
        <v>0.337</v>
      </c>
      <c r="F7079" s="2">
        <v>110.0</v>
      </c>
      <c r="G7079" s="3">
        <f t="shared" si="2"/>
        <v>0.11</v>
      </c>
      <c r="H7079" s="2">
        <v>209.0</v>
      </c>
      <c r="I7079" s="3">
        <f t="shared" si="3"/>
        <v>0.209</v>
      </c>
      <c r="J7079" s="2">
        <v>140.0</v>
      </c>
      <c r="K7079" s="3">
        <f t="shared" si="4"/>
        <v>0.14</v>
      </c>
      <c r="L7079" s="2">
        <v>129.0</v>
      </c>
      <c r="M7079" s="3">
        <f t="shared" si="5"/>
        <v>0.6172248804</v>
      </c>
      <c r="N7079" s="2">
        <v>1314400.0</v>
      </c>
      <c r="O7079" s="4">
        <f t="shared" si="6"/>
        <v>6288.995215</v>
      </c>
      <c r="P7079" s="2">
        <v>0.0</v>
      </c>
      <c r="Q7079" s="3">
        <f t="shared" si="7"/>
        <v>0</v>
      </c>
      <c r="R7079" s="2">
        <v>93.0</v>
      </c>
      <c r="S7079" s="5">
        <f t="shared" si="8"/>
        <v>1</v>
      </c>
    </row>
    <row r="7080">
      <c r="A7080" s="2" t="s">
        <v>7077</v>
      </c>
      <c r="B7080" s="2">
        <v>82.0</v>
      </c>
      <c r="C7080" s="2">
        <v>973.0</v>
      </c>
      <c r="D7080" s="2">
        <v>273.0</v>
      </c>
      <c r="E7080" s="3">
        <f t="shared" si="1"/>
        <v>0.3063973064</v>
      </c>
      <c r="F7080" s="2">
        <v>98.0</v>
      </c>
      <c r="G7080" s="3">
        <f t="shared" si="2"/>
        <v>0.1099887767</v>
      </c>
      <c r="H7080" s="2">
        <v>175.0</v>
      </c>
      <c r="I7080" s="3">
        <f t="shared" si="3"/>
        <v>0.1964085297</v>
      </c>
      <c r="J7080" s="2">
        <v>135.0</v>
      </c>
      <c r="K7080" s="3">
        <f t="shared" si="4"/>
        <v>0.1515151515</v>
      </c>
      <c r="L7080" s="2">
        <v>116.0</v>
      </c>
      <c r="M7080" s="3">
        <f t="shared" si="5"/>
        <v>0.6628571429</v>
      </c>
      <c r="N7080" s="2">
        <v>1029700.0</v>
      </c>
      <c r="O7080" s="4">
        <f t="shared" si="6"/>
        <v>5884</v>
      </c>
      <c r="P7080" s="2">
        <v>0.0</v>
      </c>
      <c r="Q7080" s="3">
        <f t="shared" si="7"/>
        <v>0</v>
      </c>
      <c r="R7080" s="2">
        <v>82.0</v>
      </c>
      <c r="S7080" s="5">
        <f t="shared" si="8"/>
        <v>1</v>
      </c>
    </row>
    <row r="7081">
      <c r="A7081" s="2" t="s">
        <v>7078</v>
      </c>
      <c r="B7081" s="2">
        <v>191.0</v>
      </c>
      <c r="C7081" s="2">
        <v>2264.0</v>
      </c>
      <c r="D7081" s="2">
        <v>735.0</v>
      </c>
      <c r="E7081" s="3">
        <f t="shared" si="1"/>
        <v>0.3545586107</v>
      </c>
      <c r="F7081" s="2">
        <v>228.0</v>
      </c>
      <c r="G7081" s="3">
        <f t="shared" si="2"/>
        <v>0.1099855282</v>
      </c>
      <c r="H7081" s="2">
        <v>400.0</v>
      </c>
      <c r="I7081" s="3">
        <f t="shared" si="3"/>
        <v>0.1929570671</v>
      </c>
      <c r="J7081" s="2">
        <v>277.0</v>
      </c>
      <c r="K7081" s="3">
        <f t="shared" si="4"/>
        <v>0.1336227689</v>
      </c>
      <c r="L7081" s="2">
        <v>263.0</v>
      </c>
      <c r="M7081" s="3">
        <f t="shared" si="5"/>
        <v>0.6575</v>
      </c>
      <c r="N7081" s="2">
        <v>2124800.0</v>
      </c>
      <c r="O7081" s="4">
        <f t="shared" si="6"/>
        <v>5312</v>
      </c>
      <c r="P7081" s="2">
        <v>0.0</v>
      </c>
      <c r="Q7081" s="3">
        <f t="shared" si="7"/>
        <v>0</v>
      </c>
      <c r="R7081" s="2">
        <v>191.0</v>
      </c>
      <c r="S7081" s="5">
        <f t="shared" si="8"/>
        <v>1</v>
      </c>
    </row>
    <row r="7082">
      <c r="A7082" s="2" t="s">
        <v>7079</v>
      </c>
      <c r="B7082" s="2">
        <v>993.0</v>
      </c>
      <c r="C7082" s="2">
        <v>11832.0</v>
      </c>
      <c r="D7082" s="2">
        <v>3806.0</v>
      </c>
      <c r="E7082" s="3">
        <f t="shared" si="1"/>
        <v>0.351139404</v>
      </c>
      <c r="F7082" s="2">
        <v>1192.0</v>
      </c>
      <c r="G7082" s="3">
        <f t="shared" si="2"/>
        <v>0.1099732448</v>
      </c>
      <c r="H7082" s="2">
        <v>2273.0</v>
      </c>
      <c r="I7082" s="3">
        <f t="shared" si="3"/>
        <v>0.2097056924</v>
      </c>
      <c r="J7082" s="2">
        <v>1720.0</v>
      </c>
      <c r="K7082" s="3">
        <f t="shared" si="4"/>
        <v>0.1586862257</v>
      </c>
      <c r="L7082" s="2">
        <v>1331.0</v>
      </c>
      <c r="M7082" s="3">
        <f t="shared" si="5"/>
        <v>0.5855697316</v>
      </c>
      <c r="N7082" s="2">
        <v>1.22203E7</v>
      </c>
      <c r="O7082" s="4">
        <f t="shared" si="6"/>
        <v>5376.286846</v>
      </c>
      <c r="P7082" s="2">
        <v>1.0</v>
      </c>
      <c r="Q7082" s="3">
        <f t="shared" si="7"/>
        <v>0.001007049345</v>
      </c>
      <c r="R7082" s="2">
        <v>993.0</v>
      </c>
      <c r="S7082" s="5">
        <f t="shared" si="8"/>
        <v>1</v>
      </c>
    </row>
    <row r="7083">
      <c r="A7083" s="2" t="s">
        <v>7080</v>
      </c>
      <c r="B7083" s="2">
        <v>103.0</v>
      </c>
      <c r="C7083" s="2">
        <v>1158.0</v>
      </c>
      <c r="D7083" s="2">
        <v>356.0</v>
      </c>
      <c r="E7083" s="3">
        <f t="shared" si="1"/>
        <v>0.3374407583</v>
      </c>
      <c r="F7083" s="2">
        <v>116.0</v>
      </c>
      <c r="G7083" s="3">
        <f t="shared" si="2"/>
        <v>0.1099526066</v>
      </c>
      <c r="H7083" s="2">
        <v>191.0</v>
      </c>
      <c r="I7083" s="3">
        <f t="shared" si="3"/>
        <v>0.181042654</v>
      </c>
      <c r="J7083" s="2">
        <v>184.0</v>
      </c>
      <c r="K7083" s="3">
        <f t="shared" si="4"/>
        <v>0.1744075829</v>
      </c>
      <c r="L7083" s="2">
        <v>118.0</v>
      </c>
      <c r="M7083" s="3">
        <f t="shared" si="5"/>
        <v>0.6178010471</v>
      </c>
      <c r="N7083" s="2">
        <v>1129900.0</v>
      </c>
      <c r="O7083" s="4">
        <f t="shared" si="6"/>
        <v>5915.706806</v>
      </c>
      <c r="P7083" s="2">
        <v>0.0</v>
      </c>
      <c r="Q7083" s="3">
        <f t="shared" si="7"/>
        <v>0</v>
      </c>
      <c r="R7083" s="2">
        <v>103.0</v>
      </c>
      <c r="S7083" s="5">
        <f t="shared" si="8"/>
        <v>1</v>
      </c>
    </row>
    <row r="7084">
      <c r="A7084" s="2" t="s">
        <v>7081</v>
      </c>
      <c r="B7084" s="2">
        <v>984.0</v>
      </c>
      <c r="C7084" s="2">
        <v>11617.0</v>
      </c>
      <c r="D7084" s="2">
        <v>4007.0</v>
      </c>
      <c r="E7084" s="3">
        <f t="shared" si="1"/>
        <v>0.3768456691</v>
      </c>
      <c r="F7084" s="2">
        <v>1169.0</v>
      </c>
      <c r="G7084" s="3">
        <f t="shared" si="2"/>
        <v>0.1099407505</v>
      </c>
      <c r="H7084" s="2">
        <v>2160.0</v>
      </c>
      <c r="I7084" s="3">
        <f t="shared" si="3"/>
        <v>0.2031411643</v>
      </c>
      <c r="J7084" s="2">
        <v>1726.0</v>
      </c>
      <c r="K7084" s="3">
        <f t="shared" si="4"/>
        <v>0.1623248378</v>
      </c>
      <c r="L7084" s="2">
        <v>1266.0</v>
      </c>
      <c r="M7084" s="3">
        <f t="shared" si="5"/>
        <v>0.5861111111</v>
      </c>
      <c r="N7084" s="2">
        <v>1.19733E7</v>
      </c>
      <c r="O7084" s="4">
        <f t="shared" si="6"/>
        <v>5543.194444</v>
      </c>
      <c r="P7084" s="2">
        <v>1.0</v>
      </c>
      <c r="Q7084" s="3">
        <f t="shared" si="7"/>
        <v>0.001016260163</v>
      </c>
      <c r="R7084" s="2">
        <v>984.0</v>
      </c>
      <c r="S7084" s="5">
        <f t="shared" si="8"/>
        <v>1</v>
      </c>
    </row>
    <row r="7085">
      <c r="A7085" s="2" t="s">
        <v>7082</v>
      </c>
      <c r="B7085" s="2">
        <v>187.0</v>
      </c>
      <c r="C7085" s="2">
        <v>2198.0</v>
      </c>
      <c r="D7085" s="2">
        <v>566.0</v>
      </c>
      <c r="E7085" s="3">
        <f t="shared" si="1"/>
        <v>0.2814520139</v>
      </c>
      <c r="F7085" s="2">
        <v>221.0</v>
      </c>
      <c r="G7085" s="3">
        <f t="shared" si="2"/>
        <v>0.1098955743</v>
      </c>
      <c r="H7085" s="2">
        <v>372.0</v>
      </c>
      <c r="I7085" s="3">
        <f t="shared" si="3"/>
        <v>0.1849825957</v>
      </c>
      <c r="J7085" s="2">
        <v>331.0</v>
      </c>
      <c r="K7085" s="3">
        <f t="shared" si="4"/>
        <v>0.164594729</v>
      </c>
      <c r="L7085" s="2">
        <v>205.0</v>
      </c>
      <c r="M7085" s="3">
        <f t="shared" si="5"/>
        <v>0.5510752688</v>
      </c>
      <c r="N7085" s="2">
        <v>2266800.0</v>
      </c>
      <c r="O7085" s="4">
        <f t="shared" si="6"/>
        <v>6093.548387</v>
      </c>
      <c r="P7085" s="2">
        <v>0.0</v>
      </c>
      <c r="Q7085" s="3">
        <f t="shared" si="7"/>
        <v>0</v>
      </c>
      <c r="R7085" s="2">
        <v>187.0</v>
      </c>
      <c r="S7085" s="5">
        <f t="shared" si="8"/>
        <v>1</v>
      </c>
    </row>
    <row r="7086">
      <c r="A7086" s="2" t="s">
        <v>7083</v>
      </c>
      <c r="B7086" s="2">
        <v>9.0</v>
      </c>
      <c r="C7086" s="2">
        <v>100.0</v>
      </c>
      <c r="D7086" s="2">
        <v>31.0</v>
      </c>
      <c r="E7086" s="3">
        <f t="shared" si="1"/>
        <v>0.3406593407</v>
      </c>
      <c r="F7086" s="2">
        <v>10.0</v>
      </c>
      <c r="G7086" s="3">
        <f t="shared" si="2"/>
        <v>0.1098901099</v>
      </c>
      <c r="H7086" s="2">
        <v>17.0</v>
      </c>
      <c r="I7086" s="3">
        <f t="shared" si="3"/>
        <v>0.1868131868</v>
      </c>
      <c r="J7086" s="2">
        <v>17.0</v>
      </c>
      <c r="K7086" s="3">
        <f t="shared" si="4"/>
        <v>0.1868131868</v>
      </c>
      <c r="L7086" s="2">
        <v>12.0</v>
      </c>
      <c r="M7086" s="3">
        <f t="shared" si="5"/>
        <v>0.7058823529</v>
      </c>
      <c r="N7086" s="2">
        <v>73200.0</v>
      </c>
      <c r="O7086" s="4">
        <f t="shared" si="6"/>
        <v>4305.882353</v>
      </c>
      <c r="P7086" s="2">
        <v>0.0</v>
      </c>
      <c r="Q7086" s="3">
        <f t="shared" si="7"/>
        <v>0</v>
      </c>
      <c r="R7086" s="2">
        <v>9.0</v>
      </c>
      <c r="S7086" s="5">
        <f t="shared" si="8"/>
        <v>1</v>
      </c>
    </row>
    <row r="7087">
      <c r="A7087" s="2" t="s">
        <v>7084</v>
      </c>
      <c r="B7087" s="2">
        <v>57.0</v>
      </c>
      <c r="C7087" s="2">
        <v>676.0</v>
      </c>
      <c r="D7087" s="2">
        <v>165.0</v>
      </c>
      <c r="E7087" s="3">
        <f t="shared" si="1"/>
        <v>0.2665589661</v>
      </c>
      <c r="F7087" s="2">
        <v>68.0</v>
      </c>
      <c r="G7087" s="3">
        <f t="shared" si="2"/>
        <v>0.1098546042</v>
      </c>
      <c r="H7087" s="2">
        <v>118.0</v>
      </c>
      <c r="I7087" s="3">
        <f t="shared" si="3"/>
        <v>0.1906300485</v>
      </c>
      <c r="J7087" s="2">
        <v>105.0</v>
      </c>
      <c r="K7087" s="3">
        <f t="shared" si="4"/>
        <v>0.169628433</v>
      </c>
      <c r="L7087" s="2">
        <v>71.0</v>
      </c>
      <c r="M7087" s="3">
        <f t="shared" si="5"/>
        <v>0.6016949153</v>
      </c>
      <c r="N7087" s="2">
        <v>666200.0</v>
      </c>
      <c r="O7087" s="4">
        <f t="shared" si="6"/>
        <v>5645.762712</v>
      </c>
      <c r="P7087" s="2">
        <v>0.0</v>
      </c>
      <c r="Q7087" s="3">
        <f t="shared" si="7"/>
        <v>0</v>
      </c>
      <c r="R7087" s="2">
        <v>57.0</v>
      </c>
      <c r="S7087" s="5">
        <f t="shared" si="8"/>
        <v>1</v>
      </c>
    </row>
    <row r="7088">
      <c r="A7088" s="2" t="s">
        <v>7085</v>
      </c>
      <c r="B7088" s="2">
        <v>709.0</v>
      </c>
      <c r="C7088" s="2">
        <v>8397.0</v>
      </c>
      <c r="D7088" s="2">
        <v>3054.0</v>
      </c>
      <c r="E7088" s="3">
        <f t="shared" si="1"/>
        <v>0.3972424558</v>
      </c>
      <c r="F7088" s="2">
        <v>844.0</v>
      </c>
      <c r="G7088" s="3">
        <f t="shared" si="2"/>
        <v>0.1097814776</v>
      </c>
      <c r="H7088" s="2">
        <v>1607.0</v>
      </c>
      <c r="I7088" s="3">
        <f t="shared" si="3"/>
        <v>0.2090270552</v>
      </c>
      <c r="J7088" s="2">
        <v>1128.0</v>
      </c>
      <c r="K7088" s="3">
        <f t="shared" si="4"/>
        <v>0.1467221644</v>
      </c>
      <c r="L7088" s="2">
        <v>967.0</v>
      </c>
      <c r="M7088" s="3">
        <f t="shared" si="5"/>
        <v>0.6017423771</v>
      </c>
      <c r="N7088" s="2">
        <v>8284400.0</v>
      </c>
      <c r="O7088" s="4">
        <f t="shared" si="6"/>
        <v>5155.196017</v>
      </c>
      <c r="P7088" s="2">
        <v>2.0</v>
      </c>
      <c r="Q7088" s="3">
        <f t="shared" si="7"/>
        <v>0.002820874471</v>
      </c>
      <c r="R7088" s="2">
        <v>197.0</v>
      </c>
      <c r="S7088" s="5">
        <f t="shared" si="8"/>
        <v>0.2778561354</v>
      </c>
    </row>
    <row r="7089">
      <c r="A7089" s="2" t="s">
        <v>7086</v>
      </c>
      <c r="B7089" s="2">
        <v>69.0</v>
      </c>
      <c r="C7089" s="2">
        <v>816.0</v>
      </c>
      <c r="D7089" s="2">
        <v>210.0</v>
      </c>
      <c r="E7089" s="3">
        <f t="shared" si="1"/>
        <v>0.281124498</v>
      </c>
      <c r="F7089" s="2">
        <v>82.0</v>
      </c>
      <c r="G7089" s="3">
        <f t="shared" si="2"/>
        <v>0.109772423</v>
      </c>
      <c r="H7089" s="2">
        <v>149.0</v>
      </c>
      <c r="I7089" s="3">
        <f t="shared" si="3"/>
        <v>0.1994645248</v>
      </c>
      <c r="J7089" s="2">
        <v>133.0</v>
      </c>
      <c r="K7089" s="3">
        <f t="shared" si="4"/>
        <v>0.1780455154</v>
      </c>
      <c r="L7089" s="2">
        <v>89.0</v>
      </c>
      <c r="M7089" s="3">
        <f t="shared" si="5"/>
        <v>0.5973154362</v>
      </c>
      <c r="N7089" s="2">
        <v>842700.0</v>
      </c>
      <c r="O7089" s="4">
        <f t="shared" si="6"/>
        <v>5655.704698</v>
      </c>
      <c r="P7089" s="2">
        <v>0.0</v>
      </c>
      <c r="Q7089" s="3">
        <f t="shared" si="7"/>
        <v>0</v>
      </c>
      <c r="R7089" s="2">
        <v>69.0</v>
      </c>
      <c r="S7089" s="5">
        <f t="shared" si="8"/>
        <v>1</v>
      </c>
    </row>
    <row r="7090">
      <c r="A7090" s="2" t="s">
        <v>7087</v>
      </c>
      <c r="B7090" s="2">
        <v>447.0</v>
      </c>
      <c r="C7090" s="2">
        <v>5148.0</v>
      </c>
      <c r="D7090" s="2">
        <v>1648.0</v>
      </c>
      <c r="E7090" s="3">
        <f t="shared" si="1"/>
        <v>0.3505637098</v>
      </c>
      <c r="F7090" s="2">
        <v>516.0</v>
      </c>
      <c r="G7090" s="3">
        <f t="shared" si="2"/>
        <v>0.10976388</v>
      </c>
      <c r="H7090" s="2">
        <v>994.0</v>
      </c>
      <c r="I7090" s="3">
        <f t="shared" si="3"/>
        <v>0.2114443735</v>
      </c>
      <c r="J7090" s="2">
        <v>818.0</v>
      </c>
      <c r="K7090" s="3">
        <f t="shared" si="4"/>
        <v>0.1740055307</v>
      </c>
      <c r="L7090" s="2">
        <v>577.0</v>
      </c>
      <c r="M7090" s="3">
        <f t="shared" si="5"/>
        <v>0.5804828974</v>
      </c>
      <c r="N7090" s="2">
        <v>5562000.0</v>
      </c>
      <c r="O7090" s="4">
        <f t="shared" si="6"/>
        <v>5595.573441</v>
      </c>
      <c r="P7090" s="2">
        <v>1.0</v>
      </c>
      <c r="Q7090" s="3">
        <f t="shared" si="7"/>
        <v>0.002237136465</v>
      </c>
      <c r="R7090" s="2">
        <v>447.0</v>
      </c>
      <c r="S7090" s="5">
        <f t="shared" si="8"/>
        <v>1</v>
      </c>
    </row>
    <row r="7091">
      <c r="A7091" s="2" t="s">
        <v>7088</v>
      </c>
      <c r="B7091" s="2">
        <v>48.0</v>
      </c>
      <c r="C7091" s="2">
        <v>540.0</v>
      </c>
      <c r="D7091" s="2">
        <v>166.0</v>
      </c>
      <c r="E7091" s="3">
        <f t="shared" si="1"/>
        <v>0.337398374</v>
      </c>
      <c r="F7091" s="2">
        <v>54.0</v>
      </c>
      <c r="G7091" s="3">
        <f t="shared" si="2"/>
        <v>0.1097560976</v>
      </c>
      <c r="H7091" s="2">
        <v>111.0</v>
      </c>
      <c r="I7091" s="3">
        <f t="shared" si="3"/>
        <v>0.2256097561</v>
      </c>
      <c r="J7091" s="2">
        <v>76.0</v>
      </c>
      <c r="K7091" s="3">
        <f t="shared" si="4"/>
        <v>0.1544715447</v>
      </c>
      <c r="L7091" s="2">
        <v>60.0</v>
      </c>
      <c r="M7091" s="3">
        <f t="shared" si="5"/>
        <v>0.5405405405</v>
      </c>
      <c r="N7091" s="2">
        <v>676300.0</v>
      </c>
      <c r="O7091" s="4">
        <f t="shared" si="6"/>
        <v>6092.792793</v>
      </c>
      <c r="P7091" s="2">
        <v>0.0</v>
      </c>
      <c r="Q7091" s="3">
        <f t="shared" si="7"/>
        <v>0</v>
      </c>
      <c r="R7091" s="2">
        <v>48.0</v>
      </c>
      <c r="S7091" s="5">
        <f t="shared" si="8"/>
        <v>1</v>
      </c>
    </row>
    <row r="7092">
      <c r="A7092" s="2" t="s">
        <v>7089</v>
      </c>
      <c r="B7092" s="2">
        <v>1187.0</v>
      </c>
      <c r="C7092" s="2">
        <v>13916.0</v>
      </c>
      <c r="D7092" s="2">
        <v>2918.0</v>
      </c>
      <c r="E7092" s="3">
        <f t="shared" si="1"/>
        <v>0.2292403174</v>
      </c>
      <c r="F7092" s="2">
        <v>1397.0</v>
      </c>
      <c r="G7092" s="3">
        <f t="shared" si="2"/>
        <v>0.1097493912</v>
      </c>
      <c r="H7092" s="2">
        <v>2517.0</v>
      </c>
      <c r="I7092" s="3">
        <f t="shared" si="3"/>
        <v>0.1977374499</v>
      </c>
      <c r="J7092" s="2">
        <v>2185.0</v>
      </c>
      <c r="K7092" s="3">
        <f t="shared" si="4"/>
        <v>0.1716552754</v>
      </c>
      <c r="L7092" s="2">
        <v>1530.0</v>
      </c>
      <c r="M7092" s="3">
        <f t="shared" si="5"/>
        <v>0.6078665077</v>
      </c>
      <c r="N7092" s="2">
        <v>1.53781E7</v>
      </c>
      <c r="O7092" s="4">
        <f t="shared" si="6"/>
        <v>6109.69408</v>
      </c>
      <c r="P7092" s="2">
        <v>3.0</v>
      </c>
      <c r="Q7092" s="3">
        <f t="shared" si="7"/>
        <v>0.002527379949</v>
      </c>
      <c r="R7092" s="2">
        <v>0.0</v>
      </c>
      <c r="S7092" s="5">
        <f t="shared" si="8"/>
        <v>0</v>
      </c>
    </row>
    <row r="7093">
      <c r="A7093" s="2" t="s">
        <v>7090</v>
      </c>
      <c r="B7093" s="2">
        <v>268.0</v>
      </c>
      <c r="C7093" s="2">
        <v>3175.0</v>
      </c>
      <c r="D7093" s="2">
        <v>1010.0</v>
      </c>
      <c r="E7093" s="3">
        <f t="shared" si="1"/>
        <v>0.3474372205</v>
      </c>
      <c r="F7093" s="2">
        <v>319.0</v>
      </c>
      <c r="G7093" s="3">
        <f t="shared" si="2"/>
        <v>0.1097351221</v>
      </c>
      <c r="H7093" s="2">
        <v>620.0</v>
      </c>
      <c r="I7093" s="3">
        <f t="shared" si="3"/>
        <v>0.2132782938</v>
      </c>
      <c r="J7093" s="2">
        <v>499.0</v>
      </c>
      <c r="K7093" s="3">
        <f t="shared" si="4"/>
        <v>0.1716546268</v>
      </c>
      <c r="L7093" s="2">
        <v>367.0</v>
      </c>
      <c r="M7093" s="3">
        <f t="shared" si="5"/>
        <v>0.5919354839</v>
      </c>
      <c r="N7093" s="2">
        <v>3708100.0</v>
      </c>
      <c r="O7093" s="4">
        <f t="shared" si="6"/>
        <v>5980.806452</v>
      </c>
      <c r="P7093" s="2">
        <v>0.0</v>
      </c>
      <c r="Q7093" s="3">
        <f t="shared" si="7"/>
        <v>0</v>
      </c>
      <c r="R7093" s="2">
        <v>268.0</v>
      </c>
      <c r="S7093" s="5">
        <f t="shared" si="8"/>
        <v>1</v>
      </c>
    </row>
    <row r="7094">
      <c r="A7094" s="2" t="s">
        <v>7091</v>
      </c>
      <c r="B7094" s="2">
        <v>3339.0</v>
      </c>
      <c r="C7094" s="2">
        <v>39394.0</v>
      </c>
      <c r="D7094" s="2">
        <v>11590.0</v>
      </c>
      <c r="E7094" s="3">
        <f t="shared" si="1"/>
        <v>0.3214533352</v>
      </c>
      <c r="F7094" s="2">
        <v>3956.0</v>
      </c>
      <c r="G7094" s="3">
        <f t="shared" si="2"/>
        <v>0.1097212592</v>
      </c>
      <c r="H7094" s="2">
        <v>7409.0</v>
      </c>
      <c r="I7094" s="3">
        <f t="shared" si="3"/>
        <v>0.20549161</v>
      </c>
      <c r="J7094" s="2">
        <v>5913.0</v>
      </c>
      <c r="K7094" s="3">
        <f t="shared" si="4"/>
        <v>0.1639994453</v>
      </c>
      <c r="L7094" s="2">
        <v>4456.0</v>
      </c>
      <c r="M7094" s="3">
        <f t="shared" si="5"/>
        <v>0.6014306924</v>
      </c>
      <c r="N7094" s="2">
        <v>4.3014E7</v>
      </c>
      <c r="O7094" s="4">
        <f t="shared" si="6"/>
        <v>5805.641787</v>
      </c>
      <c r="P7094" s="2">
        <v>3.0</v>
      </c>
      <c r="Q7094" s="3">
        <f t="shared" si="7"/>
        <v>0.0008984725966</v>
      </c>
      <c r="R7094" s="2">
        <v>3339.0</v>
      </c>
      <c r="S7094" s="5">
        <f t="shared" si="8"/>
        <v>1</v>
      </c>
    </row>
    <row r="7095">
      <c r="A7095" s="2" t="s">
        <v>7092</v>
      </c>
      <c r="B7095" s="2">
        <v>56.0</v>
      </c>
      <c r="C7095" s="2">
        <v>694.0</v>
      </c>
      <c r="D7095" s="2">
        <v>176.0</v>
      </c>
      <c r="E7095" s="3">
        <f t="shared" si="1"/>
        <v>0.275862069</v>
      </c>
      <c r="F7095" s="2">
        <v>70.0</v>
      </c>
      <c r="G7095" s="3">
        <f t="shared" si="2"/>
        <v>0.1097178683</v>
      </c>
      <c r="H7095" s="2">
        <v>115.0</v>
      </c>
      <c r="I7095" s="3">
        <f t="shared" si="3"/>
        <v>0.1802507837</v>
      </c>
      <c r="J7095" s="2">
        <v>101.0</v>
      </c>
      <c r="K7095" s="3">
        <f t="shared" si="4"/>
        <v>0.15830721</v>
      </c>
      <c r="L7095" s="2">
        <v>68.0</v>
      </c>
      <c r="M7095" s="3">
        <f t="shared" si="5"/>
        <v>0.5913043478</v>
      </c>
      <c r="N7095" s="2">
        <v>647000.0</v>
      </c>
      <c r="O7095" s="4">
        <f t="shared" si="6"/>
        <v>5626.086957</v>
      </c>
      <c r="P7095" s="2">
        <v>0.0</v>
      </c>
      <c r="Q7095" s="3">
        <f t="shared" si="7"/>
        <v>0</v>
      </c>
      <c r="R7095" s="2">
        <v>56.0</v>
      </c>
      <c r="S7095" s="5">
        <f t="shared" si="8"/>
        <v>1</v>
      </c>
    </row>
    <row r="7096">
      <c r="A7096" s="2" t="s">
        <v>7093</v>
      </c>
      <c r="B7096" s="2">
        <v>154.0</v>
      </c>
      <c r="C7096" s="2">
        <v>1804.0</v>
      </c>
      <c r="D7096" s="2">
        <v>562.0</v>
      </c>
      <c r="E7096" s="3">
        <f t="shared" si="1"/>
        <v>0.3406060606</v>
      </c>
      <c r="F7096" s="2">
        <v>181.0</v>
      </c>
      <c r="G7096" s="3">
        <f t="shared" si="2"/>
        <v>0.1096969697</v>
      </c>
      <c r="H7096" s="2">
        <v>359.0</v>
      </c>
      <c r="I7096" s="3">
        <f t="shared" si="3"/>
        <v>0.2175757576</v>
      </c>
      <c r="J7096" s="2">
        <v>321.0</v>
      </c>
      <c r="K7096" s="3">
        <f t="shared" si="4"/>
        <v>0.1945454545</v>
      </c>
      <c r="L7096" s="2">
        <v>218.0</v>
      </c>
      <c r="M7096" s="3">
        <f t="shared" si="5"/>
        <v>0.6072423398</v>
      </c>
      <c r="N7096" s="2">
        <v>1938500.0</v>
      </c>
      <c r="O7096" s="4">
        <f t="shared" si="6"/>
        <v>5399.721448</v>
      </c>
      <c r="P7096" s="2">
        <v>1.0</v>
      </c>
      <c r="Q7096" s="3">
        <f t="shared" si="7"/>
        <v>0.006493506494</v>
      </c>
      <c r="R7096" s="2">
        <v>16.0</v>
      </c>
      <c r="S7096" s="5">
        <f t="shared" si="8"/>
        <v>0.1038961039</v>
      </c>
    </row>
    <row r="7097">
      <c r="A7097" s="2" t="s">
        <v>7094</v>
      </c>
      <c r="B7097" s="2">
        <v>635.0</v>
      </c>
      <c r="C7097" s="2">
        <v>7336.0</v>
      </c>
      <c r="D7097" s="2">
        <v>2750.0</v>
      </c>
      <c r="E7097" s="3">
        <f t="shared" si="1"/>
        <v>0.4103865095</v>
      </c>
      <c r="F7097" s="2">
        <v>735.0</v>
      </c>
      <c r="G7097" s="3">
        <f t="shared" si="2"/>
        <v>0.1096851216</v>
      </c>
      <c r="H7097" s="2">
        <v>1408.0</v>
      </c>
      <c r="I7097" s="3">
        <f t="shared" si="3"/>
        <v>0.2101178929</v>
      </c>
      <c r="J7097" s="2">
        <v>903.0</v>
      </c>
      <c r="K7097" s="3">
        <f t="shared" si="4"/>
        <v>0.1347560066</v>
      </c>
      <c r="L7097" s="2">
        <v>851.0</v>
      </c>
      <c r="M7097" s="3">
        <f t="shared" si="5"/>
        <v>0.6044034091</v>
      </c>
      <c r="N7097" s="2">
        <v>7683600.0</v>
      </c>
      <c r="O7097" s="4">
        <f t="shared" si="6"/>
        <v>5457.102273</v>
      </c>
      <c r="P7097" s="2">
        <v>3.0</v>
      </c>
      <c r="Q7097" s="3">
        <f t="shared" si="7"/>
        <v>0.004724409449</v>
      </c>
      <c r="R7097" s="2">
        <v>635.0</v>
      </c>
      <c r="S7097" s="5">
        <f t="shared" si="8"/>
        <v>1</v>
      </c>
    </row>
    <row r="7098">
      <c r="A7098" s="2" t="s">
        <v>7095</v>
      </c>
      <c r="B7098" s="2">
        <v>67.0</v>
      </c>
      <c r="C7098" s="2">
        <v>815.0</v>
      </c>
      <c r="D7098" s="2">
        <v>282.0</v>
      </c>
      <c r="E7098" s="3">
        <f t="shared" si="1"/>
        <v>0.3770053476</v>
      </c>
      <c r="F7098" s="2">
        <v>82.0</v>
      </c>
      <c r="G7098" s="3">
        <f t="shared" si="2"/>
        <v>0.1096256684</v>
      </c>
      <c r="H7098" s="2">
        <v>173.0</v>
      </c>
      <c r="I7098" s="3">
        <f t="shared" si="3"/>
        <v>0.2312834225</v>
      </c>
      <c r="J7098" s="2">
        <v>117.0</v>
      </c>
      <c r="K7098" s="3">
        <f t="shared" si="4"/>
        <v>0.1564171123</v>
      </c>
      <c r="L7098" s="2">
        <v>110.0</v>
      </c>
      <c r="M7098" s="3">
        <f t="shared" si="5"/>
        <v>0.6358381503</v>
      </c>
      <c r="N7098" s="2">
        <v>825900.0</v>
      </c>
      <c r="O7098" s="4">
        <f t="shared" si="6"/>
        <v>4773.988439</v>
      </c>
      <c r="P7098" s="2">
        <v>0.0</v>
      </c>
      <c r="Q7098" s="3">
        <f t="shared" si="7"/>
        <v>0</v>
      </c>
      <c r="R7098" s="2">
        <v>67.0</v>
      </c>
      <c r="S7098" s="5">
        <f t="shared" si="8"/>
        <v>1</v>
      </c>
    </row>
    <row r="7099">
      <c r="A7099" s="2" t="s">
        <v>7096</v>
      </c>
      <c r="B7099" s="2">
        <v>42.0</v>
      </c>
      <c r="C7099" s="2">
        <v>489.0</v>
      </c>
      <c r="D7099" s="2">
        <v>121.0</v>
      </c>
      <c r="E7099" s="3">
        <f t="shared" si="1"/>
        <v>0.2706935123</v>
      </c>
      <c r="F7099" s="2">
        <v>49.0</v>
      </c>
      <c r="G7099" s="3">
        <f t="shared" si="2"/>
        <v>0.1096196868</v>
      </c>
      <c r="H7099" s="2">
        <v>80.0</v>
      </c>
      <c r="I7099" s="3">
        <f t="shared" si="3"/>
        <v>0.1789709172</v>
      </c>
      <c r="J7099" s="2">
        <v>75.0</v>
      </c>
      <c r="K7099" s="3">
        <f t="shared" si="4"/>
        <v>0.1677852349</v>
      </c>
      <c r="L7099" s="2">
        <v>43.0</v>
      </c>
      <c r="M7099" s="3">
        <f t="shared" si="5"/>
        <v>0.5375</v>
      </c>
      <c r="N7099" s="2">
        <v>492200.0</v>
      </c>
      <c r="O7099" s="4">
        <f t="shared" si="6"/>
        <v>6152.5</v>
      </c>
      <c r="P7099" s="2">
        <v>0.0</v>
      </c>
      <c r="Q7099" s="3">
        <f t="shared" si="7"/>
        <v>0</v>
      </c>
      <c r="R7099" s="2">
        <v>42.0</v>
      </c>
      <c r="S7099" s="5">
        <f t="shared" si="8"/>
        <v>1</v>
      </c>
    </row>
    <row r="7100">
      <c r="A7100" s="2" t="s">
        <v>7097</v>
      </c>
      <c r="B7100" s="2">
        <v>2645.0</v>
      </c>
      <c r="C7100" s="2">
        <v>31192.0</v>
      </c>
      <c r="D7100" s="2">
        <v>9918.0</v>
      </c>
      <c r="E7100" s="3">
        <f t="shared" si="1"/>
        <v>0.3474270501</v>
      </c>
      <c r="F7100" s="2">
        <v>3129.0</v>
      </c>
      <c r="G7100" s="3">
        <f t="shared" si="2"/>
        <v>0.1096087155</v>
      </c>
      <c r="H7100" s="2">
        <v>5886.0</v>
      </c>
      <c r="I7100" s="3">
        <f t="shared" si="3"/>
        <v>0.2061862893</v>
      </c>
      <c r="J7100" s="2">
        <v>4717.0</v>
      </c>
      <c r="K7100" s="3">
        <f t="shared" si="4"/>
        <v>0.165236277</v>
      </c>
      <c r="L7100" s="2">
        <v>3504.0</v>
      </c>
      <c r="M7100" s="3">
        <f t="shared" si="5"/>
        <v>0.5953109072</v>
      </c>
      <c r="N7100" s="2">
        <v>3.16885E7</v>
      </c>
      <c r="O7100" s="4">
        <f t="shared" si="6"/>
        <v>5383.707102</v>
      </c>
      <c r="P7100" s="2">
        <v>5.0</v>
      </c>
      <c r="Q7100" s="3">
        <f t="shared" si="7"/>
        <v>0.001890359168</v>
      </c>
      <c r="R7100" s="2">
        <v>2645.0</v>
      </c>
      <c r="S7100" s="5">
        <f t="shared" si="8"/>
        <v>1</v>
      </c>
    </row>
    <row r="7101">
      <c r="A7101" s="2" t="s">
        <v>7098</v>
      </c>
      <c r="B7101" s="2">
        <v>106.0</v>
      </c>
      <c r="C7101" s="2">
        <v>1210.0</v>
      </c>
      <c r="D7101" s="2">
        <v>421.0</v>
      </c>
      <c r="E7101" s="3">
        <f t="shared" si="1"/>
        <v>0.3813405797</v>
      </c>
      <c r="F7101" s="2">
        <v>121.0</v>
      </c>
      <c r="G7101" s="3">
        <f t="shared" si="2"/>
        <v>0.1096014493</v>
      </c>
      <c r="H7101" s="2">
        <v>254.0</v>
      </c>
      <c r="I7101" s="3">
        <f t="shared" si="3"/>
        <v>0.2300724638</v>
      </c>
      <c r="J7101" s="2">
        <v>185.0</v>
      </c>
      <c r="K7101" s="3">
        <f t="shared" si="4"/>
        <v>0.1675724638</v>
      </c>
      <c r="L7101" s="2">
        <v>164.0</v>
      </c>
      <c r="M7101" s="3">
        <f t="shared" si="5"/>
        <v>0.6456692913</v>
      </c>
      <c r="N7101" s="2">
        <v>1381500.0</v>
      </c>
      <c r="O7101" s="4">
        <f t="shared" si="6"/>
        <v>5438.976378</v>
      </c>
      <c r="P7101" s="2">
        <v>0.0</v>
      </c>
      <c r="Q7101" s="3">
        <f t="shared" si="7"/>
        <v>0</v>
      </c>
      <c r="R7101" s="2">
        <v>1.0</v>
      </c>
      <c r="S7101" s="5">
        <f t="shared" si="8"/>
        <v>0.009433962264</v>
      </c>
    </row>
    <row r="7102">
      <c r="A7102" s="2" t="s">
        <v>7099</v>
      </c>
      <c r="B7102" s="2">
        <v>132.0</v>
      </c>
      <c r="C7102" s="2">
        <v>1528.0</v>
      </c>
      <c r="D7102" s="2">
        <v>469.0</v>
      </c>
      <c r="E7102" s="3">
        <f t="shared" si="1"/>
        <v>0.3359598854</v>
      </c>
      <c r="F7102" s="2">
        <v>153.0</v>
      </c>
      <c r="G7102" s="3">
        <f t="shared" si="2"/>
        <v>0.1095988539</v>
      </c>
      <c r="H7102" s="2">
        <v>261.0</v>
      </c>
      <c r="I7102" s="3">
        <f t="shared" si="3"/>
        <v>0.1869627507</v>
      </c>
      <c r="J7102" s="2">
        <v>261.0</v>
      </c>
      <c r="K7102" s="3">
        <f t="shared" si="4"/>
        <v>0.1869627507</v>
      </c>
      <c r="L7102" s="2">
        <v>142.0</v>
      </c>
      <c r="M7102" s="3">
        <f t="shared" si="5"/>
        <v>0.5440613027</v>
      </c>
      <c r="N7102" s="2">
        <v>1474200.0</v>
      </c>
      <c r="O7102" s="4">
        <f t="shared" si="6"/>
        <v>5648.275862</v>
      </c>
      <c r="P7102" s="2">
        <v>0.0</v>
      </c>
      <c r="Q7102" s="3">
        <f t="shared" si="7"/>
        <v>0</v>
      </c>
      <c r="R7102" s="2">
        <v>132.0</v>
      </c>
      <c r="S7102" s="5">
        <f t="shared" si="8"/>
        <v>1</v>
      </c>
    </row>
    <row r="7103">
      <c r="A7103" s="2" t="s">
        <v>7100</v>
      </c>
      <c r="B7103" s="2">
        <v>19.0</v>
      </c>
      <c r="C7103" s="2">
        <v>238.0</v>
      </c>
      <c r="D7103" s="2">
        <v>71.0</v>
      </c>
      <c r="E7103" s="3">
        <f t="shared" si="1"/>
        <v>0.3242009132</v>
      </c>
      <c r="F7103" s="2">
        <v>24.0</v>
      </c>
      <c r="G7103" s="3">
        <f t="shared" si="2"/>
        <v>0.1095890411</v>
      </c>
      <c r="H7103" s="2">
        <v>50.0</v>
      </c>
      <c r="I7103" s="3">
        <f t="shared" si="3"/>
        <v>0.2283105023</v>
      </c>
      <c r="J7103" s="2">
        <v>44.0</v>
      </c>
      <c r="K7103" s="3">
        <f t="shared" si="4"/>
        <v>0.200913242</v>
      </c>
      <c r="L7103" s="2">
        <v>29.0</v>
      </c>
      <c r="M7103" s="3">
        <f t="shared" si="5"/>
        <v>0.58</v>
      </c>
      <c r="N7103" s="2">
        <v>317600.0</v>
      </c>
      <c r="O7103" s="4">
        <f t="shared" si="6"/>
        <v>6352</v>
      </c>
      <c r="P7103" s="2">
        <v>0.0</v>
      </c>
      <c r="Q7103" s="3">
        <f t="shared" si="7"/>
        <v>0</v>
      </c>
      <c r="R7103" s="2">
        <v>11.0</v>
      </c>
      <c r="S7103" s="5">
        <f t="shared" si="8"/>
        <v>0.5789473684</v>
      </c>
    </row>
    <row r="7104">
      <c r="A7104" s="2" t="s">
        <v>7101</v>
      </c>
      <c r="B7104" s="2">
        <v>998.0</v>
      </c>
      <c r="C7104" s="2">
        <v>11915.0</v>
      </c>
      <c r="D7104" s="2">
        <v>3453.0</v>
      </c>
      <c r="E7104" s="3">
        <f t="shared" si="1"/>
        <v>0.3162956856</v>
      </c>
      <c r="F7104" s="2">
        <v>1196.0</v>
      </c>
      <c r="G7104" s="3">
        <f t="shared" si="2"/>
        <v>0.1095539068</v>
      </c>
      <c r="H7104" s="2">
        <v>2242.0</v>
      </c>
      <c r="I7104" s="3">
        <f t="shared" si="3"/>
        <v>0.205367775</v>
      </c>
      <c r="J7104" s="2">
        <v>1700.0</v>
      </c>
      <c r="K7104" s="3">
        <f t="shared" si="4"/>
        <v>0.155720436</v>
      </c>
      <c r="L7104" s="2">
        <v>1358.0</v>
      </c>
      <c r="M7104" s="3">
        <f t="shared" si="5"/>
        <v>0.6057091882</v>
      </c>
      <c r="N7104" s="2">
        <v>1.26611E7</v>
      </c>
      <c r="O7104" s="4">
        <f t="shared" si="6"/>
        <v>5647.234612</v>
      </c>
      <c r="P7104" s="2">
        <v>2.0</v>
      </c>
      <c r="Q7104" s="3">
        <f t="shared" si="7"/>
        <v>0.002004008016</v>
      </c>
      <c r="R7104" s="2">
        <v>998.0</v>
      </c>
      <c r="S7104" s="5">
        <f t="shared" si="8"/>
        <v>1</v>
      </c>
    </row>
    <row r="7105">
      <c r="A7105" s="2" t="s">
        <v>7102</v>
      </c>
      <c r="B7105" s="2">
        <v>857.0</v>
      </c>
      <c r="C7105" s="2">
        <v>10207.0</v>
      </c>
      <c r="D7105" s="2">
        <v>3488.0</v>
      </c>
      <c r="E7105" s="3">
        <f t="shared" si="1"/>
        <v>0.3730481283</v>
      </c>
      <c r="F7105" s="2">
        <v>1024.0</v>
      </c>
      <c r="G7105" s="3">
        <f t="shared" si="2"/>
        <v>0.1095187166</v>
      </c>
      <c r="H7105" s="2">
        <v>1975.0</v>
      </c>
      <c r="I7105" s="3">
        <f t="shared" si="3"/>
        <v>0.2112299465</v>
      </c>
      <c r="J7105" s="2">
        <v>1383.0</v>
      </c>
      <c r="K7105" s="3">
        <f t="shared" si="4"/>
        <v>0.1479144385</v>
      </c>
      <c r="L7105" s="2">
        <v>1183.0</v>
      </c>
      <c r="M7105" s="3">
        <f t="shared" si="5"/>
        <v>0.5989873418</v>
      </c>
      <c r="N7105" s="2">
        <v>1.07444E7</v>
      </c>
      <c r="O7105" s="4">
        <f t="shared" si="6"/>
        <v>5440.202532</v>
      </c>
      <c r="P7105" s="2">
        <v>3.0</v>
      </c>
      <c r="Q7105" s="3">
        <f t="shared" si="7"/>
        <v>0.003500583431</v>
      </c>
      <c r="R7105" s="2">
        <v>857.0</v>
      </c>
      <c r="S7105" s="5">
        <f t="shared" si="8"/>
        <v>1</v>
      </c>
    </row>
    <row r="7106">
      <c r="A7106" s="2" t="s">
        <v>7103</v>
      </c>
      <c r="B7106" s="2">
        <v>8603.0</v>
      </c>
      <c r="C7106" s="2">
        <v>100966.0</v>
      </c>
      <c r="D7106" s="2">
        <v>33068.0</v>
      </c>
      <c r="E7106" s="3">
        <f t="shared" si="1"/>
        <v>0.3580221517</v>
      </c>
      <c r="F7106" s="2">
        <v>10115.0</v>
      </c>
      <c r="G7106" s="3">
        <f t="shared" si="2"/>
        <v>0.1095135498</v>
      </c>
      <c r="H7106" s="2">
        <v>19021.0</v>
      </c>
      <c r="I7106" s="3">
        <f t="shared" si="3"/>
        <v>0.2059374425</v>
      </c>
      <c r="J7106" s="2">
        <v>14751.0</v>
      </c>
      <c r="K7106" s="3">
        <f t="shared" si="4"/>
        <v>0.159706809</v>
      </c>
      <c r="L7106" s="2">
        <v>11401.0</v>
      </c>
      <c r="M7106" s="3">
        <f t="shared" si="5"/>
        <v>0.5993901477</v>
      </c>
      <c r="N7106" s="2">
        <v>1.037646E8</v>
      </c>
      <c r="O7106" s="4">
        <f t="shared" si="6"/>
        <v>5455.265233</v>
      </c>
      <c r="P7106" s="2">
        <v>18.0</v>
      </c>
      <c r="Q7106" s="3">
        <f t="shared" si="7"/>
        <v>0.002092293386</v>
      </c>
      <c r="R7106" s="2">
        <v>8603.0</v>
      </c>
      <c r="S7106" s="5">
        <f t="shared" si="8"/>
        <v>1</v>
      </c>
    </row>
    <row r="7107">
      <c r="A7107" s="2" t="s">
        <v>7104</v>
      </c>
      <c r="B7107" s="2">
        <v>100.0</v>
      </c>
      <c r="C7107" s="2">
        <v>1187.0</v>
      </c>
      <c r="D7107" s="2">
        <v>301.0</v>
      </c>
      <c r="E7107" s="3">
        <f t="shared" si="1"/>
        <v>0.2769089236</v>
      </c>
      <c r="F7107" s="2">
        <v>119.0</v>
      </c>
      <c r="G7107" s="3">
        <f t="shared" si="2"/>
        <v>0.109475621</v>
      </c>
      <c r="H7107" s="2">
        <v>232.0</v>
      </c>
      <c r="I7107" s="3">
        <f t="shared" si="3"/>
        <v>0.2134314627</v>
      </c>
      <c r="J7107" s="2">
        <v>181.0</v>
      </c>
      <c r="K7107" s="3">
        <f t="shared" si="4"/>
        <v>0.1665133395</v>
      </c>
      <c r="L7107" s="2">
        <v>144.0</v>
      </c>
      <c r="M7107" s="3">
        <f t="shared" si="5"/>
        <v>0.6206896552</v>
      </c>
      <c r="N7107" s="2">
        <v>1215900.0</v>
      </c>
      <c r="O7107" s="4">
        <f t="shared" si="6"/>
        <v>5240.948276</v>
      </c>
      <c r="P7107" s="2">
        <v>1.0</v>
      </c>
      <c r="Q7107" s="3">
        <f t="shared" si="7"/>
        <v>0.01</v>
      </c>
      <c r="R7107" s="2">
        <v>100.0</v>
      </c>
      <c r="S7107" s="5">
        <f t="shared" si="8"/>
        <v>1</v>
      </c>
    </row>
    <row r="7108">
      <c r="A7108" s="2" t="s">
        <v>7105</v>
      </c>
      <c r="B7108" s="2">
        <v>854.0</v>
      </c>
      <c r="C7108" s="2">
        <v>9998.0</v>
      </c>
      <c r="D7108" s="2">
        <v>2386.0</v>
      </c>
      <c r="E7108" s="3">
        <f t="shared" si="1"/>
        <v>0.260936133</v>
      </c>
      <c r="F7108" s="2">
        <v>1001.0</v>
      </c>
      <c r="G7108" s="3">
        <f t="shared" si="2"/>
        <v>0.1094706912</v>
      </c>
      <c r="H7108" s="2">
        <v>1823.0</v>
      </c>
      <c r="I7108" s="3">
        <f t="shared" si="3"/>
        <v>0.1993657043</v>
      </c>
      <c r="J7108" s="2">
        <v>1389.0</v>
      </c>
      <c r="K7108" s="3">
        <f t="shared" si="4"/>
        <v>0.1519028871</v>
      </c>
      <c r="L7108" s="2">
        <v>1101.0</v>
      </c>
      <c r="M7108" s="3">
        <f t="shared" si="5"/>
        <v>0.6039495337</v>
      </c>
      <c r="N7108" s="2">
        <v>1.03247E7</v>
      </c>
      <c r="O7108" s="4">
        <f t="shared" si="6"/>
        <v>5663.576522</v>
      </c>
      <c r="P7108" s="2">
        <v>2.0</v>
      </c>
      <c r="Q7108" s="3">
        <f t="shared" si="7"/>
        <v>0.002341920375</v>
      </c>
      <c r="R7108" s="2">
        <v>854.0</v>
      </c>
      <c r="S7108" s="5">
        <f t="shared" si="8"/>
        <v>1</v>
      </c>
    </row>
    <row r="7109">
      <c r="A7109" s="2" t="s">
        <v>7106</v>
      </c>
      <c r="B7109" s="2">
        <v>187.0</v>
      </c>
      <c r="C7109" s="2">
        <v>2215.0</v>
      </c>
      <c r="D7109" s="2">
        <v>725.0</v>
      </c>
      <c r="E7109" s="3">
        <f t="shared" si="1"/>
        <v>0.357495069</v>
      </c>
      <c r="F7109" s="2">
        <v>222.0</v>
      </c>
      <c r="G7109" s="3">
        <f t="shared" si="2"/>
        <v>0.1094674556</v>
      </c>
      <c r="H7109" s="2">
        <v>440.0</v>
      </c>
      <c r="I7109" s="3">
        <f t="shared" si="3"/>
        <v>0.2169625247</v>
      </c>
      <c r="J7109" s="2">
        <v>302.0</v>
      </c>
      <c r="K7109" s="3">
        <f t="shared" si="4"/>
        <v>0.1489151874</v>
      </c>
      <c r="L7109" s="2">
        <v>272.0</v>
      </c>
      <c r="M7109" s="3">
        <f t="shared" si="5"/>
        <v>0.6181818182</v>
      </c>
      <c r="N7109" s="2">
        <v>2400900.0</v>
      </c>
      <c r="O7109" s="4">
        <f t="shared" si="6"/>
        <v>5456.590909</v>
      </c>
      <c r="P7109" s="2">
        <v>0.0</v>
      </c>
      <c r="Q7109" s="3">
        <f t="shared" si="7"/>
        <v>0</v>
      </c>
      <c r="R7109" s="2">
        <v>187.0</v>
      </c>
      <c r="S7109" s="5">
        <f t="shared" si="8"/>
        <v>1</v>
      </c>
    </row>
    <row r="7110">
      <c r="A7110" s="2" t="s">
        <v>7107</v>
      </c>
      <c r="B7110" s="2">
        <v>105.0</v>
      </c>
      <c r="C7110" s="2">
        <v>1247.0</v>
      </c>
      <c r="D7110" s="2">
        <v>341.0</v>
      </c>
      <c r="E7110" s="3">
        <f t="shared" si="1"/>
        <v>0.2985989492</v>
      </c>
      <c r="F7110" s="2">
        <v>125.0</v>
      </c>
      <c r="G7110" s="3">
        <f t="shared" si="2"/>
        <v>0.1094570928</v>
      </c>
      <c r="H7110" s="2">
        <v>230.0</v>
      </c>
      <c r="I7110" s="3">
        <f t="shared" si="3"/>
        <v>0.2014010508</v>
      </c>
      <c r="J7110" s="2">
        <v>174.0</v>
      </c>
      <c r="K7110" s="3">
        <f t="shared" si="4"/>
        <v>0.1523642732</v>
      </c>
      <c r="L7110" s="2">
        <v>123.0</v>
      </c>
      <c r="M7110" s="3">
        <f t="shared" si="5"/>
        <v>0.5347826087</v>
      </c>
      <c r="N7110" s="2">
        <v>1235000.0</v>
      </c>
      <c r="O7110" s="4">
        <f t="shared" si="6"/>
        <v>5369.565217</v>
      </c>
      <c r="P7110" s="2">
        <v>0.0</v>
      </c>
      <c r="Q7110" s="3">
        <f t="shared" si="7"/>
        <v>0</v>
      </c>
      <c r="R7110" s="2">
        <v>0.0</v>
      </c>
      <c r="S7110" s="5">
        <f t="shared" si="8"/>
        <v>0</v>
      </c>
    </row>
    <row r="7111">
      <c r="A7111" s="2" t="s">
        <v>7108</v>
      </c>
      <c r="B7111" s="2">
        <v>1483.0</v>
      </c>
      <c r="C7111" s="2">
        <v>17645.0</v>
      </c>
      <c r="D7111" s="2">
        <v>6357.0</v>
      </c>
      <c r="E7111" s="3">
        <f t="shared" si="1"/>
        <v>0.3933300334</v>
      </c>
      <c r="F7111" s="2">
        <v>1769.0</v>
      </c>
      <c r="G7111" s="3">
        <f t="shared" si="2"/>
        <v>0.1094542755</v>
      </c>
      <c r="H7111" s="2">
        <v>3389.0</v>
      </c>
      <c r="I7111" s="3">
        <f t="shared" si="3"/>
        <v>0.2096893949</v>
      </c>
      <c r="J7111" s="2">
        <v>2643.0</v>
      </c>
      <c r="K7111" s="3">
        <f t="shared" si="4"/>
        <v>0.1635317411</v>
      </c>
      <c r="L7111" s="2">
        <v>2022.0</v>
      </c>
      <c r="M7111" s="3">
        <f t="shared" si="5"/>
        <v>0.5966361759</v>
      </c>
      <c r="N7111" s="2">
        <v>1.80243E7</v>
      </c>
      <c r="O7111" s="4">
        <f t="shared" si="6"/>
        <v>5318.471526</v>
      </c>
      <c r="P7111" s="2">
        <v>2.0</v>
      </c>
      <c r="Q7111" s="3">
        <f t="shared" si="7"/>
        <v>0.001348617667</v>
      </c>
      <c r="R7111" s="2">
        <v>1135.0</v>
      </c>
      <c r="S7111" s="5">
        <f t="shared" si="8"/>
        <v>0.765340526</v>
      </c>
    </row>
    <row r="7112">
      <c r="A7112" s="2" t="s">
        <v>7109</v>
      </c>
      <c r="B7112" s="2">
        <v>56.0</v>
      </c>
      <c r="C7112" s="2">
        <v>659.0</v>
      </c>
      <c r="D7112" s="2">
        <v>236.0</v>
      </c>
      <c r="E7112" s="3">
        <f t="shared" si="1"/>
        <v>0.3913764511</v>
      </c>
      <c r="F7112" s="2">
        <v>66.0</v>
      </c>
      <c r="G7112" s="3">
        <f t="shared" si="2"/>
        <v>0.1094527363</v>
      </c>
      <c r="H7112" s="2">
        <v>115.0</v>
      </c>
      <c r="I7112" s="3">
        <f t="shared" si="3"/>
        <v>0.1907131012</v>
      </c>
      <c r="J7112" s="2">
        <v>93.0</v>
      </c>
      <c r="K7112" s="3">
        <f t="shared" si="4"/>
        <v>0.1542288557</v>
      </c>
      <c r="L7112" s="2">
        <v>70.0</v>
      </c>
      <c r="M7112" s="3">
        <f t="shared" si="5"/>
        <v>0.6086956522</v>
      </c>
      <c r="N7112" s="2">
        <v>600700.0</v>
      </c>
      <c r="O7112" s="4">
        <f t="shared" si="6"/>
        <v>5223.478261</v>
      </c>
      <c r="P7112" s="2">
        <v>0.0</v>
      </c>
      <c r="Q7112" s="3">
        <f t="shared" si="7"/>
        <v>0</v>
      </c>
      <c r="R7112" s="2">
        <v>0.0</v>
      </c>
      <c r="S7112" s="5">
        <f t="shared" si="8"/>
        <v>0</v>
      </c>
    </row>
    <row r="7113">
      <c r="A7113" s="2" t="s">
        <v>7110</v>
      </c>
      <c r="B7113" s="2">
        <v>435.0</v>
      </c>
      <c r="C7113" s="2">
        <v>5177.0</v>
      </c>
      <c r="D7113" s="2">
        <v>1364.0</v>
      </c>
      <c r="E7113" s="3">
        <f t="shared" si="1"/>
        <v>0.287642345</v>
      </c>
      <c r="F7113" s="2">
        <v>519.0</v>
      </c>
      <c r="G7113" s="3">
        <f t="shared" si="2"/>
        <v>0.1094474905</v>
      </c>
      <c r="H7113" s="2">
        <v>940.0</v>
      </c>
      <c r="I7113" s="3">
        <f t="shared" si="3"/>
        <v>0.1982285955</v>
      </c>
      <c r="J7113" s="2">
        <v>797.0</v>
      </c>
      <c r="K7113" s="3">
        <f t="shared" si="4"/>
        <v>0.1680725432</v>
      </c>
      <c r="L7113" s="2">
        <v>545.0</v>
      </c>
      <c r="M7113" s="3">
        <f t="shared" si="5"/>
        <v>0.579787234</v>
      </c>
      <c r="N7113" s="2">
        <v>5502800.0</v>
      </c>
      <c r="O7113" s="4">
        <f t="shared" si="6"/>
        <v>5854.042553</v>
      </c>
      <c r="P7113" s="2">
        <v>1.0</v>
      </c>
      <c r="Q7113" s="3">
        <f t="shared" si="7"/>
        <v>0.002298850575</v>
      </c>
      <c r="R7113" s="2">
        <v>435.0</v>
      </c>
      <c r="S7113" s="5">
        <f t="shared" si="8"/>
        <v>1</v>
      </c>
    </row>
    <row r="7114">
      <c r="A7114" s="2" t="s">
        <v>7111</v>
      </c>
      <c r="B7114" s="2">
        <v>265.0</v>
      </c>
      <c r="C7114" s="2">
        <v>3134.0</v>
      </c>
      <c r="D7114" s="2">
        <v>946.0</v>
      </c>
      <c r="E7114" s="3">
        <f t="shared" si="1"/>
        <v>0.3297316138</v>
      </c>
      <c r="F7114" s="2">
        <v>314.0</v>
      </c>
      <c r="G7114" s="3">
        <f t="shared" si="2"/>
        <v>0.1094457999</v>
      </c>
      <c r="H7114" s="2">
        <v>588.0</v>
      </c>
      <c r="I7114" s="3">
        <f t="shared" si="3"/>
        <v>0.2049494597</v>
      </c>
      <c r="J7114" s="2">
        <v>439.0</v>
      </c>
      <c r="K7114" s="3">
        <f t="shared" si="4"/>
        <v>0.1530149878</v>
      </c>
      <c r="L7114" s="2">
        <v>366.0</v>
      </c>
      <c r="M7114" s="3">
        <f t="shared" si="5"/>
        <v>0.6224489796</v>
      </c>
      <c r="N7114" s="2">
        <v>3196000.0</v>
      </c>
      <c r="O7114" s="4">
        <f t="shared" si="6"/>
        <v>5435.37415</v>
      </c>
      <c r="P7114" s="2">
        <v>1.0</v>
      </c>
      <c r="Q7114" s="3">
        <f t="shared" si="7"/>
        <v>0.003773584906</v>
      </c>
      <c r="R7114" s="2">
        <v>265.0</v>
      </c>
      <c r="S7114" s="5">
        <f t="shared" si="8"/>
        <v>1</v>
      </c>
    </row>
    <row r="7115">
      <c r="A7115" s="2" t="s">
        <v>7112</v>
      </c>
      <c r="B7115" s="2">
        <v>491.0</v>
      </c>
      <c r="C7115" s="2">
        <v>5864.0</v>
      </c>
      <c r="D7115" s="2">
        <v>1841.0</v>
      </c>
      <c r="E7115" s="3">
        <f t="shared" si="1"/>
        <v>0.3426391215</v>
      </c>
      <c r="F7115" s="2">
        <v>588.0</v>
      </c>
      <c r="G7115" s="3">
        <f t="shared" si="2"/>
        <v>0.1094360692</v>
      </c>
      <c r="H7115" s="2">
        <v>978.0</v>
      </c>
      <c r="I7115" s="3">
        <f t="shared" si="3"/>
        <v>0.1820212172</v>
      </c>
      <c r="J7115" s="2">
        <v>720.0</v>
      </c>
      <c r="K7115" s="3">
        <f t="shared" si="4"/>
        <v>0.1340033501</v>
      </c>
      <c r="L7115" s="2">
        <v>595.0</v>
      </c>
      <c r="M7115" s="3">
        <f t="shared" si="5"/>
        <v>0.6083844581</v>
      </c>
      <c r="N7115" s="2">
        <v>5330900.0</v>
      </c>
      <c r="O7115" s="4">
        <f t="shared" si="6"/>
        <v>5450.817996</v>
      </c>
      <c r="P7115" s="2">
        <v>0.0</v>
      </c>
      <c r="Q7115" s="3">
        <f t="shared" si="7"/>
        <v>0</v>
      </c>
      <c r="R7115" s="2">
        <v>491.0</v>
      </c>
      <c r="S7115" s="5">
        <f t="shared" si="8"/>
        <v>1</v>
      </c>
    </row>
    <row r="7116">
      <c r="A7116" s="2" t="s">
        <v>7113</v>
      </c>
      <c r="B7116" s="2">
        <v>173.0</v>
      </c>
      <c r="C7116" s="2">
        <v>2092.0</v>
      </c>
      <c r="D7116" s="2">
        <v>758.0</v>
      </c>
      <c r="E7116" s="3">
        <f t="shared" si="1"/>
        <v>0.3949973945</v>
      </c>
      <c r="F7116" s="2">
        <v>210.0</v>
      </c>
      <c r="G7116" s="3">
        <f t="shared" si="2"/>
        <v>0.1094319958</v>
      </c>
      <c r="H7116" s="2">
        <v>409.0</v>
      </c>
      <c r="I7116" s="3">
        <f t="shared" si="3"/>
        <v>0.2131318395</v>
      </c>
      <c r="J7116" s="2">
        <v>338.0</v>
      </c>
      <c r="K7116" s="3">
        <f t="shared" si="4"/>
        <v>0.1761334028</v>
      </c>
      <c r="L7116" s="2">
        <v>250.0</v>
      </c>
      <c r="M7116" s="3">
        <f t="shared" si="5"/>
        <v>0.6112469438</v>
      </c>
      <c r="N7116" s="2">
        <v>2338300.0</v>
      </c>
      <c r="O7116" s="4">
        <f t="shared" si="6"/>
        <v>5717.114914</v>
      </c>
      <c r="P7116" s="2">
        <v>0.0</v>
      </c>
      <c r="Q7116" s="3">
        <f t="shared" si="7"/>
        <v>0</v>
      </c>
      <c r="R7116" s="2">
        <v>0.0</v>
      </c>
      <c r="S7116" s="5">
        <f t="shared" si="8"/>
        <v>0</v>
      </c>
    </row>
    <row r="7117">
      <c r="A7117" s="2" t="s">
        <v>7114</v>
      </c>
      <c r="B7117" s="2">
        <v>113.0</v>
      </c>
      <c r="C7117" s="2">
        <v>1301.0</v>
      </c>
      <c r="D7117" s="2">
        <v>469.0</v>
      </c>
      <c r="E7117" s="3">
        <f t="shared" si="1"/>
        <v>0.3947811448</v>
      </c>
      <c r="F7117" s="2">
        <v>130.0</v>
      </c>
      <c r="G7117" s="3">
        <f t="shared" si="2"/>
        <v>0.1094276094</v>
      </c>
      <c r="H7117" s="2">
        <v>241.0</v>
      </c>
      <c r="I7117" s="3">
        <f t="shared" si="3"/>
        <v>0.2028619529</v>
      </c>
      <c r="J7117" s="2">
        <v>193.0</v>
      </c>
      <c r="K7117" s="3">
        <f t="shared" si="4"/>
        <v>0.1624579125</v>
      </c>
      <c r="L7117" s="2">
        <v>132.0</v>
      </c>
      <c r="M7117" s="3">
        <f t="shared" si="5"/>
        <v>0.5477178423</v>
      </c>
      <c r="N7117" s="2">
        <v>1314800.0</v>
      </c>
      <c r="O7117" s="4">
        <f t="shared" si="6"/>
        <v>5455.60166</v>
      </c>
      <c r="P7117" s="2">
        <v>1.0</v>
      </c>
      <c r="Q7117" s="3">
        <f t="shared" si="7"/>
        <v>0.008849557522</v>
      </c>
      <c r="R7117" s="2">
        <v>113.0</v>
      </c>
      <c r="S7117" s="5">
        <f t="shared" si="8"/>
        <v>1</v>
      </c>
    </row>
    <row r="7118">
      <c r="A7118" s="2" t="s">
        <v>7115</v>
      </c>
      <c r="B7118" s="2">
        <v>608.0</v>
      </c>
      <c r="C7118" s="2">
        <v>7280.0</v>
      </c>
      <c r="D7118" s="2">
        <v>2701.0</v>
      </c>
      <c r="E7118" s="3">
        <f t="shared" si="1"/>
        <v>0.4048261391</v>
      </c>
      <c r="F7118" s="2">
        <v>730.0</v>
      </c>
      <c r="G7118" s="3">
        <f t="shared" si="2"/>
        <v>0.10941247</v>
      </c>
      <c r="H7118" s="2">
        <v>1432.0</v>
      </c>
      <c r="I7118" s="3">
        <f t="shared" si="3"/>
        <v>0.2146282974</v>
      </c>
      <c r="J7118" s="2">
        <v>1090.0</v>
      </c>
      <c r="K7118" s="3">
        <f t="shared" si="4"/>
        <v>0.1633693046</v>
      </c>
      <c r="L7118" s="2">
        <v>818.0</v>
      </c>
      <c r="M7118" s="3">
        <f t="shared" si="5"/>
        <v>0.5712290503</v>
      </c>
      <c r="N7118" s="2">
        <v>7715800.0</v>
      </c>
      <c r="O7118" s="4">
        <f t="shared" si="6"/>
        <v>5388.128492</v>
      </c>
      <c r="P7118" s="2">
        <v>1.0</v>
      </c>
      <c r="Q7118" s="3">
        <f t="shared" si="7"/>
        <v>0.001644736842</v>
      </c>
      <c r="R7118" s="2">
        <v>608.0</v>
      </c>
      <c r="S7118" s="5">
        <f t="shared" si="8"/>
        <v>1</v>
      </c>
    </row>
    <row r="7119">
      <c r="A7119" s="2" t="s">
        <v>7116</v>
      </c>
      <c r="B7119" s="2">
        <v>47.0</v>
      </c>
      <c r="C7119" s="2">
        <v>504.0</v>
      </c>
      <c r="D7119" s="2">
        <v>157.0</v>
      </c>
      <c r="E7119" s="3">
        <f t="shared" si="1"/>
        <v>0.3435448578</v>
      </c>
      <c r="F7119" s="2">
        <v>50.0</v>
      </c>
      <c r="G7119" s="3">
        <f t="shared" si="2"/>
        <v>0.1094091904</v>
      </c>
      <c r="H7119" s="2">
        <v>104.0</v>
      </c>
      <c r="I7119" s="3">
        <f t="shared" si="3"/>
        <v>0.227571116</v>
      </c>
      <c r="J7119" s="2">
        <v>80.0</v>
      </c>
      <c r="K7119" s="3">
        <f t="shared" si="4"/>
        <v>0.1750547046</v>
      </c>
      <c r="L7119" s="2">
        <v>67.0</v>
      </c>
      <c r="M7119" s="3">
        <f t="shared" si="5"/>
        <v>0.6442307692</v>
      </c>
      <c r="N7119" s="2">
        <v>590500.0</v>
      </c>
      <c r="O7119" s="4">
        <f t="shared" si="6"/>
        <v>5677.884615</v>
      </c>
      <c r="P7119" s="2">
        <v>0.0</v>
      </c>
      <c r="Q7119" s="3">
        <f t="shared" si="7"/>
        <v>0</v>
      </c>
      <c r="R7119" s="2">
        <v>47.0</v>
      </c>
      <c r="S7119" s="5">
        <f t="shared" si="8"/>
        <v>1</v>
      </c>
    </row>
    <row r="7120">
      <c r="A7120" s="2" t="s">
        <v>7117</v>
      </c>
      <c r="B7120" s="2">
        <v>1068.0</v>
      </c>
      <c r="C7120" s="2">
        <v>12631.0</v>
      </c>
      <c r="D7120" s="2">
        <v>3321.0</v>
      </c>
      <c r="E7120" s="3">
        <f t="shared" si="1"/>
        <v>0.2872092018</v>
      </c>
      <c r="F7120" s="2">
        <v>1265.0</v>
      </c>
      <c r="G7120" s="3">
        <f t="shared" si="2"/>
        <v>0.1094006746</v>
      </c>
      <c r="H7120" s="2">
        <v>2326.0</v>
      </c>
      <c r="I7120" s="3">
        <f t="shared" si="3"/>
        <v>0.2011588688</v>
      </c>
      <c r="J7120" s="2">
        <v>1957.0</v>
      </c>
      <c r="K7120" s="3">
        <f t="shared" si="4"/>
        <v>0.1692467353</v>
      </c>
      <c r="L7120" s="2">
        <v>1398.0</v>
      </c>
      <c r="M7120" s="3">
        <f t="shared" si="5"/>
        <v>0.6010318143</v>
      </c>
      <c r="N7120" s="2">
        <v>1.40795E7</v>
      </c>
      <c r="O7120" s="4">
        <f t="shared" si="6"/>
        <v>6053.095443</v>
      </c>
      <c r="P7120" s="2">
        <v>3.0</v>
      </c>
      <c r="Q7120" s="3">
        <f t="shared" si="7"/>
        <v>0.002808988764</v>
      </c>
      <c r="R7120" s="2">
        <v>1068.0</v>
      </c>
      <c r="S7120" s="5">
        <f t="shared" si="8"/>
        <v>1</v>
      </c>
    </row>
    <row r="7121">
      <c r="A7121" s="2" t="s">
        <v>7118</v>
      </c>
      <c r="B7121" s="2">
        <v>589.0</v>
      </c>
      <c r="C7121" s="2">
        <v>6942.0</v>
      </c>
      <c r="D7121" s="2">
        <v>1980.0</v>
      </c>
      <c r="E7121" s="3">
        <f t="shared" si="1"/>
        <v>0.3116637809</v>
      </c>
      <c r="F7121" s="2">
        <v>695.0</v>
      </c>
      <c r="G7121" s="3">
        <f t="shared" si="2"/>
        <v>0.1093971352</v>
      </c>
      <c r="H7121" s="2">
        <v>1296.0</v>
      </c>
      <c r="I7121" s="3">
        <f t="shared" si="3"/>
        <v>0.2039981111</v>
      </c>
      <c r="J7121" s="2">
        <v>1121.0</v>
      </c>
      <c r="K7121" s="3">
        <f t="shared" si="4"/>
        <v>0.1764520699</v>
      </c>
      <c r="L7121" s="2">
        <v>749.0</v>
      </c>
      <c r="M7121" s="3">
        <f t="shared" si="5"/>
        <v>0.5779320988</v>
      </c>
      <c r="N7121" s="2">
        <v>7571700.0</v>
      </c>
      <c r="O7121" s="4">
        <f t="shared" si="6"/>
        <v>5842.361111</v>
      </c>
      <c r="P7121" s="2">
        <v>3.0</v>
      </c>
      <c r="Q7121" s="3">
        <f t="shared" si="7"/>
        <v>0.005093378608</v>
      </c>
      <c r="R7121" s="2">
        <v>589.0</v>
      </c>
      <c r="S7121" s="5">
        <f t="shared" si="8"/>
        <v>1</v>
      </c>
    </row>
    <row r="7122">
      <c r="A7122" s="2" t="s">
        <v>7119</v>
      </c>
      <c r="B7122" s="2">
        <v>894.0</v>
      </c>
      <c r="C7122" s="2">
        <v>10401.0</v>
      </c>
      <c r="D7122" s="2">
        <v>3218.0</v>
      </c>
      <c r="E7122" s="3">
        <f t="shared" si="1"/>
        <v>0.3384874303</v>
      </c>
      <c r="F7122" s="2">
        <v>1040.0</v>
      </c>
      <c r="G7122" s="3">
        <f t="shared" si="2"/>
        <v>0.1093930788</v>
      </c>
      <c r="H7122" s="2">
        <v>2007.0</v>
      </c>
      <c r="I7122" s="3">
        <f t="shared" si="3"/>
        <v>0.2111076049</v>
      </c>
      <c r="J7122" s="2">
        <v>1656.0</v>
      </c>
      <c r="K7122" s="3">
        <f t="shared" si="4"/>
        <v>0.1741874408</v>
      </c>
      <c r="L7122" s="2">
        <v>1222.0</v>
      </c>
      <c r="M7122" s="3">
        <f t="shared" si="5"/>
        <v>0.6088689586</v>
      </c>
      <c r="N7122" s="2">
        <v>1.14628E7</v>
      </c>
      <c r="O7122" s="4">
        <f t="shared" si="6"/>
        <v>5711.410065</v>
      </c>
      <c r="P7122" s="2">
        <v>3.0</v>
      </c>
      <c r="Q7122" s="3">
        <f t="shared" si="7"/>
        <v>0.003355704698</v>
      </c>
      <c r="R7122" s="2">
        <v>168.0</v>
      </c>
      <c r="S7122" s="5">
        <f t="shared" si="8"/>
        <v>0.1879194631</v>
      </c>
    </row>
    <row r="7123">
      <c r="A7123" s="2" t="s">
        <v>7120</v>
      </c>
      <c r="B7123" s="2">
        <v>90.0</v>
      </c>
      <c r="C7123" s="2">
        <v>1059.0</v>
      </c>
      <c r="D7123" s="2">
        <v>370.0</v>
      </c>
      <c r="E7123" s="3">
        <f t="shared" si="1"/>
        <v>0.3818369453</v>
      </c>
      <c r="F7123" s="2">
        <v>106.0</v>
      </c>
      <c r="G7123" s="3">
        <f t="shared" si="2"/>
        <v>0.1093911249</v>
      </c>
      <c r="H7123" s="2">
        <v>181.0</v>
      </c>
      <c r="I7123" s="3">
        <f t="shared" si="3"/>
        <v>0.1867905057</v>
      </c>
      <c r="J7123" s="2">
        <v>128.0</v>
      </c>
      <c r="K7123" s="3">
        <f t="shared" si="4"/>
        <v>0.1320949432</v>
      </c>
      <c r="L7123" s="2">
        <v>107.0</v>
      </c>
      <c r="M7123" s="3">
        <f t="shared" si="5"/>
        <v>0.591160221</v>
      </c>
      <c r="N7123" s="2">
        <v>867000.0</v>
      </c>
      <c r="O7123" s="4">
        <f t="shared" si="6"/>
        <v>4790.055249</v>
      </c>
      <c r="P7123" s="2">
        <v>0.0</v>
      </c>
      <c r="Q7123" s="3">
        <f t="shared" si="7"/>
        <v>0</v>
      </c>
      <c r="R7123" s="2">
        <v>0.0</v>
      </c>
      <c r="S7123" s="5">
        <f t="shared" si="8"/>
        <v>0</v>
      </c>
    </row>
    <row r="7124">
      <c r="A7124" s="2" t="s">
        <v>7121</v>
      </c>
      <c r="B7124" s="2">
        <v>6.0</v>
      </c>
      <c r="C7124" s="2">
        <v>70.0</v>
      </c>
      <c r="D7124" s="2">
        <v>16.0</v>
      </c>
      <c r="E7124" s="3">
        <f t="shared" si="1"/>
        <v>0.25</v>
      </c>
      <c r="F7124" s="2">
        <v>7.0</v>
      </c>
      <c r="G7124" s="3">
        <f t="shared" si="2"/>
        <v>0.109375</v>
      </c>
      <c r="H7124" s="2">
        <v>8.0</v>
      </c>
      <c r="I7124" s="3">
        <f t="shared" si="3"/>
        <v>0.125</v>
      </c>
      <c r="J7124" s="2">
        <v>7.0</v>
      </c>
      <c r="K7124" s="3">
        <f t="shared" si="4"/>
        <v>0.109375</v>
      </c>
      <c r="L7124" s="2">
        <v>4.0</v>
      </c>
      <c r="M7124" s="3">
        <f t="shared" si="5"/>
        <v>0.5</v>
      </c>
      <c r="N7124" s="2">
        <v>33200.0</v>
      </c>
      <c r="O7124" s="4">
        <f t="shared" si="6"/>
        <v>4150</v>
      </c>
      <c r="P7124" s="2">
        <v>0.0</v>
      </c>
      <c r="Q7124" s="3">
        <f t="shared" si="7"/>
        <v>0</v>
      </c>
      <c r="R7124" s="2">
        <v>6.0</v>
      </c>
      <c r="S7124" s="5">
        <f t="shared" si="8"/>
        <v>1</v>
      </c>
    </row>
    <row r="7125">
      <c r="A7125" s="2" t="s">
        <v>7122</v>
      </c>
      <c r="B7125" s="2">
        <v>548.0</v>
      </c>
      <c r="C7125" s="2">
        <v>6464.0</v>
      </c>
      <c r="D7125" s="2">
        <v>2199.0</v>
      </c>
      <c r="E7125" s="3">
        <f t="shared" si="1"/>
        <v>0.371703854</v>
      </c>
      <c r="F7125" s="2">
        <v>647.0</v>
      </c>
      <c r="G7125" s="3">
        <f t="shared" si="2"/>
        <v>0.1093644354</v>
      </c>
      <c r="H7125" s="2">
        <v>1135.0</v>
      </c>
      <c r="I7125" s="3">
        <f t="shared" si="3"/>
        <v>0.1918526031</v>
      </c>
      <c r="J7125" s="2">
        <v>939.0</v>
      </c>
      <c r="K7125" s="3">
        <f t="shared" si="4"/>
        <v>0.1587221095</v>
      </c>
      <c r="L7125" s="2">
        <v>658.0</v>
      </c>
      <c r="M7125" s="3">
        <f t="shared" si="5"/>
        <v>0.5797356828</v>
      </c>
      <c r="N7125" s="2">
        <v>6322900.0</v>
      </c>
      <c r="O7125" s="4">
        <f t="shared" si="6"/>
        <v>5570.837004</v>
      </c>
      <c r="P7125" s="2">
        <v>2.0</v>
      </c>
      <c r="Q7125" s="3">
        <f t="shared" si="7"/>
        <v>0.003649635036</v>
      </c>
      <c r="R7125" s="2">
        <v>548.0</v>
      </c>
      <c r="S7125" s="5">
        <f t="shared" si="8"/>
        <v>1</v>
      </c>
    </row>
    <row r="7126">
      <c r="A7126" s="2" t="s">
        <v>7123</v>
      </c>
      <c r="B7126" s="2">
        <v>228.0</v>
      </c>
      <c r="C7126" s="2">
        <v>2688.0</v>
      </c>
      <c r="D7126" s="2">
        <v>922.0</v>
      </c>
      <c r="E7126" s="3">
        <f t="shared" si="1"/>
        <v>0.374796748</v>
      </c>
      <c r="F7126" s="2">
        <v>269.0</v>
      </c>
      <c r="G7126" s="3">
        <f t="shared" si="2"/>
        <v>0.1093495935</v>
      </c>
      <c r="H7126" s="2">
        <v>497.0</v>
      </c>
      <c r="I7126" s="3">
        <f t="shared" si="3"/>
        <v>0.2020325203</v>
      </c>
      <c r="J7126" s="2">
        <v>373.0</v>
      </c>
      <c r="K7126" s="3">
        <f t="shared" si="4"/>
        <v>0.1516260163</v>
      </c>
      <c r="L7126" s="2">
        <v>295.0</v>
      </c>
      <c r="M7126" s="3">
        <f t="shared" si="5"/>
        <v>0.5935613682</v>
      </c>
      <c r="N7126" s="2">
        <v>2779100.0</v>
      </c>
      <c r="O7126" s="4">
        <f t="shared" si="6"/>
        <v>5591.750503</v>
      </c>
      <c r="P7126" s="2">
        <v>1.0</v>
      </c>
      <c r="Q7126" s="3">
        <f t="shared" si="7"/>
        <v>0.004385964912</v>
      </c>
      <c r="R7126" s="2">
        <v>228.0</v>
      </c>
      <c r="S7126" s="5">
        <f t="shared" si="8"/>
        <v>1</v>
      </c>
    </row>
    <row r="7127">
      <c r="A7127" s="2" t="s">
        <v>7124</v>
      </c>
      <c r="B7127" s="2">
        <v>162.0</v>
      </c>
      <c r="C7127" s="2">
        <v>1927.0</v>
      </c>
      <c r="D7127" s="2">
        <v>547.0</v>
      </c>
      <c r="E7127" s="3">
        <f t="shared" si="1"/>
        <v>0.3099150142</v>
      </c>
      <c r="F7127" s="2">
        <v>193.0</v>
      </c>
      <c r="G7127" s="3">
        <f t="shared" si="2"/>
        <v>0.1093484419</v>
      </c>
      <c r="H7127" s="2">
        <v>382.0</v>
      </c>
      <c r="I7127" s="3">
        <f t="shared" si="3"/>
        <v>0.2164305949</v>
      </c>
      <c r="J7127" s="2">
        <v>292.0</v>
      </c>
      <c r="K7127" s="3">
        <f t="shared" si="4"/>
        <v>0.1654390935</v>
      </c>
      <c r="L7127" s="2">
        <v>219.0</v>
      </c>
      <c r="M7127" s="3">
        <f t="shared" si="5"/>
        <v>0.5732984293</v>
      </c>
      <c r="N7127" s="2">
        <v>2169900.0</v>
      </c>
      <c r="O7127" s="4">
        <f t="shared" si="6"/>
        <v>5680.366492</v>
      </c>
      <c r="P7127" s="2">
        <v>0.0</v>
      </c>
      <c r="Q7127" s="3">
        <f t="shared" si="7"/>
        <v>0</v>
      </c>
      <c r="R7127" s="2">
        <v>162.0</v>
      </c>
      <c r="S7127" s="5">
        <f t="shared" si="8"/>
        <v>1</v>
      </c>
    </row>
    <row r="7128">
      <c r="A7128" s="2" t="s">
        <v>7125</v>
      </c>
      <c r="B7128" s="2">
        <v>139.0</v>
      </c>
      <c r="C7128" s="2">
        <v>1584.0</v>
      </c>
      <c r="D7128" s="2">
        <v>617.0</v>
      </c>
      <c r="E7128" s="3">
        <f t="shared" si="1"/>
        <v>0.4269896194</v>
      </c>
      <c r="F7128" s="2">
        <v>158.0</v>
      </c>
      <c r="G7128" s="3">
        <f t="shared" si="2"/>
        <v>0.1093425606</v>
      </c>
      <c r="H7128" s="2">
        <v>305.0</v>
      </c>
      <c r="I7128" s="3">
        <f t="shared" si="3"/>
        <v>0.2110726644</v>
      </c>
      <c r="J7128" s="2">
        <v>213.0</v>
      </c>
      <c r="K7128" s="3">
        <f t="shared" si="4"/>
        <v>0.1474048443</v>
      </c>
      <c r="L7128" s="2">
        <v>178.0</v>
      </c>
      <c r="M7128" s="3">
        <f t="shared" si="5"/>
        <v>0.5836065574</v>
      </c>
      <c r="N7128" s="2">
        <v>1578000.0</v>
      </c>
      <c r="O7128" s="4">
        <f t="shared" si="6"/>
        <v>5173.770492</v>
      </c>
      <c r="P7128" s="2">
        <v>1.0</v>
      </c>
      <c r="Q7128" s="3">
        <f t="shared" si="7"/>
        <v>0.007194244604</v>
      </c>
      <c r="R7128" s="2">
        <v>139.0</v>
      </c>
      <c r="S7128" s="5">
        <f t="shared" si="8"/>
        <v>1</v>
      </c>
    </row>
    <row r="7129">
      <c r="A7129" s="2" t="s">
        <v>7126</v>
      </c>
      <c r="B7129" s="2">
        <v>28.0</v>
      </c>
      <c r="C7129" s="2">
        <v>339.0</v>
      </c>
      <c r="D7129" s="2">
        <v>112.0</v>
      </c>
      <c r="E7129" s="3">
        <f t="shared" si="1"/>
        <v>0.3601286174</v>
      </c>
      <c r="F7129" s="2">
        <v>34.0</v>
      </c>
      <c r="G7129" s="3">
        <f t="shared" si="2"/>
        <v>0.1093247588</v>
      </c>
      <c r="H7129" s="2">
        <v>67.0</v>
      </c>
      <c r="I7129" s="3">
        <f t="shared" si="3"/>
        <v>0.2154340836</v>
      </c>
      <c r="J7129" s="2">
        <v>52.0</v>
      </c>
      <c r="K7129" s="3">
        <f t="shared" si="4"/>
        <v>0.1672025723</v>
      </c>
      <c r="L7129" s="2">
        <v>32.0</v>
      </c>
      <c r="M7129" s="3">
        <f t="shared" si="5"/>
        <v>0.4776119403</v>
      </c>
      <c r="N7129" s="2">
        <v>402500.0</v>
      </c>
      <c r="O7129" s="4">
        <f t="shared" si="6"/>
        <v>6007.462687</v>
      </c>
      <c r="P7129" s="2">
        <v>0.0</v>
      </c>
      <c r="Q7129" s="3">
        <f t="shared" si="7"/>
        <v>0</v>
      </c>
      <c r="R7129" s="2">
        <v>28.0</v>
      </c>
      <c r="S7129" s="5">
        <f t="shared" si="8"/>
        <v>1</v>
      </c>
    </row>
    <row r="7130">
      <c r="A7130" s="2" t="s">
        <v>7127</v>
      </c>
      <c r="B7130" s="2">
        <v>415.0</v>
      </c>
      <c r="C7130" s="2">
        <v>4925.0</v>
      </c>
      <c r="D7130" s="2">
        <v>1294.0</v>
      </c>
      <c r="E7130" s="3">
        <f t="shared" si="1"/>
        <v>0.2869179601</v>
      </c>
      <c r="F7130" s="2">
        <v>493.0</v>
      </c>
      <c r="G7130" s="3">
        <f t="shared" si="2"/>
        <v>0.1093126386</v>
      </c>
      <c r="H7130" s="2">
        <v>899.0</v>
      </c>
      <c r="I7130" s="3">
        <f t="shared" si="3"/>
        <v>0.1993348115</v>
      </c>
      <c r="J7130" s="2">
        <v>722.0</v>
      </c>
      <c r="K7130" s="3">
        <f t="shared" si="4"/>
        <v>0.1600886918</v>
      </c>
      <c r="L7130" s="2">
        <v>514.0</v>
      </c>
      <c r="M7130" s="3">
        <f t="shared" si="5"/>
        <v>0.5717463849</v>
      </c>
      <c r="N7130" s="2">
        <v>5258800.0</v>
      </c>
      <c r="O7130" s="4">
        <f t="shared" si="6"/>
        <v>5849.610679</v>
      </c>
      <c r="P7130" s="2">
        <v>2.0</v>
      </c>
      <c r="Q7130" s="3">
        <f t="shared" si="7"/>
        <v>0.004819277108</v>
      </c>
      <c r="R7130" s="2">
        <v>415.0</v>
      </c>
      <c r="S7130" s="5">
        <f t="shared" si="8"/>
        <v>1</v>
      </c>
    </row>
    <row r="7131">
      <c r="A7131" s="2" t="s">
        <v>7128</v>
      </c>
      <c r="B7131" s="2">
        <v>74.0</v>
      </c>
      <c r="C7131" s="2">
        <v>870.0</v>
      </c>
      <c r="D7131" s="2">
        <v>300.0</v>
      </c>
      <c r="E7131" s="3">
        <f t="shared" si="1"/>
        <v>0.3768844221</v>
      </c>
      <c r="F7131" s="2">
        <v>87.0</v>
      </c>
      <c r="G7131" s="3">
        <f t="shared" si="2"/>
        <v>0.1092964824</v>
      </c>
      <c r="H7131" s="2">
        <v>154.0</v>
      </c>
      <c r="I7131" s="3">
        <f t="shared" si="3"/>
        <v>0.1934673367</v>
      </c>
      <c r="J7131" s="2">
        <v>129.0</v>
      </c>
      <c r="K7131" s="3">
        <f t="shared" si="4"/>
        <v>0.1620603015</v>
      </c>
      <c r="L7131" s="2">
        <v>93.0</v>
      </c>
      <c r="M7131" s="3">
        <f t="shared" si="5"/>
        <v>0.6038961039</v>
      </c>
      <c r="N7131" s="2">
        <v>807900.0</v>
      </c>
      <c r="O7131" s="4">
        <f t="shared" si="6"/>
        <v>5246.103896</v>
      </c>
      <c r="P7131" s="2">
        <v>1.0</v>
      </c>
      <c r="Q7131" s="3">
        <f t="shared" si="7"/>
        <v>0.01351351351</v>
      </c>
      <c r="R7131" s="2">
        <v>74.0</v>
      </c>
      <c r="S7131" s="5">
        <f t="shared" si="8"/>
        <v>1</v>
      </c>
    </row>
    <row r="7132">
      <c r="A7132" s="2" t="s">
        <v>7129</v>
      </c>
      <c r="B7132" s="2">
        <v>1017.0</v>
      </c>
      <c r="C7132" s="2">
        <v>12088.0</v>
      </c>
      <c r="D7132" s="2">
        <v>2996.0</v>
      </c>
      <c r="E7132" s="3">
        <f t="shared" si="1"/>
        <v>0.2706169271</v>
      </c>
      <c r="F7132" s="2">
        <v>1210.0</v>
      </c>
      <c r="G7132" s="3">
        <f t="shared" si="2"/>
        <v>0.1092945533</v>
      </c>
      <c r="H7132" s="2">
        <v>2027.0</v>
      </c>
      <c r="I7132" s="3">
        <f t="shared" si="3"/>
        <v>0.1830909584</v>
      </c>
      <c r="J7132" s="2">
        <v>1541.0</v>
      </c>
      <c r="K7132" s="3">
        <f t="shared" si="4"/>
        <v>0.1391924849</v>
      </c>
      <c r="L7132" s="2">
        <v>1200.0</v>
      </c>
      <c r="M7132" s="3">
        <f t="shared" si="5"/>
        <v>0.5920078934</v>
      </c>
      <c r="N7132" s="2">
        <v>1.15537E7</v>
      </c>
      <c r="O7132" s="4">
        <f t="shared" si="6"/>
        <v>5699.901332</v>
      </c>
      <c r="P7132" s="2">
        <v>1.0</v>
      </c>
      <c r="Q7132" s="3">
        <f t="shared" si="7"/>
        <v>0.0009832841691</v>
      </c>
      <c r="R7132" s="2">
        <v>1017.0</v>
      </c>
      <c r="S7132" s="5">
        <f t="shared" si="8"/>
        <v>1</v>
      </c>
    </row>
    <row r="7133">
      <c r="A7133" s="2" t="s">
        <v>7130</v>
      </c>
      <c r="B7133" s="2">
        <v>16.0</v>
      </c>
      <c r="C7133" s="2">
        <v>199.0</v>
      </c>
      <c r="D7133" s="2">
        <v>45.0</v>
      </c>
      <c r="E7133" s="3">
        <f t="shared" si="1"/>
        <v>0.2459016393</v>
      </c>
      <c r="F7133" s="2">
        <v>20.0</v>
      </c>
      <c r="G7133" s="3">
        <f t="shared" si="2"/>
        <v>0.1092896175</v>
      </c>
      <c r="H7133" s="2">
        <v>37.0</v>
      </c>
      <c r="I7133" s="3">
        <f t="shared" si="3"/>
        <v>0.2021857923</v>
      </c>
      <c r="J7133" s="2">
        <v>34.0</v>
      </c>
      <c r="K7133" s="3">
        <f t="shared" si="4"/>
        <v>0.1857923497</v>
      </c>
      <c r="L7133" s="2">
        <v>17.0</v>
      </c>
      <c r="M7133" s="3">
        <f t="shared" si="5"/>
        <v>0.4594594595</v>
      </c>
      <c r="N7133" s="2">
        <v>223500.0</v>
      </c>
      <c r="O7133" s="4">
        <f t="shared" si="6"/>
        <v>6040.540541</v>
      </c>
      <c r="P7133" s="2">
        <v>0.0</v>
      </c>
      <c r="Q7133" s="3">
        <f t="shared" si="7"/>
        <v>0</v>
      </c>
      <c r="R7133" s="2">
        <v>16.0</v>
      </c>
      <c r="S7133" s="5">
        <f t="shared" si="8"/>
        <v>1</v>
      </c>
    </row>
    <row r="7134">
      <c r="A7134" s="2" t="s">
        <v>7131</v>
      </c>
      <c r="B7134" s="2">
        <v>29.0</v>
      </c>
      <c r="C7134" s="2">
        <v>331.0</v>
      </c>
      <c r="D7134" s="2">
        <v>54.0</v>
      </c>
      <c r="E7134" s="3">
        <f t="shared" si="1"/>
        <v>0.178807947</v>
      </c>
      <c r="F7134" s="2">
        <v>33.0</v>
      </c>
      <c r="G7134" s="3">
        <f t="shared" si="2"/>
        <v>0.1092715232</v>
      </c>
      <c r="H7134" s="2">
        <v>58.0</v>
      </c>
      <c r="I7134" s="3">
        <f t="shared" si="3"/>
        <v>0.1920529801</v>
      </c>
      <c r="J7134" s="2">
        <v>70.0</v>
      </c>
      <c r="K7134" s="3">
        <f t="shared" si="4"/>
        <v>0.2317880795</v>
      </c>
      <c r="L7134" s="2">
        <v>35.0</v>
      </c>
      <c r="M7134" s="3">
        <f t="shared" si="5"/>
        <v>0.6034482759</v>
      </c>
      <c r="N7134" s="2">
        <v>283900.0</v>
      </c>
      <c r="O7134" s="4">
        <f t="shared" si="6"/>
        <v>4894.827586</v>
      </c>
      <c r="P7134" s="2">
        <v>0.0</v>
      </c>
      <c r="Q7134" s="3">
        <f t="shared" si="7"/>
        <v>0</v>
      </c>
      <c r="R7134" s="2">
        <v>29.0</v>
      </c>
      <c r="S7134" s="5">
        <f t="shared" si="8"/>
        <v>1</v>
      </c>
    </row>
    <row r="7135">
      <c r="A7135" s="2" t="s">
        <v>7132</v>
      </c>
      <c r="B7135" s="2">
        <v>1787.0</v>
      </c>
      <c r="C7135" s="2">
        <v>20917.0</v>
      </c>
      <c r="D7135" s="2">
        <v>6168.0</v>
      </c>
      <c r="E7135" s="3">
        <f t="shared" si="1"/>
        <v>0.3224255097</v>
      </c>
      <c r="F7135" s="2">
        <v>2090.0</v>
      </c>
      <c r="G7135" s="3">
        <f t="shared" si="2"/>
        <v>0.109252483</v>
      </c>
      <c r="H7135" s="2">
        <v>3929.0</v>
      </c>
      <c r="I7135" s="3">
        <f t="shared" si="3"/>
        <v>0.2053842133</v>
      </c>
      <c r="J7135" s="2">
        <v>3009.0</v>
      </c>
      <c r="K7135" s="3">
        <f t="shared" si="4"/>
        <v>0.1572922112</v>
      </c>
      <c r="L7135" s="2">
        <v>2412.0</v>
      </c>
      <c r="M7135" s="3">
        <f t="shared" si="5"/>
        <v>0.6138966658</v>
      </c>
      <c r="N7135" s="2">
        <v>2.23638E7</v>
      </c>
      <c r="O7135" s="4">
        <f t="shared" si="6"/>
        <v>5691.982693</v>
      </c>
      <c r="P7135" s="2">
        <v>9.0</v>
      </c>
      <c r="Q7135" s="3">
        <f t="shared" si="7"/>
        <v>0.005036373811</v>
      </c>
      <c r="R7135" s="2">
        <v>1787.0</v>
      </c>
      <c r="S7135" s="5">
        <f t="shared" si="8"/>
        <v>1</v>
      </c>
    </row>
    <row r="7136">
      <c r="A7136" s="2" t="s">
        <v>7133</v>
      </c>
      <c r="B7136" s="2">
        <v>3372.0</v>
      </c>
      <c r="C7136" s="2">
        <v>39729.0</v>
      </c>
      <c r="D7136" s="2">
        <v>11189.0</v>
      </c>
      <c r="E7136" s="3">
        <f t="shared" si="1"/>
        <v>0.307753665</v>
      </c>
      <c r="F7136" s="2">
        <v>3972.0</v>
      </c>
      <c r="G7136" s="3">
        <f t="shared" si="2"/>
        <v>0.1092499381</v>
      </c>
      <c r="H7136" s="2">
        <v>7363.0</v>
      </c>
      <c r="I7136" s="3">
        <f t="shared" si="3"/>
        <v>0.2025194598</v>
      </c>
      <c r="J7136" s="2">
        <v>4910.0</v>
      </c>
      <c r="K7136" s="3">
        <f t="shared" si="4"/>
        <v>0.1350496466</v>
      </c>
      <c r="L7136" s="2">
        <v>4502.0</v>
      </c>
      <c r="M7136" s="3">
        <f t="shared" si="5"/>
        <v>0.6114355562</v>
      </c>
      <c r="N7136" s="2">
        <v>4.26789E7</v>
      </c>
      <c r="O7136" s="4">
        <f t="shared" si="6"/>
        <v>5796.400924</v>
      </c>
      <c r="P7136" s="2">
        <v>11.0</v>
      </c>
      <c r="Q7136" s="3">
        <f t="shared" si="7"/>
        <v>0.003262158956</v>
      </c>
      <c r="R7136" s="2">
        <v>3372.0</v>
      </c>
      <c r="S7136" s="5">
        <f t="shared" si="8"/>
        <v>1</v>
      </c>
    </row>
    <row r="7137">
      <c r="A7137" s="2" t="s">
        <v>7134</v>
      </c>
      <c r="B7137" s="2">
        <v>732.0</v>
      </c>
      <c r="C7137" s="2">
        <v>8714.0</v>
      </c>
      <c r="D7137" s="2">
        <v>3045.0</v>
      </c>
      <c r="E7137" s="3">
        <f t="shared" si="1"/>
        <v>0.3814833375</v>
      </c>
      <c r="F7137" s="2">
        <v>872.0</v>
      </c>
      <c r="G7137" s="3">
        <f t="shared" si="2"/>
        <v>0.1092458031</v>
      </c>
      <c r="H7137" s="2">
        <v>1648.0</v>
      </c>
      <c r="I7137" s="3">
        <f t="shared" si="3"/>
        <v>0.2064645452</v>
      </c>
      <c r="J7137" s="2">
        <v>1115.0</v>
      </c>
      <c r="K7137" s="3">
        <f t="shared" si="4"/>
        <v>0.1396893009</v>
      </c>
      <c r="L7137" s="2">
        <v>1020.0</v>
      </c>
      <c r="M7137" s="3">
        <f t="shared" si="5"/>
        <v>0.6189320388</v>
      </c>
      <c r="N7137" s="2">
        <v>8350500.0</v>
      </c>
      <c r="O7137" s="4">
        <f t="shared" si="6"/>
        <v>5067.050971</v>
      </c>
      <c r="P7137" s="2">
        <v>1.0</v>
      </c>
      <c r="Q7137" s="3">
        <f t="shared" si="7"/>
        <v>0.001366120219</v>
      </c>
      <c r="R7137" s="2">
        <v>732.0</v>
      </c>
      <c r="S7137" s="5">
        <f t="shared" si="8"/>
        <v>1</v>
      </c>
    </row>
    <row r="7138">
      <c r="A7138" s="2" t="s">
        <v>7135</v>
      </c>
      <c r="B7138" s="2">
        <v>265.0</v>
      </c>
      <c r="C7138" s="2">
        <v>3131.0</v>
      </c>
      <c r="D7138" s="2">
        <v>981.0</v>
      </c>
      <c r="E7138" s="3">
        <f t="shared" si="1"/>
        <v>0.3422889044</v>
      </c>
      <c r="F7138" s="2">
        <v>313.0</v>
      </c>
      <c r="G7138" s="3">
        <f t="shared" si="2"/>
        <v>0.1092114445</v>
      </c>
      <c r="H7138" s="2">
        <v>572.0</v>
      </c>
      <c r="I7138" s="3">
        <f t="shared" si="3"/>
        <v>0.199581298</v>
      </c>
      <c r="J7138" s="2">
        <v>481.0</v>
      </c>
      <c r="K7138" s="3">
        <f t="shared" si="4"/>
        <v>0.1678297278</v>
      </c>
      <c r="L7138" s="2">
        <v>331.0</v>
      </c>
      <c r="M7138" s="3">
        <f t="shared" si="5"/>
        <v>0.5786713287</v>
      </c>
      <c r="N7138" s="2">
        <v>3046000.0</v>
      </c>
      <c r="O7138" s="4">
        <f t="shared" si="6"/>
        <v>5325.174825</v>
      </c>
      <c r="P7138" s="2">
        <v>0.0</v>
      </c>
      <c r="Q7138" s="3">
        <f t="shared" si="7"/>
        <v>0</v>
      </c>
      <c r="R7138" s="2">
        <v>0.0</v>
      </c>
      <c r="S7138" s="5">
        <f t="shared" si="8"/>
        <v>0</v>
      </c>
    </row>
    <row r="7139">
      <c r="A7139" s="2" t="s">
        <v>7136</v>
      </c>
      <c r="B7139" s="2">
        <v>538.0</v>
      </c>
      <c r="C7139" s="2">
        <v>6344.0</v>
      </c>
      <c r="D7139" s="2">
        <v>1860.0</v>
      </c>
      <c r="E7139" s="3">
        <f t="shared" si="1"/>
        <v>0.3203582501</v>
      </c>
      <c r="F7139" s="2">
        <v>634.0</v>
      </c>
      <c r="G7139" s="3">
        <f t="shared" si="2"/>
        <v>0.109197382</v>
      </c>
      <c r="H7139" s="2">
        <v>1207.0</v>
      </c>
      <c r="I7139" s="3">
        <f t="shared" si="3"/>
        <v>0.2078883913</v>
      </c>
      <c r="J7139" s="2">
        <v>1037.0</v>
      </c>
      <c r="K7139" s="3">
        <f t="shared" si="4"/>
        <v>0.1786083362</v>
      </c>
      <c r="L7139" s="2">
        <v>720.0</v>
      </c>
      <c r="M7139" s="3">
        <f t="shared" si="5"/>
        <v>0.5965202983</v>
      </c>
      <c r="N7139" s="2">
        <v>6620900.0</v>
      </c>
      <c r="O7139" s="4">
        <f t="shared" si="6"/>
        <v>5485.418393</v>
      </c>
      <c r="P7139" s="2">
        <v>0.0</v>
      </c>
      <c r="Q7139" s="3">
        <f t="shared" si="7"/>
        <v>0</v>
      </c>
      <c r="R7139" s="2">
        <v>538.0</v>
      </c>
      <c r="S7139" s="5">
        <f t="shared" si="8"/>
        <v>1</v>
      </c>
    </row>
    <row r="7140">
      <c r="A7140" s="2" t="s">
        <v>7137</v>
      </c>
      <c r="B7140" s="2">
        <v>16.0</v>
      </c>
      <c r="C7140" s="2">
        <v>190.0</v>
      </c>
      <c r="D7140" s="2">
        <v>35.0</v>
      </c>
      <c r="E7140" s="3">
        <f t="shared" si="1"/>
        <v>0.2011494253</v>
      </c>
      <c r="F7140" s="2">
        <v>19.0</v>
      </c>
      <c r="G7140" s="3">
        <f t="shared" si="2"/>
        <v>0.1091954023</v>
      </c>
      <c r="H7140" s="2">
        <v>32.0</v>
      </c>
      <c r="I7140" s="3">
        <f t="shared" si="3"/>
        <v>0.183908046</v>
      </c>
      <c r="J7140" s="2">
        <v>32.0</v>
      </c>
      <c r="K7140" s="3">
        <f t="shared" si="4"/>
        <v>0.183908046</v>
      </c>
      <c r="L7140" s="2">
        <v>16.0</v>
      </c>
      <c r="M7140" s="3">
        <f t="shared" si="5"/>
        <v>0.5</v>
      </c>
      <c r="N7140" s="2">
        <v>217800.0</v>
      </c>
      <c r="O7140" s="4">
        <f t="shared" si="6"/>
        <v>6806.25</v>
      </c>
      <c r="P7140" s="2">
        <v>1.0</v>
      </c>
      <c r="Q7140" s="3">
        <f t="shared" si="7"/>
        <v>0.0625</v>
      </c>
      <c r="R7140" s="2">
        <v>16.0</v>
      </c>
      <c r="S7140" s="5">
        <f t="shared" si="8"/>
        <v>1</v>
      </c>
    </row>
    <row r="7141">
      <c r="A7141" s="2" t="s">
        <v>7138</v>
      </c>
      <c r="B7141" s="2">
        <v>49.0</v>
      </c>
      <c r="C7141" s="2">
        <v>571.0</v>
      </c>
      <c r="D7141" s="2">
        <v>114.0</v>
      </c>
      <c r="E7141" s="3">
        <f t="shared" si="1"/>
        <v>0.2183908046</v>
      </c>
      <c r="F7141" s="2">
        <v>57.0</v>
      </c>
      <c r="G7141" s="3">
        <f t="shared" si="2"/>
        <v>0.1091954023</v>
      </c>
      <c r="H7141" s="2">
        <v>93.0</v>
      </c>
      <c r="I7141" s="3">
        <f t="shared" si="3"/>
        <v>0.1781609195</v>
      </c>
      <c r="J7141" s="2">
        <v>90.0</v>
      </c>
      <c r="K7141" s="3">
        <f t="shared" si="4"/>
        <v>0.1724137931</v>
      </c>
      <c r="L7141" s="2">
        <v>52.0</v>
      </c>
      <c r="M7141" s="3">
        <f t="shared" si="5"/>
        <v>0.5591397849</v>
      </c>
      <c r="N7141" s="2">
        <v>547900.0</v>
      </c>
      <c r="O7141" s="4">
        <f t="shared" si="6"/>
        <v>5891.397849</v>
      </c>
      <c r="P7141" s="2">
        <v>0.0</v>
      </c>
      <c r="Q7141" s="3">
        <f t="shared" si="7"/>
        <v>0</v>
      </c>
      <c r="R7141" s="2">
        <v>49.0</v>
      </c>
      <c r="S7141" s="5">
        <f t="shared" si="8"/>
        <v>1</v>
      </c>
    </row>
    <row r="7142">
      <c r="A7142" s="2" t="s">
        <v>7139</v>
      </c>
      <c r="B7142" s="2">
        <v>1941.0</v>
      </c>
      <c r="C7142" s="2">
        <v>22577.0</v>
      </c>
      <c r="D7142" s="2">
        <v>7175.0</v>
      </c>
      <c r="E7142" s="3">
        <f t="shared" si="1"/>
        <v>0.3476933514</v>
      </c>
      <c r="F7142" s="2">
        <v>2253.0</v>
      </c>
      <c r="G7142" s="3">
        <f t="shared" si="2"/>
        <v>0.1091781353</v>
      </c>
      <c r="H7142" s="2">
        <v>4316.0</v>
      </c>
      <c r="I7142" s="3">
        <f t="shared" si="3"/>
        <v>0.2091490599</v>
      </c>
      <c r="J7142" s="2">
        <v>3585.0</v>
      </c>
      <c r="K7142" s="3">
        <f t="shared" si="4"/>
        <v>0.1737255282</v>
      </c>
      <c r="L7142" s="2">
        <v>2595.0</v>
      </c>
      <c r="M7142" s="3">
        <f t="shared" si="5"/>
        <v>0.6012511585</v>
      </c>
      <c r="N7142" s="2">
        <v>2.43647E7</v>
      </c>
      <c r="O7142" s="4">
        <f t="shared" si="6"/>
        <v>5645.203892</v>
      </c>
      <c r="P7142" s="2">
        <v>2.0</v>
      </c>
      <c r="Q7142" s="3">
        <f t="shared" si="7"/>
        <v>0.001030396703</v>
      </c>
      <c r="R7142" s="2">
        <v>1794.0</v>
      </c>
      <c r="S7142" s="5">
        <f t="shared" si="8"/>
        <v>0.9242658423</v>
      </c>
    </row>
    <row r="7143">
      <c r="A7143" s="2" t="s">
        <v>7140</v>
      </c>
      <c r="B7143" s="2">
        <v>226.0</v>
      </c>
      <c r="C7143" s="2">
        <v>2646.0</v>
      </c>
      <c r="D7143" s="2">
        <v>731.0</v>
      </c>
      <c r="E7143" s="3">
        <f t="shared" si="1"/>
        <v>0.3020661157</v>
      </c>
      <c r="F7143" s="2">
        <v>264.0</v>
      </c>
      <c r="G7143" s="3">
        <f t="shared" si="2"/>
        <v>0.1090909091</v>
      </c>
      <c r="H7143" s="2">
        <v>516.0</v>
      </c>
      <c r="I7143" s="3">
        <f t="shared" si="3"/>
        <v>0.2132231405</v>
      </c>
      <c r="J7143" s="2">
        <v>447.0</v>
      </c>
      <c r="K7143" s="3">
        <f t="shared" si="4"/>
        <v>0.1847107438</v>
      </c>
      <c r="L7143" s="2">
        <v>310.0</v>
      </c>
      <c r="M7143" s="3">
        <f t="shared" si="5"/>
        <v>0.6007751938</v>
      </c>
      <c r="N7143" s="2">
        <v>3017300.0</v>
      </c>
      <c r="O7143" s="4">
        <f t="shared" si="6"/>
        <v>5847.48062</v>
      </c>
      <c r="P7143" s="2">
        <v>1.0</v>
      </c>
      <c r="Q7143" s="3">
        <f t="shared" si="7"/>
        <v>0.004424778761</v>
      </c>
      <c r="R7143" s="2">
        <v>0.0</v>
      </c>
      <c r="S7143" s="5">
        <f t="shared" si="8"/>
        <v>0</v>
      </c>
    </row>
    <row r="7144">
      <c r="A7144" s="2" t="s">
        <v>7141</v>
      </c>
      <c r="B7144" s="2">
        <v>11.0</v>
      </c>
      <c r="C7144" s="2">
        <v>121.0</v>
      </c>
      <c r="D7144" s="2">
        <v>37.0</v>
      </c>
      <c r="E7144" s="3">
        <f t="shared" si="1"/>
        <v>0.3363636364</v>
      </c>
      <c r="F7144" s="2">
        <v>12.0</v>
      </c>
      <c r="G7144" s="3">
        <f t="shared" si="2"/>
        <v>0.1090909091</v>
      </c>
      <c r="H7144" s="2">
        <v>25.0</v>
      </c>
      <c r="I7144" s="3">
        <f t="shared" si="3"/>
        <v>0.2272727273</v>
      </c>
      <c r="J7144" s="2">
        <v>13.0</v>
      </c>
      <c r="K7144" s="3">
        <f t="shared" si="4"/>
        <v>0.1181818182</v>
      </c>
      <c r="L7144" s="2">
        <v>18.0</v>
      </c>
      <c r="M7144" s="3">
        <f t="shared" si="5"/>
        <v>0.72</v>
      </c>
      <c r="N7144" s="2">
        <v>138700.0</v>
      </c>
      <c r="O7144" s="4">
        <f t="shared" si="6"/>
        <v>5548</v>
      </c>
      <c r="P7144" s="2">
        <v>0.0</v>
      </c>
      <c r="Q7144" s="3">
        <f t="shared" si="7"/>
        <v>0</v>
      </c>
      <c r="R7144" s="2">
        <v>11.0</v>
      </c>
      <c r="S7144" s="5">
        <f t="shared" si="8"/>
        <v>1</v>
      </c>
    </row>
    <row r="7145">
      <c r="A7145" s="2" t="s">
        <v>7142</v>
      </c>
      <c r="B7145" s="2">
        <v>4831.0</v>
      </c>
      <c r="C7145" s="2">
        <v>56899.0</v>
      </c>
      <c r="D7145" s="2">
        <v>18780.0</v>
      </c>
      <c r="E7145" s="3">
        <f t="shared" si="1"/>
        <v>0.3606821848</v>
      </c>
      <c r="F7145" s="2">
        <v>5680.0</v>
      </c>
      <c r="G7145" s="3">
        <f t="shared" si="2"/>
        <v>0.1090881155</v>
      </c>
      <c r="H7145" s="2">
        <v>10275.0</v>
      </c>
      <c r="I7145" s="3">
        <f t="shared" si="3"/>
        <v>0.1973380963</v>
      </c>
      <c r="J7145" s="2">
        <v>7799.0</v>
      </c>
      <c r="K7145" s="3">
        <f t="shared" si="4"/>
        <v>0.1497848967</v>
      </c>
      <c r="L7145" s="2">
        <v>6084.0</v>
      </c>
      <c r="M7145" s="3">
        <f t="shared" si="5"/>
        <v>0.5921167883</v>
      </c>
      <c r="N7145" s="2">
        <v>5.73036E7</v>
      </c>
      <c r="O7145" s="4">
        <f t="shared" si="6"/>
        <v>5576.992701</v>
      </c>
      <c r="P7145" s="2">
        <v>10.0</v>
      </c>
      <c r="Q7145" s="3">
        <f t="shared" si="7"/>
        <v>0.002069964811</v>
      </c>
      <c r="R7145" s="2">
        <v>549.0</v>
      </c>
      <c r="S7145" s="5">
        <f t="shared" si="8"/>
        <v>0.1136410681</v>
      </c>
    </row>
    <row r="7146">
      <c r="A7146" s="2" t="s">
        <v>7143</v>
      </c>
      <c r="B7146" s="2">
        <v>2045.0</v>
      </c>
      <c r="C7146" s="2">
        <v>24172.0</v>
      </c>
      <c r="D7146" s="2">
        <v>6838.0</v>
      </c>
      <c r="E7146" s="3">
        <f t="shared" si="1"/>
        <v>0.3090342116</v>
      </c>
      <c r="F7146" s="2">
        <v>2413.0</v>
      </c>
      <c r="G7146" s="3">
        <f t="shared" si="2"/>
        <v>0.1090522891</v>
      </c>
      <c r="H7146" s="2">
        <v>4311.0</v>
      </c>
      <c r="I7146" s="3">
        <f t="shared" si="3"/>
        <v>0.1948298459</v>
      </c>
      <c r="J7146" s="2">
        <v>3564.0</v>
      </c>
      <c r="K7146" s="3">
        <f t="shared" si="4"/>
        <v>0.1610701857</v>
      </c>
      <c r="L7146" s="2">
        <v>2612.0</v>
      </c>
      <c r="M7146" s="3">
        <f t="shared" si="5"/>
        <v>0.6058919044</v>
      </c>
      <c r="N7146" s="2">
        <v>2.3929E7</v>
      </c>
      <c r="O7146" s="4">
        <f t="shared" si="6"/>
        <v>5550.684296</v>
      </c>
      <c r="P7146" s="2">
        <v>3.0</v>
      </c>
      <c r="Q7146" s="3">
        <f t="shared" si="7"/>
        <v>0.001466992665</v>
      </c>
      <c r="R7146" s="2">
        <v>0.0</v>
      </c>
      <c r="S7146" s="5">
        <f t="shared" si="8"/>
        <v>0</v>
      </c>
    </row>
    <row r="7147">
      <c r="A7147" s="2" t="s">
        <v>7144</v>
      </c>
      <c r="B7147" s="2">
        <v>802.0</v>
      </c>
      <c r="C7147" s="2">
        <v>9651.0</v>
      </c>
      <c r="D7147" s="2">
        <v>3165.0</v>
      </c>
      <c r="E7147" s="3">
        <f t="shared" si="1"/>
        <v>0.3576675331</v>
      </c>
      <c r="F7147" s="2">
        <v>965.0</v>
      </c>
      <c r="G7147" s="3">
        <f t="shared" si="2"/>
        <v>0.1090518703</v>
      </c>
      <c r="H7147" s="2">
        <v>1812.0</v>
      </c>
      <c r="I7147" s="3">
        <f t="shared" si="3"/>
        <v>0.2047689004</v>
      </c>
      <c r="J7147" s="2">
        <v>1246.0</v>
      </c>
      <c r="K7147" s="3">
        <f t="shared" si="4"/>
        <v>0.1408068708</v>
      </c>
      <c r="L7147" s="2">
        <v>1088.0</v>
      </c>
      <c r="M7147" s="3">
        <f t="shared" si="5"/>
        <v>0.6004415011</v>
      </c>
      <c r="N7147" s="2">
        <v>9751100.0</v>
      </c>
      <c r="O7147" s="4">
        <f t="shared" si="6"/>
        <v>5381.401766</v>
      </c>
      <c r="P7147" s="2">
        <v>2.0</v>
      </c>
      <c r="Q7147" s="3">
        <f t="shared" si="7"/>
        <v>0.002493765586</v>
      </c>
      <c r="R7147" s="2">
        <v>802.0</v>
      </c>
      <c r="S7147" s="5">
        <f t="shared" si="8"/>
        <v>1</v>
      </c>
    </row>
    <row r="7148">
      <c r="A7148" s="2" t="s">
        <v>7145</v>
      </c>
      <c r="B7148" s="2">
        <v>40.0</v>
      </c>
      <c r="C7148" s="2">
        <v>471.0</v>
      </c>
      <c r="D7148" s="2">
        <v>118.0</v>
      </c>
      <c r="E7148" s="3">
        <f t="shared" si="1"/>
        <v>0.2737819026</v>
      </c>
      <c r="F7148" s="2">
        <v>47.0</v>
      </c>
      <c r="G7148" s="3">
        <f t="shared" si="2"/>
        <v>0.1090487239</v>
      </c>
      <c r="H7148" s="2">
        <v>84.0</v>
      </c>
      <c r="I7148" s="3">
        <f t="shared" si="3"/>
        <v>0.1948955916</v>
      </c>
      <c r="J7148" s="2">
        <v>77.0</v>
      </c>
      <c r="K7148" s="3">
        <f t="shared" si="4"/>
        <v>0.1786542923</v>
      </c>
      <c r="L7148" s="2">
        <v>44.0</v>
      </c>
      <c r="M7148" s="3">
        <f t="shared" si="5"/>
        <v>0.5238095238</v>
      </c>
      <c r="N7148" s="2">
        <v>460000.0</v>
      </c>
      <c r="O7148" s="4">
        <f t="shared" si="6"/>
        <v>5476.190476</v>
      </c>
      <c r="P7148" s="2">
        <v>0.0</v>
      </c>
      <c r="Q7148" s="3">
        <f t="shared" si="7"/>
        <v>0</v>
      </c>
      <c r="R7148" s="2">
        <v>40.0</v>
      </c>
      <c r="S7148" s="5">
        <f t="shared" si="8"/>
        <v>1</v>
      </c>
    </row>
    <row r="7149">
      <c r="A7149" s="2" t="s">
        <v>7146</v>
      </c>
      <c r="B7149" s="2">
        <v>3403.0</v>
      </c>
      <c r="C7149" s="2">
        <v>39974.0</v>
      </c>
      <c r="D7149" s="2">
        <v>13093.0</v>
      </c>
      <c r="E7149" s="3">
        <f t="shared" si="1"/>
        <v>0.3580159142</v>
      </c>
      <c r="F7149" s="2">
        <v>3988.0</v>
      </c>
      <c r="G7149" s="3">
        <f t="shared" si="2"/>
        <v>0.1090481529</v>
      </c>
      <c r="H7149" s="2">
        <v>7298.0</v>
      </c>
      <c r="I7149" s="3">
        <f t="shared" si="3"/>
        <v>0.1995570261</v>
      </c>
      <c r="J7149" s="2">
        <v>5673.0</v>
      </c>
      <c r="K7149" s="3">
        <f t="shared" si="4"/>
        <v>0.1551229116</v>
      </c>
      <c r="L7149" s="2">
        <v>4373.0</v>
      </c>
      <c r="M7149" s="3">
        <f t="shared" si="5"/>
        <v>0.5992052617</v>
      </c>
      <c r="N7149" s="2">
        <v>4.16176E7</v>
      </c>
      <c r="O7149" s="4">
        <f t="shared" si="6"/>
        <v>5702.603453</v>
      </c>
      <c r="P7149" s="2">
        <v>6.0</v>
      </c>
      <c r="Q7149" s="3">
        <f t="shared" si="7"/>
        <v>0.001763150162</v>
      </c>
      <c r="R7149" s="2">
        <v>3403.0</v>
      </c>
      <c r="S7149" s="5">
        <f t="shared" si="8"/>
        <v>1</v>
      </c>
    </row>
    <row r="7150">
      <c r="A7150" s="2" t="s">
        <v>7147</v>
      </c>
      <c r="B7150" s="2">
        <v>2900.0</v>
      </c>
      <c r="C7150" s="2">
        <v>34107.0</v>
      </c>
      <c r="D7150" s="2">
        <v>9981.0</v>
      </c>
      <c r="E7150" s="3">
        <f t="shared" si="1"/>
        <v>0.319832089</v>
      </c>
      <c r="F7150" s="2">
        <v>3403.0</v>
      </c>
      <c r="G7150" s="3">
        <f t="shared" si="2"/>
        <v>0.1090460474</v>
      </c>
      <c r="H7150" s="2">
        <v>6254.0</v>
      </c>
      <c r="I7150" s="3">
        <f t="shared" si="3"/>
        <v>0.2004037556</v>
      </c>
      <c r="J7150" s="2">
        <v>4351.0</v>
      </c>
      <c r="K7150" s="3">
        <f t="shared" si="4"/>
        <v>0.1394238472</v>
      </c>
      <c r="L7150" s="2">
        <v>3786.0</v>
      </c>
      <c r="M7150" s="3">
        <f t="shared" si="5"/>
        <v>0.6053725616</v>
      </c>
      <c r="N7150" s="2">
        <v>3.57993E7</v>
      </c>
      <c r="O7150" s="4">
        <f t="shared" si="6"/>
        <v>5724.224496</v>
      </c>
      <c r="P7150" s="2">
        <v>2.0</v>
      </c>
      <c r="Q7150" s="3">
        <f t="shared" si="7"/>
        <v>0.0006896551724</v>
      </c>
      <c r="R7150" s="2">
        <v>2541.0</v>
      </c>
      <c r="S7150" s="5">
        <f t="shared" si="8"/>
        <v>0.8762068966</v>
      </c>
    </row>
    <row r="7151">
      <c r="A7151" s="2" t="s">
        <v>7148</v>
      </c>
      <c r="B7151" s="2">
        <v>258.0</v>
      </c>
      <c r="C7151" s="2">
        <v>3047.0</v>
      </c>
      <c r="D7151" s="2">
        <v>777.0</v>
      </c>
      <c r="E7151" s="3">
        <f t="shared" si="1"/>
        <v>0.2785944783</v>
      </c>
      <c r="F7151" s="2">
        <v>304.0</v>
      </c>
      <c r="G7151" s="3">
        <f t="shared" si="2"/>
        <v>0.1089996414</v>
      </c>
      <c r="H7151" s="2">
        <v>612.0</v>
      </c>
      <c r="I7151" s="3">
        <f t="shared" si="3"/>
        <v>0.2194334887</v>
      </c>
      <c r="J7151" s="2">
        <v>438.0</v>
      </c>
      <c r="K7151" s="3">
        <f t="shared" si="4"/>
        <v>0.157045536</v>
      </c>
      <c r="L7151" s="2">
        <v>365.0</v>
      </c>
      <c r="M7151" s="3">
        <f t="shared" si="5"/>
        <v>0.5964052288</v>
      </c>
      <c r="N7151" s="2">
        <v>3248300.0</v>
      </c>
      <c r="O7151" s="4">
        <f t="shared" si="6"/>
        <v>5307.679739</v>
      </c>
      <c r="P7151" s="2">
        <v>3.0</v>
      </c>
      <c r="Q7151" s="3">
        <f t="shared" si="7"/>
        <v>0.01162790698</v>
      </c>
      <c r="R7151" s="2">
        <v>258.0</v>
      </c>
      <c r="S7151" s="5">
        <f t="shared" si="8"/>
        <v>1</v>
      </c>
    </row>
    <row r="7152">
      <c r="A7152" s="2" t="s">
        <v>7149</v>
      </c>
      <c r="B7152" s="2">
        <v>106.0</v>
      </c>
      <c r="C7152" s="2">
        <v>1262.0</v>
      </c>
      <c r="D7152" s="2">
        <v>347.0</v>
      </c>
      <c r="E7152" s="3">
        <f t="shared" si="1"/>
        <v>0.3001730104</v>
      </c>
      <c r="F7152" s="2">
        <v>126.0</v>
      </c>
      <c r="G7152" s="3">
        <f t="shared" si="2"/>
        <v>0.1089965398</v>
      </c>
      <c r="H7152" s="2">
        <v>229.0</v>
      </c>
      <c r="I7152" s="3">
        <f t="shared" si="3"/>
        <v>0.1980968858</v>
      </c>
      <c r="J7152" s="2">
        <v>231.0</v>
      </c>
      <c r="K7152" s="3">
        <f t="shared" si="4"/>
        <v>0.1998269896</v>
      </c>
      <c r="L7152" s="2">
        <v>123.0</v>
      </c>
      <c r="M7152" s="3">
        <f t="shared" si="5"/>
        <v>0.5371179039</v>
      </c>
      <c r="N7152" s="2">
        <v>1357900.0</v>
      </c>
      <c r="O7152" s="4">
        <f t="shared" si="6"/>
        <v>5929.694323</v>
      </c>
      <c r="P7152" s="2">
        <v>0.0</v>
      </c>
      <c r="Q7152" s="3">
        <f t="shared" si="7"/>
        <v>0</v>
      </c>
      <c r="R7152" s="2">
        <v>0.0</v>
      </c>
      <c r="S7152" s="5">
        <f t="shared" si="8"/>
        <v>0</v>
      </c>
    </row>
    <row r="7153">
      <c r="A7153" s="2" t="s">
        <v>7150</v>
      </c>
      <c r="B7153" s="2">
        <v>100.0</v>
      </c>
      <c r="C7153" s="2">
        <v>1201.0</v>
      </c>
      <c r="D7153" s="2">
        <v>391.0</v>
      </c>
      <c r="E7153" s="3">
        <f t="shared" si="1"/>
        <v>0.3551316985</v>
      </c>
      <c r="F7153" s="2">
        <v>120.0</v>
      </c>
      <c r="G7153" s="3">
        <f t="shared" si="2"/>
        <v>0.1089918256</v>
      </c>
      <c r="H7153" s="2">
        <v>218.0</v>
      </c>
      <c r="I7153" s="3">
        <f t="shared" si="3"/>
        <v>0.1980018165</v>
      </c>
      <c r="J7153" s="2">
        <v>170.0</v>
      </c>
      <c r="K7153" s="3">
        <f t="shared" si="4"/>
        <v>0.1544050863</v>
      </c>
      <c r="L7153" s="2">
        <v>136.0</v>
      </c>
      <c r="M7153" s="3">
        <f t="shared" si="5"/>
        <v>0.623853211</v>
      </c>
      <c r="N7153" s="2">
        <v>1272500.0</v>
      </c>
      <c r="O7153" s="4">
        <f t="shared" si="6"/>
        <v>5837.155963</v>
      </c>
      <c r="P7153" s="2">
        <v>0.0</v>
      </c>
      <c r="Q7153" s="3">
        <f t="shared" si="7"/>
        <v>0</v>
      </c>
      <c r="R7153" s="2">
        <v>100.0</v>
      </c>
      <c r="S7153" s="5">
        <f t="shared" si="8"/>
        <v>1</v>
      </c>
    </row>
    <row r="7154">
      <c r="A7154" s="2" t="s">
        <v>7151</v>
      </c>
      <c r="B7154" s="2">
        <v>45.0</v>
      </c>
      <c r="C7154" s="2">
        <v>568.0</v>
      </c>
      <c r="D7154" s="2">
        <v>144.0</v>
      </c>
      <c r="E7154" s="3">
        <f t="shared" si="1"/>
        <v>0.275334608</v>
      </c>
      <c r="F7154" s="2">
        <v>57.0</v>
      </c>
      <c r="G7154" s="3">
        <f t="shared" si="2"/>
        <v>0.1089866157</v>
      </c>
      <c r="H7154" s="2">
        <v>102.0</v>
      </c>
      <c r="I7154" s="3">
        <f t="shared" si="3"/>
        <v>0.1950286807</v>
      </c>
      <c r="J7154" s="2">
        <v>88.0</v>
      </c>
      <c r="K7154" s="3">
        <f t="shared" si="4"/>
        <v>0.1682600382</v>
      </c>
      <c r="L7154" s="2">
        <v>53.0</v>
      </c>
      <c r="M7154" s="3">
        <f t="shared" si="5"/>
        <v>0.5196078431</v>
      </c>
      <c r="N7154" s="2">
        <v>536700.0</v>
      </c>
      <c r="O7154" s="4">
        <f t="shared" si="6"/>
        <v>5261.764706</v>
      </c>
      <c r="P7154" s="2">
        <v>0.0</v>
      </c>
      <c r="Q7154" s="3">
        <f t="shared" si="7"/>
        <v>0</v>
      </c>
      <c r="R7154" s="2">
        <v>45.0</v>
      </c>
      <c r="S7154" s="5">
        <f t="shared" si="8"/>
        <v>1</v>
      </c>
    </row>
    <row r="7155">
      <c r="A7155" s="2" t="s">
        <v>7152</v>
      </c>
      <c r="B7155" s="2">
        <v>195.0</v>
      </c>
      <c r="C7155" s="2">
        <v>2333.0</v>
      </c>
      <c r="D7155" s="2">
        <v>741.0</v>
      </c>
      <c r="E7155" s="3">
        <f t="shared" si="1"/>
        <v>0.346585594</v>
      </c>
      <c r="F7155" s="2">
        <v>233.0</v>
      </c>
      <c r="G7155" s="3">
        <f t="shared" si="2"/>
        <v>0.1089803555</v>
      </c>
      <c r="H7155" s="2">
        <v>434.0</v>
      </c>
      <c r="I7155" s="3">
        <f t="shared" si="3"/>
        <v>0.2029934518</v>
      </c>
      <c r="J7155" s="2">
        <v>324.0</v>
      </c>
      <c r="K7155" s="3">
        <f t="shared" si="4"/>
        <v>0.1515434986</v>
      </c>
      <c r="L7155" s="2">
        <v>268.0</v>
      </c>
      <c r="M7155" s="3">
        <f t="shared" si="5"/>
        <v>0.6175115207</v>
      </c>
      <c r="N7155" s="2">
        <v>2334500.0</v>
      </c>
      <c r="O7155" s="4">
        <f t="shared" si="6"/>
        <v>5379.032258</v>
      </c>
      <c r="P7155" s="2">
        <v>0.0</v>
      </c>
      <c r="Q7155" s="3">
        <f t="shared" si="7"/>
        <v>0</v>
      </c>
      <c r="R7155" s="2">
        <v>195.0</v>
      </c>
      <c r="S7155" s="5">
        <f t="shared" si="8"/>
        <v>1</v>
      </c>
    </row>
    <row r="7156">
      <c r="A7156" s="2" t="s">
        <v>7153</v>
      </c>
      <c r="B7156" s="2">
        <v>201.0</v>
      </c>
      <c r="C7156" s="2">
        <v>2376.0</v>
      </c>
      <c r="D7156" s="2">
        <v>697.0</v>
      </c>
      <c r="E7156" s="3">
        <f t="shared" si="1"/>
        <v>0.3204597701</v>
      </c>
      <c r="F7156" s="2">
        <v>237.0</v>
      </c>
      <c r="G7156" s="3">
        <f t="shared" si="2"/>
        <v>0.1089655172</v>
      </c>
      <c r="H7156" s="2">
        <v>444.0</v>
      </c>
      <c r="I7156" s="3">
        <f t="shared" si="3"/>
        <v>0.204137931</v>
      </c>
      <c r="J7156" s="2">
        <v>344.0</v>
      </c>
      <c r="K7156" s="3">
        <f t="shared" si="4"/>
        <v>0.1581609195</v>
      </c>
      <c r="L7156" s="2">
        <v>265.0</v>
      </c>
      <c r="M7156" s="3">
        <f t="shared" si="5"/>
        <v>0.5968468468</v>
      </c>
      <c r="N7156" s="2">
        <v>2339800.0</v>
      </c>
      <c r="O7156" s="4">
        <f t="shared" si="6"/>
        <v>5269.81982</v>
      </c>
      <c r="P7156" s="2">
        <v>0.0</v>
      </c>
      <c r="Q7156" s="3">
        <f t="shared" si="7"/>
        <v>0</v>
      </c>
      <c r="R7156" s="2">
        <v>201.0</v>
      </c>
      <c r="S7156" s="5">
        <f t="shared" si="8"/>
        <v>1</v>
      </c>
    </row>
    <row r="7157">
      <c r="A7157" s="2" t="s">
        <v>7154</v>
      </c>
      <c r="B7157" s="2">
        <v>948.0</v>
      </c>
      <c r="C7157" s="2">
        <v>10980.0</v>
      </c>
      <c r="D7157" s="2">
        <v>3275.0</v>
      </c>
      <c r="E7157" s="3">
        <f t="shared" si="1"/>
        <v>0.3264553429</v>
      </c>
      <c r="F7157" s="2">
        <v>1093.0</v>
      </c>
      <c r="G7157" s="3">
        <f t="shared" si="2"/>
        <v>0.1089513557</v>
      </c>
      <c r="H7157" s="2">
        <v>2064.0</v>
      </c>
      <c r="I7157" s="3">
        <f t="shared" si="3"/>
        <v>0.2057416268</v>
      </c>
      <c r="J7157" s="2">
        <v>1723.0</v>
      </c>
      <c r="K7157" s="3">
        <f t="shared" si="4"/>
        <v>0.1717503987</v>
      </c>
      <c r="L7157" s="2">
        <v>1213.0</v>
      </c>
      <c r="M7157" s="3">
        <f t="shared" si="5"/>
        <v>0.5876937984</v>
      </c>
      <c r="N7157" s="2">
        <v>1.22696E7</v>
      </c>
      <c r="O7157" s="4">
        <f t="shared" si="6"/>
        <v>5944.573643</v>
      </c>
      <c r="P7157" s="2">
        <v>2.0</v>
      </c>
      <c r="Q7157" s="3">
        <f t="shared" si="7"/>
        <v>0.002109704641</v>
      </c>
      <c r="R7157" s="2">
        <v>0.0</v>
      </c>
      <c r="S7157" s="5">
        <f t="shared" si="8"/>
        <v>0</v>
      </c>
    </row>
    <row r="7158">
      <c r="A7158" s="2" t="s">
        <v>7155</v>
      </c>
      <c r="B7158" s="2">
        <v>470.0</v>
      </c>
      <c r="C7158" s="2">
        <v>5555.0</v>
      </c>
      <c r="D7158" s="2">
        <v>2002.0</v>
      </c>
      <c r="E7158" s="3">
        <f t="shared" si="1"/>
        <v>0.3937069813</v>
      </c>
      <c r="F7158" s="2">
        <v>554.0</v>
      </c>
      <c r="G7158" s="3">
        <f t="shared" si="2"/>
        <v>0.1089478859</v>
      </c>
      <c r="H7158" s="2">
        <v>1113.0</v>
      </c>
      <c r="I7158" s="3">
        <f t="shared" si="3"/>
        <v>0.218879056</v>
      </c>
      <c r="J7158" s="2">
        <v>902.0</v>
      </c>
      <c r="K7158" s="3">
        <f t="shared" si="4"/>
        <v>0.1773844641</v>
      </c>
      <c r="L7158" s="2">
        <v>658.0</v>
      </c>
      <c r="M7158" s="3">
        <f t="shared" si="5"/>
        <v>0.5911949686</v>
      </c>
      <c r="N7158" s="2">
        <v>6252700.0</v>
      </c>
      <c r="O7158" s="4">
        <f t="shared" si="6"/>
        <v>5617.879605</v>
      </c>
      <c r="P7158" s="2">
        <v>2.0</v>
      </c>
      <c r="Q7158" s="3">
        <f t="shared" si="7"/>
        <v>0.004255319149</v>
      </c>
      <c r="R7158" s="2">
        <v>0.0</v>
      </c>
      <c r="S7158" s="5">
        <f t="shared" si="8"/>
        <v>0</v>
      </c>
    </row>
    <row r="7159">
      <c r="A7159" s="2" t="s">
        <v>7156</v>
      </c>
      <c r="B7159" s="2">
        <v>1202.0</v>
      </c>
      <c r="C7159" s="2">
        <v>14337.0</v>
      </c>
      <c r="D7159" s="2">
        <v>3864.0</v>
      </c>
      <c r="E7159" s="3">
        <f t="shared" si="1"/>
        <v>0.294175866</v>
      </c>
      <c r="F7159" s="2">
        <v>1431.0</v>
      </c>
      <c r="G7159" s="3">
        <f t="shared" si="2"/>
        <v>0.1089455653</v>
      </c>
      <c r="H7159" s="2">
        <v>2537.0</v>
      </c>
      <c r="I7159" s="3">
        <f t="shared" si="3"/>
        <v>0.1931480777</v>
      </c>
      <c r="J7159" s="2">
        <v>2031.0</v>
      </c>
      <c r="K7159" s="3">
        <f t="shared" si="4"/>
        <v>0.1546250476</v>
      </c>
      <c r="L7159" s="2">
        <v>1481.0</v>
      </c>
      <c r="M7159" s="3">
        <f t="shared" si="5"/>
        <v>0.5837603469</v>
      </c>
      <c r="N7159" s="2">
        <v>1.41406E7</v>
      </c>
      <c r="O7159" s="4">
        <f t="shared" si="6"/>
        <v>5573.748522</v>
      </c>
      <c r="P7159" s="2">
        <v>3.0</v>
      </c>
      <c r="Q7159" s="3">
        <f t="shared" si="7"/>
        <v>0.002495840266</v>
      </c>
      <c r="R7159" s="2">
        <v>1202.0</v>
      </c>
      <c r="S7159" s="5">
        <f t="shared" si="8"/>
        <v>1</v>
      </c>
    </row>
    <row r="7160">
      <c r="A7160" s="2" t="s">
        <v>7157</v>
      </c>
      <c r="B7160" s="2">
        <v>404.0</v>
      </c>
      <c r="C7160" s="2">
        <v>4755.0</v>
      </c>
      <c r="D7160" s="2">
        <v>1639.0</v>
      </c>
      <c r="E7160" s="3">
        <f t="shared" si="1"/>
        <v>0.3766950126</v>
      </c>
      <c r="F7160" s="2">
        <v>474.0</v>
      </c>
      <c r="G7160" s="3">
        <f t="shared" si="2"/>
        <v>0.1089404735</v>
      </c>
      <c r="H7160" s="2">
        <v>910.0</v>
      </c>
      <c r="I7160" s="3">
        <f t="shared" si="3"/>
        <v>0.2091473225</v>
      </c>
      <c r="J7160" s="2">
        <v>710.0</v>
      </c>
      <c r="K7160" s="3">
        <f t="shared" si="4"/>
        <v>0.163180878</v>
      </c>
      <c r="L7160" s="2">
        <v>534.0</v>
      </c>
      <c r="M7160" s="3">
        <f t="shared" si="5"/>
        <v>0.5868131868</v>
      </c>
      <c r="N7160" s="2">
        <v>4974700.0</v>
      </c>
      <c r="O7160" s="4">
        <f t="shared" si="6"/>
        <v>5466.703297</v>
      </c>
      <c r="P7160" s="2">
        <v>1.0</v>
      </c>
      <c r="Q7160" s="3">
        <f t="shared" si="7"/>
        <v>0.002475247525</v>
      </c>
      <c r="R7160" s="2">
        <v>404.0</v>
      </c>
      <c r="S7160" s="5">
        <f t="shared" si="8"/>
        <v>1</v>
      </c>
    </row>
    <row r="7161">
      <c r="A7161" s="2" t="s">
        <v>7158</v>
      </c>
      <c r="B7161" s="2">
        <v>522.0</v>
      </c>
      <c r="C7161" s="2">
        <v>6305.0</v>
      </c>
      <c r="D7161" s="2">
        <v>2116.0</v>
      </c>
      <c r="E7161" s="3">
        <f t="shared" si="1"/>
        <v>0.3659000519</v>
      </c>
      <c r="F7161" s="2">
        <v>630.0</v>
      </c>
      <c r="G7161" s="3">
        <f t="shared" si="2"/>
        <v>0.1089399965</v>
      </c>
      <c r="H7161" s="2">
        <v>1227.0</v>
      </c>
      <c r="I7161" s="3">
        <f t="shared" si="3"/>
        <v>0.2121736123</v>
      </c>
      <c r="J7161" s="2">
        <v>988.0</v>
      </c>
      <c r="K7161" s="3">
        <f t="shared" si="4"/>
        <v>0.1708455819</v>
      </c>
      <c r="L7161" s="2">
        <v>728.0</v>
      </c>
      <c r="M7161" s="3">
        <f t="shared" si="5"/>
        <v>0.5933170334</v>
      </c>
      <c r="N7161" s="2">
        <v>6476500.0</v>
      </c>
      <c r="O7161" s="4">
        <f t="shared" si="6"/>
        <v>5278.321108</v>
      </c>
      <c r="P7161" s="2">
        <v>1.0</v>
      </c>
      <c r="Q7161" s="3">
        <f t="shared" si="7"/>
        <v>0.001915708812</v>
      </c>
      <c r="R7161" s="2">
        <v>203.0</v>
      </c>
      <c r="S7161" s="5">
        <f t="shared" si="8"/>
        <v>0.3888888889</v>
      </c>
    </row>
    <row r="7162">
      <c r="A7162" s="2" t="s">
        <v>7159</v>
      </c>
      <c r="B7162" s="2">
        <v>159.0</v>
      </c>
      <c r="C7162" s="2">
        <v>1876.0</v>
      </c>
      <c r="D7162" s="2">
        <v>446.0</v>
      </c>
      <c r="E7162" s="3">
        <f t="shared" si="1"/>
        <v>0.2597553873</v>
      </c>
      <c r="F7162" s="2">
        <v>187.0</v>
      </c>
      <c r="G7162" s="3">
        <f t="shared" si="2"/>
        <v>0.1089108911</v>
      </c>
      <c r="H7162" s="2">
        <v>381.0</v>
      </c>
      <c r="I7162" s="3">
        <f t="shared" si="3"/>
        <v>0.2218986605</v>
      </c>
      <c r="J7162" s="2">
        <v>343.0</v>
      </c>
      <c r="K7162" s="3">
        <f t="shared" si="4"/>
        <v>0.1997670355</v>
      </c>
      <c r="L7162" s="2">
        <v>233.0</v>
      </c>
      <c r="M7162" s="3">
        <f t="shared" si="5"/>
        <v>0.6115485564</v>
      </c>
      <c r="N7162" s="2">
        <v>1998200.0</v>
      </c>
      <c r="O7162" s="4">
        <f t="shared" si="6"/>
        <v>5244.619423</v>
      </c>
      <c r="P7162" s="2">
        <v>0.0</v>
      </c>
      <c r="Q7162" s="3">
        <f t="shared" si="7"/>
        <v>0</v>
      </c>
      <c r="R7162" s="2">
        <v>154.0</v>
      </c>
      <c r="S7162" s="5">
        <f t="shared" si="8"/>
        <v>0.9685534591</v>
      </c>
    </row>
    <row r="7163">
      <c r="A7163" s="2" t="s">
        <v>7160</v>
      </c>
      <c r="B7163" s="2">
        <v>9.0</v>
      </c>
      <c r="C7163" s="2">
        <v>110.0</v>
      </c>
      <c r="D7163" s="2">
        <v>41.0</v>
      </c>
      <c r="E7163" s="3">
        <f t="shared" si="1"/>
        <v>0.4059405941</v>
      </c>
      <c r="F7163" s="2">
        <v>11.0</v>
      </c>
      <c r="G7163" s="3">
        <f t="shared" si="2"/>
        <v>0.1089108911</v>
      </c>
      <c r="H7163" s="2">
        <v>26.0</v>
      </c>
      <c r="I7163" s="3">
        <f t="shared" si="3"/>
        <v>0.2574257426</v>
      </c>
      <c r="J7163" s="2">
        <v>14.0</v>
      </c>
      <c r="K7163" s="3">
        <f t="shared" si="4"/>
        <v>0.1386138614</v>
      </c>
      <c r="L7163" s="2">
        <v>19.0</v>
      </c>
      <c r="M7163" s="3">
        <f t="shared" si="5"/>
        <v>0.7307692308</v>
      </c>
      <c r="N7163" s="2">
        <v>123100.0</v>
      </c>
      <c r="O7163" s="4">
        <f t="shared" si="6"/>
        <v>4734.615385</v>
      </c>
      <c r="P7163" s="2">
        <v>0.0</v>
      </c>
      <c r="Q7163" s="3">
        <f t="shared" si="7"/>
        <v>0</v>
      </c>
      <c r="R7163" s="2">
        <v>0.0</v>
      </c>
      <c r="S7163" s="5">
        <f t="shared" si="8"/>
        <v>0</v>
      </c>
    </row>
    <row r="7164">
      <c r="A7164" s="2" t="s">
        <v>7161</v>
      </c>
      <c r="B7164" s="2">
        <v>991.0</v>
      </c>
      <c r="C7164" s="2">
        <v>11688.0</v>
      </c>
      <c r="D7164" s="2">
        <v>4021.0</v>
      </c>
      <c r="E7164" s="3">
        <f t="shared" si="1"/>
        <v>0.375899785</v>
      </c>
      <c r="F7164" s="2">
        <v>1165.0</v>
      </c>
      <c r="G7164" s="3">
        <f t="shared" si="2"/>
        <v>0.1089090399</v>
      </c>
      <c r="H7164" s="2">
        <v>2308.0</v>
      </c>
      <c r="I7164" s="3">
        <f t="shared" si="3"/>
        <v>0.2157614284</v>
      </c>
      <c r="J7164" s="2">
        <v>1775.0</v>
      </c>
      <c r="K7164" s="3">
        <f t="shared" si="4"/>
        <v>0.1659343741</v>
      </c>
      <c r="L7164" s="2">
        <v>1386.0</v>
      </c>
      <c r="M7164" s="3">
        <f t="shared" si="5"/>
        <v>0.6005199307</v>
      </c>
      <c r="N7164" s="2">
        <v>1.214E7</v>
      </c>
      <c r="O7164" s="4">
        <f t="shared" si="6"/>
        <v>5259.965338</v>
      </c>
      <c r="P7164" s="2">
        <v>2.0</v>
      </c>
      <c r="Q7164" s="3">
        <f t="shared" si="7"/>
        <v>0.002018163471</v>
      </c>
      <c r="R7164" s="2">
        <v>991.0</v>
      </c>
      <c r="S7164" s="5">
        <f t="shared" si="8"/>
        <v>1</v>
      </c>
    </row>
    <row r="7165">
      <c r="A7165" s="2" t="s">
        <v>7162</v>
      </c>
      <c r="B7165" s="2">
        <v>476.0</v>
      </c>
      <c r="C7165" s="2">
        <v>5601.0</v>
      </c>
      <c r="D7165" s="2">
        <v>1278.0</v>
      </c>
      <c r="E7165" s="3">
        <f t="shared" si="1"/>
        <v>0.2493658537</v>
      </c>
      <c r="F7165" s="2">
        <v>558.0</v>
      </c>
      <c r="G7165" s="3">
        <f t="shared" si="2"/>
        <v>0.1088780488</v>
      </c>
      <c r="H7165" s="2">
        <v>940.0</v>
      </c>
      <c r="I7165" s="3">
        <f t="shared" si="3"/>
        <v>0.1834146341</v>
      </c>
      <c r="J7165" s="2">
        <v>825.0</v>
      </c>
      <c r="K7165" s="3">
        <f t="shared" si="4"/>
        <v>0.1609756098</v>
      </c>
      <c r="L7165" s="2">
        <v>549.0</v>
      </c>
      <c r="M7165" s="3">
        <f t="shared" si="5"/>
        <v>0.5840425532</v>
      </c>
      <c r="N7165" s="2">
        <v>5794000.0</v>
      </c>
      <c r="O7165" s="4">
        <f t="shared" si="6"/>
        <v>6163.829787</v>
      </c>
      <c r="P7165" s="2">
        <v>0.0</v>
      </c>
      <c r="Q7165" s="3">
        <f t="shared" si="7"/>
        <v>0</v>
      </c>
      <c r="R7165" s="2">
        <v>476.0</v>
      </c>
      <c r="S7165" s="5">
        <f t="shared" si="8"/>
        <v>1</v>
      </c>
    </row>
    <row r="7166">
      <c r="A7166" s="2" t="s">
        <v>7163</v>
      </c>
      <c r="B7166" s="2">
        <v>134.0</v>
      </c>
      <c r="C7166" s="2">
        <v>1613.0</v>
      </c>
      <c r="D7166" s="2">
        <v>507.0</v>
      </c>
      <c r="E7166" s="3">
        <f t="shared" si="1"/>
        <v>0.3427991886</v>
      </c>
      <c r="F7166" s="2">
        <v>161.0</v>
      </c>
      <c r="G7166" s="3">
        <f t="shared" si="2"/>
        <v>0.108857336</v>
      </c>
      <c r="H7166" s="2">
        <v>275.0</v>
      </c>
      <c r="I7166" s="3">
        <f t="shared" si="3"/>
        <v>0.1859364435</v>
      </c>
      <c r="J7166" s="2">
        <v>200.0</v>
      </c>
      <c r="K7166" s="3">
        <f t="shared" si="4"/>
        <v>0.1352265044</v>
      </c>
      <c r="L7166" s="2">
        <v>168.0</v>
      </c>
      <c r="M7166" s="3">
        <f t="shared" si="5"/>
        <v>0.6109090909</v>
      </c>
      <c r="N7166" s="2">
        <v>1440200.0</v>
      </c>
      <c r="O7166" s="4">
        <f t="shared" si="6"/>
        <v>5237.090909</v>
      </c>
      <c r="P7166" s="2">
        <v>0.0</v>
      </c>
      <c r="Q7166" s="3">
        <f t="shared" si="7"/>
        <v>0</v>
      </c>
      <c r="R7166" s="2">
        <v>134.0</v>
      </c>
      <c r="S7166" s="5">
        <f t="shared" si="8"/>
        <v>1</v>
      </c>
    </row>
    <row r="7167">
      <c r="A7167" s="2" t="s">
        <v>7164</v>
      </c>
      <c r="B7167" s="2">
        <v>359.0</v>
      </c>
      <c r="C7167" s="2">
        <v>4300.0</v>
      </c>
      <c r="D7167" s="2">
        <v>1372.0</v>
      </c>
      <c r="E7167" s="3">
        <f t="shared" si="1"/>
        <v>0.3481349911</v>
      </c>
      <c r="F7167" s="2">
        <v>429.0</v>
      </c>
      <c r="G7167" s="3">
        <f t="shared" si="2"/>
        <v>0.1088556204</v>
      </c>
      <c r="H7167" s="2">
        <v>777.0</v>
      </c>
      <c r="I7167" s="3">
        <f t="shared" si="3"/>
        <v>0.1971580817</v>
      </c>
      <c r="J7167" s="2">
        <v>482.0</v>
      </c>
      <c r="K7167" s="3">
        <f t="shared" si="4"/>
        <v>0.1223039838</v>
      </c>
      <c r="L7167" s="2">
        <v>459.0</v>
      </c>
      <c r="M7167" s="3">
        <f t="shared" si="5"/>
        <v>0.5907335907</v>
      </c>
      <c r="N7167" s="2">
        <v>4350600.0</v>
      </c>
      <c r="O7167" s="4">
        <f t="shared" si="6"/>
        <v>5599.227799</v>
      </c>
      <c r="P7167" s="2">
        <v>1.0</v>
      </c>
      <c r="Q7167" s="3">
        <f t="shared" si="7"/>
        <v>0.00278551532</v>
      </c>
      <c r="R7167" s="2">
        <v>273.0</v>
      </c>
      <c r="S7167" s="5">
        <f t="shared" si="8"/>
        <v>0.7604456825</v>
      </c>
    </row>
    <row r="7168">
      <c r="A7168" s="2" t="s">
        <v>7165</v>
      </c>
      <c r="B7168" s="2">
        <v>189.0</v>
      </c>
      <c r="C7168" s="2">
        <v>2256.0</v>
      </c>
      <c r="D7168" s="2">
        <v>597.0</v>
      </c>
      <c r="E7168" s="3">
        <f t="shared" si="1"/>
        <v>0.2888243832</v>
      </c>
      <c r="F7168" s="2">
        <v>225.0</v>
      </c>
      <c r="G7168" s="3">
        <f t="shared" si="2"/>
        <v>0.1088534107</v>
      </c>
      <c r="H7168" s="2">
        <v>405.0</v>
      </c>
      <c r="I7168" s="3">
        <f t="shared" si="3"/>
        <v>0.1959361393</v>
      </c>
      <c r="J7168" s="2">
        <v>234.0</v>
      </c>
      <c r="K7168" s="3">
        <f t="shared" si="4"/>
        <v>0.1132075472</v>
      </c>
      <c r="L7168" s="2">
        <v>255.0</v>
      </c>
      <c r="M7168" s="3">
        <f t="shared" si="5"/>
        <v>0.6296296296</v>
      </c>
      <c r="N7168" s="2">
        <v>2183300.0</v>
      </c>
      <c r="O7168" s="4">
        <f t="shared" si="6"/>
        <v>5390.864198</v>
      </c>
      <c r="P7168" s="2">
        <v>0.0</v>
      </c>
      <c r="Q7168" s="3">
        <f t="shared" si="7"/>
        <v>0</v>
      </c>
      <c r="R7168" s="2">
        <v>189.0</v>
      </c>
      <c r="S7168" s="5">
        <f t="shared" si="8"/>
        <v>1</v>
      </c>
    </row>
    <row r="7169">
      <c r="A7169" s="2" t="s">
        <v>7166</v>
      </c>
      <c r="B7169" s="2">
        <v>93.0</v>
      </c>
      <c r="C7169" s="2">
        <v>1076.0</v>
      </c>
      <c r="D7169" s="2">
        <v>299.0</v>
      </c>
      <c r="E7169" s="3">
        <f t="shared" si="1"/>
        <v>0.3041709054</v>
      </c>
      <c r="F7169" s="2">
        <v>107.0</v>
      </c>
      <c r="G7169" s="3">
        <f t="shared" si="2"/>
        <v>0.1088504578</v>
      </c>
      <c r="H7169" s="2">
        <v>188.0</v>
      </c>
      <c r="I7169" s="3">
        <f t="shared" si="3"/>
        <v>0.1912512716</v>
      </c>
      <c r="J7169" s="2">
        <v>180.0</v>
      </c>
      <c r="K7169" s="3">
        <f t="shared" si="4"/>
        <v>0.1831129196</v>
      </c>
      <c r="L7169" s="2">
        <v>108.0</v>
      </c>
      <c r="M7169" s="3">
        <f t="shared" si="5"/>
        <v>0.5744680851</v>
      </c>
      <c r="N7169" s="2">
        <v>1025000.0</v>
      </c>
      <c r="O7169" s="4">
        <f t="shared" si="6"/>
        <v>5452.12766</v>
      </c>
      <c r="P7169" s="2">
        <v>0.0</v>
      </c>
      <c r="Q7169" s="3">
        <f t="shared" si="7"/>
        <v>0</v>
      </c>
      <c r="R7169" s="2">
        <v>93.0</v>
      </c>
      <c r="S7169" s="5">
        <f t="shared" si="8"/>
        <v>1</v>
      </c>
    </row>
    <row r="7170">
      <c r="A7170" s="2" t="s">
        <v>7167</v>
      </c>
      <c r="B7170" s="2">
        <v>170.0</v>
      </c>
      <c r="C7170" s="2">
        <v>2035.0</v>
      </c>
      <c r="D7170" s="2">
        <v>741.0</v>
      </c>
      <c r="E7170" s="3">
        <f t="shared" si="1"/>
        <v>0.3973190349</v>
      </c>
      <c r="F7170" s="2">
        <v>203.0</v>
      </c>
      <c r="G7170" s="3">
        <f t="shared" si="2"/>
        <v>0.108847185</v>
      </c>
      <c r="H7170" s="2">
        <v>354.0</v>
      </c>
      <c r="I7170" s="3">
        <f t="shared" si="3"/>
        <v>0.1898123324</v>
      </c>
      <c r="J7170" s="2">
        <v>242.0</v>
      </c>
      <c r="K7170" s="3">
        <f t="shared" si="4"/>
        <v>0.1297587131</v>
      </c>
      <c r="L7170" s="2">
        <v>230.0</v>
      </c>
      <c r="M7170" s="3">
        <f t="shared" si="5"/>
        <v>0.6497175141</v>
      </c>
      <c r="N7170" s="2">
        <v>1838700.0</v>
      </c>
      <c r="O7170" s="4">
        <f t="shared" si="6"/>
        <v>5194.067797</v>
      </c>
      <c r="P7170" s="2">
        <v>0.0</v>
      </c>
      <c r="Q7170" s="3">
        <f t="shared" si="7"/>
        <v>0</v>
      </c>
      <c r="R7170" s="2">
        <v>0.0</v>
      </c>
      <c r="S7170" s="5">
        <f t="shared" si="8"/>
        <v>0</v>
      </c>
    </row>
    <row r="7171">
      <c r="A7171" s="2" t="s">
        <v>7168</v>
      </c>
      <c r="B7171" s="2">
        <v>2121.0</v>
      </c>
      <c r="C7171" s="2">
        <v>24832.0</v>
      </c>
      <c r="D7171" s="2">
        <v>7834.0</v>
      </c>
      <c r="E7171" s="3">
        <f t="shared" si="1"/>
        <v>0.3449429792</v>
      </c>
      <c r="F7171" s="2">
        <v>2472.0</v>
      </c>
      <c r="G7171" s="3">
        <f t="shared" si="2"/>
        <v>0.1088459337</v>
      </c>
      <c r="H7171" s="2">
        <v>4939.0</v>
      </c>
      <c r="I7171" s="3">
        <f t="shared" si="3"/>
        <v>0.2174717097</v>
      </c>
      <c r="J7171" s="2">
        <v>3608.0</v>
      </c>
      <c r="K7171" s="3">
        <f t="shared" si="4"/>
        <v>0.1588657479</v>
      </c>
      <c r="L7171" s="2">
        <v>2943.0</v>
      </c>
      <c r="M7171" s="3">
        <f t="shared" si="5"/>
        <v>0.5958696092</v>
      </c>
      <c r="N7171" s="2">
        <v>2.66719E7</v>
      </c>
      <c r="O7171" s="4">
        <f t="shared" si="6"/>
        <v>5400.263211</v>
      </c>
      <c r="P7171" s="2">
        <v>6.0</v>
      </c>
      <c r="Q7171" s="3">
        <f t="shared" si="7"/>
        <v>0.002828854314</v>
      </c>
      <c r="R7171" s="2">
        <v>76.0</v>
      </c>
      <c r="S7171" s="5">
        <f t="shared" si="8"/>
        <v>0.03583215464</v>
      </c>
    </row>
    <row r="7172">
      <c r="A7172" s="2" t="s">
        <v>7169</v>
      </c>
      <c r="B7172" s="2">
        <v>936.0</v>
      </c>
      <c r="C7172" s="2">
        <v>11024.0</v>
      </c>
      <c r="D7172" s="2">
        <v>3478.0</v>
      </c>
      <c r="E7172" s="3">
        <f t="shared" si="1"/>
        <v>0.3447660587</v>
      </c>
      <c r="F7172" s="2">
        <v>1098.0</v>
      </c>
      <c r="G7172" s="3">
        <f t="shared" si="2"/>
        <v>0.1088421887</v>
      </c>
      <c r="H7172" s="2">
        <v>2132.0</v>
      </c>
      <c r="I7172" s="3">
        <f t="shared" si="3"/>
        <v>0.2113402062</v>
      </c>
      <c r="J7172" s="2">
        <v>1492.0</v>
      </c>
      <c r="K7172" s="3">
        <f t="shared" si="4"/>
        <v>0.1478984933</v>
      </c>
      <c r="L7172" s="2">
        <v>1263.0</v>
      </c>
      <c r="M7172" s="3">
        <f t="shared" si="5"/>
        <v>0.5924015009</v>
      </c>
      <c r="N7172" s="2">
        <v>1.09841E7</v>
      </c>
      <c r="O7172" s="4">
        <f t="shared" si="6"/>
        <v>5152.016886</v>
      </c>
      <c r="P7172" s="2">
        <v>3.0</v>
      </c>
      <c r="Q7172" s="3">
        <f t="shared" si="7"/>
        <v>0.003205128205</v>
      </c>
      <c r="R7172" s="2">
        <v>0.0</v>
      </c>
      <c r="S7172" s="5">
        <f t="shared" si="8"/>
        <v>0</v>
      </c>
    </row>
    <row r="7173">
      <c r="A7173" s="2" t="s">
        <v>7170</v>
      </c>
      <c r="B7173" s="2">
        <v>1365.0</v>
      </c>
      <c r="C7173" s="2">
        <v>16032.0</v>
      </c>
      <c r="D7173" s="2">
        <v>4767.0</v>
      </c>
      <c r="E7173" s="3">
        <f t="shared" si="1"/>
        <v>0.3250153406</v>
      </c>
      <c r="F7173" s="2">
        <v>1596.0</v>
      </c>
      <c r="G7173" s="3">
        <f t="shared" si="2"/>
        <v>0.1088157087</v>
      </c>
      <c r="H7173" s="2">
        <v>3107.0</v>
      </c>
      <c r="I7173" s="3">
        <f t="shared" si="3"/>
        <v>0.2118360946</v>
      </c>
      <c r="J7173" s="2">
        <v>2404.0</v>
      </c>
      <c r="K7173" s="3">
        <f t="shared" si="4"/>
        <v>0.1639053658</v>
      </c>
      <c r="L7173" s="2">
        <v>1883.0</v>
      </c>
      <c r="M7173" s="3">
        <f t="shared" si="5"/>
        <v>0.6060508529</v>
      </c>
      <c r="N7173" s="2">
        <v>1.68764E7</v>
      </c>
      <c r="O7173" s="4">
        <f t="shared" si="6"/>
        <v>5431.734792</v>
      </c>
      <c r="P7173" s="2">
        <v>4.0</v>
      </c>
      <c r="Q7173" s="3">
        <f t="shared" si="7"/>
        <v>0.00293040293</v>
      </c>
      <c r="R7173" s="2">
        <v>1365.0</v>
      </c>
      <c r="S7173" s="5">
        <f t="shared" si="8"/>
        <v>1</v>
      </c>
    </row>
    <row r="7174">
      <c r="A7174" s="2" t="s">
        <v>7171</v>
      </c>
      <c r="B7174" s="2">
        <v>1026.0</v>
      </c>
      <c r="C7174" s="2">
        <v>12238.0</v>
      </c>
      <c r="D7174" s="2">
        <v>4259.0</v>
      </c>
      <c r="E7174" s="3">
        <f t="shared" si="1"/>
        <v>0.3798608634</v>
      </c>
      <c r="F7174" s="2">
        <v>1220.0</v>
      </c>
      <c r="G7174" s="3">
        <f t="shared" si="2"/>
        <v>0.1088119872</v>
      </c>
      <c r="H7174" s="2">
        <v>2379.0</v>
      </c>
      <c r="I7174" s="3">
        <f t="shared" si="3"/>
        <v>0.212183375</v>
      </c>
      <c r="J7174" s="2">
        <v>1699.0</v>
      </c>
      <c r="K7174" s="3">
        <f t="shared" si="4"/>
        <v>0.1515340706</v>
      </c>
      <c r="L7174" s="2">
        <v>1436.0</v>
      </c>
      <c r="M7174" s="3">
        <f t="shared" si="5"/>
        <v>0.6036149643</v>
      </c>
      <c r="N7174" s="2">
        <v>1.25642E7</v>
      </c>
      <c r="O7174" s="4">
        <f t="shared" si="6"/>
        <v>5281.294662</v>
      </c>
      <c r="P7174" s="2">
        <v>2.0</v>
      </c>
      <c r="Q7174" s="3">
        <f t="shared" si="7"/>
        <v>0.001949317739</v>
      </c>
      <c r="R7174" s="2">
        <v>1026.0</v>
      </c>
      <c r="S7174" s="5">
        <f t="shared" si="8"/>
        <v>1</v>
      </c>
    </row>
    <row r="7175">
      <c r="A7175" s="2" t="s">
        <v>7172</v>
      </c>
      <c r="B7175" s="2">
        <v>673.0</v>
      </c>
      <c r="C7175" s="2">
        <v>7970.0</v>
      </c>
      <c r="D7175" s="2">
        <v>2567.0</v>
      </c>
      <c r="E7175" s="3">
        <f t="shared" si="1"/>
        <v>0.3517884062</v>
      </c>
      <c r="F7175" s="2">
        <v>794.0</v>
      </c>
      <c r="G7175" s="3">
        <f t="shared" si="2"/>
        <v>0.1088118405</v>
      </c>
      <c r="H7175" s="2">
        <v>1476.0</v>
      </c>
      <c r="I7175" s="3">
        <f t="shared" si="3"/>
        <v>0.2022749075</v>
      </c>
      <c r="J7175" s="2">
        <v>1109.0</v>
      </c>
      <c r="K7175" s="3">
        <f t="shared" si="4"/>
        <v>0.1519802659</v>
      </c>
      <c r="L7175" s="2">
        <v>848.0</v>
      </c>
      <c r="M7175" s="3">
        <f t="shared" si="5"/>
        <v>0.5745257453</v>
      </c>
      <c r="N7175" s="2">
        <v>8415600.0</v>
      </c>
      <c r="O7175" s="4">
        <f t="shared" si="6"/>
        <v>5701.626016</v>
      </c>
      <c r="P7175" s="2">
        <v>1.0</v>
      </c>
      <c r="Q7175" s="3">
        <f t="shared" si="7"/>
        <v>0.001485884101</v>
      </c>
      <c r="R7175" s="2">
        <v>673.0</v>
      </c>
      <c r="S7175" s="5">
        <f t="shared" si="8"/>
        <v>1</v>
      </c>
    </row>
    <row r="7176">
      <c r="A7176" s="2" t="s">
        <v>7173</v>
      </c>
      <c r="B7176" s="2">
        <v>546.0</v>
      </c>
      <c r="C7176" s="2">
        <v>6401.0</v>
      </c>
      <c r="D7176" s="2">
        <v>1866.0</v>
      </c>
      <c r="E7176" s="3">
        <f t="shared" si="1"/>
        <v>0.3187019641</v>
      </c>
      <c r="F7176" s="2">
        <v>637.0</v>
      </c>
      <c r="G7176" s="3">
        <f t="shared" si="2"/>
        <v>0.1087959009</v>
      </c>
      <c r="H7176" s="2">
        <v>1231.0</v>
      </c>
      <c r="I7176" s="3">
        <f t="shared" si="3"/>
        <v>0.2102476516</v>
      </c>
      <c r="J7176" s="2">
        <v>700.0</v>
      </c>
      <c r="K7176" s="3">
        <f t="shared" si="4"/>
        <v>0.1195559351</v>
      </c>
      <c r="L7176" s="2">
        <v>743.0</v>
      </c>
      <c r="M7176" s="3">
        <f t="shared" si="5"/>
        <v>0.6035743298</v>
      </c>
      <c r="N7176" s="2">
        <v>6690600.0</v>
      </c>
      <c r="O7176" s="4">
        <f t="shared" si="6"/>
        <v>5435.09342</v>
      </c>
      <c r="P7176" s="2">
        <v>1.0</v>
      </c>
      <c r="Q7176" s="3">
        <f t="shared" si="7"/>
        <v>0.001831501832</v>
      </c>
      <c r="R7176" s="2">
        <v>546.0</v>
      </c>
      <c r="S7176" s="5">
        <f t="shared" si="8"/>
        <v>1</v>
      </c>
    </row>
    <row r="7177">
      <c r="A7177" s="2" t="s">
        <v>7174</v>
      </c>
      <c r="B7177" s="2">
        <v>225.0</v>
      </c>
      <c r="C7177" s="2">
        <v>2698.0</v>
      </c>
      <c r="D7177" s="2">
        <v>799.0</v>
      </c>
      <c r="E7177" s="3">
        <f t="shared" si="1"/>
        <v>0.3230893651</v>
      </c>
      <c r="F7177" s="2">
        <v>269.0</v>
      </c>
      <c r="G7177" s="3">
        <f t="shared" si="2"/>
        <v>0.1087747675</v>
      </c>
      <c r="H7177" s="2">
        <v>496.0</v>
      </c>
      <c r="I7177" s="3">
        <f t="shared" si="3"/>
        <v>0.200566114</v>
      </c>
      <c r="J7177" s="2">
        <v>443.0</v>
      </c>
      <c r="K7177" s="3">
        <f t="shared" si="4"/>
        <v>0.1791346543</v>
      </c>
      <c r="L7177" s="2">
        <v>277.0</v>
      </c>
      <c r="M7177" s="3">
        <f t="shared" si="5"/>
        <v>0.5584677419</v>
      </c>
      <c r="N7177" s="2">
        <v>2883500.0</v>
      </c>
      <c r="O7177" s="4">
        <f t="shared" si="6"/>
        <v>5813.508065</v>
      </c>
      <c r="P7177" s="2">
        <v>2.0</v>
      </c>
      <c r="Q7177" s="3">
        <f t="shared" si="7"/>
        <v>0.008888888889</v>
      </c>
      <c r="R7177" s="2">
        <v>225.0</v>
      </c>
      <c r="S7177" s="5">
        <f t="shared" si="8"/>
        <v>1</v>
      </c>
    </row>
    <row r="7178">
      <c r="A7178" s="2" t="s">
        <v>7175</v>
      </c>
      <c r="B7178" s="2">
        <v>747.0</v>
      </c>
      <c r="C7178" s="2">
        <v>8740.0</v>
      </c>
      <c r="D7178" s="2">
        <v>2416.0</v>
      </c>
      <c r="E7178" s="3">
        <f t="shared" si="1"/>
        <v>0.3022644814</v>
      </c>
      <c r="F7178" s="2">
        <v>869.0</v>
      </c>
      <c r="G7178" s="3">
        <f t="shared" si="2"/>
        <v>0.1087201301</v>
      </c>
      <c r="H7178" s="2">
        <v>1635.0</v>
      </c>
      <c r="I7178" s="3">
        <f t="shared" si="3"/>
        <v>0.2045539847</v>
      </c>
      <c r="J7178" s="2">
        <v>1273.0</v>
      </c>
      <c r="K7178" s="3">
        <f t="shared" si="4"/>
        <v>0.1592643563</v>
      </c>
      <c r="L7178" s="2">
        <v>953.0</v>
      </c>
      <c r="M7178" s="3">
        <f t="shared" si="5"/>
        <v>0.5828746177</v>
      </c>
      <c r="N7178" s="2">
        <v>8929900.0</v>
      </c>
      <c r="O7178" s="4">
        <f t="shared" si="6"/>
        <v>5461.712538</v>
      </c>
      <c r="P7178" s="2">
        <v>0.0</v>
      </c>
      <c r="Q7178" s="3">
        <f t="shared" si="7"/>
        <v>0</v>
      </c>
      <c r="R7178" s="2">
        <v>747.0</v>
      </c>
      <c r="S7178" s="5">
        <f t="shared" si="8"/>
        <v>1</v>
      </c>
    </row>
    <row r="7179">
      <c r="A7179" s="2" t="s">
        <v>7176</v>
      </c>
      <c r="B7179" s="2">
        <v>227.0</v>
      </c>
      <c r="C7179" s="2">
        <v>2720.0</v>
      </c>
      <c r="D7179" s="2">
        <v>875.0</v>
      </c>
      <c r="E7179" s="3">
        <f t="shared" si="1"/>
        <v>0.3509827517</v>
      </c>
      <c r="F7179" s="2">
        <v>271.0</v>
      </c>
      <c r="G7179" s="3">
        <f t="shared" si="2"/>
        <v>0.1087043722</v>
      </c>
      <c r="H7179" s="2">
        <v>542.0</v>
      </c>
      <c r="I7179" s="3">
        <f t="shared" si="3"/>
        <v>0.2174087445</v>
      </c>
      <c r="J7179" s="2">
        <v>468.0</v>
      </c>
      <c r="K7179" s="3">
        <f t="shared" si="4"/>
        <v>0.1877256318</v>
      </c>
      <c r="L7179" s="2">
        <v>320.0</v>
      </c>
      <c r="M7179" s="3">
        <f t="shared" si="5"/>
        <v>0.5904059041</v>
      </c>
      <c r="N7179" s="2">
        <v>2873300.0</v>
      </c>
      <c r="O7179" s="4">
        <f t="shared" si="6"/>
        <v>5301.291513</v>
      </c>
      <c r="P7179" s="2">
        <v>0.0</v>
      </c>
      <c r="Q7179" s="3">
        <f t="shared" si="7"/>
        <v>0</v>
      </c>
      <c r="R7179" s="2">
        <v>0.0</v>
      </c>
      <c r="S7179" s="5">
        <f t="shared" si="8"/>
        <v>0</v>
      </c>
    </row>
    <row r="7180">
      <c r="A7180" s="2" t="s">
        <v>7177</v>
      </c>
      <c r="B7180" s="2">
        <v>360.0</v>
      </c>
      <c r="C7180" s="2">
        <v>4095.0</v>
      </c>
      <c r="D7180" s="2">
        <v>1537.0</v>
      </c>
      <c r="E7180" s="3">
        <f t="shared" si="1"/>
        <v>0.4115127175</v>
      </c>
      <c r="F7180" s="2">
        <v>406.0</v>
      </c>
      <c r="G7180" s="3">
        <f t="shared" si="2"/>
        <v>0.1087014726</v>
      </c>
      <c r="H7180" s="2">
        <v>789.0</v>
      </c>
      <c r="I7180" s="3">
        <f t="shared" si="3"/>
        <v>0.2112449799</v>
      </c>
      <c r="J7180" s="2">
        <v>612.0</v>
      </c>
      <c r="K7180" s="3">
        <f t="shared" si="4"/>
        <v>0.1638554217</v>
      </c>
      <c r="L7180" s="2">
        <v>452.0</v>
      </c>
      <c r="M7180" s="3">
        <f t="shared" si="5"/>
        <v>0.5728770596</v>
      </c>
      <c r="N7180" s="2">
        <v>4514900.0</v>
      </c>
      <c r="O7180" s="4">
        <f t="shared" si="6"/>
        <v>5722.306717</v>
      </c>
      <c r="P7180" s="2">
        <v>0.0</v>
      </c>
      <c r="Q7180" s="3">
        <f t="shared" si="7"/>
        <v>0</v>
      </c>
      <c r="R7180" s="2">
        <v>360.0</v>
      </c>
      <c r="S7180" s="5">
        <f t="shared" si="8"/>
        <v>1</v>
      </c>
    </row>
    <row r="7181">
      <c r="A7181" s="2" t="s">
        <v>7178</v>
      </c>
      <c r="B7181" s="2">
        <v>3459.0</v>
      </c>
      <c r="C7181" s="2">
        <v>40571.0</v>
      </c>
      <c r="D7181" s="2">
        <v>12276.0</v>
      </c>
      <c r="E7181" s="3">
        <f t="shared" si="1"/>
        <v>0.3307824962</v>
      </c>
      <c r="F7181" s="2">
        <v>4034.0</v>
      </c>
      <c r="G7181" s="3">
        <f t="shared" si="2"/>
        <v>0.1086979953</v>
      </c>
      <c r="H7181" s="2">
        <v>7638.0</v>
      </c>
      <c r="I7181" s="3">
        <f t="shared" si="3"/>
        <v>0.2058094417</v>
      </c>
      <c r="J7181" s="2">
        <v>6433.0</v>
      </c>
      <c r="K7181" s="3">
        <f t="shared" si="4"/>
        <v>0.1733401595</v>
      </c>
      <c r="L7181" s="2">
        <v>4567.0</v>
      </c>
      <c r="M7181" s="3">
        <f t="shared" si="5"/>
        <v>0.5979313957</v>
      </c>
      <c r="N7181" s="2">
        <v>4.39243E7</v>
      </c>
      <c r="O7181" s="4">
        <f t="shared" si="6"/>
        <v>5750.759361</v>
      </c>
      <c r="P7181" s="2">
        <v>2.0</v>
      </c>
      <c r="Q7181" s="3">
        <f t="shared" si="7"/>
        <v>0.0005782017924</v>
      </c>
      <c r="R7181" s="2">
        <v>3458.0</v>
      </c>
      <c r="S7181" s="5">
        <f t="shared" si="8"/>
        <v>0.9997108991</v>
      </c>
    </row>
    <row r="7182">
      <c r="A7182" s="2" t="s">
        <v>7179</v>
      </c>
      <c r="B7182" s="2">
        <v>173.0</v>
      </c>
      <c r="C7182" s="2">
        <v>2041.0</v>
      </c>
      <c r="D7182" s="2">
        <v>650.0</v>
      </c>
      <c r="E7182" s="3">
        <f t="shared" si="1"/>
        <v>0.3479657388</v>
      </c>
      <c r="F7182" s="2">
        <v>203.0</v>
      </c>
      <c r="G7182" s="3">
        <f t="shared" si="2"/>
        <v>0.1086723769</v>
      </c>
      <c r="H7182" s="2">
        <v>346.0</v>
      </c>
      <c r="I7182" s="3">
        <f t="shared" si="3"/>
        <v>0.1852248394</v>
      </c>
      <c r="J7182" s="2">
        <v>244.0</v>
      </c>
      <c r="K7182" s="3">
        <f t="shared" si="4"/>
        <v>0.130620985</v>
      </c>
      <c r="L7182" s="2">
        <v>203.0</v>
      </c>
      <c r="M7182" s="3">
        <f t="shared" si="5"/>
        <v>0.5867052023</v>
      </c>
      <c r="N7182" s="2">
        <v>1908200.0</v>
      </c>
      <c r="O7182" s="4">
        <f t="shared" si="6"/>
        <v>5515.028902</v>
      </c>
      <c r="P7182" s="2">
        <v>1.0</v>
      </c>
      <c r="Q7182" s="3">
        <f t="shared" si="7"/>
        <v>0.005780346821</v>
      </c>
      <c r="R7182" s="2">
        <v>173.0</v>
      </c>
      <c r="S7182" s="5">
        <f t="shared" si="8"/>
        <v>1</v>
      </c>
    </row>
    <row r="7183">
      <c r="A7183" s="2" t="s">
        <v>7180</v>
      </c>
      <c r="B7183" s="2">
        <v>51.0</v>
      </c>
      <c r="C7183" s="2">
        <v>594.0</v>
      </c>
      <c r="D7183" s="2">
        <v>198.0</v>
      </c>
      <c r="E7183" s="3">
        <f t="shared" si="1"/>
        <v>0.364640884</v>
      </c>
      <c r="F7183" s="2">
        <v>59.0</v>
      </c>
      <c r="G7183" s="3">
        <f t="shared" si="2"/>
        <v>0.1086556169</v>
      </c>
      <c r="H7183" s="2">
        <v>109.0</v>
      </c>
      <c r="I7183" s="3">
        <f t="shared" si="3"/>
        <v>0.2007366483</v>
      </c>
      <c r="J7183" s="2">
        <v>85.0</v>
      </c>
      <c r="K7183" s="3">
        <f t="shared" si="4"/>
        <v>0.1565377532</v>
      </c>
      <c r="L7183" s="2">
        <v>58.0</v>
      </c>
      <c r="M7183" s="3">
        <f t="shared" si="5"/>
        <v>0.5321100917</v>
      </c>
      <c r="N7183" s="2">
        <v>628900.0</v>
      </c>
      <c r="O7183" s="4">
        <f t="shared" si="6"/>
        <v>5769.724771</v>
      </c>
      <c r="P7183" s="2">
        <v>0.0</v>
      </c>
      <c r="Q7183" s="3">
        <f t="shared" si="7"/>
        <v>0</v>
      </c>
      <c r="R7183" s="2">
        <v>51.0</v>
      </c>
      <c r="S7183" s="5">
        <f t="shared" si="8"/>
        <v>1</v>
      </c>
    </row>
    <row r="7184">
      <c r="A7184" s="2" t="s">
        <v>7181</v>
      </c>
      <c r="B7184" s="2">
        <v>45.0</v>
      </c>
      <c r="C7184" s="2">
        <v>542.0</v>
      </c>
      <c r="D7184" s="2">
        <v>167.0</v>
      </c>
      <c r="E7184" s="3">
        <f t="shared" si="1"/>
        <v>0.3360160966</v>
      </c>
      <c r="F7184" s="2">
        <v>54.0</v>
      </c>
      <c r="G7184" s="3">
        <f t="shared" si="2"/>
        <v>0.1086519115</v>
      </c>
      <c r="H7184" s="2">
        <v>101.0</v>
      </c>
      <c r="I7184" s="3">
        <f t="shared" si="3"/>
        <v>0.2032193159</v>
      </c>
      <c r="J7184" s="2">
        <v>68.0</v>
      </c>
      <c r="K7184" s="3">
        <f t="shared" si="4"/>
        <v>0.1368209256</v>
      </c>
      <c r="L7184" s="2">
        <v>55.0</v>
      </c>
      <c r="M7184" s="3">
        <f t="shared" si="5"/>
        <v>0.5445544554</v>
      </c>
      <c r="N7184" s="2">
        <v>580900.0</v>
      </c>
      <c r="O7184" s="4">
        <f t="shared" si="6"/>
        <v>5751.485149</v>
      </c>
      <c r="P7184" s="2">
        <v>0.0</v>
      </c>
      <c r="Q7184" s="3">
        <f t="shared" si="7"/>
        <v>0</v>
      </c>
      <c r="R7184" s="2">
        <v>0.0</v>
      </c>
      <c r="S7184" s="5">
        <f t="shared" si="8"/>
        <v>0</v>
      </c>
    </row>
    <row r="7185">
      <c r="A7185" s="2" t="s">
        <v>7182</v>
      </c>
      <c r="B7185" s="2">
        <v>139.0</v>
      </c>
      <c r="C7185" s="2">
        <v>1667.0</v>
      </c>
      <c r="D7185" s="2">
        <v>570.0</v>
      </c>
      <c r="E7185" s="3">
        <f t="shared" si="1"/>
        <v>0.3730366492</v>
      </c>
      <c r="F7185" s="2">
        <v>166.0</v>
      </c>
      <c r="G7185" s="3">
        <f t="shared" si="2"/>
        <v>0.1086387435</v>
      </c>
      <c r="H7185" s="2">
        <v>338.0</v>
      </c>
      <c r="I7185" s="3">
        <f t="shared" si="3"/>
        <v>0.2212041885</v>
      </c>
      <c r="J7185" s="2">
        <v>288.0</v>
      </c>
      <c r="K7185" s="3">
        <f t="shared" si="4"/>
        <v>0.1884816754</v>
      </c>
      <c r="L7185" s="2">
        <v>212.0</v>
      </c>
      <c r="M7185" s="3">
        <f t="shared" si="5"/>
        <v>0.6272189349</v>
      </c>
      <c r="N7185" s="2">
        <v>1722600.0</v>
      </c>
      <c r="O7185" s="4">
        <f t="shared" si="6"/>
        <v>5096.449704</v>
      </c>
      <c r="P7185" s="2">
        <v>0.0</v>
      </c>
      <c r="Q7185" s="3">
        <f t="shared" si="7"/>
        <v>0</v>
      </c>
      <c r="R7185" s="2">
        <v>139.0</v>
      </c>
      <c r="S7185" s="5">
        <f t="shared" si="8"/>
        <v>1</v>
      </c>
    </row>
    <row r="7186">
      <c r="A7186" s="2" t="s">
        <v>7183</v>
      </c>
      <c r="B7186" s="2">
        <v>635.0</v>
      </c>
      <c r="C7186" s="2">
        <v>7466.0</v>
      </c>
      <c r="D7186" s="2">
        <v>1938.0</v>
      </c>
      <c r="E7186" s="3">
        <f t="shared" si="1"/>
        <v>0.2837066315</v>
      </c>
      <c r="F7186" s="2">
        <v>742.0</v>
      </c>
      <c r="G7186" s="3">
        <f t="shared" si="2"/>
        <v>0.1086224564</v>
      </c>
      <c r="H7186" s="2">
        <v>1334.0</v>
      </c>
      <c r="I7186" s="3">
        <f t="shared" si="3"/>
        <v>0.1952861953</v>
      </c>
      <c r="J7186" s="2">
        <v>923.0</v>
      </c>
      <c r="K7186" s="3">
        <f t="shared" si="4"/>
        <v>0.135119309</v>
      </c>
      <c r="L7186" s="2">
        <v>809.0</v>
      </c>
      <c r="M7186" s="3">
        <f t="shared" si="5"/>
        <v>0.6064467766</v>
      </c>
      <c r="N7186" s="2">
        <v>7507000.0</v>
      </c>
      <c r="O7186" s="4">
        <f t="shared" si="6"/>
        <v>5627.436282</v>
      </c>
      <c r="P7186" s="2">
        <v>0.0</v>
      </c>
      <c r="Q7186" s="3">
        <f t="shared" si="7"/>
        <v>0</v>
      </c>
      <c r="R7186" s="2">
        <v>635.0</v>
      </c>
      <c r="S7186" s="5">
        <f t="shared" si="8"/>
        <v>1</v>
      </c>
    </row>
    <row r="7187">
      <c r="A7187" s="2" t="s">
        <v>7184</v>
      </c>
      <c r="B7187" s="2">
        <v>1546.0</v>
      </c>
      <c r="C7187" s="2">
        <v>18150.0</v>
      </c>
      <c r="D7187" s="2">
        <v>5438.0</v>
      </c>
      <c r="E7187" s="3">
        <f t="shared" si="1"/>
        <v>0.327511443</v>
      </c>
      <c r="F7187" s="2">
        <v>1803.0</v>
      </c>
      <c r="G7187" s="3">
        <f t="shared" si="2"/>
        <v>0.108588292</v>
      </c>
      <c r="H7187" s="2">
        <v>3540.0</v>
      </c>
      <c r="I7187" s="3">
        <f t="shared" si="3"/>
        <v>0.2132016382</v>
      </c>
      <c r="J7187" s="2">
        <v>3163.0</v>
      </c>
      <c r="K7187" s="3">
        <f t="shared" si="4"/>
        <v>0.190496266</v>
      </c>
      <c r="L7187" s="2">
        <v>2094.0</v>
      </c>
      <c r="M7187" s="3">
        <f t="shared" si="5"/>
        <v>0.5915254237</v>
      </c>
      <c r="N7187" s="2">
        <v>1.97257E7</v>
      </c>
      <c r="O7187" s="4">
        <f t="shared" si="6"/>
        <v>5572.231638</v>
      </c>
      <c r="P7187" s="2">
        <v>3.0</v>
      </c>
      <c r="Q7187" s="3">
        <f t="shared" si="7"/>
        <v>0.001940491591</v>
      </c>
      <c r="R7187" s="2">
        <v>1546.0</v>
      </c>
      <c r="S7187" s="5">
        <f t="shared" si="8"/>
        <v>1</v>
      </c>
    </row>
    <row r="7188">
      <c r="A7188" s="2" t="s">
        <v>7185</v>
      </c>
      <c r="B7188" s="2">
        <v>412.0</v>
      </c>
      <c r="C7188" s="2">
        <v>4814.0</v>
      </c>
      <c r="D7188" s="2">
        <v>1448.0</v>
      </c>
      <c r="E7188" s="3">
        <f t="shared" si="1"/>
        <v>0.3289413903</v>
      </c>
      <c r="F7188" s="2">
        <v>478.0</v>
      </c>
      <c r="G7188" s="3">
        <f t="shared" si="2"/>
        <v>0.1085870059</v>
      </c>
      <c r="H7188" s="2">
        <v>881.0</v>
      </c>
      <c r="I7188" s="3">
        <f t="shared" si="3"/>
        <v>0.2001363017</v>
      </c>
      <c r="J7188" s="2">
        <v>798.0</v>
      </c>
      <c r="K7188" s="3">
        <f t="shared" si="4"/>
        <v>0.1812812358</v>
      </c>
      <c r="L7188" s="2">
        <v>495.0</v>
      </c>
      <c r="M7188" s="3">
        <f t="shared" si="5"/>
        <v>0.561861521</v>
      </c>
      <c r="N7188" s="2">
        <v>5078000.0</v>
      </c>
      <c r="O7188" s="4">
        <f t="shared" si="6"/>
        <v>5763.904654</v>
      </c>
      <c r="P7188" s="2">
        <v>2.0</v>
      </c>
      <c r="Q7188" s="3">
        <f t="shared" si="7"/>
        <v>0.004854368932</v>
      </c>
      <c r="R7188" s="2">
        <v>412.0</v>
      </c>
      <c r="S7188" s="5">
        <f t="shared" si="8"/>
        <v>1</v>
      </c>
    </row>
    <row r="7189">
      <c r="A7189" s="2" t="s">
        <v>7186</v>
      </c>
      <c r="B7189" s="2">
        <v>73.0</v>
      </c>
      <c r="C7189" s="2">
        <v>902.0</v>
      </c>
      <c r="D7189" s="2">
        <v>260.0</v>
      </c>
      <c r="E7189" s="3">
        <f t="shared" si="1"/>
        <v>0.3136308806</v>
      </c>
      <c r="F7189" s="2">
        <v>90.0</v>
      </c>
      <c r="G7189" s="3">
        <f t="shared" si="2"/>
        <v>0.1085645356</v>
      </c>
      <c r="H7189" s="2">
        <v>168.0</v>
      </c>
      <c r="I7189" s="3">
        <f t="shared" si="3"/>
        <v>0.2026537998</v>
      </c>
      <c r="J7189" s="2">
        <v>115.0</v>
      </c>
      <c r="K7189" s="3">
        <f t="shared" si="4"/>
        <v>0.138721351</v>
      </c>
      <c r="L7189" s="2">
        <v>90.0</v>
      </c>
      <c r="M7189" s="3">
        <f t="shared" si="5"/>
        <v>0.5357142857</v>
      </c>
      <c r="N7189" s="2">
        <v>878300.0</v>
      </c>
      <c r="O7189" s="4">
        <f t="shared" si="6"/>
        <v>5227.97619</v>
      </c>
      <c r="P7189" s="2">
        <v>0.0</v>
      </c>
      <c r="Q7189" s="3">
        <f t="shared" si="7"/>
        <v>0</v>
      </c>
      <c r="R7189" s="2">
        <v>73.0</v>
      </c>
      <c r="S7189" s="5">
        <f t="shared" si="8"/>
        <v>1</v>
      </c>
    </row>
    <row r="7190">
      <c r="A7190" s="2" t="s">
        <v>7187</v>
      </c>
      <c r="B7190" s="2">
        <v>244.0</v>
      </c>
      <c r="C7190" s="2">
        <v>2842.0</v>
      </c>
      <c r="D7190" s="2">
        <v>929.0</v>
      </c>
      <c r="E7190" s="3">
        <f t="shared" si="1"/>
        <v>0.357582756</v>
      </c>
      <c r="F7190" s="2">
        <v>282.0</v>
      </c>
      <c r="G7190" s="3">
        <f t="shared" si="2"/>
        <v>0.1085450346</v>
      </c>
      <c r="H7190" s="2">
        <v>559.0</v>
      </c>
      <c r="I7190" s="3">
        <f t="shared" si="3"/>
        <v>0.2151655119</v>
      </c>
      <c r="J7190" s="2">
        <v>421.0</v>
      </c>
      <c r="K7190" s="3">
        <f t="shared" si="4"/>
        <v>0.162047729</v>
      </c>
      <c r="L7190" s="2">
        <v>320.0</v>
      </c>
      <c r="M7190" s="3">
        <f t="shared" si="5"/>
        <v>0.572450805</v>
      </c>
      <c r="N7190" s="2">
        <v>2938600.0</v>
      </c>
      <c r="O7190" s="4">
        <f t="shared" si="6"/>
        <v>5256.887299</v>
      </c>
      <c r="P7190" s="2">
        <v>0.0</v>
      </c>
      <c r="Q7190" s="3">
        <f t="shared" si="7"/>
        <v>0</v>
      </c>
      <c r="R7190" s="2">
        <v>0.0</v>
      </c>
      <c r="S7190" s="5">
        <f t="shared" si="8"/>
        <v>0</v>
      </c>
    </row>
    <row r="7191">
      <c r="A7191" s="2" t="s">
        <v>7188</v>
      </c>
      <c r="B7191" s="2">
        <v>206.0</v>
      </c>
      <c r="C7191" s="2">
        <v>2445.0</v>
      </c>
      <c r="D7191" s="2">
        <v>654.0</v>
      </c>
      <c r="E7191" s="3">
        <f t="shared" si="1"/>
        <v>0.2920946851</v>
      </c>
      <c r="F7191" s="2">
        <v>243.0</v>
      </c>
      <c r="G7191" s="3">
        <f t="shared" si="2"/>
        <v>0.108530594</v>
      </c>
      <c r="H7191" s="2">
        <v>418.0</v>
      </c>
      <c r="I7191" s="3">
        <f t="shared" si="3"/>
        <v>0.1866904868</v>
      </c>
      <c r="J7191" s="2">
        <v>308.0</v>
      </c>
      <c r="K7191" s="3">
        <f t="shared" si="4"/>
        <v>0.1375614113</v>
      </c>
      <c r="L7191" s="2">
        <v>246.0</v>
      </c>
      <c r="M7191" s="3">
        <f t="shared" si="5"/>
        <v>0.5885167464</v>
      </c>
      <c r="N7191" s="2">
        <v>2445100.0</v>
      </c>
      <c r="O7191" s="4">
        <f t="shared" si="6"/>
        <v>5849.521531</v>
      </c>
      <c r="P7191" s="2">
        <v>0.0</v>
      </c>
      <c r="Q7191" s="3">
        <f t="shared" si="7"/>
        <v>0</v>
      </c>
      <c r="R7191" s="2">
        <v>206.0</v>
      </c>
      <c r="S7191" s="5">
        <f t="shared" si="8"/>
        <v>1</v>
      </c>
    </row>
    <row r="7192">
      <c r="A7192" s="2" t="s">
        <v>7189</v>
      </c>
      <c r="B7192" s="2">
        <v>11.0</v>
      </c>
      <c r="C7192" s="2">
        <v>140.0</v>
      </c>
      <c r="D7192" s="2">
        <v>51.0</v>
      </c>
      <c r="E7192" s="3">
        <f t="shared" si="1"/>
        <v>0.3953488372</v>
      </c>
      <c r="F7192" s="2">
        <v>14.0</v>
      </c>
      <c r="G7192" s="3">
        <f t="shared" si="2"/>
        <v>0.1085271318</v>
      </c>
      <c r="H7192" s="2">
        <v>24.0</v>
      </c>
      <c r="I7192" s="3">
        <f t="shared" si="3"/>
        <v>0.1860465116</v>
      </c>
      <c r="J7192" s="2">
        <v>21.0</v>
      </c>
      <c r="K7192" s="3">
        <f t="shared" si="4"/>
        <v>0.1627906977</v>
      </c>
      <c r="L7192" s="2">
        <v>17.0</v>
      </c>
      <c r="M7192" s="3">
        <f t="shared" si="5"/>
        <v>0.7083333333</v>
      </c>
      <c r="N7192" s="2">
        <v>115400.0</v>
      </c>
      <c r="O7192" s="4">
        <f t="shared" si="6"/>
        <v>4808.333333</v>
      </c>
      <c r="P7192" s="2">
        <v>0.0</v>
      </c>
      <c r="Q7192" s="3">
        <f t="shared" si="7"/>
        <v>0</v>
      </c>
      <c r="R7192" s="2">
        <v>11.0</v>
      </c>
      <c r="S7192" s="5">
        <f t="shared" si="8"/>
        <v>1</v>
      </c>
    </row>
    <row r="7193">
      <c r="A7193" s="2" t="s">
        <v>7190</v>
      </c>
      <c r="B7193" s="2">
        <v>1401.0</v>
      </c>
      <c r="C7193" s="2">
        <v>16665.0</v>
      </c>
      <c r="D7193" s="2">
        <v>5973.0</v>
      </c>
      <c r="E7193" s="3">
        <f t="shared" si="1"/>
        <v>0.3913128931</v>
      </c>
      <c r="F7193" s="2">
        <v>1656.0</v>
      </c>
      <c r="G7193" s="3">
        <f t="shared" si="2"/>
        <v>0.108490566</v>
      </c>
      <c r="H7193" s="2">
        <v>3010.0</v>
      </c>
      <c r="I7193" s="3">
        <f t="shared" si="3"/>
        <v>0.1971960168</v>
      </c>
      <c r="J7193" s="2">
        <v>2547.0</v>
      </c>
      <c r="K7193" s="3">
        <f t="shared" si="4"/>
        <v>0.1668632075</v>
      </c>
      <c r="L7193" s="2">
        <v>1753.0</v>
      </c>
      <c r="M7193" s="3">
        <f t="shared" si="5"/>
        <v>0.5823920266</v>
      </c>
      <c r="N7193" s="2">
        <v>1.67416E7</v>
      </c>
      <c r="O7193" s="4">
        <f t="shared" si="6"/>
        <v>5561.993355</v>
      </c>
      <c r="P7193" s="2">
        <v>2.0</v>
      </c>
      <c r="Q7193" s="3">
        <f t="shared" si="7"/>
        <v>0.001427551749</v>
      </c>
      <c r="R7193" s="2">
        <v>1401.0</v>
      </c>
      <c r="S7193" s="5">
        <f t="shared" si="8"/>
        <v>1</v>
      </c>
    </row>
    <row r="7194">
      <c r="A7194" s="2" t="s">
        <v>7191</v>
      </c>
      <c r="B7194" s="2">
        <v>143.0</v>
      </c>
      <c r="C7194" s="2">
        <v>1664.0</v>
      </c>
      <c r="D7194" s="2">
        <v>553.0</v>
      </c>
      <c r="E7194" s="3">
        <f t="shared" si="1"/>
        <v>0.3635765943</v>
      </c>
      <c r="F7194" s="2">
        <v>165.0</v>
      </c>
      <c r="G7194" s="3">
        <f t="shared" si="2"/>
        <v>0.1084812623</v>
      </c>
      <c r="H7194" s="2">
        <v>306.0</v>
      </c>
      <c r="I7194" s="3">
        <f t="shared" si="3"/>
        <v>0.201183432</v>
      </c>
      <c r="J7194" s="2">
        <v>227.0</v>
      </c>
      <c r="K7194" s="3">
        <f t="shared" si="4"/>
        <v>0.1492439185</v>
      </c>
      <c r="L7194" s="2">
        <v>179.0</v>
      </c>
      <c r="M7194" s="3">
        <f t="shared" si="5"/>
        <v>0.5849673203</v>
      </c>
      <c r="N7194" s="2">
        <v>1703900.0</v>
      </c>
      <c r="O7194" s="4">
        <f t="shared" si="6"/>
        <v>5568.300654</v>
      </c>
      <c r="P7194" s="2">
        <v>0.0</v>
      </c>
      <c r="Q7194" s="3">
        <f t="shared" si="7"/>
        <v>0</v>
      </c>
      <c r="R7194" s="2">
        <v>79.0</v>
      </c>
      <c r="S7194" s="5">
        <f t="shared" si="8"/>
        <v>0.5524475524</v>
      </c>
    </row>
    <row r="7195">
      <c r="A7195" s="2" t="s">
        <v>7192</v>
      </c>
      <c r="B7195" s="2">
        <v>1429.0</v>
      </c>
      <c r="C7195" s="2">
        <v>16566.0</v>
      </c>
      <c r="D7195" s="2">
        <v>4665.0</v>
      </c>
      <c r="E7195" s="3">
        <f t="shared" si="1"/>
        <v>0.3081852415</v>
      </c>
      <c r="F7195" s="2">
        <v>1642.0</v>
      </c>
      <c r="G7195" s="3">
        <f t="shared" si="2"/>
        <v>0.1084759199</v>
      </c>
      <c r="H7195" s="2">
        <v>3049.0</v>
      </c>
      <c r="I7195" s="3">
        <f t="shared" si="3"/>
        <v>0.201426967</v>
      </c>
      <c r="J7195" s="2">
        <v>2763.0</v>
      </c>
      <c r="K7195" s="3">
        <f t="shared" si="4"/>
        <v>0.1825328665</v>
      </c>
      <c r="L7195" s="2">
        <v>1812.0</v>
      </c>
      <c r="M7195" s="3">
        <f t="shared" si="5"/>
        <v>0.5942932109</v>
      </c>
      <c r="N7195" s="2">
        <v>1.87685E7</v>
      </c>
      <c r="O7195" s="4">
        <f t="shared" si="6"/>
        <v>6155.624795</v>
      </c>
      <c r="P7195" s="2">
        <v>2.0</v>
      </c>
      <c r="Q7195" s="3">
        <f t="shared" si="7"/>
        <v>0.001399580126</v>
      </c>
      <c r="R7195" s="2">
        <v>1429.0</v>
      </c>
      <c r="S7195" s="5">
        <f t="shared" si="8"/>
        <v>1</v>
      </c>
    </row>
    <row r="7196">
      <c r="A7196" s="2" t="s">
        <v>7193</v>
      </c>
      <c r="B7196" s="2">
        <v>245.0</v>
      </c>
      <c r="C7196" s="2">
        <v>2808.0</v>
      </c>
      <c r="D7196" s="2">
        <v>918.0</v>
      </c>
      <c r="E7196" s="3">
        <f t="shared" si="1"/>
        <v>0.3581740148</v>
      </c>
      <c r="F7196" s="2">
        <v>278.0</v>
      </c>
      <c r="G7196" s="3">
        <f t="shared" si="2"/>
        <v>0.1084666407</v>
      </c>
      <c r="H7196" s="2">
        <v>501.0</v>
      </c>
      <c r="I7196" s="3">
        <f t="shared" si="3"/>
        <v>0.1954740538</v>
      </c>
      <c r="J7196" s="2">
        <v>421.0</v>
      </c>
      <c r="K7196" s="3">
        <f t="shared" si="4"/>
        <v>0.1642606321</v>
      </c>
      <c r="L7196" s="2">
        <v>294.0</v>
      </c>
      <c r="M7196" s="3">
        <f t="shared" si="5"/>
        <v>0.5868263473</v>
      </c>
      <c r="N7196" s="2">
        <v>2873000.0</v>
      </c>
      <c r="O7196" s="4">
        <f t="shared" si="6"/>
        <v>5734.530938</v>
      </c>
      <c r="P7196" s="2">
        <v>0.0</v>
      </c>
      <c r="Q7196" s="3">
        <f t="shared" si="7"/>
        <v>0</v>
      </c>
      <c r="R7196" s="2">
        <v>245.0</v>
      </c>
      <c r="S7196" s="5">
        <f t="shared" si="8"/>
        <v>1</v>
      </c>
    </row>
    <row r="7197">
      <c r="A7197" s="2" t="s">
        <v>7194</v>
      </c>
      <c r="B7197" s="2">
        <v>73.0</v>
      </c>
      <c r="C7197" s="2">
        <v>820.0</v>
      </c>
      <c r="D7197" s="2">
        <v>261.0</v>
      </c>
      <c r="E7197" s="3">
        <f t="shared" si="1"/>
        <v>0.3493975904</v>
      </c>
      <c r="F7197" s="2">
        <v>81.0</v>
      </c>
      <c r="G7197" s="3">
        <f t="shared" si="2"/>
        <v>0.1084337349</v>
      </c>
      <c r="H7197" s="2">
        <v>164.0</v>
      </c>
      <c r="I7197" s="3">
        <f t="shared" si="3"/>
        <v>0.2195448461</v>
      </c>
      <c r="J7197" s="2">
        <v>154.0</v>
      </c>
      <c r="K7197" s="3">
        <f t="shared" si="4"/>
        <v>0.2061579652</v>
      </c>
      <c r="L7197" s="2">
        <v>96.0</v>
      </c>
      <c r="M7197" s="3">
        <f t="shared" si="5"/>
        <v>0.5853658537</v>
      </c>
      <c r="N7197" s="2">
        <v>914800.0</v>
      </c>
      <c r="O7197" s="4">
        <f t="shared" si="6"/>
        <v>5578.04878</v>
      </c>
      <c r="P7197" s="2">
        <v>0.0</v>
      </c>
      <c r="Q7197" s="3">
        <f t="shared" si="7"/>
        <v>0</v>
      </c>
      <c r="R7197" s="2">
        <v>73.0</v>
      </c>
      <c r="S7197" s="5">
        <f t="shared" si="8"/>
        <v>1</v>
      </c>
    </row>
    <row r="7198">
      <c r="A7198" s="2" t="s">
        <v>7195</v>
      </c>
      <c r="B7198" s="2">
        <v>197.0</v>
      </c>
      <c r="C7198" s="2">
        <v>2355.0</v>
      </c>
      <c r="D7198" s="2">
        <v>720.0</v>
      </c>
      <c r="E7198" s="3">
        <f t="shared" si="1"/>
        <v>0.3336422614</v>
      </c>
      <c r="F7198" s="2">
        <v>234.0</v>
      </c>
      <c r="G7198" s="3">
        <f t="shared" si="2"/>
        <v>0.1084337349</v>
      </c>
      <c r="H7198" s="2">
        <v>396.0</v>
      </c>
      <c r="I7198" s="3">
        <f t="shared" si="3"/>
        <v>0.1835032437</v>
      </c>
      <c r="J7198" s="2">
        <v>384.0</v>
      </c>
      <c r="K7198" s="3">
        <f t="shared" si="4"/>
        <v>0.1779425394</v>
      </c>
      <c r="L7198" s="2">
        <v>238.0</v>
      </c>
      <c r="M7198" s="3">
        <f t="shared" si="5"/>
        <v>0.601010101</v>
      </c>
      <c r="N7198" s="2">
        <v>2386800.0</v>
      </c>
      <c r="O7198" s="4">
        <f t="shared" si="6"/>
        <v>6027.272727</v>
      </c>
      <c r="P7198" s="2">
        <v>1.0</v>
      </c>
      <c r="Q7198" s="3">
        <f t="shared" si="7"/>
        <v>0.005076142132</v>
      </c>
      <c r="R7198" s="2">
        <v>197.0</v>
      </c>
      <c r="S7198" s="5">
        <f t="shared" si="8"/>
        <v>1</v>
      </c>
    </row>
    <row r="7199">
      <c r="A7199" s="2" t="s">
        <v>7196</v>
      </c>
      <c r="B7199" s="2">
        <v>2592.0</v>
      </c>
      <c r="C7199" s="2">
        <v>30370.0</v>
      </c>
      <c r="D7199" s="2">
        <v>9118.0</v>
      </c>
      <c r="E7199" s="3">
        <f t="shared" si="1"/>
        <v>0.328245374</v>
      </c>
      <c r="F7199" s="2">
        <v>3012.0</v>
      </c>
      <c r="G7199" s="3">
        <f t="shared" si="2"/>
        <v>0.1084311326</v>
      </c>
      <c r="H7199" s="2">
        <v>5528.0</v>
      </c>
      <c r="I7199" s="3">
        <f t="shared" si="3"/>
        <v>0.1990064079</v>
      </c>
      <c r="J7199" s="2">
        <v>4447.0</v>
      </c>
      <c r="K7199" s="3">
        <f t="shared" si="4"/>
        <v>0.1600907193</v>
      </c>
      <c r="L7199" s="2">
        <v>3301.0</v>
      </c>
      <c r="M7199" s="3">
        <f t="shared" si="5"/>
        <v>0.5971418234</v>
      </c>
      <c r="N7199" s="2">
        <v>3.14407E7</v>
      </c>
      <c r="O7199" s="4">
        <f t="shared" si="6"/>
        <v>5687.536179</v>
      </c>
      <c r="P7199" s="2">
        <v>3.0</v>
      </c>
      <c r="Q7199" s="3">
        <f t="shared" si="7"/>
        <v>0.001157407407</v>
      </c>
      <c r="R7199" s="2">
        <v>2566.0</v>
      </c>
      <c r="S7199" s="5">
        <f t="shared" si="8"/>
        <v>0.9899691358</v>
      </c>
    </row>
    <row r="7200">
      <c r="A7200" s="2" t="s">
        <v>7197</v>
      </c>
      <c r="B7200" s="2">
        <v>119.0</v>
      </c>
      <c r="C7200" s="2">
        <v>1401.0</v>
      </c>
      <c r="D7200" s="2">
        <v>420.0</v>
      </c>
      <c r="E7200" s="3">
        <f t="shared" si="1"/>
        <v>0.3276131045</v>
      </c>
      <c r="F7200" s="2">
        <v>139.0</v>
      </c>
      <c r="G7200" s="3">
        <f t="shared" si="2"/>
        <v>0.108424337</v>
      </c>
      <c r="H7200" s="2">
        <v>230.0</v>
      </c>
      <c r="I7200" s="3">
        <f t="shared" si="3"/>
        <v>0.1794071763</v>
      </c>
      <c r="J7200" s="2">
        <v>204.0</v>
      </c>
      <c r="K7200" s="3">
        <f t="shared" si="4"/>
        <v>0.1591263651</v>
      </c>
      <c r="L7200" s="2">
        <v>143.0</v>
      </c>
      <c r="M7200" s="3">
        <f t="shared" si="5"/>
        <v>0.6217391304</v>
      </c>
      <c r="N7200" s="2">
        <v>1343900.0</v>
      </c>
      <c r="O7200" s="4">
        <f t="shared" si="6"/>
        <v>5843.043478</v>
      </c>
      <c r="P7200" s="2">
        <v>0.0</v>
      </c>
      <c r="Q7200" s="3">
        <f t="shared" si="7"/>
        <v>0</v>
      </c>
      <c r="R7200" s="2">
        <v>119.0</v>
      </c>
      <c r="S7200" s="5">
        <f t="shared" si="8"/>
        <v>1</v>
      </c>
    </row>
    <row r="7201">
      <c r="A7201" s="2" t="s">
        <v>7198</v>
      </c>
      <c r="B7201" s="2">
        <v>363.0</v>
      </c>
      <c r="C7201" s="2">
        <v>4357.0</v>
      </c>
      <c r="D7201" s="2">
        <v>1292.0</v>
      </c>
      <c r="E7201" s="3">
        <f t="shared" si="1"/>
        <v>0.3234852278</v>
      </c>
      <c r="F7201" s="2">
        <v>433.0</v>
      </c>
      <c r="G7201" s="3">
        <f t="shared" si="2"/>
        <v>0.1084126189</v>
      </c>
      <c r="H7201" s="2">
        <v>732.0</v>
      </c>
      <c r="I7201" s="3">
        <f t="shared" si="3"/>
        <v>0.1832749124</v>
      </c>
      <c r="J7201" s="2">
        <v>553.0</v>
      </c>
      <c r="K7201" s="3">
        <f t="shared" si="4"/>
        <v>0.1384576865</v>
      </c>
      <c r="L7201" s="2">
        <v>441.0</v>
      </c>
      <c r="M7201" s="3">
        <f t="shared" si="5"/>
        <v>0.6024590164</v>
      </c>
      <c r="N7201" s="2">
        <v>4344300.0</v>
      </c>
      <c r="O7201" s="4">
        <f t="shared" si="6"/>
        <v>5934.836066</v>
      </c>
      <c r="P7201" s="2">
        <v>2.0</v>
      </c>
      <c r="Q7201" s="3">
        <f t="shared" si="7"/>
        <v>0.005509641873</v>
      </c>
      <c r="R7201" s="2">
        <v>363.0</v>
      </c>
      <c r="S7201" s="5">
        <f t="shared" si="8"/>
        <v>1</v>
      </c>
    </row>
    <row r="7202">
      <c r="A7202" s="2" t="s">
        <v>7199</v>
      </c>
      <c r="B7202" s="2">
        <v>330.0</v>
      </c>
      <c r="C7202" s="2">
        <v>3946.0</v>
      </c>
      <c r="D7202" s="2">
        <v>1372.0</v>
      </c>
      <c r="E7202" s="3">
        <f t="shared" si="1"/>
        <v>0.3794247788</v>
      </c>
      <c r="F7202" s="2">
        <v>392.0</v>
      </c>
      <c r="G7202" s="3">
        <f t="shared" si="2"/>
        <v>0.1084070796</v>
      </c>
      <c r="H7202" s="2">
        <v>725.0</v>
      </c>
      <c r="I7202" s="3">
        <f t="shared" si="3"/>
        <v>0.2004977876</v>
      </c>
      <c r="J7202" s="2">
        <v>561.0</v>
      </c>
      <c r="K7202" s="3">
        <f t="shared" si="4"/>
        <v>0.1551438053</v>
      </c>
      <c r="L7202" s="2">
        <v>421.0</v>
      </c>
      <c r="M7202" s="3">
        <f t="shared" si="5"/>
        <v>0.5806896552</v>
      </c>
      <c r="N7202" s="2">
        <v>3787700.0</v>
      </c>
      <c r="O7202" s="4">
        <f t="shared" si="6"/>
        <v>5224.413793</v>
      </c>
      <c r="P7202" s="2">
        <v>1.0</v>
      </c>
      <c r="Q7202" s="3">
        <f t="shared" si="7"/>
        <v>0.00303030303</v>
      </c>
      <c r="R7202" s="2">
        <v>330.0</v>
      </c>
      <c r="S7202" s="5">
        <f t="shared" si="8"/>
        <v>1</v>
      </c>
    </row>
    <row r="7203">
      <c r="A7203" s="2" t="s">
        <v>7200</v>
      </c>
      <c r="B7203" s="2">
        <v>71.0</v>
      </c>
      <c r="C7203" s="2">
        <v>837.0</v>
      </c>
      <c r="D7203" s="2">
        <v>207.0</v>
      </c>
      <c r="E7203" s="3">
        <f t="shared" si="1"/>
        <v>0.2702349869</v>
      </c>
      <c r="F7203" s="2">
        <v>83.0</v>
      </c>
      <c r="G7203" s="3">
        <f t="shared" si="2"/>
        <v>0.1083550914</v>
      </c>
      <c r="H7203" s="2">
        <v>159.0</v>
      </c>
      <c r="I7203" s="3">
        <f t="shared" si="3"/>
        <v>0.2075718016</v>
      </c>
      <c r="J7203" s="2">
        <v>179.0</v>
      </c>
      <c r="K7203" s="3">
        <f t="shared" si="4"/>
        <v>0.2336814621</v>
      </c>
      <c r="L7203" s="2">
        <v>97.0</v>
      </c>
      <c r="M7203" s="3">
        <f t="shared" si="5"/>
        <v>0.6100628931</v>
      </c>
      <c r="N7203" s="2">
        <v>1009800.0</v>
      </c>
      <c r="O7203" s="4">
        <f t="shared" si="6"/>
        <v>6350.943396</v>
      </c>
      <c r="P7203" s="2">
        <v>0.0</v>
      </c>
      <c r="Q7203" s="3">
        <f t="shared" si="7"/>
        <v>0</v>
      </c>
      <c r="R7203" s="2">
        <v>3.0</v>
      </c>
      <c r="S7203" s="5">
        <f t="shared" si="8"/>
        <v>0.04225352113</v>
      </c>
    </row>
    <row r="7204">
      <c r="A7204" s="2" t="s">
        <v>7201</v>
      </c>
      <c r="B7204" s="2">
        <v>2404.0</v>
      </c>
      <c r="C7204" s="2">
        <v>28394.0</v>
      </c>
      <c r="D7204" s="2">
        <v>8407.0</v>
      </c>
      <c r="E7204" s="3">
        <f t="shared" si="1"/>
        <v>0.3234705656</v>
      </c>
      <c r="F7204" s="2">
        <v>2816.0</v>
      </c>
      <c r="G7204" s="3">
        <f t="shared" si="2"/>
        <v>0.1083493651</v>
      </c>
      <c r="H7204" s="2">
        <v>5195.0</v>
      </c>
      <c r="I7204" s="3">
        <f t="shared" si="3"/>
        <v>0.199884571</v>
      </c>
      <c r="J7204" s="2">
        <v>4074.0</v>
      </c>
      <c r="K7204" s="3">
        <f t="shared" si="4"/>
        <v>0.1567525972</v>
      </c>
      <c r="L7204" s="2">
        <v>3079.0</v>
      </c>
      <c r="M7204" s="3">
        <f t="shared" si="5"/>
        <v>0.5926852743</v>
      </c>
      <c r="N7204" s="2">
        <v>2.82802E7</v>
      </c>
      <c r="O7204" s="4">
        <f t="shared" si="6"/>
        <v>5443.73436</v>
      </c>
      <c r="P7204" s="2">
        <v>1.0</v>
      </c>
      <c r="Q7204" s="3">
        <f t="shared" si="7"/>
        <v>0.0004159733777</v>
      </c>
      <c r="R7204" s="2">
        <v>39.0</v>
      </c>
      <c r="S7204" s="5">
        <f t="shared" si="8"/>
        <v>0.01622296173</v>
      </c>
    </row>
    <row r="7205">
      <c r="A7205" s="2" t="s">
        <v>7202</v>
      </c>
      <c r="B7205" s="2">
        <v>13.0</v>
      </c>
      <c r="C7205" s="2">
        <v>133.0</v>
      </c>
      <c r="D7205" s="2">
        <v>42.0</v>
      </c>
      <c r="E7205" s="3">
        <f t="shared" si="1"/>
        <v>0.35</v>
      </c>
      <c r="F7205" s="2">
        <v>13.0</v>
      </c>
      <c r="G7205" s="3">
        <f t="shared" si="2"/>
        <v>0.1083333333</v>
      </c>
      <c r="H7205" s="2">
        <v>33.0</v>
      </c>
      <c r="I7205" s="3">
        <f t="shared" si="3"/>
        <v>0.275</v>
      </c>
      <c r="J7205" s="2">
        <v>15.0</v>
      </c>
      <c r="K7205" s="3">
        <f t="shared" si="4"/>
        <v>0.125</v>
      </c>
      <c r="L7205" s="2">
        <v>18.0</v>
      </c>
      <c r="M7205" s="3">
        <f t="shared" si="5"/>
        <v>0.5454545455</v>
      </c>
      <c r="N7205" s="2">
        <v>214700.0</v>
      </c>
      <c r="O7205" s="4">
        <f t="shared" si="6"/>
        <v>6506.060606</v>
      </c>
      <c r="P7205" s="2">
        <v>0.0</v>
      </c>
      <c r="Q7205" s="3">
        <f t="shared" si="7"/>
        <v>0</v>
      </c>
      <c r="R7205" s="2">
        <v>0.0</v>
      </c>
      <c r="S7205" s="5">
        <f t="shared" si="8"/>
        <v>0</v>
      </c>
    </row>
    <row r="7206">
      <c r="A7206" s="2" t="s">
        <v>7203</v>
      </c>
      <c r="B7206" s="2">
        <v>3671.0</v>
      </c>
      <c r="C7206" s="2">
        <v>43384.0</v>
      </c>
      <c r="D7206" s="2">
        <v>13602.0</v>
      </c>
      <c r="E7206" s="3">
        <f t="shared" si="1"/>
        <v>0.3425074912</v>
      </c>
      <c r="F7206" s="2">
        <v>4301.0</v>
      </c>
      <c r="G7206" s="3">
        <f t="shared" si="2"/>
        <v>0.1083020673</v>
      </c>
      <c r="H7206" s="2">
        <v>7958.0</v>
      </c>
      <c r="I7206" s="3">
        <f t="shared" si="3"/>
        <v>0.2003877823</v>
      </c>
      <c r="J7206" s="2">
        <v>5907.0</v>
      </c>
      <c r="K7206" s="3">
        <f t="shared" si="4"/>
        <v>0.1487422255</v>
      </c>
      <c r="L7206" s="2">
        <v>4749.0</v>
      </c>
      <c r="M7206" s="3">
        <f t="shared" si="5"/>
        <v>0.5967579794</v>
      </c>
      <c r="N7206" s="2">
        <v>4.48204E7</v>
      </c>
      <c r="O7206" s="4">
        <f t="shared" si="6"/>
        <v>5632.118623</v>
      </c>
      <c r="P7206" s="2">
        <v>3.0</v>
      </c>
      <c r="Q7206" s="3">
        <f t="shared" si="7"/>
        <v>0.0008172160174</v>
      </c>
      <c r="R7206" s="2">
        <v>3671.0</v>
      </c>
      <c r="S7206" s="5">
        <f t="shared" si="8"/>
        <v>1</v>
      </c>
    </row>
    <row r="7207">
      <c r="A7207" s="2" t="s">
        <v>7204</v>
      </c>
      <c r="B7207" s="2">
        <v>58.0</v>
      </c>
      <c r="C7207" s="2">
        <v>686.0</v>
      </c>
      <c r="D7207" s="2">
        <v>226.0</v>
      </c>
      <c r="E7207" s="3">
        <f t="shared" si="1"/>
        <v>0.3598726115</v>
      </c>
      <c r="F7207" s="2">
        <v>68.0</v>
      </c>
      <c r="G7207" s="3">
        <f t="shared" si="2"/>
        <v>0.1082802548</v>
      </c>
      <c r="H7207" s="2">
        <v>136.0</v>
      </c>
      <c r="I7207" s="3">
        <f t="shared" si="3"/>
        <v>0.2165605096</v>
      </c>
      <c r="J7207" s="2">
        <v>84.0</v>
      </c>
      <c r="K7207" s="3">
        <f t="shared" si="4"/>
        <v>0.1337579618</v>
      </c>
      <c r="L7207" s="2">
        <v>88.0</v>
      </c>
      <c r="M7207" s="3">
        <f t="shared" si="5"/>
        <v>0.6470588235</v>
      </c>
      <c r="N7207" s="2">
        <v>652100.0</v>
      </c>
      <c r="O7207" s="4">
        <f t="shared" si="6"/>
        <v>4794.852941</v>
      </c>
      <c r="P7207" s="2">
        <v>0.0</v>
      </c>
      <c r="Q7207" s="3">
        <f t="shared" si="7"/>
        <v>0</v>
      </c>
      <c r="R7207" s="2">
        <v>58.0</v>
      </c>
      <c r="S7207" s="5">
        <f t="shared" si="8"/>
        <v>1</v>
      </c>
    </row>
    <row r="7208">
      <c r="A7208" s="2" t="s">
        <v>7205</v>
      </c>
      <c r="B7208" s="2">
        <v>22.0</v>
      </c>
      <c r="C7208" s="2">
        <v>253.0</v>
      </c>
      <c r="D7208" s="2">
        <v>54.0</v>
      </c>
      <c r="E7208" s="3">
        <f t="shared" si="1"/>
        <v>0.2337662338</v>
      </c>
      <c r="F7208" s="2">
        <v>25.0</v>
      </c>
      <c r="G7208" s="3">
        <f t="shared" si="2"/>
        <v>0.1082251082</v>
      </c>
      <c r="H7208" s="2">
        <v>36.0</v>
      </c>
      <c r="I7208" s="3">
        <f t="shared" si="3"/>
        <v>0.1558441558</v>
      </c>
      <c r="J7208" s="2">
        <v>42.0</v>
      </c>
      <c r="K7208" s="3">
        <f t="shared" si="4"/>
        <v>0.1818181818</v>
      </c>
      <c r="L7208" s="2">
        <v>21.0</v>
      </c>
      <c r="M7208" s="3">
        <f t="shared" si="5"/>
        <v>0.5833333333</v>
      </c>
      <c r="N7208" s="2">
        <v>203200.0</v>
      </c>
      <c r="O7208" s="4">
        <f t="shared" si="6"/>
        <v>5644.444444</v>
      </c>
      <c r="P7208" s="2">
        <v>0.0</v>
      </c>
      <c r="Q7208" s="3">
        <f t="shared" si="7"/>
        <v>0</v>
      </c>
      <c r="R7208" s="2">
        <v>22.0</v>
      </c>
      <c r="S7208" s="5">
        <f t="shared" si="8"/>
        <v>1</v>
      </c>
    </row>
    <row r="7209">
      <c r="A7209" s="2" t="s">
        <v>7206</v>
      </c>
      <c r="B7209" s="2">
        <v>299.0</v>
      </c>
      <c r="C7209" s="2">
        <v>3552.0</v>
      </c>
      <c r="D7209" s="2">
        <v>877.0</v>
      </c>
      <c r="E7209" s="3">
        <f t="shared" si="1"/>
        <v>0.2695972948</v>
      </c>
      <c r="F7209" s="2">
        <v>352.0</v>
      </c>
      <c r="G7209" s="3">
        <f t="shared" si="2"/>
        <v>0.1082078082</v>
      </c>
      <c r="H7209" s="2">
        <v>658.0</v>
      </c>
      <c r="I7209" s="3">
        <f t="shared" si="3"/>
        <v>0.2022748232</v>
      </c>
      <c r="J7209" s="2">
        <v>496.0</v>
      </c>
      <c r="K7209" s="3">
        <f t="shared" si="4"/>
        <v>0.1524746388</v>
      </c>
      <c r="L7209" s="2">
        <v>406.0</v>
      </c>
      <c r="M7209" s="3">
        <f t="shared" si="5"/>
        <v>0.6170212766</v>
      </c>
      <c r="N7209" s="2">
        <v>3684300.0</v>
      </c>
      <c r="O7209" s="4">
        <f t="shared" si="6"/>
        <v>5599.240122</v>
      </c>
      <c r="P7209" s="2">
        <v>1.0</v>
      </c>
      <c r="Q7209" s="3">
        <f t="shared" si="7"/>
        <v>0.003344481605</v>
      </c>
      <c r="R7209" s="2">
        <v>299.0</v>
      </c>
      <c r="S7209" s="5">
        <f t="shared" si="8"/>
        <v>1</v>
      </c>
    </row>
    <row r="7210">
      <c r="A7210" s="2" t="s">
        <v>7207</v>
      </c>
      <c r="B7210" s="2">
        <v>179.0</v>
      </c>
      <c r="C7210" s="2">
        <v>2129.0</v>
      </c>
      <c r="D7210" s="2">
        <v>680.0</v>
      </c>
      <c r="E7210" s="3">
        <f t="shared" si="1"/>
        <v>0.3487179487</v>
      </c>
      <c r="F7210" s="2">
        <v>211.0</v>
      </c>
      <c r="G7210" s="3">
        <f t="shared" si="2"/>
        <v>0.1082051282</v>
      </c>
      <c r="H7210" s="2">
        <v>385.0</v>
      </c>
      <c r="I7210" s="3">
        <f t="shared" si="3"/>
        <v>0.1974358974</v>
      </c>
      <c r="J7210" s="2">
        <v>332.0</v>
      </c>
      <c r="K7210" s="3">
        <f t="shared" si="4"/>
        <v>0.1702564103</v>
      </c>
      <c r="L7210" s="2">
        <v>212.0</v>
      </c>
      <c r="M7210" s="3">
        <f t="shared" si="5"/>
        <v>0.5506493506</v>
      </c>
      <c r="N7210" s="2">
        <v>2173000.0</v>
      </c>
      <c r="O7210" s="4">
        <f t="shared" si="6"/>
        <v>5644.155844</v>
      </c>
      <c r="P7210" s="2">
        <v>0.0</v>
      </c>
      <c r="Q7210" s="3">
        <f t="shared" si="7"/>
        <v>0</v>
      </c>
      <c r="R7210" s="2">
        <v>5.0</v>
      </c>
      <c r="S7210" s="5">
        <f t="shared" si="8"/>
        <v>0.02793296089</v>
      </c>
    </row>
    <row r="7211">
      <c r="A7211" s="2" t="s">
        <v>7208</v>
      </c>
      <c r="B7211" s="2">
        <v>137.0</v>
      </c>
      <c r="C7211" s="2">
        <v>1588.0</v>
      </c>
      <c r="D7211" s="2">
        <v>440.0</v>
      </c>
      <c r="E7211" s="3">
        <f t="shared" si="1"/>
        <v>0.3032391454</v>
      </c>
      <c r="F7211" s="2">
        <v>157.0</v>
      </c>
      <c r="G7211" s="3">
        <f t="shared" si="2"/>
        <v>0.1082012405</v>
      </c>
      <c r="H7211" s="2">
        <v>274.0</v>
      </c>
      <c r="I7211" s="3">
        <f t="shared" si="3"/>
        <v>0.188835286</v>
      </c>
      <c r="J7211" s="2">
        <v>218.0</v>
      </c>
      <c r="K7211" s="3">
        <f t="shared" si="4"/>
        <v>0.150241213</v>
      </c>
      <c r="L7211" s="2">
        <v>164.0</v>
      </c>
      <c r="M7211" s="3">
        <f t="shared" si="5"/>
        <v>0.598540146</v>
      </c>
      <c r="N7211" s="2">
        <v>1657100.0</v>
      </c>
      <c r="O7211" s="4">
        <f t="shared" si="6"/>
        <v>6047.810219</v>
      </c>
      <c r="P7211" s="2">
        <v>1.0</v>
      </c>
      <c r="Q7211" s="3">
        <f t="shared" si="7"/>
        <v>0.007299270073</v>
      </c>
      <c r="R7211" s="2">
        <v>137.0</v>
      </c>
      <c r="S7211" s="5">
        <f t="shared" si="8"/>
        <v>1</v>
      </c>
    </row>
    <row r="7212">
      <c r="A7212" s="2" t="s">
        <v>7209</v>
      </c>
      <c r="B7212" s="2">
        <v>1841.0</v>
      </c>
      <c r="C7212" s="2">
        <v>21638.0</v>
      </c>
      <c r="D7212" s="2">
        <v>5671.0</v>
      </c>
      <c r="E7212" s="3">
        <f t="shared" si="1"/>
        <v>0.2864575441</v>
      </c>
      <c r="F7212" s="2">
        <v>2142.0</v>
      </c>
      <c r="G7212" s="3">
        <f t="shared" si="2"/>
        <v>0.1081982119</v>
      </c>
      <c r="H7212" s="2">
        <v>3610.0</v>
      </c>
      <c r="I7212" s="3">
        <f t="shared" si="3"/>
        <v>0.1823508612</v>
      </c>
      <c r="J7212" s="2">
        <v>2859.0</v>
      </c>
      <c r="K7212" s="3">
        <f t="shared" si="4"/>
        <v>0.1444158206</v>
      </c>
      <c r="L7212" s="2">
        <v>2143.0</v>
      </c>
      <c r="M7212" s="3">
        <f t="shared" si="5"/>
        <v>0.5936288089</v>
      </c>
      <c r="N7212" s="2">
        <v>2.18883E7</v>
      </c>
      <c r="O7212" s="4">
        <f t="shared" si="6"/>
        <v>6063.240997</v>
      </c>
      <c r="P7212" s="2">
        <v>10.0</v>
      </c>
      <c r="Q7212" s="3">
        <f t="shared" si="7"/>
        <v>0.005431830527</v>
      </c>
      <c r="R7212" s="2">
        <v>1841.0</v>
      </c>
      <c r="S7212" s="5">
        <f t="shared" si="8"/>
        <v>1</v>
      </c>
    </row>
    <row r="7213">
      <c r="A7213" s="2" t="s">
        <v>7210</v>
      </c>
      <c r="B7213" s="2">
        <v>7130.0</v>
      </c>
      <c r="C7213" s="2">
        <v>84442.0</v>
      </c>
      <c r="D7213" s="2">
        <v>24449.0</v>
      </c>
      <c r="E7213" s="3">
        <f t="shared" si="1"/>
        <v>0.3162381002</v>
      </c>
      <c r="F7213" s="2">
        <v>8365.0</v>
      </c>
      <c r="G7213" s="3">
        <f t="shared" si="2"/>
        <v>0.1081979512</v>
      </c>
      <c r="H7213" s="2">
        <v>15878.0</v>
      </c>
      <c r="I7213" s="3">
        <f t="shared" si="3"/>
        <v>0.2053756209</v>
      </c>
      <c r="J7213" s="2">
        <v>12085.0</v>
      </c>
      <c r="K7213" s="3">
        <f t="shared" si="4"/>
        <v>0.156314673</v>
      </c>
      <c r="L7213" s="2">
        <v>9471.0</v>
      </c>
      <c r="M7213" s="3">
        <f t="shared" si="5"/>
        <v>0.5964857035</v>
      </c>
      <c r="N7213" s="2">
        <v>8.77427E7</v>
      </c>
      <c r="O7213" s="4">
        <f t="shared" si="6"/>
        <v>5526.054919</v>
      </c>
      <c r="P7213" s="2">
        <v>11.0</v>
      </c>
      <c r="Q7213" s="3">
        <f t="shared" si="7"/>
        <v>0.001542776999</v>
      </c>
      <c r="R7213" s="2">
        <v>7130.0</v>
      </c>
      <c r="S7213" s="5">
        <f t="shared" si="8"/>
        <v>1</v>
      </c>
    </row>
    <row r="7214">
      <c r="A7214" s="2" t="s">
        <v>7211</v>
      </c>
      <c r="B7214" s="2">
        <v>1131.0</v>
      </c>
      <c r="C7214" s="2">
        <v>13322.0</v>
      </c>
      <c r="D7214" s="2">
        <v>3924.0</v>
      </c>
      <c r="E7214" s="3">
        <f t="shared" si="1"/>
        <v>0.3218767944</v>
      </c>
      <c r="F7214" s="2">
        <v>1319.0</v>
      </c>
      <c r="G7214" s="3">
        <f t="shared" si="2"/>
        <v>0.1081945698</v>
      </c>
      <c r="H7214" s="2">
        <v>2489.0</v>
      </c>
      <c r="I7214" s="3">
        <f t="shared" si="3"/>
        <v>0.2041670084</v>
      </c>
      <c r="J7214" s="2">
        <v>1796.0</v>
      </c>
      <c r="K7214" s="3">
        <f t="shared" si="4"/>
        <v>0.1473217948</v>
      </c>
      <c r="L7214" s="2">
        <v>1477.0</v>
      </c>
      <c r="M7214" s="3">
        <f t="shared" si="5"/>
        <v>0.5934110084</v>
      </c>
      <c r="N7214" s="2">
        <v>1.38358E7</v>
      </c>
      <c r="O7214" s="4">
        <f t="shared" si="6"/>
        <v>5558.778626</v>
      </c>
      <c r="P7214" s="2">
        <v>3.0</v>
      </c>
      <c r="Q7214" s="3">
        <f t="shared" si="7"/>
        <v>0.002652519894</v>
      </c>
      <c r="R7214" s="2">
        <v>1131.0</v>
      </c>
      <c r="S7214" s="5">
        <f t="shared" si="8"/>
        <v>1</v>
      </c>
    </row>
    <row r="7215">
      <c r="A7215" s="2" t="s">
        <v>7212</v>
      </c>
      <c r="B7215" s="2">
        <v>4909.0</v>
      </c>
      <c r="C7215" s="2">
        <v>57823.0</v>
      </c>
      <c r="D7215" s="2">
        <v>19767.0</v>
      </c>
      <c r="E7215" s="3">
        <f t="shared" si="1"/>
        <v>0.3735684318</v>
      </c>
      <c r="F7215" s="2">
        <v>5721.0</v>
      </c>
      <c r="G7215" s="3">
        <f t="shared" si="2"/>
        <v>0.1081188343</v>
      </c>
      <c r="H7215" s="2">
        <v>11510.0</v>
      </c>
      <c r="I7215" s="3">
        <f t="shared" si="3"/>
        <v>0.2175227728</v>
      </c>
      <c r="J7215" s="2">
        <v>8904.0</v>
      </c>
      <c r="K7215" s="3">
        <f t="shared" si="4"/>
        <v>0.1682730468</v>
      </c>
      <c r="L7215" s="2">
        <v>6996.0</v>
      </c>
      <c r="M7215" s="3">
        <f t="shared" si="5"/>
        <v>0.6078192876</v>
      </c>
      <c r="N7215" s="2">
        <v>6.15309E7</v>
      </c>
      <c r="O7215" s="4">
        <f t="shared" si="6"/>
        <v>5345.864466</v>
      </c>
      <c r="P7215" s="2">
        <v>5.0</v>
      </c>
      <c r="Q7215" s="3">
        <f t="shared" si="7"/>
        <v>0.00101853738</v>
      </c>
      <c r="R7215" s="2">
        <v>4714.0</v>
      </c>
      <c r="S7215" s="5">
        <f t="shared" si="8"/>
        <v>0.9602770422</v>
      </c>
    </row>
    <row r="7216">
      <c r="A7216" s="2" t="s">
        <v>7213</v>
      </c>
      <c r="B7216" s="2">
        <v>7.0</v>
      </c>
      <c r="C7216" s="2">
        <v>81.0</v>
      </c>
      <c r="D7216" s="2">
        <v>31.0</v>
      </c>
      <c r="E7216" s="3">
        <f t="shared" si="1"/>
        <v>0.4189189189</v>
      </c>
      <c r="F7216" s="2">
        <v>8.0</v>
      </c>
      <c r="G7216" s="3">
        <f t="shared" si="2"/>
        <v>0.1081081081</v>
      </c>
      <c r="H7216" s="2">
        <v>21.0</v>
      </c>
      <c r="I7216" s="3">
        <f t="shared" si="3"/>
        <v>0.2837837838</v>
      </c>
      <c r="J7216" s="2">
        <v>11.0</v>
      </c>
      <c r="K7216" s="3">
        <f t="shared" si="4"/>
        <v>0.1486486486</v>
      </c>
      <c r="L7216" s="2">
        <v>13.0</v>
      </c>
      <c r="M7216" s="3">
        <f t="shared" si="5"/>
        <v>0.619047619</v>
      </c>
      <c r="N7216" s="2">
        <v>102700.0</v>
      </c>
      <c r="O7216" s="4">
        <f t="shared" si="6"/>
        <v>4890.47619</v>
      </c>
      <c r="P7216" s="2">
        <v>0.0</v>
      </c>
      <c r="Q7216" s="3">
        <f t="shared" si="7"/>
        <v>0</v>
      </c>
      <c r="R7216" s="2">
        <v>7.0</v>
      </c>
      <c r="S7216" s="5">
        <f t="shared" si="8"/>
        <v>1</v>
      </c>
    </row>
    <row r="7217">
      <c r="A7217" s="2" t="s">
        <v>7214</v>
      </c>
      <c r="B7217" s="2">
        <v>7.0</v>
      </c>
      <c r="C7217" s="2">
        <v>81.0</v>
      </c>
      <c r="D7217" s="2">
        <v>18.0</v>
      </c>
      <c r="E7217" s="3">
        <f t="shared" si="1"/>
        <v>0.2432432432</v>
      </c>
      <c r="F7217" s="2">
        <v>8.0</v>
      </c>
      <c r="G7217" s="3">
        <f t="shared" si="2"/>
        <v>0.1081081081</v>
      </c>
      <c r="H7217" s="2">
        <v>13.0</v>
      </c>
      <c r="I7217" s="3">
        <f t="shared" si="3"/>
        <v>0.1756756757</v>
      </c>
      <c r="J7217" s="2">
        <v>10.0</v>
      </c>
      <c r="K7217" s="3">
        <f t="shared" si="4"/>
        <v>0.1351351351</v>
      </c>
      <c r="L7217" s="2">
        <v>9.0</v>
      </c>
      <c r="M7217" s="3">
        <f t="shared" si="5"/>
        <v>0.6923076923</v>
      </c>
      <c r="N7217" s="2">
        <v>55400.0</v>
      </c>
      <c r="O7217" s="4">
        <f t="shared" si="6"/>
        <v>4261.538462</v>
      </c>
      <c r="P7217" s="2">
        <v>0.0</v>
      </c>
      <c r="Q7217" s="3">
        <f t="shared" si="7"/>
        <v>0</v>
      </c>
      <c r="R7217" s="2">
        <v>7.0</v>
      </c>
      <c r="S7217" s="5">
        <f t="shared" si="8"/>
        <v>1</v>
      </c>
    </row>
    <row r="7218">
      <c r="A7218" s="2" t="s">
        <v>7215</v>
      </c>
      <c r="B7218" s="2">
        <v>189.0</v>
      </c>
      <c r="C7218" s="2">
        <v>2261.0</v>
      </c>
      <c r="D7218" s="2">
        <v>674.0</v>
      </c>
      <c r="E7218" s="3">
        <f t="shared" si="1"/>
        <v>0.3252895753</v>
      </c>
      <c r="F7218" s="2">
        <v>224.0</v>
      </c>
      <c r="G7218" s="3">
        <f t="shared" si="2"/>
        <v>0.1081081081</v>
      </c>
      <c r="H7218" s="2">
        <v>407.0</v>
      </c>
      <c r="I7218" s="3">
        <f t="shared" si="3"/>
        <v>0.1964285714</v>
      </c>
      <c r="J7218" s="2">
        <v>268.0</v>
      </c>
      <c r="K7218" s="3">
        <f t="shared" si="4"/>
        <v>0.1293436293</v>
      </c>
      <c r="L7218" s="2">
        <v>239.0</v>
      </c>
      <c r="M7218" s="3">
        <f t="shared" si="5"/>
        <v>0.5872235872</v>
      </c>
      <c r="N7218" s="2">
        <v>2250000.0</v>
      </c>
      <c r="O7218" s="4">
        <f t="shared" si="6"/>
        <v>5528.255528</v>
      </c>
      <c r="P7218" s="2">
        <v>1.0</v>
      </c>
      <c r="Q7218" s="3">
        <f t="shared" si="7"/>
        <v>0.005291005291</v>
      </c>
      <c r="R7218" s="2">
        <v>189.0</v>
      </c>
      <c r="S7218" s="5">
        <f t="shared" si="8"/>
        <v>1</v>
      </c>
    </row>
    <row r="7219">
      <c r="A7219" s="2" t="s">
        <v>7216</v>
      </c>
      <c r="B7219" s="2">
        <v>295.0</v>
      </c>
      <c r="C7219" s="2">
        <v>3524.0</v>
      </c>
      <c r="D7219" s="2">
        <v>1117.0</v>
      </c>
      <c r="E7219" s="3">
        <f t="shared" si="1"/>
        <v>0.3459275317</v>
      </c>
      <c r="F7219" s="2">
        <v>349.0</v>
      </c>
      <c r="G7219" s="3">
        <f t="shared" si="2"/>
        <v>0.1080829978</v>
      </c>
      <c r="H7219" s="2">
        <v>675.0</v>
      </c>
      <c r="I7219" s="3">
        <f t="shared" si="3"/>
        <v>0.2090430474</v>
      </c>
      <c r="J7219" s="2">
        <v>498.0</v>
      </c>
      <c r="K7219" s="3">
        <f t="shared" si="4"/>
        <v>0.154227315</v>
      </c>
      <c r="L7219" s="2">
        <v>375.0</v>
      </c>
      <c r="M7219" s="3">
        <f t="shared" si="5"/>
        <v>0.5555555556</v>
      </c>
      <c r="N7219" s="2">
        <v>3819900.0</v>
      </c>
      <c r="O7219" s="4">
        <f t="shared" si="6"/>
        <v>5659.111111</v>
      </c>
      <c r="P7219" s="2">
        <v>1.0</v>
      </c>
      <c r="Q7219" s="3">
        <f t="shared" si="7"/>
        <v>0.003389830508</v>
      </c>
      <c r="R7219" s="2">
        <v>295.0</v>
      </c>
      <c r="S7219" s="5">
        <f t="shared" si="8"/>
        <v>1</v>
      </c>
    </row>
    <row r="7220">
      <c r="A7220" s="2" t="s">
        <v>7217</v>
      </c>
      <c r="B7220" s="2">
        <v>5106.0</v>
      </c>
      <c r="C7220" s="2">
        <v>60373.0</v>
      </c>
      <c r="D7220" s="2">
        <v>17842.0</v>
      </c>
      <c r="E7220" s="3">
        <f t="shared" si="1"/>
        <v>0.3228327935</v>
      </c>
      <c r="F7220" s="2">
        <v>5973.0</v>
      </c>
      <c r="G7220" s="3">
        <f t="shared" si="2"/>
        <v>0.1080753433</v>
      </c>
      <c r="H7220" s="2">
        <v>10668.0</v>
      </c>
      <c r="I7220" s="3">
        <f t="shared" si="3"/>
        <v>0.1930265801</v>
      </c>
      <c r="J7220" s="2">
        <v>8054.0</v>
      </c>
      <c r="K7220" s="3">
        <f t="shared" si="4"/>
        <v>0.145728916</v>
      </c>
      <c r="L7220" s="2">
        <v>6416.0</v>
      </c>
      <c r="M7220" s="3">
        <f t="shared" si="5"/>
        <v>0.6014248219</v>
      </c>
      <c r="N7220" s="2">
        <v>6.07536E7</v>
      </c>
      <c r="O7220" s="4">
        <f t="shared" si="6"/>
        <v>5694.938133</v>
      </c>
      <c r="P7220" s="2">
        <v>8.0</v>
      </c>
      <c r="Q7220" s="3">
        <f t="shared" si="7"/>
        <v>0.001566784175</v>
      </c>
      <c r="R7220" s="2">
        <v>5106.0</v>
      </c>
      <c r="S7220" s="5">
        <f t="shared" si="8"/>
        <v>1</v>
      </c>
    </row>
    <row r="7221">
      <c r="A7221" s="2" t="s">
        <v>7218</v>
      </c>
      <c r="B7221" s="2">
        <v>1679.0</v>
      </c>
      <c r="C7221" s="2">
        <v>19890.0</v>
      </c>
      <c r="D7221" s="2">
        <v>6383.0</v>
      </c>
      <c r="E7221" s="3">
        <f t="shared" si="1"/>
        <v>0.3505024436</v>
      </c>
      <c r="F7221" s="2">
        <v>1968.0</v>
      </c>
      <c r="G7221" s="3">
        <f t="shared" si="2"/>
        <v>0.1080665532</v>
      </c>
      <c r="H7221" s="2">
        <v>3733.0</v>
      </c>
      <c r="I7221" s="3">
        <f t="shared" si="3"/>
        <v>0.2049859975</v>
      </c>
      <c r="J7221" s="2">
        <v>2535.0</v>
      </c>
      <c r="K7221" s="3">
        <f t="shared" si="4"/>
        <v>0.1392015815</v>
      </c>
      <c r="L7221" s="2">
        <v>2226.0</v>
      </c>
      <c r="M7221" s="3">
        <f t="shared" si="5"/>
        <v>0.5963032414</v>
      </c>
      <c r="N7221" s="2">
        <v>2.04357E7</v>
      </c>
      <c r="O7221" s="4">
        <f t="shared" si="6"/>
        <v>5474.336994</v>
      </c>
      <c r="P7221" s="2">
        <v>1.0</v>
      </c>
      <c r="Q7221" s="3">
        <f t="shared" si="7"/>
        <v>0.0005955926147</v>
      </c>
      <c r="R7221" s="2">
        <v>1679.0</v>
      </c>
      <c r="S7221" s="5">
        <f t="shared" si="8"/>
        <v>1</v>
      </c>
    </row>
    <row r="7222">
      <c r="A7222" s="2" t="s">
        <v>7219</v>
      </c>
      <c r="B7222" s="2">
        <v>176.0</v>
      </c>
      <c r="C7222" s="2">
        <v>2073.0</v>
      </c>
      <c r="D7222" s="2">
        <v>453.0</v>
      </c>
      <c r="E7222" s="3">
        <f t="shared" si="1"/>
        <v>0.2387981023</v>
      </c>
      <c r="F7222" s="2">
        <v>205.0</v>
      </c>
      <c r="G7222" s="3">
        <f t="shared" si="2"/>
        <v>0.1080653664</v>
      </c>
      <c r="H7222" s="2">
        <v>380.0</v>
      </c>
      <c r="I7222" s="3">
        <f t="shared" si="3"/>
        <v>0.2003162889</v>
      </c>
      <c r="J7222" s="2">
        <v>346.0</v>
      </c>
      <c r="K7222" s="3">
        <f t="shared" si="4"/>
        <v>0.1823932525</v>
      </c>
      <c r="L7222" s="2">
        <v>240.0</v>
      </c>
      <c r="M7222" s="3">
        <f t="shared" si="5"/>
        <v>0.6315789474</v>
      </c>
      <c r="N7222" s="2">
        <v>2363700.0</v>
      </c>
      <c r="O7222" s="4">
        <f t="shared" si="6"/>
        <v>6220.263158</v>
      </c>
      <c r="P7222" s="2">
        <v>0.0</v>
      </c>
      <c r="Q7222" s="3">
        <f t="shared" si="7"/>
        <v>0</v>
      </c>
      <c r="R7222" s="2">
        <v>176.0</v>
      </c>
      <c r="S7222" s="5">
        <f t="shared" si="8"/>
        <v>1</v>
      </c>
    </row>
    <row r="7223">
      <c r="A7223" s="2" t="s">
        <v>7220</v>
      </c>
      <c r="B7223" s="2">
        <v>144.0</v>
      </c>
      <c r="C7223" s="2">
        <v>1671.0</v>
      </c>
      <c r="D7223" s="2">
        <v>536.0</v>
      </c>
      <c r="E7223" s="3">
        <f t="shared" si="1"/>
        <v>0.3510150622</v>
      </c>
      <c r="F7223" s="2">
        <v>165.0</v>
      </c>
      <c r="G7223" s="3">
        <f t="shared" si="2"/>
        <v>0.1080550098</v>
      </c>
      <c r="H7223" s="2">
        <v>329.0</v>
      </c>
      <c r="I7223" s="3">
        <f t="shared" si="3"/>
        <v>0.2154551408</v>
      </c>
      <c r="J7223" s="2">
        <v>235.0</v>
      </c>
      <c r="K7223" s="3">
        <f t="shared" si="4"/>
        <v>0.1538965291</v>
      </c>
      <c r="L7223" s="2">
        <v>206.0</v>
      </c>
      <c r="M7223" s="3">
        <f t="shared" si="5"/>
        <v>0.6261398176</v>
      </c>
      <c r="N7223" s="2">
        <v>1851900.0</v>
      </c>
      <c r="O7223" s="4">
        <f t="shared" si="6"/>
        <v>5628.87538</v>
      </c>
      <c r="P7223" s="2">
        <v>1.0</v>
      </c>
      <c r="Q7223" s="3">
        <f t="shared" si="7"/>
        <v>0.006944444444</v>
      </c>
      <c r="R7223" s="2">
        <v>144.0</v>
      </c>
      <c r="S7223" s="5">
        <f t="shared" si="8"/>
        <v>1</v>
      </c>
    </row>
    <row r="7224">
      <c r="A7224" s="2" t="s">
        <v>7221</v>
      </c>
      <c r="B7224" s="2">
        <v>109.0</v>
      </c>
      <c r="C7224" s="2">
        <v>1294.0</v>
      </c>
      <c r="D7224" s="2">
        <v>462.0</v>
      </c>
      <c r="E7224" s="3">
        <f t="shared" si="1"/>
        <v>0.3898734177</v>
      </c>
      <c r="F7224" s="2">
        <v>128.0</v>
      </c>
      <c r="G7224" s="3">
        <f t="shared" si="2"/>
        <v>0.1080168776</v>
      </c>
      <c r="H7224" s="2">
        <v>225.0</v>
      </c>
      <c r="I7224" s="3">
        <f t="shared" si="3"/>
        <v>0.1898734177</v>
      </c>
      <c r="J7224" s="2">
        <v>179.0</v>
      </c>
      <c r="K7224" s="3">
        <f t="shared" si="4"/>
        <v>0.1510548523</v>
      </c>
      <c r="L7224" s="2">
        <v>137.0</v>
      </c>
      <c r="M7224" s="3">
        <f t="shared" si="5"/>
        <v>0.6088888889</v>
      </c>
      <c r="N7224" s="2">
        <v>1144400.0</v>
      </c>
      <c r="O7224" s="4">
        <f t="shared" si="6"/>
        <v>5086.222222</v>
      </c>
      <c r="P7224" s="2">
        <v>0.0</v>
      </c>
      <c r="Q7224" s="3">
        <f t="shared" si="7"/>
        <v>0</v>
      </c>
      <c r="R7224" s="2">
        <v>109.0</v>
      </c>
      <c r="S7224" s="5">
        <f t="shared" si="8"/>
        <v>1</v>
      </c>
    </row>
    <row r="7225">
      <c r="A7225" s="2" t="s">
        <v>7222</v>
      </c>
      <c r="B7225" s="2">
        <v>81.0</v>
      </c>
      <c r="C7225" s="2">
        <v>905.0</v>
      </c>
      <c r="D7225" s="2">
        <v>265.0</v>
      </c>
      <c r="E7225" s="3">
        <f t="shared" si="1"/>
        <v>0.3216019417</v>
      </c>
      <c r="F7225" s="2">
        <v>89.0</v>
      </c>
      <c r="G7225" s="3">
        <f t="shared" si="2"/>
        <v>0.1080097087</v>
      </c>
      <c r="H7225" s="2">
        <v>162.0</v>
      </c>
      <c r="I7225" s="3">
        <f t="shared" si="3"/>
        <v>0.1966019417</v>
      </c>
      <c r="J7225" s="2">
        <v>135.0</v>
      </c>
      <c r="K7225" s="3">
        <f t="shared" si="4"/>
        <v>0.1638349515</v>
      </c>
      <c r="L7225" s="2">
        <v>103.0</v>
      </c>
      <c r="M7225" s="3">
        <f t="shared" si="5"/>
        <v>0.6358024691</v>
      </c>
      <c r="N7225" s="2">
        <v>906500.0</v>
      </c>
      <c r="O7225" s="4">
        <f t="shared" si="6"/>
        <v>5595.679012</v>
      </c>
      <c r="P7225" s="2">
        <v>0.0</v>
      </c>
      <c r="Q7225" s="3">
        <f t="shared" si="7"/>
        <v>0</v>
      </c>
      <c r="R7225" s="2">
        <v>81.0</v>
      </c>
      <c r="S7225" s="5">
        <f t="shared" si="8"/>
        <v>1</v>
      </c>
    </row>
    <row r="7226">
      <c r="A7226" s="2" t="s">
        <v>7223</v>
      </c>
      <c r="B7226" s="2">
        <v>45.0</v>
      </c>
      <c r="C7226" s="2">
        <v>545.0</v>
      </c>
      <c r="D7226" s="2">
        <v>189.0</v>
      </c>
      <c r="E7226" s="3">
        <f t="shared" si="1"/>
        <v>0.378</v>
      </c>
      <c r="F7226" s="2">
        <v>54.0</v>
      </c>
      <c r="G7226" s="3">
        <f t="shared" si="2"/>
        <v>0.108</v>
      </c>
      <c r="H7226" s="2">
        <v>98.0</v>
      </c>
      <c r="I7226" s="3">
        <f t="shared" si="3"/>
        <v>0.196</v>
      </c>
      <c r="J7226" s="2">
        <v>92.0</v>
      </c>
      <c r="K7226" s="3">
        <f t="shared" si="4"/>
        <v>0.184</v>
      </c>
      <c r="L7226" s="2">
        <v>57.0</v>
      </c>
      <c r="M7226" s="3">
        <f t="shared" si="5"/>
        <v>0.5816326531</v>
      </c>
      <c r="N7226" s="2">
        <v>595700.0</v>
      </c>
      <c r="O7226" s="4">
        <f t="shared" si="6"/>
        <v>6078.571429</v>
      </c>
      <c r="P7226" s="2">
        <v>0.0</v>
      </c>
      <c r="Q7226" s="3">
        <f t="shared" si="7"/>
        <v>0</v>
      </c>
      <c r="R7226" s="2">
        <v>45.0</v>
      </c>
      <c r="S7226" s="5">
        <f t="shared" si="8"/>
        <v>1</v>
      </c>
    </row>
    <row r="7227">
      <c r="A7227" s="2" t="s">
        <v>7224</v>
      </c>
      <c r="B7227" s="2">
        <v>84.0</v>
      </c>
      <c r="C7227" s="2">
        <v>1010.0</v>
      </c>
      <c r="D7227" s="2">
        <v>254.0</v>
      </c>
      <c r="E7227" s="3">
        <f t="shared" si="1"/>
        <v>0.2742980562</v>
      </c>
      <c r="F7227" s="2">
        <v>100.0</v>
      </c>
      <c r="G7227" s="3">
        <f t="shared" si="2"/>
        <v>0.1079913607</v>
      </c>
      <c r="H7227" s="2">
        <v>193.0</v>
      </c>
      <c r="I7227" s="3">
        <f t="shared" si="3"/>
        <v>0.2084233261</v>
      </c>
      <c r="J7227" s="2">
        <v>122.0</v>
      </c>
      <c r="K7227" s="3">
        <f t="shared" si="4"/>
        <v>0.13174946</v>
      </c>
      <c r="L7227" s="2">
        <v>119.0</v>
      </c>
      <c r="M7227" s="3">
        <f t="shared" si="5"/>
        <v>0.6165803109</v>
      </c>
      <c r="N7227" s="2">
        <v>1119300.0</v>
      </c>
      <c r="O7227" s="4">
        <f t="shared" si="6"/>
        <v>5799.481865</v>
      </c>
      <c r="P7227" s="2">
        <v>0.0</v>
      </c>
      <c r="Q7227" s="3">
        <f t="shared" si="7"/>
        <v>0</v>
      </c>
      <c r="R7227" s="2">
        <v>84.0</v>
      </c>
      <c r="S7227" s="5">
        <f t="shared" si="8"/>
        <v>1</v>
      </c>
    </row>
    <row r="7228">
      <c r="A7228" s="2" t="s">
        <v>7225</v>
      </c>
      <c r="B7228" s="2">
        <v>93.0</v>
      </c>
      <c r="C7228" s="2">
        <v>1121.0</v>
      </c>
      <c r="D7228" s="2">
        <v>336.0</v>
      </c>
      <c r="E7228" s="3">
        <f t="shared" si="1"/>
        <v>0.326848249</v>
      </c>
      <c r="F7228" s="2">
        <v>111.0</v>
      </c>
      <c r="G7228" s="3">
        <f t="shared" si="2"/>
        <v>0.1079766537</v>
      </c>
      <c r="H7228" s="2">
        <v>215.0</v>
      </c>
      <c r="I7228" s="3">
        <f t="shared" si="3"/>
        <v>0.2091439689</v>
      </c>
      <c r="J7228" s="2">
        <v>139.0</v>
      </c>
      <c r="K7228" s="3">
        <f t="shared" si="4"/>
        <v>0.1352140078</v>
      </c>
      <c r="L7228" s="2">
        <v>131.0</v>
      </c>
      <c r="M7228" s="3">
        <f t="shared" si="5"/>
        <v>0.6093023256</v>
      </c>
      <c r="N7228" s="2">
        <v>1133900.0</v>
      </c>
      <c r="O7228" s="4">
        <f t="shared" si="6"/>
        <v>5273.953488</v>
      </c>
      <c r="P7228" s="2">
        <v>0.0</v>
      </c>
      <c r="Q7228" s="3">
        <f t="shared" si="7"/>
        <v>0</v>
      </c>
      <c r="R7228" s="2">
        <v>4.0</v>
      </c>
      <c r="S7228" s="5">
        <f t="shared" si="8"/>
        <v>0.04301075269</v>
      </c>
    </row>
    <row r="7229">
      <c r="A7229" s="2" t="s">
        <v>7226</v>
      </c>
      <c r="B7229" s="2">
        <v>405.0</v>
      </c>
      <c r="C7229" s="2">
        <v>4684.0</v>
      </c>
      <c r="D7229" s="2">
        <v>1177.0</v>
      </c>
      <c r="E7229" s="3">
        <f t="shared" si="1"/>
        <v>0.2750642674</v>
      </c>
      <c r="F7229" s="2">
        <v>462.0</v>
      </c>
      <c r="G7229" s="3">
        <f t="shared" si="2"/>
        <v>0.1079691517</v>
      </c>
      <c r="H7229" s="2">
        <v>903.0</v>
      </c>
      <c r="I7229" s="3">
        <f t="shared" si="3"/>
        <v>0.2110306146</v>
      </c>
      <c r="J7229" s="2">
        <v>747.0</v>
      </c>
      <c r="K7229" s="3">
        <f t="shared" si="4"/>
        <v>0.1745734985</v>
      </c>
      <c r="L7229" s="2">
        <v>539.0</v>
      </c>
      <c r="M7229" s="3">
        <f t="shared" si="5"/>
        <v>0.5968992248</v>
      </c>
      <c r="N7229" s="2">
        <v>5062000.0</v>
      </c>
      <c r="O7229" s="4">
        <f t="shared" si="6"/>
        <v>5605.758583</v>
      </c>
      <c r="P7229" s="2">
        <v>0.0</v>
      </c>
      <c r="Q7229" s="3">
        <f t="shared" si="7"/>
        <v>0</v>
      </c>
      <c r="R7229" s="2">
        <v>0.0</v>
      </c>
      <c r="S7229" s="5">
        <f t="shared" si="8"/>
        <v>0</v>
      </c>
    </row>
    <row r="7230">
      <c r="A7230" s="2" t="s">
        <v>7227</v>
      </c>
      <c r="B7230" s="2">
        <v>603.0</v>
      </c>
      <c r="C7230" s="2">
        <v>7106.0</v>
      </c>
      <c r="D7230" s="2">
        <v>2467.0</v>
      </c>
      <c r="E7230" s="3">
        <f t="shared" si="1"/>
        <v>0.3793633708</v>
      </c>
      <c r="F7230" s="2">
        <v>702.0</v>
      </c>
      <c r="G7230" s="3">
        <f t="shared" si="2"/>
        <v>0.1079501768</v>
      </c>
      <c r="H7230" s="2">
        <v>1349.0</v>
      </c>
      <c r="I7230" s="3">
        <f t="shared" si="3"/>
        <v>0.2074427187</v>
      </c>
      <c r="J7230" s="2">
        <v>990.0</v>
      </c>
      <c r="K7230" s="3">
        <f t="shared" si="4"/>
        <v>0.1522374289</v>
      </c>
      <c r="L7230" s="2">
        <v>783.0</v>
      </c>
      <c r="M7230" s="3">
        <f t="shared" si="5"/>
        <v>0.5804299481</v>
      </c>
      <c r="N7230" s="2">
        <v>7362100.0</v>
      </c>
      <c r="O7230" s="4">
        <f t="shared" si="6"/>
        <v>5457.449963</v>
      </c>
      <c r="P7230" s="2">
        <v>0.0</v>
      </c>
      <c r="Q7230" s="3">
        <f t="shared" si="7"/>
        <v>0</v>
      </c>
      <c r="R7230" s="2">
        <v>603.0</v>
      </c>
      <c r="S7230" s="5">
        <f t="shared" si="8"/>
        <v>1</v>
      </c>
    </row>
    <row r="7231">
      <c r="A7231" s="2" t="s">
        <v>7228</v>
      </c>
      <c r="B7231" s="2">
        <v>366.0</v>
      </c>
      <c r="C7231" s="2">
        <v>4276.0</v>
      </c>
      <c r="D7231" s="2">
        <v>1117.0</v>
      </c>
      <c r="E7231" s="3">
        <f t="shared" si="1"/>
        <v>0.2856777494</v>
      </c>
      <c r="F7231" s="2">
        <v>422.0</v>
      </c>
      <c r="G7231" s="3">
        <f t="shared" si="2"/>
        <v>0.1079283887</v>
      </c>
      <c r="H7231" s="2">
        <v>780.0</v>
      </c>
      <c r="I7231" s="3">
        <f t="shared" si="3"/>
        <v>0.199488491</v>
      </c>
      <c r="J7231" s="2">
        <v>702.0</v>
      </c>
      <c r="K7231" s="3">
        <f t="shared" si="4"/>
        <v>0.1795396419</v>
      </c>
      <c r="L7231" s="2">
        <v>450.0</v>
      </c>
      <c r="M7231" s="3">
        <f t="shared" si="5"/>
        <v>0.5769230769</v>
      </c>
      <c r="N7231" s="2">
        <v>4504900.0</v>
      </c>
      <c r="O7231" s="4">
        <f t="shared" si="6"/>
        <v>5775.512821</v>
      </c>
      <c r="P7231" s="2">
        <v>1.0</v>
      </c>
      <c r="Q7231" s="3">
        <f t="shared" si="7"/>
        <v>0.002732240437</v>
      </c>
      <c r="R7231" s="2">
        <v>366.0</v>
      </c>
      <c r="S7231" s="5">
        <f t="shared" si="8"/>
        <v>1</v>
      </c>
    </row>
    <row r="7232">
      <c r="A7232" s="2" t="s">
        <v>7229</v>
      </c>
      <c r="B7232" s="2">
        <v>528.0</v>
      </c>
      <c r="C7232" s="2">
        <v>6199.0</v>
      </c>
      <c r="D7232" s="2">
        <v>1853.0</v>
      </c>
      <c r="E7232" s="3">
        <f t="shared" si="1"/>
        <v>0.3267501323</v>
      </c>
      <c r="F7232" s="2">
        <v>612.0</v>
      </c>
      <c r="G7232" s="3">
        <f t="shared" si="2"/>
        <v>0.1079174749</v>
      </c>
      <c r="H7232" s="2">
        <v>1164.0</v>
      </c>
      <c r="I7232" s="3">
        <f t="shared" si="3"/>
        <v>0.2052548051</v>
      </c>
      <c r="J7232" s="2">
        <v>977.0</v>
      </c>
      <c r="K7232" s="3">
        <f t="shared" si="4"/>
        <v>0.1722800212</v>
      </c>
      <c r="L7232" s="2">
        <v>693.0</v>
      </c>
      <c r="M7232" s="3">
        <f t="shared" si="5"/>
        <v>0.5953608247</v>
      </c>
      <c r="N7232" s="2">
        <v>6727100.0</v>
      </c>
      <c r="O7232" s="4">
        <f t="shared" si="6"/>
        <v>5779.295533</v>
      </c>
      <c r="P7232" s="2">
        <v>3.0</v>
      </c>
      <c r="Q7232" s="3">
        <f t="shared" si="7"/>
        <v>0.005681818182</v>
      </c>
      <c r="R7232" s="2">
        <v>1.0</v>
      </c>
      <c r="S7232" s="5">
        <f t="shared" si="8"/>
        <v>0.001893939394</v>
      </c>
    </row>
    <row r="7233">
      <c r="A7233" s="2" t="s">
        <v>7230</v>
      </c>
      <c r="B7233" s="2">
        <v>41.0</v>
      </c>
      <c r="C7233" s="2">
        <v>458.0</v>
      </c>
      <c r="D7233" s="2">
        <v>151.0</v>
      </c>
      <c r="E7233" s="3">
        <f t="shared" si="1"/>
        <v>0.3621103118</v>
      </c>
      <c r="F7233" s="2">
        <v>45.0</v>
      </c>
      <c r="G7233" s="3">
        <f t="shared" si="2"/>
        <v>0.1079136691</v>
      </c>
      <c r="H7233" s="2">
        <v>78.0</v>
      </c>
      <c r="I7233" s="3">
        <f t="shared" si="3"/>
        <v>0.1870503597</v>
      </c>
      <c r="J7233" s="2">
        <v>51.0</v>
      </c>
      <c r="K7233" s="3">
        <f t="shared" si="4"/>
        <v>0.1223021583</v>
      </c>
      <c r="L7233" s="2">
        <v>49.0</v>
      </c>
      <c r="M7233" s="3">
        <f t="shared" si="5"/>
        <v>0.6282051282</v>
      </c>
      <c r="N7233" s="2">
        <v>438100.0</v>
      </c>
      <c r="O7233" s="4">
        <f t="shared" si="6"/>
        <v>5616.666667</v>
      </c>
      <c r="P7233" s="2">
        <v>0.0</v>
      </c>
      <c r="Q7233" s="3">
        <f t="shared" si="7"/>
        <v>0</v>
      </c>
      <c r="R7233" s="2">
        <v>41.0</v>
      </c>
      <c r="S7233" s="5">
        <f t="shared" si="8"/>
        <v>1</v>
      </c>
    </row>
    <row r="7234">
      <c r="A7234" s="2" t="s">
        <v>7231</v>
      </c>
      <c r="B7234" s="2">
        <v>693.0</v>
      </c>
      <c r="C7234" s="2">
        <v>8200.0</v>
      </c>
      <c r="D7234" s="2">
        <v>2136.0</v>
      </c>
      <c r="E7234" s="3">
        <f t="shared" si="1"/>
        <v>0.2845344345</v>
      </c>
      <c r="F7234" s="2">
        <v>810.0</v>
      </c>
      <c r="G7234" s="3">
        <f t="shared" si="2"/>
        <v>0.107899294</v>
      </c>
      <c r="H7234" s="2">
        <v>1429.0</v>
      </c>
      <c r="I7234" s="3">
        <f t="shared" si="3"/>
        <v>0.190355668</v>
      </c>
      <c r="J7234" s="2">
        <v>1285.0</v>
      </c>
      <c r="K7234" s="3">
        <f t="shared" si="4"/>
        <v>0.1711735713</v>
      </c>
      <c r="L7234" s="2">
        <v>859.0</v>
      </c>
      <c r="M7234" s="3">
        <f t="shared" si="5"/>
        <v>0.6011196641</v>
      </c>
      <c r="N7234" s="2">
        <v>8457200.0</v>
      </c>
      <c r="O7234" s="4">
        <f t="shared" si="6"/>
        <v>5918.264521</v>
      </c>
      <c r="P7234" s="2">
        <v>1.0</v>
      </c>
      <c r="Q7234" s="3">
        <f t="shared" si="7"/>
        <v>0.001443001443</v>
      </c>
      <c r="R7234" s="2">
        <v>657.0</v>
      </c>
      <c r="S7234" s="5">
        <f t="shared" si="8"/>
        <v>0.9480519481</v>
      </c>
    </row>
    <row r="7235">
      <c r="A7235" s="2" t="s">
        <v>7232</v>
      </c>
      <c r="B7235" s="2">
        <v>418.0</v>
      </c>
      <c r="C7235" s="2">
        <v>4997.0</v>
      </c>
      <c r="D7235" s="2">
        <v>1464.0</v>
      </c>
      <c r="E7235" s="3">
        <f t="shared" si="1"/>
        <v>0.319720463</v>
      </c>
      <c r="F7235" s="2">
        <v>494.0</v>
      </c>
      <c r="G7235" s="3">
        <f t="shared" si="2"/>
        <v>0.1078838174</v>
      </c>
      <c r="H7235" s="2">
        <v>936.0</v>
      </c>
      <c r="I7235" s="3">
        <f t="shared" si="3"/>
        <v>0.2044114435</v>
      </c>
      <c r="J7235" s="2">
        <v>652.0</v>
      </c>
      <c r="K7235" s="3">
        <f t="shared" si="4"/>
        <v>0.1423891679</v>
      </c>
      <c r="L7235" s="2">
        <v>562.0</v>
      </c>
      <c r="M7235" s="3">
        <f t="shared" si="5"/>
        <v>0.6004273504</v>
      </c>
      <c r="N7235" s="2">
        <v>5302200.0</v>
      </c>
      <c r="O7235" s="4">
        <f t="shared" si="6"/>
        <v>5664.74359</v>
      </c>
      <c r="P7235" s="2">
        <v>0.0</v>
      </c>
      <c r="Q7235" s="3">
        <f t="shared" si="7"/>
        <v>0</v>
      </c>
      <c r="R7235" s="2">
        <v>418.0</v>
      </c>
      <c r="S7235" s="5">
        <f t="shared" si="8"/>
        <v>1</v>
      </c>
    </row>
    <row r="7236">
      <c r="A7236" s="2" t="s">
        <v>7233</v>
      </c>
      <c r="B7236" s="2">
        <v>1031.0</v>
      </c>
      <c r="C7236" s="2">
        <v>12059.0</v>
      </c>
      <c r="D7236" s="2">
        <v>4050.0</v>
      </c>
      <c r="E7236" s="3">
        <f t="shared" si="1"/>
        <v>0.3672470076</v>
      </c>
      <c r="F7236" s="2">
        <v>1189.0</v>
      </c>
      <c r="G7236" s="3">
        <f t="shared" si="2"/>
        <v>0.1078164672</v>
      </c>
      <c r="H7236" s="2">
        <v>2450.0</v>
      </c>
      <c r="I7236" s="3">
        <f t="shared" si="3"/>
        <v>0.22216177</v>
      </c>
      <c r="J7236" s="2">
        <v>1828.0</v>
      </c>
      <c r="K7236" s="3">
        <f t="shared" si="4"/>
        <v>0.1657598839</v>
      </c>
      <c r="L7236" s="2">
        <v>1498.0</v>
      </c>
      <c r="M7236" s="3">
        <f t="shared" si="5"/>
        <v>0.6114285714</v>
      </c>
      <c r="N7236" s="2">
        <v>1.31067E7</v>
      </c>
      <c r="O7236" s="4">
        <f t="shared" si="6"/>
        <v>5349.673469</v>
      </c>
      <c r="P7236" s="2">
        <v>3.0</v>
      </c>
      <c r="Q7236" s="3">
        <f t="shared" si="7"/>
        <v>0.002909796314</v>
      </c>
      <c r="R7236" s="2">
        <v>0.0</v>
      </c>
      <c r="S7236" s="5">
        <f t="shared" si="8"/>
        <v>0</v>
      </c>
    </row>
    <row r="7237">
      <c r="A7237" s="2" t="s">
        <v>7234</v>
      </c>
      <c r="B7237" s="2">
        <v>51.0</v>
      </c>
      <c r="C7237" s="2">
        <v>589.0</v>
      </c>
      <c r="D7237" s="2">
        <v>196.0</v>
      </c>
      <c r="E7237" s="3">
        <f t="shared" si="1"/>
        <v>0.3643122677</v>
      </c>
      <c r="F7237" s="2">
        <v>58.0</v>
      </c>
      <c r="G7237" s="3">
        <f t="shared" si="2"/>
        <v>0.1078066914</v>
      </c>
      <c r="H7237" s="2">
        <v>122.0</v>
      </c>
      <c r="I7237" s="3">
        <f t="shared" si="3"/>
        <v>0.2267657993</v>
      </c>
      <c r="J7237" s="2">
        <v>71.0</v>
      </c>
      <c r="K7237" s="3">
        <f t="shared" si="4"/>
        <v>0.1319702602</v>
      </c>
      <c r="L7237" s="2">
        <v>70.0</v>
      </c>
      <c r="M7237" s="3">
        <f t="shared" si="5"/>
        <v>0.5737704918</v>
      </c>
      <c r="N7237" s="2">
        <v>665700.0</v>
      </c>
      <c r="O7237" s="4">
        <f t="shared" si="6"/>
        <v>5456.557377</v>
      </c>
      <c r="P7237" s="2">
        <v>1.0</v>
      </c>
      <c r="Q7237" s="3">
        <f t="shared" si="7"/>
        <v>0.01960784314</v>
      </c>
      <c r="R7237" s="2">
        <v>0.0</v>
      </c>
      <c r="S7237" s="5">
        <f t="shared" si="8"/>
        <v>0</v>
      </c>
    </row>
    <row r="7238">
      <c r="A7238" s="2" t="s">
        <v>7235</v>
      </c>
      <c r="B7238" s="2">
        <v>1485.0</v>
      </c>
      <c r="C7238" s="2">
        <v>17367.0</v>
      </c>
      <c r="D7238" s="2">
        <v>4549.0</v>
      </c>
      <c r="E7238" s="3">
        <f t="shared" si="1"/>
        <v>0.2864248835</v>
      </c>
      <c r="F7238" s="2">
        <v>1712.0</v>
      </c>
      <c r="G7238" s="3">
        <f t="shared" si="2"/>
        <v>0.107794988</v>
      </c>
      <c r="H7238" s="2">
        <v>3291.0</v>
      </c>
      <c r="I7238" s="3">
        <f t="shared" si="3"/>
        <v>0.2072157159</v>
      </c>
      <c r="J7238" s="2">
        <v>2471.0</v>
      </c>
      <c r="K7238" s="3">
        <f t="shared" si="4"/>
        <v>0.1555849389</v>
      </c>
      <c r="L7238" s="2">
        <v>1987.0</v>
      </c>
      <c r="M7238" s="3">
        <f t="shared" si="5"/>
        <v>0.6037678517</v>
      </c>
      <c r="N7238" s="2">
        <v>1.83866E7</v>
      </c>
      <c r="O7238" s="4">
        <f t="shared" si="6"/>
        <v>5586.934063</v>
      </c>
      <c r="P7238" s="2">
        <v>1.0</v>
      </c>
      <c r="Q7238" s="3">
        <f t="shared" si="7"/>
        <v>0.0006734006734</v>
      </c>
      <c r="R7238" s="2">
        <v>0.0</v>
      </c>
      <c r="S7238" s="5">
        <f t="shared" si="8"/>
        <v>0</v>
      </c>
    </row>
    <row r="7239">
      <c r="A7239" s="2" t="s">
        <v>7236</v>
      </c>
      <c r="B7239" s="2">
        <v>1531.0</v>
      </c>
      <c r="C7239" s="2">
        <v>18156.0</v>
      </c>
      <c r="D7239" s="2">
        <v>5390.0</v>
      </c>
      <c r="E7239" s="3">
        <f t="shared" si="1"/>
        <v>0.3242105263</v>
      </c>
      <c r="F7239" s="2">
        <v>1792.0</v>
      </c>
      <c r="G7239" s="3">
        <f t="shared" si="2"/>
        <v>0.1077894737</v>
      </c>
      <c r="H7239" s="2">
        <v>3301.0</v>
      </c>
      <c r="I7239" s="3">
        <f t="shared" si="3"/>
        <v>0.198556391</v>
      </c>
      <c r="J7239" s="2">
        <v>2838.0</v>
      </c>
      <c r="K7239" s="3">
        <f t="shared" si="4"/>
        <v>0.1707067669</v>
      </c>
      <c r="L7239" s="2">
        <v>1974.0</v>
      </c>
      <c r="M7239" s="3">
        <f t="shared" si="5"/>
        <v>0.5980006059</v>
      </c>
      <c r="N7239" s="2">
        <v>1.86661E7</v>
      </c>
      <c r="O7239" s="4">
        <f t="shared" si="6"/>
        <v>5654.6804</v>
      </c>
      <c r="P7239" s="2">
        <v>7.0</v>
      </c>
      <c r="Q7239" s="3">
        <f t="shared" si="7"/>
        <v>0.004572175049</v>
      </c>
      <c r="R7239" s="2">
        <v>1531.0</v>
      </c>
      <c r="S7239" s="5">
        <f t="shared" si="8"/>
        <v>1</v>
      </c>
    </row>
    <row r="7240">
      <c r="A7240" s="2" t="s">
        <v>7237</v>
      </c>
      <c r="B7240" s="2">
        <v>991.0</v>
      </c>
      <c r="C7240" s="2">
        <v>11725.0</v>
      </c>
      <c r="D7240" s="2">
        <v>2752.0</v>
      </c>
      <c r="E7240" s="3">
        <f t="shared" si="1"/>
        <v>0.2563815912</v>
      </c>
      <c r="F7240" s="2">
        <v>1157.0</v>
      </c>
      <c r="G7240" s="3">
        <f t="shared" si="2"/>
        <v>0.1077883361</v>
      </c>
      <c r="H7240" s="2">
        <v>2186.0</v>
      </c>
      <c r="I7240" s="3">
        <f t="shared" si="3"/>
        <v>0.2036519471</v>
      </c>
      <c r="J7240" s="2">
        <v>2328.0</v>
      </c>
      <c r="K7240" s="3">
        <f t="shared" si="4"/>
        <v>0.2168809391</v>
      </c>
      <c r="L7240" s="2">
        <v>1287.0</v>
      </c>
      <c r="M7240" s="3">
        <f t="shared" si="5"/>
        <v>0.5887465691</v>
      </c>
      <c r="N7240" s="2">
        <v>1.32482E7</v>
      </c>
      <c r="O7240" s="4">
        <f t="shared" si="6"/>
        <v>6060.475755</v>
      </c>
      <c r="P7240" s="2">
        <v>2.0</v>
      </c>
      <c r="Q7240" s="3">
        <f t="shared" si="7"/>
        <v>0.002018163471</v>
      </c>
      <c r="R7240" s="2">
        <v>0.0</v>
      </c>
      <c r="S7240" s="5">
        <f t="shared" si="8"/>
        <v>0</v>
      </c>
    </row>
    <row r="7241">
      <c r="A7241" s="2" t="s">
        <v>7238</v>
      </c>
      <c r="B7241" s="2">
        <v>738.0</v>
      </c>
      <c r="C7241" s="2">
        <v>8819.0</v>
      </c>
      <c r="D7241" s="2">
        <v>2430.0</v>
      </c>
      <c r="E7241" s="3">
        <f t="shared" si="1"/>
        <v>0.3007053582</v>
      </c>
      <c r="F7241" s="2">
        <v>871.0</v>
      </c>
      <c r="G7241" s="3">
        <f t="shared" si="2"/>
        <v>0.1077836901</v>
      </c>
      <c r="H7241" s="2">
        <v>1532.0</v>
      </c>
      <c r="I7241" s="3">
        <f t="shared" si="3"/>
        <v>0.1895804975</v>
      </c>
      <c r="J7241" s="2">
        <v>1250.0</v>
      </c>
      <c r="K7241" s="3">
        <f t="shared" si="4"/>
        <v>0.1546838263</v>
      </c>
      <c r="L7241" s="2">
        <v>920.0</v>
      </c>
      <c r="M7241" s="3">
        <f t="shared" si="5"/>
        <v>0.6005221932</v>
      </c>
      <c r="N7241" s="2">
        <v>8560900.0</v>
      </c>
      <c r="O7241" s="4">
        <f t="shared" si="6"/>
        <v>5588.05483</v>
      </c>
      <c r="P7241" s="2">
        <v>0.0</v>
      </c>
      <c r="Q7241" s="3">
        <f t="shared" si="7"/>
        <v>0</v>
      </c>
      <c r="R7241" s="2">
        <v>649.0</v>
      </c>
      <c r="S7241" s="5">
        <f t="shared" si="8"/>
        <v>0.879403794</v>
      </c>
    </row>
    <row r="7242">
      <c r="A7242" s="2" t="s">
        <v>7239</v>
      </c>
      <c r="B7242" s="2">
        <v>418.0</v>
      </c>
      <c r="C7242" s="2">
        <v>4890.0</v>
      </c>
      <c r="D7242" s="2">
        <v>1708.0</v>
      </c>
      <c r="E7242" s="3">
        <f t="shared" si="1"/>
        <v>0.3819320215</v>
      </c>
      <c r="F7242" s="2">
        <v>482.0</v>
      </c>
      <c r="G7242" s="3">
        <f t="shared" si="2"/>
        <v>0.1077817531</v>
      </c>
      <c r="H7242" s="2">
        <v>847.0</v>
      </c>
      <c r="I7242" s="3">
        <f t="shared" si="3"/>
        <v>0.1894007156</v>
      </c>
      <c r="J7242" s="2">
        <v>662.0</v>
      </c>
      <c r="K7242" s="3">
        <f t="shared" si="4"/>
        <v>0.1480322004</v>
      </c>
      <c r="L7242" s="2">
        <v>501.0</v>
      </c>
      <c r="M7242" s="3">
        <f t="shared" si="5"/>
        <v>0.5914994097</v>
      </c>
      <c r="N7242" s="2">
        <v>4968800.0</v>
      </c>
      <c r="O7242" s="4">
        <f t="shared" si="6"/>
        <v>5866.35183</v>
      </c>
      <c r="P7242" s="2">
        <v>0.0</v>
      </c>
      <c r="Q7242" s="3">
        <f t="shared" si="7"/>
        <v>0</v>
      </c>
      <c r="R7242" s="2">
        <v>418.0</v>
      </c>
      <c r="S7242" s="5">
        <f t="shared" si="8"/>
        <v>1</v>
      </c>
    </row>
    <row r="7243">
      <c r="A7243" s="2" t="s">
        <v>7240</v>
      </c>
      <c r="B7243" s="2">
        <v>357.0</v>
      </c>
      <c r="C7243" s="2">
        <v>4226.0</v>
      </c>
      <c r="D7243" s="2">
        <v>1100.0</v>
      </c>
      <c r="E7243" s="3">
        <f t="shared" si="1"/>
        <v>0.2843111915</v>
      </c>
      <c r="F7243" s="2">
        <v>417.0</v>
      </c>
      <c r="G7243" s="3">
        <f t="shared" si="2"/>
        <v>0.1077797881</v>
      </c>
      <c r="H7243" s="2">
        <v>756.0</v>
      </c>
      <c r="I7243" s="3">
        <f t="shared" si="3"/>
        <v>0.195399328</v>
      </c>
      <c r="J7243" s="2">
        <v>694.0</v>
      </c>
      <c r="K7243" s="3">
        <f t="shared" si="4"/>
        <v>0.1793745154</v>
      </c>
      <c r="L7243" s="2">
        <v>463.0</v>
      </c>
      <c r="M7243" s="3">
        <f t="shared" si="5"/>
        <v>0.6124338624</v>
      </c>
      <c r="N7243" s="2">
        <v>4450900.0</v>
      </c>
      <c r="O7243" s="4">
        <f t="shared" si="6"/>
        <v>5887.433862</v>
      </c>
      <c r="P7243" s="2">
        <v>1.0</v>
      </c>
      <c r="Q7243" s="3">
        <f t="shared" si="7"/>
        <v>0.002801120448</v>
      </c>
      <c r="R7243" s="2">
        <v>357.0</v>
      </c>
      <c r="S7243" s="5">
        <f t="shared" si="8"/>
        <v>1</v>
      </c>
    </row>
    <row r="7244">
      <c r="A7244" s="2" t="s">
        <v>7241</v>
      </c>
      <c r="B7244" s="2">
        <v>186.0</v>
      </c>
      <c r="C7244" s="2">
        <v>2135.0</v>
      </c>
      <c r="D7244" s="2">
        <v>639.0</v>
      </c>
      <c r="E7244" s="3">
        <f t="shared" si="1"/>
        <v>0.3278604413</v>
      </c>
      <c r="F7244" s="2">
        <v>210.0</v>
      </c>
      <c r="G7244" s="3">
        <f t="shared" si="2"/>
        <v>0.1077475629</v>
      </c>
      <c r="H7244" s="2">
        <v>386.0</v>
      </c>
      <c r="I7244" s="3">
        <f t="shared" si="3"/>
        <v>0.1980502822</v>
      </c>
      <c r="J7244" s="2">
        <v>379.0</v>
      </c>
      <c r="K7244" s="3">
        <f t="shared" si="4"/>
        <v>0.1944586968</v>
      </c>
      <c r="L7244" s="2">
        <v>215.0</v>
      </c>
      <c r="M7244" s="3">
        <f t="shared" si="5"/>
        <v>0.5569948187</v>
      </c>
      <c r="N7244" s="2">
        <v>2382800.0</v>
      </c>
      <c r="O7244" s="4">
        <f t="shared" si="6"/>
        <v>6173.056995</v>
      </c>
      <c r="P7244" s="2">
        <v>0.0</v>
      </c>
      <c r="Q7244" s="3">
        <f t="shared" si="7"/>
        <v>0</v>
      </c>
      <c r="R7244" s="2">
        <v>186.0</v>
      </c>
      <c r="S7244" s="5">
        <f t="shared" si="8"/>
        <v>1</v>
      </c>
    </row>
    <row r="7245">
      <c r="A7245" s="2" t="s">
        <v>7242</v>
      </c>
      <c r="B7245" s="2">
        <v>27.0</v>
      </c>
      <c r="C7245" s="2">
        <v>324.0</v>
      </c>
      <c r="D7245" s="2">
        <v>64.0</v>
      </c>
      <c r="E7245" s="3">
        <f t="shared" si="1"/>
        <v>0.2154882155</v>
      </c>
      <c r="F7245" s="2">
        <v>32.0</v>
      </c>
      <c r="G7245" s="3">
        <f t="shared" si="2"/>
        <v>0.1077441077</v>
      </c>
      <c r="H7245" s="2">
        <v>54.0</v>
      </c>
      <c r="I7245" s="3">
        <f t="shared" si="3"/>
        <v>0.1818181818</v>
      </c>
      <c r="J7245" s="2">
        <v>53.0</v>
      </c>
      <c r="K7245" s="3">
        <f t="shared" si="4"/>
        <v>0.1784511785</v>
      </c>
      <c r="L7245" s="2">
        <v>32.0</v>
      </c>
      <c r="M7245" s="3">
        <f t="shared" si="5"/>
        <v>0.5925925926</v>
      </c>
      <c r="N7245" s="2">
        <v>333500.0</v>
      </c>
      <c r="O7245" s="4">
        <f t="shared" si="6"/>
        <v>6175.925926</v>
      </c>
      <c r="P7245" s="2">
        <v>0.0</v>
      </c>
      <c r="Q7245" s="3">
        <f t="shared" si="7"/>
        <v>0</v>
      </c>
      <c r="R7245" s="2">
        <v>22.0</v>
      </c>
      <c r="S7245" s="5">
        <f t="shared" si="8"/>
        <v>0.8148148148</v>
      </c>
    </row>
    <row r="7246">
      <c r="A7246" s="2" t="s">
        <v>7243</v>
      </c>
      <c r="B7246" s="2">
        <v>891.0</v>
      </c>
      <c r="C7246" s="2">
        <v>10444.0</v>
      </c>
      <c r="D7246" s="2">
        <v>3515.0</v>
      </c>
      <c r="E7246" s="3">
        <f t="shared" si="1"/>
        <v>0.3679472417</v>
      </c>
      <c r="F7246" s="2">
        <v>1029.0</v>
      </c>
      <c r="G7246" s="3">
        <f t="shared" si="2"/>
        <v>0.107714854</v>
      </c>
      <c r="H7246" s="2">
        <v>1893.0</v>
      </c>
      <c r="I7246" s="3">
        <f t="shared" si="3"/>
        <v>0.1981576468</v>
      </c>
      <c r="J7246" s="2">
        <v>1350.0</v>
      </c>
      <c r="K7246" s="3">
        <f t="shared" si="4"/>
        <v>0.1413168638</v>
      </c>
      <c r="L7246" s="2">
        <v>1154.0</v>
      </c>
      <c r="M7246" s="3">
        <f t="shared" si="5"/>
        <v>0.6096143687</v>
      </c>
      <c r="N7246" s="2">
        <v>1.03E7</v>
      </c>
      <c r="O7246" s="4">
        <f t="shared" si="6"/>
        <v>5441.098785</v>
      </c>
      <c r="P7246" s="2">
        <v>1.0</v>
      </c>
      <c r="Q7246" s="3">
        <f t="shared" si="7"/>
        <v>0.001122334456</v>
      </c>
      <c r="R7246" s="2">
        <v>891.0</v>
      </c>
      <c r="S7246" s="5">
        <f t="shared" si="8"/>
        <v>1</v>
      </c>
    </row>
    <row r="7247">
      <c r="A7247" s="2" t="s">
        <v>7244</v>
      </c>
      <c r="B7247" s="2">
        <v>889.0</v>
      </c>
      <c r="C7247" s="2">
        <v>10573.0</v>
      </c>
      <c r="D7247" s="2">
        <v>2951.0</v>
      </c>
      <c r="E7247" s="3">
        <f t="shared" si="1"/>
        <v>0.3047294506</v>
      </c>
      <c r="F7247" s="2">
        <v>1043.0</v>
      </c>
      <c r="G7247" s="3">
        <f t="shared" si="2"/>
        <v>0.1077034283</v>
      </c>
      <c r="H7247" s="2">
        <v>1959.0</v>
      </c>
      <c r="I7247" s="3">
        <f t="shared" si="3"/>
        <v>0.2022924411</v>
      </c>
      <c r="J7247" s="2">
        <v>1184.0</v>
      </c>
      <c r="K7247" s="3">
        <f t="shared" si="4"/>
        <v>0.1222635275</v>
      </c>
      <c r="L7247" s="2">
        <v>1241.0</v>
      </c>
      <c r="M7247" s="3">
        <f t="shared" si="5"/>
        <v>0.6334864727</v>
      </c>
      <c r="N7247" s="2">
        <v>1.06504E7</v>
      </c>
      <c r="O7247" s="4">
        <f t="shared" si="6"/>
        <v>5436.651353</v>
      </c>
      <c r="P7247" s="2">
        <v>1.0</v>
      </c>
      <c r="Q7247" s="3">
        <f t="shared" si="7"/>
        <v>0.001124859393</v>
      </c>
      <c r="R7247" s="2">
        <v>889.0</v>
      </c>
      <c r="S7247" s="5">
        <f t="shared" si="8"/>
        <v>1</v>
      </c>
    </row>
    <row r="7248">
      <c r="A7248" s="2" t="s">
        <v>7245</v>
      </c>
      <c r="B7248" s="2">
        <v>6.0</v>
      </c>
      <c r="C7248" s="2">
        <v>71.0</v>
      </c>
      <c r="D7248" s="2">
        <v>23.0</v>
      </c>
      <c r="E7248" s="3">
        <f t="shared" si="1"/>
        <v>0.3538461538</v>
      </c>
      <c r="F7248" s="2">
        <v>7.0</v>
      </c>
      <c r="G7248" s="3">
        <f t="shared" si="2"/>
        <v>0.1076923077</v>
      </c>
      <c r="H7248" s="2">
        <v>15.0</v>
      </c>
      <c r="I7248" s="3">
        <f t="shared" si="3"/>
        <v>0.2307692308</v>
      </c>
      <c r="J7248" s="2">
        <v>10.0</v>
      </c>
      <c r="K7248" s="3">
        <f t="shared" si="4"/>
        <v>0.1538461538</v>
      </c>
      <c r="L7248" s="2">
        <v>11.0</v>
      </c>
      <c r="M7248" s="3">
        <f t="shared" si="5"/>
        <v>0.7333333333</v>
      </c>
      <c r="N7248" s="2">
        <v>61300.0</v>
      </c>
      <c r="O7248" s="4">
        <f t="shared" si="6"/>
        <v>4086.666667</v>
      </c>
      <c r="P7248" s="2">
        <v>0.0</v>
      </c>
      <c r="Q7248" s="3">
        <f t="shared" si="7"/>
        <v>0</v>
      </c>
      <c r="R7248" s="2">
        <v>0.0</v>
      </c>
      <c r="S7248" s="5">
        <f t="shared" si="8"/>
        <v>0</v>
      </c>
    </row>
    <row r="7249">
      <c r="A7249" s="2" t="s">
        <v>7246</v>
      </c>
      <c r="B7249" s="2">
        <v>87.0</v>
      </c>
      <c r="C7249" s="2">
        <v>1016.0</v>
      </c>
      <c r="D7249" s="2">
        <v>308.0</v>
      </c>
      <c r="E7249" s="3">
        <f t="shared" si="1"/>
        <v>0.3315392896</v>
      </c>
      <c r="F7249" s="2">
        <v>100.0</v>
      </c>
      <c r="G7249" s="3">
        <f t="shared" si="2"/>
        <v>0.1076426265</v>
      </c>
      <c r="H7249" s="2">
        <v>166.0</v>
      </c>
      <c r="I7249" s="3">
        <f t="shared" si="3"/>
        <v>0.17868676</v>
      </c>
      <c r="J7249" s="2">
        <v>154.0</v>
      </c>
      <c r="K7249" s="3">
        <f t="shared" si="4"/>
        <v>0.1657696448</v>
      </c>
      <c r="L7249" s="2">
        <v>100.0</v>
      </c>
      <c r="M7249" s="3">
        <f t="shared" si="5"/>
        <v>0.6024096386</v>
      </c>
      <c r="N7249" s="2">
        <v>809400.0</v>
      </c>
      <c r="O7249" s="4">
        <f t="shared" si="6"/>
        <v>4875.903614</v>
      </c>
      <c r="P7249" s="2">
        <v>0.0</v>
      </c>
      <c r="Q7249" s="3">
        <f t="shared" si="7"/>
        <v>0</v>
      </c>
      <c r="R7249" s="2">
        <v>87.0</v>
      </c>
      <c r="S7249" s="5">
        <f t="shared" si="8"/>
        <v>1</v>
      </c>
    </row>
    <row r="7250">
      <c r="A7250" s="2" t="s">
        <v>7247</v>
      </c>
      <c r="B7250" s="2">
        <v>28.0</v>
      </c>
      <c r="C7250" s="2">
        <v>316.0</v>
      </c>
      <c r="D7250" s="2">
        <v>95.0</v>
      </c>
      <c r="E7250" s="3">
        <f t="shared" si="1"/>
        <v>0.3298611111</v>
      </c>
      <c r="F7250" s="2">
        <v>31.0</v>
      </c>
      <c r="G7250" s="3">
        <f t="shared" si="2"/>
        <v>0.1076388889</v>
      </c>
      <c r="H7250" s="2">
        <v>52.0</v>
      </c>
      <c r="I7250" s="3">
        <f t="shared" si="3"/>
        <v>0.1805555556</v>
      </c>
      <c r="J7250" s="2">
        <v>52.0</v>
      </c>
      <c r="K7250" s="3">
        <f t="shared" si="4"/>
        <v>0.1805555556</v>
      </c>
      <c r="L7250" s="2">
        <v>37.0</v>
      </c>
      <c r="M7250" s="3">
        <f t="shared" si="5"/>
        <v>0.7115384615</v>
      </c>
      <c r="N7250" s="2">
        <v>291100.0</v>
      </c>
      <c r="O7250" s="4">
        <f t="shared" si="6"/>
        <v>5598.076923</v>
      </c>
      <c r="P7250" s="2">
        <v>0.0</v>
      </c>
      <c r="Q7250" s="3">
        <f t="shared" si="7"/>
        <v>0</v>
      </c>
      <c r="R7250" s="2">
        <v>28.0</v>
      </c>
      <c r="S7250" s="5">
        <f t="shared" si="8"/>
        <v>1</v>
      </c>
    </row>
    <row r="7251">
      <c r="A7251" s="2" t="s">
        <v>7248</v>
      </c>
      <c r="B7251" s="2">
        <v>215.0</v>
      </c>
      <c r="C7251" s="2">
        <v>2519.0</v>
      </c>
      <c r="D7251" s="2">
        <v>734.0</v>
      </c>
      <c r="E7251" s="3">
        <f t="shared" si="1"/>
        <v>0.3185763889</v>
      </c>
      <c r="F7251" s="2">
        <v>248.0</v>
      </c>
      <c r="G7251" s="3">
        <f t="shared" si="2"/>
        <v>0.1076388889</v>
      </c>
      <c r="H7251" s="2">
        <v>477.0</v>
      </c>
      <c r="I7251" s="3">
        <f t="shared" si="3"/>
        <v>0.20703125</v>
      </c>
      <c r="J7251" s="2">
        <v>399.0</v>
      </c>
      <c r="K7251" s="3">
        <f t="shared" si="4"/>
        <v>0.1731770833</v>
      </c>
      <c r="L7251" s="2">
        <v>282.0</v>
      </c>
      <c r="M7251" s="3">
        <f t="shared" si="5"/>
        <v>0.5911949686</v>
      </c>
      <c r="N7251" s="2">
        <v>2414000.0</v>
      </c>
      <c r="O7251" s="4">
        <f t="shared" si="6"/>
        <v>5060.796646</v>
      </c>
      <c r="P7251" s="2">
        <v>0.0</v>
      </c>
      <c r="Q7251" s="3">
        <f t="shared" si="7"/>
        <v>0</v>
      </c>
      <c r="R7251" s="2">
        <v>215.0</v>
      </c>
      <c r="S7251" s="5">
        <f t="shared" si="8"/>
        <v>1</v>
      </c>
    </row>
    <row r="7252">
      <c r="A7252" s="2" t="s">
        <v>7249</v>
      </c>
      <c r="B7252" s="2">
        <v>245.0</v>
      </c>
      <c r="C7252" s="2">
        <v>2940.0</v>
      </c>
      <c r="D7252" s="2">
        <v>919.0</v>
      </c>
      <c r="E7252" s="3">
        <f t="shared" si="1"/>
        <v>0.3410018553</v>
      </c>
      <c r="F7252" s="2">
        <v>290.0</v>
      </c>
      <c r="G7252" s="3">
        <f t="shared" si="2"/>
        <v>0.107606679</v>
      </c>
      <c r="H7252" s="2">
        <v>546.0</v>
      </c>
      <c r="I7252" s="3">
        <f t="shared" si="3"/>
        <v>0.2025974026</v>
      </c>
      <c r="J7252" s="2">
        <v>312.0</v>
      </c>
      <c r="K7252" s="3">
        <f t="shared" si="4"/>
        <v>0.1157699443</v>
      </c>
      <c r="L7252" s="2">
        <v>348.0</v>
      </c>
      <c r="M7252" s="3">
        <f t="shared" si="5"/>
        <v>0.6373626374</v>
      </c>
      <c r="N7252" s="2">
        <v>2697200.0</v>
      </c>
      <c r="O7252" s="4">
        <f t="shared" si="6"/>
        <v>4939.92674</v>
      </c>
      <c r="P7252" s="2">
        <v>1.0</v>
      </c>
      <c r="Q7252" s="3">
        <f t="shared" si="7"/>
        <v>0.004081632653</v>
      </c>
      <c r="R7252" s="2">
        <v>183.0</v>
      </c>
      <c r="S7252" s="5">
        <f t="shared" si="8"/>
        <v>0.7469387755</v>
      </c>
    </row>
    <row r="7253">
      <c r="A7253" s="2" t="s">
        <v>7250</v>
      </c>
      <c r="B7253" s="2">
        <v>570.0</v>
      </c>
      <c r="C7253" s="2">
        <v>6863.0</v>
      </c>
      <c r="D7253" s="2">
        <v>2257.0</v>
      </c>
      <c r="E7253" s="3">
        <f t="shared" si="1"/>
        <v>0.358652471</v>
      </c>
      <c r="F7253" s="2">
        <v>677.0</v>
      </c>
      <c r="G7253" s="3">
        <f t="shared" si="2"/>
        <v>0.1075798506</v>
      </c>
      <c r="H7253" s="2">
        <v>1279.0</v>
      </c>
      <c r="I7253" s="3">
        <f t="shared" si="3"/>
        <v>0.2032416971</v>
      </c>
      <c r="J7253" s="2">
        <v>1053.0</v>
      </c>
      <c r="K7253" s="3">
        <f t="shared" si="4"/>
        <v>0.167328778</v>
      </c>
      <c r="L7253" s="2">
        <v>763.0</v>
      </c>
      <c r="M7253" s="3">
        <f t="shared" si="5"/>
        <v>0.5965598124</v>
      </c>
      <c r="N7253" s="2">
        <v>6944500.0</v>
      </c>
      <c r="O7253" s="4">
        <f t="shared" si="6"/>
        <v>5429.632525</v>
      </c>
      <c r="P7253" s="2">
        <v>0.0</v>
      </c>
      <c r="Q7253" s="3">
        <f t="shared" si="7"/>
        <v>0</v>
      </c>
      <c r="R7253" s="2">
        <v>0.0</v>
      </c>
      <c r="S7253" s="5">
        <f t="shared" si="8"/>
        <v>0</v>
      </c>
    </row>
    <row r="7254">
      <c r="A7254" s="2" t="s">
        <v>7251</v>
      </c>
      <c r="B7254" s="2">
        <v>423.0</v>
      </c>
      <c r="C7254" s="2">
        <v>4932.0</v>
      </c>
      <c r="D7254" s="2">
        <v>1387.0</v>
      </c>
      <c r="E7254" s="3">
        <f t="shared" si="1"/>
        <v>0.3076070082</v>
      </c>
      <c r="F7254" s="2">
        <v>485.0</v>
      </c>
      <c r="G7254" s="3">
        <f t="shared" si="2"/>
        <v>0.1075626525</v>
      </c>
      <c r="H7254" s="2">
        <v>914.0</v>
      </c>
      <c r="I7254" s="3">
        <f t="shared" si="3"/>
        <v>0.2027056997</v>
      </c>
      <c r="J7254" s="2">
        <v>728.0</v>
      </c>
      <c r="K7254" s="3">
        <f t="shared" si="4"/>
        <v>0.161454868</v>
      </c>
      <c r="L7254" s="2">
        <v>540.0</v>
      </c>
      <c r="M7254" s="3">
        <f t="shared" si="5"/>
        <v>0.590809628</v>
      </c>
      <c r="N7254" s="2">
        <v>5102400.0</v>
      </c>
      <c r="O7254" s="4">
        <f t="shared" si="6"/>
        <v>5582.49453</v>
      </c>
      <c r="P7254" s="2">
        <v>0.0</v>
      </c>
      <c r="Q7254" s="3">
        <f t="shared" si="7"/>
        <v>0</v>
      </c>
      <c r="R7254" s="2">
        <v>423.0</v>
      </c>
      <c r="S7254" s="5">
        <f t="shared" si="8"/>
        <v>1</v>
      </c>
    </row>
    <row r="7255">
      <c r="A7255" s="2" t="s">
        <v>7252</v>
      </c>
      <c r="B7255" s="2">
        <v>533.0</v>
      </c>
      <c r="C7255" s="2">
        <v>6260.0</v>
      </c>
      <c r="D7255" s="2">
        <v>1816.0</v>
      </c>
      <c r="E7255" s="3">
        <f t="shared" si="1"/>
        <v>0.3170944648</v>
      </c>
      <c r="F7255" s="2">
        <v>616.0</v>
      </c>
      <c r="G7255" s="3">
        <f t="shared" si="2"/>
        <v>0.1075606775</v>
      </c>
      <c r="H7255" s="2">
        <v>1156.0</v>
      </c>
      <c r="I7255" s="3">
        <f t="shared" si="3"/>
        <v>0.2018508818</v>
      </c>
      <c r="J7255" s="2">
        <v>817.0</v>
      </c>
      <c r="K7255" s="3">
        <f t="shared" si="4"/>
        <v>0.1426575869</v>
      </c>
      <c r="L7255" s="2">
        <v>720.0</v>
      </c>
      <c r="M7255" s="3">
        <f t="shared" si="5"/>
        <v>0.6228373702</v>
      </c>
      <c r="N7255" s="2">
        <v>6513600.0</v>
      </c>
      <c r="O7255" s="4">
        <f t="shared" si="6"/>
        <v>5634.602076</v>
      </c>
      <c r="P7255" s="2">
        <v>0.0</v>
      </c>
      <c r="Q7255" s="3">
        <f t="shared" si="7"/>
        <v>0</v>
      </c>
      <c r="R7255" s="2">
        <v>533.0</v>
      </c>
      <c r="S7255" s="5">
        <f t="shared" si="8"/>
        <v>1</v>
      </c>
    </row>
    <row r="7256">
      <c r="A7256" s="2" t="s">
        <v>7253</v>
      </c>
      <c r="B7256" s="2">
        <v>32.0</v>
      </c>
      <c r="C7256" s="2">
        <v>376.0</v>
      </c>
      <c r="D7256" s="2">
        <v>93.0</v>
      </c>
      <c r="E7256" s="3">
        <f t="shared" si="1"/>
        <v>0.2703488372</v>
      </c>
      <c r="F7256" s="2">
        <v>37.0</v>
      </c>
      <c r="G7256" s="3">
        <f t="shared" si="2"/>
        <v>0.1075581395</v>
      </c>
      <c r="H7256" s="2">
        <v>68.0</v>
      </c>
      <c r="I7256" s="3">
        <f t="shared" si="3"/>
        <v>0.1976744186</v>
      </c>
      <c r="J7256" s="2">
        <v>52.0</v>
      </c>
      <c r="K7256" s="3">
        <f t="shared" si="4"/>
        <v>0.1511627907</v>
      </c>
      <c r="L7256" s="2">
        <v>41.0</v>
      </c>
      <c r="M7256" s="3">
        <f t="shared" si="5"/>
        <v>0.6029411765</v>
      </c>
      <c r="N7256" s="2">
        <v>414400.0</v>
      </c>
      <c r="O7256" s="4">
        <f t="shared" si="6"/>
        <v>6094.117647</v>
      </c>
      <c r="P7256" s="2">
        <v>0.0</v>
      </c>
      <c r="Q7256" s="3">
        <f t="shared" si="7"/>
        <v>0</v>
      </c>
      <c r="R7256" s="2">
        <v>32.0</v>
      </c>
      <c r="S7256" s="5">
        <f t="shared" si="8"/>
        <v>1</v>
      </c>
    </row>
    <row r="7257">
      <c r="A7257" s="2" t="s">
        <v>7254</v>
      </c>
      <c r="B7257" s="2">
        <v>2666.0</v>
      </c>
      <c r="C7257" s="2">
        <v>31609.0</v>
      </c>
      <c r="D7257" s="2">
        <v>10003.0</v>
      </c>
      <c r="E7257" s="3">
        <f t="shared" si="1"/>
        <v>0.3456103376</v>
      </c>
      <c r="F7257" s="2">
        <v>3112.0</v>
      </c>
      <c r="G7257" s="3">
        <f t="shared" si="2"/>
        <v>0.1075216805</v>
      </c>
      <c r="H7257" s="2">
        <v>5961.0</v>
      </c>
      <c r="I7257" s="3">
        <f t="shared" si="3"/>
        <v>0.2059565353</v>
      </c>
      <c r="J7257" s="2">
        <v>4133.0</v>
      </c>
      <c r="K7257" s="3">
        <f t="shared" si="4"/>
        <v>0.1427979131</v>
      </c>
      <c r="L7257" s="2">
        <v>3668.0</v>
      </c>
      <c r="M7257" s="3">
        <f t="shared" si="5"/>
        <v>0.6153329978</v>
      </c>
      <c r="N7257" s="2">
        <v>3.24663E7</v>
      </c>
      <c r="O7257" s="4">
        <f t="shared" si="6"/>
        <v>5446.451938</v>
      </c>
      <c r="P7257" s="2">
        <v>2.0</v>
      </c>
      <c r="Q7257" s="3">
        <f t="shared" si="7"/>
        <v>0.0007501875469</v>
      </c>
      <c r="R7257" s="2">
        <v>2666.0</v>
      </c>
      <c r="S7257" s="5">
        <f t="shared" si="8"/>
        <v>1</v>
      </c>
    </row>
    <row r="7258">
      <c r="A7258" s="2" t="s">
        <v>7255</v>
      </c>
      <c r="B7258" s="2">
        <v>2851.0</v>
      </c>
      <c r="C7258" s="2">
        <v>33292.0</v>
      </c>
      <c r="D7258" s="2">
        <v>6964.0</v>
      </c>
      <c r="E7258" s="3">
        <f t="shared" si="1"/>
        <v>0.2287704083</v>
      </c>
      <c r="F7258" s="2">
        <v>3271.0</v>
      </c>
      <c r="G7258" s="3">
        <f t="shared" si="2"/>
        <v>0.107453763</v>
      </c>
      <c r="H7258" s="2">
        <v>5451.0</v>
      </c>
      <c r="I7258" s="3">
        <f t="shared" si="3"/>
        <v>0.1790677047</v>
      </c>
      <c r="J7258" s="2">
        <v>5766.0</v>
      </c>
      <c r="K7258" s="3">
        <f t="shared" si="4"/>
        <v>0.1894155908</v>
      </c>
      <c r="L7258" s="2">
        <v>3187.0</v>
      </c>
      <c r="M7258" s="3">
        <f t="shared" si="5"/>
        <v>0.5846633645</v>
      </c>
      <c r="N7258" s="2">
        <v>3.49046E7</v>
      </c>
      <c r="O7258" s="4">
        <f t="shared" si="6"/>
        <v>6403.338837</v>
      </c>
      <c r="P7258" s="2">
        <v>6.0</v>
      </c>
      <c r="Q7258" s="3">
        <f t="shared" si="7"/>
        <v>0.002104524728</v>
      </c>
      <c r="R7258" s="2">
        <v>2851.0</v>
      </c>
      <c r="S7258" s="5">
        <f t="shared" si="8"/>
        <v>1</v>
      </c>
    </row>
    <row r="7259">
      <c r="A7259" s="2" t="s">
        <v>7256</v>
      </c>
      <c r="B7259" s="2">
        <v>366.0</v>
      </c>
      <c r="C7259" s="2">
        <v>4304.0</v>
      </c>
      <c r="D7259" s="2">
        <v>1566.0</v>
      </c>
      <c r="E7259" s="3">
        <f t="shared" si="1"/>
        <v>0.3976637887</v>
      </c>
      <c r="F7259" s="2">
        <v>423.0</v>
      </c>
      <c r="G7259" s="3">
        <f t="shared" si="2"/>
        <v>0.1074149314</v>
      </c>
      <c r="H7259" s="2">
        <v>801.0</v>
      </c>
      <c r="I7259" s="3">
        <f t="shared" si="3"/>
        <v>0.2034027425</v>
      </c>
      <c r="J7259" s="2">
        <v>474.0</v>
      </c>
      <c r="K7259" s="3">
        <f t="shared" si="4"/>
        <v>0.1203656679</v>
      </c>
      <c r="L7259" s="2">
        <v>478.0</v>
      </c>
      <c r="M7259" s="3">
        <f t="shared" si="5"/>
        <v>0.5967540574</v>
      </c>
      <c r="N7259" s="2">
        <v>4153000.0</v>
      </c>
      <c r="O7259" s="4">
        <f t="shared" si="6"/>
        <v>5184.769039</v>
      </c>
      <c r="P7259" s="2">
        <v>0.0</v>
      </c>
      <c r="Q7259" s="3">
        <f t="shared" si="7"/>
        <v>0</v>
      </c>
      <c r="R7259" s="2">
        <v>120.0</v>
      </c>
      <c r="S7259" s="5">
        <f t="shared" si="8"/>
        <v>0.3278688525</v>
      </c>
    </row>
    <row r="7260">
      <c r="A7260" s="2" t="s">
        <v>7257</v>
      </c>
      <c r="B7260" s="2">
        <v>1079.0</v>
      </c>
      <c r="C7260" s="2">
        <v>12793.0</v>
      </c>
      <c r="D7260" s="2">
        <v>4299.0</v>
      </c>
      <c r="E7260" s="3">
        <f t="shared" si="1"/>
        <v>0.366996756</v>
      </c>
      <c r="F7260" s="2">
        <v>1258.0</v>
      </c>
      <c r="G7260" s="3">
        <f t="shared" si="2"/>
        <v>0.1073928632</v>
      </c>
      <c r="H7260" s="2">
        <v>2512.0</v>
      </c>
      <c r="I7260" s="3">
        <f t="shared" si="3"/>
        <v>0.2144442547</v>
      </c>
      <c r="J7260" s="2">
        <v>1636.0</v>
      </c>
      <c r="K7260" s="3">
        <f t="shared" si="4"/>
        <v>0.139661943</v>
      </c>
      <c r="L7260" s="2">
        <v>1542.0</v>
      </c>
      <c r="M7260" s="3">
        <f t="shared" si="5"/>
        <v>0.6138535032</v>
      </c>
      <c r="N7260" s="2">
        <v>1.33184E7</v>
      </c>
      <c r="O7260" s="4">
        <f t="shared" si="6"/>
        <v>5301.910828</v>
      </c>
      <c r="P7260" s="2">
        <v>3.0</v>
      </c>
      <c r="Q7260" s="3">
        <f t="shared" si="7"/>
        <v>0.002780352178</v>
      </c>
      <c r="R7260" s="2">
        <v>1079.0</v>
      </c>
      <c r="S7260" s="5">
        <f t="shared" si="8"/>
        <v>1</v>
      </c>
    </row>
    <row r="7261">
      <c r="A7261" s="2" t="s">
        <v>7258</v>
      </c>
      <c r="B7261" s="2">
        <v>475.0</v>
      </c>
      <c r="C7261" s="2">
        <v>5634.0</v>
      </c>
      <c r="D7261" s="2">
        <v>1696.0</v>
      </c>
      <c r="E7261" s="3">
        <f t="shared" si="1"/>
        <v>0.328745881</v>
      </c>
      <c r="F7261" s="2">
        <v>554.0</v>
      </c>
      <c r="G7261" s="3">
        <f t="shared" si="2"/>
        <v>0.1073851522</v>
      </c>
      <c r="H7261" s="2">
        <v>1081.0</v>
      </c>
      <c r="I7261" s="3">
        <f t="shared" si="3"/>
        <v>0.2095367319</v>
      </c>
      <c r="J7261" s="2">
        <v>867.0</v>
      </c>
      <c r="K7261" s="3">
        <f t="shared" si="4"/>
        <v>0.1680558248</v>
      </c>
      <c r="L7261" s="2">
        <v>672.0</v>
      </c>
      <c r="M7261" s="3">
        <f t="shared" si="5"/>
        <v>0.6216466235</v>
      </c>
      <c r="N7261" s="2">
        <v>5890300.0</v>
      </c>
      <c r="O7261" s="4">
        <f t="shared" si="6"/>
        <v>5448.93617</v>
      </c>
      <c r="P7261" s="2">
        <v>0.0</v>
      </c>
      <c r="Q7261" s="3">
        <f t="shared" si="7"/>
        <v>0</v>
      </c>
      <c r="R7261" s="2">
        <v>16.0</v>
      </c>
      <c r="S7261" s="5">
        <f t="shared" si="8"/>
        <v>0.03368421053</v>
      </c>
    </row>
    <row r="7262">
      <c r="A7262" s="2" t="s">
        <v>7259</v>
      </c>
      <c r="B7262" s="2">
        <v>417.0</v>
      </c>
      <c r="C7262" s="2">
        <v>4888.0</v>
      </c>
      <c r="D7262" s="2">
        <v>1442.0</v>
      </c>
      <c r="E7262" s="3">
        <f t="shared" si="1"/>
        <v>0.3225229255</v>
      </c>
      <c r="F7262" s="2">
        <v>480.0</v>
      </c>
      <c r="G7262" s="3">
        <f t="shared" si="2"/>
        <v>0.1073585328</v>
      </c>
      <c r="H7262" s="2">
        <v>850.0</v>
      </c>
      <c r="I7262" s="3">
        <f t="shared" si="3"/>
        <v>0.1901140684</v>
      </c>
      <c r="J7262" s="2">
        <v>652.0</v>
      </c>
      <c r="K7262" s="3">
        <f t="shared" si="4"/>
        <v>0.1458286737</v>
      </c>
      <c r="L7262" s="2">
        <v>508.0</v>
      </c>
      <c r="M7262" s="3">
        <f t="shared" si="5"/>
        <v>0.5976470588</v>
      </c>
      <c r="N7262" s="2">
        <v>4930400.0</v>
      </c>
      <c r="O7262" s="4">
        <f t="shared" si="6"/>
        <v>5800.470588</v>
      </c>
      <c r="P7262" s="2">
        <v>0.0</v>
      </c>
      <c r="Q7262" s="3">
        <f t="shared" si="7"/>
        <v>0</v>
      </c>
      <c r="R7262" s="2">
        <v>417.0</v>
      </c>
      <c r="S7262" s="5">
        <f t="shared" si="8"/>
        <v>1</v>
      </c>
    </row>
    <row r="7263">
      <c r="A7263" s="2" t="s">
        <v>7260</v>
      </c>
      <c r="B7263" s="2">
        <v>181.0</v>
      </c>
      <c r="C7263" s="2">
        <v>2072.0</v>
      </c>
      <c r="D7263" s="2">
        <v>690.0</v>
      </c>
      <c r="E7263" s="3">
        <f t="shared" si="1"/>
        <v>0.3648863035</v>
      </c>
      <c r="F7263" s="2">
        <v>203.0</v>
      </c>
      <c r="G7263" s="3">
        <f t="shared" si="2"/>
        <v>0.1073506081</v>
      </c>
      <c r="H7263" s="2">
        <v>428.0</v>
      </c>
      <c r="I7263" s="3">
        <f t="shared" si="3"/>
        <v>0.2263352723</v>
      </c>
      <c r="J7263" s="2">
        <v>317.0</v>
      </c>
      <c r="K7263" s="3">
        <f t="shared" si="4"/>
        <v>0.1676361713</v>
      </c>
      <c r="L7263" s="2">
        <v>261.0</v>
      </c>
      <c r="M7263" s="3">
        <f t="shared" si="5"/>
        <v>0.6098130841</v>
      </c>
      <c r="N7263" s="2">
        <v>2490100.0</v>
      </c>
      <c r="O7263" s="4">
        <f t="shared" si="6"/>
        <v>5817.990654</v>
      </c>
      <c r="P7263" s="2">
        <v>0.0</v>
      </c>
      <c r="Q7263" s="3">
        <f t="shared" si="7"/>
        <v>0</v>
      </c>
      <c r="R7263" s="2">
        <v>86.0</v>
      </c>
      <c r="S7263" s="5">
        <f t="shared" si="8"/>
        <v>0.4751381215</v>
      </c>
    </row>
    <row r="7264">
      <c r="A7264" s="2" t="s">
        <v>7261</v>
      </c>
      <c r="B7264" s="2">
        <v>68.0</v>
      </c>
      <c r="C7264" s="2">
        <v>795.0</v>
      </c>
      <c r="D7264" s="2">
        <v>181.0</v>
      </c>
      <c r="E7264" s="3">
        <f t="shared" si="1"/>
        <v>0.2489683631</v>
      </c>
      <c r="F7264" s="2">
        <v>78.0</v>
      </c>
      <c r="G7264" s="3">
        <f t="shared" si="2"/>
        <v>0.1072902338</v>
      </c>
      <c r="H7264" s="2">
        <v>114.0</v>
      </c>
      <c r="I7264" s="3">
        <f t="shared" si="3"/>
        <v>0.1568088033</v>
      </c>
      <c r="J7264" s="2">
        <v>102.0</v>
      </c>
      <c r="K7264" s="3">
        <f t="shared" si="4"/>
        <v>0.1403026135</v>
      </c>
      <c r="L7264" s="2">
        <v>69.0</v>
      </c>
      <c r="M7264" s="3">
        <f t="shared" si="5"/>
        <v>0.6052631579</v>
      </c>
      <c r="N7264" s="2">
        <v>641200.0</v>
      </c>
      <c r="O7264" s="4">
        <f t="shared" si="6"/>
        <v>5624.561404</v>
      </c>
      <c r="P7264" s="2">
        <v>0.0</v>
      </c>
      <c r="Q7264" s="3">
        <f t="shared" si="7"/>
        <v>0</v>
      </c>
      <c r="R7264" s="2">
        <v>68.0</v>
      </c>
      <c r="S7264" s="5">
        <f t="shared" si="8"/>
        <v>1</v>
      </c>
    </row>
    <row r="7265">
      <c r="A7265" s="2" t="s">
        <v>7262</v>
      </c>
      <c r="B7265" s="2">
        <v>211.0</v>
      </c>
      <c r="C7265" s="2">
        <v>2532.0</v>
      </c>
      <c r="D7265" s="2">
        <v>878.0</v>
      </c>
      <c r="E7265" s="3">
        <f t="shared" si="1"/>
        <v>0.3782852219</v>
      </c>
      <c r="F7265" s="2">
        <v>249.0</v>
      </c>
      <c r="G7265" s="3">
        <f t="shared" si="2"/>
        <v>0.1072813442</v>
      </c>
      <c r="H7265" s="2">
        <v>489.0</v>
      </c>
      <c r="I7265" s="3">
        <f t="shared" si="3"/>
        <v>0.2106850495</v>
      </c>
      <c r="J7265" s="2">
        <v>336.0</v>
      </c>
      <c r="K7265" s="3">
        <f t="shared" si="4"/>
        <v>0.1447651874</v>
      </c>
      <c r="L7265" s="2">
        <v>305.0</v>
      </c>
      <c r="M7265" s="3">
        <f t="shared" si="5"/>
        <v>0.6237218814</v>
      </c>
      <c r="N7265" s="2">
        <v>2714300.0</v>
      </c>
      <c r="O7265" s="4">
        <f t="shared" si="6"/>
        <v>5550.715746</v>
      </c>
      <c r="P7265" s="2">
        <v>1.0</v>
      </c>
      <c r="Q7265" s="3">
        <f t="shared" si="7"/>
        <v>0.004739336493</v>
      </c>
      <c r="R7265" s="2">
        <v>211.0</v>
      </c>
      <c r="S7265" s="5">
        <f t="shared" si="8"/>
        <v>1</v>
      </c>
    </row>
    <row r="7266">
      <c r="A7266" s="2" t="s">
        <v>7263</v>
      </c>
      <c r="B7266" s="2">
        <v>734.0</v>
      </c>
      <c r="C7266" s="2">
        <v>8741.0</v>
      </c>
      <c r="D7266" s="2">
        <v>2850.0</v>
      </c>
      <c r="E7266" s="3">
        <f t="shared" si="1"/>
        <v>0.3559385538</v>
      </c>
      <c r="F7266" s="2">
        <v>859.0</v>
      </c>
      <c r="G7266" s="3">
        <f t="shared" si="2"/>
        <v>0.107281129</v>
      </c>
      <c r="H7266" s="2">
        <v>1688.0</v>
      </c>
      <c r="I7266" s="3">
        <f t="shared" si="3"/>
        <v>0.2108155364</v>
      </c>
      <c r="J7266" s="2">
        <v>1198.0</v>
      </c>
      <c r="K7266" s="3">
        <f t="shared" si="4"/>
        <v>0.1496190833</v>
      </c>
      <c r="L7266" s="2">
        <v>1011.0</v>
      </c>
      <c r="M7266" s="3">
        <f t="shared" si="5"/>
        <v>0.5989336493</v>
      </c>
      <c r="N7266" s="2">
        <v>9107800.0</v>
      </c>
      <c r="O7266" s="4">
        <f t="shared" si="6"/>
        <v>5395.616114</v>
      </c>
      <c r="P7266" s="2">
        <v>0.0</v>
      </c>
      <c r="Q7266" s="3">
        <f t="shared" si="7"/>
        <v>0</v>
      </c>
      <c r="R7266" s="2">
        <v>734.0</v>
      </c>
      <c r="S7266" s="5">
        <f t="shared" si="8"/>
        <v>1</v>
      </c>
    </row>
    <row r="7267">
      <c r="A7267" s="2" t="s">
        <v>7264</v>
      </c>
      <c r="B7267" s="2">
        <v>416.0</v>
      </c>
      <c r="C7267" s="2">
        <v>4909.0</v>
      </c>
      <c r="D7267" s="2">
        <v>1461.0</v>
      </c>
      <c r="E7267" s="3">
        <f t="shared" si="1"/>
        <v>0.3251724905</v>
      </c>
      <c r="F7267" s="2">
        <v>482.0</v>
      </c>
      <c r="G7267" s="3">
        <f t="shared" si="2"/>
        <v>0.107277988</v>
      </c>
      <c r="H7267" s="2">
        <v>877.0</v>
      </c>
      <c r="I7267" s="3">
        <f t="shared" si="3"/>
        <v>0.1951925217</v>
      </c>
      <c r="J7267" s="2">
        <v>743.0</v>
      </c>
      <c r="K7267" s="3">
        <f t="shared" si="4"/>
        <v>0.1653683508</v>
      </c>
      <c r="L7267" s="2">
        <v>526.0</v>
      </c>
      <c r="M7267" s="3">
        <f t="shared" si="5"/>
        <v>0.5997719498</v>
      </c>
      <c r="N7267" s="2">
        <v>4927200.0</v>
      </c>
      <c r="O7267" s="4">
        <f t="shared" si="6"/>
        <v>5618.244014</v>
      </c>
      <c r="P7267" s="2">
        <v>3.0</v>
      </c>
      <c r="Q7267" s="3">
        <f t="shared" si="7"/>
        <v>0.007211538462</v>
      </c>
      <c r="R7267" s="2">
        <v>2.0</v>
      </c>
      <c r="S7267" s="5">
        <f t="shared" si="8"/>
        <v>0.004807692308</v>
      </c>
    </row>
    <row r="7268">
      <c r="A7268" s="2" t="s">
        <v>7265</v>
      </c>
      <c r="B7268" s="2">
        <v>1520.0</v>
      </c>
      <c r="C7268" s="2">
        <v>17761.0</v>
      </c>
      <c r="D7268" s="2">
        <v>6087.0</v>
      </c>
      <c r="E7268" s="3">
        <f t="shared" si="1"/>
        <v>0.3747921926</v>
      </c>
      <c r="F7268" s="2">
        <v>1742.0</v>
      </c>
      <c r="G7268" s="3">
        <f t="shared" si="2"/>
        <v>0.1072594052</v>
      </c>
      <c r="H7268" s="2">
        <v>3364.0</v>
      </c>
      <c r="I7268" s="3">
        <f t="shared" si="3"/>
        <v>0.2071301028</v>
      </c>
      <c r="J7268" s="2">
        <v>2639.0</v>
      </c>
      <c r="K7268" s="3">
        <f t="shared" si="4"/>
        <v>0.1624899945</v>
      </c>
      <c r="L7268" s="2">
        <v>2039.0</v>
      </c>
      <c r="M7268" s="3">
        <f t="shared" si="5"/>
        <v>0.6061236623</v>
      </c>
      <c r="N7268" s="2">
        <v>1.88159E7</v>
      </c>
      <c r="O7268" s="4">
        <f t="shared" si="6"/>
        <v>5593.311534</v>
      </c>
      <c r="P7268" s="2">
        <v>5.0</v>
      </c>
      <c r="Q7268" s="3">
        <f t="shared" si="7"/>
        <v>0.003289473684</v>
      </c>
      <c r="R7268" s="2">
        <v>1520.0</v>
      </c>
      <c r="S7268" s="5">
        <f t="shared" si="8"/>
        <v>1</v>
      </c>
    </row>
    <row r="7269">
      <c r="A7269" s="2" t="s">
        <v>7266</v>
      </c>
      <c r="B7269" s="2">
        <v>3022.0</v>
      </c>
      <c r="C7269" s="2">
        <v>35651.0</v>
      </c>
      <c r="D7269" s="2">
        <v>11228.0</v>
      </c>
      <c r="E7269" s="3">
        <f t="shared" si="1"/>
        <v>0.3441110668</v>
      </c>
      <c r="F7269" s="2">
        <v>3499.0</v>
      </c>
      <c r="G7269" s="3">
        <f t="shared" si="2"/>
        <v>0.1072358944</v>
      </c>
      <c r="H7269" s="2">
        <v>6697.0</v>
      </c>
      <c r="I7269" s="3">
        <f t="shared" si="3"/>
        <v>0.2052468663</v>
      </c>
      <c r="J7269" s="2">
        <v>5172.0</v>
      </c>
      <c r="K7269" s="3">
        <f t="shared" si="4"/>
        <v>0.1585093015</v>
      </c>
      <c r="L7269" s="2">
        <v>4036.0</v>
      </c>
      <c r="M7269" s="3">
        <f t="shared" si="5"/>
        <v>0.6026579065</v>
      </c>
      <c r="N7269" s="2">
        <v>3.72343E7</v>
      </c>
      <c r="O7269" s="4">
        <f t="shared" si="6"/>
        <v>5559.847693</v>
      </c>
      <c r="P7269" s="2">
        <v>7.0</v>
      </c>
      <c r="Q7269" s="3">
        <f t="shared" si="7"/>
        <v>0.00231634679</v>
      </c>
      <c r="R7269" s="2">
        <v>1004.0</v>
      </c>
      <c r="S7269" s="5">
        <f t="shared" si="8"/>
        <v>0.3322303111</v>
      </c>
    </row>
    <row r="7270">
      <c r="A7270" s="2" t="s">
        <v>7267</v>
      </c>
      <c r="B7270" s="2">
        <v>1930.0</v>
      </c>
      <c r="C7270" s="2">
        <v>22916.0</v>
      </c>
      <c r="D7270" s="2">
        <v>7997.0</v>
      </c>
      <c r="E7270" s="3">
        <f t="shared" si="1"/>
        <v>0.3810635662</v>
      </c>
      <c r="F7270" s="2">
        <v>2250.0</v>
      </c>
      <c r="G7270" s="3">
        <f t="shared" si="2"/>
        <v>0.1072143334</v>
      </c>
      <c r="H7270" s="2">
        <v>4338.0</v>
      </c>
      <c r="I7270" s="3">
        <f t="shared" si="3"/>
        <v>0.2067092347</v>
      </c>
      <c r="J7270" s="2">
        <v>2988.0</v>
      </c>
      <c r="K7270" s="3">
        <f t="shared" si="4"/>
        <v>0.1423806347</v>
      </c>
      <c r="L7270" s="2">
        <v>2615.0</v>
      </c>
      <c r="M7270" s="3">
        <f t="shared" si="5"/>
        <v>0.6028123559</v>
      </c>
      <c r="N7270" s="2">
        <v>2.26566E7</v>
      </c>
      <c r="O7270" s="4">
        <f t="shared" si="6"/>
        <v>5222.821577</v>
      </c>
      <c r="P7270" s="2">
        <v>1.0</v>
      </c>
      <c r="Q7270" s="3">
        <f t="shared" si="7"/>
        <v>0.000518134715</v>
      </c>
      <c r="R7270" s="2">
        <v>1930.0</v>
      </c>
      <c r="S7270" s="5">
        <f t="shared" si="8"/>
        <v>1</v>
      </c>
    </row>
    <row r="7271">
      <c r="A7271" s="2" t="s">
        <v>7268</v>
      </c>
      <c r="B7271" s="2">
        <v>2687.0</v>
      </c>
      <c r="C7271" s="2">
        <v>31882.0</v>
      </c>
      <c r="D7271" s="2">
        <v>11479.0</v>
      </c>
      <c r="E7271" s="3">
        <f t="shared" si="1"/>
        <v>0.3931837643</v>
      </c>
      <c r="F7271" s="2">
        <v>3130.0</v>
      </c>
      <c r="G7271" s="3">
        <f t="shared" si="2"/>
        <v>0.1072101387</v>
      </c>
      <c r="H7271" s="2">
        <v>6090.0</v>
      </c>
      <c r="I7271" s="3">
        <f t="shared" si="3"/>
        <v>0.2085973626</v>
      </c>
      <c r="J7271" s="2">
        <v>3952.0</v>
      </c>
      <c r="K7271" s="3">
        <f t="shared" si="4"/>
        <v>0.1353656448</v>
      </c>
      <c r="L7271" s="2">
        <v>3737.0</v>
      </c>
      <c r="M7271" s="3">
        <f t="shared" si="5"/>
        <v>0.6136288998</v>
      </c>
      <c r="N7271" s="2">
        <v>3.12297E7</v>
      </c>
      <c r="O7271" s="4">
        <f t="shared" si="6"/>
        <v>5128.029557</v>
      </c>
      <c r="P7271" s="2">
        <v>6.0</v>
      </c>
      <c r="Q7271" s="3">
        <f t="shared" si="7"/>
        <v>0.002232973576</v>
      </c>
      <c r="R7271" s="2">
        <v>2687.0</v>
      </c>
      <c r="S7271" s="5">
        <f t="shared" si="8"/>
        <v>1</v>
      </c>
    </row>
    <row r="7272">
      <c r="A7272" s="2" t="s">
        <v>7269</v>
      </c>
      <c r="B7272" s="2">
        <v>134.0</v>
      </c>
      <c r="C7272" s="2">
        <v>1608.0</v>
      </c>
      <c r="D7272" s="2">
        <v>447.0</v>
      </c>
      <c r="E7272" s="3">
        <f t="shared" si="1"/>
        <v>0.303256445</v>
      </c>
      <c r="F7272" s="2">
        <v>158.0</v>
      </c>
      <c r="G7272" s="3">
        <f t="shared" si="2"/>
        <v>0.1071913161</v>
      </c>
      <c r="H7272" s="2">
        <v>307.0</v>
      </c>
      <c r="I7272" s="3">
        <f t="shared" si="3"/>
        <v>0.2082767978</v>
      </c>
      <c r="J7272" s="2">
        <v>248.0</v>
      </c>
      <c r="K7272" s="3">
        <f t="shared" si="4"/>
        <v>0.1682496608</v>
      </c>
      <c r="L7272" s="2">
        <v>193.0</v>
      </c>
      <c r="M7272" s="3">
        <f t="shared" si="5"/>
        <v>0.6286644951</v>
      </c>
      <c r="N7272" s="2">
        <v>1734900.0</v>
      </c>
      <c r="O7272" s="4">
        <f t="shared" si="6"/>
        <v>5651.140065</v>
      </c>
      <c r="P7272" s="2">
        <v>0.0</v>
      </c>
      <c r="Q7272" s="3">
        <f t="shared" si="7"/>
        <v>0</v>
      </c>
      <c r="R7272" s="2">
        <v>130.0</v>
      </c>
      <c r="S7272" s="5">
        <f t="shared" si="8"/>
        <v>0.9701492537</v>
      </c>
    </row>
    <row r="7273">
      <c r="A7273" s="2" t="s">
        <v>7270</v>
      </c>
      <c r="B7273" s="2">
        <v>453.0</v>
      </c>
      <c r="C7273" s="2">
        <v>5426.0</v>
      </c>
      <c r="D7273" s="2">
        <v>1952.0</v>
      </c>
      <c r="E7273" s="3">
        <f t="shared" si="1"/>
        <v>0.3925196059</v>
      </c>
      <c r="F7273" s="2">
        <v>533.0</v>
      </c>
      <c r="G7273" s="3">
        <f t="shared" si="2"/>
        <v>0.1071787653</v>
      </c>
      <c r="H7273" s="2">
        <v>1031.0</v>
      </c>
      <c r="I7273" s="3">
        <f t="shared" si="3"/>
        <v>0.2073195254</v>
      </c>
      <c r="J7273" s="2">
        <v>823.0</v>
      </c>
      <c r="K7273" s="3">
        <f t="shared" si="4"/>
        <v>0.1654936658</v>
      </c>
      <c r="L7273" s="2">
        <v>627.0</v>
      </c>
      <c r="M7273" s="3">
        <f t="shared" si="5"/>
        <v>0.6081474297</v>
      </c>
      <c r="N7273" s="2">
        <v>5338100.0</v>
      </c>
      <c r="O7273" s="4">
        <f t="shared" si="6"/>
        <v>5177.594568</v>
      </c>
      <c r="P7273" s="2">
        <v>0.0</v>
      </c>
      <c r="Q7273" s="3">
        <f t="shared" si="7"/>
        <v>0</v>
      </c>
      <c r="R7273" s="2">
        <v>453.0</v>
      </c>
      <c r="S7273" s="5">
        <f t="shared" si="8"/>
        <v>1</v>
      </c>
    </row>
    <row r="7274">
      <c r="A7274" s="2" t="s">
        <v>7271</v>
      </c>
      <c r="B7274" s="2">
        <v>6.0</v>
      </c>
      <c r="C7274" s="2">
        <v>90.0</v>
      </c>
      <c r="D7274" s="2">
        <v>22.0</v>
      </c>
      <c r="E7274" s="3">
        <f t="shared" si="1"/>
        <v>0.2619047619</v>
      </c>
      <c r="F7274" s="2">
        <v>9.0</v>
      </c>
      <c r="G7274" s="3">
        <f t="shared" si="2"/>
        <v>0.1071428571</v>
      </c>
      <c r="H7274" s="2">
        <v>22.0</v>
      </c>
      <c r="I7274" s="3">
        <f t="shared" si="3"/>
        <v>0.2619047619</v>
      </c>
      <c r="J7274" s="2">
        <v>11.0</v>
      </c>
      <c r="K7274" s="3">
        <f t="shared" si="4"/>
        <v>0.130952381</v>
      </c>
      <c r="L7274" s="2">
        <v>11.0</v>
      </c>
      <c r="M7274" s="3">
        <f t="shared" si="5"/>
        <v>0.5</v>
      </c>
      <c r="N7274" s="2">
        <v>120100.0</v>
      </c>
      <c r="O7274" s="4">
        <f t="shared" si="6"/>
        <v>5459.090909</v>
      </c>
      <c r="P7274" s="2">
        <v>0.0</v>
      </c>
      <c r="Q7274" s="3">
        <f t="shared" si="7"/>
        <v>0</v>
      </c>
      <c r="R7274" s="2">
        <v>6.0</v>
      </c>
      <c r="S7274" s="5">
        <f t="shared" si="8"/>
        <v>1</v>
      </c>
    </row>
    <row r="7275">
      <c r="A7275" s="2" t="s">
        <v>7272</v>
      </c>
      <c r="B7275" s="2">
        <v>193.0</v>
      </c>
      <c r="C7275" s="2">
        <v>2312.0</v>
      </c>
      <c r="D7275" s="2">
        <v>855.0</v>
      </c>
      <c r="E7275" s="3">
        <f t="shared" si="1"/>
        <v>0.4034922133</v>
      </c>
      <c r="F7275" s="2">
        <v>227.0</v>
      </c>
      <c r="G7275" s="3">
        <f t="shared" si="2"/>
        <v>0.1071260028</v>
      </c>
      <c r="H7275" s="2">
        <v>417.0</v>
      </c>
      <c r="I7275" s="3">
        <f t="shared" si="3"/>
        <v>0.1967909391</v>
      </c>
      <c r="J7275" s="2">
        <v>242.0</v>
      </c>
      <c r="K7275" s="3">
        <f t="shared" si="4"/>
        <v>0.1142048136</v>
      </c>
      <c r="L7275" s="2">
        <v>247.0</v>
      </c>
      <c r="M7275" s="3">
        <f t="shared" si="5"/>
        <v>0.5923261391</v>
      </c>
      <c r="N7275" s="2">
        <v>2260000.0</v>
      </c>
      <c r="O7275" s="4">
        <f t="shared" si="6"/>
        <v>5419.664269</v>
      </c>
      <c r="P7275" s="2">
        <v>1.0</v>
      </c>
      <c r="Q7275" s="3">
        <f t="shared" si="7"/>
        <v>0.00518134715</v>
      </c>
      <c r="R7275" s="2">
        <v>193.0</v>
      </c>
      <c r="S7275" s="5">
        <f t="shared" si="8"/>
        <v>1</v>
      </c>
    </row>
    <row r="7276">
      <c r="A7276" s="2" t="s">
        <v>7273</v>
      </c>
      <c r="B7276" s="2">
        <v>5826.0</v>
      </c>
      <c r="C7276" s="2">
        <v>68964.0</v>
      </c>
      <c r="D7276" s="2">
        <v>19113.0</v>
      </c>
      <c r="E7276" s="3">
        <f t="shared" si="1"/>
        <v>0.3027178561</v>
      </c>
      <c r="F7276" s="2">
        <v>6762.0</v>
      </c>
      <c r="G7276" s="3">
        <f t="shared" si="2"/>
        <v>0.1070987361</v>
      </c>
      <c r="H7276" s="2">
        <v>12386.0</v>
      </c>
      <c r="I7276" s="3">
        <f t="shared" si="3"/>
        <v>0.1961734613</v>
      </c>
      <c r="J7276" s="2">
        <v>10385.0</v>
      </c>
      <c r="K7276" s="3">
        <f t="shared" si="4"/>
        <v>0.1644809782</v>
      </c>
      <c r="L7276" s="2">
        <v>7233.0</v>
      </c>
      <c r="M7276" s="3">
        <f t="shared" si="5"/>
        <v>0.5839657678</v>
      </c>
      <c r="N7276" s="2">
        <v>6.99389E7</v>
      </c>
      <c r="O7276" s="4">
        <f t="shared" si="6"/>
        <v>5646.609075</v>
      </c>
      <c r="P7276" s="2">
        <v>7.0</v>
      </c>
      <c r="Q7276" s="3">
        <f t="shared" si="7"/>
        <v>0.00120151047</v>
      </c>
      <c r="R7276" s="2">
        <v>0.0</v>
      </c>
      <c r="S7276" s="5">
        <f t="shared" si="8"/>
        <v>0</v>
      </c>
    </row>
    <row r="7277">
      <c r="A7277" s="2" t="s">
        <v>7274</v>
      </c>
      <c r="B7277" s="2">
        <v>481.0</v>
      </c>
      <c r="C7277" s="2">
        <v>5654.0</v>
      </c>
      <c r="D7277" s="2">
        <v>1659.0</v>
      </c>
      <c r="E7277" s="3">
        <f t="shared" si="1"/>
        <v>0.3207036536</v>
      </c>
      <c r="F7277" s="2">
        <v>554.0</v>
      </c>
      <c r="G7277" s="3">
        <f t="shared" si="2"/>
        <v>0.1070945293</v>
      </c>
      <c r="H7277" s="2">
        <v>944.0</v>
      </c>
      <c r="I7277" s="3">
        <f t="shared" si="3"/>
        <v>0.1824859849</v>
      </c>
      <c r="J7277" s="2">
        <v>659.0</v>
      </c>
      <c r="K7277" s="3">
        <f t="shared" si="4"/>
        <v>0.1273922289</v>
      </c>
      <c r="L7277" s="2">
        <v>594.0</v>
      </c>
      <c r="M7277" s="3">
        <f t="shared" si="5"/>
        <v>0.6292372881</v>
      </c>
      <c r="N7277" s="2">
        <v>5216800.0</v>
      </c>
      <c r="O7277" s="4">
        <f t="shared" si="6"/>
        <v>5526.271186</v>
      </c>
      <c r="P7277" s="2">
        <v>2.0</v>
      </c>
      <c r="Q7277" s="3">
        <f t="shared" si="7"/>
        <v>0.004158004158</v>
      </c>
      <c r="R7277" s="2">
        <v>481.0</v>
      </c>
      <c r="S7277" s="5">
        <f t="shared" si="8"/>
        <v>1</v>
      </c>
    </row>
    <row r="7278">
      <c r="A7278" s="2" t="s">
        <v>7275</v>
      </c>
      <c r="B7278" s="2">
        <v>188.0</v>
      </c>
      <c r="C7278" s="2">
        <v>2224.0</v>
      </c>
      <c r="D7278" s="2">
        <v>582.0</v>
      </c>
      <c r="E7278" s="3">
        <f t="shared" si="1"/>
        <v>0.2858546169</v>
      </c>
      <c r="F7278" s="2">
        <v>218.0</v>
      </c>
      <c r="G7278" s="3">
        <f t="shared" si="2"/>
        <v>0.1070726916</v>
      </c>
      <c r="H7278" s="2">
        <v>444.0</v>
      </c>
      <c r="I7278" s="3">
        <f t="shared" si="3"/>
        <v>0.2180746562</v>
      </c>
      <c r="J7278" s="2">
        <v>283.0</v>
      </c>
      <c r="K7278" s="3">
        <f t="shared" si="4"/>
        <v>0.1389980354</v>
      </c>
      <c r="L7278" s="2">
        <v>266.0</v>
      </c>
      <c r="M7278" s="3">
        <f t="shared" si="5"/>
        <v>0.5990990991</v>
      </c>
      <c r="N7278" s="2">
        <v>2512200.0</v>
      </c>
      <c r="O7278" s="4">
        <f t="shared" si="6"/>
        <v>5658.108108</v>
      </c>
      <c r="P7278" s="2">
        <v>1.0</v>
      </c>
      <c r="Q7278" s="3">
        <f t="shared" si="7"/>
        <v>0.005319148936</v>
      </c>
      <c r="R7278" s="2">
        <v>0.0</v>
      </c>
      <c r="S7278" s="5">
        <f t="shared" si="8"/>
        <v>0</v>
      </c>
    </row>
    <row r="7279">
      <c r="A7279" s="2" t="s">
        <v>7276</v>
      </c>
      <c r="B7279" s="2">
        <v>271.0</v>
      </c>
      <c r="C7279" s="2">
        <v>3185.0</v>
      </c>
      <c r="D7279" s="2">
        <v>988.0</v>
      </c>
      <c r="E7279" s="3">
        <f t="shared" si="1"/>
        <v>0.3390528483</v>
      </c>
      <c r="F7279" s="2">
        <v>312.0</v>
      </c>
      <c r="G7279" s="3">
        <f t="shared" si="2"/>
        <v>0.1070693205</v>
      </c>
      <c r="H7279" s="2">
        <v>589.0</v>
      </c>
      <c r="I7279" s="3">
        <f t="shared" si="3"/>
        <v>0.2021276596</v>
      </c>
      <c r="J7279" s="2">
        <v>535.0</v>
      </c>
      <c r="K7279" s="3">
        <f t="shared" si="4"/>
        <v>0.183596431</v>
      </c>
      <c r="L7279" s="2">
        <v>358.0</v>
      </c>
      <c r="M7279" s="3">
        <f t="shared" si="5"/>
        <v>0.6078098472</v>
      </c>
      <c r="N7279" s="2">
        <v>3521400.0</v>
      </c>
      <c r="O7279" s="4">
        <f t="shared" si="6"/>
        <v>5978.60781</v>
      </c>
      <c r="P7279" s="2">
        <v>0.0</v>
      </c>
      <c r="Q7279" s="3">
        <f t="shared" si="7"/>
        <v>0</v>
      </c>
      <c r="R7279" s="2">
        <v>271.0</v>
      </c>
      <c r="S7279" s="5">
        <f t="shared" si="8"/>
        <v>1</v>
      </c>
    </row>
    <row r="7280">
      <c r="A7280" s="2" t="s">
        <v>7277</v>
      </c>
      <c r="B7280" s="2">
        <v>35.0</v>
      </c>
      <c r="C7280" s="2">
        <v>390.0</v>
      </c>
      <c r="D7280" s="2">
        <v>121.0</v>
      </c>
      <c r="E7280" s="3">
        <f t="shared" si="1"/>
        <v>0.3408450704</v>
      </c>
      <c r="F7280" s="2">
        <v>38.0</v>
      </c>
      <c r="G7280" s="3">
        <f t="shared" si="2"/>
        <v>0.1070422535</v>
      </c>
      <c r="H7280" s="2">
        <v>71.0</v>
      </c>
      <c r="I7280" s="3">
        <f t="shared" si="3"/>
        <v>0.2</v>
      </c>
      <c r="J7280" s="2">
        <v>72.0</v>
      </c>
      <c r="K7280" s="3">
        <f t="shared" si="4"/>
        <v>0.2028169014</v>
      </c>
      <c r="L7280" s="2">
        <v>39.0</v>
      </c>
      <c r="M7280" s="3">
        <f t="shared" si="5"/>
        <v>0.5492957746</v>
      </c>
      <c r="N7280" s="2">
        <v>370500.0</v>
      </c>
      <c r="O7280" s="4">
        <f t="shared" si="6"/>
        <v>5218.309859</v>
      </c>
      <c r="P7280" s="2">
        <v>0.0</v>
      </c>
      <c r="Q7280" s="3">
        <f t="shared" si="7"/>
        <v>0</v>
      </c>
      <c r="R7280" s="2">
        <v>35.0</v>
      </c>
      <c r="S7280" s="5">
        <f t="shared" si="8"/>
        <v>1</v>
      </c>
    </row>
    <row r="7281">
      <c r="A7281" s="2" t="s">
        <v>7278</v>
      </c>
      <c r="B7281" s="2">
        <v>95.0</v>
      </c>
      <c r="C7281" s="2">
        <v>1104.0</v>
      </c>
      <c r="D7281" s="2">
        <v>348.0</v>
      </c>
      <c r="E7281" s="3">
        <f t="shared" si="1"/>
        <v>0.3448959366</v>
      </c>
      <c r="F7281" s="2">
        <v>108.0</v>
      </c>
      <c r="G7281" s="3">
        <f t="shared" si="2"/>
        <v>0.10703667</v>
      </c>
      <c r="H7281" s="2">
        <v>215.0</v>
      </c>
      <c r="I7281" s="3">
        <f t="shared" si="3"/>
        <v>0.2130822597</v>
      </c>
      <c r="J7281" s="2">
        <v>194.0</v>
      </c>
      <c r="K7281" s="3">
        <f t="shared" si="4"/>
        <v>0.1922695738</v>
      </c>
      <c r="L7281" s="2">
        <v>119.0</v>
      </c>
      <c r="M7281" s="3">
        <f t="shared" si="5"/>
        <v>0.5534883721</v>
      </c>
      <c r="N7281" s="2">
        <v>1259100.0</v>
      </c>
      <c r="O7281" s="4">
        <f t="shared" si="6"/>
        <v>5856.27907</v>
      </c>
      <c r="P7281" s="2">
        <v>1.0</v>
      </c>
      <c r="Q7281" s="3">
        <f t="shared" si="7"/>
        <v>0.01052631579</v>
      </c>
      <c r="R7281" s="2">
        <v>95.0</v>
      </c>
      <c r="S7281" s="5">
        <f t="shared" si="8"/>
        <v>1</v>
      </c>
    </row>
    <row r="7282">
      <c r="A7282" s="2" t="s">
        <v>7279</v>
      </c>
      <c r="B7282" s="2">
        <v>1620.0</v>
      </c>
      <c r="C7282" s="2">
        <v>19067.0</v>
      </c>
      <c r="D7282" s="2">
        <v>6323.0</v>
      </c>
      <c r="E7282" s="3">
        <f t="shared" si="1"/>
        <v>0.362411876</v>
      </c>
      <c r="F7282" s="2">
        <v>1867.0</v>
      </c>
      <c r="G7282" s="3">
        <f t="shared" si="2"/>
        <v>0.1070098011</v>
      </c>
      <c r="H7282" s="2">
        <v>3673.0</v>
      </c>
      <c r="I7282" s="3">
        <f t="shared" si="3"/>
        <v>0.2105232991</v>
      </c>
      <c r="J7282" s="2">
        <v>3007.0</v>
      </c>
      <c r="K7282" s="3">
        <f t="shared" si="4"/>
        <v>0.1723505474</v>
      </c>
      <c r="L7282" s="2">
        <v>2132.0</v>
      </c>
      <c r="M7282" s="3">
        <f t="shared" si="5"/>
        <v>0.5804519466</v>
      </c>
      <c r="N7282" s="2">
        <v>1.96607E7</v>
      </c>
      <c r="O7282" s="4">
        <f t="shared" si="6"/>
        <v>5352.763409</v>
      </c>
      <c r="P7282" s="2">
        <v>3.0</v>
      </c>
      <c r="Q7282" s="3">
        <f t="shared" si="7"/>
        <v>0.001851851852</v>
      </c>
      <c r="R7282" s="2">
        <v>1620.0</v>
      </c>
      <c r="S7282" s="5">
        <f t="shared" si="8"/>
        <v>1</v>
      </c>
    </row>
    <row r="7283">
      <c r="A7283" s="2" t="s">
        <v>7280</v>
      </c>
      <c r="B7283" s="2">
        <v>899.0</v>
      </c>
      <c r="C7283" s="2">
        <v>10713.0</v>
      </c>
      <c r="D7283" s="2">
        <v>3168.0</v>
      </c>
      <c r="E7283" s="3">
        <f t="shared" si="1"/>
        <v>0.3228041573</v>
      </c>
      <c r="F7283" s="2">
        <v>1050.0</v>
      </c>
      <c r="G7283" s="3">
        <f t="shared" si="2"/>
        <v>0.1069900143</v>
      </c>
      <c r="H7283" s="2">
        <v>1960.0</v>
      </c>
      <c r="I7283" s="3">
        <f t="shared" si="3"/>
        <v>0.1997146933</v>
      </c>
      <c r="J7283" s="2">
        <v>1309.0</v>
      </c>
      <c r="K7283" s="3">
        <f t="shared" si="4"/>
        <v>0.1333808845</v>
      </c>
      <c r="L7283" s="2">
        <v>1155.0</v>
      </c>
      <c r="M7283" s="3">
        <f t="shared" si="5"/>
        <v>0.5892857143</v>
      </c>
      <c r="N7283" s="2">
        <v>9853400.0</v>
      </c>
      <c r="O7283" s="4">
        <f t="shared" si="6"/>
        <v>5027.244898</v>
      </c>
      <c r="P7283" s="2">
        <v>1.0</v>
      </c>
      <c r="Q7283" s="3">
        <f t="shared" si="7"/>
        <v>0.001112347052</v>
      </c>
      <c r="R7283" s="2">
        <v>899.0</v>
      </c>
      <c r="S7283" s="5">
        <f t="shared" si="8"/>
        <v>1</v>
      </c>
    </row>
    <row r="7284">
      <c r="A7284" s="2" t="s">
        <v>7281</v>
      </c>
      <c r="B7284" s="2">
        <v>1286.0</v>
      </c>
      <c r="C7284" s="2">
        <v>15148.0</v>
      </c>
      <c r="D7284" s="2">
        <v>4937.0</v>
      </c>
      <c r="E7284" s="3">
        <f t="shared" si="1"/>
        <v>0.3561535132</v>
      </c>
      <c r="F7284" s="2">
        <v>1483.0</v>
      </c>
      <c r="G7284" s="3">
        <f t="shared" si="2"/>
        <v>0.1069831193</v>
      </c>
      <c r="H7284" s="2">
        <v>2688.0</v>
      </c>
      <c r="I7284" s="3">
        <f t="shared" si="3"/>
        <v>0.1939114125</v>
      </c>
      <c r="J7284" s="2">
        <v>2036.0</v>
      </c>
      <c r="K7284" s="3">
        <f t="shared" si="4"/>
        <v>0.1468763526</v>
      </c>
      <c r="L7284" s="2">
        <v>1599.0</v>
      </c>
      <c r="M7284" s="3">
        <f t="shared" si="5"/>
        <v>0.5948660714</v>
      </c>
      <c r="N7284" s="2">
        <v>1.50166E7</v>
      </c>
      <c r="O7284" s="4">
        <f t="shared" si="6"/>
        <v>5586.532738</v>
      </c>
      <c r="P7284" s="2">
        <v>1.0</v>
      </c>
      <c r="Q7284" s="3">
        <f t="shared" si="7"/>
        <v>0.0007776049767</v>
      </c>
      <c r="R7284" s="2">
        <v>1286.0</v>
      </c>
      <c r="S7284" s="5">
        <f t="shared" si="8"/>
        <v>1</v>
      </c>
    </row>
    <row r="7285">
      <c r="A7285" s="2" t="s">
        <v>7282</v>
      </c>
      <c r="B7285" s="2">
        <v>73.0</v>
      </c>
      <c r="C7285" s="2">
        <v>849.0</v>
      </c>
      <c r="D7285" s="2">
        <v>282.0</v>
      </c>
      <c r="E7285" s="3">
        <f t="shared" si="1"/>
        <v>0.3634020619</v>
      </c>
      <c r="F7285" s="2">
        <v>83.0</v>
      </c>
      <c r="G7285" s="3">
        <f t="shared" si="2"/>
        <v>0.1069587629</v>
      </c>
      <c r="H7285" s="2">
        <v>152.0</v>
      </c>
      <c r="I7285" s="3">
        <f t="shared" si="3"/>
        <v>0.1958762887</v>
      </c>
      <c r="J7285" s="2">
        <v>104.0</v>
      </c>
      <c r="K7285" s="3">
        <f t="shared" si="4"/>
        <v>0.1340206186</v>
      </c>
      <c r="L7285" s="2">
        <v>91.0</v>
      </c>
      <c r="M7285" s="3">
        <f t="shared" si="5"/>
        <v>0.5986842105</v>
      </c>
      <c r="N7285" s="2">
        <v>792100.0</v>
      </c>
      <c r="O7285" s="4">
        <f t="shared" si="6"/>
        <v>5211.184211</v>
      </c>
      <c r="P7285" s="2">
        <v>0.0</v>
      </c>
      <c r="Q7285" s="3">
        <f t="shared" si="7"/>
        <v>0</v>
      </c>
      <c r="R7285" s="2">
        <v>73.0</v>
      </c>
      <c r="S7285" s="5">
        <f t="shared" si="8"/>
        <v>1</v>
      </c>
    </row>
    <row r="7286">
      <c r="A7286" s="2" t="s">
        <v>7283</v>
      </c>
      <c r="B7286" s="2">
        <v>33.0</v>
      </c>
      <c r="C7286" s="2">
        <v>379.0</v>
      </c>
      <c r="D7286" s="2">
        <v>130.0</v>
      </c>
      <c r="E7286" s="3">
        <f t="shared" si="1"/>
        <v>0.3757225434</v>
      </c>
      <c r="F7286" s="2">
        <v>37.0</v>
      </c>
      <c r="G7286" s="3">
        <f t="shared" si="2"/>
        <v>0.1069364162</v>
      </c>
      <c r="H7286" s="2">
        <v>69.0</v>
      </c>
      <c r="I7286" s="3">
        <f t="shared" si="3"/>
        <v>0.1994219653</v>
      </c>
      <c r="J7286" s="2">
        <v>48.0</v>
      </c>
      <c r="K7286" s="3">
        <f t="shared" si="4"/>
        <v>0.1387283237</v>
      </c>
      <c r="L7286" s="2">
        <v>41.0</v>
      </c>
      <c r="M7286" s="3">
        <f t="shared" si="5"/>
        <v>0.5942028986</v>
      </c>
      <c r="N7286" s="2">
        <v>367500.0</v>
      </c>
      <c r="O7286" s="4">
        <f t="shared" si="6"/>
        <v>5326.086957</v>
      </c>
      <c r="P7286" s="2">
        <v>0.0</v>
      </c>
      <c r="Q7286" s="3">
        <f t="shared" si="7"/>
        <v>0</v>
      </c>
      <c r="R7286" s="2">
        <v>33.0</v>
      </c>
      <c r="S7286" s="5">
        <f t="shared" si="8"/>
        <v>1</v>
      </c>
    </row>
    <row r="7287">
      <c r="A7287" s="2" t="s">
        <v>7284</v>
      </c>
      <c r="B7287" s="2">
        <v>835.0</v>
      </c>
      <c r="C7287" s="2">
        <v>9869.0</v>
      </c>
      <c r="D7287" s="2">
        <v>2942.0</v>
      </c>
      <c r="E7287" s="3">
        <f t="shared" si="1"/>
        <v>0.325658623</v>
      </c>
      <c r="F7287" s="2">
        <v>966.0</v>
      </c>
      <c r="G7287" s="3">
        <f t="shared" si="2"/>
        <v>0.1069293779</v>
      </c>
      <c r="H7287" s="2">
        <v>1820.0</v>
      </c>
      <c r="I7287" s="3">
        <f t="shared" si="3"/>
        <v>0.2014611468</v>
      </c>
      <c r="J7287" s="2">
        <v>1416.0</v>
      </c>
      <c r="K7287" s="3">
        <f t="shared" si="4"/>
        <v>0.1567411999</v>
      </c>
      <c r="L7287" s="2">
        <v>1073.0</v>
      </c>
      <c r="M7287" s="3">
        <f t="shared" si="5"/>
        <v>0.5895604396</v>
      </c>
      <c r="N7287" s="2">
        <v>9910600.0</v>
      </c>
      <c r="O7287" s="4">
        <f t="shared" si="6"/>
        <v>5445.384615</v>
      </c>
      <c r="P7287" s="2">
        <v>0.0</v>
      </c>
      <c r="Q7287" s="3">
        <f t="shared" si="7"/>
        <v>0</v>
      </c>
      <c r="R7287" s="2">
        <v>258.0</v>
      </c>
      <c r="S7287" s="5">
        <f t="shared" si="8"/>
        <v>0.3089820359</v>
      </c>
    </row>
    <row r="7288">
      <c r="A7288" s="2" t="s">
        <v>7285</v>
      </c>
      <c r="B7288" s="2">
        <v>233.0</v>
      </c>
      <c r="C7288" s="2">
        <v>2730.0</v>
      </c>
      <c r="D7288" s="2">
        <v>717.0</v>
      </c>
      <c r="E7288" s="3">
        <f t="shared" si="1"/>
        <v>0.2871445735</v>
      </c>
      <c r="F7288" s="2">
        <v>267.0</v>
      </c>
      <c r="G7288" s="3">
        <f t="shared" si="2"/>
        <v>0.106928314</v>
      </c>
      <c r="H7288" s="2">
        <v>479.0</v>
      </c>
      <c r="I7288" s="3">
        <f t="shared" si="3"/>
        <v>0.1918301962</v>
      </c>
      <c r="J7288" s="2">
        <v>364.0</v>
      </c>
      <c r="K7288" s="3">
        <f t="shared" si="4"/>
        <v>0.1457749299</v>
      </c>
      <c r="L7288" s="2">
        <v>286.0</v>
      </c>
      <c r="M7288" s="3">
        <f t="shared" si="5"/>
        <v>0.5970772443</v>
      </c>
      <c r="N7288" s="2">
        <v>2674800.0</v>
      </c>
      <c r="O7288" s="4">
        <f t="shared" si="6"/>
        <v>5584.133612</v>
      </c>
      <c r="P7288" s="2">
        <v>0.0</v>
      </c>
      <c r="Q7288" s="3">
        <f t="shared" si="7"/>
        <v>0</v>
      </c>
      <c r="R7288" s="2">
        <v>0.0</v>
      </c>
      <c r="S7288" s="5">
        <f t="shared" si="8"/>
        <v>0</v>
      </c>
    </row>
    <row r="7289">
      <c r="A7289" s="2" t="s">
        <v>7286</v>
      </c>
      <c r="B7289" s="2">
        <v>153.0</v>
      </c>
      <c r="C7289" s="2">
        <v>1799.0</v>
      </c>
      <c r="D7289" s="2">
        <v>663.0</v>
      </c>
      <c r="E7289" s="3">
        <f t="shared" si="1"/>
        <v>0.4027946537</v>
      </c>
      <c r="F7289" s="2">
        <v>176.0</v>
      </c>
      <c r="G7289" s="3">
        <f t="shared" si="2"/>
        <v>0.1069258809</v>
      </c>
      <c r="H7289" s="2">
        <v>334.0</v>
      </c>
      <c r="I7289" s="3">
        <f t="shared" si="3"/>
        <v>0.2029161604</v>
      </c>
      <c r="J7289" s="2">
        <v>250.0</v>
      </c>
      <c r="K7289" s="3">
        <f t="shared" si="4"/>
        <v>0.1518833536</v>
      </c>
      <c r="L7289" s="2">
        <v>199.0</v>
      </c>
      <c r="M7289" s="3">
        <f t="shared" si="5"/>
        <v>0.5958083832</v>
      </c>
      <c r="N7289" s="2">
        <v>1889200.0</v>
      </c>
      <c r="O7289" s="4">
        <f t="shared" si="6"/>
        <v>5656.287425</v>
      </c>
      <c r="P7289" s="2">
        <v>0.0</v>
      </c>
      <c r="Q7289" s="3">
        <f t="shared" si="7"/>
        <v>0</v>
      </c>
      <c r="R7289" s="2">
        <v>98.0</v>
      </c>
      <c r="S7289" s="5">
        <f t="shared" si="8"/>
        <v>0.6405228758</v>
      </c>
    </row>
    <row r="7290">
      <c r="A7290" s="2" t="s">
        <v>7287</v>
      </c>
      <c r="B7290" s="2">
        <v>30.0</v>
      </c>
      <c r="C7290" s="2">
        <v>348.0</v>
      </c>
      <c r="D7290" s="2">
        <v>103.0</v>
      </c>
      <c r="E7290" s="3">
        <f t="shared" si="1"/>
        <v>0.3238993711</v>
      </c>
      <c r="F7290" s="2">
        <v>34.0</v>
      </c>
      <c r="G7290" s="3">
        <f t="shared" si="2"/>
        <v>0.106918239</v>
      </c>
      <c r="H7290" s="2">
        <v>57.0</v>
      </c>
      <c r="I7290" s="3">
        <f t="shared" si="3"/>
        <v>0.179245283</v>
      </c>
      <c r="J7290" s="2">
        <v>45.0</v>
      </c>
      <c r="K7290" s="3">
        <f t="shared" si="4"/>
        <v>0.141509434</v>
      </c>
      <c r="L7290" s="2">
        <v>35.0</v>
      </c>
      <c r="M7290" s="3">
        <f t="shared" si="5"/>
        <v>0.6140350877</v>
      </c>
      <c r="N7290" s="2">
        <v>294100.0</v>
      </c>
      <c r="O7290" s="4">
        <f t="shared" si="6"/>
        <v>5159.649123</v>
      </c>
      <c r="P7290" s="2">
        <v>0.0</v>
      </c>
      <c r="Q7290" s="3">
        <f t="shared" si="7"/>
        <v>0</v>
      </c>
      <c r="R7290" s="2">
        <v>30.0</v>
      </c>
      <c r="S7290" s="5">
        <f t="shared" si="8"/>
        <v>1</v>
      </c>
    </row>
    <row r="7291">
      <c r="A7291" s="2" t="s">
        <v>7288</v>
      </c>
      <c r="B7291" s="2">
        <v>403.0</v>
      </c>
      <c r="C7291" s="2">
        <v>4687.0</v>
      </c>
      <c r="D7291" s="2">
        <v>1583.0</v>
      </c>
      <c r="E7291" s="3">
        <f t="shared" si="1"/>
        <v>0.3695144725</v>
      </c>
      <c r="F7291" s="2">
        <v>458.0</v>
      </c>
      <c r="G7291" s="3">
        <f t="shared" si="2"/>
        <v>0.1069094304</v>
      </c>
      <c r="H7291" s="2">
        <v>914.0</v>
      </c>
      <c r="I7291" s="3">
        <f t="shared" si="3"/>
        <v>0.2133520075</v>
      </c>
      <c r="J7291" s="2">
        <v>593.0</v>
      </c>
      <c r="K7291" s="3">
        <f t="shared" si="4"/>
        <v>0.1384220355</v>
      </c>
      <c r="L7291" s="2">
        <v>547.0</v>
      </c>
      <c r="M7291" s="3">
        <f t="shared" si="5"/>
        <v>0.5984682713</v>
      </c>
      <c r="N7291" s="2">
        <v>4806500.0</v>
      </c>
      <c r="O7291" s="4">
        <f t="shared" si="6"/>
        <v>5258.752735</v>
      </c>
      <c r="P7291" s="2">
        <v>3.0</v>
      </c>
      <c r="Q7291" s="3">
        <f t="shared" si="7"/>
        <v>0.007444168734</v>
      </c>
      <c r="R7291" s="2">
        <v>256.0</v>
      </c>
      <c r="S7291" s="5">
        <f t="shared" si="8"/>
        <v>0.635235732</v>
      </c>
    </row>
    <row r="7292">
      <c r="A7292" s="2" t="s">
        <v>7289</v>
      </c>
      <c r="B7292" s="2">
        <v>274.0</v>
      </c>
      <c r="C7292" s="2">
        <v>3240.0</v>
      </c>
      <c r="D7292" s="2">
        <v>693.0</v>
      </c>
      <c r="E7292" s="3">
        <f t="shared" si="1"/>
        <v>0.2336480108</v>
      </c>
      <c r="F7292" s="2">
        <v>317.0</v>
      </c>
      <c r="G7292" s="3">
        <f t="shared" si="2"/>
        <v>0.1068779501</v>
      </c>
      <c r="H7292" s="2">
        <v>522.0</v>
      </c>
      <c r="I7292" s="3">
        <f t="shared" si="3"/>
        <v>0.1759946055</v>
      </c>
      <c r="J7292" s="2">
        <v>377.0</v>
      </c>
      <c r="K7292" s="3">
        <f t="shared" si="4"/>
        <v>0.1271072151</v>
      </c>
      <c r="L7292" s="2">
        <v>340.0</v>
      </c>
      <c r="M7292" s="3">
        <f t="shared" si="5"/>
        <v>0.6513409962</v>
      </c>
      <c r="N7292" s="2">
        <v>3021400.0</v>
      </c>
      <c r="O7292" s="4">
        <f t="shared" si="6"/>
        <v>5788.122605</v>
      </c>
      <c r="P7292" s="2">
        <v>1.0</v>
      </c>
      <c r="Q7292" s="3">
        <f t="shared" si="7"/>
        <v>0.003649635036</v>
      </c>
      <c r="R7292" s="2">
        <v>274.0</v>
      </c>
      <c r="S7292" s="5">
        <f t="shared" si="8"/>
        <v>1</v>
      </c>
    </row>
    <row r="7293">
      <c r="A7293" s="2" t="s">
        <v>7290</v>
      </c>
      <c r="B7293" s="2">
        <v>353.0</v>
      </c>
      <c r="C7293" s="2">
        <v>4143.0</v>
      </c>
      <c r="D7293" s="2">
        <v>1406.0</v>
      </c>
      <c r="E7293" s="3">
        <f t="shared" si="1"/>
        <v>0.3709762533</v>
      </c>
      <c r="F7293" s="2">
        <v>405.0</v>
      </c>
      <c r="G7293" s="3">
        <f t="shared" si="2"/>
        <v>0.1068601583</v>
      </c>
      <c r="H7293" s="2">
        <v>758.0</v>
      </c>
      <c r="I7293" s="3">
        <f t="shared" si="3"/>
        <v>0.2</v>
      </c>
      <c r="J7293" s="2">
        <v>594.0</v>
      </c>
      <c r="K7293" s="3">
        <f t="shared" si="4"/>
        <v>0.1567282322</v>
      </c>
      <c r="L7293" s="2">
        <v>468.0</v>
      </c>
      <c r="M7293" s="3">
        <f t="shared" si="5"/>
        <v>0.617414248</v>
      </c>
      <c r="N7293" s="2">
        <v>4058200.0</v>
      </c>
      <c r="O7293" s="4">
        <f t="shared" si="6"/>
        <v>5353.825858</v>
      </c>
      <c r="P7293" s="2">
        <v>0.0</v>
      </c>
      <c r="Q7293" s="3">
        <f t="shared" si="7"/>
        <v>0</v>
      </c>
      <c r="R7293" s="2">
        <v>334.0</v>
      </c>
      <c r="S7293" s="5">
        <f t="shared" si="8"/>
        <v>0.9461756374</v>
      </c>
    </row>
    <row r="7294">
      <c r="A7294" s="2" t="s">
        <v>7291</v>
      </c>
      <c r="B7294" s="2">
        <v>3160.0</v>
      </c>
      <c r="C7294" s="2">
        <v>37164.0</v>
      </c>
      <c r="D7294" s="2">
        <v>11842.0</v>
      </c>
      <c r="E7294" s="3">
        <f t="shared" si="1"/>
        <v>0.3482531467</v>
      </c>
      <c r="F7294" s="2">
        <v>3633.0</v>
      </c>
      <c r="G7294" s="3">
        <f t="shared" si="2"/>
        <v>0.1068403717</v>
      </c>
      <c r="H7294" s="2">
        <v>6748.0</v>
      </c>
      <c r="I7294" s="3">
        <f t="shared" si="3"/>
        <v>0.1984472415</v>
      </c>
      <c r="J7294" s="2">
        <v>5475.0</v>
      </c>
      <c r="K7294" s="3">
        <f t="shared" si="4"/>
        <v>0.1610104694</v>
      </c>
      <c r="L7294" s="2">
        <v>3947.0</v>
      </c>
      <c r="M7294" s="3">
        <f t="shared" si="5"/>
        <v>0.5849140486</v>
      </c>
      <c r="N7294" s="2">
        <v>3.74767E7</v>
      </c>
      <c r="O7294" s="4">
        <f t="shared" si="6"/>
        <v>5553.749259</v>
      </c>
      <c r="P7294" s="2">
        <v>1.0</v>
      </c>
      <c r="Q7294" s="3">
        <f t="shared" si="7"/>
        <v>0.0003164556962</v>
      </c>
      <c r="R7294" s="2">
        <v>3146.0</v>
      </c>
      <c r="S7294" s="5">
        <f t="shared" si="8"/>
        <v>0.9955696203</v>
      </c>
    </row>
    <row r="7295">
      <c r="A7295" s="2" t="s">
        <v>7292</v>
      </c>
      <c r="B7295" s="2">
        <v>507.0</v>
      </c>
      <c r="C7295" s="2">
        <v>6012.0</v>
      </c>
      <c r="D7295" s="2">
        <v>1878.0</v>
      </c>
      <c r="E7295" s="3">
        <f t="shared" si="1"/>
        <v>0.3411444142</v>
      </c>
      <c r="F7295" s="2">
        <v>588.0</v>
      </c>
      <c r="G7295" s="3">
        <f t="shared" si="2"/>
        <v>0.1068119891</v>
      </c>
      <c r="H7295" s="2">
        <v>1132.0</v>
      </c>
      <c r="I7295" s="3">
        <f t="shared" si="3"/>
        <v>0.2056312443</v>
      </c>
      <c r="J7295" s="2">
        <v>918.0</v>
      </c>
      <c r="K7295" s="3">
        <f t="shared" si="4"/>
        <v>0.1667574932</v>
      </c>
      <c r="L7295" s="2">
        <v>690.0</v>
      </c>
      <c r="M7295" s="3">
        <f t="shared" si="5"/>
        <v>0.609540636</v>
      </c>
      <c r="N7295" s="2">
        <v>6258700.0</v>
      </c>
      <c r="O7295" s="4">
        <f t="shared" si="6"/>
        <v>5528.886926</v>
      </c>
      <c r="P7295" s="2">
        <v>1.0</v>
      </c>
      <c r="Q7295" s="3">
        <f t="shared" si="7"/>
        <v>0.001972386588</v>
      </c>
      <c r="R7295" s="2">
        <v>313.0</v>
      </c>
      <c r="S7295" s="5">
        <f t="shared" si="8"/>
        <v>0.617357002</v>
      </c>
    </row>
    <row r="7296">
      <c r="A7296" s="2" t="s">
        <v>7293</v>
      </c>
      <c r="B7296" s="2">
        <v>49.0</v>
      </c>
      <c r="C7296" s="2">
        <v>583.0</v>
      </c>
      <c r="D7296" s="2">
        <v>209.0</v>
      </c>
      <c r="E7296" s="3">
        <f t="shared" si="1"/>
        <v>0.3913857678</v>
      </c>
      <c r="F7296" s="2">
        <v>57.0</v>
      </c>
      <c r="G7296" s="3">
        <f t="shared" si="2"/>
        <v>0.106741573</v>
      </c>
      <c r="H7296" s="2">
        <v>121.0</v>
      </c>
      <c r="I7296" s="3">
        <f t="shared" si="3"/>
        <v>0.2265917603</v>
      </c>
      <c r="J7296" s="2">
        <v>91.0</v>
      </c>
      <c r="K7296" s="3">
        <f t="shared" si="4"/>
        <v>0.170411985</v>
      </c>
      <c r="L7296" s="2">
        <v>79.0</v>
      </c>
      <c r="M7296" s="3">
        <f t="shared" si="5"/>
        <v>0.652892562</v>
      </c>
      <c r="N7296" s="2">
        <v>665500.0</v>
      </c>
      <c r="O7296" s="4">
        <f t="shared" si="6"/>
        <v>5500</v>
      </c>
      <c r="P7296" s="2">
        <v>0.0</v>
      </c>
      <c r="Q7296" s="3">
        <f t="shared" si="7"/>
        <v>0</v>
      </c>
      <c r="R7296" s="2">
        <v>49.0</v>
      </c>
      <c r="S7296" s="5">
        <f t="shared" si="8"/>
        <v>1</v>
      </c>
    </row>
    <row r="7297">
      <c r="A7297" s="2" t="s">
        <v>7294</v>
      </c>
      <c r="B7297" s="2">
        <v>191.0</v>
      </c>
      <c r="C7297" s="2">
        <v>2234.0</v>
      </c>
      <c r="D7297" s="2">
        <v>926.0</v>
      </c>
      <c r="E7297" s="3">
        <f t="shared" si="1"/>
        <v>0.4532550171</v>
      </c>
      <c r="F7297" s="2">
        <v>218.0</v>
      </c>
      <c r="G7297" s="3">
        <f t="shared" si="2"/>
        <v>0.1067058248</v>
      </c>
      <c r="H7297" s="2">
        <v>426.0</v>
      </c>
      <c r="I7297" s="3">
        <f t="shared" si="3"/>
        <v>0.2085168869</v>
      </c>
      <c r="J7297" s="2">
        <v>299.0</v>
      </c>
      <c r="K7297" s="3">
        <f t="shared" si="4"/>
        <v>0.1463534019</v>
      </c>
      <c r="L7297" s="2">
        <v>259.0</v>
      </c>
      <c r="M7297" s="3">
        <f t="shared" si="5"/>
        <v>0.6079812207</v>
      </c>
      <c r="N7297" s="2">
        <v>2508400.0</v>
      </c>
      <c r="O7297" s="4">
        <f t="shared" si="6"/>
        <v>5888.262911</v>
      </c>
      <c r="P7297" s="2">
        <v>1.0</v>
      </c>
      <c r="Q7297" s="3">
        <f t="shared" si="7"/>
        <v>0.005235602094</v>
      </c>
      <c r="R7297" s="2">
        <v>191.0</v>
      </c>
      <c r="S7297" s="5">
        <f t="shared" si="8"/>
        <v>1</v>
      </c>
    </row>
    <row r="7298">
      <c r="A7298" s="2" t="s">
        <v>7295</v>
      </c>
      <c r="B7298" s="2">
        <v>680.0</v>
      </c>
      <c r="C7298" s="2">
        <v>8122.0</v>
      </c>
      <c r="D7298" s="2">
        <v>2345.0</v>
      </c>
      <c r="E7298" s="3">
        <f t="shared" si="1"/>
        <v>0.3151034668</v>
      </c>
      <c r="F7298" s="2">
        <v>794.0</v>
      </c>
      <c r="G7298" s="3">
        <f t="shared" si="2"/>
        <v>0.1066917495</v>
      </c>
      <c r="H7298" s="2">
        <v>1474.0</v>
      </c>
      <c r="I7298" s="3">
        <f t="shared" si="3"/>
        <v>0.1980650363</v>
      </c>
      <c r="J7298" s="2">
        <v>907.0</v>
      </c>
      <c r="K7298" s="3">
        <f t="shared" si="4"/>
        <v>0.1218758398</v>
      </c>
      <c r="L7298" s="2">
        <v>886.0</v>
      </c>
      <c r="M7298" s="3">
        <f t="shared" si="5"/>
        <v>0.6010854817</v>
      </c>
      <c r="N7298" s="2">
        <v>8087900.0</v>
      </c>
      <c r="O7298" s="4">
        <f t="shared" si="6"/>
        <v>5487.042062</v>
      </c>
      <c r="P7298" s="2">
        <v>1.0</v>
      </c>
      <c r="Q7298" s="3">
        <f t="shared" si="7"/>
        <v>0.001470588235</v>
      </c>
      <c r="R7298" s="2">
        <v>0.0</v>
      </c>
      <c r="S7298" s="5">
        <f t="shared" si="8"/>
        <v>0</v>
      </c>
    </row>
    <row r="7299">
      <c r="A7299" s="2" t="s">
        <v>7296</v>
      </c>
      <c r="B7299" s="2">
        <v>199.0</v>
      </c>
      <c r="C7299" s="2">
        <v>2336.0</v>
      </c>
      <c r="D7299" s="2">
        <v>548.0</v>
      </c>
      <c r="E7299" s="3">
        <f t="shared" si="1"/>
        <v>0.2564342536</v>
      </c>
      <c r="F7299" s="2">
        <v>228.0</v>
      </c>
      <c r="G7299" s="3">
        <f t="shared" si="2"/>
        <v>0.1066916238</v>
      </c>
      <c r="H7299" s="2">
        <v>386.0</v>
      </c>
      <c r="I7299" s="3">
        <f t="shared" si="3"/>
        <v>0.1806270473</v>
      </c>
      <c r="J7299" s="2">
        <v>250.0</v>
      </c>
      <c r="K7299" s="3">
        <f t="shared" si="4"/>
        <v>0.1169864296</v>
      </c>
      <c r="L7299" s="2">
        <v>235.0</v>
      </c>
      <c r="M7299" s="3">
        <f t="shared" si="5"/>
        <v>0.6088082902</v>
      </c>
      <c r="N7299" s="2">
        <v>2187600.0</v>
      </c>
      <c r="O7299" s="4">
        <f t="shared" si="6"/>
        <v>5667.357513</v>
      </c>
      <c r="P7299" s="2">
        <v>0.0</v>
      </c>
      <c r="Q7299" s="3">
        <f t="shared" si="7"/>
        <v>0</v>
      </c>
      <c r="R7299" s="2">
        <v>199.0</v>
      </c>
      <c r="S7299" s="5">
        <f t="shared" si="8"/>
        <v>1</v>
      </c>
    </row>
    <row r="7300">
      <c r="A7300" s="2" t="s">
        <v>7297</v>
      </c>
      <c r="B7300" s="2">
        <v>7.0</v>
      </c>
      <c r="C7300" s="2">
        <v>82.0</v>
      </c>
      <c r="D7300" s="2">
        <v>17.0</v>
      </c>
      <c r="E7300" s="3">
        <f t="shared" si="1"/>
        <v>0.2266666667</v>
      </c>
      <c r="F7300" s="2">
        <v>8.0</v>
      </c>
      <c r="G7300" s="3">
        <f t="shared" si="2"/>
        <v>0.1066666667</v>
      </c>
      <c r="H7300" s="2">
        <v>20.0</v>
      </c>
      <c r="I7300" s="3">
        <f t="shared" si="3"/>
        <v>0.2666666667</v>
      </c>
      <c r="J7300" s="2">
        <v>22.0</v>
      </c>
      <c r="K7300" s="3">
        <f t="shared" si="4"/>
        <v>0.2933333333</v>
      </c>
      <c r="L7300" s="2">
        <v>8.0</v>
      </c>
      <c r="M7300" s="3">
        <f t="shared" si="5"/>
        <v>0.4</v>
      </c>
      <c r="N7300" s="2">
        <v>116800.0</v>
      </c>
      <c r="O7300" s="4">
        <f t="shared" si="6"/>
        <v>5840</v>
      </c>
      <c r="P7300" s="2">
        <v>0.0</v>
      </c>
      <c r="Q7300" s="3">
        <f t="shared" si="7"/>
        <v>0</v>
      </c>
      <c r="R7300" s="2">
        <v>7.0</v>
      </c>
      <c r="S7300" s="5">
        <f t="shared" si="8"/>
        <v>1</v>
      </c>
    </row>
    <row r="7301">
      <c r="A7301" s="2" t="s">
        <v>7298</v>
      </c>
      <c r="B7301" s="2">
        <v>8.0</v>
      </c>
      <c r="C7301" s="2">
        <v>83.0</v>
      </c>
      <c r="D7301" s="2">
        <v>24.0</v>
      </c>
      <c r="E7301" s="3">
        <f t="shared" si="1"/>
        <v>0.32</v>
      </c>
      <c r="F7301" s="2">
        <v>8.0</v>
      </c>
      <c r="G7301" s="3">
        <f t="shared" si="2"/>
        <v>0.1066666667</v>
      </c>
      <c r="H7301" s="2">
        <v>19.0</v>
      </c>
      <c r="I7301" s="3">
        <f t="shared" si="3"/>
        <v>0.2533333333</v>
      </c>
      <c r="J7301" s="2">
        <v>8.0</v>
      </c>
      <c r="K7301" s="3">
        <f t="shared" si="4"/>
        <v>0.1066666667</v>
      </c>
      <c r="L7301" s="2">
        <v>12.0</v>
      </c>
      <c r="M7301" s="3">
        <f t="shared" si="5"/>
        <v>0.6315789474</v>
      </c>
      <c r="N7301" s="2">
        <v>120100.0</v>
      </c>
      <c r="O7301" s="4">
        <f t="shared" si="6"/>
        <v>6321.052632</v>
      </c>
      <c r="P7301" s="2">
        <v>0.0</v>
      </c>
      <c r="Q7301" s="3">
        <f t="shared" si="7"/>
        <v>0</v>
      </c>
      <c r="R7301" s="2">
        <v>8.0</v>
      </c>
      <c r="S7301" s="5">
        <f t="shared" si="8"/>
        <v>1</v>
      </c>
    </row>
    <row r="7302">
      <c r="A7302" s="2" t="s">
        <v>7299</v>
      </c>
      <c r="B7302" s="2">
        <v>34.0</v>
      </c>
      <c r="C7302" s="2">
        <v>381.0</v>
      </c>
      <c r="D7302" s="2">
        <v>132.0</v>
      </c>
      <c r="E7302" s="3">
        <f t="shared" si="1"/>
        <v>0.3804034582</v>
      </c>
      <c r="F7302" s="2">
        <v>37.0</v>
      </c>
      <c r="G7302" s="3">
        <f t="shared" si="2"/>
        <v>0.1066282421</v>
      </c>
      <c r="H7302" s="2">
        <v>76.0</v>
      </c>
      <c r="I7302" s="3">
        <f t="shared" si="3"/>
        <v>0.2190201729</v>
      </c>
      <c r="J7302" s="2">
        <v>62.0</v>
      </c>
      <c r="K7302" s="3">
        <f t="shared" si="4"/>
        <v>0.1786743516</v>
      </c>
      <c r="L7302" s="2">
        <v>48.0</v>
      </c>
      <c r="M7302" s="3">
        <f t="shared" si="5"/>
        <v>0.6315789474</v>
      </c>
      <c r="N7302" s="2">
        <v>403200.0</v>
      </c>
      <c r="O7302" s="4">
        <f t="shared" si="6"/>
        <v>5305.263158</v>
      </c>
      <c r="P7302" s="2">
        <v>0.0</v>
      </c>
      <c r="Q7302" s="3">
        <f t="shared" si="7"/>
        <v>0</v>
      </c>
      <c r="R7302" s="2">
        <v>34.0</v>
      </c>
      <c r="S7302" s="5">
        <f t="shared" si="8"/>
        <v>1</v>
      </c>
    </row>
    <row r="7303">
      <c r="A7303" s="2" t="s">
        <v>7300</v>
      </c>
      <c r="B7303" s="2">
        <v>137.0</v>
      </c>
      <c r="C7303" s="2">
        <v>1638.0</v>
      </c>
      <c r="D7303" s="2">
        <v>457.0</v>
      </c>
      <c r="E7303" s="3">
        <f t="shared" si="1"/>
        <v>0.3044636909</v>
      </c>
      <c r="F7303" s="2">
        <v>160.0</v>
      </c>
      <c r="G7303" s="3">
        <f t="shared" si="2"/>
        <v>0.1065956029</v>
      </c>
      <c r="H7303" s="2">
        <v>288.0</v>
      </c>
      <c r="I7303" s="3">
        <f t="shared" si="3"/>
        <v>0.1918720853</v>
      </c>
      <c r="J7303" s="2">
        <v>231.0</v>
      </c>
      <c r="K7303" s="3">
        <f t="shared" si="4"/>
        <v>0.1538974017</v>
      </c>
      <c r="L7303" s="2">
        <v>170.0</v>
      </c>
      <c r="M7303" s="3">
        <f t="shared" si="5"/>
        <v>0.5902777778</v>
      </c>
      <c r="N7303" s="2">
        <v>1759500.0</v>
      </c>
      <c r="O7303" s="4">
        <f t="shared" si="6"/>
        <v>6109.375</v>
      </c>
      <c r="P7303" s="2">
        <v>0.0</v>
      </c>
      <c r="Q7303" s="3">
        <f t="shared" si="7"/>
        <v>0</v>
      </c>
      <c r="R7303" s="2">
        <v>0.0</v>
      </c>
      <c r="S7303" s="5">
        <f t="shared" si="8"/>
        <v>0</v>
      </c>
    </row>
    <row r="7304">
      <c r="A7304" s="2" t="s">
        <v>7301</v>
      </c>
      <c r="B7304" s="2">
        <v>281.0</v>
      </c>
      <c r="C7304" s="2">
        <v>3265.0</v>
      </c>
      <c r="D7304" s="2">
        <v>935.0</v>
      </c>
      <c r="E7304" s="3">
        <f t="shared" si="1"/>
        <v>0.3133378016</v>
      </c>
      <c r="F7304" s="2">
        <v>318.0</v>
      </c>
      <c r="G7304" s="3">
        <f t="shared" si="2"/>
        <v>0.1065683646</v>
      </c>
      <c r="H7304" s="2">
        <v>497.0</v>
      </c>
      <c r="I7304" s="3">
        <f t="shared" si="3"/>
        <v>0.1665549598</v>
      </c>
      <c r="J7304" s="2">
        <v>416.0</v>
      </c>
      <c r="K7304" s="3">
        <f t="shared" si="4"/>
        <v>0.1394101877</v>
      </c>
      <c r="L7304" s="2">
        <v>301.0</v>
      </c>
      <c r="M7304" s="3">
        <f t="shared" si="5"/>
        <v>0.6056338028</v>
      </c>
      <c r="N7304" s="2">
        <v>2921000.0</v>
      </c>
      <c r="O7304" s="4">
        <f t="shared" si="6"/>
        <v>5877.263581</v>
      </c>
      <c r="P7304" s="2">
        <v>1.0</v>
      </c>
      <c r="Q7304" s="3">
        <f t="shared" si="7"/>
        <v>0.003558718861</v>
      </c>
      <c r="R7304" s="2">
        <v>281.0</v>
      </c>
      <c r="S7304" s="5">
        <f t="shared" si="8"/>
        <v>1</v>
      </c>
    </row>
    <row r="7305">
      <c r="A7305" s="2" t="s">
        <v>7302</v>
      </c>
      <c r="B7305" s="2">
        <v>1339.0</v>
      </c>
      <c r="C7305" s="2">
        <v>15820.0</v>
      </c>
      <c r="D7305" s="2">
        <v>4503.0</v>
      </c>
      <c r="E7305" s="3">
        <f t="shared" si="1"/>
        <v>0.3109591879</v>
      </c>
      <c r="F7305" s="2">
        <v>1543.0</v>
      </c>
      <c r="G7305" s="3">
        <f t="shared" si="2"/>
        <v>0.1065534148</v>
      </c>
      <c r="H7305" s="2">
        <v>2776.0</v>
      </c>
      <c r="I7305" s="3">
        <f t="shared" si="3"/>
        <v>0.1916994683</v>
      </c>
      <c r="J7305" s="2">
        <v>2373.0</v>
      </c>
      <c r="K7305" s="3">
        <f t="shared" si="4"/>
        <v>0.1638698985</v>
      </c>
      <c r="L7305" s="2">
        <v>1619.0</v>
      </c>
      <c r="M7305" s="3">
        <f t="shared" si="5"/>
        <v>0.5832132565</v>
      </c>
      <c r="N7305" s="2">
        <v>1.57355E7</v>
      </c>
      <c r="O7305" s="4">
        <f t="shared" si="6"/>
        <v>5668.407781</v>
      </c>
      <c r="P7305" s="2">
        <v>4.0</v>
      </c>
      <c r="Q7305" s="3">
        <f t="shared" si="7"/>
        <v>0.002987303958</v>
      </c>
      <c r="R7305" s="2">
        <v>1339.0</v>
      </c>
      <c r="S7305" s="5">
        <f t="shared" si="8"/>
        <v>1</v>
      </c>
    </row>
    <row r="7306">
      <c r="A7306" s="2" t="s">
        <v>7303</v>
      </c>
      <c r="B7306" s="2">
        <v>413.0</v>
      </c>
      <c r="C7306" s="2">
        <v>4965.0</v>
      </c>
      <c r="D7306" s="2">
        <v>986.0</v>
      </c>
      <c r="E7306" s="3">
        <f t="shared" si="1"/>
        <v>0.2166080844</v>
      </c>
      <c r="F7306" s="2">
        <v>485.0</v>
      </c>
      <c r="G7306" s="3">
        <f t="shared" si="2"/>
        <v>0.1065465729</v>
      </c>
      <c r="H7306" s="2">
        <v>832.0</v>
      </c>
      <c r="I7306" s="3">
        <f t="shared" si="3"/>
        <v>0.1827768014</v>
      </c>
      <c r="J7306" s="2">
        <v>609.0</v>
      </c>
      <c r="K7306" s="3">
        <f t="shared" si="4"/>
        <v>0.1337873462</v>
      </c>
      <c r="L7306" s="2">
        <v>513.0</v>
      </c>
      <c r="M7306" s="3">
        <f t="shared" si="5"/>
        <v>0.6165865385</v>
      </c>
      <c r="N7306" s="2">
        <v>4992800.0</v>
      </c>
      <c r="O7306" s="4">
        <f t="shared" si="6"/>
        <v>6000.961538</v>
      </c>
      <c r="P7306" s="2">
        <v>3.0</v>
      </c>
      <c r="Q7306" s="3">
        <f t="shared" si="7"/>
        <v>0.007263922518</v>
      </c>
      <c r="R7306" s="2">
        <v>413.0</v>
      </c>
      <c r="S7306" s="5">
        <f t="shared" si="8"/>
        <v>1</v>
      </c>
    </row>
    <row r="7307">
      <c r="A7307" s="2" t="s">
        <v>7304</v>
      </c>
      <c r="B7307" s="2">
        <v>2240.0</v>
      </c>
      <c r="C7307" s="2">
        <v>26353.0</v>
      </c>
      <c r="D7307" s="2">
        <v>9025.0</v>
      </c>
      <c r="E7307" s="3">
        <f t="shared" si="1"/>
        <v>0.3742794343</v>
      </c>
      <c r="F7307" s="2">
        <v>2569.0</v>
      </c>
      <c r="G7307" s="3">
        <f t="shared" si="2"/>
        <v>0.1065400406</v>
      </c>
      <c r="H7307" s="2">
        <v>4722.0</v>
      </c>
      <c r="I7307" s="3">
        <f t="shared" si="3"/>
        <v>0.1958279766</v>
      </c>
      <c r="J7307" s="2">
        <v>3059.0</v>
      </c>
      <c r="K7307" s="3">
        <f t="shared" si="4"/>
        <v>0.1268610293</v>
      </c>
      <c r="L7307" s="2">
        <v>2859.0</v>
      </c>
      <c r="M7307" s="3">
        <f t="shared" si="5"/>
        <v>0.6054637865</v>
      </c>
      <c r="N7307" s="2">
        <v>2.65224E7</v>
      </c>
      <c r="O7307" s="4">
        <f t="shared" si="6"/>
        <v>5616.772554</v>
      </c>
      <c r="P7307" s="2">
        <v>2.0</v>
      </c>
      <c r="Q7307" s="3">
        <f t="shared" si="7"/>
        <v>0.0008928571429</v>
      </c>
      <c r="R7307" s="2">
        <v>2240.0</v>
      </c>
      <c r="S7307" s="5">
        <f t="shared" si="8"/>
        <v>1</v>
      </c>
    </row>
    <row r="7308">
      <c r="A7308" s="2" t="s">
        <v>7305</v>
      </c>
      <c r="B7308" s="2">
        <v>2268.0</v>
      </c>
      <c r="C7308" s="2">
        <v>26736.0</v>
      </c>
      <c r="D7308" s="2">
        <v>7798.0</v>
      </c>
      <c r="E7308" s="3">
        <f t="shared" si="1"/>
        <v>0.3187019781</v>
      </c>
      <c r="F7308" s="2">
        <v>2606.0</v>
      </c>
      <c r="G7308" s="3">
        <f t="shared" si="2"/>
        <v>0.1065064574</v>
      </c>
      <c r="H7308" s="2">
        <v>4778.0</v>
      </c>
      <c r="I7308" s="3">
        <f t="shared" si="3"/>
        <v>0.1952754618</v>
      </c>
      <c r="J7308" s="2">
        <v>3955.0</v>
      </c>
      <c r="K7308" s="3">
        <f t="shared" si="4"/>
        <v>0.1616396927</v>
      </c>
      <c r="L7308" s="2">
        <v>2906.0</v>
      </c>
      <c r="M7308" s="3">
        <f t="shared" si="5"/>
        <v>0.6082042696</v>
      </c>
      <c r="N7308" s="2">
        <v>2.62791E7</v>
      </c>
      <c r="O7308" s="4">
        <f t="shared" si="6"/>
        <v>5500.020929</v>
      </c>
      <c r="P7308" s="2">
        <v>3.0</v>
      </c>
      <c r="Q7308" s="3">
        <f t="shared" si="7"/>
        <v>0.001322751323</v>
      </c>
      <c r="R7308" s="2">
        <v>2268.0</v>
      </c>
      <c r="S7308" s="5">
        <f t="shared" si="8"/>
        <v>1</v>
      </c>
    </row>
    <row r="7309">
      <c r="A7309" s="2" t="s">
        <v>7306</v>
      </c>
      <c r="B7309" s="2">
        <v>212.0</v>
      </c>
      <c r="C7309" s="2">
        <v>2550.0</v>
      </c>
      <c r="D7309" s="2">
        <v>972.0</v>
      </c>
      <c r="E7309" s="3">
        <f t="shared" si="1"/>
        <v>0.4157399487</v>
      </c>
      <c r="F7309" s="2">
        <v>249.0</v>
      </c>
      <c r="G7309" s="3">
        <f t="shared" si="2"/>
        <v>0.1065012831</v>
      </c>
      <c r="H7309" s="2">
        <v>475.0</v>
      </c>
      <c r="I7309" s="3">
        <f t="shared" si="3"/>
        <v>0.2031650984</v>
      </c>
      <c r="J7309" s="2">
        <v>281.0</v>
      </c>
      <c r="K7309" s="3">
        <f t="shared" si="4"/>
        <v>0.120188195</v>
      </c>
      <c r="L7309" s="2">
        <v>288.0</v>
      </c>
      <c r="M7309" s="3">
        <f t="shared" si="5"/>
        <v>0.6063157895</v>
      </c>
      <c r="N7309" s="2">
        <v>2666700.0</v>
      </c>
      <c r="O7309" s="4">
        <f t="shared" si="6"/>
        <v>5614.105263</v>
      </c>
      <c r="P7309" s="2">
        <v>0.0</v>
      </c>
      <c r="Q7309" s="3">
        <f t="shared" si="7"/>
        <v>0</v>
      </c>
      <c r="R7309" s="2">
        <v>0.0</v>
      </c>
      <c r="S7309" s="5">
        <f t="shared" si="8"/>
        <v>0</v>
      </c>
    </row>
    <row r="7310">
      <c r="A7310" s="9">
        <v>0.42986111111111114</v>
      </c>
      <c r="B7310" s="2">
        <v>395.0</v>
      </c>
      <c r="C7310" s="2">
        <v>4772.0</v>
      </c>
      <c r="D7310" s="2">
        <v>1408.0</v>
      </c>
      <c r="E7310" s="3">
        <f t="shared" si="1"/>
        <v>0.321681517</v>
      </c>
      <c r="F7310" s="2">
        <v>466.0</v>
      </c>
      <c r="G7310" s="3">
        <f t="shared" si="2"/>
        <v>0.1064656157</v>
      </c>
      <c r="H7310" s="2">
        <v>868.0</v>
      </c>
      <c r="I7310" s="3">
        <f t="shared" si="3"/>
        <v>0.1983093443</v>
      </c>
      <c r="J7310" s="2">
        <v>544.0</v>
      </c>
      <c r="K7310" s="3">
        <f t="shared" si="4"/>
        <v>0.1242860407</v>
      </c>
      <c r="L7310" s="2">
        <v>539.0</v>
      </c>
      <c r="M7310" s="3">
        <f t="shared" si="5"/>
        <v>0.6209677419</v>
      </c>
      <c r="N7310" s="2">
        <v>4436300.0</v>
      </c>
      <c r="O7310" s="4">
        <f t="shared" si="6"/>
        <v>5110.9447</v>
      </c>
      <c r="P7310" s="2">
        <v>0.0</v>
      </c>
      <c r="Q7310" s="3">
        <f t="shared" si="7"/>
        <v>0</v>
      </c>
      <c r="R7310" s="2">
        <v>395.0</v>
      </c>
      <c r="S7310" s="5">
        <f t="shared" si="8"/>
        <v>1</v>
      </c>
    </row>
    <row r="7311">
      <c r="A7311" s="2" t="s">
        <v>7307</v>
      </c>
      <c r="B7311" s="2">
        <v>386.0</v>
      </c>
      <c r="C7311" s="2">
        <v>4548.0</v>
      </c>
      <c r="D7311" s="2">
        <v>1231.0</v>
      </c>
      <c r="E7311" s="3">
        <f t="shared" si="1"/>
        <v>0.2957712638</v>
      </c>
      <c r="F7311" s="2">
        <v>443.0</v>
      </c>
      <c r="G7311" s="3">
        <f t="shared" si="2"/>
        <v>0.1064392119</v>
      </c>
      <c r="H7311" s="2">
        <v>837.0</v>
      </c>
      <c r="I7311" s="3">
        <f t="shared" si="3"/>
        <v>0.2011052379</v>
      </c>
      <c r="J7311" s="2">
        <v>634.0</v>
      </c>
      <c r="K7311" s="3">
        <f t="shared" si="4"/>
        <v>0.1523306103</v>
      </c>
      <c r="L7311" s="2">
        <v>512.0</v>
      </c>
      <c r="M7311" s="3">
        <f t="shared" si="5"/>
        <v>0.6117084827</v>
      </c>
      <c r="N7311" s="2">
        <v>4712900.0</v>
      </c>
      <c r="O7311" s="4">
        <f t="shared" si="6"/>
        <v>5630.704898</v>
      </c>
      <c r="P7311" s="2">
        <v>0.0</v>
      </c>
      <c r="Q7311" s="3">
        <f t="shared" si="7"/>
        <v>0</v>
      </c>
      <c r="R7311" s="2">
        <v>386.0</v>
      </c>
      <c r="S7311" s="5">
        <f t="shared" si="8"/>
        <v>1</v>
      </c>
    </row>
    <row r="7312">
      <c r="A7312" s="2" t="s">
        <v>7308</v>
      </c>
      <c r="B7312" s="2">
        <v>2016.0</v>
      </c>
      <c r="C7312" s="2">
        <v>23916.0</v>
      </c>
      <c r="D7312" s="2">
        <v>7090.0</v>
      </c>
      <c r="E7312" s="3">
        <f t="shared" si="1"/>
        <v>0.3237442922</v>
      </c>
      <c r="F7312" s="2">
        <v>2331.0</v>
      </c>
      <c r="G7312" s="3">
        <f t="shared" si="2"/>
        <v>0.1064383562</v>
      </c>
      <c r="H7312" s="2">
        <v>3993.0</v>
      </c>
      <c r="I7312" s="3">
        <f t="shared" si="3"/>
        <v>0.1823287671</v>
      </c>
      <c r="J7312" s="2">
        <v>2915.0</v>
      </c>
      <c r="K7312" s="3">
        <f t="shared" si="4"/>
        <v>0.1331050228</v>
      </c>
      <c r="L7312" s="2">
        <v>2366.0</v>
      </c>
      <c r="M7312" s="3">
        <f t="shared" si="5"/>
        <v>0.5925369396</v>
      </c>
      <c r="N7312" s="2">
        <v>2.26208E7</v>
      </c>
      <c r="O7312" s="4">
        <f t="shared" si="6"/>
        <v>5665.113949</v>
      </c>
      <c r="P7312" s="2">
        <v>2.0</v>
      </c>
      <c r="Q7312" s="3">
        <f t="shared" si="7"/>
        <v>0.0009920634921</v>
      </c>
      <c r="R7312" s="2">
        <v>1446.0</v>
      </c>
      <c r="S7312" s="5">
        <f t="shared" si="8"/>
        <v>0.7172619048</v>
      </c>
    </row>
    <row r="7313">
      <c r="A7313" s="2" t="s">
        <v>7309</v>
      </c>
      <c r="B7313" s="2">
        <v>56.0</v>
      </c>
      <c r="C7313" s="2">
        <v>648.0</v>
      </c>
      <c r="D7313" s="2">
        <v>202.0</v>
      </c>
      <c r="E7313" s="3">
        <f t="shared" si="1"/>
        <v>0.3412162162</v>
      </c>
      <c r="F7313" s="2">
        <v>63.0</v>
      </c>
      <c r="G7313" s="3">
        <f t="shared" si="2"/>
        <v>0.1064189189</v>
      </c>
      <c r="H7313" s="2">
        <v>127.0</v>
      </c>
      <c r="I7313" s="3">
        <f t="shared" si="3"/>
        <v>0.214527027</v>
      </c>
      <c r="J7313" s="2">
        <v>87.0</v>
      </c>
      <c r="K7313" s="3">
        <f t="shared" si="4"/>
        <v>0.1469594595</v>
      </c>
      <c r="L7313" s="2">
        <v>76.0</v>
      </c>
      <c r="M7313" s="3">
        <f t="shared" si="5"/>
        <v>0.5984251969</v>
      </c>
      <c r="N7313" s="2">
        <v>728100.0</v>
      </c>
      <c r="O7313" s="4">
        <f t="shared" si="6"/>
        <v>5733.070866</v>
      </c>
      <c r="P7313" s="2">
        <v>0.0</v>
      </c>
      <c r="Q7313" s="3">
        <f t="shared" si="7"/>
        <v>0</v>
      </c>
      <c r="R7313" s="2">
        <v>56.0</v>
      </c>
      <c r="S7313" s="5">
        <f t="shared" si="8"/>
        <v>1</v>
      </c>
    </row>
    <row r="7314">
      <c r="A7314" s="2" t="s">
        <v>7310</v>
      </c>
      <c r="B7314" s="2">
        <v>4.0</v>
      </c>
      <c r="C7314" s="2">
        <v>51.0</v>
      </c>
      <c r="D7314" s="2">
        <v>15.0</v>
      </c>
      <c r="E7314" s="3">
        <f t="shared" si="1"/>
        <v>0.3191489362</v>
      </c>
      <c r="F7314" s="2">
        <v>5.0</v>
      </c>
      <c r="G7314" s="3">
        <f t="shared" si="2"/>
        <v>0.1063829787</v>
      </c>
      <c r="H7314" s="2">
        <v>11.0</v>
      </c>
      <c r="I7314" s="3">
        <f t="shared" si="3"/>
        <v>0.2340425532</v>
      </c>
      <c r="J7314" s="2">
        <v>11.0</v>
      </c>
      <c r="K7314" s="3">
        <f t="shared" si="4"/>
        <v>0.2340425532</v>
      </c>
      <c r="L7314" s="2">
        <v>6.0</v>
      </c>
      <c r="M7314" s="3">
        <f t="shared" si="5"/>
        <v>0.5454545455</v>
      </c>
      <c r="N7314" s="2">
        <v>54700.0</v>
      </c>
      <c r="O7314" s="4">
        <f t="shared" si="6"/>
        <v>4972.727273</v>
      </c>
      <c r="P7314" s="2">
        <v>0.0</v>
      </c>
      <c r="Q7314" s="3">
        <f t="shared" si="7"/>
        <v>0</v>
      </c>
      <c r="R7314" s="2">
        <v>0.0</v>
      </c>
      <c r="S7314" s="5">
        <f t="shared" si="8"/>
        <v>0</v>
      </c>
    </row>
    <row r="7315">
      <c r="A7315" s="2" t="s">
        <v>7311</v>
      </c>
      <c r="B7315" s="2">
        <v>1888.0</v>
      </c>
      <c r="C7315" s="2">
        <v>22306.0</v>
      </c>
      <c r="D7315" s="2">
        <v>5997.0</v>
      </c>
      <c r="E7315" s="3">
        <f t="shared" si="1"/>
        <v>0.2937114311</v>
      </c>
      <c r="F7315" s="2">
        <v>2172.0</v>
      </c>
      <c r="G7315" s="3">
        <f t="shared" si="2"/>
        <v>0.1063767264</v>
      </c>
      <c r="H7315" s="2">
        <v>4019.0</v>
      </c>
      <c r="I7315" s="3">
        <f t="shared" si="3"/>
        <v>0.196836125</v>
      </c>
      <c r="J7315" s="2">
        <v>3385.0</v>
      </c>
      <c r="K7315" s="3">
        <f t="shared" si="4"/>
        <v>0.1657850916</v>
      </c>
      <c r="L7315" s="2">
        <v>2311.0</v>
      </c>
      <c r="M7315" s="3">
        <f t="shared" si="5"/>
        <v>0.5750186614</v>
      </c>
      <c r="N7315" s="2">
        <v>2.35071E7</v>
      </c>
      <c r="O7315" s="4">
        <f t="shared" si="6"/>
        <v>5848.992287</v>
      </c>
      <c r="P7315" s="2">
        <v>5.0</v>
      </c>
      <c r="Q7315" s="3">
        <f t="shared" si="7"/>
        <v>0.002648305085</v>
      </c>
      <c r="R7315" s="2">
        <v>1888.0</v>
      </c>
      <c r="S7315" s="5">
        <f t="shared" si="8"/>
        <v>1</v>
      </c>
    </row>
    <row r="7316">
      <c r="A7316" s="2" t="s">
        <v>7312</v>
      </c>
      <c r="B7316" s="2">
        <v>489.0</v>
      </c>
      <c r="C7316" s="2">
        <v>5728.0</v>
      </c>
      <c r="D7316" s="2">
        <v>1265.0</v>
      </c>
      <c r="E7316" s="3">
        <f t="shared" si="1"/>
        <v>0.2414582936</v>
      </c>
      <c r="F7316" s="2">
        <v>557.0</v>
      </c>
      <c r="G7316" s="3">
        <f t="shared" si="2"/>
        <v>0.1063179996</v>
      </c>
      <c r="H7316" s="2">
        <v>981.0</v>
      </c>
      <c r="I7316" s="3">
        <f t="shared" si="3"/>
        <v>0.1872494751</v>
      </c>
      <c r="J7316" s="2">
        <v>780.0</v>
      </c>
      <c r="K7316" s="3">
        <f t="shared" si="4"/>
        <v>0.1488833747</v>
      </c>
      <c r="L7316" s="2">
        <v>602.0</v>
      </c>
      <c r="M7316" s="3">
        <f t="shared" si="5"/>
        <v>0.6136595311</v>
      </c>
      <c r="N7316" s="2">
        <v>5705800.0</v>
      </c>
      <c r="O7316" s="4">
        <f t="shared" si="6"/>
        <v>5816.309888</v>
      </c>
      <c r="P7316" s="2">
        <v>1.0</v>
      </c>
      <c r="Q7316" s="3">
        <f t="shared" si="7"/>
        <v>0.002044989775</v>
      </c>
      <c r="R7316" s="2">
        <v>489.0</v>
      </c>
      <c r="S7316" s="5">
        <f t="shared" si="8"/>
        <v>1</v>
      </c>
    </row>
    <row r="7317">
      <c r="A7317" s="2" t="s">
        <v>7313</v>
      </c>
      <c r="B7317" s="2">
        <v>47.0</v>
      </c>
      <c r="C7317" s="2">
        <v>555.0</v>
      </c>
      <c r="D7317" s="2">
        <v>196.0</v>
      </c>
      <c r="E7317" s="3">
        <f t="shared" si="1"/>
        <v>0.3858267717</v>
      </c>
      <c r="F7317" s="2">
        <v>54.0</v>
      </c>
      <c r="G7317" s="3">
        <f t="shared" si="2"/>
        <v>0.1062992126</v>
      </c>
      <c r="H7317" s="2">
        <v>96.0</v>
      </c>
      <c r="I7317" s="3">
        <f t="shared" si="3"/>
        <v>0.188976378</v>
      </c>
      <c r="J7317" s="2">
        <v>76.0</v>
      </c>
      <c r="K7317" s="3">
        <f t="shared" si="4"/>
        <v>0.1496062992</v>
      </c>
      <c r="L7317" s="2">
        <v>60.0</v>
      </c>
      <c r="M7317" s="3">
        <f t="shared" si="5"/>
        <v>0.625</v>
      </c>
      <c r="N7317" s="2">
        <v>540100.0</v>
      </c>
      <c r="O7317" s="4">
        <f t="shared" si="6"/>
        <v>5626.041667</v>
      </c>
      <c r="P7317" s="2">
        <v>0.0</v>
      </c>
      <c r="Q7317" s="3">
        <f t="shared" si="7"/>
        <v>0</v>
      </c>
      <c r="R7317" s="2">
        <v>47.0</v>
      </c>
      <c r="S7317" s="5">
        <f t="shared" si="8"/>
        <v>1</v>
      </c>
    </row>
    <row r="7318">
      <c r="A7318" s="2">
        <v>12144.0</v>
      </c>
      <c r="B7318" s="2">
        <v>23.0</v>
      </c>
      <c r="C7318" s="2">
        <v>277.0</v>
      </c>
      <c r="D7318" s="2">
        <v>55.0</v>
      </c>
      <c r="E7318" s="3">
        <f t="shared" si="1"/>
        <v>0.2165354331</v>
      </c>
      <c r="F7318" s="2">
        <v>27.0</v>
      </c>
      <c r="G7318" s="3">
        <f t="shared" si="2"/>
        <v>0.1062992126</v>
      </c>
      <c r="H7318" s="2">
        <v>40.0</v>
      </c>
      <c r="I7318" s="3">
        <f t="shared" si="3"/>
        <v>0.157480315</v>
      </c>
      <c r="J7318" s="2">
        <v>38.0</v>
      </c>
      <c r="K7318" s="3">
        <f t="shared" si="4"/>
        <v>0.1496062992</v>
      </c>
      <c r="L7318" s="2">
        <v>22.0</v>
      </c>
      <c r="M7318" s="3">
        <f t="shared" si="5"/>
        <v>0.55</v>
      </c>
      <c r="N7318" s="2">
        <v>201200.0</v>
      </c>
      <c r="O7318" s="4">
        <f t="shared" si="6"/>
        <v>5030</v>
      </c>
      <c r="P7318" s="2">
        <v>0.0</v>
      </c>
      <c r="Q7318" s="3">
        <f t="shared" si="7"/>
        <v>0</v>
      </c>
      <c r="R7318" s="2">
        <v>23.0</v>
      </c>
      <c r="S7318" s="5">
        <f t="shared" si="8"/>
        <v>1</v>
      </c>
    </row>
    <row r="7319">
      <c r="A7319" s="2" t="s">
        <v>7314</v>
      </c>
      <c r="B7319" s="2">
        <v>38.0</v>
      </c>
      <c r="C7319" s="2">
        <v>452.0</v>
      </c>
      <c r="D7319" s="2">
        <v>137.0</v>
      </c>
      <c r="E7319" s="3">
        <f t="shared" si="1"/>
        <v>0.3309178744</v>
      </c>
      <c r="F7319" s="2">
        <v>44.0</v>
      </c>
      <c r="G7319" s="3">
        <f t="shared" si="2"/>
        <v>0.1062801932</v>
      </c>
      <c r="H7319" s="2">
        <v>81.0</v>
      </c>
      <c r="I7319" s="3">
        <f t="shared" si="3"/>
        <v>0.1956521739</v>
      </c>
      <c r="J7319" s="2">
        <v>78.0</v>
      </c>
      <c r="K7319" s="3">
        <f t="shared" si="4"/>
        <v>0.1884057971</v>
      </c>
      <c r="L7319" s="2">
        <v>49.0</v>
      </c>
      <c r="M7319" s="3">
        <f t="shared" si="5"/>
        <v>0.6049382716</v>
      </c>
      <c r="N7319" s="2">
        <v>478200.0</v>
      </c>
      <c r="O7319" s="4">
        <f t="shared" si="6"/>
        <v>5903.703704</v>
      </c>
      <c r="P7319" s="2">
        <v>0.0</v>
      </c>
      <c r="Q7319" s="3">
        <f t="shared" si="7"/>
        <v>0</v>
      </c>
      <c r="R7319" s="2">
        <v>0.0</v>
      </c>
      <c r="S7319" s="5">
        <f t="shared" si="8"/>
        <v>0</v>
      </c>
    </row>
    <row r="7320">
      <c r="A7320" s="2" t="s">
        <v>7315</v>
      </c>
      <c r="B7320" s="2">
        <v>1543.0</v>
      </c>
      <c r="C7320" s="2">
        <v>17963.0</v>
      </c>
      <c r="D7320" s="2">
        <v>4635.0</v>
      </c>
      <c r="E7320" s="3">
        <f t="shared" si="1"/>
        <v>0.2822777101</v>
      </c>
      <c r="F7320" s="2">
        <v>1745.0</v>
      </c>
      <c r="G7320" s="3">
        <f t="shared" si="2"/>
        <v>0.106272838</v>
      </c>
      <c r="H7320" s="2">
        <v>3159.0</v>
      </c>
      <c r="I7320" s="3">
        <f t="shared" si="3"/>
        <v>0.1923873325</v>
      </c>
      <c r="J7320" s="2">
        <v>3158.0</v>
      </c>
      <c r="K7320" s="3">
        <f t="shared" si="4"/>
        <v>0.1923264312</v>
      </c>
      <c r="L7320" s="2">
        <v>1863.0</v>
      </c>
      <c r="M7320" s="3">
        <f t="shared" si="5"/>
        <v>0.5897435897</v>
      </c>
      <c r="N7320" s="2">
        <v>1.88765E7</v>
      </c>
      <c r="O7320" s="4">
        <f t="shared" si="6"/>
        <v>5975.46692</v>
      </c>
      <c r="P7320" s="2">
        <v>3.0</v>
      </c>
      <c r="Q7320" s="3">
        <f t="shared" si="7"/>
        <v>0.00194426442</v>
      </c>
      <c r="R7320" s="2">
        <v>1543.0</v>
      </c>
      <c r="S7320" s="5">
        <f t="shared" si="8"/>
        <v>1</v>
      </c>
    </row>
    <row r="7321">
      <c r="A7321" s="2" t="s">
        <v>7316</v>
      </c>
      <c r="B7321" s="2">
        <v>1250.0</v>
      </c>
      <c r="C7321" s="2">
        <v>14913.0</v>
      </c>
      <c r="D7321" s="2">
        <v>3877.0</v>
      </c>
      <c r="E7321" s="3">
        <f t="shared" si="1"/>
        <v>0.2837590573</v>
      </c>
      <c r="F7321" s="2">
        <v>1452.0</v>
      </c>
      <c r="G7321" s="3">
        <f t="shared" si="2"/>
        <v>0.1062724146</v>
      </c>
      <c r="H7321" s="2">
        <v>2706.0</v>
      </c>
      <c r="I7321" s="3">
        <f t="shared" si="3"/>
        <v>0.1980531362</v>
      </c>
      <c r="J7321" s="2">
        <v>2018.0</v>
      </c>
      <c r="K7321" s="3">
        <f t="shared" si="4"/>
        <v>0.1476981629</v>
      </c>
      <c r="L7321" s="2">
        <v>1611.0</v>
      </c>
      <c r="M7321" s="3">
        <f t="shared" si="5"/>
        <v>0.5953436807</v>
      </c>
      <c r="N7321" s="2">
        <v>1.4214E7</v>
      </c>
      <c r="O7321" s="4">
        <f t="shared" si="6"/>
        <v>5252.771619</v>
      </c>
      <c r="P7321" s="2">
        <v>1.0</v>
      </c>
      <c r="Q7321" s="3">
        <f t="shared" si="7"/>
        <v>0.0008</v>
      </c>
      <c r="R7321" s="2">
        <v>1250.0</v>
      </c>
      <c r="S7321" s="5">
        <f t="shared" si="8"/>
        <v>1</v>
      </c>
    </row>
    <row r="7322">
      <c r="A7322" s="2" t="s">
        <v>7317</v>
      </c>
      <c r="B7322" s="2">
        <v>37.0</v>
      </c>
      <c r="C7322" s="2">
        <v>404.0</v>
      </c>
      <c r="D7322" s="2">
        <v>153.0</v>
      </c>
      <c r="E7322" s="3">
        <f t="shared" si="1"/>
        <v>0.416893733</v>
      </c>
      <c r="F7322" s="2">
        <v>39.0</v>
      </c>
      <c r="G7322" s="3">
        <f t="shared" si="2"/>
        <v>0.10626703</v>
      </c>
      <c r="H7322" s="2">
        <v>71.0</v>
      </c>
      <c r="I7322" s="3">
        <f t="shared" si="3"/>
        <v>0.1934604905</v>
      </c>
      <c r="J7322" s="2">
        <v>48.0</v>
      </c>
      <c r="K7322" s="3">
        <f t="shared" si="4"/>
        <v>0.1307901907</v>
      </c>
      <c r="L7322" s="2">
        <v>44.0</v>
      </c>
      <c r="M7322" s="3">
        <f t="shared" si="5"/>
        <v>0.6197183099</v>
      </c>
      <c r="N7322" s="2">
        <v>337000.0</v>
      </c>
      <c r="O7322" s="4">
        <f t="shared" si="6"/>
        <v>4746.478873</v>
      </c>
      <c r="P7322" s="2">
        <v>0.0</v>
      </c>
      <c r="Q7322" s="3">
        <f t="shared" si="7"/>
        <v>0</v>
      </c>
      <c r="R7322" s="2">
        <v>37.0</v>
      </c>
      <c r="S7322" s="5">
        <f t="shared" si="8"/>
        <v>1</v>
      </c>
    </row>
    <row r="7323">
      <c r="A7323" s="2" t="s">
        <v>7318</v>
      </c>
      <c r="B7323" s="2">
        <v>643.0</v>
      </c>
      <c r="C7323" s="2">
        <v>7654.0</v>
      </c>
      <c r="D7323" s="2">
        <v>2380.0</v>
      </c>
      <c r="E7323" s="3">
        <f t="shared" si="1"/>
        <v>0.3394665526</v>
      </c>
      <c r="F7323" s="2">
        <v>745.0</v>
      </c>
      <c r="G7323" s="3">
        <f t="shared" si="2"/>
        <v>0.1062615889</v>
      </c>
      <c r="H7323" s="2">
        <v>1434.0</v>
      </c>
      <c r="I7323" s="3">
        <f t="shared" si="3"/>
        <v>0.2045357296</v>
      </c>
      <c r="J7323" s="2">
        <v>1054.0</v>
      </c>
      <c r="K7323" s="3">
        <f t="shared" si="4"/>
        <v>0.1503351876</v>
      </c>
      <c r="L7323" s="2">
        <v>839.0</v>
      </c>
      <c r="M7323" s="3">
        <f t="shared" si="5"/>
        <v>0.5850767085</v>
      </c>
      <c r="N7323" s="2">
        <v>7366100.0</v>
      </c>
      <c r="O7323" s="4">
        <f t="shared" si="6"/>
        <v>5136.750349</v>
      </c>
      <c r="P7323" s="2">
        <v>1.0</v>
      </c>
      <c r="Q7323" s="3">
        <f t="shared" si="7"/>
        <v>0.001555209953</v>
      </c>
      <c r="R7323" s="2">
        <v>643.0</v>
      </c>
      <c r="S7323" s="5">
        <f t="shared" si="8"/>
        <v>1</v>
      </c>
    </row>
    <row r="7324">
      <c r="A7324" s="2" t="s">
        <v>7319</v>
      </c>
      <c r="B7324" s="2">
        <v>1613.0</v>
      </c>
      <c r="C7324" s="2">
        <v>19147.0</v>
      </c>
      <c r="D7324" s="2">
        <v>5564.0</v>
      </c>
      <c r="E7324" s="3">
        <f t="shared" si="1"/>
        <v>0.3173263374</v>
      </c>
      <c r="F7324" s="2">
        <v>1863.0</v>
      </c>
      <c r="G7324" s="3">
        <f t="shared" si="2"/>
        <v>0.1062507129</v>
      </c>
      <c r="H7324" s="2">
        <v>3606.0</v>
      </c>
      <c r="I7324" s="3">
        <f t="shared" si="3"/>
        <v>0.2056575796</v>
      </c>
      <c r="J7324" s="2">
        <v>3060.0</v>
      </c>
      <c r="K7324" s="3">
        <f t="shared" si="4"/>
        <v>0.1745180792</v>
      </c>
      <c r="L7324" s="2">
        <v>2112.0</v>
      </c>
      <c r="M7324" s="3">
        <f t="shared" si="5"/>
        <v>0.5856905158</v>
      </c>
      <c r="N7324" s="2">
        <v>2.1082E7</v>
      </c>
      <c r="O7324" s="4">
        <f t="shared" si="6"/>
        <v>5846.367166</v>
      </c>
      <c r="P7324" s="2">
        <v>0.0</v>
      </c>
      <c r="Q7324" s="3">
        <f t="shared" si="7"/>
        <v>0</v>
      </c>
      <c r="R7324" s="2">
        <v>1613.0</v>
      </c>
      <c r="S7324" s="5">
        <f t="shared" si="8"/>
        <v>1</v>
      </c>
    </row>
    <row r="7325">
      <c r="A7325" s="2" t="s">
        <v>7320</v>
      </c>
      <c r="B7325" s="2">
        <v>1161.0</v>
      </c>
      <c r="C7325" s="2">
        <v>13760.0</v>
      </c>
      <c r="D7325" s="2">
        <v>3664.0</v>
      </c>
      <c r="E7325" s="3">
        <f t="shared" si="1"/>
        <v>0.2908167315</v>
      </c>
      <c r="F7325" s="2">
        <v>1338.0</v>
      </c>
      <c r="G7325" s="3">
        <f t="shared" si="2"/>
        <v>0.1061989047</v>
      </c>
      <c r="H7325" s="2">
        <v>2643.0</v>
      </c>
      <c r="I7325" s="3">
        <f t="shared" si="3"/>
        <v>0.2097785539</v>
      </c>
      <c r="J7325" s="2">
        <v>1834.0</v>
      </c>
      <c r="K7325" s="3">
        <f t="shared" si="4"/>
        <v>0.1455671085</v>
      </c>
      <c r="L7325" s="2">
        <v>1596.0</v>
      </c>
      <c r="M7325" s="3">
        <f t="shared" si="5"/>
        <v>0.6038592509</v>
      </c>
      <c r="N7325" s="2">
        <v>1.46795E7</v>
      </c>
      <c r="O7325" s="4">
        <f t="shared" si="6"/>
        <v>5554.105184</v>
      </c>
      <c r="P7325" s="2">
        <v>2.0</v>
      </c>
      <c r="Q7325" s="3">
        <f t="shared" si="7"/>
        <v>0.001722652885</v>
      </c>
      <c r="R7325" s="2">
        <v>130.0</v>
      </c>
      <c r="S7325" s="5">
        <f t="shared" si="8"/>
        <v>0.1119724376</v>
      </c>
    </row>
    <row r="7326">
      <c r="A7326" s="2" t="s">
        <v>7321</v>
      </c>
      <c r="B7326" s="2">
        <v>249.0</v>
      </c>
      <c r="C7326" s="2">
        <v>2933.0</v>
      </c>
      <c r="D7326" s="2">
        <v>999.0</v>
      </c>
      <c r="E7326" s="3">
        <f t="shared" si="1"/>
        <v>0.3722056632</v>
      </c>
      <c r="F7326" s="2">
        <v>285.0</v>
      </c>
      <c r="G7326" s="3">
        <f t="shared" si="2"/>
        <v>0.1061847988</v>
      </c>
      <c r="H7326" s="2">
        <v>522.0</v>
      </c>
      <c r="I7326" s="3">
        <f t="shared" si="3"/>
        <v>0.194485842</v>
      </c>
      <c r="J7326" s="2">
        <v>381.0</v>
      </c>
      <c r="K7326" s="3">
        <f t="shared" si="4"/>
        <v>0.14195231</v>
      </c>
      <c r="L7326" s="2">
        <v>306.0</v>
      </c>
      <c r="M7326" s="3">
        <f t="shared" si="5"/>
        <v>0.5862068966</v>
      </c>
      <c r="N7326" s="2">
        <v>3103900.0</v>
      </c>
      <c r="O7326" s="4">
        <f t="shared" si="6"/>
        <v>5946.168582</v>
      </c>
      <c r="P7326" s="2">
        <v>1.0</v>
      </c>
      <c r="Q7326" s="3">
        <f t="shared" si="7"/>
        <v>0.004016064257</v>
      </c>
      <c r="R7326" s="2">
        <v>249.0</v>
      </c>
      <c r="S7326" s="5">
        <f t="shared" si="8"/>
        <v>1</v>
      </c>
    </row>
    <row r="7327">
      <c r="A7327" s="2" t="s">
        <v>7322</v>
      </c>
      <c r="B7327" s="2">
        <v>137.0</v>
      </c>
      <c r="C7327" s="2">
        <v>1691.0</v>
      </c>
      <c r="D7327" s="2">
        <v>602.0</v>
      </c>
      <c r="E7327" s="3">
        <f t="shared" si="1"/>
        <v>0.3873873874</v>
      </c>
      <c r="F7327" s="2">
        <v>165.0</v>
      </c>
      <c r="G7327" s="3">
        <f t="shared" si="2"/>
        <v>0.1061776062</v>
      </c>
      <c r="H7327" s="2">
        <v>303.0</v>
      </c>
      <c r="I7327" s="3">
        <f t="shared" si="3"/>
        <v>0.194980695</v>
      </c>
      <c r="J7327" s="2">
        <v>199.0</v>
      </c>
      <c r="K7327" s="3">
        <f t="shared" si="4"/>
        <v>0.1280566281</v>
      </c>
      <c r="L7327" s="2">
        <v>184.0</v>
      </c>
      <c r="M7327" s="3">
        <f t="shared" si="5"/>
        <v>0.6072607261</v>
      </c>
      <c r="N7327" s="2">
        <v>1588800.0</v>
      </c>
      <c r="O7327" s="4">
        <f t="shared" si="6"/>
        <v>5243.564356</v>
      </c>
      <c r="P7327" s="2">
        <v>0.0</v>
      </c>
      <c r="Q7327" s="3">
        <f t="shared" si="7"/>
        <v>0</v>
      </c>
      <c r="R7327" s="2">
        <v>117.0</v>
      </c>
      <c r="S7327" s="5">
        <f t="shared" si="8"/>
        <v>0.8540145985</v>
      </c>
    </row>
    <row r="7328">
      <c r="A7328" s="2" t="s">
        <v>7323</v>
      </c>
      <c r="B7328" s="2">
        <v>909.0</v>
      </c>
      <c r="C7328" s="2">
        <v>10789.0</v>
      </c>
      <c r="D7328" s="2">
        <v>2931.0</v>
      </c>
      <c r="E7328" s="3">
        <f t="shared" si="1"/>
        <v>0.296659919</v>
      </c>
      <c r="F7328" s="2">
        <v>1049.0</v>
      </c>
      <c r="G7328" s="3">
        <f t="shared" si="2"/>
        <v>0.1061740891</v>
      </c>
      <c r="H7328" s="2">
        <v>1950.0</v>
      </c>
      <c r="I7328" s="3">
        <f t="shared" si="3"/>
        <v>0.1973684211</v>
      </c>
      <c r="J7328" s="2">
        <v>1775.0</v>
      </c>
      <c r="K7328" s="3">
        <f t="shared" si="4"/>
        <v>0.1796558704</v>
      </c>
      <c r="L7328" s="2">
        <v>1154.0</v>
      </c>
      <c r="M7328" s="3">
        <f t="shared" si="5"/>
        <v>0.5917948718</v>
      </c>
      <c r="N7328" s="2">
        <v>1.10817E7</v>
      </c>
      <c r="O7328" s="4">
        <f t="shared" si="6"/>
        <v>5682.923077</v>
      </c>
      <c r="P7328" s="2">
        <v>2.0</v>
      </c>
      <c r="Q7328" s="3">
        <f t="shared" si="7"/>
        <v>0.002200220022</v>
      </c>
      <c r="R7328" s="2">
        <v>909.0</v>
      </c>
      <c r="S7328" s="5">
        <f t="shared" si="8"/>
        <v>1</v>
      </c>
    </row>
    <row r="7329">
      <c r="A7329" s="2" t="s">
        <v>7324</v>
      </c>
      <c r="B7329" s="2">
        <v>1632.0</v>
      </c>
      <c r="C7329" s="2">
        <v>19437.0</v>
      </c>
      <c r="D7329" s="2">
        <v>5703.0</v>
      </c>
      <c r="E7329" s="3">
        <f t="shared" si="1"/>
        <v>0.3203032856</v>
      </c>
      <c r="F7329" s="2">
        <v>1890.0</v>
      </c>
      <c r="G7329" s="3">
        <f t="shared" si="2"/>
        <v>0.1061499579</v>
      </c>
      <c r="H7329" s="2">
        <v>3636.0</v>
      </c>
      <c r="I7329" s="3">
        <f t="shared" si="3"/>
        <v>0.2042122999</v>
      </c>
      <c r="J7329" s="2">
        <v>2200.0</v>
      </c>
      <c r="K7329" s="3">
        <f t="shared" si="4"/>
        <v>0.1235607975</v>
      </c>
      <c r="L7329" s="2">
        <v>2230.0</v>
      </c>
      <c r="M7329" s="3">
        <f t="shared" si="5"/>
        <v>0.6133113311</v>
      </c>
      <c r="N7329" s="2">
        <v>1.97485E7</v>
      </c>
      <c r="O7329" s="4">
        <f t="shared" si="6"/>
        <v>5431.380638</v>
      </c>
      <c r="P7329" s="2">
        <v>0.0</v>
      </c>
      <c r="Q7329" s="3">
        <f t="shared" si="7"/>
        <v>0</v>
      </c>
      <c r="R7329" s="2">
        <v>1632.0</v>
      </c>
      <c r="S7329" s="5">
        <f t="shared" si="8"/>
        <v>1</v>
      </c>
    </row>
    <row r="7330">
      <c r="A7330" s="2" t="s">
        <v>7325</v>
      </c>
      <c r="B7330" s="2">
        <v>263.0</v>
      </c>
      <c r="C7330" s="2">
        <v>3061.0</v>
      </c>
      <c r="D7330" s="2">
        <v>490.0</v>
      </c>
      <c r="E7330" s="3">
        <f t="shared" si="1"/>
        <v>0.1751250893</v>
      </c>
      <c r="F7330" s="2">
        <v>297.0</v>
      </c>
      <c r="G7330" s="3">
        <f t="shared" si="2"/>
        <v>0.106147248</v>
      </c>
      <c r="H7330" s="2">
        <v>479.0</v>
      </c>
      <c r="I7330" s="3">
        <f t="shared" si="3"/>
        <v>0.1711937098</v>
      </c>
      <c r="J7330" s="2">
        <v>504.0</v>
      </c>
      <c r="K7330" s="3">
        <f t="shared" si="4"/>
        <v>0.1801286633</v>
      </c>
      <c r="L7330" s="2">
        <v>287.0</v>
      </c>
      <c r="M7330" s="3">
        <f t="shared" si="5"/>
        <v>0.5991649269</v>
      </c>
      <c r="N7330" s="2">
        <v>3045500.0</v>
      </c>
      <c r="O7330" s="4">
        <f t="shared" si="6"/>
        <v>6358.037578</v>
      </c>
      <c r="P7330" s="2">
        <v>0.0</v>
      </c>
      <c r="Q7330" s="3">
        <f t="shared" si="7"/>
        <v>0</v>
      </c>
      <c r="R7330" s="2">
        <v>263.0</v>
      </c>
      <c r="S7330" s="5">
        <f t="shared" si="8"/>
        <v>1</v>
      </c>
    </row>
    <row r="7331">
      <c r="A7331" s="2" t="s">
        <v>7326</v>
      </c>
      <c r="B7331" s="2">
        <v>621.0</v>
      </c>
      <c r="C7331" s="2">
        <v>7367.0</v>
      </c>
      <c r="D7331" s="2">
        <v>1916.0</v>
      </c>
      <c r="E7331" s="3">
        <f t="shared" si="1"/>
        <v>0.2840201601</v>
      </c>
      <c r="F7331" s="2">
        <v>716.0</v>
      </c>
      <c r="G7331" s="3">
        <f t="shared" si="2"/>
        <v>0.1061369701</v>
      </c>
      <c r="H7331" s="2">
        <v>1374.0</v>
      </c>
      <c r="I7331" s="3">
        <f t="shared" si="3"/>
        <v>0.2036762526</v>
      </c>
      <c r="J7331" s="2">
        <v>1084.0</v>
      </c>
      <c r="K7331" s="3">
        <f t="shared" si="4"/>
        <v>0.160687815</v>
      </c>
      <c r="L7331" s="2">
        <v>816.0</v>
      </c>
      <c r="M7331" s="3">
        <f t="shared" si="5"/>
        <v>0.5938864629</v>
      </c>
      <c r="N7331" s="2">
        <v>7756400.0</v>
      </c>
      <c r="O7331" s="4">
        <f t="shared" si="6"/>
        <v>5645.123726</v>
      </c>
      <c r="P7331" s="2">
        <v>0.0</v>
      </c>
      <c r="Q7331" s="3">
        <f t="shared" si="7"/>
        <v>0</v>
      </c>
      <c r="R7331" s="2">
        <v>621.0</v>
      </c>
      <c r="S7331" s="5">
        <f t="shared" si="8"/>
        <v>1</v>
      </c>
    </row>
    <row r="7332">
      <c r="A7332" s="2" t="s">
        <v>7327</v>
      </c>
      <c r="B7332" s="2">
        <v>64.0</v>
      </c>
      <c r="C7332" s="2">
        <v>771.0</v>
      </c>
      <c r="D7332" s="2">
        <v>264.0</v>
      </c>
      <c r="E7332" s="3">
        <f t="shared" si="1"/>
        <v>0.3734087694</v>
      </c>
      <c r="F7332" s="2">
        <v>75.0</v>
      </c>
      <c r="G7332" s="3">
        <f t="shared" si="2"/>
        <v>0.1060820368</v>
      </c>
      <c r="H7332" s="2">
        <v>124.0</v>
      </c>
      <c r="I7332" s="3">
        <f t="shared" si="3"/>
        <v>0.1753889675</v>
      </c>
      <c r="J7332" s="2">
        <v>111.0</v>
      </c>
      <c r="K7332" s="3">
        <f t="shared" si="4"/>
        <v>0.1570014144</v>
      </c>
      <c r="L7332" s="2">
        <v>80.0</v>
      </c>
      <c r="M7332" s="3">
        <f t="shared" si="5"/>
        <v>0.6451612903</v>
      </c>
      <c r="N7332" s="2">
        <v>560000.0</v>
      </c>
      <c r="O7332" s="4">
        <f t="shared" si="6"/>
        <v>4516.129032</v>
      </c>
      <c r="P7332" s="2">
        <v>0.0</v>
      </c>
      <c r="Q7332" s="3">
        <f t="shared" si="7"/>
        <v>0</v>
      </c>
      <c r="R7332" s="2">
        <v>64.0</v>
      </c>
      <c r="S7332" s="5">
        <f t="shared" si="8"/>
        <v>1</v>
      </c>
    </row>
    <row r="7333">
      <c r="A7333" s="2" t="s">
        <v>7328</v>
      </c>
      <c r="B7333" s="2">
        <v>893.0</v>
      </c>
      <c r="C7333" s="2">
        <v>10386.0</v>
      </c>
      <c r="D7333" s="2">
        <v>3386.0</v>
      </c>
      <c r="E7333" s="3">
        <f t="shared" si="1"/>
        <v>0.3566838723</v>
      </c>
      <c r="F7333" s="2">
        <v>1007.0</v>
      </c>
      <c r="G7333" s="3">
        <f t="shared" si="2"/>
        <v>0.1060781629</v>
      </c>
      <c r="H7333" s="2">
        <v>1962.0</v>
      </c>
      <c r="I7333" s="3">
        <f t="shared" si="3"/>
        <v>0.2066786053</v>
      </c>
      <c r="J7333" s="2">
        <v>1391.0</v>
      </c>
      <c r="K7333" s="3">
        <f t="shared" si="4"/>
        <v>0.1465290214</v>
      </c>
      <c r="L7333" s="2">
        <v>1142.0</v>
      </c>
      <c r="M7333" s="3">
        <f t="shared" si="5"/>
        <v>0.5820591233</v>
      </c>
      <c r="N7333" s="2">
        <v>1.05567E7</v>
      </c>
      <c r="O7333" s="4">
        <f t="shared" si="6"/>
        <v>5380.58104</v>
      </c>
      <c r="P7333" s="2">
        <v>0.0</v>
      </c>
      <c r="Q7333" s="3">
        <f t="shared" si="7"/>
        <v>0</v>
      </c>
      <c r="R7333" s="2">
        <v>893.0</v>
      </c>
      <c r="S7333" s="5">
        <f t="shared" si="8"/>
        <v>1</v>
      </c>
    </row>
    <row r="7334">
      <c r="A7334" s="2" t="s">
        <v>7329</v>
      </c>
      <c r="B7334" s="2">
        <v>215.0</v>
      </c>
      <c r="C7334" s="2">
        <v>2487.0</v>
      </c>
      <c r="D7334" s="2">
        <v>805.0</v>
      </c>
      <c r="E7334" s="3">
        <f t="shared" si="1"/>
        <v>0.3543133803</v>
      </c>
      <c r="F7334" s="2">
        <v>241.0</v>
      </c>
      <c r="G7334" s="3">
        <f t="shared" si="2"/>
        <v>0.1060739437</v>
      </c>
      <c r="H7334" s="2">
        <v>480.0</v>
      </c>
      <c r="I7334" s="3">
        <f t="shared" si="3"/>
        <v>0.2112676056</v>
      </c>
      <c r="J7334" s="2">
        <v>421.0</v>
      </c>
      <c r="K7334" s="3">
        <f t="shared" si="4"/>
        <v>0.1852992958</v>
      </c>
      <c r="L7334" s="2">
        <v>281.0</v>
      </c>
      <c r="M7334" s="3">
        <f t="shared" si="5"/>
        <v>0.5854166667</v>
      </c>
      <c r="N7334" s="2">
        <v>2706800.0</v>
      </c>
      <c r="O7334" s="4">
        <f t="shared" si="6"/>
        <v>5639.166667</v>
      </c>
      <c r="P7334" s="2">
        <v>0.0</v>
      </c>
      <c r="Q7334" s="3">
        <f t="shared" si="7"/>
        <v>0</v>
      </c>
      <c r="R7334" s="2">
        <v>0.0</v>
      </c>
      <c r="S7334" s="5">
        <f t="shared" si="8"/>
        <v>0</v>
      </c>
    </row>
    <row r="7335">
      <c r="A7335" s="2" t="s">
        <v>7330</v>
      </c>
      <c r="B7335" s="2">
        <v>271.0</v>
      </c>
      <c r="C7335" s="2">
        <v>3203.0</v>
      </c>
      <c r="D7335" s="2">
        <v>900.0</v>
      </c>
      <c r="E7335" s="3">
        <f t="shared" si="1"/>
        <v>0.306957708</v>
      </c>
      <c r="F7335" s="2">
        <v>311.0</v>
      </c>
      <c r="G7335" s="3">
        <f t="shared" si="2"/>
        <v>0.1060709413</v>
      </c>
      <c r="H7335" s="2">
        <v>591.0</v>
      </c>
      <c r="I7335" s="3">
        <f t="shared" si="3"/>
        <v>0.201568895</v>
      </c>
      <c r="J7335" s="2">
        <v>507.0</v>
      </c>
      <c r="K7335" s="3">
        <f t="shared" si="4"/>
        <v>0.1729195089</v>
      </c>
      <c r="L7335" s="2">
        <v>337.0</v>
      </c>
      <c r="M7335" s="3">
        <f t="shared" si="5"/>
        <v>0.5702199662</v>
      </c>
      <c r="N7335" s="2">
        <v>3365400.0</v>
      </c>
      <c r="O7335" s="4">
        <f t="shared" si="6"/>
        <v>5694.416244</v>
      </c>
      <c r="P7335" s="2">
        <v>0.0</v>
      </c>
      <c r="Q7335" s="3">
        <f t="shared" si="7"/>
        <v>0</v>
      </c>
      <c r="R7335" s="2">
        <v>271.0</v>
      </c>
      <c r="S7335" s="5">
        <f t="shared" si="8"/>
        <v>1</v>
      </c>
    </row>
    <row r="7336">
      <c r="A7336" s="2" t="s">
        <v>7331</v>
      </c>
      <c r="B7336" s="2">
        <v>85.0</v>
      </c>
      <c r="C7336" s="2">
        <v>981.0</v>
      </c>
      <c r="D7336" s="2">
        <v>274.0</v>
      </c>
      <c r="E7336" s="3">
        <f t="shared" si="1"/>
        <v>0.3058035714</v>
      </c>
      <c r="F7336" s="2">
        <v>95.0</v>
      </c>
      <c r="G7336" s="3">
        <f t="shared" si="2"/>
        <v>0.1060267857</v>
      </c>
      <c r="H7336" s="2">
        <v>187.0</v>
      </c>
      <c r="I7336" s="3">
        <f t="shared" si="3"/>
        <v>0.2087053571</v>
      </c>
      <c r="J7336" s="2">
        <v>165.0</v>
      </c>
      <c r="K7336" s="3">
        <f t="shared" si="4"/>
        <v>0.1841517857</v>
      </c>
      <c r="L7336" s="2">
        <v>112.0</v>
      </c>
      <c r="M7336" s="3">
        <f t="shared" si="5"/>
        <v>0.5989304813</v>
      </c>
      <c r="N7336" s="2">
        <v>1008300.0</v>
      </c>
      <c r="O7336" s="4">
        <f t="shared" si="6"/>
        <v>5391.97861</v>
      </c>
      <c r="P7336" s="2">
        <v>0.0</v>
      </c>
      <c r="Q7336" s="3">
        <f t="shared" si="7"/>
        <v>0</v>
      </c>
      <c r="R7336" s="2">
        <v>85.0</v>
      </c>
      <c r="S7336" s="5">
        <f t="shared" si="8"/>
        <v>1</v>
      </c>
    </row>
    <row r="7337">
      <c r="A7337" s="2" t="s">
        <v>7332</v>
      </c>
      <c r="B7337" s="2">
        <v>25.0</v>
      </c>
      <c r="C7337" s="2">
        <v>308.0</v>
      </c>
      <c r="D7337" s="2">
        <v>101.0</v>
      </c>
      <c r="E7337" s="3">
        <f t="shared" si="1"/>
        <v>0.3568904594</v>
      </c>
      <c r="F7337" s="2">
        <v>30.0</v>
      </c>
      <c r="G7337" s="3">
        <f t="shared" si="2"/>
        <v>0.1060070671</v>
      </c>
      <c r="H7337" s="2">
        <v>55.0</v>
      </c>
      <c r="I7337" s="3">
        <f t="shared" si="3"/>
        <v>0.1943462898</v>
      </c>
      <c r="J7337" s="2">
        <v>41.0</v>
      </c>
      <c r="K7337" s="3">
        <f t="shared" si="4"/>
        <v>0.1448763251</v>
      </c>
      <c r="L7337" s="2">
        <v>39.0</v>
      </c>
      <c r="M7337" s="3">
        <f t="shared" si="5"/>
        <v>0.7090909091</v>
      </c>
      <c r="N7337" s="2">
        <v>263500.0</v>
      </c>
      <c r="O7337" s="4">
        <f t="shared" si="6"/>
        <v>4790.909091</v>
      </c>
      <c r="P7337" s="2">
        <v>0.0</v>
      </c>
      <c r="Q7337" s="3">
        <f t="shared" si="7"/>
        <v>0</v>
      </c>
      <c r="R7337" s="2">
        <v>25.0</v>
      </c>
      <c r="S7337" s="5">
        <f t="shared" si="8"/>
        <v>1</v>
      </c>
    </row>
    <row r="7338">
      <c r="A7338" s="2" t="s">
        <v>7333</v>
      </c>
      <c r="B7338" s="2">
        <v>24.0</v>
      </c>
      <c r="C7338" s="2">
        <v>307.0</v>
      </c>
      <c r="D7338" s="2">
        <v>117.0</v>
      </c>
      <c r="E7338" s="3">
        <f t="shared" si="1"/>
        <v>0.4134275618</v>
      </c>
      <c r="F7338" s="2">
        <v>30.0</v>
      </c>
      <c r="G7338" s="3">
        <f t="shared" si="2"/>
        <v>0.1060070671</v>
      </c>
      <c r="H7338" s="2">
        <v>55.0</v>
      </c>
      <c r="I7338" s="3">
        <f t="shared" si="3"/>
        <v>0.1943462898</v>
      </c>
      <c r="J7338" s="2">
        <v>38.0</v>
      </c>
      <c r="K7338" s="3">
        <f t="shared" si="4"/>
        <v>0.1342756184</v>
      </c>
      <c r="L7338" s="2">
        <v>33.0</v>
      </c>
      <c r="M7338" s="3">
        <f t="shared" si="5"/>
        <v>0.6</v>
      </c>
      <c r="N7338" s="2">
        <v>301800.0</v>
      </c>
      <c r="O7338" s="4">
        <f t="shared" si="6"/>
        <v>5487.272727</v>
      </c>
      <c r="P7338" s="2">
        <v>0.0</v>
      </c>
      <c r="Q7338" s="3">
        <f t="shared" si="7"/>
        <v>0</v>
      </c>
      <c r="R7338" s="2">
        <v>24.0</v>
      </c>
      <c r="S7338" s="5">
        <f t="shared" si="8"/>
        <v>1</v>
      </c>
    </row>
    <row r="7339">
      <c r="A7339" s="2" t="s">
        <v>7334</v>
      </c>
      <c r="B7339" s="2">
        <v>88.0</v>
      </c>
      <c r="C7339" s="2">
        <v>1022.0</v>
      </c>
      <c r="D7339" s="2">
        <v>269.0</v>
      </c>
      <c r="E7339" s="3">
        <f t="shared" si="1"/>
        <v>0.2880085653</v>
      </c>
      <c r="F7339" s="2">
        <v>99.0</v>
      </c>
      <c r="G7339" s="3">
        <f t="shared" si="2"/>
        <v>0.1059957173</v>
      </c>
      <c r="H7339" s="2">
        <v>205.0</v>
      </c>
      <c r="I7339" s="3">
        <f t="shared" si="3"/>
        <v>0.2194860814</v>
      </c>
      <c r="J7339" s="2">
        <v>207.0</v>
      </c>
      <c r="K7339" s="3">
        <f t="shared" si="4"/>
        <v>0.221627409</v>
      </c>
      <c r="L7339" s="2">
        <v>122.0</v>
      </c>
      <c r="M7339" s="3">
        <f t="shared" si="5"/>
        <v>0.5951219512</v>
      </c>
      <c r="N7339" s="2">
        <v>1188900.0</v>
      </c>
      <c r="O7339" s="4">
        <f t="shared" si="6"/>
        <v>5799.512195</v>
      </c>
      <c r="P7339" s="2">
        <v>0.0</v>
      </c>
      <c r="Q7339" s="3">
        <f t="shared" si="7"/>
        <v>0</v>
      </c>
      <c r="R7339" s="2">
        <v>88.0</v>
      </c>
      <c r="S7339" s="5">
        <f t="shared" si="8"/>
        <v>1</v>
      </c>
    </row>
    <row r="7340">
      <c r="A7340" s="2" t="s">
        <v>7335</v>
      </c>
      <c r="B7340" s="2">
        <v>85.0</v>
      </c>
      <c r="C7340" s="2">
        <v>1019.0</v>
      </c>
      <c r="D7340" s="2">
        <v>290.0</v>
      </c>
      <c r="E7340" s="3">
        <f t="shared" si="1"/>
        <v>0.3104925054</v>
      </c>
      <c r="F7340" s="2">
        <v>99.0</v>
      </c>
      <c r="G7340" s="3">
        <f t="shared" si="2"/>
        <v>0.1059957173</v>
      </c>
      <c r="H7340" s="2">
        <v>180.0</v>
      </c>
      <c r="I7340" s="3">
        <f t="shared" si="3"/>
        <v>0.1927194861</v>
      </c>
      <c r="J7340" s="2">
        <v>154.0</v>
      </c>
      <c r="K7340" s="3">
        <f t="shared" si="4"/>
        <v>0.164882227</v>
      </c>
      <c r="L7340" s="2">
        <v>95.0</v>
      </c>
      <c r="M7340" s="3">
        <f t="shared" si="5"/>
        <v>0.5277777778</v>
      </c>
      <c r="N7340" s="2">
        <v>1040400.0</v>
      </c>
      <c r="O7340" s="4">
        <f t="shared" si="6"/>
        <v>5780</v>
      </c>
      <c r="P7340" s="2">
        <v>0.0</v>
      </c>
      <c r="Q7340" s="3">
        <f t="shared" si="7"/>
        <v>0</v>
      </c>
      <c r="R7340" s="2">
        <v>85.0</v>
      </c>
      <c r="S7340" s="5">
        <f t="shared" si="8"/>
        <v>1</v>
      </c>
    </row>
    <row r="7341">
      <c r="A7341" s="2" t="s">
        <v>7336</v>
      </c>
      <c r="B7341" s="2">
        <v>182.0</v>
      </c>
      <c r="C7341" s="2">
        <v>2220.0</v>
      </c>
      <c r="D7341" s="2">
        <v>752.0</v>
      </c>
      <c r="E7341" s="3">
        <f t="shared" si="1"/>
        <v>0.3689892051</v>
      </c>
      <c r="F7341" s="2">
        <v>216.0</v>
      </c>
      <c r="G7341" s="3">
        <f t="shared" si="2"/>
        <v>0.105986261</v>
      </c>
      <c r="H7341" s="2">
        <v>395.0</v>
      </c>
      <c r="I7341" s="3">
        <f t="shared" si="3"/>
        <v>0.1938174681</v>
      </c>
      <c r="J7341" s="2">
        <v>319.0</v>
      </c>
      <c r="K7341" s="3">
        <f t="shared" si="4"/>
        <v>0.1565260059</v>
      </c>
      <c r="L7341" s="2">
        <v>221.0</v>
      </c>
      <c r="M7341" s="3">
        <f t="shared" si="5"/>
        <v>0.5594936709</v>
      </c>
      <c r="N7341" s="2">
        <v>2191500.0</v>
      </c>
      <c r="O7341" s="4">
        <f t="shared" si="6"/>
        <v>5548.101266</v>
      </c>
      <c r="P7341" s="2">
        <v>0.0</v>
      </c>
      <c r="Q7341" s="3">
        <f t="shared" si="7"/>
        <v>0</v>
      </c>
      <c r="R7341" s="2">
        <v>182.0</v>
      </c>
      <c r="S7341" s="5">
        <f t="shared" si="8"/>
        <v>1</v>
      </c>
    </row>
    <row r="7342">
      <c r="A7342" s="2" t="s">
        <v>7337</v>
      </c>
      <c r="B7342" s="2">
        <v>265.0</v>
      </c>
      <c r="C7342" s="2">
        <v>3039.0</v>
      </c>
      <c r="D7342" s="2">
        <v>610.0</v>
      </c>
      <c r="E7342" s="3">
        <f t="shared" si="1"/>
        <v>0.2198990627</v>
      </c>
      <c r="F7342" s="2">
        <v>294.0</v>
      </c>
      <c r="G7342" s="3">
        <f t="shared" si="2"/>
        <v>0.1059841384</v>
      </c>
      <c r="H7342" s="2">
        <v>475.0</v>
      </c>
      <c r="I7342" s="3">
        <f t="shared" si="3"/>
        <v>0.1712328767</v>
      </c>
      <c r="J7342" s="2">
        <v>405.0</v>
      </c>
      <c r="K7342" s="3">
        <f t="shared" si="4"/>
        <v>0.145998558</v>
      </c>
      <c r="L7342" s="2">
        <v>280.0</v>
      </c>
      <c r="M7342" s="3">
        <f t="shared" si="5"/>
        <v>0.5894736842</v>
      </c>
      <c r="N7342" s="2">
        <v>3032400.0</v>
      </c>
      <c r="O7342" s="4">
        <f t="shared" si="6"/>
        <v>6384</v>
      </c>
      <c r="P7342" s="2">
        <v>1.0</v>
      </c>
      <c r="Q7342" s="3">
        <f t="shared" si="7"/>
        <v>0.003773584906</v>
      </c>
      <c r="R7342" s="2">
        <v>265.0</v>
      </c>
      <c r="S7342" s="5">
        <f t="shared" si="8"/>
        <v>1</v>
      </c>
    </row>
    <row r="7343">
      <c r="A7343" s="2" t="s">
        <v>7338</v>
      </c>
      <c r="B7343" s="2">
        <v>74.0</v>
      </c>
      <c r="C7343" s="2">
        <v>914.0</v>
      </c>
      <c r="D7343" s="2">
        <v>277.0</v>
      </c>
      <c r="E7343" s="3">
        <f t="shared" si="1"/>
        <v>0.3297619048</v>
      </c>
      <c r="F7343" s="2">
        <v>89.0</v>
      </c>
      <c r="G7343" s="3">
        <f t="shared" si="2"/>
        <v>0.105952381</v>
      </c>
      <c r="H7343" s="2">
        <v>142.0</v>
      </c>
      <c r="I7343" s="3">
        <f t="shared" si="3"/>
        <v>0.169047619</v>
      </c>
      <c r="J7343" s="2">
        <v>101.0</v>
      </c>
      <c r="K7343" s="3">
        <f t="shared" si="4"/>
        <v>0.1202380952</v>
      </c>
      <c r="L7343" s="2">
        <v>93.0</v>
      </c>
      <c r="M7343" s="3">
        <f t="shared" si="5"/>
        <v>0.6549295775</v>
      </c>
      <c r="N7343" s="2">
        <v>735800.0</v>
      </c>
      <c r="O7343" s="4">
        <f t="shared" si="6"/>
        <v>5181.690141</v>
      </c>
      <c r="P7343" s="2">
        <v>0.0</v>
      </c>
      <c r="Q7343" s="3">
        <f t="shared" si="7"/>
        <v>0</v>
      </c>
      <c r="R7343" s="2">
        <v>74.0</v>
      </c>
      <c r="S7343" s="5">
        <f t="shared" si="8"/>
        <v>1</v>
      </c>
    </row>
    <row r="7344">
      <c r="A7344" s="2" t="s">
        <v>7339</v>
      </c>
      <c r="B7344" s="2">
        <v>219.0</v>
      </c>
      <c r="C7344" s="2">
        <v>2645.0</v>
      </c>
      <c r="D7344" s="2">
        <v>740.0</v>
      </c>
      <c r="E7344" s="3">
        <f t="shared" si="1"/>
        <v>0.3050288541</v>
      </c>
      <c r="F7344" s="2">
        <v>257.0</v>
      </c>
      <c r="G7344" s="3">
        <f t="shared" si="2"/>
        <v>0.1059356966</v>
      </c>
      <c r="H7344" s="2">
        <v>447.0</v>
      </c>
      <c r="I7344" s="3">
        <f t="shared" si="3"/>
        <v>0.1842539159</v>
      </c>
      <c r="J7344" s="2">
        <v>325.0</v>
      </c>
      <c r="K7344" s="3">
        <f t="shared" si="4"/>
        <v>0.1339653751</v>
      </c>
      <c r="L7344" s="2">
        <v>271.0</v>
      </c>
      <c r="M7344" s="3">
        <f t="shared" si="5"/>
        <v>0.6062639821</v>
      </c>
      <c r="N7344" s="2">
        <v>2492200.0</v>
      </c>
      <c r="O7344" s="4">
        <f t="shared" si="6"/>
        <v>5575.391499</v>
      </c>
      <c r="P7344" s="2">
        <v>0.0</v>
      </c>
      <c r="Q7344" s="3">
        <f t="shared" si="7"/>
        <v>0</v>
      </c>
      <c r="R7344" s="2">
        <v>219.0</v>
      </c>
      <c r="S7344" s="5">
        <f t="shared" si="8"/>
        <v>1</v>
      </c>
    </row>
    <row r="7345">
      <c r="A7345" s="2" t="s">
        <v>7340</v>
      </c>
      <c r="B7345" s="2">
        <v>438.0</v>
      </c>
      <c r="C7345" s="2">
        <v>5224.0</v>
      </c>
      <c r="D7345" s="2">
        <v>1681.0</v>
      </c>
      <c r="E7345" s="3">
        <f t="shared" si="1"/>
        <v>0.3512327622</v>
      </c>
      <c r="F7345" s="2">
        <v>507.0</v>
      </c>
      <c r="G7345" s="3">
        <f t="shared" si="2"/>
        <v>0.1059339741</v>
      </c>
      <c r="H7345" s="2">
        <v>980.0</v>
      </c>
      <c r="I7345" s="3">
        <f t="shared" si="3"/>
        <v>0.2047638947</v>
      </c>
      <c r="J7345" s="2">
        <v>817.0</v>
      </c>
      <c r="K7345" s="3">
        <f t="shared" si="4"/>
        <v>0.1707062265</v>
      </c>
      <c r="L7345" s="2">
        <v>543.0</v>
      </c>
      <c r="M7345" s="3">
        <f t="shared" si="5"/>
        <v>0.5540816327</v>
      </c>
      <c r="N7345" s="2">
        <v>5517800.0</v>
      </c>
      <c r="O7345" s="4">
        <f t="shared" si="6"/>
        <v>5630.408163</v>
      </c>
      <c r="P7345" s="2">
        <v>1.0</v>
      </c>
      <c r="Q7345" s="3">
        <f t="shared" si="7"/>
        <v>0.002283105023</v>
      </c>
      <c r="R7345" s="2">
        <v>438.0</v>
      </c>
      <c r="S7345" s="5">
        <f t="shared" si="8"/>
        <v>1</v>
      </c>
    </row>
    <row r="7346">
      <c r="A7346" s="2" t="s">
        <v>7341</v>
      </c>
      <c r="B7346" s="2">
        <v>262.0</v>
      </c>
      <c r="C7346" s="2">
        <v>3086.0</v>
      </c>
      <c r="D7346" s="2">
        <v>861.0</v>
      </c>
      <c r="E7346" s="3">
        <f t="shared" si="1"/>
        <v>0.3048866856</v>
      </c>
      <c r="F7346" s="2">
        <v>299.0</v>
      </c>
      <c r="G7346" s="3">
        <f t="shared" si="2"/>
        <v>0.105878187</v>
      </c>
      <c r="H7346" s="2">
        <v>556.0</v>
      </c>
      <c r="I7346" s="3">
        <f t="shared" si="3"/>
        <v>0.1968838527</v>
      </c>
      <c r="J7346" s="2">
        <v>506.0</v>
      </c>
      <c r="K7346" s="3">
        <f t="shared" si="4"/>
        <v>0.1791784703</v>
      </c>
      <c r="L7346" s="2">
        <v>321.0</v>
      </c>
      <c r="M7346" s="3">
        <f t="shared" si="5"/>
        <v>0.5773381295</v>
      </c>
      <c r="N7346" s="2">
        <v>3180900.0</v>
      </c>
      <c r="O7346" s="4">
        <f t="shared" si="6"/>
        <v>5721.043165</v>
      </c>
      <c r="P7346" s="2">
        <v>0.0</v>
      </c>
      <c r="Q7346" s="3">
        <f t="shared" si="7"/>
        <v>0</v>
      </c>
      <c r="R7346" s="2">
        <v>235.0</v>
      </c>
      <c r="S7346" s="5">
        <f t="shared" si="8"/>
        <v>0.8969465649</v>
      </c>
    </row>
    <row r="7347">
      <c r="A7347" s="2" t="s">
        <v>7342</v>
      </c>
      <c r="B7347" s="2">
        <v>1500.0</v>
      </c>
      <c r="C7347" s="2">
        <v>17548.0</v>
      </c>
      <c r="D7347" s="2">
        <v>4863.0</v>
      </c>
      <c r="E7347" s="3">
        <f t="shared" si="1"/>
        <v>0.3030284148</v>
      </c>
      <c r="F7347" s="2">
        <v>1699.0</v>
      </c>
      <c r="G7347" s="3">
        <f t="shared" si="2"/>
        <v>0.1058698903</v>
      </c>
      <c r="H7347" s="2">
        <v>3136.0</v>
      </c>
      <c r="I7347" s="3">
        <f t="shared" si="3"/>
        <v>0.1954137587</v>
      </c>
      <c r="J7347" s="2">
        <v>2893.0</v>
      </c>
      <c r="K7347" s="3">
        <f t="shared" si="4"/>
        <v>0.1802716849</v>
      </c>
      <c r="L7347" s="2">
        <v>1931.0</v>
      </c>
      <c r="M7347" s="3">
        <f t="shared" si="5"/>
        <v>0.615752551</v>
      </c>
      <c r="N7347" s="2">
        <v>1.87193E7</v>
      </c>
      <c r="O7347" s="4">
        <f t="shared" si="6"/>
        <v>5969.164541</v>
      </c>
      <c r="P7347" s="2">
        <v>2.0</v>
      </c>
      <c r="Q7347" s="3">
        <f t="shared" si="7"/>
        <v>0.001333333333</v>
      </c>
      <c r="R7347" s="2">
        <v>1500.0</v>
      </c>
      <c r="S7347" s="5">
        <f t="shared" si="8"/>
        <v>1</v>
      </c>
    </row>
    <row r="7348">
      <c r="A7348" s="2" t="s">
        <v>7343</v>
      </c>
      <c r="B7348" s="2">
        <v>1705.0</v>
      </c>
      <c r="C7348" s="2">
        <v>20115.0</v>
      </c>
      <c r="D7348" s="2">
        <v>6472.0</v>
      </c>
      <c r="E7348" s="3">
        <f t="shared" si="1"/>
        <v>0.3515480717</v>
      </c>
      <c r="F7348" s="2">
        <v>1949.0</v>
      </c>
      <c r="G7348" s="3">
        <f t="shared" si="2"/>
        <v>0.105866377</v>
      </c>
      <c r="H7348" s="2">
        <v>3895.0</v>
      </c>
      <c r="I7348" s="3">
        <f t="shared" si="3"/>
        <v>0.211569799</v>
      </c>
      <c r="J7348" s="2">
        <v>3083.0</v>
      </c>
      <c r="K7348" s="3">
        <f t="shared" si="4"/>
        <v>0.1674633351</v>
      </c>
      <c r="L7348" s="2">
        <v>2310.0</v>
      </c>
      <c r="M7348" s="3">
        <f t="shared" si="5"/>
        <v>0.5930680359</v>
      </c>
      <c r="N7348" s="2">
        <v>2.16753E7</v>
      </c>
      <c r="O7348" s="4">
        <f t="shared" si="6"/>
        <v>5564.903723</v>
      </c>
      <c r="P7348" s="2">
        <v>3.0</v>
      </c>
      <c r="Q7348" s="3">
        <f t="shared" si="7"/>
        <v>0.001759530792</v>
      </c>
      <c r="R7348" s="2">
        <v>1705.0</v>
      </c>
      <c r="S7348" s="5">
        <f t="shared" si="8"/>
        <v>1</v>
      </c>
    </row>
    <row r="7349">
      <c r="A7349" s="2" t="s">
        <v>7344</v>
      </c>
      <c r="B7349" s="2">
        <v>1938.0</v>
      </c>
      <c r="C7349" s="2">
        <v>23125.0</v>
      </c>
      <c r="D7349" s="2">
        <v>7375.0</v>
      </c>
      <c r="E7349" s="3">
        <f t="shared" si="1"/>
        <v>0.3480908104</v>
      </c>
      <c r="F7349" s="2">
        <v>2242.0</v>
      </c>
      <c r="G7349" s="3">
        <f t="shared" si="2"/>
        <v>0.1058196064</v>
      </c>
      <c r="H7349" s="2">
        <v>4158.0</v>
      </c>
      <c r="I7349" s="3">
        <f t="shared" si="3"/>
        <v>0.1962524189</v>
      </c>
      <c r="J7349" s="2">
        <v>3178.0</v>
      </c>
      <c r="K7349" s="3">
        <f t="shared" si="4"/>
        <v>0.1499976401</v>
      </c>
      <c r="L7349" s="2">
        <v>2480.0</v>
      </c>
      <c r="M7349" s="3">
        <f t="shared" si="5"/>
        <v>0.5964405964</v>
      </c>
      <c r="N7349" s="2">
        <v>2.32918E7</v>
      </c>
      <c r="O7349" s="4">
        <f t="shared" si="6"/>
        <v>5601.683502</v>
      </c>
      <c r="P7349" s="2">
        <v>1.0</v>
      </c>
      <c r="Q7349" s="3">
        <f t="shared" si="7"/>
        <v>0.000515995872</v>
      </c>
      <c r="R7349" s="2">
        <v>0.0</v>
      </c>
      <c r="S7349" s="5">
        <f t="shared" si="8"/>
        <v>0</v>
      </c>
    </row>
    <row r="7350">
      <c r="A7350" s="2" t="s">
        <v>7345</v>
      </c>
      <c r="B7350" s="2">
        <v>210.0</v>
      </c>
      <c r="C7350" s="2">
        <v>2554.0</v>
      </c>
      <c r="D7350" s="2">
        <v>868.0</v>
      </c>
      <c r="E7350" s="3">
        <f t="shared" si="1"/>
        <v>0.3703071672</v>
      </c>
      <c r="F7350" s="2">
        <v>248.0</v>
      </c>
      <c r="G7350" s="3">
        <f t="shared" si="2"/>
        <v>0.1058020478</v>
      </c>
      <c r="H7350" s="2">
        <v>499.0</v>
      </c>
      <c r="I7350" s="3">
        <f t="shared" si="3"/>
        <v>0.212883959</v>
      </c>
      <c r="J7350" s="2">
        <v>405.0</v>
      </c>
      <c r="K7350" s="3">
        <f t="shared" si="4"/>
        <v>0.17278157</v>
      </c>
      <c r="L7350" s="2">
        <v>305.0</v>
      </c>
      <c r="M7350" s="3">
        <f t="shared" si="5"/>
        <v>0.6112224449</v>
      </c>
      <c r="N7350" s="2">
        <v>2819400.0</v>
      </c>
      <c r="O7350" s="4">
        <f t="shared" si="6"/>
        <v>5650.1002</v>
      </c>
      <c r="P7350" s="2">
        <v>0.0</v>
      </c>
      <c r="Q7350" s="3">
        <f t="shared" si="7"/>
        <v>0</v>
      </c>
      <c r="R7350" s="2">
        <v>0.0</v>
      </c>
      <c r="S7350" s="5">
        <f t="shared" si="8"/>
        <v>0</v>
      </c>
    </row>
    <row r="7351">
      <c r="A7351" s="2" t="s">
        <v>7346</v>
      </c>
      <c r="B7351" s="2">
        <v>198.0</v>
      </c>
      <c r="C7351" s="2">
        <v>2372.0</v>
      </c>
      <c r="D7351" s="2">
        <v>714.0</v>
      </c>
      <c r="E7351" s="3">
        <f t="shared" si="1"/>
        <v>0.3284268629</v>
      </c>
      <c r="F7351" s="2">
        <v>230.0</v>
      </c>
      <c r="G7351" s="3">
        <f t="shared" si="2"/>
        <v>0.1057957682</v>
      </c>
      <c r="H7351" s="2">
        <v>448.0</v>
      </c>
      <c r="I7351" s="3">
        <f t="shared" si="3"/>
        <v>0.2060717571</v>
      </c>
      <c r="J7351" s="2">
        <v>395.0</v>
      </c>
      <c r="K7351" s="3">
        <f t="shared" si="4"/>
        <v>0.1816927323</v>
      </c>
      <c r="L7351" s="2">
        <v>265.0</v>
      </c>
      <c r="M7351" s="3">
        <f t="shared" si="5"/>
        <v>0.5915178571</v>
      </c>
      <c r="N7351" s="2">
        <v>2576600.0</v>
      </c>
      <c r="O7351" s="4">
        <f t="shared" si="6"/>
        <v>5751.339286</v>
      </c>
      <c r="P7351" s="2">
        <v>1.0</v>
      </c>
      <c r="Q7351" s="3">
        <f t="shared" si="7"/>
        <v>0.005050505051</v>
      </c>
      <c r="R7351" s="2">
        <v>198.0</v>
      </c>
      <c r="S7351" s="5">
        <f t="shared" si="8"/>
        <v>1</v>
      </c>
    </row>
    <row r="7352">
      <c r="A7352" s="2" t="s">
        <v>7347</v>
      </c>
      <c r="B7352" s="2">
        <v>304.0</v>
      </c>
      <c r="C7352" s="2">
        <v>3565.0</v>
      </c>
      <c r="D7352" s="2">
        <v>1072.0</v>
      </c>
      <c r="E7352" s="3">
        <f t="shared" si="1"/>
        <v>0.3287335173</v>
      </c>
      <c r="F7352" s="2">
        <v>345.0</v>
      </c>
      <c r="G7352" s="3">
        <f t="shared" si="2"/>
        <v>0.1057957682</v>
      </c>
      <c r="H7352" s="2">
        <v>596.0</v>
      </c>
      <c r="I7352" s="3">
        <f t="shared" si="3"/>
        <v>0.1827660227</v>
      </c>
      <c r="J7352" s="2">
        <v>561.0</v>
      </c>
      <c r="K7352" s="3">
        <f t="shared" si="4"/>
        <v>0.1720331187</v>
      </c>
      <c r="L7352" s="2">
        <v>354.0</v>
      </c>
      <c r="M7352" s="3">
        <f t="shared" si="5"/>
        <v>0.5939597315</v>
      </c>
      <c r="N7352" s="2">
        <v>3633500.0</v>
      </c>
      <c r="O7352" s="4">
        <f t="shared" si="6"/>
        <v>6096.47651</v>
      </c>
      <c r="P7352" s="2">
        <v>0.0</v>
      </c>
      <c r="Q7352" s="3">
        <f t="shared" si="7"/>
        <v>0</v>
      </c>
      <c r="R7352" s="2">
        <v>304.0</v>
      </c>
      <c r="S7352" s="5">
        <f t="shared" si="8"/>
        <v>1</v>
      </c>
    </row>
    <row r="7353">
      <c r="A7353" s="2" t="s">
        <v>7348</v>
      </c>
      <c r="B7353" s="2">
        <v>50.0</v>
      </c>
      <c r="C7353" s="2">
        <v>608.0</v>
      </c>
      <c r="D7353" s="2">
        <v>138.0</v>
      </c>
      <c r="E7353" s="3">
        <f t="shared" si="1"/>
        <v>0.247311828</v>
      </c>
      <c r="F7353" s="2">
        <v>59.0</v>
      </c>
      <c r="G7353" s="3">
        <f t="shared" si="2"/>
        <v>0.105734767</v>
      </c>
      <c r="H7353" s="2">
        <v>99.0</v>
      </c>
      <c r="I7353" s="3">
        <f t="shared" si="3"/>
        <v>0.1774193548</v>
      </c>
      <c r="J7353" s="2">
        <v>105.0</v>
      </c>
      <c r="K7353" s="3">
        <f t="shared" si="4"/>
        <v>0.188172043</v>
      </c>
      <c r="L7353" s="2">
        <v>61.0</v>
      </c>
      <c r="M7353" s="3">
        <f t="shared" si="5"/>
        <v>0.6161616162</v>
      </c>
      <c r="N7353" s="2">
        <v>524300.0</v>
      </c>
      <c r="O7353" s="4">
        <f t="shared" si="6"/>
        <v>5295.959596</v>
      </c>
      <c r="P7353" s="2">
        <v>0.0</v>
      </c>
      <c r="Q7353" s="3">
        <f t="shared" si="7"/>
        <v>0</v>
      </c>
      <c r="R7353" s="2">
        <v>50.0</v>
      </c>
      <c r="S7353" s="5">
        <f t="shared" si="8"/>
        <v>1</v>
      </c>
    </row>
    <row r="7354">
      <c r="A7354" s="2" t="s">
        <v>7349</v>
      </c>
      <c r="B7354" s="2">
        <v>168.0</v>
      </c>
      <c r="C7354" s="2">
        <v>1985.0</v>
      </c>
      <c r="D7354" s="2">
        <v>601.0</v>
      </c>
      <c r="E7354" s="3">
        <f t="shared" si="1"/>
        <v>0.3307649972</v>
      </c>
      <c r="F7354" s="2">
        <v>192.0</v>
      </c>
      <c r="G7354" s="3">
        <f t="shared" si="2"/>
        <v>0.1056686846</v>
      </c>
      <c r="H7354" s="2">
        <v>369.0</v>
      </c>
      <c r="I7354" s="3">
        <f t="shared" si="3"/>
        <v>0.2030820033</v>
      </c>
      <c r="J7354" s="2">
        <v>275.0</v>
      </c>
      <c r="K7354" s="3">
        <f t="shared" si="4"/>
        <v>0.1513483764</v>
      </c>
      <c r="L7354" s="2">
        <v>210.0</v>
      </c>
      <c r="M7354" s="3">
        <f t="shared" si="5"/>
        <v>0.5691056911</v>
      </c>
      <c r="N7354" s="2">
        <v>2057300.0</v>
      </c>
      <c r="O7354" s="4">
        <f t="shared" si="6"/>
        <v>5575.338753</v>
      </c>
      <c r="P7354" s="2">
        <v>0.0</v>
      </c>
      <c r="Q7354" s="3">
        <f t="shared" si="7"/>
        <v>0</v>
      </c>
      <c r="R7354" s="2">
        <v>168.0</v>
      </c>
      <c r="S7354" s="5">
        <f t="shared" si="8"/>
        <v>1</v>
      </c>
    </row>
    <row r="7355">
      <c r="A7355" s="2" t="s">
        <v>7350</v>
      </c>
      <c r="B7355" s="2">
        <v>269.0</v>
      </c>
      <c r="C7355" s="2">
        <v>3146.0</v>
      </c>
      <c r="D7355" s="2">
        <v>1035.0</v>
      </c>
      <c r="E7355" s="3">
        <f t="shared" si="1"/>
        <v>0.3597497393</v>
      </c>
      <c r="F7355" s="2">
        <v>304.0</v>
      </c>
      <c r="G7355" s="3">
        <f t="shared" si="2"/>
        <v>0.1056656239</v>
      </c>
      <c r="H7355" s="2">
        <v>605.0</v>
      </c>
      <c r="I7355" s="3">
        <f t="shared" si="3"/>
        <v>0.210288495</v>
      </c>
      <c r="J7355" s="2">
        <v>464.0</v>
      </c>
      <c r="K7355" s="3">
        <f t="shared" si="4"/>
        <v>0.1612791102</v>
      </c>
      <c r="L7355" s="2">
        <v>361.0</v>
      </c>
      <c r="M7355" s="3">
        <f t="shared" si="5"/>
        <v>0.5966942149</v>
      </c>
      <c r="N7355" s="2">
        <v>3312600.0</v>
      </c>
      <c r="O7355" s="4">
        <f t="shared" si="6"/>
        <v>5475.371901</v>
      </c>
      <c r="P7355" s="2">
        <v>2.0</v>
      </c>
      <c r="Q7355" s="3">
        <f t="shared" si="7"/>
        <v>0.007434944238</v>
      </c>
      <c r="R7355" s="2">
        <v>268.0</v>
      </c>
      <c r="S7355" s="5">
        <f t="shared" si="8"/>
        <v>0.9962825279</v>
      </c>
    </row>
    <row r="7356">
      <c r="A7356" s="2" t="s">
        <v>7351</v>
      </c>
      <c r="B7356" s="2">
        <v>144.0</v>
      </c>
      <c r="C7356" s="2">
        <v>1697.0</v>
      </c>
      <c r="D7356" s="2">
        <v>530.0</v>
      </c>
      <c r="E7356" s="3">
        <f t="shared" si="1"/>
        <v>0.3412749517</v>
      </c>
      <c r="F7356" s="2">
        <v>164.0</v>
      </c>
      <c r="G7356" s="3">
        <f t="shared" si="2"/>
        <v>0.1056020605</v>
      </c>
      <c r="H7356" s="2">
        <v>346.0</v>
      </c>
      <c r="I7356" s="3">
        <f t="shared" si="3"/>
        <v>0.2227945911</v>
      </c>
      <c r="J7356" s="2">
        <v>273.0</v>
      </c>
      <c r="K7356" s="3">
        <f t="shared" si="4"/>
        <v>0.1757887959</v>
      </c>
      <c r="L7356" s="2">
        <v>226.0</v>
      </c>
      <c r="M7356" s="3">
        <f t="shared" si="5"/>
        <v>0.6531791908</v>
      </c>
      <c r="N7356" s="2">
        <v>1927900.0</v>
      </c>
      <c r="O7356" s="4">
        <f t="shared" si="6"/>
        <v>5571.965318</v>
      </c>
      <c r="P7356" s="2">
        <v>1.0</v>
      </c>
      <c r="Q7356" s="3">
        <f t="shared" si="7"/>
        <v>0.006944444444</v>
      </c>
      <c r="R7356" s="2">
        <v>0.0</v>
      </c>
      <c r="S7356" s="5">
        <f t="shared" si="8"/>
        <v>0</v>
      </c>
    </row>
    <row r="7357">
      <c r="A7357" s="2" t="s">
        <v>7352</v>
      </c>
      <c r="B7357" s="2">
        <v>28.0</v>
      </c>
      <c r="C7357" s="2">
        <v>350.0</v>
      </c>
      <c r="D7357" s="2">
        <v>101.0</v>
      </c>
      <c r="E7357" s="3">
        <f t="shared" si="1"/>
        <v>0.3136645963</v>
      </c>
      <c r="F7357" s="2">
        <v>34.0</v>
      </c>
      <c r="G7357" s="3">
        <f t="shared" si="2"/>
        <v>0.1055900621</v>
      </c>
      <c r="H7357" s="2">
        <v>75.0</v>
      </c>
      <c r="I7357" s="3">
        <f t="shared" si="3"/>
        <v>0.2329192547</v>
      </c>
      <c r="J7357" s="2">
        <v>58.0</v>
      </c>
      <c r="K7357" s="3">
        <f t="shared" si="4"/>
        <v>0.1801242236</v>
      </c>
      <c r="L7357" s="2">
        <v>42.0</v>
      </c>
      <c r="M7357" s="3">
        <f t="shared" si="5"/>
        <v>0.56</v>
      </c>
      <c r="N7357" s="2">
        <v>416500.0</v>
      </c>
      <c r="O7357" s="4">
        <f t="shared" si="6"/>
        <v>5553.333333</v>
      </c>
      <c r="P7357" s="2">
        <v>0.0</v>
      </c>
      <c r="Q7357" s="3">
        <f t="shared" si="7"/>
        <v>0</v>
      </c>
      <c r="R7357" s="2">
        <v>0.0</v>
      </c>
      <c r="S7357" s="5">
        <f t="shared" si="8"/>
        <v>0</v>
      </c>
    </row>
    <row r="7358">
      <c r="A7358" s="2" t="s">
        <v>7353</v>
      </c>
      <c r="B7358" s="2">
        <v>90.0</v>
      </c>
      <c r="C7358" s="2">
        <v>1056.0</v>
      </c>
      <c r="D7358" s="2">
        <v>294.0</v>
      </c>
      <c r="E7358" s="3">
        <f t="shared" si="1"/>
        <v>0.3043478261</v>
      </c>
      <c r="F7358" s="2">
        <v>102.0</v>
      </c>
      <c r="G7358" s="3">
        <f t="shared" si="2"/>
        <v>0.1055900621</v>
      </c>
      <c r="H7358" s="2">
        <v>180.0</v>
      </c>
      <c r="I7358" s="3">
        <f t="shared" si="3"/>
        <v>0.1863354037</v>
      </c>
      <c r="J7358" s="2">
        <v>149.0</v>
      </c>
      <c r="K7358" s="3">
        <f t="shared" si="4"/>
        <v>0.1542443064</v>
      </c>
      <c r="L7358" s="2">
        <v>104.0</v>
      </c>
      <c r="M7358" s="3">
        <f t="shared" si="5"/>
        <v>0.5777777778</v>
      </c>
      <c r="N7358" s="2">
        <v>961500.0</v>
      </c>
      <c r="O7358" s="4">
        <f t="shared" si="6"/>
        <v>5341.666667</v>
      </c>
      <c r="P7358" s="2">
        <v>0.0</v>
      </c>
      <c r="Q7358" s="3">
        <f t="shared" si="7"/>
        <v>0</v>
      </c>
      <c r="R7358" s="2">
        <v>90.0</v>
      </c>
      <c r="S7358" s="5">
        <f t="shared" si="8"/>
        <v>1</v>
      </c>
    </row>
    <row r="7359">
      <c r="A7359" s="2" t="s">
        <v>7354</v>
      </c>
      <c r="B7359" s="2">
        <v>113.0</v>
      </c>
      <c r="C7359" s="2">
        <v>1373.0</v>
      </c>
      <c r="D7359" s="2">
        <v>458.0</v>
      </c>
      <c r="E7359" s="3">
        <f t="shared" si="1"/>
        <v>0.3634920635</v>
      </c>
      <c r="F7359" s="2">
        <v>133.0</v>
      </c>
      <c r="G7359" s="3">
        <f t="shared" si="2"/>
        <v>0.1055555556</v>
      </c>
      <c r="H7359" s="2">
        <v>276.0</v>
      </c>
      <c r="I7359" s="3">
        <f t="shared" si="3"/>
        <v>0.219047619</v>
      </c>
      <c r="J7359" s="2">
        <v>186.0</v>
      </c>
      <c r="K7359" s="3">
        <f t="shared" si="4"/>
        <v>0.1476190476</v>
      </c>
      <c r="L7359" s="2">
        <v>176.0</v>
      </c>
      <c r="M7359" s="3">
        <f t="shared" si="5"/>
        <v>0.6376811594</v>
      </c>
      <c r="N7359" s="2">
        <v>1463500.0</v>
      </c>
      <c r="O7359" s="4">
        <f t="shared" si="6"/>
        <v>5302.536232</v>
      </c>
      <c r="P7359" s="2">
        <v>0.0</v>
      </c>
      <c r="Q7359" s="3">
        <f t="shared" si="7"/>
        <v>0</v>
      </c>
      <c r="R7359" s="2">
        <v>113.0</v>
      </c>
      <c r="S7359" s="5">
        <f t="shared" si="8"/>
        <v>1</v>
      </c>
    </row>
    <row r="7360">
      <c r="A7360" s="2" t="s">
        <v>7355</v>
      </c>
      <c r="B7360" s="2">
        <v>1394.0</v>
      </c>
      <c r="C7360" s="2">
        <v>16556.0</v>
      </c>
      <c r="D7360" s="2">
        <v>6420.0</v>
      </c>
      <c r="E7360" s="3">
        <f t="shared" si="1"/>
        <v>0.4234269885</v>
      </c>
      <c r="F7360" s="2">
        <v>1600.0</v>
      </c>
      <c r="G7360" s="3">
        <f t="shared" si="2"/>
        <v>0.1055269753</v>
      </c>
      <c r="H7360" s="2">
        <v>3224.0</v>
      </c>
      <c r="I7360" s="3">
        <f t="shared" si="3"/>
        <v>0.2126368553</v>
      </c>
      <c r="J7360" s="2">
        <v>2477.0</v>
      </c>
      <c r="K7360" s="3">
        <f t="shared" si="4"/>
        <v>0.1633689487</v>
      </c>
      <c r="L7360" s="2">
        <v>1885.0</v>
      </c>
      <c r="M7360" s="3">
        <f t="shared" si="5"/>
        <v>0.5846774194</v>
      </c>
      <c r="N7360" s="2">
        <v>1.65842E7</v>
      </c>
      <c r="O7360" s="4">
        <f t="shared" si="6"/>
        <v>5143.98263</v>
      </c>
      <c r="P7360" s="2">
        <v>0.0</v>
      </c>
      <c r="Q7360" s="3">
        <f t="shared" si="7"/>
        <v>0</v>
      </c>
      <c r="R7360" s="2">
        <v>7.0</v>
      </c>
      <c r="S7360" s="5">
        <f t="shared" si="8"/>
        <v>0.005021520803</v>
      </c>
    </row>
    <row r="7361">
      <c r="A7361" s="2" t="s">
        <v>7356</v>
      </c>
      <c r="B7361" s="2">
        <v>181.0</v>
      </c>
      <c r="C7361" s="2">
        <v>2077.0</v>
      </c>
      <c r="D7361" s="2">
        <v>577.0</v>
      </c>
      <c r="E7361" s="3">
        <f t="shared" si="1"/>
        <v>0.3043248945</v>
      </c>
      <c r="F7361" s="2">
        <v>200.0</v>
      </c>
      <c r="G7361" s="3">
        <f t="shared" si="2"/>
        <v>0.1054852321</v>
      </c>
      <c r="H7361" s="2">
        <v>410.0</v>
      </c>
      <c r="I7361" s="3">
        <f t="shared" si="3"/>
        <v>0.2162447257</v>
      </c>
      <c r="J7361" s="2">
        <v>265.0</v>
      </c>
      <c r="K7361" s="3">
        <f t="shared" si="4"/>
        <v>0.1397679325</v>
      </c>
      <c r="L7361" s="2">
        <v>247.0</v>
      </c>
      <c r="M7361" s="3">
        <f t="shared" si="5"/>
        <v>0.6024390244</v>
      </c>
      <c r="N7361" s="2">
        <v>2130000.0</v>
      </c>
      <c r="O7361" s="4">
        <f t="shared" si="6"/>
        <v>5195.121951</v>
      </c>
      <c r="P7361" s="2">
        <v>0.0</v>
      </c>
      <c r="Q7361" s="3">
        <f t="shared" si="7"/>
        <v>0</v>
      </c>
      <c r="R7361" s="2">
        <v>181.0</v>
      </c>
      <c r="S7361" s="5">
        <f t="shared" si="8"/>
        <v>1</v>
      </c>
    </row>
    <row r="7362">
      <c r="A7362" s="2" t="s">
        <v>7357</v>
      </c>
      <c r="B7362" s="2">
        <v>178.0</v>
      </c>
      <c r="C7362" s="2">
        <v>2086.0</v>
      </c>
      <c r="D7362" s="2">
        <v>778.0</v>
      </c>
      <c r="E7362" s="3">
        <f t="shared" si="1"/>
        <v>0.4077568134</v>
      </c>
      <c r="F7362" s="2">
        <v>201.0</v>
      </c>
      <c r="G7362" s="3">
        <f t="shared" si="2"/>
        <v>0.1053459119</v>
      </c>
      <c r="H7362" s="2">
        <v>428.0</v>
      </c>
      <c r="I7362" s="3">
        <f t="shared" si="3"/>
        <v>0.2243186583</v>
      </c>
      <c r="J7362" s="2">
        <v>285.0</v>
      </c>
      <c r="K7362" s="3">
        <f t="shared" si="4"/>
        <v>0.1493710692</v>
      </c>
      <c r="L7362" s="2">
        <v>252.0</v>
      </c>
      <c r="M7362" s="3">
        <f t="shared" si="5"/>
        <v>0.5887850467</v>
      </c>
      <c r="N7362" s="2">
        <v>2123500.0</v>
      </c>
      <c r="O7362" s="4">
        <f t="shared" si="6"/>
        <v>4961.448598</v>
      </c>
      <c r="P7362" s="2">
        <v>0.0</v>
      </c>
      <c r="Q7362" s="3">
        <f t="shared" si="7"/>
        <v>0</v>
      </c>
      <c r="R7362" s="2">
        <v>178.0</v>
      </c>
      <c r="S7362" s="5">
        <f t="shared" si="8"/>
        <v>1</v>
      </c>
    </row>
    <row r="7363">
      <c r="A7363" s="2" t="s">
        <v>7358</v>
      </c>
      <c r="B7363" s="2">
        <v>193.0</v>
      </c>
      <c r="C7363" s="2">
        <v>2282.0</v>
      </c>
      <c r="D7363" s="2">
        <v>747.0</v>
      </c>
      <c r="E7363" s="3">
        <f t="shared" si="1"/>
        <v>0.3575873624</v>
      </c>
      <c r="F7363" s="2">
        <v>220.0</v>
      </c>
      <c r="G7363" s="3">
        <f t="shared" si="2"/>
        <v>0.1053135472</v>
      </c>
      <c r="H7363" s="2">
        <v>483.0</v>
      </c>
      <c r="I7363" s="3">
        <f t="shared" si="3"/>
        <v>0.2312111058</v>
      </c>
      <c r="J7363" s="2">
        <v>383.0</v>
      </c>
      <c r="K7363" s="3">
        <f t="shared" si="4"/>
        <v>0.1833413116</v>
      </c>
      <c r="L7363" s="2">
        <v>293.0</v>
      </c>
      <c r="M7363" s="3">
        <f t="shared" si="5"/>
        <v>0.6066252588</v>
      </c>
      <c r="N7363" s="2">
        <v>2597500.0</v>
      </c>
      <c r="O7363" s="4">
        <f t="shared" si="6"/>
        <v>5377.846791</v>
      </c>
      <c r="P7363" s="2">
        <v>2.0</v>
      </c>
      <c r="Q7363" s="3">
        <f t="shared" si="7"/>
        <v>0.0103626943</v>
      </c>
      <c r="R7363" s="2">
        <v>193.0</v>
      </c>
      <c r="S7363" s="5">
        <f t="shared" si="8"/>
        <v>1</v>
      </c>
    </row>
    <row r="7364">
      <c r="A7364" s="2" t="s">
        <v>7359</v>
      </c>
      <c r="B7364" s="2">
        <v>11.0</v>
      </c>
      <c r="C7364" s="2">
        <v>125.0</v>
      </c>
      <c r="D7364" s="2">
        <v>45.0</v>
      </c>
      <c r="E7364" s="3">
        <f t="shared" si="1"/>
        <v>0.3947368421</v>
      </c>
      <c r="F7364" s="2">
        <v>12.0</v>
      </c>
      <c r="G7364" s="3">
        <f t="shared" si="2"/>
        <v>0.1052631579</v>
      </c>
      <c r="H7364" s="2">
        <v>29.0</v>
      </c>
      <c r="I7364" s="3">
        <f t="shared" si="3"/>
        <v>0.2543859649</v>
      </c>
      <c r="J7364" s="2">
        <v>24.0</v>
      </c>
      <c r="K7364" s="3">
        <f t="shared" si="4"/>
        <v>0.2105263158</v>
      </c>
      <c r="L7364" s="2">
        <v>20.0</v>
      </c>
      <c r="M7364" s="3">
        <f t="shared" si="5"/>
        <v>0.6896551724</v>
      </c>
      <c r="N7364" s="2">
        <v>135300.0</v>
      </c>
      <c r="O7364" s="4">
        <f t="shared" si="6"/>
        <v>4665.517241</v>
      </c>
      <c r="P7364" s="2">
        <v>0.0</v>
      </c>
      <c r="Q7364" s="3">
        <f t="shared" si="7"/>
        <v>0</v>
      </c>
      <c r="R7364" s="2">
        <v>11.0</v>
      </c>
      <c r="S7364" s="5">
        <f t="shared" si="8"/>
        <v>1</v>
      </c>
    </row>
    <row r="7365">
      <c r="A7365" s="2" t="s">
        <v>7360</v>
      </c>
      <c r="B7365" s="2">
        <v>234.0</v>
      </c>
      <c r="C7365" s="2">
        <v>2780.0</v>
      </c>
      <c r="D7365" s="2">
        <v>886.0</v>
      </c>
      <c r="E7365" s="3">
        <f t="shared" si="1"/>
        <v>0.3479968578</v>
      </c>
      <c r="F7365" s="2">
        <v>268.0</v>
      </c>
      <c r="G7365" s="3">
        <f t="shared" si="2"/>
        <v>0.1052631579</v>
      </c>
      <c r="H7365" s="2">
        <v>540.0</v>
      </c>
      <c r="I7365" s="3">
        <f t="shared" si="3"/>
        <v>0.2120974077</v>
      </c>
      <c r="J7365" s="2">
        <v>489.0</v>
      </c>
      <c r="K7365" s="3">
        <f t="shared" si="4"/>
        <v>0.1920659859</v>
      </c>
      <c r="L7365" s="2">
        <v>299.0</v>
      </c>
      <c r="M7365" s="3">
        <f t="shared" si="5"/>
        <v>0.5537037037</v>
      </c>
      <c r="N7365" s="2">
        <v>2798900.0</v>
      </c>
      <c r="O7365" s="4">
        <f t="shared" si="6"/>
        <v>5183.148148</v>
      </c>
      <c r="P7365" s="2">
        <v>1.0</v>
      </c>
      <c r="Q7365" s="3">
        <f t="shared" si="7"/>
        <v>0.004273504274</v>
      </c>
      <c r="R7365" s="2">
        <v>219.0</v>
      </c>
      <c r="S7365" s="5">
        <f t="shared" si="8"/>
        <v>0.9358974359</v>
      </c>
    </row>
    <row r="7366">
      <c r="A7366" s="2" t="s">
        <v>7361</v>
      </c>
      <c r="B7366" s="2">
        <v>5.0</v>
      </c>
      <c r="C7366" s="2">
        <v>43.0</v>
      </c>
      <c r="D7366" s="2">
        <v>13.0</v>
      </c>
      <c r="E7366" s="3">
        <f t="shared" si="1"/>
        <v>0.3421052632</v>
      </c>
      <c r="F7366" s="2">
        <v>4.0</v>
      </c>
      <c r="G7366" s="3">
        <f t="shared" si="2"/>
        <v>0.1052631579</v>
      </c>
      <c r="H7366" s="2">
        <v>8.0</v>
      </c>
      <c r="I7366" s="3">
        <f t="shared" si="3"/>
        <v>0.2105263158</v>
      </c>
      <c r="J7366" s="2">
        <v>7.0</v>
      </c>
      <c r="K7366" s="3">
        <f t="shared" si="4"/>
        <v>0.1842105263</v>
      </c>
      <c r="L7366" s="2">
        <v>5.0</v>
      </c>
      <c r="M7366" s="3">
        <f t="shared" si="5"/>
        <v>0.625</v>
      </c>
      <c r="N7366" s="2">
        <v>79400.0</v>
      </c>
      <c r="O7366" s="4">
        <f t="shared" si="6"/>
        <v>9925</v>
      </c>
      <c r="P7366" s="2">
        <v>0.0</v>
      </c>
      <c r="Q7366" s="3">
        <f t="shared" si="7"/>
        <v>0</v>
      </c>
      <c r="R7366" s="2">
        <v>5.0</v>
      </c>
      <c r="S7366" s="5">
        <f t="shared" si="8"/>
        <v>1</v>
      </c>
    </row>
    <row r="7367">
      <c r="A7367" s="2" t="s">
        <v>7362</v>
      </c>
      <c r="B7367" s="2">
        <v>115.0</v>
      </c>
      <c r="C7367" s="2">
        <v>1331.0</v>
      </c>
      <c r="D7367" s="2">
        <v>502.0</v>
      </c>
      <c r="E7367" s="3">
        <f t="shared" si="1"/>
        <v>0.4128289474</v>
      </c>
      <c r="F7367" s="2">
        <v>128.0</v>
      </c>
      <c r="G7367" s="3">
        <f t="shared" si="2"/>
        <v>0.1052631579</v>
      </c>
      <c r="H7367" s="2">
        <v>261.0</v>
      </c>
      <c r="I7367" s="3">
        <f t="shared" si="3"/>
        <v>0.2146381579</v>
      </c>
      <c r="J7367" s="2">
        <v>176.0</v>
      </c>
      <c r="K7367" s="3">
        <f t="shared" si="4"/>
        <v>0.1447368421</v>
      </c>
      <c r="L7367" s="2">
        <v>160.0</v>
      </c>
      <c r="M7367" s="3">
        <f t="shared" si="5"/>
        <v>0.6130268199</v>
      </c>
      <c r="N7367" s="2">
        <v>1355700.0</v>
      </c>
      <c r="O7367" s="4">
        <f t="shared" si="6"/>
        <v>5194.252874</v>
      </c>
      <c r="P7367" s="2">
        <v>0.0</v>
      </c>
      <c r="Q7367" s="3">
        <f t="shared" si="7"/>
        <v>0</v>
      </c>
      <c r="R7367" s="2">
        <v>115.0</v>
      </c>
      <c r="S7367" s="5">
        <f t="shared" si="8"/>
        <v>1</v>
      </c>
    </row>
    <row r="7368">
      <c r="A7368" s="2" t="s">
        <v>7363</v>
      </c>
      <c r="B7368" s="2">
        <v>17.0</v>
      </c>
      <c r="C7368" s="2">
        <v>207.0</v>
      </c>
      <c r="D7368" s="2">
        <v>85.0</v>
      </c>
      <c r="E7368" s="3">
        <f t="shared" si="1"/>
        <v>0.4473684211</v>
      </c>
      <c r="F7368" s="2">
        <v>20.0</v>
      </c>
      <c r="G7368" s="3">
        <f t="shared" si="2"/>
        <v>0.1052631579</v>
      </c>
      <c r="H7368" s="2">
        <v>37.0</v>
      </c>
      <c r="I7368" s="3">
        <f t="shared" si="3"/>
        <v>0.1947368421</v>
      </c>
      <c r="J7368" s="2">
        <v>27.0</v>
      </c>
      <c r="K7368" s="3">
        <f t="shared" si="4"/>
        <v>0.1421052632</v>
      </c>
      <c r="L7368" s="2">
        <v>20.0</v>
      </c>
      <c r="M7368" s="3">
        <f t="shared" si="5"/>
        <v>0.5405405405</v>
      </c>
      <c r="N7368" s="2">
        <v>221700.0</v>
      </c>
      <c r="O7368" s="4">
        <f t="shared" si="6"/>
        <v>5991.891892</v>
      </c>
      <c r="P7368" s="2">
        <v>0.0</v>
      </c>
      <c r="Q7368" s="3">
        <f t="shared" si="7"/>
        <v>0</v>
      </c>
      <c r="R7368" s="2">
        <v>4.0</v>
      </c>
      <c r="S7368" s="5">
        <f t="shared" si="8"/>
        <v>0.2352941176</v>
      </c>
    </row>
    <row r="7369">
      <c r="A7369" s="2" t="s">
        <v>7364</v>
      </c>
      <c r="B7369" s="2">
        <v>71.0</v>
      </c>
      <c r="C7369" s="2">
        <v>813.0</v>
      </c>
      <c r="D7369" s="2">
        <v>236.0</v>
      </c>
      <c r="E7369" s="3">
        <f t="shared" si="1"/>
        <v>0.3180592992</v>
      </c>
      <c r="F7369" s="2">
        <v>78.0</v>
      </c>
      <c r="G7369" s="3">
        <f t="shared" si="2"/>
        <v>0.1051212938</v>
      </c>
      <c r="H7369" s="2">
        <v>149.0</v>
      </c>
      <c r="I7369" s="3">
        <f t="shared" si="3"/>
        <v>0.2008086253</v>
      </c>
      <c r="J7369" s="2">
        <v>105.0</v>
      </c>
      <c r="K7369" s="3">
        <f t="shared" si="4"/>
        <v>0.141509434</v>
      </c>
      <c r="L7369" s="2">
        <v>86.0</v>
      </c>
      <c r="M7369" s="3">
        <f t="shared" si="5"/>
        <v>0.5771812081</v>
      </c>
      <c r="N7369" s="2">
        <v>852900.0</v>
      </c>
      <c r="O7369" s="4">
        <f t="shared" si="6"/>
        <v>5724.161074</v>
      </c>
      <c r="P7369" s="2">
        <v>0.0</v>
      </c>
      <c r="Q7369" s="3">
        <f t="shared" si="7"/>
        <v>0</v>
      </c>
      <c r="R7369" s="2">
        <v>71.0</v>
      </c>
      <c r="S7369" s="5">
        <f t="shared" si="8"/>
        <v>1</v>
      </c>
    </row>
    <row r="7370">
      <c r="A7370" s="2" t="s">
        <v>7365</v>
      </c>
      <c r="B7370" s="2">
        <v>67.0</v>
      </c>
      <c r="C7370" s="2">
        <v>790.0</v>
      </c>
      <c r="D7370" s="2">
        <v>215.0</v>
      </c>
      <c r="E7370" s="3">
        <f t="shared" si="1"/>
        <v>0.2973720609</v>
      </c>
      <c r="F7370" s="2">
        <v>76.0</v>
      </c>
      <c r="G7370" s="3">
        <f t="shared" si="2"/>
        <v>0.1051175657</v>
      </c>
      <c r="H7370" s="2">
        <v>139.0</v>
      </c>
      <c r="I7370" s="3">
        <f t="shared" si="3"/>
        <v>0.1922544952</v>
      </c>
      <c r="J7370" s="2">
        <v>122.0</v>
      </c>
      <c r="K7370" s="3">
        <f t="shared" si="4"/>
        <v>0.1687413555</v>
      </c>
      <c r="L7370" s="2">
        <v>86.0</v>
      </c>
      <c r="M7370" s="3">
        <f t="shared" si="5"/>
        <v>0.618705036</v>
      </c>
      <c r="N7370" s="2">
        <v>727800.0</v>
      </c>
      <c r="O7370" s="4">
        <f t="shared" si="6"/>
        <v>5235.971223</v>
      </c>
      <c r="P7370" s="2">
        <v>0.0</v>
      </c>
      <c r="Q7370" s="3">
        <f t="shared" si="7"/>
        <v>0</v>
      </c>
      <c r="R7370" s="2">
        <v>1.0</v>
      </c>
      <c r="S7370" s="5">
        <f t="shared" si="8"/>
        <v>0.01492537313</v>
      </c>
    </row>
    <row r="7371">
      <c r="A7371" s="2" t="s">
        <v>7366</v>
      </c>
      <c r="B7371" s="2">
        <v>129.0</v>
      </c>
      <c r="C7371" s="2">
        <v>1518.0</v>
      </c>
      <c r="D7371" s="2">
        <v>491.0</v>
      </c>
      <c r="E7371" s="3">
        <f t="shared" si="1"/>
        <v>0.3534917207</v>
      </c>
      <c r="F7371" s="2">
        <v>146.0</v>
      </c>
      <c r="G7371" s="3">
        <f t="shared" si="2"/>
        <v>0.1051115911</v>
      </c>
      <c r="H7371" s="2">
        <v>271.0</v>
      </c>
      <c r="I7371" s="3">
        <f t="shared" si="3"/>
        <v>0.1951043916</v>
      </c>
      <c r="J7371" s="2">
        <v>212.0</v>
      </c>
      <c r="K7371" s="3">
        <f t="shared" si="4"/>
        <v>0.1526277898</v>
      </c>
      <c r="L7371" s="2">
        <v>162.0</v>
      </c>
      <c r="M7371" s="3">
        <f t="shared" si="5"/>
        <v>0.5977859779</v>
      </c>
      <c r="N7371" s="2">
        <v>1447400.0</v>
      </c>
      <c r="O7371" s="4">
        <f t="shared" si="6"/>
        <v>5340.95941</v>
      </c>
      <c r="P7371" s="2">
        <v>0.0</v>
      </c>
      <c r="Q7371" s="3">
        <f t="shared" si="7"/>
        <v>0</v>
      </c>
      <c r="R7371" s="2">
        <v>129.0</v>
      </c>
      <c r="S7371" s="5">
        <f t="shared" si="8"/>
        <v>1</v>
      </c>
    </row>
    <row r="7372">
      <c r="A7372" s="2" t="s">
        <v>7367</v>
      </c>
      <c r="B7372" s="2">
        <v>747.0</v>
      </c>
      <c r="C7372" s="2">
        <v>8827.0</v>
      </c>
      <c r="D7372" s="2">
        <v>3025.0</v>
      </c>
      <c r="E7372" s="3">
        <f t="shared" si="1"/>
        <v>0.3743811881</v>
      </c>
      <c r="F7372" s="2">
        <v>849.0</v>
      </c>
      <c r="G7372" s="3">
        <f t="shared" si="2"/>
        <v>0.1050742574</v>
      </c>
      <c r="H7372" s="2">
        <v>1715.0</v>
      </c>
      <c r="I7372" s="3">
        <f t="shared" si="3"/>
        <v>0.2122524752</v>
      </c>
      <c r="J7372" s="2">
        <v>1325.0</v>
      </c>
      <c r="K7372" s="3">
        <f t="shared" si="4"/>
        <v>0.1639851485</v>
      </c>
      <c r="L7372" s="2">
        <v>1027.0</v>
      </c>
      <c r="M7372" s="3">
        <f t="shared" si="5"/>
        <v>0.5988338192</v>
      </c>
      <c r="N7372" s="2">
        <v>9274700.0</v>
      </c>
      <c r="O7372" s="4">
        <f t="shared" si="6"/>
        <v>5407.988338</v>
      </c>
      <c r="P7372" s="2">
        <v>0.0</v>
      </c>
      <c r="Q7372" s="3">
        <f t="shared" si="7"/>
        <v>0</v>
      </c>
      <c r="R7372" s="2">
        <v>283.0</v>
      </c>
      <c r="S7372" s="5">
        <f t="shared" si="8"/>
        <v>0.3788487282</v>
      </c>
    </row>
    <row r="7373">
      <c r="A7373" s="2" t="s">
        <v>7368</v>
      </c>
      <c r="B7373" s="2">
        <v>22.0</v>
      </c>
      <c r="C7373" s="2">
        <v>260.0</v>
      </c>
      <c r="D7373" s="2">
        <v>73.0</v>
      </c>
      <c r="E7373" s="3">
        <f t="shared" si="1"/>
        <v>0.3067226891</v>
      </c>
      <c r="F7373" s="2">
        <v>25.0</v>
      </c>
      <c r="G7373" s="3">
        <f t="shared" si="2"/>
        <v>0.1050420168</v>
      </c>
      <c r="H7373" s="2">
        <v>48.0</v>
      </c>
      <c r="I7373" s="3">
        <f t="shared" si="3"/>
        <v>0.2016806723</v>
      </c>
      <c r="J7373" s="2">
        <v>46.0</v>
      </c>
      <c r="K7373" s="3">
        <f t="shared" si="4"/>
        <v>0.1932773109</v>
      </c>
      <c r="L7373" s="2">
        <v>23.0</v>
      </c>
      <c r="M7373" s="3">
        <f t="shared" si="5"/>
        <v>0.4791666667</v>
      </c>
      <c r="N7373" s="2">
        <v>239000.0</v>
      </c>
      <c r="O7373" s="4">
        <f t="shared" si="6"/>
        <v>4979.166667</v>
      </c>
      <c r="P7373" s="2">
        <v>0.0</v>
      </c>
      <c r="Q7373" s="3">
        <f t="shared" si="7"/>
        <v>0</v>
      </c>
      <c r="R7373" s="2">
        <v>11.0</v>
      </c>
      <c r="S7373" s="5">
        <f t="shared" si="8"/>
        <v>0.5</v>
      </c>
    </row>
    <row r="7374">
      <c r="A7374" s="2" t="s">
        <v>7369</v>
      </c>
      <c r="B7374" s="2">
        <v>69.0</v>
      </c>
      <c r="C7374" s="2">
        <v>831.0</v>
      </c>
      <c r="D7374" s="2">
        <v>273.0</v>
      </c>
      <c r="E7374" s="3">
        <f t="shared" si="1"/>
        <v>0.3582677165</v>
      </c>
      <c r="F7374" s="2">
        <v>80.0</v>
      </c>
      <c r="G7374" s="3">
        <f t="shared" si="2"/>
        <v>0.1049868766</v>
      </c>
      <c r="H7374" s="2">
        <v>143.0</v>
      </c>
      <c r="I7374" s="3">
        <f t="shared" si="3"/>
        <v>0.187664042</v>
      </c>
      <c r="J7374" s="2">
        <v>100.0</v>
      </c>
      <c r="K7374" s="3">
        <f t="shared" si="4"/>
        <v>0.1312335958</v>
      </c>
      <c r="L7374" s="2">
        <v>90.0</v>
      </c>
      <c r="M7374" s="3">
        <f t="shared" si="5"/>
        <v>0.6293706294</v>
      </c>
      <c r="N7374" s="2">
        <v>732400.0</v>
      </c>
      <c r="O7374" s="4">
        <f t="shared" si="6"/>
        <v>5121.678322</v>
      </c>
      <c r="P7374" s="2">
        <v>0.0</v>
      </c>
      <c r="Q7374" s="3">
        <f t="shared" si="7"/>
        <v>0</v>
      </c>
      <c r="R7374" s="2">
        <v>28.0</v>
      </c>
      <c r="S7374" s="5">
        <f t="shared" si="8"/>
        <v>0.4057971014</v>
      </c>
    </row>
    <row r="7375">
      <c r="A7375" s="2" t="s">
        <v>7370</v>
      </c>
      <c r="B7375" s="2">
        <v>1441.0</v>
      </c>
      <c r="C7375" s="2">
        <v>16721.0</v>
      </c>
      <c r="D7375" s="2">
        <v>4864.0</v>
      </c>
      <c r="E7375" s="3">
        <f t="shared" si="1"/>
        <v>0.3183246073</v>
      </c>
      <c r="F7375" s="2">
        <v>1604.0</v>
      </c>
      <c r="G7375" s="3">
        <f t="shared" si="2"/>
        <v>0.104973822</v>
      </c>
      <c r="H7375" s="2">
        <v>3190.0</v>
      </c>
      <c r="I7375" s="3">
        <f t="shared" si="3"/>
        <v>0.2087696335</v>
      </c>
      <c r="J7375" s="2">
        <v>2152.0</v>
      </c>
      <c r="K7375" s="3">
        <f t="shared" si="4"/>
        <v>0.1408376963</v>
      </c>
      <c r="L7375" s="2">
        <v>1906.0</v>
      </c>
      <c r="M7375" s="3">
        <f t="shared" si="5"/>
        <v>0.597492163</v>
      </c>
      <c r="N7375" s="2">
        <v>1.70524E7</v>
      </c>
      <c r="O7375" s="4">
        <f t="shared" si="6"/>
        <v>5345.579937</v>
      </c>
      <c r="P7375" s="2">
        <v>1.0</v>
      </c>
      <c r="Q7375" s="3">
        <f t="shared" si="7"/>
        <v>0.000693962526</v>
      </c>
      <c r="R7375" s="2">
        <v>1441.0</v>
      </c>
      <c r="S7375" s="5">
        <f t="shared" si="8"/>
        <v>1</v>
      </c>
    </row>
    <row r="7376">
      <c r="A7376" s="2" t="s">
        <v>7371</v>
      </c>
      <c r="B7376" s="2">
        <v>67.0</v>
      </c>
      <c r="C7376" s="2">
        <v>791.0</v>
      </c>
      <c r="D7376" s="2">
        <v>266.0</v>
      </c>
      <c r="E7376" s="3">
        <f t="shared" si="1"/>
        <v>0.3674033149</v>
      </c>
      <c r="F7376" s="2">
        <v>76.0</v>
      </c>
      <c r="G7376" s="3">
        <f t="shared" si="2"/>
        <v>0.1049723757</v>
      </c>
      <c r="H7376" s="2">
        <v>142.0</v>
      </c>
      <c r="I7376" s="3">
        <f t="shared" si="3"/>
        <v>0.1961325967</v>
      </c>
      <c r="J7376" s="2">
        <v>113.0</v>
      </c>
      <c r="K7376" s="3">
        <f t="shared" si="4"/>
        <v>0.1560773481</v>
      </c>
      <c r="L7376" s="2">
        <v>89.0</v>
      </c>
      <c r="M7376" s="3">
        <f t="shared" si="5"/>
        <v>0.6267605634</v>
      </c>
      <c r="N7376" s="2">
        <v>767500.0</v>
      </c>
      <c r="O7376" s="4">
        <f t="shared" si="6"/>
        <v>5404.929577</v>
      </c>
      <c r="P7376" s="2">
        <v>0.0</v>
      </c>
      <c r="Q7376" s="3">
        <f t="shared" si="7"/>
        <v>0</v>
      </c>
      <c r="R7376" s="2">
        <v>0.0</v>
      </c>
      <c r="S7376" s="5">
        <f t="shared" si="8"/>
        <v>0</v>
      </c>
    </row>
    <row r="7377">
      <c r="A7377" s="2" t="s">
        <v>7372</v>
      </c>
      <c r="B7377" s="2">
        <v>87.0</v>
      </c>
      <c r="C7377" s="2">
        <v>992.0</v>
      </c>
      <c r="D7377" s="2">
        <v>323.0</v>
      </c>
      <c r="E7377" s="3">
        <f t="shared" si="1"/>
        <v>0.3569060773</v>
      </c>
      <c r="F7377" s="2">
        <v>95.0</v>
      </c>
      <c r="G7377" s="3">
        <f t="shared" si="2"/>
        <v>0.1049723757</v>
      </c>
      <c r="H7377" s="2">
        <v>184.0</v>
      </c>
      <c r="I7377" s="3">
        <f t="shared" si="3"/>
        <v>0.2033149171</v>
      </c>
      <c r="J7377" s="2">
        <v>133.0</v>
      </c>
      <c r="K7377" s="3">
        <f t="shared" si="4"/>
        <v>0.146961326</v>
      </c>
      <c r="L7377" s="2">
        <v>112.0</v>
      </c>
      <c r="M7377" s="3">
        <f t="shared" si="5"/>
        <v>0.6086956522</v>
      </c>
      <c r="N7377" s="2">
        <v>957900.0</v>
      </c>
      <c r="O7377" s="4">
        <f t="shared" si="6"/>
        <v>5205.978261</v>
      </c>
      <c r="P7377" s="2">
        <v>0.0</v>
      </c>
      <c r="Q7377" s="3">
        <f t="shared" si="7"/>
        <v>0</v>
      </c>
      <c r="R7377" s="2">
        <v>0.0</v>
      </c>
      <c r="S7377" s="5">
        <f t="shared" si="8"/>
        <v>0</v>
      </c>
    </row>
    <row r="7378">
      <c r="A7378" s="2" t="s">
        <v>7373</v>
      </c>
      <c r="B7378" s="2">
        <v>45.0</v>
      </c>
      <c r="C7378" s="2">
        <v>512.0</v>
      </c>
      <c r="D7378" s="2">
        <v>173.0</v>
      </c>
      <c r="E7378" s="3">
        <f t="shared" si="1"/>
        <v>0.3704496788</v>
      </c>
      <c r="F7378" s="2">
        <v>49.0</v>
      </c>
      <c r="G7378" s="3">
        <f t="shared" si="2"/>
        <v>0.1049250535</v>
      </c>
      <c r="H7378" s="2">
        <v>87.0</v>
      </c>
      <c r="I7378" s="3">
        <f t="shared" si="3"/>
        <v>0.1862955032</v>
      </c>
      <c r="J7378" s="2">
        <v>55.0</v>
      </c>
      <c r="K7378" s="3">
        <f t="shared" si="4"/>
        <v>0.1177730193</v>
      </c>
      <c r="L7378" s="2">
        <v>49.0</v>
      </c>
      <c r="M7378" s="3">
        <f t="shared" si="5"/>
        <v>0.5632183908</v>
      </c>
      <c r="N7378" s="2">
        <v>405600.0</v>
      </c>
      <c r="O7378" s="4">
        <f t="shared" si="6"/>
        <v>4662.068966</v>
      </c>
      <c r="P7378" s="2">
        <v>0.0</v>
      </c>
      <c r="Q7378" s="3">
        <f t="shared" si="7"/>
        <v>0</v>
      </c>
      <c r="R7378" s="2">
        <v>45.0</v>
      </c>
      <c r="S7378" s="5">
        <f t="shared" si="8"/>
        <v>1</v>
      </c>
    </row>
    <row r="7379">
      <c r="A7379" s="2" t="s">
        <v>7374</v>
      </c>
      <c r="B7379" s="2">
        <v>14.0</v>
      </c>
      <c r="C7379" s="2">
        <v>157.0</v>
      </c>
      <c r="D7379" s="2">
        <v>44.0</v>
      </c>
      <c r="E7379" s="3">
        <f t="shared" si="1"/>
        <v>0.3076923077</v>
      </c>
      <c r="F7379" s="2">
        <v>15.0</v>
      </c>
      <c r="G7379" s="3">
        <f t="shared" si="2"/>
        <v>0.1048951049</v>
      </c>
      <c r="H7379" s="2">
        <v>25.0</v>
      </c>
      <c r="I7379" s="3">
        <f t="shared" si="3"/>
        <v>0.1748251748</v>
      </c>
      <c r="J7379" s="2">
        <v>32.0</v>
      </c>
      <c r="K7379" s="3">
        <f t="shared" si="4"/>
        <v>0.2237762238</v>
      </c>
      <c r="L7379" s="2">
        <v>13.0</v>
      </c>
      <c r="M7379" s="3">
        <f t="shared" si="5"/>
        <v>0.52</v>
      </c>
      <c r="N7379" s="2">
        <v>166600.0</v>
      </c>
      <c r="O7379" s="4">
        <f t="shared" si="6"/>
        <v>6664</v>
      </c>
      <c r="P7379" s="2">
        <v>0.0</v>
      </c>
      <c r="Q7379" s="3">
        <f t="shared" si="7"/>
        <v>0</v>
      </c>
      <c r="R7379" s="2">
        <v>14.0</v>
      </c>
      <c r="S7379" s="5">
        <f t="shared" si="8"/>
        <v>1</v>
      </c>
    </row>
    <row r="7380">
      <c r="A7380" s="2" t="s">
        <v>7375</v>
      </c>
      <c r="B7380" s="2">
        <v>552.0</v>
      </c>
      <c r="C7380" s="2">
        <v>6492.0</v>
      </c>
      <c r="D7380" s="2">
        <v>1931.0</v>
      </c>
      <c r="E7380" s="3">
        <f t="shared" si="1"/>
        <v>0.3250841751</v>
      </c>
      <c r="F7380" s="2">
        <v>623.0</v>
      </c>
      <c r="G7380" s="3">
        <f t="shared" si="2"/>
        <v>0.1048821549</v>
      </c>
      <c r="H7380" s="2">
        <v>1259.0</v>
      </c>
      <c r="I7380" s="3">
        <f t="shared" si="3"/>
        <v>0.211952862</v>
      </c>
      <c r="J7380" s="2">
        <v>1072.0</v>
      </c>
      <c r="K7380" s="3">
        <f t="shared" si="4"/>
        <v>0.1804713805</v>
      </c>
      <c r="L7380" s="2">
        <v>709.0</v>
      </c>
      <c r="M7380" s="3">
        <f t="shared" si="5"/>
        <v>0.5631453535</v>
      </c>
      <c r="N7380" s="2">
        <v>7225700.0</v>
      </c>
      <c r="O7380" s="4">
        <f t="shared" si="6"/>
        <v>5739.23749</v>
      </c>
      <c r="P7380" s="2">
        <v>1.0</v>
      </c>
      <c r="Q7380" s="3">
        <f t="shared" si="7"/>
        <v>0.001811594203</v>
      </c>
      <c r="R7380" s="2">
        <v>0.0</v>
      </c>
      <c r="S7380" s="5">
        <f t="shared" si="8"/>
        <v>0</v>
      </c>
    </row>
    <row r="7381">
      <c r="A7381" s="2" t="s">
        <v>7376</v>
      </c>
      <c r="B7381" s="2">
        <v>112.0</v>
      </c>
      <c r="C7381" s="2">
        <v>1342.0</v>
      </c>
      <c r="D7381" s="2">
        <v>389.0</v>
      </c>
      <c r="E7381" s="3">
        <f t="shared" si="1"/>
        <v>0.3162601626</v>
      </c>
      <c r="F7381" s="2">
        <v>129.0</v>
      </c>
      <c r="G7381" s="3">
        <f t="shared" si="2"/>
        <v>0.1048780488</v>
      </c>
      <c r="H7381" s="2">
        <v>252.0</v>
      </c>
      <c r="I7381" s="3">
        <f t="shared" si="3"/>
        <v>0.2048780488</v>
      </c>
      <c r="J7381" s="2">
        <v>177.0</v>
      </c>
      <c r="K7381" s="3">
        <f t="shared" si="4"/>
        <v>0.143902439</v>
      </c>
      <c r="L7381" s="2">
        <v>153.0</v>
      </c>
      <c r="M7381" s="3">
        <f t="shared" si="5"/>
        <v>0.6071428571</v>
      </c>
      <c r="N7381" s="2">
        <v>1301700.0</v>
      </c>
      <c r="O7381" s="4">
        <f t="shared" si="6"/>
        <v>5165.47619</v>
      </c>
      <c r="P7381" s="2">
        <v>0.0</v>
      </c>
      <c r="Q7381" s="3">
        <f t="shared" si="7"/>
        <v>0</v>
      </c>
      <c r="R7381" s="2">
        <v>112.0</v>
      </c>
      <c r="S7381" s="5">
        <f t="shared" si="8"/>
        <v>1</v>
      </c>
    </row>
    <row r="7382">
      <c r="A7382" s="2" t="s">
        <v>7377</v>
      </c>
      <c r="B7382" s="2">
        <v>1735.0</v>
      </c>
      <c r="C7382" s="2">
        <v>20428.0</v>
      </c>
      <c r="D7382" s="2">
        <v>7174.0</v>
      </c>
      <c r="E7382" s="3">
        <f t="shared" si="1"/>
        <v>0.3837800246</v>
      </c>
      <c r="F7382" s="2">
        <v>1960.0</v>
      </c>
      <c r="G7382" s="3">
        <f t="shared" si="2"/>
        <v>0.1048520837</v>
      </c>
      <c r="H7382" s="2">
        <v>3781.0</v>
      </c>
      <c r="I7382" s="3">
        <f t="shared" si="3"/>
        <v>0.2022682287</v>
      </c>
      <c r="J7382" s="2">
        <v>2859.0</v>
      </c>
      <c r="K7382" s="3">
        <f t="shared" si="4"/>
        <v>0.1529449527</v>
      </c>
      <c r="L7382" s="2">
        <v>2253.0</v>
      </c>
      <c r="M7382" s="3">
        <f t="shared" si="5"/>
        <v>0.5958741074</v>
      </c>
      <c r="N7382" s="2">
        <v>2.014E7</v>
      </c>
      <c r="O7382" s="4">
        <f t="shared" si="6"/>
        <v>5326.633166</v>
      </c>
      <c r="P7382" s="2">
        <v>8.0</v>
      </c>
      <c r="Q7382" s="3">
        <f t="shared" si="7"/>
        <v>0.004610951009</v>
      </c>
      <c r="R7382" s="2">
        <v>1735.0</v>
      </c>
      <c r="S7382" s="5">
        <f t="shared" si="8"/>
        <v>1</v>
      </c>
    </row>
    <row r="7383">
      <c r="A7383" s="2" t="s">
        <v>7378</v>
      </c>
      <c r="B7383" s="2">
        <v>3712.0</v>
      </c>
      <c r="C7383" s="2">
        <v>43775.0</v>
      </c>
      <c r="D7383" s="2">
        <v>13714.0</v>
      </c>
      <c r="E7383" s="3">
        <f t="shared" si="1"/>
        <v>0.3423108604</v>
      </c>
      <c r="F7383" s="2">
        <v>4200.0</v>
      </c>
      <c r="G7383" s="3">
        <f t="shared" si="2"/>
        <v>0.1048348851</v>
      </c>
      <c r="H7383" s="2">
        <v>8261.0</v>
      </c>
      <c r="I7383" s="3">
        <f t="shared" si="3"/>
        <v>0.2062002346</v>
      </c>
      <c r="J7383" s="2">
        <v>4877.0</v>
      </c>
      <c r="K7383" s="3">
        <f t="shared" si="4"/>
        <v>0.1217332701</v>
      </c>
      <c r="L7383" s="2">
        <v>4979.0</v>
      </c>
      <c r="M7383" s="3">
        <f t="shared" si="5"/>
        <v>0.6027115361</v>
      </c>
      <c r="N7383" s="2">
        <v>4.56401E7</v>
      </c>
      <c r="O7383" s="4">
        <f t="shared" si="6"/>
        <v>5524.766977</v>
      </c>
      <c r="P7383" s="2">
        <v>5.0</v>
      </c>
      <c r="Q7383" s="3">
        <f t="shared" si="7"/>
        <v>0.001346982759</v>
      </c>
      <c r="R7383" s="2">
        <v>3712.0</v>
      </c>
      <c r="S7383" s="5">
        <f t="shared" si="8"/>
        <v>1</v>
      </c>
    </row>
    <row r="7384">
      <c r="A7384" s="2" t="s">
        <v>7379</v>
      </c>
      <c r="B7384" s="2">
        <v>218.0</v>
      </c>
      <c r="C7384" s="2">
        <v>2557.0</v>
      </c>
      <c r="D7384" s="2">
        <v>777.0</v>
      </c>
      <c r="E7384" s="3">
        <f t="shared" si="1"/>
        <v>0.332193245</v>
      </c>
      <c r="F7384" s="2">
        <v>245.0</v>
      </c>
      <c r="G7384" s="3">
        <f t="shared" si="2"/>
        <v>0.1047456178</v>
      </c>
      <c r="H7384" s="2">
        <v>412.0</v>
      </c>
      <c r="I7384" s="3">
        <f t="shared" si="3"/>
        <v>0.1761436511</v>
      </c>
      <c r="J7384" s="2">
        <v>373.0</v>
      </c>
      <c r="K7384" s="3">
        <f t="shared" si="4"/>
        <v>0.1594698589</v>
      </c>
      <c r="L7384" s="2">
        <v>234.0</v>
      </c>
      <c r="M7384" s="3">
        <f t="shared" si="5"/>
        <v>0.567961165</v>
      </c>
      <c r="N7384" s="2">
        <v>2320500.0</v>
      </c>
      <c r="O7384" s="4">
        <f t="shared" si="6"/>
        <v>5632.281553</v>
      </c>
      <c r="P7384" s="2">
        <v>0.0</v>
      </c>
      <c r="Q7384" s="3">
        <f t="shared" si="7"/>
        <v>0</v>
      </c>
      <c r="R7384" s="2">
        <v>218.0</v>
      </c>
      <c r="S7384" s="5">
        <f t="shared" si="8"/>
        <v>1</v>
      </c>
    </row>
    <row r="7385">
      <c r="A7385" s="2" t="s">
        <v>7380</v>
      </c>
      <c r="B7385" s="2">
        <v>1121.0</v>
      </c>
      <c r="C7385" s="2">
        <v>13216.0</v>
      </c>
      <c r="D7385" s="2">
        <v>3928.0</v>
      </c>
      <c r="E7385" s="3">
        <f t="shared" si="1"/>
        <v>0.3247622985</v>
      </c>
      <c r="F7385" s="2">
        <v>1266.0</v>
      </c>
      <c r="G7385" s="3">
        <f t="shared" si="2"/>
        <v>0.1046713518</v>
      </c>
      <c r="H7385" s="2">
        <v>2463.0</v>
      </c>
      <c r="I7385" s="3">
        <f t="shared" si="3"/>
        <v>0.2036378669</v>
      </c>
      <c r="J7385" s="2">
        <v>2027.0</v>
      </c>
      <c r="K7385" s="3">
        <f t="shared" si="4"/>
        <v>0.1675899132</v>
      </c>
      <c r="L7385" s="2">
        <v>1501.0</v>
      </c>
      <c r="M7385" s="3">
        <f t="shared" si="5"/>
        <v>0.6094194072</v>
      </c>
      <c r="N7385" s="2">
        <v>1.38525E7</v>
      </c>
      <c r="O7385" s="4">
        <f t="shared" si="6"/>
        <v>5624.238733</v>
      </c>
      <c r="P7385" s="2">
        <v>1.0</v>
      </c>
      <c r="Q7385" s="3">
        <f t="shared" si="7"/>
        <v>0.0008920606601</v>
      </c>
      <c r="R7385" s="2">
        <v>1121.0</v>
      </c>
      <c r="S7385" s="5">
        <f t="shared" si="8"/>
        <v>1</v>
      </c>
    </row>
    <row r="7386">
      <c r="A7386" s="2" t="s">
        <v>7381</v>
      </c>
      <c r="B7386" s="2">
        <v>1937.0</v>
      </c>
      <c r="C7386" s="2">
        <v>23045.0</v>
      </c>
      <c r="D7386" s="2">
        <v>6772.0</v>
      </c>
      <c r="E7386" s="3">
        <f t="shared" si="1"/>
        <v>0.320826227</v>
      </c>
      <c r="F7386" s="2">
        <v>2209.0</v>
      </c>
      <c r="G7386" s="3">
        <f t="shared" si="2"/>
        <v>0.1046522645</v>
      </c>
      <c r="H7386" s="2">
        <v>4165.0</v>
      </c>
      <c r="I7386" s="3">
        <f t="shared" si="3"/>
        <v>0.1973185522</v>
      </c>
      <c r="J7386" s="2">
        <v>3092.0</v>
      </c>
      <c r="K7386" s="3">
        <f t="shared" si="4"/>
        <v>0.1464847451</v>
      </c>
      <c r="L7386" s="2">
        <v>2474.0</v>
      </c>
      <c r="M7386" s="3">
        <f t="shared" si="5"/>
        <v>0.593997599</v>
      </c>
      <c r="N7386" s="2">
        <v>2.19515E7</v>
      </c>
      <c r="O7386" s="4">
        <f t="shared" si="6"/>
        <v>5270.468187</v>
      </c>
      <c r="P7386" s="2">
        <v>1.0</v>
      </c>
      <c r="Q7386" s="3">
        <f t="shared" si="7"/>
        <v>0.0005162622612</v>
      </c>
      <c r="R7386" s="2">
        <v>1937.0</v>
      </c>
      <c r="S7386" s="5">
        <f t="shared" si="8"/>
        <v>1</v>
      </c>
    </row>
    <row r="7387">
      <c r="A7387" s="2" t="s">
        <v>7382</v>
      </c>
      <c r="B7387" s="2">
        <v>207.0</v>
      </c>
      <c r="C7387" s="2">
        <v>2424.0</v>
      </c>
      <c r="D7387" s="2">
        <v>490.0</v>
      </c>
      <c r="E7387" s="3">
        <f t="shared" si="1"/>
        <v>0.2210193956</v>
      </c>
      <c r="F7387" s="2">
        <v>232.0</v>
      </c>
      <c r="G7387" s="3">
        <f t="shared" si="2"/>
        <v>0.1046459179</v>
      </c>
      <c r="H7387" s="2">
        <v>413.0</v>
      </c>
      <c r="I7387" s="3">
        <f t="shared" si="3"/>
        <v>0.1862877763</v>
      </c>
      <c r="J7387" s="2">
        <v>308.0</v>
      </c>
      <c r="K7387" s="3">
        <f t="shared" si="4"/>
        <v>0.1389264772</v>
      </c>
      <c r="L7387" s="2">
        <v>260.0</v>
      </c>
      <c r="M7387" s="3">
        <f t="shared" si="5"/>
        <v>0.6295399516</v>
      </c>
      <c r="N7387" s="2">
        <v>2253900.0</v>
      </c>
      <c r="O7387" s="4">
        <f t="shared" si="6"/>
        <v>5457.384988</v>
      </c>
      <c r="P7387" s="2">
        <v>0.0</v>
      </c>
      <c r="Q7387" s="3">
        <f t="shared" si="7"/>
        <v>0</v>
      </c>
      <c r="R7387" s="2">
        <v>207.0</v>
      </c>
      <c r="S7387" s="5">
        <f t="shared" si="8"/>
        <v>1</v>
      </c>
    </row>
    <row r="7388">
      <c r="A7388" s="2" t="s">
        <v>7383</v>
      </c>
      <c r="B7388" s="2">
        <v>353.0</v>
      </c>
      <c r="C7388" s="2">
        <v>4233.0</v>
      </c>
      <c r="D7388" s="2">
        <v>1540.0</v>
      </c>
      <c r="E7388" s="3">
        <f t="shared" si="1"/>
        <v>0.3969072165</v>
      </c>
      <c r="F7388" s="2">
        <v>406.0</v>
      </c>
      <c r="G7388" s="3">
        <f t="shared" si="2"/>
        <v>0.1046391753</v>
      </c>
      <c r="H7388" s="2">
        <v>848.0</v>
      </c>
      <c r="I7388" s="3">
        <f t="shared" si="3"/>
        <v>0.218556701</v>
      </c>
      <c r="J7388" s="2">
        <v>565.0</v>
      </c>
      <c r="K7388" s="3">
        <f t="shared" si="4"/>
        <v>0.1456185567</v>
      </c>
      <c r="L7388" s="2">
        <v>506.0</v>
      </c>
      <c r="M7388" s="3">
        <f t="shared" si="5"/>
        <v>0.5966981132</v>
      </c>
      <c r="N7388" s="2">
        <v>4195700.0</v>
      </c>
      <c r="O7388" s="4">
        <f t="shared" si="6"/>
        <v>4947.759434</v>
      </c>
      <c r="P7388" s="2">
        <v>1.0</v>
      </c>
      <c r="Q7388" s="3">
        <f t="shared" si="7"/>
        <v>0.00283286119</v>
      </c>
      <c r="R7388" s="2">
        <v>5.0</v>
      </c>
      <c r="S7388" s="5">
        <f t="shared" si="8"/>
        <v>0.01416430595</v>
      </c>
    </row>
    <row r="7389">
      <c r="A7389" s="2" t="s">
        <v>7384</v>
      </c>
      <c r="B7389" s="2">
        <v>382.0</v>
      </c>
      <c r="C7389" s="2">
        <v>4635.0</v>
      </c>
      <c r="D7389" s="2">
        <v>1677.0</v>
      </c>
      <c r="E7389" s="3">
        <f t="shared" si="1"/>
        <v>0.3943098989</v>
      </c>
      <c r="F7389" s="2">
        <v>445.0</v>
      </c>
      <c r="G7389" s="3">
        <f t="shared" si="2"/>
        <v>0.1046320245</v>
      </c>
      <c r="H7389" s="2">
        <v>860.0</v>
      </c>
      <c r="I7389" s="3">
        <f t="shared" si="3"/>
        <v>0.2022102046</v>
      </c>
      <c r="J7389" s="2">
        <v>587.0</v>
      </c>
      <c r="K7389" s="3">
        <f t="shared" si="4"/>
        <v>0.138020221</v>
      </c>
      <c r="L7389" s="2">
        <v>516.0</v>
      </c>
      <c r="M7389" s="3">
        <f t="shared" si="5"/>
        <v>0.6</v>
      </c>
      <c r="N7389" s="2">
        <v>4837400.0</v>
      </c>
      <c r="O7389" s="4">
        <f t="shared" si="6"/>
        <v>5624.883721</v>
      </c>
      <c r="P7389" s="2">
        <v>0.0</v>
      </c>
      <c r="Q7389" s="3">
        <f t="shared" si="7"/>
        <v>0</v>
      </c>
      <c r="R7389" s="2">
        <v>382.0</v>
      </c>
      <c r="S7389" s="5">
        <f t="shared" si="8"/>
        <v>1</v>
      </c>
    </row>
    <row r="7390">
      <c r="A7390" s="2" t="s">
        <v>7385</v>
      </c>
      <c r="B7390" s="2">
        <v>580.0</v>
      </c>
      <c r="C7390" s="2">
        <v>6928.0</v>
      </c>
      <c r="D7390" s="2">
        <v>2033.0</v>
      </c>
      <c r="E7390" s="3">
        <f t="shared" si="1"/>
        <v>0.3202583491</v>
      </c>
      <c r="F7390" s="2">
        <v>664.0</v>
      </c>
      <c r="G7390" s="3">
        <f t="shared" si="2"/>
        <v>0.104599874</v>
      </c>
      <c r="H7390" s="2">
        <v>1281.0</v>
      </c>
      <c r="I7390" s="3">
        <f t="shared" si="3"/>
        <v>0.2017958412</v>
      </c>
      <c r="J7390" s="2">
        <v>1063.0</v>
      </c>
      <c r="K7390" s="3">
        <f t="shared" si="4"/>
        <v>0.1674543163</v>
      </c>
      <c r="L7390" s="2">
        <v>781.0</v>
      </c>
      <c r="M7390" s="3">
        <f t="shared" si="5"/>
        <v>0.6096799375</v>
      </c>
      <c r="N7390" s="2">
        <v>7217900.0</v>
      </c>
      <c r="O7390" s="4">
        <f t="shared" si="6"/>
        <v>5634.582358</v>
      </c>
      <c r="P7390" s="2">
        <v>0.0</v>
      </c>
      <c r="Q7390" s="3">
        <f t="shared" si="7"/>
        <v>0</v>
      </c>
      <c r="R7390" s="2">
        <v>4.0</v>
      </c>
      <c r="S7390" s="5">
        <f t="shared" si="8"/>
        <v>0.006896551724</v>
      </c>
    </row>
    <row r="7391">
      <c r="A7391" s="2" t="s">
        <v>7386</v>
      </c>
      <c r="B7391" s="2">
        <v>515.0</v>
      </c>
      <c r="C7391" s="2">
        <v>6156.0</v>
      </c>
      <c r="D7391" s="2">
        <v>2208.0</v>
      </c>
      <c r="E7391" s="3">
        <f t="shared" si="1"/>
        <v>0.391419961</v>
      </c>
      <c r="F7391" s="2">
        <v>590.0</v>
      </c>
      <c r="G7391" s="3">
        <f t="shared" si="2"/>
        <v>0.1045913845</v>
      </c>
      <c r="H7391" s="2">
        <v>1236.0</v>
      </c>
      <c r="I7391" s="3">
        <f t="shared" si="3"/>
        <v>0.2191100869</v>
      </c>
      <c r="J7391" s="2">
        <v>874.0</v>
      </c>
      <c r="K7391" s="3">
        <f t="shared" si="4"/>
        <v>0.1549370679</v>
      </c>
      <c r="L7391" s="2">
        <v>750.0</v>
      </c>
      <c r="M7391" s="3">
        <f t="shared" si="5"/>
        <v>0.6067961165</v>
      </c>
      <c r="N7391" s="2">
        <v>6096000.0</v>
      </c>
      <c r="O7391" s="4">
        <f t="shared" si="6"/>
        <v>4932.038835</v>
      </c>
      <c r="P7391" s="2">
        <v>1.0</v>
      </c>
      <c r="Q7391" s="3">
        <f t="shared" si="7"/>
        <v>0.001941747573</v>
      </c>
      <c r="R7391" s="2">
        <v>515.0</v>
      </c>
      <c r="S7391" s="5">
        <f t="shared" si="8"/>
        <v>1</v>
      </c>
    </row>
    <row r="7392">
      <c r="A7392" s="2" t="s">
        <v>7387</v>
      </c>
      <c r="B7392" s="2">
        <v>26.0</v>
      </c>
      <c r="C7392" s="2">
        <v>332.0</v>
      </c>
      <c r="D7392" s="2">
        <v>94.0</v>
      </c>
      <c r="E7392" s="3">
        <f t="shared" si="1"/>
        <v>0.3071895425</v>
      </c>
      <c r="F7392" s="2">
        <v>32.0</v>
      </c>
      <c r="G7392" s="3">
        <f t="shared" si="2"/>
        <v>0.1045751634</v>
      </c>
      <c r="H7392" s="2">
        <v>70.0</v>
      </c>
      <c r="I7392" s="3">
        <f t="shared" si="3"/>
        <v>0.2287581699</v>
      </c>
      <c r="J7392" s="2">
        <v>51.0</v>
      </c>
      <c r="K7392" s="3">
        <f t="shared" si="4"/>
        <v>0.1666666667</v>
      </c>
      <c r="L7392" s="2">
        <v>42.0</v>
      </c>
      <c r="M7392" s="3">
        <f t="shared" si="5"/>
        <v>0.6</v>
      </c>
      <c r="N7392" s="2">
        <v>381800.0</v>
      </c>
      <c r="O7392" s="4">
        <f t="shared" si="6"/>
        <v>5454.285714</v>
      </c>
      <c r="P7392" s="2">
        <v>0.0</v>
      </c>
      <c r="Q7392" s="3">
        <f t="shared" si="7"/>
        <v>0</v>
      </c>
      <c r="R7392" s="2">
        <v>26.0</v>
      </c>
      <c r="S7392" s="5">
        <f t="shared" si="8"/>
        <v>1</v>
      </c>
    </row>
    <row r="7393">
      <c r="A7393" s="2" t="s">
        <v>7388</v>
      </c>
      <c r="B7393" s="2">
        <v>198.0</v>
      </c>
      <c r="C7393" s="2">
        <v>2350.0</v>
      </c>
      <c r="D7393" s="2">
        <v>741.0</v>
      </c>
      <c r="E7393" s="3">
        <f t="shared" si="1"/>
        <v>0.344330855</v>
      </c>
      <c r="F7393" s="2">
        <v>225.0</v>
      </c>
      <c r="G7393" s="3">
        <f t="shared" si="2"/>
        <v>0.1045539033</v>
      </c>
      <c r="H7393" s="2">
        <v>463.0</v>
      </c>
      <c r="I7393" s="3">
        <f t="shared" si="3"/>
        <v>0.2151486989</v>
      </c>
      <c r="J7393" s="2">
        <v>374.0</v>
      </c>
      <c r="K7393" s="3">
        <f t="shared" si="4"/>
        <v>0.1737918216</v>
      </c>
      <c r="L7393" s="2">
        <v>271.0</v>
      </c>
      <c r="M7393" s="3">
        <f t="shared" si="5"/>
        <v>0.5853131749</v>
      </c>
      <c r="N7393" s="2">
        <v>2763200.0</v>
      </c>
      <c r="O7393" s="4">
        <f t="shared" si="6"/>
        <v>5968.034557</v>
      </c>
      <c r="P7393" s="2">
        <v>0.0</v>
      </c>
      <c r="Q7393" s="3">
        <f t="shared" si="7"/>
        <v>0</v>
      </c>
      <c r="R7393" s="2">
        <v>197.0</v>
      </c>
      <c r="S7393" s="5">
        <f t="shared" si="8"/>
        <v>0.9949494949</v>
      </c>
    </row>
    <row r="7394">
      <c r="A7394" s="2" t="s">
        <v>7389</v>
      </c>
      <c r="B7394" s="2">
        <v>149.0</v>
      </c>
      <c r="C7394" s="2">
        <v>1718.0</v>
      </c>
      <c r="D7394" s="2">
        <v>413.0</v>
      </c>
      <c r="E7394" s="3">
        <f t="shared" si="1"/>
        <v>0.2632249841</v>
      </c>
      <c r="F7394" s="2">
        <v>164.0</v>
      </c>
      <c r="G7394" s="3">
        <f t="shared" si="2"/>
        <v>0.1045251753</v>
      </c>
      <c r="H7394" s="2">
        <v>308.0</v>
      </c>
      <c r="I7394" s="3">
        <f t="shared" si="3"/>
        <v>0.1963033779</v>
      </c>
      <c r="J7394" s="2">
        <v>185.0</v>
      </c>
      <c r="K7394" s="3">
        <f t="shared" si="4"/>
        <v>0.1179094965</v>
      </c>
      <c r="L7394" s="2">
        <v>195.0</v>
      </c>
      <c r="M7394" s="3">
        <f t="shared" si="5"/>
        <v>0.6331168831</v>
      </c>
      <c r="N7394" s="2">
        <v>1735700.0</v>
      </c>
      <c r="O7394" s="4">
        <f t="shared" si="6"/>
        <v>5635.38961</v>
      </c>
      <c r="P7394" s="2">
        <v>2.0</v>
      </c>
      <c r="Q7394" s="3">
        <f t="shared" si="7"/>
        <v>0.01342281879</v>
      </c>
      <c r="R7394" s="2">
        <v>149.0</v>
      </c>
      <c r="S7394" s="5">
        <f t="shared" si="8"/>
        <v>1</v>
      </c>
    </row>
    <row r="7395">
      <c r="A7395" s="2" t="s">
        <v>7390</v>
      </c>
      <c r="B7395" s="2">
        <v>359.0</v>
      </c>
      <c r="C7395" s="2">
        <v>4167.0</v>
      </c>
      <c r="D7395" s="2">
        <v>960.0</v>
      </c>
      <c r="E7395" s="3">
        <f t="shared" si="1"/>
        <v>0.2521008403</v>
      </c>
      <c r="F7395" s="2">
        <v>398.0</v>
      </c>
      <c r="G7395" s="3">
        <f t="shared" si="2"/>
        <v>0.1045168067</v>
      </c>
      <c r="H7395" s="2">
        <v>712.0</v>
      </c>
      <c r="I7395" s="3">
        <f t="shared" si="3"/>
        <v>0.1869747899</v>
      </c>
      <c r="J7395" s="2">
        <v>641.0</v>
      </c>
      <c r="K7395" s="3">
        <f t="shared" si="4"/>
        <v>0.1683298319</v>
      </c>
      <c r="L7395" s="2">
        <v>392.0</v>
      </c>
      <c r="M7395" s="3">
        <f t="shared" si="5"/>
        <v>0.5505617978</v>
      </c>
      <c r="N7395" s="2">
        <v>4278500.0</v>
      </c>
      <c r="O7395" s="4">
        <f t="shared" si="6"/>
        <v>6009.129213</v>
      </c>
      <c r="P7395" s="2">
        <v>1.0</v>
      </c>
      <c r="Q7395" s="3">
        <f t="shared" si="7"/>
        <v>0.00278551532</v>
      </c>
      <c r="R7395" s="2">
        <v>359.0</v>
      </c>
      <c r="S7395" s="5">
        <f t="shared" si="8"/>
        <v>1</v>
      </c>
    </row>
    <row r="7396">
      <c r="A7396" s="2" t="s">
        <v>7391</v>
      </c>
      <c r="B7396" s="2">
        <v>6.0</v>
      </c>
      <c r="C7396" s="2">
        <v>73.0</v>
      </c>
      <c r="D7396" s="2">
        <v>18.0</v>
      </c>
      <c r="E7396" s="3">
        <f t="shared" si="1"/>
        <v>0.2686567164</v>
      </c>
      <c r="F7396" s="2">
        <v>7.0</v>
      </c>
      <c r="G7396" s="3">
        <f t="shared" si="2"/>
        <v>0.1044776119</v>
      </c>
      <c r="H7396" s="2">
        <v>12.0</v>
      </c>
      <c r="I7396" s="3">
        <f t="shared" si="3"/>
        <v>0.1791044776</v>
      </c>
      <c r="J7396" s="2">
        <v>17.0</v>
      </c>
      <c r="K7396" s="3">
        <f t="shared" si="4"/>
        <v>0.2537313433</v>
      </c>
      <c r="L7396" s="2">
        <v>8.0</v>
      </c>
      <c r="M7396" s="3">
        <f t="shared" si="5"/>
        <v>0.6666666667</v>
      </c>
      <c r="N7396" s="2">
        <v>55600.0</v>
      </c>
      <c r="O7396" s="4">
        <f t="shared" si="6"/>
        <v>4633.333333</v>
      </c>
      <c r="P7396" s="2">
        <v>0.0</v>
      </c>
      <c r="Q7396" s="3">
        <f t="shared" si="7"/>
        <v>0</v>
      </c>
      <c r="R7396" s="2">
        <v>6.0</v>
      </c>
      <c r="S7396" s="5">
        <f t="shared" si="8"/>
        <v>1</v>
      </c>
    </row>
    <row r="7397">
      <c r="A7397" s="2" t="s">
        <v>7392</v>
      </c>
      <c r="B7397" s="2">
        <v>155.0</v>
      </c>
      <c r="C7397" s="2">
        <v>1830.0</v>
      </c>
      <c r="D7397" s="2">
        <v>640.0</v>
      </c>
      <c r="E7397" s="3">
        <f t="shared" si="1"/>
        <v>0.3820895522</v>
      </c>
      <c r="F7397" s="2">
        <v>175.0</v>
      </c>
      <c r="G7397" s="3">
        <f t="shared" si="2"/>
        <v>0.1044776119</v>
      </c>
      <c r="H7397" s="2">
        <v>336.0</v>
      </c>
      <c r="I7397" s="3">
        <f t="shared" si="3"/>
        <v>0.2005970149</v>
      </c>
      <c r="J7397" s="2">
        <v>248.0</v>
      </c>
      <c r="K7397" s="3">
        <f t="shared" si="4"/>
        <v>0.1480597015</v>
      </c>
      <c r="L7397" s="2">
        <v>183.0</v>
      </c>
      <c r="M7397" s="3">
        <f t="shared" si="5"/>
        <v>0.5446428571</v>
      </c>
      <c r="N7397" s="2">
        <v>1867900.0</v>
      </c>
      <c r="O7397" s="4">
        <f t="shared" si="6"/>
        <v>5559.22619</v>
      </c>
      <c r="P7397" s="2">
        <v>0.0</v>
      </c>
      <c r="Q7397" s="3">
        <f t="shared" si="7"/>
        <v>0</v>
      </c>
      <c r="R7397" s="2">
        <v>155.0</v>
      </c>
      <c r="S7397" s="5">
        <f t="shared" si="8"/>
        <v>1</v>
      </c>
    </row>
    <row r="7398">
      <c r="A7398" s="2" t="s">
        <v>7393</v>
      </c>
      <c r="B7398" s="2">
        <v>569.0</v>
      </c>
      <c r="C7398" s="2">
        <v>6609.0</v>
      </c>
      <c r="D7398" s="2">
        <v>1933.0</v>
      </c>
      <c r="E7398" s="3">
        <f t="shared" si="1"/>
        <v>0.3200331126</v>
      </c>
      <c r="F7398" s="2">
        <v>631.0</v>
      </c>
      <c r="G7398" s="3">
        <f t="shared" si="2"/>
        <v>0.1044701987</v>
      </c>
      <c r="H7398" s="2">
        <v>1271.0</v>
      </c>
      <c r="I7398" s="3">
        <f t="shared" si="3"/>
        <v>0.2104304636</v>
      </c>
      <c r="J7398" s="2">
        <v>1018.0</v>
      </c>
      <c r="K7398" s="3">
        <f t="shared" si="4"/>
        <v>0.1685430464</v>
      </c>
      <c r="L7398" s="2">
        <v>783.0</v>
      </c>
      <c r="M7398" s="3">
        <f t="shared" si="5"/>
        <v>0.6160503541</v>
      </c>
      <c r="N7398" s="2">
        <v>6839500.0</v>
      </c>
      <c r="O7398" s="4">
        <f t="shared" si="6"/>
        <v>5381.195909</v>
      </c>
      <c r="P7398" s="2">
        <v>1.0</v>
      </c>
      <c r="Q7398" s="3">
        <f t="shared" si="7"/>
        <v>0.001757469244</v>
      </c>
      <c r="R7398" s="2">
        <v>2.0</v>
      </c>
      <c r="S7398" s="5">
        <f t="shared" si="8"/>
        <v>0.003514938489</v>
      </c>
    </row>
    <row r="7399">
      <c r="A7399" s="2" t="s">
        <v>7394</v>
      </c>
      <c r="B7399" s="2">
        <v>1804.0</v>
      </c>
      <c r="C7399" s="2">
        <v>21499.0</v>
      </c>
      <c r="D7399" s="2">
        <v>6826.0</v>
      </c>
      <c r="E7399" s="3">
        <f t="shared" si="1"/>
        <v>0.3465854278</v>
      </c>
      <c r="F7399" s="2">
        <v>2057.0</v>
      </c>
      <c r="G7399" s="3">
        <f t="shared" si="2"/>
        <v>0.104442752</v>
      </c>
      <c r="H7399" s="2">
        <v>4113.0</v>
      </c>
      <c r="I7399" s="3">
        <f t="shared" si="3"/>
        <v>0.2088347296</v>
      </c>
      <c r="J7399" s="2">
        <v>3027.0</v>
      </c>
      <c r="K7399" s="3">
        <f t="shared" si="4"/>
        <v>0.1536938309</v>
      </c>
      <c r="L7399" s="2">
        <v>2511.0</v>
      </c>
      <c r="M7399" s="3">
        <f t="shared" si="5"/>
        <v>0.6105032823</v>
      </c>
      <c r="N7399" s="2">
        <v>2.23048E7</v>
      </c>
      <c r="O7399" s="4">
        <f t="shared" si="6"/>
        <v>5423.000243</v>
      </c>
      <c r="P7399" s="2">
        <v>1.0</v>
      </c>
      <c r="Q7399" s="3">
        <f t="shared" si="7"/>
        <v>0.0005543237251</v>
      </c>
      <c r="R7399" s="2">
        <v>1775.0</v>
      </c>
      <c r="S7399" s="5">
        <f t="shared" si="8"/>
        <v>0.983924612</v>
      </c>
    </row>
    <row r="7400">
      <c r="A7400" s="2" t="s">
        <v>7395</v>
      </c>
      <c r="B7400" s="2">
        <v>285.0</v>
      </c>
      <c r="C7400" s="2">
        <v>3360.0</v>
      </c>
      <c r="D7400" s="2">
        <v>1198.0</v>
      </c>
      <c r="E7400" s="3">
        <f t="shared" si="1"/>
        <v>0.3895934959</v>
      </c>
      <c r="F7400" s="2">
        <v>321.0</v>
      </c>
      <c r="G7400" s="3">
        <f t="shared" si="2"/>
        <v>0.1043902439</v>
      </c>
      <c r="H7400" s="2">
        <v>611.0</v>
      </c>
      <c r="I7400" s="3">
        <f t="shared" si="3"/>
        <v>0.198699187</v>
      </c>
      <c r="J7400" s="2">
        <v>491.0</v>
      </c>
      <c r="K7400" s="3">
        <f t="shared" si="4"/>
        <v>0.1596747967</v>
      </c>
      <c r="L7400" s="2">
        <v>367.0</v>
      </c>
      <c r="M7400" s="3">
        <f t="shared" si="5"/>
        <v>0.6006546645</v>
      </c>
      <c r="N7400" s="2">
        <v>3412600.0</v>
      </c>
      <c r="O7400" s="4">
        <f t="shared" si="6"/>
        <v>5585.270049</v>
      </c>
      <c r="P7400" s="2">
        <v>1.0</v>
      </c>
      <c r="Q7400" s="3">
        <f t="shared" si="7"/>
        <v>0.00350877193</v>
      </c>
      <c r="R7400" s="2">
        <v>285.0</v>
      </c>
      <c r="S7400" s="5">
        <f t="shared" si="8"/>
        <v>1</v>
      </c>
    </row>
    <row r="7401">
      <c r="A7401" s="2" t="s">
        <v>7396</v>
      </c>
      <c r="B7401" s="2">
        <v>1333.0</v>
      </c>
      <c r="C7401" s="2">
        <v>15501.0</v>
      </c>
      <c r="D7401" s="2">
        <v>3728.0</v>
      </c>
      <c r="E7401" s="3">
        <f t="shared" si="1"/>
        <v>0.2631281762</v>
      </c>
      <c r="F7401" s="2">
        <v>1479.0</v>
      </c>
      <c r="G7401" s="3">
        <f t="shared" si="2"/>
        <v>0.104390175</v>
      </c>
      <c r="H7401" s="2">
        <v>2663.0</v>
      </c>
      <c r="I7401" s="3">
        <f t="shared" si="3"/>
        <v>0.1879587804</v>
      </c>
      <c r="J7401" s="2">
        <v>2504.0</v>
      </c>
      <c r="K7401" s="3">
        <f t="shared" si="4"/>
        <v>0.1767363072</v>
      </c>
      <c r="L7401" s="2">
        <v>1605.0</v>
      </c>
      <c r="M7401" s="3">
        <f t="shared" si="5"/>
        <v>0.6027037176</v>
      </c>
      <c r="N7401" s="2">
        <v>1.58184E7</v>
      </c>
      <c r="O7401" s="4">
        <f t="shared" si="6"/>
        <v>5940.067593</v>
      </c>
      <c r="P7401" s="2">
        <v>2.0</v>
      </c>
      <c r="Q7401" s="3">
        <f t="shared" si="7"/>
        <v>0.001500375094</v>
      </c>
      <c r="R7401" s="2">
        <v>0.0</v>
      </c>
      <c r="S7401" s="5">
        <f t="shared" si="8"/>
        <v>0</v>
      </c>
    </row>
    <row r="7402">
      <c r="A7402" s="2" t="s">
        <v>7397</v>
      </c>
      <c r="B7402" s="2">
        <v>485.0</v>
      </c>
      <c r="C7402" s="2">
        <v>5658.0</v>
      </c>
      <c r="D7402" s="2">
        <v>1772.0</v>
      </c>
      <c r="E7402" s="3">
        <f t="shared" si="1"/>
        <v>0.3425478446</v>
      </c>
      <c r="F7402" s="2">
        <v>540.0</v>
      </c>
      <c r="G7402" s="3">
        <f t="shared" si="2"/>
        <v>0.1043881693</v>
      </c>
      <c r="H7402" s="2">
        <v>1085.0</v>
      </c>
      <c r="I7402" s="3">
        <f t="shared" si="3"/>
        <v>0.2097428958</v>
      </c>
      <c r="J7402" s="2">
        <v>906.0</v>
      </c>
      <c r="K7402" s="3">
        <f t="shared" si="4"/>
        <v>0.1751401508</v>
      </c>
      <c r="L7402" s="2">
        <v>640.0</v>
      </c>
      <c r="M7402" s="3">
        <f t="shared" si="5"/>
        <v>0.5898617512</v>
      </c>
      <c r="N7402" s="2">
        <v>6459200.0</v>
      </c>
      <c r="O7402" s="4">
        <f t="shared" si="6"/>
        <v>5953.179724</v>
      </c>
      <c r="P7402" s="2">
        <v>1.0</v>
      </c>
      <c r="Q7402" s="3">
        <f t="shared" si="7"/>
        <v>0.00206185567</v>
      </c>
      <c r="R7402" s="2">
        <v>453.0</v>
      </c>
      <c r="S7402" s="5">
        <f t="shared" si="8"/>
        <v>0.9340206186</v>
      </c>
    </row>
    <row r="7403">
      <c r="A7403" s="2" t="s">
        <v>7398</v>
      </c>
      <c r="B7403" s="2">
        <v>86.0</v>
      </c>
      <c r="C7403" s="2">
        <v>1025.0</v>
      </c>
      <c r="D7403" s="2">
        <v>264.0</v>
      </c>
      <c r="E7403" s="3">
        <f t="shared" si="1"/>
        <v>0.2811501597</v>
      </c>
      <c r="F7403" s="2">
        <v>98.0</v>
      </c>
      <c r="G7403" s="3">
        <f t="shared" si="2"/>
        <v>0.1043663472</v>
      </c>
      <c r="H7403" s="2">
        <v>184.0</v>
      </c>
      <c r="I7403" s="3">
        <f t="shared" si="3"/>
        <v>0.1959531416</v>
      </c>
      <c r="J7403" s="2">
        <v>119.0</v>
      </c>
      <c r="K7403" s="3">
        <f t="shared" si="4"/>
        <v>0.1267305644</v>
      </c>
      <c r="L7403" s="2">
        <v>112.0</v>
      </c>
      <c r="M7403" s="3">
        <f t="shared" si="5"/>
        <v>0.6086956522</v>
      </c>
      <c r="N7403" s="2">
        <v>997400.0</v>
      </c>
      <c r="O7403" s="4">
        <f t="shared" si="6"/>
        <v>5420.652174</v>
      </c>
      <c r="P7403" s="2">
        <v>0.0</v>
      </c>
      <c r="Q7403" s="3">
        <f t="shared" si="7"/>
        <v>0</v>
      </c>
      <c r="R7403" s="2">
        <v>86.0</v>
      </c>
      <c r="S7403" s="5">
        <f t="shared" si="8"/>
        <v>1</v>
      </c>
    </row>
    <row r="7404">
      <c r="A7404" s="2" t="s">
        <v>7399</v>
      </c>
      <c r="B7404" s="2">
        <v>168.0</v>
      </c>
      <c r="C7404" s="2">
        <v>1960.0</v>
      </c>
      <c r="D7404" s="2">
        <v>639.0</v>
      </c>
      <c r="E7404" s="3">
        <f t="shared" si="1"/>
        <v>0.3565848214</v>
      </c>
      <c r="F7404" s="2">
        <v>187.0</v>
      </c>
      <c r="G7404" s="3">
        <f t="shared" si="2"/>
        <v>0.1043526786</v>
      </c>
      <c r="H7404" s="2">
        <v>362.0</v>
      </c>
      <c r="I7404" s="3">
        <f t="shared" si="3"/>
        <v>0.2020089286</v>
      </c>
      <c r="J7404" s="2">
        <v>234.0</v>
      </c>
      <c r="K7404" s="3">
        <f t="shared" si="4"/>
        <v>0.1305803571</v>
      </c>
      <c r="L7404" s="2">
        <v>209.0</v>
      </c>
      <c r="M7404" s="3">
        <f t="shared" si="5"/>
        <v>0.5773480663</v>
      </c>
      <c r="N7404" s="2">
        <v>1933200.0</v>
      </c>
      <c r="O7404" s="4">
        <f t="shared" si="6"/>
        <v>5340.331492</v>
      </c>
      <c r="P7404" s="2">
        <v>0.0</v>
      </c>
      <c r="Q7404" s="3">
        <f t="shared" si="7"/>
        <v>0</v>
      </c>
      <c r="R7404" s="2">
        <v>0.0</v>
      </c>
      <c r="S7404" s="5">
        <f t="shared" si="8"/>
        <v>0</v>
      </c>
    </row>
    <row r="7405">
      <c r="A7405" s="2" t="s">
        <v>7400</v>
      </c>
      <c r="B7405" s="2">
        <v>197.0</v>
      </c>
      <c r="C7405" s="2">
        <v>2296.0</v>
      </c>
      <c r="D7405" s="2">
        <v>693.0</v>
      </c>
      <c r="E7405" s="3">
        <f t="shared" si="1"/>
        <v>0.3301572177</v>
      </c>
      <c r="F7405" s="2">
        <v>219.0</v>
      </c>
      <c r="G7405" s="3">
        <f t="shared" si="2"/>
        <v>0.1043353978</v>
      </c>
      <c r="H7405" s="2">
        <v>436.0</v>
      </c>
      <c r="I7405" s="3">
        <f t="shared" si="3"/>
        <v>0.2077179609</v>
      </c>
      <c r="J7405" s="2">
        <v>391.0</v>
      </c>
      <c r="K7405" s="3">
        <f t="shared" si="4"/>
        <v>0.1862791806</v>
      </c>
      <c r="L7405" s="2">
        <v>275.0</v>
      </c>
      <c r="M7405" s="3">
        <f t="shared" si="5"/>
        <v>0.630733945</v>
      </c>
      <c r="N7405" s="2">
        <v>2510800.0</v>
      </c>
      <c r="O7405" s="4">
        <f t="shared" si="6"/>
        <v>5758.715596</v>
      </c>
      <c r="P7405" s="2">
        <v>0.0</v>
      </c>
      <c r="Q7405" s="3">
        <f t="shared" si="7"/>
        <v>0</v>
      </c>
      <c r="R7405" s="2">
        <v>0.0</v>
      </c>
      <c r="S7405" s="5">
        <f t="shared" si="8"/>
        <v>0</v>
      </c>
    </row>
    <row r="7406">
      <c r="A7406" s="2" t="s">
        <v>7401</v>
      </c>
      <c r="B7406" s="2">
        <v>449.0</v>
      </c>
      <c r="C7406" s="2">
        <v>5338.0</v>
      </c>
      <c r="D7406" s="2">
        <v>1285.0</v>
      </c>
      <c r="E7406" s="3">
        <f t="shared" si="1"/>
        <v>0.2628349356</v>
      </c>
      <c r="F7406" s="2">
        <v>510.0</v>
      </c>
      <c r="G7406" s="3">
        <f t="shared" si="2"/>
        <v>0.104315811</v>
      </c>
      <c r="H7406" s="2">
        <v>973.0</v>
      </c>
      <c r="I7406" s="3">
        <f t="shared" si="3"/>
        <v>0.1990182041</v>
      </c>
      <c r="J7406" s="2">
        <v>831.0</v>
      </c>
      <c r="K7406" s="3">
        <f t="shared" si="4"/>
        <v>0.1699734097</v>
      </c>
      <c r="L7406" s="2">
        <v>586.0</v>
      </c>
      <c r="M7406" s="3">
        <f t="shared" si="5"/>
        <v>0.6022610483</v>
      </c>
      <c r="N7406" s="2">
        <v>5617200.0</v>
      </c>
      <c r="O7406" s="4">
        <f t="shared" si="6"/>
        <v>5773.07297</v>
      </c>
      <c r="P7406" s="2">
        <v>2.0</v>
      </c>
      <c r="Q7406" s="3">
        <f t="shared" si="7"/>
        <v>0.004454342984</v>
      </c>
      <c r="R7406" s="2">
        <v>449.0</v>
      </c>
      <c r="S7406" s="5">
        <f t="shared" si="8"/>
        <v>1</v>
      </c>
    </row>
    <row r="7407">
      <c r="A7407" s="2" t="s">
        <v>7402</v>
      </c>
      <c r="B7407" s="2">
        <v>318.0</v>
      </c>
      <c r="C7407" s="2">
        <v>3665.0</v>
      </c>
      <c r="D7407" s="2">
        <v>1272.0</v>
      </c>
      <c r="E7407" s="3">
        <f t="shared" si="1"/>
        <v>0.3800418285</v>
      </c>
      <c r="F7407" s="2">
        <v>349.0</v>
      </c>
      <c r="G7407" s="3">
        <f t="shared" si="2"/>
        <v>0.1042724828</v>
      </c>
      <c r="H7407" s="2">
        <v>658.0</v>
      </c>
      <c r="I7407" s="3">
        <f t="shared" si="3"/>
        <v>0.1965939647</v>
      </c>
      <c r="J7407" s="2">
        <v>527.0</v>
      </c>
      <c r="K7407" s="3">
        <f t="shared" si="4"/>
        <v>0.1574544368</v>
      </c>
      <c r="L7407" s="2">
        <v>405.0</v>
      </c>
      <c r="M7407" s="3">
        <f t="shared" si="5"/>
        <v>0.6155015198</v>
      </c>
      <c r="N7407" s="2">
        <v>3653500.0</v>
      </c>
      <c r="O7407" s="4">
        <f t="shared" si="6"/>
        <v>5552.431611</v>
      </c>
      <c r="P7407" s="2">
        <v>0.0</v>
      </c>
      <c r="Q7407" s="3">
        <f t="shared" si="7"/>
        <v>0</v>
      </c>
      <c r="R7407" s="2">
        <v>318.0</v>
      </c>
      <c r="S7407" s="5">
        <f t="shared" si="8"/>
        <v>1</v>
      </c>
    </row>
    <row r="7408">
      <c r="A7408" s="2" t="s">
        <v>7403</v>
      </c>
      <c r="B7408" s="2">
        <v>2877.0</v>
      </c>
      <c r="C7408" s="2">
        <v>33756.0</v>
      </c>
      <c r="D7408" s="2">
        <v>11069.0</v>
      </c>
      <c r="E7408" s="3">
        <f t="shared" si="1"/>
        <v>0.3584636808</v>
      </c>
      <c r="F7408" s="2">
        <v>3218.0</v>
      </c>
      <c r="G7408" s="3">
        <f t="shared" si="2"/>
        <v>0.1042132193</v>
      </c>
      <c r="H7408" s="2">
        <v>6336.0</v>
      </c>
      <c r="I7408" s="3">
        <f t="shared" si="3"/>
        <v>0.2051879918</v>
      </c>
      <c r="J7408" s="2">
        <v>4671.0</v>
      </c>
      <c r="K7408" s="3">
        <f t="shared" si="4"/>
        <v>0.1512678519</v>
      </c>
      <c r="L7408" s="2">
        <v>3746.0</v>
      </c>
      <c r="M7408" s="3">
        <f t="shared" si="5"/>
        <v>0.5912247475</v>
      </c>
      <c r="N7408" s="2">
        <v>3.46306E7</v>
      </c>
      <c r="O7408" s="4">
        <f t="shared" si="6"/>
        <v>5465.688131</v>
      </c>
      <c r="P7408" s="2">
        <v>4.0</v>
      </c>
      <c r="Q7408" s="3">
        <f t="shared" si="7"/>
        <v>0.001390337157</v>
      </c>
      <c r="R7408" s="2">
        <v>0.0</v>
      </c>
      <c r="S7408" s="5">
        <f t="shared" si="8"/>
        <v>0</v>
      </c>
    </row>
    <row r="7409">
      <c r="A7409" s="2" t="s">
        <v>7404</v>
      </c>
      <c r="B7409" s="2">
        <v>144.0</v>
      </c>
      <c r="C7409" s="2">
        <v>1737.0</v>
      </c>
      <c r="D7409" s="2">
        <v>535.0</v>
      </c>
      <c r="E7409" s="3">
        <f t="shared" si="1"/>
        <v>0.3358443189</v>
      </c>
      <c r="F7409" s="2">
        <v>166.0</v>
      </c>
      <c r="G7409" s="3">
        <f t="shared" si="2"/>
        <v>0.1042059008</v>
      </c>
      <c r="H7409" s="2">
        <v>281.0</v>
      </c>
      <c r="I7409" s="3">
        <f t="shared" si="3"/>
        <v>0.1763967357</v>
      </c>
      <c r="J7409" s="2">
        <v>229.0</v>
      </c>
      <c r="K7409" s="3">
        <f t="shared" si="4"/>
        <v>0.1437539234</v>
      </c>
      <c r="L7409" s="2">
        <v>175.0</v>
      </c>
      <c r="M7409" s="3">
        <f t="shared" si="5"/>
        <v>0.6227758007</v>
      </c>
      <c r="N7409" s="2">
        <v>1497100.0</v>
      </c>
      <c r="O7409" s="4">
        <f t="shared" si="6"/>
        <v>5327.758007</v>
      </c>
      <c r="P7409" s="2">
        <v>2.0</v>
      </c>
      <c r="Q7409" s="3">
        <f t="shared" si="7"/>
        <v>0.01388888889</v>
      </c>
      <c r="R7409" s="2">
        <v>144.0</v>
      </c>
      <c r="S7409" s="5">
        <f t="shared" si="8"/>
        <v>1</v>
      </c>
    </row>
    <row r="7410">
      <c r="A7410" s="2" t="s">
        <v>7405</v>
      </c>
      <c r="B7410" s="2">
        <v>181.0</v>
      </c>
      <c r="C7410" s="2">
        <v>2111.0</v>
      </c>
      <c r="D7410" s="2">
        <v>475.0</v>
      </c>
      <c r="E7410" s="3">
        <f t="shared" si="1"/>
        <v>0.2461139896</v>
      </c>
      <c r="F7410" s="2">
        <v>201.0</v>
      </c>
      <c r="G7410" s="3">
        <f t="shared" si="2"/>
        <v>0.1041450777</v>
      </c>
      <c r="H7410" s="2">
        <v>356.0</v>
      </c>
      <c r="I7410" s="3">
        <f t="shared" si="3"/>
        <v>0.1844559585</v>
      </c>
      <c r="J7410" s="2">
        <v>349.0</v>
      </c>
      <c r="K7410" s="3">
        <f t="shared" si="4"/>
        <v>0.1808290155</v>
      </c>
      <c r="L7410" s="2">
        <v>211.0</v>
      </c>
      <c r="M7410" s="3">
        <f t="shared" si="5"/>
        <v>0.5926966292</v>
      </c>
      <c r="N7410" s="2">
        <v>2091800.0</v>
      </c>
      <c r="O7410" s="4">
        <f t="shared" si="6"/>
        <v>5875.842697</v>
      </c>
      <c r="P7410" s="2">
        <v>0.0</v>
      </c>
      <c r="Q7410" s="3">
        <f t="shared" si="7"/>
        <v>0</v>
      </c>
      <c r="R7410" s="2">
        <v>181.0</v>
      </c>
      <c r="S7410" s="5">
        <f t="shared" si="8"/>
        <v>1</v>
      </c>
    </row>
    <row r="7411">
      <c r="A7411" s="2" t="s">
        <v>7406</v>
      </c>
      <c r="B7411" s="2">
        <v>256.0</v>
      </c>
      <c r="C7411" s="2">
        <v>3079.0</v>
      </c>
      <c r="D7411" s="2">
        <v>888.0</v>
      </c>
      <c r="E7411" s="3">
        <f t="shared" si="1"/>
        <v>0.3145589798</v>
      </c>
      <c r="F7411" s="2">
        <v>294.0</v>
      </c>
      <c r="G7411" s="3">
        <f t="shared" si="2"/>
        <v>0.1041445271</v>
      </c>
      <c r="H7411" s="2">
        <v>531.0</v>
      </c>
      <c r="I7411" s="3">
        <f t="shared" si="3"/>
        <v>0.1880977683</v>
      </c>
      <c r="J7411" s="2">
        <v>443.0</v>
      </c>
      <c r="K7411" s="3">
        <f t="shared" si="4"/>
        <v>0.1569252568</v>
      </c>
      <c r="L7411" s="2">
        <v>304.0</v>
      </c>
      <c r="M7411" s="3">
        <f t="shared" si="5"/>
        <v>0.5725047081</v>
      </c>
      <c r="N7411" s="2">
        <v>2939000.0</v>
      </c>
      <c r="O7411" s="4">
        <f t="shared" si="6"/>
        <v>5534.839925</v>
      </c>
      <c r="P7411" s="2">
        <v>0.0</v>
      </c>
      <c r="Q7411" s="3">
        <f t="shared" si="7"/>
        <v>0</v>
      </c>
      <c r="R7411" s="2">
        <v>0.0</v>
      </c>
      <c r="S7411" s="5">
        <f t="shared" si="8"/>
        <v>0</v>
      </c>
    </row>
    <row r="7412">
      <c r="A7412" s="2" t="s">
        <v>7407</v>
      </c>
      <c r="B7412" s="2">
        <v>444.0</v>
      </c>
      <c r="C7412" s="2">
        <v>5201.0</v>
      </c>
      <c r="D7412" s="2">
        <v>1284.0</v>
      </c>
      <c r="E7412" s="3">
        <f t="shared" si="1"/>
        <v>0.2699180156</v>
      </c>
      <c r="F7412" s="2">
        <v>495.0</v>
      </c>
      <c r="G7412" s="3">
        <f t="shared" si="2"/>
        <v>0.1040571789</v>
      </c>
      <c r="H7412" s="2">
        <v>961.0</v>
      </c>
      <c r="I7412" s="3">
        <f t="shared" si="3"/>
        <v>0.2020180786</v>
      </c>
      <c r="J7412" s="2">
        <v>786.0</v>
      </c>
      <c r="K7412" s="3">
        <f t="shared" si="4"/>
        <v>0.1652301871</v>
      </c>
      <c r="L7412" s="2">
        <v>559.0</v>
      </c>
      <c r="M7412" s="3">
        <f t="shared" si="5"/>
        <v>0.581685744</v>
      </c>
      <c r="N7412" s="2">
        <v>5625100.0</v>
      </c>
      <c r="O7412" s="4">
        <f t="shared" si="6"/>
        <v>5853.381894</v>
      </c>
      <c r="P7412" s="2">
        <v>0.0</v>
      </c>
      <c r="Q7412" s="3">
        <f t="shared" si="7"/>
        <v>0</v>
      </c>
      <c r="R7412" s="2">
        <v>408.0</v>
      </c>
      <c r="S7412" s="5">
        <f t="shared" si="8"/>
        <v>0.9189189189</v>
      </c>
    </row>
    <row r="7413">
      <c r="A7413" s="2" t="s">
        <v>7408</v>
      </c>
      <c r="B7413" s="2">
        <v>1308.0</v>
      </c>
      <c r="C7413" s="2">
        <v>15513.0</v>
      </c>
      <c r="D7413" s="2">
        <v>5218.0</v>
      </c>
      <c r="E7413" s="3">
        <f t="shared" si="1"/>
        <v>0.3673354453</v>
      </c>
      <c r="F7413" s="2">
        <v>1478.0</v>
      </c>
      <c r="G7413" s="3">
        <f t="shared" si="2"/>
        <v>0.1040478705</v>
      </c>
      <c r="H7413" s="2">
        <v>2900.0</v>
      </c>
      <c r="I7413" s="3">
        <f t="shared" si="3"/>
        <v>0.2041534671</v>
      </c>
      <c r="J7413" s="2">
        <v>2130.0</v>
      </c>
      <c r="K7413" s="3">
        <f t="shared" si="4"/>
        <v>0.1499472017</v>
      </c>
      <c r="L7413" s="2">
        <v>1761.0</v>
      </c>
      <c r="M7413" s="3">
        <f t="shared" si="5"/>
        <v>0.6072413793</v>
      </c>
      <c r="N7413" s="2">
        <v>1.60123E7</v>
      </c>
      <c r="O7413" s="4">
        <f t="shared" si="6"/>
        <v>5521.482759</v>
      </c>
      <c r="P7413" s="2">
        <v>3.0</v>
      </c>
      <c r="Q7413" s="3">
        <f t="shared" si="7"/>
        <v>0.002293577982</v>
      </c>
      <c r="R7413" s="2">
        <v>1308.0</v>
      </c>
      <c r="S7413" s="5">
        <f t="shared" si="8"/>
        <v>1</v>
      </c>
    </row>
    <row r="7414">
      <c r="A7414" s="2" t="s">
        <v>7409</v>
      </c>
      <c r="B7414" s="2">
        <v>58.0</v>
      </c>
      <c r="C7414" s="2">
        <v>702.0</v>
      </c>
      <c r="D7414" s="2">
        <v>216.0</v>
      </c>
      <c r="E7414" s="3">
        <f t="shared" si="1"/>
        <v>0.3354037267</v>
      </c>
      <c r="F7414" s="2">
        <v>67.0</v>
      </c>
      <c r="G7414" s="3">
        <f t="shared" si="2"/>
        <v>0.1040372671</v>
      </c>
      <c r="H7414" s="2">
        <v>114.0</v>
      </c>
      <c r="I7414" s="3">
        <f t="shared" si="3"/>
        <v>0.1770186335</v>
      </c>
      <c r="J7414" s="2">
        <v>102.0</v>
      </c>
      <c r="K7414" s="3">
        <f t="shared" si="4"/>
        <v>0.1583850932</v>
      </c>
      <c r="L7414" s="2">
        <v>72.0</v>
      </c>
      <c r="M7414" s="3">
        <f t="shared" si="5"/>
        <v>0.6315789474</v>
      </c>
      <c r="N7414" s="2">
        <v>618000.0</v>
      </c>
      <c r="O7414" s="4">
        <f t="shared" si="6"/>
        <v>5421.052632</v>
      </c>
      <c r="P7414" s="2">
        <v>0.0</v>
      </c>
      <c r="Q7414" s="3">
        <f t="shared" si="7"/>
        <v>0</v>
      </c>
      <c r="R7414" s="2">
        <v>58.0</v>
      </c>
      <c r="S7414" s="5">
        <f t="shared" si="8"/>
        <v>1</v>
      </c>
    </row>
    <row r="7415">
      <c r="A7415" s="2" t="s">
        <v>7410</v>
      </c>
      <c r="B7415" s="2">
        <v>24.0</v>
      </c>
      <c r="C7415" s="2">
        <v>274.0</v>
      </c>
      <c r="D7415" s="2">
        <v>97.0</v>
      </c>
      <c r="E7415" s="3">
        <f t="shared" si="1"/>
        <v>0.388</v>
      </c>
      <c r="F7415" s="2">
        <v>26.0</v>
      </c>
      <c r="G7415" s="3">
        <f t="shared" si="2"/>
        <v>0.104</v>
      </c>
      <c r="H7415" s="2">
        <v>44.0</v>
      </c>
      <c r="I7415" s="3">
        <f t="shared" si="3"/>
        <v>0.176</v>
      </c>
      <c r="J7415" s="2">
        <v>33.0</v>
      </c>
      <c r="K7415" s="3">
        <f t="shared" si="4"/>
        <v>0.132</v>
      </c>
      <c r="L7415" s="2">
        <v>29.0</v>
      </c>
      <c r="M7415" s="3">
        <f t="shared" si="5"/>
        <v>0.6590909091</v>
      </c>
      <c r="N7415" s="2">
        <v>197600.0</v>
      </c>
      <c r="O7415" s="4">
        <f t="shared" si="6"/>
        <v>4490.909091</v>
      </c>
      <c r="P7415" s="2">
        <v>0.0</v>
      </c>
      <c r="Q7415" s="3">
        <f t="shared" si="7"/>
        <v>0</v>
      </c>
      <c r="R7415" s="2">
        <v>24.0</v>
      </c>
      <c r="S7415" s="5">
        <f t="shared" si="8"/>
        <v>1</v>
      </c>
    </row>
    <row r="7416">
      <c r="A7416" s="2" t="s">
        <v>7411</v>
      </c>
      <c r="B7416" s="2">
        <v>311.0</v>
      </c>
      <c r="C7416" s="2">
        <v>3725.0</v>
      </c>
      <c r="D7416" s="2">
        <v>1362.0</v>
      </c>
      <c r="E7416" s="3">
        <f t="shared" si="1"/>
        <v>0.3989455185</v>
      </c>
      <c r="F7416" s="2">
        <v>355.0</v>
      </c>
      <c r="G7416" s="3">
        <f t="shared" si="2"/>
        <v>0.103983597</v>
      </c>
      <c r="H7416" s="2">
        <v>775.0</v>
      </c>
      <c r="I7416" s="3">
        <f t="shared" si="3"/>
        <v>0.2270064441</v>
      </c>
      <c r="J7416" s="2">
        <v>558.0</v>
      </c>
      <c r="K7416" s="3">
        <f t="shared" si="4"/>
        <v>0.1634446397</v>
      </c>
      <c r="L7416" s="2">
        <v>449.0</v>
      </c>
      <c r="M7416" s="3">
        <f t="shared" si="5"/>
        <v>0.5793548387</v>
      </c>
      <c r="N7416" s="2">
        <v>3978300.0</v>
      </c>
      <c r="O7416" s="4">
        <f t="shared" si="6"/>
        <v>5133.290323</v>
      </c>
      <c r="P7416" s="2">
        <v>0.0</v>
      </c>
      <c r="Q7416" s="3">
        <f t="shared" si="7"/>
        <v>0</v>
      </c>
      <c r="R7416" s="2">
        <v>5.0</v>
      </c>
      <c r="S7416" s="5">
        <f t="shared" si="8"/>
        <v>0.01607717042</v>
      </c>
    </row>
    <row r="7417">
      <c r="A7417" s="2" t="s">
        <v>7412</v>
      </c>
      <c r="B7417" s="2">
        <v>635.0</v>
      </c>
      <c r="C7417" s="2">
        <v>7488.0</v>
      </c>
      <c r="D7417" s="2">
        <v>2304.0</v>
      </c>
      <c r="E7417" s="3">
        <f t="shared" si="1"/>
        <v>0.3362031227</v>
      </c>
      <c r="F7417" s="2">
        <v>712.0</v>
      </c>
      <c r="G7417" s="3">
        <f t="shared" si="2"/>
        <v>0.1038961039</v>
      </c>
      <c r="H7417" s="2">
        <v>1351.0</v>
      </c>
      <c r="I7417" s="3">
        <f t="shared" si="3"/>
        <v>0.1971399387</v>
      </c>
      <c r="J7417" s="2">
        <v>1017.0</v>
      </c>
      <c r="K7417" s="3">
        <f t="shared" si="4"/>
        <v>0.1484021596</v>
      </c>
      <c r="L7417" s="2">
        <v>805.0</v>
      </c>
      <c r="M7417" s="3">
        <f t="shared" si="5"/>
        <v>0.5958549223</v>
      </c>
      <c r="N7417" s="2">
        <v>7374100.0</v>
      </c>
      <c r="O7417" s="4">
        <f t="shared" si="6"/>
        <v>5458.253146</v>
      </c>
      <c r="P7417" s="2">
        <v>1.0</v>
      </c>
      <c r="Q7417" s="3">
        <f t="shared" si="7"/>
        <v>0.00157480315</v>
      </c>
      <c r="R7417" s="2">
        <v>635.0</v>
      </c>
      <c r="S7417" s="5">
        <f t="shared" si="8"/>
        <v>1</v>
      </c>
    </row>
    <row r="7418">
      <c r="A7418" s="2" t="s">
        <v>7413</v>
      </c>
      <c r="B7418" s="2">
        <v>763.0</v>
      </c>
      <c r="C7418" s="2">
        <v>8965.0</v>
      </c>
      <c r="D7418" s="2">
        <v>2659.0</v>
      </c>
      <c r="E7418" s="3">
        <f t="shared" si="1"/>
        <v>0.3241892221</v>
      </c>
      <c r="F7418" s="2">
        <v>852.0</v>
      </c>
      <c r="G7418" s="3">
        <f t="shared" si="2"/>
        <v>0.1038771031</v>
      </c>
      <c r="H7418" s="2">
        <v>1583.0</v>
      </c>
      <c r="I7418" s="3">
        <f t="shared" si="3"/>
        <v>0.1930017069</v>
      </c>
      <c r="J7418" s="2">
        <v>1168.0</v>
      </c>
      <c r="K7418" s="3">
        <f t="shared" si="4"/>
        <v>0.1424042916</v>
      </c>
      <c r="L7418" s="2">
        <v>963.0</v>
      </c>
      <c r="M7418" s="3">
        <f t="shared" si="5"/>
        <v>0.6083385976</v>
      </c>
      <c r="N7418" s="2">
        <v>8778200.0</v>
      </c>
      <c r="O7418" s="4">
        <f t="shared" si="6"/>
        <v>5545.293746</v>
      </c>
      <c r="P7418" s="2">
        <v>1.0</v>
      </c>
      <c r="Q7418" s="3">
        <f t="shared" si="7"/>
        <v>0.00131061599</v>
      </c>
      <c r="R7418" s="2">
        <v>763.0</v>
      </c>
      <c r="S7418" s="5">
        <f t="shared" si="8"/>
        <v>1</v>
      </c>
    </row>
    <row r="7419">
      <c r="A7419" s="2" t="s">
        <v>7414</v>
      </c>
      <c r="B7419" s="2">
        <v>6819.0</v>
      </c>
      <c r="C7419" s="2">
        <v>80834.0</v>
      </c>
      <c r="D7419" s="2">
        <v>28253.0</v>
      </c>
      <c r="E7419" s="3">
        <f t="shared" si="1"/>
        <v>0.3817199216</v>
      </c>
      <c r="F7419" s="2">
        <v>7686.0</v>
      </c>
      <c r="G7419" s="3">
        <f t="shared" si="2"/>
        <v>0.1038438154</v>
      </c>
      <c r="H7419" s="2">
        <v>15614.0</v>
      </c>
      <c r="I7419" s="3">
        <f t="shared" si="3"/>
        <v>0.2109572384</v>
      </c>
      <c r="J7419" s="2">
        <v>10142.0</v>
      </c>
      <c r="K7419" s="3">
        <f t="shared" si="4"/>
        <v>0.1370262785</v>
      </c>
      <c r="L7419" s="2">
        <v>9356.0</v>
      </c>
      <c r="M7419" s="3">
        <f t="shared" si="5"/>
        <v>0.5992058409</v>
      </c>
      <c r="N7419" s="2">
        <v>8.28072E7</v>
      </c>
      <c r="O7419" s="4">
        <f t="shared" si="6"/>
        <v>5303.39439</v>
      </c>
      <c r="P7419" s="2">
        <v>7.0</v>
      </c>
      <c r="Q7419" s="3">
        <f t="shared" si="7"/>
        <v>0.001026543481</v>
      </c>
      <c r="R7419" s="2">
        <v>4203.0</v>
      </c>
      <c r="S7419" s="5">
        <f t="shared" si="8"/>
        <v>0.6163660361</v>
      </c>
    </row>
    <row r="7420">
      <c r="A7420" s="2" t="s">
        <v>7415</v>
      </c>
      <c r="B7420" s="2">
        <v>895.0</v>
      </c>
      <c r="C7420" s="2">
        <v>10573.0</v>
      </c>
      <c r="D7420" s="2">
        <v>3334.0</v>
      </c>
      <c r="E7420" s="3">
        <f t="shared" si="1"/>
        <v>0.3444926638</v>
      </c>
      <c r="F7420" s="2">
        <v>1005.0</v>
      </c>
      <c r="G7420" s="3">
        <f t="shared" si="2"/>
        <v>0.1038437694</v>
      </c>
      <c r="H7420" s="2">
        <v>1954.0</v>
      </c>
      <c r="I7420" s="3">
        <f t="shared" si="3"/>
        <v>0.2019012193</v>
      </c>
      <c r="J7420" s="2">
        <v>1523.0</v>
      </c>
      <c r="K7420" s="3">
        <f t="shared" si="4"/>
        <v>0.1573672246</v>
      </c>
      <c r="L7420" s="2">
        <v>1167.0</v>
      </c>
      <c r="M7420" s="3">
        <f t="shared" si="5"/>
        <v>0.5972364381</v>
      </c>
      <c r="N7420" s="2">
        <v>1.05163E7</v>
      </c>
      <c r="O7420" s="4">
        <f t="shared" si="6"/>
        <v>5381.934493</v>
      </c>
      <c r="P7420" s="2">
        <v>1.0</v>
      </c>
      <c r="Q7420" s="3">
        <f t="shared" si="7"/>
        <v>0.001117318436</v>
      </c>
      <c r="R7420" s="2">
        <v>0.0</v>
      </c>
      <c r="S7420" s="5">
        <f t="shared" si="8"/>
        <v>0</v>
      </c>
    </row>
    <row r="7421">
      <c r="A7421" s="2" t="s">
        <v>7416</v>
      </c>
      <c r="B7421" s="2">
        <v>100.0</v>
      </c>
      <c r="C7421" s="2">
        <v>1198.0</v>
      </c>
      <c r="D7421" s="2">
        <v>393.0</v>
      </c>
      <c r="E7421" s="3">
        <f t="shared" si="1"/>
        <v>0.3579234973</v>
      </c>
      <c r="F7421" s="2">
        <v>114.0</v>
      </c>
      <c r="G7421" s="3">
        <f t="shared" si="2"/>
        <v>0.1038251366</v>
      </c>
      <c r="H7421" s="2">
        <v>257.0</v>
      </c>
      <c r="I7421" s="3">
        <f t="shared" si="3"/>
        <v>0.2340619308</v>
      </c>
      <c r="J7421" s="2">
        <v>181.0</v>
      </c>
      <c r="K7421" s="3">
        <f t="shared" si="4"/>
        <v>0.164845173</v>
      </c>
      <c r="L7421" s="2">
        <v>161.0</v>
      </c>
      <c r="M7421" s="3">
        <f t="shared" si="5"/>
        <v>0.626459144</v>
      </c>
      <c r="N7421" s="2">
        <v>1355600.0</v>
      </c>
      <c r="O7421" s="4">
        <f t="shared" si="6"/>
        <v>5274.708171</v>
      </c>
      <c r="P7421" s="2">
        <v>0.0</v>
      </c>
      <c r="Q7421" s="3">
        <f t="shared" si="7"/>
        <v>0</v>
      </c>
      <c r="R7421" s="2">
        <v>100.0</v>
      </c>
      <c r="S7421" s="5">
        <f t="shared" si="8"/>
        <v>1</v>
      </c>
    </row>
    <row r="7422">
      <c r="A7422" s="2" t="s">
        <v>7417</v>
      </c>
      <c r="B7422" s="2">
        <v>1005.0</v>
      </c>
      <c r="C7422" s="2">
        <v>11996.0</v>
      </c>
      <c r="D7422" s="2">
        <v>3944.0</v>
      </c>
      <c r="E7422" s="3">
        <f t="shared" si="1"/>
        <v>0.3588390501</v>
      </c>
      <c r="F7422" s="2">
        <v>1141.0</v>
      </c>
      <c r="G7422" s="3">
        <f t="shared" si="2"/>
        <v>0.10381221</v>
      </c>
      <c r="H7422" s="2">
        <v>2314.0</v>
      </c>
      <c r="I7422" s="3">
        <f t="shared" si="3"/>
        <v>0.210535893</v>
      </c>
      <c r="J7422" s="2">
        <v>1593.0</v>
      </c>
      <c r="K7422" s="3">
        <f t="shared" si="4"/>
        <v>0.1449367664</v>
      </c>
      <c r="L7422" s="2">
        <v>1339.0</v>
      </c>
      <c r="M7422" s="3">
        <f t="shared" si="5"/>
        <v>0.5786516854</v>
      </c>
      <c r="N7422" s="2">
        <v>1.20486E7</v>
      </c>
      <c r="O7422" s="4">
        <f t="shared" si="6"/>
        <v>5206.828003</v>
      </c>
      <c r="P7422" s="2">
        <v>3.0</v>
      </c>
      <c r="Q7422" s="3">
        <f t="shared" si="7"/>
        <v>0.002985074627</v>
      </c>
      <c r="R7422" s="2">
        <v>1005.0</v>
      </c>
      <c r="S7422" s="5">
        <f t="shared" si="8"/>
        <v>1</v>
      </c>
    </row>
    <row r="7423">
      <c r="A7423" s="2" t="s">
        <v>7418</v>
      </c>
      <c r="B7423" s="2">
        <v>196.0</v>
      </c>
      <c r="C7423" s="2">
        <v>2335.0</v>
      </c>
      <c r="D7423" s="2">
        <v>676.0</v>
      </c>
      <c r="E7423" s="3">
        <f t="shared" si="1"/>
        <v>0.3160355306</v>
      </c>
      <c r="F7423" s="2">
        <v>222.0</v>
      </c>
      <c r="G7423" s="3">
        <f t="shared" si="2"/>
        <v>0.1037868163</v>
      </c>
      <c r="H7423" s="2">
        <v>420.0</v>
      </c>
      <c r="I7423" s="3">
        <f t="shared" si="3"/>
        <v>0.1963534362</v>
      </c>
      <c r="J7423" s="2">
        <v>305.0</v>
      </c>
      <c r="K7423" s="3">
        <f t="shared" si="4"/>
        <v>0.1425899953</v>
      </c>
      <c r="L7423" s="2">
        <v>246.0</v>
      </c>
      <c r="M7423" s="3">
        <f t="shared" si="5"/>
        <v>0.5857142857</v>
      </c>
      <c r="N7423" s="2">
        <v>2414300.0</v>
      </c>
      <c r="O7423" s="4">
        <f t="shared" si="6"/>
        <v>5748.333333</v>
      </c>
      <c r="P7423" s="2">
        <v>1.0</v>
      </c>
      <c r="Q7423" s="3">
        <f t="shared" si="7"/>
        <v>0.005102040816</v>
      </c>
      <c r="R7423" s="2">
        <v>196.0</v>
      </c>
      <c r="S7423" s="5">
        <f t="shared" si="8"/>
        <v>1</v>
      </c>
    </row>
    <row r="7424">
      <c r="A7424" s="2" t="s">
        <v>7419</v>
      </c>
      <c r="B7424" s="2">
        <v>505.0</v>
      </c>
      <c r="C7424" s="2">
        <v>5876.0</v>
      </c>
      <c r="D7424" s="2">
        <v>1864.0</v>
      </c>
      <c r="E7424" s="3">
        <f t="shared" si="1"/>
        <v>0.3470489667</v>
      </c>
      <c r="F7424" s="2">
        <v>557.0</v>
      </c>
      <c r="G7424" s="3">
        <f t="shared" si="2"/>
        <v>0.1037050829</v>
      </c>
      <c r="H7424" s="2">
        <v>1110.0</v>
      </c>
      <c r="I7424" s="3">
        <f t="shared" si="3"/>
        <v>0.2066654254</v>
      </c>
      <c r="J7424" s="2">
        <v>941.0</v>
      </c>
      <c r="K7424" s="3">
        <f t="shared" si="4"/>
        <v>0.1752001489</v>
      </c>
      <c r="L7424" s="2">
        <v>633.0</v>
      </c>
      <c r="M7424" s="3">
        <f t="shared" si="5"/>
        <v>0.5702702703</v>
      </c>
      <c r="N7424" s="2">
        <v>6469900.0</v>
      </c>
      <c r="O7424" s="4">
        <f t="shared" si="6"/>
        <v>5828.738739</v>
      </c>
      <c r="P7424" s="2">
        <v>2.0</v>
      </c>
      <c r="Q7424" s="3">
        <f t="shared" si="7"/>
        <v>0.00396039604</v>
      </c>
      <c r="R7424" s="2">
        <v>118.0</v>
      </c>
      <c r="S7424" s="5">
        <f t="shared" si="8"/>
        <v>0.2336633663</v>
      </c>
    </row>
    <row r="7425">
      <c r="A7425" s="2" t="s">
        <v>7420</v>
      </c>
      <c r="B7425" s="2">
        <v>37.0</v>
      </c>
      <c r="C7425" s="2">
        <v>442.0</v>
      </c>
      <c r="D7425" s="2">
        <v>139.0</v>
      </c>
      <c r="E7425" s="3">
        <f t="shared" si="1"/>
        <v>0.3432098765</v>
      </c>
      <c r="F7425" s="2">
        <v>42.0</v>
      </c>
      <c r="G7425" s="3">
        <f t="shared" si="2"/>
        <v>0.1037037037</v>
      </c>
      <c r="H7425" s="2">
        <v>89.0</v>
      </c>
      <c r="I7425" s="3">
        <f t="shared" si="3"/>
        <v>0.2197530864</v>
      </c>
      <c r="J7425" s="2">
        <v>81.0</v>
      </c>
      <c r="K7425" s="3">
        <f t="shared" si="4"/>
        <v>0.2</v>
      </c>
      <c r="L7425" s="2">
        <v>67.0</v>
      </c>
      <c r="M7425" s="3">
        <f t="shared" si="5"/>
        <v>0.7528089888</v>
      </c>
      <c r="N7425" s="2">
        <v>396500.0</v>
      </c>
      <c r="O7425" s="4">
        <f t="shared" si="6"/>
        <v>4455.05618</v>
      </c>
      <c r="P7425" s="2">
        <v>0.0</v>
      </c>
      <c r="Q7425" s="3">
        <f t="shared" si="7"/>
        <v>0</v>
      </c>
      <c r="R7425" s="2">
        <v>1.0</v>
      </c>
      <c r="S7425" s="5">
        <f t="shared" si="8"/>
        <v>0.02702702703</v>
      </c>
    </row>
    <row r="7426">
      <c r="A7426" s="2" t="s">
        <v>7421</v>
      </c>
      <c r="B7426" s="2">
        <v>302.0</v>
      </c>
      <c r="C7426" s="2">
        <v>3600.0</v>
      </c>
      <c r="D7426" s="2">
        <v>1045.0</v>
      </c>
      <c r="E7426" s="3">
        <f t="shared" si="1"/>
        <v>0.3168587022</v>
      </c>
      <c r="F7426" s="2">
        <v>342.0</v>
      </c>
      <c r="G7426" s="3">
        <f t="shared" si="2"/>
        <v>0.1036992116</v>
      </c>
      <c r="H7426" s="2">
        <v>676.0</v>
      </c>
      <c r="I7426" s="3">
        <f t="shared" si="3"/>
        <v>0.2049727107</v>
      </c>
      <c r="J7426" s="2">
        <v>506.0</v>
      </c>
      <c r="K7426" s="3">
        <f t="shared" si="4"/>
        <v>0.153426319</v>
      </c>
      <c r="L7426" s="2">
        <v>390.0</v>
      </c>
      <c r="M7426" s="3">
        <f t="shared" si="5"/>
        <v>0.5769230769</v>
      </c>
      <c r="N7426" s="2">
        <v>3939200.0</v>
      </c>
      <c r="O7426" s="4">
        <f t="shared" si="6"/>
        <v>5827.218935</v>
      </c>
      <c r="P7426" s="2">
        <v>0.0</v>
      </c>
      <c r="Q7426" s="3">
        <f t="shared" si="7"/>
        <v>0</v>
      </c>
      <c r="R7426" s="2">
        <v>243.0</v>
      </c>
      <c r="S7426" s="5">
        <f t="shared" si="8"/>
        <v>0.8046357616</v>
      </c>
    </row>
    <row r="7427">
      <c r="A7427" s="2" t="s">
        <v>7422</v>
      </c>
      <c r="B7427" s="2">
        <v>632.0</v>
      </c>
      <c r="C7427" s="2">
        <v>7404.0</v>
      </c>
      <c r="D7427" s="2">
        <v>2599.0</v>
      </c>
      <c r="E7427" s="3">
        <f t="shared" si="1"/>
        <v>0.3837861784</v>
      </c>
      <c r="F7427" s="2">
        <v>702.0</v>
      </c>
      <c r="G7427" s="3">
        <f t="shared" si="2"/>
        <v>0.1036621382</v>
      </c>
      <c r="H7427" s="2">
        <v>1291.0</v>
      </c>
      <c r="I7427" s="3">
        <f t="shared" si="3"/>
        <v>0.1906379209</v>
      </c>
      <c r="J7427" s="2">
        <v>1027.0</v>
      </c>
      <c r="K7427" s="3">
        <f t="shared" si="4"/>
        <v>0.1516538689</v>
      </c>
      <c r="L7427" s="2">
        <v>732.0</v>
      </c>
      <c r="M7427" s="3">
        <f t="shared" si="5"/>
        <v>0.5670023238</v>
      </c>
      <c r="N7427" s="2">
        <v>7502600.0</v>
      </c>
      <c r="O7427" s="4">
        <f t="shared" si="6"/>
        <v>5811.463981</v>
      </c>
      <c r="P7427" s="2">
        <v>0.0</v>
      </c>
      <c r="Q7427" s="3">
        <f t="shared" si="7"/>
        <v>0</v>
      </c>
      <c r="R7427" s="2">
        <v>632.0</v>
      </c>
      <c r="S7427" s="5">
        <f t="shared" si="8"/>
        <v>1</v>
      </c>
    </row>
    <row r="7428">
      <c r="A7428" s="2" t="s">
        <v>7423</v>
      </c>
      <c r="B7428" s="2">
        <v>343.0</v>
      </c>
      <c r="C7428" s="2">
        <v>4059.0</v>
      </c>
      <c r="D7428" s="2">
        <v>1387.0</v>
      </c>
      <c r="E7428" s="3">
        <f t="shared" si="1"/>
        <v>0.3732508073</v>
      </c>
      <c r="F7428" s="2">
        <v>385.0</v>
      </c>
      <c r="G7428" s="3">
        <f t="shared" si="2"/>
        <v>0.103606028</v>
      </c>
      <c r="H7428" s="2">
        <v>775.0</v>
      </c>
      <c r="I7428" s="3">
        <f t="shared" si="3"/>
        <v>0.2085575888</v>
      </c>
      <c r="J7428" s="2">
        <v>554.0</v>
      </c>
      <c r="K7428" s="3">
        <f t="shared" si="4"/>
        <v>0.1490850377</v>
      </c>
      <c r="L7428" s="2">
        <v>490.0</v>
      </c>
      <c r="M7428" s="3">
        <f t="shared" si="5"/>
        <v>0.6322580645</v>
      </c>
      <c r="N7428" s="2">
        <v>3993100.0</v>
      </c>
      <c r="O7428" s="4">
        <f t="shared" si="6"/>
        <v>5152.387097</v>
      </c>
      <c r="P7428" s="2">
        <v>0.0</v>
      </c>
      <c r="Q7428" s="3">
        <f t="shared" si="7"/>
        <v>0</v>
      </c>
      <c r="R7428" s="2">
        <v>132.0</v>
      </c>
      <c r="S7428" s="5">
        <f t="shared" si="8"/>
        <v>0.3848396501</v>
      </c>
    </row>
    <row r="7429">
      <c r="A7429" s="2" t="s">
        <v>7424</v>
      </c>
      <c r="B7429" s="2">
        <v>118.0</v>
      </c>
      <c r="C7429" s="2">
        <v>1479.0</v>
      </c>
      <c r="D7429" s="2">
        <v>463.0</v>
      </c>
      <c r="E7429" s="3">
        <f t="shared" si="1"/>
        <v>0.340191036</v>
      </c>
      <c r="F7429" s="2">
        <v>141.0</v>
      </c>
      <c r="G7429" s="3">
        <f t="shared" si="2"/>
        <v>0.1036002939</v>
      </c>
      <c r="H7429" s="2">
        <v>265.0</v>
      </c>
      <c r="I7429" s="3">
        <f t="shared" si="3"/>
        <v>0.1947097722</v>
      </c>
      <c r="J7429" s="2">
        <v>216.0</v>
      </c>
      <c r="K7429" s="3">
        <f t="shared" si="4"/>
        <v>0.1587068332</v>
      </c>
      <c r="L7429" s="2">
        <v>166.0</v>
      </c>
      <c r="M7429" s="3">
        <f t="shared" si="5"/>
        <v>0.6264150943</v>
      </c>
      <c r="N7429" s="2">
        <v>1437900.0</v>
      </c>
      <c r="O7429" s="4">
        <f t="shared" si="6"/>
        <v>5426.037736</v>
      </c>
      <c r="P7429" s="2">
        <v>0.0</v>
      </c>
      <c r="Q7429" s="3">
        <f t="shared" si="7"/>
        <v>0</v>
      </c>
      <c r="R7429" s="2">
        <v>118.0</v>
      </c>
      <c r="S7429" s="5">
        <f t="shared" si="8"/>
        <v>1</v>
      </c>
    </row>
    <row r="7430">
      <c r="A7430" s="2" t="s">
        <v>7425</v>
      </c>
      <c r="B7430" s="2">
        <v>262.0</v>
      </c>
      <c r="C7430" s="2">
        <v>3169.0</v>
      </c>
      <c r="D7430" s="2">
        <v>1079.0</v>
      </c>
      <c r="E7430" s="3">
        <f t="shared" si="1"/>
        <v>0.3711730306</v>
      </c>
      <c r="F7430" s="2">
        <v>301.0</v>
      </c>
      <c r="G7430" s="3">
        <f t="shared" si="2"/>
        <v>0.1035431717</v>
      </c>
      <c r="H7430" s="2">
        <v>591.0</v>
      </c>
      <c r="I7430" s="3">
        <f t="shared" si="3"/>
        <v>0.2033023736</v>
      </c>
      <c r="J7430" s="2">
        <v>480.0</v>
      </c>
      <c r="K7430" s="3">
        <f t="shared" si="4"/>
        <v>0.1651186791</v>
      </c>
      <c r="L7430" s="2">
        <v>375.0</v>
      </c>
      <c r="M7430" s="3">
        <f t="shared" si="5"/>
        <v>0.6345177665</v>
      </c>
      <c r="N7430" s="2">
        <v>2875800.0</v>
      </c>
      <c r="O7430" s="4">
        <f t="shared" si="6"/>
        <v>4865.989848</v>
      </c>
      <c r="P7430" s="2">
        <v>0.0</v>
      </c>
      <c r="Q7430" s="3">
        <f t="shared" si="7"/>
        <v>0</v>
      </c>
      <c r="R7430" s="2">
        <v>262.0</v>
      </c>
      <c r="S7430" s="5">
        <f t="shared" si="8"/>
        <v>1</v>
      </c>
    </row>
    <row r="7431">
      <c r="A7431" s="2" t="s">
        <v>7426</v>
      </c>
      <c r="B7431" s="2">
        <v>497.0</v>
      </c>
      <c r="C7431" s="2">
        <v>5898.0</v>
      </c>
      <c r="D7431" s="2">
        <v>1513.0</v>
      </c>
      <c r="E7431" s="3">
        <f t="shared" si="1"/>
        <v>0.2801333086</v>
      </c>
      <c r="F7431" s="2">
        <v>559.0</v>
      </c>
      <c r="G7431" s="3">
        <f t="shared" si="2"/>
        <v>0.103499352</v>
      </c>
      <c r="H7431" s="2">
        <v>1074.0</v>
      </c>
      <c r="I7431" s="3">
        <f t="shared" si="3"/>
        <v>0.1988520644</v>
      </c>
      <c r="J7431" s="2">
        <v>876.0</v>
      </c>
      <c r="K7431" s="3">
        <f t="shared" si="4"/>
        <v>0.1621921866</v>
      </c>
      <c r="L7431" s="2">
        <v>606.0</v>
      </c>
      <c r="M7431" s="3">
        <f t="shared" si="5"/>
        <v>0.5642458101</v>
      </c>
      <c r="N7431" s="2">
        <v>6413800.0</v>
      </c>
      <c r="O7431" s="4">
        <f t="shared" si="6"/>
        <v>5971.880819</v>
      </c>
      <c r="P7431" s="2">
        <v>1.0</v>
      </c>
      <c r="Q7431" s="3">
        <f t="shared" si="7"/>
        <v>0.002012072435</v>
      </c>
      <c r="R7431" s="2">
        <v>497.0</v>
      </c>
      <c r="S7431" s="5">
        <f t="shared" si="8"/>
        <v>1</v>
      </c>
    </row>
    <row r="7432">
      <c r="A7432" s="2" t="s">
        <v>7427</v>
      </c>
      <c r="B7432" s="2">
        <v>450.0</v>
      </c>
      <c r="C7432" s="2">
        <v>5359.0</v>
      </c>
      <c r="D7432" s="2">
        <v>1677.0</v>
      </c>
      <c r="E7432" s="3">
        <f t="shared" si="1"/>
        <v>0.3416174374</v>
      </c>
      <c r="F7432" s="2">
        <v>508.0</v>
      </c>
      <c r="G7432" s="3">
        <f t="shared" si="2"/>
        <v>0.1034833978</v>
      </c>
      <c r="H7432" s="2">
        <v>904.0</v>
      </c>
      <c r="I7432" s="3">
        <f t="shared" si="3"/>
        <v>0.1841515584</v>
      </c>
      <c r="J7432" s="2">
        <v>553.0</v>
      </c>
      <c r="K7432" s="3">
        <f t="shared" si="4"/>
        <v>0.1126502343</v>
      </c>
      <c r="L7432" s="2">
        <v>540.0</v>
      </c>
      <c r="M7432" s="3">
        <f t="shared" si="5"/>
        <v>0.5973451327</v>
      </c>
      <c r="N7432" s="2">
        <v>4483700.0</v>
      </c>
      <c r="O7432" s="4">
        <f t="shared" si="6"/>
        <v>4959.845133</v>
      </c>
      <c r="P7432" s="2">
        <v>0.0</v>
      </c>
      <c r="Q7432" s="3">
        <f t="shared" si="7"/>
        <v>0</v>
      </c>
      <c r="R7432" s="2">
        <v>450.0</v>
      </c>
      <c r="S7432" s="5">
        <f t="shared" si="8"/>
        <v>1</v>
      </c>
    </row>
    <row r="7433">
      <c r="A7433" s="2" t="s">
        <v>7428</v>
      </c>
      <c r="B7433" s="2">
        <v>205.0</v>
      </c>
      <c r="C7433" s="2">
        <v>2360.0</v>
      </c>
      <c r="D7433" s="2">
        <v>611.0</v>
      </c>
      <c r="E7433" s="3">
        <f t="shared" si="1"/>
        <v>0.2835266821</v>
      </c>
      <c r="F7433" s="2">
        <v>223.0</v>
      </c>
      <c r="G7433" s="3">
        <f t="shared" si="2"/>
        <v>0.1034802784</v>
      </c>
      <c r="H7433" s="2">
        <v>423.0</v>
      </c>
      <c r="I7433" s="3">
        <f t="shared" si="3"/>
        <v>0.196287703</v>
      </c>
      <c r="J7433" s="2">
        <v>365.0</v>
      </c>
      <c r="K7433" s="3">
        <f t="shared" si="4"/>
        <v>0.1693735499</v>
      </c>
      <c r="L7433" s="2">
        <v>250.0</v>
      </c>
      <c r="M7433" s="3">
        <f t="shared" si="5"/>
        <v>0.5910165485</v>
      </c>
      <c r="N7433" s="2">
        <v>2487300.0</v>
      </c>
      <c r="O7433" s="4">
        <f t="shared" si="6"/>
        <v>5880.141844</v>
      </c>
      <c r="P7433" s="2">
        <v>0.0</v>
      </c>
      <c r="Q7433" s="3">
        <f t="shared" si="7"/>
        <v>0</v>
      </c>
      <c r="R7433" s="2">
        <v>205.0</v>
      </c>
      <c r="S7433" s="5">
        <f t="shared" si="8"/>
        <v>1</v>
      </c>
    </row>
    <row r="7434">
      <c r="A7434" s="2" t="s">
        <v>7429</v>
      </c>
      <c r="B7434" s="2">
        <v>376.0</v>
      </c>
      <c r="C7434" s="2">
        <v>4368.0</v>
      </c>
      <c r="D7434" s="2">
        <v>1323.0</v>
      </c>
      <c r="E7434" s="3">
        <f t="shared" si="1"/>
        <v>0.3314128257</v>
      </c>
      <c r="F7434" s="2">
        <v>413.0</v>
      </c>
      <c r="G7434" s="3">
        <f t="shared" si="2"/>
        <v>0.1034569138</v>
      </c>
      <c r="H7434" s="2">
        <v>868.0</v>
      </c>
      <c r="I7434" s="3">
        <f t="shared" si="3"/>
        <v>0.2174348697</v>
      </c>
      <c r="J7434" s="2">
        <v>827.0</v>
      </c>
      <c r="K7434" s="3">
        <f t="shared" si="4"/>
        <v>0.2071643287</v>
      </c>
      <c r="L7434" s="2">
        <v>519.0</v>
      </c>
      <c r="M7434" s="3">
        <f t="shared" si="5"/>
        <v>0.5979262673</v>
      </c>
      <c r="N7434" s="2">
        <v>4926300.0</v>
      </c>
      <c r="O7434" s="4">
        <f t="shared" si="6"/>
        <v>5675.460829</v>
      </c>
      <c r="P7434" s="2">
        <v>1.0</v>
      </c>
      <c r="Q7434" s="3">
        <f t="shared" si="7"/>
        <v>0.002659574468</v>
      </c>
      <c r="R7434" s="2">
        <v>0.0</v>
      </c>
      <c r="S7434" s="5">
        <f t="shared" si="8"/>
        <v>0</v>
      </c>
    </row>
    <row r="7435">
      <c r="A7435" s="2" t="s">
        <v>7430</v>
      </c>
      <c r="B7435" s="2">
        <v>8.0</v>
      </c>
      <c r="C7435" s="2">
        <v>95.0</v>
      </c>
      <c r="D7435" s="2">
        <v>32.0</v>
      </c>
      <c r="E7435" s="3">
        <f t="shared" si="1"/>
        <v>0.367816092</v>
      </c>
      <c r="F7435" s="2">
        <v>9.0</v>
      </c>
      <c r="G7435" s="3">
        <f t="shared" si="2"/>
        <v>0.1034482759</v>
      </c>
      <c r="H7435" s="2">
        <v>18.0</v>
      </c>
      <c r="I7435" s="3">
        <f t="shared" si="3"/>
        <v>0.2068965517</v>
      </c>
      <c r="J7435" s="2">
        <v>17.0</v>
      </c>
      <c r="K7435" s="3">
        <f t="shared" si="4"/>
        <v>0.1954022989</v>
      </c>
      <c r="L7435" s="2">
        <v>9.0</v>
      </c>
      <c r="M7435" s="3">
        <f t="shared" si="5"/>
        <v>0.5</v>
      </c>
      <c r="N7435" s="2">
        <v>115300.0</v>
      </c>
      <c r="O7435" s="4">
        <f t="shared" si="6"/>
        <v>6405.555556</v>
      </c>
      <c r="P7435" s="2">
        <v>0.0</v>
      </c>
      <c r="Q7435" s="3">
        <f t="shared" si="7"/>
        <v>0</v>
      </c>
      <c r="R7435" s="2">
        <v>8.0</v>
      </c>
      <c r="S7435" s="5">
        <f t="shared" si="8"/>
        <v>1</v>
      </c>
    </row>
    <row r="7436">
      <c r="A7436" s="2" t="s">
        <v>7431</v>
      </c>
      <c r="B7436" s="2">
        <v>59.0</v>
      </c>
      <c r="C7436" s="2">
        <v>697.0</v>
      </c>
      <c r="D7436" s="2">
        <v>173.0</v>
      </c>
      <c r="E7436" s="3">
        <f t="shared" si="1"/>
        <v>0.2711598746</v>
      </c>
      <c r="F7436" s="2">
        <v>66.0</v>
      </c>
      <c r="G7436" s="3">
        <f t="shared" si="2"/>
        <v>0.1034482759</v>
      </c>
      <c r="H7436" s="2">
        <v>129.0</v>
      </c>
      <c r="I7436" s="3">
        <f t="shared" si="3"/>
        <v>0.2021943574</v>
      </c>
      <c r="J7436" s="2">
        <v>107.0</v>
      </c>
      <c r="K7436" s="3">
        <f t="shared" si="4"/>
        <v>0.1677115987</v>
      </c>
      <c r="L7436" s="2">
        <v>76.0</v>
      </c>
      <c r="M7436" s="3">
        <f t="shared" si="5"/>
        <v>0.5891472868</v>
      </c>
      <c r="N7436" s="2">
        <v>720100.0</v>
      </c>
      <c r="O7436" s="4">
        <f t="shared" si="6"/>
        <v>5582.170543</v>
      </c>
      <c r="P7436" s="2">
        <v>0.0</v>
      </c>
      <c r="Q7436" s="3">
        <f t="shared" si="7"/>
        <v>0</v>
      </c>
      <c r="R7436" s="2">
        <v>59.0</v>
      </c>
      <c r="S7436" s="5">
        <f t="shared" si="8"/>
        <v>1</v>
      </c>
    </row>
    <row r="7437">
      <c r="A7437" s="2" t="s">
        <v>7432</v>
      </c>
      <c r="B7437" s="2">
        <v>897.0</v>
      </c>
      <c r="C7437" s="2">
        <v>10727.0</v>
      </c>
      <c r="D7437" s="2">
        <v>3292.0</v>
      </c>
      <c r="E7437" s="3">
        <f t="shared" si="1"/>
        <v>0.3348931841</v>
      </c>
      <c r="F7437" s="2">
        <v>1016.0</v>
      </c>
      <c r="G7437" s="3">
        <f t="shared" si="2"/>
        <v>0.1033570702</v>
      </c>
      <c r="H7437" s="2">
        <v>1960.0</v>
      </c>
      <c r="I7437" s="3">
        <f t="shared" si="3"/>
        <v>0.1993896236</v>
      </c>
      <c r="J7437" s="2">
        <v>1380.0</v>
      </c>
      <c r="K7437" s="3">
        <f t="shared" si="4"/>
        <v>0.1403865717</v>
      </c>
      <c r="L7437" s="2">
        <v>1157.0</v>
      </c>
      <c r="M7437" s="3">
        <f t="shared" si="5"/>
        <v>0.5903061224</v>
      </c>
      <c r="N7437" s="2">
        <v>1.09521E7</v>
      </c>
      <c r="O7437" s="4">
        <f t="shared" si="6"/>
        <v>5587.806122</v>
      </c>
      <c r="P7437" s="2">
        <v>1.0</v>
      </c>
      <c r="Q7437" s="3">
        <f t="shared" si="7"/>
        <v>0.001114827202</v>
      </c>
      <c r="R7437" s="2">
        <v>897.0</v>
      </c>
      <c r="S7437" s="5">
        <f t="shared" si="8"/>
        <v>1</v>
      </c>
    </row>
    <row r="7438">
      <c r="A7438" s="2" t="s">
        <v>7433</v>
      </c>
      <c r="B7438" s="2">
        <v>710.0</v>
      </c>
      <c r="C7438" s="2">
        <v>8385.0</v>
      </c>
      <c r="D7438" s="2">
        <v>2585.0</v>
      </c>
      <c r="E7438" s="3">
        <f t="shared" si="1"/>
        <v>0.3368078176</v>
      </c>
      <c r="F7438" s="2">
        <v>793.0</v>
      </c>
      <c r="G7438" s="3">
        <f t="shared" si="2"/>
        <v>0.1033224756</v>
      </c>
      <c r="H7438" s="2">
        <v>1600.0</v>
      </c>
      <c r="I7438" s="3">
        <f t="shared" si="3"/>
        <v>0.2084690554</v>
      </c>
      <c r="J7438" s="2">
        <v>1196.0</v>
      </c>
      <c r="K7438" s="3">
        <f t="shared" si="4"/>
        <v>0.1558306189</v>
      </c>
      <c r="L7438" s="2">
        <v>950.0</v>
      </c>
      <c r="M7438" s="3">
        <f t="shared" si="5"/>
        <v>0.59375</v>
      </c>
      <c r="N7438" s="2">
        <v>8416100.0</v>
      </c>
      <c r="O7438" s="4">
        <f t="shared" si="6"/>
        <v>5260.0625</v>
      </c>
      <c r="P7438" s="2">
        <v>1.0</v>
      </c>
      <c r="Q7438" s="3">
        <f t="shared" si="7"/>
        <v>0.001408450704</v>
      </c>
      <c r="R7438" s="2">
        <v>710.0</v>
      </c>
      <c r="S7438" s="5">
        <f t="shared" si="8"/>
        <v>1</v>
      </c>
    </row>
    <row r="7439">
      <c r="A7439" s="2" t="s">
        <v>7434</v>
      </c>
      <c r="B7439" s="2">
        <v>62.0</v>
      </c>
      <c r="C7439" s="2">
        <v>759.0</v>
      </c>
      <c r="D7439" s="2">
        <v>284.0</v>
      </c>
      <c r="E7439" s="3">
        <f t="shared" si="1"/>
        <v>0.4074605452</v>
      </c>
      <c r="F7439" s="2">
        <v>72.0</v>
      </c>
      <c r="G7439" s="3">
        <f t="shared" si="2"/>
        <v>0.1032998565</v>
      </c>
      <c r="H7439" s="2">
        <v>161.0</v>
      </c>
      <c r="I7439" s="3">
        <f t="shared" si="3"/>
        <v>0.230989957</v>
      </c>
      <c r="J7439" s="2">
        <v>110.0</v>
      </c>
      <c r="K7439" s="3">
        <f t="shared" si="4"/>
        <v>0.1578192253</v>
      </c>
      <c r="L7439" s="2">
        <v>96.0</v>
      </c>
      <c r="M7439" s="3">
        <f t="shared" si="5"/>
        <v>0.5962732919</v>
      </c>
      <c r="N7439" s="2">
        <v>820100.0</v>
      </c>
      <c r="O7439" s="4">
        <f t="shared" si="6"/>
        <v>5093.78882</v>
      </c>
      <c r="P7439" s="2">
        <v>0.0</v>
      </c>
      <c r="Q7439" s="3">
        <f t="shared" si="7"/>
        <v>0</v>
      </c>
      <c r="R7439" s="2">
        <v>0.0</v>
      </c>
      <c r="S7439" s="5">
        <f t="shared" si="8"/>
        <v>0</v>
      </c>
    </row>
    <row r="7440">
      <c r="A7440" s="2" t="s">
        <v>7435</v>
      </c>
      <c r="B7440" s="2">
        <v>252.0</v>
      </c>
      <c r="C7440" s="2">
        <v>3050.0</v>
      </c>
      <c r="D7440" s="2">
        <v>535.0</v>
      </c>
      <c r="E7440" s="3">
        <f t="shared" si="1"/>
        <v>0.1912080057</v>
      </c>
      <c r="F7440" s="2">
        <v>289.0</v>
      </c>
      <c r="G7440" s="3">
        <f t="shared" si="2"/>
        <v>0.1032880629</v>
      </c>
      <c r="H7440" s="2">
        <v>517.0</v>
      </c>
      <c r="I7440" s="3">
        <f t="shared" si="3"/>
        <v>0.1847748392</v>
      </c>
      <c r="J7440" s="2">
        <v>520.0</v>
      </c>
      <c r="K7440" s="3">
        <f t="shared" si="4"/>
        <v>0.1858470336</v>
      </c>
      <c r="L7440" s="2">
        <v>295.0</v>
      </c>
      <c r="M7440" s="3">
        <f t="shared" si="5"/>
        <v>0.5705996132</v>
      </c>
      <c r="N7440" s="2">
        <v>3169200.0</v>
      </c>
      <c r="O7440" s="4">
        <f t="shared" si="6"/>
        <v>6129.980658</v>
      </c>
      <c r="P7440" s="2">
        <v>0.0</v>
      </c>
      <c r="Q7440" s="3">
        <f t="shared" si="7"/>
        <v>0</v>
      </c>
      <c r="R7440" s="2">
        <v>252.0</v>
      </c>
      <c r="S7440" s="5">
        <f t="shared" si="8"/>
        <v>1</v>
      </c>
    </row>
    <row r="7441">
      <c r="A7441" s="2" t="s">
        <v>7436</v>
      </c>
      <c r="B7441" s="2">
        <v>458.0</v>
      </c>
      <c r="C7441" s="2">
        <v>5445.0</v>
      </c>
      <c r="D7441" s="2">
        <v>1804.0</v>
      </c>
      <c r="E7441" s="3">
        <f t="shared" si="1"/>
        <v>0.3617405254</v>
      </c>
      <c r="F7441" s="2">
        <v>515.0</v>
      </c>
      <c r="G7441" s="3">
        <f t="shared" si="2"/>
        <v>0.1032684981</v>
      </c>
      <c r="H7441" s="2">
        <v>1048.0</v>
      </c>
      <c r="I7441" s="3">
        <f t="shared" si="3"/>
        <v>0.2101463806</v>
      </c>
      <c r="J7441" s="2">
        <v>745.0</v>
      </c>
      <c r="K7441" s="3">
        <f t="shared" si="4"/>
        <v>0.1493884099</v>
      </c>
      <c r="L7441" s="2">
        <v>641.0</v>
      </c>
      <c r="M7441" s="3">
        <f t="shared" si="5"/>
        <v>0.6116412214</v>
      </c>
      <c r="N7441" s="2">
        <v>5794800.0</v>
      </c>
      <c r="O7441" s="4">
        <f t="shared" si="6"/>
        <v>5529.389313</v>
      </c>
      <c r="P7441" s="2">
        <v>1.0</v>
      </c>
      <c r="Q7441" s="3">
        <f t="shared" si="7"/>
        <v>0.002183406114</v>
      </c>
      <c r="R7441" s="2">
        <v>0.0</v>
      </c>
      <c r="S7441" s="5">
        <f t="shared" si="8"/>
        <v>0</v>
      </c>
    </row>
    <row r="7442">
      <c r="A7442" s="2" t="s">
        <v>7437</v>
      </c>
      <c r="B7442" s="2">
        <v>43.0</v>
      </c>
      <c r="C7442" s="2">
        <v>537.0</v>
      </c>
      <c r="D7442" s="2">
        <v>172.0</v>
      </c>
      <c r="E7442" s="3">
        <f t="shared" si="1"/>
        <v>0.3481781377</v>
      </c>
      <c r="F7442" s="2">
        <v>51.0</v>
      </c>
      <c r="G7442" s="3">
        <f t="shared" si="2"/>
        <v>0.1032388664</v>
      </c>
      <c r="H7442" s="2">
        <v>93.0</v>
      </c>
      <c r="I7442" s="3">
        <f t="shared" si="3"/>
        <v>0.1882591093</v>
      </c>
      <c r="J7442" s="2">
        <v>89.0</v>
      </c>
      <c r="K7442" s="3">
        <f t="shared" si="4"/>
        <v>0.1801619433</v>
      </c>
      <c r="L7442" s="2">
        <v>50.0</v>
      </c>
      <c r="M7442" s="3">
        <f t="shared" si="5"/>
        <v>0.5376344086</v>
      </c>
      <c r="N7442" s="2">
        <v>530900.0</v>
      </c>
      <c r="O7442" s="4">
        <f t="shared" si="6"/>
        <v>5708.602151</v>
      </c>
      <c r="P7442" s="2">
        <v>0.0</v>
      </c>
      <c r="Q7442" s="3">
        <f t="shared" si="7"/>
        <v>0</v>
      </c>
      <c r="R7442" s="2">
        <v>43.0</v>
      </c>
      <c r="S7442" s="5">
        <f t="shared" si="8"/>
        <v>1</v>
      </c>
    </row>
    <row r="7443">
      <c r="A7443" s="2" t="s">
        <v>7438</v>
      </c>
      <c r="B7443" s="2">
        <v>121.0</v>
      </c>
      <c r="C7443" s="2">
        <v>1419.0</v>
      </c>
      <c r="D7443" s="2">
        <v>496.0</v>
      </c>
      <c r="E7443" s="3">
        <f t="shared" si="1"/>
        <v>0.3821263482</v>
      </c>
      <c r="F7443" s="2">
        <v>134.0</v>
      </c>
      <c r="G7443" s="3">
        <f t="shared" si="2"/>
        <v>0.1032357473</v>
      </c>
      <c r="H7443" s="2">
        <v>271.0</v>
      </c>
      <c r="I7443" s="3">
        <f t="shared" si="3"/>
        <v>0.2087827427</v>
      </c>
      <c r="J7443" s="2">
        <v>191.0</v>
      </c>
      <c r="K7443" s="3">
        <f t="shared" si="4"/>
        <v>0.1471494607</v>
      </c>
      <c r="L7443" s="2">
        <v>151.0</v>
      </c>
      <c r="M7443" s="3">
        <f t="shared" si="5"/>
        <v>0.557195572</v>
      </c>
      <c r="N7443" s="2">
        <v>1435900.0</v>
      </c>
      <c r="O7443" s="4">
        <f t="shared" si="6"/>
        <v>5298.523985</v>
      </c>
      <c r="P7443" s="2">
        <v>0.0</v>
      </c>
      <c r="Q7443" s="3">
        <f t="shared" si="7"/>
        <v>0</v>
      </c>
      <c r="R7443" s="2">
        <v>45.0</v>
      </c>
      <c r="S7443" s="5">
        <f t="shared" si="8"/>
        <v>0.3719008264</v>
      </c>
    </row>
    <row r="7444">
      <c r="A7444" s="2" t="s">
        <v>7439</v>
      </c>
      <c r="B7444" s="2">
        <v>220.0</v>
      </c>
      <c r="C7444" s="2">
        <v>2584.0</v>
      </c>
      <c r="D7444" s="2">
        <v>844.0</v>
      </c>
      <c r="E7444" s="3">
        <f t="shared" si="1"/>
        <v>0.3570219966</v>
      </c>
      <c r="F7444" s="2">
        <v>244.0</v>
      </c>
      <c r="G7444" s="3">
        <f t="shared" si="2"/>
        <v>0.10321489</v>
      </c>
      <c r="H7444" s="2">
        <v>485.0</v>
      </c>
      <c r="I7444" s="3">
        <f t="shared" si="3"/>
        <v>0.2051607445</v>
      </c>
      <c r="J7444" s="2">
        <v>377.0</v>
      </c>
      <c r="K7444" s="3">
        <f t="shared" si="4"/>
        <v>0.1594754653</v>
      </c>
      <c r="L7444" s="2">
        <v>303.0</v>
      </c>
      <c r="M7444" s="3">
        <f t="shared" si="5"/>
        <v>0.624742268</v>
      </c>
      <c r="N7444" s="2">
        <v>2477400.0</v>
      </c>
      <c r="O7444" s="4">
        <f t="shared" si="6"/>
        <v>5108.041237</v>
      </c>
      <c r="P7444" s="2">
        <v>0.0</v>
      </c>
      <c r="Q7444" s="3">
        <f t="shared" si="7"/>
        <v>0</v>
      </c>
      <c r="R7444" s="2">
        <v>0.0</v>
      </c>
      <c r="S7444" s="5">
        <f t="shared" si="8"/>
        <v>0</v>
      </c>
    </row>
    <row r="7445">
      <c r="A7445" s="2" t="s">
        <v>7440</v>
      </c>
      <c r="B7445" s="2">
        <v>1443.0</v>
      </c>
      <c r="C7445" s="2">
        <v>17016.0</v>
      </c>
      <c r="D7445" s="2">
        <v>5003.0</v>
      </c>
      <c r="E7445" s="3">
        <f t="shared" si="1"/>
        <v>0.3212611571</v>
      </c>
      <c r="F7445" s="2">
        <v>1607.0</v>
      </c>
      <c r="G7445" s="3">
        <f t="shared" si="2"/>
        <v>0.103191421</v>
      </c>
      <c r="H7445" s="2">
        <v>3244.0</v>
      </c>
      <c r="I7445" s="3">
        <f t="shared" si="3"/>
        <v>0.2083092532</v>
      </c>
      <c r="J7445" s="2">
        <v>2669.0</v>
      </c>
      <c r="K7445" s="3">
        <f t="shared" si="4"/>
        <v>0.1713863739</v>
      </c>
      <c r="L7445" s="2">
        <v>1950.0</v>
      </c>
      <c r="M7445" s="3">
        <f t="shared" si="5"/>
        <v>0.6011097411</v>
      </c>
      <c r="N7445" s="2">
        <v>1.8587E7</v>
      </c>
      <c r="O7445" s="4">
        <f t="shared" si="6"/>
        <v>5729.654747</v>
      </c>
      <c r="P7445" s="2">
        <v>6.0</v>
      </c>
      <c r="Q7445" s="3">
        <f t="shared" si="7"/>
        <v>0.004158004158</v>
      </c>
      <c r="R7445" s="2">
        <v>0.0</v>
      </c>
      <c r="S7445" s="5">
        <f t="shared" si="8"/>
        <v>0</v>
      </c>
    </row>
    <row r="7446">
      <c r="A7446" s="2" t="s">
        <v>7441</v>
      </c>
      <c r="B7446" s="2">
        <v>79.0</v>
      </c>
      <c r="C7446" s="2">
        <v>932.0</v>
      </c>
      <c r="D7446" s="2">
        <v>242.0</v>
      </c>
      <c r="E7446" s="3">
        <f t="shared" si="1"/>
        <v>0.2837045721</v>
      </c>
      <c r="F7446" s="2">
        <v>88.0</v>
      </c>
      <c r="G7446" s="3">
        <f t="shared" si="2"/>
        <v>0.1031652989</v>
      </c>
      <c r="H7446" s="2">
        <v>155.0</v>
      </c>
      <c r="I7446" s="3">
        <f t="shared" si="3"/>
        <v>0.1817116061</v>
      </c>
      <c r="J7446" s="2">
        <v>141.0</v>
      </c>
      <c r="K7446" s="3">
        <f t="shared" si="4"/>
        <v>0.1652989449</v>
      </c>
      <c r="L7446" s="2">
        <v>104.0</v>
      </c>
      <c r="M7446" s="3">
        <f t="shared" si="5"/>
        <v>0.6709677419</v>
      </c>
      <c r="N7446" s="2">
        <v>837900.0</v>
      </c>
      <c r="O7446" s="4">
        <f t="shared" si="6"/>
        <v>5405.806452</v>
      </c>
      <c r="P7446" s="2">
        <v>0.0</v>
      </c>
      <c r="Q7446" s="3">
        <f t="shared" si="7"/>
        <v>0</v>
      </c>
      <c r="R7446" s="2">
        <v>79.0</v>
      </c>
      <c r="S7446" s="5">
        <f t="shared" si="8"/>
        <v>1</v>
      </c>
    </row>
    <row r="7447">
      <c r="A7447" s="2" t="s">
        <v>7442</v>
      </c>
      <c r="B7447" s="2">
        <v>179.0</v>
      </c>
      <c r="C7447" s="2">
        <v>2108.0</v>
      </c>
      <c r="D7447" s="2">
        <v>610.0</v>
      </c>
      <c r="E7447" s="3">
        <f t="shared" si="1"/>
        <v>0.3162260238</v>
      </c>
      <c r="F7447" s="2">
        <v>199.0</v>
      </c>
      <c r="G7447" s="3">
        <f t="shared" si="2"/>
        <v>0.1031622602</v>
      </c>
      <c r="H7447" s="2">
        <v>357.0</v>
      </c>
      <c r="I7447" s="3">
        <f t="shared" si="3"/>
        <v>0.1850699844</v>
      </c>
      <c r="J7447" s="2">
        <v>266.0</v>
      </c>
      <c r="K7447" s="3">
        <f t="shared" si="4"/>
        <v>0.1378952825</v>
      </c>
      <c r="L7447" s="2">
        <v>207.0</v>
      </c>
      <c r="M7447" s="3">
        <f t="shared" si="5"/>
        <v>0.5798319328</v>
      </c>
      <c r="N7447" s="2">
        <v>1971400.0</v>
      </c>
      <c r="O7447" s="4">
        <f t="shared" si="6"/>
        <v>5522.128852</v>
      </c>
      <c r="P7447" s="2">
        <v>0.0</v>
      </c>
      <c r="Q7447" s="3">
        <f t="shared" si="7"/>
        <v>0</v>
      </c>
      <c r="R7447" s="2">
        <v>179.0</v>
      </c>
      <c r="S7447" s="5">
        <f t="shared" si="8"/>
        <v>1</v>
      </c>
    </row>
    <row r="7448">
      <c r="A7448" s="2" t="s">
        <v>7443</v>
      </c>
      <c r="B7448" s="2">
        <v>615.0</v>
      </c>
      <c r="C7448" s="2">
        <v>7207.0</v>
      </c>
      <c r="D7448" s="2">
        <v>2269.0</v>
      </c>
      <c r="E7448" s="3">
        <f t="shared" si="1"/>
        <v>0.3442050971</v>
      </c>
      <c r="F7448" s="2">
        <v>680.0</v>
      </c>
      <c r="G7448" s="3">
        <f t="shared" si="2"/>
        <v>0.1031553398</v>
      </c>
      <c r="H7448" s="2">
        <v>1434.0</v>
      </c>
      <c r="I7448" s="3">
        <f t="shared" si="3"/>
        <v>0.2175364078</v>
      </c>
      <c r="J7448" s="2">
        <v>968.0</v>
      </c>
      <c r="K7448" s="3">
        <f t="shared" si="4"/>
        <v>0.1468446602</v>
      </c>
      <c r="L7448" s="2">
        <v>844.0</v>
      </c>
      <c r="M7448" s="3">
        <f t="shared" si="5"/>
        <v>0.5885634589</v>
      </c>
      <c r="N7448" s="2">
        <v>7891900.0</v>
      </c>
      <c r="O7448" s="4">
        <f t="shared" si="6"/>
        <v>5503.417015</v>
      </c>
      <c r="P7448" s="2">
        <v>2.0</v>
      </c>
      <c r="Q7448" s="3">
        <f t="shared" si="7"/>
        <v>0.00325203252</v>
      </c>
      <c r="R7448" s="2">
        <v>0.0</v>
      </c>
      <c r="S7448" s="5">
        <f t="shared" si="8"/>
        <v>0</v>
      </c>
    </row>
    <row r="7449">
      <c r="A7449" s="2" t="s">
        <v>7444</v>
      </c>
      <c r="B7449" s="2">
        <v>376.0</v>
      </c>
      <c r="C7449" s="2">
        <v>4401.0</v>
      </c>
      <c r="D7449" s="2">
        <v>948.0</v>
      </c>
      <c r="E7449" s="3">
        <f t="shared" si="1"/>
        <v>0.2355279503</v>
      </c>
      <c r="F7449" s="2">
        <v>415.0</v>
      </c>
      <c r="G7449" s="3">
        <f t="shared" si="2"/>
        <v>0.1031055901</v>
      </c>
      <c r="H7449" s="2">
        <v>773.0</v>
      </c>
      <c r="I7449" s="3">
        <f t="shared" si="3"/>
        <v>0.1920496894</v>
      </c>
      <c r="J7449" s="2">
        <v>748.0</v>
      </c>
      <c r="K7449" s="3">
        <f t="shared" si="4"/>
        <v>0.1858385093</v>
      </c>
      <c r="L7449" s="2">
        <v>446.0</v>
      </c>
      <c r="M7449" s="3">
        <f t="shared" si="5"/>
        <v>0.5769728331</v>
      </c>
      <c r="N7449" s="2">
        <v>4759000.0</v>
      </c>
      <c r="O7449" s="4">
        <f t="shared" si="6"/>
        <v>6156.532988</v>
      </c>
      <c r="P7449" s="2">
        <v>0.0</v>
      </c>
      <c r="Q7449" s="3">
        <f t="shared" si="7"/>
        <v>0</v>
      </c>
      <c r="R7449" s="2">
        <v>0.0</v>
      </c>
      <c r="S7449" s="5">
        <f t="shared" si="8"/>
        <v>0</v>
      </c>
    </row>
    <row r="7450">
      <c r="A7450" s="2" t="s">
        <v>7445</v>
      </c>
      <c r="B7450" s="2">
        <v>18.0</v>
      </c>
      <c r="C7450" s="2">
        <v>212.0</v>
      </c>
      <c r="D7450" s="2">
        <v>59.0</v>
      </c>
      <c r="E7450" s="3">
        <f t="shared" si="1"/>
        <v>0.3041237113</v>
      </c>
      <c r="F7450" s="2">
        <v>20.0</v>
      </c>
      <c r="G7450" s="3">
        <f t="shared" si="2"/>
        <v>0.1030927835</v>
      </c>
      <c r="H7450" s="2">
        <v>36.0</v>
      </c>
      <c r="I7450" s="3">
        <f t="shared" si="3"/>
        <v>0.1855670103</v>
      </c>
      <c r="J7450" s="2">
        <v>42.0</v>
      </c>
      <c r="K7450" s="3">
        <f t="shared" si="4"/>
        <v>0.2164948454</v>
      </c>
      <c r="L7450" s="2">
        <v>23.0</v>
      </c>
      <c r="M7450" s="3">
        <f t="shared" si="5"/>
        <v>0.6388888889</v>
      </c>
      <c r="N7450" s="2">
        <v>225400.0</v>
      </c>
      <c r="O7450" s="4">
        <f t="shared" si="6"/>
        <v>6261.111111</v>
      </c>
      <c r="P7450" s="2">
        <v>0.0</v>
      </c>
      <c r="Q7450" s="3">
        <f t="shared" si="7"/>
        <v>0</v>
      </c>
      <c r="R7450" s="2">
        <v>18.0</v>
      </c>
      <c r="S7450" s="5">
        <f t="shared" si="8"/>
        <v>1</v>
      </c>
    </row>
    <row r="7451">
      <c r="A7451" s="2" t="s">
        <v>7446</v>
      </c>
      <c r="B7451" s="2">
        <v>9.0</v>
      </c>
      <c r="C7451" s="2">
        <v>106.0</v>
      </c>
      <c r="D7451" s="2">
        <v>34.0</v>
      </c>
      <c r="E7451" s="3">
        <f t="shared" si="1"/>
        <v>0.3505154639</v>
      </c>
      <c r="F7451" s="2">
        <v>10.0</v>
      </c>
      <c r="G7451" s="3">
        <f t="shared" si="2"/>
        <v>0.1030927835</v>
      </c>
      <c r="H7451" s="2">
        <v>18.0</v>
      </c>
      <c r="I7451" s="3">
        <f t="shared" si="3"/>
        <v>0.1855670103</v>
      </c>
      <c r="J7451" s="2">
        <v>13.0</v>
      </c>
      <c r="K7451" s="3">
        <f t="shared" si="4"/>
        <v>0.1340206186</v>
      </c>
      <c r="L7451" s="2">
        <v>11.0</v>
      </c>
      <c r="M7451" s="3">
        <f t="shared" si="5"/>
        <v>0.6111111111</v>
      </c>
      <c r="N7451" s="2">
        <v>97900.0</v>
      </c>
      <c r="O7451" s="4">
        <f t="shared" si="6"/>
        <v>5438.888889</v>
      </c>
      <c r="P7451" s="2">
        <v>0.0</v>
      </c>
      <c r="Q7451" s="3">
        <f t="shared" si="7"/>
        <v>0</v>
      </c>
      <c r="R7451" s="2">
        <v>9.0</v>
      </c>
      <c r="S7451" s="5">
        <f t="shared" si="8"/>
        <v>1</v>
      </c>
    </row>
    <row r="7452">
      <c r="A7452" s="2" t="s">
        <v>7447</v>
      </c>
      <c r="B7452" s="2">
        <v>688.0</v>
      </c>
      <c r="C7452" s="2">
        <v>8279.0</v>
      </c>
      <c r="D7452" s="2">
        <v>2436.0</v>
      </c>
      <c r="E7452" s="3">
        <f t="shared" si="1"/>
        <v>0.3209063365</v>
      </c>
      <c r="F7452" s="2">
        <v>782.0</v>
      </c>
      <c r="G7452" s="3">
        <f t="shared" si="2"/>
        <v>0.1030167303</v>
      </c>
      <c r="H7452" s="2">
        <v>1468.0</v>
      </c>
      <c r="I7452" s="3">
        <f t="shared" si="3"/>
        <v>0.1933869055</v>
      </c>
      <c r="J7452" s="2">
        <v>1024.0</v>
      </c>
      <c r="K7452" s="3">
        <f t="shared" si="4"/>
        <v>0.1348965881</v>
      </c>
      <c r="L7452" s="2">
        <v>907.0</v>
      </c>
      <c r="M7452" s="3">
        <f t="shared" si="5"/>
        <v>0.6178474114</v>
      </c>
      <c r="N7452" s="2">
        <v>7677500.0</v>
      </c>
      <c r="O7452" s="4">
        <f t="shared" si="6"/>
        <v>5229.904632</v>
      </c>
      <c r="P7452" s="2">
        <v>2.0</v>
      </c>
      <c r="Q7452" s="3">
        <f t="shared" si="7"/>
        <v>0.002906976744</v>
      </c>
      <c r="R7452" s="2">
        <v>688.0</v>
      </c>
      <c r="S7452" s="5">
        <f t="shared" si="8"/>
        <v>1</v>
      </c>
    </row>
    <row r="7453">
      <c r="A7453" s="2" t="s">
        <v>7448</v>
      </c>
      <c r="B7453" s="2">
        <v>183.0</v>
      </c>
      <c r="C7453" s="2">
        <v>2173.0</v>
      </c>
      <c r="D7453" s="2">
        <v>789.0</v>
      </c>
      <c r="E7453" s="3">
        <f t="shared" si="1"/>
        <v>0.3964824121</v>
      </c>
      <c r="F7453" s="2">
        <v>205.0</v>
      </c>
      <c r="G7453" s="3">
        <f t="shared" si="2"/>
        <v>0.1030150754</v>
      </c>
      <c r="H7453" s="2">
        <v>447.0</v>
      </c>
      <c r="I7453" s="3">
        <f t="shared" si="3"/>
        <v>0.2246231156</v>
      </c>
      <c r="J7453" s="2">
        <v>298.0</v>
      </c>
      <c r="K7453" s="3">
        <f t="shared" si="4"/>
        <v>0.1497487437</v>
      </c>
      <c r="L7453" s="2">
        <v>279.0</v>
      </c>
      <c r="M7453" s="3">
        <f t="shared" si="5"/>
        <v>0.6241610738</v>
      </c>
      <c r="N7453" s="2">
        <v>2610200.0</v>
      </c>
      <c r="O7453" s="4">
        <f t="shared" si="6"/>
        <v>5839.373602</v>
      </c>
      <c r="P7453" s="2">
        <v>1.0</v>
      </c>
      <c r="Q7453" s="3">
        <f t="shared" si="7"/>
        <v>0.005464480874</v>
      </c>
      <c r="R7453" s="2">
        <v>183.0</v>
      </c>
      <c r="S7453" s="5">
        <f t="shared" si="8"/>
        <v>1</v>
      </c>
    </row>
    <row r="7454">
      <c r="A7454" s="2" t="s">
        <v>7449</v>
      </c>
      <c r="B7454" s="2">
        <v>2165.0</v>
      </c>
      <c r="C7454" s="2">
        <v>25633.0</v>
      </c>
      <c r="D7454" s="2">
        <v>6969.0</v>
      </c>
      <c r="E7454" s="3">
        <f t="shared" si="1"/>
        <v>0.2969575592</v>
      </c>
      <c r="F7454" s="2">
        <v>2414.0</v>
      </c>
      <c r="G7454" s="3">
        <f t="shared" si="2"/>
        <v>0.1028634737</v>
      </c>
      <c r="H7454" s="2">
        <v>4347.0</v>
      </c>
      <c r="I7454" s="3">
        <f t="shared" si="3"/>
        <v>0.1852309528</v>
      </c>
      <c r="J7454" s="2">
        <v>3153.0</v>
      </c>
      <c r="K7454" s="3">
        <f t="shared" si="4"/>
        <v>0.1343531618</v>
      </c>
      <c r="L7454" s="2">
        <v>2519.0</v>
      </c>
      <c r="M7454" s="3">
        <f t="shared" si="5"/>
        <v>0.5794801012</v>
      </c>
      <c r="N7454" s="2">
        <v>2.49211E7</v>
      </c>
      <c r="O7454" s="4">
        <f t="shared" si="6"/>
        <v>5732.942259</v>
      </c>
      <c r="P7454" s="2">
        <v>3.0</v>
      </c>
      <c r="Q7454" s="3">
        <f t="shared" si="7"/>
        <v>0.001385681293</v>
      </c>
      <c r="R7454" s="2">
        <v>2165.0</v>
      </c>
      <c r="S7454" s="5">
        <f t="shared" si="8"/>
        <v>1</v>
      </c>
    </row>
    <row r="7455">
      <c r="A7455" s="2" t="s">
        <v>7450</v>
      </c>
      <c r="B7455" s="2">
        <v>270.0</v>
      </c>
      <c r="C7455" s="2">
        <v>3226.0</v>
      </c>
      <c r="D7455" s="2">
        <v>911.0</v>
      </c>
      <c r="E7455" s="3">
        <f t="shared" si="1"/>
        <v>0.3081867388</v>
      </c>
      <c r="F7455" s="2">
        <v>304.0</v>
      </c>
      <c r="G7455" s="3">
        <f t="shared" si="2"/>
        <v>0.1028416779</v>
      </c>
      <c r="H7455" s="2">
        <v>601.0</v>
      </c>
      <c r="I7455" s="3">
        <f t="shared" si="3"/>
        <v>0.2033152909</v>
      </c>
      <c r="J7455" s="2">
        <v>510.0</v>
      </c>
      <c r="K7455" s="3">
        <f t="shared" si="4"/>
        <v>0.1725304465</v>
      </c>
      <c r="L7455" s="2">
        <v>368.0</v>
      </c>
      <c r="M7455" s="3">
        <f t="shared" si="5"/>
        <v>0.612312812</v>
      </c>
      <c r="N7455" s="2">
        <v>3224600.0</v>
      </c>
      <c r="O7455" s="4">
        <f t="shared" si="6"/>
        <v>5365.391015</v>
      </c>
      <c r="P7455" s="2">
        <v>1.0</v>
      </c>
      <c r="Q7455" s="3">
        <f t="shared" si="7"/>
        <v>0.003703703704</v>
      </c>
      <c r="R7455" s="2">
        <v>270.0</v>
      </c>
      <c r="S7455" s="5">
        <f t="shared" si="8"/>
        <v>1</v>
      </c>
    </row>
    <row r="7456">
      <c r="A7456" s="2" t="s">
        <v>7451</v>
      </c>
      <c r="B7456" s="2">
        <v>166.0</v>
      </c>
      <c r="C7456" s="2">
        <v>1926.0</v>
      </c>
      <c r="D7456" s="2">
        <v>558.0</v>
      </c>
      <c r="E7456" s="3">
        <f t="shared" si="1"/>
        <v>0.3170454545</v>
      </c>
      <c r="F7456" s="2">
        <v>181.0</v>
      </c>
      <c r="G7456" s="3">
        <f t="shared" si="2"/>
        <v>0.1028409091</v>
      </c>
      <c r="H7456" s="2">
        <v>359.0</v>
      </c>
      <c r="I7456" s="3">
        <f t="shared" si="3"/>
        <v>0.2039772727</v>
      </c>
      <c r="J7456" s="2">
        <v>313.0</v>
      </c>
      <c r="K7456" s="3">
        <f t="shared" si="4"/>
        <v>0.1778409091</v>
      </c>
      <c r="L7456" s="2">
        <v>206.0</v>
      </c>
      <c r="M7456" s="3">
        <f t="shared" si="5"/>
        <v>0.573816156</v>
      </c>
      <c r="N7456" s="2">
        <v>1862800.0</v>
      </c>
      <c r="O7456" s="4">
        <f t="shared" si="6"/>
        <v>5188.857939</v>
      </c>
      <c r="P7456" s="2">
        <v>0.0</v>
      </c>
      <c r="Q7456" s="3">
        <f t="shared" si="7"/>
        <v>0</v>
      </c>
      <c r="R7456" s="2">
        <v>166.0</v>
      </c>
      <c r="S7456" s="5">
        <f t="shared" si="8"/>
        <v>1</v>
      </c>
    </row>
    <row r="7457">
      <c r="A7457" s="2" t="s">
        <v>7452</v>
      </c>
      <c r="B7457" s="2">
        <v>6712.0</v>
      </c>
      <c r="C7457" s="2">
        <v>79199.0</v>
      </c>
      <c r="D7457" s="2">
        <v>24134.0</v>
      </c>
      <c r="E7457" s="3">
        <f t="shared" si="1"/>
        <v>0.3329424586</v>
      </c>
      <c r="F7457" s="2">
        <v>7453.0</v>
      </c>
      <c r="G7457" s="3">
        <f t="shared" si="2"/>
        <v>0.1028184364</v>
      </c>
      <c r="H7457" s="2">
        <v>14656.0</v>
      </c>
      <c r="I7457" s="3">
        <f t="shared" si="3"/>
        <v>0.2021879785</v>
      </c>
      <c r="J7457" s="2">
        <v>10820.0</v>
      </c>
      <c r="K7457" s="3">
        <f t="shared" si="4"/>
        <v>0.1492681446</v>
      </c>
      <c r="L7457" s="2">
        <v>8809.0</v>
      </c>
      <c r="M7457" s="3">
        <f t="shared" si="5"/>
        <v>0.6010507642</v>
      </c>
      <c r="N7457" s="2">
        <v>8.25551E7</v>
      </c>
      <c r="O7457" s="4">
        <f t="shared" si="6"/>
        <v>5632.853439</v>
      </c>
      <c r="P7457" s="2">
        <v>10.0</v>
      </c>
      <c r="Q7457" s="3">
        <f t="shared" si="7"/>
        <v>0.001489868892</v>
      </c>
      <c r="R7457" s="2">
        <v>246.0</v>
      </c>
      <c r="S7457" s="5">
        <f t="shared" si="8"/>
        <v>0.03665077473</v>
      </c>
    </row>
    <row r="7458">
      <c r="A7458" s="2" t="s">
        <v>7453</v>
      </c>
      <c r="B7458" s="2">
        <v>14.0</v>
      </c>
      <c r="C7458" s="2">
        <v>160.0</v>
      </c>
      <c r="D7458" s="2">
        <v>48.0</v>
      </c>
      <c r="E7458" s="3">
        <f t="shared" si="1"/>
        <v>0.3287671233</v>
      </c>
      <c r="F7458" s="2">
        <v>15.0</v>
      </c>
      <c r="G7458" s="3">
        <f t="shared" si="2"/>
        <v>0.102739726</v>
      </c>
      <c r="H7458" s="2">
        <v>29.0</v>
      </c>
      <c r="I7458" s="3">
        <f t="shared" si="3"/>
        <v>0.198630137</v>
      </c>
      <c r="J7458" s="2">
        <v>30.0</v>
      </c>
      <c r="K7458" s="3">
        <f t="shared" si="4"/>
        <v>0.2054794521</v>
      </c>
      <c r="L7458" s="2">
        <v>19.0</v>
      </c>
      <c r="M7458" s="3">
        <f t="shared" si="5"/>
        <v>0.6551724138</v>
      </c>
      <c r="N7458" s="2">
        <v>177200.0</v>
      </c>
      <c r="O7458" s="4">
        <f t="shared" si="6"/>
        <v>6110.344828</v>
      </c>
      <c r="P7458" s="2">
        <v>0.0</v>
      </c>
      <c r="Q7458" s="3">
        <f t="shared" si="7"/>
        <v>0</v>
      </c>
      <c r="R7458" s="2">
        <v>13.0</v>
      </c>
      <c r="S7458" s="5">
        <f t="shared" si="8"/>
        <v>0.9285714286</v>
      </c>
    </row>
    <row r="7459">
      <c r="A7459" s="2" t="s">
        <v>7454</v>
      </c>
      <c r="B7459" s="2">
        <v>3392.0</v>
      </c>
      <c r="C7459" s="2">
        <v>40315.0</v>
      </c>
      <c r="D7459" s="2">
        <v>12044.0</v>
      </c>
      <c r="E7459" s="3">
        <f t="shared" si="1"/>
        <v>0.3261923462</v>
      </c>
      <c r="F7459" s="2">
        <v>3792.0</v>
      </c>
      <c r="G7459" s="3">
        <f t="shared" si="2"/>
        <v>0.102700214</v>
      </c>
      <c r="H7459" s="2">
        <v>7395.0</v>
      </c>
      <c r="I7459" s="3">
        <f t="shared" si="3"/>
        <v>0.2002816673</v>
      </c>
      <c r="J7459" s="2">
        <v>5405.0</v>
      </c>
      <c r="K7459" s="3">
        <f t="shared" si="4"/>
        <v>0.1463857216</v>
      </c>
      <c r="L7459" s="2">
        <v>4387.0</v>
      </c>
      <c r="M7459" s="3">
        <f t="shared" si="5"/>
        <v>0.5932386748</v>
      </c>
      <c r="N7459" s="2">
        <v>4.10668E7</v>
      </c>
      <c r="O7459" s="4">
        <f t="shared" si="6"/>
        <v>5553.319811</v>
      </c>
      <c r="P7459" s="2">
        <v>3.0</v>
      </c>
      <c r="Q7459" s="3">
        <f t="shared" si="7"/>
        <v>0.0008844339623</v>
      </c>
      <c r="R7459" s="2">
        <v>3392.0</v>
      </c>
      <c r="S7459" s="5">
        <f t="shared" si="8"/>
        <v>1</v>
      </c>
    </row>
    <row r="7460">
      <c r="A7460" s="2" t="s">
        <v>7455</v>
      </c>
      <c r="B7460" s="2">
        <v>898.0</v>
      </c>
      <c r="C7460" s="2">
        <v>10657.0</v>
      </c>
      <c r="D7460" s="2">
        <v>3127.0</v>
      </c>
      <c r="E7460" s="3">
        <f t="shared" si="1"/>
        <v>0.3204221744</v>
      </c>
      <c r="F7460" s="2">
        <v>1002.0</v>
      </c>
      <c r="G7460" s="3">
        <f t="shared" si="2"/>
        <v>0.1026744543</v>
      </c>
      <c r="H7460" s="2">
        <v>1971.0</v>
      </c>
      <c r="I7460" s="3">
        <f t="shared" si="3"/>
        <v>0.2019674147</v>
      </c>
      <c r="J7460" s="2">
        <v>1533.0</v>
      </c>
      <c r="K7460" s="3">
        <f t="shared" si="4"/>
        <v>0.157085767</v>
      </c>
      <c r="L7460" s="2">
        <v>1166.0</v>
      </c>
      <c r="M7460" s="3">
        <f t="shared" si="5"/>
        <v>0.5915778792</v>
      </c>
      <c r="N7460" s="2">
        <v>1.12975E7</v>
      </c>
      <c r="O7460" s="4">
        <f t="shared" si="6"/>
        <v>5731.861999</v>
      </c>
      <c r="P7460" s="2">
        <v>4.0</v>
      </c>
      <c r="Q7460" s="3">
        <f t="shared" si="7"/>
        <v>0.004454342984</v>
      </c>
      <c r="R7460" s="2">
        <v>898.0</v>
      </c>
      <c r="S7460" s="5">
        <f t="shared" si="8"/>
        <v>1</v>
      </c>
    </row>
    <row r="7461">
      <c r="A7461" s="2" t="s">
        <v>7456</v>
      </c>
      <c r="B7461" s="2">
        <v>2107.0</v>
      </c>
      <c r="C7461" s="2">
        <v>24872.0</v>
      </c>
      <c r="D7461" s="2">
        <v>7206.0</v>
      </c>
      <c r="E7461" s="3">
        <f t="shared" si="1"/>
        <v>0.316538546</v>
      </c>
      <c r="F7461" s="2">
        <v>2334.0</v>
      </c>
      <c r="G7461" s="3">
        <f t="shared" si="2"/>
        <v>0.1025258072</v>
      </c>
      <c r="H7461" s="2">
        <v>4578.0</v>
      </c>
      <c r="I7461" s="3">
        <f t="shared" si="3"/>
        <v>0.201098177</v>
      </c>
      <c r="J7461" s="2">
        <v>3585.0</v>
      </c>
      <c r="K7461" s="3">
        <f t="shared" si="4"/>
        <v>0.1574785855</v>
      </c>
      <c r="L7461" s="2">
        <v>2749.0</v>
      </c>
      <c r="M7461" s="3">
        <f t="shared" si="5"/>
        <v>0.6004805592</v>
      </c>
      <c r="N7461" s="2">
        <v>2.58012E7</v>
      </c>
      <c r="O7461" s="4">
        <f t="shared" si="6"/>
        <v>5635.910878</v>
      </c>
      <c r="P7461" s="2">
        <v>4.0</v>
      </c>
      <c r="Q7461" s="3">
        <f t="shared" si="7"/>
        <v>0.001898433792</v>
      </c>
      <c r="R7461" s="2">
        <v>2107.0</v>
      </c>
      <c r="S7461" s="5">
        <f t="shared" si="8"/>
        <v>1</v>
      </c>
    </row>
    <row r="7462">
      <c r="A7462" s="2" t="s">
        <v>7457</v>
      </c>
      <c r="B7462" s="2">
        <v>712.0</v>
      </c>
      <c r="C7462" s="2">
        <v>8436.0</v>
      </c>
      <c r="D7462" s="2">
        <v>2806.0</v>
      </c>
      <c r="E7462" s="3">
        <f t="shared" si="1"/>
        <v>0.3632832729</v>
      </c>
      <c r="F7462" s="2">
        <v>791.0</v>
      </c>
      <c r="G7462" s="3">
        <f t="shared" si="2"/>
        <v>0.1024080787</v>
      </c>
      <c r="H7462" s="2">
        <v>1677.0</v>
      </c>
      <c r="I7462" s="3">
        <f t="shared" si="3"/>
        <v>0.2171154842</v>
      </c>
      <c r="J7462" s="2">
        <v>1222.0</v>
      </c>
      <c r="K7462" s="3">
        <f t="shared" si="4"/>
        <v>0.1582081823</v>
      </c>
      <c r="L7462" s="2">
        <v>1002.0</v>
      </c>
      <c r="M7462" s="3">
        <f t="shared" si="5"/>
        <v>0.5974955277</v>
      </c>
      <c r="N7462" s="2">
        <v>8801800.0</v>
      </c>
      <c r="O7462" s="4">
        <f t="shared" si="6"/>
        <v>5248.539058</v>
      </c>
      <c r="P7462" s="2">
        <v>0.0</v>
      </c>
      <c r="Q7462" s="3">
        <f t="shared" si="7"/>
        <v>0</v>
      </c>
      <c r="R7462" s="2">
        <v>609.0</v>
      </c>
      <c r="S7462" s="5">
        <f t="shared" si="8"/>
        <v>0.8553370787</v>
      </c>
    </row>
    <row r="7463">
      <c r="A7463" s="2" t="s">
        <v>7458</v>
      </c>
      <c r="B7463" s="2">
        <v>49.0</v>
      </c>
      <c r="C7463" s="2">
        <v>567.0</v>
      </c>
      <c r="D7463" s="2">
        <v>152.0</v>
      </c>
      <c r="E7463" s="3">
        <f t="shared" si="1"/>
        <v>0.2934362934</v>
      </c>
      <c r="F7463" s="2">
        <v>53.0</v>
      </c>
      <c r="G7463" s="3">
        <f t="shared" si="2"/>
        <v>0.1023166023</v>
      </c>
      <c r="H7463" s="2">
        <v>102.0</v>
      </c>
      <c r="I7463" s="3">
        <f t="shared" si="3"/>
        <v>0.1969111969</v>
      </c>
      <c r="J7463" s="2">
        <v>73.0</v>
      </c>
      <c r="K7463" s="3">
        <f t="shared" si="4"/>
        <v>0.1409266409</v>
      </c>
      <c r="L7463" s="2">
        <v>63.0</v>
      </c>
      <c r="M7463" s="3">
        <f t="shared" si="5"/>
        <v>0.6176470588</v>
      </c>
      <c r="N7463" s="2">
        <v>555400.0</v>
      </c>
      <c r="O7463" s="4">
        <f t="shared" si="6"/>
        <v>5445.098039</v>
      </c>
      <c r="P7463" s="2">
        <v>0.0</v>
      </c>
      <c r="Q7463" s="3">
        <f t="shared" si="7"/>
        <v>0</v>
      </c>
      <c r="R7463" s="2">
        <v>49.0</v>
      </c>
      <c r="S7463" s="5">
        <f t="shared" si="8"/>
        <v>1</v>
      </c>
    </row>
    <row r="7464">
      <c r="A7464" s="2" t="s">
        <v>7459</v>
      </c>
      <c r="B7464" s="2">
        <v>1025.0</v>
      </c>
      <c r="C7464" s="2">
        <v>12043.0</v>
      </c>
      <c r="D7464" s="2">
        <v>2874.0</v>
      </c>
      <c r="E7464" s="3">
        <f t="shared" si="1"/>
        <v>0.2608458885</v>
      </c>
      <c r="F7464" s="2">
        <v>1127.0</v>
      </c>
      <c r="G7464" s="3">
        <f t="shared" si="2"/>
        <v>0.1022871665</v>
      </c>
      <c r="H7464" s="2">
        <v>2062.0</v>
      </c>
      <c r="I7464" s="3">
        <f t="shared" si="3"/>
        <v>0.1871483028</v>
      </c>
      <c r="J7464" s="2">
        <v>1762.0</v>
      </c>
      <c r="K7464" s="3">
        <f t="shared" si="4"/>
        <v>0.1599201307</v>
      </c>
      <c r="L7464" s="2">
        <v>1249.0</v>
      </c>
      <c r="M7464" s="3">
        <f t="shared" si="5"/>
        <v>0.6057225994</v>
      </c>
      <c r="N7464" s="2">
        <v>1.22363E7</v>
      </c>
      <c r="O7464" s="4">
        <f t="shared" si="6"/>
        <v>5934.190107</v>
      </c>
      <c r="P7464" s="2">
        <v>2.0</v>
      </c>
      <c r="Q7464" s="3">
        <f t="shared" si="7"/>
        <v>0.001951219512</v>
      </c>
      <c r="R7464" s="2">
        <v>0.0</v>
      </c>
      <c r="S7464" s="5">
        <f t="shared" si="8"/>
        <v>0</v>
      </c>
    </row>
    <row r="7465">
      <c r="A7465" s="2" t="s">
        <v>7460</v>
      </c>
      <c r="B7465" s="2">
        <v>473.0</v>
      </c>
      <c r="C7465" s="2">
        <v>5676.0</v>
      </c>
      <c r="D7465" s="2">
        <v>1500.0</v>
      </c>
      <c r="E7465" s="3">
        <f t="shared" si="1"/>
        <v>0.2882952143</v>
      </c>
      <c r="F7465" s="2">
        <v>532.0</v>
      </c>
      <c r="G7465" s="3">
        <f t="shared" si="2"/>
        <v>0.1022487027</v>
      </c>
      <c r="H7465" s="2">
        <v>992.0</v>
      </c>
      <c r="I7465" s="3">
        <f t="shared" si="3"/>
        <v>0.1906592351</v>
      </c>
      <c r="J7465" s="2">
        <v>904.0</v>
      </c>
      <c r="K7465" s="3">
        <f t="shared" si="4"/>
        <v>0.1737459158</v>
      </c>
      <c r="L7465" s="2">
        <v>562.0</v>
      </c>
      <c r="M7465" s="3">
        <f t="shared" si="5"/>
        <v>0.5665322581</v>
      </c>
      <c r="N7465" s="2">
        <v>6162000.0</v>
      </c>
      <c r="O7465" s="4">
        <f t="shared" si="6"/>
        <v>6211.693548</v>
      </c>
      <c r="P7465" s="2">
        <v>2.0</v>
      </c>
      <c r="Q7465" s="3">
        <f t="shared" si="7"/>
        <v>0.00422832981</v>
      </c>
      <c r="R7465" s="2">
        <v>473.0</v>
      </c>
      <c r="S7465" s="5">
        <f t="shared" si="8"/>
        <v>1</v>
      </c>
    </row>
    <row r="7466">
      <c r="A7466" s="2" t="s">
        <v>7461</v>
      </c>
      <c r="B7466" s="2">
        <v>60.0</v>
      </c>
      <c r="C7466" s="2">
        <v>696.0</v>
      </c>
      <c r="D7466" s="2">
        <v>214.0</v>
      </c>
      <c r="E7466" s="3">
        <f t="shared" si="1"/>
        <v>0.3364779874</v>
      </c>
      <c r="F7466" s="2">
        <v>65.0</v>
      </c>
      <c r="G7466" s="3">
        <f t="shared" si="2"/>
        <v>0.1022012579</v>
      </c>
      <c r="H7466" s="2">
        <v>133.0</v>
      </c>
      <c r="I7466" s="3">
        <f t="shared" si="3"/>
        <v>0.2091194969</v>
      </c>
      <c r="J7466" s="2">
        <v>101.0</v>
      </c>
      <c r="K7466" s="3">
        <f t="shared" si="4"/>
        <v>0.1588050314</v>
      </c>
      <c r="L7466" s="2">
        <v>82.0</v>
      </c>
      <c r="M7466" s="3">
        <f t="shared" si="5"/>
        <v>0.6165413534</v>
      </c>
      <c r="N7466" s="2">
        <v>749200.0</v>
      </c>
      <c r="O7466" s="4">
        <f t="shared" si="6"/>
        <v>5633.082707</v>
      </c>
      <c r="P7466" s="2">
        <v>1.0</v>
      </c>
      <c r="Q7466" s="3">
        <f t="shared" si="7"/>
        <v>0.01666666667</v>
      </c>
      <c r="R7466" s="2">
        <v>0.0</v>
      </c>
      <c r="S7466" s="5">
        <f t="shared" si="8"/>
        <v>0</v>
      </c>
    </row>
    <row r="7467">
      <c r="A7467" s="2" t="s">
        <v>7462</v>
      </c>
      <c r="B7467" s="2">
        <v>74.0</v>
      </c>
      <c r="C7467" s="2">
        <v>847.0</v>
      </c>
      <c r="D7467" s="2">
        <v>244.0</v>
      </c>
      <c r="E7467" s="3">
        <f t="shared" si="1"/>
        <v>0.3156532988</v>
      </c>
      <c r="F7467" s="2">
        <v>79.0</v>
      </c>
      <c r="G7467" s="3">
        <f t="shared" si="2"/>
        <v>0.1021992238</v>
      </c>
      <c r="H7467" s="2">
        <v>142.0</v>
      </c>
      <c r="I7467" s="3">
        <f t="shared" si="3"/>
        <v>0.1836998706</v>
      </c>
      <c r="J7467" s="2">
        <v>79.0</v>
      </c>
      <c r="K7467" s="3">
        <f t="shared" si="4"/>
        <v>0.1021992238</v>
      </c>
      <c r="L7467" s="2">
        <v>94.0</v>
      </c>
      <c r="M7467" s="3">
        <f t="shared" si="5"/>
        <v>0.661971831</v>
      </c>
      <c r="N7467" s="2">
        <v>761500.0</v>
      </c>
      <c r="O7467" s="4">
        <f t="shared" si="6"/>
        <v>5362.676056</v>
      </c>
      <c r="P7467" s="2">
        <v>0.0</v>
      </c>
      <c r="Q7467" s="3">
        <f t="shared" si="7"/>
        <v>0</v>
      </c>
      <c r="R7467" s="2">
        <v>74.0</v>
      </c>
      <c r="S7467" s="5">
        <f t="shared" si="8"/>
        <v>1</v>
      </c>
    </row>
    <row r="7468">
      <c r="A7468" s="2" t="s">
        <v>7463</v>
      </c>
      <c r="B7468" s="2">
        <v>13.0</v>
      </c>
      <c r="C7468" s="2">
        <v>150.0</v>
      </c>
      <c r="D7468" s="2">
        <v>33.0</v>
      </c>
      <c r="E7468" s="3">
        <f t="shared" si="1"/>
        <v>0.2408759124</v>
      </c>
      <c r="F7468" s="2">
        <v>14.0</v>
      </c>
      <c r="G7468" s="3">
        <f t="shared" si="2"/>
        <v>0.102189781</v>
      </c>
      <c r="H7468" s="2">
        <v>24.0</v>
      </c>
      <c r="I7468" s="3">
        <f t="shared" si="3"/>
        <v>0.1751824818</v>
      </c>
      <c r="J7468" s="2">
        <v>15.0</v>
      </c>
      <c r="K7468" s="3">
        <f t="shared" si="4"/>
        <v>0.1094890511</v>
      </c>
      <c r="L7468" s="2">
        <v>17.0</v>
      </c>
      <c r="M7468" s="3">
        <f t="shared" si="5"/>
        <v>0.7083333333</v>
      </c>
      <c r="N7468" s="2">
        <v>147500.0</v>
      </c>
      <c r="O7468" s="4">
        <f t="shared" si="6"/>
        <v>6145.833333</v>
      </c>
      <c r="P7468" s="2">
        <v>0.0</v>
      </c>
      <c r="Q7468" s="3">
        <f t="shared" si="7"/>
        <v>0</v>
      </c>
      <c r="R7468" s="2">
        <v>13.0</v>
      </c>
      <c r="S7468" s="5">
        <f t="shared" si="8"/>
        <v>1</v>
      </c>
    </row>
    <row r="7469">
      <c r="A7469" s="2" t="s">
        <v>7464</v>
      </c>
      <c r="B7469" s="2">
        <v>49.0</v>
      </c>
      <c r="C7469" s="2">
        <v>558.0</v>
      </c>
      <c r="D7469" s="2">
        <v>151.0</v>
      </c>
      <c r="E7469" s="3">
        <f t="shared" si="1"/>
        <v>0.2966601179</v>
      </c>
      <c r="F7469" s="2">
        <v>52.0</v>
      </c>
      <c r="G7469" s="3">
        <f t="shared" si="2"/>
        <v>0.1021611002</v>
      </c>
      <c r="H7469" s="2">
        <v>85.0</v>
      </c>
      <c r="I7469" s="3">
        <f t="shared" si="3"/>
        <v>0.1669941061</v>
      </c>
      <c r="J7469" s="2">
        <v>73.0</v>
      </c>
      <c r="K7469" s="3">
        <f t="shared" si="4"/>
        <v>0.1434184676</v>
      </c>
      <c r="L7469" s="2">
        <v>60.0</v>
      </c>
      <c r="M7469" s="3">
        <f t="shared" si="5"/>
        <v>0.7058823529</v>
      </c>
      <c r="N7469" s="2">
        <v>443600.0</v>
      </c>
      <c r="O7469" s="4">
        <f t="shared" si="6"/>
        <v>5218.823529</v>
      </c>
      <c r="P7469" s="2">
        <v>0.0</v>
      </c>
      <c r="Q7469" s="3">
        <f t="shared" si="7"/>
        <v>0</v>
      </c>
      <c r="R7469" s="2">
        <v>49.0</v>
      </c>
      <c r="S7469" s="5">
        <f t="shared" si="8"/>
        <v>1</v>
      </c>
    </row>
    <row r="7470">
      <c r="A7470" s="2" t="s">
        <v>7465</v>
      </c>
      <c r="B7470" s="2">
        <v>417.0</v>
      </c>
      <c r="C7470" s="2">
        <v>4921.0</v>
      </c>
      <c r="D7470" s="2">
        <v>1610.0</v>
      </c>
      <c r="E7470" s="3">
        <f t="shared" si="1"/>
        <v>0.3574600355</v>
      </c>
      <c r="F7470" s="2">
        <v>460.0</v>
      </c>
      <c r="G7470" s="3">
        <f t="shared" si="2"/>
        <v>0.1021314387</v>
      </c>
      <c r="H7470" s="2">
        <v>871.0</v>
      </c>
      <c r="I7470" s="3">
        <f t="shared" si="3"/>
        <v>0.193383659</v>
      </c>
      <c r="J7470" s="2">
        <v>663.0</v>
      </c>
      <c r="K7470" s="3">
        <f t="shared" si="4"/>
        <v>0.1472024867</v>
      </c>
      <c r="L7470" s="2">
        <v>540.0</v>
      </c>
      <c r="M7470" s="3">
        <f t="shared" si="5"/>
        <v>0.6199770379</v>
      </c>
      <c r="N7470" s="2">
        <v>4893000.0</v>
      </c>
      <c r="O7470" s="4">
        <f t="shared" si="6"/>
        <v>5617.680827</v>
      </c>
      <c r="P7470" s="2">
        <v>2.0</v>
      </c>
      <c r="Q7470" s="3">
        <f t="shared" si="7"/>
        <v>0.00479616307</v>
      </c>
      <c r="R7470" s="2">
        <v>0.0</v>
      </c>
      <c r="S7470" s="5">
        <f t="shared" si="8"/>
        <v>0</v>
      </c>
    </row>
    <row r="7471">
      <c r="A7471" s="2" t="s">
        <v>7466</v>
      </c>
      <c r="B7471" s="2">
        <v>2504.0</v>
      </c>
      <c r="C7471" s="2">
        <v>29399.0</v>
      </c>
      <c r="D7471" s="2">
        <v>10468.0</v>
      </c>
      <c r="E7471" s="3">
        <f t="shared" si="1"/>
        <v>0.3892173266</v>
      </c>
      <c r="F7471" s="2">
        <v>2746.0</v>
      </c>
      <c r="G7471" s="3">
        <f t="shared" si="2"/>
        <v>0.1021007622</v>
      </c>
      <c r="H7471" s="2">
        <v>5619.0</v>
      </c>
      <c r="I7471" s="3">
        <f t="shared" si="3"/>
        <v>0.2089235917</v>
      </c>
      <c r="J7471" s="2">
        <v>3419.0</v>
      </c>
      <c r="K7471" s="3">
        <f t="shared" si="4"/>
        <v>0.1271240007</v>
      </c>
      <c r="L7471" s="2">
        <v>3369.0</v>
      </c>
      <c r="M7471" s="3">
        <f t="shared" si="5"/>
        <v>0.5995728777</v>
      </c>
      <c r="N7471" s="2">
        <v>2.92416E7</v>
      </c>
      <c r="O7471" s="4">
        <f t="shared" si="6"/>
        <v>5204.057662</v>
      </c>
      <c r="P7471" s="2">
        <v>4.0</v>
      </c>
      <c r="Q7471" s="3">
        <f t="shared" si="7"/>
        <v>0.001597444089</v>
      </c>
      <c r="R7471" s="2">
        <v>1638.0</v>
      </c>
      <c r="S7471" s="5">
        <f t="shared" si="8"/>
        <v>0.6541533546</v>
      </c>
    </row>
    <row r="7472">
      <c r="A7472" s="2" t="s">
        <v>7467</v>
      </c>
      <c r="B7472" s="2">
        <v>87.0</v>
      </c>
      <c r="C7472" s="2">
        <v>1008.0</v>
      </c>
      <c r="D7472" s="2">
        <v>360.0</v>
      </c>
      <c r="E7472" s="3">
        <f t="shared" si="1"/>
        <v>0.3908794788</v>
      </c>
      <c r="F7472" s="2">
        <v>94.0</v>
      </c>
      <c r="G7472" s="3">
        <f t="shared" si="2"/>
        <v>0.102062975</v>
      </c>
      <c r="H7472" s="2">
        <v>188.0</v>
      </c>
      <c r="I7472" s="3">
        <f t="shared" si="3"/>
        <v>0.2041259501</v>
      </c>
      <c r="J7472" s="2">
        <v>149.0</v>
      </c>
      <c r="K7472" s="3">
        <f t="shared" si="4"/>
        <v>0.1617806732</v>
      </c>
      <c r="L7472" s="2">
        <v>104.0</v>
      </c>
      <c r="M7472" s="3">
        <f t="shared" si="5"/>
        <v>0.5531914894</v>
      </c>
      <c r="N7472" s="2">
        <v>974000.0</v>
      </c>
      <c r="O7472" s="4">
        <f t="shared" si="6"/>
        <v>5180.851064</v>
      </c>
      <c r="P7472" s="2">
        <v>0.0</v>
      </c>
      <c r="Q7472" s="3">
        <f t="shared" si="7"/>
        <v>0</v>
      </c>
      <c r="R7472" s="2">
        <v>87.0</v>
      </c>
      <c r="S7472" s="5">
        <f t="shared" si="8"/>
        <v>1</v>
      </c>
    </row>
    <row r="7473">
      <c r="A7473" s="2" t="s">
        <v>7468</v>
      </c>
      <c r="B7473" s="2">
        <v>10.0</v>
      </c>
      <c r="C7473" s="2">
        <v>108.0</v>
      </c>
      <c r="D7473" s="2">
        <v>37.0</v>
      </c>
      <c r="E7473" s="3">
        <f t="shared" si="1"/>
        <v>0.3775510204</v>
      </c>
      <c r="F7473" s="2">
        <v>10.0</v>
      </c>
      <c r="G7473" s="3">
        <f t="shared" si="2"/>
        <v>0.1020408163</v>
      </c>
      <c r="H7473" s="2">
        <v>22.0</v>
      </c>
      <c r="I7473" s="3">
        <f t="shared" si="3"/>
        <v>0.2244897959</v>
      </c>
      <c r="J7473" s="2">
        <v>16.0</v>
      </c>
      <c r="K7473" s="3">
        <f t="shared" si="4"/>
        <v>0.1632653061</v>
      </c>
      <c r="L7473" s="2">
        <v>11.0</v>
      </c>
      <c r="M7473" s="3">
        <f t="shared" si="5"/>
        <v>0.5</v>
      </c>
      <c r="N7473" s="2">
        <v>128800.0</v>
      </c>
      <c r="O7473" s="4">
        <f t="shared" si="6"/>
        <v>5854.545455</v>
      </c>
      <c r="P7473" s="2">
        <v>0.0</v>
      </c>
      <c r="Q7473" s="3">
        <f t="shared" si="7"/>
        <v>0</v>
      </c>
      <c r="R7473" s="2">
        <v>0.0</v>
      </c>
      <c r="S7473" s="5">
        <f t="shared" si="8"/>
        <v>0</v>
      </c>
    </row>
    <row r="7474">
      <c r="A7474" s="2" t="s">
        <v>7469</v>
      </c>
      <c r="B7474" s="2">
        <v>34.0</v>
      </c>
      <c r="C7474" s="2">
        <v>426.0</v>
      </c>
      <c r="D7474" s="2">
        <v>117.0</v>
      </c>
      <c r="E7474" s="3">
        <f t="shared" si="1"/>
        <v>0.2984693878</v>
      </c>
      <c r="F7474" s="2">
        <v>40.0</v>
      </c>
      <c r="G7474" s="3">
        <f t="shared" si="2"/>
        <v>0.1020408163</v>
      </c>
      <c r="H7474" s="2">
        <v>80.0</v>
      </c>
      <c r="I7474" s="3">
        <f t="shared" si="3"/>
        <v>0.2040816327</v>
      </c>
      <c r="J7474" s="2">
        <v>62.0</v>
      </c>
      <c r="K7474" s="3">
        <f t="shared" si="4"/>
        <v>0.1581632653</v>
      </c>
      <c r="L7474" s="2">
        <v>41.0</v>
      </c>
      <c r="M7474" s="3">
        <f t="shared" si="5"/>
        <v>0.5125</v>
      </c>
      <c r="N7474" s="2">
        <v>445800.0</v>
      </c>
      <c r="O7474" s="4">
        <f t="shared" si="6"/>
        <v>5572.5</v>
      </c>
      <c r="P7474" s="2">
        <v>0.0</v>
      </c>
      <c r="Q7474" s="3">
        <f t="shared" si="7"/>
        <v>0</v>
      </c>
      <c r="R7474" s="2">
        <v>34.0</v>
      </c>
      <c r="S7474" s="5">
        <f t="shared" si="8"/>
        <v>1</v>
      </c>
    </row>
    <row r="7475">
      <c r="A7475" s="2" t="s">
        <v>7470</v>
      </c>
      <c r="B7475" s="2">
        <v>10.0</v>
      </c>
      <c r="C7475" s="2">
        <v>108.0</v>
      </c>
      <c r="D7475" s="2">
        <v>37.0</v>
      </c>
      <c r="E7475" s="3">
        <f t="shared" si="1"/>
        <v>0.3775510204</v>
      </c>
      <c r="F7475" s="2">
        <v>10.0</v>
      </c>
      <c r="G7475" s="3">
        <f t="shared" si="2"/>
        <v>0.1020408163</v>
      </c>
      <c r="H7475" s="2">
        <v>17.0</v>
      </c>
      <c r="I7475" s="3">
        <f t="shared" si="3"/>
        <v>0.1734693878</v>
      </c>
      <c r="J7475" s="2">
        <v>15.0</v>
      </c>
      <c r="K7475" s="3">
        <f t="shared" si="4"/>
        <v>0.1530612245</v>
      </c>
      <c r="L7475" s="2">
        <v>11.0</v>
      </c>
      <c r="M7475" s="3">
        <f t="shared" si="5"/>
        <v>0.6470588235</v>
      </c>
      <c r="N7475" s="2">
        <v>72700.0</v>
      </c>
      <c r="O7475" s="4">
        <f t="shared" si="6"/>
        <v>4276.470588</v>
      </c>
      <c r="P7475" s="2">
        <v>0.0</v>
      </c>
      <c r="Q7475" s="3">
        <f t="shared" si="7"/>
        <v>0</v>
      </c>
      <c r="R7475" s="2">
        <v>10.0</v>
      </c>
      <c r="S7475" s="5">
        <f t="shared" si="8"/>
        <v>1</v>
      </c>
    </row>
    <row r="7476">
      <c r="A7476" s="2" t="s">
        <v>7471</v>
      </c>
      <c r="B7476" s="2">
        <v>3032.0</v>
      </c>
      <c r="C7476" s="2">
        <v>35769.0</v>
      </c>
      <c r="D7476" s="2">
        <v>10345.0</v>
      </c>
      <c r="E7476" s="3">
        <f t="shared" si="1"/>
        <v>0.316003299</v>
      </c>
      <c r="F7476" s="2">
        <v>3339.0</v>
      </c>
      <c r="G7476" s="3">
        <f t="shared" si="2"/>
        <v>0.1019946849</v>
      </c>
      <c r="H7476" s="2">
        <v>6654.0</v>
      </c>
      <c r="I7476" s="3">
        <f t="shared" si="3"/>
        <v>0.2032562544</v>
      </c>
      <c r="J7476" s="2">
        <v>4908.0</v>
      </c>
      <c r="K7476" s="3">
        <f t="shared" si="4"/>
        <v>0.1499221065</v>
      </c>
      <c r="L7476" s="2">
        <v>4026.0</v>
      </c>
      <c r="M7476" s="3">
        <f t="shared" si="5"/>
        <v>0.6050495942</v>
      </c>
      <c r="N7476" s="2">
        <v>3.68546E7</v>
      </c>
      <c r="O7476" s="4">
        <f t="shared" si="6"/>
        <v>5538.713556</v>
      </c>
      <c r="P7476" s="2">
        <v>9.0</v>
      </c>
      <c r="Q7476" s="3">
        <f t="shared" si="7"/>
        <v>0.002968337731</v>
      </c>
      <c r="R7476" s="2">
        <v>3032.0</v>
      </c>
      <c r="S7476" s="5">
        <f t="shared" si="8"/>
        <v>1</v>
      </c>
    </row>
    <row r="7477">
      <c r="A7477" s="2" t="s">
        <v>7472</v>
      </c>
      <c r="B7477" s="2">
        <v>96.0</v>
      </c>
      <c r="C7477" s="2">
        <v>1107.0</v>
      </c>
      <c r="D7477" s="2">
        <v>266.0</v>
      </c>
      <c r="E7477" s="3">
        <f t="shared" si="1"/>
        <v>0.2631058358</v>
      </c>
      <c r="F7477" s="2">
        <v>103.0</v>
      </c>
      <c r="G7477" s="3">
        <f t="shared" si="2"/>
        <v>0.1018793274</v>
      </c>
      <c r="H7477" s="2">
        <v>192.0</v>
      </c>
      <c r="I7477" s="3">
        <f t="shared" si="3"/>
        <v>0.1899109792</v>
      </c>
      <c r="J7477" s="2">
        <v>169.0</v>
      </c>
      <c r="K7477" s="3">
        <f t="shared" si="4"/>
        <v>0.1671612265</v>
      </c>
      <c r="L7477" s="2">
        <v>110.0</v>
      </c>
      <c r="M7477" s="3">
        <f t="shared" si="5"/>
        <v>0.5729166667</v>
      </c>
      <c r="N7477" s="2">
        <v>1052600.0</v>
      </c>
      <c r="O7477" s="4">
        <f t="shared" si="6"/>
        <v>5482.291667</v>
      </c>
      <c r="P7477" s="2">
        <v>0.0</v>
      </c>
      <c r="Q7477" s="3">
        <f t="shared" si="7"/>
        <v>0</v>
      </c>
      <c r="R7477" s="2">
        <v>0.0</v>
      </c>
      <c r="S7477" s="5">
        <f t="shared" si="8"/>
        <v>0</v>
      </c>
    </row>
    <row r="7478">
      <c r="A7478" s="2" t="s">
        <v>7473</v>
      </c>
      <c r="B7478" s="2">
        <v>411.0</v>
      </c>
      <c r="C7478" s="2">
        <v>4780.0</v>
      </c>
      <c r="D7478" s="2">
        <v>1251.0</v>
      </c>
      <c r="E7478" s="3">
        <f t="shared" si="1"/>
        <v>0.2863355459</v>
      </c>
      <c r="F7478" s="2">
        <v>445.0</v>
      </c>
      <c r="G7478" s="3">
        <f t="shared" si="2"/>
        <v>0.1018539712</v>
      </c>
      <c r="H7478" s="2">
        <v>844.0</v>
      </c>
      <c r="I7478" s="3">
        <f t="shared" si="3"/>
        <v>0.1931792172</v>
      </c>
      <c r="J7478" s="2">
        <v>598.0</v>
      </c>
      <c r="K7478" s="3">
        <f t="shared" si="4"/>
        <v>0.1368734264</v>
      </c>
      <c r="L7478" s="2">
        <v>527.0</v>
      </c>
      <c r="M7478" s="3">
        <f t="shared" si="5"/>
        <v>0.6244075829</v>
      </c>
      <c r="N7478" s="2">
        <v>4752300.0</v>
      </c>
      <c r="O7478" s="4">
        <f t="shared" si="6"/>
        <v>5630.687204</v>
      </c>
      <c r="P7478" s="2">
        <v>1.0</v>
      </c>
      <c r="Q7478" s="3">
        <f t="shared" si="7"/>
        <v>0.002433090024</v>
      </c>
      <c r="R7478" s="2">
        <v>411.0</v>
      </c>
      <c r="S7478" s="5">
        <f t="shared" si="8"/>
        <v>1</v>
      </c>
    </row>
    <row r="7479">
      <c r="A7479" s="2" t="s">
        <v>7474</v>
      </c>
      <c r="B7479" s="2">
        <v>4250.0</v>
      </c>
      <c r="C7479" s="2">
        <v>49869.0</v>
      </c>
      <c r="D7479" s="2">
        <v>13613.0</v>
      </c>
      <c r="E7479" s="3">
        <f t="shared" si="1"/>
        <v>0.2984063658</v>
      </c>
      <c r="F7479" s="2">
        <v>4646.0</v>
      </c>
      <c r="G7479" s="3">
        <f t="shared" si="2"/>
        <v>0.1018435301</v>
      </c>
      <c r="H7479" s="2">
        <v>9164.0</v>
      </c>
      <c r="I7479" s="3">
        <f t="shared" si="3"/>
        <v>0.2008812118</v>
      </c>
      <c r="J7479" s="2">
        <v>5752.0</v>
      </c>
      <c r="K7479" s="3">
        <f t="shared" si="4"/>
        <v>0.1260878143</v>
      </c>
      <c r="L7479" s="2">
        <v>5608.0</v>
      </c>
      <c r="M7479" s="3">
        <f t="shared" si="5"/>
        <v>0.6119598429</v>
      </c>
      <c r="N7479" s="2">
        <v>5.0649E7</v>
      </c>
      <c r="O7479" s="4">
        <f t="shared" si="6"/>
        <v>5526.953296</v>
      </c>
      <c r="P7479" s="2">
        <v>12.0</v>
      </c>
      <c r="Q7479" s="3">
        <f t="shared" si="7"/>
        <v>0.002823529412</v>
      </c>
      <c r="R7479" s="2">
        <v>4250.0</v>
      </c>
      <c r="S7479" s="5">
        <f t="shared" si="8"/>
        <v>1</v>
      </c>
    </row>
    <row r="7480">
      <c r="A7480" s="2" t="s">
        <v>7475</v>
      </c>
      <c r="B7480" s="2">
        <v>25.0</v>
      </c>
      <c r="C7480" s="2">
        <v>300.0</v>
      </c>
      <c r="D7480" s="2">
        <v>87.0</v>
      </c>
      <c r="E7480" s="3">
        <f t="shared" si="1"/>
        <v>0.3163636364</v>
      </c>
      <c r="F7480" s="2">
        <v>28.0</v>
      </c>
      <c r="G7480" s="3">
        <f t="shared" si="2"/>
        <v>0.1018181818</v>
      </c>
      <c r="H7480" s="2">
        <v>58.0</v>
      </c>
      <c r="I7480" s="3">
        <f t="shared" si="3"/>
        <v>0.2109090909</v>
      </c>
      <c r="J7480" s="2">
        <v>47.0</v>
      </c>
      <c r="K7480" s="3">
        <f t="shared" si="4"/>
        <v>0.1709090909</v>
      </c>
      <c r="L7480" s="2">
        <v>33.0</v>
      </c>
      <c r="M7480" s="3">
        <f t="shared" si="5"/>
        <v>0.5689655172</v>
      </c>
      <c r="N7480" s="2">
        <v>364500.0</v>
      </c>
      <c r="O7480" s="4">
        <f t="shared" si="6"/>
        <v>6284.482759</v>
      </c>
      <c r="P7480" s="2">
        <v>0.0</v>
      </c>
      <c r="Q7480" s="3">
        <f t="shared" si="7"/>
        <v>0</v>
      </c>
      <c r="R7480" s="2">
        <v>25.0</v>
      </c>
      <c r="S7480" s="5">
        <f t="shared" si="8"/>
        <v>1</v>
      </c>
    </row>
    <row r="7481">
      <c r="A7481" s="2" t="s">
        <v>7476</v>
      </c>
      <c r="B7481" s="2">
        <v>44.0</v>
      </c>
      <c r="C7481" s="2">
        <v>486.0</v>
      </c>
      <c r="D7481" s="2">
        <v>132.0</v>
      </c>
      <c r="E7481" s="3">
        <f t="shared" si="1"/>
        <v>0.2986425339</v>
      </c>
      <c r="F7481" s="2">
        <v>45.0</v>
      </c>
      <c r="G7481" s="3">
        <f t="shared" si="2"/>
        <v>0.1018099548</v>
      </c>
      <c r="H7481" s="2">
        <v>96.0</v>
      </c>
      <c r="I7481" s="3">
        <f t="shared" si="3"/>
        <v>0.2171945701</v>
      </c>
      <c r="J7481" s="2">
        <v>102.0</v>
      </c>
      <c r="K7481" s="3">
        <f t="shared" si="4"/>
        <v>0.2307692308</v>
      </c>
      <c r="L7481" s="2">
        <v>55.0</v>
      </c>
      <c r="M7481" s="3">
        <f t="shared" si="5"/>
        <v>0.5729166667</v>
      </c>
      <c r="N7481" s="2">
        <v>503700.0</v>
      </c>
      <c r="O7481" s="4">
        <f t="shared" si="6"/>
        <v>5246.875</v>
      </c>
      <c r="P7481" s="2">
        <v>0.0</v>
      </c>
      <c r="Q7481" s="3">
        <f t="shared" si="7"/>
        <v>0</v>
      </c>
      <c r="R7481" s="2">
        <v>44.0</v>
      </c>
      <c r="S7481" s="5">
        <f t="shared" si="8"/>
        <v>1</v>
      </c>
    </row>
    <row r="7482">
      <c r="A7482" s="2" t="s">
        <v>7477</v>
      </c>
      <c r="B7482" s="2">
        <v>14.0</v>
      </c>
      <c r="C7482" s="2">
        <v>181.0</v>
      </c>
      <c r="D7482" s="2">
        <v>64.0</v>
      </c>
      <c r="E7482" s="3">
        <f t="shared" si="1"/>
        <v>0.3832335329</v>
      </c>
      <c r="F7482" s="2">
        <v>17.0</v>
      </c>
      <c r="G7482" s="3">
        <f t="shared" si="2"/>
        <v>0.1017964072</v>
      </c>
      <c r="H7482" s="2">
        <v>33.0</v>
      </c>
      <c r="I7482" s="3">
        <f t="shared" si="3"/>
        <v>0.1976047904</v>
      </c>
      <c r="J7482" s="2">
        <v>27.0</v>
      </c>
      <c r="K7482" s="3">
        <f t="shared" si="4"/>
        <v>0.1616766467</v>
      </c>
      <c r="L7482" s="2">
        <v>15.0</v>
      </c>
      <c r="M7482" s="3">
        <f t="shared" si="5"/>
        <v>0.4545454545</v>
      </c>
      <c r="N7482" s="2">
        <v>215500.0</v>
      </c>
      <c r="O7482" s="4">
        <f t="shared" si="6"/>
        <v>6530.30303</v>
      </c>
      <c r="P7482" s="2">
        <v>1.0</v>
      </c>
      <c r="Q7482" s="3">
        <f t="shared" si="7"/>
        <v>0.07142857143</v>
      </c>
      <c r="R7482" s="2">
        <v>14.0</v>
      </c>
      <c r="S7482" s="5">
        <f t="shared" si="8"/>
        <v>1</v>
      </c>
    </row>
    <row r="7483">
      <c r="A7483" s="2" t="s">
        <v>7478</v>
      </c>
      <c r="B7483" s="2">
        <v>306.0</v>
      </c>
      <c r="C7483" s="2">
        <v>3597.0</v>
      </c>
      <c r="D7483" s="2">
        <v>944.0</v>
      </c>
      <c r="E7483" s="3">
        <f t="shared" si="1"/>
        <v>0.2868429049</v>
      </c>
      <c r="F7483" s="2">
        <v>335.0</v>
      </c>
      <c r="G7483" s="3">
        <f t="shared" si="2"/>
        <v>0.1017927682</v>
      </c>
      <c r="H7483" s="2">
        <v>616.0</v>
      </c>
      <c r="I7483" s="3">
        <f t="shared" si="3"/>
        <v>0.1871771498</v>
      </c>
      <c r="J7483" s="2">
        <v>520.0</v>
      </c>
      <c r="K7483" s="3">
        <f t="shared" si="4"/>
        <v>0.1580066849</v>
      </c>
      <c r="L7483" s="2">
        <v>354.0</v>
      </c>
      <c r="M7483" s="3">
        <f t="shared" si="5"/>
        <v>0.5746753247</v>
      </c>
      <c r="N7483" s="2">
        <v>3554600.0</v>
      </c>
      <c r="O7483" s="4">
        <f t="shared" si="6"/>
        <v>5770.454545</v>
      </c>
      <c r="P7483" s="2">
        <v>0.0</v>
      </c>
      <c r="Q7483" s="3">
        <f t="shared" si="7"/>
        <v>0</v>
      </c>
      <c r="R7483" s="2">
        <v>304.0</v>
      </c>
      <c r="S7483" s="5">
        <f t="shared" si="8"/>
        <v>0.9934640523</v>
      </c>
    </row>
    <row r="7484">
      <c r="A7484" s="2" t="s">
        <v>7479</v>
      </c>
      <c r="B7484" s="2">
        <v>228.0</v>
      </c>
      <c r="C7484" s="2">
        <v>2753.0</v>
      </c>
      <c r="D7484" s="2">
        <v>667.0</v>
      </c>
      <c r="E7484" s="3">
        <f t="shared" si="1"/>
        <v>0.2641584158</v>
      </c>
      <c r="F7484" s="2">
        <v>257.0</v>
      </c>
      <c r="G7484" s="3">
        <f t="shared" si="2"/>
        <v>0.1017821782</v>
      </c>
      <c r="H7484" s="2">
        <v>485.0</v>
      </c>
      <c r="I7484" s="3">
        <f t="shared" si="3"/>
        <v>0.1920792079</v>
      </c>
      <c r="J7484" s="2">
        <v>338.0</v>
      </c>
      <c r="K7484" s="3">
        <f t="shared" si="4"/>
        <v>0.1338613861</v>
      </c>
      <c r="L7484" s="2">
        <v>304.0</v>
      </c>
      <c r="M7484" s="3">
        <f t="shared" si="5"/>
        <v>0.6268041237</v>
      </c>
      <c r="N7484" s="2">
        <v>2713000.0</v>
      </c>
      <c r="O7484" s="4">
        <f t="shared" si="6"/>
        <v>5593.814433</v>
      </c>
      <c r="P7484" s="2">
        <v>1.0</v>
      </c>
      <c r="Q7484" s="3">
        <f t="shared" si="7"/>
        <v>0.004385964912</v>
      </c>
      <c r="R7484" s="2">
        <v>200.0</v>
      </c>
      <c r="S7484" s="5">
        <f t="shared" si="8"/>
        <v>0.8771929825</v>
      </c>
    </row>
    <row r="7485">
      <c r="A7485" s="2" t="s">
        <v>7480</v>
      </c>
      <c r="B7485" s="2">
        <v>130.0</v>
      </c>
      <c r="C7485" s="2">
        <v>1526.0</v>
      </c>
      <c r="D7485" s="2">
        <v>449.0</v>
      </c>
      <c r="E7485" s="3">
        <f t="shared" si="1"/>
        <v>0.3216332378</v>
      </c>
      <c r="F7485" s="2">
        <v>142.0</v>
      </c>
      <c r="G7485" s="3">
        <f t="shared" si="2"/>
        <v>0.1017191977</v>
      </c>
      <c r="H7485" s="2">
        <v>255.0</v>
      </c>
      <c r="I7485" s="3">
        <f t="shared" si="3"/>
        <v>0.1826647564</v>
      </c>
      <c r="J7485" s="2">
        <v>201.0</v>
      </c>
      <c r="K7485" s="3">
        <f t="shared" si="4"/>
        <v>0.143982808</v>
      </c>
      <c r="L7485" s="2">
        <v>156.0</v>
      </c>
      <c r="M7485" s="3">
        <f t="shared" si="5"/>
        <v>0.6117647059</v>
      </c>
      <c r="N7485" s="2">
        <v>1417700.0</v>
      </c>
      <c r="O7485" s="4">
        <f t="shared" si="6"/>
        <v>5559.607843</v>
      </c>
      <c r="P7485" s="2">
        <v>0.0</v>
      </c>
      <c r="Q7485" s="3">
        <f t="shared" si="7"/>
        <v>0</v>
      </c>
      <c r="R7485" s="2">
        <v>0.0</v>
      </c>
      <c r="S7485" s="5">
        <f t="shared" si="8"/>
        <v>0</v>
      </c>
    </row>
    <row r="7486">
      <c r="A7486" s="2" t="s">
        <v>7481</v>
      </c>
      <c r="B7486" s="2">
        <v>17.0</v>
      </c>
      <c r="C7486" s="2">
        <v>194.0</v>
      </c>
      <c r="D7486" s="2">
        <v>72.0</v>
      </c>
      <c r="E7486" s="3">
        <f t="shared" si="1"/>
        <v>0.406779661</v>
      </c>
      <c r="F7486" s="2">
        <v>18.0</v>
      </c>
      <c r="G7486" s="3">
        <f t="shared" si="2"/>
        <v>0.1016949153</v>
      </c>
      <c r="H7486" s="2">
        <v>38.0</v>
      </c>
      <c r="I7486" s="3">
        <f t="shared" si="3"/>
        <v>0.2146892655</v>
      </c>
      <c r="J7486" s="2">
        <v>33.0</v>
      </c>
      <c r="K7486" s="3">
        <f t="shared" si="4"/>
        <v>0.186440678</v>
      </c>
      <c r="L7486" s="2">
        <v>23.0</v>
      </c>
      <c r="M7486" s="3">
        <f t="shared" si="5"/>
        <v>0.6052631579</v>
      </c>
      <c r="N7486" s="2">
        <v>153100.0</v>
      </c>
      <c r="O7486" s="4">
        <f t="shared" si="6"/>
        <v>4028.947368</v>
      </c>
      <c r="P7486" s="2">
        <v>0.0</v>
      </c>
      <c r="Q7486" s="3">
        <f t="shared" si="7"/>
        <v>0</v>
      </c>
      <c r="R7486" s="2">
        <v>17.0</v>
      </c>
      <c r="S7486" s="5">
        <f t="shared" si="8"/>
        <v>1</v>
      </c>
    </row>
    <row r="7487">
      <c r="A7487" s="2" t="s">
        <v>7482</v>
      </c>
      <c r="B7487" s="2">
        <v>146.0</v>
      </c>
      <c r="C7487" s="2">
        <v>1798.0</v>
      </c>
      <c r="D7487" s="2">
        <v>441.0</v>
      </c>
      <c r="E7487" s="3">
        <f t="shared" si="1"/>
        <v>0.2669491525</v>
      </c>
      <c r="F7487" s="2">
        <v>168.0</v>
      </c>
      <c r="G7487" s="3">
        <f t="shared" si="2"/>
        <v>0.1016949153</v>
      </c>
      <c r="H7487" s="2">
        <v>305.0</v>
      </c>
      <c r="I7487" s="3">
        <f t="shared" si="3"/>
        <v>0.1846246973</v>
      </c>
      <c r="J7487" s="2">
        <v>274.0</v>
      </c>
      <c r="K7487" s="3">
        <f t="shared" si="4"/>
        <v>0.1658595642</v>
      </c>
      <c r="L7487" s="2">
        <v>175.0</v>
      </c>
      <c r="M7487" s="3">
        <f t="shared" si="5"/>
        <v>0.5737704918</v>
      </c>
      <c r="N7487" s="2">
        <v>1749900.0</v>
      </c>
      <c r="O7487" s="4">
        <f t="shared" si="6"/>
        <v>5737.377049</v>
      </c>
      <c r="P7487" s="2">
        <v>0.0</v>
      </c>
      <c r="Q7487" s="3">
        <f t="shared" si="7"/>
        <v>0</v>
      </c>
      <c r="R7487" s="2">
        <v>0.0</v>
      </c>
      <c r="S7487" s="5">
        <f t="shared" si="8"/>
        <v>0</v>
      </c>
    </row>
    <row r="7488">
      <c r="A7488" s="2" t="s">
        <v>7483</v>
      </c>
      <c r="B7488" s="2">
        <v>132.0</v>
      </c>
      <c r="C7488" s="2">
        <v>1580.0</v>
      </c>
      <c r="D7488" s="2">
        <v>309.0</v>
      </c>
      <c r="E7488" s="3">
        <f t="shared" si="1"/>
        <v>0.2133977901</v>
      </c>
      <c r="F7488" s="2">
        <v>147.0</v>
      </c>
      <c r="G7488" s="3">
        <f t="shared" si="2"/>
        <v>0.101519337</v>
      </c>
      <c r="H7488" s="2">
        <v>230.0</v>
      </c>
      <c r="I7488" s="3">
        <f t="shared" si="3"/>
        <v>0.158839779</v>
      </c>
      <c r="J7488" s="2">
        <v>133.0</v>
      </c>
      <c r="K7488" s="3">
        <f t="shared" si="4"/>
        <v>0.09185082873</v>
      </c>
      <c r="L7488" s="2">
        <v>138.0</v>
      </c>
      <c r="M7488" s="3">
        <f t="shared" si="5"/>
        <v>0.6</v>
      </c>
      <c r="N7488" s="2">
        <v>1290900.0</v>
      </c>
      <c r="O7488" s="4">
        <f t="shared" si="6"/>
        <v>5612.608696</v>
      </c>
      <c r="P7488" s="2">
        <v>0.0</v>
      </c>
      <c r="Q7488" s="3">
        <f t="shared" si="7"/>
        <v>0</v>
      </c>
      <c r="R7488" s="2">
        <v>132.0</v>
      </c>
      <c r="S7488" s="5">
        <f t="shared" si="8"/>
        <v>1</v>
      </c>
    </row>
    <row r="7489">
      <c r="A7489" s="2" t="s">
        <v>7484</v>
      </c>
      <c r="B7489" s="2">
        <v>121.0</v>
      </c>
      <c r="C7489" s="2">
        <v>1382.0</v>
      </c>
      <c r="D7489" s="2">
        <v>445.0</v>
      </c>
      <c r="E7489" s="3">
        <f t="shared" si="1"/>
        <v>0.3528945282</v>
      </c>
      <c r="F7489" s="2">
        <v>128.0</v>
      </c>
      <c r="G7489" s="3">
        <f t="shared" si="2"/>
        <v>0.1015067407</v>
      </c>
      <c r="H7489" s="2">
        <v>279.0</v>
      </c>
      <c r="I7489" s="3">
        <f t="shared" si="3"/>
        <v>0.2212529738</v>
      </c>
      <c r="J7489" s="2">
        <v>208.0</v>
      </c>
      <c r="K7489" s="3">
        <f t="shared" si="4"/>
        <v>0.1649484536</v>
      </c>
      <c r="L7489" s="2">
        <v>175.0</v>
      </c>
      <c r="M7489" s="3">
        <f t="shared" si="5"/>
        <v>0.6272401434</v>
      </c>
      <c r="N7489" s="2">
        <v>1594500.0</v>
      </c>
      <c r="O7489" s="4">
        <f t="shared" si="6"/>
        <v>5715.053763</v>
      </c>
      <c r="P7489" s="2">
        <v>0.0</v>
      </c>
      <c r="Q7489" s="3">
        <f t="shared" si="7"/>
        <v>0</v>
      </c>
      <c r="R7489" s="2">
        <v>121.0</v>
      </c>
      <c r="S7489" s="5">
        <f t="shared" si="8"/>
        <v>1</v>
      </c>
    </row>
    <row r="7490">
      <c r="A7490" s="2" t="s">
        <v>7485</v>
      </c>
      <c r="B7490" s="2">
        <v>6.0</v>
      </c>
      <c r="C7490" s="2">
        <v>75.0</v>
      </c>
      <c r="D7490" s="2">
        <v>23.0</v>
      </c>
      <c r="E7490" s="3">
        <f t="shared" si="1"/>
        <v>0.3333333333</v>
      </c>
      <c r="F7490" s="2">
        <v>7.0</v>
      </c>
      <c r="G7490" s="3">
        <f t="shared" si="2"/>
        <v>0.1014492754</v>
      </c>
      <c r="H7490" s="2">
        <v>16.0</v>
      </c>
      <c r="I7490" s="3">
        <f t="shared" si="3"/>
        <v>0.231884058</v>
      </c>
      <c r="J7490" s="2">
        <v>13.0</v>
      </c>
      <c r="K7490" s="3">
        <f t="shared" si="4"/>
        <v>0.1884057971</v>
      </c>
      <c r="L7490" s="2">
        <v>8.0</v>
      </c>
      <c r="M7490" s="3">
        <f t="shared" si="5"/>
        <v>0.5</v>
      </c>
      <c r="N7490" s="2">
        <v>107500.0</v>
      </c>
      <c r="O7490" s="4">
        <f t="shared" si="6"/>
        <v>6718.75</v>
      </c>
      <c r="P7490" s="2">
        <v>0.0</v>
      </c>
      <c r="Q7490" s="3">
        <f t="shared" si="7"/>
        <v>0</v>
      </c>
      <c r="R7490" s="2">
        <v>6.0</v>
      </c>
      <c r="S7490" s="5">
        <f t="shared" si="8"/>
        <v>1</v>
      </c>
    </row>
    <row r="7491">
      <c r="A7491" s="2" t="s">
        <v>7486</v>
      </c>
      <c r="B7491" s="2">
        <v>155.0</v>
      </c>
      <c r="C7491" s="2">
        <v>1831.0</v>
      </c>
      <c r="D7491" s="2">
        <v>559.0</v>
      </c>
      <c r="E7491" s="3">
        <f t="shared" si="1"/>
        <v>0.3335322196</v>
      </c>
      <c r="F7491" s="2">
        <v>170.0</v>
      </c>
      <c r="G7491" s="3">
        <f t="shared" si="2"/>
        <v>0.1014319809</v>
      </c>
      <c r="H7491" s="2">
        <v>331.0</v>
      </c>
      <c r="I7491" s="3">
        <f t="shared" si="3"/>
        <v>0.1974940334</v>
      </c>
      <c r="J7491" s="2">
        <v>313.0</v>
      </c>
      <c r="K7491" s="3">
        <f t="shared" si="4"/>
        <v>0.1867541766</v>
      </c>
      <c r="L7491" s="2">
        <v>203.0</v>
      </c>
      <c r="M7491" s="3">
        <f t="shared" si="5"/>
        <v>0.6132930514</v>
      </c>
      <c r="N7491" s="2">
        <v>1921900.0</v>
      </c>
      <c r="O7491" s="4">
        <f t="shared" si="6"/>
        <v>5806.344411</v>
      </c>
      <c r="P7491" s="2">
        <v>1.0</v>
      </c>
      <c r="Q7491" s="3">
        <f t="shared" si="7"/>
        <v>0.006451612903</v>
      </c>
      <c r="R7491" s="2">
        <v>0.0</v>
      </c>
      <c r="S7491" s="5">
        <f t="shared" si="8"/>
        <v>0</v>
      </c>
    </row>
    <row r="7492">
      <c r="A7492" s="2" t="s">
        <v>7487</v>
      </c>
      <c r="B7492" s="2">
        <v>211.0</v>
      </c>
      <c r="C7492" s="2">
        <v>2548.0</v>
      </c>
      <c r="D7492" s="2">
        <v>955.0</v>
      </c>
      <c r="E7492" s="3">
        <f t="shared" si="1"/>
        <v>0.4086435601</v>
      </c>
      <c r="F7492" s="2">
        <v>237.0</v>
      </c>
      <c r="G7492" s="3">
        <f t="shared" si="2"/>
        <v>0.1014120668</v>
      </c>
      <c r="H7492" s="2">
        <v>474.0</v>
      </c>
      <c r="I7492" s="3">
        <f t="shared" si="3"/>
        <v>0.2028241335</v>
      </c>
      <c r="J7492" s="2">
        <v>329.0</v>
      </c>
      <c r="K7492" s="3">
        <f t="shared" si="4"/>
        <v>0.1407787762</v>
      </c>
      <c r="L7492" s="2">
        <v>282.0</v>
      </c>
      <c r="M7492" s="3">
        <f t="shared" si="5"/>
        <v>0.5949367089</v>
      </c>
      <c r="N7492" s="2">
        <v>2543000.0</v>
      </c>
      <c r="O7492" s="4">
        <f t="shared" si="6"/>
        <v>5364.978903</v>
      </c>
      <c r="P7492" s="2">
        <v>0.0</v>
      </c>
      <c r="Q7492" s="3">
        <f t="shared" si="7"/>
        <v>0</v>
      </c>
      <c r="R7492" s="2">
        <v>211.0</v>
      </c>
      <c r="S7492" s="5">
        <f t="shared" si="8"/>
        <v>1</v>
      </c>
    </row>
    <row r="7493">
      <c r="A7493" s="2" t="s">
        <v>7488</v>
      </c>
      <c r="B7493" s="2">
        <v>421.0</v>
      </c>
      <c r="C7493" s="2">
        <v>4899.0</v>
      </c>
      <c r="D7493" s="2">
        <v>1230.0</v>
      </c>
      <c r="E7493" s="3">
        <f t="shared" si="1"/>
        <v>0.2746761947</v>
      </c>
      <c r="F7493" s="2">
        <v>454.0</v>
      </c>
      <c r="G7493" s="3">
        <f t="shared" si="2"/>
        <v>0.1013845467</v>
      </c>
      <c r="H7493" s="2">
        <v>821.0</v>
      </c>
      <c r="I7493" s="3">
        <f t="shared" si="3"/>
        <v>0.1833407771</v>
      </c>
      <c r="J7493" s="2">
        <v>743.0</v>
      </c>
      <c r="K7493" s="3">
        <f t="shared" si="4"/>
        <v>0.1659222867</v>
      </c>
      <c r="L7493" s="2">
        <v>515.0</v>
      </c>
      <c r="M7493" s="3">
        <f t="shared" si="5"/>
        <v>0.6272838002</v>
      </c>
      <c r="N7493" s="2">
        <v>4911700.0</v>
      </c>
      <c r="O7493" s="4">
        <f t="shared" si="6"/>
        <v>5982.582217</v>
      </c>
      <c r="P7493" s="2">
        <v>0.0</v>
      </c>
      <c r="Q7493" s="3">
        <f t="shared" si="7"/>
        <v>0</v>
      </c>
      <c r="R7493" s="2">
        <v>413.0</v>
      </c>
      <c r="S7493" s="5">
        <f t="shared" si="8"/>
        <v>0.9809976247</v>
      </c>
    </row>
    <row r="7494">
      <c r="A7494" s="2" t="s">
        <v>7489</v>
      </c>
      <c r="B7494" s="2">
        <v>40.0</v>
      </c>
      <c r="C7494" s="2">
        <v>474.0</v>
      </c>
      <c r="D7494" s="2">
        <v>228.0</v>
      </c>
      <c r="E7494" s="3">
        <f t="shared" si="1"/>
        <v>0.5253456221</v>
      </c>
      <c r="F7494" s="2">
        <v>44.0</v>
      </c>
      <c r="G7494" s="3">
        <f t="shared" si="2"/>
        <v>0.1013824885</v>
      </c>
      <c r="H7494" s="2">
        <v>100.0</v>
      </c>
      <c r="I7494" s="3">
        <f t="shared" si="3"/>
        <v>0.2304147465</v>
      </c>
      <c r="J7494" s="2">
        <v>49.0</v>
      </c>
      <c r="K7494" s="3">
        <f t="shared" si="4"/>
        <v>0.1129032258</v>
      </c>
      <c r="L7494" s="2">
        <v>60.0</v>
      </c>
      <c r="M7494" s="3">
        <f t="shared" si="5"/>
        <v>0.6</v>
      </c>
      <c r="N7494" s="2">
        <v>460800.0</v>
      </c>
      <c r="O7494" s="4">
        <f t="shared" si="6"/>
        <v>4608</v>
      </c>
      <c r="P7494" s="2">
        <v>0.0</v>
      </c>
      <c r="Q7494" s="3">
        <f t="shared" si="7"/>
        <v>0</v>
      </c>
      <c r="R7494" s="2">
        <v>40.0</v>
      </c>
      <c r="S7494" s="5">
        <f t="shared" si="8"/>
        <v>1</v>
      </c>
    </row>
    <row r="7495">
      <c r="A7495" s="2" t="s">
        <v>7490</v>
      </c>
      <c r="B7495" s="2">
        <v>90.0</v>
      </c>
      <c r="C7495" s="2">
        <v>1037.0</v>
      </c>
      <c r="D7495" s="2">
        <v>177.0</v>
      </c>
      <c r="E7495" s="3">
        <f t="shared" si="1"/>
        <v>0.186906019</v>
      </c>
      <c r="F7495" s="2">
        <v>96.0</v>
      </c>
      <c r="G7495" s="3">
        <f t="shared" si="2"/>
        <v>0.1013727561</v>
      </c>
      <c r="H7495" s="2">
        <v>172.0</v>
      </c>
      <c r="I7495" s="3">
        <f t="shared" si="3"/>
        <v>0.181626188</v>
      </c>
      <c r="J7495" s="2">
        <v>160.0</v>
      </c>
      <c r="K7495" s="3">
        <f t="shared" si="4"/>
        <v>0.1689545935</v>
      </c>
      <c r="L7495" s="2">
        <v>104.0</v>
      </c>
      <c r="M7495" s="3">
        <f t="shared" si="5"/>
        <v>0.6046511628</v>
      </c>
      <c r="N7495" s="2">
        <v>1087700.0</v>
      </c>
      <c r="O7495" s="4">
        <f t="shared" si="6"/>
        <v>6323.837209</v>
      </c>
      <c r="P7495" s="2">
        <v>1.0</v>
      </c>
      <c r="Q7495" s="3">
        <f t="shared" si="7"/>
        <v>0.01111111111</v>
      </c>
      <c r="R7495" s="2">
        <v>90.0</v>
      </c>
      <c r="S7495" s="5">
        <f t="shared" si="8"/>
        <v>1</v>
      </c>
    </row>
    <row r="7496">
      <c r="A7496" s="2" t="s">
        <v>7491</v>
      </c>
      <c r="B7496" s="2">
        <v>36.0</v>
      </c>
      <c r="C7496" s="2">
        <v>401.0</v>
      </c>
      <c r="D7496" s="2">
        <v>69.0</v>
      </c>
      <c r="E7496" s="3">
        <f t="shared" si="1"/>
        <v>0.1890410959</v>
      </c>
      <c r="F7496" s="2">
        <v>37.0</v>
      </c>
      <c r="G7496" s="3">
        <f t="shared" si="2"/>
        <v>0.101369863</v>
      </c>
      <c r="H7496" s="2">
        <v>66.0</v>
      </c>
      <c r="I7496" s="3">
        <f t="shared" si="3"/>
        <v>0.1808219178</v>
      </c>
      <c r="J7496" s="2">
        <v>66.0</v>
      </c>
      <c r="K7496" s="3">
        <f t="shared" si="4"/>
        <v>0.1808219178</v>
      </c>
      <c r="L7496" s="2">
        <v>42.0</v>
      </c>
      <c r="M7496" s="3">
        <f t="shared" si="5"/>
        <v>0.6363636364</v>
      </c>
      <c r="N7496" s="2">
        <v>399300.0</v>
      </c>
      <c r="O7496" s="4">
        <f t="shared" si="6"/>
        <v>6050</v>
      </c>
      <c r="P7496" s="2">
        <v>0.0</v>
      </c>
      <c r="Q7496" s="3">
        <f t="shared" si="7"/>
        <v>0</v>
      </c>
      <c r="R7496" s="2">
        <v>0.0</v>
      </c>
      <c r="S7496" s="5">
        <f t="shared" si="8"/>
        <v>0</v>
      </c>
    </row>
    <row r="7497">
      <c r="A7497" s="2" t="s">
        <v>7492</v>
      </c>
      <c r="B7497" s="2">
        <v>351.0</v>
      </c>
      <c r="C7497" s="2">
        <v>4238.0</v>
      </c>
      <c r="D7497" s="2">
        <v>1170.0</v>
      </c>
      <c r="E7497" s="3">
        <f t="shared" si="1"/>
        <v>0.3010033445</v>
      </c>
      <c r="F7497" s="2">
        <v>394.0</v>
      </c>
      <c r="G7497" s="3">
        <f t="shared" si="2"/>
        <v>0.1013635194</v>
      </c>
      <c r="H7497" s="2">
        <v>794.0</v>
      </c>
      <c r="I7497" s="3">
        <f t="shared" si="3"/>
        <v>0.2042706457</v>
      </c>
      <c r="J7497" s="2">
        <v>504.0</v>
      </c>
      <c r="K7497" s="3">
        <f t="shared" si="4"/>
        <v>0.1296629792</v>
      </c>
      <c r="L7497" s="2">
        <v>482.0</v>
      </c>
      <c r="M7497" s="3">
        <f t="shared" si="5"/>
        <v>0.6070528967</v>
      </c>
      <c r="N7497" s="2">
        <v>4295200.0</v>
      </c>
      <c r="O7497" s="4">
        <f t="shared" si="6"/>
        <v>5409.571788</v>
      </c>
      <c r="P7497" s="2">
        <v>0.0</v>
      </c>
      <c r="Q7497" s="3">
        <f t="shared" si="7"/>
        <v>0</v>
      </c>
      <c r="R7497" s="2">
        <v>351.0</v>
      </c>
      <c r="S7497" s="5">
        <f t="shared" si="8"/>
        <v>1</v>
      </c>
    </row>
    <row r="7498">
      <c r="A7498" s="2" t="s">
        <v>7493</v>
      </c>
      <c r="B7498" s="2">
        <v>74.0</v>
      </c>
      <c r="C7498" s="2">
        <v>883.0</v>
      </c>
      <c r="D7498" s="2">
        <v>245.0</v>
      </c>
      <c r="E7498" s="3">
        <f t="shared" si="1"/>
        <v>0.3028430161</v>
      </c>
      <c r="F7498" s="2">
        <v>82.0</v>
      </c>
      <c r="G7498" s="3">
        <f t="shared" si="2"/>
        <v>0.1013597033</v>
      </c>
      <c r="H7498" s="2">
        <v>156.0</v>
      </c>
      <c r="I7498" s="3">
        <f t="shared" si="3"/>
        <v>0.1928306551</v>
      </c>
      <c r="J7498" s="2">
        <v>135.0</v>
      </c>
      <c r="K7498" s="3">
        <f t="shared" si="4"/>
        <v>0.1668726823</v>
      </c>
      <c r="L7498" s="2">
        <v>97.0</v>
      </c>
      <c r="M7498" s="3">
        <f t="shared" si="5"/>
        <v>0.6217948718</v>
      </c>
      <c r="N7498" s="2">
        <v>870700.0</v>
      </c>
      <c r="O7498" s="4">
        <f t="shared" si="6"/>
        <v>5581.410256</v>
      </c>
      <c r="P7498" s="2">
        <v>0.0</v>
      </c>
      <c r="Q7498" s="3">
        <f t="shared" si="7"/>
        <v>0</v>
      </c>
      <c r="R7498" s="2">
        <v>74.0</v>
      </c>
      <c r="S7498" s="5">
        <f t="shared" si="8"/>
        <v>1</v>
      </c>
    </row>
    <row r="7499">
      <c r="A7499" s="2" t="s">
        <v>7494</v>
      </c>
      <c r="B7499" s="2">
        <v>26.0</v>
      </c>
      <c r="C7499" s="2">
        <v>322.0</v>
      </c>
      <c r="D7499" s="2">
        <v>103.0</v>
      </c>
      <c r="E7499" s="3">
        <f t="shared" si="1"/>
        <v>0.347972973</v>
      </c>
      <c r="F7499" s="2">
        <v>30.0</v>
      </c>
      <c r="G7499" s="3">
        <f t="shared" si="2"/>
        <v>0.1013513514</v>
      </c>
      <c r="H7499" s="2">
        <v>58.0</v>
      </c>
      <c r="I7499" s="3">
        <f t="shared" si="3"/>
        <v>0.1959459459</v>
      </c>
      <c r="J7499" s="2">
        <v>47.0</v>
      </c>
      <c r="K7499" s="3">
        <f t="shared" si="4"/>
        <v>0.1587837838</v>
      </c>
      <c r="L7499" s="2">
        <v>36.0</v>
      </c>
      <c r="M7499" s="3">
        <f t="shared" si="5"/>
        <v>0.6206896552</v>
      </c>
      <c r="N7499" s="2">
        <v>372300.0</v>
      </c>
      <c r="O7499" s="4">
        <f t="shared" si="6"/>
        <v>6418.965517</v>
      </c>
      <c r="P7499" s="2">
        <v>0.0</v>
      </c>
      <c r="Q7499" s="3">
        <f t="shared" si="7"/>
        <v>0</v>
      </c>
      <c r="R7499" s="2">
        <v>1.0</v>
      </c>
      <c r="S7499" s="5">
        <f t="shared" si="8"/>
        <v>0.03846153846</v>
      </c>
    </row>
    <row r="7500">
      <c r="A7500" s="2" t="s">
        <v>7495</v>
      </c>
      <c r="B7500" s="2">
        <v>13.0</v>
      </c>
      <c r="C7500" s="2">
        <v>161.0</v>
      </c>
      <c r="D7500" s="2">
        <v>80.0</v>
      </c>
      <c r="E7500" s="3">
        <f t="shared" si="1"/>
        <v>0.5405405405</v>
      </c>
      <c r="F7500" s="2">
        <v>15.0</v>
      </c>
      <c r="G7500" s="3">
        <f t="shared" si="2"/>
        <v>0.1013513514</v>
      </c>
      <c r="H7500" s="2">
        <v>34.0</v>
      </c>
      <c r="I7500" s="3">
        <f t="shared" si="3"/>
        <v>0.2297297297</v>
      </c>
      <c r="J7500" s="2">
        <v>19.0</v>
      </c>
      <c r="K7500" s="3">
        <f t="shared" si="4"/>
        <v>0.1283783784</v>
      </c>
      <c r="L7500" s="2">
        <v>22.0</v>
      </c>
      <c r="M7500" s="3">
        <f t="shared" si="5"/>
        <v>0.6470588235</v>
      </c>
      <c r="N7500" s="2">
        <v>188100.0</v>
      </c>
      <c r="O7500" s="4">
        <f t="shared" si="6"/>
        <v>5532.352941</v>
      </c>
      <c r="P7500" s="2">
        <v>0.0</v>
      </c>
      <c r="Q7500" s="3">
        <f t="shared" si="7"/>
        <v>0</v>
      </c>
      <c r="R7500" s="2">
        <v>13.0</v>
      </c>
      <c r="S7500" s="5">
        <f t="shared" si="8"/>
        <v>1</v>
      </c>
    </row>
    <row r="7501">
      <c r="A7501" s="2" t="s">
        <v>7496</v>
      </c>
      <c r="B7501" s="2">
        <v>67.0</v>
      </c>
      <c r="C7501" s="2">
        <v>748.0</v>
      </c>
      <c r="D7501" s="2">
        <v>222.0</v>
      </c>
      <c r="E7501" s="3">
        <f t="shared" si="1"/>
        <v>0.3259911894</v>
      </c>
      <c r="F7501" s="2">
        <v>69.0</v>
      </c>
      <c r="G7501" s="3">
        <f t="shared" si="2"/>
        <v>0.1013215859</v>
      </c>
      <c r="H7501" s="2">
        <v>151.0</v>
      </c>
      <c r="I7501" s="3">
        <f t="shared" si="3"/>
        <v>0.221732746</v>
      </c>
      <c r="J7501" s="2">
        <v>146.0</v>
      </c>
      <c r="K7501" s="3">
        <f t="shared" si="4"/>
        <v>0.2143906021</v>
      </c>
      <c r="L7501" s="2">
        <v>87.0</v>
      </c>
      <c r="M7501" s="3">
        <f t="shared" si="5"/>
        <v>0.5761589404</v>
      </c>
      <c r="N7501" s="2">
        <v>969500.0</v>
      </c>
      <c r="O7501" s="4">
        <f t="shared" si="6"/>
        <v>6420.529801</v>
      </c>
      <c r="P7501" s="2">
        <v>0.0</v>
      </c>
      <c r="Q7501" s="3">
        <f t="shared" si="7"/>
        <v>0</v>
      </c>
      <c r="R7501" s="2">
        <v>67.0</v>
      </c>
      <c r="S7501" s="5">
        <f t="shared" si="8"/>
        <v>1</v>
      </c>
    </row>
    <row r="7502">
      <c r="A7502" s="2" t="s">
        <v>7497</v>
      </c>
      <c r="B7502" s="2">
        <v>146.0</v>
      </c>
      <c r="C7502" s="2">
        <v>1716.0</v>
      </c>
      <c r="D7502" s="2">
        <v>534.0</v>
      </c>
      <c r="E7502" s="3">
        <f t="shared" si="1"/>
        <v>0.3401273885</v>
      </c>
      <c r="F7502" s="2">
        <v>159.0</v>
      </c>
      <c r="G7502" s="3">
        <f t="shared" si="2"/>
        <v>0.1012738854</v>
      </c>
      <c r="H7502" s="2">
        <v>327.0</v>
      </c>
      <c r="I7502" s="3">
        <f t="shared" si="3"/>
        <v>0.2082802548</v>
      </c>
      <c r="J7502" s="2">
        <v>277.0</v>
      </c>
      <c r="K7502" s="3">
        <f t="shared" si="4"/>
        <v>0.176433121</v>
      </c>
      <c r="L7502" s="2">
        <v>199.0</v>
      </c>
      <c r="M7502" s="3">
        <f t="shared" si="5"/>
        <v>0.6085626911</v>
      </c>
      <c r="N7502" s="2">
        <v>1868800.0</v>
      </c>
      <c r="O7502" s="4">
        <f t="shared" si="6"/>
        <v>5714.984709</v>
      </c>
      <c r="P7502" s="2">
        <v>0.0</v>
      </c>
      <c r="Q7502" s="3">
        <f t="shared" si="7"/>
        <v>0</v>
      </c>
      <c r="R7502" s="2">
        <v>146.0</v>
      </c>
      <c r="S7502" s="5">
        <f t="shared" si="8"/>
        <v>1</v>
      </c>
    </row>
    <row r="7503">
      <c r="A7503" s="2" t="s">
        <v>7498</v>
      </c>
      <c r="B7503" s="2">
        <v>23.0</v>
      </c>
      <c r="C7503" s="2">
        <v>270.0</v>
      </c>
      <c r="D7503" s="2">
        <v>84.0</v>
      </c>
      <c r="E7503" s="3">
        <f t="shared" si="1"/>
        <v>0.3400809717</v>
      </c>
      <c r="F7503" s="2">
        <v>25.0</v>
      </c>
      <c r="G7503" s="3">
        <f t="shared" si="2"/>
        <v>0.1012145749</v>
      </c>
      <c r="H7503" s="2">
        <v>52.0</v>
      </c>
      <c r="I7503" s="3">
        <f t="shared" si="3"/>
        <v>0.2105263158</v>
      </c>
      <c r="J7503" s="2">
        <v>47.0</v>
      </c>
      <c r="K7503" s="3">
        <f t="shared" si="4"/>
        <v>0.1902834008</v>
      </c>
      <c r="L7503" s="2">
        <v>18.0</v>
      </c>
      <c r="M7503" s="3">
        <f t="shared" si="5"/>
        <v>0.3461538462</v>
      </c>
      <c r="N7503" s="2">
        <v>345200.0</v>
      </c>
      <c r="O7503" s="4">
        <f t="shared" si="6"/>
        <v>6638.461538</v>
      </c>
      <c r="P7503" s="2">
        <v>1.0</v>
      </c>
      <c r="Q7503" s="3">
        <f t="shared" si="7"/>
        <v>0.04347826087</v>
      </c>
      <c r="R7503" s="2">
        <v>23.0</v>
      </c>
      <c r="S7503" s="5">
        <f t="shared" si="8"/>
        <v>1</v>
      </c>
    </row>
    <row r="7504">
      <c r="A7504" s="2" t="s">
        <v>7499</v>
      </c>
      <c r="B7504" s="2">
        <v>504.0</v>
      </c>
      <c r="C7504" s="2">
        <v>5870.0</v>
      </c>
      <c r="D7504" s="2">
        <v>1419.0</v>
      </c>
      <c r="E7504" s="3">
        <f t="shared" si="1"/>
        <v>0.2644427879</v>
      </c>
      <c r="F7504" s="2">
        <v>543.0</v>
      </c>
      <c r="G7504" s="3">
        <f t="shared" si="2"/>
        <v>0.1011926947</v>
      </c>
      <c r="H7504" s="2">
        <v>1009.0</v>
      </c>
      <c r="I7504" s="3">
        <f t="shared" si="3"/>
        <v>0.1880357808</v>
      </c>
      <c r="J7504" s="2">
        <v>949.0</v>
      </c>
      <c r="K7504" s="3">
        <f t="shared" si="4"/>
        <v>0.1768542676</v>
      </c>
      <c r="L7504" s="2">
        <v>606.0</v>
      </c>
      <c r="M7504" s="3">
        <f t="shared" si="5"/>
        <v>0.6005946482</v>
      </c>
      <c r="N7504" s="2">
        <v>6117800.0</v>
      </c>
      <c r="O7504" s="4">
        <f t="shared" si="6"/>
        <v>6063.230922</v>
      </c>
      <c r="P7504" s="2">
        <v>3.0</v>
      </c>
      <c r="Q7504" s="3">
        <f t="shared" si="7"/>
        <v>0.005952380952</v>
      </c>
      <c r="R7504" s="2">
        <v>496.0</v>
      </c>
      <c r="S7504" s="5">
        <f t="shared" si="8"/>
        <v>0.9841269841</v>
      </c>
    </row>
    <row r="7505">
      <c r="A7505" s="2" t="s">
        <v>7500</v>
      </c>
      <c r="B7505" s="2">
        <v>22.0</v>
      </c>
      <c r="C7505" s="2">
        <v>279.0</v>
      </c>
      <c r="D7505" s="2">
        <v>90.0</v>
      </c>
      <c r="E7505" s="3">
        <f t="shared" si="1"/>
        <v>0.3501945525</v>
      </c>
      <c r="F7505" s="2">
        <v>26.0</v>
      </c>
      <c r="G7505" s="3">
        <f t="shared" si="2"/>
        <v>0.1011673152</v>
      </c>
      <c r="H7505" s="2">
        <v>48.0</v>
      </c>
      <c r="I7505" s="3">
        <f t="shared" si="3"/>
        <v>0.186770428</v>
      </c>
      <c r="J7505" s="2">
        <v>35.0</v>
      </c>
      <c r="K7505" s="3">
        <f t="shared" si="4"/>
        <v>0.1361867704</v>
      </c>
      <c r="L7505" s="2">
        <v>28.0</v>
      </c>
      <c r="M7505" s="3">
        <f t="shared" si="5"/>
        <v>0.5833333333</v>
      </c>
      <c r="N7505" s="2">
        <v>246500.0</v>
      </c>
      <c r="O7505" s="4">
        <f t="shared" si="6"/>
        <v>5135.416667</v>
      </c>
      <c r="P7505" s="2">
        <v>0.0</v>
      </c>
      <c r="Q7505" s="3">
        <f t="shared" si="7"/>
        <v>0</v>
      </c>
      <c r="R7505" s="2">
        <v>22.0</v>
      </c>
      <c r="S7505" s="5">
        <f t="shared" si="8"/>
        <v>1</v>
      </c>
    </row>
    <row r="7506">
      <c r="A7506" s="2" t="s">
        <v>7501</v>
      </c>
      <c r="B7506" s="2">
        <v>58.0</v>
      </c>
      <c r="C7506" s="2">
        <v>701.0</v>
      </c>
      <c r="D7506" s="2">
        <v>271.0</v>
      </c>
      <c r="E7506" s="3">
        <f t="shared" si="1"/>
        <v>0.4214618974</v>
      </c>
      <c r="F7506" s="2">
        <v>65.0</v>
      </c>
      <c r="G7506" s="3">
        <f t="shared" si="2"/>
        <v>0.101088647</v>
      </c>
      <c r="H7506" s="2">
        <v>120.0</v>
      </c>
      <c r="I7506" s="3">
        <f t="shared" si="3"/>
        <v>0.1866251944</v>
      </c>
      <c r="J7506" s="2">
        <v>83.0</v>
      </c>
      <c r="K7506" s="3">
        <f t="shared" si="4"/>
        <v>0.1290824261</v>
      </c>
      <c r="L7506" s="2">
        <v>82.0</v>
      </c>
      <c r="M7506" s="3">
        <f t="shared" si="5"/>
        <v>0.6833333333</v>
      </c>
      <c r="N7506" s="2">
        <v>601700.0</v>
      </c>
      <c r="O7506" s="4">
        <f t="shared" si="6"/>
        <v>5014.166667</v>
      </c>
      <c r="P7506" s="2">
        <v>0.0</v>
      </c>
      <c r="Q7506" s="3">
        <f t="shared" si="7"/>
        <v>0</v>
      </c>
      <c r="R7506" s="2">
        <v>58.0</v>
      </c>
      <c r="S7506" s="5">
        <f t="shared" si="8"/>
        <v>1</v>
      </c>
    </row>
    <row r="7507">
      <c r="A7507" s="2" t="s">
        <v>7502</v>
      </c>
      <c r="B7507" s="2">
        <v>1076.0</v>
      </c>
      <c r="C7507" s="2">
        <v>12749.0</v>
      </c>
      <c r="D7507" s="2">
        <v>4347.0</v>
      </c>
      <c r="E7507" s="3">
        <f t="shared" si="1"/>
        <v>0.3723978412</v>
      </c>
      <c r="F7507" s="2">
        <v>1180.0</v>
      </c>
      <c r="G7507" s="3">
        <f t="shared" si="2"/>
        <v>0.1010879808</v>
      </c>
      <c r="H7507" s="2">
        <v>2260.0</v>
      </c>
      <c r="I7507" s="3">
        <f t="shared" si="3"/>
        <v>0.1936091836</v>
      </c>
      <c r="J7507" s="2">
        <v>1411.0</v>
      </c>
      <c r="K7507" s="3">
        <f t="shared" si="4"/>
        <v>0.1208772381</v>
      </c>
      <c r="L7507" s="2">
        <v>1366.0</v>
      </c>
      <c r="M7507" s="3">
        <f t="shared" si="5"/>
        <v>0.6044247788</v>
      </c>
      <c r="N7507" s="2">
        <v>1.15296E7</v>
      </c>
      <c r="O7507" s="4">
        <f t="shared" si="6"/>
        <v>5101.59292</v>
      </c>
      <c r="P7507" s="2">
        <v>0.0</v>
      </c>
      <c r="Q7507" s="3">
        <f t="shared" si="7"/>
        <v>0</v>
      </c>
      <c r="R7507" s="2">
        <v>1076.0</v>
      </c>
      <c r="S7507" s="5">
        <f t="shared" si="8"/>
        <v>1</v>
      </c>
    </row>
    <row r="7508">
      <c r="A7508" s="2" t="s">
        <v>7503</v>
      </c>
      <c r="B7508" s="2">
        <v>755.0</v>
      </c>
      <c r="C7508" s="2">
        <v>9108.0</v>
      </c>
      <c r="D7508" s="2">
        <v>2275.0</v>
      </c>
      <c r="E7508" s="3">
        <f t="shared" si="1"/>
        <v>0.2723572369</v>
      </c>
      <c r="F7508" s="2">
        <v>844.0</v>
      </c>
      <c r="G7508" s="3">
        <f t="shared" si="2"/>
        <v>0.101041542</v>
      </c>
      <c r="H7508" s="2">
        <v>1635.0</v>
      </c>
      <c r="I7508" s="3">
        <f t="shared" si="3"/>
        <v>0.1957380582</v>
      </c>
      <c r="J7508" s="2">
        <v>908.0</v>
      </c>
      <c r="K7508" s="3">
        <f t="shared" si="4"/>
        <v>0.1087034598</v>
      </c>
      <c r="L7508" s="2">
        <v>1001.0</v>
      </c>
      <c r="M7508" s="3">
        <f t="shared" si="5"/>
        <v>0.6122324159</v>
      </c>
      <c r="N7508" s="2">
        <v>9118200.0</v>
      </c>
      <c r="O7508" s="4">
        <f t="shared" si="6"/>
        <v>5576.880734</v>
      </c>
      <c r="P7508" s="2">
        <v>2.0</v>
      </c>
      <c r="Q7508" s="3">
        <f t="shared" si="7"/>
        <v>0.002649006623</v>
      </c>
      <c r="R7508" s="2">
        <v>755.0</v>
      </c>
      <c r="S7508" s="5">
        <f t="shared" si="8"/>
        <v>1</v>
      </c>
    </row>
    <row r="7509">
      <c r="A7509" s="2" t="s">
        <v>7504</v>
      </c>
      <c r="B7509" s="2">
        <v>1370.0</v>
      </c>
      <c r="C7509" s="2">
        <v>16061.0</v>
      </c>
      <c r="D7509" s="2">
        <v>4804.0</v>
      </c>
      <c r="E7509" s="3">
        <f t="shared" si="1"/>
        <v>0.327002927</v>
      </c>
      <c r="F7509" s="2">
        <v>1484.0</v>
      </c>
      <c r="G7509" s="3">
        <f t="shared" si="2"/>
        <v>0.1010142264</v>
      </c>
      <c r="H7509" s="2">
        <v>2872.0</v>
      </c>
      <c r="I7509" s="3">
        <f t="shared" si="3"/>
        <v>0.1954938398</v>
      </c>
      <c r="J7509" s="2">
        <v>2510.0</v>
      </c>
      <c r="K7509" s="3">
        <f t="shared" si="4"/>
        <v>0.1708529031</v>
      </c>
      <c r="L7509" s="2">
        <v>1674.0</v>
      </c>
      <c r="M7509" s="3">
        <f t="shared" si="5"/>
        <v>0.5828690808</v>
      </c>
      <c r="N7509" s="2">
        <v>1.69986E7</v>
      </c>
      <c r="O7509" s="4">
        <f t="shared" si="6"/>
        <v>5918.732591</v>
      </c>
      <c r="P7509" s="2">
        <v>1.0</v>
      </c>
      <c r="Q7509" s="3">
        <f t="shared" si="7"/>
        <v>0.0007299270073</v>
      </c>
      <c r="R7509" s="2">
        <v>1370.0</v>
      </c>
      <c r="S7509" s="5">
        <f t="shared" si="8"/>
        <v>1</v>
      </c>
    </row>
    <row r="7510">
      <c r="A7510" s="2" t="s">
        <v>7505</v>
      </c>
      <c r="B7510" s="2">
        <v>78.0</v>
      </c>
      <c r="C7510" s="2">
        <v>920.0</v>
      </c>
      <c r="D7510" s="2">
        <v>255.0</v>
      </c>
      <c r="E7510" s="3">
        <f t="shared" si="1"/>
        <v>0.3028503563</v>
      </c>
      <c r="F7510" s="2">
        <v>85.0</v>
      </c>
      <c r="G7510" s="3">
        <f t="shared" si="2"/>
        <v>0.1009501188</v>
      </c>
      <c r="H7510" s="2">
        <v>163.0</v>
      </c>
      <c r="I7510" s="3">
        <f t="shared" si="3"/>
        <v>0.1935866983</v>
      </c>
      <c r="J7510" s="2">
        <v>103.0</v>
      </c>
      <c r="K7510" s="3">
        <f t="shared" si="4"/>
        <v>0.122327791</v>
      </c>
      <c r="L7510" s="2">
        <v>93.0</v>
      </c>
      <c r="M7510" s="3">
        <f t="shared" si="5"/>
        <v>0.5705521472</v>
      </c>
      <c r="N7510" s="2">
        <v>991400.0</v>
      </c>
      <c r="O7510" s="4">
        <f t="shared" si="6"/>
        <v>6082.208589</v>
      </c>
      <c r="P7510" s="2">
        <v>0.0</v>
      </c>
      <c r="Q7510" s="3">
        <f t="shared" si="7"/>
        <v>0</v>
      </c>
      <c r="R7510" s="2">
        <v>78.0</v>
      </c>
      <c r="S7510" s="5">
        <f t="shared" si="8"/>
        <v>1</v>
      </c>
    </row>
    <row r="7511">
      <c r="A7511" s="2" t="s">
        <v>7506</v>
      </c>
      <c r="B7511" s="2">
        <v>751.0</v>
      </c>
      <c r="C7511" s="2">
        <v>8905.0</v>
      </c>
      <c r="D7511" s="2">
        <v>2657.0</v>
      </c>
      <c r="E7511" s="3">
        <f t="shared" si="1"/>
        <v>0.3258523424</v>
      </c>
      <c r="F7511" s="2">
        <v>823.0</v>
      </c>
      <c r="G7511" s="3">
        <f t="shared" si="2"/>
        <v>0.1009320579</v>
      </c>
      <c r="H7511" s="2">
        <v>1585.0</v>
      </c>
      <c r="I7511" s="3">
        <f t="shared" si="3"/>
        <v>0.1943831248</v>
      </c>
      <c r="J7511" s="2">
        <v>1021.0</v>
      </c>
      <c r="K7511" s="3">
        <f t="shared" si="4"/>
        <v>0.1252146186</v>
      </c>
      <c r="L7511" s="2">
        <v>941.0</v>
      </c>
      <c r="M7511" s="3">
        <f t="shared" si="5"/>
        <v>0.5936908517</v>
      </c>
      <c r="N7511" s="2">
        <v>8837700.0</v>
      </c>
      <c r="O7511" s="4">
        <f t="shared" si="6"/>
        <v>5575.835962</v>
      </c>
      <c r="P7511" s="2">
        <v>0.0</v>
      </c>
      <c r="Q7511" s="3">
        <f t="shared" si="7"/>
        <v>0</v>
      </c>
      <c r="R7511" s="2">
        <v>751.0</v>
      </c>
      <c r="S7511" s="5">
        <f t="shared" si="8"/>
        <v>1</v>
      </c>
    </row>
    <row r="7512">
      <c r="A7512" s="2" t="s">
        <v>7507</v>
      </c>
      <c r="B7512" s="2">
        <v>49.0</v>
      </c>
      <c r="C7512" s="2">
        <v>594.0</v>
      </c>
      <c r="D7512" s="2">
        <v>217.0</v>
      </c>
      <c r="E7512" s="3">
        <f t="shared" si="1"/>
        <v>0.3981651376</v>
      </c>
      <c r="F7512" s="2">
        <v>55.0</v>
      </c>
      <c r="G7512" s="3">
        <f t="shared" si="2"/>
        <v>0.1009174312</v>
      </c>
      <c r="H7512" s="2">
        <v>93.0</v>
      </c>
      <c r="I7512" s="3">
        <f t="shared" si="3"/>
        <v>0.1706422018</v>
      </c>
      <c r="J7512" s="2">
        <v>85.0</v>
      </c>
      <c r="K7512" s="3">
        <f t="shared" si="4"/>
        <v>0.1559633028</v>
      </c>
      <c r="L7512" s="2">
        <v>61.0</v>
      </c>
      <c r="M7512" s="3">
        <f t="shared" si="5"/>
        <v>0.6559139785</v>
      </c>
      <c r="N7512" s="2">
        <v>501900.0</v>
      </c>
      <c r="O7512" s="4">
        <f t="shared" si="6"/>
        <v>5396.774194</v>
      </c>
      <c r="P7512" s="2">
        <v>0.0</v>
      </c>
      <c r="Q7512" s="3">
        <f t="shared" si="7"/>
        <v>0</v>
      </c>
      <c r="R7512" s="2">
        <v>49.0</v>
      </c>
      <c r="S7512" s="5">
        <f t="shared" si="8"/>
        <v>1</v>
      </c>
    </row>
    <row r="7513">
      <c r="A7513" s="2" t="s">
        <v>7508</v>
      </c>
      <c r="B7513" s="2">
        <v>2385.0</v>
      </c>
      <c r="C7513" s="2">
        <v>28192.0</v>
      </c>
      <c r="D7513" s="2">
        <v>9418.0</v>
      </c>
      <c r="E7513" s="3">
        <f t="shared" si="1"/>
        <v>0.364939745</v>
      </c>
      <c r="F7513" s="2">
        <v>2603.0</v>
      </c>
      <c r="G7513" s="3">
        <f t="shared" si="2"/>
        <v>0.1008641066</v>
      </c>
      <c r="H7513" s="2">
        <v>5208.0</v>
      </c>
      <c r="I7513" s="3">
        <f t="shared" si="3"/>
        <v>0.2018057116</v>
      </c>
      <c r="J7513" s="2">
        <v>3607.0</v>
      </c>
      <c r="K7513" s="3">
        <f t="shared" si="4"/>
        <v>0.1397682799</v>
      </c>
      <c r="L7513" s="2">
        <v>3128.0</v>
      </c>
      <c r="M7513" s="3">
        <f t="shared" si="5"/>
        <v>0.6006144393</v>
      </c>
      <c r="N7513" s="2">
        <v>2.86942E7</v>
      </c>
      <c r="O7513" s="4">
        <f t="shared" si="6"/>
        <v>5509.639017</v>
      </c>
      <c r="P7513" s="2">
        <v>3.0</v>
      </c>
      <c r="Q7513" s="3">
        <f t="shared" si="7"/>
        <v>0.001257861635</v>
      </c>
      <c r="R7513" s="2">
        <v>1074.0</v>
      </c>
      <c r="S7513" s="5">
        <f t="shared" si="8"/>
        <v>0.4503144654</v>
      </c>
    </row>
    <row r="7514">
      <c r="A7514" s="2" t="s">
        <v>7509</v>
      </c>
      <c r="B7514" s="2">
        <v>238.0</v>
      </c>
      <c r="C7514" s="2">
        <v>2816.0</v>
      </c>
      <c r="D7514" s="2">
        <v>864.0</v>
      </c>
      <c r="E7514" s="3">
        <f t="shared" si="1"/>
        <v>0.3351435221</v>
      </c>
      <c r="F7514" s="2">
        <v>260.0</v>
      </c>
      <c r="G7514" s="3">
        <f t="shared" si="2"/>
        <v>0.1008533747</v>
      </c>
      <c r="H7514" s="2">
        <v>563.0</v>
      </c>
      <c r="I7514" s="3">
        <f t="shared" si="3"/>
        <v>0.218386346</v>
      </c>
      <c r="J7514" s="2">
        <v>451.0</v>
      </c>
      <c r="K7514" s="3">
        <f t="shared" si="4"/>
        <v>0.1749418154</v>
      </c>
      <c r="L7514" s="2">
        <v>349.0</v>
      </c>
      <c r="M7514" s="3">
        <f t="shared" si="5"/>
        <v>0.6198934281</v>
      </c>
      <c r="N7514" s="2">
        <v>3030600.0</v>
      </c>
      <c r="O7514" s="4">
        <f t="shared" si="6"/>
        <v>5382.94849</v>
      </c>
      <c r="P7514" s="2">
        <v>0.0</v>
      </c>
      <c r="Q7514" s="3">
        <f t="shared" si="7"/>
        <v>0</v>
      </c>
      <c r="R7514" s="2">
        <v>0.0</v>
      </c>
      <c r="S7514" s="5">
        <f t="shared" si="8"/>
        <v>0</v>
      </c>
    </row>
    <row r="7515">
      <c r="A7515" s="2" t="s">
        <v>7510</v>
      </c>
      <c r="B7515" s="2">
        <v>166.0</v>
      </c>
      <c r="C7515" s="2">
        <v>1953.0</v>
      </c>
      <c r="D7515" s="2">
        <v>461.0</v>
      </c>
      <c r="E7515" s="3">
        <f t="shared" si="1"/>
        <v>0.2579742585</v>
      </c>
      <c r="F7515" s="2">
        <v>180.0</v>
      </c>
      <c r="G7515" s="3">
        <f t="shared" si="2"/>
        <v>0.1007274762</v>
      </c>
      <c r="H7515" s="2">
        <v>289.0</v>
      </c>
      <c r="I7515" s="3">
        <f t="shared" si="3"/>
        <v>0.161723559</v>
      </c>
      <c r="J7515" s="2">
        <v>246.0</v>
      </c>
      <c r="K7515" s="3">
        <f t="shared" si="4"/>
        <v>0.1376608842</v>
      </c>
      <c r="L7515" s="2">
        <v>161.0</v>
      </c>
      <c r="M7515" s="3">
        <f t="shared" si="5"/>
        <v>0.5570934256</v>
      </c>
      <c r="N7515" s="2">
        <v>1745300.0</v>
      </c>
      <c r="O7515" s="4">
        <f t="shared" si="6"/>
        <v>6039.100346</v>
      </c>
      <c r="P7515" s="2">
        <v>0.0</v>
      </c>
      <c r="Q7515" s="3">
        <f t="shared" si="7"/>
        <v>0</v>
      </c>
      <c r="R7515" s="2">
        <v>166.0</v>
      </c>
      <c r="S7515" s="5">
        <f t="shared" si="8"/>
        <v>1</v>
      </c>
    </row>
    <row r="7516">
      <c r="A7516" s="2" t="s">
        <v>7511</v>
      </c>
      <c r="B7516" s="2">
        <v>13.0</v>
      </c>
      <c r="C7516" s="2">
        <v>162.0</v>
      </c>
      <c r="D7516" s="2">
        <v>51.0</v>
      </c>
      <c r="E7516" s="3">
        <f t="shared" si="1"/>
        <v>0.3422818792</v>
      </c>
      <c r="F7516" s="2">
        <v>15.0</v>
      </c>
      <c r="G7516" s="3">
        <f t="shared" si="2"/>
        <v>0.1006711409</v>
      </c>
      <c r="H7516" s="2">
        <v>28.0</v>
      </c>
      <c r="I7516" s="3">
        <f t="shared" si="3"/>
        <v>0.1879194631</v>
      </c>
      <c r="J7516" s="2">
        <v>18.0</v>
      </c>
      <c r="K7516" s="3">
        <f t="shared" si="4"/>
        <v>0.1208053691</v>
      </c>
      <c r="L7516" s="2">
        <v>19.0</v>
      </c>
      <c r="M7516" s="3">
        <f t="shared" si="5"/>
        <v>0.6785714286</v>
      </c>
      <c r="N7516" s="2">
        <v>177300.0</v>
      </c>
      <c r="O7516" s="4">
        <f t="shared" si="6"/>
        <v>6332.142857</v>
      </c>
      <c r="P7516" s="2">
        <v>0.0</v>
      </c>
      <c r="Q7516" s="3">
        <f t="shared" si="7"/>
        <v>0</v>
      </c>
      <c r="R7516" s="2">
        <v>0.0</v>
      </c>
      <c r="S7516" s="5">
        <f t="shared" si="8"/>
        <v>0</v>
      </c>
    </row>
    <row r="7517">
      <c r="A7517" s="2" t="s">
        <v>7512</v>
      </c>
      <c r="B7517" s="2">
        <v>278.0</v>
      </c>
      <c r="C7517" s="2">
        <v>3278.0</v>
      </c>
      <c r="D7517" s="2">
        <v>926.0</v>
      </c>
      <c r="E7517" s="3">
        <f t="shared" si="1"/>
        <v>0.3086666667</v>
      </c>
      <c r="F7517" s="2">
        <v>302.0</v>
      </c>
      <c r="G7517" s="3">
        <f t="shared" si="2"/>
        <v>0.1006666667</v>
      </c>
      <c r="H7517" s="2">
        <v>602.0</v>
      </c>
      <c r="I7517" s="3">
        <f t="shared" si="3"/>
        <v>0.2006666667</v>
      </c>
      <c r="J7517" s="2">
        <v>454.0</v>
      </c>
      <c r="K7517" s="3">
        <f t="shared" si="4"/>
        <v>0.1513333333</v>
      </c>
      <c r="L7517" s="2">
        <v>336.0</v>
      </c>
      <c r="M7517" s="3">
        <f t="shared" si="5"/>
        <v>0.5581395349</v>
      </c>
      <c r="N7517" s="2">
        <v>3404200.0</v>
      </c>
      <c r="O7517" s="4">
        <f t="shared" si="6"/>
        <v>5654.817276</v>
      </c>
      <c r="P7517" s="2">
        <v>0.0</v>
      </c>
      <c r="Q7517" s="3">
        <f t="shared" si="7"/>
        <v>0</v>
      </c>
      <c r="R7517" s="2">
        <v>278.0</v>
      </c>
      <c r="S7517" s="5">
        <f t="shared" si="8"/>
        <v>1</v>
      </c>
    </row>
    <row r="7518">
      <c r="A7518" s="2" t="s">
        <v>7513</v>
      </c>
      <c r="B7518" s="2">
        <v>220.0</v>
      </c>
      <c r="C7518" s="2">
        <v>2565.0</v>
      </c>
      <c r="D7518" s="2">
        <v>761.0</v>
      </c>
      <c r="E7518" s="3">
        <f t="shared" si="1"/>
        <v>0.3245202559</v>
      </c>
      <c r="F7518" s="2">
        <v>236.0</v>
      </c>
      <c r="G7518" s="3">
        <f t="shared" si="2"/>
        <v>0.1006396588</v>
      </c>
      <c r="H7518" s="2">
        <v>476.0</v>
      </c>
      <c r="I7518" s="3">
        <f t="shared" si="3"/>
        <v>0.2029850746</v>
      </c>
      <c r="J7518" s="2">
        <v>350.0</v>
      </c>
      <c r="K7518" s="3">
        <f t="shared" si="4"/>
        <v>0.1492537313</v>
      </c>
      <c r="L7518" s="2">
        <v>294.0</v>
      </c>
      <c r="M7518" s="3">
        <f t="shared" si="5"/>
        <v>0.6176470588</v>
      </c>
      <c r="N7518" s="2">
        <v>2864400.0</v>
      </c>
      <c r="O7518" s="4">
        <f t="shared" si="6"/>
        <v>6017.647059</v>
      </c>
      <c r="P7518" s="2">
        <v>0.0</v>
      </c>
      <c r="Q7518" s="3">
        <f t="shared" si="7"/>
        <v>0</v>
      </c>
      <c r="R7518" s="2">
        <v>0.0</v>
      </c>
      <c r="S7518" s="5">
        <f t="shared" si="8"/>
        <v>0</v>
      </c>
    </row>
    <row r="7519">
      <c r="A7519" s="2" t="s">
        <v>7514</v>
      </c>
      <c r="B7519" s="2">
        <v>259.0</v>
      </c>
      <c r="C7519" s="2">
        <v>3046.0</v>
      </c>
      <c r="D7519" s="2">
        <v>983.0</v>
      </c>
      <c r="E7519" s="3">
        <f t="shared" si="1"/>
        <v>0.3527090061</v>
      </c>
      <c r="F7519" s="2">
        <v>280.0</v>
      </c>
      <c r="G7519" s="3">
        <f t="shared" si="2"/>
        <v>0.1004664514</v>
      </c>
      <c r="H7519" s="2">
        <v>554.0</v>
      </c>
      <c r="I7519" s="3">
        <f t="shared" si="3"/>
        <v>0.1987800502</v>
      </c>
      <c r="J7519" s="2">
        <v>416.0</v>
      </c>
      <c r="K7519" s="3">
        <f t="shared" si="4"/>
        <v>0.1492644421</v>
      </c>
      <c r="L7519" s="2">
        <v>342.0</v>
      </c>
      <c r="M7519" s="3">
        <f t="shared" si="5"/>
        <v>0.6173285199</v>
      </c>
      <c r="N7519" s="2">
        <v>3249000.0</v>
      </c>
      <c r="O7519" s="4">
        <f t="shared" si="6"/>
        <v>5864.620939</v>
      </c>
      <c r="P7519" s="2">
        <v>0.0</v>
      </c>
      <c r="Q7519" s="3">
        <f t="shared" si="7"/>
        <v>0</v>
      </c>
      <c r="R7519" s="2">
        <v>0.0</v>
      </c>
      <c r="S7519" s="5">
        <f t="shared" si="8"/>
        <v>0</v>
      </c>
    </row>
    <row r="7520">
      <c r="A7520" s="2" t="s">
        <v>7515</v>
      </c>
      <c r="B7520" s="2">
        <v>123.0</v>
      </c>
      <c r="C7520" s="2">
        <v>1447.0</v>
      </c>
      <c r="D7520" s="2">
        <v>466.0</v>
      </c>
      <c r="E7520" s="3">
        <f t="shared" si="1"/>
        <v>0.3519637462</v>
      </c>
      <c r="F7520" s="2">
        <v>133.0</v>
      </c>
      <c r="G7520" s="3">
        <f t="shared" si="2"/>
        <v>0.1004531722</v>
      </c>
      <c r="H7520" s="2">
        <v>284.0</v>
      </c>
      <c r="I7520" s="3">
        <f t="shared" si="3"/>
        <v>0.2145015106</v>
      </c>
      <c r="J7520" s="2">
        <v>260.0</v>
      </c>
      <c r="K7520" s="3">
        <f t="shared" si="4"/>
        <v>0.1963746224</v>
      </c>
      <c r="L7520" s="2">
        <v>178.0</v>
      </c>
      <c r="M7520" s="3">
        <f t="shared" si="5"/>
        <v>0.6267605634</v>
      </c>
      <c r="N7520" s="2">
        <v>1634300.0</v>
      </c>
      <c r="O7520" s="4">
        <f t="shared" si="6"/>
        <v>5754.577465</v>
      </c>
      <c r="P7520" s="2">
        <v>0.0</v>
      </c>
      <c r="Q7520" s="3">
        <f t="shared" si="7"/>
        <v>0</v>
      </c>
      <c r="R7520" s="2">
        <v>122.0</v>
      </c>
      <c r="S7520" s="5">
        <f t="shared" si="8"/>
        <v>0.9918699187</v>
      </c>
    </row>
    <row r="7521">
      <c r="A7521" s="2" t="s">
        <v>7516</v>
      </c>
      <c r="B7521" s="2">
        <v>137.0</v>
      </c>
      <c r="C7521" s="2">
        <v>1603.0</v>
      </c>
      <c r="D7521" s="2">
        <v>509.0</v>
      </c>
      <c r="E7521" s="3">
        <f t="shared" si="1"/>
        <v>0.3472032742</v>
      </c>
      <c r="F7521" s="2">
        <v>147.0</v>
      </c>
      <c r="G7521" s="3">
        <f t="shared" si="2"/>
        <v>0.1002728513</v>
      </c>
      <c r="H7521" s="2">
        <v>289.0</v>
      </c>
      <c r="I7521" s="3">
        <f t="shared" si="3"/>
        <v>0.1971350614</v>
      </c>
      <c r="J7521" s="2">
        <v>227.0</v>
      </c>
      <c r="K7521" s="3">
        <f t="shared" si="4"/>
        <v>0.1548431105</v>
      </c>
      <c r="L7521" s="2">
        <v>172.0</v>
      </c>
      <c r="M7521" s="3">
        <f t="shared" si="5"/>
        <v>0.5951557093</v>
      </c>
      <c r="N7521" s="2">
        <v>1787500.0</v>
      </c>
      <c r="O7521" s="4">
        <f t="shared" si="6"/>
        <v>6185.121107</v>
      </c>
      <c r="P7521" s="2">
        <v>0.0</v>
      </c>
      <c r="Q7521" s="3">
        <f t="shared" si="7"/>
        <v>0</v>
      </c>
      <c r="R7521" s="2">
        <v>68.0</v>
      </c>
      <c r="S7521" s="5">
        <f t="shared" si="8"/>
        <v>0.496350365</v>
      </c>
    </row>
    <row r="7522">
      <c r="A7522" s="2" t="s">
        <v>7517</v>
      </c>
      <c r="B7522" s="2">
        <v>394.0</v>
      </c>
      <c r="C7522" s="2">
        <v>4673.0</v>
      </c>
      <c r="D7522" s="2">
        <v>1440.0</v>
      </c>
      <c r="E7522" s="3">
        <f t="shared" si="1"/>
        <v>0.336527226</v>
      </c>
      <c r="F7522" s="2">
        <v>429.0</v>
      </c>
      <c r="G7522" s="3">
        <f t="shared" si="2"/>
        <v>0.1002570694</v>
      </c>
      <c r="H7522" s="2">
        <v>894.0</v>
      </c>
      <c r="I7522" s="3">
        <f t="shared" si="3"/>
        <v>0.2089273195</v>
      </c>
      <c r="J7522" s="2">
        <v>630.0</v>
      </c>
      <c r="K7522" s="3">
        <f t="shared" si="4"/>
        <v>0.1472306614</v>
      </c>
      <c r="L7522" s="2">
        <v>538.0</v>
      </c>
      <c r="M7522" s="3">
        <f t="shared" si="5"/>
        <v>0.6017897092</v>
      </c>
      <c r="N7522" s="2">
        <v>4717100.0</v>
      </c>
      <c r="O7522" s="4">
        <f t="shared" si="6"/>
        <v>5276.39821</v>
      </c>
      <c r="P7522" s="2">
        <v>0.0</v>
      </c>
      <c r="Q7522" s="3">
        <f t="shared" si="7"/>
        <v>0</v>
      </c>
      <c r="R7522" s="2">
        <v>394.0</v>
      </c>
      <c r="S7522" s="5">
        <f t="shared" si="8"/>
        <v>1</v>
      </c>
    </row>
    <row r="7523">
      <c r="A7523" s="2" t="s">
        <v>7518</v>
      </c>
      <c r="B7523" s="2">
        <v>445.0</v>
      </c>
      <c r="C7523" s="2">
        <v>5243.0</v>
      </c>
      <c r="D7523" s="2">
        <v>932.0</v>
      </c>
      <c r="E7523" s="3">
        <f t="shared" si="1"/>
        <v>0.1942476032</v>
      </c>
      <c r="F7523" s="2">
        <v>481.0</v>
      </c>
      <c r="G7523" s="3">
        <f t="shared" si="2"/>
        <v>0.1002501042</v>
      </c>
      <c r="H7523" s="2">
        <v>784.0</v>
      </c>
      <c r="I7523" s="3">
        <f t="shared" si="3"/>
        <v>0.1634014173</v>
      </c>
      <c r="J7523" s="2">
        <v>644.0</v>
      </c>
      <c r="K7523" s="3">
        <f t="shared" si="4"/>
        <v>0.1342225927</v>
      </c>
      <c r="L7523" s="2">
        <v>472.0</v>
      </c>
      <c r="M7523" s="3">
        <f t="shared" si="5"/>
        <v>0.6020408163</v>
      </c>
      <c r="N7523" s="2">
        <v>5239600.0</v>
      </c>
      <c r="O7523" s="4">
        <f t="shared" si="6"/>
        <v>6683.163265</v>
      </c>
      <c r="P7523" s="2">
        <v>4.0</v>
      </c>
      <c r="Q7523" s="3">
        <f t="shared" si="7"/>
        <v>0.008988764045</v>
      </c>
      <c r="R7523" s="2">
        <v>445.0</v>
      </c>
      <c r="S7523" s="5">
        <f t="shared" si="8"/>
        <v>1</v>
      </c>
    </row>
    <row r="7524">
      <c r="A7524" s="2" t="s">
        <v>7519</v>
      </c>
      <c r="B7524" s="2">
        <v>147.0</v>
      </c>
      <c r="C7524" s="2">
        <v>1724.0</v>
      </c>
      <c r="D7524" s="2">
        <v>599.0</v>
      </c>
      <c r="E7524" s="3">
        <f t="shared" si="1"/>
        <v>0.37983513</v>
      </c>
      <c r="F7524" s="2">
        <v>158.0</v>
      </c>
      <c r="G7524" s="3">
        <f t="shared" si="2"/>
        <v>0.1001902346</v>
      </c>
      <c r="H7524" s="2">
        <v>324.0</v>
      </c>
      <c r="I7524" s="3">
        <f t="shared" si="3"/>
        <v>0.2054533925</v>
      </c>
      <c r="J7524" s="2">
        <v>226.0</v>
      </c>
      <c r="K7524" s="3">
        <f t="shared" si="4"/>
        <v>0.1433100824</v>
      </c>
      <c r="L7524" s="2">
        <v>192.0</v>
      </c>
      <c r="M7524" s="3">
        <f t="shared" si="5"/>
        <v>0.5925925926</v>
      </c>
      <c r="N7524" s="2">
        <v>1855500.0</v>
      </c>
      <c r="O7524" s="4">
        <f t="shared" si="6"/>
        <v>5726.851852</v>
      </c>
      <c r="P7524" s="2">
        <v>1.0</v>
      </c>
      <c r="Q7524" s="3">
        <f t="shared" si="7"/>
        <v>0.006802721088</v>
      </c>
      <c r="R7524" s="2">
        <v>0.0</v>
      </c>
      <c r="S7524" s="5">
        <f t="shared" si="8"/>
        <v>0</v>
      </c>
    </row>
    <row r="7525">
      <c r="A7525" s="2" t="s">
        <v>7520</v>
      </c>
      <c r="B7525" s="2">
        <v>447.0</v>
      </c>
      <c r="C7525" s="2">
        <v>5389.0</v>
      </c>
      <c r="D7525" s="2">
        <v>1780.0</v>
      </c>
      <c r="E7525" s="3">
        <f t="shared" si="1"/>
        <v>0.3601780656</v>
      </c>
      <c r="F7525" s="2">
        <v>495.0</v>
      </c>
      <c r="G7525" s="3">
        <f t="shared" si="2"/>
        <v>0.1001618778</v>
      </c>
      <c r="H7525" s="2">
        <v>993.0</v>
      </c>
      <c r="I7525" s="3">
        <f t="shared" si="3"/>
        <v>0.2009307972</v>
      </c>
      <c r="J7525" s="2">
        <v>640.0</v>
      </c>
      <c r="K7525" s="3">
        <f t="shared" si="4"/>
        <v>0.1295022258</v>
      </c>
      <c r="L7525" s="2">
        <v>577.0</v>
      </c>
      <c r="M7525" s="3">
        <f t="shared" si="5"/>
        <v>0.5810674723</v>
      </c>
      <c r="N7525" s="2">
        <v>5376700.0</v>
      </c>
      <c r="O7525" s="4">
        <f t="shared" si="6"/>
        <v>5414.602216</v>
      </c>
      <c r="P7525" s="2">
        <v>2.0</v>
      </c>
      <c r="Q7525" s="3">
        <f t="shared" si="7"/>
        <v>0.004474272931</v>
      </c>
      <c r="R7525" s="2">
        <v>447.0</v>
      </c>
      <c r="S7525" s="5">
        <f t="shared" si="8"/>
        <v>1</v>
      </c>
    </row>
    <row r="7526">
      <c r="A7526" s="2" t="s">
        <v>7521</v>
      </c>
      <c r="B7526" s="2">
        <v>251.0</v>
      </c>
      <c r="C7526" s="2">
        <v>2949.0</v>
      </c>
      <c r="D7526" s="2">
        <v>863.0</v>
      </c>
      <c r="E7526" s="3">
        <f t="shared" si="1"/>
        <v>0.3198665678</v>
      </c>
      <c r="F7526" s="2">
        <v>270.0</v>
      </c>
      <c r="G7526" s="3">
        <f t="shared" si="2"/>
        <v>0.100074129</v>
      </c>
      <c r="H7526" s="2">
        <v>512.0</v>
      </c>
      <c r="I7526" s="3">
        <f t="shared" si="3"/>
        <v>0.1897702001</v>
      </c>
      <c r="J7526" s="2">
        <v>338.0</v>
      </c>
      <c r="K7526" s="3">
        <f t="shared" si="4"/>
        <v>0.1252779837</v>
      </c>
      <c r="L7526" s="2">
        <v>324.0</v>
      </c>
      <c r="M7526" s="3">
        <f t="shared" si="5"/>
        <v>0.6328125</v>
      </c>
      <c r="N7526" s="2">
        <v>2849000.0</v>
      </c>
      <c r="O7526" s="4">
        <f t="shared" si="6"/>
        <v>5564.453125</v>
      </c>
      <c r="P7526" s="2">
        <v>0.0</v>
      </c>
      <c r="Q7526" s="3">
        <f t="shared" si="7"/>
        <v>0</v>
      </c>
      <c r="R7526" s="2">
        <v>251.0</v>
      </c>
      <c r="S7526" s="5">
        <f t="shared" si="8"/>
        <v>1</v>
      </c>
    </row>
    <row r="7527">
      <c r="A7527" s="2" t="s">
        <v>7522</v>
      </c>
      <c r="B7527" s="2">
        <v>1.0</v>
      </c>
      <c r="C7527" s="2">
        <v>11.0</v>
      </c>
      <c r="D7527" s="2">
        <v>4.0</v>
      </c>
      <c r="E7527" s="3">
        <f t="shared" si="1"/>
        <v>0.4</v>
      </c>
      <c r="F7527" s="2">
        <v>1.0</v>
      </c>
      <c r="G7527" s="3">
        <f t="shared" si="2"/>
        <v>0.1</v>
      </c>
      <c r="H7527" s="2">
        <v>2.0</v>
      </c>
      <c r="I7527" s="3">
        <f t="shared" si="3"/>
        <v>0.2</v>
      </c>
      <c r="J7527" s="2">
        <v>3.0</v>
      </c>
      <c r="K7527" s="3">
        <f t="shared" si="4"/>
        <v>0.3</v>
      </c>
      <c r="L7527" s="2">
        <v>1.0</v>
      </c>
      <c r="M7527" s="3">
        <f t="shared" si="5"/>
        <v>0.5</v>
      </c>
      <c r="N7527" s="2">
        <v>17200.0</v>
      </c>
      <c r="O7527" s="4">
        <f t="shared" si="6"/>
        <v>8600</v>
      </c>
      <c r="P7527" s="2">
        <v>0.0</v>
      </c>
      <c r="Q7527" s="3">
        <f t="shared" si="7"/>
        <v>0</v>
      </c>
      <c r="R7527" s="2">
        <v>1.0</v>
      </c>
      <c r="S7527" s="5">
        <f t="shared" si="8"/>
        <v>1</v>
      </c>
    </row>
    <row r="7528">
      <c r="A7528" s="2" t="s">
        <v>7523</v>
      </c>
      <c r="B7528" s="2">
        <v>3.0</v>
      </c>
      <c r="C7528" s="2">
        <v>43.0</v>
      </c>
      <c r="D7528" s="2">
        <v>18.0</v>
      </c>
      <c r="E7528" s="3">
        <f t="shared" si="1"/>
        <v>0.45</v>
      </c>
      <c r="F7528" s="2">
        <v>4.0</v>
      </c>
      <c r="G7528" s="3">
        <f t="shared" si="2"/>
        <v>0.1</v>
      </c>
      <c r="H7528" s="2">
        <v>5.0</v>
      </c>
      <c r="I7528" s="3">
        <f t="shared" si="3"/>
        <v>0.125</v>
      </c>
      <c r="J7528" s="2">
        <v>9.0</v>
      </c>
      <c r="K7528" s="3">
        <f t="shared" si="4"/>
        <v>0.225</v>
      </c>
      <c r="L7528" s="2">
        <v>2.0</v>
      </c>
      <c r="M7528" s="3">
        <f t="shared" si="5"/>
        <v>0.4</v>
      </c>
      <c r="N7528" s="2">
        <v>25900.0</v>
      </c>
      <c r="O7528" s="4">
        <f t="shared" si="6"/>
        <v>5180</v>
      </c>
      <c r="P7528" s="2">
        <v>0.0</v>
      </c>
      <c r="Q7528" s="3">
        <f t="shared" si="7"/>
        <v>0</v>
      </c>
      <c r="R7528" s="2">
        <v>3.0</v>
      </c>
      <c r="S7528" s="5">
        <f t="shared" si="8"/>
        <v>1</v>
      </c>
    </row>
    <row r="7529">
      <c r="A7529" s="2" t="s">
        <v>7524</v>
      </c>
      <c r="B7529" s="2">
        <v>1.0</v>
      </c>
      <c r="C7529" s="2">
        <v>11.0</v>
      </c>
      <c r="D7529" s="2">
        <v>2.0</v>
      </c>
      <c r="E7529" s="3">
        <f t="shared" si="1"/>
        <v>0.2</v>
      </c>
      <c r="F7529" s="2">
        <v>1.0</v>
      </c>
      <c r="G7529" s="3">
        <f t="shared" si="2"/>
        <v>0.1</v>
      </c>
      <c r="H7529" s="2">
        <v>0.0</v>
      </c>
      <c r="I7529" s="3">
        <f t="shared" si="3"/>
        <v>0</v>
      </c>
      <c r="J7529" s="2">
        <v>2.0</v>
      </c>
      <c r="K7529" s="3">
        <f t="shared" si="4"/>
        <v>0.2</v>
      </c>
      <c r="L7529" s="2">
        <v>0.0</v>
      </c>
      <c r="M7529" s="3" t="str">
        <f t="shared" si="5"/>
        <v>#DIV/0!</v>
      </c>
      <c r="N7529" s="2">
        <v>0.0</v>
      </c>
      <c r="O7529" s="4" t="str">
        <f t="shared" si="6"/>
        <v>#DIV/0!</v>
      </c>
      <c r="P7529" s="2">
        <v>0.0</v>
      </c>
      <c r="Q7529" s="3">
        <f t="shared" si="7"/>
        <v>0</v>
      </c>
      <c r="R7529" s="2">
        <v>1.0</v>
      </c>
      <c r="S7529" s="5">
        <f t="shared" si="8"/>
        <v>1</v>
      </c>
    </row>
    <row r="7530">
      <c r="A7530" s="2" t="s">
        <v>7525</v>
      </c>
      <c r="B7530" s="2">
        <v>9.0</v>
      </c>
      <c r="C7530" s="2">
        <v>109.0</v>
      </c>
      <c r="D7530" s="2">
        <v>38.0</v>
      </c>
      <c r="E7530" s="3">
        <f t="shared" si="1"/>
        <v>0.38</v>
      </c>
      <c r="F7530" s="2">
        <v>10.0</v>
      </c>
      <c r="G7530" s="3">
        <f t="shared" si="2"/>
        <v>0.1</v>
      </c>
      <c r="H7530" s="2">
        <v>13.0</v>
      </c>
      <c r="I7530" s="3">
        <f t="shared" si="3"/>
        <v>0.13</v>
      </c>
      <c r="J7530" s="2">
        <v>17.0</v>
      </c>
      <c r="K7530" s="3">
        <f t="shared" si="4"/>
        <v>0.17</v>
      </c>
      <c r="L7530" s="2">
        <v>9.0</v>
      </c>
      <c r="M7530" s="3">
        <f t="shared" si="5"/>
        <v>0.6923076923</v>
      </c>
      <c r="N7530" s="2">
        <v>69800.0</v>
      </c>
      <c r="O7530" s="4">
        <f t="shared" si="6"/>
        <v>5369.230769</v>
      </c>
      <c r="P7530" s="2">
        <v>0.0</v>
      </c>
      <c r="Q7530" s="3">
        <f t="shared" si="7"/>
        <v>0</v>
      </c>
      <c r="R7530" s="2">
        <v>9.0</v>
      </c>
      <c r="S7530" s="5">
        <f t="shared" si="8"/>
        <v>1</v>
      </c>
    </row>
    <row r="7531">
      <c r="A7531" s="2" t="s">
        <v>7526</v>
      </c>
      <c r="B7531" s="2">
        <v>2.0</v>
      </c>
      <c r="C7531" s="2">
        <v>32.0</v>
      </c>
      <c r="D7531" s="2">
        <v>7.0</v>
      </c>
      <c r="E7531" s="3">
        <f t="shared" si="1"/>
        <v>0.2333333333</v>
      </c>
      <c r="F7531" s="2">
        <v>3.0</v>
      </c>
      <c r="G7531" s="3">
        <f t="shared" si="2"/>
        <v>0.1</v>
      </c>
      <c r="H7531" s="2">
        <v>6.0</v>
      </c>
      <c r="I7531" s="3">
        <f t="shared" si="3"/>
        <v>0.2</v>
      </c>
      <c r="J7531" s="2">
        <v>5.0</v>
      </c>
      <c r="K7531" s="3">
        <f t="shared" si="4"/>
        <v>0.1666666667</v>
      </c>
      <c r="L7531" s="2">
        <v>4.0</v>
      </c>
      <c r="M7531" s="3">
        <f t="shared" si="5"/>
        <v>0.6666666667</v>
      </c>
      <c r="N7531" s="2">
        <v>20400.0</v>
      </c>
      <c r="O7531" s="4">
        <f t="shared" si="6"/>
        <v>3400</v>
      </c>
      <c r="P7531" s="2">
        <v>0.0</v>
      </c>
      <c r="Q7531" s="3">
        <f t="shared" si="7"/>
        <v>0</v>
      </c>
      <c r="R7531" s="2">
        <v>2.0</v>
      </c>
      <c r="S7531" s="5">
        <f t="shared" si="8"/>
        <v>1</v>
      </c>
    </row>
    <row r="7532">
      <c r="A7532" s="2" t="s">
        <v>7527</v>
      </c>
      <c r="B7532" s="2">
        <v>5.0</v>
      </c>
      <c r="C7532" s="2">
        <v>65.0</v>
      </c>
      <c r="D7532" s="2">
        <v>19.0</v>
      </c>
      <c r="E7532" s="3">
        <f t="shared" si="1"/>
        <v>0.3166666667</v>
      </c>
      <c r="F7532" s="2">
        <v>6.0</v>
      </c>
      <c r="G7532" s="3">
        <f t="shared" si="2"/>
        <v>0.1</v>
      </c>
      <c r="H7532" s="2">
        <v>11.0</v>
      </c>
      <c r="I7532" s="3">
        <f t="shared" si="3"/>
        <v>0.1833333333</v>
      </c>
      <c r="J7532" s="2">
        <v>10.0</v>
      </c>
      <c r="K7532" s="3">
        <f t="shared" si="4"/>
        <v>0.1666666667</v>
      </c>
      <c r="L7532" s="2">
        <v>8.0</v>
      </c>
      <c r="M7532" s="3">
        <f t="shared" si="5"/>
        <v>0.7272727273</v>
      </c>
      <c r="N7532" s="2">
        <v>50400.0</v>
      </c>
      <c r="O7532" s="4">
        <f t="shared" si="6"/>
        <v>4581.818182</v>
      </c>
      <c r="P7532" s="2">
        <v>0.0</v>
      </c>
      <c r="Q7532" s="3">
        <f t="shared" si="7"/>
        <v>0</v>
      </c>
      <c r="R7532" s="2">
        <v>5.0</v>
      </c>
      <c r="S7532" s="5">
        <f t="shared" si="8"/>
        <v>1</v>
      </c>
    </row>
    <row r="7533">
      <c r="A7533" s="2" t="s">
        <v>7528</v>
      </c>
      <c r="B7533" s="2">
        <v>10.0</v>
      </c>
      <c r="C7533" s="2">
        <v>120.0</v>
      </c>
      <c r="D7533" s="2">
        <v>46.0</v>
      </c>
      <c r="E7533" s="3">
        <f t="shared" si="1"/>
        <v>0.4181818182</v>
      </c>
      <c r="F7533" s="2">
        <v>11.0</v>
      </c>
      <c r="G7533" s="3">
        <f t="shared" si="2"/>
        <v>0.1</v>
      </c>
      <c r="H7533" s="2">
        <v>17.0</v>
      </c>
      <c r="I7533" s="3">
        <f t="shared" si="3"/>
        <v>0.1545454545</v>
      </c>
      <c r="J7533" s="2">
        <v>18.0</v>
      </c>
      <c r="K7533" s="3">
        <f t="shared" si="4"/>
        <v>0.1636363636</v>
      </c>
      <c r="L7533" s="2">
        <v>10.0</v>
      </c>
      <c r="M7533" s="3">
        <f t="shared" si="5"/>
        <v>0.5882352941</v>
      </c>
      <c r="N7533" s="2">
        <v>53900.0</v>
      </c>
      <c r="O7533" s="4">
        <f t="shared" si="6"/>
        <v>3170.588235</v>
      </c>
      <c r="P7533" s="2">
        <v>0.0</v>
      </c>
      <c r="Q7533" s="3">
        <f t="shared" si="7"/>
        <v>0</v>
      </c>
      <c r="R7533" s="2">
        <v>10.0</v>
      </c>
      <c r="S7533" s="5">
        <f t="shared" si="8"/>
        <v>1</v>
      </c>
    </row>
    <row r="7534">
      <c r="A7534" s="2" t="s">
        <v>7529</v>
      </c>
      <c r="B7534" s="2">
        <v>9.0</v>
      </c>
      <c r="C7534" s="2">
        <v>109.0</v>
      </c>
      <c r="D7534" s="2">
        <v>39.0</v>
      </c>
      <c r="E7534" s="3">
        <f t="shared" si="1"/>
        <v>0.39</v>
      </c>
      <c r="F7534" s="2">
        <v>10.0</v>
      </c>
      <c r="G7534" s="3">
        <f t="shared" si="2"/>
        <v>0.1</v>
      </c>
      <c r="H7534" s="2">
        <v>23.0</v>
      </c>
      <c r="I7534" s="3">
        <f t="shared" si="3"/>
        <v>0.23</v>
      </c>
      <c r="J7534" s="2">
        <v>15.0</v>
      </c>
      <c r="K7534" s="3">
        <f t="shared" si="4"/>
        <v>0.15</v>
      </c>
      <c r="L7534" s="2">
        <v>14.0</v>
      </c>
      <c r="M7534" s="3">
        <f t="shared" si="5"/>
        <v>0.6086956522</v>
      </c>
      <c r="N7534" s="2">
        <v>103800.0</v>
      </c>
      <c r="O7534" s="4">
        <f t="shared" si="6"/>
        <v>4513.043478</v>
      </c>
      <c r="P7534" s="2">
        <v>0.0</v>
      </c>
      <c r="Q7534" s="3">
        <f t="shared" si="7"/>
        <v>0</v>
      </c>
      <c r="R7534" s="2">
        <v>9.0</v>
      </c>
      <c r="S7534" s="5">
        <f t="shared" si="8"/>
        <v>1</v>
      </c>
    </row>
    <row r="7535">
      <c r="A7535" s="2" t="s">
        <v>7530</v>
      </c>
      <c r="B7535" s="2">
        <v>1.0</v>
      </c>
      <c r="C7535" s="2">
        <v>11.0</v>
      </c>
      <c r="D7535" s="2">
        <v>4.0</v>
      </c>
      <c r="E7535" s="3">
        <f t="shared" si="1"/>
        <v>0.4</v>
      </c>
      <c r="F7535" s="2">
        <v>1.0</v>
      </c>
      <c r="G7535" s="3">
        <f t="shared" si="2"/>
        <v>0.1</v>
      </c>
      <c r="H7535" s="2">
        <v>3.0</v>
      </c>
      <c r="I7535" s="3">
        <f t="shared" si="3"/>
        <v>0.3</v>
      </c>
      <c r="J7535" s="2">
        <v>1.0</v>
      </c>
      <c r="K7535" s="3">
        <f t="shared" si="4"/>
        <v>0.1</v>
      </c>
      <c r="L7535" s="2">
        <v>2.0</v>
      </c>
      <c r="M7535" s="3">
        <f t="shared" si="5"/>
        <v>0.6666666667</v>
      </c>
      <c r="N7535" s="2">
        <v>19500.0</v>
      </c>
      <c r="O7535" s="4">
        <f t="shared" si="6"/>
        <v>6500</v>
      </c>
      <c r="P7535" s="2">
        <v>0.0</v>
      </c>
      <c r="Q7535" s="3">
        <f t="shared" si="7"/>
        <v>0</v>
      </c>
      <c r="R7535" s="2">
        <v>0.0</v>
      </c>
      <c r="S7535" s="5">
        <f t="shared" si="8"/>
        <v>0</v>
      </c>
    </row>
    <row r="7536">
      <c r="A7536" s="2" t="s">
        <v>7531</v>
      </c>
      <c r="B7536" s="2">
        <v>1.0</v>
      </c>
      <c r="C7536" s="2">
        <v>11.0</v>
      </c>
      <c r="D7536" s="2">
        <v>5.0</v>
      </c>
      <c r="E7536" s="3">
        <f t="shared" si="1"/>
        <v>0.5</v>
      </c>
      <c r="F7536" s="2">
        <v>1.0</v>
      </c>
      <c r="G7536" s="3">
        <f t="shared" si="2"/>
        <v>0.1</v>
      </c>
      <c r="H7536" s="2">
        <v>1.0</v>
      </c>
      <c r="I7536" s="3">
        <f t="shared" si="3"/>
        <v>0.1</v>
      </c>
      <c r="J7536" s="2">
        <v>0.0</v>
      </c>
      <c r="K7536" s="3">
        <f t="shared" si="4"/>
        <v>0</v>
      </c>
      <c r="L7536" s="2">
        <v>1.0</v>
      </c>
      <c r="M7536" s="3">
        <f t="shared" si="5"/>
        <v>1</v>
      </c>
      <c r="N7536" s="2">
        <v>3900.0</v>
      </c>
      <c r="O7536" s="4">
        <f t="shared" si="6"/>
        <v>3900</v>
      </c>
      <c r="P7536" s="2">
        <v>0.0</v>
      </c>
      <c r="Q7536" s="3">
        <f t="shared" si="7"/>
        <v>0</v>
      </c>
      <c r="R7536" s="2">
        <v>1.0</v>
      </c>
      <c r="S7536" s="5">
        <f t="shared" si="8"/>
        <v>1</v>
      </c>
    </row>
    <row r="7537">
      <c r="A7537" s="2" t="s">
        <v>7532</v>
      </c>
      <c r="B7537" s="2">
        <v>92.0</v>
      </c>
      <c r="C7537" s="2">
        <v>1053.0</v>
      </c>
      <c r="D7537" s="2">
        <v>204.0</v>
      </c>
      <c r="E7537" s="3">
        <f t="shared" si="1"/>
        <v>0.2122788762</v>
      </c>
      <c r="F7537" s="2">
        <v>96.0</v>
      </c>
      <c r="G7537" s="3">
        <f t="shared" si="2"/>
        <v>0.09989594173</v>
      </c>
      <c r="H7537" s="2">
        <v>177.0</v>
      </c>
      <c r="I7537" s="3">
        <f t="shared" si="3"/>
        <v>0.1841831426</v>
      </c>
      <c r="J7537" s="2">
        <v>202.0</v>
      </c>
      <c r="K7537" s="3">
        <f t="shared" si="4"/>
        <v>0.2101977107</v>
      </c>
      <c r="L7537" s="2">
        <v>94.0</v>
      </c>
      <c r="M7537" s="3">
        <f t="shared" si="5"/>
        <v>0.5310734463</v>
      </c>
      <c r="N7537" s="2">
        <v>1180600.0</v>
      </c>
      <c r="O7537" s="4">
        <f t="shared" si="6"/>
        <v>6670.056497</v>
      </c>
      <c r="P7537" s="2">
        <v>0.0</v>
      </c>
      <c r="Q7537" s="3">
        <f t="shared" si="7"/>
        <v>0</v>
      </c>
      <c r="R7537" s="2">
        <v>92.0</v>
      </c>
      <c r="S7537" s="5">
        <f t="shared" si="8"/>
        <v>1</v>
      </c>
    </row>
    <row r="7538">
      <c r="A7538" s="2" t="s">
        <v>7533</v>
      </c>
      <c r="B7538" s="2">
        <v>151.0</v>
      </c>
      <c r="C7538" s="2">
        <v>1743.0</v>
      </c>
      <c r="D7538" s="2">
        <v>567.0</v>
      </c>
      <c r="E7538" s="3">
        <f t="shared" si="1"/>
        <v>0.3561557789</v>
      </c>
      <c r="F7538" s="2">
        <v>159.0</v>
      </c>
      <c r="G7538" s="3">
        <f t="shared" si="2"/>
        <v>0.09987437186</v>
      </c>
      <c r="H7538" s="2">
        <v>339.0</v>
      </c>
      <c r="I7538" s="3">
        <f t="shared" si="3"/>
        <v>0.2129396985</v>
      </c>
      <c r="J7538" s="2">
        <v>265.0</v>
      </c>
      <c r="K7538" s="3">
        <f t="shared" si="4"/>
        <v>0.1664572864</v>
      </c>
      <c r="L7538" s="2">
        <v>203.0</v>
      </c>
      <c r="M7538" s="3">
        <f t="shared" si="5"/>
        <v>0.598820059</v>
      </c>
      <c r="N7538" s="2">
        <v>1796300.0</v>
      </c>
      <c r="O7538" s="4">
        <f t="shared" si="6"/>
        <v>5298.820059</v>
      </c>
      <c r="P7538" s="2">
        <v>0.0</v>
      </c>
      <c r="Q7538" s="3">
        <f t="shared" si="7"/>
        <v>0</v>
      </c>
      <c r="R7538" s="2">
        <v>151.0</v>
      </c>
      <c r="S7538" s="5">
        <f t="shared" si="8"/>
        <v>1</v>
      </c>
    </row>
    <row r="7539">
      <c r="A7539" s="2" t="s">
        <v>7534</v>
      </c>
      <c r="B7539" s="2">
        <v>105.0</v>
      </c>
      <c r="C7539" s="2">
        <v>1238.0</v>
      </c>
      <c r="D7539" s="2">
        <v>235.0</v>
      </c>
      <c r="E7539" s="3">
        <f t="shared" si="1"/>
        <v>0.2074139453</v>
      </c>
      <c r="F7539" s="2">
        <v>113.0</v>
      </c>
      <c r="G7539" s="3">
        <f t="shared" si="2"/>
        <v>0.09973521624</v>
      </c>
      <c r="H7539" s="2">
        <v>197.0</v>
      </c>
      <c r="I7539" s="3">
        <f t="shared" si="3"/>
        <v>0.173874669</v>
      </c>
      <c r="J7539" s="2">
        <v>209.0</v>
      </c>
      <c r="K7539" s="3">
        <f t="shared" si="4"/>
        <v>0.1844660194</v>
      </c>
      <c r="L7539" s="2">
        <v>107.0</v>
      </c>
      <c r="M7539" s="3">
        <f t="shared" si="5"/>
        <v>0.5431472081</v>
      </c>
      <c r="N7539" s="2">
        <v>1176100.0</v>
      </c>
      <c r="O7539" s="4">
        <f t="shared" si="6"/>
        <v>5970.050761</v>
      </c>
      <c r="P7539" s="2">
        <v>0.0</v>
      </c>
      <c r="Q7539" s="3">
        <f t="shared" si="7"/>
        <v>0</v>
      </c>
      <c r="R7539" s="2">
        <v>0.0</v>
      </c>
      <c r="S7539" s="5">
        <f t="shared" si="8"/>
        <v>0</v>
      </c>
    </row>
    <row r="7540">
      <c r="A7540" s="2" t="s">
        <v>7535</v>
      </c>
      <c r="B7540" s="2">
        <v>132.0</v>
      </c>
      <c r="C7540" s="2">
        <v>1586.0</v>
      </c>
      <c r="D7540" s="2">
        <v>439.0</v>
      </c>
      <c r="E7540" s="3">
        <f t="shared" si="1"/>
        <v>0.3019257221</v>
      </c>
      <c r="F7540" s="2">
        <v>145.0</v>
      </c>
      <c r="G7540" s="3">
        <f t="shared" si="2"/>
        <v>0.09972489684</v>
      </c>
      <c r="H7540" s="2">
        <v>289.0</v>
      </c>
      <c r="I7540" s="3">
        <f t="shared" si="3"/>
        <v>0.1987620358</v>
      </c>
      <c r="J7540" s="2">
        <v>280.0</v>
      </c>
      <c r="K7540" s="3">
        <f t="shared" si="4"/>
        <v>0.1925722146</v>
      </c>
      <c r="L7540" s="2">
        <v>167.0</v>
      </c>
      <c r="M7540" s="3">
        <f t="shared" si="5"/>
        <v>0.5778546713</v>
      </c>
      <c r="N7540" s="2">
        <v>1780300.0</v>
      </c>
      <c r="O7540" s="4">
        <f t="shared" si="6"/>
        <v>6160.207612</v>
      </c>
      <c r="P7540" s="2">
        <v>0.0</v>
      </c>
      <c r="Q7540" s="3">
        <f t="shared" si="7"/>
        <v>0</v>
      </c>
      <c r="R7540" s="2">
        <v>132.0</v>
      </c>
      <c r="S7540" s="5">
        <f t="shared" si="8"/>
        <v>1</v>
      </c>
    </row>
    <row r="7541">
      <c r="A7541" s="2" t="s">
        <v>7536</v>
      </c>
      <c r="B7541" s="2">
        <v>362.0</v>
      </c>
      <c r="C7541" s="2">
        <v>4298.0</v>
      </c>
      <c r="D7541" s="2">
        <v>1364.0</v>
      </c>
      <c r="E7541" s="3">
        <f t="shared" si="1"/>
        <v>0.3465447154</v>
      </c>
      <c r="F7541" s="2">
        <v>392.0</v>
      </c>
      <c r="G7541" s="3">
        <f t="shared" si="2"/>
        <v>0.09959349593</v>
      </c>
      <c r="H7541" s="2">
        <v>827.0</v>
      </c>
      <c r="I7541" s="3">
        <f t="shared" si="3"/>
        <v>0.2101117886</v>
      </c>
      <c r="J7541" s="2">
        <v>545.0</v>
      </c>
      <c r="K7541" s="3">
        <f t="shared" si="4"/>
        <v>0.1384654472</v>
      </c>
      <c r="L7541" s="2">
        <v>493.0</v>
      </c>
      <c r="M7541" s="3">
        <f t="shared" si="5"/>
        <v>0.5961305925</v>
      </c>
      <c r="N7541" s="2">
        <v>4578300.0</v>
      </c>
      <c r="O7541" s="4">
        <f t="shared" si="6"/>
        <v>5536.033857</v>
      </c>
      <c r="P7541" s="2">
        <v>1.0</v>
      </c>
      <c r="Q7541" s="3">
        <f t="shared" si="7"/>
        <v>0.002762430939</v>
      </c>
      <c r="R7541" s="2">
        <v>362.0</v>
      </c>
      <c r="S7541" s="5">
        <f t="shared" si="8"/>
        <v>1</v>
      </c>
    </row>
    <row r="7542">
      <c r="A7542" s="2" t="s">
        <v>7537</v>
      </c>
      <c r="B7542" s="2">
        <v>21.0</v>
      </c>
      <c r="C7542" s="2">
        <v>262.0</v>
      </c>
      <c r="D7542" s="2">
        <v>83.0</v>
      </c>
      <c r="E7542" s="3">
        <f t="shared" si="1"/>
        <v>0.3443983402</v>
      </c>
      <c r="F7542" s="2">
        <v>24.0</v>
      </c>
      <c r="G7542" s="3">
        <f t="shared" si="2"/>
        <v>0.09958506224</v>
      </c>
      <c r="H7542" s="2">
        <v>55.0</v>
      </c>
      <c r="I7542" s="3">
        <f t="shared" si="3"/>
        <v>0.2282157676</v>
      </c>
      <c r="J7542" s="2">
        <v>43.0</v>
      </c>
      <c r="K7542" s="3">
        <f t="shared" si="4"/>
        <v>0.1784232365</v>
      </c>
      <c r="L7542" s="2">
        <v>27.0</v>
      </c>
      <c r="M7542" s="3">
        <f t="shared" si="5"/>
        <v>0.4909090909</v>
      </c>
      <c r="N7542" s="2">
        <v>332000.0</v>
      </c>
      <c r="O7542" s="4">
        <f t="shared" si="6"/>
        <v>6036.363636</v>
      </c>
      <c r="P7542" s="2">
        <v>0.0</v>
      </c>
      <c r="Q7542" s="3">
        <f t="shared" si="7"/>
        <v>0</v>
      </c>
      <c r="R7542" s="2">
        <v>21.0</v>
      </c>
      <c r="S7542" s="5">
        <f t="shared" si="8"/>
        <v>1</v>
      </c>
    </row>
    <row r="7543">
      <c r="A7543" s="2" t="s">
        <v>7538</v>
      </c>
      <c r="B7543" s="2">
        <v>15.0</v>
      </c>
      <c r="C7543" s="2">
        <v>166.0</v>
      </c>
      <c r="D7543" s="2">
        <v>50.0</v>
      </c>
      <c r="E7543" s="3">
        <f t="shared" si="1"/>
        <v>0.3311258278</v>
      </c>
      <c r="F7543" s="2">
        <v>15.0</v>
      </c>
      <c r="G7543" s="3">
        <f t="shared" si="2"/>
        <v>0.09933774834</v>
      </c>
      <c r="H7543" s="2">
        <v>32.0</v>
      </c>
      <c r="I7543" s="3">
        <f t="shared" si="3"/>
        <v>0.2119205298</v>
      </c>
      <c r="J7543" s="2">
        <v>28.0</v>
      </c>
      <c r="K7543" s="3">
        <f t="shared" si="4"/>
        <v>0.1854304636</v>
      </c>
      <c r="L7543" s="2">
        <v>16.0</v>
      </c>
      <c r="M7543" s="3">
        <f t="shared" si="5"/>
        <v>0.5</v>
      </c>
      <c r="N7543" s="2">
        <v>149500.0</v>
      </c>
      <c r="O7543" s="4">
        <f t="shared" si="6"/>
        <v>4671.875</v>
      </c>
      <c r="P7543" s="2">
        <v>0.0</v>
      </c>
      <c r="Q7543" s="3">
        <f t="shared" si="7"/>
        <v>0</v>
      </c>
      <c r="R7543" s="2">
        <v>0.0</v>
      </c>
      <c r="S7543" s="5">
        <f t="shared" si="8"/>
        <v>0</v>
      </c>
    </row>
    <row r="7544">
      <c r="A7544" s="2" t="s">
        <v>7539</v>
      </c>
      <c r="B7544" s="2">
        <v>35.0</v>
      </c>
      <c r="C7544" s="2">
        <v>408.0</v>
      </c>
      <c r="D7544" s="2">
        <v>129.0</v>
      </c>
      <c r="E7544" s="3">
        <f t="shared" si="1"/>
        <v>0.345844504</v>
      </c>
      <c r="F7544" s="2">
        <v>37.0</v>
      </c>
      <c r="G7544" s="3">
        <f t="shared" si="2"/>
        <v>0.09919571046</v>
      </c>
      <c r="H7544" s="2">
        <v>82.0</v>
      </c>
      <c r="I7544" s="3">
        <f t="shared" si="3"/>
        <v>0.2198391421</v>
      </c>
      <c r="J7544" s="2">
        <v>58.0</v>
      </c>
      <c r="K7544" s="3">
        <f t="shared" si="4"/>
        <v>0.1554959786</v>
      </c>
      <c r="L7544" s="2">
        <v>53.0</v>
      </c>
      <c r="M7544" s="3">
        <f t="shared" si="5"/>
        <v>0.6463414634</v>
      </c>
      <c r="N7544" s="2">
        <v>480800.0</v>
      </c>
      <c r="O7544" s="4">
        <f t="shared" si="6"/>
        <v>5863.414634</v>
      </c>
      <c r="P7544" s="2">
        <v>0.0</v>
      </c>
      <c r="Q7544" s="3">
        <f t="shared" si="7"/>
        <v>0</v>
      </c>
      <c r="R7544" s="2">
        <v>35.0</v>
      </c>
      <c r="S7544" s="5">
        <f t="shared" si="8"/>
        <v>1</v>
      </c>
    </row>
    <row r="7545">
      <c r="A7545" s="2" t="s">
        <v>7540</v>
      </c>
      <c r="B7545" s="2">
        <v>11.0</v>
      </c>
      <c r="C7545" s="2">
        <v>132.0</v>
      </c>
      <c r="D7545" s="2">
        <v>37.0</v>
      </c>
      <c r="E7545" s="3">
        <f t="shared" si="1"/>
        <v>0.305785124</v>
      </c>
      <c r="F7545" s="2">
        <v>12.0</v>
      </c>
      <c r="G7545" s="3">
        <f t="shared" si="2"/>
        <v>0.09917355372</v>
      </c>
      <c r="H7545" s="2">
        <v>24.0</v>
      </c>
      <c r="I7545" s="3">
        <f t="shared" si="3"/>
        <v>0.1983471074</v>
      </c>
      <c r="J7545" s="2">
        <v>19.0</v>
      </c>
      <c r="K7545" s="3">
        <f t="shared" si="4"/>
        <v>0.1570247934</v>
      </c>
      <c r="L7545" s="2">
        <v>14.0</v>
      </c>
      <c r="M7545" s="3">
        <f t="shared" si="5"/>
        <v>0.5833333333</v>
      </c>
      <c r="N7545" s="2">
        <v>103400.0</v>
      </c>
      <c r="O7545" s="4">
        <f t="shared" si="6"/>
        <v>4308.333333</v>
      </c>
      <c r="P7545" s="2">
        <v>0.0</v>
      </c>
      <c r="Q7545" s="3">
        <f t="shared" si="7"/>
        <v>0</v>
      </c>
      <c r="R7545" s="2">
        <v>0.0</v>
      </c>
      <c r="S7545" s="5">
        <f t="shared" si="8"/>
        <v>0</v>
      </c>
    </row>
    <row r="7546">
      <c r="A7546" s="2" t="s">
        <v>7541</v>
      </c>
      <c r="B7546" s="2">
        <v>651.0</v>
      </c>
      <c r="C7546" s="2">
        <v>7629.0</v>
      </c>
      <c r="D7546" s="2">
        <v>2666.0</v>
      </c>
      <c r="E7546" s="3">
        <f t="shared" si="1"/>
        <v>0.3820578962</v>
      </c>
      <c r="F7546" s="2">
        <v>692.0</v>
      </c>
      <c r="G7546" s="3">
        <f t="shared" si="2"/>
        <v>0.09916881628</v>
      </c>
      <c r="H7546" s="2">
        <v>1393.0</v>
      </c>
      <c r="I7546" s="3">
        <f t="shared" si="3"/>
        <v>0.1996274004</v>
      </c>
      <c r="J7546" s="2">
        <v>1051.0</v>
      </c>
      <c r="K7546" s="3">
        <f t="shared" si="4"/>
        <v>0.1506162224</v>
      </c>
      <c r="L7546" s="2">
        <v>817.0</v>
      </c>
      <c r="M7546" s="3">
        <f t="shared" si="5"/>
        <v>0.5865039483</v>
      </c>
      <c r="N7546" s="2">
        <v>8102200.0</v>
      </c>
      <c r="O7546" s="4">
        <f t="shared" si="6"/>
        <v>5816.367552</v>
      </c>
      <c r="P7546" s="2">
        <v>2.0</v>
      </c>
      <c r="Q7546" s="3">
        <f t="shared" si="7"/>
        <v>0.003072196621</v>
      </c>
      <c r="R7546" s="2">
        <v>651.0</v>
      </c>
      <c r="S7546" s="5">
        <f t="shared" si="8"/>
        <v>1</v>
      </c>
    </row>
    <row r="7547">
      <c r="A7547" s="2" t="s">
        <v>7542</v>
      </c>
      <c r="B7547" s="2">
        <v>52.0</v>
      </c>
      <c r="C7547" s="2">
        <v>607.0</v>
      </c>
      <c r="D7547" s="2">
        <v>178.0</v>
      </c>
      <c r="E7547" s="3">
        <f t="shared" si="1"/>
        <v>0.3207207207</v>
      </c>
      <c r="F7547" s="2">
        <v>55.0</v>
      </c>
      <c r="G7547" s="3">
        <f t="shared" si="2"/>
        <v>0.0990990991</v>
      </c>
      <c r="H7547" s="2">
        <v>105.0</v>
      </c>
      <c r="I7547" s="3">
        <f t="shared" si="3"/>
        <v>0.1891891892</v>
      </c>
      <c r="J7547" s="2">
        <v>94.0</v>
      </c>
      <c r="K7547" s="3">
        <f t="shared" si="4"/>
        <v>0.1693693694</v>
      </c>
      <c r="L7547" s="2">
        <v>55.0</v>
      </c>
      <c r="M7547" s="3">
        <f t="shared" si="5"/>
        <v>0.5238095238</v>
      </c>
      <c r="N7547" s="2">
        <v>598900.0</v>
      </c>
      <c r="O7547" s="4">
        <f t="shared" si="6"/>
        <v>5703.809524</v>
      </c>
      <c r="P7547" s="2">
        <v>0.0</v>
      </c>
      <c r="Q7547" s="3">
        <f t="shared" si="7"/>
        <v>0</v>
      </c>
      <c r="R7547" s="2">
        <v>52.0</v>
      </c>
      <c r="S7547" s="5">
        <f t="shared" si="8"/>
        <v>1</v>
      </c>
    </row>
    <row r="7548">
      <c r="A7548" s="2" t="s">
        <v>7543</v>
      </c>
      <c r="B7548" s="2">
        <v>20.0</v>
      </c>
      <c r="C7548" s="2">
        <v>232.0</v>
      </c>
      <c r="D7548" s="2">
        <v>41.0</v>
      </c>
      <c r="E7548" s="3">
        <f t="shared" si="1"/>
        <v>0.1933962264</v>
      </c>
      <c r="F7548" s="2">
        <v>21.0</v>
      </c>
      <c r="G7548" s="3">
        <f t="shared" si="2"/>
        <v>0.09905660377</v>
      </c>
      <c r="H7548" s="2">
        <v>37.0</v>
      </c>
      <c r="I7548" s="3">
        <f t="shared" si="3"/>
        <v>0.1745283019</v>
      </c>
      <c r="J7548" s="2">
        <v>54.0</v>
      </c>
      <c r="K7548" s="3">
        <f t="shared" si="4"/>
        <v>0.2547169811</v>
      </c>
      <c r="L7548" s="2">
        <v>20.0</v>
      </c>
      <c r="M7548" s="3">
        <f t="shared" si="5"/>
        <v>0.5405405405</v>
      </c>
      <c r="N7548" s="2">
        <v>208300.0</v>
      </c>
      <c r="O7548" s="4">
        <f t="shared" si="6"/>
        <v>5629.72973</v>
      </c>
      <c r="P7548" s="2">
        <v>0.0</v>
      </c>
      <c r="Q7548" s="3">
        <f t="shared" si="7"/>
        <v>0</v>
      </c>
      <c r="R7548" s="2">
        <v>20.0</v>
      </c>
      <c r="S7548" s="5">
        <f t="shared" si="8"/>
        <v>1</v>
      </c>
    </row>
    <row r="7549">
      <c r="A7549" s="2" t="s">
        <v>7544</v>
      </c>
      <c r="B7549" s="2">
        <v>29.0</v>
      </c>
      <c r="C7549" s="2">
        <v>342.0</v>
      </c>
      <c r="D7549" s="2">
        <v>75.0</v>
      </c>
      <c r="E7549" s="3">
        <f t="shared" si="1"/>
        <v>0.2396166134</v>
      </c>
      <c r="F7549" s="2">
        <v>31.0</v>
      </c>
      <c r="G7549" s="3">
        <f t="shared" si="2"/>
        <v>0.09904153355</v>
      </c>
      <c r="H7549" s="2">
        <v>55.0</v>
      </c>
      <c r="I7549" s="3">
        <f t="shared" si="3"/>
        <v>0.1757188498</v>
      </c>
      <c r="J7549" s="2">
        <v>45.0</v>
      </c>
      <c r="K7549" s="3">
        <f t="shared" si="4"/>
        <v>0.1437699681</v>
      </c>
      <c r="L7549" s="2">
        <v>37.0</v>
      </c>
      <c r="M7549" s="3">
        <f t="shared" si="5"/>
        <v>0.6727272727</v>
      </c>
      <c r="N7549" s="2">
        <v>315800.0</v>
      </c>
      <c r="O7549" s="4">
        <f t="shared" si="6"/>
        <v>5741.818182</v>
      </c>
      <c r="P7549" s="2">
        <v>0.0</v>
      </c>
      <c r="Q7549" s="3">
        <f t="shared" si="7"/>
        <v>0</v>
      </c>
      <c r="R7549" s="2">
        <v>0.0</v>
      </c>
      <c r="S7549" s="5">
        <f t="shared" si="8"/>
        <v>0</v>
      </c>
    </row>
    <row r="7550">
      <c r="A7550" s="2" t="s">
        <v>7545</v>
      </c>
      <c r="B7550" s="2">
        <v>123.0</v>
      </c>
      <c r="C7550" s="2">
        <v>1476.0</v>
      </c>
      <c r="D7550" s="2">
        <v>542.0</v>
      </c>
      <c r="E7550" s="3">
        <f t="shared" si="1"/>
        <v>0.4005912786</v>
      </c>
      <c r="F7550" s="2">
        <v>134.0</v>
      </c>
      <c r="G7550" s="3">
        <f t="shared" si="2"/>
        <v>0.09903917221</v>
      </c>
      <c r="H7550" s="2">
        <v>271.0</v>
      </c>
      <c r="I7550" s="3">
        <f t="shared" si="3"/>
        <v>0.2002956393</v>
      </c>
      <c r="J7550" s="2">
        <v>165.0</v>
      </c>
      <c r="K7550" s="3">
        <f t="shared" si="4"/>
        <v>0.1219512195</v>
      </c>
      <c r="L7550" s="2">
        <v>167.0</v>
      </c>
      <c r="M7550" s="3">
        <f t="shared" si="5"/>
        <v>0.6162361624</v>
      </c>
      <c r="N7550" s="2">
        <v>1492100.0</v>
      </c>
      <c r="O7550" s="4">
        <f t="shared" si="6"/>
        <v>5505.904059</v>
      </c>
      <c r="P7550" s="2">
        <v>1.0</v>
      </c>
      <c r="Q7550" s="3">
        <f t="shared" si="7"/>
        <v>0.008130081301</v>
      </c>
      <c r="R7550" s="2">
        <v>123.0</v>
      </c>
      <c r="S7550" s="5">
        <f t="shared" si="8"/>
        <v>1</v>
      </c>
    </row>
    <row r="7551">
      <c r="A7551" s="2" t="s">
        <v>7546</v>
      </c>
      <c r="B7551" s="2">
        <v>1672.0</v>
      </c>
      <c r="C7551" s="2">
        <v>19770.0</v>
      </c>
      <c r="D7551" s="2">
        <v>6087.0</v>
      </c>
      <c r="E7551" s="3">
        <f t="shared" si="1"/>
        <v>0.3363355067</v>
      </c>
      <c r="F7551" s="2">
        <v>1792.0</v>
      </c>
      <c r="G7551" s="3">
        <f t="shared" si="2"/>
        <v>0.09901646591</v>
      </c>
      <c r="H7551" s="2">
        <v>3671.0</v>
      </c>
      <c r="I7551" s="3">
        <f t="shared" si="3"/>
        <v>0.2028400928</v>
      </c>
      <c r="J7551" s="2">
        <v>2257.0</v>
      </c>
      <c r="K7551" s="3">
        <f t="shared" si="4"/>
        <v>0.1247099127</v>
      </c>
      <c r="L7551" s="2">
        <v>2238.0</v>
      </c>
      <c r="M7551" s="3">
        <f t="shared" si="5"/>
        <v>0.609643149</v>
      </c>
      <c r="N7551" s="2">
        <v>1.98421E7</v>
      </c>
      <c r="O7551" s="4">
        <f t="shared" si="6"/>
        <v>5405.09398</v>
      </c>
      <c r="P7551" s="2">
        <v>2.0</v>
      </c>
      <c r="Q7551" s="3">
        <f t="shared" si="7"/>
        <v>0.001196172249</v>
      </c>
      <c r="R7551" s="2">
        <v>1672.0</v>
      </c>
      <c r="S7551" s="5">
        <f t="shared" si="8"/>
        <v>1</v>
      </c>
    </row>
    <row r="7552">
      <c r="A7552" s="2" t="s">
        <v>7547</v>
      </c>
      <c r="B7552" s="2">
        <v>8.0</v>
      </c>
      <c r="C7552" s="2">
        <v>109.0</v>
      </c>
      <c r="D7552" s="2">
        <v>26.0</v>
      </c>
      <c r="E7552" s="3">
        <f t="shared" si="1"/>
        <v>0.2574257426</v>
      </c>
      <c r="F7552" s="2">
        <v>10.0</v>
      </c>
      <c r="G7552" s="3">
        <f t="shared" si="2"/>
        <v>0.09900990099</v>
      </c>
      <c r="H7552" s="2">
        <v>19.0</v>
      </c>
      <c r="I7552" s="3">
        <f t="shared" si="3"/>
        <v>0.1881188119</v>
      </c>
      <c r="J7552" s="2">
        <v>13.0</v>
      </c>
      <c r="K7552" s="3">
        <f t="shared" si="4"/>
        <v>0.1287128713</v>
      </c>
      <c r="L7552" s="2">
        <v>14.0</v>
      </c>
      <c r="M7552" s="3">
        <f t="shared" si="5"/>
        <v>0.7368421053</v>
      </c>
      <c r="N7552" s="2">
        <v>82100.0</v>
      </c>
      <c r="O7552" s="4">
        <f t="shared" si="6"/>
        <v>4321.052632</v>
      </c>
      <c r="P7552" s="2">
        <v>0.0</v>
      </c>
      <c r="Q7552" s="3">
        <f t="shared" si="7"/>
        <v>0</v>
      </c>
      <c r="R7552" s="2">
        <v>8.0</v>
      </c>
      <c r="S7552" s="5">
        <f t="shared" si="8"/>
        <v>1</v>
      </c>
    </row>
    <row r="7553">
      <c r="A7553" s="2" t="s">
        <v>7548</v>
      </c>
      <c r="B7553" s="2">
        <v>75.0</v>
      </c>
      <c r="C7553" s="2">
        <v>873.0</v>
      </c>
      <c r="D7553" s="2">
        <v>198.0</v>
      </c>
      <c r="E7553" s="3">
        <f t="shared" si="1"/>
        <v>0.2481203008</v>
      </c>
      <c r="F7553" s="2">
        <v>79.0</v>
      </c>
      <c r="G7553" s="3">
        <f t="shared" si="2"/>
        <v>0.09899749373</v>
      </c>
      <c r="H7553" s="2">
        <v>136.0</v>
      </c>
      <c r="I7553" s="3">
        <f t="shared" si="3"/>
        <v>0.1704260652</v>
      </c>
      <c r="J7553" s="2">
        <v>109.0</v>
      </c>
      <c r="K7553" s="3">
        <f t="shared" si="4"/>
        <v>0.1365914787</v>
      </c>
      <c r="L7553" s="2">
        <v>82.0</v>
      </c>
      <c r="M7553" s="3">
        <f t="shared" si="5"/>
        <v>0.6029411765</v>
      </c>
      <c r="N7553" s="2">
        <v>811800.0</v>
      </c>
      <c r="O7553" s="4">
        <f t="shared" si="6"/>
        <v>5969.117647</v>
      </c>
      <c r="P7553" s="2">
        <v>0.0</v>
      </c>
      <c r="Q7553" s="3">
        <f t="shared" si="7"/>
        <v>0</v>
      </c>
      <c r="R7553" s="2">
        <v>75.0</v>
      </c>
      <c r="S7553" s="5">
        <f t="shared" si="8"/>
        <v>1</v>
      </c>
    </row>
    <row r="7554">
      <c r="A7554" s="2" t="s">
        <v>7549</v>
      </c>
      <c r="B7554" s="2">
        <v>18.0</v>
      </c>
      <c r="C7554" s="2">
        <v>210.0</v>
      </c>
      <c r="D7554" s="2">
        <v>65.0</v>
      </c>
      <c r="E7554" s="3">
        <f t="shared" si="1"/>
        <v>0.3385416667</v>
      </c>
      <c r="F7554" s="2">
        <v>19.0</v>
      </c>
      <c r="G7554" s="3">
        <f t="shared" si="2"/>
        <v>0.09895833333</v>
      </c>
      <c r="H7554" s="2">
        <v>51.0</v>
      </c>
      <c r="I7554" s="3">
        <f t="shared" si="3"/>
        <v>0.265625</v>
      </c>
      <c r="J7554" s="2">
        <v>31.0</v>
      </c>
      <c r="K7554" s="3">
        <f t="shared" si="4"/>
        <v>0.1614583333</v>
      </c>
      <c r="L7554" s="2">
        <v>31.0</v>
      </c>
      <c r="M7554" s="3">
        <f t="shared" si="5"/>
        <v>0.6078431373</v>
      </c>
      <c r="N7554" s="2">
        <v>282000.0</v>
      </c>
      <c r="O7554" s="4">
        <f t="shared" si="6"/>
        <v>5529.411765</v>
      </c>
      <c r="P7554" s="2">
        <v>0.0</v>
      </c>
      <c r="Q7554" s="3">
        <f t="shared" si="7"/>
        <v>0</v>
      </c>
      <c r="R7554" s="2">
        <v>18.0</v>
      </c>
      <c r="S7554" s="5">
        <f t="shared" si="8"/>
        <v>1</v>
      </c>
    </row>
    <row r="7555">
      <c r="A7555" s="2" t="s">
        <v>7550</v>
      </c>
      <c r="B7555" s="2">
        <v>303.0</v>
      </c>
      <c r="C7555" s="2">
        <v>3629.0</v>
      </c>
      <c r="D7555" s="2">
        <v>1265.0</v>
      </c>
      <c r="E7555" s="3">
        <f t="shared" si="1"/>
        <v>0.3803367408</v>
      </c>
      <c r="F7555" s="2">
        <v>329.0</v>
      </c>
      <c r="G7555" s="3">
        <f t="shared" si="2"/>
        <v>0.09891761876</v>
      </c>
      <c r="H7555" s="2">
        <v>622.0</v>
      </c>
      <c r="I7555" s="3">
        <f t="shared" si="3"/>
        <v>0.1870114251</v>
      </c>
      <c r="J7555" s="2">
        <v>488.0</v>
      </c>
      <c r="K7555" s="3">
        <f t="shared" si="4"/>
        <v>0.1467227901</v>
      </c>
      <c r="L7555" s="2">
        <v>369.0</v>
      </c>
      <c r="M7555" s="3">
        <f t="shared" si="5"/>
        <v>0.5932475884</v>
      </c>
      <c r="N7555" s="2">
        <v>3564300.0</v>
      </c>
      <c r="O7555" s="4">
        <f t="shared" si="6"/>
        <v>5730.385852</v>
      </c>
      <c r="P7555" s="2">
        <v>0.0</v>
      </c>
      <c r="Q7555" s="3">
        <f t="shared" si="7"/>
        <v>0</v>
      </c>
      <c r="R7555" s="2">
        <v>303.0</v>
      </c>
      <c r="S7555" s="5">
        <f t="shared" si="8"/>
        <v>1</v>
      </c>
    </row>
    <row r="7556">
      <c r="A7556" s="2" t="s">
        <v>7551</v>
      </c>
      <c r="B7556" s="2">
        <v>60.0</v>
      </c>
      <c r="C7556" s="2">
        <v>697.0</v>
      </c>
      <c r="D7556" s="2">
        <v>216.0</v>
      </c>
      <c r="E7556" s="3">
        <f t="shared" si="1"/>
        <v>0.3390894819</v>
      </c>
      <c r="F7556" s="2">
        <v>63.0</v>
      </c>
      <c r="G7556" s="3">
        <f t="shared" si="2"/>
        <v>0.0989010989</v>
      </c>
      <c r="H7556" s="2">
        <v>126.0</v>
      </c>
      <c r="I7556" s="3">
        <f t="shared" si="3"/>
        <v>0.1978021978</v>
      </c>
      <c r="J7556" s="2">
        <v>106.0</v>
      </c>
      <c r="K7556" s="3">
        <f t="shared" si="4"/>
        <v>0.1664050235</v>
      </c>
      <c r="L7556" s="2">
        <v>70.0</v>
      </c>
      <c r="M7556" s="3">
        <f t="shared" si="5"/>
        <v>0.5555555556</v>
      </c>
      <c r="N7556" s="2">
        <v>656500.0</v>
      </c>
      <c r="O7556" s="4">
        <f t="shared" si="6"/>
        <v>5210.31746</v>
      </c>
      <c r="P7556" s="2">
        <v>0.0</v>
      </c>
      <c r="Q7556" s="3">
        <f t="shared" si="7"/>
        <v>0</v>
      </c>
      <c r="R7556" s="2">
        <v>37.0</v>
      </c>
      <c r="S7556" s="5">
        <f t="shared" si="8"/>
        <v>0.6166666667</v>
      </c>
    </row>
    <row r="7557">
      <c r="A7557" s="2" t="s">
        <v>7552</v>
      </c>
      <c r="B7557" s="2">
        <v>340.0</v>
      </c>
      <c r="C7557" s="2">
        <v>3962.0</v>
      </c>
      <c r="D7557" s="2">
        <v>957.0</v>
      </c>
      <c r="E7557" s="3">
        <f t="shared" si="1"/>
        <v>0.2642186637</v>
      </c>
      <c r="F7557" s="2">
        <v>358.0</v>
      </c>
      <c r="G7557" s="3">
        <f t="shared" si="2"/>
        <v>0.09884041966</v>
      </c>
      <c r="H7557" s="2">
        <v>645.0</v>
      </c>
      <c r="I7557" s="3">
        <f t="shared" si="3"/>
        <v>0.1780784097</v>
      </c>
      <c r="J7557" s="2">
        <v>610.0</v>
      </c>
      <c r="K7557" s="3">
        <f t="shared" si="4"/>
        <v>0.1684152402</v>
      </c>
      <c r="L7557" s="2">
        <v>383.0</v>
      </c>
      <c r="M7557" s="3">
        <f t="shared" si="5"/>
        <v>0.5937984496</v>
      </c>
      <c r="N7557" s="2">
        <v>3894800.0</v>
      </c>
      <c r="O7557" s="4">
        <f t="shared" si="6"/>
        <v>6038.449612</v>
      </c>
      <c r="P7557" s="2">
        <v>1.0</v>
      </c>
      <c r="Q7557" s="3">
        <f t="shared" si="7"/>
        <v>0.002941176471</v>
      </c>
      <c r="R7557" s="2">
        <v>215.0</v>
      </c>
      <c r="S7557" s="5">
        <f t="shared" si="8"/>
        <v>0.6323529412</v>
      </c>
    </row>
    <row r="7558">
      <c r="A7558" s="2" t="s">
        <v>7553</v>
      </c>
      <c r="B7558" s="2">
        <v>343.0</v>
      </c>
      <c r="C7558" s="2">
        <v>4039.0</v>
      </c>
      <c r="D7558" s="2">
        <v>1586.0</v>
      </c>
      <c r="E7558" s="3">
        <f t="shared" si="1"/>
        <v>0.4291125541</v>
      </c>
      <c r="F7558" s="2">
        <v>365.0</v>
      </c>
      <c r="G7558" s="3">
        <f t="shared" si="2"/>
        <v>0.09875541126</v>
      </c>
      <c r="H7558" s="2">
        <v>763.0</v>
      </c>
      <c r="I7558" s="3">
        <f t="shared" si="3"/>
        <v>0.2064393939</v>
      </c>
      <c r="J7558" s="2">
        <v>454.0</v>
      </c>
      <c r="K7558" s="3">
        <f t="shared" si="4"/>
        <v>0.1228354978</v>
      </c>
      <c r="L7558" s="2">
        <v>469.0</v>
      </c>
      <c r="M7558" s="3">
        <f t="shared" si="5"/>
        <v>0.6146788991</v>
      </c>
      <c r="N7558" s="2">
        <v>3874900.0</v>
      </c>
      <c r="O7558" s="4">
        <f t="shared" si="6"/>
        <v>5078.505898</v>
      </c>
      <c r="P7558" s="2">
        <v>1.0</v>
      </c>
      <c r="Q7558" s="3">
        <f t="shared" si="7"/>
        <v>0.002915451895</v>
      </c>
      <c r="R7558" s="2">
        <v>343.0</v>
      </c>
      <c r="S7558" s="5">
        <f t="shared" si="8"/>
        <v>1</v>
      </c>
    </row>
    <row r="7559">
      <c r="A7559" s="2" t="s">
        <v>7554</v>
      </c>
      <c r="B7559" s="2">
        <v>14.0</v>
      </c>
      <c r="C7559" s="2">
        <v>166.0</v>
      </c>
      <c r="D7559" s="2">
        <v>60.0</v>
      </c>
      <c r="E7559" s="3">
        <f t="shared" si="1"/>
        <v>0.3947368421</v>
      </c>
      <c r="F7559" s="2">
        <v>15.0</v>
      </c>
      <c r="G7559" s="3">
        <f t="shared" si="2"/>
        <v>0.09868421053</v>
      </c>
      <c r="H7559" s="2">
        <v>34.0</v>
      </c>
      <c r="I7559" s="3">
        <f t="shared" si="3"/>
        <v>0.2236842105</v>
      </c>
      <c r="J7559" s="2">
        <v>21.0</v>
      </c>
      <c r="K7559" s="3">
        <f t="shared" si="4"/>
        <v>0.1381578947</v>
      </c>
      <c r="L7559" s="2">
        <v>19.0</v>
      </c>
      <c r="M7559" s="3">
        <f t="shared" si="5"/>
        <v>0.5588235294</v>
      </c>
      <c r="N7559" s="2">
        <v>134000.0</v>
      </c>
      <c r="O7559" s="4">
        <f t="shared" si="6"/>
        <v>3941.176471</v>
      </c>
      <c r="P7559" s="2">
        <v>0.0</v>
      </c>
      <c r="Q7559" s="3">
        <f t="shared" si="7"/>
        <v>0</v>
      </c>
      <c r="R7559" s="2">
        <v>14.0</v>
      </c>
      <c r="S7559" s="5">
        <f t="shared" si="8"/>
        <v>1</v>
      </c>
    </row>
    <row r="7560">
      <c r="A7560" s="2" t="s">
        <v>7555</v>
      </c>
      <c r="B7560" s="2">
        <v>802.0</v>
      </c>
      <c r="C7560" s="2">
        <v>9692.0</v>
      </c>
      <c r="D7560" s="2">
        <v>3069.0</v>
      </c>
      <c r="E7560" s="3">
        <f t="shared" si="1"/>
        <v>0.3452193476</v>
      </c>
      <c r="F7560" s="2">
        <v>877.0</v>
      </c>
      <c r="G7560" s="3">
        <f t="shared" si="2"/>
        <v>0.09865016873</v>
      </c>
      <c r="H7560" s="2">
        <v>1680.0</v>
      </c>
      <c r="I7560" s="3">
        <f t="shared" si="3"/>
        <v>0.188976378</v>
      </c>
      <c r="J7560" s="2">
        <v>1044.0</v>
      </c>
      <c r="K7560" s="3">
        <f t="shared" si="4"/>
        <v>0.1174353206</v>
      </c>
      <c r="L7560" s="2">
        <v>1001.0</v>
      </c>
      <c r="M7560" s="3">
        <f t="shared" si="5"/>
        <v>0.5958333333</v>
      </c>
      <c r="N7560" s="2">
        <v>9183300.0</v>
      </c>
      <c r="O7560" s="4">
        <f t="shared" si="6"/>
        <v>5466.25</v>
      </c>
      <c r="P7560" s="2">
        <v>2.0</v>
      </c>
      <c r="Q7560" s="3">
        <f t="shared" si="7"/>
        <v>0.002493765586</v>
      </c>
      <c r="R7560" s="2">
        <v>802.0</v>
      </c>
      <c r="S7560" s="5">
        <f t="shared" si="8"/>
        <v>1</v>
      </c>
    </row>
    <row r="7561">
      <c r="A7561" s="2" t="s">
        <v>7556</v>
      </c>
      <c r="B7561" s="2">
        <v>83.0</v>
      </c>
      <c r="C7561" s="2">
        <v>965.0</v>
      </c>
      <c r="D7561" s="2">
        <v>302.0</v>
      </c>
      <c r="E7561" s="3">
        <f t="shared" si="1"/>
        <v>0.3424036281</v>
      </c>
      <c r="F7561" s="2">
        <v>87.0</v>
      </c>
      <c r="G7561" s="3">
        <f t="shared" si="2"/>
        <v>0.09863945578</v>
      </c>
      <c r="H7561" s="2">
        <v>170.0</v>
      </c>
      <c r="I7561" s="3">
        <f t="shared" si="3"/>
        <v>0.1927437642</v>
      </c>
      <c r="J7561" s="2">
        <v>117.0</v>
      </c>
      <c r="K7561" s="3">
        <f t="shared" si="4"/>
        <v>0.1326530612</v>
      </c>
      <c r="L7561" s="2">
        <v>96.0</v>
      </c>
      <c r="M7561" s="3">
        <f t="shared" si="5"/>
        <v>0.5647058824</v>
      </c>
      <c r="N7561" s="2">
        <v>994400.0</v>
      </c>
      <c r="O7561" s="4">
        <f t="shared" si="6"/>
        <v>5849.411765</v>
      </c>
      <c r="P7561" s="2">
        <v>0.0</v>
      </c>
      <c r="Q7561" s="3">
        <f t="shared" si="7"/>
        <v>0</v>
      </c>
      <c r="R7561" s="2">
        <v>83.0</v>
      </c>
      <c r="S7561" s="5">
        <f t="shared" si="8"/>
        <v>1</v>
      </c>
    </row>
    <row r="7562">
      <c r="A7562" s="2" t="s">
        <v>7557</v>
      </c>
      <c r="B7562" s="2">
        <v>210.0</v>
      </c>
      <c r="C7562" s="2">
        <v>2461.0</v>
      </c>
      <c r="D7562" s="2">
        <v>620.0</v>
      </c>
      <c r="E7562" s="3">
        <f t="shared" si="1"/>
        <v>0.2754331408</v>
      </c>
      <c r="F7562" s="2">
        <v>222.0</v>
      </c>
      <c r="G7562" s="3">
        <f t="shared" si="2"/>
        <v>0.0986228343</v>
      </c>
      <c r="H7562" s="2">
        <v>435.0</v>
      </c>
      <c r="I7562" s="3">
        <f t="shared" si="3"/>
        <v>0.1932474456</v>
      </c>
      <c r="J7562" s="2">
        <v>328.0</v>
      </c>
      <c r="K7562" s="3">
        <f t="shared" si="4"/>
        <v>0.1457130164</v>
      </c>
      <c r="L7562" s="2">
        <v>275.0</v>
      </c>
      <c r="M7562" s="3">
        <f t="shared" si="5"/>
        <v>0.632183908</v>
      </c>
      <c r="N7562" s="2">
        <v>2725200.0</v>
      </c>
      <c r="O7562" s="4">
        <f t="shared" si="6"/>
        <v>6264.827586</v>
      </c>
      <c r="P7562" s="2">
        <v>2.0</v>
      </c>
      <c r="Q7562" s="3">
        <f t="shared" si="7"/>
        <v>0.009523809524</v>
      </c>
      <c r="R7562" s="2">
        <v>210.0</v>
      </c>
      <c r="S7562" s="5">
        <f t="shared" si="8"/>
        <v>1</v>
      </c>
    </row>
    <row r="7563">
      <c r="A7563" s="2" t="s">
        <v>7558</v>
      </c>
      <c r="B7563" s="2">
        <v>303.0</v>
      </c>
      <c r="C7563" s="2">
        <v>3558.0</v>
      </c>
      <c r="D7563" s="2">
        <v>1040.0</v>
      </c>
      <c r="E7563" s="3">
        <f t="shared" si="1"/>
        <v>0.3195084485</v>
      </c>
      <c r="F7563" s="2">
        <v>321.0</v>
      </c>
      <c r="G7563" s="3">
        <f t="shared" si="2"/>
        <v>0.09861751152</v>
      </c>
      <c r="H7563" s="2">
        <v>600.0</v>
      </c>
      <c r="I7563" s="3">
        <f t="shared" si="3"/>
        <v>0.1843317972</v>
      </c>
      <c r="J7563" s="2">
        <v>513.0</v>
      </c>
      <c r="K7563" s="3">
        <f t="shared" si="4"/>
        <v>0.1576036866</v>
      </c>
      <c r="L7563" s="2">
        <v>344.0</v>
      </c>
      <c r="M7563" s="3">
        <f t="shared" si="5"/>
        <v>0.5733333333</v>
      </c>
      <c r="N7563" s="2">
        <v>3605600.0</v>
      </c>
      <c r="O7563" s="4">
        <f t="shared" si="6"/>
        <v>6009.333333</v>
      </c>
      <c r="P7563" s="2">
        <v>0.0</v>
      </c>
      <c r="Q7563" s="3">
        <f t="shared" si="7"/>
        <v>0</v>
      </c>
      <c r="R7563" s="2">
        <v>303.0</v>
      </c>
      <c r="S7563" s="5">
        <f t="shared" si="8"/>
        <v>1</v>
      </c>
    </row>
    <row r="7564">
      <c r="A7564" s="2" t="s">
        <v>7559</v>
      </c>
      <c r="B7564" s="2">
        <v>3344.0</v>
      </c>
      <c r="C7564" s="2">
        <v>39364.0</v>
      </c>
      <c r="D7564" s="2">
        <v>9980.0</v>
      </c>
      <c r="E7564" s="3">
        <f t="shared" si="1"/>
        <v>0.2770682954</v>
      </c>
      <c r="F7564" s="2">
        <v>3549.0</v>
      </c>
      <c r="G7564" s="3">
        <f t="shared" si="2"/>
        <v>0.09852859522</v>
      </c>
      <c r="H7564" s="2">
        <v>6995.0</v>
      </c>
      <c r="I7564" s="3">
        <f t="shared" si="3"/>
        <v>0.194197668</v>
      </c>
      <c r="J7564" s="2">
        <v>5674.0</v>
      </c>
      <c r="K7564" s="3">
        <f t="shared" si="4"/>
        <v>0.157523598</v>
      </c>
      <c r="L7564" s="2">
        <v>4159.0</v>
      </c>
      <c r="M7564" s="3">
        <f t="shared" si="5"/>
        <v>0.5945675482</v>
      </c>
      <c r="N7564" s="2">
        <v>4.11763E7</v>
      </c>
      <c r="O7564" s="4">
        <f t="shared" si="6"/>
        <v>5886.533238</v>
      </c>
      <c r="P7564" s="2">
        <v>9.0</v>
      </c>
      <c r="Q7564" s="3">
        <f t="shared" si="7"/>
        <v>0.00269138756</v>
      </c>
      <c r="R7564" s="2">
        <v>1.0</v>
      </c>
      <c r="S7564" s="5">
        <f t="shared" si="8"/>
        <v>0.0002990430622</v>
      </c>
    </row>
    <row r="7565">
      <c r="A7565" s="2" t="s">
        <v>7560</v>
      </c>
      <c r="B7565" s="2">
        <v>304.0</v>
      </c>
      <c r="C7565" s="2">
        <v>3533.0</v>
      </c>
      <c r="D7565" s="2">
        <v>1100.0</v>
      </c>
      <c r="E7565" s="3">
        <f t="shared" si="1"/>
        <v>0.3406627439</v>
      </c>
      <c r="F7565" s="2">
        <v>318.0</v>
      </c>
      <c r="G7565" s="3">
        <f t="shared" si="2"/>
        <v>0.09848250232</v>
      </c>
      <c r="H7565" s="2">
        <v>693.0</v>
      </c>
      <c r="I7565" s="3">
        <f t="shared" si="3"/>
        <v>0.2146175286</v>
      </c>
      <c r="J7565" s="2">
        <v>545.0</v>
      </c>
      <c r="K7565" s="3">
        <f t="shared" si="4"/>
        <v>0.1687829049</v>
      </c>
      <c r="L7565" s="2">
        <v>404.0</v>
      </c>
      <c r="M7565" s="3">
        <f t="shared" si="5"/>
        <v>0.582972583</v>
      </c>
      <c r="N7565" s="2">
        <v>4085400.0</v>
      </c>
      <c r="O7565" s="4">
        <f t="shared" si="6"/>
        <v>5895.238095</v>
      </c>
      <c r="P7565" s="2">
        <v>0.0</v>
      </c>
      <c r="Q7565" s="3">
        <f t="shared" si="7"/>
        <v>0</v>
      </c>
      <c r="R7565" s="2">
        <v>304.0</v>
      </c>
      <c r="S7565" s="5">
        <f t="shared" si="8"/>
        <v>1</v>
      </c>
    </row>
    <row r="7566">
      <c r="A7566" s="2" t="s">
        <v>7561</v>
      </c>
      <c r="B7566" s="2">
        <v>24.0</v>
      </c>
      <c r="C7566" s="2">
        <v>278.0</v>
      </c>
      <c r="D7566" s="2">
        <v>42.0</v>
      </c>
      <c r="E7566" s="3">
        <f t="shared" si="1"/>
        <v>0.1653543307</v>
      </c>
      <c r="F7566" s="2">
        <v>25.0</v>
      </c>
      <c r="G7566" s="3">
        <f t="shared" si="2"/>
        <v>0.09842519685</v>
      </c>
      <c r="H7566" s="2">
        <v>48.0</v>
      </c>
      <c r="I7566" s="3">
        <f t="shared" si="3"/>
        <v>0.188976378</v>
      </c>
      <c r="J7566" s="2">
        <v>41.0</v>
      </c>
      <c r="K7566" s="3">
        <f t="shared" si="4"/>
        <v>0.1614173228</v>
      </c>
      <c r="L7566" s="2">
        <v>26.0</v>
      </c>
      <c r="M7566" s="3">
        <f t="shared" si="5"/>
        <v>0.5416666667</v>
      </c>
      <c r="N7566" s="2">
        <v>299600.0</v>
      </c>
      <c r="O7566" s="4">
        <f t="shared" si="6"/>
        <v>6241.666667</v>
      </c>
      <c r="P7566" s="2">
        <v>0.0</v>
      </c>
      <c r="Q7566" s="3">
        <f t="shared" si="7"/>
        <v>0</v>
      </c>
      <c r="R7566" s="2">
        <v>24.0</v>
      </c>
      <c r="S7566" s="5">
        <f t="shared" si="8"/>
        <v>1</v>
      </c>
    </row>
    <row r="7567">
      <c r="A7567" s="2" t="s">
        <v>7562</v>
      </c>
      <c r="B7567" s="2">
        <v>136.0</v>
      </c>
      <c r="C7567" s="2">
        <v>1569.0</v>
      </c>
      <c r="D7567" s="2">
        <v>497.0</v>
      </c>
      <c r="E7567" s="3">
        <f t="shared" si="1"/>
        <v>0.346824843</v>
      </c>
      <c r="F7567" s="2">
        <v>141.0</v>
      </c>
      <c r="G7567" s="3">
        <f t="shared" si="2"/>
        <v>0.09839497558</v>
      </c>
      <c r="H7567" s="2">
        <v>328.0</v>
      </c>
      <c r="I7567" s="3">
        <f t="shared" si="3"/>
        <v>0.2288904396</v>
      </c>
      <c r="J7567" s="2">
        <v>224.0</v>
      </c>
      <c r="K7567" s="3">
        <f t="shared" si="4"/>
        <v>0.1563154222</v>
      </c>
      <c r="L7567" s="2">
        <v>194.0</v>
      </c>
      <c r="M7567" s="3">
        <f t="shared" si="5"/>
        <v>0.5914634146</v>
      </c>
      <c r="N7567" s="2">
        <v>1849500.0</v>
      </c>
      <c r="O7567" s="4">
        <f t="shared" si="6"/>
        <v>5638.719512</v>
      </c>
      <c r="P7567" s="2">
        <v>0.0</v>
      </c>
      <c r="Q7567" s="3">
        <f t="shared" si="7"/>
        <v>0</v>
      </c>
      <c r="R7567" s="2">
        <v>129.0</v>
      </c>
      <c r="S7567" s="5">
        <f t="shared" si="8"/>
        <v>0.9485294118</v>
      </c>
    </row>
    <row r="7568">
      <c r="A7568" s="2" t="s">
        <v>7563</v>
      </c>
      <c r="B7568" s="2">
        <v>119.0</v>
      </c>
      <c r="C7568" s="2">
        <v>1400.0</v>
      </c>
      <c r="D7568" s="2">
        <v>419.0</v>
      </c>
      <c r="E7568" s="3">
        <f t="shared" si="1"/>
        <v>0.3270882123</v>
      </c>
      <c r="F7568" s="2">
        <v>126.0</v>
      </c>
      <c r="G7568" s="3">
        <f t="shared" si="2"/>
        <v>0.09836065574</v>
      </c>
      <c r="H7568" s="2">
        <v>269.0</v>
      </c>
      <c r="I7568" s="3">
        <f t="shared" si="3"/>
        <v>0.2099921936</v>
      </c>
      <c r="J7568" s="2">
        <v>233.0</v>
      </c>
      <c r="K7568" s="3">
        <f t="shared" si="4"/>
        <v>0.1818891491</v>
      </c>
      <c r="L7568" s="2">
        <v>169.0</v>
      </c>
      <c r="M7568" s="3">
        <f t="shared" si="5"/>
        <v>0.6282527881</v>
      </c>
      <c r="N7568" s="2">
        <v>1415600.0</v>
      </c>
      <c r="O7568" s="4">
        <f t="shared" si="6"/>
        <v>5262.453532</v>
      </c>
      <c r="P7568" s="2">
        <v>1.0</v>
      </c>
      <c r="Q7568" s="3">
        <f t="shared" si="7"/>
        <v>0.008403361345</v>
      </c>
      <c r="R7568" s="2">
        <v>119.0</v>
      </c>
      <c r="S7568" s="5">
        <f t="shared" si="8"/>
        <v>1</v>
      </c>
    </row>
    <row r="7569">
      <c r="A7569" s="2" t="s">
        <v>7564</v>
      </c>
      <c r="B7569" s="2">
        <v>6.0</v>
      </c>
      <c r="C7569" s="2">
        <v>67.0</v>
      </c>
      <c r="D7569" s="2">
        <v>24.0</v>
      </c>
      <c r="E7569" s="3">
        <f t="shared" si="1"/>
        <v>0.393442623</v>
      </c>
      <c r="F7569" s="2">
        <v>6.0</v>
      </c>
      <c r="G7569" s="3">
        <f t="shared" si="2"/>
        <v>0.09836065574</v>
      </c>
      <c r="H7569" s="2">
        <v>14.0</v>
      </c>
      <c r="I7569" s="3">
        <f t="shared" si="3"/>
        <v>0.2295081967</v>
      </c>
      <c r="J7569" s="2">
        <v>8.0</v>
      </c>
      <c r="K7569" s="3">
        <f t="shared" si="4"/>
        <v>0.131147541</v>
      </c>
      <c r="L7569" s="2">
        <v>7.0</v>
      </c>
      <c r="M7569" s="3">
        <f t="shared" si="5"/>
        <v>0.5</v>
      </c>
      <c r="N7569" s="2">
        <v>62600.0</v>
      </c>
      <c r="O7569" s="4">
        <f t="shared" si="6"/>
        <v>4471.428571</v>
      </c>
      <c r="P7569" s="2">
        <v>0.0</v>
      </c>
      <c r="Q7569" s="3">
        <f t="shared" si="7"/>
        <v>0</v>
      </c>
      <c r="R7569" s="2">
        <v>6.0</v>
      </c>
      <c r="S7569" s="5">
        <f t="shared" si="8"/>
        <v>1</v>
      </c>
    </row>
    <row r="7570">
      <c r="A7570" s="2" t="s">
        <v>7565</v>
      </c>
      <c r="B7570" s="2">
        <v>77.0</v>
      </c>
      <c r="C7570" s="2">
        <v>891.0</v>
      </c>
      <c r="D7570" s="2">
        <v>313.0</v>
      </c>
      <c r="E7570" s="3">
        <f t="shared" si="1"/>
        <v>0.3845208845</v>
      </c>
      <c r="F7570" s="2">
        <v>80.0</v>
      </c>
      <c r="G7570" s="3">
        <f t="shared" si="2"/>
        <v>0.09828009828</v>
      </c>
      <c r="H7570" s="2">
        <v>163.0</v>
      </c>
      <c r="I7570" s="3">
        <f t="shared" si="3"/>
        <v>0.2002457002</v>
      </c>
      <c r="J7570" s="2">
        <v>129.0</v>
      </c>
      <c r="K7570" s="3">
        <f t="shared" si="4"/>
        <v>0.1584766585</v>
      </c>
      <c r="L7570" s="2">
        <v>105.0</v>
      </c>
      <c r="M7570" s="3">
        <f t="shared" si="5"/>
        <v>0.6441717791</v>
      </c>
      <c r="N7570" s="2">
        <v>793900.0</v>
      </c>
      <c r="O7570" s="4">
        <f t="shared" si="6"/>
        <v>4870.552147</v>
      </c>
      <c r="P7570" s="2">
        <v>0.0</v>
      </c>
      <c r="Q7570" s="3">
        <f t="shared" si="7"/>
        <v>0</v>
      </c>
      <c r="R7570" s="2">
        <v>77.0</v>
      </c>
      <c r="S7570" s="5">
        <f t="shared" si="8"/>
        <v>1</v>
      </c>
    </row>
    <row r="7571">
      <c r="A7571" s="2" t="s">
        <v>7566</v>
      </c>
      <c r="B7571" s="2">
        <v>205.0</v>
      </c>
      <c r="C7571" s="2">
        <v>2363.0</v>
      </c>
      <c r="D7571" s="2">
        <v>718.0</v>
      </c>
      <c r="E7571" s="3">
        <f t="shared" si="1"/>
        <v>0.3327154773</v>
      </c>
      <c r="F7571" s="2">
        <v>212.0</v>
      </c>
      <c r="G7571" s="3">
        <f t="shared" si="2"/>
        <v>0.09823911029</v>
      </c>
      <c r="H7571" s="2">
        <v>448.0</v>
      </c>
      <c r="I7571" s="3">
        <f t="shared" si="3"/>
        <v>0.2075996293</v>
      </c>
      <c r="J7571" s="2">
        <v>347.0</v>
      </c>
      <c r="K7571" s="3">
        <f t="shared" si="4"/>
        <v>0.1607970343</v>
      </c>
      <c r="L7571" s="2">
        <v>250.0</v>
      </c>
      <c r="M7571" s="3">
        <f t="shared" si="5"/>
        <v>0.5580357143</v>
      </c>
      <c r="N7571" s="2">
        <v>2717800.0</v>
      </c>
      <c r="O7571" s="4">
        <f t="shared" si="6"/>
        <v>6066.517857</v>
      </c>
      <c r="P7571" s="2">
        <v>1.0</v>
      </c>
      <c r="Q7571" s="3">
        <f t="shared" si="7"/>
        <v>0.00487804878</v>
      </c>
      <c r="R7571" s="2">
        <v>205.0</v>
      </c>
      <c r="S7571" s="5">
        <f t="shared" si="8"/>
        <v>1</v>
      </c>
    </row>
    <row r="7572">
      <c r="A7572" s="2" t="s">
        <v>7567</v>
      </c>
      <c r="B7572" s="2">
        <v>41.0</v>
      </c>
      <c r="C7572" s="2">
        <v>540.0</v>
      </c>
      <c r="D7572" s="2">
        <v>158.0</v>
      </c>
      <c r="E7572" s="3">
        <f t="shared" si="1"/>
        <v>0.3166332665</v>
      </c>
      <c r="F7572" s="2">
        <v>49.0</v>
      </c>
      <c r="G7572" s="3">
        <f t="shared" si="2"/>
        <v>0.09819639279</v>
      </c>
      <c r="H7572" s="2">
        <v>99.0</v>
      </c>
      <c r="I7572" s="3">
        <f t="shared" si="3"/>
        <v>0.1983967936</v>
      </c>
      <c r="J7572" s="2">
        <v>68.0</v>
      </c>
      <c r="K7572" s="3">
        <f t="shared" si="4"/>
        <v>0.1362725451</v>
      </c>
      <c r="L7572" s="2">
        <v>54.0</v>
      </c>
      <c r="M7572" s="3">
        <f t="shared" si="5"/>
        <v>0.5454545455</v>
      </c>
      <c r="N7572" s="2">
        <v>520600.0</v>
      </c>
      <c r="O7572" s="4">
        <f t="shared" si="6"/>
        <v>5258.585859</v>
      </c>
      <c r="P7572" s="2">
        <v>0.0</v>
      </c>
      <c r="Q7572" s="3">
        <f t="shared" si="7"/>
        <v>0</v>
      </c>
      <c r="R7572" s="2">
        <v>41.0</v>
      </c>
      <c r="S7572" s="5">
        <f t="shared" si="8"/>
        <v>1</v>
      </c>
    </row>
    <row r="7573">
      <c r="A7573" s="2" t="s">
        <v>7568</v>
      </c>
      <c r="B7573" s="2">
        <v>39.0</v>
      </c>
      <c r="C7573" s="2">
        <v>477.0</v>
      </c>
      <c r="D7573" s="2">
        <v>168.0</v>
      </c>
      <c r="E7573" s="3">
        <f t="shared" si="1"/>
        <v>0.3835616438</v>
      </c>
      <c r="F7573" s="2">
        <v>43.0</v>
      </c>
      <c r="G7573" s="3">
        <f t="shared" si="2"/>
        <v>0.09817351598</v>
      </c>
      <c r="H7573" s="2">
        <v>78.0</v>
      </c>
      <c r="I7573" s="3">
        <f t="shared" si="3"/>
        <v>0.1780821918</v>
      </c>
      <c r="J7573" s="2">
        <v>76.0</v>
      </c>
      <c r="K7573" s="3">
        <f t="shared" si="4"/>
        <v>0.1735159817</v>
      </c>
      <c r="L7573" s="2">
        <v>52.0</v>
      </c>
      <c r="M7573" s="3">
        <f t="shared" si="5"/>
        <v>0.6666666667</v>
      </c>
      <c r="N7573" s="2">
        <v>444900.0</v>
      </c>
      <c r="O7573" s="4">
        <f t="shared" si="6"/>
        <v>5703.846154</v>
      </c>
      <c r="P7573" s="2">
        <v>0.0</v>
      </c>
      <c r="Q7573" s="3">
        <f t="shared" si="7"/>
        <v>0</v>
      </c>
      <c r="R7573" s="2">
        <v>39.0</v>
      </c>
      <c r="S7573" s="5">
        <f t="shared" si="8"/>
        <v>1</v>
      </c>
    </row>
    <row r="7574">
      <c r="A7574" s="2" t="s">
        <v>7569</v>
      </c>
      <c r="B7574" s="2">
        <v>113.0</v>
      </c>
      <c r="C7574" s="2">
        <v>1305.0</v>
      </c>
      <c r="D7574" s="2">
        <v>281.0</v>
      </c>
      <c r="E7574" s="3">
        <f t="shared" si="1"/>
        <v>0.235738255</v>
      </c>
      <c r="F7574" s="2">
        <v>117.0</v>
      </c>
      <c r="G7574" s="3">
        <f t="shared" si="2"/>
        <v>0.09815436242</v>
      </c>
      <c r="H7574" s="2">
        <v>238.0</v>
      </c>
      <c r="I7574" s="3">
        <f t="shared" si="3"/>
        <v>0.1996644295</v>
      </c>
      <c r="J7574" s="2">
        <v>138.0</v>
      </c>
      <c r="K7574" s="3">
        <f t="shared" si="4"/>
        <v>0.1157718121</v>
      </c>
      <c r="L7574" s="2">
        <v>143.0</v>
      </c>
      <c r="M7574" s="3">
        <f t="shared" si="5"/>
        <v>0.6008403361</v>
      </c>
      <c r="N7574" s="2">
        <v>1361800.0</v>
      </c>
      <c r="O7574" s="4">
        <f t="shared" si="6"/>
        <v>5721.848739</v>
      </c>
      <c r="P7574" s="2">
        <v>2.0</v>
      </c>
      <c r="Q7574" s="3">
        <f t="shared" si="7"/>
        <v>0.01769911504</v>
      </c>
      <c r="R7574" s="2">
        <v>113.0</v>
      </c>
      <c r="S7574" s="5">
        <f t="shared" si="8"/>
        <v>1</v>
      </c>
    </row>
    <row r="7575">
      <c r="A7575" s="2" t="s">
        <v>7570</v>
      </c>
      <c r="B7575" s="2">
        <v>34.0</v>
      </c>
      <c r="C7575" s="2">
        <v>391.0</v>
      </c>
      <c r="D7575" s="2">
        <v>99.0</v>
      </c>
      <c r="E7575" s="3">
        <f t="shared" si="1"/>
        <v>0.2773109244</v>
      </c>
      <c r="F7575" s="2">
        <v>35.0</v>
      </c>
      <c r="G7575" s="3">
        <f t="shared" si="2"/>
        <v>0.09803921569</v>
      </c>
      <c r="H7575" s="2">
        <v>63.0</v>
      </c>
      <c r="I7575" s="3">
        <f t="shared" si="3"/>
        <v>0.1764705882</v>
      </c>
      <c r="J7575" s="2">
        <v>66.0</v>
      </c>
      <c r="K7575" s="3">
        <f t="shared" si="4"/>
        <v>0.1848739496</v>
      </c>
      <c r="L7575" s="2">
        <v>38.0</v>
      </c>
      <c r="M7575" s="3">
        <f t="shared" si="5"/>
        <v>0.6031746032</v>
      </c>
      <c r="N7575" s="2">
        <v>424700.0</v>
      </c>
      <c r="O7575" s="4">
        <f t="shared" si="6"/>
        <v>6741.269841</v>
      </c>
      <c r="P7575" s="2">
        <v>0.0</v>
      </c>
      <c r="Q7575" s="3">
        <f t="shared" si="7"/>
        <v>0</v>
      </c>
      <c r="R7575" s="2">
        <v>0.0</v>
      </c>
      <c r="S7575" s="5">
        <f t="shared" si="8"/>
        <v>0</v>
      </c>
    </row>
    <row r="7576">
      <c r="A7576" s="2" t="s">
        <v>7571</v>
      </c>
      <c r="B7576" s="2">
        <v>22.0</v>
      </c>
      <c r="C7576" s="2">
        <v>257.0</v>
      </c>
      <c r="D7576" s="2">
        <v>63.0</v>
      </c>
      <c r="E7576" s="3">
        <f t="shared" si="1"/>
        <v>0.2680851064</v>
      </c>
      <c r="F7576" s="2">
        <v>23.0</v>
      </c>
      <c r="G7576" s="3">
        <f t="shared" si="2"/>
        <v>0.09787234043</v>
      </c>
      <c r="H7576" s="2">
        <v>45.0</v>
      </c>
      <c r="I7576" s="3">
        <f t="shared" si="3"/>
        <v>0.1914893617</v>
      </c>
      <c r="J7576" s="2">
        <v>39.0</v>
      </c>
      <c r="K7576" s="3">
        <f t="shared" si="4"/>
        <v>0.1659574468</v>
      </c>
      <c r="L7576" s="2">
        <v>29.0</v>
      </c>
      <c r="M7576" s="3">
        <f t="shared" si="5"/>
        <v>0.6444444444</v>
      </c>
      <c r="N7576" s="2">
        <v>281100.0</v>
      </c>
      <c r="O7576" s="4">
        <f t="shared" si="6"/>
        <v>6246.666667</v>
      </c>
      <c r="P7576" s="2">
        <v>0.0</v>
      </c>
      <c r="Q7576" s="3">
        <f t="shared" si="7"/>
        <v>0</v>
      </c>
      <c r="R7576" s="2">
        <v>0.0</v>
      </c>
      <c r="S7576" s="5">
        <f t="shared" si="8"/>
        <v>0</v>
      </c>
    </row>
    <row r="7577">
      <c r="A7577" s="2" t="s">
        <v>7572</v>
      </c>
      <c r="B7577" s="2">
        <v>1429.0</v>
      </c>
      <c r="C7577" s="2">
        <v>16803.0</v>
      </c>
      <c r="D7577" s="2">
        <v>5767.0</v>
      </c>
      <c r="E7577" s="3">
        <f t="shared" si="1"/>
        <v>0.3751138285</v>
      </c>
      <c r="F7577" s="2">
        <v>1504.0</v>
      </c>
      <c r="G7577" s="3">
        <f t="shared" si="2"/>
        <v>0.09782750098</v>
      </c>
      <c r="H7577" s="2">
        <v>2957.0</v>
      </c>
      <c r="I7577" s="3">
        <f t="shared" si="3"/>
        <v>0.192337713</v>
      </c>
      <c r="J7577" s="2">
        <v>2441.0</v>
      </c>
      <c r="K7577" s="3">
        <f t="shared" si="4"/>
        <v>0.1587745544</v>
      </c>
      <c r="L7577" s="2">
        <v>1740.0</v>
      </c>
      <c r="M7577" s="3">
        <f t="shared" si="5"/>
        <v>0.5884342239</v>
      </c>
      <c r="N7577" s="2">
        <v>1.7118E7</v>
      </c>
      <c r="O7577" s="4">
        <f t="shared" si="6"/>
        <v>5788.975313</v>
      </c>
      <c r="P7577" s="2">
        <v>1.0</v>
      </c>
      <c r="Q7577" s="3">
        <f t="shared" si="7"/>
        <v>0.000699790063</v>
      </c>
      <c r="R7577" s="2">
        <v>0.0</v>
      </c>
      <c r="S7577" s="5">
        <f t="shared" si="8"/>
        <v>0</v>
      </c>
    </row>
    <row r="7578">
      <c r="A7578" s="2" t="s">
        <v>7573</v>
      </c>
      <c r="B7578" s="2">
        <v>14.0</v>
      </c>
      <c r="C7578" s="2">
        <v>188.0</v>
      </c>
      <c r="D7578" s="2">
        <v>67.0</v>
      </c>
      <c r="E7578" s="3">
        <f t="shared" si="1"/>
        <v>0.3850574713</v>
      </c>
      <c r="F7578" s="2">
        <v>17.0</v>
      </c>
      <c r="G7578" s="3">
        <f t="shared" si="2"/>
        <v>0.09770114943</v>
      </c>
      <c r="H7578" s="2">
        <v>41.0</v>
      </c>
      <c r="I7578" s="3">
        <f t="shared" si="3"/>
        <v>0.2356321839</v>
      </c>
      <c r="J7578" s="2">
        <v>28.0</v>
      </c>
      <c r="K7578" s="3">
        <f t="shared" si="4"/>
        <v>0.1609195402</v>
      </c>
      <c r="L7578" s="2">
        <v>26.0</v>
      </c>
      <c r="M7578" s="3">
        <f t="shared" si="5"/>
        <v>0.6341463415</v>
      </c>
      <c r="N7578" s="2">
        <v>166800.0</v>
      </c>
      <c r="O7578" s="4">
        <f t="shared" si="6"/>
        <v>4068.292683</v>
      </c>
      <c r="P7578" s="2">
        <v>0.0</v>
      </c>
      <c r="Q7578" s="3">
        <f t="shared" si="7"/>
        <v>0</v>
      </c>
      <c r="R7578" s="2">
        <v>0.0</v>
      </c>
      <c r="S7578" s="5">
        <f t="shared" si="8"/>
        <v>0</v>
      </c>
    </row>
    <row r="7579">
      <c r="A7579" s="2" t="s">
        <v>7574</v>
      </c>
      <c r="B7579" s="2">
        <v>633.0</v>
      </c>
      <c r="C7579" s="2">
        <v>7415.0</v>
      </c>
      <c r="D7579" s="2">
        <v>2180.0</v>
      </c>
      <c r="E7579" s="3">
        <f t="shared" si="1"/>
        <v>0.3214391035</v>
      </c>
      <c r="F7579" s="2">
        <v>662.0</v>
      </c>
      <c r="G7579" s="3">
        <f t="shared" si="2"/>
        <v>0.09761132409</v>
      </c>
      <c r="H7579" s="2">
        <v>1347.0</v>
      </c>
      <c r="I7579" s="3">
        <f t="shared" si="3"/>
        <v>0.1986139782</v>
      </c>
      <c r="J7579" s="2">
        <v>1063.0</v>
      </c>
      <c r="K7579" s="3">
        <f t="shared" si="4"/>
        <v>0.1567384252</v>
      </c>
      <c r="L7579" s="2">
        <v>824.0</v>
      </c>
      <c r="M7579" s="3">
        <f t="shared" si="5"/>
        <v>0.6117297699</v>
      </c>
      <c r="N7579" s="2">
        <v>7799400.0</v>
      </c>
      <c r="O7579" s="4">
        <f t="shared" si="6"/>
        <v>5790.200445</v>
      </c>
      <c r="P7579" s="2">
        <v>1.0</v>
      </c>
      <c r="Q7579" s="3">
        <f t="shared" si="7"/>
        <v>0.001579778831</v>
      </c>
      <c r="R7579" s="2">
        <v>633.0</v>
      </c>
      <c r="S7579" s="5">
        <f t="shared" si="8"/>
        <v>1</v>
      </c>
    </row>
    <row r="7580">
      <c r="A7580" s="2" t="s">
        <v>7575</v>
      </c>
      <c r="B7580" s="2">
        <v>94.0</v>
      </c>
      <c r="C7580" s="2">
        <v>1129.0</v>
      </c>
      <c r="D7580" s="2">
        <v>358.0</v>
      </c>
      <c r="E7580" s="3">
        <f t="shared" si="1"/>
        <v>0.3458937198</v>
      </c>
      <c r="F7580" s="2">
        <v>101.0</v>
      </c>
      <c r="G7580" s="3">
        <f t="shared" si="2"/>
        <v>0.09758454106</v>
      </c>
      <c r="H7580" s="2">
        <v>233.0</v>
      </c>
      <c r="I7580" s="3">
        <f t="shared" si="3"/>
        <v>0.2251207729</v>
      </c>
      <c r="J7580" s="2">
        <v>166.0</v>
      </c>
      <c r="K7580" s="3">
        <f t="shared" si="4"/>
        <v>0.1603864734</v>
      </c>
      <c r="L7580" s="2">
        <v>135.0</v>
      </c>
      <c r="M7580" s="3">
        <f t="shared" si="5"/>
        <v>0.5793991416</v>
      </c>
      <c r="N7580" s="2">
        <v>1274100.0</v>
      </c>
      <c r="O7580" s="4">
        <f t="shared" si="6"/>
        <v>5468.240343</v>
      </c>
      <c r="P7580" s="2">
        <v>0.0</v>
      </c>
      <c r="Q7580" s="3">
        <f t="shared" si="7"/>
        <v>0</v>
      </c>
      <c r="R7580" s="2">
        <v>94.0</v>
      </c>
      <c r="S7580" s="5">
        <f t="shared" si="8"/>
        <v>1</v>
      </c>
    </row>
    <row r="7581">
      <c r="A7581" s="2" t="s">
        <v>7576</v>
      </c>
      <c r="B7581" s="2">
        <v>7.0</v>
      </c>
      <c r="C7581" s="2">
        <v>89.0</v>
      </c>
      <c r="D7581" s="2">
        <v>18.0</v>
      </c>
      <c r="E7581" s="3">
        <f t="shared" si="1"/>
        <v>0.2195121951</v>
      </c>
      <c r="F7581" s="2">
        <v>8.0</v>
      </c>
      <c r="G7581" s="3">
        <f t="shared" si="2"/>
        <v>0.09756097561</v>
      </c>
      <c r="H7581" s="2">
        <v>16.0</v>
      </c>
      <c r="I7581" s="3">
        <f t="shared" si="3"/>
        <v>0.1951219512</v>
      </c>
      <c r="J7581" s="2">
        <v>20.0</v>
      </c>
      <c r="K7581" s="3">
        <f t="shared" si="4"/>
        <v>0.243902439</v>
      </c>
      <c r="L7581" s="2">
        <v>10.0</v>
      </c>
      <c r="M7581" s="3">
        <f t="shared" si="5"/>
        <v>0.625</v>
      </c>
      <c r="N7581" s="2">
        <v>108200.0</v>
      </c>
      <c r="O7581" s="4">
        <f t="shared" si="6"/>
        <v>6762.5</v>
      </c>
      <c r="P7581" s="2">
        <v>0.0</v>
      </c>
      <c r="Q7581" s="3">
        <f t="shared" si="7"/>
        <v>0</v>
      </c>
      <c r="R7581" s="2">
        <v>7.0</v>
      </c>
      <c r="S7581" s="5">
        <f t="shared" si="8"/>
        <v>1</v>
      </c>
    </row>
    <row r="7582">
      <c r="A7582" s="2" t="s">
        <v>7577</v>
      </c>
      <c r="B7582" s="2">
        <v>11.0</v>
      </c>
      <c r="C7582" s="2">
        <v>134.0</v>
      </c>
      <c r="D7582" s="2">
        <v>29.0</v>
      </c>
      <c r="E7582" s="3">
        <f t="shared" si="1"/>
        <v>0.2357723577</v>
      </c>
      <c r="F7582" s="2">
        <v>12.0</v>
      </c>
      <c r="G7582" s="3">
        <f t="shared" si="2"/>
        <v>0.09756097561</v>
      </c>
      <c r="H7582" s="2">
        <v>28.0</v>
      </c>
      <c r="I7582" s="3">
        <f t="shared" si="3"/>
        <v>0.2276422764</v>
      </c>
      <c r="J7582" s="2">
        <v>27.0</v>
      </c>
      <c r="K7582" s="3">
        <f t="shared" si="4"/>
        <v>0.2195121951</v>
      </c>
      <c r="L7582" s="2">
        <v>17.0</v>
      </c>
      <c r="M7582" s="3">
        <f t="shared" si="5"/>
        <v>0.6071428571</v>
      </c>
      <c r="N7582" s="2">
        <v>177300.0</v>
      </c>
      <c r="O7582" s="4">
        <f t="shared" si="6"/>
        <v>6332.142857</v>
      </c>
      <c r="P7582" s="2">
        <v>0.0</v>
      </c>
      <c r="Q7582" s="3">
        <f t="shared" si="7"/>
        <v>0</v>
      </c>
      <c r="R7582" s="2">
        <v>11.0</v>
      </c>
      <c r="S7582" s="5">
        <f t="shared" si="8"/>
        <v>1</v>
      </c>
    </row>
    <row r="7583">
      <c r="A7583" s="2" t="s">
        <v>7578</v>
      </c>
      <c r="B7583" s="2">
        <v>4.0</v>
      </c>
      <c r="C7583" s="2">
        <v>45.0</v>
      </c>
      <c r="D7583" s="2">
        <v>12.0</v>
      </c>
      <c r="E7583" s="3">
        <f t="shared" si="1"/>
        <v>0.2926829268</v>
      </c>
      <c r="F7583" s="2">
        <v>4.0</v>
      </c>
      <c r="G7583" s="3">
        <f t="shared" si="2"/>
        <v>0.09756097561</v>
      </c>
      <c r="H7583" s="2">
        <v>8.0</v>
      </c>
      <c r="I7583" s="3">
        <f t="shared" si="3"/>
        <v>0.1951219512</v>
      </c>
      <c r="J7583" s="2">
        <v>8.0</v>
      </c>
      <c r="K7583" s="3">
        <f t="shared" si="4"/>
        <v>0.1951219512</v>
      </c>
      <c r="L7583" s="2">
        <v>4.0</v>
      </c>
      <c r="M7583" s="3">
        <f t="shared" si="5"/>
        <v>0.5</v>
      </c>
      <c r="N7583" s="2">
        <v>50100.0</v>
      </c>
      <c r="O7583" s="4">
        <f t="shared" si="6"/>
        <v>6262.5</v>
      </c>
      <c r="P7583" s="2">
        <v>0.0</v>
      </c>
      <c r="Q7583" s="3">
        <f t="shared" si="7"/>
        <v>0</v>
      </c>
      <c r="R7583" s="2">
        <v>4.0</v>
      </c>
      <c r="S7583" s="5">
        <f t="shared" si="8"/>
        <v>1</v>
      </c>
    </row>
    <row r="7584">
      <c r="A7584" s="2" t="s">
        <v>7579</v>
      </c>
      <c r="B7584" s="2">
        <v>112.0</v>
      </c>
      <c r="C7584" s="2">
        <v>1363.0</v>
      </c>
      <c r="D7584" s="2">
        <v>395.0</v>
      </c>
      <c r="E7584" s="3">
        <f t="shared" si="1"/>
        <v>0.3157474021</v>
      </c>
      <c r="F7584" s="2">
        <v>122.0</v>
      </c>
      <c r="G7584" s="3">
        <f t="shared" si="2"/>
        <v>0.09752198241</v>
      </c>
      <c r="H7584" s="2">
        <v>228.0</v>
      </c>
      <c r="I7584" s="3">
        <f t="shared" si="3"/>
        <v>0.1822541966</v>
      </c>
      <c r="J7584" s="2">
        <v>196.0</v>
      </c>
      <c r="K7584" s="3">
        <f t="shared" si="4"/>
        <v>0.1566746603</v>
      </c>
      <c r="L7584" s="2">
        <v>135.0</v>
      </c>
      <c r="M7584" s="3">
        <f t="shared" si="5"/>
        <v>0.5921052632</v>
      </c>
      <c r="N7584" s="2">
        <v>1173200.0</v>
      </c>
      <c r="O7584" s="4">
        <f t="shared" si="6"/>
        <v>5145.614035</v>
      </c>
      <c r="P7584" s="2">
        <v>0.0</v>
      </c>
      <c r="Q7584" s="3">
        <f t="shared" si="7"/>
        <v>0</v>
      </c>
      <c r="R7584" s="2">
        <v>112.0</v>
      </c>
      <c r="S7584" s="5">
        <f t="shared" si="8"/>
        <v>1</v>
      </c>
    </row>
    <row r="7585">
      <c r="A7585" s="2" t="s">
        <v>7580</v>
      </c>
      <c r="B7585" s="2">
        <v>113.0</v>
      </c>
      <c r="C7585" s="2">
        <v>1313.0</v>
      </c>
      <c r="D7585" s="2">
        <v>407.0</v>
      </c>
      <c r="E7585" s="3">
        <f t="shared" si="1"/>
        <v>0.3391666667</v>
      </c>
      <c r="F7585" s="2">
        <v>117.0</v>
      </c>
      <c r="G7585" s="3">
        <f t="shared" si="2"/>
        <v>0.0975</v>
      </c>
      <c r="H7585" s="2">
        <v>255.0</v>
      </c>
      <c r="I7585" s="3">
        <f t="shared" si="3"/>
        <v>0.2125</v>
      </c>
      <c r="J7585" s="2">
        <v>135.0</v>
      </c>
      <c r="K7585" s="3">
        <f t="shared" si="4"/>
        <v>0.1125</v>
      </c>
      <c r="L7585" s="2">
        <v>156.0</v>
      </c>
      <c r="M7585" s="3">
        <f t="shared" si="5"/>
        <v>0.6117647059</v>
      </c>
      <c r="N7585" s="2">
        <v>1368900.0</v>
      </c>
      <c r="O7585" s="4">
        <f t="shared" si="6"/>
        <v>5368.235294</v>
      </c>
      <c r="P7585" s="2">
        <v>2.0</v>
      </c>
      <c r="Q7585" s="3">
        <f t="shared" si="7"/>
        <v>0.01769911504</v>
      </c>
      <c r="R7585" s="2">
        <v>113.0</v>
      </c>
      <c r="S7585" s="5">
        <f t="shared" si="8"/>
        <v>1</v>
      </c>
    </row>
    <row r="7586">
      <c r="A7586" s="2" t="s">
        <v>7581</v>
      </c>
      <c r="B7586" s="2">
        <v>74.0</v>
      </c>
      <c r="C7586" s="2">
        <v>864.0</v>
      </c>
      <c r="D7586" s="2">
        <v>276.0</v>
      </c>
      <c r="E7586" s="3">
        <f t="shared" si="1"/>
        <v>0.3493670886</v>
      </c>
      <c r="F7586" s="2">
        <v>77.0</v>
      </c>
      <c r="G7586" s="3">
        <f t="shared" si="2"/>
        <v>0.09746835443</v>
      </c>
      <c r="H7586" s="2">
        <v>165.0</v>
      </c>
      <c r="I7586" s="3">
        <f t="shared" si="3"/>
        <v>0.2088607595</v>
      </c>
      <c r="J7586" s="2">
        <v>103.0</v>
      </c>
      <c r="K7586" s="3">
        <f t="shared" si="4"/>
        <v>0.1303797468</v>
      </c>
      <c r="L7586" s="2">
        <v>101.0</v>
      </c>
      <c r="M7586" s="3">
        <f t="shared" si="5"/>
        <v>0.6121212121</v>
      </c>
      <c r="N7586" s="2">
        <v>837600.0</v>
      </c>
      <c r="O7586" s="4">
        <f t="shared" si="6"/>
        <v>5076.363636</v>
      </c>
      <c r="P7586" s="2">
        <v>0.0</v>
      </c>
      <c r="Q7586" s="3">
        <f t="shared" si="7"/>
        <v>0</v>
      </c>
      <c r="R7586" s="2">
        <v>41.0</v>
      </c>
      <c r="S7586" s="5">
        <f t="shared" si="8"/>
        <v>0.5540540541</v>
      </c>
    </row>
    <row r="7587">
      <c r="A7587" s="2" t="s">
        <v>7582</v>
      </c>
      <c r="B7587" s="2">
        <v>1962.0</v>
      </c>
      <c r="C7587" s="2">
        <v>23359.0</v>
      </c>
      <c r="D7587" s="2">
        <v>6409.0</v>
      </c>
      <c r="E7587" s="3">
        <f t="shared" si="1"/>
        <v>0.2995279712</v>
      </c>
      <c r="F7587" s="2">
        <v>2085.0</v>
      </c>
      <c r="G7587" s="3">
        <f t="shared" si="2"/>
        <v>0.09744356686</v>
      </c>
      <c r="H7587" s="2">
        <v>4247.0</v>
      </c>
      <c r="I7587" s="3">
        <f t="shared" si="3"/>
        <v>0.198485769</v>
      </c>
      <c r="J7587" s="2">
        <v>3822.0</v>
      </c>
      <c r="K7587" s="3">
        <f t="shared" si="4"/>
        <v>0.1786231715</v>
      </c>
      <c r="L7587" s="2">
        <v>2481.0</v>
      </c>
      <c r="M7587" s="3">
        <f t="shared" si="5"/>
        <v>0.5841770662</v>
      </c>
      <c r="N7587" s="2">
        <v>2.35719E7</v>
      </c>
      <c r="O7587" s="4">
        <f t="shared" si="6"/>
        <v>5550.247233</v>
      </c>
      <c r="P7587" s="2">
        <v>5.0</v>
      </c>
      <c r="Q7587" s="3">
        <f t="shared" si="7"/>
        <v>0.00254841998</v>
      </c>
      <c r="R7587" s="2">
        <v>1959.0</v>
      </c>
      <c r="S7587" s="5">
        <f t="shared" si="8"/>
        <v>0.998470948</v>
      </c>
    </row>
    <row r="7588">
      <c r="A7588" s="2" t="s">
        <v>7583</v>
      </c>
      <c r="B7588" s="2">
        <v>68.0</v>
      </c>
      <c r="C7588" s="2">
        <v>828.0</v>
      </c>
      <c r="D7588" s="2">
        <v>226.0</v>
      </c>
      <c r="E7588" s="3">
        <f t="shared" si="1"/>
        <v>0.2973684211</v>
      </c>
      <c r="F7588" s="2">
        <v>74.0</v>
      </c>
      <c r="G7588" s="3">
        <f t="shared" si="2"/>
        <v>0.09736842105</v>
      </c>
      <c r="H7588" s="2">
        <v>151.0</v>
      </c>
      <c r="I7588" s="3">
        <f t="shared" si="3"/>
        <v>0.1986842105</v>
      </c>
      <c r="J7588" s="2">
        <v>142.0</v>
      </c>
      <c r="K7588" s="3">
        <f t="shared" si="4"/>
        <v>0.1868421053</v>
      </c>
      <c r="L7588" s="2">
        <v>98.0</v>
      </c>
      <c r="M7588" s="3">
        <f t="shared" si="5"/>
        <v>0.6490066225</v>
      </c>
      <c r="N7588" s="2">
        <v>860900.0</v>
      </c>
      <c r="O7588" s="4">
        <f t="shared" si="6"/>
        <v>5701.324503</v>
      </c>
      <c r="P7588" s="2">
        <v>0.0</v>
      </c>
      <c r="Q7588" s="3">
        <f t="shared" si="7"/>
        <v>0</v>
      </c>
      <c r="R7588" s="2">
        <v>23.0</v>
      </c>
      <c r="S7588" s="5">
        <f t="shared" si="8"/>
        <v>0.3382352941</v>
      </c>
    </row>
    <row r="7589">
      <c r="A7589" s="2" t="s">
        <v>7584</v>
      </c>
      <c r="B7589" s="2">
        <v>43.0</v>
      </c>
      <c r="C7589" s="2">
        <v>495.0</v>
      </c>
      <c r="D7589" s="2">
        <v>130.0</v>
      </c>
      <c r="E7589" s="3">
        <f t="shared" si="1"/>
        <v>0.2876106195</v>
      </c>
      <c r="F7589" s="2">
        <v>44.0</v>
      </c>
      <c r="G7589" s="3">
        <f t="shared" si="2"/>
        <v>0.09734513274</v>
      </c>
      <c r="H7589" s="2">
        <v>107.0</v>
      </c>
      <c r="I7589" s="3">
        <f t="shared" si="3"/>
        <v>0.2367256637</v>
      </c>
      <c r="J7589" s="2">
        <v>78.0</v>
      </c>
      <c r="K7589" s="3">
        <f t="shared" si="4"/>
        <v>0.1725663717</v>
      </c>
      <c r="L7589" s="2">
        <v>67.0</v>
      </c>
      <c r="M7589" s="3">
        <f t="shared" si="5"/>
        <v>0.6261682243</v>
      </c>
      <c r="N7589" s="2">
        <v>543000.0</v>
      </c>
      <c r="O7589" s="4">
        <f t="shared" si="6"/>
        <v>5074.766355</v>
      </c>
      <c r="P7589" s="2">
        <v>0.0</v>
      </c>
      <c r="Q7589" s="3">
        <f t="shared" si="7"/>
        <v>0</v>
      </c>
      <c r="R7589" s="2">
        <v>43.0</v>
      </c>
      <c r="S7589" s="5">
        <f t="shared" si="8"/>
        <v>1</v>
      </c>
    </row>
    <row r="7590">
      <c r="A7590" s="2" t="s">
        <v>7585</v>
      </c>
      <c r="B7590" s="2">
        <v>30.0</v>
      </c>
      <c r="C7590" s="2">
        <v>369.0</v>
      </c>
      <c r="D7590" s="2">
        <v>112.0</v>
      </c>
      <c r="E7590" s="3">
        <f t="shared" si="1"/>
        <v>0.3303834808</v>
      </c>
      <c r="F7590" s="2">
        <v>33.0</v>
      </c>
      <c r="G7590" s="3">
        <f t="shared" si="2"/>
        <v>0.09734513274</v>
      </c>
      <c r="H7590" s="2">
        <v>69.0</v>
      </c>
      <c r="I7590" s="3">
        <f t="shared" si="3"/>
        <v>0.203539823</v>
      </c>
      <c r="J7590" s="2">
        <v>57.0</v>
      </c>
      <c r="K7590" s="3">
        <f t="shared" si="4"/>
        <v>0.1681415929</v>
      </c>
      <c r="L7590" s="2">
        <v>44.0</v>
      </c>
      <c r="M7590" s="3">
        <f t="shared" si="5"/>
        <v>0.6376811594</v>
      </c>
      <c r="N7590" s="2">
        <v>364700.0</v>
      </c>
      <c r="O7590" s="4">
        <f t="shared" si="6"/>
        <v>5285.507246</v>
      </c>
      <c r="P7590" s="2">
        <v>0.0</v>
      </c>
      <c r="Q7590" s="3">
        <f t="shared" si="7"/>
        <v>0</v>
      </c>
      <c r="R7590" s="2">
        <v>30.0</v>
      </c>
      <c r="S7590" s="5">
        <f t="shared" si="8"/>
        <v>1</v>
      </c>
    </row>
    <row r="7591">
      <c r="A7591" s="2" t="s">
        <v>7586</v>
      </c>
      <c r="B7591" s="2">
        <v>871.0</v>
      </c>
      <c r="C7591" s="2">
        <v>10293.0</v>
      </c>
      <c r="D7591" s="2">
        <v>3605.0</v>
      </c>
      <c r="E7591" s="3">
        <f t="shared" si="1"/>
        <v>0.382615156</v>
      </c>
      <c r="F7591" s="2">
        <v>916.0</v>
      </c>
      <c r="G7591" s="3">
        <f t="shared" si="2"/>
        <v>0.09721927404</v>
      </c>
      <c r="H7591" s="2">
        <v>1947.0</v>
      </c>
      <c r="I7591" s="3">
        <f t="shared" si="3"/>
        <v>0.2066440246</v>
      </c>
      <c r="J7591" s="2">
        <v>1052.0</v>
      </c>
      <c r="K7591" s="3">
        <f t="shared" si="4"/>
        <v>0.1116535767</v>
      </c>
      <c r="L7591" s="2">
        <v>1173.0</v>
      </c>
      <c r="M7591" s="3">
        <f t="shared" si="5"/>
        <v>0.6024653313</v>
      </c>
      <c r="N7591" s="2">
        <v>9889500.0</v>
      </c>
      <c r="O7591" s="4">
        <f t="shared" si="6"/>
        <v>5079.352851</v>
      </c>
      <c r="P7591" s="2">
        <v>2.0</v>
      </c>
      <c r="Q7591" s="3">
        <f t="shared" si="7"/>
        <v>0.002296211251</v>
      </c>
      <c r="R7591" s="2">
        <v>0.0</v>
      </c>
      <c r="S7591" s="5">
        <f t="shared" si="8"/>
        <v>0</v>
      </c>
    </row>
    <row r="7592">
      <c r="A7592" s="2" t="s">
        <v>7587</v>
      </c>
      <c r="B7592" s="2">
        <v>465.0</v>
      </c>
      <c r="C7592" s="2">
        <v>5444.0</v>
      </c>
      <c r="D7592" s="2">
        <v>1692.0</v>
      </c>
      <c r="E7592" s="3">
        <f t="shared" si="1"/>
        <v>0.3398272746</v>
      </c>
      <c r="F7592" s="2">
        <v>482.0</v>
      </c>
      <c r="G7592" s="3">
        <f t="shared" si="2"/>
        <v>0.09680658767</v>
      </c>
      <c r="H7592" s="2">
        <v>980.0</v>
      </c>
      <c r="I7592" s="3">
        <f t="shared" si="3"/>
        <v>0.196826672</v>
      </c>
      <c r="J7592" s="2">
        <v>700.0</v>
      </c>
      <c r="K7592" s="3">
        <f t="shared" si="4"/>
        <v>0.14059048</v>
      </c>
      <c r="L7592" s="2">
        <v>584.0</v>
      </c>
      <c r="M7592" s="3">
        <f t="shared" si="5"/>
        <v>0.5959183673</v>
      </c>
      <c r="N7592" s="2">
        <v>5268200.0</v>
      </c>
      <c r="O7592" s="4">
        <f t="shared" si="6"/>
        <v>5375.714286</v>
      </c>
      <c r="P7592" s="2">
        <v>0.0</v>
      </c>
      <c r="Q7592" s="3">
        <f t="shared" si="7"/>
        <v>0</v>
      </c>
      <c r="R7592" s="2">
        <v>153.0</v>
      </c>
      <c r="S7592" s="5">
        <f t="shared" si="8"/>
        <v>0.3290322581</v>
      </c>
    </row>
    <row r="7593">
      <c r="A7593" s="2" t="s">
        <v>7588</v>
      </c>
      <c r="B7593" s="2">
        <v>32.0</v>
      </c>
      <c r="C7593" s="2">
        <v>404.0</v>
      </c>
      <c r="D7593" s="2">
        <v>142.0</v>
      </c>
      <c r="E7593" s="3">
        <f t="shared" si="1"/>
        <v>0.3817204301</v>
      </c>
      <c r="F7593" s="2">
        <v>36.0</v>
      </c>
      <c r="G7593" s="3">
        <f t="shared" si="2"/>
        <v>0.09677419355</v>
      </c>
      <c r="H7593" s="2">
        <v>86.0</v>
      </c>
      <c r="I7593" s="3">
        <f t="shared" si="3"/>
        <v>0.2311827957</v>
      </c>
      <c r="J7593" s="2">
        <v>65.0</v>
      </c>
      <c r="K7593" s="3">
        <f t="shared" si="4"/>
        <v>0.1747311828</v>
      </c>
      <c r="L7593" s="2">
        <v>55.0</v>
      </c>
      <c r="M7593" s="3">
        <f t="shared" si="5"/>
        <v>0.6395348837</v>
      </c>
      <c r="N7593" s="2">
        <v>437000.0</v>
      </c>
      <c r="O7593" s="4">
        <f t="shared" si="6"/>
        <v>5081.395349</v>
      </c>
      <c r="P7593" s="2">
        <v>0.0</v>
      </c>
      <c r="Q7593" s="3">
        <f t="shared" si="7"/>
        <v>0</v>
      </c>
      <c r="R7593" s="2">
        <v>32.0</v>
      </c>
      <c r="S7593" s="5">
        <f t="shared" si="8"/>
        <v>1</v>
      </c>
    </row>
    <row r="7594">
      <c r="A7594" s="2" t="s">
        <v>7589</v>
      </c>
      <c r="B7594" s="2">
        <v>151.0</v>
      </c>
      <c r="C7594" s="2">
        <v>1732.0</v>
      </c>
      <c r="D7594" s="2">
        <v>498.0</v>
      </c>
      <c r="E7594" s="3">
        <f t="shared" si="1"/>
        <v>0.3149905123</v>
      </c>
      <c r="F7594" s="2">
        <v>153.0</v>
      </c>
      <c r="G7594" s="3">
        <f t="shared" si="2"/>
        <v>0.09677419355</v>
      </c>
      <c r="H7594" s="2">
        <v>306.0</v>
      </c>
      <c r="I7594" s="3">
        <f t="shared" si="3"/>
        <v>0.1935483871</v>
      </c>
      <c r="J7594" s="2">
        <v>225.0</v>
      </c>
      <c r="K7594" s="3">
        <f t="shared" si="4"/>
        <v>0.1423149905</v>
      </c>
      <c r="L7594" s="2">
        <v>190.0</v>
      </c>
      <c r="M7594" s="3">
        <f t="shared" si="5"/>
        <v>0.6209150327</v>
      </c>
      <c r="N7594" s="2">
        <v>1700900.0</v>
      </c>
      <c r="O7594" s="4">
        <f t="shared" si="6"/>
        <v>5558.496732</v>
      </c>
      <c r="P7594" s="2">
        <v>1.0</v>
      </c>
      <c r="Q7594" s="3">
        <f t="shared" si="7"/>
        <v>0.006622516556</v>
      </c>
      <c r="R7594" s="2">
        <v>151.0</v>
      </c>
      <c r="S7594" s="5">
        <f t="shared" si="8"/>
        <v>1</v>
      </c>
    </row>
    <row r="7595">
      <c r="A7595" s="2" t="s">
        <v>7590</v>
      </c>
      <c r="B7595" s="2">
        <v>3.0</v>
      </c>
      <c r="C7595" s="2">
        <v>34.0</v>
      </c>
      <c r="D7595" s="2">
        <v>14.0</v>
      </c>
      <c r="E7595" s="3">
        <f t="shared" si="1"/>
        <v>0.4516129032</v>
      </c>
      <c r="F7595" s="2">
        <v>3.0</v>
      </c>
      <c r="G7595" s="3">
        <f t="shared" si="2"/>
        <v>0.09677419355</v>
      </c>
      <c r="H7595" s="2">
        <v>4.0</v>
      </c>
      <c r="I7595" s="3">
        <f t="shared" si="3"/>
        <v>0.1290322581</v>
      </c>
      <c r="J7595" s="2">
        <v>3.0</v>
      </c>
      <c r="K7595" s="3">
        <f t="shared" si="4"/>
        <v>0.09677419355</v>
      </c>
      <c r="L7595" s="2">
        <v>3.0</v>
      </c>
      <c r="M7595" s="3">
        <f t="shared" si="5"/>
        <v>0.75</v>
      </c>
      <c r="N7595" s="2">
        <v>14000.0</v>
      </c>
      <c r="O7595" s="4">
        <f t="shared" si="6"/>
        <v>3500</v>
      </c>
      <c r="P7595" s="2">
        <v>0.0</v>
      </c>
      <c r="Q7595" s="3">
        <f t="shared" si="7"/>
        <v>0</v>
      </c>
      <c r="R7595" s="2">
        <v>3.0</v>
      </c>
      <c r="S7595" s="5">
        <f t="shared" si="8"/>
        <v>1</v>
      </c>
    </row>
    <row r="7596">
      <c r="A7596" s="2" t="s">
        <v>7591</v>
      </c>
      <c r="B7596" s="2">
        <v>95.0</v>
      </c>
      <c r="C7596" s="2">
        <v>1142.0</v>
      </c>
      <c r="D7596" s="2">
        <v>365.0</v>
      </c>
      <c r="E7596" s="3">
        <f t="shared" si="1"/>
        <v>0.3486150907</v>
      </c>
      <c r="F7596" s="2">
        <v>101.0</v>
      </c>
      <c r="G7596" s="3">
        <f t="shared" si="2"/>
        <v>0.0964660936</v>
      </c>
      <c r="H7596" s="2">
        <v>177.0</v>
      </c>
      <c r="I7596" s="3">
        <f t="shared" si="3"/>
        <v>0.1690544413</v>
      </c>
      <c r="J7596" s="2">
        <v>156.0</v>
      </c>
      <c r="K7596" s="3">
        <f t="shared" si="4"/>
        <v>0.1489971347</v>
      </c>
      <c r="L7596" s="2">
        <v>96.0</v>
      </c>
      <c r="M7596" s="3">
        <f t="shared" si="5"/>
        <v>0.5423728814</v>
      </c>
      <c r="N7596" s="2">
        <v>978600.0</v>
      </c>
      <c r="O7596" s="4">
        <f t="shared" si="6"/>
        <v>5528.813559</v>
      </c>
      <c r="P7596" s="2">
        <v>0.0</v>
      </c>
      <c r="Q7596" s="3">
        <f t="shared" si="7"/>
        <v>0</v>
      </c>
      <c r="R7596" s="2">
        <v>95.0</v>
      </c>
      <c r="S7596" s="5">
        <f t="shared" si="8"/>
        <v>1</v>
      </c>
    </row>
    <row r="7597">
      <c r="A7597" s="2" t="s">
        <v>7592</v>
      </c>
      <c r="B7597" s="2">
        <v>473.0</v>
      </c>
      <c r="C7597" s="2">
        <v>5502.0</v>
      </c>
      <c r="D7597" s="2">
        <v>1287.0</v>
      </c>
      <c r="E7597" s="3">
        <f t="shared" si="1"/>
        <v>0.255915689</v>
      </c>
      <c r="F7597" s="2">
        <v>485.0</v>
      </c>
      <c r="G7597" s="3">
        <f t="shared" si="2"/>
        <v>0.09644064426</v>
      </c>
      <c r="H7597" s="2">
        <v>942.0</v>
      </c>
      <c r="I7597" s="3">
        <f t="shared" si="3"/>
        <v>0.1873135812</v>
      </c>
      <c r="J7597" s="2">
        <v>941.0</v>
      </c>
      <c r="K7597" s="3">
        <f t="shared" si="4"/>
        <v>0.1871147345</v>
      </c>
      <c r="L7597" s="2">
        <v>584.0</v>
      </c>
      <c r="M7597" s="3">
        <f t="shared" si="5"/>
        <v>0.6199575372</v>
      </c>
      <c r="N7597" s="2">
        <v>5367700.0</v>
      </c>
      <c r="O7597" s="4">
        <f t="shared" si="6"/>
        <v>5698.195329</v>
      </c>
      <c r="P7597" s="2">
        <v>0.0</v>
      </c>
      <c r="Q7597" s="3">
        <f t="shared" si="7"/>
        <v>0</v>
      </c>
      <c r="R7597" s="2">
        <v>472.0</v>
      </c>
      <c r="S7597" s="5">
        <f t="shared" si="8"/>
        <v>0.9978858351</v>
      </c>
    </row>
    <row r="7598">
      <c r="A7598" s="2" t="s">
        <v>7593</v>
      </c>
      <c r="B7598" s="2">
        <v>607.0</v>
      </c>
      <c r="C7598" s="2">
        <v>7128.0</v>
      </c>
      <c r="D7598" s="2">
        <v>2267.0</v>
      </c>
      <c r="E7598" s="3">
        <f t="shared" si="1"/>
        <v>0.3476460666</v>
      </c>
      <c r="F7598" s="2">
        <v>628.0</v>
      </c>
      <c r="G7598" s="3">
        <f t="shared" si="2"/>
        <v>0.09630424781</v>
      </c>
      <c r="H7598" s="2">
        <v>1310.0</v>
      </c>
      <c r="I7598" s="3">
        <f t="shared" si="3"/>
        <v>0.2008894341</v>
      </c>
      <c r="J7598" s="2">
        <v>993.0</v>
      </c>
      <c r="K7598" s="3">
        <f t="shared" si="4"/>
        <v>0.1522772581</v>
      </c>
      <c r="L7598" s="2">
        <v>806.0</v>
      </c>
      <c r="M7598" s="3">
        <f t="shared" si="5"/>
        <v>0.6152671756</v>
      </c>
      <c r="N7598" s="2">
        <v>6986300.0</v>
      </c>
      <c r="O7598" s="4">
        <f t="shared" si="6"/>
        <v>5333.053435</v>
      </c>
      <c r="P7598" s="2">
        <v>0.0</v>
      </c>
      <c r="Q7598" s="3">
        <f t="shared" si="7"/>
        <v>0</v>
      </c>
      <c r="R7598" s="2">
        <v>607.0</v>
      </c>
      <c r="S7598" s="5">
        <f t="shared" si="8"/>
        <v>1</v>
      </c>
    </row>
    <row r="7599">
      <c r="A7599" s="2" t="s">
        <v>7594</v>
      </c>
      <c r="B7599" s="2">
        <v>126.0</v>
      </c>
      <c r="C7599" s="2">
        <v>1476.0</v>
      </c>
      <c r="D7599" s="2">
        <v>356.0</v>
      </c>
      <c r="E7599" s="3">
        <f t="shared" si="1"/>
        <v>0.2637037037</v>
      </c>
      <c r="F7599" s="2">
        <v>130.0</v>
      </c>
      <c r="G7599" s="3">
        <f t="shared" si="2"/>
        <v>0.0962962963</v>
      </c>
      <c r="H7599" s="2">
        <v>256.0</v>
      </c>
      <c r="I7599" s="3">
        <f t="shared" si="3"/>
        <v>0.1896296296</v>
      </c>
      <c r="J7599" s="2">
        <v>186.0</v>
      </c>
      <c r="K7599" s="3">
        <f t="shared" si="4"/>
        <v>0.1377777778</v>
      </c>
      <c r="L7599" s="2">
        <v>153.0</v>
      </c>
      <c r="M7599" s="3">
        <f t="shared" si="5"/>
        <v>0.59765625</v>
      </c>
      <c r="N7599" s="2">
        <v>1530000.0</v>
      </c>
      <c r="O7599" s="4">
        <f t="shared" si="6"/>
        <v>5976.5625</v>
      </c>
      <c r="P7599" s="2">
        <v>0.0</v>
      </c>
      <c r="Q7599" s="3">
        <f t="shared" si="7"/>
        <v>0</v>
      </c>
      <c r="R7599" s="2">
        <v>0.0</v>
      </c>
      <c r="S7599" s="5">
        <f t="shared" si="8"/>
        <v>0</v>
      </c>
    </row>
    <row r="7600">
      <c r="A7600" s="2" t="s">
        <v>7595</v>
      </c>
      <c r="B7600" s="2">
        <v>45.0</v>
      </c>
      <c r="C7600" s="2">
        <v>523.0</v>
      </c>
      <c r="D7600" s="2">
        <v>183.0</v>
      </c>
      <c r="E7600" s="3">
        <f t="shared" si="1"/>
        <v>0.3828451883</v>
      </c>
      <c r="F7600" s="2">
        <v>46.0</v>
      </c>
      <c r="G7600" s="3">
        <f t="shared" si="2"/>
        <v>0.09623430962</v>
      </c>
      <c r="H7600" s="2">
        <v>108.0</v>
      </c>
      <c r="I7600" s="3">
        <f t="shared" si="3"/>
        <v>0.2259414226</v>
      </c>
      <c r="J7600" s="2">
        <v>77.0</v>
      </c>
      <c r="K7600" s="3">
        <f t="shared" si="4"/>
        <v>0.1610878661</v>
      </c>
      <c r="L7600" s="2">
        <v>66.0</v>
      </c>
      <c r="M7600" s="3">
        <f t="shared" si="5"/>
        <v>0.6111111111</v>
      </c>
      <c r="N7600" s="2">
        <v>597600.0</v>
      </c>
      <c r="O7600" s="4">
        <f t="shared" si="6"/>
        <v>5533.333333</v>
      </c>
      <c r="P7600" s="2">
        <v>0.0</v>
      </c>
      <c r="Q7600" s="3">
        <f t="shared" si="7"/>
        <v>0</v>
      </c>
      <c r="R7600" s="2">
        <v>45.0</v>
      </c>
      <c r="S7600" s="5">
        <f t="shared" si="8"/>
        <v>1</v>
      </c>
    </row>
    <row r="7601">
      <c r="A7601" s="2" t="s">
        <v>7596</v>
      </c>
      <c r="B7601" s="2">
        <v>120.0</v>
      </c>
      <c r="C7601" s="2">
        <v>1410.0</v>
      </c>
      <c r="D7601" s="2">
        <v>329.0</v>
      </c>
      <c r="E7601" s="3">
        <f t="shared" si="1"/>
        <v>0.2550387597</v>
      </c>
      <c r="F7601" s="2">
        <v>124.0</v>
      </c>
      <c r="G7601" s="3">
        <f t="shared" si="2"/>
        <v>0.09612403101</v>
      </c>
      <c r="H7601" s="2">
        <v>228.0</v>
      </c>
      <c r="I7601" s="3">
        <f t="shared" si="3"/>
        <v>0.176744186</v>
      </c>
      <c r="J7601" s="2">
        <v>157.0</v>
      </c>
      <c r="K7601" s="3">
        <f t="shared" si="4"/>
        <v>0.1217054264</v>
      </c>
      <c r="L7601" s="2">
        <v>142.0</v>
      </c>
      <c r="M7601" s="3">
        <f t="shared" si="5"/>
        <v>0.6228070175</v>
      </c>
      <c r="N7601" s="2">
        <v>1376300.0</v>
      </c>
      <c r="O7601" s="4">
        <f t="shared" si="6"/>
        <v>6036.403509</v>
      </c>
      <c r="P7601" s="2">
        <v>1.0</v>
      </c>
      <c r="Q7601" s="3">
        <f t="shared" si="7"/>
        <v>0.008333333333</v>
      </c>
      <c r="R7601" s="2">
        <v>4.0</v>
      </c>
      <c r="S7601" s="5">
        <f t="shared" si="8"/>
        <v>0.03333333333</v>
      </c>
    </row>
    <row r="7602">
      <c r="A7602" s="2" t="s">
        <v>7597</v>
      </c>
      <c r="B7602" s="2">
        <v>92.0</v>
      </c>
      <c r="C7602" s="2">
        <v>1008.0</v>
      </c>
      <c r="D7602" s="2">
        <v>308.0</v>
      </c>
      <c r="E7602" s="3">
        <f t="shared" si="1"/>
        <v>0.3362445415</v>
      </c>
      <c r="F7602" s="2">
        <v>88.0</v>
      </c>
      <c r="G7602" s="3">
        <f t="shared" si="2"/>
        <v>0.096069869</v>
      </c>
      <c r="H7602" s="2">
        <v>184.0</v>
      </c>
      <c r="I7602" s="3">
        <f t="shared" si="3"/>
        <v>0.2008733624</v>
      </c>
      <c r="J7602" s="2">
        <v>117.0</v>
      </c>
      <c r="K7602" s="3">
        <f t="shared" si="4"/>
        <v>0.1277292576</v>
      </c>
      <c r="L7602" s="2">
        <v>110.0</v>
      </c>
      <c r="M7602" s="3">
        <f t="shared" si="5"/>
        <v>0.597826087</v>
      </c>
      <c r="N7602" s="2">
        <v>1037000.0</v>
      </c>
      <c r="O7602" s="4">
        <f t="shared" si="6"/>
        <v>5635.869565</v>
      </c>
      <c r="P7602" s="2">
        <v>0.0</v>
      </c>
      <c r="Q7602" s="3">
        <f t="shared" si="7"/>
        <v>0</v>
      </c>
      <c r="R7602" s="2">
        <v>92.0</v>
      </c>
      <c r="S7602" s="5">
        <f t="shared" si="8"/>
        <v>1</v>
      </c>
    </row>
    <row r="7603">
      <c r="A7603" s="2" t="s">
        <v>7598</v>
      </c>
      <c r="B7603" s="2">
        <v>112.0</v>
      </c>
      <c r="C7603" s="2">
        <v>1351.0</v>
      </c>
      <c r="D7603" s="2">
        <v>308.0</v>
      </c>
      <c r="E7603" s="3">
        <f t="shared" si="1"/>
        <v>0.2485875706</v>
      </c>
      <c r="F7603" s="2">
        <v>119.0</v>
      </c>
      <c r="G7603" s="3">
        <f t="shared" si="2"/>
        <v>0.09604519774</v>
      </c>
      <c r="H7603" s="2">
        <v>238.0</v>
      </c>
      <c r="I7603" s="3">
        <f t="shared" si="3"/>
        <v>0.1920903955</v>
      </c>
      <c r="J7603" s="2">
        <v>207.0</v>
      </c>
      <c r="K7603" s="3">
        <f t="shared" si="4"/>
        <v>0.1670702179</v>
      </c>
      <c r="L7603" s="2">
        <v>148.0</v>
      </c>
      <c r="M7603" s="3">
        <f t="shared" si="5"/>
        <v>0.6218487395</v>
      </c>
      <c r="N7603" s="2">
        <v>1420800.0</v>
      </c>
      <c r="O7603" s="4">
        <f t="shared" si="6"/>
        <v>5969.747899</v>
      </c>
      <c r="P7603" s="2">
        <v>0.0</v>
      </c>
      <c r="Q7603" s="3">
        <f t="shared" si="7"/>
        <v>0</v>
      </c>
      <c r="R7603" s="2">
        <v>0.0</v>
      </c>
      <c r="S7603" s="5">
        <f t="shared" si="8"/>
        <v>0</v>
      </c>
    </row>
    <row r="7604">
      <c r="A7604" s="2" t="s">
        <v>7599</v>
      </c>
      <c r="B7604" s="2">
        <v>963.0</v>
      </c>
      <c r="C7604" s="2">
        <v>11512.0</v>
      </c>
      <c r="D7604" s="2">
        <v>3449.0</v>
      </c>
      <c r="E7604" s="3">
        <f t="shared" si="1"/>
        <v>0.3269504218</v>
      </c>
      <c r="F7604" s="2">
        <v>1013.0</v>
      </c>
      <c r="G7604" s="3">
        <f t="shared" si="2"/>
        <v>0.09602805953</v>
      </c>
      <c r="H7604" s="2">
        <v>2121.0</v>
      </c>
      <c r="I7604" s="3">
        <f t="shared" si="3"/>
        <v>0.201061712</v>
      </c>
      <c r="J7604" s="2">
        <v>1317.0</v>
      </c>
      <c r="K7604" s="3">
        <f t="shared" si="4"/>
        <v>0.124845957</v>
      </c>
      <c r="L7604" s="2">
        <v>1269.0</v>
      </c>
      <c r="M7604" s="3">
        <f t="shared" si="5"/>
        <v>0.5983026874</v>
      </c>
      <c r="N7604" s="2">
        <v>1.15873E7</v>
      </c>
      <c r="O7604" s="4">
        <f t="shared" si="6"/>
        <v>5463.130599</v>
      </c>
      <c r="P7604" s="2">
        <v>1.0</v>
      </c>
      <c r="Q7604" s="3">
        <f t="shared" si="7"/>
        <v>0.001038421599</v>
      </c>
      <c r="R7604" s="2">
        <v>963.0</v>
      </c>
      <c r="S7604" s="5">
        <f t="shared" si="8"/>
        <v>1</v>
      </c>
    </row>
    <row r="7605">
      <c r="A7605" s="2" t="s">
        <v>7600</v>
      </c>
      <c r="B7605" s="2">
        <v>38.0</v>
      </c>
      <c r="C7605" s="2">
        <v>476.0</v>
      </c>
      <c r="D7605" s="2">
        <v>149.0</v>
      </c>
      <c r="E7605" s="3">
        <f t="shared" si="1"/>
        <v>0.3401826484</v>
      </c>
      <c r="F7605" s="2">
        <v>42.0</v>
      </c>
      <c r="G7605" s="3">
        <f t="shared" si="2"/>
        <v>0.09589041096</v>
      </c>
      <c r="H7605" s="2">
        <v>84.0</v>
      </c>
      <c r="I7605" s="3">
        <f t="shared" si="3"/>
        <v>0.1917808219</v>
      </c>
      <c r="J7605" s="2">
        <v>57.0</v>
      </c>
      <c r="K7605" s="3">
        <f t="shared" si="4"/>
        <v>0.1301369863</v>
      </c>
      <c r="L7605" s="2">
        <v>54.0</v>
      </c>
      <c r="M7605" s="3">
        <f t="shared" si="5"/>
        <v>0.6428571429</v>
      </c>
      <c r="N7605" s="2">
        <v>385200.0</v>
      </c>
      <c r="O7605" s="4">
        <f t="shared" si="6"/>
        <v>4585.714286</v>
      </c>
      <c r="P7605" s="2">
        <v>0.0</v>
      </c>
      <c r="Q7605" s="3">
        <f t="shared" si="7"/>
        <v>0</v>
      </c>
      <c r="R7605" s="2">
        <v>0.0</v>
      </c>
      <c r="S7605" s="5">
        <f t="shared" si="8"/>
        <v>0</v>
      </c>
    </row>
    <row r="7606">
      <c r="A7606" s="2" t="s">
        <v>7601</v>
      </c>
      <c r="B7606" s="2">
        <v>166.0</v>
      </c>
      <c r="C7606" s="2">
        <v>1961.0</v>
      </c>
      <c r="D7606" s="2">
        <v>536.0</v>
      </c>
      <c r="E7606" s="3">
        <f t="shared" si="1"/>
        <v>0.2986072423</v>
      </c>
      <c r="F7606" s="2">
        <v>172.0</v>
      </c>
      <c r="G7606" s="3">
        <f t="shared" si="2"/>
        <v>0.09582172702</v>
      </c>
      <c r="H7606" s="2">
        <v>334.0</v>
      </c>
      <c r="I7606" s="3">
        <f t="shared" si="3"/>
        <v>0.1860724234</v>
      </c>
      <c r="J7606" s="2">
        <v>293.0</v>
      </c>
      <c r="K7606" s="3">
        <f t="shared" si="4"/>
        <v>0.1632311978</v>
      </c>
      <c r="L7606" s="2">
        <v>206.0</v>
      </c>
      <c r="M7606" s="3">
        <f t="shared" si="5"/>
        <v>0.6167664671</v>
      </c>
      <c r="N7606" s="2">
        <v>1801800.0</v>
      </c>
      <c r="O7606" s="4">
        <f t="shared" si="6"/>
        <v>5394.610778</v>
      </c>
      <c r="P7606" s="2">
        <v>0.0</v>
      </c>
      <c r="Q7606" s="3">
        <f t="shared" si="7"/>
        <v>0</v>
      </c>
      <c r="R7606" s="2">
        <v>166.0</v>
      </c>
      <c r="S7606" s="5">
        <f t="shared" si="8"/>
        <v>1</v>
      </c>
    </row>
    <row r="7607">
      <c r="A7607" s="2" t="s">
        <v>7602</v>
      </c>
      <c r="B7607" s="2">
        <v>52.0</v>
      </c>
      <c r="C7607" s="2">
        <v>626.0</v>
      </c>
      <c r="D7607" s="2">
        <v>205.0</v>
      </c>
      <c r="E7607" s="3">
        <f t="shared" si="1"/>
        <v>0.3571428571</v>
      </c>
      <c r="F7607" s="2">
        <v>55.0</v>
      </c>
      <c r="G7607" s="3">
        <f t="shared" si="2"/>
        <v>0.09581881533</v>
      </c>
      <c r="H7607" s="2">
        <v>98.0</v>
      </c>
      <c r="I7607" s="3">
        <f t="shared" si="3"/>
        <v>0.1707317073</v>
      </c>
      <c r="J7607" s="2">
        <v>65.0</v>
      </c>
      <c r="K7607" s="3">
        <f t="shared" si="4"/>
        <v>0.1132404181</v>
      </c>
      <c r="L7607" s="2">
        <v>59.0</v>
      </c>
      <c r="M7607" s="3">
        <f t="shared" si="5"/>
        <v>0.6020408163</v>
      </c>
      <c r="N7607" s="2">
        <v>556100.0</v>
      </c>
      <c r="O7607" s="4">
        <f t="shared" si="6"/>
        <v>5674.489796</v>
      </c>
      <c r="P7607" s="2">
        <v>0.0</v>
      </c>
      <c r="Q7607" s="3">
        <f t="shared" si="7"/>
        <v>0</v>
      </c>
      <c r="R7607" s="2">
        <v>0.0</v>
      </c>
      <c r="S7607" s="5">
        <f t="shared" si="8"/>
        <v>0</v>
      </c>
    </row>
    <row r="7608">
      <c r="A7608" s="2" t="s">
        <v>7603</v>
      </c>
      <c r="B7608" s="2">
        <v>16.0</v>
      </c>
      <c r="C7608" s="2">
        <v>183.0</v>
      </c>
      <c r="D7608" s="2">
        <v>57.0</v>
      </c>
      <c r="E7608" s="3">
        <f t="shared" si="1"/>
        <v>0.3413173653</v>
      </c>
      <c r="F7608" s="2">
        <v>16.0</v>
      </c>
      <c r="G7608" s="3">
        <f t="shared" si="2"/>
        <v>0.09580838323</v>
      </c>
      <c r="H7608" s="2">
        <v>34.0</v>
      </c>
      <c r="I7608" s="3">
        <f t="shared" si="3"/>
        <v>0.2035928144</v>
      </c>
      <c r="J7608" s="2">
        <v>31.0</v>
      </c>
      <c r="K7608" s="3">
        <f t="shared" si="4"/>
        <v>0.1856287425</v>
      </c>
      <c r="L7608" s="2">
        <v>16.0</v>
      </c>
      <c r="M7608" s="3">
        <f t="shared" si="5"/>
        <v>0.4705882353</v>
      </c>
      <c r="N7608" s="2">
        <v>185400.0</v>
      </c>
      <c r="O7608" s="4">
        <f t="shared" si="6"/>
        <v>5452.941176</v>
      </c>
      <c r="P7608" s="2">
        <v>0.0</v>
      </c>
      <c r="Q7608" s="3">
        <f t="shared" si="7"/>
        <v>0</v>
      </c>
      <c r="R7608" s="2">
        <v>16.0</v>
      </c>
      <c r="S7608" s="5">
        <f t="shared" si="8"/>
        <v>1</v>
      </c>
    </row>
    <row r="7609">
      <c r="A7609" s="2" t="s">
        <v>7604</v>
      </c>
      <c r="B7609" s="2">
        <v>422.0</v>
      </c>
      <c r="C7609" s="2">
        <v>4911.0</v>
      </c>
      <c r="D7609" s="2">
        <v>1369.0</v>
      </c>
      <c r="E7609" s="3">
        <f t="shared" si="1"/>
        <v>0.3049676988</v>
      </c>
      <c r="F7609" s="2">
        <v>430.0</v>
      </c>
      <c r="G7609" s="3">
        <f t="shared" si="2"/>
        <v>0.09578970818</v>
      </c>
      <c r="H7609" s="2">
        <v>871.0</v>
      </c>
      <c r="I7609" s="3">
        <f t="shared" si="3"/>
        <v>0.1940298507</v>
      </c>
      <c r="J7609" s="2">
        <v>560.0</v>
      </c>
      <c r="K7609" s="3">
        <f t="shared" si="4"/>
        <v>0.1247493874</v>
      </c>
      <c r="L7609" s="2">
        <v>531.0</v>
      </c>
      <c r="M7609" s="3">
        <f t="shared" si="5"/>
        <v>0.6096440873</v>
      </c>
      <c r="N7609" s="2">
        <v>5205900.0</v>
      </c>
      <c r="O7609" s="4">
        <f t="shared" si="6"/>
        <v>5976.923077</v>
      </c>
      <c r="P7609" s="2">
        <v>1.0</v>
      </c>
      <c r="Q7609" s="3">
        <f t="shared" si="7"/>
        <v>0.002369668246</v>
      </c>
      <c r="R7609" s="2">
        <v>422.0</v>
      </c>
      <c r="S7609" s="5">
        <f t="shared" si="8"/>
        <v>1</v>
      </c>
    </row>
    <row r="7610">
      <c r="A7610" s="2" t="s">
        <v>7605</v>
      </c>
      <c r="B7610" s="2">
        <v>9.0</v>
      </c>
      <c r="C7610" s="2">
        <v>103.0</v>
      </c>
      <c r="D7610" s="2">
        <v>28.0</v>
      </c>
      <c r="E7610" s="3">
        <f t="shared" si="1"/>
        <v>0.2978723404</v>
      </c>
      <c r="F7610" s="2">
        <v>9.0</v>
      </c>
      <c r="G7610" s="3">
        <f t="shared" si="2"/>
        <v>0.09574468085</v>
      </c>
      <c r="H7610" s="2">
        <v>12.0</v>
      </c>
      <c r="I7610" s="3">
        <f t="shared" si="3"/>
        <v>0.1276595745</v>
      </c>
      <c r="J7610" s="2">
        <v>17.0</v>
      </c>
      <c r="K7610" s="3">
        <f t="shared" si="4"/>
        <v>0.1808510638</v>
      </c>
      <c r="L7610" s="2">
        <v>5.0</v>
      </c>
      <c r="M7610" s="3">
        <f t="shared" si="5"/>
        <v>0.4166666667</v>
      </c>
      <c r="N7610" s="2">
        <v>60900.0</v>
      </c>
      <c r="O7610" s="4">
        <f t="shared" si="6"/>
        <v>5075</v>
      </c>
      <c r="P7610" s="2">
        <v>0.0</v>
      </c>
      <c r="Q7610" s="3">
        <f t="shared" si="7"/>
        <v>0</v>
      </c>
      <c r="R7610" s="2">
        <v>6.0</v>
      </c>
      <c r="S7610" s="5">
        <f t="shared" si="8"/>
        <v>0.6666666667</v>
      </c>
    </row>
    <row r="7611">
      <c r="A7611" s="2" t="s">
        <v>7606</v>
      </c>
      <c r="B7611" s="2">
        <v>824.0</v>
      </c>
      <c r="C7611" s="2">
        <v>9650.0</v>
      </c>
      <c r="D7611" s="2">
        <v>2745.0</v>
      </c>
      <c r="E7611" s="3">
        <f t="shared" si="1"/>
        <v>0.3110129164</v>
      </c>
      <c r="F7611" s="2">
        <v>845.0</v>
      </c>
      <c r="G7611" s="3">
        <f t="shared" si="2"/>
        <v>0.09573985951</v>
      </c>
      <c r="H7611" s="2">
        <v>1737.0</v>
      </c>
      <c r="I7611" s="3">
        <f t="shared" si="3"/>
        <v>0.1968048946</v>
      </c>
      <c r="J7611" s="2">
        <v>1163.0</v>
      </c>
      <c r="K7611" s="3">
        <f t="shared" si="4"/>
        <v>0.1317697711</v>
      </c>
      <c r="L7611" s="2">
        <v>1096.0</v>
      </c>
      <c r="M7611" s="3">
        <f t="shared" si="5"/>
        <v>0.6309729419</v>
      </c>
      <c r="N7611" s="2">
        <v>9307200.0</v>
      </c>
      <c r="O7611" s="4">
        <f t="shared" si="6"/>
        <v>5358.2038</v>
      </c>
      <c r="P7611" s="2">
        <v>2.0</v>
      </c>
      <c r="Q7611" s="3">
        <f t="shared" si="7"/>
        <v>0.002427184466</v>
      </c>
      <c r="R7611" s="2">
        <v>824.0</v>
      </c>
      <c r="S7611" s="5">
        <f t="shared" si="8"/>
        <v>1</v>
      </c>
    </row>
    <row r="7612">
      <c r="A7612" s="2" t="s">
        <v>7607</v>
      </c>
      <c r="B7612" s="2">
        <v>155.0</v>
      </c>
      <c r="C7612" s="2">
        <v>1790.0</v>
      </c>
      <c r="D7612" s="2">
        <v>482.0</v>
      </c>
      <c r="E7612" s="3">
        <f t="shared" si="1"/>
        <v>0.2948012232</v>
      </c>
      <c r="F7612" s="2">
        <v>156.0</v>
      </c>
      <c r="G7612" s="3">
        <f t="shared" si="2"/>
        <v>0.09541284404</v>
      </c>
      <c r="H7612" s="2">
        <v>342.0</v>
      </c>
      <c r="I7612" s="3">
        <f t="shared" si="3"/>
        <v>0.2091743119</v>
      </c>
      <c r="J7612" s="2">
        <v>263.0</v>
      </c>
      <c r="K7612" s="3">
        <f t="shared" si="4"/>
        <v>0.1608562691</v>
      </c>
      <c r="L7612" s="2">
        <v>199.0</v>
      </c>
      <c r="M7612" s="3">
        <f t="shared" si="5"/>
        <v>0.581871345</v>
      </c>
      <c r="N7612" s="2">
        <v>1919000.0</v>
      </c>
      <c r="O7612" s="4">
        <f t="shared" si="6"/>
        <v>5611.111111</v>
      </c>
      <c r="P7612" s="2">
        <v>0.0</v>
      </c>
      <c r="Q7612" s="3">
        <f t="shared" si="7"/>
        <v>0</v>
      </c>
      <c r="R7612" s="2">
        <v>0.0</v>
      </c>
      <c r="S7612" s="5">
        <f t="shared" si="8"/>
        <v>0</v>
      </c>
    </row>
    <row r="7613">
      <c r="A7613" s="2" t="s">
        <v>7608</v>
      </c>
      <c r="B7613" s="2">
        <v>30.0</v>
      </c>
      <c r="C7613" s="2">
        <v>355.0</v>
      </c>
      <c r="D7613" s="2">
        <v>93.0</v>
      </c>
      <c r="E7613" s="3">
        <f t="shared" si="1"/>
        <v>0.2861538462</v>
      </c>
      <c r="F7613" s="2">
        <v>31.0</v>
      </c>
      <c r="G7613" s="3">
        <f t="shared" si="2"/>
        <v>0.09538461538</v>
      </c>
      <c r="H7613" s="2">
        <v>67.0</v>
      </c>
      <c r="I7613" s="3">
        <f t="shared" si="3"/>
        <v>0.2061538462</v>
      </c>
      <c r="J7613" s="2">
        <v>48.0</v>
      </c>
      <c r="K7613" s="3">
        <f t="shared" si="4"/>
        <v>0.1476923077</v>
      </c>
      <c r="L7613" s="2">
        <v>44.0</v>
      </c>
      <c r="M7613" s="3">
        <f t="shared" si="5"/>
        <v>0.6567164179</v>
      </c>
      <c r="N7613" s="2">
        <v>422500.0</v>
      </c>
      <c r="O7613" s="4">
        <f t="shared" si="6"/>
        <v>6305.970149</v>
      </c>
      <c r="P7613" s="2">
        <v>0.0</v>
      </c>
      <c r="Q7613" s="3">
        <f t="shared" si="7"/>
        <v>0</v>
      </c>
      <c r="R7613" s="2">
        <v>0.0</v>
      </c>
      <c r="S7613" s="5">
        <f t="shared" si="8"/>
        <v>0</v>
      </c>
    </row>
    <row r="7614">
      <c r="A7614" s="2" t="s">
        <v>7609</v>
      </c>
      <c r="B7614" s="2">
        <v>35.0</v>
      </c>
      <c r="C7614" s="2">
        <v>423.0</v>
      </c>
      <c r="D7614" s="2">
        <v>107.0</v>
      </c>
      <c r="E7614" s="3">
        <f t="shared" si="1"/>
        <v>0.2757731959</v>
      </c>
      <c r="F7614" s="2">
        <v>37.0</v>
      </c>
      <c r="G7614" s="3">
        <f t="shared" si="2"/>
        <v>0.09536082474</v>
      </c>
      <c r="H7614" s="2">
        <v>64.0</v>
      </c>
      <c r="I7614" s="3">
        <f t="shared" si="3"/>
        <v>0.1649484536</v>
      </c>
      <c r="J7614" s="2">
        <v>67.0</v>
      </c>
      <c r="K7614" s="3">
        <f t="shared" si="4"/>
        <v>0.1726804124</v>
      </c>
      <c r="L7614" s="2">
        <v>33.0</v>
      </c>
      <c r="M7614" s="3">
        <f t="shared" si="5"/>
        <v>0.515625</v>
      </c>
      <c r="N7614" s="2">
        <v>404500.0</v>
      </c>
      <c r="O7614" s="4">
        <f t="shared" si="6"/>
        <v>6320.3125</v>
      </c>
      <c r="P7614" s="2">
        <v>0.0</v>
      </c>
      <c r="Q7614" s="3">
        <f t="shared" si="7"/>
        <v>0</v>
      </c>
      <c r="R7614" s="2">
        <v>35.0</v>
      </c>
      <c r="S7614" s="5">
        <f t="shared" si="8"/>
        <v>1</v>
      </c>
    </row>
    <row r="7615">
      <c r="A7615" s="2" t="s">
        <v>7610</v>
      </c>
      <c r="B7615" s="2">
        <v>4.0</v>
      </c>
      <c r="C7615" s="2">
        <v>46.0</v>
      </c>
      <c r="D7615" s="2">
        <v>14.0</v>
      </c>
      <c r="E7615" s="3">
        <f t="shared" si="1"/>
        <v>0.3333333333</v>
      </c>
      <c r="F7615" s="2">
        <v>4.0</v>
      </c>
      <c r="G7615" s="3">
        <f t="shared" si="2"/>
        <v>0.09523809524</v>
      </c>
      <c r="H7615" s="2">
        <v>11.0</v>
      </c>
      <c r="I7615" s="3">
        <f t="shared" si="3"/>
        <v>0.2619047619</v>
      </c>
      <c r="J7615" s="2">
        <v>7.0</v>
      </c>
      <c r="K7615" s="3">
        <f t="shared" si="4"/>
        <v>0.1666666667</v>
      </c>
      <c r="L7615" s="2">
        <v>6.0</v>
      </c>
      <c r="M7615" s="3">
        <f t="shared" si="5"/>
        <v>0.5454545455</v>
      </c>
      <c r="N7615" s="2">
        <v>50600.0</v>
      </c>
      <c r="O7615" s="4">
        <f t="shared" si="6"/>
        <v>4600</v>
      </c>
      <c r="P7615" s="2">
        <v>0.0</v>
      </c>
      <c r="Q7615" s="3">
        <f t="shared" si="7"/>
        <v>0</v>
      </c>
      <c r="R7615" s="2">
        <v>4.0</v>
      </c>
      <c r="S7615" s="5">
        <f t="shared" si="8"/>
        <v>1</v>
      </c>
    </row>
    <row r="7616">
      <c r="A7616" s="2" t="s">
        <v>7611</v>
      </c>
      <c r="B7616" s="2">
        <v>128.0</v>
      </c>
      <c r="C7616" s="2">
        <v>1514.0</v>
      </c>
      <c r="D7616" s="2">
        <v>322.0</v>
      </c>
      <c r="E7616" s="3">
        <f t="shared" si="1"/>
        <v>0.2323232323</v>
      </c>
      <c r="F7616" s="2">
        <v>132.0</v>
      </c>
      <c r="G7616" s="3">
        <f t="shared" si="2"/>
        <v>0.09523809524</v>
      </c>
      <c r="H7616" s="2">
        <v>288.0</v>
      </c>
      <c r="I7616" s="3">
        <f t="shared" si="3"/>
        <v>0.2077922078</v>
      </c>
      <c r="J7616" s="2">
        <v>201.0</v>
      </c>
      <c r="K7616" s="3">
        <f t="shared" si="4"/>
        <v>0.145021645</v>
      </c>
      <c r="L7616" s="2">
        <v>172.0</v>
      </c>
      <c r="M7616" s="3">
        <f t="shared" si="5"/>
        <v>0.5972222222</v>
      </c>
      <c r="N7616" s="2">
        <v>1625900.0</v>
      </c>
      <c r="O7616" s="4">
        <f t="shared" si="6"/>
        <v>5645.486111</v>
      </c>
      <c r="P7616" s="2">
        <v>0.0</v>
      </c>
      <c r="Q7616" s="3">
        <f t="shared" si="7"/>
        <v>0</v>
      </c>
      <c r="R7616" s="2">
        <v>128.0</v>
      </c>
      <c r="S7616" s="5">
        <f t="shared" si="8"/>
        <v>1</v>
      </c>
    </row>
    <row r="7617">
      <c r="A7617" s="2" t="s">
        <v>7612</v>
      </c>
      <c r="B7617" s="2">
        <v>4.0</v>
      </c>
      <c r="C7617" s="2">
        <v>46.0</v>
      </c>
      <c r="D7617" s="2">
        <v>16.0</v>
      </c>
      <c r="E7617" s="3">
        <f t="shared" si="1"/>
        <v>0.380952381</v>
      </c>
      <c r="F7617" s="2">
        <v>4.0</v>
      </c>
      <c r="G7617" s="3">
        <f t="shared" si="2"/>
        <v>0.09523809524</v>
      </c>
      <c r="H7617" s="2">
        <v>8.0</v>
      </c>
      <c r="I7617" s="3">
        <f t="shared" si="3"/>
        <v>0.1904761905</v>
      </c>
      <c r="J7617" s="2">
        <v>6.0</v>
      </c>
      <c r="K7617" s="3">
        <f t="shared" si="4"/>
        <v>0.1428571429</v>
      </c>
      <c r="L7617" s="2">
        <v>2.0</v>
      </c>
      <c r="M7617" s="3">
        <f t="shared" si="5"/>
        <v>0.25</v>
      </c>
      <c r="N7617" s="2">
        <v>48700.0</v>
      </c>
      <c r="O7617" s="4">
        <f t="shared" si="6"/>
        <v>6087.5</v>
      </c>
      <c r="P7617" s="2">
        <v>0.0</v>
      </c>
      <c r="Q7617" s="3">
        <f t="shared" si="7"/>
        <v>0</v>
      </c>
      <c r="R7617" s="2">
        <v>4.0</v>
      </c>
      <c r="S7617" s="5">
        <f t="shared" si="8"/>
        <v>1</v>
      </c>
    </row>
    <row r="7618">
      <c r="A7618" s="2" t="s">
        <v>7613</v>
      </c>
      <c r="B7618" s="2">
        <v>18.0</v>
      </c>
      <c r="C7618" s="2">
        <v>207.0</v>
      </c>
      <c r="D7618" s="2">
        <v>88.0</v>
      </c>
      <c r="E7618" s="3">
        <f t="shared" si="1"/>
        <v>0.4656084656</v>
      </c>
      <c r="F7618" s="2">
        <v>18.0</v>
      </c>
      <c r="G7618" s="3">
        <f t="shared" si="2"/>
        <v>0.09523809524</v>
      </c>
      <c r="H7618" s="2">
        <v>41.0</v>
      </c>
      <c r="I7618" s="3">
        <f t="shared" si="3"/>
        <v>0.2169312169</v>
      </c>
      <c r="J7618" s="2">
        <v>25.0</v>
      </c>
      <c r="K7618" s="3">
        <f t="shared" si="4"/>
        <v>0.1322751323</v>
      </c>
      <c r="L7618" s="2">
        <v>22.0</v>
      </c>
      <c r="M7618" s="3">
        <f t="shared" si="5"/>
        <v>0.5365853659</v>
      </c>
      <c r="N7618" s="2">
        <v>196800.0</v>
      </c>
      <c r="O7618" s="4">
        <f t="shared" si="6"/>
        <v>4800</v>
      </c>
      <c r="P7618" s="2">
        <v>0.0</v>
      </c>
      <c r="Q7618" s="3">
        <f t="shared" si="7"/>
        <v>0</v>
      </c>
      <c r="R7618" s="2">
        <v>18.0</v>
      </c>
      <c r="S7618" s="5">
        <f t="shared" si="8"/>
        <v>1</v>
      </c>
    </row>
    <row r="7619">
      <c r="A7619" s="2" t="s">
        <v>7614</v>
      </c>
      <c r="B7619" s="2">
        <v>797.0</v>
      </c>
      <c r="C7619" s="2">
        <v>9381.0</v>
      </c>
      <c r="D7619" s="2">
        <v>3109.0</v>
      </c>
      <c r="E7619" s="3">
        <f t="shared" si="1"/>
        <v>0.3621854613</v>
      </c>
      <c r="F7619" s="2">
        <v>817.0</v>
      </c>
      <c r="G7619" s="3">
        <f t="shared" si="2"/>
        <v>0.09517707363</v>
      </c>
      <c r="H7619" s="2">
        <v>1574.0</v>
      </c>
      <c r="I7619" s="3">
        <f t="shared" si="3"/>
        <v>0.1833643989</v>
      </c>
      <c r="J7619" s="2">
        <v>1090.0</v>
      </c>
      <c r="K7619" s="3">
        <f t="shared" si="4"/>
        <v>0.1269804287</v>
      </c>
      <c r="L7619" s="2">
        <v>915.0</v>
      </c>
      <c r="M7619" s="3">
        <f t="shared" si="5"/>
        <v>0.581321474</v>
      </c>
      <c r="N7619" s="2">
        <v>8711800.0</v>
      </c>
      <c r="O7619" s="4">
        <f t="shared" si="6"/>
        <v>5534.815756</v>
      </c>
      <c r="P7619" s="2">
        <v>1.0</v>
      </c>
      <c r="Q7619" s="3">
        <f t="shared" si="7"/>
        <v>0.001254705144</v>
      </c>
      <c r="R7619" s="2">
        <v>0.0</v>
      </c>
      <c r="S7619" s="5">
        <f t="shared" si="8"/>
        <v>0</v>
      </c>
    </row>
    <row r="7620">
      <c r="A7620" s="2" t="s">
        <v>7615</v>
      </c>
      <c r="B7620" s="2">
        <v>396.0</v>
      </c>
      <c r="C7620" s="2">
        <v>4643.0</v>
      </c>
      <c r="D7620" s="2">
        <v>1283.0</v>
      </c>
      <c r="E7620" s="3">
        <f t="shared" si="1"/>
        <v>0.3020955969</v>
      </c>
      <c r="F7620" s="2">
        <v>404.0</v>
      </c>
      <c r="G7620" s="3">
        <f t="shared" si="2"/>
        <v>0.09512597127</v>
      </c>
      <c r="H7620" s="2">
        <v>859.0</v>
      </c>
      <c r="I7620" s="3">
        <f t="shared" si="3"/>
        <v>0.2022604191</v>
      </c>
      <c r="J7620" s="2">
        <v>649.0</v>
      </c>
      <c r="K7620" s="3">
        <f t="shared" si="4"/>
        <v>0.1528137509</v>
      </c>
      <c r="L7620" s="2">
        <v>471.0</v>
      </c>
      <c r="M7620" s="3">
        <f t="shared" si="5"/>
        <v>0.5483119907</v>
      </c>
      <c r="N7620" s="2">
        <v>5125300.0</v>
      </c>
      <c r="O7620" s="4">
        <f t="shared" si="6"/>
        <v>5966.589057</v>
      </c>
      <c r="P7620" s="2">
        <v>0.0</v>
      </c>
      <c r="Q7620" s="3">
        <f t="shared" si="7"/>
        <v>0</v>
      </c>
      <c r="R7620" s="2">
        <v>396.0</v>
      </c>
      <c r="S7620" s="5">
        <f t="shared" si="8"/>
        <v>1</v>
      </c>
    </row>
    <row r="7621">
      <c r="A7621" s="2" t="s">
        <v>7616</v>
      </c>
      <c r="B7621" s="2">
        <v>81.0</v>
      </c>
      <c r="C7621" s="2">
        <v>996.0</v>
      </c>
      <c r="D7621" s="2">
        <v>268.0</v>
      </c>
      <c r="E7621" s="3">
        <f t="shared" si="1"/>
        <v>0.2928961749</v>
      </c>
      <c r="F7621" s="2">
        <v>87.0</v>
      </c>
      <c r="G7621" s="3">
        <f t="shared" si="2"/>
        <v>0.09508196721</v>
      </c>
      <c r="H7621" s="2">
        <v>183.0</v>
      </c>
      <c r="I7621" s="3">
        <f t="shared" si="3"/>
        <v>0.2</v>
      </c>
      <c r="J7621" s="2">
        <v>133.0</v>
      </c>
      <c r="K7621" s="3">
        <f t="shared" si="4"/>
        <v>0.1453551913</v>
      </c>
      <c r="L7621" s="2">
        <v>119.0</v>
      </c>
      <c r="M7621" s="3">
        <f t="shared" si="5"/>
        <v>0.650273224</v>
      </c>
      <c r="N7621" s="2">
        <v>1029800.0</v>
      </c>
      <c r="O7621" s="4">
        <f t="shared" si="6"/>
        <v>5627.322404</v>
      </c>
      <c r="P7621" s="2">
        <v>1.0</v>
      </c>
      <c r="Q7621" s="3">
        <f t="shared" si="7"/>
        <v>0.01234567901</v>
      </c>
      <c r="R7621" s="2">
        <v>81.0</v>
      </c>
      <c r="S7621" s="5">
        <f t="shared" si="8"/>
        <v>1</v>
      </c>
    </row>
    <row r="7622">
      <c r="A7622" s="2" t="s">
        <v>7617</v>
      </c>
      <c r="B7622" s="2">
        <v>27.0</v>
      </c>
      <c r="C7622" s="2">
        <v>311.0</v>
      </c>
      <c r="D7622" s="2">
        <v>75.0</v>
      </c>
      <c r="E7622" s="3">
        <f t="shared" si="1"/>
        <v>0.264084507</v>
      </c>
      <c r="F7622" s="2">
        <v>27.0</v>
      </c>
      <c r="G7622" s="3">
        <f t="shared" si="2"/>
        <v>0.09507042254</v>
      </c>
      <c r="H7622" s="2">
        <v>53.0</v>
      </c>
      <c r="I7622" s="3">
        <f t="shared" si="3"/>
        <v>0.1866197183</v>
      </c>
      <c r="J7622" s="2">
        <v>42.0</v>
      </c>
      <c r="K7622" s="3">
        <f t="shared" si="4"/>
        <v>0.1478873239</v>
      </c>
      <c r="L7622" s="2">
        <v>26.0</v>
      </c>
      <c r="M7622" s="3">
        <f t="shared" si="5"/>
        <v>0.4905660377</v>
      </c>
      <c r="N7622" s="2">
        <v>312700.0</v>
      </c>
      <c r="O7622" s="4">
        <f t="shared" si="6"/>
        <v>5900</v>
      </c>
      <c r="P7622" s="2">
        <v>0.0</v>
      </c>
      <c r="Q7622" s="3">
        <f t="shared" si="7"/>
        <v>0</v>
      </c>
      <c r="R7622" s="2">
        <v>27.0</v>
      </c>
      <c r="S7622" s="5">
        <f t="shared" si="8"/>
        <v>1</v>
      </c>
    </row>
    <row r="7623">
      <c r="A7623" s="2" t="s">
        <v>7618</v>
      </c>
      <c r="B7623" s="2">
        <v>95.0</v>
      </c>
      <c r="C7623" s="2">
        <v>1095.0</v>
      </c>
      <c r="D7623" s="2">
        <v>366.0</v>
      </c>
      <c r="E7623" s="3">
        <f t="shared" si="1"/>
        <v>0.366</v>
      </c>
      <c r="F7623" s="2">
        <v>95.0</v>
      </c>
      <c r="G7623" s="3">
        <f t="shared" si="2"/>
        <v>0.095</v>
      </c>
      <c r="H7623" s="2">
        <v>235.0</v>
      </c>
      <c r="I7623" s="3">
        <f t="shared" si="3"/>
        <v>0.235</v>
      </c>
      <c r="J7623" s="2">
        <v>172.0</v>
      </c>
      <c r="K7623" s="3">
        <f t="shared" si="4"/>
        <v>0.172</v>
      </c>
      <c r="L7623" s="2">
        <v>139.0</v>
      </c>
      <c r="M7623" s="3">
        <f t="shared" si="5"/>
        <v>0.5914893617</v>
      </c>
      <c r="N7623" s="2">
        <v>1240500.0</v>
      </c>
      <c r="O7623" s="4">
        <f t="shared" si="6"/>
        <v>5278.723404</v>
      </c>
      <c r="P7623" s="2">
        <v>1.0</v>
      </c>
      <c r="Q7623" s="3">
        <f t="shared" si="7"/>
        <v>0.01052631579</v>
      </c>
      <c r="R7623" s="2">
        <v>95.0</v>
      </c>
      <c r="S7623" s="5">
        <f t="shared" si="8"/>
        <v>1</v>
      </c>
    </row>
    <row r="7624">
      <c r="A7624" s="2" t="s">
        <v>7619</v>
      </c>
      <c r="B7624" s="2">
        <v>725.0</v>
      </c>
      <c r="C7624" s="2">
        <v>8456.0</v>
      </c>
      <c r="D7624" s="2">
        <v>1326.0</v>
      </c>
      <c r="E7624" s="3">
        <f t="shared" si="1"/>
        <v>0.1715172681</v>
      </c>
      <c r="F7624" s="2">
        <v>734.0</v>
      </c>
      <c r="G7624" s="3">
        <f t="shared" si="2"/>
        <v>0.09494243953</v>
      </c>
      <c r="H7624" s="2">
        <v>1362.0</v>
      </c>
      <c r="I7624" s="3">
        <f t="shared" si="3"/>
        <v>0.1761738456</v>
      </c>
      <c r="J7624" s="2">
        <v>1373.0</v>
      </c>
      <c r="K7624" s="3">
        <f t="shared" si="4"/>
        <v>0.1775966887</v>
      </c>
      <c r="L7624" s="2">
        <v>799.0</v>
      </c>
      <c r="M7624" s="3">
        <f t="shared" si="5"/>
        <v>0.5866372981</v>
      </c>
      <c r="N7624" s="2">
        <v>8984400.0</v>
      </c>
      <c r="O7624" s="4">
        <f t="shared" si="6"/>
        <v>6596.475771</v>
      </c>
      <c r="P7624" s="2">
        <v>0.0</v>
      </c>
      <c r="Q7624" s="3">
        <f t="shared" si="7"/>
        <v>0</v>
      </c>
      <c r="R7624" s="2">
        <v>725.0</v>
      </c>
      <c r="S7624" s="5">
        <f t="shared" si="8"/>
        <v>1</v>
      </c>
    </row>
    <row r="7625">
      <c r="A7625" s="2" t="s">
        <v>7620</v>
      </c>
      <c r="B7625" s="2">
        <v>2395.0</v>
      </c>
      <c r="C7625" s="2">
        <v>28139.0</v>
      </c>
      <c r="D7625" s="2">
        <v>8295.0</v>
      </c>
      <c r="E7625" s="3">
        <f t="shared" si="1"/>
        <v>0.3222110006</v>
      </c>
      <c r="F7625" s="2">
        <v>2444.0</v>
      </c>
      <c r="G7625" s="3">
        <f t="shared" si="2"/>
        <v>0.09493474208</v>
      </c>
      <c r="H7625" s="2">
        <v>5182.0</v>
      </c>
      <c r="I7625" s="3">
        <f t="shared" si="3"/>
        <v>0.2012896209</v>
      </c>
      <c r="J7625" s="2">
        <v>4121.0</v>
      </c>
      <c r="K7625" s="3">
        <f t="shared" si="4"/>
        <v>0.1600761342</v>
      </c>
      <c r="L7625" s="2">
        <v>3124.0</v>
      </c>
      <c r="M7625" s="3">
        <f t="shared" si="5"/>
        <v>0.6028560401</v>
      </c>
      <c r="N7625" s="2">
        <v>2.85173E7</v>
      </c>
      <c r="O7625" s="4">
        <f t="shared" si="6"/>
        <v>5503.145504</v>
      </c>
      <c r="P7625" s="2">
        <v>0.0</v>
      </c>
      <c r="Q7625" s="3">
        <f t="shared" si="7"/>
        <v>0</v>
      </c>
      <c r="R7625" s="2">
        <v>2394.0</v>
      </c>
      <c r="S7625" s="5">
        <f t="shared" si="8"/>
        <v>0.9995824635</v>
      </c>
    </row>
    <row r="7626">
      <c r="A7626" s="2" t="s">
        <v>7621</v>
      </c>
      <c r="B7626" s="2">
        <v>13.0</v>
      </c>
      <c r="C7626" s="2">
        <v>150.0</v>
      </c>
      <c r="D7626" s="2">
        <v>38.0</v>
      </c>
      <c r="E7626" s="3">
        <f t="shared" si="1"/>
        <v>0.2773722628</v>
      </c>
      <c r="F7626" s="2">
        <v>13.0</v>
      </c>
      <c r="G7626" s="3">
        <f t="shared" si="2"/>
        <v>0.09489051095</v>
      </c>
      <c r="H7626" s="2">
        <v>28.0</v>
      </c>
      <c r="I7626" s="3">
        <f t="shared" si="3"/>
        <v>0.204379562</v>
      </c>
      <c r="J7626" s="2">
        <v>15.0</v>
      </c>
      <c r="K7626" s="3">
        <f t="shared" si="4"/>
        <v>0.1094890511</v>
      </c>
      <c r="L7626" s="2">
        <v>15.0</v>
      </c>
      <c r="M7626" s="3">
        <f t="shared" si="5"/>
        <v>0.5357142857</v>
      </c>
      <c r="N7626" s="2">
        <v>140200.0</v>
      </c>
      <c r="O7626" s="4">
        <f t="shared" si="6"/>
        <v>5007.142857</v>
      </c>
      <c r="P7626" s="2">
        <v>0.0</v>
      </c>
      <c r="Q7626" s="3">
        <f t="shared" si="7"/>
        <v>0</v>
      </c>
      <c r="R7626" s="2">
        <v>13.0</v>
      </c>
      <c r="S7626" s="5">
        <f t="shared" si="8"/>
        <v>1</v>
      </c>
    </row>
    <row r="7627">
      <c r="A7627" s="2" t="s">
        <v>7622</v>
      </c>
      <c r="B7627" s="2">
        <v>107.0</v>
      </c>
      <c r="C7627" s="2">
        <v>1290.0</v>
      </c>
      <c r="D7627" s="2">
        <v>513.0</v>
      </c>
      <c r="E7627" s="3">
        <f t="shared" si="1"/>
        <v>0.4336432798</v>
      </c>
      <c r="F7627" s="2">
        <v>112.0</v>
      </c>
      <c r="G7627" s="3">
        <f t="shared" si="2"/>
        <v>0.09467455621</v>
      </c>
      <c r="H7627" s="2">
        <v>249.0</v>
      </c>
      <c r="I7627" s="3">
        <f t="shared" si="3"/>
        <v>0.2104818259</v>
      </c>
      <c r="J7627" s="2">
        <v>193.0</v>
      </c>
      <c r="K7627" s="3">
        <f t="shared" si="4"/>
        <v>0.1631445478</v>
      </c>
      <c r="L7627" s="2">
        <v>158.0</v>
      </c>
      <c r="M7627" s="3">
        <f t="shared" si="5"/>
        <v>0.6345381526</v>
      </c>
      <c r="N7627" s="2">
        <v>1345500.0</v>
      </c>
      <c r="O7627" s="4">
        <f t="shared" si="6"/>
        <v>5403.614458</v>
      </c>
      <c r="P7627" s="2">
        <v>0.0</v>
      </c>
      <c r="Q7627" s="3">
        <f t="shared" si="7"/>
        <v>0</v>
      </c>
      <c r="R7627" s="2">
        <v>0.0</v>
      </c>
      <c r="S7627" s="5">
        <f t="shared" si="8"/>
        <v>0</v>
      </c>
    </row>
    <row r="7628">
      <c r="A7628" s="2" t="s">
        <v>7623</v>
      </c>
      <c r="B7628" s="2">
        <v>89.0</v>
      </c>
      <c r="C7628" s="2">
        <v>1082.0</v>
      </c>
      <c r="D7628" s="2">
        <v>283.0</v>
      </c>
      <c r="E7628" s="3">
        <f t="shared" si="1"/>
        <v>0.2849949648</v>
      </c>
      <c r="F7628" s="2">
        <v>94.0</v>
      </c>
      <c r="G7628" s="3">
        <f t="shared" si="2"/>
        <v>0.09466263847</v>
      </c>
      <c r="H7628" s="2">
        <v>190.0</v>
      </c>
      <c r="I7628" s="3">
        <f t="shared" si="3"/>
        <v>0.1913393756</v>
      </c>
      <c r="J7628" s="2">
        <v>96.0</v>
      </c>
      <c r="K7628" s="3">
        <f t="shared" si="4"/>
        <v>0.09667673716</v>
      </c>
      <c r="L7628" s="2">
        <v>117.0</v>
      </c>
      <c r="M7628" s="3">
        <f t="shared" si="5"/>
        <v>0.6157894737</v>
      </c>
      <c r="N7628" s="2">
        <v>1067400.0</v>
      </c>
      <c r="O7628" s="4">
        <f t="shared" si="6"/>
        <v>5617.894737</v>
      </c>
      <c r="P7628" s="2">
        <v>1.0</v>
      </c>
      <c r="Q7628" s="3">
        <f t="shared" si="7"/>
        <v>0.01123595506</v>
      </c>
      <c r="R7628" s="2">
        <v>89.0</v>
      </c>
      <c r="S7628" s="5">
        <f t="shared" si="8"/>
        <v>1</v>
      </c>
    </row>
    <row r="7629">
      <c r="A7629" s="2" t="s">
        <v>7624</v>
      </c>
      <c r="B7629" s="2">
        <v>1251.0</v>
      </c>
      <c r="C7629" s="2">
        <v>14759.0</v>
      </c>
      <c r="D7629" s="2">
        <v>3516.0</v>
      </c>
      <c r="E7629" s="3">
        <f t="shared" si="1"/>
        <v>0.2602901984</v>
      </c>
      <c r="F7629" s="2">
        <v>1278.0</v>
      </c>
      <c r="G7629" s="3">
        <f t="shared" si="2"/>
        <v>0.09461060113</v>
      </c>
      <c r="H7629" s="2">
        <v>2525.0</v>
      </c>
      <c r="I7629" s="3">
        <f t="shared" si="3"/>
        <v>0.1869262659</v>
      </c>
      <c r="J7629" s="2">
        <v>1672.0</v>
      </c>
      <c r="K7629" s="3">
        <f t="shared" si="4"/>
        <v>0.1237785016</v>
      </c>
      <c r="L7629" s="2">
        <v>1542.0</v>
      </c>
      <c r="M7629" s="3">
        <f t="shared" si="5"/>
        <v>0.6106930693</v>
      </c>
      <c r="N7629" s="2">
        <v>1.5122E7</v>
      </c>
      <c r="O7629" s="4">
        <f t="shared" si="6"/>
        <v>5988.910891</v>
      </c>
      <c r="P7629" s="2">
        <v>5.0</v>
      </c>
      <c r="Q7629" s="3">
        <f t="shared" si="7"/>
        <v>0.003996802558</v>
      </c>
      <c r="R7629" s="2">
        <v>1251.0</v>
      </c>
      <c r="S7629" s="5">
        <f t="shared" si="8"/>
        <v>1</v>
      </c>
    </row>
    <row r="7630">
      <c r="A7630" s="2" t="s">
        <v>7625</v>
      </c>
      <c r="B7630" s="2">
        <v>7.0</v>
      </c>
      <c r="C7630" s="2">
        <v>81.0</v>
      </c>
      <c r="D7630" s="2">
        <v>24.0</v>
      </c>
      <c r="E7630" s="3">
        <f t="shared" si="1"/>
        <v>0.3243243243</v>
      </c>
      <c r="F7630" s="2">
        <v>7.0</v>
      </c>
      <c r="G7630" s="3">
        <f t="shared" si="2"/>
        <v>0.09459459459</v>
      </c>
      <c r="H7630" s="2">
        <v>16.0</v>
      </c>
      <c r="I7630" s="3">
        <f t="shared" si="3"/>
        <v>0.2162162162</v>
      </c>
      <c r="J7630" s="2">
        <v>16.0</v>
      </c>
      <c r="K7630" s="3">
        <f t="shared" si="4"/>
        <v>0.2162162162</v>
      </c>
      <c r="L7630" s="2">
        <v>12.0</v>
      </c>
      <c r="M7630" s="3">
        <f t="shared" si="5"/>
        <v>0.75</v>
      </c>
      <c r="N7630" s="2">
        <v>115700.0</v>
      </c>
      <c r="O7630" s="4">
        <f t="shared" si="6"/>
        <v>7231.25</v>
      </c>
      <c r="P7630" s="2">
        <v>0.0</v>
      </c>
      <c r="Q7630" s="3">
        <f t="shared" si="7"/>
        <v>0</v>
      </c>
      <c r="R7630" s="2">
        <v>7.0</v>
      </c>
      <c r="S7630" s="5">
        <f t="shared" si="8"/>
        <v>1</v>
      </c>
    </row>
    <row r="7631">
      <c r="A7631" s="2" t="s">
        <v>7626</v>
      </c>
      <c r="B7631" s="2">
        <v>13.0</v>
      </c>
      <c r="C7631" s="2">
        <v>161.0</v>
      </c>
      <c r="D7631" s="2">
        <v>49.0</v>
      </c>
      <c r="E7631" s="3">
        <f t="shared" si="1"/>
        <v>0.3310810811</v>
      </c>
      <c r="F7631" s="2">
        <v>14.0</v>
      </c>
      <c r="G7631" s="3">
        <f t="shared" si="2"/>
        <v>0.09459459459</v>
      </c>
      <c r="H7631" s="2">
        <v>16.0</v>
      </c>
      <c r="I7631" s="3">
        <f t="shared" si="3"/>
        <v>0.1081081081</v>
      </c>
      <c r="J7631" s="2">
        <v>30.0</v>
      </c>
      <c r="K7631" s="3">
        <f t="shared" si="4"/>
        <v>0.2027027027</v>
      </c>
      <c r="L7631" s="2">
        <v>10.0</v>
      </c>
      <c r="M7631" s="3">
        <f t="shared" si="5"/>
        <v>0.625</v>
      </c>
      <c r="N7631" s="2">
        <v>98600.0</v>
      </c>
      <c r="O7631" s="4">
        <f t="shared" si="6"/>
        <v>6162.5</v>
      </c>
      <c r="P7631" s="2">
        <v>0.0</v>
      </c>
      <c r="Q7631" s="3">
        <f t="shared" si="7"/>
        <v>0</v>
      </c>
      <c r="R7631" s="2">
        <v>13.0</v>
      </c>
      <c r="S7631" s="5">
        <f t="shared" si="8"/>
        <v>1</v>
      </c>
    </row>
    <row r="7632">
      <c r="A7632" s="2" t="s">
        <v>7627</v>
      </c>
      <c r="B7632" s="2">
        <v>196.0</v>
      </c>
      <c r="C7632" s="2">
        <v>2280.0</v>
      </c>
      <c r="D7632" s="2">
        <v>576.0</v>
      </c>
      <c r="E7632" s="3">
        <f t="shared" si="1"/>
        <v>0.2763915547</v>
      </c>
      <c r="F7632" s="2">
        <v>197.0</v>
      </c>
      <c r="G7632" s="3">
        <f t="shared" si="2"/>
        <v>0.09452975048</v>
      </c>
      <c r="H7632" s="2">
        <v>404.0</v>
      </c>
      <c r="I7632" s="3">
        <f t="shared" si="3"/>
        <v>0.1938579655</v>
      </c>
      <c r="J7632" s="2">
        <v>331.0</v>
      </c>
      <c r="K7632" s="3">
        <f t="shared" si="4"/>
        <v>0.1588291747</v>
      </c>
      <c r="L7632" s="2">
        <v>248.0</v>
      </c>
      <c r="M7632" s="3">
        <f t="shared" si="5"/>
        <v>0.6138613861</v>
      </c>
      <c r="N7632" s="2">
        <v>2324100.0</v>
      </c>
      <c r="O7632" s="4">
        <f t="shared" si="6"/>
        <v>5752.722772</v>
      </c>
      <c r="P7632" s="2">
        <v>0.0</v>
      </c>
      <c r="Q7632" s="3">
        <f t="shared" si="7"/>
        <v>0</v>
      </c>
      <c r="R7632" s="2">
        <v>196.0</v>
      </c>
      <c r="S7632" s="5">
        <f t="shared" si="8"/>
        <v>1</v>
      </c>
    </row>
    <row r="7633">
      <c r="A7633" s="2" t="s">
        <v>7628</v>
      </c>
      <c r="B7633" s="2">
        <v>273.0</v>
      </c>
      <c r="C7633" s="2">
        <v>3271.0</v>
      </c>
      <c r="D7633" s="2">
        <v>978.0</v>
      </c>
      <c r="E7633" s="3">
        <f t="shared" si="1"/>
        <v>0.3262174783</v>
      </c>
      <c r="F7633" s="2">
        <v>283.0</v>
      </c>
      <c r="G7633" s="3">
        <f t="shared" si="2"/>
        <v>0.09439626418</v>
      </c>
      <c r="H7633" s="2">
        <v>585.0</v>
      </c>
      <c r="I7633" s="3">
        <f t="shared" si="3"/>
        <v>0.1951300867</v>
      </c>
      <c r="J7633" s="2">
        <v>453.0</v>
      </c>
      <c r="K7633" s="3">
        <f t="shared" si="4"/>
        <v>0.1511007338</v>
      </c>
      <c r="L7633" s="2">
        <v>364.0</v>
      </c>
      <c r="M7633" s="3">
        <f t="shared" si="5"/>
        <v>0.6222222222</v>
      </c>
      <c r="N7633" s="2">
        <v>3250000.0</v>
      </c>
      <c r="O7633" s="4">
        <f t="shared" si="6"/>
        <v>5555.555556</v>
      </c>
      <c r="P7633" s="2">
        <v>1.0</v>
      </c>
      <c r="Q7633" s="3">
        <f t="shared" si="7"/>
        <v>0.003663003663</v>
      </c>
      <c r="R7633" s="2">
        <v>167.0</v>
      </c>
      <c r="S7633" s="5">
        <f t="shared" si="8"/>
        <v>0.6117216117</v>
      </c>
    </row>
    <row r="7634">
      <c r="A7634" s="2" t="s">
        <v>7629</v>
      </c>
      <c r="B7634" s="2">
        <v>9.0</v>
      </c>
      <c r="C7634" s="2">
        <v>115.0</v>
      </c>
      <c r="D7634" s="2">
        <v>46.0</v>
      </c>
      <c r="E7634" s="3">
        <f t="shared" si="1"/>
        <v>0.4339622642</v>
      </c>
      <c r="F7634" s="2">
        <v>10.0</v>
      </c>
      <c r="G7634" s="3">
        <f t="shared" si="2"/>
        <v>0.09433962264</v>
      </c>
      <c r="H7634" s="2">
        <v>26.0</v>
      </c>
      <c r="I7634" s="3">
        <f t="shared" si="3"/>
        <v>0.2452830189</v>
      </c>
      <c r="J7634" s="2">
        <v>17.0</v>
      </c>
      <c r="K7634" s="3">
        <f t="shared" si="4"/>
        <v>0.1603773585</v>
      </c>
      <c r="L7634" s="2">
        <v>21.0</v>
      </c>
      <c r="M7634" s="3">
        <f t="shared" si="5"/>
        <v>0.8076923077</v>
      </c>
      <c r="N7634" s="2">
        <v>136000.0</v>
      </c>
      <c r="O7634" s="4">
        <f t="shared" si="6"/>
        <v>5230.769231</v>
      </c>
      <c r="P7634" s="2">
        <v>0.0</v>
      </c>
      <c r="Q7634" s="3">
        <f t="shared" si="7"/>
        <v>0</v>
      </c>
      <c r="R7634" s="2">
        <v>9.0</v>
      </c>
      <c r="S7634" s="5">
        <f t="shared" si="8"/>
        <v>1</v>
      </c>
    </row>
    <row r="7635">
      <c r="A7635" s="2" t="s">
        <v>7630</v>
      </c>
      <c r="B7635" s="2">
        <v>2085.0</v>
      </c>
      <c r="C7635" s="2">
        <v>24752.0</v>
      </c>
      <c r="D7635" s="2">
        <v>5055.0</v>
      </c>
      <c r="E7635" s="3">
        <f t="shared" si="1"/>
        <v>0.2230114263</v>
      </c>
      <c r="F7635" s="2">
        <v>2136.0</v>
      </c>
      <c r="G7635" s="3">
        <f t="shared" si="2"/>
        <v>0.09423390832</v>
      </c>
      <c r="H7635" s="2">
        <v>4061.0</v>
      </c>
      <c r="I7635" s="3">
        <f t="shared" si="3"/>
        <v>0.17915913</v>
      </c>
      <c r="J7635" s="2">
        <v>2859.0</v>
      </c>
      <c r="K7635" s="3">
        <f t="shared" si="4"/>
        <v>0.1261304981</v>
      </c>
      <c r="L7635" s="2">
        <v>2441.0</v>
      </c>
      <c r="M7635" s="3">
        <f t="shared" si="5"/>
        <v>0.601083477</v>
      </c>
      <c r="N7635" s="2">
        <v>2.42177E7</v>
      </c>
      <c r="O7635" s="4">
        <f t="shared" si="6"/>
        <v>5963.481901</v>
      </c>
      <c r="P7635" s="2">
        <v>5.0</v>
      </c>
      <c r="Q7635" s="3">
        <f t="shared" si="7"/>
        <v>0.002398081535</v>
      </c>
      <c r="R7635" s="2">
        <v>2085.0</v>
      </c>
      <c r="S7635" s="5">
        <f t="shared" si="8"/>
        <v>1</v>
      </c>
    </row>
    <row r="7636">
      <c r="A7636" s="2" t="s">
        <v>7631</v>
      </c>
      <c r="B7636" s="2">
        <v>798.0</v>
      </c>
      <c r="C7636" s="2">
        <v>9548.0</v>
      </c>
      <c r="D7636" s="2">
        <v>2761.0</v>
      </c>
      <c r="E7636" s="3">
        <f t="shared" si="1"/>
        <v>0.3155428571</v>
      </c>
      <c r="F7636" s="2">
        <v>824.0</v>
      </c>
      <c r="G7636" s="3">
        <f t="shared" si="2"/>
        <v>0.09417142857</v>
      </c>
      <c r="H7636" s="2">
        <v>1737.0</v>
      </c>
      <c r="I7636" s="3">
        <f t="shared" si="3"/>
        <v>0.1985142857</v>
      </c>
      <c r="J7636" s="2">
        <v>1333.0</v>
      </c>
      <c r="K7636" s="3">
        <f t="shared" si="4"/>
        <v>0.1523428571</v>
      </c>
      <c r="L7636" s="2">
        <v>1005.0</v>
      </c>
      <c r="M7636" s="3">
        <f t="shared" si="5"/>
        <v>0.5785837651</v>
      </c>
      <c r="N7636" s="2">
        <v>9783700.0</v>
      </c>
      <c r="O7636" s="4">
        <f t="shared" si="6"/>
        <v>5632.527346</v>
      </c>
      <c r="P7636" s="2">
        <v>1.0</v>
      </c>
      <c r="Q7636" s="3">
        <f t="shared" si="7"/>
        <v>0.001253132832</v>
      </c>
      <c r="R7636" s="2">
        <v>2.0</v>
      </c>
      <c r="S7636" s="5">
        <f t="shared" si="8"/>
        <v>0.002506265664</v>
      </c>
    </row>
    <row r="7637">
      <c r="A7637" s="2" t="s">
        <v>7632</v>
      </c>
      <c r="B7637" s="2">
        <v>32.0</v>
      </c>
      <c r="C7637" s="2">
        <v>372.0</v>
      </c>
      <c r="D7637" s="2">
        <v>91.0</v>
      </c>
      <c r="E7637" s="3">
        <f t="shared" si="1"/>
        <v>0.2676470588</v>
      </c>
      <c r="F7637" s="2">
        <v>32.0</v>
      </c>
      <c r="G7637" s="3">
        <f t="shared" si="2"/>
        <v>0.09411764706</v>
      </c>
      <c r="H7637" s="2">
        <v>72.0</v>
      </c>
      <c r="I7637" s="3">
        <f t="shared" si="3"/>
        <v>0.2117647059</v>
      </c>
      <c r="J7637" s="2">
        <v>67.0</v>
      </c>
      <c r="K7637" s="3">
        <f t="shared" si="4"/>
        <v>0.1970588235</v>
      </c>
      <c r="L7637" s="2">
        <v>43.0</v>
      </c>
      <c r="M7637" s="3">
        <f t="shared" si="5"/>
        <v>0.5972222222</v>
      </c>
      <c r="N7637" s="2">
        <v>441000.0</v>
      </c>
      <c r="O7637" s="4">
        <f t="shared" si="6"/>
        <v>6125</v>
      </c>
      <c r="P7637" s="2">
        <v>0.0</v>
      </c>
      <c r="Q7637" s="3">
        <f t="shared" si="7"/>
        <v>0</v>
      </c>
      <c r="R7637" s="2">
        <v>0.0</v>
      </c>
      <c r="S7637" s="5">
        <f t="shared" si="8"/>
        <v>0</v>
      </c>
    </row>
    <row r="7638">
      <c r="A7638" s="2" t="s">
        <v>7633</v>
      </c>
      <c r="B7638" s="2">
        <v>16.0</v>
      </c>
      <c r="C7638" s="2">
        <v>186.0</v>
      </c>
      <c r="D7638" s="2">
        <v>52.0</v>
      </c>
      <c r="E7638" s="3">
        <f t="shared" si="1"/>
        <v>0.3058823529</v>
      </c>
      <c r="F7638" s="2">
        <v>16.0</v>
      </c>
      <c r="G7638" s="3">
        <f t="shared" si="2"/>
        <v>0.09411764706</v>
      </c>
      <c r="H7638" s="2">
        <v>35.0</v>
      </c>
      <c r="I7638" s="3">
        <f t="shared" si="3"/>
        <v>0.2058823529</v>
      </c>
      <c r="J7638" s="2">
        <v>29.0</v>
      </c>
      <c r="K7638" s="3">
        <f t="shared" si="4"/>
        <v>0.1705882353</v>
      </c>
      <c r="L7638" s="2">
        <v>22.0</v>
      </c>
      <c r="M7638" s="3">
        <f t="shared" si="5"/>
        <v>0.6285714286</v>
      </c>
      <c r="N7638" s="2">
        <v>215000.0</v>
      </c>
      <c r="O7638" s="4">
        <f t="shared" si="6"/>
        <v>6142.857143</v>
      </c>
      <c r="P7638" s="2">
        <v>0.0</v>
      </c>
      <c r="Q7638" s="3">
        <f t="shared" si="7"/>
        <v>0</v>
      </c>
      <c r="R7638" s="2">
        <v>16.0</v>
      </c>
      <c r="S7638" s="5">
        <f t="shared" si="8"/>
        <v>1</v>
      </c>
    </row>
    <row r="7639">
      <c r="A7639" s="2" t="s">
        <v>7634</v>
      </c>
      <c r="B7639" s="2">
        <v>56.0</v>
      </c>
      <c r="C7639" s="2">
        <v>651.0</v>
      </c>
      <c r="D7639" s="2">
        <v>216.0</v>
      </c>
      <c r="E7639" s="3">
        <f t="shared" si="1"/>
        <v>0.3630252101</v>
      </c>
      <c r="F7639" s="2">
        <v>56.0</v>
      </c>
      <c r="G7639" s="3">
        <f t="shared" si="2"/>
        <v>0.09411764706</v>
      </c>
      <c r="H7639" s="2">
        <v>123.0</v>
      </c>
      <c r="I7639" s="3">
        <f t="shared" si="3"/>
        <v>0.2067226891</v>
      </c>
      <c r="J7639" s="2">
        <v>91.0</v>
      </c>
      <c r="K7639" s="3">
        <f t="shared" si="4"/>
        <v>0.1529411765</v>
      </c>
      <c r="L7639" s="2">
        <v>78.0</v>
      </c>
      <c r="M7639" s="3">
        <f t="shared" si="5"/>
        <v>0.6341463415</v>
      </c>
      <c r="N7639" s="2">
        <v>640700.0</v>
      </c>
      <c r="O7639" s="4">
        <f t="shared" si="6"/>
        <v>5208.943089</v>
      </c>
      <c r="P7639" s="2">
        <v>1.0</v>
      </c>
      <c r="Q7639" s="3">
        <f t="shared" si="7"/>
        <v>0.01785714286</v>
      </c>
      <c r="R7639" s="2">
        <v>56.0</v>
      </c>
      <c r="S7639" s="5">
        <f t="shared" si="8"/>
        <v>1</v>
      </c>
    </row>
    <row r="7640">
      <c r="A7640" s="2" t="s">
        <v>7635</v>
      </c>
      <c r="B7640" s="2">
        <v>615.0</v>
      </c>
      <c r="C7640" s="2">
        <v>7268.0</v>
      </c>
      <c r="D7640" s="2">
        <v>2412.0</v>
      </c>
      <c r="E7640" s="3">
        <f t="shared" si="1"/>
        <v>0.3625432136</v>
      </c>
      <c r="F7640" s="2">
        <v>626.0</v>
      </c>
      <c r="G7640" s="3">
        <f t="shared" si="2"/>
        <v>0.09409289043</v>
      </c>
      <c r="H7640" s="2">
        <v>1362.0</v>
      </c>
      <c r="I7640" s="3">
        <f t="shared" si="3"/>
        <v>0.2047196753</v>
      </c>
      <c r="J7640" s="2">
        <v>1036.0</v>
      </c>
      <c r="K7640" s="3">
        <f t="shared" si="4"/>
        <v>0.1557192244</v>
      </c>
      <c r="L7640" s="2">
        <v>803.0</v>
      </c>
      <c r="M7640" s="3">
        <f t="shared" si="5"/>
        <v>0.5895741557</v>
      </c>
      <c r="N7640" s="2">
        <v>7092000.0</v>
      </c>
      <c r="O7640" s="4">
        <f t="shared" si="6"/>
        <v>5207.048458</v>
      </c>
      <c r="P7640" s="2">
        <v>1.0</v>
      </c>
      <c r="Q7640" s="3">
        <f t="shared" si="7"/>
        <v>0.00162601626</v>
      </c>
      <c r="R7640" s="2">
        <v>615.0</v>
      </c>
      <c r="S7640" s="5">
        <f t="shared" si="8"/>
        <v>1</v>
      </c>
    </row>
    <row r="7641">
      <c r="A7641" s="2" t="s">
        <v>7636</v>
      </c>
      <c r="B7641" s="2">
        <v>27.0</v>
      </c>
      <c r="C7641" s="2">
        <v>325.0</v>
      </c>
      <c r="D7641" s="2">
        <v>86.0</v>
      </c>
      <c r="E7641" s="3">
        <f t="shared" si="1"/>
        <v>0.288590604</v>
      </c>
      <c r="F7641" s="2">
        <v>28.0</v>
      </c>
      <c r="G7641" s="3">
        <f t="shared" si="2"/>
        <v>0.09395973154</v>
      </c>
      <c r="H7641" s="2">
        <v>74.0</v>
      </c>
      <c r="I7641" s="3">
        <f t="shared" si="3"/>
        <v>0.2483221477</v>
      </c>
      <c r="J7641" s="2">
        <v>70.0</v>
      </c>
      <c r="K7641" s="3">
        <f t="shared" si="4"/>
        <v>0.2348993289</v>
      </c>
      <c r="L7641" s="2">
        <v>46.0</v>
      </c>
      <c r="M7641" s="3">
        <f t="shared" si="5"/>
        <v>0.6216216216</v>
      </c>
      <c r="N7641" s="2">
        <v>379200.0</v>
      </c>
      <c r="O7641" s="4">
        <f t="shared" si="6"/>
        <v>5124.324324</v>
      </c>
      <c r="P7641" s="2">
        <v>0.0</v>
      </c>
      <c r="Q7641" s="3">
        <f t="shared" si="7"/>
        <v>0</v>
      </c>
      <c r="R7641" s="2">
        <v>27.0</v>
      </c>
      <c r="S7641" s="5">
        <f t="shared" si="8"/>
        <v>1</v>
      </c>
    </row>
    <row r="7642">
      <c r="A7642" s="2" t="s">
        <v>7637</v>
      </c>
      <c r="B7642" s="2">
        <v>11.0</v>
      </c>
      <c r="C7642" s="2">
        <v>139.0</v>
      </c>
      <c r="D7642" s="2">
        <v>34.0</v>
      </c>
      <c r="E7642" s="3">
        <f t="shared" si="1"/>
        <v>0.265625</v>
      </c>
      <c r="F7642" s="2">
        <v>12.0</v>
      </c>
      <c r="G7642" s="3">
        <f t="shared" si="2"/>
        <v>0.09375</v>
      </c>
      <c r="H7642" s="2">
        <v>28.0</v>
      </c>
      <c r="I7642" s="3">
        <f t="shared" si="3"/>
        <v>0.21875</v>
      </c>
      <c r="J7642" s="2">
        <v>26.0</v>
      </c>
      <c r="K7642" s="3">
        <f t="shared" si="4"/>
        <v>0.203125</v>
      </c>
      <c r="L7642" s="2">
        <v>14.0</v>
      </c>
      <c r="M7642" s="3">
        <f t="shared" si="5"/>
        <v>0.5</v>
      </c>
      <c r="N7642" s="2">
        <v>188700.0</v>
      </c>
      <c r="O7642" s="4">
        <f t="shared" si="6"/>
        <v>6739.285714</v>
      </c>
      <c r="P7642" s="2">
        <v>0.0</v>
      </c>
      <c r="Q7642" s="3">
        <f t="shared" si="7"/>
        <v>0</v>
      </c>
      <c r="R7642" s="2">
        <v>0.0</v>
      </c>
      <c r="S7642" s="5">
        <f t="shared" si="8"/>
        <v>0</v>
      </c>
    </row>
    <row r="7643">
      <c r="A7643" s="2" t="s">
        <v>7638</v>
      </c>
      <c r="B7643" s="2">
        <v>39.0</v>
      </c>
      <c r="C7643" s="2">
        <v>487.0</v>
      </c>
      <c r="D7643" s="2">
        <v>165.0</v>
      </c>
      <c r="E7643" s="3">
        <f t="shared" si="1"/>
        <v>0.3683035714</v>
      </c>
      <c r="F7643" s="2">
        <v>42.0</v>
      </c>
      <c r="G7643" s="3">
        <f t="shared" si="2"/>
        <v>0.09375</v>
      </c>
      <c r="H7643" s="2">
        <v>98.0</v>
      </c>
      <c r="I7643" s="3">
        <f t="shared" si="3"/>
        <v>0.21875</v>
      </c>
      <c r="J7643" s="2">
        <v>75.0</v>
      </c>
      <c r="K7643" s="3">
        <f t="shared" si="4"/>
        <v>0.1674107143</v>
      </c>
      <c r="L7643" s="2">
        <v>54.0</v>
      </c>
      <c r="M7643" s="3">
        <f t="shared" si="5"/>
        <v>0.5510204082</v>
      </c>
      <c r="N7643" s="2">
        <v>502000.0</v>
      </c>
      <c r="O7643" s="4">
        <f t="shared" si="6"/>
        <v>5122.44898</v>
      </c>
      <c r="P7643" s="2">
        <v>0.0</v>
      </c>
      <c r="Q7643" s="3">
        <f t="shared" si="7"/>
        <v>0</v>
      </c>
      <c r="R7643" s="2">
        <v>39.0</v>
      </c>
      <c r="S7643" s="5">
        <f t="shared" si="8"/>
        <v>1</v>
      </c>
    </row>
    <row r="7644">
      <c r="A7644" s="2" t="s">
        <v>7639</v>
      </c>
      <c r="B7644" s="2">
        <v>24.0</v>
      </c>
      <c r="C7644" s="2">
        <v>280.0</v>
      </c>
      <c r="D7644" s="2">
        <v>117.0</v>
      </c>
      <c r="E7644" s="3">
        <f t="shared" si="1"/>
        <v>0.45703125</v>
      </c>
      <c r="F7644" s="2">
        <v>24.0</v>
      </c>
      <c r="G7644" s="3">
        <f t="shared" si="2"/>
        <v>0.09375</v>
      </c>
      <c r="H7644" s="2">
        <v>60.0</v>
      </c>
      <c r="I7644" s="3">
        <f t="shared" si="3"/>
        <v>0.234375</v>
      </c>
      <c r="J7644" s="2">
        <v>34.0</v>
      </c>
      <c r="K7644" s="3">
        <f t="shared" si="4"/>
        <v>0.1328125</v>
      </c>
      <c r="L7644" s="2">
        <v>31.0</v>
      </c>
      <c r="M7644" s="3">
        <f t="shared" si="5"/>
        <v>0.5166666667</v>
      </c>
      <c r="N7644" s="2">
        <v>305100.0</v>
      </c>
      <c r="O7644" s="4">
        <f t="shared" si="6"/>
        <v>5085</v>
      </c>
      <c r="P7644" s="2">
        <v>0.0</v>
      </c>
      <c r="Q7644" s="3">
        <f t="shared" si="7"/>
        <v>0</v>
      </c>
      <c r="R7644" s="2">
        <v>24.0</v>
      </c>
      <c r="S7644" s="5">
        <f t="shared" si="8"/>
        <v>1</v>
      </c>
    </row>
    <row r="7645">
      <c r="A7645" s="2" t="s">
        <v>7640</v>
      </c>
      <c r="B7645" s="2">
        <v>3.0</v>
      </c>
      <c r="C7645" s="2">
        <v>35.0</v>
      </c>
      <c r="D7645" s="2">
        <v>12.0</v>
      </c>
      <c r="E7645" s="3">
        <f t="shared" si="1"/>
        <v>0.375</v>
      </c>
      <c r="F7645" s="2">
        <v>3.0</v>
      </c>
      <c r="G7645" s="3">
        <f t="shared" si="2"/>
        <v>0.09375</v>
      </c>
      <c r="H7645" s="2">
        <v>2.0</v>
      </c>
      <c r="I7645" s="3">
        <f t="shared" si="3"/>
        <v>0.0625</v>
      </c>
      <c r="J7645" s="2">
        <v>2.0</v>
      </c>
      <c r="K7645" s="3">
        <f t="shared" si="4"/>
        <v>0.0625</v>
      </c>
      <c r="L7645" s="2">
        <v>1.0</v>
      </c>
      <c r="M7645" s="3">
        <f t="shared" si="5"/>
        <v>0.5</v>
      </c>
      <c r="N7645" s="2">
        <v>9900.0</v>
      </c>
      <c r="O7645" s="4">
        <f t="shared" si="6"/>
        <v>4950</v>
      </c>
      <c r="P7645" s="2">
        <v>0.0</v>
      </c>
      <c r="Q7645" s="3">
        <f t="shared" si="7"/>
        <v>0</v>
      </c>
      <c r="R7645" s="2">
        <v>3.0</v>
      </c>
      <c r="S7645" s="5">
        <f t="shared" si="8"/>
        <v>1</v>
      </c>
    </row>
    <row r="7646">
      <c r="A7646" s="2" t="s">
        <v>7641</v>
      </c>
      <c r="B7646" s="2">
        <v>163.0</v>
      </c>
      <c r="C7646" s="2">
        <v>1956.0</v>
      </c>
      <c r="D7646" s="2">
        <v>459.0</v>
      </c>
      <c r="E7646" s="3">
        <f t="shared" si="1"/>
        <v>0.2559955382</v>
      </c>
      <c r="F7646" s="2">
        <v>168.0</v>
      </c>
      <c r="G7646" s="3">
        <f t="shared" si="2"/>
        <v>0.09369771333</v>
      </c>
      <c r="H7646" s="2">
        <v>303.0</v>
      </c>
      <c r="I7646" s="3">
        <f t="shared" si="3"/>
        <v>0.1689905187</v>
      </c>
      <c r="J7646" s="2">
        <v>255.0</v>
      </c>
      <c r="K7646" s="3">
        <f t="shared" si="4"/>
        <v>0.1422197434</v>
      </c>
      <c r="L7646" s="2">
        <v>178.0</v>
      </c>
      <c r="M7646" s="3">
        <f t="shared" si="5"/>
        <v>0.5874587459</v>
      </c>
      <c r="N7646" s="2">
        <v>1575000.0</v>
      </c>
      <c r="O7646" s="4">
        <f t="shared" si="6"/>
        <v>5198.019802</v>
      </c>
      <c r="P7646" s="2">
        <v>0.0</v>
      </c>
      <c r="Q7646" s="3">
        <f t="shared" si="7"/>
        <v>0</v>
      </c>
      <c r="R7646" s="2">
        <v>151.0</v>
      </c>
      <c r="S7646" s="5">
        <f t="shared" si="8"/>
        <v>0.9263803681</v>
      </c>
    </row>
    <row r="7647">
      <c r="A7647" s="2" t="s">
        <v>7642</v>
      </c>
      <c r="B7647" s="2">
        <v>208.0</v>
      </c>
      <c r="C7647" s="2">
        <v>2396.0</v>
      </c>
      <c r="D7647" s="2">
        <v>348.0</v>
      </c>
      <c r="E7647" s="3">
        <f t="shared" si="1"/>
        <v>0.1590493601</v>
      </c>
      <c r="F7647" s="2">
        <v>205.0</v>
      </c>
      <c r="G7647" s="3">
        <f t="shared" si="2"/>
        <v>0.0936928702</v>
      </c>
      <c r="H7647" s="2">
        <v>377.0</v>
      </c>
      <c r="I7647" s="3">
        <f t="shared" si="3"/>
        <v>0.1723034735</v>
      </c>
      <c r="J7647" s="2">
        <v>335.0</v>
      </c>
      <c r="K7647" s="3">
        <f t="shared" si="4"/>
        <v>0.1531078611</v>
      </c>
      <c r="L7647" s="2">
        <v>230.0</v>
      </c>
      <c r="M7647" s="3">
        <f t="shared" si="5"/>
        <v>0.6100795756</v>
      </c>
      <c r="N7647" s="2">
        <v>2522600.0</v>
      </c>
      <c r="O7647" s="4">
        <f t="shared" si="6"/>
        <v>6691.246684</v>
      </c>
      <c r="P7647" s="2">
        <v>1.0</v>
      </c>
      <c r="Q7647" s="3">
        <f t="shared" si="7"/>
        <v>0.004807692308</v>
      </c>
      <c r="R7647" s="2">
        <v>160.0</v>
      </c>
      <c r="S7647" s="5">
        <f t="shared" si="8"/>
        <v>0.7692307692</v>
      </c>
    </row>
    <row r="7648">
      <c r="A7648" s="2" t="s">
        <v>7643</v>
      </c>
      <c r="B7648" s="2">
        <v>57.0</v>
      </c>
      <c r="C7648" s="2">
        <v>656.0</v>
      </c>
      <c r="D7648" s="2">
        <v>189.0</v>
      </c>
      <c r="E7648" s="3">
        <f t="shared" si="1"/>
        <v>0.3155258765</v>
      </c>
      <c r="F7648" s="2">
        <v>56.0</v>
      </c>
      <c r="G7648" s="3">
        <f t="shared" si="2"/>
        <v>0.09348914858</v>
      </c>
      <c r="H7648" s="2">
        <v>123.0</v>
      </c>
      <c r="I7648" s="3">
        <f t="shared" si="3"/>
        <v>0.2053422371</v>
      </c>
      <c r="J7648" s="2">
        <v>85.0</v>
      </c>
      <c r="K7648" s="3">
        <f t="shared" si="4"/>
        <v>0.141903172</v>
      </c>
      <c r="L7648" s="2">
        <v>70.0</v>
      </c>
      <c r="M7648" s="3">
        <f t="shared" si="5"/>
        <v>0.5691056911</v>
      </c>
      <c r="N7648" s="2">
        <v>674900.0</v>
      </c>
      <c r="O7648" s="4">
        <f t="shared" si="6"/>
        <v>5486.99187</v>
      </c>
      <c r="P7648" s="2">
        <v>0.0</v>
      </c>
      <c r="Q7648" s="3">
        <f t="shared" si="7"/>
        <v>0</v>
      </c>
      <c r="R7648" s="2">
        <v>0.0</v>
      </c>
      <c r="S7648" s="5">
        <f t="shared" si="8"/>
        <v>0</v>
      </c>
    </row>
    <row r="7649">
      <c r="A7649" s="2" t="s">
        <v>7644</v>
      </c>
      <c r="B7649" s="2">
        <v>39.0</v>
      </c>
      <c r="C7649" s="2">
        <v>467.0</v>
      </c>
      <c r="D7649" s="2">
        <v>150.0</v>
      </c>
      <c r="E7649" s="3">
        <f t="shared" si="1"/>
        <v>0.3504672897</v>
      </c>
      <c r="F7649" s="2">
        <v>40.0</v>
      </c>
      <c r="G7649" s="3">
        <f t="shared" si="2"/>
        <v>0.09345794393</v>
      </c>
      <c r="H7649" s="2">
        <v>80.0</v>
      </c>
      <c r="I7649" s="3">
        <f t="shared" si="3"/>
        <v>0.1869158879</v>
      </c>
      <c r="J7649" s="2">
        <v>54.0</v>
      </c>
      <c r="K7649" s="3">
        <f t="shared" si="4"/>
        <v>0.1261682243</v>
      </c>
      <c r="L7649" s="2">
        <v>39.0</v>
      </c>
      <c r="M7649" s="3">
        <f t="shared" si="5"/>
        <v>0.4875</v>
      </c>
      <c r="N7649" s="2">
        <v>442800.0</v>
      </c>
      <c r="O7649" s="4">
        <f t="shared" si="6"/>
        <v>5535</v>
      </c>
      <c r="P7649" s="2">
        <v>0.0</v>
      </c>
      <c r="Q7649" s="3">
        <f t="shared" si="7"/>
        <v>0</v>
      </c>
      <c r="R7649" s="2">
        <v>39.0</v>
      </c>
      <c r="S7649" s="5">
        <f t="shared" si="8"/>
        <v>1</v>
      </c>
    </row>
    <row r="7650">
      <c r="A7650" s="2" t="s">
        <v>7645</v>
      </c>
      <c r="B7650" s="2">
        <v>57.0</v>
      </c>
      <c r="C7650" s="2">
        <v>667.0</v>
      </c>
      <c r="D7650" s="2">
        <v>146.0</v>
      </c>
      <c r="E7650" s="3">
        <f t="shared" si="1"/>
        <v>0.2393442623</v>
      </c>
      <c r="F7650" s="2">
        <v>57.0</v>
      </c>
      <c r="G7650" s="3">
        <f t="shared" si="2"/>
        <v>0.09344262295</v>
      </c>
      <c r="H7650" s="2">
        <v>109.0</v>
      </c>
      <c r="I7650" s="3">
        <f t="shared" si="3"/>
        <v>0.1786885246</v>
      </c>
      <c r="J7650" s="2">
        <v>86.0</v>
      </c>
      <c r="K7650" s="3">
        <f t="shared" si="4"/>
        <v>0.1409836066</v>
      </c>
      <c r="L7650" s="2">
        <v>60.0</v>
      </c>
      <c r="M7650" s="3">
        <f t="shared" si="5"/>
        <v>0.5504587156</v>
      </c>
      <c r="N7650" s="2">
        <v>610300.0</v>
      </c>
      <c r="O7650" s="4">
        <f t="shared" si="6"/>
        <v>5599.082569</v>
      </c>
      <c r="P7650" s="2">
        <v>0.0</v>
      </c>
      <c r="Q7650" s="3">
        <f t="shared" si="7"/>
        <v>0</v>
      </c>
      <c r="R7650" s="2">
        <v>0.0</v>
      </c>
      <c r="S7650" s="5">
        <f t="shared" si="8"/>
        <v>0</v>
      </c>
    </row>
    <row r="7651">
      <c r="A7651" s="2" t="s">
        <v>7646</v>
      </c>
      <c r="B7651" s="2">
        <v>6.0</v>
      </c>
      <c r="C7651" s="2">
        <v>81.0</v>
      </c>
      <c r="D7651" s="2">
        <v>27.0</v>
      </c>
      <c r="E7651" s="3">
        <f t="shared" si="1"/>
        <v>0.36</v>
      </c>
      <c r="F7651" s="2">
        <v>7.0</v>
      </c>
      <c r="G7651" s="3">
        <f t="shared" si="2"/>
        <v>0.09333333333</v>
      </c>
      <c r="H7651" s="2">
        <v>9.0</v>
      </c>
      <c r="I7651" s="3">
        <f t="shared" si="3"/>
        <v>0.12</v>
      </c>
      <c r="J7651" s="2">
        <v>8.0</v>
      </c>
      <c r="K7651" s="3">
        <f t="shared" si="4"/>
        <v>0.1066666667</v>
      </c>
      <c r="L7651" s="2">
        <v>7.0</v>
      </c>
      <c r="M7651" s="3">
        <f t="shared" si="5"/>
        <v>0.7777777778</v>
      </c>
      <c r="N7651" s="2">
        <v>35200.0</v>
      </c>
      <c r="O7651" s="4">
        <f t="shared" si="6"/>
        <v>3911.111111</v>
      </c>
      <c r="P7651" s="2">
        <v>0.0</v>
      </c>
      <c r="Q7651" s="3">
        <f t="shared" si="7"/>
        <v>0</v>
      </c>
      <c r="R7651" s="2">
        <v>0.0</v>
      </c>
      <c r="S7651" s="5">
        <f t="shared" si="8"/>
        <v>0</v>
      </c>
    </row>
    <row r="7652">
      <c r="A7652" s="2" t="s">
        <v>7647</v>
      </c>
      <c r="B7652" s="2">
        <v>24.0</v>
      </c>
      <c r="C7652" s="2">
        <v>282.0</v>
      </c>
      <c r="D7652" s="2">
        <v>67.0</v>
      </c>
      <c r="E7652" s="3">
        <f t="shared" si="1"/>
        <v>0.2596899225</v>
      </c>
      <c r="F7652" s="2">
        <v>24.0</v>
      </c>
      <c r="G7652" s="3">
        <f t="shared" si="2"/>
        <v>0.09302325581</v>
      </c>
      <c r="H7652" s="2">
        <v>54.0</v>
      </c>
      <c r="I7652" s="3">
        <f t="shared" si="3"/>
        <v>0.2093023256</v>
      </c>
      <c r="J7652" s="2">
        <v>47.0</v>
      </c>
      <c r="K7652" s="3">
        <f t="shared" si="4"/>
        <v>0.1821705426</v>
      </c>
      <c r="L7652" s="2">
        <v>34.0</v>
      </c>
      <c r="M7652" s="3">
        <f t="shared" si="5"/>
        <v>0.6296296296</v>
      </c>
      <c r="N7652" s="2">
        <v>328200.0</v>
      </c>
      <c r="O7652" s="4">
        <f t="shared" si="6"/>
        <v>6077.777778</v>
      </c>
      <c r="P7652" s="2">
        <v>0.0</v>
      </c>
      <c r="Q7652" s="3">
        <f t="shared" si="7"/>
        <v>0</v>
      </c>
      <c r="R7652" s="2">
        <v>24.0</v>
      </c>
      <c r="S7652" s="5">
        <f t="shared" si="8"/>
        <v>1</v>
      </c>
    </row>
    <row r="7653">
      <c r="A7653" s="2" t="s">
        <v>7648</v>
      </c>
      <c r="B7653" s="2">
        <v>16.0</v>
      </c>
      <c r="C7653" s="2">
        <v>188.0</v>
      </c>
      <c r="D7653" s="2">
        <v>50.0</v>
      </c>
      <c r="E7653" s="3">
        <f t="shared" si="1"/>
        <v>0.2906976744</v>
      </c>
      <c r="F7653" s="2">
        <v>16.0</v>
      </c>
      <c r="G7653" s="3">
        <f t="shared" si="2"/>
        <v>0.09302325581</v>
      </c>
      <c r="H7653" s="2">
        <v>44.0</v>
      </c>
      <c r="I7653" s="3">
        <f t="shared" si="3"/>
        <v>0.2558139535</v>
      </c>
      <c r="J7653" s="2">
        <v>27.0</v>
      </c>
      <c r="K7653" s="3">
        <f t="shared" si="4"/>
        <v>0.1569767442</v>
      </c>
      <c r="L7653" s="2">
        <v>26.0</v>
      </c>
      <c r="M7653" s="3">
        <f t="shared" si="5"/>
        <v>0.5909090909</v>
      </c>
      <c r="N7653" s="2">
        <v>288600.0</v>
      </c>
      <c r="O7653" s="4">
        <f t="shared" si="6"/>
        <v>6559.090909</v>
      </c>
      <c r="P7653" s="2">
        <v>0.0</v>
      </c>
      <c r="Q7653" s="3">
        <f t="shared" si="7"/>
        <v>0</v>
      </c>
      <c r="R7653" s="2">
        <v>16.0</v>
      </c>
      <c r="S7653" s="5">
        <f t="shared" si="8"/>
        <v>1</v>
      </c>
    </row>
    <row r="7654">
      <c r="A7654" s="2" t="s">
        <v>7649</v>
      </c>
      <c r="B7654" s="2">
        <v>169.0</v>
      </c>
      <c r="C7654" s="2">
        <v>1986.0</v>
      </c>
      <c r="D7654" s="2">
        <v>598.0</v>
      </c>
      <c r="E7654" s="3">
        <f t="shared" si="1"/>
        <v>0.3291139241</v>
      </c>
      <c r="F7654" s="2">
        <v>168.0</v>
      </c>
      <c r="G7654" s="3">
        <f t="shared" si="2"/>
        <v>0.09246009906</v>
      </c>
      <c r="H7654" s="2">
        <v>349.0</v>
      </c>
      <c r="I7654" s="3">
        <f t="shared" si="3"/>
        <v>0.1920748487</v>
      </c>
      <c r="J7654" s="2">
        <v>276.0</v>
      </c>
      <c r="K7654" s="3">
        <f t="shared" si="4"/>
        <v>0.1518987342</v>
      </c>
      <c r="L7654" s="2">
        <v>225.0</v>
      </c>
      <c r="M7654" s="3">
        <f t="shared" si="5"/>
        <v>0.6446991404</v>
      </c>
      <c r="N7654" s="2">
        <v>1965600.0</v>
      </c>
      <c r="O7654" s="4">
        <f t="shared" si="6"/>
        <v>5632.091691</v>
      </c>
      <c r="P7654" s="2">
        <v>0.0</v>
      </c>
      <c r="Q7654" s="3">
        <f t="shared" si="7"/>
        <v>0</v>
      </c>
      <c r="R7654" s="2">
        <v>169.0</v>
      </c>
      <c r="S7654" s="5">
        <f t="shared" si="8"/>
        <v>1</v>
      </c>
    </row>
    <row r="7655">
      <c r="A7655" s="2" t="s">
        <v>7650</v>
      </c>
      <c r="B7655" s="2">
        <v>6.0</v>
      </c>
      <c r="C7655" s="2">
        <v>71.0</v>
      </c>
      <c r="D7655" s="2">
        <v>18.0</v>
      </c>
      <c r="E7655" s="3">
        <f t="shared" si="1"/>
        <v>0.2769230769</v>
      </c>
      <c r="F7655" s="2">
        <v>6.0</v>
      </c>
      <c r="G7655" s="3">
        <f t="shared" si="2"/>
        <v>0.09230769231</v>
      </c>
      <c r="H7655" s="2">
        <v>13.0</v>
      </c>
      <c r="I7655" s="3">
        <f t="shared" si="3"/>
        <v>0.2</v>
      </c>
      <c r="J7655" s="2">
        <v>13.0</v>
      </c>
      <c r="K7655" s="3">
        <f t="shared" si="4"/>
        <v>0.2</v>
      </c>
      <c r="L7655" s="2">
        <v>7.0</v>
      </c>
      <c r="M7655" s="3">
        <f t="shared" si="5"/>
        <v>0.5384615385</v>
      </c>
      <c r="N7655" s="2">
        <v>106900.0</v>
      </c>
      <c r="O7655" s="4">
        <f t="shared" si="6"/>
        <v>8223.076923</v>
      </c>
      <c r="P7655" s="2">
        <v>0.0</v>
      </c>
      <c r="Q7655" s="3">
        <f t="shared" si="7"/>
        <v>0</v>
      </c>
      <c r="R7655" s="2">
        <v>6.0</v>
      </c>
      <c r="S7655" s="5">
        <f t="shared" si="8"/>
        <v>1</v>
      </c>
    </row>
    <row r="7656">
      <c r="A7656" s="2" t="s">
        <v>7651</v>
      </c>
      <c r="B7656" s="2">
        <v>6.0</v>
      </c>
      <c r="C7656" s="2">
        <v>71.0</v>
      </c>
      <c r="D7656" s="2">
        <v>19.0</v>
      </c>
      <c r="E7656" s="3">
        <f t="shared" si="1"/>
        <v>0.2923076923</v>
      </c>
      <c r="F7656" s="2">
        <v>6.0</v>
      </c>
      <c r="G7656" s="3">
        <f t="shared" si="2"/>
        <v>0.09230769231</v>
      </c>
      <c r="H7656" s="2">
        <v>16.0</v>
      </c>
      <c r="I7656" s="3">
        <f t="shared" si="3"/>
        <v>0.2461538462</v>
      </c>
      <c r="J7656" s="2">
        <v>12.0</v>
      </c>
      <c r="K7656" s="3">
        <f t="shared" si="4"/>
        <v>0.1846153846</v>
      </c>
      <c r="L7656" s="2">
        <v>10.0</v>
      </c>
      <c r="M7656" s="3">
        <f t="shared" si="5"/>
        <v>0.625</v>
      </c>
      <c r="N7656" s="2">
        <v>86700.0</v>
      </c>
      <c r="O7656" s="4">
        <f t="shared" si="6"/>
        <v>5418.75</v>
      </c>
      <c r="P7656" s="2">
        <v>0.0</v>
      </c>
      <c r="Q7656" s="3">
        <f t="shared" si="7"/>
        <v>0</v>
      </c>
      <c r="R7656" s="2">
        <v>3.0</v>
      </c>
      <c r="S7656" s="5">
        <f t="shared" si="8"/>
        <v>0.5</v>
      </c>
    </row>
    <row r="7657">
      <c r="A7657" s="2" t="s">
        <v>7652</v>
      </c>
      <c r="B7657" s="2">
        <v>5.0</v>
      </c>
      <c r="C7657" s="2">
        <v>70.0</v>
      </c>
      <c r="D7657" s="2">
        <v>25.0</v>
      </c>
      <c r="E7657" s="3">
        <f t="shared" si="1"/>
        <v>0.3846153846</v>
      </c>
      <c r="F7657" s="2">
        <v>6.0</v>
      </c>
      <c r="G7657" s="3">
        <f t="shared" si="2"/>
        <v>0.09230769231</v>
      </c>
      <c r="H7657" s="2">
        <v>14.0</v>
      </c>
      <c r="I7657" s="3">
        <f t="shared" si="3"/>
        <v>0.2153846154</v>
      </c>
      <c r="J7657" s="2">
        <v>11.0</v>
      </c>
      <c r="K7657" s="3">
        <f t="shared" si="4"/>
        <v>0.1692307692</v>
      </c>
      <c r="L7657" s="2">
        <v>7.0</v>
      </c>
      <c r="M7657" s="3">
        <f t="shared" si="5"/>
        <v>0.5</v>
      </c>
      <c r="N7657" s="2">
        <v>82000.0</v>
      </c>
      <c r="O7657" s="4">
        <f t="shared" si="6"/>
        <v>5857.142857</v>
      </c>
      <c r="P7657" s="2">
        <v>0.0</v>
      </c>
      <c r="Q7657" s="3">
        <f t="shared" si="7"/>
        <v>0</v>
      </c>
      <c r="R7657" s="2">
        <v>5.0</v>
      </c>
      <c r="S7657" s="5">
        <f t="shared" si="8"/>
        <v>1</v>
      </c>
    </row>
    <row r="7658">
      <c r="A7658" s="2" t="s">
        <v>7653</v>
      </c>
      <c r="B7658" s="2">
        <v>86.0</v>
      </c>
      <c r="C7658" s="2">
        <v>1030.0</v>
      </c>
      <c r="D7658" s="2">
        <v>332.0</v>
      </c>
      <c r="E7658" s="3">
        <f t="shared" si="1"/>
        <v>0.3516949153</v>
      </c>
      <c r="F7658" s="2">
        <v>87.0</v>
      </c>
      <c r="G7658" s="3">
        <f t="shared" si="2"/>
        <v>0.09216101695</v>
      </c>
      <c r="H7658" s="2">
        <v>205.0</v>
      </c>
      <c r="I7658" s="3">
        <f t="shared" si="3"/>
        <v>0.2171610169</v>
      </c>
      <c r="J7658" s="2">
        <v>170.0</v>
      </c>
      <c r="K7658" s="3">
        <f t="shared" si="4"/>
        <v>0.1800847458</v>
      </c>
      <c r="L7658" s="2">
        <v>127.0</v>
      </c>
      <c r="M7658" s="3">
        <f t="shared" si="5"/>
        <v>0.6195121951</v>
      </c>
      <c r="N7658" s="2">
        <v>1152200.0</v>
      </c>
      <c r="O7658" s="4">
        <f t="shared" si="6"/>
        <v>5620.487805</v>
      </c>
      <c r="P7658" s="2">
        <v>0.0</v>
      </c>
      <c r="Q7658" s="3">
        <f t="shared" si="7"/>
        <v>0</v>
      </c>
      <c r="R7658" s="2">
        <v>86.0</v>
      </c>
      <c r="S7658" s="5">
        <f t="shared" si="8"/>
        <v>1</v>
      </c>
    </row>
    <row r="7659">
      <c r="A7659" s="2" t="s">
        <v>7654</v>
      </c>
      <c r="B7659" s="2">
        <v>34.0</v>
      </c>
      <c r="C7659" s="2">
        <v>404.0</v>
      </c>
      <c r="D7659" s="2">
        <v>163.0</v>
      </c>
      <c r="E7659" s="3">
        <f t="shared" si="1"/>
        <v>0.4405405405</v>
      </c>
      <c r="F7659" s="2">
        <v>34.0</v>
      </c>
      <c r="G7659" s="3">
        <f t="shared" si="2"/>
        <v>0.09189189189</v>
      </c>
      <c r="H7659" s="2">
        <v>67.0</v>
      </c>
      <c r="I7659" s="3">
        <f t="shared" si="3"/>
        <v>0.1810810811</v>
      </c>
      <c r="J7659" s="2">
        <v>35.0</v>
      </c>
      <c r="K7659" s="3">
        <f t="shared" si="4"/>
        <v>0.09459459459</v>
      </c>
      <c r="L7659" s="2">
        <v>39.0</v>
      </c>
      <c r="M7659" s="3">
        <f t="shared" si="5"/>
        <v>0.5820895522</v>
      </c>
      <c r="N7659" s="2">
        <v>380800.0</v>
      </c>
      <c r="O7659" s="4">
        <f t="shared" si="6"/>
        <v>5683.58209</v>
      </c>
      <c r="P7659" s="2">
        <v>0.0</v>
      </c>
      <c r="Q7659" s="3">
        <f t="shared" si="7"/>
        <v>0</v>
      </c>
      <c r="R7659" s="2">
        <v>34.0</v>
      </c>
      <c r="S7659" s="5">
        <f t="shared" si="8"/>
        <v>1</v>
      </c>
    </row>
    <row r="7660">
      <c r="A7660" s="2" t="s">
        <v>7655</v>
      </c>
      <c r="B7660" s="2">
        <v>569.0</v>
      </c>
      <c r="C7660" s="2">
        <v>6785.0</v>
      </c>
      <c r="D7660" s="2">
        <v>1473.0</v>
      </c>
      <c r="E7660" s="3">
        <f t="shared" si="1"/>
        <v>0.236969112</v>
      </c>
      <c r="F7660" s="2">
        <v>571.0</v>
      </c>
      <c r="G7660" s="3">
        <f t="shared" si="2"/>
        <v>0.09185971686</v>
      </c>
      <c r="H7660" s="2">
        <v>1042.0</v>
      </c>
      <c r="I7660" s="3">
        <f t="shared" si="3"/>
        <v>0.1676319176</v>
      </c>
      <c r="J7660" s="2">
        <v>1036.0</v>
      </c>
      <c r="K7660" s="3">
        <f t="shared" si="4"/>
        <v>0.1666666667</v>
      </c>
      <c r="L7660" s="2">
        <v>583.0</v>
      </c>
      <c r="M7660" s="3">
        <f t="shared" si="5"/>
        <v>0.5595009597</v>
      </c>
      <c r="N7660" s="2">
        <v>6726900.0</v>
      </c>
      <c r="O7660" s="4">
        <f t="shared" si="6"/>
        <v>6455.758157</v>
      </c>
      <c r="P7660" s="2">
        <v>1.0</v>
      </c>
      <c r="Q7660" s="3">
        <f t="shared" si="7"/>
        <v>0.001757469244</v>
      </c>
      <c r="R7660" s="2">
        <v>569.0</v>
      </c>
      <c r="S7660" s="5">
        <f t="shared" si="8"/>
        <v>1</v>
      </c>
    </row>
    <row r="7661">
      <c r="A7661" s="2" t="s">
        <v>7656</v>
      </c>
      <c r="B7661" s="2">
        <v>10.0</v>
      </c>
      <c r="C7661" s="2">
        <v>130.0</v>
      </c>
      <c r="D7661" s="2">
        <v>54.0</v>
      </c>
      <c r="E7661" s="3">
        <f t="shared" si="1"/>
        <v>0.45</v>
      </c>
      <c r="F7661" s="2">
        <v>11.0</v>
      </c>
      <c r="G7661" s="3">
        <f t="shared" si="2"/>
        <v>0.09166666667</v>
      </c>
      <c r="H7661" s="2">
        <v>23.0</v>
      </c>
      <c r="I7661" s="3">
        <f t="shared" si="3"/>
        <v>0.1916666667</v>
      </c>
      <c r="J7661" s="2">
        <v>18.0</v>
      </c>
      <c r="K7661" s="3">
        <f t="shared" si="4"/>
        <v>0.15</v>
      </c>
      <c r="L7661" s="2">
        <v>8.0</v>
      </c>
      <c r="M7661" s="3">
        <f t="shared" si="5"/>
        <v>0.347826087</v>
      </c>
      <c r="N7661" s="2">
        <v>112500.0</v>
      </c>
      <c r="O7661" s="4">
        <f t="shared" si="6"/>
        <v>4891.304348</v>
      </c>
      <c r="P7661" s="2">
        <v>0.0</v>
      </c>
      <c r="Q7661" s="3">
        <f t="shared" si="7"/>
        <v>0</v>
      </c>
      <c r="R7661" s="2">
        <v>10.0</v>
      </c>
      <c r="S7661" s="5">
        <f t="shared" si="8"/>
        <v>1</v>
      </c>
    </row>
    <row r="7662">
      <c r="A7662" s="2" t="s">
        <v>7657</v>
      </c>
      <c r="B7662" s="2">
        <v>10.0</v>
      </c>
      <c r="C7662" s="2">
        <v>130.0</v>
      </c>
      <c r="D7662" s="2">
        <v>39.0</v>
      </c>
      <c r="E7662" s="3">
        <f t="shared" si="1"/>
        <v>0.325</v>
      </c>
      <c r="F7662" s="2">
        <v>11.0</v>
      </c>
      <c r="G7662" s="3">
        <f t="shared" si="2"/>
        <v>0.09166666667</v>
      </c>
      <c r="H7662" s="2">
        <v>23.0</v>
      </c>
      <c r="I7662" s="3">
        <f t="shared" si="3"/>
        <v>0.1916666667</v>
      </c>
      <c r="J7662" s="2">
        <v>16.0</v>
      </c>
      <c r="K7662" s="3">
        <f t="shared" si="4"/>
        <v>0.1333333333</v>
      </c>
      <c r="L7662" s="2">
        <v>17.0</v>
      </c>
      <c r="M7662" s="3">
        <f t="shared" si="5"/>
        <v>0.7391304348</v>
      </c>
      <c r="N7662" s="2">
        <v>150300.0</v>
      </c>
      <c r="O7662" s="4">
        <f t="shared" si="6"/>
        <v>6534.782609</v>
      </c>
      <c r="P7662" s="2">
        <v>0.0</v>
      </c>
      <c r="Q7662" s="3">
        <f t="shared" si="7"/>
        <v>0</v>
      </c>
      <c r="R7662" s="2">
        <v>10.0</v>
      </c>
      <c r="S7662" s="5">
        <f t="shared" si="8"/>
        <v>1</v>
      </c>
    </row>
    <row r="7663">
      <c r="A7663" s="2" t="s">
        <v>7658</v>
      </c>
      <c r="B7663" s="2">
        <v>1273.0</v>
      </c>
      <c r="C7663" s="2">
        <v>14912.0</v>
      </c>
      <c r="D7663" s="2">
        <v>4181.0</v>
      </c>
      <c r="E7663" s="3">
        <f t="shared" si="1"/>
        <v>0.3065474008</v>
      </c>
      <c r="F7663" s="2">
        <v>1244.0</v>
      </c>
      <c r="G7663" s="3">
        <f t="shared" si="2"/>
        <v>0.09120903292</v>
      </c>
      <c r="H7663" s="2">
        <v>2664.0</v>
      </c>
      <c r="I7663" s="3">
        <f t="shared" si="3"/>
        <v>0.1953222377</v>
      </c>
      <c r="J7663" s="2">
        <v>2238.0</v>
      </c>
      <c r="K7663" s="3">
        <f t="shared" si="4"/>
        <v>0.1640882763</v>
      </c>
      <c r="L7663" s="2">
        <v>1562.0</v>
      </c>
      <c r="M7663" s="3">
        <f t="shared" si="5"/>
        <v>0.5863363363</v>
      </c>
      <c r="N7663" s="2">
        <v>1.51204E7</v>
      </c>
      <c r="O7663" s="4">
        <f t="shared" si="6"/>
        <v>5675.825826</v>
      </c>
      <c r="P7663" s="2">
        <v>2.0</v>
      </c>
      <c r="Q7663" s="3">
        <f t="shared" si="7"/>
        <v>0.001571091909</v>
      </c>
      <c r="R7663" s="2">
        <v>1273.0</v>
      </c>
      <c r="S7663" s="5">
        <f t="shared" si="8"/>
        <v>1</v>
      </c>
    </row>
    <row r="7664">
      <c r="A7664" s="2" t="s">
        <v>7659</v>
      </c>
      <c r="B7664" s="2">
        <v>1.0</v>
      </c>
      <c r="C7664" s="2">
        <v>12.0</v>
      </c>
      <c r="D7664" s="2">
        <v>3.0</v>
      </c>
      <c r="E7664" s="3">
        <f t="shared" si="1"/>
        <v>0.2727272727</v>
      </c>
      <c r="F7664" s="2">
        <v>1.0</v>
      </c>
      <c r="G7664" s="3">
        <f t="shared" si="2"/>
        <v>0.09090909091</v>
      </c>
      <c r="H7664" s="2">
        <v>3.0</v>
      </c>
      <c r="I7664" s="3">
        <f t="shared" si="3"/>
        <v>0.2727272727</v>
      </c>
      <c r="J7664" s="2">
        <v>3.0</v>
      </c>
      <c r="K7664" s="3">
        <f t="shared" si="4"/>
        <v>0.2727272727</v>
      </c>
      <c r="L7664" s="2">
        <v>0.0</v>
      </c>
      <c r="M7664" s="3">
        <f t="shared" si="5"/>
        <v>0</v>
      </c>
      <c r="N7664" s="2">
        <v>17700.0</v>
      </c>
      <c r="O7664" s="4">
        <f t="shared" si="6"/>
        <v>5900</v>
      </c>
      <c r="P7664" s="2">
        <v>0.0</v>
      </c>
      <c r="Q7664" s="3">
        <f t="shared" si="7"/>
        <v>0</v>
      </c>
      <c r="R7664" s="2">
        <v>1.0</v>
      </c>
      <c r="S7664" s="5">
        <f t="shared" si="8"/>
        <v>1</v>
      </c>
    </row>
    <row r="7665">
      <c r="A7665" s="2" t="s">
        <v>7660</v>
      </c>
      <c r="B7665" s="2">
        <v>6.0</v>
      </c>
      <c r="C7665" s="2">
        <v>72.0</v>
      </c>
      <c r="D7665" s="2">
        <v>17.0</v>
      </c>
      <c r="E7665" s="3">
        <f t="shared" si="1"/>
        <v>0.2575757576</v>
      </c>
      <c r="F7665" s="2">
        <v>6.0</v>
      </c>
      <c r="G7665" s="3">
        <f t="shared" si="2"/>
        <v>0.09090909091</v>
      </c>
      <c r="H7665" s="2">
        <v>8.0</v>
      </c>
      <c r="I7665" s="3">
        <f t="shared" si="3"/>
        <v>0.1212121212</v>
      </c>
      <c r="J7665" s="2">
        <v>12.0</v>
      </c>
      <c r="K7665" s="3">
        <f t="shared" si="4"/>
        <v>0.1818181818</v>
      </c>
      <c r="L7665" s="2">
        <v>4.0</v>
      </c>
      <c r="M7665" s="3">
        <f t="shared" si="5"/>
        <v>0.5</v>
      </c>
      <c r="N7665" s="2">
        <v>33000.0</v>
      </c>
      <c r="O7665" s="4">
        <f t="shared" si="6"/>
        <v>4125</v>
      </c>
      <c r="P7665" s="2">
        <v>0.0</v>
      </c>
      <c r="Q7665" s="3">
        <f t="shared" si="7"/>
        <v>0</v>
      </c>
      <c r="R7665" s="2">
        <v>6.0</v>
      </c>
      <c r="S7665" s="5">
        <f t="shared" si="8"/>
        <v>1</v>
      </c>
    </row>
    <row r="7666">
      <c r="A7666" s="2" t="s">
        <v>7661</v>
      </c>
      <c r="B7666" s="2">
        <v>9.0</v>
      </c>
      <c r="C7666" s="2">
        <v>97.0</v>
      </c>
      <c r="D7666" s="2">
        <v>33.0</v>
      </c>
      <c r="E7666" s="3">
        <f t="shared" si="1"/>
        <v>0.375</v>
      </c>
      <c r="F7666" s="2">
        <v>8.0</v>
      </c>
      <c r="G7666" s="3">
        <f t="shared" si="2"/>
        <v>0.09090909091</v>
      </c>
      <c r="H7666" s="2">
        <v>22.0</v>
      </c>
      <c r="I7666" s="3">
        <f t="shared" si="3"/>
        <v>0.25</v>
      </c>
      <c r="J7666" s="2">
        <v>15.0</v>
      </c>
      <c r="K7666" s="3">
        <f t="shared" si="4"/>
        <v>0.1704545455</v>
      </c>
      <c r="L7666" s="2">
        <v>14.0</v>
      </c>
      <c r="M7666" s="3">
        <f t="shared" si="5"/>
        <v>0.6363636364</v>
      </c>
      <c r="N7666" s="2">
        <v>108200.0</v>
      </c>
      <c r="O7666" s="4">
        <f t="shared" si="6"/>
        <v>4918.181818</v>
      </c>
      <c r="P7666" s="2">
        <v>0.0</v>
      </c>
      <c r="Q7666" s="3">
        <f t="shared" si="7"/>
        <v>0</v>
      </c>
      <c r="R7666" s="2">
        <v>0.0</v>
      </c>
      <c r="S7666" s="5">
        <f t="shared" si="8"/>
        <v>0</v>
      </c>
    </row>
    <row r="7667">
      <c r="A7667" s="2" t="s">
        <v>7662</v>
      </c>
      <c r="B7667" s="2">
        <v>84.0</v>
      </c>
      <c r="C7667" s="2">
        <v>964.0</v>
      </c>
      <c r="D7667" s="2">
        <v>271.0</v>
      </c>
      <c r="E7667" s="3">
        <f t="shared" si="1"/>
        <v>0.3079545455</v>
      </c>
      <c r="F7667" s="2">
        <v>80.0</v>
      </c>
      <c r="G7667" s="3">
        <f t="shared" si="2"/>
        <v>0.09090909091</v>
      </c>
      <c r="H7667" s="2">
        <v>181.0</v>
      </c>
      <c r="I7667" s="3">
        <f t="shared" si="3"/>
        <v>0.2056818182</v>
      </c>
      <c r="J7667" s="2">
        <v>139.0</v>
      </c>
      <c r="K7667" s="3">
        <f t="shared" si="4"/>
        <v>0.1579545455</v>
      </c>
      <c r="L7667" s="2">
        <v>108.0</v>
      </c>
      <c r="M7667" s="3">
        <f t="shared" si="5"/>
        <v>0.5966850829</v>
      </c>
      <c r="N7667" s="2">
        <v>967000.0</v>
      </c>
      <c r="O7667" s="4">
        <f t="shared" si="6"/>
        <v>5342.541436</v>
      </c>
      <c r="P7667" s="2">
        <v>0.0</v>
      </c>
      <c r="Q7667" s="3">
        <f t="shared" si="7"/>
        <v>0</v>
      </c>
      <c r="R7667" s="2">
        <v>0.0</v>
      </c>
      <c r="S7667" s="5">
        <f t="shared" si="8"/>
        <v>0</v>
      </c>
    </row>
    <row r="7668">
      <c r="A7668" s="2" t="s">
        <v>7663</v>
      </c>
      <c r="B7668" s="2">
        <v>122.0</v>
      </c>
      <c r="C7668" s="2">
        <v>1420.0</v>
      </c>
      <c r="D7668" s="2">
        <v>410.0</v>
      </c>
      <c r="E7668" s="3">
        <f t="shared" si="1"/>
        <v>0.3158705701</v>
      </c>
      <c r="F7668" s="2">
        <v>118.0</v>
      </c>
      <c r="G7668" s="3">
        <f t="shared" si="2"/>
        <v>0.09090909091</v>
      </c>
      <c r="H7668" s="2">
        <v>260.0</v>
      </c>
      <c r="I7668" s="3">
        <f t="shared" si="3"/>
        <v>0.2003081664</v>
      </c>
      <c r="J7668" s="2">
        <v>177.0</v>
      </c>
      <c r="K7668" s="3">
        <f t="shared" si="4"/>
        <v>0.1363636364</v>
      </c>
      <c r="L7668" s="2">
        <v>164.0</v>
      </c>
      <c r="M7668" s="3">
        <f t="shared" si="5"/>
        <v>0.6307692308</v>
      </c>
      <c r="N7668" s="2">
        <v>1365000.0</v>
      </c>
      <c r="O7668" s="4">
        <f t="shared" si="6"/>
        <v>5250</v>
      </c>
      <c r="P7668" s="2">
        <v>0.0</v>
      </c>
      <c r="Q7668" s="3">
        <f t="shared" si="7"/>
        <v>0</v>
      </c>
      <c r="R7668" s="2">
        <v>122.0</v>
      </c>
      <c r="S7668" s="5">
        <f t="shared" si="8"/>
        <v>1</v>
      </c>
    </row>
    <row r="7669">
      <c r="A7669" s="2" t="s">
        <v>7664</v>
      </c>
      <c r="B7669" s="2">
        <v>21.0</v>
      </c>
      <c r="C7669" s="2">
        <v>252.0</v>
      </c>
      <c r="D7669" s="2">
        <v>79.0</v>
      </c>
      <c r="E7669" s="3">
        <f t="shared" si="1"/>
        <v>0.341991342</v>
      </c>
      <c r="F7669" s="2">
        <v>21.0</v>
      </c>
      <c r="G7669" s="3">
        <f t="shared" si="2"/>
        <v>0.09090909091</v>
      </c>
      <c r="H7669" s="2">
        <v>45.0</v>
      </c>
      <c r="I7669" s="3">
        <f t="shared" si="3"/>
        <v>0.1948051948</v>
      </c>
      <c r="J7669" s="2">
        <v>27.0</v>
      </c>
      <c r="K7669" s="3">
        <f t="shared" si="4"/>
        <v>0.1168831169</v>
      </c>
      <c r="L7669" s="2">
        <v>23.0</v>
      </c>
      <c r="M7669" s="3">
        <f t="shared" si="5"/>
        <v>0.5111111111</v>
      </c>
      <c r="N7669" s="2">
        <v>232300.0</v>
      </c>
      <c r="O7669" s="4">
        <f t="shared" si="6"/>
        <v>5162.222222</v>
      </c>
      <c r="P7669" s="2">
        <v>0.0</v>
      </c>
      <c r="Q7669" s="3">
        <f t="shared" si="7"/>
        <v>0</v>
      </c>
      <c r="R7669" s="2">
        <v>4.0</v>
      </c>
      <c r="S7669" s="5">
        <f t="shared" si="8"/>
        <v>0.1904761905</v>
      </c>
    </row>
    <row r="7670">
      <c r="A7670" s="2" t="s">
        <v>7665</v>
      </c>
      <c r="B7670" s="2">
        <v>1.0</v>
      </c>
      <c r="C7670" s="2">
        <v>12.0</v>
      </c>
      <c r="D7670" s="2">
        <v>5.0</v>
      </c>
      <c r="E7670" s="3">
        <f t="shared" si="1"/>
        <v>0.4545454545</v>
      </c>
      <c r="F7670" s="2">
        <v>1.0</v>
      </c>
      <c r="G7670" s="3">
        <f t="shared" si="2"/>
        <v>0.09090909091</v>
      </c>
      <c r="H7670" s="2">
        <v>2.0</v>
      </c>
      <c r="I7670" s="3">
        <f t="shared" si="3"/>
        <v>0.1818181818</v>
      </c>
      <c r="J7670" s="2">
        <v>1.0</v>
      </c>
      <c r="K7670" s="3">
        <f t="shared" si="4"/>
        <v>0.09090909091</v>
      </c>
      <c r="L7670" s="2">
        <v>1.0</v>
      </c>
      <c r="M7670" s="3">
        <f t="shared" si="5"/>
        <v>0.5</v>
      </c>
      <c r="N7670" s="2">
        <v>8900.0</v>
      </c>
      <c r="O7670" s="4">
        <f t="shared" si="6"/>
        <v>4450</v>
      </c>
      <c r="P7670" s="2">
        <v>0.0</v>
      </c>
      <c r="Q7670" s="3">
        <f t="shared" si="7"/>
        <v>0</v>
      </c>
      <c r="R7670" s="2">
        <v>1.0</v>
      </c>
      <c r="S7670" s="5">
        <f t="shared" si="8"/>
        <v>1</v>
      </c>
    </row>
    <row r="7671">
      <c r="A7671" s="2" t="s">
        <v>7666</v>
      </c>
      <c r="B7671" s="2">
        <v>1.0</v>
      </c>
      <c r="C7671" s="2">
        <v>12.0</v>
      </c>
      <c r="D7671" s="2">
        <v>1.0</v>
      </c>
      <c r="E7671" s="3">
        <f t="shared" si="1"/>
        <v>0.09090909091</v>
      </c>
      <c r="F7671" s="2">
        <v>1.0</v>
      </c>
      <c r="G7671" s="3">
        <f t="shared" si="2"/>
        <v>0.09090909091</v>
      </c>
      <c r="H7671" s="2">
        <v>0.0</v>
      </c>
      <c r="I7671" s="3">
        <f t="shared" si="3"/>
        <v>0</v>
      </c>
      <c r="J7671" s="2">
        <v>1.0</v>
      </c>
      <c r="K7671" s="3">
        <f t="shared" si="4"/>
        <v>0.09090909091</v>
      </c>
      <c r="L7671" s="2">
        <v>0.0</v>
      </c>
      <c r="M7671" s="3" t="str">
        <f t="shared" si="5"/>
        <v>#DIV/0!</v>
      </c>
      <c r="N7671" s="2">
        <v>0.0</v>
      </c>
      <c r="O7671" s="4" t="str">
        <f t="shared" si="6"/>
        <v>#DIV/0!</v>
      </c>
      <c r="P7671" s="2">
        <v>0.0</v>
      </c>
      <c r="Q7671" s="3">
        <f t="shared" si="7"/>
        <v>0</v>
      </c>
      <c r="R7671" s="2">
        <v>1.0</v>
      </c>
      <c r="S7671" s="5">
        <f t="shared" si="8"/>
        <v>1</v>
      </c>
    </row>
    <row r="7672">
      <c r="A7672" s="2" t="s">
        <v>7667</v>
      </c>
      <c r="B7672" s="2">
        <v>1.0</v>
      </c>
      <c r="C7672" s="2">
        <v>12.0</v>
      </c>
      <c r="D7672" s="2">
        <v>5.0</v>
      </c>
      <c r="E7672" s="3">
        <f t="shared" si="1"/>
        <v>0.4545454545</v>
      </c>
      <c r="F7672" s="2">
        <v>1.0</v>
      </c>
      <c r="G7672" s="3">
        <f t="shared" si="2"/>
        <v>0.09090909091</v>
      </c>
      <c r="H7672" s="2">
        <v>4.0</v>
      </c>
      <c r="I7672" s="3">
        <f t="shared" si="3"/>
        <v>0.3636363636</v>
      </c>
      <c r="J7672" s="2">
        <v>0.0</v>
      </c>
      <c r="K7672" s="3">
        <f t="shared" si="4"/>
        <v>0</v>
      </c>
      <c r="L7672" s="2">
        <v>2.0</v>
      </c>
      <c r="M7672" s="3">
        <f t="shared" si="5"/>
        <v>0.5</v>
      </c>
      <c r="N7672" s="2">
        <v>13000.0</v>
      </c>
      <c r="O7672" s="4">
        <f t="shared" si="6"/>
        <v>3250</v>
      </c>
      <c r="P7672" s="2">
        <v>0.0</v>
      </c>
      <c r="Q7672" s="3">
        <f t="shared" si="7"/>
        <v>0</v>
      </c>
      <c r="R7672" s="2">
        <v>1.0</v>
      </c>
      <c r="S7672" s="5">
        <f t="shared" si="8"/>
        <v>1</v>
      </c>
    </row>
    <row r="7673">
      <c r="A7673" s="2" t="s">
        <v>7668</v>
      </c>
      <c r="B7673" s="2">
        <v>1.0</v>
      </c>
      <c r="C7673" s="2">
        <v>12.0</v>
      </c>
      <c r="D7673" s="2">
        <v>6.0</v>
      </c>
      <c r="E7673" s="3">
        <f t="shared" si="1"/>
        <v>0.5454545455</v>
      </c>
      <c r="F7673" s="2">
        <v>1.0</v>
      </c>
      <c r="G7673" s="3">
        <f t="shared" si="2"/>
        <v>0.09090909091</v>
      </c>
      <c r="H7673" s="2">
        <v>2.0</v>
      </c>
      <c r="I7673" s="3">
        <f t="shared" si="3"/>
        <v>0.1818181818</v>
      </c>
      <c r="J7673" s="2">
        <v>0.0</v>
      </c>
      <c r="K7673" s="3">
        <f t="shared" si="4"/>
        <v>0</v>
      </c>
      <c r="L7673" s="2">
        <v>2.0</v>
      </c>
      <c r="M7673" s="3">
        <f t="shared" si="5"/>
        <v>1</v>
      </c>
      <c r="N7673" s="2">
        <v>6200.0</v>
      </c>
      <c r="O7673" s="4">
        <f t="shared" si="6"/>
        <v>3100</v>
      </c>
      <c r="P7673" s="2">
        <v>0.0</v>
      </c>
      <c r="Q7673" s="3">
        <f t="shared" si="7"/>
        <v>0</v>
      </c>
      <c r="R7673" s="2">
        <v>1.0</v>
      </c>
      <c r="S7673" s="5">
        <f t="shared" si="8"/>
        <v>1</v>
      </c>
    </row>
    <row r="7674">
      <c r="A7674" s="2" t="s">
        <v>7669</v>
      </c>
      <c r="B7674" s="2">
        <v>1.0</v>
      </c>
      <c r="C7674" s="2">
        <v>12.0</v>
      </c>
      <c r="D7674" s="2">
        <v>5.0</v>
      </c>
      <c r="E7674" s="3">
        <f t="shared" si="1"/>
        <v>0.4545454545</v>
      </c>
      <c r="F7674" s="2">
        <v>1.0</v>
      </c>
      <c r="G7674" s="3">
        <f t="shared" si="2"/>
        <v>0.09090909091</v>
      </c>
      <c r="H7674" s="2">
        <v>2.0</v>
      </c>
      <c r="I7674" s="3">
        <f t="shared" si="3"/>
        <v>0.1818181818</v>
      </c>
      <c r="J7674" s="2">
        <v>0.0</v>
      </c>
      <c r="K7674" s="3">
        <f t="shared" si="4"/>
        <v>0</v>
      </c>
      <c r="L7674" s="2">
        <v>1.0</v>
      </c>
      <c r="M7674" s="3">
        <f t="shared" si="5"/>
        <v>0.5</v>
      </c>
      <c r="N7674" s="2">
        <v>5000.0</v>
      </c>
      <c r="O7674" s="4">
        <f t="shared" si="6"/>
        <v>2500</v>
      </c>
      <c r="P7674" s="2">
        <v>0.0</v>
      </c>
      <c r="Q7674" s="3">
        <f t="shared" si="7"/>
        <v>0</v>
      </c>
      <c r="R7674" s="2">
        <v>1.0</v>
      </c>
      <c r="S7674" s="5">
        <f t="shared" si="8"/>
        <v>1</v>
      </c>
    </row>
    <row r="7675">
      <c r="A7675" s="2" t="s">
        <v>7670</v>
      </c>
      <c r="B7675" s="2">
        <v>1.0</v>
      </c>
      <c r="C7675" s="2">
        <v>12.0</v>
      </c>
      <c r="D7675" s="2">
        <v>3.0</v>
      </c>
      <c r="E7675" s="3">
        <f t="shared" si="1"/>
        <v>0.2727272727</v>
      </c>
      <c r="F7675" s="2">
        <v>1.0</v>
      </c>
      <c r="G7675" s="3">
        <f t="shared" si="2"/>
        <v>0.09090909091</v>
      </c>
      <c r="H7675" s="2">
        <v>1.0</v>
      </c>
      <c r="I7675" s="3">
        <f t="shared" si="3"/>
        <v>0.09090909091</v>
      </c>
      <c r="J7675" s="2">
        <v>0.0</v>
      </c>
      <c r="K7675" s="3">
        <f t="shared" si="4"/>
        <v>0</v>
      </c>
      <c r="L7675" s="2">
        <v>1.0</v>
      </c>
      <c r="M7675" s="3">
        <f t="shared" si="5"/>
        <v>1</v>
      </c>
      <c r="N7675" s="2">
        <v>2000.0</v>
      </c>
      <c r="O7675" s="4">
        <f t="shared" si="6"/>
        <v>2000</v>
      </c>
      <c r="P7675" s="2">
        <v>0.0</v>
      </c>
      <c r="Q7675" s="3">
        <f t="shared" si="7"/>
        <v>0</v>
      </c>
      <c r="R7675" s="2">
        <v>1.0</v>
      </c>
      <c r="S7675" s="5">
        <f t="shared" si="8"/>
        <v>1</v>
      </c>
    </row>
    <row r="7676">
      <c r="A7676" s="2" t="s">
        <v>7671</v>
      </c>
      <c r="B7676" s="2">
        <v>73.0</v>
      </c>
      <c r="C7676" s="2">
        <v>867.0</v>
      </c>
      <c r="D7676" s="2">
        <v>186.0</v>
      </c>
      <c r="E7676" s="3">
        <f t="shared" si="1"/>
        <v>0.234256927</v>
      </c>
      <c r="F7676" s="2">
        <v>72.0</v>
      </c>
      <c r="G7676" s="3">
        <f t="shared" si="2"/>
        <v>0.09068010076</v>
      </c>
      <c r="H7676" s="2">
        <v>146.0</v>
      </c>
      <c r="I7676" s="3">
        <f t="shared" si="3"/>
        <v>0.1838790932</v>
      </c>
      <c r="J7676" s="2">
        <v>125.0</v>
      </c>
      <c r="K7676" s="3">
        <f t="shared" si="4"/>
        <v>0.1574307305</v>
      </c>
      <c r="L7676" s="2">
        <v>88.0</v>
      </c>
      <c r="M7676" s="3">
        <f t="shared" si="5"/>
        <v>0.602739726</v>
      </c>
      <c r="N7676" s="2">
        <v>876700.0</v>
      </c>
      <c r="O7676" s="4">
        <f t="shared" si="6"/>
        <v>6004.794521</v>
      </c>
      <c r="P7676" s="2">
        <v>0.0</v>
      </c>
      <c r="Q7676" s="3">
        <f t="shared" si="7"/>
        <v>0</v>
      </c>
      <c r="R7676" s="2">
        <v>73.0</v>
      </c>
      <c r="S7676" s="5">
        <f t="shared" si="8"/>
        <v>1</v>
      </c>
    </row>
    <row r="7677">
      <c r="A7677" s="2" t="s">
        <v>7672</v>
      </c>
      <c r="B7677" s="2">
        <v>53.0</v>
      </c>
      <c r="C7677" s="2">
        <v>627.0</v>
      </c>
      <c r="D7677" s="2">
        <v>184.0</v>
      </c>
      <c r="E7677" s="3">
        <f t="shared" si="1"/>
        <v>0.3205574913</v>
      </c>
      <c r="F7677" s="2">
        <v>52.0</v>
      </c>
      <c r="G7677" s="3">
        <f t="shared" si="2"/>
        <v>0.09059233449</v>
      </c>
      <c r="H7677" s="2">
        <v>106.0</v>
      </c>
      <c r="I7677" s="3">
        <f t="shared" si="3"/>
        <v>0.1846689895</v>
      </c>
      <c r="J7677" s="2">
        <v>83.0</v>
      </c>
      <c r="K7677" s="3">
        <f t="shared" si="4"/>
        <v>0.1445993031</v>
      </c>
      <c r="L7677" s="2">
        <v>62.0</v>
      </c>
      <c r="M7677" s="3">
        <f t="shared" si="5"/>
        <v>0.5849056604</v>
      </c>
      <c r="N7677" s="2">
        <v>631900.0</v>
      </c>
      <c r="O7677" s="4">
        <f t="shared" si="6"/>
        <v>5961.320755</v>
      </c>
      <c r="P7677" s="2">
        <v>0.0</v>
      </c>
      <c r="Q7677" s="3">
        <f t="shared" si="7"/>
        <v>0</v>
      </c>
      <c r="R7677" s="2">
        <v>53.0</v>
      </c>
      <c r="S7677" s="5">
        <f t="shared" si="8"/>
        <v>1</v>
      </c>
    </row>
    <row r="7678">
      <c r="A7678" s="2" t="s">
        <v>7673</v>
      </c>
      <c r="B7678" s="2">
        <v>17.0</v>
      </c>
      <c r="C7678" s="2">
        <v>216.0</v>
      </c>
      <c r="D7678" s="2">
        <v>76.0</v>
      </c>
      <c r="E7678" s="3">
        <f t="shared" si="1"/>
        <v>0.3819095477</v>
      </c>
      <c r="F7678" s="2">
        <v>18.0</v>
      </c>
      <c r="G7678" s="3">
        <f t="shared" si="2"/>
        <v>0.09045226131</v>
      </c>
      <c r="H7678" s="2">
        <v>48.0</v>
      </c>
      <c r="I7678" s="3">
        <f t="shared" si="3"/>
        <v>0.2412060302</v>
      </c>
      <c r="J7678" s="2">
        <v>43.0</v>
      </c>
      <c r="K7678" s="3">
        <f t="shared" si="4"/>
        <v>0.216080402</v>
      </c>
      <c r="L7678" s="2">
        <v>25.0</v>
      </c>
      <c r="M7678" s="3">
        <f t="shared" si="5"/>
        <v>0.5208333333</v>
      </c>
      <c r="N7678" s="2">
        <v>350300.0</v>
      </c>
      <c r="O7678" s="4">
        <f t="shared" si="6"/>
        <v>7297.916667</v>
      </c>
      <c r="P7678" s="2">
        <v>0.0</v>
      </c>
      <c r="Q7678" s="3">
        <f t="shared" si="7"/>
        <v>0</v>
      </c>
      <c r="R7678" s="2">
        <v>17.0</v>
      </c>
      <c r="S7678" s="5">
        <f t="shared" si="8"/>
        <v>1</v>
      </c>
    </row>
    <row r="7679">
      <c r="A7679" s="2" t="s">
        <v>7674</v>
      </c>
      <c r="B7679" s="2">
        <v>40.0</v>
      </c>
      <c r="C7679" s="2">
        <v>485.0</v>
      </c>
      <c r="D7679" s="2">
        <v>153.0</v>
      </c>
      <c r="E7679" s="3">
        <f t="shared" si="1"/>
        <v>0.3438202247</v>
      </c>
      <c r="F7679" s="2">
        <v>40.0</v>
      </c>
      <c r="G7679" s="3">
        <f t="shared" si="2"/>
        <v>0.08988764045</v>
      </c>
      <c r="H7679" s="2">
        <v>84.0</v>
      </c>
      <c r="I7679" s="3">
        <f t="shared" si="3"/>
        <v>0.1887640449</v>
      </c>
      <c r="J7679" s="2">
        <v>75.0</v>
      </c>
      <c r="K7679" s="3">
        <f t="shared" si="4"/>
        <v>0.1685393258</v>
      </c>
      <c r="L7679" s="2">
        <v>45.0</v>
      </c>
      <c r="M7679" s="3">
        <f t="shared" si="5"/>
        <v>0.5357142857</v>
      </c>
      <c r="N7679" s="2">
        <v>415800.0</v>
      </c>
      <c r="O7679" s="4">
        <f t="shared" si="6"/>
        <v>4950</v>
      </c>
      <c r="P7679" s="2">
        <v>0.0</v>
      </c>
      <c r="Q7679" s="3">
        <f t="shared" si="7"/>
        <v>0</v>
      </c>
      <c r="R7679" s="2">
        <v>40.0</v>
      </c>
      <c r="S7679" s="5">
        <f t="shared" si="8"/>
        <v>1</v>
      </c>
    </row>
    <row r="7680">
      <c r="A7680" s="2" t="s">
        <v>7675</v>
      </c>
      <c r="B7680" s="2">
        <v>115.0</v>
      </c>
      <c r="C7680" s="2">
        <v>1364.0</v>
      </c>
      <c r="D7680" s="2">
        <v>450.0</v>
      </c>
      <c r="E7680" s="3">
        <f t="shared" si="1"/>
        <v>0.3602882306</v>
      </c>
      <c r="F7680" s="2">
        <v>112.0</v>
      </c>
      <c r="G7680" s="3">
        <f t="shared" si="2"/>
        <v>0.08967173739</v>
      </c>
      <c r="H7680" s="2">
        <v>251.0</v>
      </c>
      <c r="I7680" s="3">
        <f t="shared" si="3"/>
        <v>0.2009607686</v>
      </c>
      <c r="J7680" s="2">
        <v>204.0</v>
      </c>
      <c r="K7680" s="3">
        <f t="shared" si="4"/>
        <v>0.1633306645</v>
      </c>
      <c r="L7680" s="2">
        <v>173.0</v>
      </c>
      <c r="M7680" s="3">
        <f t="shared" si="5"/>
        <v>0.6892430279</v>
      </c>
      <c r="N7680" s="2">
        <v>1448700.0</v>
      </c>
      <c r="O7680" s="4">
        <f t="shared" si="6"/>
        <v>5771.713147</v>
      </c>
      <c r="P7680" s="2">
        <v>0.0</v>
      </c>
      <c r="Q7680" s="3">
        <f t="shared" si="7"/>
        <v>0</v>
      </c>
      <c r="R7680" s="2">
        <v>0.0</v>
      </c>
      <c r="S7680" s="5">
        <f t="shared" si="8"/>
        <v>0</v>
      </c>
    </row>
    <row r="7681">
      <c r="A7681" s="2" t="s">
        <v>7676</v>
      </c>
      <c r="B7681" s="2">
        <v>10.0</v>
      </c>
      <c r="C7681" s="2">
        <v>122.0</v>
      </c>
      <c r="D7681" s="2">
        <v>34.0</v>
      </c>
      <c r="E7681" s="3">
        <f t="shared" si="1"/>
        <v>0.3035714286</v>
      </c>
      <c r="F7681" s="2">
        <v>10.0</v>
      </c>
      <c r="G7681" s="3">
        <f t="shared" si="2"/>
        <v>0.08928571429</v>
      </c>
      <c r="H7681" s="2">
        <v>28.0</v>
      </c>
      <c r="I7681" s="3">
        <f t="shared" si="3"/>
        <v>0.25</v>
      </c>
      <c r="J7681" s="2">
        <v>21.0</v>
      </c>
      <c r="K7681" s="3">
        <f t="shared" si="4"/>
        <v>0.1875</v>
      </c>
      <c r="L7681" s="2">
        <v>17.0</v>
      </c>
      <c r="M7681" s="3">
        <f t="shared" si="5"/>
        <v>0.6071428571</v>
      </c>
      <c r="N7681" s="2">
        <v>147900.0</v>
      </c>
      <c r="O7681" s="4">
        <f t="shared" si="6"/>
        <v>5282.142857</v>
      </c>
      <c r="P7681" s="2">
        <v>0.0</v>
      </c>
      <c r="Q7681" s="3">
        <f t="shared" si="7"/>
        <v>0</v>
      </c>
      <c r="R7681" s="2">
        <v>10.0</v>
      </c>
      <c r="S7681" s="5">
        <f t="shared" si="8"/>
        <v>1</v>
      </c>
    </row>
    <row r="7682">
      <c r="A7682" s="2" t="s">
        <v>7677</v>
      </c>
      <c r="B7682" s="2">
        <v>66.0</v>
      </c>
      <c r="C7682" s="2">
        <v>750.0</v>
      </c>
      <c r="D7682" s="2">
        <v>251.0</v>
      </c>
      <c r="E7682" s="3">
        <f t="shared" si="1"/>
        <v>0.3669590643</v>
      </c>
      <c r="F7682" s="2">
        <v>61.0</v>
      </c>
      <c r="G7682" s="3">
        <f t="shared" si="2"/>
        <v>0.08918128655</v>
      </c>
      <c r="H7682" s="2">
        <v>139.0</v>
      </c>
      <c r="I7682" s="3">
        <f t="shared" si="3"/>
        <v>0.2032163743</v>
      </c>
      <c r="J7682" s="2">
        <v>106.0</v>
      </c>
      <c r="K7682" s="3">
        <f t="shared" si="4"/>
        <v>0.1549707602</v>
      </c>
      <c r="L7682" s="2">
        <v>88.0</v>
      </c>
      <c r="M7682" s="3">
        <f t="shared" si="5"/>
        <v>0.6330935252</v>
      </c>
      <c r="N7682" s="2">
        <v>766700.0</v>
      </c>
      <c r="O7682" s="4">
        <f t="shared" si="6"/>
        <v>5515.827338</v>
      </c>
      <c r="P7682" s="2">
        <v>0.0</v>
      </c>
      <c r="Q7682" s="3">
        <f t="shared" si="7"/>
        <v>0</v>
      </c>
      <c r="R7682" s="2">
        <v>66.0</v>
      </c>
      <c r="S7682" s="5">
        <f t="shared" si="8"/>
        <v>1</v>
      </c>
    </row>
    <row r="7683">
      <c r="A7683" s="2" t="s">
        <v>7678</v>
      </c>
      <c r="B7683" s="2">
        <v>79.0</v>
      </c>
      <c r="C7683" s="2">
        <v>920.0</v>
      </c>
      <c r="D7683" s="2">
        <v>212.0</v>
      </c>
      <c r="E7683" s="3">
        <f t="shared" si="1"/>
        <v>0.2520808561</v>
      </c>
      <c r="F7683" s="2">
        <v>75.0</v>
      </c>
      <c r="G7683" s="3">
        <f t="shared" si="2"/>
        <v>0.08917954816</v>
      </c>
      <c r="H7683" s="2">
        <v>153.0</v>
      </c>
      <c r="I7683" s="3">
        <f t="shared" si="3"/>
        <v>0.1819262782</v>
      </c>
      <c r="J7683" s="2">
        <v>123.0</v>
      </c>
      <c r="K7683" s="3">
        <f t="shared" si="4"/>
        <v>0.146254459</v>
      </c>
      <c r="L7683" s="2">
        <v>82.0</v>
      </c>
      <c r="M7683" s="3">
        <f t="shared" si="5"/>
        <v>0.5359477124</v>
      </c>
      <c r="N7683" s="2">
        <v>868800.0</v>
      </c>
      <c r="O7683" s="4">
        <f t="shared" si="6"/>
        <v>5678.431373</v>
      </c>
      <c r="P7683" s="2">
        <v>0.0</v>
      </c>
      <c r="Q7683" s="3">
        <f t="shared" si="7"/>
        <v>0</v>
      </c>
      <c r="R7683" s="2">
        <v>79.0</v>
      </c>
      <c r="S7683" s="5">
        <f t="shared" si="8"/>
        <v>1</v>
      </c>
    </row>
    <row r="7684">
      <c r="A7684" s="2" t="s">
        <v>7679</v>
      </c>
      <c r="B7684" s="2">
        <v>4.0</v>
      </c>
      <c r="C7684" s="2">
        <v>49.0</v>
      </c>
      <c r="D7684" s="2">
        <v>15.0</v>
      </c>
      <c r="E7684" s="3">
        <f t="shared" si="1"/>
        <v>0.3333333333</v>
      </c>
      <c r="F7684" s="2">
        <v>4.0</v>
      </c>
      <c r="G7684" s="3">
        <f t="shared" si="2"/>
        <v>0.08888888889</v>
      </c>
      <c r="H7684" s="2">
        <v>8.0</v>
      </c>
      <c r="I7684" s="3">
        <f t="shared" si="3"/>
        <v>0.1777777778</v>
      </c>
      <c r="J7684" s="2">
        <v>10.0</v>
      </c>
      <c r="K7684" s="3">
        <f t="shared" si="4"/>
        <v>0.2222222222</v>
      </c>
      <c r="L7684" s="2">
        <v>7.0</v>
      </c>
      <c r="M7684" s="3">
        <f t="shared" si="5"/>
        <v>0.875</v>
      </c>
      <c r="N7684" s="2">
        <v>57400.0</v>
      </c>
      <c r="O7684" s="4">
        <f t="shared" si="6"/>
        <v>7175</v>
      </c>
      <c r="P7684" s="2">
        <v>0.0</v>
      </c>
      <c r="Q7684" s="3">
        <f t="shared" si="7"/>
        <v>0</v>
      </c>
      <c r="R7684" s="2">
        <v>4.0</v>
      </c>
      <c r="S7684" s="5">
        <f t="shared" si="8"/>
        <v>1</v>
      </c>
    </row>
    <row r="7685">
      <c r="A7685" s="2" t="s">
        <v>7680</v>
      </c>
      <c r="B7685" s="2">
        <v>14.0</v>
      </c>
      <c r="C7685" s="2">
        <v>183.0</v>
      </c>
      <c r="D7685" s="2">
        <v>60.0</v>
      </c>
      <c r="E7685" s="3">
        <f t="shared" si="1"/>
        <v>0.3550295858</v>
      </c>
      <c r="F7685" s="2">
        <v>15.0</v>
      </c>
      <c r="G7685" s="3">
        <f t="shared" si="2"/>
        <v>0.08875739645</v>
      </c>
      <c r="H7685" s="2">
        <v>30.0</v>
      </c>
      <c r="I7685" s="3">
        <f t="shared" si="3"/>
        <v>0.1775147929</v>
      </c>
      <c r="J7685" s="2">
        <v>30.0</v>
      </c>
      <c r="K7685" s="3">
        <f t="shared" si="4"/>
        <v>0.1775147929</v>
      </c>
      <c r="L7685" s="2">
        <v>18.0</v>
      </c>
      <c r="M7685" s="3">
        <f t="shared" si="5"/>
        <v>0.6</v>
      </c>
      <c r="N7685" s="2">
        <v>154300.0</v>
      </c>
      <c r="O7685" s="4">
        <f t="shared" si="6"/>
        <v>5143.333333</v>
      </c>
      <c r="P7685" s="2">
        <v>0.0</v>
      </c>
      <c r="Q7685" s="3">
        <f t="shared" si="7"/>
        <v>0</v>
      </c>
      <c r="R7685" s="2">
        <v>14.0</v>
      </c>
      <c r="S7685" s="5">
        <f t="shared" si="8"/>
        <v>1</v>
      </c>
    </row>
    <row r="7686">
      <c r="A7686" s="2" t="s">
        <v>7681</v>
      </c>
      <c r="B7686" s="2">
        <v>597.0</v>
      </c>
      <c r="C7686" s="2">
        <v>7076.0</v>
      </c>
      <c r="D7686" s="2">
        <v>1699.0</v>
      </c>
      <c r="E7686" s="3">
        <f t="shared" si="1"/>
        <v>0.2622318259</v>
      </c>
      <c r="F7686" s="2">
        <v>574.0</v>
      </c>
      <c r="G7686" s="3">
        <f t="shared" si="2"/>
        <v>0.08859391881</v>
      </c>
      <c r="H7686" s="2">
        <v>1206.0</v>
      </c>
      <c r="I7686" s="3">
        <f t="shared" si="3"/>
        <v>0.1861398364</v>
      </c>
      <c r="J7686" s="2">
        <v>1097.0</v>
      </c>
      <c r="K7686" s="3">
        <f t="shared" si="4"/>
        <v>0.1693162525</v>
      </c>
      <c r="L7686" s="2">
        <v>697.0</v>
      </c>
      <c r="M7686" s="3">
        <f t="shared" si="5"/>
        <v>0.5779436153</v>
      </c>
      <c r="N7686" s="2">
        <v>7014400.0</v>
      </c>
      <c r="O7686" s="4">
        <f t="shared" si="6"/>
        <v>5816.252073</v>
      </c>
      <c r="P7686" s="2">
        <v>1.0</v>
      </c>
      <c r="Q7686" s="3">
        <f t="shared" si="7"/>
        <v>0.001675041876</v>
      </c>
      <c r="R7686" s="2">
        <v>0.0</v>
      </c>
      <c r="S7686" s="5">
        <f t="shared" si="8"/>
        <v>0</v>
      </c>
    </row>
    <row r="7687">
      <c r="A7687" s="2" t="s">
        <v>7682</v>
      </c>
      <c r="B7687" s="2">
        <v>30.0</v>
      </c>
      <c r="C7687" s="2">
        <v>369.0</v>
      </c>
      <c r="D7687" s="2">
        <v>114.0</v>
      </c>
      <c r="E7687" s="3">
        <f t="shared" si="1"/>
        <v>0.3362831858</v>
      </c>
      <c r="F7687" s="2">
        <v>30.0</v>
      </c>
      <c r="G7687" s="3">
        <f t="shared" si="2"/>
        <v>0.08849557522</v>
      </c>
      <c r="H7687" s="2">
        <v>65.0</v>
      </c>
      <c r="I7687" s="3">
        <f t="shared" si="3"/>
        <v>0.191740413</v>
      </c>
      <c r="J7687" s="2">
        <v>65.0</v>
      </c>
      <c r="K7687" s="3">
        <f t="shared" si="4"/>
        <v>0.191740413</v>
      </c>
      <c r="L7687" s="2">
        <v>40.0</v>
      </c>
      <c r="M7687" s="3">
        <f t="shared" si="5"/>
        <v>0.6153846154</v>
      </c>
      <c r="N7687" s="2">
        <v>372900.0</v>
      </c>
      <c r="O7687" s="4">
        <f t="shared" si="6"/>
        <v>5736.923077</v>
      </c>
      <c r="P7687" s="2">
        <v>0.0</v>
      </c>
      <c r="Q7687" s="3">
        <f t="shared" si="7"/>
        <v>0</v>
      </c>
      <c r="R7687" s="2">
        <v>2.0</v>
      </c>
      <c r="S7687" s="5">
        <f t="shared" si="8"/>
        <v>0.06666666667</v>
      </c>
    </row>
    <row r="7688">
      <c r="A7688" s="2" t="s">
        <v>7683</v>
      </c>
      <c r="B7688" s="2">
        <v>24.0</v>
      </c>
      <c r="C7688" s="2">
        <v>284.0</v>
      </c>
      <c r="D7688" s="2">
        <v>80.0</v>
      </c>
      <c r="E7688" s="3">
        <f t="shared" si="1"/>
        <v>0.3076923077</v>
      </c>
      <c r="F7688" s="2">
        <v>23.0</v>
      </c>
      <c r="G7688" s="3">
        <f t="shared" si="2"/>
        <v>0.08846153846</v>
      </c>
      <c r="H7688" s="2">
        <v>51.0</v>
      </c>
      <c r="I7688" s="3">
        <f t="shared" si="3"/>
        <v>0.1961538462</v>
      </c>
      <c r="J7688" s="2">
        <v>44.0</v>
      </c>
      <c r="K7688" s="3">
        <f t="shared" si="4"/>
        <v>0.1692307692</v>
      </c>
      <c r="L7688" s="2">
        <v>29.0</v>
      </c>
      <c r="M7688" s="3">
        <f t="shared" si="5"/>
        <v>0.568627451</v>
      </c>
      <c r="N7688" s="2">
        <v>358900.0</v>
      </c>
      <c r="O7688" s="4">
        <f t="shared" si="6"/>
        <v>7037.254902</v>
      </c>
      <c r="P7688" s="2">
        <v>0.0</v>
      </c>
      <c r="Q7688" s="3">
        <f t="shared" si="7"/>
        <v>0</v>
      </c>
      <c r="R7688" s="2">
        <v>12.0</v>
      </c>
      <c r="S7688" s="5">
        <f t="shared" si="8"/>
        <v>0.5</v>
      </c>
    </row>
    <row r="7689">
      <c r="A7689" s="2" t="s">
        <v>7684</v>
      </c>
      <c r="B7689" s="2">
        <v>16.0</v>
      </c>
      <c r="C7689" s="2">
        <v>197.0</v>
      </c>
      <c r="D7689" s="2">
        <v>66.0</v>
      </c>
      <c r="E7689" s="3">
        <f t="shared" si="1"/>
        <v>0.364640884</v>
      </c>
      <c r="F7689" s="2">
        <v>16.0</v>
      </c>
      <c r="G7689" s="3">
        <f t="shared" si="2"/>
        <v>0.08839779006</v>
      </c>
      <c r="H7689" s="2">
        <v>37.0</v>
      </c>
      <c r="I7689" s="3">
        <f t="shared" si="3"/>
        <v>0.2044198895</v>
      </c>
      <c r="J7689" s="2">
        <v>34.0</v>
      </c>
      <c r="K7689" s="3">
        <f t="shared" si="4"/>
        <v>0.1878453039</v>
      </c>
      <c r="L7689" s="2">
        <v>22.0</v>
      </c>
      <c r="M7689" s="3">
        <f t="shared" si="5"/>
        <v>0.5945945946</v>
      </c>
      <c r="N7689" s="2">
        <v>185900.0</v>
      </c>
      <c r="O7689" s="4">
        <f t="shared" si="6"/>
        <v>5024.324324</v>
      </c>
      <c r="P7689" s="2">
        <v>0.0</v>
      </c>
      <c r="Q7689" s="3">
        <f t="shared" si="7"/>
        <v>0</v>
      </c>
      <c r="R7689" s="2">
        <v>16.0</v>
      </c>
      <c r="S7689" s="5">
        <f t="shared" si="8"/>
        <v>1</v>
      </c>
    </row>
    <row r="7690">
      <c r="A7690" s="2" t="s">
        <v>7685</v>
      </c>
      <c r="B7690" s="2">
        <v>3.0</v>
      </c>
      <c r="C7690" s="2">
        <v>49.0</v>
      </c>
      <c r="D7690" s="2">
        <v>14.0</v>
      </c>
      <c r="E7690" s="3">
        <f t="shared" si="1"/>
        <v>0.3043478261</v>
      </c>
      <c r="F7690" s="2">
        <v>4.0</v>
      </c>
      <c r="G7690" s="3">
        <f t="shared" si="2"/>
        <v>0.08695652174</v>
      </c>
      <c r="H7690" s="2">
        <v>6.0</v>
      </c>
      <c r="I7690" s="3">
        <f t="shared" si="3"/>
        <v>0.1304347826</v>
      </c>
      <c r="J7690" s="2">
        <v>9.0</v>
      </c>
      <c r="K7690" s="3">
        <f t="shared" si="4"/>
        <v>0.1956521739</v>
      </c>
      <c r="L7690" s="2">
        <v>6.0</v>
      </c>
      <c r="M7690" s="3">
        <f t="shared" si="5"/>
        <v>1</v>
      </c>
      <c r="N7690" s="2">
        <v>26100.0</v>
      </c>
      <c r="O7690" s="4">
        <f t="shared" si="6"/>
        <v>4350</v>
      </c>
      <c r="P7690" s="2">
        <v>0.0</v>
      </c>
      <c r="Q7690" s="3">
        <f t="shared" si="7"/>
        <v>0</v>
      </c>
      <c r="R7690" s="2">
        <v>3.0</v>
      </c>
      <c r="S7690" s="5">
        <f t="shared" si="8"/>
        <v>1</v>
      </c>
    </row>
    <row r="7691">
      <c r="A7691" s="2" t="s">
        <v>7686</v>
      </c>
      <c r="B7691" s="2">
        <v>2.0</v>
      </c>
      <c r="C7691" s="2">
        <v>25.0</v>
      </c>
      <c r="D7691" s="2">
        <v>8.0</v>
      </c>
      <c r="E7691" s="3">
        <f t="shared" si="1"/>
        <v>0.347826087</v>
      </c>
      <c r="F7691" s="2">
        <v>2.0</v>
      </c>
      <c r="G7691" s="3">
        <f t="shared" si="2"/>
        <v>0.08695652174</v>
      </c>
      <c r="H7691" s="2">
        <v>4.0</v>
      </c>
      <c r="I7691" s="3">
        <f t="shared" si="3"/>
        <v>0.1739130435</v>
      </c>
      <c r="J7691" s="2">
        <v>4.0</v>
      </c>
      <c r="K7691" s="3">
        <f t="shared" si="4"/>
        <v>0.1739130435</v>
      </c>
      <c r="L7691" s="2">
        <v>2.0</v>
      </c>
      <c r="M7691" s="3">
        <f t="shared" si="5"/>
        <v>0.5</v>
      </c>
      <c r="N7691" s="2">
        <v>13800.0</v>
      </c>
      <c r="O7691" s="4">
        <f t="shared" si="6"/>
        <v>3450</v>
      </c>
      <c r="P7691" s="2">
        <v>0.0</v>
      </c>
      <c r="Q7691" s="3">
        <f t="shared" si="7"/>
        <v>0</v>
      </c>
      <c r="R7691" s="2">
        <v>0.0</v>
      </c>
      <c r="S7691" s="5">
        <f t="shared" si="8"/>
        <v>0</v>
      </c>
    </row>
    <row r="7692">
      <c r="A7692" s="2" t="s">
        <v>7687</v>
      </c>
      <c r="B7692" s="2">
        <v>2.0</v>
      </c>
      <c r="C7692" s="2">
        <v>25.0</v>
      </c>
      <c r="D7692" s="2">
        <v>10.0</v>
      </c>
      <c r="E7692" s="3">
        <f t="shared" si="1"/>
        <v>0.4347826087</v>
      </c>
      <c r="F7692" s="2">
        <v>2.0</v>
      </c>
      <c r="G7692" s="3">
        <f t="shared" si="2"/>
        <v>0.08695652174</v>
      </c>
      <c r="H7692" s="2">
        <v>3.0</v>
      </c>
      <c r="I7692" s="3">
        <f t="shared" si="3"/>
        <v>0.1304347826</v>
      </c>
      <c r="J7692" s="2">
        <v>3.0</v>
      </c>
      <c r="K7692" s="3">
        <f t="shared" si="4"/>
        <v>0.1304347826</v>
      </c>
      <c r="L7692" s="2">
        <v>0.0</v>
      </c>
      <c r="M7692" s="3">
        <f t="shared" si="5"/>
        <v>0</v>
      </c>
      <c r="N7692" s="2">
        <v>32700.0</v>
      </c>
      <c r="O7692" s="4">
        <f t="shared" si="6"/>
        <v>10900</v>
      </c>
      <c r="P7692" s="2">
        <v>0.0</v>
      </c>
      <c r="Q7692" s="3">
        <f t="shared" si="7"/>
        <v>0</v>
      </c>
      <c r="R7692" s="2">
        <v>2.0</v>
      </c>
      <c r="S7692" s="5">
        <f t="shared" si="8"/>
        <v>1</v>
      </c>
    </row>
    <row r="7693">
      <c r="A7693" s="2" t="s">
        <v>7688</v>
      </c>
      <c r="B7693" s="2">
        <v>10.0</v>
      </c>
      <c r="C7693" s="2">
        <v>125.0</v>
      </c>
      <c r="D7693" s="2">
        <v>26.0</v>
      </c>
      <c r="E7693" s="3">
        <f t="shared" si="1"/>
        <v>0.2260869565</v>
      </c>
      <c r="F7693" s="2">
        <v>10.0</v>
      </c>
      <c r="G7693" s="3">
        <f t="shared" si="2"/>
        <v>0.08695652174</v>
      </c>
      <c r="H7693" s="2">
        <v>12.0</v>
      </c>
      <c r="I7693" s="3">
        <f t="shared" si="3"/>
        <v>0.1043478261</v>
      </c>
      <c r="J7693" s="2">
        <v>15.0</v>
      </c>
      <c r="K7693" s="3">
        <f t="shared" si="4"/>
        <v>0.1304347826</v>
      </c>
      <c r="L7693" s="2">
        <v>8.0</v>
      </c>
      <c r="M7693" s="3">
        <f t="shared" si="5"/>
        <v>0.6666666667</v>
      </c>
      <c r="N7693" s="2">
        <v>53500.0</v>
      </c>
      <c r="O7693" s="4">
        <f t="shared" si="6"/>
        <v>4458.333333</v>
      </c>
      <c r="P7693" s="2">
        <v>0.0</v>
      </c>
      <c r="Q7693" s="3">
        <f t="shared" si="7"/>
        <v>0</v>
      </c>
      <c r="R7693" s="2">
        <v>10.0</v>
      </c>
      <c r="S7693" s="5">
        <f t="shared" si="8"/>
        <v>1</v>
      </c>
    </row>
    <row r="7694">
      <c r="A7694" s="2" t="s">
        <v>7689</v>
      </c>
      <c r="B7694" s="2">
        <v>14.0</v>
      </c>
      <c r="C7694" s="2">
        <v>175.0</v>
      </c>
      <c r="D7694" s="2">
        <v>60.0</v>
      </c>
      <c r="E7694" s="3">
        <f t="shared" si="1"/>
        <v>0.3726708075</v>
      </c>
      <c r="F7694" s="2">
        <v>14.0</v>
      </c>
      <c r="G7694" s="3">
        <f t="shared" si="2"/>
        <v>0.08695652174</v>
      </c>
      <c r="H7694" s="2">
        <v>38.0</v>
      </c>
      <c r="I7694" s="3">
        <f t="shared" si="3"/>
        <v>0.2360248447</v>
      </c>
      <c r="J7694" s="2">
        <v>19.0</v>
      </c>
      <c r="K7694" s="3">
        <f t="shared" si="4"/>
        <v>0.1180124224</v>
      </c>
      <c r="L7694" s="2">
        <v>22.0</v>
      </c>
      <c r="M7694" s="3">
        <f t="shared" si="5"/>
        <v>0.5789473684</v>
      </c>
      <c r="N7694" s="2">
        <v>209500.0</v>
      </c>
      <c r="O7694" s="4">
        <f t="shared" si="6"/>
        <v>5513.157895</v>
      </c>
      <c r="P7694" s="2">
        <v>0.0</v>
      </c>
      <c r="Q7694" s="3">
        <f t="shared" si="7"/>
        <v>0</v>
      </c>
      <c r="R7694" s="2">
        <v>14.0</v>
      </c>
      <c r="S7694" s="5">
        <f t="shared" si="8"/>
        <v>1</v>
      </c>
    </row>
    <row r="7695">
      <c r="A7695" s="2" t="s">
        <v>7690</v>
      </c>
      <c r="B7695" s="2">
        <v>57.0</v>
      </c>
      <c r="C7695" s="2">
        <v>695.0</v>
      </c>
      <c r="D7695" s="2">
        <v>213.0</v>
      </c>
      <c r="E7695" s="3">
        <f t="shared" si="1"/>
        <v>0.3338557994</v>
      </c>
      <c r="F7695" s="2">
        <v>55.0</v>
      </c>
      <c r="G7695" s="3">
        <f t="shared" si="2"/>
        <v>0.08620689655</v>
      </c>
      <c r="H7695" s="2">
        <v>137.0</v>
      </c>
      <c r="I7695" s="3">
        <f t="shared" si="3"/>
        <v>0.2147335423</v>
      </c>
      <c r="J7695" s="2">
        <v>96.0</v>
      </c>
      <c r="K7695" s="3">
        <f t="shared" si="4"/>
        <v>0.1504702194</v>
      </c>
      <c r="L7695" s="2">
        <v>75.0</v>
      </c>
      <c r="M7695" s="3">
        <f t="shared" si="5"/>
        <v>0.5474452555</v>
      </c>
      <c r="N7695" s="2">
        <v>816100.0</v>
      </c>
      <c r="O7695" s="4">
        <f t="shared" si="6"/>
        <v>5956.934307</v>
      </c>
      <c r="P7695" s="2">
        <v>0.0</v>
      </c>
      <c r="Q7695" s="3">
        <f t="shared" si="7"/>
        <v>0</v>
      </c>
      <c r="R7695" s="2">
        <v>57.0</v>
      </c>
      <c r="S7695" s="5">
        <f t="shared" si="8"/>
        <v>1</v>
      </c>
    </row>
    <row r="7696">
      <c r="A7696" s="2" t="s">
        <v>7691</v>
      </c>
      <c r="B7696" s="2">
        <v>370.0</v>
      </c>
      <c r="C7696" s="2">
        <v>4465.0</v>
      </c>
      <c r="D7696" s="2">
        <v>1478.0</v>
      </c>
      <c r="E7696" s="3">
        <f t="shared" si="1"/>
        <v>0.3609279609</v>
      </c>
      <c r="F7696" s="2">
        <v>350.0</v>
      </c>
      <c r="G7696" s="3">
        <f t="shared" si="2"/>
        <v>0.08547008547</v>
      </c>
      <c r="H7696" s="2">
        <v>847.0</v>
      </c>
      <c r="I7696" s="3">
        <f t="shared" si="3"/>
        <v>0.2068376068</v>
      </c>
      <c r="J7696" s="2">
        <v>568.0</v>
      </c>
      <c r="K7696" s="3">
        <f t="shared" si="4"/>
        <v>0.1387057387</v>
      </c>
      <c r="L7696" s="2">
        <v>492.0</v>
      </c>
      <c r="M7696" s="3">
        <f t="shared" si="5"/>
        <v>0.5808736718</v>
      </c>
      <c r="N7696" s="2">
        <v>4144600.0</v>
      </c>
      <c r="O7696" s="4">
        <f t="shared" si="6"/>
        <v>4893.270366</v>
      </c>
      <c r="P7696" s="2">
        <v>0.0</v>
      </c>
      <c r="Q7696" s="3">
        <f t="shared" si="7"/>
        <v>0</v>
      </c>
      <c r="R7696" s="2">
        <v>370.0</v>
      </c>
      <c r="S7696" s="5">
        <f t="shared" si="8"/>
        <v>1</v>
      </c>
    </row>
    <row r="7697">
      <c r="A7697" s="2" t="s">
        <v>7692</v>
      </c>
      <c r="B7697" s="2">
        <v>24.0</v>
      </c>
      <c r="C7697" s="2">
        <v>282.0</v>
      </c>
      <c r="D7697" s="2">
        <v>92.0</v>
      </c>
      <c r="E7697" s="3">
        <f t="shared" si="1"/>
        <v>0.3565891473</v>
      </c>
      <c r="F7697" s="2">
        <v>22.0</v>
      </c>
      <c r="G7697" s="3">
        <f t="shared" si="2"/>
        <v>0.08527131783</v>
      </c>
      <c r="H7697" s="2">
        <v>65.0</v>
      </c>
      <c r="I7697" s="3">
        <f t="shared" si="3"/>
        <v>0.2519379845</v>
      </c>
      <c r="J7697" s="2">
        <v>43.0</v>
      </c>
      <c r="K7697" s="3">
        <f t="shared" si="4"/>
        <v>0.1666666667</v>
      </c>
      <c r="L7697" s="2">
        <v>41.0</v>
      </c>
      <c r="M7697" s="3">
        <f t="shared" si="5"/>
        <v>0.6307692308</v>
      </c>
      <c r="N7697" s="2">
        <v>339700.0</v>
      </c>
      <c r="O7697" s="4">
        <f t="shared" si="6"/>
        <v>5226.153846</v>
      </c>
      <c r="P7697" s="2">
        <v>0.0</v>
      </c>
      <c r="Q7697" s="3">
        <f t="shared" si="7"/>
        <v>0</v>
      </c>
      <c r="R7697" s="2">
        <v>24.0</v>
      </c>
      <c r="S7697" s="5">
        <f t="shared" si="8"/>
        <v>1</v>
      </c>
    </row>
    <row r="7698">
      <c r="A7698" s="2" t="s">
        <v>7693</v>
      </c>
      <c r="B7698" s="2">
        <v>5.0</v>
      </c>
      <c r="C7698" s="2">
        <v>52.0</v>
      </c>
      <c r="D7698" s="2">
        <v>20.0</v>
      </c>
      <c r="E7698" s="3">
        <f t="shared" si="1"/>
        <v>0.4255319149</v>
      </c>
      <c r="F7698" s="2">
        <v>4.0</v>
      </c>
      <c r="G7698" s="3">
        <f t="shared" si="2"/>
        <v>0.08510638298</v>
      </c>
      <c r="H7698" s="2">
        <v>11.0</v>
      </c>
      <c r="I7698" s="3">
        <f t="shared" si="3"/>
        <v>0.2340425532</v>
      </c>
      <c r="J7698" s="2">
        <v>7.0</v>
      </c>
      <c r="K7698" s="3">
        <f t="shared" si="4"/>
        <v>0.1489361702</v>
      </c>
      <c r="L7698" s="2">
        <v>7.0</v>
      </c>
      <c r="M7698" s="3">
        <f t="shared" si="5"/>
        <v>0.6363636364</v>
      </c>
      <c r="N7698" s="2">
        <v>42600.0</v>
      </c>
      <c r="O7698" s="4">
        <f t="shared" si="6"/>
        <v>3872.727273</v>
      </c>
      <c r="P7698" s="2">
        <v>0.0</v>
      </c>
      <c r="Q7698" s="3">
        <f t="shared" si="7"/>
        <v>0</v>
      </c>
      <c r="R7698" s="2">
        <v>5.0</v>
      </c>
      <c r="S7698" s="5">
        <f t="shared" si="8"/>
        <v>1</v>
      </c>
    </row>
    <row r="7699">
      <c r="A7699" s="2" t="s">
        <v>7694</v>
      </c>
      <c r="B7699" s="2">
        <v>77.0</v>
      </c>
      <c r="C7699" s="2">
        <v>952.0</v>
      </c>
      <c r="D7699" s="2">
        <v>231.0</v>
      </c>
      <c r="E7699" s="3">
        <f t="shared" si="1"/>
        <v>0.264</v>
      </c>
      <c r="F7699" s="2">
        <v>74.0</v>
      </c>
      <c r="G7699" s="3">
        <f t="shared" si="2"/>
        <v>0.08457142857</v>
      </c>
      <c r="H7699" s="2">
        <v>147.0</v>
      </c>
      <c r="I7699" s="3">
        <f t="shared" si="3"/>
        <v>0.168</v>
      </c>
      <c r="J7699" s="2">
        <v>103.0</v>
      </c>
      <c r="K7699" s="3">
        <f t="shared" si="4"/>
        <v>0.1177142857</v>
      </c>
      <c r="L7699" s="2">
        <v>92.0</v>
      </c>
      <c r="M7699" s="3">
        <f t="shared" si="5"/>
        <v>0.6258503401</v>
      </c>
      <c r="N7699" s="2">
        <v>805600.0</v>
      </c>
      <c r="O7699" s="4">
        <f t="shared" si="6"/>
        <v>5480.272109</v>
      </c>
      <c r="P7699" s="2">
        <v>0.0</v>
      </c>
      <c r="Q7699" s="3">
        <f t="shared" si="7"/>
        <v>0</v>
      </c>
      <c r="R7699" s="2">
        <v>77.0</v>
      </c>
      <c r="S7699" s="5">
        <f t="shared" si="8"/>
        <v>1</v>
      </c>
    </row>
    <row r="7700">
      <c r="A7700" s="2" t="s">
        <v>7695</v>
      </c>
      <c r="B7700" s="2">
        <v>11.0</v>
      </c>
      <c r="C7700" s="2">
        <v>130.0</v>
      </c>
      <c r="D7700" s="2">
        <v>34.0</v>
      </c>
      <c r="E7700" s="3">
        <f t="shared" si="1"/>
        <v>0.2857142857</v>
      </c>
      <c r="F7700" s="2">
        <v>10.0</v>
      </c>
      <c r="G7700" s="3">
        <f t="shared" si="2"/>
        <v>0.08403361345</v>
      </c>
      <c r="H7700" s="2">
        <v>24.0</v>
      </c>
      <c r="I7700" s="3">
        <f t="shared" si="3"/>
        <v>0.2016806723</v>
      </c>
      <c r="J7700" s="2">
        <v>22.0</v>
      </c>
      <c r="K7700" s="3">
        <f t="shared" si="4"/>
        <v>0.1848739496</v>
      </c>
      <c r="L7700" s="2">
        <v>13.0</v>
      </c>
      <c r="M7700" s="3">
        <f t="shared" si="5"/>
        <v>0.5416666667</v>
      </c>
      <c r="N7700" s="2">
        <v>110100.0</v>
      </c>
      <c r="O7700" s="4">
        <f t="shared" si="6"/>
        <v>4587.5</v>
      </c>
      <c r="P7700" s="2">
        <v>0.0</v>
      </c>
      <c r="Q7700" s="3">
        <f t="shared" si="7"/>
        <v>0</v>
      </c>
      <c r="R7700" s="2">
        <v>0.0</v>
      </c>
      <c r="S7700" s="5">
        <f t="shared" si="8"/>
        <v>0</v>
      </c>
    </row>
    <row r="7701">
      <c r="A7701" s="2" t="s">
        <v>7696</v>
      </c>
      <c r="B7701" s="2">
        <v>56.0</v>
      </c>
      <c r="C7701" s="2">
        <v>700.0</v>
      </c>
      <c r="D7701" s="2">
        <v>232.0</v>
      </c>
      <c r="E7701" s="3">
        <f t="shared" si="1"/>
        <v>0.3602484472</v>
      </c>
      <c r="F7701" s="2">
        <v>54.0</v>
      </c>
      <c r="G7701" s="3">
        <f t="shared" si="2"/>
        <v>0.08385093168</v>
      </c>
      <c r="H7701" s="2">
        <v>117.0</v>
      </c>
      <c r="I7701" s="3">
        <f t="shared" si="3"/>
        <v>0.1816770186</v>
      </c>
      <c r="J7701" s="2">
        <v>102.0</v>
      </c>
      <c r="K7701" s="3">
        <f t="shared" si="4"/>
        <v>0.1583850932</v>
      </c>
      <c r="L7701" s="2">
        <v>75.0</v>
      </c>
      <c r="M7701" s="3">
        <f t="shared" si="5"/>
        <v>0.641025641</v>
      </c>
      <c r="N7701" s="2">
        <v>612300.0</v>
      </c>
      <c r="O7701" s="4">
        <f t="shared" si="6"/>
        <v>5233.333333</v>
      </c>
      <c r="P7701" s="2">
        <v>0.0</v>
      </c>
      <c r="Q7701" s="3">
        <f t="shared" si="7"/>
        <v>0</v>
      </c>
      <c r="R7701" s="2">
        <v>56.0</v>
      </c>
      <c r="S7701" s="5">
        <f t="shared" si="8"/>
        <v>1</v>
      </c>
    </row>
    <row r="7702">
      <c r="A7702" s="2" t="s">
        <v>7697</v>
      </c>
      <c r="B7702" s="2">
        <v>55.0</v>
      </c>
      <c r="C7702" s="2">
        <v>640.0</v>
      </c>
      <c r="D7702" s="2">
        <v>167.0</v>
      </c>
      <c r="E7702" s="3">
        <f t="shared" si="1"/>
        <v>0.2854700855</v>
      </c>
      <c r="F7702" s="2">
        <v>49.0</v>
      </c>
      <c r="G7702" s="3">
        <f t="shared" si="2"/>
        <v>0.08376068376</v>
      </c>
      <c r="H7702" s="2">
        <v>107.0</v>
      </c>
      <c r="I7702" s="3">
        <f t="shared" si="3"/>
        <v>0.1829059829</v>
      </c>
      <c r="J7702" s="2">
        <v>80.0</v>
      </c>
      <c r="K7702" s="3">
        <f t="shared" si="4"/>
        <v>0.1367521368</v>
      </c>
      <c r="L7702" s="2">
        <v>65.0</v>
      </c>
      <c r="M7702" s="3">
        <f t="shared" si="5"/>
        <v>0.6074766355</v>
      </c>
      <c r="N7702" s="2">
        <v>583200.0</v>
      </c>
      <c r="O7702" s="4">
        <f t="shared" si="6"/>
        <v>5450.46729</v>
      </c>
      <c r="P7702" s="2">
        <v>0.0</v>
      </c>
      <c r="Q7702" s="3">
        <f t="shared" si="7"/>
        <v>0</v>
      </c>
      <c r="R7702" s="2">
        <v>55.0</v>
      </c>
      <c r="S7702" s="5">
        <f t="shared" si="8"/>
        <v>1</v>
      </c>
    </row>
    <row r="7703">
      <c r="A7703" s="2" t="s">
        <v>7698</v>
      </c>
      <c r="B7703" s="2">
        <v>46.0</v>
      </c>
      <c r="C7703" s="2">
        <v>560.0</v>
      </c>
      <c r="D7703" s="2">
        <v>156.0</v>
      </c>
      <c r="E7703" s="3">
        <f t="shared" si="1"/>
        <v>0.3035019455</v>
      </c>
      <c r="F7703" s="2">
        <v>43.0</v>
      </c>
      <c r="G7703" s="3">
        <f t="shared" si="2"/>
        <v>0.08365758755</v>
      </c>
      <c r="H7703" s="2">
        <v>115.0</v>
      </c>
      <c r="I7703" s="3">
        <f t="shared" si="3"/>
        <v>0.2237354086</v>
      </c>
      <c r="J7703" s="2">
        <v>95.0</v>
      </c>
      <c r="K7703" s="3">
        <f t="shared" si="4"/>
        <v>0.1848249027</v>
      </c>
      <c r="L7703" s="2">
        <v>72.0</v>
      </c>
      <c r="M7703" s="3">
        <f t="shared" si="5"/>
        <v>0.6260869565</v>
      </c>
      <c r="N7703" s="2">
        <v>737000.0</v>
      </c>
      <c r="O7703" s="4">
        <f t="shared" si="6"/>
        <v>6408.695652</v>
      </c>
      <c r="P7703" s="2">
        <v>0.0</v>
      </c>
      <c r="Q7703" s="3">
        <f t="shared" si="7"/>
        <v>0</v>
      </c>
      <c r="R7703" s="2">
        <v>46.0</v>
      </c>
      <c r="S7703" s="5">
        <f t="shared" si="8"/>
        <v>1</v>
      </c>
    </row>
    <row r="7704">
      <c r="A7704" s="2" t="s">
        <v>7699</v>
      </c>
      <c r="B7704" s="2">
        <v>2.0</v>
      </c>
      <c r="C7704" s="2">
        <v>26.0</v>
      </c>
      <c r="D7704" s="2">
        <v>6.0</v>
      </c>
      <c r="E7704" s="3">
        <f t="shared" si="1"/>
        <v>0.25</v>
      </c>
      <c r="F7704" s="2">
        <v>2.0</v>
      </c>
      <c r="G7704" s="3">
        <f t="shared" si="2"/>
        <v>0.08333333333</v>
      </c>
      <c r="H7704" s="2">
        <v>4.0</v>
      </c>
      <c r="I7704" s="3">
        <f t="shared" si="3"/>
        <v>0.1666666667</v>
      </c>
      <c r="J7704" s="2">
        <v>5.0</v>
      </c>
      <c r="K7704" s="3">
        <f t="shared" si="4"/>
        <v>0.2083333333</v>
      </c>
      <c r="L7704" s="2">
        <v>4.0</v>
      </c>
      <c r="M7704" s="3">
        <f t="shared" si="5"/>
        <v>1</v>
      </c>
      <c r="N7704" s="2">
        <v>25900.0</v>
      </c>
      <c r="O7704" s="4">
        <f t="shared" si="6"/>
        <v>6475</v>
      </c>
      <c r="P7704" s="2">
        <v>0.0</v>
      </c>
      <c r="Q7704" s="3">
        <f t="shared" si="7"/>
        <v>0</v>
      </c>
      <c r="R7704" s="2">
        <v>2.0</v>
      </c>
      <c r="S7704" s="5">
        <f t="shared" si="8"/>
        <v>1</v>
      </c>
    </row>
    <row r="7705">
      <c r="A7705" s="2" t="s">
        <v>7700</v>
      </c>
      <c r="B7705" s="2">
        <v>1.0</v>
      </c>
      <c r="C7705" s="2">
        <v>13.0</v>
      </c>
      <c r="D7705" s="2">
        <v>3.0</v>
      </c>
      <c r="E7705" s="3">
        <f t="shared" si="1"/>
        <v>0.25</v>
      </c>
      <c r="F7705" s="2">
        <v>1.0</v>
      </c>
      <c r="G7705" s="3">
        <f t="shared" si="2"/>
        <v>0.08333333333</v>
      </c>
      <c r="H7705" s="2">
        <v>2.0</v>
      </c>
      <c r="I7705" s="3">
        <f t="shared" si="3"/>
        <v>0.1666666667</v>
      </c>
      <c r="J7705" s="2">
        <v>2.0</v>
      </c>
      <c r="K7705" s="3">
        <f t="shared" si="4"/>
        <v>0.1666666667</v>
      </c>
      <c r="L7705" s="2">
        <v>1.0</v>
      </c>
      <c r="M7705" s="3">
        <f t="shared" si="5"/>
        <v>0.5</v>
      </c>
      <c r="N7705" s="2">
        <v>11900.0</v>
      </c>
      <c r="O7705" s="4">
        <f t="shared" si="6"/>
        <v>5950</v>
      </c>
      <c r="P7705" s="2">
        <v>0.0</v>
      </c>
      <c r="Q7705" s="3">
        <f t="shared" si="7"/>
        <v>0</v>
      </c>
      <c r="R7705" s="2">
        <v>1.0</v>
      </c>
      <c r="S7705" s="5">
        <f t="shared" si="8"/>
        <v>1</v>
      </c>
    </row>
    <row r="7706">
      <c r="A7706" s="2" t="s">
        <v>7701</v>
      </c>
      <c r="B7706" s="2">
        <v>1.0</v>
      </c>
      <c r="C7706" s="2">
        <v>13.0</v>
      </c>
      <c r="D7706" s="2">
        <v>0.0</v>
      </c>
      <c r="E7706" s="3">
        <f t="shared" si="1"/>
        <v>0</v>
      </c>
      <c r="F7706" s="2">
        <v>1.0</v>
      </c>
      <c r="G7706" s="3">
        <f t="shared" si="2"/>
        <v>0.08333333333</v>
      </c>
      <c r="H7706" s="2">
        <v>0.0</v>
      </c>
      <c r="I7706" s="3">
        <f t="shared" si="3"/>
        <v>0</v>
      </c>
      <c r="J7706" s="2">
        <v>2.0</v>
      </c>
      <c r="K7706" s="3">
        <f t="shared" si="4"/>
        <v>0.1666666667</v>
      </c>
      <c r="L7706" s="2">
        <v>0.0</v>
      </c>
      <c r="M7706" s="3" t="str">
        <f t="shared" si="5"/>
        <v>#DIV/0!</v>
      </c>
      <c r="N7706" s="2">
        <v>0.0</v>
      </c>
      <c r="O7706" s="4" t="str">
        <f t="shared" si="6"/>
        <v>#DIV/0!</v>
      </c>
      <c r="P7706" s="2">
        <v>0.0</v>
      </c>
      <c r="Q7706" s="3">
        <f t="shared" si="7"/>
        <v>0</v>
      </c>
      <c r="R7706" s="2">
        <v>1.0</v>
      </c>
      <c r="S7706" s="5">
        <f t="shared" si="8"/>
        <v>1</v>
      </c>
    </row>
    <row r="7707">
      <c r="A7707" s="2" t="s">
        <v>7702</v>
      </c>
      <c r="B7707" s="2">
        <v>7.0</v>
      </c>
      <c r="C7707" s="2">
        <v>79.0</v>
      </c>
      <c r="D7707" s="2">
        <v>25.0</v>
      </c>
      <c r="E7707" s="3">
        <f t="shared" si="1"/>
        <v>0.3472222222</v>
      </c>
      <c r="F7707" s="2">
        <v>6.0</v>
      </c>
      <c r="G7707" s="3">
        <f t="shared" si="2"/>
        <v>0.08333333333</v>
      </c>
      <c r="H7707" s="2">
        <v>11.0</v>
      </c>
      <c r="I7707" s="3">
        <f t="shared" si="3"/>
        <v>0.1527777778</v>
      </c>
      <c r="J7707" s="2">
        <v>11.0</v>
      </c>
      <c r="K7707" s="3">
        <f t="shared" si="4"/>
        <v>0.1527777778</v>
      </c>
      <c r="L7707" s="2">
        <v>6.0</v>
      </c>
      <c r="M7707" s="3">
        <f t="shared" si="5"/>
        <v>0.5454545455</v>
      </c>
      <c r="N7707" s="2">
        <v>70200.0</v>
      </c>
      <c r="O7707" s="4">
        <f t="shared" si="6"/>
        <v>6381.818182</v>
      </c>
      <c r="P7707" s="2">
        <v>0.0</v>
      </c>
      <c r="Q7707" s="3">
        <f t="shared" si="7"/>
        <v>0</v>
      </c>
      <c r="R7707" s="2">
        <v>7.0</v>
      </c>
      <c r="S7707" s="5">
        <f t="shared" si="8"/>
        <v>1</v>
      </c>
    </row>
    <row r="7708">
      <c r="A7708" s="2" t="s">
        <v>7703</v>
      </c>
      <c r="B7708" s="2">
        <v>14.0</v>
      </c>
      <c r="C7708" s="2">
        <v>158.0</v>
      </c>
      <c r="D7708" s="2">
        <v>47.0</v>
      </c>
      <c r="E7708" s="3">
        <f t="shared" si="1"/>
        <v>0.3263888889</v>
      </c>
      <c r="F7708" s="2">
        <v>12.0</v>
      </c>
      <c r="G7708" s="3">
        <f t="shared" si="2"/>
        <v>0.08333333333</v>
      </c>
      <c r="H7708" s="2">
        <v>34.0</v>
      </c>
      <c r="I7708" s="3">
        <f t="shared" si="3"/>
        <v>0.2361111111</v>
      </c>
      <c r="J7708" s="2">
        <v>16.0</v>
      </c>
      <c r="K7708" s="3">
        <f t="shared" si="4"/>
        <v>0.1111111111</v>
      </c>
      <c r="L7708" s="2">
        <v>17.0</v>
      </c>
      <c r="M7708" s="3">
        <f t="shared" si="5"/>
        <v>0.5</v>
      </c>
      <c r="N7708" s="2">
        <v>137600.0</v>
      </c>
      <c r="O7708" s="4">
        <f t="shared" si="6"/>
        <v>4047.058824</v>
      </c>
      <c r="P7708" s="2">
        <v>0.0</v>
      </c>
      <c r="Q7708" s="3">
        <f t="shared" si="7"/>
        <v>0</v>
      </c>
      <c r="R7708" s="2">
        <v>14.0</v>
      </c>
      <c r="S7708" s="5">
        <f t="shared" si="8"/>
        <v>1</v>
      </c>
    </row>
    <row r="7709">
      <c r="A7709" s="2" t="s">
        <v>7704</v>
      </c>
      <c r="B7709" s="2">
        <v>8.0</v>
      </c>
      <c r="C7709" s="2">
        <v>92.0</v>
      </c>
      <c r="D7709" s="2">
        <v>32.0</v>
      </c>
      <c r="E7709" s="3">
        <f t="shared" si="1"/>
        <v>0.380952381</v>
      </c>
      <c r="F7709" s="2">
        <v>7.0</v>
      </c>
      <c r="G7709" s="3">
        <f t="shared" si="2"/>
        <v>0.08333333333</v>
      </c>
      <c r="H7709" s="2">
        <v>13.0</v>
      </c>
      <c r="I7709" s="3">
        <f t="shared" si="3"/>
        <v>0.1547619048</v>
      </c>
      <c r="J7709" s="2">
        <v>9.0</v>
      </c>
      <c r="K7709" s="3">
        <f t="shared" si="4"/>
        <v>0.1071428571</v>
      </c>
      <c r="L7709" s="2">
        <v>10.0</v>
      </c>
      <c r="M7709" s="3">
        <f t="shared" si="5"/>
        <v>0.7692307692</v>
      </c>
      <c r="N7709" s="2">
        <v>41300.0</v>
      </c>
      <c r="O7709" s="4">
        <f t="shared" si="6"/>
        <v>3176.923077</v>
      </c>
      <c r="P7709" s="2">
        <v>0.0</v>
      </c>
      <c r="Q7709" s="3">
        <f t="shared" si="7"/>
        <v>0</v>
      </c>
      <c r="R7709" s="2">
        <v>8.0</v>
      </c>
      <c r="S7709" s="5">
        <f t="shared" si="8"/>
        <v>1</v>
      </c>
    </row>
    <row r="7710">
      <c r="A7710" s="2" t="s">
        <v>7705</v>
      </c>
      <c r="B7710" s="2">
        <v>1.0</v>
      </c>
      <c r="C7710" s="2">
        <v>13.0</v>
      </c>
      <c r="D7710" s="2">
        <v>5.0</v>
      </c>
      <c r="E7710" s="3">
        <f t="shared" si="1"/>
        <v>0.4166666667</v>
      </c>
      <c r="F7710" s="2">
        <v>1.0</v>
      </c>
      <c r="G7710" s="3">
        <f t="shared" si="2"/>
        <v>0.08333333333</v>
      </c>
      <c r="H7710" s="2">
        <v>3.0</v>
      </c>
      <c r="I7710" s="3">
        <f t="shared" si="3"/>
        <v>0.25</v>
      </c>
      <c r="J7710" s="2">
        <v>0.0</v>
      </c>
      <c r="K7710" s="3">
        <f t="shared" si="4"/>
        <v>0</v>
      </c>
      <c r="L7710" s="2">
        <v>2.0</v>
      </c>
      <c r="M7710" s="3">
        <f t="shared" si="5"/>
        <v>0.6666666667</v>
      </c>
      <c r="N7710" s="2">
        <v>10200.0</v>
      </c>
      <c r="O7710" s="4">
        <f t="shared" si="6"/>
        <v>3400</v>
      </c>
      <c r="P7710" s="2">
        <v>0.0</v>
      </c>
      <c r="Q7710" s="3">
        <f t="shared" si="7"/>
        <v>0</v>
      </c>
      <c r="R7710" s="2">
        <v>0.0</v>
      </c>
      <c r="S7710" s="5">
        <f t="shared" si="8"/>
        <v>0</v>
      </c>
    </row>
    <row r="7711">
      <c r="A7711" s="2" t="s">
        <v>7706</v>
      </c>
      <c r="B7711" s="2">
        <v>17.0</v>
      </c>
      <c r="C7711" s="2">
        <v>199.0</v>
      </c>
      <c r="D7711" s="2">
        <v>57.0</v>
      </c>
      <c r="E7711" s="3">
        <f t="shared" si="1"/>
        <v>0.3131868132</v>
      </c>
      <c r="F7711" s="2">
        <v>15.0</v>
      </c>
      <c r="G7711" s="3">
        <f t="shared" si="2"/>
        <v>0.08241758242</v>
      </c>
      <c r="H7711" s="2">
        <v>45.0</v>
      </c>
      <c r="I7711" s="3">
        <f t="shared" si="3"/>
        <v>0.2472527473</v>
      </c>
      <c r="J7711" s="2">
        <v>27.0</v>
      </c>
      <c r="K7711" s="3">
        <f t="shared" si="4"/>
        <v>0.1483516484</v>
      </c>
      <c r="L7711" s="2">
        <v>29.0</v>
      </c>
      <c r="M7711" s="3">
        <f t="shared" si="5"/>
        <v>0.6444444444</v>
      </c>
      <c r="N7711" s="2">
        <v>248700.0</v>
      </c>
      <c r="O7711" s="4">
        <f t="shared" si="6"/>
        <v>5526.666667</v>
      </c>
      <c r="P7711" s="2">
        <v>0.0</v>
      </c>
      <c r="Q7711" s="3">
        <f t="shared" si="7"/>
        <v>0</v>
      </c>
      <c r="R7711" s="2">
        <v>17.0</v>
      </c>
      <c r="S7711" s="5">
        <f t="shared" si="8"/>
        <v>1</v>
      </c>
    </row>
    <row r="7712">
      <c r="A7712" s="2" t="s">
        <v>7707</v>
      </c>
      <c r="B7712" s="2">
        <v>7.0</v>
      </c>
      <c r="C7712" s="2">
        <v>80.0</v>
      </c>
      <c r="D7712" s="2">
        <v>27.0</v>
      </c>
      <c r="E7712" s="3">
        <f t="shared" si="1"/>
        <v>0.3698630137</v>
      </c>
      <c r="F7712" s="2">
        <v>6.0</v>
      </c>
      <c r="G7712" s="3">
        <f t="shared" si="2"/>
        <v>0.08219178082</v>
      </c>
      <c r="H7712" s="2">
        <v>24.0</v>
      </c>
      <c r="I7712" s="3">
        <f t="shared" si="3"/>
        <v>0.3287671233</v>
      </c>
      <c r="J7712" s="2">
        <v>15.0</v>
      </c>
      <c r="K7712" s="3">
        <f t="shared" si="4"/>
        <v>0.2054794521</v>
      </c>
      <c r="L7712" s="2">
        <v>15.0</v>
      </c>
      <c r="M7712" s="3">
        <f t="shared" si="5"/>
        <v>0.625</v>
      </c>
      <c r="N7712" s="2">
        <v>117100.0</v>
      </c>
      <c r="O7712" s="4">
        <f t="shared" si="6"/>
        <v>4879.166667</v>
      </c>
      <c r="P7712" s="2">
        <v>0.0</v>
      </c>
      <c r="Q7712" s="3">
        <f t="shared" si="7"/>
        <v>0</v>
      </c>
      <c r="R7712" s="2">
        <v>7.0</v>
      </c>
      <c r="S7712" s="5">
        <f t="shared" si="8"/>
        <v>1</v>
      </c>
    </row>
    <row r="7713">
      <c r="A7713" s="2" t="s">
        <v>7708</v>
      </c>
      <c r="B7713" s="2">
        <v>5.0</v>
      </c>
      <c r="C7713" s="2">
        <v>54.0</v>
      </c>
      <c r="D7713" s="2">
        <v>14.0</v>
      </c>
      <c r="E7713" s="3">
        <f t="shared" si="1"/>
        <v>0.2857142857</v>
      </c>
      <c r="F7713" s="2">
        <v>4.0</v>
      </c>
      <c r="G7713" s="3">
        <f t="shared" si="2"/>
        <v>0.08163265306</v>
      </c>
      <c r="H7713" s="2">
        <v>11.0</v>
      </c>
      <c r="I7713" s="3">
        <f t="shared" si="3"/>
        <v>0.2244897959</v>
      </c>
      <c r="J7713" s="2">
        <v>11.0</v>
      </c>
      <c r="K7713" s="3">
        <f t="shared" si="4"/>
        <v>0.2244897959</v>
      </c>
      <c r="L7713" s="2">
        <v>6.0</v>
      </c>
      <c r="M7713" s="3">
        <f t="shared" si="5"/>
        <v>0.5454545455</v>
      </c>
      <c r="N7713" s="2">
        <v>64500.0</v>
      </c>
      <c r="O7713" s="4">
        <f t="shared" si="6"/>
        <v>5863.636364</v>
      </c>
      <c r="P7713" s="2">
        <v>0.0</v>
      </c>
      <c r="Q7713" s="3">
        <f t="shared" si="7"/>
        <v>0</v>
      </c>
      <c r="R7713" s="2">
        <v>0.0</v>
      </c>
      <c r="S7713" s="5">
        <f t="shared" si="8"/>
        <v>0</v>
      </c>
    </row>
    <row r="7714">
      <c r="A7714" s="2" t="s">
        <v>7709</v>
      </c>
      <c r="B7714" s="2">
        <v>71.0</v>
      </c>
      <c r="C7714" s="2">
        <v>845.0</v>
      </c>
      <c r="D7714" s="2">
        <v>250.0</v>
      </c>
      <c r="E7714" s="3">
        <f t="shared" si="1"/>
        <v>0.322997416</v>
      </c>
      <c r="F7714" s="2">
        <v>63.0</v>
      </c>
      <c r="G7714" s="3">
        <f t="shared" si="2"/>
        <v>0.08139534884</v>
      </c>
      <c r="H7714" s="2">
        <v>168.0</v>
      </c>
      <c r="I7714" s="3">
        <f t="shared" si="3"/>
        <v>0.2170542636</v>
      </c>
      <c r="J7714" s="2">
        <v>101.0</v>
      </c>
      <c r="K7714" s="3">
        <f t="shared" si="4"/>
        <v>0.1304909561</v>
      </c>
      <c r="L7714" s="2">
        <v>92.0</v>
      </c>
      <c r="M7714" s="3">
        <f t="shared" si="5"/>
        <v>0.5476190476</v>
      </c>
      <c r="N7714" s="2">
        <v>1005700.0</v>
      </c>
      <c r="O7714" s="4">
        <f t="shared" si="6"/>
        <v>5986.309524</v>
      </c>
      <c r="P7714" s="2">
        <v>0.0</v>
      </c>
      <c r="Q7714" s="3">
        <f t="shared" si="7"/>
        <v>0</v>
      </c>
      <c r="R7714" s="2">
        <v>71.0</v>
      </c>
      <c r="S7714" s="5">
        <f t="shared" si="8"/>
        <v>1</v>
      </c>
    </row>
    <row r="7715">
      <c r="A7715" s="2" t="s">
        <v>7710</v>
      </c>
      <c r="B7715" s="2">
        <v>18.0</v>
      </c>
      <c r="C7715" s="2">
        <v>203.0</v>
      </c>
      <c r="D7715" s="2">
        <v>80.0</v>
      </c>
      <c r="E7715" s="3">
        <f t="shared" si="1"/>
        <v>0.4324324324</v>
      </c>
      <c r="F7715" s="2">
        <v>15.0</v>
      </c>
      <c r="G7715" s="3">
        <f t="shared" si="2"/>
        <v>0.08108108108</v>
      </c>
      <c r="H7715" s="2">
        <v>39.0</v>
      </c>
      <c r="I7715" s="3">
        <f t="shared" si="3"/>
        <v>0.2108108108</v>
      </c>
      <c r="J7715" s="2">
        <v>33.0</v>
      </c>
      <c r="K7715" s="3">
        <f t="shared" si="4"/>
        <v>0.1783783784</v>
      </c>
      <c r="L7715" s="2">
        <v>21.0</v>
      </c>
      <c r="M7715" s="3">
        <f t="shared" si="5"/>
        <v>0.5384615385</v>
      </c>
      <c r="N7715" s="2">
        <v>200400.0</v>
      </c>
      <c r="O7715" s="4">
        <f t="shared" si="6"/>
        <v>5138.461538</v>
      </c>
      <c r="P7715" s="2">
        <v>0.0</v>
      </c>
      <c r="Q7715" s="3">
        <f t="shared" si="7"/>
        <v>0</v>
      </c>
      <c r="R7715" s="2">
        <v>18.0</v>
      </c>
      <c r="S7715" s="5">
        <f t="shared" si="8"/>
        <v>1</v>
      </c>
    </row>
    <row r="7716">
      <c r="A7716" s="2" t="s">
        <v>7711</v>
      </c>
      <c r="B7716" s="2">
        <v>5.0</v>
      </c>
      <c r="C7716" s="2">
        <v>67.0</v>
      </c>
      <c r="D7716" s="2">
        <v>25.0</v>
      </c>
      <c r="E7716" s="3">
        <f t="shared" si="1"/>
        <v>0.4032258065</v>
      </c>
      <c r="F7716" s="2">
        <v>5.0</v>
      </c>
      <c r="G7716" s="3">
        <f t="shared" si="2"/>
        <v>0.08064516129</v>
      </c>
      <c r="H7716" s="2">
        <v>14.0</v>
      </c>
      <c r="I7716" s="3">
        <f t="shared" si="3"/>
        <v>0.2258064516</v>
      </c>
      <c r="J7716" s="2">
        <v>7.0</v>
      </c>
      <c r="K7716" s="3">
        <f t="shared" si="4"/>
        <v>0.1129032258</v>
      </c>
      <c r="L7716" s="2">
        <v>7.0</v>
      </c>
      <c r="M7716" s="3">
        <f t="shared" si="5"/>
        <v>0.5</v>
      </c>
      <c r="N7716" s="2">
        <v>63700.0</v>
      </c>
      <c r="O7716" s="4">
        <f t="shared" si="6"/>
        <v>4550</v>
      </c>
      <c r="P7716" s="2">
        <v>0.0</v>
      </c>
      <c r="Q7716" s="3">
        <f t="shared" si="7"/>
        <v>0</v>
      </c>
      <c r="R7716" s="2">
        <v>0.0</v>
      </c>
      <c r="S7716" s="5">
        <f t="shared" si="8"/>
        <v>0</v>
      </c>
    </row>
    <row r="7717">
      <c r="A7717" s="2" t="s">
        <v>7712</v>
      </c>
      <c r="B7717" s="2">
        <v>11.0</v>
      </c>
      <c r="C7717" s="2">
        <v>123.0</v>
      </c>
      <c r="D7717" s="2">
        <v>31.0</v>
      </c>
      <c r="E7717" s="3">
        <f t="shared" si="1"/>
        <v>0.2767857143</v>
      </c>
      <c r="F7717" s="2">
        <v>9.0</v>
      </c>
      <c r="G7717" s="3">
        <f t="shared" si="2"/>
        <v>0.08035714286</v>
      </c>
      <c r="H7717" s="2">
        <v>21.0</v>
      </c>
      <c r="I7717" s="3">
        <f t="shared" si="3"/>
        <v>0.1875</v>
      </c>
      <c r="J7717" s="2">
        <v>16.0</v>
      </c>
      <c r="K7717" s="3">
        <f t="shared" si="4"/>
        <v>0.1428571429</v>
      </c>
      <c r="L7717" s="2">
        <v>14.0</v>
      </c>
      <c r="M7717" s="3">
        <f t="shared" si="5"/>
        <v>0.6666666667</v>
      </c>
      <c r="N7717" s="2">
        <v>110800.0</v>
      </c>
      <c r="O7717" s="4">
        <f t="shared" si="6"/>
        <v>5276.190476</v>
      </c>
      <c r="P7717" s="2">
        <v>0.0</v>
      </c>
      <c r="Q7717" s="3">
        <f t="shared" si="7"/>
        <v>0</v>
      </c>
      <c r="R7717" s="2">
        <v>11.0</v>
      </c>
      <c r="S7717" s="5">
        <f t="shared" si="8"/>
        <v>1</v>
      </c>
    </row>
    <row r="7718">
      <c r="A7718" s="2" t="s">
        <v>7713</v>
      </c>
      <c r="B7718" s="2">
        <v>2.0</v>
      </c>
      <c r="C7718" s="2">
        <v>27.0</v>
      </c>
      <c r="D7718" s="2">
        <v>6.0</v>
      </c>
      <c r="E7718" s="3">
        <f t="shared" si="1"/>
        <v>0.24</v>
      </c>
      <c r="F7718" s="2">
        <v>2.0</v>
      </c>
      <c r="G7718" s="3">
        <f t="shared" si="2"/>
        <v>0.08</v>
      </c>
      <c r="H7718" s="2">
        <v>7.0</v>
      </c>
      <c r="I7718" s="3">
        <f t="shared" si="3"/>
        <v>0.28</v>
      </c>
      <c r="J7718" s="2">
        <v>8.0</v>
      </c>
      <c r="K7718" s="3">
        <f t="shared" si="4"/>
        <v>0.32</v>
      </c>
      <c r="L7718" s="2">
        <v>2.0</v>
      </c>
      <c r="M7718" s="3">
        <f t="shared" si="5"/>
        <v>0.2857142857</v>
      </c>
      <c r="N7718" s="2">
        <v>35000.0</v>
      </c>
      <c r="O7718" s="4">
        <f t="shared" si="6"/>
        <v>5000</v>
      </c>
      <c r="P7718" s="2">
        <v>0.0</v>
      </c>
      <c r="Q7718" s="3">
        <f t="shared" si="7"/>
        <v>0</v>
      </c>
      <c r="R7718" s="2">
        <v>2.0</v>
      </c>
      <c r="S7718" s="5">
        <f t="shared" si="8"/>
        <v>1</v>
      </c>
    </row>
    <row r="7719">
      <c r="A7719" s="2" t="s">
        <v>7714</v>
      </c>
      <c r="B7719" s="2">
        <v>2.0</v>
      </c>
      <c r="C7719" s="2">
        <v>27.0</v>
      </c>
      <c r="D7719" s="2">
        <v>8.0</v>
      </c>
      <c r="E7719" s="3">
        <f t="shared" si="1"/>
        <v>0.32</v>
      </c>
      <c r="F7719" s="2">
        <v>2.0</v>
      </c>
      <c r="G7719" s="3">
        <f t="shared" si="2"/>
        <v>0.08</v>
      </c>
      <c r="H7719" s="2">
        <v>5.0</v>
      </c>
      <c r="I7719" s="3">
        <f t="shared" si="3"/>
        <v>0.2</v>
      </c>
      <c r="J7719" s="2">
        <v>2.0</v>
      </c>
      <c r="K7719" s="3">
        <f t="shared" si="4"/>
        <v>0.08</v>
      </c>
      <c r="L7719" s="2">
        <v>0.0</v>
      </c>
      <c r="M7719" s="3">
        <f t="shared" si="5"/>
        <v>0</v>
      </c>
      <c r="N7719" s="2">
        <v>41000.0</v>
      </c>
      <c r="O7719" s="4">
        <f t="shared" si="6"/>
        <v>8200</v>
      </c>
      <c r="P7719" s="2">
        <v>0.0</v>
      </c>
      <c r="Q7719" s="3">
        <f t="shared" si="7"/>
        <v>0</v>
      </c>
      <c r="R7719" s="2">
        <v>0.0</v>
      </c>
      <c r="S7719" s="5">
        <f t="shared" si="8"/>
        <v>0</v>
      </c>
    </row>
    <row r="7720">
      <c r="A7720" s="2" t="s">
        <v>7715</v>
      </c>
      <c r="B7720" s="2">
        <v>43.0</v>
      </c>
      <c r="C7720" s="2">
        <v>495.0</v>
      </c>
      <c r="D7720" s="2">
        <v>155.0</v>
      </c>
      <c r="E7720" s="3">
        <f t="shared" si="1"/>
        <v>0.342920354</v>
      </c>
      <c r="F7720" s="2">
        <v>36.0</v>
      </c>
      <c r="G7720" s="3">
        <f t="shared" si="2"/>
        <v>0.0796460177</v>
      </c>
      <c r="H7720" s="2">
        <v>94.0</v>
      </c>
      <c r="I7720" s="3">
        <f t="shared" si="3"/>
        <v>0.2079646018</v>
      </c>
      <c r="J7720" s="2">
        <v>57.0</v>
      </c>
      <c r="K7720" s="3">
        <f t="shared" si="4"/>
        <v>0.1261061947</v>
      </c>
      <c r="L7720" s="2">
        <v>56.0</v>
      </c>
      <c r="M7720" s="3">
        <f t="shared" si="5"/>
        <v>0.5957446809</v>
      </c>
      <c r="N7720" s="2">
        <v>559100.0</v>
      </c>
      <c r="O7720" s="4">
        <f t="shared" si="6"/>
        <v>5947.87234</v>
      </c>
      <c r="P7720" s="2">
        <v>0.0</v>
      </c>
      <c r="Q7720" s="3">
        <f t="shared" si="7"/>
        <v>0</v>
      </c>
      <c r="R7720" s="2">
        <v>43.0</v>
      </c>
      <c r="S7720" s="5">
        <f t="shared" si="8"/>
        <v>1</v>
      </c>
    </row>
    <row r="7721">
      <c r="A7721" s="2" t="s">
        <v>7716</v>
      </c>
      <c r="B7721" s="2">
        <v>9.0</v>
      </c>
      <c r="C7721" s="2">
        <v>97.0</v>
      </c>
      <c r="D7721" s="2">
        <v>19.0</v>
      </c>
      <c r="E7721" s="3">
        <f t="shared" si="1"/>
        <v>0.2159090909</v>
      </c>
      <c r="F7721" s="2">
        <v>7.0</v>
      </c>
      <c r="G7721" s="3">
        <f t="shared" si="2"/>
        <v>0.07954545455</v>
      </c>
      <c r="H7721" s="2">
        <v>12.0</v>
      </c>
      <c r="I7721" s="3">
        <f t="shared" si="3"/>
        <v>0.1363636364</v>
      </c>
      <c r="J7721" s="2">
        <v>15.0</v>
      </c>
      <c r="K7721" s="3">
        <f t="shared" si="4"/>
        <v>0.1704545455</v>
      </c>
      <c r="L7721" s="2">
        <v>5.0</v>
      </c>
      <c r="M7721" s="3">
        <f t="shared" si="5"/>
        <v>0.4166666667</v>
      </c>
      <c r="N7721" s="2">
        <v>88300.0</v>
      </c>
      <c r="O7721" s="4">
        <f t="shared" si="6"/>
        <v>7358.333333</v>
      </c>
      <c r="P7721" s="2">
        <v>0.0</v>
      </c>
      <c r="Q7721" s="3">
        <f t="shared" si="7"/>
        <v>0</v>
      </c>
      <c r="R7721" s="2">
        <v>9.0</v>
      </c>
      <c r="S7721" s="5">
        <f t="shared" si="8"/>
        <v>1</v>
      </c>
    </row>
    <row r="7722">
      <c r="A7722" s="2" t="s">
        <v>7717</v>
      </c>
      <c r="B7722" s="2">
        <v>4.0</v>
      </c>
      <c r="C7722" s="2">
        <v>42.0</v>
      </c>
      <c r="D7722" s="2">
        <v>10.0</v>
      </c>
      <c r="E7722" s="3">
        <f t="shared" si="1"/>
        <v>0.2631578947</v>
      </c>
      <c r="F7722" s="2">
        <v>3.0</v>
      </c>
      <c r="G7722" s="3">
        <f t="shared" si="2"/>
        <v>0.07894736842</v>
      </c>
      <c r="H7722" s="2">
        <v>10.0</v>
      </c>
      <c r="I7722" s="3">
        <f t="shared" si="3"/>
        <v>0.2631578947</v>
      </c>
      <c r="J7722" s="2">
        <v>11.0</v>
      </c>
      <c r="K7722" s="3">
        <f t="shared" si="4"/>
        <v>0.2894736842</v>
      </c>
      <c r="L7722" s="2">
        <v>8.0</v>
      </c>
      <c r="M7722" s="3">
        <f t="shared" si="5"/>
        <v>0.8</v>
      </c>
      <c r="N7722" s="2">
        <v>68300.0</v>
      </c>
      <c r="O7722" s="4">
        <f t="shared" si="6"/>
        <v>6830</v>
      </c>
      <c r="P7722" s="2">
        <v>0.0</v>
      </c>
      <c r="Q7722" s="3">
        <f t="shared" si="7"/>
        <v>0</v>
      </c>
      <c r="R7722" s="2">
        <v>0.0</v>
      </c>
      <c r="S7722" s="5">
        <f t="shared" si="8"/>
        <v>0</v>
      </c>
    </row>
    <row r="7723">
      <c r="A7723" s="2" t="s">
        <v>7718</v>
      </c>
      <c r="B7723" s="2">
        <v>26.0</v>
      </c>
      <c r="C7723" s="2">
        <v>318.0</v>
      </c>
      <c r="D7723" s="2">
        <v>90.0</v>
      </c>
      <c r="E7723" s="3">
        <f t="shared" si="1"/>
        <v>0.3082191781</v>
      </c>
      <c r="F7723" s="2">
        <v>23.0</v>
      </c>
      <c r="G7723" s="3">
        <f t="shared" si="2"/>
        <v>0.07876712329</v>
      </c>
      <c r="H7723" s="2">
        <v>57.0</v>
      </c>
      <c r="I7723" s="3">
        <f t="shared" si="3"/>
        <v>0.1952054795</v>
      </c>
      <c r="J7723" s="2">
        <v>42.0</v>
      </c>
      <c r="K7723" s="3">
        <f t="shared" si="4"/>
        <v>0.1438356164</v>
      </c>
      <c r="L7723" s="2">
        <v>34.0</v>
      </c>
      <c r="M7723" s="3">
        <f t="shared" si="5"/>
        <v>0.5964912281</v>
      </c>
      <c r="N7723" s="2">
        <v>285500.0</v>
      </c>
      <c r="O7723" s="4">
        <f t="shared" si="6"/>
        <v>5008.77193</v>
      </c>
      <c r="P7723" s="2">
        <v>0.0</v>
      </c>
      <c r="Q7723" s="3">
        <f t="shared" si="7"/>
        <v>0</v>
      </c>
      <c r="R7723" s="2">
        <v>26.0</v>
      </c>
      <c r="S7723" s="5">
        <f t="shared" si="8"/>
        <v>1</v>
      </c>
    </row>
    <row r="7724">
      <c r="A7724" s="2" t="s">
        <v>7719</v>
      </c>
      <c r="B7724" s="2">
        <v>23.0</v>
      </c>
      <c r="C7724" s="2">
        <v>281.0</v>
      </c>
      <c r="D7724" s="2">
        <v>75.0</v>
      </c>
      <c r="E7724" s="3">
        <f t="shared" si="1"/>
        <v>0.2906976744</v>
      </c>
      <c r="F7724" s="2">
        <v>20.0</v>
      </c>
      <c r="G7724" s="3">
        <f t="shared" si="2"/>
        <v>0.07751937984</v>
      </c>
      <c r="H7724" s="2">
        <v>52.0</v>
      </c>
      <c r="I7724" s="3">
        <f t="shared" si="3"/>
        <v>0.2015503876</v>
      </c>
      <c r="J7724" s="2">
        <v>36.0</v>
      </c>
      <c r="K7724" s="3">
        <f t="shared" si="4"/>
        <v>0.1395348837</v>
      </c>
      <c r="L7724" s="2">
        <v>35.0</v>
      </c>
      <c r="M7724" s="3">
        <f t="shared" si="5"/>
        <v>0.6730769231</v>
      </c>
      <c r="N7724" s="2">
        <v>282500.0</v>
      </c>
      <c r="O7724" s="4">
        <f t="shared" si="6"/>
        <v>5432.692308</v>
      </c>
      <c r="P7724" s="2">
        <v>0.0</v>
      </c>
      <c r="Q7724" s="3">
        <f t="shared" si="7"/>
        <v>0</v>
      </c>
      <c r="R7724" s="2">
        <v>9.0</v>
      </c>
      <c r="S7724" s="5">
        <f t="shared" si="8"/>
        <v>0.3913043478</v>
      </c>
    </row>
    <row r="7725">
      <c r="A7725" s="2" t="s">
        <v>7720</v>
      </c>
      <c r="B7725" s="2">
        <v>6.0</v>
      </c>
      <c r="C7725" s="2">
        <v>71.0</v>
      </c>
      <c r="D7725" s="2">
        <v>18.0</v>
      </c>
      <c r="E7725" s="3">
        <f t="shared" si="1"/>
        <v>0.2769230769</v>
      </c>
      <c r="F7725" s="2">
        <v>5.0</v>
      </c>
      <c r="G7725" s="3">
        <f t="shared" si="2"/>
        <v>0.07692307692</v>
      </c>
      <c r="H7725" s="2">
        <v>16.0</v>
      </c>
      <c r="I7725" s="3">
        <f t="shared" si="3"/>
        <v>0.2461538462</v>
      </c>
      <c r="J7725" s="2">
        <v>15.0</v>
      </c>
      <c r="K7725" s="3">
        <f t="shared" si="4"/>
        <v>0.2307692308</v>
      </c>
      <c r="L7725" s="2">
        <v>12.0</v>
      </c>
      <c r="M7725" s="3">
        <f t="shared" si="5"/>
        <v>0.75</v>
      </c>
      <c r="N7725" s="2">
        <v>75300.0</v>
      </c>
      <c r="O7725" s="4">
        <f t="shared" si="6"/>
        <v>4706.25</v>
      </c>
      <c r="P7725" s="2">
        <v>0.0</v>
      </c>
      <c r="Q7725" s="3">
        <f t="shared" si="7"/>
        <v>0</v>
      </c>
      <c r="R7725" s="2">
        <v>6.0</v>
      </c>
      <c r="S7725" s="5">
        <f t="shared" si="8"/>
        <v>1</v>
      </c>
    </row>
    <row r="7726">
      <c r="A7726" s="2" t="s">
        <v>7721</v>
      </c>
      <c r="B7726" s="2">
        <v>1.0</v>
      </c>
      <c r="C7726" s="2">
        <v>14.0</v>
      </c>
      <c r="D7726" s="2">
        <v>3.0</v>
      </c>
      <c r="E7726" s="3">
        <f t="shared" si="1"/>
        <v>0.2307692308</v>
      </c>
      <c r="F7726" s="2">
        <v>1.0</v>
      </c>
      <c r="G7726" s="3">
        <f t="shared" si="2"/>
        <v>0.07692307692</v>
      </c>
      <c r="H7726" s="2">
        <v>2.0</v>
      </c>
      <c r="I7726" s="3">
        <f t="shared" si="3"/>
        <v>0.1538461538</v>
      </c>
      <c r="J7726" s="2">
        <v>2.0</v>
      </c>
      <c r="K7726" s="3">
        <f t="shared" si="4"/>
        <v>0.1538461538</v>
      </c>
      <c r="L7726" s="2">
        <v>0.0</v>
      </c>
      <c r="M7726" s="3">
        <f t="shared" si="5"/>
        <v>0</v>
      </c>
      <c r="N7726" s="2">
        <v>15700.0</v>
      </c>
      <c r="O7726" s="4">
        <f t="shared" si="6"/>
        <v>7850</v>
      </c>
      <c r="P7726" s="2">
        <v>0.0</v>
      </c>
      <c r="Q7726" s="3">
        <f t="shared" si="7"/>
        <v>0</v>
      </c>
      <c r="R7726" s="2">
        <v>1.0</v>
      </c>
      <c r="S7726" s="5">
        <f t="shared" si="8"/>
        <v>1</v>
      </c>
    </row>
    <row r="7727">
      <c r="A7727" s="2" t="s">
        <v>7722</v>
      </c>
      <c r="B7727" s="2">
        <v>13.0</v>
      </c>
      <c r="C7727" s="2">
        <v>143.0</v>
      </c>
      <c r="D7727" s="2">
        <v>41.0</v>
      </c>
      <c r="E7727" s="3">
        <f t="shared" si="1"/>
        <v>0.3153846154</v>
      </c>
      <c r="F7727" s="2">
        <v>10.0</v>
      </c>
      <c r="G7727" s="3">
        <f t="shared" si="2"/>
        <v>0.07692307692</v>
      </c>
      <c r="H7727" s="2">
        <v>28.0</v>
      </c>
      <c r="I7727" s="3">
        <f t="shared" si="3"/>
        <v>0.2153846154</v>
      </c>
      <c r="J7727" s="2">
        <v>14.0</v>
      </c>
      <c r="K7727" s="3">
        <f t="shared" si="4"/>
        <v>0.1076923077</v>
      </c>
      <c r="L7727" s="2">
        <v>16.0</v>
      </c>
      <c r="M7727" s="3">
        <f t="shared" si="5"/>
        <v>0.5714285714</v>
      </c>
      <c r="N7727" s="2">
        <v>161200.0</v>
      </c>
      <c r="O7727" s="4">
        <f t="shared" si="6"/>
        <v>5757.142857</v>
      </c>
      <c r="P7727" s="2">
        <v>0.0</v>
      </c>
      <c r="Q7727" s="3">
        <f t="shared" si="7"/>
        <v>0</v>
      </c>
      <c r="R7727" s="2">
        <v>13.0</v>
      </c>
      <c r="S7727" s="5">
        <f t="shared" si="8"/>
        <v>1</v>
      </c>
    </row>
    <row r="7728">
      <c r="A7728" s="2" t="s">
        <v>7723</v>
      </c>
      <c r="B7728" s="2">
        <v>41.0</v>
      </c>
      <c r="C7728" s="2">
        <v>486.0</v>
      </c>
      <c r="D7728" s="2">
        <v>139.0</v>
      </c>
      <c r="E7728" s="3">
        <f t="shared" si="1"/>
        <v>0.3123595506</v>
      </c>
      <c r="F7728" s="2">
        <v>34.0</v>
      </c>
      <c r="G7728" s="3">
        <f t="shared" si="2"/>
        <v>0.07640449438</v>
      </c>
      <c r="H7728" s="2">
        <v>117.0</v>
      </c>
      <c r="I7728" s="3">
        <f t="shared" si="3"/>
        <v>0.2629213483</v>
      </c>
      <c r="J7728" s="2">
        <v>90.0</v>
      </c>
      <c r="K7728" s="3">
        <f t="shared" si="4"/>
        <v>0.202247191</v>
      </c>
      <c r="L7728" s="2">
        <v>72.0</v>
      </c>
      <c r="M7728" s="3">
        <f t="shared" si="5"/>
        <v>0.6153846154</v>
      </c>
      <c r="N7728" s="2">
        <v>693000.0</v>
      </c>
      <c r="O7728" s="4">
        <f t="shared" si="6"/>
        <v>5923.076923</v>
      </c>
      <c r="P7728" s="2">
        <v>0.0</v>
      </c>
      <c r="Q7728" s="3">
        <f t="shared" si="7"/>
        <v>0</v>
      </c>
      <c r="R7728" s="2">
        <v>41.0</v>
      </c>
      <c r="S7728" s="5">
        <f t="shared" si="8"/>
        <v>1</v>
      </c>
    </row>
    <row r="7729">
      <c r="A7729" s="2" t="s">
        <v>7724</v>
      </c>
      <c r="B7729" s="2">
        <v>79.0</v>
      </c>
      <c r="C7729" s="2">
        <v>937.0</v>
      </c>
      <c r="D7729" s="2">
        <v>279.0</v>
      </c>
      <c r="E7729" s="3">
        <f t="shared" si="1"/>
        <v>0.3251748252</v>
      </c>
      <c r="F7729" s="2">
        <v>65.0</v>
      </c>
      <c r="G7729" s="3">
        <f t="shared" si="2"/>
        <v>0.07575757576</v>
      </c>
      <c r="H7729" s="2">
        <v>172.0</v>
      </c>
      <c r="I7729" s="3">
        <f t="shared" si="3"/>
        <v>0.2004662005</v>
      </c>
      <c r="J7729" s="2">
        <v>112.0</v>
      </c>
      <c r="K7729" s="3">
        <f t="shared" si="4"/>
        <v>0.1305361305</v>
      </c>
      <c r="L7729" s="2">
        <v>96.0</v>
      </c>
      <c r="M7729" s="3">
        <f t="shared" si="5"/>
        <v>0.5581395349</v>
      </c>
      <c r="N7729" s="2">
        <v>925500.0</v>
      </c>
      <c r="O7729" s="4">
        <f t="shared" si="6"/>
        <v>5380.813953</v>
      </c>
      <c r="P7729" s="2">
        <v>0.0</v>
      </c>
      <c r="Q7729" s="3">
        <f t="shared" si="7"/>
        <v>0</v>
      </c>
      <c r="R7729" s="2">
        <v>71.0</v>
      </c>
      <c r="S7729" s="5">
        <f t="shared" si="8"/>
        <v>0.8987341772</v>
      </c>
    </row>
    <row r="7730">
      <c r="A7730" s="2" t="s">
        <v>7725</v>
      </c>
      <c r="B7730" s="2">
        <v>5.0</v>
      </c>
      <c r="C7730" s="2">
        <v>59.0</v>
      </c>
      <c r="D7730" s="2">
        <v>24.0</v>
      </c>
      <c r="E7730" s="3">
        <f t="shared" si="1"/>
        <v>0.4444444444</v>
      </c>
      <c r="F7730" s="2">
        <v>4.0</v>
      </c>
      <c r="G7730" s="3">
        <f t="shared" si="2"/>
        <v>0.07407407407</v>
      </c>
      <c r="H7730" s="2">
        <v>14.0</v>
      </c>
      <c r="I7730" s="3">
        <f t="shared" si="3"/>
        <v>0.2592592593</v>
      </c>
      <c r="J7730" s="2">
        <v>7.0</v>
      </c>
      <c r="K7730" s="3">
        <f t="shared" si="4"/>
        <v>0.1296296296</v>
      </c>
      <c r="L7730" s="2">
        <v>10.0</v>
      </c>
      <c r="M7730" s="3">
        <f t="shared" si="5"/>
        <v>0.7142857143</v>
      </c>
      <c r="N7730" s="2">
        <v>44200.0</v>
      </c>
      <c r="O7730" s="4">
        <f t="shared" si="6"/>
        <v>3157.142857</v>
      </c>
      <c r="P7730" s="2">
        <v>0.0</v>
      </c>
      <c r="Q7730" s="3">
        <f t="shared" si="7"/>
        <v>0</v>
      </c>
      <c r="R7730" s="2">
        <v>5.0</v>
      </c>
      <c r="S7730" s="5">
        <f t="shared" si="8"/>
        <v>1</v>
      </c>
    </row>
    <row r="7731">
      <c r="A7731" s="2" t="s">
        <v>7726</v>
      </c>
      <c r="B7731" s="2">
        <v>2.0</v>
      </c>
      <c r="C7731" s="2">
        <v>29.0</v>
      </c>
      <c r="D7731" s="2">
        <v>11.0</v>
      </c>
      <c r="E7731" s="3">
        <f t="shared" si="1"/>
        <v>0.4074074074</v>
      </c>
      <c r="F7731" s="2">
        <v>2.0</v>
      </c>
      <c r="G7731" s="3">
        <f t="shared" si="2"/>
        <v>0.07407407407</v>
      </c>
      <c r="H7731" s="2">
        <v>7.0</v>
      </c>
      <c r="I7731" s="3">
        <f t="shared" si="3"/>
        <v>0.2592592593</v>
      </c>
      <c r="J7731" s="2">
        <v>2.0</v>
      </c>
      <c r="K7731" s="3">
        <f t="shared" si="4"/>
        <v>0.07407407407</v>
      </c>
      <c r="L7731" s="2">
        <v>4.0</v>
      </c>
      <c r="M7731" s="3">
        <f t="shared" si="5"/>
        <v>0.5714285714</v>
      </c>
      <c r="N7731" s="2">
        <v>39600.0</v>
      </c>
      <c r="O7731" s="4">
        <f t="shared" si="6"/>
        <v>5657.142857</v>
      </c>
      <c r="P7731" s="2">
        <v>0.0</v>
      </c>
      <c r="Q7731" s="3">
        <f t="shared" si="7"/>
        <v>0</v>
      </c>
      <c r="R7731" s="2">
        <v>2.0</v>
      </c>
      <c r="S7731" s="5">
        <f t="shared" si="8"/>
        <v>1</v>
      </c>
    </row>
    <row r="7732">
      <c r="A7732" s="2" t="s">
        <v>7727</v>
      </c>
      <c r="B7732" s="2">
        <v>13.0</v>
      </c>
      <c r="C7732" s="2">
        <v>162.0</v>
      </c>
      <c r="D7732" s="2">
        <v>59.0</v>
      </c>
      <c r="E7732" s="3">
        <f t="shared" si="1"/>
        <v>0.3959731544</v>
      </c>
      <c r="F7732" s="2">
        <v>11.0</v>
      </c>
      <c r="G7732" s="3">
        <f t="shared" si="2"/>
        <v>0.07382550336</v>
      </c>
      <c r="H7732" s="2">
        <v>33.0</v>
      </c>
      <c r="I7732" s="3">
        <f t="shared" si="3"/>
        <v>0.2214765101</v>
      </c>
      <c r="J7732" s="2">
        <v>24.0</v>
      </c>
      <c r="K7732" s="3">
        <f t="shared" si="4"/>
        <v>0.1610738255</v>
      </c>
      <c r="L7732" s="2">
        <v>19.0</v>
      </c>
      <c r="M7732" s="3">
        <f t="shared" si="5"/>
        <v>0.5757575758</v>
      </c>
      <c r="N7732" s="2">
        <v>192700.0</v>
      </c>
      <c r="O7732" s="4">
        <f t="shared" si="6"/>
        <v>5839.393939</v>
      </c>
      <c r="P7732" s="2">
        <v>0.0</v>
      </c>
      <c r="Q7732" s="3">
        <f t="shared" si="7"/>
        <v>0</v>
      </c>
      <c r="R7732" s="2">
        <v>13.0</v>
      </c>
      <c r="S7732" s="5">
        <f t="shared" si="8"/>
        <v>1</v>
      </c>
    </row>
    <row r="7733">
      <c r="A7733" s="2" t="s">
        <v>7728</v>
      </c>
      <c r="B7733" s="2">
        <v>18.0</v>
      </c>
      <c r="C7733" s="2">
        <v>208.0</v>
      </c>
      <c r="D7733" s="2">
        <v>48.0</v>
      </c>
      <c r="E7733" s="3">
        <f t="shared" si="1"/>
        <v>0.2526315789</v>
      </c>
      <c r="F7733" s="2">
        <v>14.0</v>
      </c>
      <c r="G7733" s="3">
        <f t="shared" si="2"/>
        <v>0.07368421053</v>
      </c>
      <c r="H7733" s="2">
        <v>44.0</v>
      </c>
      <c r="I7733" s="3">
        <f t="shared" si="3"/>
        <v>0.2315789474</v>
      </c>
      <c r="J7733" s="2">
        <v>26.0</v>
      </c>
      <c r="K7733" s="3">
        <f t="shared" si="4"/>
        <v>0.1368421053</v>
      </c>
      <c r="L7733" s="2">
        <v>28.0</v>
      </c>
      <c r="M7733" s="3">
        <f t="shared" si="5"/>
        <v>0.6363636364</v>
      </c>
      <c r="N7733" s="2">
        <v>299100.0</v>
      </c>
      <c r="O7733" s="4">
        <f t="shared" si="6"/>
        <v>6797.727273</v>
      </c>
      <c r="P7733" s="2">
        <v>0.0</v>
      </c>
      <c r="Q7733" s="3">
        <f t="shared" si="7"/>
        <v>0</v>
      </c>
      <c r="R7733" s="2">
        <v>18.0</v>
      </c>
      <c r="S7733" s="5">
        <f t="shared" si="8"/>
        <v>1</v>
      </c>
    </row>
    <row r="7734">
      <c r="A7734" s="2" t="s">
        <v>7729</v>
      </c>
      <c r="B7734" s="2">
        <v>12.0</v>
      </c>
      <c r="C7734" s="2">
        <v>148.0</v>
      </c>
      <c r="D7734" s="2">
        <v>49.0</v>
      </c>
      <c r="E7734" s="3">
        <f t="shared" si="1"/>
        <v>0.3602941176</v>
      </c>
      <c r="F7734" s="2">
        <v>10.0</v>
      </c>
      <c r="G7734" s="3">
        <f t="shared" si="2"/>
        <v>0.07352941176</v>
      </c>
      <c r="H7734" s="2">
        <v>28.0</v>
      </c>
      <c r="I7734" s="3">
        <f t="shared" si="3"/>
        <v>0.2058823529</v>
      </c>
      <c r="J7734" s="2">
        <v>25.0</v>
      </c>
      <c r="K7734" s="3">
        <f t="shared" si="4"/>
        <v>0.1838235294</v>
      </c>
      <c r="L7734" s="2">
        <v>17.0</v>
      </c>
      <c r="M7734" s="3">
        <f t="shared" si="5"/>
        <v>0.6071428571</v>
      </c>
      <c r="N7734" s="2">
        <v>157500.0</v>
      </c>
      <c r="O7734" s="4">
        <f t="shared" si="6"/>
        <v>5625</v>
      </c>
      <c r="P7734" s="2">
        <v>0.0</v>
      </c>
      <c r="Q7734" s="3">
        <f t="shared" si="7"/>
        <v>0</v>
      </c>
      <c r="R7734" s="2">
        <v>12.0</v>
      </c>
      <c r="S7734" s="5">
        <f t="shared" si="8"/>
        <v>1</v>
      </c>
    </row>
    <row r="7735">
      <c r="A7735" s="2" t="s">
        <v>7730</v>
      </c>
      <c r="B7735" s="2">
        <v>14.0</v>
      </c>
      <c r="C7735" s="2">
        <v>151.0</v>
      </c>
      <c r="D7735" s="2">
        <v>73.0</v>
      </c>
      <c r="E7735" s="3">
        <f t="shared" si="1"/>
        <v>0.5328467153</v>
      </c>
      <c r="F7735" s="2">
        <v>10.0</v>
      </c>
      <c r="G7735" s="3">
        <f t="shared" si="2"/>
        <v>0.07299270073</v>
      </c>
      <c r="H7735" s="2">
        <v>29.0</v>
      </c>
      <c r="I7735" s="3">
        <f t="shared" si="3"/>
        <v>0.2116788321</v>
      </c>
      <c r="J7735" s="2">
        <v>17.0</v>
      </c>
      <c r="K7735" s="3">
        <f t="shared" si="4"/>
        <v>0.1240875912</v>
      </c>
      <c r="L7735" s="2">
        <v>18.0</v>
      </c>
      <c r="M7735" s="3">
        <f t="shared" si="5"/>
        <v>0.6206896552</v>
      </c>
      <c r="N7735" s="2">
        <v>125700.0</v>
      </c>
      <c r="O7735" s="4">
        <f t="shared" si="6"/>
        <v>4334.482759</v>
      </c>
      <c r="P7735" s="2">
        <v>0.0</v>
      </c>
      <c r="Q7735" s="3">
        <f t="shared" si="7"/>
        <v>0</v>
      </c>
      <c r="R7735" s="2">
        <v>14.0</v>
      </c>
      <c r="S7735" s="5">
        <f t="shared" si="8"/>
        <v>1</v>
      </c>
    </row>
    <row r="7736">
      <c r="A7736" s="2" t="s">
        <v>7731</v>
      </c>
      <c r="B7736" s="2">
        <v>13.0</v>
      </c>
      <c r="C7736" s="2">
        <v>165.0</v>
      </c>
      <c r="D7736" s="2">
        <v>58.0</v>
      </c>
      <c r="E7736" s="3">
        <f t="shared" si="1"/>
        <v>0.3815789474</v>
      </c>
      <c r="F7736" s="2">
        <v>11.0</v>
      </c>
      <c r="G7736" s="3">
        <f t="shared" si="2"/>
        <v>0.07236842105</v>
      </c>
      <c r="H7736" s="2">
        <v>30.0</v>
      </c>
      <c r="I7736" s="3">
        <f t="shared" si="3"/>
        <v>0.1973684211</v>
      </c>
      <c r="J7736" s="2">
        <v>19.0</v>
      </c>
      <c r="K7736" s="3">
        <f t="shared" si="4"/>
        <v>0.125</v>
      </c>
      <c r="L7736" s="2">
        <v>16.0</v>
      </c>
      <c r="M7736" s="3">
        <f t="shared" si="5"/>
        <v>0.5333333333</v>
      </c>
      <c r="N7736" s="2">
        <v>203600.0</v>
      </c>
      <c r="O7736" s="4">
        <f t="shared" si="6"/>
        <v>6786.666667</v>
      </c>
      <c r="P7736" s="2">
        <v>0.0</v>
      </c>
      <c r="Q7736" s="3">
        <f t="shared" si="7"/>
        <v>0</v>
      </c>
      <c r="R7736" s="2">
        <v>13.0</v>
      </c>
      <c r="S7736" s="5">
        <f t="shared" si="8"/>
        <v>1</v>
      </c>
    </row>
    <row r="7737">
      <c r="A7737" s="2" t="s">
        <v>7732</v>
      </c>
      <c r="B7737" s="2">
        <v>8.0</v>
      </c>
      <c r="C7737" s="2">
        <v>91.0</v>
      </c>
      <c r="D7737" s="2">
        <v>29.0</v>
      </c>
      <c r="E7737" s="3">
        <f t="shared" si="1"/>
        <v>0.3493975904</v>
      </c>
      <c r="F7737" s="2">
        <v>6.0</v>
      </c>
      <c r="G7737" s="3">
        <f t="shared" si="2"/>
        <v>0.07228915663</v>
      </c>
      <c r="H7737" s="2">
        <v>13.0</v>
      </c>
      <c r="I7737" s="3">
        <f t="shared" si="3"/>
        <v>0.156626506</v>
      </c>
      <c r="J7737" s="2">
        <v>12.0</v>
      </c>
      <c r="K7737" s="3">
        <f t="shared" si="4"/>
        <v>0.1445783133</v>
      </c>
      <c r="L7737" s="2">
        <v>9.0</v>
      </c>
      <c r="M7737" s="3">
        <f t="shared" si="5"/>
        <v>0.6923076923</v>
      </c>
      <c r="N7737" s="2">
        <v>101800.0</v>
      </c>
      <c r="O7737" s="4">
        <f t="shared" si="6"/>
        <v>7830.769231</v>
      </c>
      <c r="P7737" s="2">
        <v>0.0</v>
      </c>
      <c r="Q7737" s="3">
        <f t="shared" si="7"/>
        <v>0</v>
      </c>
      <c r="R7737" s="2">
        <v>8.0</v>
      </c>
      <c r="S7737" s="5">
        <f t="shared" si="8"/>
        <v>1</v>
      </c>
    </row>
    <row r="7738">
      <c r="A7738" s="2" t="s">
        <v>7733</v>
      </c>
      <c r="B7738" s="2">
        <v>33.0</v>
      </c>
      <c r="C7738" s="2">
        <v>367.0</v>
      </c>
      <c r="D7738" s="2">
        <v>43.0</v>
      </c>
      <c r="E7738" s="3">
        <f t="shared" si="1"/>
        <v>0.128742515</v>
      </c>
      <c r="F7738" s="2">
        <v>24.0</v>
      </c>
      <c r="G7738" s="3">
        <f t="shared" si="2"/>
        <v>0.07185628743</v>
      </c>
      <c r="H7738" s="2">
        <v>52.0</v>
      </c>
      <c r="I7738" s="3">
        <f t="shared" si="3"/>
        <v>0.1556886228</v>
      </c>
      <c r="J7738" s="2">
        <v>52.0</v>
      </c>
      <c r="K7738" s="3">
        <f t="shared" si="4"/>
        <v>0.1556886228</v>
      </c>
      <c r="L7738" s="2">
        <v>33.0</v>
      </c>
      <c r="M7738" s="3">
        <f t="shared" si="5"/>
        <v>0.6346153846</v>
      </c>
      <c r="N7738" s="2">
        <v>340500.0</v>
      </c>
      <c r="O7738" s="4">
        <f t="shared" si="6"/>
        <v>6548.076923</v>
      </c>
      <c r="P7738" s="2">
        <v>0.0</v>
      </c>
      <c r="Q7738" s="3">
        <f t="shared" si="7"/>
        <v>0</v>
      </c>
      <c r="R7738" s="2">
        <v>0.0</v>
      </c>
      <c r="S7738" s="5">
        <f t="shared" si="8"/>
        <v>0</v>
      </c>
    </row>
    <row r="7739">
      <c r="A7739" s="2" t="s">
        <v>7734</v>
      </c>
      <c r="B7739" s="2">
        <v>19.0</v>
      </c>
      <c r="C7739" s="2">
        <v>215.0</v>
      </c>
      <c r="D7739" s="2">
        <v>61.0</v>
      </c>
      <c r="E7739" s="3">
        <f t="shared" si="1"/>
        <v>0.3112244898</v>
      </c>
      <c r="F7739" s="2">
        <v>14.0</v>
      </c>
      <c r="G7739" s="3">
        <f t="shared" si="2"/>
        <v>0.07142857143</v>
      </c>
      <c r="H7739" s="2">
        <v>47.0</v>
      </c>
      <c r="I7739" s="3">
        <f t="shared" si="3"/>
        <v>0.2397959184</v>
      </c>
      <c r="J7739" s="2">
        <v>31.0</v>
      </c>
      <c r="K7739" s="3">
        <f t="shared" si="4"/>
        <v>0.1581632653</v>
      </c>
      <c r="L7739" s="2">
        <v>33.0</v>
      </c>
      <c r="M7739" s="3">
        <f t="shared" si="5"/>
        <v>0.7021276596</v>
      </c>
      <c r="N7739" s="2">
        <v>221200.0</v>
      </c>
      <c r="O7739" s="4">
        <f t="shared" si="6"/>
        <v>4706.382979</v>
      </c>
      <c r="P7739" s="2">
        <v>0.0</v>
      </c>
      <c r="Q7739" s="3">
        <f t="shared" si="7"/>
        <v>0</v>
      </c>
      <c r="R7739" s="2">
        <v>19.0</v>
      </c>
      <c r="S7739" s="5">
        <f t="shared" si="8"/>
        <v>1</v>
      </c>
    </row>
    <row r="7740">
      <c r="A7740" s="2" t="s">
        <v>7735</v>
      </c>
      <c r="B7740" s="2">
        <v>2.0</v>
      </c>
      <c r="C7740" s="2">
        <v>30.0</v>
      </c>
      <c r="D7740" s="2">
        <v>10.0</v>
      </c>
      <c r="E7740" s="3">
        <f t="shared" si="1"/>
        <v>0.3571428571</v>
      </c>
      <c r="F7740" s="2">
        <v>2.0</v>
      </c>
      <c r="G7740" s="3">
        <f t="shared" si="2"/>
        <v>0.07142857143</v>
      </c>
      <c r="H7740" s="2">
        <v>1.0</v>
      </c>
      <c r="I7740" s="3">
        <f t="shared" si="3"/>
        <v>0.03571428571</v>
      </c>
      <c r="J7740" s="2">
        <v>0.0</v>
      </c>
      <c r="K7740" s="3">
        <f t="shared" si="4"/>
        <v>0</v>
      </c>
      <c r="L7740" s="2">
        <v>1.0</v>
      </c>
      <c r="M7740" s="3">
        <f t="shared" si="5"/>
        <v>1</v>
      </c>
      <c r="N7740" s="2">
        <v>2900.0</v>
      </c>
      <c r="O7740" s="4">
        <f t="shared" si="6"/>
        <v>2900</v>
      </c>
      <c r="P7740" s="2">
        <v>0.0</v>
      </c>
      <c r="Q7740" s="3">
        <f t="shared" si="7"/>
        <v>0</v>
      </c>
      <c r="R7740" s="2">
        <v>2.0</v>
      </c>
      <c r="S7740" s="5">
        <f t="shared" si="8"/>
        <v>1</v>
      </c>
    </row>
    <row r="7741">
      <c r="A7741" s="2" t="s">
        <v>7736</v>
      </c>
      <c r="B7741" s="2">
        <v>18.0</v>
      </c>
      <c r="C7741" s="2">
        <v>205.0</v>
      </c>
      <c r="D7741" s="2">
        <v>58.0</v>
      </c>
      <c r="E7741" s="3">
        <f t="shared" si="1"/>
        <v>0.3101604278</v>
      </c>
      <c r="F7741" s="2">
        <v>13.0</v>
      </c>
      <c r="G7741" s="3">
        <f t="shared" si="2"/>
        <v>0.06951871658</v>
      </c>
      <c r="H7741" s="2">
        <v>52.0</v>
      </c>
      <c r="I7741" s="3">
        <f t="shared" si="3"/>
        <v>0.2780748663</v>
      </c>
      <c r="J7741" s="2">
        <v>36.0</v>
      </c>
      <c r="K7741" s="3">
        <f t="shared" si="4"/>
        <v>0.192513369</v>
      </c>
      <c r="L7741" s="2">
        <v>30.0</v>
      </c>
      <c r="M7741" s="3">
        <f t="shared" si="5"/>
        <v>0.5769230769</v>
      </c>
      <c r="N7741" s="2">
        <v>290600.0</v>
      </c>
      <c r="O7741" s="4">
        <f t="shared" si="6"/>
        <v>5588.461538</v>
      </c>
      <c r="P7741" s="2">
        <v>0.0</v>
      </c>
      <c r="Q7741" s="3">
        <f t="shared" si="7"/>
        <v>0</v>
      </c>
      <c r="R7741" s="2">
        <v>18.0</v>
      </c>
      <c r="S7741" s="5">
        <f t="shared" si="8"/>
        <v>1</v>
      </c>
    </row>
    <row r="7742">
      <c r="A7742" s="2" t="s">
        <v>7737</v>
      </c>
      <c r="B7742" s="2">
        <v>5.0</v>
      </c>
      <c r="C7742" s="2">
        <v>63.0</v>
      </c>
      <c r="D7742" s="2">
        <v>24.0</v>
      </c>
      <c r="E7742" s="3">
        <f t="shared" si="1"/>
        <v>0.4137931034</v>
      </c>
      <c r="F7742" s="2">
        <v>4.0</v>
      </c>
      <c r="G7742" s="3">
        <f t="shared" si="2"/>
        <v>0.06896551724</v>
      </c>
      <c r="H7742" s="2">
        <v>14.0</v>
      </c>
      <c r="I7742" s="3">
        <f t="shared" si="3"/>
        <v>0.2413793103</v>
      </c>
      <c r="J7742" s="2">
        <v>10.0</v>
      </c>
      <c r="K7742" s="3">
        <f t="shared" si="4"/>
        <v>0.1724137931</v>
      </c>
      <c r="L7742" s="2">
        <v>7.0</v>
      </c>
      <c r="M7742" s="3">
        <f t="shared" si="5"/>
        <v>0.5</v>
      </c>
      <c r="N7742" s="2">
        <v>69700.0</v>
      </c>
      <c r="O7742" s="4">
        <f t="shared" si="6"/>
        <v>4978.571429</v>
      </c>
      <c r="P7742" s="2">
        <v>0.0</v>
      </c>
      <c r="Q7742" s="3">
        <f t="shared" si="7"/>
        <v>0</v>
      </c>
      <c r="R7742" s="2">
        <v>5.0</v>
      </c>
      <c r="S7742" s="5">
        <f t="shared" si="8"/>
        <v>1</v>
      </c>
    </row>
    <row r="7743">
      <c r="A7743" s="2" t="s">
        <v>7738</v>
      </c>
      <c r="B7743" s="2">
        <v>2.0</v>
      </c>
      <c r="C7743" s="2">
        <v>31.0</v>
      </c>
      <c r="D7743" s="2">
        <v>12.0</v>
      </c>
      <c r="E7743" s="3">
        <f t="shared" si="1"/>
        <v>0.4137931034</v>
      </c>
      <c r="F7743" s="2">
        <v>2.0</v>
      </c>
      <c r="G7743" s="3">
        <f t="shared" si="2"/>
        <v>0.06896551724</v>
      </c>
      <c r="H7743" s="2">
        <v>6.0</v>
      </c>
      <c r="I7743" s="3">
        <f t="shared" si="3"/>
        <v>0.2068965517</v>
      </c>
      <c r="J7743" s="2">
        <v>3.0</v>
      </c>
      <c r="K7743" s="3">
        <f t="shared" si="4"/>
        <v>0.1034482759</v>
      </c>
      <c r="L7743" s="2">
        <v>5.0</v>
      </c>
      <c r="M7743" s="3">
        <f t="shared" si="5"/>
        <v>0.8333333333</v>
      </c>
      <c r="N7743" s="2">
        <v>23000.0</v>
      </c>
      <c r="O7743" s="4">
        <f t="shared" si="6"/>
        <v>3833.333333</v>
      </c>
      <c r="P7743" s="2">
        <v>0.0</v>
      </c>
      <c r="Q7743" s="3">
        <f t="shared" si="7"/>
        <v>0</v>
      </c>
      <c r="R7743" s="2">
        <v>1.0</v>
      </c>
      <c r="S7743" s="5">
        <f t="shared" si="8"/>
        <v>0.5</v>
      </c>
    </row>
    <row r="7744">
      <c r="A7744" s="2" t="s">
        <v>7739</v>
      </c>
      <c r="B7744" s="2">
        <v>2.0</v>
      </c>
      <c r="C7744" s="2">
        <v>17.0</v>
      </c>
      <c r="D7744" s="2">
        <v>3.0</v>
      </c>
      <c r="E7744" s="3">
        <f t="shared" si="1"/>
        <v>0.2</v>
      </c>
      <c r="F7744" s="2">
        <v>1.0</v>
      </c>
      <c r="G7744" s="3">
        <f t="shared" si="2"/>
        <v>0.06666666667</v>
      </c>
      <c r="H7744" s="2">
        <v>7.0</v>
      </c>
      <c r="I7744" s="3">
        <f t="shared" si="3"/>
        <v>0.4666666667</v>
      </c>
      <c r="J7744" s="2">
        <v>6.0</v>
      </c>
      <c r="K7744" s="3">
        <f t="shared" si="4"/>
        <v>0.4</v>
      </c>
      <c r="L7744" s="2">
        <v>4.0</v>
      </c>
      <c r="M7744" s="3">
        <f t="shared" si="5"/>
        <v>0.5714285714</v>
      </c>
      <c r="N7744" s="2">
        <v>61600.0</v>
      </c>
      <c r="O7744" s="4">
        <f t="shared" si="6"/>
        <v>8800</v>
      </c>
      <c r="P7744" s="2">
        <v>0.0</v>
      </c>
      <c r="Q7744" s="3">
        <f t="shared" si="7"/>
        <v>0</v>
      </c>
      <c r="R7744" s="2">
        <v>2.0</v>
      </c>
      <c r="S7744" s="5">
        <f t="shared" si="8"/>
        <v>1</v>
      </c>
    </row>
    <row r="7745">
      <c r="A7745" s="2" t="s">
        <v>7740</v>
      </c>
      <c r="B7745" s="2">
        <v>3.0</v>
      </c>
      <c r="C7745" s="2">
        <v>33.0</v>
      </c>
      <c r="D7745" s="2">
        <v>8.0</v>
      </c>
      <c r="E7745" s="3">
        <f t="shared" si="1"/>
        <v>0.2666666667</v>
      </c>
      <c r="F7745" s="2">
        <v>2.0</v>
      </c>
      <c r="G7745" s="3">
        <f t="shared" si="2"/>
        <v>0.06666666667</v>
      </c>
      <c r="H7745" s="2">
        <v>6.0</v>
      </c>
      <c r="I7745" s="3">
        <f t="shared" si="3"/>
        <v>0.2</v>
      </c>
      <c r="J7745" s="2">
        <v>5.0</v>
      </c>
      <c r="K7745" s="3">
        <f t="shared" si="4"/>
        <v>0.1666666667</v>
      </c>
      <c r="L7745" s="2">
        <v>4.0</v>
      </c>
      <c r="M7745" s="3">
        <f t="shared" si="5"/>
        <v>0.6666666667</v>
      </c>
      <c r="N7745" s="2">
        <v>32900.0</v>
      </c>
      <c r="O7745" s="4">
        <f t="shared" si="6"/>
        <v>5483.333333</v>
      </c>
      <c r="P7745" s="2">
        <v>0.0</v>
      </c>
      <c r="Q7745" s="3">
        <f t="shared" si="7"/>
        <v>0</v>
      </c>
      <c r="R7745" s="2">
        <v>3.0</v>
      </c>
      <c r="S7745" s="5">
        <f t="shared" si="8"/>
        <v>1</v>
      </c>
    </row>
    <row r="7746">
      <c r="A7746" s="2" t="s">
        <v>7741</v>
      </c>
      <c r="B7746" s="2">
        <v>2.0</v>
      </c>
      <c r="C7746" s="2">
        <v>17.0</v>
      </c>
      <c r="D7746" s="2">
        <v>7.0</v>
      </c>
      <c r="E7746" s="3">
        <f t="shared" si="1"/>
        <v>0.4666666667</v>
      </c>
      <c r="F7746" s="2">
        <v>1.0</v>
      </c>
      <c r="G7746" s="3">
        <f t="shared" si="2"/>
        <v>0.06666666667</v>
      </c>
      <c r="H7746" s="2">
        <v>5.0</v>
      </c>
      <c r="I7746" s="3">
        <f t="shared" si="3"/>
        <v>0.3333333333</v>
      </c>
      <c r="J7746" s="2">
        <v>2.0</v>
      </c>
      <c r="K7746" s="3">
        <f t="shared" si="4"/>
        <v>0.1333333333</v>
      </c>
      <c r="L7746" s="2">
        <v>2.0</v>
      </c>
      <c r="M7746" s="3">
        <f t="shared" si="5"/>
        <v>0.4</v>
      </c>
      <c r="N7746" s="2">
        <v>29900.0</v>
      </c>
      <c r="O7746" s="4">
        <f t="shared" si="6"/>
        <v>5980</v>
      </c>
      <c r="P7746" s="2">
        <v>0.0</v>
      </c>
      <c r="Q7746" s="3">
        <f t="shared" si="7"/>
        <v>0</v>
      </c>
      <c r="R7746" s="2">
        <v>2.0</v>
      </c>
      <c r="S7746" s="5">
        <f t="shared" si="8"/>
        <v>1</v>
      </c>
    </row>
    <row r="7747">
      <c r="A7747" s="2" t="s">
        <v>7742</v>
      </c>
      <c r="B7747" s="2">
        <v>4.0</v>
      </c>
      <c r="C7747" s="2">
        <v>50.0</v>
      </c>
      <c r="D7747" s="2">
        <v>12.0</v>
      </c>
      <c r="E7747" s="3">
        <f t="shared" si="1"/>
        <v>0.2608695652</v>
      </c>
      <c r="F7747" s="2">
        <v>3.0</v>
      </c>
      <c r="G7747" s="3">
        <f t="shared" si="2"/>
        <v>0.0652173913</v>
      </c>
      <c r="H7747" s="2">
        <v>9.0</v>
      </c>
      <c r="I7747" s="3">
        <f t="shared" si="3"/>
        <v>0.1956521739</v>
      </c>
      <c r="J7747" s="2">
        <v>7.0</v>
      </c>
      <c r="K7747" s="3">
        <f t="shared" si="4"/>
        <v>0.152173913</v>
      </c>
      <c r="L7747" s="2">
        <v>5.0</v>
      </c>
      <c r="M7747" s="3">
        <f t="shared" si="5"/>
        <v>0.5555555556</v>
      </c>
      <c r="N7747" s="2">
        <v>41400.0</v>
      </c>
      <c r="O7747" s="4">
        <f t="shared" si="6"/>
        <v>4600</v>
      </c>
      <c r="P7747" s="2">
        <v>0.0</v>
      </c>
      <c r="Q7747" s="3">
        <f t="shared" si="7"/>
        <v>0</v>
      </c>
      <c r="R7747" s="2">
        <v>4.0</v>
      </c>
      <c r="S7747" s="5">
        <f t="shared" si="8"/>
        <v>1</v>
      </c>
    </row>
    <row r="7748">
      <c r="A7748" s="2" t="s">
        <v>7743</v>
      </c>
      <c r="B7748" s="2">
        <v>3.0</v>
      </c>
      <c r="C7748" s="2">
        <v>34.0</v>
      </c>
      <c r="D7748" s="2">
        <v>12.0</v>
      </c>
      <c r="E7748" s="3">
        <f t="shared" si="1"/>
        <v>0.3870967742</v>
      </c>
      <c r="F7748" s="2">
        <v>2.0</v>
      </c>
      <c r="G7748" s="3">
        <f t="shared" si="2"/>
        <v>0.06451612903</v>
      </c>
      <c r="H7748" s="2">
        <v>7.0</v>
      </c>
      <c r="I7748" s="3">
        <f t="shared" si="3"/>
        <v>0.2258064516</v>
      </c>
      <c r="J7748" s="2">
        <v>7.0</v>
      </c>
      <c r="K7748" s="3">
        <f t="shared" si="4"/>
        <v>0.2258064516</v>
      </c>
      <c r="L7748" s="2">
        <v>6.0</v>
      </c>
      <c r="M7748" s="3">
        <f t="shared" si="5"/>
        <v>0.8571428571</v>
      </c>
      <c r="N7748" s="2">
        <v>35600.0</v>
      </c>
      <c r="O7748" s="4">
        <f t="shared" si="6"/>
        <v>5085.714286</v>
      </c>
      <c r="P7748" s="2">
        <v>0.0</v>
      </c>
      <c r="Q7748" s="3">
        <f t="shared" si="7"/>
        <v>0</v>
      </c>
      <c r="R7748" s="2">
        <v>3.0</v>
      </c>
      <c r="S7748" s="5">
        <f t="shared" si="8"/>
        <v>1</v>
      </c>
    </row>
    <row r="7749">
      <c r="A7749" s="2" t="s">
        <v>7744</v>
      </c>
      <c r="B7749" s="2">
        <v>3.0</v>
      </c>
      <c r="C7749" s="2">
        <v>34.0</v>
      </c>
      <c r="D7749" s="2">
        <v>18.0</v>
      </c>
      <c r="E7749" s="3">
        <f t="shared" si="1"/>
        <v>0.5806451613</v>
      </c>
      <c r="F7749" s="2">
        <v>2.0</v>
      </c>
      <c r="G7749" s="3">
        <f t="shared" si="2"/>
        <v>0.06451612903</v>
      </c>
      <c r="H7749" s="2">
        <v>6.0</v>
      </c>
      <c r="I7749" s="3">
        <f t="shared" si="3"/>
        <v>0.1935483871</v>
      </c>
      <c r="J7749" s="2">
        <v>4.0</v>
      </c>
      <c r="K7749" s="3">
        <f t="shared" si="4"/>
        <v>0.1290322581</v>
      </c>
      <c r="L7749" s="2">
        <v>5.0</v>
      </c>
      <c r="M7749" s="3">
        <f t="shared" si="5"/>
        <v>0.8333333333</v>
      </c>
      <c r="N7749" s="2">
        <v>16400.0</v>
      </c>
      <c r="O7749" s="4">
        <f t="shared" si="6"/>
        <v>2733.333333</v>
      </c>
      <c r="P7749" s="2">
        <v>0.0</v>
      </c>
      <c r="Q7749" s="3">
        <f t="shared" si="7"/>
        <v>0</v>
      </c>
      <c r="R7749" s="2">
        <v>3.0</v>
      </c>
      <c r="S7749" s="5">
        <f t="shared" si="8"/>
        <v>1</v>
      </c>
    </row>
    <row r="7750">
      <c r="A7750" s="2" t="s">
        <v>7745</v>
      </c>
      <c r="B7750" s="2">
        <v>5.0</v>
      </c>
      <c r="C7750" s="2">
        <v>52.0</v>
      </c>
      <c r="D7750" s="2">
        <v>30.0</v>
      </c>
      <c r="E7750" s="3">
        <f t="shared" si="1"/>
        <v>0.6382978723</v>
      </c>
      <c r="F7750" s="2">
        <v>3.0</v>
      </c>
      <c r="G7750" s="3">
        <f t="shared" si="2"/>
        <v>0.06382978723</v>
      </c>
      <c r="H7750" s="2">
        <v>12.0</v>
      </c>
      <c r="I7750" s="3">
        <f t="shared" si="3"/>
        <v>0.2553191489</v>
      </c>
      <c r="J7750" s="2">
        <v>2.0</v>
      </c>
      <c r="K7750" s="3">
        <f t="shared" si="4"/>
        <v>0.04255319149</v>
      </c>
      <c r="L7750" s="2">
        <v>9.0</v>
      </c>
      <c r="M7750" s="3">
        <f t="shared" si="5"/>
        <v>0.75</v>
      </c>
      <c r="N7750" s="2">
        <v>42200.0</v>
      </c>
      <c r="O7750" s="4">
        <f t="shared" si="6"/>
        <v>3516.666667</v>
      </c>
      <c r="P7750" s="2">
        <v>0.0</v>
      </c>
      <c r="Q7750" s="3">
        <f t="shared" si="7"/>
        <v>0</v>
      </c>
      <c r="R7750" s="2">
        <v>0.0</v>
      </c>
      <c r="S7750" s="5">
        <f t="shared" si="8"/>
        <v>0</v>
      </c>
    </row>
    <row r="7751">
      <c r="A7751" s="2" t="s">
        <v>7746</v>
      </c>
      <c r="B7751" s="2">
        <v>7.0</v>
      </c>
      <c r="C7751" s="2">
        <v>86.0</v>
      </c>
      <c r="D7751" s="2">
        <v>22.0</v>
      </c>
      <c r="E7751" s="3">
        <f t="shared" si="1"/>
        <v>0.2784810127</v>
      </c>
      <c r="F7751" s="2">
        <v>5.0</v>
      </c>
      <c r="G7751" s="3">
        <f t="shared" si="2"/>
        <v>0.06329113924</v>
      </c>
      <c r="H7751" s="2">
        <v>11.0</v>
      </c>
      <c r="I7751" s="3">
        <f t="shared" si="3"/>
        <v>0.1392405063</v>
      </c>
      <c r="J7751" s="2">
        <v>15.0</v>
      </c>
      <c r="K7751" s="3">
        <f t="shared" si="4"/>
        <v>0.1898734177</v>
      </c>
      <c r="L7751" s="2">
        <v>5.0</v>
      </c>
      <c r="M7751" s="3">
        <f t="shared" si="5"/>
        <v>0.4545454545</v>
      </c>
      <c r="N7751" s="2">
        <v>70900.0</v>
      </c>
      <c r="O7751" s="4">
        <f t="shared" si="6"/>
        <v>6445.454545</v>
      </c>
      <c r="P7751" s="2">
        <v>0.0</v>
      </c>
      <c r="Q7751" s="3">
        <f t="shared" si="7"/>
        <v>0</v>
      </c>
      <c r="R7751" s="2">
        <v>7.0</v>
      </c>
      <c r="S7751" s="5">
        <f t="shared" si="8"/>
        <v>1</v>
      </c>
    </row>
    <row r="7752">
      <c r="A7752" s="2" t="s">
        <v>7747</v>
      </c>
      <c r="B7752" s="2">
        <v>1.0</v>
      </c>
      <c r="C7752" s="2">
        <v>17.0</v>
      </c>
      <c r="D7752" s="2">
        <v>4.0</v>
      </c>
      <c r="E7752" s="3">
        <f t="shared" si="1"/>
        <v>0.25</v>
      </c>
      <c r="F7752" s="2">
        <v>1.0</v>
      </c>
      <c r="G7752" s="3">
        <f t="shared" si="2"/>
        <v>0.0625</v>
      </c>
      <c r="H7752" s="2">
        <v>2.0</v>
      </c>
      <c r="I7752" s="3">
        <f t="shared" si="3"/>
        <v>0.125</v>
      </c>
      <c r="J7752" s="2">
        <v>4.0</v>
      </c>
      <c r="K7752" s="3">
        <f t="shared" si="4"/>
        <v>0.25</v>
      </c>
      <c r="L7752" s="2">
        <v>1.0</v>
      </c>
      <c r="M7752" s="3">
        <f t="shared" si="5"/>
        <v>0.5</v>
      </c>
      <c r="N7752" s="2">
        <v>11900.0</v>
      </c>
      <c r="O7752" s="4">
        <f t="shared" si="6"/>
        <v>5950</v>
      </c>
      <c r="P7752" s="2">
        <v>0.0</v>
      </c>
      <c r="Q7752" s="3">
        <f t="shared" si="7"/>
        <v>0</v>
      </c>
      <c r="R7752" s="2">
        <v>0.0</v>
      </c>
      <c r="S7752" s="5">
        <f t="shared" si="8"/>
        <v>0</v>
      </c>
    </row>
    <row r="7753">
      <c r="A7753" s="2" t="s">
        <v>7748</v>
      </c>
      <c r="B7753" s="2">
        <v>4.0</v>
      </c>
      <c r="C7753" s="2">
        <v>52.0</v>
      </c>
      <c r="D7753" s="2">
        <v>17.0</v>
      </c>
      <c r="E7753" s="3">
        <f t="shared" si="1"/>
        <v>0.3541666667</v>
      </c>
      <c r="F7753" s="2">
        <v>3.0</v>
      </c>
      <c r="G7753" s="3">
        <f t="shared" si="2"/>
        <v>0.0625</v>
      </c>
      <c r="H7753" s="2">
        <v>8.0</v>
      </c>
      <c r="I7753" s="3">
        <f t="shared" si="3"/>
        <v>0.1666666667</v>
      </c>
      <c r="J7753" s="2">
        <v>8.0</v>
      </c>
      <c r="K7753" s="3">
        <f t="shared" si="4"/>
        <v>0.1666666667</v>
      </c>
      <c r="L7753" s="2">
        <v>6.0</v>
      </c>
      <c r="M7753" s="3">
        <f t="shared" si="5"/>
        <v>0.75</v>
      </c>
      <c r="N7753" s="2">
        <v>48000.0</v>
      </c>
      <c r="O7753" s="4">
        <f t="shared" si="6"/>
        <v>6000</v>
      </c>
      <c r="P7753" s="2">
        <v>0.0</v>
      </c>
      <c r="Q7753" s="3">
        <f t="shared" si="7"/>
        <v>0</v>
      </c>
      <c r="R7753" s="2">
        <v>4.0</v>
      </c>
      <c r="S7753" s="5">
        <f t="shared" si="8"/>
        <v>1</v>
      </c>
    </row>
    <row r="7754">
      <c r="A7754" s="2" t="s">
        <v>7749</v>
      </c>
      <c r="B7754" s="2">
        <v>5.0</v>
      </c>
      <c r="C7754" s="2">
        <v>53.0</v>
      </c>
      <c r="D7754" s="2">
        <v>17.0</v>
      </c>
      <c r="E7754" s="3">
        <f t="shared" si="1"/>
        <v>0.3541666667</v>
      </c>
      <c r="F7754" s="2">
        <v>3.0</v>
      </c>
      <c r="G7754" s="3">
        <f t="shared" si="2"/>
        <v>0.0625</v>
      </c>
      <c r="H7754" s="2">
        <v>7.0</v>
      </c>
      <c r="I7754" s="3">
        <f t="shared" si="3"/>
        <v>0.1458333333</v>
      </c>
      <c r="J7754" s="2">
        <v>7.0</v>
      </c>
      <c r="K7754" s="3">
        <f t="shared" si="4"/>
        <v>0.1458333333</v>
      </c>
      <c r="L7754" s="2">
        <v>5.0</v>
      </c>
      <c r="M7754" s="3">
        <f t="shared" si="5"/>
        <v>0.7142857143</v>
      </c>
      <c r="N7754" s="2">
        <v>46300.0</v>
      </c>
      <c r="O7754" s="4">
        <f t="shared" si="6"/>
        <v>6614.285714</v>
      </c>
      <c r="P7754" s="2">
        <v>0.0</v>
      </c>
      <c r="Q7754" s="3">
        <f t="shared" si="7"/>
        <v>0</v>
      </c>
      <c r="R7754" s="2">
        <v>5.0</v>
      </c>
      <c r="S7754" s="5">
        <f t="shared" si="8"/>
        <v>1</v>
      </c>
    </row>
    <row r="7755">
      <c r="A7755" s="2" t="s">
        <v>7750</v>
      </c>
      <c r="B7755" s="2">
        <v>3.0</v>
      </c>
      <c r="C7755" s="2">
        <v>35.0</v>
      </c>
      <c r="D7755" s="2">
        <v>11.0</v>
      </c>
      <c r="E7755" s="3">
        <f t="shared" si="1"/>
        <v>0.34375</v>
      </c>
      <c r="F7755" s="2">
        <v>2.0</v>
      </c>
      <c r="G7755" s="3">
        <f t="shared" si="2"/>
        <v>0.0625</v>
      </c>
      <c r="H7755" s="2">
        <v>5.0</v>
      </c>
      <c r="I7755" s="3">
        <f t="shared" si="3"/>
        <v>0.15625</v>
      </c>
      <c r="J7755" s="2">
        <v>4.0</v>
      </c>
      <c r="K7755" s="3">
        <f t="shared" si="4"/>
        <v>0.125</v>
      </c>
      <c r="L7755" s="2">
        <v>2.0</v>
      </c>
      <c r="M7755" s="3">
        <f t="shared" si="5"/>
        <v>0.4</v>
      </c>
      <c r="N7755" s="2">
        <v>23500.0</v>
      </c>
      <c r="O7755" s="4">
        <f t="shared" si="6"/>
        <v>4700</v>
      </c>
      <c r="P7755" s="2">
        <v>0.0</v>
      </c>
      <c r="Q7755" s="3">
        <f t="shared" si="7"/>
        <v>0</v>
      </c>
      <c r="R7755" s="2">
        <v>3.0</v>
      </c>
      <c r="S7755" s="5">
        <f t="shared" si="8"/>
        <v>1</v>
      </c>
    </row>
    <row r="7756">
      <c r="A7756" s="2" t="s">
        <v>7751</v>
      </c>
      <c r="B7756" s="2">
        <v>10.0</v>
      </c>
      <c r="C7756" s="2">
        <v>109.0</v>
      </c>
      <c r="D7756" s="2">
        <v>19.0</v>
      </c>
      <c r="E7756" s="3">
        <f t="shared" si="1"/>
        <v>0.1919191919</v>
      </c>
      <c r="F7756" s="2">
        <v>6.0</v>
      </c>
      <c r="G7756" s="3">
        <f t="shared" si="2"/>
        <v>0.06060606061</v>
      </c>
      <c r="H7756" s="2">
        <v>19.0</v>
      </c>
      <c r="I7756" s="3">
        <f t="shared" si="3"/>
        <v>0.1919191919</v>
      </c>
      <c r="J7756" s="2">
        <v>16.0</v>
      </c>
      <c r="K7756" s="3">
        <f t="shared" si="4"/>
        <v>0.1616161616</v>
      </c>
      <c r="L7756" s="2">
        <v>10.0</v>
      </c>
      <c r="M7756" s="3">
        <f t="shared" si="5"/>
        <v>0.5263157895</v>
      </c>
      <c r="N7756" s="2">
        <v>124000.0</v>
      </c>
      <c r="O7756" s="4">
        <f t="shared" si="6"/>
        <v>6526.315789</v>
      </c>
      <c r="P7756" s="2">
        <v>0.0</v>
      </c>
      <c r="Q7756" s="3">
        <f t="shared" si="7"/>
        <v>0</v>
      </c>
      <c r="R7756" s="2">
        <v>10.0</v>
      </c>
      <c r="S7756" s="5">
        <f t="shared" si="8"/>
        <v>1</v>
      </c>
    </row>
    <row r="7757">
      <c r="A7757" s="2" t="s">
        <v>7752</v>
      </c>
      <c r="B7757" s="2">
        <v>16.0</v>
      </c>
      <c r="C7757" s="2">
        <v>201.0</v>
      </c>
      <c r="D7757" s="2">
        <v>57.0</v>
      </c>
      <c r="E7757" s="3">
        <f t="shared" si="1"/>
        <v>0.3081081081</v>
      </c>
      <c r="F7757" s="2">
        <v>11.0</v>
      </c>
      <c r="G7757" s="3">
        <f t="shared" si="2"/>
        <v>0.05945945946</v>
      </c>
      <c r="H7757" s="2">
        <v>40.0</v>
      </c>
      <c r="I7757" s="3">
        <f t="shared" si="3"/>
        <v>0.2162162162</v>
      </c>
      <c r="J7757" s="2">
        <v>36.0</v>
      </c>
      <c r="K7757" s="3">
        <f t="shared" si="4"/>
        <v>0.1945945946</v>
      </c>
      <c r="L7757" s="2">
        <v>28.0</v>
      </c>
      <c r="M7757" s="3">
        <f t="shared" si="5"/>
        <v>0.7</v>
      </c>
      <c r="N7757" s="2">
        <v>228200.0</v>
      </c>
      <c r="O7757" s="4">
        <f t="shared" si="6"/>
        <v>5705</v>
      </c>
      <c r="P7757" s="2">
        <v>0.0</v>
      </c>
      <c r="Q7757" s="3">
        <f t="shared" si="7"/>
        <v>0</v>
      </c>
      <c r="R7757" s="2">
        <v>16.0</v>
      </c>
      <c r="S7757" s="5">
        <f t="shared" si="8"/>
        <v>1</v>
      </c>
    </row>
    <row r="7758">
      <c r="A7758" s="2" t="s">
        <v>7753</v>
      </c>
      <c r="B7758" s="2">
        <v>8.0</v>
      </c>
      <c r="C7758" s="2">
        <v>93.0</v>
      </c>
      <c r="D7758" s="2">
        <v>31.0</v>
      </c>
      <c r="E7758" s="3">
        <f t="shared" si="1"/>
        <v>0.3647058824</v>
      </c>
      <c r="F7758" s="2">
        <v>5.0</v>
      </c>
      <c r="G7758" s="3">
        <f t="shared" si="2"/>
        <v>0.05882352941</v>
      </c>
      <c r="H7758" s="2">
        <v>18.0</v>
      </c>
      <c r="I7758" s="3">
        <f t="shared" si="3"/>
        <v>0.2117647059</v>
      </c>
      <c r="J7758" s="2">
        <v>13.0</v>
      </c>
      <c r="K7758" s="3">
        <f t="shared" si="4"/>
        <v>0.1529411765</v>
      </c>
      <c r="L7758" s="2">
        <v>10.0</v>
      </c>
      <c r="M7758" s="3">
        <f t="shared" si="5"/>
        <v>0.5555555556</v>
      </c>
      <c r="N7758" s="2">
        <v>67200.0</v>
      </c>
      <c r="O7758" s="4">
        <f t="shared" si="6"/>
        <v>3733.333333</v>
      </c>
      <c r="P7758" s="2">
        <v>0.0</v>
      </c>
      <c r="Q7758" s="3">
        <f t="shared" si="7"/>
        <v>0</v>
      </c>
      <c r="R7758" s="2">
        <v>8.0</v>
      </c>
      <c r="S7758" s="5">
        <f t="shared" si="8"/>
        <v>1</v>
      </c>
    </row>
    <row r="7759">
      <c r="A7759" s="2" t="s">
        <v>7754</v>
      </c>
      <c r="B7759" s="2">
        <v>3.0</v>
      </c>
      <c r="C7759" s="2">
        <v>38.0</v>
      </c>
      <c r="D7759" s="2">
        <v>20.0</v>
      </c>
      <c r="E7759" s="3">
        <f t="shared" si="1"/>
        <v>0.5714285714</v>
      </c>
      <c r="F7759" s="2">
        <v>2.0</v>
      </c>
      <c r="G7759" s="3">
        <f t="shared" si="2"/>
        <v>0.05714285714</v>
      </c>
      <c r="H7759" s="2">
        <v>10.0</v>
      </c>
      <c r="I7759" s="3">
        <f t="shared" si="3"/>
        <v>0.2857142857</v>
      </c>
      <c r="J7759" s="2">
        <v>6.0</v>
      </c>
      <c r="K7759" s="3">
        <f t="shared" si="4"/>
        <v>0.1714285714</v>
      </c>
      <c r="L7759" s="2">
        <v>8.0</v>
      </c>
      <c r="M7759" s="3">
        <f t="shared" si="5"/>
        <v>0.8</v>
      </c>
      <c r="N7759" s="2">
        <v>48600.0</v>
      </c>
      <c r="O7759" s="4">
        <f t="shared" si="6"/>
        <v>4860</v>
      </c>
      <c r="P7759" s="2">
        <v>0.0</v>
      </c>
      <c r="Q7759" s="3">
        <f t="shared" si="7"/>
        <v>0</v>
      </c>
      <c r="R7759" s="2">
        <v>3.0</v>
      </c>
      <c r="S7759" s="5">
        <f t="shared" si="8"/>
        <v>1</v>
      </c>
    </row>
    <row r="7760">
      <c r="A7760" s="2" t="s">
        <v>7755</v>
      </c>
      <c r="B7760" s="2">
        <v>3.0</v>
      </c>
      <c r="C7760" s="2">
        <v>42.0</v>
      </c>
      <c r="D7760" s="2">
        <v>12.0</v>
      </c>
      <c r="E7760" s="3">
        <f t="shared" si="1"/>
        <v>0.3076923077</v>
      </c>
      <c r="F7760" s="2">
        <v>2.0</v>
      </c>
      <c r="G7760" s="3">
        <f t="shared" si="2"/>
        <v>0.05128205128</v>
      </c>
      <c r="H7760" s="2">
        <v>5.0</v>
      </c>
      <c r="I7760" s="3">
        <f t="shared" si="3"/>
        <v>0.1282051282</v>
      </c>
      <c r="J7760" s="2">
        <v>3.0</v>
      </c>
      <c r="K7760" s="3">
        <f t="shared" si="4"/>
        <v>0.07692307692</v>
      </c>
      <c r="L7760" s="2">
        <v>4.0</v>
      </c>
      <c r="M7760" s="3">
        <f t="shared" si="5"/>
        <v>0.8</v>
      </c>
      <c r="N7760" s="2">
        <v>16900.0</v>
      </c>
      <c r="O7760" s="4">
        <f t="shared" si="6"/>
        <v>3380</v>
      </c>
      <c r="P7760" s="2">
        <v>0.0</v>
      </c>
      <c r="Q7760" s="3">
        <f t="shared" si="7"/>
        <v>0</v>
      </c>
      <c r="R7760" s="2">
        <v>3.0</v>
      </c>
      <c r="S7760" s="5">
        <f t="shared" si="8"/>
        <v>1</v>
      </c>
    </row>
    <row r="7761">
      <c r="A7761" s="2" t="s">
        <v>7756</v>
      </c>
      <c r="B7761" s="2">
        <v>2.0</v>
      </c>
      <c r="C7761" s="2">
        <v>22.0</v>
      </c>
      <c r="D7761" s="2">
        <v>5.0</v>
      </c>
      <c r="E7761" s="3">
        <f t="shared" si="1"/>
        <v>0.25</v>
      </c>
      <c r="F7761" s="2">
        <v>1.0</v>
      </c>
      <c r="G7761" s="3">
        <f t="shared" si="2"/>
        <v>0.05</v>
      </c>
      <c r="H7761" s="2">
        <v>5.0</v>
      </c>
      <c r="I7761" s="3">
        <f t="shared" si="3"/>
        <v>0.25</v>
      </c>
      <c r="J7761" s="2">
        <v>5.0</v>
      </c>
      <c r="K7761" s="3">
        <f t="shared" si="4"/>
        <v>0.25</v>
      </c>
      <c r="L7761" s="2">
        <v>4.0</v>
      </c>
      <c r="M7761" s="3">
        <f t="shared" si="5"/>
        <v>0.8</v>
      </c>
      <c r="N7761" s="2">
        <v>15100.0</v>
      </c>
      <c r="O7761" s="4">
        <f t="shared" si="6"/>
        <v>3020</v>
      </c>
      <c r="P7761" s="2">
        <v>0.0</v>
      </c>
      <c r="Q7761" s="3">
        <f t="shared" si="7"/>
        <v>0</v>
      </c>
      <c r="R7761" s="2">
        <v>0.0</v>
      </c>
      <c r="S7761" s="5">
        <f t="shared" si="8"/>
        <v>0</v>
      </c>
    </row>
    <row r="7762">
      <c r="A7762" s="2" t="s">
        <v>7757</v>
      </c>
      <c r="B7762" s="2">
        <v>2.0</v>
      </c>
      <c r="C7762" s="2">
        <v>22.0</v>
      </c>
      <c r="D7762" s="2">
        <v>5.0</v>
      </c>
      <c r="E7762" s="3">
        <f t="shared" si="1"/>
        <v>0.25</v>
      </c>
      <c r="F7762" s="2">
        <v>1.0</v>
      </c>
      <c r="G7762" s="3">
        <f t="shared" si="2"/>
        <v>0.05</v>
      </c>
      <c r="H7762" s="2">
        <v>5.0</v>
      </c>
      <c r="I7762" s="3">
        <f t="shared" si="3"/>
        <v>0.25</v>
      </c>
      <c r="J7762" s="2">
        <v>2.0</v>
      </c>
      <c r="K7762" s="3">
        <f t="shared" si="4"/>
        <v>0.1</v>
      </c>
      <c r="L7762" s="2">
        <v>2.0</v>
      </c>
      <c r="M7762" s="3">
        <f t="shared" si="5"/>
        <v>0.4</v>
      </c>
      <c r="N7762" s="2">
        <v>35800.0</v>
      </c>
      <c r="O7762" s="4">
        <f t="shared" si="6"/>
        <v>7160</v>
      </c>
      <c r="P7762" s="2">
        <v>0.0</v>
      </c>
      <c r="Q7762" s="3">
        <f t="shared" si="7"/>
        <v>0</v>
      </c>
      <c r="R7762" s="2">
        <v>0.0</v>
      </c>
      <c r="S7762" s="5">
        <f t="shared" si="8"/>
        <v>0</v>
      </c>
    </row>
    <row r="7763">
      <c r="A7763" s="2" t="s">
        <v>7758</v>
      </c>
      <c r="B7763" s="2">
        <v>7.0</v>
      </c>
      <c r="C7763" s="2">
        <v>93.0</v>
      </c>
      <c r="D7763" s="2">
        <v>27.0</v>
      </c>
      <c r="E7763" s="3">
        <f t="shared" si="1"/>
        <v>0.3139534884</v>
      </c>
      <c r="F7763" s="2">
        <v>4.0</v>
      </c>
      <c r="G7763" s="3">
        <f t="shared" si="2"/>
        <v>0.04651162791</v>
      </c>
      <c r="H7763" s="2">
        <v>16.0</v>
      </c>
      <c r="I7763" s="3">
        <f t="shared" si="3"/>
        <v>0.1860465116</v>
      </c>
      <c r="J7763" s="2">
        <v>10.0</v>
      </c>
      <c r="K7763" s="3">
        <f t="shared" si="4"/>
        <v>0.1162790698</v>
      </c>
      <c r="L7763" s="2">
        <v>10.0</v>
      </c>
      <c r="M7763" s="3">
        <f t="shared" si="5"/>
        <v>0.625</v>
      </c>
      <c r="N7763" s="2">
        <v>67700.0</v>
      </c>
      <c r="O7763" s="4">
        <f t="shared" si="6"/>
        <v>4231.25</v>
      </c>
      <c r="P7763" s="2">
        <v>0.0</v>
      </c>
      <c r="Q7763" s="3">
        <f t="shared" si="7"/>
        <v>0</v>
      </c>
      <c r="R7763" s="2">
        <v>0.0</v>
      </c>
      <c r="S7763" s="5">
        <f t="shared" si="8"/>
        <v>0</v>
      </c>
    </row>
    <row r="7764">
      <c r="A7764" s="2" t="s">
        <v>7759</v>
      </c>
      <c r="B7764" s="2">
        <v>2.0</v>
      </c>
      <c r="C7764" s="2">
        <v>24.0</v>
      </c>
      <c r="D7764" s="2">
        <v>4.0</v>
      </c>
      <c r="E7764" s="3">
        <f t="shared" si="1"/>
        <v>0.1818181818</v>
      </c>
      <c r="F7764" s="2">
        <v>1.0</v>
      </c>
      <c r="G7764" s="3">
        <f t="shared" si="2"/>
        <v>0.04545454545</v>
      </c>
      <c r="H7764" s="2">
        <v>5.0</v>
      </c>
      <c r="I7764" s="3">
        <f t="shared" si="3"/>
        <v>0.2272727273</v>
      </c>
      <c r="J7764" s="2">
        <v>4.0</v>
      </c>
      <c r="K7764" s="3">
        <f t="shared" si="4"/>
        <v>0.1818181818</v>
      </c>
      <c r="L7764" s="2">
        <v>5.0</v>
      </c>
      <c r="M7764" s="3">
        <f t="shared" si="5"/>
        <v>1</v>
      </c>
      <c r="N7764" s="2">
        <v>29300.0</v>
      </c>
      <c r="O7764" s="4">
        <f t="shared" si="6"/>
        <v>5860</v>
      </c>
      <c r="P7764" s="2">
        <v>0.0</v>
      </c>
      <c r="Q7764" s="3">
        <f t="shared" si="7"/>
        <v>0</v>
      </c>
      <c r="R7764" s="2">
        <v>2.0</v>
      </c>
      <c r="S7764" s="5">
        <f t="shared" si="8"/>
        <v>1</v>
      </c>
    </row>
    <row r="7765">
      <c r="A7765" s="2" t="s">
        <v>7760</v>
      </c>
      <c r="B7765" s="2">
        <v>2.0</v>
      </c>
      <c r="C7765" s="2">
        <v>24.0</v>
      </c>
      <c r="D7765" s="2">
        <v>12.0</v>
      </c>
      <c r="E7765" s="3">
        <f t="shared" si="1"/>
        <v>0.5454545455</v>
      </c>
      <c r="F7765" s="2">
        <v>1.0</v>
      </c>
      <c r="G7765" s="3">
        <f t="shared" si="2"/>
        <v>0.04545454545</v>
      </c>
      <c r="H7765" s="2">
        <v>5.0</v>
      </c>
      <c r="I7765" s="3">
        <f t="shared" si="3"/>
        <v>0.2272727273</v>
      </c>
      <c r="J7765" s="2">
        <v>1.0</v>
      </c>
      <c r="K7765" s="3">
        <f t="shared" si="4"/>
        <v>0.04545454545</v>
      </c>
      <c r="L7765" s="2">
        <v>4.0</v>
      </c>
      <c r="M7765" s="3">
        <f t="shared" si="5"/>
        <v>0.8</v>
      </c>
      <c r="N7765" s="2">
        <v>20700.0</v>
      </c>
      <c r="O7765" s="4">
        <f t="shared" si="6"/>
        <v>4140</v>
      </c>
      <c r="P7765" s="2">
        <v>0.0</v>
      </c>
      <c r="Q7765" s="3">
        <f t="shared" si="7"/>
        <v>0</v>
      </c>
      <c r="R7765" s="2">
        <v>2.0</v>
      </c>
      <c r="S7765" s="5">
        <f t="shared" si="8"/>
        <v>1</v>
      </c>
    </row>
    <row r="7766">
      <c r="A7766" s="2" t="s">
        <v>7761</v>
      </c>
      <c r="B7766" s="2">
        <v>10.0</v>
      </c>
      <c r="C7766" s="2">
        <v>99.0</v>
      </c>
      <c r="D7766" s="2">
        <v>26.0</v>
      </c>
      <c r="E7766" s="3">
        <f t="shared" si="1"/>
        <v>0.2921348315</v>
      </c>
      <c r="F7766" s="2">
        <v>4.0</v>
      </c>
      <c r="G7766" s="3">
        <f t="shared" si="2"/>
        <v>0.04494382022</v>
      </c>
      <c r="H7766" s="2">
        <v>18.0</v>
      </c>
      <c r="I7766" s="3">
        <f t="shared" si="3"/>
        <v>0.202247191</v>
      </c>
      <c r="J7766" s="2">
        <v>17.0</v>
      </c>
      <c r="K7766" s="3">
        <f t="shared" si="4"/>
        <v>0.191011236</v>
      </c>
      <c r="L7766" s="2">
        <v>11.0</v>
      </c>
      <c r="M7766" s="3">
        <f t="shared" si="5"/>
        <v>0.6111111111</v>
      </c>
      <c r="N7766" s="2">
        <v>125200.0</v>
      </c>
      <c r="O7766" s="4">
        <f t="shared" si="6"/>
        <v>6955.555556</v>
      </c>
      <c r="P7766" s="2">
        <v>0.0</v>
      </c>
      <c r="Q7766" s="3">
        <f t="shared" si="7"/>
        <v>0</v>
      </c>
      <c r="R7766" s="2">
        <v>10.0</v>
      </c>
      <c r="S7766" s="5">
        <f t="shared" si="8"/>
        <v>1</v>
      </c>
    </row>
    <row r="7767">
      <c r="A7767" s="2" t="s">
        <v>7762</v>
      </c>
      <c r="B7767" s="2">
        <v>2.0</v>
      </c>
      <c r="C7767" s="2">
        <v>25.0</v>
      </c>
      <c r="D7767" s="2">
        <v>4.0</v>
      </c>
      <c r="E7767" s="3">
        <f t="shared" si="1"/>
        <v>0.1739130435</v>
      </c>
      <c r="F7767" s="2">
        <v>1.0</v>
      </c>
      <c r="G7767" s="3">
        <f t="shared" si="2"/>
        <v>0.04347826087</v>
      </c>
      <c r="H7767" s="2">
        <v>2.0</v>
      </c>
      <c r="I7767" s="3">
        <f t="shared" si="3"/>
        <v>0.08695652174</v>
      </c>
      <c r="J7767" s="2">
        <v>4.0</v>
      </c>
      <c r="K7767" s="3">
        <f t="shared" si="4"/>
        <v>0.1739130435</v>
      </c>
      <c r="L7767" s="2">
        <v>1.0</v>
      </c>
      <c r="M7767" s="3">
        <f t="shared" si="5"/>
        <v>0.5</v>
      </c>
      <c r="N7767" s="2">
        <v>3500.0</v>
      </c>
      <c r="O7767" s="4">
        <f t="shared" si="6"/>
        <v>1750</v>
      </c>
      <c r="P7767" s="2">
        <v>0.0</v>
      </c>
      <c r="Q7767" s="3">
        <f t="shared" si="7"/>
        <v>0</v>
      </c>
      <c r="R7767" s="2">
        <v>0.0</v>
      </c>
      <c r="S7767" s="5">
        <f t="shared" si="8"/>
        <v>0</v>
      </c>
    </row>
    <row r="7768">
      <c r="A7768" s="2" t="s">
        <v>7763</v>
      </c>
      <c r="B7768" s="2">
        <v>2.0</v>
      </c>
      <c r="C7768" s="2">
        <v>31.0</v>
      </c>
      <c r="D7768" s="2">
        <v>9.0</v>
      </c>
      <c r="E7768" s="3">
        <f t="shared" si="1"/>
        <v>0.3103448276</v>
      </c>
      <c r="F7768" s="2">
        <v>1.0</v>
      </c>
      <c r="G7768" s="3">
        <f t="shared" si="2"/>
        <v>0.03448275862</v>
      </c>
      <c r="H7768" s="2">
        <v>4.0</v>
      </c>
      <c r="I7768" s="3">
        <f t="shared" si="3"/>
        <v>0.1379310345</v>
      </c>
      <c r="J7768" s="2">
        <v>6.0</v>
      </c>
      <c r="K7768" s="3">
        <f t="shared" si="4"/>
        <v>0.2068965517</v>
      </c>
      <c r="L7768" s="2">
        <v>2.0</v>
      </c>
      <c r="M7768" s="3">
        <f t="shared" si="5"/>
        <v>0.5</v>
      </c>
      <c r="N7768" s="2">
        <v>41400.0</v>
      </c>
      <c r="O7768" s="4">
        <f t="shared" si="6"/>
        <v>10350</v>
      </c>
      <c r="P7768" s="2">
        <v>0.0</v>
      </c>
      <c r="Q7768" s="3">
        <f t="shared" si="7"/>
        <v>0</v>
      </c>
      <c r="R7768" s="2">
        <v>2.0</v>
      </c>
      <c r="S7768" s="5">
        <f t="shared" si="8"/>
        <v>1</v>
      </c>
    </row>
    <row r="7769">
      <c r="A7769" s="2" t="s">
        <v>7764</v>
      </c>
      <c r="B7769" s="2">
        <v>8.0</v>
      </c>
      <c r="C7769" s="2">
        <v>86.0</v>
      </c>
      <c r="D7769" s="2">
        <v>26.0</v>
      </c>
      <c r="E7769" s="3">
        <f t="shared" si="1"/>
        <v>0.3333333333</v>
      </c>
      <c r="F7769" s="2">
        <v>2.0</v>
      </c>
      <c r="G7769" s="3">
        <f t="shared" si="2"/>
        <v>0.02564102564</v>
      </c>
      <c r="H7769" s="2">
        <v>11.0</v>
      </c>
      <c r="I7769" s="3">
        <f t="shared" si="3"/>
        <v>0.141025641</v>
      </c>
      <c r="J7769" s="2">
        <v>16.0</v>
      </c>
      <c r="K7769" s="3">
        <f t="shared" si="4"/>
        <v>0.2051282051</v>
      </c>
      <c r="L7769" s="2">
        <v>6.0</v>
      </c>
      <c r="M7769" s="3">
        <f t="shared" si="5"/>
        <v>0.5454545455</v>
      </c>
      <c r="N7769" s="2">
        <v>36200.0</v>
      </c>
      <c r="O7769" s="4">
        <f t="shared" si="6"/>
        <v>3290.909091</v>
      </c>
      <c r="P7769" s="2">
        <v>0.0</v>
      </c>
      <c r="Q7769" s="3">
        <f t="shared" si="7"/>
        <v>0</v>
      </c>
      <c r="R7769" s="2">
        <v>8.0</v>
      </c>
      <c r="S7769" s="5">
        <f t="shared" si="8"/>
        <v>1</v>
      </c>
    </row>
    <row r="7770">
      <c r="A7770" s="2" t="s">
        <v>7765</v>
      </c>
      <c r="B7770" s="2">
        <v>5.0</v>
      </c>
      <c r="C7770" s="2">
        <v>58.0</v>
      </c>
      <c r="D7770" s="2">
        <v>23.0</v>
      </c>
      <c r="E7770" s="3">
        <f t="shared" si="1"/>
        <v>0.4339622642</v>
      </c>
      <c r="F7770" s="2">
        <v>1.0</v>
      </c>
      <c r="G7770" s="3">
        <f t="shared" si="2"/>
        <v>0.01886792453</v>
      </c>
      <c r="H7770" s="2">
        <v>12.0</v>
      </c>
      <c r="I7770" s="3">
        <f t="shared" si="3"/>
        <v>0.2264150943</v>
      </c>
      <c r="J7770" s="2">
        <v>8.0</v>
      </c>
      <c r="K7770" s="3">
        <f t="shared" si="4"/>
        <v>0.1509433962</v>
      </c>
      <c r="L7770" s="2">
        <v>5.0</v>
      </c>
      <c r="M7770" s="3">
        <f t="shared" si="5"/>
        <v>0.4166666667</v>
      </c>
      <c r="N7770" s="2">
        <v>68000.0</v>
      </c>
      <c r="O7770" s="4">
        <f t="shared" si="6"/>
        <v>5666.666667</v>
      </c>
      <c r="P7770" s="2">
        <v>0.0</v>
      </c>
      <c r="Q7770" s="3">
        <f t="shared" si="7"/>
        <v>0</v>
      </c>
      <c r="R7770" s="2">
        <v>5.0</v>
      </c>
      <c r="S7770" s="5">
        <f t="shared" si="8"/>
        <v>1</v>
      </c>
    </row>
    <row r="7771">
      <c r="A7771" s="2" t="s">
        <v>7766</v>
      </c>
      <c r="B7771" s="2">
        <v>1.0</v>
      </c>
      <c r="C7771" s="2">
        <v>9.0</v>
      </c>
      <c r="D7771" s="2">
        <v>2.0</v>
      </c>
      <c r="E7771" s="3">
        <f t="shared" si="1"/>
        <v>0.25</v>
      </c>
      <c r="F7771" s="2">
        <v>0.0</v>
      </c>
      <c r="G7771" s="3">
        <f t="shared" si="2"/>
        <v>0</v>
      </c>
      <c r="H7771" s="2">
        <v>2.0</v>
      </c>
      <c r="I7771" s="3">
        <f t="shared" si="3"/>
        <v>0.25</v>
      </c>
      <c r="J7771" s="2">
        <v>3.0</v>
      </c>
      <c r="K7771" s="3">
        <f t="shared" si="4"/>
        <v>0.375</v>
      </c>
      <c r="L7771" s="2">
        <v>1.0</v>
      </c>
      <c r="M7771" s="3">
        <f t="shared" si="5"/>
        <v>0.5</v>
      </c>
      <c r="N7771" s="2">
        <v>6000.0</v>
      </c>
      <c r="O7771" s="4">
        <f t="shared" si="6"/>
        <v>3000</v>
      </c>
      <c r="P7771" s="2">
        <v>0.0</v>
      </c>
      <c r="Q7771" s="3">
        <f t="shared" si="7"/>
        <v>0</v>
      </c>
      <c r="R7771" s="2">
        <v>0.0</v>
      </c>
      <c r="S7771" s="5">
        <f t="shared" si="8"/>
        <v>0</v>
      </c>
    </row>
    <row r="7772">
      <c r="A7772" s="2" t="s">
        <v>7767</v>
      </c>
      <c r="B7772" s="2">
        <v>1.0</v>
      </c>
      <c r="C7772" s="2">
        <v>12.0</v>
      </c>
      <c r="D7772" s="2">
        <v>3.0</v>
      </c>
      <c r="E7772" s="3">
        <f t="shared" si="1"/>
        <v>0.2727272727</v>
      </c>
      <c r="F7772" s="2">
        <v>0.0</v>
      </c>
      <c r="G7772" s="3">
        <f t="shared" si="2"/>
        <v>0</v>
      </c>
      <c r="H7772" s="2">
        <v>4.0</v>
      </c>
      <c r="I7772" s="3">
        <f t="shared" si="3"/>
        <v>0.3636363636</v>
      </c>
      <c r="J7772" s="2">
        <v>3.0</v>
      </c>
      <c r="K7772" s="3">
        <f t="shared" si="4"/>
        <v>0.2727272727</v>
      </c>
      <c r="L7772" s="2">
        <v>3.0</v>
      </c>
      <c r="M7772" s="3">
        <f t="shared" si="5"/>
        <v>0.75</v>
      </c>
      <c r="N7772" s="2">
        <v>19200.0</v>
      </c>
      <c r="O7772" s="4">
        <f t="shared" si="6"/>
        <v>4800</v>
      </c>
      <c r="P7772" s="2">
        <v>0.0</v>
      </c>
      <c r="Q7772" s="3">
        <f t="shared" si="7"/>
        <v>0</v>
      </c>
      <c r="R7772" s="2">
        <v>1.0</v>
      </c>
      <c r="S7772" s="5">
        <f t="shared" si="8"/>
        <v>1</v>
      </c>
    </row>
    <row r="7773">
      <c r="A7773" s="2" t="s">
        <v>7768</v>
      </c>
      <c r="B7773" s="2">
        <v>1.0</v>
      </c>
      <c r="C7773" s="2">
        <v>10.0</v>
      </c>
      <c r="D7773" s="2">
        <v>1.0</v>
      </c>
      <c r="E7773" s="3">
        <f t="shared" si="1"/>
        <v>0.1111111111</v>
      </c>
      <c r="F7773" s="2">
        <v>0.0</v>
      </c>
      <c r="G7773" s="3">
        <f t="shared" si="2"/>
        <v>0</v>
      </c>
      <c r="H7773" s="2">
        <v>4.0</v>
      </c>
      <c r="I7773" s="3">
        <f t="shared" si="3"/>
        <v>0.4444444444</v>
      </c>
      <c r="J7773" s="2">
        <v>2.0</v>
      </c>
      <c r="K7773" s="3">
        <f t="shared" si="4"/>
        <v>0.2222222222</v>
      </c>
      <c r="L7773" s="2">
        <v>2.0</v>
      </c>
      <c r="M7773" s="3">
        <f t="shared" si="5"/>
        <v>0.5</v>
      </c>
      <c r="N7773" s="2">
        <v>29000.0</v>
      </c>
      <c r="O7773" s="4">
        <f t="shared" si="6"/>
        <v>7250</v>
      </c>
      <c r="P7773" s="2">
        <v>0.0</v>
      </c>
      <c r="Q7773" s="3">
        <f t="shared" si="7"/>
        <v>0</v>
      </c>
      <c r="R7773" s="2">
        <v>0.0</v>
      </c>
      <c r="S7773" s="5">
        <f t="shared" si="8"/>
        <v>0</v>
      </c>
    </row>
    <row r="7774">
      <c r="A7774" s="2" t="s">
        <v>7769</v>
      </c>
      <c r="B7774" s="2">
        <v>2.0</v>
      </c>
      <c r="C7774" s="2">
        <v>22.0</v>
      </c>
      <c r="D7774" s="2">
        <v>3.0</v>
      </c>
      <c r="E7774" s="3">
        <f t="shared" si="1"/>
        <v>0.15</v>
      </c>
      <c r="F7774" s="2">
        <v>0.0</v>
      </c>
      <c r="G7774" s="3">
        <f t="shared" si="2"/>
        <v>0</v>
      </c>
      <c r="H7774" s="2">
        <v>6.0</v>
      </c>
      <c r="I7774" s="3">
        <f t="shared" si="3"/>
        <v>0.3</v>
      </c>
      <c r="J7774" s="2">
        <v>4.0</v>
      </c>
      <c r="K7774" s="3">
        <f t="shared" si="4"/>
        <v>0.2</v>
      </c>
      <c r="L7774" s="2">
        <v>4.0</v>
      </c>
      <c r="M7774" s="3">
        <f t="shared" si="5"/>
        <v>0.6666666667</v>
      </c>
      <c r="N7774" s="2">
        <v>41100.0</v>
      </c>
      <c r="O7774" s="4">
        <f t="shared" si="6"/>
        <v>6850</v>
      </c>
      <c r="P7774" s="2">
        <v>0.0</v>
      </c>
      <c r="Q7774" s="3">
        <f t="shared" si="7"/>
        <v>0</v>
      </c>
      <c r="R7774" s="2">
        <v>2.0</v>
      </c>
      <c r="S7774" s="5">
        <f t="shared" si="8"/>
        <v>1</v>
      </c>
    </row>
    <row r="7775">
      <c r="A7775" s="2" t="s">
        <v>7770</v>
      </c>
      <c r="B7775" s="2">
        <v>1.0</v>
      </c>
      <c r="C7775" s="2">
        <v>11.0</v>
      </c>
      <c r="D7775" s="2">
        <v>1.0</v>
      </c>
      <c r="E7775" s="3">
        <f t="shared" si="1"/>
        <v>0.1</v>
      </c>
      <c r="F7775" s="2">
        <v>0.0</v>
      </c>
      <c r="G7775" s="3">
        <f t="shared" si="2"/>
        <v>0</v>
      </c>
      <c r="H7775" s="2">
        <v>2.0</v>
      </c>
      <c r="I7775" s="3">
        <f t="shared" si="3"/>
        <v>0.2</v>
      </c>
      <c r="J7775" s="2">
        <v>2.0</v>
      </c>
      <c r="K7775" s="3">
        <f t="shared" si="4"/>
        <v>0.2</v>
      </c>
      <c r="L7775" s="2">
        <v>1.0</v>
      </c>
      <c r="M7775" s="3">
        <f t="shared" si="5"/>
        <v>0.5</v>
      </c>
      <c r="N7775" s="2">
        <v>14600.0</v>
      </c>
      <c r="O7775" s="4">
        <f t="shared" si="6"/>
        <v>7300</v>
      </c>
      <c r="P7775" s="2">
        <v>0.0</v>
      </c>
      <c r="Q7775" s="3">
        <f t="shared" si="7"/>
        <v>0</v>
      </c>
      <c r="R7775" s="2">
        <v>1.0</v>
      </c>
      <c r="S7775" s="5">
        <f t="shared" si="8"/>
        <v>1</v>
      </c>
    </row>
    <row r="7776">
      <c r="A7776" s="2" t="s">
        <v>7771</v>
      </c>
      <c r="B7776" s="2">
        <v>1.0</v>
      </c>
      <c r="C7776" s="2">
        <v>12.0</v>
      </c>
      <c r="D7776" s="2">
        <v>2.0</v>
      </c>
      <c r="E7776" s="3">
        <f t="shared" si="1"/>
        <v>0.1818181818</v>
      </c>
      <c r="F7776" s="2">
        <v>0.0</v>
      </c>
      <c r="G7776" s="3">
        <f t="shared" si="2"/>
        <v>0</v>
      </c>
      <c r="H7776" s="2">
        <v>3.0</v>
      </c>
      <c r="I7776" s="3">
        <f t="shared" si="3"/>
        <v>0.2727272727</v>
      </c>
      <c r="J7776" s="2">
        <v>2.0</v>
      </c>
      <c r="K7776" s="3">
        <f t="shared" si="4"/>
        <v>0.1818181818</v>
      </c>
      <c r="L7776" s="2">
        <v>3.0</v>
      </c>
      <c r="M7776" s="3">
        <f t="shared" si="5"/>
        <v>1</v>
      </c>
      <c r="N7776" s="2">
        <v>14300.0</v>
      </c>
      <c r="O7776" s="4">
        <f t="shared" si="6"/>
        <v>4766.666667</v>
      </c>
      <c r="P7776" s="2">
        <v>0.0</v>
      </c>
      <c r="Q7776" s="3">
        <f t="shared" si="7"/>
        <v>0</v>
      </c>
      <c r="R7776" s="2">
        <v>1.0</v>
      </c>
      <c r="S7776" s="5">
        <f t="shared" si="8"/>
        <v>1</v>
      </c>
    </row>
    <row r="7777">
      <c r="A7777" s="2" t="s">
        <v>7772</v>
      </c>
      <c r="B7777" s="2">
        <v>2.0</v>
      </c>
      <c r="C7777" s="2">
        <v>19.0</v>
      </c>
      <c r="D7777" s="2">
        <v>3.0</v>
      </c>
      <c r="E7777" s="3">
        <f t="shared" si="1"/>
        <v>0.1764705882</v>
      </c>
      <c r="F7777" s="2">
        <v>0.0</v>
      </c>
      <c r="G7777" s="3">
        <f t="shared" si="2"/>
        <v>0</v>
      </c>
      <c r="H7777" s="2">
        <v>3.0</v>
      </c>
      <c r="I7777" s="3">
        <f t="shared" si="3"/>
        <v>0.1764705882</v>
      </c>
      <c r="J7777" s="2">
        <v>3.0</v>
      </c>
      <c r="K7777" s="3">
        <f t="shared" si="4"/>
        <v>0.1764705882</v>
      </c>
      <c r="L7777" s="2">
        <v>0.0</v>
      </c>
      <c r="M7777" s="3">
        <f t="shared" si="5"/>
        <v>0</v>
      </c>
      <c r="N7777" s="2">
        <v>25500.0</v>
      </c>
      <c r="O7777" s="4">
        <f t="shared" si="6"/>
        <v>8500</v>
      </c>
      <c r="P7777" s="2">
        <v>0.0</v>
      </c>
      <c r="Q7777" s="3">
        <f t="shared" si="7"/>
        <v>0</v>
      </c>
      <c r="R7777" s="2">
        <v>2.0</v>
      </c>
      <c r="S7777" s="5">
        <f t="shared" si="8"/>
        <v>1</v>
      </c>
    </row>
    <row r="7778">
      <c r="A7778" s="2" t="s">
        <v>7773</v>
      </c>
      <c r="B7778" s="2">
        <v>1.0</v>
      </c>
      <c r="C7778" s="2">
        <v>13.0</v>
      </c>
      <c r="D7778" s="2">
        <v>4.0</v>
      </c>
      <c r="E7778" s="3">
        <f t="shared" si="1"/>
        <v>0.3333333333</v>
      </c>
      <c r="F7778" s="2">
        <v>0.0</v>
      </c>
      <c r="G7778" s="3">
        <f t="shared" si="2"/>
        <v>0</v>
      </c>
      <c r="H7778" s="2">
        <v>5.0</v>
      </c>
      <c r="I7778" s="3">
        <f t="shared" si="3"/>
        <v>0.4166666667</v>
      </c>
      <c r="J7778" s="2">
        <v>2.0</v>
      </c>
      <c r="K7778" s="3">
        <f t="shared" si="4"/>
        <v>0.1666666667</v>
      </c>
      <c r="L7778" s="2">
        <v>4.0</v>
      </c>
      <c r="M7778" s="3">
        <f t="shared" si="5"/>
        <v>0.8</v>
      </c>
      <c r="N7778" s="2">
        <v>30200.0</v>
      </c>
      <c r="O7778" s="4">
        <f t="shared" si="6"/>
        <v>6040</v>
      </c>
      <c r="P7778" s="2">
        <v>0.0</v>
      </c>
      <c r="Q7778" s="3">
        <f t="shared" si="7"/>
        <v>0</v>
      </c>
      <c r="R7778" s="2">
        <v>1.0</v>
      </c>
      <c r="S7778" s="5">
        <f t="shared" si="8"/>
        <v>1</v>
      </c>
    </row>
    <row r="7779">
      <c r="A7779" s="2" t="s">
        <v>7774</v>
      </c>
      <c r="B7779" s="2">
        <v>1.0</v>
      </c>
      <c r="C7779" s="2">
        <v>13.0</v>
      </c>
      <c r="D7779" s="2">
        <v>5.0</v>
      </c>
      <c r="E7779" s="3">
        <f t="shared" si="1"/>
        <v>0.4166666667</v>
      </c>
      <c r="F7779" s="2">
        <v>0.0</v>
      </c>
      <c r="G7779" s="3">
        <f t="shared" si="2"/>
        <v>0</v>
      </c>
      <c r="H7779" s="2">
        <v>4.0</v>
      </c>
      <c r="I7779" s="3">
        <f t="shared" si="3"/>
        <v>0.3333333333</v>
      </c>
      <c r="J7779" s="2">
        <v>2.0</v>
      </c>
      <c r="K7779" s="3">
        <f t="shared" si="4"/>
        <v>0.1666666667</v>
      </c>
      <c r="L7779" s="2">
        <v>4.0</v>
      </c>
      <c r="M7779" s="3">
        <f t="shared" si="5"/>
        <v>1</v>
      </c>
      <c r="N7779" s="2">
        <v>15500.0</v>
      </c>
      <c r="O7779" s="4">
        <f t="shared" si="6"/>
        <v>3875</v>
      </c>
      <c r="P7779" s="2">
        <v>0.0</v>
      </c>
      <c r="Q7779" s="3">
        <f t="shared" si="7"/>
        <v>0</v>
      </c>
      <c r="R7779" s="2">
        <v>1.0</v>
      </c>
      <c r="S7779" s="5">
        <f t="shared" si="8"/>
        <v>1</v>
      </c>
    </row>
    <row r="7780">
      <c r="A7780" s="2" t="s">
        <v>7775</v>
      </c>
      <c r="B7780" s="2">
        <v>1.0</v>
      </c>
      <c r="C7780" s="2">
        <v>13.0</v>
      </c>
      <c r="D7780" s="2">
        <v>2.0</v>
      </c>
      <c r="E7780" s="3">
        <f t="shared" si="1"/>
        <v>0.1666666667</v>
      </c>
      <c r="F7780" s="2">
        <v>0.0</v>
      </c>
      <c r="G7780" s="3">
        <f t="shared" si="2"/>
        <v>0</v>
      </c>
      <c r="H7780" s="2">
        <v>4.0</v>
      </c>
      <c r="I7780" s="3">
        <f t="shared" si="3"/>
        <v>0.3333333333</v>
      </c>
      <c r="J7780" s="2">
        <v>2.0</v>
      </c>
      <c r="K7780" s="3">
        <f t="shared" si="4"/>
        <v>0.1666666667</v>
      </c>
      <c r="L7780" s="2">
        <v>3.0</v>
      </c>
      <c r="M7780" s="3">
        <f t="shared" si="5"/>
        <v>0.75</v>
      </c>
      <c r="N7780" s="2">
        <v>21600.0</v>
      </c>
      <c r="O7780" s="4">
        <f t="shared" si="6"/>
        <v>5400</v>
      </c>
      <c r="P7780" s="2">
        <v>0.0</v>
      </c>
      <c r="Q7780" s="3">
        <f t="shared" si="7"/>
        <v>0</v>
      </c>
      <c r="R7780" s="2">
        <v>1.0</v>
      </c>
      <c r="S7780" s="5">
        <f t="shared" si="8"/>
        <v>1</v>
      </c>
    </row>
    <row r="7781">
      <c r="A7781" s="2" t="s">
        <v>7776</v>
      </c>
      <c r="B7781" s="2">
        <v>1.0</v>
      </c>
      <c r="C7781" s="2">
        <v>13.0</v>
      </c>
      <c r="D7781" s="2">
        <v>5.0</v>
      </c>
      <c r="E7781" s="3">
        <f t="shared" si="1"/>
        <v>0.4166666667</v>
      </c>
      <c r="F7781" s="2">
        <v>0.0</v>
      </c>
      <c r="G7781" s="3">
        <f t="shared" si="2"/>
        <v>0</v>
      </c>
      <c r="H7781" s="2">
        <v>1.0</v>
      </c>
      <c r="I7781" s="3">
        <f t="shared" si="3"/>
        <v>0.08333333333</v>
      </c>
      <c r="J7781" s="2">
        <v>2.0</v>
      </c>
      <c r="K7781" s="3">
        <f t="shared" si="4"/>
        <v>0.1666666667</v>
      </c>
      <c r="L7781" s="2">
        <v>0.0</v>
      </c>
      <c r="M7781" s="3">
        <f t="shared" si="5"/>
        <v>0</v>
      </c>
      <c r="N7781" s="2">
        <v>5200.0</v>
      </c>
      <c r="O7781" s="4">
        <f t="shared" si="6"/>
        <v>5200</v>
      </c>
      <c r="P7781" s="2">
        <v>0.0</v>
      </c>
      <c r="Q7781" s="3">
        <f t="shared" si="7"/>
        <v>0</v>
      </c>
      <c r="R7781" s="2">
        <v>1.0</v>
      </c>
      <c r="S7781" s="5">
        <f t="shared" si="8"/>
        <v>1</v>
      </c>
    </row>
    <row r="7782">
      <c r="A7782" s="2" t="s">
        <v>7777</v>
      </c>
      <c r="B7782" s="2">
        <v>2.0</v>
      </c>
      <c r="C7782" s="2">
        <v>22.0</v>
      </c>
      <c r="D7782" s="2">
        <v>5.0</v>
      </c>
      <c r="E7782" s="3">
        <f t="shared" si="1"/>
        <v>0.25</v>
      </c>
      <c r="F7782" s="2">
        <v>0.0</v>
      </c>
      <c r="G7782" s="3">
        <f t="shared" si="2"/>
        <v>0</v>
      </c>
      <c r="H7782" s="2">
        <v>6.0</v>
      </c>
      <c r="I7782" s="3">
        <f t="shared" si="3"/>
        <v>0.3</v>
      </c>
      <c r="J7782" s="2">
        <v>3.0</v>
      </c>
      <c r="K7782" s="3">
        <f t="shared" si="4"/>
        <v>0.15</v>
      </c>
      <c r="L7782" s="2">
        <v>6.0</v>
      </c>
      <c r="M7782" s="3">
        <f t="shared" si="5"/>
        <v>1</v>
      </c>
      <c r="N7782" s="2">
        <v>22000.0</v>
      </c>
      <c r="O7782" s="4">
        <f t="shared" si="6"/>
        <v>3666.666667</v>
      </c>
      <c r="P7782" s="2">
        <v>0.0</v>
      </c>
      <c r="Q7782" s="3">
        <f t="shared" si="7"/>
        <v>0</v>
      </c>
      <c r="R7782" s="2">
        <v>0.0</v>
      </c>
      <c r="S7782" s="5">
        <f t="shared" si="8"/>
        <v>0</v>
      </c>
    </row>
    <row r="7783">
      <c r="A7783" s="2" t="s">
        <v>7778</v>
      </c>
      <c r="B7783" s="2">
        <v>1.0</v>
      </c>
      <c r="C7783" s="2">
        <v>10.0</v>
      </c>
      <c r="D7783" s="2">
        <v>5.0</v>
      </c>
      <c r="E7783" s="3">
        <f t="shared" si="1"/>
        <v>0.5555555556</v>
      </c>
      <c r="F7783" s="2">
        <v>0.0</v>
      </c>
      <c r="G7783" s="3">
        <f t="shared" si="2"/>
        <v>0</v>
      </c>
      <c r="H7783" s="2">
        <v>3.0</v>
      </c>
      <c r="I7783" s="3">
        <f t="shared" si="3"/>
        <v>0.3333333333</v>
      </c>
      <c r="J7783" s="2">
        <v>1.0</v>
      </c>
      <c r="K7783" s="3">
        <f t="shared" si="4"/>
        <v>0.1111111111</v>
      </c>
      <c r="L7783" s="2">
        <v>2.0</v>
      </c>
      <c r="M7783" s="3">
        <f t="shared" si="5"/>
        <v>0.6666666667</v>
      </c>
      <c r="N7783" s="2">
        <v>6900.0</v>
      </c>
      <c r="O7783" s="4">
        <f t="shared" si="6"/>
        <v>2300</v>
      </c>
      <c r="P7783" s="2">
        <v>0.0</v>
      </c>
      <c r="Q7783" s="3">
        <f t="shared" si="7"/>
        <v>0</v>
      </c>
      <c r="R7783" s="2">
        <v>0.0</v>
      </c>
      <c r="S7783" s="5">
        <f t="shared" si="8"/>
        <v>0</v>
      </c>
    </row>
    <row r="7784">
      <c r="A7784" s="2" t="s">
        <v>7779</v>
      </c>
      <c r="B7784" s="2">
        <v>2.0</v>
      </c>
      <c r="C7784" s="2">
        <v>23.0</v>
      </c>
      <c r="D7784" s="2">
        <v>11.0</v>
      </c>
      <c r="E7784" s="3">
        <f t="shared" si="1"/>
        <v>0.5238095238</v>
      </c>
      <c r="F7784" s="2">
        <v>0.0</v>
      </c>
      <c r="G7784" s="3">
        <f t="shared" si="2"/>
        <v>0</v>
      </c>
      <c r="H7784" s="2">
        <v>4.0</v>
      </c>
      <c r="I7784" s="3">
        <f t="shared" si="3"/>
        <v>0.1904761905</v>
      </c>
      <c r="J7784" s="2">
        <v>2.0</v>
      </c>
      <c r="K7784" s="3">
        <f t="shared" si="4"/>
        <v>0.09523809524</v>
      </c>
      <c r="L7784" s="2">
        <v>2.0</v>
      </c>
      <c r="M7784" s="3">
        <f t="shared" si="5"/>
        <v>0.5</v>
      </c>
      <c r="N7784" s="2">
        <v>9100.0</v>
      </c>
      <c r="O7784" s="4">
        <f t="shared" si="6"/>
        <v>2275</v>
      </c>
      <c r="P7784" s="2">
        <v>0.0</v>
      </c>
      <c r="Q7784" s="3">
        <f t="shared" si="7"/>
        <v>0</v>
      </c>
      <c r="R7784" s="2">
        <v>2.0</v>
      </c>
      <c r="S7784" s="5">
        <f t="shared" si="8"/>
        <v>1</v>
      </c>
    </row>
    <row r="7785">
      <c r="A7785" s="2" t="s">
        <v>7780</v>
      </c>
      <c r="B7785" s="2">
        <v>1.0</v>
      </c>
      <c r="C7785" s="2">
        <v>13.0</v>
      </c>
      <c r="D7785" s="2">
        <v>2.0</v>
      </c>
      <c r="E7785" s="3">
        <f t="shared" si="1"/>
        <v>0.1666666667</v>
      </c>
      <c r="F7785" s="2">
        <v>0.0</v>
      </c>
      <c r="G7785" s="3">
        <f t="shared" si="2"/>
        <v>0</v>
      </c>
      <c r="H7785" s="2">
        <v>2.0</v>
      </c>
      <c r="I7785" s="3">
        <f t="shared" si="3"/>
        <v>0.1666666667</v>
      </c>
      <c r="J7785" s="2">
        <v>1.0</v>
      </c>
      <c r="K7785" s="3">
        <f t="shared" si="4"/>
        <v>0.08333333333</v>
      </c>
      <c r="L7785" s="2">
        <v>1.0</v>
      </c>
      <c r="M7785" s="3">
        <f t="shared" si="5"/>
        <v>0.5</v>
      </c>
      <c r="N7785" s="2">
        <v>13100.0</v>
      </c>
      <c r="O7785" s="4">
        <f t="shared" si="6"/>
        <v>6550</v>
      </c>
      <c r="P7785" s="2">
        <v>0.0</v>
      </c>
      <c r="Q7785" s="3">
        <f t="shared" si="7"/>
        <v>0</v>
      </c>
      <c r="R7785" s="2">
        <v>1.0</v>
      </c>
      <c r="S7785" s="5">
        <f t="shared" si="8"/>
        <v>1</v>
      </c>
    </row>
    <row r="7786">
      <c r="A7786" s="2" t="s">
        <v>7781</v>
      </c>
      <c r="B7786" s="2">
        <v>1.0</v>
      </c>
      <c r="C7786" s="2">
        <v>13.0</v>
      </c>
      <c r="D7786" s="2">
        <v>3.0</v>
      </c>
      <c r="E7786" s="3">
        <f t="shared" si="1"/>
        <v>0.25</v>
      </c>
      <c r="F7786" s="2">
        <v>0.0</v>
      </c>
      <c r="G7786" s="3">
        <f t="shared" si="2"/>
        <v>0</v>
      </c>
      <c r="H7786" s="2">
        <v>1.0</v>
      </c>
      <c r="I7786" s="3">
        <f t="shared" si="3"/>
        <v>0.08333333333</v>
      </c>
      <c r="J7786" s="2">
        <v>1.0</v>
      </c>
      <c r="K7786" s="3">
        <f t="shared" si="4"/>
        <v>0.08333333333</v>
      </c>
      <c r="L7786" s="2">
        <v>1.0</v>
      </c>
      <c r="M7786" s="3">
        <f t="shared" si="5"/>
        <v>1</v>
      </c>
      <c r="N7786" s="2">
        <v>2000.0</v>
      </c>
      <c r="O7786" s="4">
        <f t="shared" si="6"/>
        <v>2000</v>
      </c>
      <c r="P7786" s="2">
        <v>0.0</v>
      </c>
      <c r="Q7786" s="3">
        <f t="shared" si="7"/>
        <v>0</v>
      </c>
      <c r="R7786" s="2">
        <v>1.0</v>
      </c>
      <c r="S7786" s="5">
        <f t="shared" si="8"/>
        <v>1</v>
      </c>
    </row>
    <row r="7787">
      <c r="A7787" s="2" t="s">
        <v>7782</v>
      </c>
      <c r="B7787" s="2">
        <v>1.0</v>
      </c>
      <c r="C7787" s="2">
        <v>14.0</v>
      </c>
      <c r="D7787" s="2">
        <v>7.0</v>
      </c>
      <c r="E7787" s="3">
        <f t="shared" si="1"/>
        <v>0.5384615385</v>
      </c>
      <c r="F7787" s="2">
        <v>0.0</v>
      </c>
      <c r="G7787" s="3">
        <f t="shared" si="2"/>
        <v>0</v>
      </c>
      <c r="H7787" s="2">
        <v>5.0</v>
      </c>
      <c r="I7787" s="3">
        <f t="shared" si="3"/>
        <v>0.3846153846</v>
      </c>
      <c r="J7787" s="2">
        <v>1.0</v>
      </c>
      <c r="K7787" s="3">
        <f t="shared" si="4"/>
        <v>0.07692307692</v>
      </c>
      <c r="L7787" s="2">
        <v>4.0</v>
      </c>
      <c r="M7787" s="3">
        <f t="shared" si="5"/>
        <v>0.8</v>
      </c>
      <c r="N7787" s="2">
        <v>24900.0</v>
      </c>
      <c r="O7787" s="4">
        <f t="shared" si="6"/>
        <v>4980</v>
      </c>
      <c r="P7787" s="2">
        <v>0.0</v>
      </c>
      <c r="Q7787" s="3">
        <f t="shared" si="7"/>
        <v>0</v>
      </c>
      <c r="R7787" s="2">
        <v>0.0</v>
      </c>
      <c r="S7787" s="5">
        <f t="shared" si="8"/>
        <v>0</v>
      </c>
    </row>
    <row r="7788">
      <c r="A7788" s="2" t="s">
        <v>7783</v>
      </c>
      <c r="B7788" s="2">
        <v>1.0</v>
      </c>
      <c r="C7788" s="2">
        <v>12.0</v>
      </c>
      <c r="D7788" s="2">
        <v>4.0</v>
      </c>
      <c r="E7788" s="3">
        <f t="shared" si="1"/>
        <v>0.3636363636</v>
      </c>
      <c r="F7788" s="2">
        <v>0.0</v>
      </c>
      <c r="G7788" s="3">
        <f t="shared" si="2"/>
        <v>0</v>
      </c>
      <c r="H7788" s="2">
        <v>3.0</v>
      </c>
      <c r="I7788" s="3">
        <f t="shared" si="3"/>
        <v>0.2727272727</v>
      </c>
      <c r="J7788" s="2">
        <v>0.0</v>
      </c>
      <c r="K7788" s="3">
        <f t="shared" si="4"/>
        <v>0</v>
      </c>
      <c r="L7788" s="2">
        <v>1.0</v>
      </c>
      <c r="M7788" s="3">
        <f t="shared" si="5"/>
        <v>0.3333333333</v>
      </c>
      <c r="N7788" s="2">
        <v>9400.0</v>
      </c>
      <c r="O7788" s="4">
        <f t="shared" si="6"/>
        <v>3133.333333</v>
      </c>
      <c r="P7788" s="2">
        <v>0.0</v>
      </c>
      <c r="Q7788" s="3">
        <f t="shared" si="7"/>
        <v>0</v>
      </c>
      <c r="R7788" s="2">
        <v>0.0</v>
      </c>
      <c r="S7788" s="5">
        <f t="shared" si="8"/>
        <v>0</v>
      </c>
    </row>
    <row r="7789">
      <c r="A7789" s="2" t="s">
        <v>7784</v>
      </c>
      <c r="B7789" s="2">
        <v>1.0</v>
      </c>
      <c r="C7789" s="2">
        <v>10.0</v>
      </c>
      <c r="D7789" s="2">
        <v>4.0</v>
      </c>
      <c r="E7789" s="3">
        <f t="shared" si="1"/>
        <v>0.4444444444</v>
      </c>
      <c r="F7789" s="2">
        <v>0.0</v>
      </c>
      <c r="G7789" s="3">
        <f t="shared" si="2"/>
        <v>0</v>
      </c>
      <c r="H7789" s="2">
        <v>2.0</v>
      </c>
      <c r="I7789" s="3">
        <f t="shared" si="3"/>
        <v>0.2222222222</v>
      </c>
      <c r="J7789" s="2">
        <v>0.0</v>
      </c>
      <c r="K7789" s="3">
        <f t="shared" si="4"/>
        <v>0</v>
      </c>
      <c r="L7789" s="2">
        <v>1.0</v>
      </c>
      <c r="M7789" s="3">
        <f t="shared" si="5"/>
        <v>0.5</v>
      </c>
      <c r="N7789" s="2">
        <v>5000.0</v>
      </c>
      <c r="O7789" s="4">
        <f t="shared" si="6"/>
        <v>2500</v>
      </c>
      <c r="P7789" s="2">
        <v>0.0</v>
      </c>
      <c r="Q7789" s="3">
        <f t="shared" si="7"/>
        <v>0</v>
      </c>
      <c r="R7789" s="2">
        <v>0.0</v>
      </c>
      <c r="S7789" s="5">
        <f t="shared" si="8"/>
        <v>0</v>
      </c>
    </row>
    <row r="7790">
      <c r="A7790" s="2" t="s">
        <v>7785</v>
      </c>
      <c r="B7790" s="2">
        <v>1.0</v>
      </c>
      <c r="C7790" s="2">
        <v>4.0</v>
      </c>
      <c r="D7790" s="2">
        <v>2.0</v>
      </c>
      <c r="E7790" s="3">
        <f t="shared" si="1"/>
        <v>0.6666666667</v>
      </c>
      <c r="F7790" s="2">
        <v>0.0</v>
      </c>
      <c r="G7790" s="3">
        <f t="shared" si="2"/>
        <v>0</v>
      </c>
      <c r="H7790" s="2">
        <v>0.0</v>
      </c>
      <c r="I7790" s="3">
        <f t="shared" si="3"/>
        <v>0</v>
      </c>
      <c r="J7790" s="2">
        <v>0.0</v>
      </c>
      <c r="K7790" s="3">
        <f t="shared" si="4"/>
        <v>0</v>
      </c>
      <c r="L7790" s="2">
        <v>0.0</v>
      </c>
      <c r="M7790" s="3" t="str">
        <f t="shared" si="5"/>
        <v>#DIV/0!</v>
      </c>
      <c r="N7790" s="2">
        <v>0.0</v>
      </c>
      <c r="O7790" s="4" t="str">
        <f t="shared" si="6"/>
        <v>#DIV/0!</v>
      </c>
      <c r="P7790" s="2">
        <v>0.0</v>
      </c>
      <c r="Q7790" s="3">
        <f t="shared" si="7"/>
        <v>0</v>
      </c>
      <c r="R7790" s="2">
        <v>0.0</v>
      </c>
      <c r="S7790" s="5">
        <f t="shared" si="8"/>
        <v>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4.0"/>
    <col customWidth="1" min="2" max="2" width="6.5"/>
    <col customWidth="1" min="3" max="3" width="6.88"/>
    <col customWidth="1" min="4" max="4" width="7.25"/>
    <col customWidth="1" min="5" max="5" width="7.5"/>
    <col customWidth="1" min="6" max="6" width="7.13"/>
    <col customWidth="1" min="7" max="7" width="7.88"/>
    <col customWidth="1" min="8" max="8" width="6.25"/>
    <col customWidth="1" min="9" max="9" width="9.0"/>
    <col customWidth="1" min="10" max="10" width="8.25"/>
    <col customWidth="1" min="11" max="11" width="9.5"/>
  </cols>
  <sheetData>
    <row r="1">
      <c r="A1" s="1" t="s">
        <v>0</v>
      </c>
      <c r="B1" s="1" t="s">
        <v>1</v>
      </c>
      <c r="C1" s="1" t="s">
        <v>2</v>
      </c>
      <c r="D1" s="1" t="s">
        <v>4</v>
      </c>
      <c r="E1" s="1" t="s">
        <v>7786</v>
      </c>
      <c r="F1" s="1" t="s">
        <v>8</v>
      </c>
      <c r="G1" s="1" t="s">
        <v>10</v>
      </c>
      <c r="H1" s="1" t="s">
        <v>12</v>
      </c>
      <c r="I1" s="1" t="s">
        <v>14</v>
      </c>
      <c r="J1" s="1" t="s">
        <v>15</v>
      </c>
      <c r="K1" s="1" t="s">
        <v>7787</v>
      </c>
      <c r="L1" s="1" t="s">
        <v>7788</v>
      </c>
      <c r="M1" s="1"/>
      <c r="N1" s="1"/>
      <c r="O1" s="1"/>
      <c r="P1" s="1"/>
      <c r="Q1" s="1"/>
      <c r="R1" s="1"/>
      <c r="S1" s="1"/>
    </row>
    <row r="2">
      <c r="A2" s="10" t="str">
        <f>IFERROR(__xludf.DUMMYFUNCTION("QUERY(Data!A2:Data!S7790, ""select A,B,C,E,G,I,K,M,O,P,Q,R,S where B &gt;= 100"")"),"やっちゃんよっち")</f>
        <v>やっちゃんよっち</v>
      </c>
      <c r="B2" s="10">
        <f>IFERROR(__xludf.DUMMYFUNCTION("""COMPUTED_VALUE"""),142.0)</f>
        <v>142</v>
      </c>
      <c r="C2" s="10">
        <f>IFERROR(__xludf.DUMMYFUNCTION("""COMPUTED_VALUE"""),1711.0)</f>
        <v>1711</v>
      </c>
      <c r="D2" s="5">
        <f>IFERROR(__xludf.DUMMYFUNCTION("""COMPUTED_VALUE"""),0.4295729764181007)</f>
        <v>0.4295729764</v>
      </c>
      <c r="E2" s="5">
        <f>IFERROR(__xludf.DUMMYFUNCTION("""COMPUTED_VALUE"""),0.20267686424474188)</f>
        <v>0.2026768642</v>
      </c>
      <c r="F2" s="5">
        <f>IFERROR(__xludf.DUMMYFUNCTION("""COMPUTED_VALUE"""),0.22880815806246016)</f>
        <v>0.2288081581</v>
      </c>
      <c r="G2" s="5">
        <f>IFERROR(__xludf.DUMMYFUNCTION("""COMPUTED_VALUE"""),0.17909496494582536)</f>
        <v>0.1790949649</v>
      </c>
      <c r="H2" s="5">
        <f>IFERROR(__xludf.DUMMYFUNCTION("""COMPUTED_VALUE"""),0.5988857938718662)</f>
        <v>0.5988857939</v>
      </c>
      <c r="I2" s="11">
        <f>IFERROR(__xludf.DUMMYFUNCTION("""COMPUTED_VALUE"""),5083.286908077995)</f>
        <v>5083.286908</v>
      </c>
      <c r="J2" s="10">
        <f>IFERROR(__xludf.DUMMYFUNCTION("""COMPUTED_VALUE"""),0.0)</f>
        <v>0</v>
      </c>
      <c r="K2" s="5">
        <f>IFERROR(__xludf.DUMMYFUNCTION("""COMPUTED_VALUE"""),0.0)</f>
        <v>0</v>
      </c>
      <c r="L2" s="10">
        <f>IFERROR(__xludf.DUMMYFUNCTION("""COMPUTED_VALUE"""),142.0)</f>
        <v>142</v>
      </c>
      <c r="M2" s="5">
        <f>IFERROR(__xludf.DUMMYFUNCTION("""COMPUTED_VALUE"""),1.0)</f>
        <v>1</v>
      </c>
    </row>
    <row r="3">
      <c r="A3" s="10" t="str">
        <f>IFERROR(__xludf.DUMMYFUNCTION("""COMPUTED_VALUE"""),"chosan")</f>
        <v>chosan</v>
      </c>
      <c r="B3" s="10">
        <f>IFERROR(__xludf.DUMMYFUNCTION("""COMPUTED_VALUE"""),104.0)</f>
        <v>104</v>
      </c>
      <c r="C3" s="10">
        <f>IFERROR(__xludf.DUMMYFUNCTION("""COMPUTED_VALUE"""),1223.0)</f>
        <v>1223</v>
      </c>
      <c r="D3" s="5">
        <f>IFERROR(__xludf.DUMMYFUNCTION("""COMPUTED_VALUE"""),0.31724754244861486)</f>
        <v>0.3172475424</v>
      </c>
      <c r="E3" s="5">
        <f>IFERROR(__xludf.DUMMYFUNCTION("""COMPUTED_VALUE"""),0.19481680071492405)</f>
        <v>0.1948168007</v>
      </c>
      <c r="F3" s="5">
        <f>IFERROR(__xludf.DUMMYFUNCTION("""COMPUTED_VALUE"""),0.22788203753351208)</f>
        <v>0.2278820375</v>
      </c>
      <c r="G3" s="5">
        <f>IFERROR(__xludf.DUMMYFUNCTION("""COMPUTED_VALUE"""),0.19928507596067918)</f>
        <v>0.199285076</v>
      </c>
      <c r="H3" s="5">
        <f>IFERROR(__xludf.DUMMYFUNCTION("""COMPUTED_VALUE"""),0.5764705882352941)</f>
        <v>0.5764705882</v>
      </c>
      <c r="I3" s="11">
        <f>IFERROR(__xludf.DUMMYFUNCTION("""COMPUTED_VALUE"""),5435.294117647059)</f>
        <v>5435.294118</v>
      </c>
      <c r="J3" s="10">
        <f>IFERROR(__xludf.DUMMYFUNCTION("""COMPUTED_VALUE"""),0.0)</f>
        <v>0</v>
      </c>
      <c r="K3" s="5">
        <f>IFERROR(__xludf.DUMMYFUNCTION("""COMPUTED_VALUE"""),0.0)</f>
        <v>0</v>
      </c>
      <c r="L3" s="10">
        <f>IFERROR(__xludf.DUMMYFUNCTION("""COMPUTED_VALUE"""),104.0)</f>
        <v>104</v>
      </c>
      <c r="M3" s="5">
        <f>IFERROR(__xludf.DUMMYFUNCTION("""COMPUTED_VALUE"""),1.0)</f>
        <v>1</v>
      </c>
    </row>
    <row r="4">
      <c r="A4" s="10" t="str">
        <f>IFERROR(__xludf.DUMMYFUNCTION("""COMPUTED_VALUE"""),"-LKH-")</f>
        <v>-LKH-</v>
      </c>
      <c r="B4" s="10">
        <f>IFERROR(__xludf.DUMMYFUNCTION("""COMPUTED_VALUE"""),122.0)</f>
        <v>122</v>
      </c>
      <c r="C4" s="10">
        <f>IFERROR(__xludf.DUMMYFUNCTION("""COMPUTED_VALUE"""),1375.0)</f>
        <v>1375</v>
      </c>
      <c r="D4" s="5">
        <f>IFERROR(__xludf.DUMMYFUNCTION("""COMPUTED_VALUE"""),0.38148443735035914)</f>
        <v>0.3814844374</v>
      </c>
      <c r="E4" s="5">
        <f>IFERROR(__xludf.DUMMYFUNCTION("""COMPUTED_VALUE"""),0.18435754189944134)</f>
        <v>0.1843575419</v>
      </c>
      <c r="F4" s="5">
        <f>IFERROR(__xludf.DUMMYFUNCTION("""COMPUTED_VALUE"""),0.23144453312051078)</f>
        <v>0.2314445331</v>
      </c>
      <c r="G4" s="5">
        <f>IFERROR(__xludf.DUMMYFUNCTION("""COMPUTED_VALUE"""),0.1827613727055068)</f>
        <v>0.1827613727</v>
      </c>
      <c r="H4" s="5">
        <f>IFERROR(__xludf.DUMMYFUNCTION("""COMPUTED_VALUE"""),0.5758620689655173)</f>
        <v>0.575862069</v>
      </c>
      <c r="I4" s="11">
        <f>IFERROR(__xludf.DUMMYFUNCTION("""COMPUTED_VALUE"""),6153.793103448276)</f>
        <v>6153.793103</v>
      </c>
      <c r="J4" s="10">
        <f>IFERROR(__xludf.DUMMYFUNCTION("""COMPUTED_VALUE"""),1.0)</f>
        <v>1</v>
      </c>
      <c r="K4" s="5">
        <f>IFERROR(__xludf.DUMMYFUNCTION("""COMPUTED_VALUE"""),0.00819672131147541)</f>
        <v>0.008196721311</v>
      </c>
      <c r="L4" s="10">
        <f>IFERROR(__xludf.DUMMYFUNCTION("""COMPUTED_VALUE"""),122.0)</f>
        <v>122</v>
      </c>
      <c r="M4" s="5">
        <f>IFERROR(__xludf.DUMMYFUNCTION("""COMPUTED_VALUE"""),1.0)</f>
        <v>1</v>
      </c>
    </row>
    <row r="5">
      <c r="A5" s="10" t="str">
        <f>IFERROR(__xludf.DUMMYFUNCTION("""COMPUTED_VALUE"""),"世界の涯")</f>
        <v>世界の涯</v>
      </c>
      <c r="B5" s="10">
        <f>IFERROR(__xludf.DUMMYFUNCTION("""COMPUTED_VALUE"""),148.0)</f>
        <v>148</v>
      </c>
      <c r="C5" s="10">
        <f>IFERROR(__xludf.DUMMYFUNCTION("""COMPUTED_VALUE"""),1710.0)</f>
        <v>1710</v>
      </c>
      <c r="D5" s="5">
        <f>IFERROR(__xludf.DUMMYFUNCTION("""COMPUTED_VALUE"""),0.31434058898847633)</f>
        <v>0.314340589</v>
      </c>
      <c r="E5" s="5">
        <f>IFERROR(__xludf.DUMMYFUNCTION("""COMPUTED_VALUE"""),0.18053777208706787)</f>
        <v>0.1805377721</v>
      </c>
      <c r="F5" s="5">
        <f>IFERROR(__xludf.DUMMYFUNCTION("""COMPUTED_VALUE"""),0.21702944942381563)</f>
        <v>0.2170294494</v>
      </c>
      <c r="G5" s="5">
        <f>IFERROR(__xludf.DUMMYFUNCTION("""COMPUTED_VALUE"""),0.22151088348271447)</f>
        <v>0.2215108835</v>
      </c>
      <c r="H5" s="5">
        <f>IFERROR(__xludf.DUMMYFUNCTION("""COMPUTED_VALUE"""),0.5722713864306784)</f>
        <v>0.5722713864</v>
      </c>
      <c r="I5" s="11">
        <f>IFERROR(__xludf.DUMMYFUNCTION("""COMPUTED_VALUE"""),6161.356932153392)</f>
        <v>6161.356932</v>
      </c>
      <c r="J5" s="10">
        <f>IFERROR(__xludf.DUMMYFUNCTION("""COMPUTED_VALUE"""),1.0)</f>
        <v>1</v>
      </c>
      <c r="K5" s="5">
        <f>IFERROR(__xludf.DUMMYFUNCTION("""COMPUTED_VALUE"""),0.006756756756756757)</f>
        <v>0.006756756757</v>
      </c>
      <c r="L5" s="10">
        <f>IFERROR(__xludf.DUMMYFUNCTION("""COMPUTED_VALUE"""),148.0)</f>
        <v>148</v>
      </c>
      <c r="M5" s="5">
        <f>IFERROR(__xludf.DUMMYFUNCTION("""COMPUTED_VALUE"""),1.0)</f>
        <v>1</v>
      </c>
    </row>
    <row r="6">
      <c r="A6" s="10" t="str">
        <f>IFERROR(__xludf.DUMMYFUNCTION("""COMPUTED_VALUE"""),"高嶺之草高遠惠輔")</f>
        <v>高嶺之草高遠惠輔</v>
      </c>
      <c r="B6" s="10">
        <f>IFERROR(__xludf.DUMMYFUNCTION("""COMPUTED_VALUE"""),151.0)</f>
        <v>151</v>
      </c>
      <c r="C6" s="10">
        <f>IFERROR(__xludf.DUMMYFUNCTION("""COMPUTED_VALUE"""),1747.0)</f>
        <v>1747</v>
      </c>
      <c r="D6" s="5">
        <f>IFERROR(__xludf.DUMMYFUNCTION("""COMPUTED_VALUE"""),0.41604010025062654)</f>
        <v>0.4160401003</v>
      </c>
      <c r="E6" s="5">
        <f>IFERROR(__xludf.DUMMYFUNCTION("""COMPUTED_VALUE"""),0.17919799498746866)</f>
        <v>0.179197995</v>
      </c>
      <c r="F6" s="5">
        <f>IFERROR(__xludf.DUMMYFUNCTION("""COMPUTED_VALUE"""),0.2261904761904762)</f>
        <v>0.2261904762</v>
      </c>
      <c r="G6" s="5">
        <f>IFERROR(__xludf.DUMMYFUNCTION("""COMPUTED_VALUE"""),0.19047619047619047)</f>
        <v>0.1904761905</v>
      </c>
      <c r="H6" s="5">
        <f>IFERROR(__xludf.DUMMYFUNCTION("""COMPUTED_VALUE"""),0.556786703601108)</f>
        <v>0.5567867036</v>
      </c>
      <c r="I6" s="11">
        <f>IFERROR(__xludf.DUMMYFUNCTION("""COMPUTED_VALUE"""),5786.980609418282)</f>
        <v>5786.980609</v>
      </c>
      <c r="J6" s="10">
        <f>IFERROR(__xludf.DUMMYFUNCTION("""COMPUTED_VALUE"""),0.0)</f>
        <v>0</v>
      </c>
      <c r="K6" s="5">
        <f>IFERROR(__xludf.DUMMYFUNCTION("""COMPUTED_VALUE"""),0.0)</f>
        <v>0</v>
      </c>
      <c r="L6" s="10">
        <f>IFERROR(__xludf.DUMMYFUNCTION("""COMPUTED_VALUE"""),89.0)</f>
        <v>89</v>
      </c>
      <c r="M6" s="5">
        <f>IFERROR(__xludf.DUMMYFUNCTION("""COMPUTED_VALUE"""),0.5894039735099338)</f>
        <v>0.5894039735</v>
      </c>
    </row>
    <row r="7">
      <c r="A7" s="10" t="str">
        <f>IFERROR(__xludf.DUMMYFUNCTION("""COMPUTED_VALUE"""),"いそっこ")</f>
        <v>いそっこ</v>
      </c>
      <c r="B7" s="10">
        <f>IFERROR(__xludf.DUMMYFUNCTION("""COMPUTED_VALUE"""),129.0)</f>
        <v>129</v>
      </c>
      <c r="C7" s="10">
        <f>IFERROR(__xludf.DUMMYFUNCTION("""COMPUTED_VALUE"""),1461.0)</f>
        <v>1461</v>
      </c>
      <c r="D7" s="5">
        <f>IFERROR(__xludf.DUMMYFUNCTION("""COMPUTED_VALUE"""),0.36036036036036034)</f>
        <v>0.3603603604</v>
      </c>
      <c r="E7" s="5">
        <f>IFERROR(__xludf.DUMMYFUNCTION("""COMPUTED_VALUE"""),0.17867867867867868)</f>
        <v>0.1786786787</v>
      </c>
      <c r="F7" s="5">
        <f>IFERROR(__xludf.DUMMYFUNCTION("""COMPUTED_VALUE"""),0.20345345345345345)</f>
        <v>0.2034534535</v>
      </c>
      <c r="G7" s="5">
        <f>IFERROR(__xludf.DUMMYFUNCTION("""COMPUTED_VALUE"""),0.18018018018018017)</f>
        <v>0.1801801802</v>
      </c>
      <c r="H7" s="5">
        <f>IFERROR(__xludf.DUMMYFUNCTION("""COMPUTED_VALUE"""),0.5608856088560885)</f>
        <v>0.5608856089</v>
      </c>
      <c r="I7" s="11">
        <f>IFERROR(__xludf.DUMMYFUNCTION("""COMPUTED_VALUE"""),6179.335793357934)</f>
        <v>6179.335793</v>
      </c>
      <c r="J7" s="10">
        <f>IFERROR(__xludf.DUMMYFUNCTION("""COMPUTED_VALUE"""),0.0)</f>
        <v>0</v>
      </c>
      <c r="K7" s="5">
        <f>IFERROR(__xludf.DUMMYFUNCTION("""COMPUTED_VALUE"""),0.0)</f>
        <v>0</v>
      </c>
      <c r="L7" s="10">
        <f>IFERROR(__xludf.DUMMYFUNCTION("""COMPUTED_VALUE"""),129.0)</f>
        <v>129</v>
      </c>
      <c r="M7" s="5">
        <f>IFERROR(__xludf.DUMMYFUNCTION("""COMPUTED_VALUE"""),1.0)</f>
        <v>1</v>
      </c>
    </row>
    <row r="8">
      <c r="A8" s="10" t="str">
        <f>IFERROR(__xludf.DUMMYFUNCTION("""COMPUTED_VALUE"""),"反魂")</f>
        <v>反魂</v>
      </c>
      <c r="B8" s="10">
        <f>IFERROR(__xludf.DUMMYFUNCTION("""COMPUTED_VALUE"""),136.0)</f>
        <v>136</v>
      </c>
      <c r="C8" s="10">
        <f>IFERROR(__xludf.DUMMYFUNCTION("""COMPUTED_VALUE"""),1546.0)</f>
        <v>1546</v>
      </c>
      <c r="D8" s="5">
        <f>IFERROR(__xludf.DUMMYFUNCTION("""COMPUTED_VALUE"""),0.3638297872340426)</f>
        <v>0.3638297872</v>
      </c>
      <c r="E8" s="5">
        <f>IFERROR(__xludf.DUMMYFUNCTION("""COMPUTED_VALUE"""),0.1773049645390071)</f>
        <v>0.1773049645</v>
      </c>
      <c r="F8" s="5">
        <f>IFERROR(__xludf.DUMMYFUNCTION("""COMPUTED_VALUE"""),0.20141843971631207)</f>
        <v>0.2014184397</v>
      </c>
      <c r="G8" s="5">
        <f>IFERROR(__xludf.DUMMYFUNCTION("""COMPUTED_VALUE"""),0.2028368794326241)</f>
        <v>0.2028368794</v>
      </c>
      <c r="H8" s="5">
        <f>IFERROR(__xludf.DUMMYFUNCTION("""COMPUTED_VALUE"""),0.5950704225352113)</f>
        <v>0.5950704225</v>
      </c>
      <c r="I8" s="11">
        <f>IFERROR(__xludf.DUMMYFUNCTION("""COMPUTED_VALUE"""),5151.408450704225)</f>
        <v>5151.408451</v>
      </c>
      <c r="J8" s="10">
        <f>IFERROR(__xludf.DUMMYFUNCTION("""COMPUTED_VALUE"""),0.0)</f>
        <v>0</v>
      </c>
      <c r="K8" s="5">
        <f>IFERROR(__xludf.DUMMYFUNCTION("""COMPUTED_VALUE"""),0.0)</f>
        <v>0</v>
      </c>
      <c r="L8" s="10">
        <f>IFERROR(__xludf.DUMMYFUNCTION("""COMPUTED_VALUE"""),136.0)</f>
        <v>136</v>
      </c>
      <c r="M8" s="5">
        <f>IFERROR(__xludf.DUMMYFUNCTION("""COMPUTED_VALUE"""),1.0)</f>
        <v>1</v>
      </c>
    </row>
    <row r="9">
      <c r="A9" s="10" t="str">
        <f>IFERROR(__xludf.DUMMYFUNCTION("""COMPUTED_VALUE"""),"ぽぺんぴん")</f>
        <v>ぽぺんぴん</v>
      </c>
      <c r="B9" s="10">
        <f>IFERROR(__xludf.DUMMYFUNCTION("""COMPUTED_VALUE"""),188.0)</f>
        <v>188</v>
      </c>
      <c r="C9" s="10">
        <f>IFERROR(__xludf.DUMMYFUNCTION("""COMPUTED_VALUE"""),2174.0)</f>
        <v>2174</v>
      </c>
      <c r="D9" s="5">
        <f>IFERROR(__xludf.DUMMYFUNCTION("""COMPUTED_VALUE"""),0.3867069486404834)</f>
        <v>0.3867069486</v>
      </c>
      <c r="E9" s="5">
        <f>IFERROR(__xludf.DUMMYFUNCTION("""COMPUTED_VALUE"""),0.1772406847935549)</f>
        <v>0.1772406848</v>
      </c>
      <c r="F9" s="5">
        <f>IFERROR(__xludf.DUMMYFUNCTION("""COMPUTED_VALUE"""),0.22004028197381673)</f>
        <v>0.220040282</v>
      </c>
      <c r="G9" s="5">
        <f>IFERROR(__xludf.DUMMYFUNCTION("""COMPUTED_VALUE"""),0.1510574018126888)</f>
        <v>0.1510574018</v>
      </c>
      <c r="H9" s="5">
        <f>IFERROR(__xludf.DUMMYFUNCTION("""COMPUTED_VALUE"""),0.5812356979405034)</f>
        <v>0.5812356979</v>
      </c>
      <c r="I9" s="11">
        <f>IFERROR(__xludf.DUMMYFUNCTION("""COMPUTED_VALUE"""),5787.41418764302)</f>
        <v>5787.414188</v>
      </c>
      <c r="J9" s="10">
        <f>IFERROR(__xludf.DUMMYFUNCTION("""COMPUTED_VALUE"""),1.0)</f>
        <v>1</v>
      </c>
      <c r="K9" s="5">
        <f>IFERROR(__xludf.DUMMYFUNCTION("""COMPUTED_VALUE"""),0.005319148936170213)</f>
        <v>0.005319148936</v>
      </c>
      <c r="L9" s="10">
        <f>IFERROR(__xludf.DUMMYFUNCTION("""COMPUTED_VALUE"""),188.0)</f>
        <v>188</v>
      </c>
      <c r="M9" s="5">
        <f>IFERROR(__xludf.DUMMYFUNCTION("""COMPUTED_VALUE"""),1.0)</f>
        <v>1</v>
      </c>
    </row>
    <row r="10">
      <c r="A10" s="10" t="str">
        <f>IFERROR(__xludf.DUMMYFUNCTION("""COMPUTED_VALUE"""),"じゃき.")</f>
        <v>じゃき.</v>
      </c>
      <c r="B10" s="10">
        <f>IFERROR(__xludf.DUMMYFUNCTION("""COMPUTED_VALUE"""),246.0)</f>
        <v>246</v>
      </c>
      <c r="C10" s="10">
        <f>IFERROR(__xludf.DUMMYFUNCTION("""COMPUTED_VALUE"""),2863.0)</f>
        <v>2863</v>
      </c>
      <c r="D10" s="5">
        <f>IFERROR(__xludf.DUMMYFUNCTION("""COMPUTED_VALUE"""),0.4130683989300726)</f>
        <v>0.4130683989</v>
      </c>
      <c r="E10" s="5">
        <f>IFERROR(__xludf.DUMMYFUNCTION("""COMPUTED_VALUE"""),0.1765380206343141)</f>
        <v>0.1765380206</v>
      </c>
      <c r="F10" s="5">
        <f>IFERROR(__xludf.DUMMYFUNCTION("""COMPUTED_VALUE"""),0.19946503630110815)</f>
        <v>0.1994650363</v>
      </c>
      <c r="G10" s="5">
        <f>IFERROR(__xludf.DUMMYFUNCTION("""COMPUTED_VALUE"""),0.1818876576232327)</f>
        <v>0.1818876576</v>
      </c>
      <c r="H10" s="5">
        <f>IFERROR(__xludf.DUMMYFUNCTION("""COMPUTED_VALUE"""),0.6206896551724138)</f>
        <v>0.6206896552</v>
      </c>
      <c r="I10" s="11">
        <f>IFERROR(__xludf.DUMMYFUNCTION("""COMPUTED_VALUE"""),6072.9885057471265)</f>
        <v>6072.988506</v>
      </c>
      <c r="J10" s="10">
        <f>IFERROR(__xludf.DUMMYFUNCTION("""COMPUTED_VALUE"""),1.0)</f>
        <v>1</v>
      </c>
      <c r="K10" s="5">
        <f>IFERROR(__xludf.DUMMYFUNCTION("""COMPUTED_VALUE"""),0.0040650406504065045)</f>
        <v>0.00406504065</v>
      </c>
      <c r="L10" s="10">
        <f>IFERROR(__xludf.DUMMYFUNCTION("""COMPUTED_VALUE"""),246.0)</f>
        <v>246</v>
      </c>
      <c r="M10" s="5">
        <f>IFERROR(__xludf.DUMMYFUNCTION("""COMPUTED_VALUE"""),1.0)</f>
        <v>1</v>
      </c>
    </row>
    <row r="11">
      <c r="A11" s="10" t="str">
        <f>IFERROR(__xludf.DUMMYFUNCTION("""COMPUTED_VALUE"""),"真空フェスタ")</f>
        <v>真空フェスタ</v>
      </c>
      <c r="B11" s="10">
        <f>IFERROR(__xludf.DUMMYFUNCTION("""COMPUTED_VALUE"""),369.0)</f>
        <v>369</v>
      </c>
      <c r="C11" s="10">
        <f>IFERROR(__xludf.DUMMYFUNCTION("""COMPUTED_VALUE"""),4201.0)</f>
        <v>4201</v>
      </c>
      <c r="D11" s="5">
        <f>IFERROR(__xludf.DUMMYFUNCTION("""COMPUTED_VALUE"""),0.2784446764091858)</f>
        <v>0.2784446764</v>
      </c>
      <c r="E11" s="5">
        <f>IFERROR(__xludf.DUMMYFUNCTION("""COMPUTED_VALUE"""),0.17640918580375783)</f>
        <v>0.1764091858</v>
      </c>
      <c r="F11" s="5">
        <f>IFERROR(__xludf.DUMMYFUNCTION("""COMPUTED_VALUE"""),0.2035490605427975)</f>
        <v>0.2035490605</v>
      </c>
      <c r="G11" s="5">
        <f>IFERROR(__xludf.DUMMYFUNCTION("""COMPUTED_VALUE"""),0.2205114822546973)</f>
        <v>0.2205114823</v>
      </c>
      <c r="H11" s="5">
        <f>IFERROR(__xludf.DUMMYFUNCTION("""COMPUTED_VALUE"""),0.5782051282051283)</f>
        <v>0.5782051282</v>
      </c>
      <c r="I11" s="11">
        <f>IFERROR(__xludf.DUMMYFUNCTION("""COMPUTED_VALUE"""),6320.897435897436)</f>
        <v>6320.897436</v>
      </c>
      <c r="J11" s="10">
        <f>IFERROR(__xludf.DUMMYFUNCTION("""COMPUTED_VALUE"""),1.0)</f>
        <v>1</v>
      </c>
      <c r="K11" s="5">
        <f>IFERROR(__xludf.DUMMYFUNCTION("""COMPUTED_VALUE"""),0.0027100271002710027)</f>
        <v>0.0027100271</v>
      </c>
      <c r="L11" s="10">
        <f>IFERROR(__xludf.DUMMYFUNCTION("""COMPUTED_VALUE"""),369.0)</f>
        <v>369</v>
      </c>
      <c r="M11" s="5">
        <f>IFERROR(__xludf.DUMMYFUNCTION("""COMPUTED_VALUE"""),1.0)</f>
        <v>1</v>
      </c>
    </row>
    <row r="12">
      <c r="A12" s="10" t="str">
        <f>IFERROR(__xludf.DUMMYFUNCTION("""COMPUTED_VALUE"""),"とまりぎ")</f>
        <v>とまりぎ</v>
      </c>
      <c r="B12" s="10">
        <f>IFERROR(__xludf.DUMMYFUNCTION("""COMPUTED_VALUE"""),235.0)</f>
        <v>235</v>
      </c>
      <c r="C12" s="10">
        <f>IFERROR(__xludf.DUMMYFUNCTION("""COMPUTED_VALUE"""),2687.0)</f>
        <v>2687</v>
      </c>
      <c r="D12" s="5">
        <f>IFERROR(__xludf.DUMMYFUNCTION("""COMPUTED_VALUE"""),0.4078303425774878)</f>
        <v>0.4078303426</v>
      </c>
      <c r="E12" s="5">
        <f>IFERROR(__xludf.DUMMYFUNCTION("""COMPUTED_VALUE"""),0.1761827079934747)</f>
        <v>0.176182708</v>
      </c>
      <c r="F12" s="5">
        <f>IFERROR(__xludf.DUMMYFUNCTION("""COMPUTED_VALUE"""),0.20432300163132136)</f>
        <v>0.2043230016</v>
      </c>
      <c r="G12" s="5">
        <f>IFERROR(__xludf.DUMMYFUNCTION("""COMPUTED_VALUE"""),0.18474714518760196)</f>
        <v>0.1847471452</v>
      </c>
      <c r="H12" s="5">
        <f>IFERROR(__xludf.DUMMYFUNCTION("""COMPUTED_VALUE"""),0.6007984031936128)</f>
        <v>0.6007984032</v>
      </c>
      <c r="I12" s="11">
        <f>IFERROR(__xludf.DUMMYFUNCTION("""COMPUTED_VALUE"""),6206.387225548902)</f>
        <v>6206.387226</v>
      </c>
      <c r="J12" s="10">
        <f>IFERROR(__xludf.DUMMYFUNCTION("""COMPUTED_VALUE"""),0.0)</f>
        <v>0</v>
      </c>
      <c r="K12" s="5">
        <f>IFERROR(__xludf.DUMMYFUNCTION("""COMPUTED_VALUE"""),0.0)</f>
        <v>0</v>
      </c>
      <c r="L12" s="10">
        <f>IFERROR(__xludf.DUMMYFUNCTION("""COMPUTED_VALUE"""),235.0)</f>
        <v>235</v>
      </c>
      <c r="M12" s="5">
        <f>IFERROR(__xludf.DUMMYFUNCTION("""COMPUTED_VALUE"""),1.0)</f>
        <v>1</v>
      </c>
    </row>
    <row r="13">
      <c r="A13" s="10" t="str">
        <f>IFERROR(__xludf.DUMMYFUNCTION("""COMPUTED_VALUE"""),"りそうぢゃんし♪")</f>
        <v>りそうぢゃんし♪</v>
      </c>
      <c r="B13" s="10">
        <f>IFERROR(__xludf.DUMMYFUNCTION("""COMPUTED_VALUE"""),111.0)</f>
        <v>111</v>
      </c>
      <c r="C13" s="10">
        <f>IFERROR(__xludf.DUMMYFUNCTION("""COMPUTED_VALUE"""),1315.0)</f>
        <v>1315</v>
      </c>
      <c r="D13" s="5">
        <f>IFERROR(__xludf.DUMMYFUNCTION("""COMPUTED_VALUE"""),0.3729235880398671)</f>
        <v>0.372923588</v>
      </c>
      <c r="E13" s="5">
        <f>IFERROR(__xludf.DUMMYFUNCTION("""COMPUTED_VALUE"""),0.1760797342192691)</f>
        <v>0.1760797342</v>
      </c>
      <c r="F13" s="5">
        <f>IFERROR(__xludf.DUMMYFUNCTION("""COMPUTED_VALUE"""),0.23089700996677742)</f>
        <v>0.23089701</v>
      </c>
      <c r="G13" s="5">
        <f>IFERROR(__xludf.DUMMYFUNCTION("""COMPUTED_VALUE"""),0.1760797342192691)</f>
        <v>0.1760797342</v>
      </c>
      <c r="H13" s="5">
        <f>IFERROR(__xludf.DUMMYFUNCTION("""COMPUTED_VALUE"""),0.5755395683453237)</f>
        <v>0.5755395683</v>
      </c>
      <c r="I13" s="11">
        <f>IFERROR(__xludf.DUMMYFUNCTION("""COMPUTED_VALUE"""),5307.553956834532)</f>
        <v>5307.553957</v>
      </c>
      <c r="J13" s="10">
        <f>IFERROR(__xludf.DUMMYFUNCTION("""COMPUTED_VALUE"""),0.0)</f>
        <v>0</v>
      </c>
      <c r="K13" s="5">
        <f>IFERROR(__xludf.DUMMYFUNCTION("""COMPUTED_VALUE"""),0.0)</f>
        <v>0</v>
      </c>
      <c r="L13" s="10">
        <f>IFERROR(__xludf.DUMMYFUNCTION("""COMPUTED_VALUE"""),110.0)</f>
        <v>110</v>
      </c>
      <c r="M13" s="5">
        <f>IFERROR(__xludf.DUMMYFUNCTION("""COMPUTED_VALUE"""),0.990990990990991)</f>
        <v>0.990990991</v>
      </c>
    </row>
    <row r="14">
      <c r="A14" s="10" t="str">
        <f>IFERROR(__xludf.DUMMYFUNCTION("""COMPUTED_VALUE"""),"赤司")</f>
        <v>赤司</v>
      </c>
      <c r="B14" s="10">
        <f>IFERROR(__xludf.DUMMYFUNCTION("""COMPUTED_VALUE"""),121.0)</f>
        <v>121</v>
      </c>
      <c r="C14" s="10">
        <f>IFERROR(__xludf.DUMMYFUNCTION("""COMPUTED_VALUE"""),1394.0)</f>
        <v>1394</v>
      </c>
      <c r="D14" s="5">
        <f>IFERROR(__xludf.DUMMYFUNCTION("""COMPUTED_VALUE"""),0.3739198743126473)</f>
        <v>0.3739198743</v>
      </c>
      <c r="E14" s="5">
        <f>IFERROR(__xludf.DUMMYFUNCTION("""COMPUTED_VALUE"""),0.17596229379418696)</f>
        <v>0.1759622938</v>
      </c>
      <c r="F14" s="5">
        <f>IFERROR(__xludf.DUMMYFUNCTION("""COMPUTED_VALUE"""),0.2128829536527887)</f>
        <v>0.2128829537</v>
      </c>
      <c r="G14" s="5">
        <f>IFERROR(__xludf.DUMMYFUNCTION("""COMPUTED_VALUE"""),0.1516103692065986)</f>
        <v>0.1516103692</v>
      </c>
      <c r="H14" s="5">
        <f>IFERROR(__xludf.DUMMYFUNCTION("""COMPUTED_VALUE"""),0.6199261992619927)</f>
        <v>0.6199261993</v>
      </c>
      <c r="I14" s="11">
        <f>IFERROR(__xludf.DUMMYFUNCTION("""COMPUTED_VALUE"""),5815.867158671586)</f>
        <v>5815.867159</v>
      </c>
      <c r="J14" s="10">
        <f>IFERROR(__xludf.DUMMYFUNCTION("""COMPUTED_VALUE"""),0.0)</f>
        <v>0</v>
      </c>
      <c r="K14" s="5">
        <f>IFERROR(__xludf.DUMMYFUNCTION("""COMPUTED_VALUE"""),0.0)</f>
        <v>0</v>
      </c>
      <c r="L14" s="10">
        <f>IFERROR(__xludf.DUMMYFUNCTION("""COMPUTED_VALUE"""),121.0)</f>
        <v>121</v>
      </c>
      <c r="M14" s="5">
        <f>IFERROR(__xludf.DUMMYFUNCTION("""COMPUTED_VALUE"""),1.0)</f>
        <v>1</v>
      </c>
    </row>
    <row r="15">
      <c r="A15" s="10" t="str">
        <f>IFERROR(__xludf.DUMMYFUNCTION("""COMPUTED_VALUE"""),"風の小鳥")</f>
        <v>風の小鳥</v>
      </c>
      <c r="B15" s="10">
        <f>IFERROR(__xludf.DUMMYFUNCTION("""COMPUTED_VALUE"""),106.0)</f>
        <v>106</v>
      </c>
      <c r="C15" s="10">
        <f>IFERROR(__xludf.DUMMYFUNCTION("""COMPUTED_VALUE"""),1216.0)</f>
        <v>1216</v>
      </c>
      <c r="D15" s="5">
        <f>IFERROR(__xludf.DUMMYFUNCTION("""COMPUTED_VALUE"""),0.26666666666666666)</f>
        <v>0.2666666667</v>
      </c>
      <c r="E15" s="5">
        <f>IFERROR(__xludf.DUMMYFUNCTION("""COMPUTED_VALUE"""),0.17567567567567569)</f>
        <v>0.1756756757</v>
      </c>
      <c r="F15" s="5">
        <f>IFERROR(__xludf.DUMMYFUNCTION("""COMPUTED_VALUE"""),0.18468468468468469)</f>
        <v>0.1846846847</v>
      </c>
      <c r="G15" s="5">
        <f>IFERROR(__xludf.DUMMYFUNCTION("""COMPUTED_VALUE"""),0.20810810810810812)</f>
        <v>0.2081081081</v>
      </c>
      <c r="H15" s="5">
        <f>IFERROR(__xludf.DUMMYFUNCTION("""COMPUTED_VALUE"""),0.5951219512195122)</f>
        <v>0.5951219512</v>
      </c>
      <c r="I15" s="11">
        <f>IFERROR(__xludf.DUMMYFUNCTION("""COMPUTED_VALUE"""),5781.951219512195)</f>
        <v>5781.95122</v>
      </c>
      <c r="J15" s="10">
        <f>IFERROR(__xludf.DUMMYFUNCTION("""COMPUTED_VALUE"""),0.0)</f>
        <v>0</v>
      </c>
      <c r="K15" s="5">
        <f>IFERROR(__xludf.DUMMYFUNCTION("""COMPUTED_VALUE"""),0.0)</f>
        <v>0</v>
      </c>
      <c r="L15" s="10">
        <f>IFERROR(__xludf.DUMMYFUNCTION("""COMPUTED_VALUE"""),0.0)</f>
        <v>0</v>
      </c>
      <c r="M15" s="5">
        <f>IFERROR(__xludf.DUMMYFUNCTION("""COMPUTED_VALUE"""),0.0)</f>
        <v>0</v>
      </c>
    </row>
    <row r="16">
      <c r="A16" s="10" t="str">
        <f>IFERROR(__xludf.DUMMYFUNCTION("""COMPUTED_VALUE"""),"進撃の猫")</f>
        <v>進撃の猫</v>
      </c>
      <c r="B16" s="10">
        <f>IFERROR(__xludf.DUMMYFUNCTION("""COMPUTED_VALUE"""),192.0)</f>
        <v>192</v>
      </c>
      <c r="C16" s="10">
        <f>IFERROR(__xludf.DUMMYFUNCTION("""COMPUTED_VALUE"""),2255.0)</f>
        <v>2255</v>
      </c>
      <c r="D16" s="5">
        <f>IFERROR(__xludf.DUMMYFUNCTION("""COMPUTED_VALUE"""),0.3572467280659234)</f>
        <v>0.3572467281</v>
      </c>
      <c r="E16" s="5">
        <f>IFERROR(__xludf.DUMMYFUNCTION("""COMPUTED_VALUE"""),0.17498788172564228)</f>
        <v>0.1749878817</v>
      </c>
      <c r="F16" s="5">
        <f>IFERROR(__xludf.DUMMYFUNCTION("""COMPUTED_VALUE"""),0.23024721279689772)</f>
        <v>0.2302472128</v>
      </c>
      <c r="G16" s="5">
        <f>IFERROR(__xludf.DUMMYFUNCTION("""COMPUTED_VALUE"""),0.17595734367426077)</f>
        <v>0.1759573437</v>
      </c>
      <c r="H16" s="5">
        <f>IFERROR(__xludf.DUMMYFUNCTION("""COMPUTED_VALUE"""),0.6189473684210526)</f>
        <v>0.6189473684</v>
      </c>
      <c r="I16" s="11">
        <f>IFERROR(__xludf.DUMMYFUNCTION("""COMPUTED_VALUE"""),5288.631578947368)</f>
        <v>5288.631579</v>
      </c>
      <c r="J16" s="10">
        <f>IFERROR(__xludf.DUMMYFUNCTION("""COMPUTED_VALUE"""),1.0)</f>
        <v>1</v>
      </c>
      <c r="K16" s="5">
        <f>IFERROR(__xludf.DUMMYFUNCTION("""COMPUTED_VALUE"""),0.005208333333333333)</f>
        <v>0.005208333333</v>
      </c>
      <c r="L16" s="10">
        <f>IFERROR(__xludf.DUMMYFUNCTION("""COMPUTED_VALUE"""),192.0)</f>
        <v>192</v>
      </c>
      <c r="M16" s="5">
        <f>IFERROR(__xludf.DUMMYFUNCTION("""COMPUTED_VALUE"""),1.0)</f>
        <v>1</v>
      </c>
    </row>
    <row r="17">
      <c r="A17" s="10" t="str">
        <f>IFERROR(__xludf.DUMMYFUNCTION("""COMPUTED_VALUE"""),"kinta191")</f>
        <v>kinta191</v>
      </c>
      <c r="B17" s="10">
        <f>IFERROR(__xludf.DUMMYFUNCTION("""COMPUTED_VALUE"""),106.0)</f>
        <v>106</v>
      </c>
      <c r="C17" s="10">
        <f>IFERROR(__xludf.DUMMYFUNCTION("""COMPUTED_VALUE"""),1234.0)</f>
        <v>1234</v>
      </c>
      <c r="D17" s="5">
        <f>IFERROR(__xludf.DUMMYFUNCTION("""COMPUTED_VALUE"""),0.4095744680851064)</f>
        <v>0.4095744681</v>
      </c>
      <c r="E17" s="5">
        <f>IFERROR(__xludf.DUMMYFUNCTION("""COMPUTED_VALUE"""),0.17464539007092197)</f>
        <v>0.1746453901</v>
      </c>
      <c r="F17" s="5">
        <f>IFERROR(__xludf.DUMMYFUNCTION("""COMPUTED_VALUE"""),0.2047872340425532)</f>
        <v>0.204787234</v>
      </c>
      <c r="G17" s="5">
        <f>IFERROR(__xludf.DUMMYFUNCTION("""COMPUTED_VALUE"""),0.16578014184397163)</f>
        <v>0.1657801418</v>
      </c>
      <c r="H17" s="5">
        <f>IFERROR(__xludf.DUMMYFUNCTION("""COMPUTED_VALUE"""),0.6363636363636364)</f>
        <v>0.6363636364</v>
      </c>
      <c r="I17" s="11">
        <f>IFERROR(__xludf.DUMMYFUNCTION("""COMPUTED_VALUE"""),5873.160173160173)</f>
        <v>5873.160173</v>
      </c>
      <c r="J17" s="10">
        <f>IFERROR(__xludf.DUMMYFUNCTION("""COMPUTED_VALUE"""),0.0)</f>
        <v>0</v>
      </c>
      <c r="K17" s="5">
        <f>IFERROR(__xludf.DUMMYFUNCTION("""COMPUTED_VALUE"""),0.0)</f>
        <v>0</v>
      </c>
      <c r="L17" s="10">
        <f>IFERROR(__xludf.DUMMYFUNCTION("""COMPUTED_VALUE"""),106.0)</f>
        <v>106</v>
      </c>
      <c r="M17" s="5">
        <f>IFERROR(__xludf.DUMMYFUNCTION("""COMPUTED_VALUE"""),1.0)</f>
        <v>1</v>
      </c>
    </row>
    <row r="18">
      <c r="A18" s="10" t="str">
        <f>IFERROR(__xludf.DUMMYFUNCTION("""COMPUTED_VALUE"""),"みぃちゃん推し")</f>
        <v>みぃちゃん推し</v>
      </c>
      <c r="B18" s="10">
        <f>IFERROR(__xludf.DUMMYFUNCTION("""COMPUTED_VALUE"""),187.0)</f>
        <v>187</v>
      </c>
      <c r="C18" s="10">
        <f>IFERROR(__xludf.DUMMYFUNCTION("""COMPUTED_VALUE"""),2129.0)</f>
        <v>2129</v>
      </c>
      <c r="D18" s="5">
        <f>IFERROR(__xludf.DUMMYFUNCTION("""COMPUTED_VALUE"""),0.3238928939237899)</f>
        <v>0.3238928939</v>
      </c>
      <c r="E18" s="5">
        <f>IFERROR(__xludf.DUMMYFUNCTION("""COMPUTED_VALUE"""),0.174562306900103)</f>
        <v>0.1745623069</v>
      </c>
      <c r="F18" s="5">
        <f>IFERROR(__xludf.DUMMYFUNCTION("""COMPUTED_VALUE"""),0.22193614830072092)</f>
        <v>0.2219361483</v>
      </c>
      <c r="G18" s="5">
        <f>IFERROR(__xludf.DUMMYFUNCTION("""COMPUTED_VALUE"""),0.19361483007209063)</f>
        <v>0.1936148301</v>
      </c>
      <c r="H18" s="5">
        <f>IFERROR(__xludf.DUMMYFUNCTION("""COMPUTED_VALUE"""),0.6102088167053364)</f>
        <v>0.6102088167</v>
      </c>
      <c r="I18" s="11">
        <f>IFERROR(__xludf.DUMMYFUNCTION("""COMPUTED_VALUE"""),5529.930394431554)</f>
        <v>5529.930394</v>
      </c>
      <c r="J18" s="10">
        <f>IFERROR(__xludf.DUMMYFUNCTION("""COMPUTED_VALUE"""),0.0)</f>
        <v>0</v>
      </c>
      <c r="K18" s="5">
        <f>IFERROR(__xludf.DUMMYFUNCTION("""COMPUTED_VALUE"""),0.0)</f>
        <v>0</v>
      </c>
      <c r="L18" s="10">
        <f>IFERROR(__xludf.DUMMYFUNCTION("""COMPUTED_VALUE"""),187.0)</f>
        <v>187</v>
      </c>
      <c r="M18" s="5">
        <f>IFERROR(__xludf.DUMMYFUNCTION("""COMPUTED_VALUE"""),1.0)</f>
        <v>1</v>
      </c>
    </row>
    <row r="19">
      <c r="A19" s="10" t="str">
        <f>IFERROR(__xludf.DUMMYFUNCTION("""COMPUTED_VALUE"""),"血塗られた聖天使")</f>
        <v>血塗られた聖天使</v>
      </c>
      <c r="B19" s="10">
        <f>IFERROR(__xludf.DUMMYFUNCTION("""COMPUTED_VALUE"""),123.0)</f>
        <v>123</v>
      </c>
      <c r="C19" s="10">
        <f>IFERROR(__xludf.DUMMYFUNCTION("""COMPUTED_VALUE"""),1464.0)</f>
        <v>1464</v>
      </c>
      <c r="D19" s="5">
        <f>IFERROR(__xludf.DUMMYFUNCTION("""COMPUTED_VALUE"""),0.32065622669649513)</f>
        <v>0.3206562267</v>
      </c>
      <c r="E19" s="5">
        <f>IFERROR(__xludf.DUMMYFUNCTION("""COMPUTED_VALUE"""),0.174496644295302)</f>
        <v>0.1744966443</v>
      </c>
      <c r="F19" s="5">
        <f>IFERROR(__xludf.DUMMYFUNCTION("""COMPUTED_VALUE"""),0.20283370618941088)</f>
        <v>0.2028337062</v>
      </c>
      <c r="G19" s="5">
        <f>IFERROR(__xludf.DUMMYFUNCTION("""COMPUTED_VALUE"""),0.22520507084265473)</f>
        <v>0.2252050708</v>
      </c>
      <c r="H19" s="5">
        <f>IFERROR(__xludf.DUMMYFUNCTION("""COMPUTED_VALUE"""),0.5698529411764706)</f>
        <v>0.5698529412</v>
      </c>
      <c r="I19" s="11">
        <f>IFERROR(__xludf.DUMMYFUNCTION("""COMPUTED_VALUE"""),6229.411764705882)</f>
        <v>6229.411765</v>
      </c>
      <c r="J19" s="10">
        <f>IFERROR(__xludf.DUMMYFUNCTION("""COMPUTED_VALUE"""),0.0)</f>
        <v>0</v>
      </c>
      <c r="K19" s="5">
        <f>IFERROR(__xludf.DUMMYFUNCTION("""COMPUTED_VALUE"""),0.0)</f>
        <v>0</v>
      </c>
      <c r="L19" s="10">
        <f>IFERROR(__xludf.DUMMYFUNCTION("""COMPUTED_VALUE"""),123.0)</f>
        <v>123</v>
      </c>
      <c r="M19" s="5">
        <f>IFERROR(__xludf.DUMMYFUNCTION("""COMPUTED_VALUE"""),1.0)</f>
        <v>1</v>
      </c>
    </row>
    <row r="20">
      <c r="A20" s="10" t="str">
        <f>IFERROR(__xludf.DUMMYFUNCTION("""COMPUTED_VALUE"""),"zaku")</f>
        <v>zaku</v>
      </c>
      <c r="B20" s="10">
        <f>IFERROR(__xludf.DUMMYFUNCTION("""COMPUTED_VALUE"""),110.0)</f>
        <v>110</v>
      </c>
      <c r="C20" s="10">
        <f>IFERROR(__xludf.DUMMYFUNCTION("""COMPUTED_VALUE"""),1304.0)</f>
        <v>1304</v>
      </c>
      <c r="D20" s="5">
        <f>IFERROR(__xludf.DUMMYFUNCTION("""COMPUTED_VALUE"""),0.32160804020100503)</f>
        <v>0.3216080402</v>
      </c>
      <c r="E20" s="5">
        <f>IFERROR(__xludf.DUMMYFUNCTION("""COMPUTED_VALUE"""),0.17420435510887772)</f>
        <v>0.1742043551</v>
      </c>
      <c r="F20" s="5">
        <f>IFERROR(__xludf.DUMMYFUNCTION("""COMPUTED_VALUE"""),0.211892797319933)</f>
        <v>0.2118927973</v>
      </c>
      <c r="G20" s="5">
        <f>IFERROR(__xludf.DUMMYFUNCTION("""COMPUTED_VALUE"""),0.20268006700167504)</f>
        <v>0.202680067</v>
      </c>
      <c r="H20" s="5">
        <f>IFERROR(__xludf.DUMMYFUNCTION("""COMPUTED_VALUE"""),0.5889328063241107)</f>
        <v>0.5889328063</v>
      </c>
      <c r="I20" s="11">
        <f>IFERROR(__xludf.DUMMYFUNCTION("""COMPUTED_VALUE"""),5750.592885375494)</f>
        <v>5750.592885</v>
      </c>
      <c r="J20" s="10">
        <f>IFERROR(__xludf.DUMMYFUNCTION("""COMPUTED_VALUE"""),0.0)</f>
        <v>0</v>
      </c>
      <c r="K20" s="5">
        <f>IFERROR(__xludf.DUMMYFUNCTION("""COMPUTED_VALUE"""),0.0)</f>
        <v>0</v>
      </c>
      <c r="L20" s="10">
        <f>IFERROR(__xludf.DUMMYFUNCTION("""COMPUTED_VALUE"""),110.0)</f>
        <v>110</v>
      </c>
      <c r="M20" s="5">
        <f>IFERROR(__xludf.DUMMYFUNCTION("""COMPUTED_VALUE"""),1.0)</f>
        <v>1</v>
      </c>
    </row>
    <row r="21">
      <c r="A21" s="10" t="str">
        <f>IFERROR(__xludf.DUMMYFUNCTION("""COMPUTED_VALUE"""),"hironn20")</f>
        <v>hironn20</v>
      </c>
      <c r="B21" s="10">
        <f>IFERROR(__xludf.DUMMYFUNCTION("""COMPUTED_VALUE"""),230.0)</f>
        <v>230</v>
      </c>
      <c r="C21" s="10">
        <f>IFERROR(__xludf.DUMMYFUNCTION("""COMPUTED_VALUE"""),2679.0)</f>
        <v>2679</v>
      </c>
      <c r="D21" s="5">
        <f>IFERROR(__xludf.DUMMYFUNCTION("""COMPUTED_VALUE"""),0.33483054307880766)</f>
        <v>0.3348305431</v>
      </c>
      <c r="E21" s="5">
        <f>IFERROR(__xludf.DUMMYFUNCTION("""COMPUTED_VALUE"""),0.17394855042874643)</f>
        <v>0.1739485504</v>
      </c>
      <c r="F21" s="5">
        <f>IFERROR(__xludf.DUMMYFUNCTION("""COMPUTED_VALUE"""),0.21069824418129848)</f>
        <v>0.2106982442</v>
      </c>
      <c r="G21" s="5">
        <f>IFERROR(__xludf.DUMMYFUNCTION("""COMPUTED_VALUE"""),0.14332380563495303)</f>
        <v>0.1433238056</v>
      </c>
      <c r="H21" s="5">
        <f>IFERROR(__xludf.DUMMYFUNCTION("""COMPUTED_VALUE"""),0.6356589147286822)</f>
        <v>0.6356589147</v>
      </c>
      <c r="I21" s="11">
        <f>IFERROR(__xludf.DUMMYFUNCTION("""COMPUTED_VALUE"""),5827.7131782945735)</f>
        <v>5827.713178</v>
      </c>
      <c r="J21" s="10">
        <f>IFERROR(__xludf.DUMMYFUNCTION("""COMPUTED_VALUE"""),2.0)</f>
        <v>2</v>
      </c>
      <c r="K21" s="5">
        <f>IFERROR(__xludf.DUMMYFUNCTION("""COMPUTED_VALUE"""),0.008695652173913044)</f>
        <v>0.008695652174</v>
      </c>
      <c r="L21" s="10">
        <f>IFERROR(__xludf.DUMMYFUNCTION("""COMPUTED_VALUE"""),230.0)</f>
        <v>230</v>
      </c>
      <c r="M21" s="5">
        <f>IFERROR(__xludf.DUMMYFUNCTION("""COMPUTED_VALUE"""),1.0)</f>
        <v>1</v>
      </c>
    </row>
    <row r="22">
      <c r="A22" s="10" t="str">
        <f>IFERROR(__xludf.DUMMYFUNCTION("""COMPUTED_VALUE"""),"kkk1412q")</f>
        <v>kkk1412q</v>
      </c>
      <c r="B22" s="10">
        <f>IFERROR(__xludf.DUMMYFUNCTION("""COMPUTED_VALUE"""),415.0)</f>
        <v>415</v>
      </c>
      <c r="C22" s="10">
        <f>IFERROR(__xludf.DUMMYFUNCTION("""COMPUTED_VALUE"""),4879.0)</f>
        <v>4879</v>
      </c>
      <c r="D22" s="5">
        <f>IFERROR(__xludf.DUMMYFUNCTION("""COMPUTED_VALUE"""),0.34453405017921146)</f>
        <v>0.3445340502</v>
      </c>
      <c r="E22" s="5">
        <f>IFERROR(__xludf.DUMMYFUNCTION("""COMPUTED_VALUE"""),0.17383512544802868)</f>
        <v>0.1738351254</v>
      </c>
      <c r="F22" s="5">
        <f>IFERROR(__xludf.DUMMYFUNCTION("""COMPUTED_VALUE"""),0.23230286738351255)</f>
        <v>0.2323028674</v>
      </c>
      <c r="G22" s="5">
        <f>IFERROR(__xludf.DUMMYFUNCTION("""COMPUTED_VALUE"""),0.21012544802867383)</f>
        <v>0.210125448</v>
      </c>
      <c r="H22" s="5">
        <f>IFERROR(__xludf.DUMMYFUNCTION("""COMPUTED_VALUE"""),0.583413693346191)</f>
        <v>0.5834136933</v>
      </c>
      <c r="I22" s="11">
        <f>IFERROR(__xludf.DUMMYFUNCTION("""COMPUTED_VALUE"""),5547.830279652845)</f>
        <v>5547.83028</v>
      </c>
      <c r="J22" s="10">
        <f>IFERROR(__xludf.DUMMYFUNCTION("""COMPUTED_VALUE"""),0.0)</f>
        <v>0</v>
      </c>
      <c r="K22" s="5">
        <f>IFERROR(__xludf.DUMMYFUNCTION("""COMPUTED_VALUE"""),0.0)</f>
        <v>0</v>
      </c>
      <c r="L22" s="10">
        <f>IFERROR(__xludf.DUMMYFUNCTION("""COMPUTED_VALUE"""),414.0)</f>
        <v>414</v>
      </c>
      <c r="M22" s="5">
        <f>IFERROR(__xludf.DUMMYFUNCTION("""COMPUTED_VALUE"""),0.9975903614457832)</f>
        <v>0.9975903614</v>
      </c>
    </row>
    <row r="23">
      <c r="A23" s="10" t="str">
        <f>IFERROR(__xludf.DUMMYFUNCTION("""COMPUTED_VALUE"""),"らむのぱぱ")</f>
        <v>らむのぱぱ</v>
      </c>
      <c r="B23" s="10">
        <f>IFERROR(__xludf.DUMMYFUNCTION("""COMPUTED_VALUE"""),235.0)</f>
        <v>235</v>
      </c>
      <c r="C23" s="10">
        <f>IFERROR(__xludf.DUMMYFUNCTION("""COMPUTED_VALUE"""),2652.0)</f>
        <v>2652</v>
      </c>
      <c r="D23" s="5">
        <f>IFERROR(__xludf.DUMMYFUNCTION("""COMPUTED_VALUE"""),0.3988415390980554)</f>
        <v>0.3988415391</v>
      </c>
      <c r="E23" s="5">
        <f>IFERROR(__xludf.DUMMYFUNCTION("""COMPUTED_VALUE"""),0.17335539925527513)</f>
        <v>0.1733553993</v>
      </c>
      <c r="F23" s="5">
        <f>IFERROR(__xludf.DUMMYFUNCTION("""COMPUTED_VALUE"""),0.2312784443525031)</f>
        <v>0.2312784444</v>
      </c>
      <c r="G23" s="5">
        <f>IFERROR(__xludf.DUMMYFUNCTION("""COMPUTED_VALUE"""),0.13322300372362433)</f>
        <v>0.1332230037</v>
      </c>
      <c r="H23" s="5">
        <f>IFERROR(__xludf.DUMMYFUNCTION("""COMPUTED_VALUE"""),0.6010733452593918)</f>
        <v>0.6010733453</v>
      </c>
      <c r="I23" s="11">
        <f>IFERROR(__xludf.DUMMYFUNCTION("""COMPUTED_VALUE"""),5374.597495527728)</f>
        <v>5374.597496</v>
      </c>
      <c r="J23" s="10">
        <f>IFERROR(__xludf.DUMMYFUNCTION("""COMPUTED_VALUE"""),3.0)</f>
        <v>3</v>
      </c>
      <c r="K23" s="5">
        <f>IFERROR(__xludf.DUMMYFUNCTION("""COMPUTED_VALUE"""),0.01276595744680851)</f>
        <v>0.01276595745</v>
      </c>
      <c r="L23" s="10">
        <f>IFERROR(__xludf.DUMMYFUNCTION("""COMPUTED_VALUE"""),235.0)</f>
        <v>235</v>
      </c>
      <c r="M23" s="5">
        <f>IFERROR(__xludf.DUMMYFUNCTION("""COMPUTED_VALUE"""),1.0)</f>
        <v>1</v>
      </c>
    </row>
    <row r="24">
      <c r="A24" s="10" t="str">
        <f>IFERROR(__xludf.DUMMYFUNCTION("""COMPUTED_VALUE"""),"stxseiya")</f>
        <v>stxseiya</v>
      </c>
      <c r="B24" s="10">
        <f>IFERROR(__xludf.DUMMYFUNCTION("""COMPUTED_VALUE"""),230.0)</f>
        <v>230</v>
      </c>
      <c r="C24" s="10">
        <f>IFERROR(__xludf.DUMMYFUNCTION("""COMPUTED_VALUE"""),2660.0)</f>
        <v>2660</v>
      </c>
      <c r="D24" s="5">
        <f>IFERROR(__xludf.DUMMYFUNCTION("""COMPUTED_VALUE"""),0.4283950617283951)</f>
        <v>0.4283950617</v>
      </c>
      <c r="E24" s="5">
        <f>IFERROR(__xludf.DUMMYFUNCTION("""COMPUTED_VALUE"""),0.1728395061728395)</f>
        <v>0.1728395062</v>
      </c>
      <c r="F24" s="5">
        <f>IFERROR(__xludf.DUMMYFUNCTION("""COMPUTED_VALUE"""),0.23703703703703705)</f>
        <v>0.237037037</v>
      </c>
      <c r="G24" s="5">
        <f>IFERROR(__xludf.DUMMYFUNCTION("""COMPUTED_VALUE"""),0.1654320987654321)</f>
        <v>0.1654320988</v>
      </c>
      <c r="H24" s="5">
        <f>IFERROR(__xludf.DUMMYFUNCTION("""COMPUTED_VALUE"""),0.609375)</f>
        <v>0.609375</v>
      </c>
      <c r="I24" s="11">
        <f>IFERROR(__xludf.DUMMYFUNCTION("""COMPUTED_VALUE"""),5372.743055555556)</f>
        <v>5372.743056</v>
      </c>
      <c r="J24" s="10">
        <f>IFERROR(__xludf.DUMMYFUNCTION("""COMPUTED_VALUE"""),1.0)</f>
        <v>1</v>
      </c>
      <c r="K24" s="5">
        <f>IFERROR(__xludf.DUMMYFUNCTION("""COMPUTED_VALUE"""),0.004347826086956522)</f>
        <v>0.004347826087</v>
      </c>
      <c r="L24" s="10">
        <f>IFERROR(__xludf.DUMMYFUNCTION("""COMPUTED_VALUE"""),230.0)</f>
        <v>230</v>
      </c>
      <c r="M24" s="5">
        <f>IFERROR(__xludf.DUMMYFUNCTION("""COMPUTED_VALUE"""),1.0)</f>
        <v>1</v>
      </c>
    </row>
    <row r="25">
      <c r="A25" s="10" t="str">
        <f>IFERROR(__xludf.DUMMYFUNCTION("""COMPUTED_VALUE"""),"かつま")</f>
        <v>かつま</v>
      </c>
      <c r="B25" s="10">
        <f>IFERROR(__xludf.DUMMYFUNCTION("""COMPUTED_VALUE"""),156.0)</f>
        <v>156</v>
      </c>
      <c r="C25" s="10">
        <f>IFERROR(__xludf.DUMMYFUNCTION("""COMPUTED_VALUE"""),1756.0)</f>
        <v>1756</v>
      </c>
      <c r="D25" s="5">
        <f>IFERROR(__xludf.DUMMYFUNCTION("""COMPUTED_VALUE"""),0.3475)</f>
        <v>0.3475</v>
      </c>
      <c r="E25" s="5">
        <f>IFERROR(__xludf.DUMMYFUNCTION("""COMPUTED_VALUE"""),0.1725)</f>
        <v>0.1725</v>
      </c>
      <c r="F25" s="5">
        <f>IFERROR(__xludf.DUMMYFUNCTION("""COMPUTED_VALUE"""),0.2075)</f>
        <v>0.2075</v>
      </c>
      <c r="G25" s="5">
        <f>IFERROR(__xludf.DUMMYFUNCTION("""COMPUTED_VALUE"""),0.2075)</f>
        <v>0.2075</v>
      </c>
      <c r="H25" s="5">
        <f>IFERROR(__xludf.DUMMYFUNCTION("""COMPUTED_VALUE"""),0.5481927710843374)</f>
        <v>0.5481927711</v>
      </c>
      <c r="I25" s="11">
        <f>IFERROR(__xludf.DUMMYFUNCTION("""COMPUTED_VALUE"""),6631.626506024097)</f>
        <v>6631.626506</v>
      </c>
      <c r="J25" s="10">
        <f>IFERROR(__xludf.DUMMYFUNCTION("""COMPUTED_VALUE"""),3.0)</f>
        <v>3</v>
      </c>
      <c r="K25" s="5">
        <f>IFERROR(__xludf.DUMMYFUNCTION("""COMPUTED_VALUE"""),0.019230769230769232)</f>
        <v>0.01923076923</v>
      </c>
      <c r="L25" s="10">
        <f>IFERROR(__xludf.DUMMYFUNCTION("""COMPUTED_VALUE"""),156.0)</f>
        <v>156</v>
      </c>
      <c r="M25" s="5">
        <f>IFERROR(__xludf.DUMMYFUNCTION("""COMPUTED_VALUE"""),1.0)</f>
        <v>1</v>
      </c>
    </row>
    <row r="26">
      <c r="A26" s="10" t="str">
        <f>IFERROR(__xludf.DUMMYFUNCTION("""COMPUTED_VALUE"""),"有段者狩り")</f>
        <v>有段者狩り</v>
      </c>
      <c r="B26" s="10">
        <f>IFERROR(__xludf.DUMMYFUNCTION("""COMPUTED_VALUE"""),139.0)</f>
        <v>139</v>
      </c>
      <c r="C26" s="10">
        <f>IFERROR(__xludf.DUMMYFUNCTION("""COMPUTED_VALUE"""),1532.0)</f>
        <v>1532</v>
      </c>
      <c r="D26" s="5">
        <f>IFERROR(__xludf.DUMMYFUNCTION("""COMPUTED_VALUE"""),0.3962670495333812)</f>
        <v>0.3962670495</v>
      </c>
      <c r="E26" s="5">
        <f>IFERROR(__xludf.DUMMYFUNCTION("""COMPUTED_VALUE"""),0.1722900215362527)</f>
        <v>0.1722900215</v>
      </c>
      <c r="F26" s="5">
        <f>IFERROR(__xludf.DUMMYFUNCTION("""COMPUTED_VALUE"""),0.22541277817659727)</f>
        <v>0.2254127782</v>
      </c>
      <c r="G26" s="5">
        <f>IFERROR(__xludf.DUMMYFUNCTION("""COMPUTED_VALUE"""),0.17875089734386218)</f>
        <v>0.1787508973</v>
      </c>
      <c r="H26" s="5">
        <f>IFERROR(__xludf.DUMMYFUNCTION("""COMPUTED_VALUE"""),0.6242038216560509)</f>
        <v>0.6242038217</v>
      </c>
      <c r="I26" s="11">
        <f>IFERROR(__xludf.DUMMYFUNCTION("""COMPUTED_VALUE"""),5784.713375796178)</f>
        <v>5784.713376</v>
      </c>
      <c r="J26" s="10">
        <f>IFERROR(__xludf.DUMMYFUNCTION("""COMPUTED_VALUE"""),0.0)</f>
        <v>0</v>
      </c>
      <c r="K26" s="5">
        <f>IFERROR(__xludf.DUMMYFUNCTION("""COMPUTED_VALUE"""),0.0)</f>
        <v>0</v>
      </c>
      <c r="L26" s="10">
        <f>IFERROR(__xludf.DUMMYFUNCTION("""COMPUTED_VALUE"""),139.0)</f>
        <v>139</v>
      </c>
      <c r="M26" s="5">
        <f>IFERROR(__xludf.DUMMYFUNCTION("""COMPUTED_VALUE"""),1.0)</f>
        <v>1</v>
      </c>
    </row>
    <row r="27">
      <c r="A27" s="10" t="str">
        <f>IFERROR(__xludf.DUMMYFUNCTION("""COMPUTED_VALUE"""),"raku第2東風")</f>
        <v>raku第2東風</v>
      </c>
      <c r="B27" s="10">
        <f>IFERROR(__xludf.DUMMYFUNCTION("""COMPUTED_VALUE"""),441.0)</f>
        <v>441</v>
      </c>
      <c r="C27" s="10">
        <f>IFERROR(__xludf.DUMMYFUNCTION("""COMPUTED_VALUE"""),5115.0)</f>
        <v>5115</v>
      </c>
      <c r="D27" s="5">
        <f>IFERROR(__xludf.DUMMYFUNCTION("""COMPUTED_VALUE"""),0.4689773213521609)</f>
        <v>0.4689773214</v>
      </c>
      <c r="E27" s="5">
        <f>IFERROR(__xludf.DUMMYFUNCTION("""COMPUTED_VALUE"""),0.17222935387248609)</f>
        <v>0.1722293539</v>
      </c>
      <c r="F27" s="5">
        <f>IFERROR(__xludf.DUMMYFUNCTION("""COMPUTED_VALUE"""),0.23384681215233205)</f>
        <v>0.2338468122</v>
      </c>
      <c r="G27" s="5">
        <f>IFERROR(__xludf.DUMMYFUNCTION("""COMPUTED_VALUE"""),0.1668806161745828)</f>
        <v>0.1668806162</v>
      </c>
      <c r="H27" s="5">
        <f>IFERROR(__xludf.DUMMYFUNCTION("""COMPUTED_VALUE"""),0.5727355901189387)</f>
        <v>0.5727355901</v>
      </c>
      <c r="I27" s="11">
        <f>IFERROR(__xludf.DUMMYFUNCTION("""COMPUTED_VALUE"""),5888.106129917658)</f>
        <v>5888.10613</v>
      </c>
      <c r="J27" s="10">
        <f>IFERROR(__xludf.DUMMYFUNCTION("""COMPUTED_VALUE"""),2.0)</f>
        <v>2</v>
      </c>
      <c r="K27" s="5">
        <f>IFERROR(__xludf.DUMMYFUNCTION("""COMPUTED_VALUE"""),0.0045351473922902496)</f>
        <v>0.004535147392</v>
      </c>
      <c r="L27" s="10">
        <f>IFERROR(__xludf.DUMMYFUNCTION("""COMPUTED_VALUE"""),441.0)</f>
        <v>441</v>
      </c>
      <c r="M27" s="5">
        <f>IFERROR(__xludf.DUMMYFUNCTION("""COMPUTED_VALUE"""),1.0)</f>
        <v>1</v>
      </c>
    </row>
    <row r="28">
      <c r="A28" s="10" t="str">
        <f>IFERROR(__xludf.DUMMYFUNCTION("""COMPUTED_VALUE"""),"市川迷砂")</f>
        <v>市川迷砂</v>
      </c>
      <c r="B28" s="10">
        <f>IFERROR(__xludf.DUMMYFUNCTION("""COMPUTED_VALUE"""),124.0)</f>
        <v>124</v>
      </c>
      <c r="C28" s="10">
        <f>IFERROR(__xludf.DUMMYFUNCTION("""COMPUTED_VALUE"""),1396.0)</f>
        <v>1396</v>
      </c>
      <c r="D28" s="5">
        <f>IFERROR(__xludf.DUMMYFUNCTION("""COMPUTED_VALUE"""),0.39858490566037735)</f>
        <v>0.3985849057</v>
      </c>
      <c r="E28" s="5">
        <f>IFERROR(__xludf.DUMMYFUNCTION("""COMPUTED_VALUE"""),0.1721698113207547)</f>
        <v>0.1721698113</v>
      </c>
      <c r="F28" s="5">
        <f>IFERROR(__xludf.DUMMYFUNCTION("""COMPUTED_VALUE"""),0.1949685534591195)</f>
        <v>0.1949685535</v>
      </c>
      <c r="G28" s="5">
        <f>IFERROR(__xludf.DUMMYFUNCTION("""COMPUTED_VALUE"""),0.17295597484276728)</f>
        <v>0.1729559748</v>
      </c>
      <c r="H28" s="5">
        <f>IFERROR(__xludf.DUMMYFUNCTION("""COMPUTED_VALUE"""),0.6048387096774194)</f>
        <v>0.6048387097</v>
      </c>
      <c r="I28" s="11">
        <f>IFERROR(__xludf.DUMMYFUNCTION("""COMPUTED_VALUE"""),5293.145161290323)</f>
        <v>5293.145161</v>
      </c>
      <c r="J28" s="10">
        <f>IFERROR(__xludf.DUMMYFUNCTION("""COMPUTED_VALUE"""),0.0)</f>
        <v>0</v>
      </c>
      <c r="K28" s="5">
        <f>IFERROR(__xludf.DUMMYFUNCTION("""COMPUTED_VALUE"""),0.0)</f>
        <v>0</v>
      </c>
      <c r="L28" s="10">
        <f>IFERROR(__xludf.DUMMYFUNCTION("""COMPUTED_VALUE"""),0.0)</f>
        <v>0</v>
      </c>
      <c r="M28" s="5">
        <f>IFERROR(__xludf.DUMMYFUNCTION("""COMPUTED_VALUE"""),0.0)</f>
        <v>0</v>
      </c>
    </row>
    <row r="29">
      <c r="A29" s="10" t="str">
        <f>IFERROR(__xludf.DUMMYFUNCTION("""COMPUTED_VALUE"""),"babusura")</f>
        <v>babusura</v>
      </c>
      <c r="B29" s="10">
        <f>IFERROR(__xludf.DUMMYFUNCTION("""COMPUTED_VALUE"""),121.0)</f>
        <v>121</v>
      </c>
      <c r="C29" s="10">
        <f>IFERROR(__xludf.DUMMYFUNCTION("""COMPUTED_VALUE"""),1418.0)</f>
        <v>1418</v>
      </c>
      <c r="D29" s="5">
        <f>IFERROR(__xludf.DUMMYFUNCTION("""COMPUTED_VALUE"""),0.4124903623747109)</f>
        <v>0.4124903624</v>
      </c>
      <c r="E29" s="5">
        <f>IFERROR(__xludf.DUMMYFUNCTION("""COMPUTED_VALUE"""),0.17193523515805706)</f>
        <v>0.1719352352</v>
      </c>
      <c r="F29" s="5">
        <f>IFERROR(__xludf.DUMMYFUNCTION("""COMPUTED_VALUE"""),0.2081727062451812)</f>
        <v>0.2081727062</v>
      </c>
      <c r="G29" s="5">
        <f>IFERROR(__xludf.DUMMYFUNCTION("""COMPUTED_VALUE"""),0.18118735543562067)</f>
        <v>0.1811873554</v>
      </c>
      <c r="H29" s="5">
        <f>IFERROR(__xludf.DUMMYFUNCTION("""COMPUTED_VALUE"""),0.6)</f>
        <v>0.6</v>
      </c>
      <c r="I29" s="11">
        <f>IFERROR(__xludf.DUMMYFUNCTION("""COMPUTED_VALUE"""),5570.37037037037)</f>
        <v>5570.37037</v>
      </c>
      <c r="J29" s="10">
        <f>IFERROR(__xludf.DUMMYFUNCTION("""COMPUTED_VALUE"""),0.0)</f>
        <v>0</v>
      </c>
      <c r="K29" s="5">
        <f>IFERROR(__xludf.DUMMYFUNCTION("""COMPUTED_VALUE"""),0.0)</f>
        <v>0</v>
      </c>
      <c r="L29" s="10">
        <f>IFERROR(__xludf.DUMMYFUNCTION("""COMPUTED_VALUE"""),121.0)</f>
        <v>121</v>
      </c>
      <c r="M29" s="5">
        <f>IFERROR(__xludf.DUMMYFUNCTION("""COMPUTED_VALUE"""),1.0)</f>
        <v>1</v>
      </c>
    </row>
    <row r="30">
      <c r="A30" s="10" t="str">
        <f>IFERROR(__xludf.DUMMYFUNCTION("""COMPUTED_VALUE"""),"yy66")</f>
        <v>yy66</v>
      </c>
      <c r="B30" s="10">
        <f>IFERROR(__xludf.DUMMYFUNCTION("""COMPUTED_VALUE"""),101.0)</f>
        <v>101</v>
      </c>
      <c r="C30" s="10">
        <f>IFERROR(__xludf.DUMMYFUNCTION("""COMPUTED_VALUE"""),1125.0)</f>
        <v>1125</v>
      </c>
      <c r="D30" s="5">
        <f>IFERROR(__xludf.DUMMYFUNCTION("""COMPUTED_VALUE"""),0.3330078125)</f>
        <v>0.3330078125</v>
      </c>
      <c r="E30" s="5">
        <f>IFERROR(__xludf.DUMMYFUNCTION("""COMPUTED_VALUE"""),0.171875)</f>
        <v>0.171875</v>
      </c>
      <c r="F30" s="5">
        <f>IFERROR(__xludf.DUMMYFUNCTION("""COMPUTED_VALUE"""),0.201171875)</f>
        <v>0.201171875</v>
      </c>
      <c r="G30" s="5">
        <f>IFERROR(__xludf.DUMMYFUNCTION("""COMPUTED_VALUE"""),0.173828125)</f>
        <v>0.173828125</v>
      </c>
      <c r="H30" s="5">
        <f>IFERROR(__xludf.DUMMYFUNCTION("""COMPUTED_VALUE"""),0.6359223300970874)</f>
        <v>0.6359223301</v>
      </c>
      <c r="I30" s="11">
        <f>IFERROR(__xludf.DUMMYFUNCTION("""COMPUTED_VALUE"""),6152.9126213592235)</f>
        <v>6152.912621</v>
      </c>
      <c r="J30" s="10">
        <f>IFERROR(__xludf.DUMMYFUNCTION("""COMPUTED_VALUE"""),0.0)</f>
        <v>0</v>
      </c>
      <c r="K30" s="5">
        <f>IFERROR(__xludf.DUMMYFUNCTION("""COMPUTED_VALUE"""),0.0)</f>
        <v>0</v>
      </c>
      <c r="L30" s="10">
        <f>IFERROR(__xludf.DUMMYFUNCTION("""COMPUTED_VALUE"""),101.0)</f>
        <v>101</v>
      </c>
      <c r="M30" s="5">
        <f>IFERROR(__xludf.DUMMYFUNCTION("""COMPUTED_VALUE"""),1.0)</f>
        <v>1</v>
      </c>
    </row>
    <row r="31">
      <c r="A31" s="10" t="str">
        <f>IFERROR(__xludf.DUMMYFUNCTION("""COMPUTED_VALUE"""),"GK")</f>
        <v>GK</v>
      </c>
      <c r="B31" s="10">
        <f>IFERROR(__xludf.DUMMYFUNCTION("""COMPUTED_VALUE"""),214.0)</f>
        <v>214</v>
      </c>
      <c r="C31" s="10">
        <f>IFERROR(__xludf.DUMMYFUNCTION("""COMPUTED_VALUE"""),2469.0)</f>
        <v>2469</v>
      </c>
      <c r="D31" s="5">
        <f>IFERROR(__xludf.DUMMYFUNCTION("""COMPUTED_VALUE"""),0.28736141906873613)</f>
        <v>0.2873614191</v>
      </c>
      <c r="E31" s="5">
        <f>IFERROR(__xludf.DUMMYFUNCTION("""COMPUTED_VALUE"""),0.17117516629711751)</f>
        <v>0.1711751663</v>
      </c>
      <c r="F31" s="5">
        <f>IFERROR(__xludf.DUMMYFUNCTION("""COMPUTED_VALUE"""),0.21995565410199558)</f>
        <v>0.2199556541</v>
      </c>
      <c r="G31" s="5">
        <f>IFERROR(__xludf.DUMMYFUNCTION("""COMPUTED_VALUE"""),0.20133037694013303)</f>
        <v>0.2013303769</v>
      </c>
      <c r="H31" s="5">
        <f>IFERROR(__xludf.DUMMYFUNCTION("""COMPUTED_VALUE"""),0.5967741935483871)</f>
        <v>0.5967741935</v>
      </c>
      <c r="I31" s="11">
        <f>IFERROR(__xludf.DUMMYFUNCTION("""COMPUTED_VALUE"""),5964.314516129032)</f>
        <v>5964.314516</v>
      </c>
      <c r="J31" s="10">
        <f>IFERROR(__xludf.DUMMYFUNCTION("""COMPUTED_VALUE"""),1.0)</f>
        <v>1</v>
      </c>
      <c r="K31" s="5">
        <f>IFERROR(__xludf.DUMMYFUNCTION("""COMPUTED_VALUE"""),0.004672897196261682)</f>
        <v>0.004672897196</v>
      </c>
      <c r="L31" s="10">
        <f>IFERROR(__xludf.DUMMYFUNCTION("""COMPUTED_VALUE"""),214.0)</f>
        <v>214</v>
      </c>
      <c r="M31" s="5">
        <f>IFERROR(__xludf.DUMMYFUNCTION("""COMPUTED_VALUE"""),1.0)</f>
        <v>1</v>
      </c>
    </row>
    <row r="32">
      <c r="A32" s="10" t="str">
        <f>IFERROR(__xludf.DUMMYFUNCTION("""COMPUTED_VALUE"""),"ルパン")</f>
        <v>ルパン</v>
      </c>
      <c r="B32" s="10">
        <f>IFERROR(__xludf.DUMMYFUNCTION("""COMPUTED_VALUE"""),140.0)</f>
        <v>140</v>
      </c>
      <c r="C32" s="10">
        <f>IFERROR(__xludf.DUMMYFUNCTION("""COMPUTED_VALUE"""),1605.0)</f>
        <v>1605</v>
      </c>
      <c r="D32" s="5">
        <f>IFERROR(__xludf.DUMMYFUNCTION("""COMPUTED_VALUE"""),0.41638225255972694)</f>
        <v>0.4163822526</v>
      </c>
      <c r="E32" s="5">
        <f>IFERROR(__xludf.DUMMYFUNCTION("""COMPUTED_VALUE"""),0.16996587030716723)</f>
        <v>0.1699658703</v>
      </c>
      <c r="F32" s="5">
        <f>IFERROR(__xludf.DUMMYFUNCTION("""COMPUTED_VALUE"""),0.21092150170648463)</f>
        <v>0.2109215017</v>
      </c>
      <c r="G32" s="5">
        <f>IFERROR(__xludf.DUMMYFUNCTION("""COMPUTED_VALUE"""),0.18225255972696247)</f>
        <v>0.1822525597</v>
      </c>
      <c r="H32" s="5">
        <f>IFERROR(__xludf.DUMMYFUNCTION("""COMPUTED_VALUE"""),0.6148867313915858)</f>
        <v>0.6148867314</v>
      </c>
      <c r="I32" s="11">
        <f>IFERROR(__xludf.DUMMYFUNCTION("""COMPUTED_VALUE"""),5655.339805825242)</f>
        <v>5655.339806</v>
      </c>
      <c r="J32" s="10">
        <f>IFERROR(__xludf.DUMMYFUNCTION("""COMPUTED_VALUE"""),0.0)</f>
        <v>0</v>
      </c>
      <c r="K32" s="5">
        <f>IFERROR(__xludf.DUMMYFUNCTION("""COMPUTED_VALUE"""),0.0)</f>
        <v>0</v>
      </c>
      <c r="L32" s="10">
        <f>IFERROR(__xludf.DUMMYFUNCTION("""COMPUTED_VALUE"""),140.0)</f>
        <v>140</v>
      </c>
      <c r="M32" s="5">
        <f>IFERROR(__xludf.DUMMYFUNCTION("""COMPUTED_VALUE"""),1.0)</f>
        <v>1</v>
      </c>
    </row>
    <row r="33">
      <c r="A33" s="10" t="str">
        <f>IFERROR(__xludf.DUMMYFUNCTION("""COMPUTED_VALUE"""),"名探偵県にゃん♪")</f>
        <v>名探偵県にゃん♪</v>
      </c>
      <c r="B33" s="10">
        <f>IFERROR(__xludf.DUMMYFUNCTION("""COMPUTED_VALUE"""),128.0)</f>
        <v>128</v>
      </c>
      <c r="C33" s="10">
        <f>IFERROR(__xludf.DUMMYFUNCTION("""COMPUTED_VALUE"""),1435.0)</f>
        <v>1435</v>
      </c>
      <c r="D33" s="5">
        <f>IFERROR(__xludf.DUMMYFUNCTION("""COMPUTED_VALUE"""),0.3259372609028309)</f>
        <v>0.3259372609</v>
      </c>
      <c r="E33" s="5">
        <f>IFERROR(__xludf.DUMMYFUNCTION("""COMPUTED_VALUE"""),0.16985462892119357)</f>
        <v>0.1698546289</v>
      </c>
      <c r="F33" s="5">
        <f>IFERROR(__xludf.DUMMYFUNCTION("""COMPUTED_VALUE"""),0.20428462127008415)</f>
        <v>0.2042846213</v>
      </c>
      <c r="G33" s="5">
        <f>IFERROR(__xludf.DUMMYFUNCTION("""COMPUTED_VALUE"""),0.21576128538638104)</f>
        <v>0.2157612854</v>
      </c>
      <c r="H33" s="5">
        <f>IFERROR(__xludf.DUMMYFUNCTION("""COMPUTED_VALUE"""),0.6367041198501873)</f>
        <v>0.6367041199</v>
      </c>
      <c r="I33" s="11">
        <f>IFERROR(__xludf.DUMMYFUNCTION("""COMPUTED_VALUE"""),5898.501872659176)</f>
        <v>5898.501873</v>
      </c>
      <c r="J33" s="10">
        <f>IFERROR(__xludf.DUMMYFUNCTION("""COMPUTED_VALUE"""),1.0)</f>
        <v>1</v>
      </c>
      <c r="K33" s="5">
        <f>IFERROR(__xludf.DUMMYFUNCTION("""COMPUTED_VALUE"""),0.0078125)</f>
        <v>0.0078125</v>
      </c>
      <c r="L33" s="10">
        <f>IFERROR(__xludf.DUMMYFUNCTION("""COMPUTED_VALUE"""),128.0)</f>
        <v>128</v>
      </c>
      <c r="M33" s="5">
        <f>IFERROR(__xludf.DUMMYFUNCTION("""COMPUTED_VALUE"""),1.0)</f>
        <v>1</v>
      </c>
    </row>
    <row r="34">
      <c r="A34" s="10" t="str">
        <f>IFERROR(__xludf.DUMMYFUNCTION("""COMPUTED_VALUE"""),"REIN森久保P")</f>
        <v>REIN森久保P</v>
      </c>
      <c r="B34" s="10">
        <f>IFERROR(__xludf.DUMMYFUNCTION("""COMPUTED_VALUE"""),639.0)</f>
        <v>639</v>
      </c>
      <c r="C34" s="10">
        <f>IFERROR(__xludf.DUMMYFUNCTION("""COMPUTED_VALUE"""),7282.0)</f>
        <v>7282</v>
      </c>
      <c r="D34" s="5">
        <f>IFERROR(__xludf.DUMMYFUNCTION("""COMPUTED_VALUE"""),0.33042300165587835)</f>
        <v>0.3304230017</v>
      </c>
      <c r="E34" s="5">
        <f>IFERROR(__xludf.DUMMYFUNCTION("""COMPUTED_VALUE"""),0.1696522655426765)</f>
        <v>0.1696522655</v>
      </c>
      <c r="F34" s="5">
        <f>IFERROR(__xludf.DUMMYFUNCTION("""COMPUTED_VALUE"""),0.21255456871895229)</f>
        <v>0.2125545687</v>
      </c>
      <c r="G34" s="5">
        <f>IFERROR(__xludf.DUMMYFUNCTION("""COMPUTED_VALUE"""),0.21165136233629384)</f>
        <v>0.2116513623</v>
      </c>
      <c r="H34" s="5">
        <f>IFERROR(__xludf.DUMMYFUNCTION("""COMPUTED_VALUE"""),0.5941926345609065)</f>
        <v>0.5941926346</v>
      </c>
      <c r="I34" s="11">
        <f>IFERROR(__xludf.DUMMYFUNCTION("""COMPUTED_VALUE"""),6127.762039660057)</f>
        <v>6127.76204</v>
      </c>
      <c r="J34" s="10">
        <f>IFERROR(__xludf.DUMMYFUNCTION("""COMPUTED_VALUE"""),5.0)</f>
        <v>5</v>
      </c>
      <c r="K34" s="5">
        <f>IFERROR(__xludf.DUMMYFUNCTION("""COMPUTED_VALUE"""),0.00782472613458529)</f>
        <v>0.007824726135</v>
      </c>
      <c r="L34" s="10">
        <f>IFERROR(__xludf.DUMMYFUNCTION("""COMPUTED_VALUE"""),639.0)</f>
        <v>639</v>
      </c>
      <c r="M34" s="5">
        <f>IFERROR(__xludf.DUMMYFUNCTION("""COMPUTED_VALUE"""),1.0)</f>
        <v>1</v>
      </c>
    </row>
    <row r="35">
      <c r="A35" s="10" t="str">
        <f>IFERROR(__xludf.DUMMYFUNCTION("""COMPUTED_VALUE"""),"ぶんがく")</f>
        <v>ぶんがく</v>
      </c>
      <c r="B35" s="10">
        <f>IFERROR(__xludf.DUMMYFUNCTION("""COMPUTED_VALUE"""),100.0)</f>
        <v>100</v>
      </c>
      <c r="C35" s="10">
        <f>IFERROR(__xludf.DUMMYFUNCTION("""COMPUTED_VALUE"""),1220.0)</f>
        <v>1220</v>
      </c>
      <c r="D35" s="5">
        <f>IFERROR(__xludf.DUMMYFUNCTION("""COMPUTED_VALUE"""),0.46517857142857144)</f>
        <v>0.4651785714</v>
      </c>
      <c r="E35" s="5">
        <f>IFERROR(__xludf.DUMMYFUNCTION("""COMPUTED_VALUE"""),0.16964285714285715)</f>
        <v>0.1696428571</v>
      </c>
      <c r="F35" s="5">
        <f>IFERROR(__xludf.DUMMYFUNCTION("""COMPUTED_VALUE"""),0.2044642857142857)</f>
        <v>0.2044642857</v>
      </c>
      <c r="G35" s="5">
        <f>IFERROR(__xludf.DUMMYFUNCTION("""COMPUTED_VALUE"""),0.13482142857142856)</f>
        <v>0.1348214286</v>
      </c>
      <c r="H35" s="5">
        <f>IFERROR(__xludf.DUMMYFUNCTION("""COMPUTED_VALUE"""),0.5895196506550219)</f>
        <v>0.5895196507</v>
      </c>
      <c r="I35" s="11">
        <f>IFERROR(__xludf.DUMMYFUNCTION("""COMPUTED_VALUE"""),5423.580786026201)</f>
        <v>5423.580786</v>
      </c>
      <c r="J35" s="10">
        <f>IFERROR(__xludf.DUMMYFUNCTION("""COMPUTED_VALUE"""),0.0)</f>
        <v>0</v>
      </c>
      <c r="K35" s="5">
        <f>IFERROR(__xludf.DUMMYFUNCTION("""COMPUTED_VALUE"""),0.0)</f>
        <v>0</v>
      </c>
      <c r="L35" s="10">
        <f>IFERROR(__xludf.DUMMYFUNCTION("""COMPUTED_VALUE"""),100.0)</f>
        <v>100</v>
      </c>
      <c r="M35" s="5">
        <f>IFERROR(__xludf.DUMMYFUNCTION("""COMPUTED_VALUE"""),1.0)</f>
        <v>1</v>
      </c>
    </row>
    <row r="36">
      <c r="A36" s="10" t="str">
        <f>IFERROR(__xludf.DUMMYFUNCTION("""COMPUTED_VALUE"""),"kb777")</f>
        <v>kb777</v>
      </c>
      <c r="B36" s="10">
        <f>IFERROR(__xludf.DUMMYFUNCTION("""COMPUTED_VALUE"""),298.0)</f>
        <v>298</v>
      </c>
      <c r="C36" s="10">
        <f>IFERROR(__xludf.DUMMYFUNCTION("""COMPUTED_VALUE"""),3329.0)</f>
        <v>3329</v>
      </c>
      <c r="D36" s="5">
        <f>IFERROR(__xludf.DUMMYFUNCTION("""COMPUTED_VALUE"""),0.3295941933355328)</f>
        <v>0.3295941933</v>
      </c>
      <c r="E36" s="5">
        <f>IFERROR(__xludf.DUMMYFUNCTION("""COMPUTED_VALUE"""),0.1695809963708347)</f>
        <v>0.1695809964</v>
      </c>
      <c r="F36" s="5">
        <f>IFERROR(__xludf.DUMMYFUNCTION("""COMPUTED_VALUE"""),0.21478060046189376)</f>
        <v>0.2147806005</v>
      </c>
      <c r="G36" s="5">
        <f>IFERROR(__xludf.DUMMYFUNCTION("""COMPUTED_VALUE"""),0.18673705047838998)</f>
        <v>0.1867370505</v>
      </c>
      <c r="H36" s="5">
        <f>IFERROR(__xludf.DUMMYFUNCTION("""COMPUTED_VALUE"""),0.6267281105990783)</f>
        <v>0.6267281106</v>
      </c>
      <c r="I36" s="11">
        <f>IFERROR(__xludf.DUMMYFUNCTION("""COMPUTED_VALUE"""),5762.21198156682)</f>
        <v>5762.211982</v>
      </c>
      <c r="J36" s="10">
        <f>IFERROR(__xludf.DUMMYFUNCTION("""COMPUTED_VALUE"""),1.0)</f>
        <v>1</v>
      </c>
      <c r="K36" s="5">
        <f>IFERROR(__xludf.DUMMYFUNCTION("""COMPUTED_VALUE"""),0.003355704697986577)</f>
        <v>0.003355704698</v>
      </c>
      <c r="L36" s="10">
        <f>IFERROR(__xludf.DUMMYFUNCTION("""COMPUTED_VALUE"""),298.0)</f>
        <v>298</v>
      </c>
      <c r="M36" s="5">
        <f>IFERROR(__xludf.DUMMYFUNCTION("""COMPUTED_VALUE"""),1.0)</f>
        <v>1</v>
      </c>
    </row>
    <row r="37">
      <c r="A37" s="10" t="str">
        <f>IFERROR(__xludf.DUMMYFUNCTION("""COMPUTED_VALUE"""),"原価計算と行政法")</f>
        <v>原価計算と行政法</v>
      </c>
      <c r="B37" s="10">
        <f>IFERROR(__xludf.DUMMYFUNCTION("""COMPUTED_VALUE"""),216.0)</f>
        <v>216</v>
      </c>
      <c r="C37" s="10">
        <f>IFERROR(__xludf.DUMMYFUNCTION("""COMPUTED_VALUE"""),2504.0)</f>
        <v>2504</v>
      </c>
      <c r="D37" s="5">
        <f>IFERROR(__xludf.DUMMYFUNCTION("""COMPUTED_VALUE"""),0.42744755244755245)</f>
        <v>0.4274475524</v>
      </c>
      <c r="E37" s="5">
        <f>IFERROR(__xludf.DUMMYFUNCTION("""COMPUTED_VALUE"""),0.16958041958041958)</f>
        <v>0.1695804196</v>
      </c>
      <c r="F37" s="5">
        <f>IFERROR(__xludf.DUMMYFUNCTION("""COMPUTED_VALUE"""),0.24125874125874125)</f>
        <v>0.2412587413</v>
      </c>
      <c r="G37" s="5">
        <f>IFERROR(__xludf.DUMMYFUNCTION("""COMPUTED_VALUE"""),0.19230769230769232)</f>
        <v>0.1923076923</v>
      </c>
      <c r="H37" s="5">
        <f>IFERROR(__xludf.DUMMYFUNCTION("""COMPUTED_VALUE"""),0.6014492753623188)</f>
        <v>0.6014492754</v>
      </c>
      <c r="I37" s="11">
        <f>IFERROR(__xludf.DUMMYFUNCTION("""COMPUTED_VALUE"""),5073.188405797101)</f>
        <v>5073.188406</v>
      </c>
      <c r="J37" s="10">
        <f>IFERROR(__xludf.DUMMYFUNCTION("""COMPUTED_VALUE"""),0.0)</f>
        <v>0</v>
      </c>
      <c r="K37" s="5">
        <f>IFERROR(__xludf.DUMMYFUNCTION("""COMPUTED_VALUE"""),0.0)</f>
        <v>0</v>
      </c>
      <c r="L37" s="10">
        <f>IFERROR(__xludf.DUMMYFUNCTION("""COMPUTED_VALUE"""),216.0)</f>
        <v>216</v>
      </c>
      <c r="M37" s="5">
        <f>IFERROR(__xludf.DUMMYFUNCTION("""COMPUTED_VALUE"""),1.0)</f>
        <v>1</v>
      </c>
    </row>
    <row r="38">
      <c r="A38" s="10" t="str">
        <f>IFERROR(__xludf.DUMMYFUNCTION("""COMPUTED_VALUE"""),"奏者")</f>
        <v>奏者</v>
      </c>
      <c r="B38" s="10">
        <f>IFERROR(__xludf.DUMMYFUNCTION("""COMPUTED_VALUE"""),111.0)</f>
        <v>111</v>
      </c>
      <c r="C38" s="10">
        <f>IFERROR(__xludf.DUMMYFUNCTION("""COMPUTED_VALUE"""),1292.0)</f>
        <v>1292</v>
      </c>
      <c r="D38" s="5">
        <f>IFERROR(__xludf.DUMMYFUNCTION("""COMPUTED_VALUE"""),0.2557154953429297)</f>
        <v>0.2557154953</v>
      </c>
      <c r="E38" s="5">
        <f>IFERROR(__xludf.DUMMYFUNCTION("""COMPUTED_VALUE"""),0.1693480101608806)</f>
        <v>0.1693480102</v>
      </c>
      <c r="F38" s="5">
        <f>IFERROR(__xludf.DUMMYFUNCTION("""COMPUTED_VALUE"""),0.19729043183742592)</f>
        <v>0.1972904318</v>
      </c>
      <c r="G38" s="5">
        <f>IFERROR(__xludf.DUMMYFUNCTION("""COMPUTED_VALUE"""),0.19983065198983913)</f>
        <v>0.199830652</v>
      </c>
      <c r="H38" s="5">
        <f>IFERROR(__xludf.DUMMYFUNCTION("""COMPUTED_VALUE"""),0.648068669527897)</f>
        <v>0.6480686695</v>
      </c>
      <c r="I38" s="11">
        <f>IFERROR(__xludf.DUMMYFUNCTION("""COMPUTED_VALUE"""),5693.9914163090125)</f>
        <v>5693.991416</v>
      </c>
      <c r="J38" s="10">
        <f>IFERROR(__xludf.DUMMYFUNCTION("""COMPUTED_VALUE"""),0.0)</f>
        <v>0</v>
      </c>
      <c r="K38" s="5">
        <f>IFERROR(__xludf.DUMMYFUNCTION("""COMPUTED_VALUE"""),0.0)</f>
        <v>0</v>
      </c>
      <c r="L38" s="10">
        <f>IFERROR(__xludf.DUMMYFUNCTION("""COMPUTED_VALUE"""),111.0)</f>
        <v>111</v>
      </c>
      <c r="M38" s="5">
        <f>IFERROR(__xludf.DUMMYFUNCTION("""COMPUTED_VALUE"""),1.0)</f>
        <v>1</v>
      </c>
    </row>
    <row r="39">
      <c r="A39" s="10" t="str">
        <f>IFERROR(__xludf.DUMMYFUNCTION("""COMPUTED_VALUE"""),"よっちゃん01")</f>
        <v>よっちゃん01</v>
      </c>
      <c r="B39" s="10">
        <f>IFERROR(__xludf.DUMMYFUNCTION("""COMPUTED_VALUE"""),536.0)</f>
        <v>536</v>
      </c>
      <c r="C39" s="10">
        <f>IFERROR(__xludf.DUMMYFUNCTION("""COMPUTED_VALUE"""),6129.0)</f>
        <v>6129</v>
      </c>
      <c r="D39" s="5">
        <f>IFERROR(__xludf.DUMMYFUNCTION("""COMPUTED_VALUE"""),0.33720722331485786)</f>
        <v>0.3372072233</v>
      </c>
      <c r="E39" s="5">
        <f>IFERROR(__xludf.DUMMYFUNCTION("""COMPUTED_VALUE"""),0.16913999642410155)</f>
        <v>0.1691399964</v>
      </c>
      <c r="F39" s="5">
        <f>IFERROR(__xludf.DUMMYFUNCTION("""COMPUTED_VALUE"""),0.22706955122474523)</f>
        <v>0.2270695512</v>
      </c>
      <c r="G39" s="5">
        <f>IFERROR(__xludf.DUMMYFUNCTION("""COMPUTED_VALUE"""),0.20990523869122116)</f>
        <v>0.2099052387</v>
      </c>
      <c r="H39" s="5">
        <f>IFERROR(__xludf.DUMMYFUNCTION("""COMPUTED_VALUE"""),0.5874015748031496)</f>
        <v>0.5874015748</v>
      </c>
      <c r="I39" s="11">
        <f>IFERROR(__xludf.DUMMYFUNCTION("""COMPUTED_VALUE"""),5918.740157480315)</f>
        <v>5918.740157</v>
      </c>
      <c r="J39" s="10">
        <f>IFERROR(__xludf.DUMMYFUNCTION("""COMPUTED_VALUE"""),0.0)</f>
        <v>0</v>
      </c>
      <c r="K39" s="5">
        <f>IFERROR(__xludf.DUMMYFUNCTION("""COMPUTED_VALUE"""),0.0)</f>
        <v>0</v>
      </c>
      <c r="L39" s="10">
        <f>IFERROR(__xludf.DUMMYFUNCTION("""COMPUTED_VALUE"""),534.0)</f>
        <v>534</v>
      </c>
      <c r="M39" s="5">
        <f>IFERROR(__xludf.DUMMYFUNCTION("""COMPUTED_VALUE"""),0.996268656716418)</f>
        <v>0.9962686567</v>
      </c>
    </row>
    <row r="40">
      <c r="A40" s="10" t="str">
        <f>IFERROR(__xludf.DUMMYFUNCTION("""COMPUTED_VALUE"""),"タケやん")</f>
        <v>タケやん</v>
      </c>
      <c r="B40" s="10">
        <f>IFERROR(__xludf.DUMMYFUNCTION("""COMPUTED_VALUE"""),1018.0)</f>
        <v>1018</v>
      </c>
      <c r="C40" s="10">
        <f>IFERROR(__xludf.DUMMYFUNCTION("""COMPUTED_VALUE"""),11860.0)</f>
        <v>11860</v>
      </c>
      <c r="D40" s="5">
        <f>IFERROR(__xludf.DUMMYFUNCTION("""COMPUTED_VALUE"""),0.3677365799667958)</f>
        <v>0.36773658</v>
      </c>
      <c r="E40" s="5">
        <f>IFERROR(__xludf.DUMMYFUNCTION("""COMPUTED_VALUE"""),0.16906474820143885)</f>
        <v>0.1690647482</v>
      </c>
      <c r="F40" s="5">
        <f>IFERROR(__xludf.DUMMYFUNCTION("""COMPUTED_VALUE"""),0.22468179302711677)</f>
        <v>0.224681793</v>
      </c>
      <c r="G40" s="5">
        <f>IFERROR(__xludf.DUMMYFUNCTION("""COMPUTED_VALUE"""),0.17921047777162885)</f>
        <v>0.1792104778</v>
      </c>
      <c r="H40" s="5">
        <f>IFERROR(__xludf.DUMMYFUNCTION("""COMPUTED_VALUE"""),0.6165845648604269)</f>
        <v>0.6165845649</v>
      </c>
      <c r="I40" s="11">
        <f>IFERROR(__xludf.DUMMYFUNCTION("""COMPUTED_VALUE"""),6099.302134646962)</f>
        <v>6099.302135</v>
      </c>
      <c r="J40" s="10">
        <f>IFERROR(__xludf.DUMMYFUNCTION("""COMPUTED_VALUE"""),4.0)</f>
        <v>4</v>
      </c>
      <c r="K40" s="5">
        <f>IFERROR(__xludf.DUMMYFUNCTION("""COMPUTED_VALUE"""),0.003929273084479371)</f>
        <v>0.003929273084</v>
      </c>
      <c r="L40" s="10">
        <f>IFERROR(__xludf.DUMMYFUNCTION("""COMPUTED_VALUE"""),1018.0)</f>
        <v>1018</v>
      </c>
      <c r="M40" s="5">
        <f>IFERROR(__xludf.DUMMYFUNCTION("""COMPUTED_VALUE"""),1.0)</f>
        <v>1</v>
      </c>
    </row>
    <row r="41">
      <c r="A41" s="10" t="str">
        <f>IFERROR(__xludf.DUMMYFUNCTION("""COMPUTED_VALUE"""),"hikari25")</f>
        <v>hikari25</v>
      </c>
      <c r="B41" s="10">
        <f>IFERROR(__xludf.DUMMYFUNCTION("""COMPUTED_VALUE"""),102.0)</f>
        <v>102</v>
      </c>
      <c r="C41" s="10">
        <f>IFERROR(__xludf.DUMMYFUNCTION("""COMPUTED_VALUE"""),1204.0)</f>
        <v>1204</v>
      </c>
      <c r="D41" s="5">
        <f>IFERROR(__xludf.DUMMYFUNCTION("""COMPUTED_VALUE"""),0.3339382940108893)</f>
        <v>0.333938294</v>
      </c>
      <c r="E41" s="5">
        <f>IFERROR(__xludf.DUMMYFUNCTION("""COMPUTED_VALUE"""),0.16878402903811252)</f>
        <v>0.168784029</v>
      </c>
      <c r="F41" s="5">
        <f>IFERROR(__xludf.DUMMYFUNCTION("""COMPUTED_VALUE"""),0.21687840290381125)</f>
        <v>0.2168784029</v>
      </c>
      <c r="G41" s="5">
        <f>IFERROR(__xludf.DUMMYFUNCTION("""COMPUTED_VALUE"""),0.16606170598911071)</f>
        <v>0.166061706</v>
      </c>
      <c r="H41" s="5">
        <f>IFERROR(__xludf.DUMMYFUNCTION("""COMPUTED_VALUE"""),0.6652719665271967)</f>
        <v>0.6652719665</v>
      </c>
      <c r="I41" s="11">
        <f>IFERROR(__xludf.DUMMYFUNCTION("""COMPUTED_VALUE"""),5312.133891213389)</f>
        <v>5312.133891</v>
      </c>
      <c r="J41" s="10">
        <f>IFERROR(__xludf.DUMMYFUNCTION("""COMPUTED_VALUE"""),0.0)</f>
        <v>0</v>
      </c>
      <c r="K41" s="5">
        <f>IFERROR(__xludf.DUMMYFUNCTION("""COMPUTED_VALUE"""),0.0)</f>
        <v>0</v>
      </c>
      <c r="L41" s="10">
        <f>IFERROR(__xludf.DUMMYFUNCTION("""COMPUTED_VALUE"""),102.0)</f>
        <v>102</v>
      </c>
      <c r="M41" s="5">
        <f>IFERROR(__xludf.DUMMYFUNCTION("""COMPUTED_VALUE"""),1.0)</f>
        <v>1</v>
      </c>
    </row>
    <row r="42">
      <c r="A42" s="10" t="str">
        <f>IFERROR(__xludf.DUMMYFUNCTION("""COMPUTED_VALUE"""),"yoshirou")</f>
        <v>yoshirou</v>
      </c>
      <c r="B42" s="10">
        <f>IFERROR(__xludf.DUMMYFUNCTION("""COMPUTED_VALUE"""),106.0)</f>
        <v>106</v>
      </c>
      <c r="C42" s="10">
        <f>IFERROR(__xludf.DUMMYFUNCTION("""COMPUTED_VALUE"""),1245.0)</f>
        <v>1245</v>
      </c>
      <c r="D42" s="5">
        <f>IFERROR(__xludf.DUMMYFUNCTION("""COMPUTED_VALUE"""),0.48375768217734855)</f>
        <v>0.4837576822</v>
      </c>
      <c r="E42" s="5">
        <f>IFERROR(__xludf.DUMMYFUNCTION("""COMPUTED_VALUE"""),0.16856892010535557)</f>
        <v>0.1685689201</v>
      </c>
      <c r="F42" s="5">
        <f>IFERROR(__xludf.DUMMYFUNCTION("""COMPUTED_VALUE"""),0.2309043020193152)</f>
        <v>0.230904302</v>
      </c>
      <c r="G42" s="5">
        <f>IFERROR(__xludf.DUMMYFUNCTION("""COMPUTED_VALUE"""),0.16066725197541704)</f>
        <v>0.160667252</v>
      </c>
      <c r="H42" s="5">
        <f>IFERROR(__xludf.DUMMYFUNCTION("""COMPUTED_VALUE"""),0.596958174904943)</f>
        <v>0.5969581749</v>
      </c>
      <c r="I42" s="11">
        <f>IFERROR(__xludf.DUMMYFUNCTION("""COMPUTED_VALUE"""),4915.209125475285)</f>
        <v>4915.209125</v>
      </c>
      <c r="J42" s="10">
        <f>IFERROR(__xludf.DUMMYFUNCTION("""COMPUTED_VALUE"""),0.0)</f>
        <v>0</v>
      </c>
      <c r="K42" s="5">
        <f>IFERROR(__xludf.DUMMYFUNCTION("""COMPUTED_VALUE"""),0.0)</f>
        <v>0</v>
      </c>
      <c r="L42" s="10">
        <f>IFERROR(__xludf.DUMMYFUNCTION("""COMPUTED_VALUE"""),106.0)</f>
        <v>106</v>
      </c>
      <c r="M42" s="5">
        <f>IFERROR(__xludf.DUMMYFUNCTION("""COMPUTED_VALUE"""),1.0)</f>
        <v>1</v>
      </c>
    </row>
    <row r="43">
      <c r="A43" s="10" t="str">
        <f>IFERROR(__xludf.DUMMYFUNCTION("""COMPUTED_VALUE"""),"とるとる")</f>
        <v>とるとる</v>
      </c>
      <c r="B43" s="10">
        <f>IFERROR(__xludf.DUMMYFUNCTION("""COMPUTED_VALUE"""),110.0)</f>
        <v>110</v>
      </c>
      <c r="C43" s="10">
        <f>IFERROR(__xludf.DUMMYFUNCTION("""COMPUTED_VALUE"""),1274.0)</f>
        <v>1274</v>
      </c>
      <c r="D43" s="5">
        <f>IFERROR(__xludf.DUMMYFUNCTION("""COMPUTED_VALUE"""),0.26804123711340205)</f>
        <v>0.2680412371</v>
      </c>
      <c r="E43" s="5">
        <f>IFERROR(__xludf.DUMMYFUNCTION("""COMPUTED_VALUE"""),0.16838487972508592)</f>
        <v>0.1683848797</v>
      </c>
      <c r="F43" s="5">
        <f>IFERROR(__xludf.DUMMYFUNCTION("""COMPUTED_VALUE"""),0.1950171821305842)</f>
        <v>0.1950171821</v>
      </c>
      <c r="G43" s="5">
        <f>IFERROR(__xludf.DUMMYFUNCTION("""COMPUTED_VALUE"""),0.19673539518900343)</f>
        <v>0.1967353952</v>
      </c>
      <c r="H43" s="5">
        <f>IFERROR(__xludf.DUMMYFUNCTION("""COMPUTED_VALUE"""),0.5418502202643172)</f>
        <v>0.5418502203</v>
      </c>
      <c r="I43" s="11">
        <f>IFERROR(__xludf.DUMMYFUNCTION("""COMPUTED_VALUE"""),5899.1189427312775)</f>
        <v>5899.118943</v>
      </c>
      <c r="J43" s="10">
        <f>IFERROR(__xludf.DUMMYFUNCTION("""COMPUTED_VALUE"""),0.0)</f>
        <v>0</v>
      </c>
      <c r="K43" s="5">
        <f>IFERROR(__xludf.DUMMYFUNCTION("""COMPUTED_VALUE"""),0.0)</f>
        <v>0</v>
      </c>
      <c r="L43" s="10">
        <f>IFERROR(__xludf.DUMMYFUNCTION("""COMPUTED_VALUE"""),110.0)</f>
        <v>110</v>
      </c>
      <c r="M43" s="5">
        <f>IFERROR(__xludf.DUMMYFUNCTION("""COMPUTED_VALUE"""),1.0)</f>
        <v>1</v>
      </c>
    </row>
    <row r="44">
      <c r="A44" s="10" t="str">
        <f>IFERROR(__xludf.DUMMYFUNCTION("""COMPUTED_VALUE"""),"ごりみき")</f>
        <v>ごりみき</v>
      </c>
      <c r="B44" s="10">
        <f>IFERROR(__xludf.DUMMYFUNCTION("""COMPUTED_VALUE"""),131.0)</f>
        <v>131</v>
      </c>
      <c r="C44" s="10">
        <f>IFERROR(__xludf.DUMMYFUNCTION("""COMPUTED_VALUE"""),1504.0)</f>
        <v>1504</v>
      </c>
      <c r="D44" s="5">
        <f>IFERROR(__xludf.DUMMYFUNCTION("""COMPUTED_VALUE"""),0.23525127458120904)</f>
        <v>0.2352512746</v>
      </c>
      <c r="E44" s="5">
        <f>IFERROR(__xludf.DUMMYFUNCTION("""COMPUTED_VALUE"""),0.16824471959213402)</f>
        <v>0.1682447196</v>
      </c>
      <c r="F44" s="5">
        <f>IFERROR(__xludf.DUMMYFUNCTION("""COMPUTED_VALUE"""),0.18790968681718864)</f>
        <v>0.1879096868</v>
      </c>
      <c r="G44" s="5">
        <f>IFERROR(__xludf.DUMMYFUNCTION("""COMPUTED_VALUE"""),0.17698470502549163)</f>
        <v>0.176984705</v>
      </c>
      <c r="H44" s="5">
        <f>IFERROR(__xludf.DUMMYFUNCTION("""COMPUTED_VALUE"""),0.5968992248062015)</f>
        <v>0.5968992248</v>
      </c>
      <c r="I44" s="11">
        <f>IFERROR(__xludf.DUMMYFUNCTION("""COMPUTED_VALUE"""),5632.945736434109)</f>
        <v>5632.945736</v>
      </c>
      <c r="J44" s="10">
        <f>IFERROR(__xludf.DUMMYFUNCTION("""COMPUTED_VALUE"""),0.0)</f>
        <v>0</v>
      </c>
      <c r="K44" s="5">
        <f>IFERROR(__xludf.DUMMYFUNCTION("""COMPUTED_VALUE"""),0.0)</f>
        <v>0</v>
      </c>
      <c r="L44" s="10">
        <f>IFERROR(__xludf.DUMMYFUNCTION("""COMPUTED_VALUE"""),131.0)</f>
        <v>131</v>
      </c>
      <c r="M44" s="5">
        <f>IFERROR(__xludf.DUMMYFUNCTION("""COMPUTED_VALUE"""),1.0)</f>
        <v>1</v>
      </c>
    </row>
    <row r="45">
      <c r="A45" s="10" t="str">
        <f>IFERROR(__xludf.DUMMYFUNCTION("""COMPUTED_VALUE"""),"記憶の森")</f>
        <v>記憶の森</v>
      </c>
      <c r="B45" s="10">
        <f>IFERROR(__xludf.DUMMYFUNCTION("""COMPUTED_VALUE"""),230.0)</f>
        <v>230</v>
      </c>
      <c r="C45" s="10">
        <f>IFERROR(__xludf.DUMMYFUNCTION("""COMPUTED_VALUE"""),2667.0)</f>
        <v>2667</v>
      </c>
      <c r="D45" s="5">
        <f>IFERROR(__xludf.DUMMYFUNCTION("""COMPUTED_VALUE"""),0.3705375461633156)</f>
        <v>0.3705375462</v>
      </c>
      <c r="E45" s="5">
        <f>IFERROR(__xludf.DUMMYFUNCTION("""COMPUTED_VALUE"""),0.16823963890028723)</f>
        <v>0.1682396389</v>
      </c>
      <c r="F45" s="5">
        <f>IFERROR(__xludf.DUMMYFUNCTION("""COMPUTED_VALUE"""),0.2244562987279442)</f>
        <v>0.2244562987</v>
      </c>
      <c r="G45" s="5">
        <f>IFERROR(__xludf.DUMMYFUNCTION("""COMPUTED_VALUE"""),0.18998768978251948)</f>
        <v>0.1899876898</v>
      </c>
      <c r="H45" s="5">
        <f>IFERROR(__xludf.DUMMYFUNCTION("""COMPUTED_VALUE"""),0.5959780621572212)</f>
        <v>0.5959780622</v>
      </c>
      <c r="I45" s="11">
        <f>IFERROR(__xludf.DUMMYFUNCTION("""COMPUTED_VALUE"""),5415.9049360146255)</f>
        <v>5415.904936</v>
      </c>
      <c r="J45" s="10">
        <f>IFERROR(__xludf.DUMMYFUNCTION("""COMPUTED_VALUE"""),1.0)</f>
        <v>1</v>
      </c>
      <c r="K45" s="5">
        <f>IFERROR(__xludf.DUMMYFUNCTION("""COMPUTED_VALUE"""),0.004347826086956522)</f>
        <v>0.004347826087</v>
      </c>
      <c r="L45" s="10">
        <f>IFERROR(__xludf.DUMMYFUNCTION("""COMPUTED_VALUE"""),224.0)</f>
        <v>224</v>
      </c>
      <c r="M45" s="5">
        <f>IFERROR(__xludf.DUMMYFUNCTION("""COMPUTED_VALUE"""),0.9739130434782609)</f>
        <v>0.9739130435</v>
      </c>
    </row>
    <row r="46">
      <c r="A46" s="10" t="str">
        <f>IFERROR(__xludf.DUMMYFUNCTION("""COMPUTED_VALUE"""),"虎猫丸")</f>
        <v>虎猫丸</v>
      </c>
      <c r="B46" s="10">
        <f>IFERROR(__xludf.DUMMYFUNCTION("""COMPUTED_VALUE"""),139.0)</f>
        <v>139</v>
      </c>
      <c r="C46" s="10">
        <f>IFERROR(__xludf.DUMMYFUNCTION("""COMPUTED_VALUE"""),1584.0)</f>
        <v>1584</v>
      </c>
      <c r="D46" s="5">
        <f>IFERROR(__xludf.DUMMYFUNCTION("""COMPUTED_VALUE"""),0.4124567474048443)</f>
        <v>0.4124567474</v>
      </c>
      <c r="E46" s="5">
        <f>IFERROR(__xludf.DUMMYFUNCTION("""COMPUTED_VALUE"""),0.16816608996539792)</f>
        <v>0.16816609</v>
      </c>
      <c r="F46" s="5">
        <f>IFERROR(__xludf.DUMMYFUNCTION("""COMPUTED_VALUE"""),0.23944636678200693)</f>
        <v>0.2394463668</v>
      </c>
      <c r="G46" s="5">
        <f>IFERROR(__xludf.DUMMYFUNCTION("""COMPUTED_VALUE"""),0.17439446366782008)</f>
        <v>0.1743944637</v>
      </c>
      <c r="H46" s="5">
        <f>IFERROR(__xludf.DUMMYFUNCTION("""COMPUTED_VALUE"""),0.5924855491329479)</f>
        <v>0.5924855491</v>
      </c>
      <c r="I46" s="11">
        <f>IFERROR(__xludf.DUMMYFUNCTION("""COMPUTED_VALUE"""),5471.098265895954)</f>
        <v>5471.098266</v>
      </c>
      <c r="J46" s="10">
        <f>IFERROR(__xludf.DUMMYFUNCTION("""COMPUTED_VALUE"""),0.0)</f>
        <v>0</v>
      </c>
      <c r="K46" s="5">
        <f>IFERROR(__xludf.DUMMYFUNCTION("""COMPUTED_VALUE"""),0.0)</f>
        <v>0</v>
      </c>
      <c r="L46" s="10">
        <f>IFERROR(__xludf.DUMMYFUNCTION("""COMPUTED_VALUE"""),139.0)</f>
        <v>139</v>
      </c>
      <c r="M46" s="5">
        <f>IFERROR(__xludf.DUMMYFUNCTION("""COMPUTED_VALUE"""),1.0)</f>
        <v>1</v>
      </c>
    </row>
    <row r="47">
      <c r="A47" s="10" t="str">
        <f>IFERROR(__xludf.DUMMYFUNCTION("""COMPUTED_VALUE"""),"いせえび")</f>
        <v>いせえび</v>
      </c>
      <c r="B47" s="10">
        <f>IFERROR(__xludf.DUMMYFUNCTION("""COMPUTED_VALUE"""),125.0)</f>
        <v>125</v>
      </c>
      <c r="C47" s="10">
        <f>IFERROR(__xludf.DUMMYFUNCTION("""COMPUTED_VALUE"""),1463.0)</f>
        <v>1463</v>
      </c>
      <c r="D47" s="5">
        <f>IFERROR(__xludf.DUMMYFUNCTION("""COMPUTED_VALUE"""),0.35874439461883406)</f>
        <v>0.3587443946</v>
      </c>
      <c r="E47" s="5">
        <f>IFERROR(__xludf.DUMMYFUNCTION("""COMPUTED_VALUE"""),0.1681614349775785)</f>
        <v>0.168161435</v>
      </c>
      <c r="F47" s="5">
        <f>IFERROR(__xludf.DUMMYFUNCTION("""COMPUTED_VALUE"""),0.2234678624813154)</f>
        <v>0.2234678625</v>
      </c>
      <c r="G47" s="5">
        <f>IFERROR(__xludf.DUMMYFUNCTION("""COMPUTED_VALUE"""),0.18086696562032886)</f>
        <v>0.1808669656</v>
      </c>
      <c r="H47" s="5">
        <f>IFERROR(__xludf.DUMMYFUNCTION("""COMPUTED_VALUE"""),0.6086956521739131)</f>
        <v>0.6086956522</v>
      </c>
      <c r="I47" s="11">
        <f>IFERROR(__xludf.DUMMYFUNCTION("""COMPUTED_VALUE"""),5723.411371237458)</f>
        <v>5723.411371</v>
      </c>
      <c r="J47" s="10">
        <f>IFERROR(__xludf.DUMMYFUNCTION("""COMPUTED_VALUE"""),0.0)</f>
        <v>0</v>
      </c>
      <c r="K47" s="5">
        <f>IFERROR(__xludf.DUMMYFUNCTION("""COMPUTED_VALUE"""),0.0)</f>
        <v>0</v>
      </c>
      <c r="L47" s="10">
        <f>IFERROR(__xludf.DUMMYFUNCTION("""COMPUTED_VALUE"""),125.0)</f>
        <v>125</v>
      </c>
      <c r="M47" s="5">
        <f>IFERROR(__xludf.DUMMYFUNCTION("""COMPUTED_VALUE"""),1.0)</f>
        <v>1</v>
      </c>
    </row>
    <row r="48">
      <c r="A48" s="10" t="str">
        <f>IFERROR(__xludf.DUMMYFUNCTION("""COMPUTED_VALUE"""),"Ngel&amp;Min")</f>
        <v>Ngel&amp;Min</v>
      </c>
      <c r="B48" s="10">
        <f>IFERROR(__xludf.DUMMYFUNCTION("""COMPUTED_VALUE"""),164.0)</f>
        <v>164</v>
      </c>
      <c r="C48" s="10">
        <f>IFERROR(__xludf.DUMMYFUNCTION("""COMPUTED_VALUE"""),1896.0)</f>
        <v>1896</v>
      </c>
      <c r="D48" s="5">
        <f>IFERROR(__xludf.DUMMYFUNCTION("""COMPUTED_VALUE"""),0.3071593533487298)</f>
        <v>0.3071593533</v>
      </c>
      <c r="E48" s="5">
        <f>IFERROR(__xludf.DUMMYFUNCTION("""COMPUTED_VALUE"""),0.16801385681293302)</f>
        <v>0.1680138568</v>
      </c>
      <c r="F48" s="5">
        <f>IFERROR(__xludf.DUMMYFUNCTION("""COMPUTED_VALUE"""),0.22170900692840648)</f>
        <v>0.2217090069</v>
      </c>
      <c r="G48" s="5">
        <f>IFERROR(__xludf.DUMMYFUNCTION("""COMPUTED_VALUE"""),0.13394919168591224)</f>
        <v>0.1339491917</v>
      </c>
      <c r="H48" s="5">
        <f>IFERROR(__xludf.DUMMYFUNCTION("""COMPUTED_VALUE"""),0.6015625)</f>
        <v>0.6015625</v>
      </c>
      <c r="I48" s="11">
        <f>IFERROR(__xludf.DUMMYFUNCTION("""COMPUTED_VALUE"""),6032.291666666667)</f>
        <v>6032.291667</v>
      </c>
      <c r="J48" s="10">
        <f>IFERROR(__xludf.DUMMYFUNCTION("""COMPUTED_VALUE"""),1.0)</f>
        <v>1</v>
      </c>
      <c r="K48" s="5">
        <f>IFERROR(__xludf.DUMMYFUNCTION("""COMPUTED_VALUE"""),0.006097560975609756)</f>
        <v>0.006097560976</v>
      </c>
      <c r="L48" s="10">
        <f>IFERROR(__xludf.DUMMYFUNCTION("""COMPUTED_VALUE"""),164.0)</f>
        <v>164</v>
      </c>
      <c r="M48" s="5">
        <f>IFERROR(__xludf.DUMMYFUNCTION("""COMPUTED_VALUE"""),1.0)</f>
        <v>1</v>
      </c>
    </row>
    <row r="49">
      <c r="A49" s="10" t="str">
        <f>IFERROR(__xludf.DUMMYFUNCTION("""COMPUTED_VALUE"""),"天心")</f>
        <v>天心</v>
      </c>
      <c r="B49" s="10">
        <f>IFERROR(__xludf.DUMMYFUNCTION("""COMPUTED_VALUE"""),883.0)</f>
        <v>883</v>
      </c>
      <c r="C49" s="10">
        <f>IFERROR(__xludf.DUMMYFUNCTION("""COMPUTED_VALUE"""),10338.0)</f>
        <v>10338</v>
      </c>
      <c r="D49" s="5">
        <f>IFERROR(__xludf.DUMMYFUNCTION("""COMPUTED_VALUE"""),0.41057641459545213)</f>
        <v>0.4105764146</v>
      </c>
      <c r="E49" s="5">
        <f>IFERROR(__xludf.DUMMYFUNCTION("""COMPUTED_VALUE"""),0.16795346377578002)</f>
        <v>0.1679534638</v>
      </c>
      <c r="F49" s="5">
        <f>IFERROR(__xludf.DUMMYFUNCTION("""COMPUTED_VALUE"""),0.23384452670544686)</f>
        <v>0.2338445267</v>
      </c>
      <c r="G49" s="5">
        <f>IFERROR(__xludf.DUMMYFUNCTION("""COMPUTED_VALUE"""),0.2004230565838181)</f>
        <v>0.2004230566</v>
      </c>
      <c r="H49" s="5">
        <f>IFERROR(__xludf.DUMMYFUNCTION("""COMPUTED_VALUE"""),0.5988240615106287)</f>
        <v>0.5988240615</v>
      </c>
      <c r="I49" s="11">
        <f>IFERROR(__xludf.DUMMYFUNCTION("""COMPUTED_VALUE"""),5503.482587064676)</f>
        <v>5503.482587</v>
      </c>
      <c r="J49" s="10">
        <f>IFERROR(__xludf.DUMMYFUNCTION("""COMPUTED_VALUE"""),1.0)</f>
        <v>1</v>
      </c>
      <c r="K49" s="5">
        <f>IFERROR(__xludf.DUMMYFUNCTION("""COMPUTED_VALUE"""),0.0011325028312570782)</f>
        <v>0.001132502831</v>
      </c>
      <c r="L49" s="10">
        <f>IFERROR(__xludf.DUMMYFUNCTION("""COMPUTED_VALUE"""),883.0)</f>
        <v>883</v>
      </c>
      <c r="M49" s="5">
        <f>IFERROR(__xludf.DUMMYFUNCTION("""COMPUTED_VALUE"""),1.0)</f>
        <v>1</v>
      </c>
    </row>
    <row r="50">
      <c r="A50" s="10" t="str">
        <f>IFERROR(__xludf.DUMMYFUNCTION("""COMPUTED_VALUE"""),"masaki-t")</f>
        <v>masaki-t</v>
      </c>
      <c r="B50" s="10">
        <f>IFERROR(__xludf.DUMMYFUNCTION("""COMPUTED_VALUE"""),182.0)</f>
        <v>182</v>
      </c>
      <c r="C50" s="10">
        <f>IFERROR(__xludf.DUMMYFUNCTION("""COMPUTED_VALUE"""),2129.0)</f>
        <v>2129</v>
      </c>
      <c r="D50" s="5">
        <f>IFERROR(__xludf.DUMMYFUNCTION("""COMPUTED_VALUE"""),0.3662044170518747)</f>
        <v>0.3662044171</v>
      </c>
      <c r="E50" s="5">
        <f>IFERROR(__xludf.DUMMYFUNCTION("""COMPUTED_VALUE"""),0.1679506933744222)</f>
        <v>0.1679506934</v>
      </c>
      <c r="F50" s="5">
        <f>IFERROR(__xludf.DUMMYFUNCTION("""COMPUTED_VALUE"""),0.21160760143810992)</f>
        <v>0.2116076014</v>
      </c>
      <c r="G50" s="5">
        <f>IFERROR(__xludf.DUMMYFUNCTION("""COMPUTED_VALUE"""),0.18952234206471494)</f>
        <v>0.1895223421</v>
      </c>
      <c r="H50" s="5">
        <f>IFERROR(__xludf.DUMMYFUNCTION("""COMPUTED_VALUE"""),0.6504854368932039)</f>
        <v>0.6504854369</v>
      </c>
      <c r="I50" s="11">
        <f>IFERROR(__xludf.DUMMYFUNCTION("""COMPUTED_VALUE"""),5435.922330097087)</f>
        <v>5435.92233</v>
      </c>
      <c r="J50" s="10">
        <f>IFERROR(__xludf.DUMMYFUNCTION("""COMPUTED_VALUE"""),0.0)</f>
        <v>0</v>
      </c>
      <c r="K50" s="5">
        <f>IFERROR(__xludf.DUMMYFUNCTION("""COMPUTED_VALUE"""),0.0)</f>
        <v>0</v>
      </c>
      <c r="L50" s="10">
        <f>IFERROR(__xludf.DUMMYFUNCTION("""COMPUTED_VALUE"""),37.0)</f>
        <v>37</v>
      </c>
      <c r="M50" s="5">
        <f>IFERROR(__xludf.DUMMYFUNCTION("""COMPUTED_VALUE"""),0.2032967032967033)</f>
        <v>0.2032967033</v>
      </c>
    </row>
    <row r="51">
      <c r="A51" s="10" t="str">
        <f>IFERROR(__xludf.DUMMYFUNCTION("""COMPUTED_VALUE"""),"唯一絶対神県南")</f>
        <v>唯一絶対神県南</v>
      </c>
      <c r="B51" s="10">
        <f>IFERROR(__xludf.DUMMYFUNCTION("""COMPUTED_VALUE"""),141.0)</f>
        <v>141</v>
      </c>
      <c r="C51" s="10">
        <f>IFERROR(__xludf.DUMMYFUNCTION("""COMPUTED_VALUE"""),1636.0)</f>
        <v>1636</v>
      </c>
      <c r="D51" s="5">
        <f>IFERROR(__xludf.DUMMYFUNCTION("""COMPUTED_VALUE"""),0.33979933110367894)</f>
        <v>0.3397993311</v>
      </c>
      <c r="E51" s="5">
        <f>IFERROR(__xludf.DUMMYFUNCTION("""COMPUTED_VALUE"""),0.16789297658862876)</f>
        <v>0.1678929766</v>
      </c>
      <c r="F51" s="5">
        <f>IFERROR(__xludf.DUMMYFUNCTION("""COMPUTED_VALUE"""),0.2153846153846154)</f>
        <v>0.2153846154</v>
      </c>
      <c r="G51" s="5">
        <f>IFERROR(__xludf.DUMMYFUNCTION("""COMPUTED_VALUE"""),0.20468227424749164)</f>
        <v>0.2046822742</v>
      </c>
      <c r="H51" s="5">
        <f>IFERROR(__xludf.DUMMYFUNCTION("""COMPUTED_VALUE"""),0.5838509316770186)</f>
        <v>0.5838509317</v>
      </c>
      <c r="I51" s="11">
        <f>IFERROR(__xludf.DUMMYFUNCTION("""COMPUTED_VALUE"""),5904.658385093167)</f>
        <v>5904.658385</v>
      </c>
      <c r="J51" s="10">
        <f>IFERROR(__xludf.DUMMYFUNCTION("""COMPUTED_VALUE"""),2.0)</f>
        <v>2</v>
      </c>
      <c r="K51" s="5">
        <f>IFERROR(__xludf.DUMMYFUNCTION("""COMPUTED_VALUE"""),0.014184397163120567)</f>
        <v>0.01418439716</v>
      </c>
      <c r="L51" s="10">
        <f>IFERROR(__xludf.DUMMYFUNCTION("""COMPUTED_VALUE"""),141.0)</f>
        <v>141</v>
      </c>
      <c r="M51" s="5">
        <f>IFERROR(__xludf.DUMMYFUNCTION("""COMPUTED_VALUE"""),1.0)</f>
        <v>1</v>
      </c>
    </row>
    <row r="52">
      <c r="A52" s="10" t="str">
        <f>IFERROR(__xludf.DUMMYFUNCTION("""COMPUTED_VALUE"""),"おさっちょ")</f>
        <v>おさっちょ</v>
      </c>
      <c r="B52" s="10">
        <f>IFERROR(__xludf.DUMMYFUNCTION("""COMPUTED_VALUE"""),1339.0)</f>
        <v>1339</v>
      </c>
      <c r="C52" s="10">
        <f>IFERROR(__xludf.DUMMYFUNCTION("""COMPUTED_VALUE"""),15494.0)</f>
        <v>15494</v>
      </c>
      <c r="D52" s="5">
        <f>IFERROR(__xludf.DUMMYFUNCTION("""COMPUTED_VALUE"""),0.31790886612504415)</f>
        <v>0.3179088661</v>
      </c>
      <c r="E52" s="5">
        <f>IFERROR(__xludf.DUMMYFUNCTION("""COMPUTED_VALUE"""),0.16764394206993996)</f>
        <v>0.1676439421</v>
      </c>
      <c r="F52" s="5">
        <f>IFERROR(__xludf.DUMMYFUNCTION("""COMPUTED_VALUE"""),0.22387848816672554)</f>
        <v>0.2238784882</v>
      </c>
      <c r="G52" s="5">
        <f>IFERROR(__xludf.DUMMYFUNCTION("""COMPUTED_VALUE"""),0.16559519604380077)</f>
        <v>0.165595196</v>
      </c>
      <c r="H52" s="5">
        <f>IFERROR(__xludf.DUMMYFUNCTION("""COMPUTED_VALUE"""),0.6033449037551278)</f>
        <v>0.6033449038</v>
      </c>
      <c r="I52" s="11">
        <f>IFERROR(__xludf.DUMMYFUNCTION("""COMPUTED_VALUE"""),5884.064373619438)</f>
        <v>5884.064374</v>
      </c>
      <c r="J52" s="10">
        <f>IFERROR(__xludf.DUMMYFUNCTION("""COMPUTED_VALUE"""),4.0)</f>
        <v>4</v>
      </c>
      <c r="K52" s="5">
        <f>IFERROR(__xludf.DUMMYFUNCTION("""COMPUTED_VALUE"""),0.002987303958177745)</f>
        <v>0.002987303958</v>
      </c>
      <c r="L52" s="10">
        <f>IFERROR(__xludf.DUMMYFUNCTION("""COMPUTED_VALUE"""),1338.0)</f>
        <v>1338</v>
      </c>
      <c r="M52" s="5">
        <f>IFERROR(__xludf.DUMMYFUNCTION("""COMPUTED_VALUE"""),0.9992531740104555)</f>
        <v>0.999253174</v>
      </c>
    </row>
    <row r="53">
      <c r="A53" s="10" t="str">
        <f>IFERROR(__xludf.DUMMYFUNCTION("""COMPUTED_VALUE"""),"斧ノ小町")</f>
        <v>斧ノ小町</v>
      </c>
      <c r="B53" s="10">
        <f>IFERROR(__xludf.DUMMYFUNCTION("""COMPUTED_VALUE"""),233.0)</f>
        <v>233</v>
      </c>
      <c r="C53" s="10">
        <f>IFERROR(__xludf.DUMMYFUNCTION("""COMPUTED_VALUE"""),2672.0)</f>
        <v>2672</v>
      </c>
      <c r="D53" s="5">
        <f>IFERROR(__xludf.DUMMYFUNCTION("""COMPUTED_VALUE"""),0.25092250922509224)</f>
        <v>0.2509225092</v>
      </c>
      <c r="E53" s="5">
        <f>IFERROR(__xludf.DUMMYFUNCTION("""COMPUTED_VALUE"""),0.16728167281672818)</f>
        <v>0.1672816728</v>
      </c>
      <c r="F53" s="5">
        <f>IFERROR(__xludf.DUMMYFUNCTION("""COMPUTED_VALUE"""),0.21525215252152521)</f>
        <v>0.2152521525</v>
      </c>
      <c r="G53" s="5">
        <f>IFERROR(__xludf.DUMMYFUNCTION("""COMPUTED_VALUE"""),0.2874128741287413)</f>
        <v>0.2874128741</v>
      </c>
      <c r="H53" s="5">
        <f>IFERROR(__xludf.DUMMYFUNCTION("""COMPUTED_VALUE"""),0.56)</f>
        <v>0.56</v>
      </c>
      <c r="I53" s="11">
        <f>IFERROR(__xludf.DUMMYFUNCTION("""COMPUTED_VALUE"""),6327.809523809524)</f>
        <v>6327.809524</v>
      </c>
      <c r="J53" s="10">
        <f>IFERROR(__xludf.DUMMYFUNCTION("""COMPUTED_VALUE"""),1.0)</f>
        <v>1</v>
      </c>
      <c r="K53" s="5">
        <f>IFERROR(__xludf.DUMMYFUNCTION("""COMPUTED_VALUE"""),0.004291845493562232)</f>
        <v>0.004291845494</v>
      </c>
      <c r="L53" s="10">
        <f>IFERROR(__xludf.DUMMYFUNCTION("""COMPUTED_VALUE"""),233.0)</f>
        <v>233</v>
      </c>
      <c r="M53" s="5">
        <f>IFERROR(__xludf.DUMMYFUNCTION("""COMPUTED_VALUE"""),1.0)</f>
        <v>1</v>
      </c>
    </row>
    <row r="54">
      <c r="A54" s="10" t="str">
        <f>IFERROR(__xludf.DUMMYFUNCTION("""COMPUTED_VALUE"""),"ゴロ長男")</f>
        <v>ゴロ長男</v>
      </c>
      <c r="B54" s="10">
        <f>IFERROR(__xludf.DUMMYFUNCTION("""COMPUTED_VALUE"""),161.0)</f>
        <v>161</v>
      </c>
      <c r="C54" s="10">
        <f>IFERROR(__xludf.DUMMYFUNCTION("""COMPUTED_VALUE"""),1824.0)</f>
        <v>1824</v>
      </c>
      <c r="D54" s="5">
        <f>IFERROR(__xludf.DUMMYFUNCTION("""COMPUTED_VALUE"""),0.3607937462417318)</f>
        <v>0.3607937462</v>
      </c>
      <c r="E54" s="5">
        <f>IFERROR(__xludf.DUMMYFUNCTION("""COMPUTED_VALUE"""),0.1671677690920024)</f>
        <v>0.1671677691</v>
      </c>
      <c r="F54" s="5">
        <f>IFERROR(__xludf.DUMMYFUNCTION("""COMPUTED_VALUE"""),0.21828021647624773)</f>
        <v>0.2182802165</v>
      </c>
      <c r="G54" s="5">
        <f>IFERROR(__xludf.DUMMYFUNCTION("""COMPUTED_VALUE"""),0.19182200841852073)</f>
        <v>0.1918220084</v>
      </c>
      <c r="H54" s="5">
        <f>IFERROR(__xludf.DUMMYFUNCTION("""COMPUTED_VALUE"""),0.5730027548209367)</f>
        <v>0.5730027548</v>
      </c>
      <c r="I54" s="11">
        <f>IFERROR(__xludf.DUMMYFUNCTION("""COMPUTED_VALUE"""),5946.831955922865)</f>
        <v>5946.831956</v>
      </c>
      <c r="J54" s="10">
        <f>IFERROR(__xludf.DUMMYFUNCTION("""COMPUTED_VALUE"""),0.0)</f>
        <v>0</v>
      </c>
      <c r="K54" s="5">
        <f>IFERROR(__xludf.DUMMYFUNCTION("""COMPUTED_VALUE"""),0.0)</f>
        <v>0</v>
      </c>
      <c r="L54" s="10">
        <f>IFERROR(__xludf.DUMMYFUNCTION("""COMPUTED_VALUE"""),161.0)</f>
        <v>161</v>
      </c>
      <c r="M54" s="5">
        <f>IFERROR(__xludf.DUMMYFUNCTION("""COMPUTED_VALUE"""),1.0)</f>
        <v>1</v>
      </c>
    </row>
    <row r="55">
      <c r="A55" s="10" t="str">
        <f>IFERROR(__xludf.DUMMYFUNCTION("""COMPUTED_VALUE"""),"Sawanova")</f>
        <v>Sawanova</v>
      </c>
      <c r="B55" s="10">
        <f>IFERROR(__xludf.DUMMYFUNCTION("""COMPUTED_VALUE"""),371.0)</f>
        <v>371</v>
      </c>
      <c r="C55" s="10">
        <f>IFERROR(__xludf.DUMMYFUNCTION("""COMPUTED_VALUE"""),4249.0)</f>
        <v>4249</v>
      </c>
      <c r="D55" s="5">
        <f>IFERROR(__xludf.DUMMYFUNCTION("""COMPUTED_VALUE"""),0.37570912841670967)</f>
        <v>0.3757091284</v>
      </c>
      <c r="E55" s="5">
        <f>IFERROR(__xludf.DUMMYFUNCTION("""COMPUTED_VALUE"""),0.1670964414646725)</f>
        <v>0.1670964415</v>
      </c>
      <c r="F55" s="5">
        <f>IFERROR(__xludf.DUMMYFUNCTION("""COMPUTED_VALUE"""),0.24265085095410005)</f>
        <v>0.242650851</v>
      </c>
      <c r="G55" s="5">
        <f>IFERROR(__xludf.DUMMYFUNCTION("""COMPUTED_VALUE"""),0.1738009283135637)</f>
        <v>0.1738009283</v>
      </c>
      <c r="H55" s="5">
        <f>IFERROR(__xludf.DUMMYFUNCTION("""COMPUTED_VALUE"""),0.6036131774707758)</f>
        <v>0.6036131775</v>
      </c>
      <c r="I55" s="11">
        <f>IFERROR(__xludf.DUMMYFUNCTION("""COMPUTED_VALUE"""),5866.63124335813)</f>
        <v>5866.631243</v>
      </c>
      <c r="J55" s="10">
        <f>IFERROR(__xludf.DUMMYFUNCTION("""COMPUTED_VALUE"""),2.0)</f>
        <v>2</v>
      </c>
      <c r="K55" s="5">
        <f>IFERROR(__xludf.DUMMYFUNCTION("""COMPUTED_VALUE"""),0.005390835579514825)</f>
        <v>0.00539083558</v>
      </c>
      <c r="L55" s="10">
        <f>IFERROR(__xludf.DUMMYFUNCTION("""COMPUTED_VALUE"""),371.0)</f>
        <v>371</v>
      </c>
      <c r="M55" s="5">
        <f>IFERROR(__xludf.DUMMYFUNCTION("""COMPUTED_VALUE"""),1.0)</f>
        <v>1</v>
      </c>
    </row>
    <row r="56">
      <c r="A56" s="10" t="str">
        <f>IFERROR(__xludf.DUMMYFUNCTION("""COMPUTED_VALUE"""),"ellirael")</f>
        <v>ellirael</v>
      </c>
      <c r="B56" s="10">
        <f>IFERROR(__xludf.DUMMYFUNCTION("""COMPUTED_VALUE"""),161.0)</f>
        <v>161</v>
      </c>
      <c r="C56" s="10">
        <f>IFERROR(__xludf.DUMMYFUNCTION("""COMPUTED_VALUE"""),1849.0)</f>
        <v>1849</v>
      </c>
      <c r="D56" s="5">
        <f>IFERROR(__xludf.DUMMYFUNCTION("""COMPUTED_VALUE"""),0.36729857819905215)</f>
        <v>0.3672985782</v>
      </c>
      <c r="E56" s="5">
        <f>IFERROR(__xludf.DUMMYFUNCTION("""COMPUTED_VALUE"""),0.1670616113744076)</f>
        <v>0.1670616114</v>
      </c>
      <c r="F56" s="5">
        <f>IFERROR(__xludf.DUMMYFUNCTION("""COMPUTED_VALUE"""),0.22334123222748814)</f>
        <v>0.2233412322</v>
      </c>
      <c r="G56" s="5">
        <f>IFERROR(__xludf.DUMMYFUNCTION("""COMPUTED_VALUE"""),0.1943127962085308)</f>
        <v>0.1943127962</v>
      </c>
      <c r="H56" s="5">
        <f>IFERROR(__xludf.DUMMYFUNCTION("""COMPUTED_VALUE"""),0.6047745358090185)</f>
        <v>0.6047745358</v>
      </c>
      <c r="I56" s="11">
        <f>IFERROR(__xludf.DUMMYFUNCTION("""COMPUTED_VALUE"""),5928.9124668435015)</f>
        <v>5928.912467</v>
      </c>
      <c r="J56" s="10">
        <f>IFERROR(__xludf.DUMMYFUNCTION("""COMPUTED_VALUE"""),0.0)</f>
        <v>0</v>
      </c>
      <c r="K56" s="5">
        <f>IFERROR(__xludf.DUMMYFUNCTION("""COMPUTED_VALUE"""),0.0)</f>
        <v>0</v>
      </c>
      <c r="L56" s="10">
        <f>IFERROR(__xludf.DUMMYFUNCTION("""COMPUTED_VALUE"""),161.0)</f>
        <v>161</v>
      </c>
      <c r="M56" s="5">
        <f>IFERROR(__xludf.DUMMYFUNCTION("""COMPUTED_VALUE"""),1.0)</f>
        <v>1</v>
      </c>
    </row>
    <row r="57">
      <c r="A57" s="10" t="str">
        <f>IFERROR(__xludf.DUMMYFUNCTION("""COMPUTED_VALUE"""),"屁胡手")</f>
        <v>屁胡手</v>
      </c>
      <c r="B57" s="10">
        <f>IFERROR(__xludf.DUMMYFUNCTION("""COMPUTED_VALUE"""),161.0)</f>
        <v>161</v>
      </c>
      <c r="C57" s="10">
        <f>IFERROR(__xludf.DUMMYFUNCTION("""COMPUTED_VALUE"""),1874.0)</f>
        <v>1874</v>
      </c>
      <c r="D57" s="5">
        <f>IFERROR(__xludf.DUMMYFUNCTION("""COMPUTED_VALUE"""),0.37886748394629305)</f>
        <v>0.3788674839</v>
      </c>
      <c r="E57" s="5">
        <f>IFERROR(__xludf.DUMMYFUNCTION("""COMPUTED_VALUE"""),0.16695855224751896)</f>
        <v>0.1669585522</v>
      </c>
      <c r="F57" s="5">
        <f>IFERROR(__xludf.DUMMYFUNCTION("""COMPUTED_VALUE"""),0.2276707530647986)</f>
        <v>0.2276707531</v>
      </c>
      <c r="G57" s="5">
        <f>IFERROR(__xludf.DUMMYFUNCTION("""COMPUTED_VALUE"""),0.14769410391126678)</f>
        <v>0.1476941039</v>
      </c>
      <c r="H57" s="5">
        <f>IFERROR(__xludf.DUMMYFUNCTION("""COMPUTED_VALUE"""),0.5974358974358974)</f>
        <v>0.5974358974</v>
      </c>
      <c r="I57" s="11">
        <f>IFERROR(__xludf.DUMMYFUNCTION("""COMPUTED_VALUE"""),5563.846153846154)</f>
        <v>5563.846154</v>
      </c>
      <c r="J57" s="10">
        <f>IFERROR(__xludf.DUMMYFUNCTION("""COMPUTED_VALUE"""),0.0)</f>
        <v>0</v>
      </c>
      <c r="K57" s="5">
        <f>IFERROR(__xludf.DUMMYFUNCTION("""COMPUTED_VALUE"""),0.0)</f>
        <v>0</v>
      </c>
      <c r="L57" s="10">
        <f>IFERROR(__xludf.DUMMYFUNCTION("""COMPUTED_VALUE"""),89.0)</f>
        <v>89</v>
      </c>
      <c r="M57" s="5">
        <f>IFERROR(__xludf.DUMMYFUNCTION("""COMPUTED_VALUE"""),0.5527950310559007)</f>
        <v>0.5527950311</v>
      </c>
    </row>
    <row r="58">
      <c r="A58" s="10" t="str">
        <f>IFERROR(__xludf.DUMMYFUNCTION("""COMPUTED_VALUE"""),"龍門渕高校総合")</f>
        <v>龍門渕高校総合</v>
      </c>
      <c r="B58" s="10">
        <f>IFERROR(__xludf.DUMMYFUNCTION("""COMPUTED_VALUE"""),577.0)</f>
        <v>577</v>
      </c>
      <c r="C58" s="10">
        <f>IFERROR(__xludf.DUMMYFUNCTION("""COMPUTED_VALUE"""),6665.0)</f>
        <v>6665</v>
      </c>
      <c r="D58" s="5">
        <f>IFERROR(__xludf.DUMMYFUNCTION("""COMPUTED_VALUE"""),0.34346254927726677)</f>
        <v>0.3434625493</v>
      </c>
      <c r="E58" s="5">
        <f>IFERROR(__xludf.DUMMYFUNCTION("""COMPUTED_VALUE"""),0.16688567674113008)</f>
        <v>0.1668856767</v>
      </c>
      <c r="F58" s="5">
        <f>IFERROR(__xludf.DUMMYFUNCTION("""COMPUTED_VALUE"""),0.23850197109067017)</f>
        <v>0.2385019711</v>
      </c>
      <c r="G58" s="5">
        <f>IFERROR(__xludf.DUMMYFUNCTION("""COMPUTED_VALUE"""),0.20548620236530882)</f>
        <v>0.2054862024</v>
      </c>
      <c r="H58" s="5">
        <f>IFERROR(__xludf.DUMMYFUNCTION("""COMPUTED_VALUE"""),0.5957300275482094)</f>
        <v>0.5957300275</v>
      </c>
      <c r="I58" s="11">
        <f>IFERROR(__xludf.DUMMYFUNCTION("""COMPUTED_VALUE"""),5665.909090909091)</f>
        <v>5665.909091</v>
      </c>
      <c r="J58" s="10">
        <f>IFERROR(__xludf.DUMMYFUNCTION("""COMPUTED_VALUE"""),2.0)</f>
        <v>2</v>
      </c>
      <c r="K58" s="5">
        <f>IFERROR(__xludf.DUMMYFUNCTION("""COMPUTED_VALUE"""),0.0034662045060658577)</f>
        <v>0.003466204506</v>
      </c>
      <c r="L58" s="10">
        <f>IFERROR(__xludf.DUMMYFUNCTION("""COMPUTED_VALUE"""),577.0)</f>
        <v>577</v>
      </c>
      <c r="M58" s="5">
        <f>IFERROR(__xludf.DUMMYFUNCTION("""COMPUTED_VALUE"""),1.0)</f>
        <v>1</v>
      </c>
    </row>
    <row r="59">
      <c r="A59" s="10" t="str">
        <f>IFERROR(__xludf.DUMMYFUNCTION("""COMPUTED_VALUE"""),"MMDT0715")</f>
        <v>MMDT0715</v>
      </c>
      <c r="B59" s="10">
        <f>IFERROR(__xludf.DUMMYFUNCTION("""COMPUTED_VALUE"""),112.0)</f>
        <v>112</v>
      </c>
      <c r="C59" s="10">
        <f>IFERROR(__xludf.DUMMYFUNCTION("""COMPUTED_VALUE"""),1263.0)</f>
        <v>1263</v>
      </c>
      <c r="D59" s="5">
        <f>IFERROR(__xludf.DUMMYFUNCTION("""COMPUTED_VALUE"""),0.368375325803649)</f>
        <v>0.3683753258</v>
      </c>
      <c r="E59" s="5">
        <f>IFERROR(__xludf.DUMMYFUNCTION("""COMPUTED_VALUE"""),0.16681146828844484)</f>
        <v>0.1668114683</v>
      </c>
      <c r="F59" s="5">
        <f>IFERROR(__xludf.DUMMYFUNCTION("""COMPUTED_VALUE"""),0.20069504778453517)</f>
        <v>0.2006950478</v>
      </c>
      <c r="G59" s="5">
        <f>IFERROR(__xludf.DUMMYFUNCTION("""COMPUTED_VALUE"""),0.18592528236316247)</f>
        <v>0.1859252824</v>
      </c>
      <c r="H59" s="5">
        <f>IFERROR(__xludf.DUMMYFUNCTION("""COMPUTED_VALUE"""),0.5584415584415584)</f>
        <v>0.5584415584</v>
      </c>
      <c r="I59" s="11">
        <f>IFERROR(__xludf.DUMMYFUNCTION("""COMPUTED_VALUE"""),6378.354978354978)</f>
        <v>6378.354978</v>
      </c>
      <c r="J59" s="10">
        <f>IFERROR(__xludf.DUMMYFUNCTION("""COMPUTED_VALUE"""),0.0)</f>
        <v>0</v>
      </c>
      <c r="K59" s="5">
        <f>IFERROR(__xludf.DUMMYFUNCTION("""COMPUTED_VALUE"""),0.0)</f>
        <v>0</v>
      </c>
      <c r="L59" s="10">
        <f>IFERROR(__xludf.DUMMYFUNCTION("""COMPUTED_VALUE"""),112.0)</f>
        <v>112</v>
      </c>
      <c r="M59" s="5">
        <f>IFERROR(__xludf.DUMMYFUNCTION("""COMPUTED_VALUE"""),1.0)</f>
        <v>1</v>
      </c>
    </row>
    <row r="60">
      <c r="A60" s="10" t="str">
        <f>IFERROR(__xludf.DUMMYFUNCTION("""COMPUTED_VALUE"""),"wonder2")</f>
        <v>wonder2</v>
      </c>
      <c r="B60" s="10">
        <f>IFERROR(__xludf.DUMMYFUNCTION("""COMPUTED_VALUE"""),323.0)</f>
        <v>323</v>
      </c>
      <c r="C60" s="10">
        <f>IFERROR(__xludf.DUMMYFUNCTION("""COMPUTED_VALUE"""),3771.0)</f>
        <v>3771</v>
      </c>
      <c r="D60" s="5">
        <f>IFERROR(__xludf.DUMMYFUNCTION("""COMPUTED_VALUE"""),0.34251740139211134)</f>
        <v>0.3425174014</v>
      </c>
      <c r="E60" s="5">
        <f>IFERROR(__xludf.DUMMYFUNCTION("""COMPUTED_VALUE"""),0.16676334106728538)</f>
        <v>0.1667633411</v>
      </c>
      <c r="F60" s="5">
        <f>IFERROR(__xludf.DUMMYFUNCTION("""COMPUTED_VALUE"""),0.21026682134570765)</f>
        <v>0.2102668213</v>
      </c>
      <c r="G60" s="5">
        <f>IFERROR(__xludf.DUMMYFUNCTION("""COMPUTED_VALUE"""),0.18097447795823665)</f>
        <v>0.180974478</v>
      </c>
      <c r="H60" s="5">
        <f>IFERROR(__xludf.DUMMYFUNCTION("""COMPUTED_VALUE"""),0.6055172413793104)</f>
        <v>0.6055172414</v>
      </c>
      <c r="I60" s="11">
        <f>IFERROR(__xludf.DUMMYFUNCTION("""COMPUTED_VALUE"""),6336.827586206897)</f>
        <v>6336.827586</v>
      </c>
      <c r="J60" s="10">
        <f>IFERROR(__xludf.DUMMYFUNCTION("""COMPUTED_VALUE"""),1.0)</f>
        <v>1</v>
      </c>
      <c r="K60" s="5">
        <f>IFERROR(__xludf.DUMMYFUNCTION("""COMPUTED_VALUE"""),0.0030959752321981426)</f>
        <v>0.003095975232</v>
      </c>
      <c r="L60" s="10">
        <f>IFERROR(__xludf.DUMMYFUNCTION("""COMPUTED_VALUE"""),323.0)</f>
        <v>323</v>
      </c>
      <c r="M60" s="5">
        <f>IFERROR(__xludf.DUMMYFUNCTION("""COMPUTED_VALUE"""),1.0)</f>
        <v>1</v>
      </c>
    </row>
    <row r="61">
      <c r="A61" s="10" t="str">
        <f>IFERROR(__xludf.DUMMYFUNCTION("""COMPUTED_VALUE"""),"丸")</f>
        <v>丸</v>
      </c>
      <c r="B61" s="10">
        <f>IFERROR(__xludf.DUMMYFUNCTION("""COMPUTED_VALUE"""),179.0)</f>
        <v>179</v>
      </c>
      <c r="C61" s="10">
        <f>IFERROR(__xludf.DUMMYFUNCTION("""COMPUTED_VALUE"""),2068.0)</f>
        <v>2068</v>
      </c>
      <c r="D61" s="5">
        <f>IFERROR(__xludf.DUMMYFUNCTION("""COMPUTED_VALUE"""),0.38168343038644786)</f>
        <v>0.3816834304</v>
      </c>
      <c r="E61" s="5">
        <f>IFERROR(__xludf.DUMMYFUNCTION("""COMPUTED_VALUE"""),0.16675489677077818)</f>
        <v>0.1667548968</v>
      </c>
      <c r="F61" s="5">
        <f>IFERROR(__xludf.DUMMYFUNCTION("""COMPUTED_VALUE"""),0.20592906299629435)</f>
        <v>0.205929063</v>
      </c>
      <c r="G61" s="5">
        <f>IFERROR(__xludf.DUMMYFUNCTION("""COMPUTED_VALUE"""),0.14187400741132875)</f>
        <v>0.1418740074</v>
      </c>
      <c r="H61" s="5">
        <f>IFERROR(__xludf.DUMMYFUNCTION("""COMPUTED_VALUE"""),0.6426735218508998)</f>
        <v>0.6426735219</v>
      </c>
      <c r="I61" s="11">
        <f>IFERROR(__xludf.DUMMYFUNCTION("""COMPUTED_VALUE"""),6275.835475578406)</f>
        <v>6275.835476</v>
      </c>
      <c r="J61" s="10">
        <f>IFERROR(__xludf.DUMMYFUNCTION("""COMPUTED_VALUE"""),1.0)</f>
        <v>1</v>
      </c>
      <c r="K61" s="5">
        <f>IFERROR(__xludf.DUMMYFUNCTION("""COMPUTED_VALUE"""),0.00558659217877095)</f>
        <v>0.005586592179</v>
      </c>
      <c r="L61" s="10">
        <f>IFERROR(__xludf.DUMMYFUNCTION("""COMPUTED_VALUE"""),179.0)</f>
        <v>179</v>
      </c>
      <c r="M61" s="5">
        <f>IFERROR(__xludf.DUMMYFUNCTION("""COMPUTED_VALUE"""),1.0)</f>
        <v>1</v>
      </c>
    </row>
    <row r="62">
      <c r="A62" s="10" t="str">
        <f>IFERROR(__xludf.DUMMYFUNCTION("""COMPUTED_VALUE"""),"ペド")</f>
        <v>ペド</v>
      </c>
      <c r="B62" s="10">
        <f>IFERROR(__xludf.DUMMYFUNCTION("""COMPUTED_VALUE"""),115.0)</f>
        <v>115</v>
      </c>
      <c r="C62" s="10">
        <f>IFERROR(__xludf.DUMMYFUNCTION("""COMPUTED_VALUE"""),1303.0)</f>
        <v>1303</v>
      </c>
      <c r="D62" s="5">
        <f>IFERROR(__xludf.DUMMYFUNCTION("""COMPUTED_VALUE"""),0.26430976430976433)</f>
        <v>0.2643097643</v>
      </c>
      <c r="E62" s="5">
        <f>IFERROR(__xludf.DUMMYFUNCTION("""COMPUTED_VALUE"""),0.16666666666666666)</f>
        <v>0.1666666667</v>
      </c>
      <c r="F62" s="5">
        <f>IFERROR(__xludf.DUMMYFUNCTION("""COMPUTED_VALUE"""),0.19528619528619529)</f>
        <v>0.1952861953</v>
      </c>
      <c r="G62" s="5">
        <f>IFERROR(__xludf.DUMMYFUNCTION("""COMPUTED_VALUE"""),0.1978114478114478)</f>
        <v>0.1978114478</v>
      </c>
      <c r="H62" s="5">
        <f>IFERROR(__xludf.DUMMYFUNCTION("""COMPUTED_VALUE"""),0.603448275862069)</f>
        <v>0.6034482759</v>
      </c>
      <c r="I62" s="11">
        <f>IFERROR(__xludf.DUMMYFUNCTION("""COMPUTED_VALUE"""),6175.431034482759)</f>
        <v>6175.431034</v>
      </c>
      <c r="J62" s="10">
        <f>IFERROR(__xludf.DUMMYFUNCTION("""COMPUTED_VALUE"""),0.0)</f>
        <v>0</v>
      </c>
      <c r="K62" s="5">
        <f>IFERROR(__xludf.DUMMYFUNCTION("""COMPUTED_VALUE"""),0.0)</f>
        <v>0</v>
      </c>
      <c r="L62" s="10">
        <f>IFERROR(__xludf.DUMMYFUNCTION("""COMPUTED_VALUE"""),115.0)</f>
        <v>115</v>
      </c>
      <c r="M62" s="5">
        <f>IFERROR(__xludf.DUMMYFUNCTION("""COMPUTED_VALUE"""),1.0)</f>
        <v>1</v>
      </c>
    </row>
    <row r="63">
      <c r="A63" s="10" t="str">
        <f>IFERROR(__xludf.DUMMYFUNCTION("""COMPUTED_VALUE"""),"夜明楓")</f>
        <v>夜明楓</v>
      </c>
      <c r="B63" s="10">
        <f>IFERROR(__xludf.DUMMYFUNCTION("""COMPUTED_VALUE"""),212.0)</f>
        <v>212</v>
      </c>
      <c r="C63" s="10">
        <f>IFERROR(__xludf.DUMMYFUNCTION("""COMPUTED_VALUE"""),2431.0)</f>
        <v>2431</v>
      </c>
      <c r="D63" s="5">
        <f>IFERROR(__xludf.DUMMYFUNCTION("""COMPUTED_VALUE"""),0.4096439837764759)</f>
        <v>0.4096439838</v>
      </c>
      <c r="E63" s="5">
        <f>IFERROR(__xludf.DUMMYFUNCTION("""COMPUTED_VALUE"""),0.16629112212708427)</f>
        <v>0.1662911221</v>
      </c>
      <c r="F63" s="5">
        <f>IFERROR(__xludf.DUMMYFUNCTION("""COMPUTED_VALUE"""),0.22712933753943218)</f>
        <v>0.2271293375</v>
      </c>
      <c r="G63" s="5">
        <f>IFERROR(__xludf.DUMMYFUNCTION("""COMPUTED_VALUE"""),0.1712483100495719)</f>
        <v>0.17124831</v>
      </c>
      <c r="H63" s="5">
        <f>IFERROR(__xludf.DUMMYFUNCTION("""COMPUTED_VALUE"""),0.5436507936507936)</f>
        <v>0.5436507937</v>
      </c>
      <c r="I63" s="11">
        <f>IFERROR(__xludf.DUMMYFUNCTION("""COMPUTED_VALUE"""),5530.555555555556)</f>
        <v>5530.555556</v>
      </c>
      <c r="J63" s="10">
        <f>IFERROR(__xludf.DUMMYFUNCTION("""COMPUTED_VALUE"""),0.0)</f>
        <v>0</v>
      </c>
      <c r="K63" s="5">
        <f>IFERROR(__xludf.DUMMYFUNCTION("""COMPUTED_VALUE"""),0.0)</f>
        <v>0</v>
      </c>
      <c r="L63" s="10">
        <f>IFERROR(__xludf.DUMMYFUNCTION("""COMPUTED_VALUE"""),210.0)</f>
        <v>210</v>
      </c>
      <c r="M63" s="5">
        <f>IFERROR(__xludf.DUMMYFUNCTION("""COMPUTED_VALUE"""),0.9905660377358491)</f>
        <v>0.9905660377</v>
      </c>
    </row>
    <row r="64">
      <c r="A64" s="10" t="str">
        <f>IFERROR(__xludf.DUMMYFUNCTION("""COMPUTED_VALUE"""),"Mitui")</f>
        <v>Mitui</v>
      </c>
      <c r="B64" s="10">
        <f>IFERROR(__xludf.DUMMYFUNCTION("""COMPUTED_VALUE"""),187.0)</f>
        <v>187</v>
      </c>
      <c r="C64" s="10">
        <f>IFERROR(__xludf.DUMMYFUNCTION("""COMPUTED_VALUE"""),2208.0)</f>
        <v>2208</v>
      </c>
      <c r="D64" s="5">
        <f>IFERROR(__xludf.DUMMYFUNCTION("""COMPUTED_VALUE"""),0.4631370608609599)</f>
        <v>0.4631370609</v>
      </c>
      <c r="E64" s="5">
        <f>IFERROR(__xludf.DUMMYFUNCTION("""COMPUTED_VALUE"""),0.16625432953983177)</f>
        <v>0.1662543295</v>
      </c>
      <c r="F64" s="5">
        <f>IFERROR(__xludf.DUMMYFUNCTION("""COMPUTED_VALUE"""),0.23998020781791193)</f>
        <v>0.2399802078</v>
      </c>
      <c r="G64" s="5">
        <f>IFERROR(__xludf.DUMMYFUNCTION("""COMPUTED_VALUE"""),0.17219198416625434)</f>
        <v>0.1721919842</v>
      </c>
      <c r="H64" s="5">
        <f>IFERROR(__xludf.DUMMYFUNCTION("""COMPUTED_VALUE"""),0.5917525773195876)</f>
        <v>0.5917525773</v>
      </c>
      <c r="I64" s="11">
        <f>IFERROR(__xludf.DUMMYFUNCTION("""COMPUTED_VALUE"""),5410.721649484536)</f>
        <v>5410.721649</v>
      </c>
      <c r="J64" s="10">
        <f>IFERROR(__xludf.DUMMYFUNCTION("""COMPUTED_VALUE"""),0.0)</f>
        <v>0</v>
      </c>
      <c r="K64" s="5">
        <f>IFERROR(__xludf.DUMMYFUNCTION("""COMPUTED_VALUE"""),0.0)</f>
        <v>0</v>
      </c>
      <c r="L64" s="10">
        <f>IFERROR(__xludf.DUMMYFUNCTION("""COMPUTED_VALUE"""),187.0)</f>
        <v>187</v>
      </c>
      <c r="M64" s="5">
        <f>IFERROR(__xludf.DUMMYFUNCTION("""COMPUTED_VALUE"""),1.0)</f>
        <v>1</v>
      </c>
    </row>
    <row r="65">
      <c r="A65" s="10" t="str">
        <f>IFERROR(__xludf.DUMMYFUNCTION("""COMPUTED_VALUE"""),"科学麻雀")</f>
        <v>科学麻雀</v>
      </c>
      <c r="B65" s="10">
        <f>IFERROR(__xludf.DUMMYFUNCTION("""COMPUTED_VALUE"""),100.0)</f>
        <v>100</v>
      </c>
      <c r="C65" s="10">
        <f>IFERROR(__xludf.DUMMYFUNCTION("""COMPUTED_VALUE"""),1183.0)</f>
        <v>1183</v>
      </c>
      <c r="D65" s="5">
        <f>IFERROR(__xludf.DUMMYFUNCTION("""COMPUTED_VALUE"""),0.3056325023084026)</f>
        <v>0.3056325023</v>
      </c>
      <c r="E65" s="5">
        <f>IFERROR(__xludf.DUMMYFUNCTION("""COMPUTED_VALUE"""),0.16620498614958448)</f>
        <v>0.1662049861</v>
      </c>
      <c r="F65" s="5">
        <f>IFERROR(__xludf.DUMMYFUNCTION("""COMPUTED_VALUE"""),0.2077562326869806)</f>
        <v>0.2077562327</v>
      </c>
      <c r="G65" s="5">
        <f>IFERROR(__xludf.DUMMYFUNCTION("""COMPUTED_VALUE"""),0.17082179132040629)</f>
        <v>0.1708217913</v>
      </c>
      <c r="H65" s="5">
        <f>IFERROR(__xludf.DUMMYFUNCTION("""COMPUTED_VALUE"""),0.64)</f>
        <v>0.64</v>
      </c>
      <c r="I65" s="11">
        <f>IFERROR(__xludf.DUMMYFUNCTION("""COMPUTED_VALUE"""),5456.888888888889)</f>
        <v>5456.888889</v>
      </c>
      <c r="J65" s="10">
        <f>IFERROR(__xludf.DUMMYFUNCTION("""COMPUTED_VALUE"""),0.0)</f>
        <v>0</v>
      </c>
      <c r="K65" s="5">
        <f>IFERROR(__xludf.DUMMYFUNCTION("""COMPUTED_VALUE"""),0.0)</f>
        <v>0</v>
      </c>
      <c r="L65" s="10">
        <f>IFERROR(__xludf.DUMMYFUNCTION("""COMPUTED_VALUE"""),98.0)</f>
        <v>98</v>
      </c>
      <c r="M65" s="5">
        <f>IFERROR(__xludf.DUMMYFUNCTION("""COMPUTED_VALUE"""),0.98)</f>
        <v>0.98</v>
      </c>
    </row>
    <row r="66">
      <c r="A66" s="10" t="str">
        <f>IFERROR(__xludf.DUMMYFUNCTION("""COMPUTED_VALUE"""),"ごうＪＰＮ")</f>
        <v>ごうＪＰＮ</v>
      </c>
      <c r="B66" s="10">
        <f>IFERROR(__xludf.DUMMYFUNCTION("""COMPUTED_VALUE"""),338.0)</f>
        <v>338</v>
      </c>
      <c r="C66" s="10">
        <f>IFERROR(__xludf.DUMMYFUNCTION("""COMPUTED_VALUE"""),3940.0)</f>
        <v>3940</v>
      </c>
      <c r="D66" s="5">
        <f>IFERROR(__xludf.DUMMYFUNCTION("""COMPUTED_VALUE"""),0.2806774014436424)</f>
        <v>0.2806774014</v>
      </c>
      <c r="E66" s="5">
        <f>IFERROR(__xludf.DUMMYFUNCTION("""COMPUTED_VALUE"""),0.1660188784008884)</f>
        <v>0.1660188784</v>
      </c>
      <c r="F66" s="5">
        <f>IFERROR(__xludf.DUMMYFUNCTION("""COMPUTED_VALUE"""),0.21543586896168795)</f>
        <v>0.215435869</v>
      </c>
      <c r="G66" s="5">
        <f>IFERROR(__xludf.DUMMYFUNCTION("""COMPUTED_VALUE"""),0.22987229317046085)</f>
        <v>0.2298722932</v>
      </c>
      <c r="H66" s="5">
        <f>IFERROR(__xludf.DUMMYFUNCTION("""COMPUTED_VALUE"""),0.5631443298969072)</f>
        <v>0.5631443299</v>
      </c>
      <c r="I66" s="11">
        <f>IFERROR(__xludf.DUMMYFUNCTION("""COMPUTED_VALUE"""),6211.59793814433)</f>
        <v>6211.597938</v>
      </c>
      <c r="J66" s="10">
        <f>IFERROR(__xludf.DUMMYFUNCTION("""COMPUTED_VALUE"""),0.0)</f>
        <v>0</v>
      </c>
      <c r="K66" s="5">
        <f>IFERROR(__xludf.DUMMYFUNCTION("""COMPUTED_VALUE"""),0.0)</f>
        <v>0</v>
      </c>
      <c r="L66" s="10">
        <f>IFERROR(__xludf.DUMMYFUNCTION("""COMPUTED_VALUE"""),338.0)</f>
        <v>338</v>
      </c>
      <c r="M66" s="5">
        <f>IFERROR(__xludf.DUMMYFUNCTION("""COMPUTED_VALUE"""),1.0)</f>
        <v>1</v>
      </c>
    </row>
    <row r="67">
      <c r="A67" s="10" t="str">
        <f>IFERROR(__xludf.DUMMYFUNCTION("""COMPUTED_VALUE"""),"逆流性食道炎なう")</f>
        <v>逆流性食道炎なう</v>
      </c>
      <c r="B67" s="10">
        <f>IFERROR(__xludf.DUMMYFUNCTION("""COMPUTED_VALUE"""),189.0)</f>
        <v>189</v>
      </c>
      <c r="C67" s="10">
        <f>IFERROR(__xludf.DUMMYFUNCTION("""COMPUTED_VALUE"""),2161.0)</f>
        <v>2161</v>
      </c>
      <c r="D67" s="5">
        <f>IFERROR(__xludf.DUMMYFUNCTION("""COMPUTED_VALUE"""),0.34989858012170383)</f>
        <v>0.3498985801</v>
      </c>
      <c r="E67" s="5">
        <f>IFERROR(__xludf.DUMMYFUNCTION("""COMPUTED_VALUE"""),0.1658215010141988)</f>
        <v>0.165821501</v>
      </c>
      <c r="F67" s="5">
        <f>IFERROR(__xludf.DUMMYFUNCTION("""COMPUTED_VALUE"""),0.22920892494929007)</f>
        <v>0.2292089249</v>
      </c>
      <c r="G67" s="5">
        <f>IFERROR(__xludf.DUMMYFUNCTION("""COMPUTED_VALUE"""),0.1947261663286004)</f>
        <v>0.1947261663</v>
      </c>
      <c r="H67" s="5">
        <f>IFERROR(__xludf.DUMMYFUNCTION("""COMPUTED_VALUE"""),0.5730088495575221)</f>
        <v>0.5730088496</v>
      </c>
      <c r="I67" s="11">
        <f>IFERROR(__xludf.DUMMYFUNCTION("""COMPUTED_VALUE"""),5682.079646017699)</f>
        <v>5682.079646</v>
      </c>
      <c r="J67" s="10">
        <f>IFERROR(__xludf.DUMMYFUNCTION("""COMPUTED_VALUE"""),0.0)</f>
        <v>0</v>
      </c>
      <c r="K67" s="5">
        <f>IFERROR(__xludf.DUMMYFUNCTION("""COMPUTED_VALUE"""),0.0)</f>
        <v>0</v>
      </c>
      <c r="L67" s="10">
        <f>IFERROR(__xludf.DUMMYFUNCTION("""COMPUTED_VALUE"""),189.0)</f>
        <v>189</v>
      </c>
      <c r="M67" s="5">
        <f>IFERROR(__xludf.DUMMYFUNCTION("""COMPUTED_VALUE"""),1.0)</f>
        <v>1</v>
      </c>
    </row>
    <row r="68">
      <c r="A68" s="10" t="str">
        <f>IFERROR(__xludf.DUMMYFUNCTION("""COMPUTED_VALUE"""),"hide3400")</f>
        <v>hide3400</v>
      </c>
      <c r="B68" s="10">
        <f>IFERROR(__xludf.DUMMYFUNCTION("""COMPUTED_VALUE"""),142.0)</f>
        <v>142</v>
      </c>
      <c r="C68" s="10">
        <f>IFERROR(__xludf.DUMMYFUNCTION("""COMPUTED_VALUE"""),1668.0)</f>
        <v>1668</v>
      </c>
      <c r="D68" s="5">
        <f>IFERROR(__xludf.DUMMYFUNCTION("""COMPUTED_VALUE"""),0.29357798165137616)</f>
        <v>0.2935779817</v>
      </c>
      <c r="E68" s="5">
        <f>IFERROR(__xludf.DUMMYFUNCTION("""COMPUTED_VALUE"""),0.1657929226736566)</f>
        <v>0.1657929227</v>
      </c>
      <c r="F68" s="5">
        <f>IFERROR(__xludf.DUMMYFUNCTION("""COMPUTED_VALUE"""),0.17693315858453473)</f>
        <v>0.1769331586</v>
      </c>
      <c r="G68" s="5">
        <f>IFERROR(__xludf.DUMMYFUNCTION("""COMPUTED_VALUE"""),0.19593709043250326)</f>
        <v>0.1959370904</v>
      </c>
      <c r="H68" s="5">
        <f>IFERROR(__xludf.DUMMYFUNCTION("""COMPUTED_VALUE"""),0.5555555555555556)</f>
        <v>0.5555555556</v>
      </c>
      <c r="I68" s="11">
        <f>IFERROR(__xludf.DUMMYFUNCTION("""COMPUTED_VALUE"""),6451.481481481482)</f>
        <v>6451.481481</v>
      </c>
      <c r="J68" s="10">
        <f>IFERROR(__xludf.DUMMYFUNCTION("""COMPUTED_VALUE"""),0.0)</f>
        <v>0</v>
      </c>
      <c r="K68" s="5">
        <f>IFERROR(__xludf.DUMMYFUNCTION("""COMPUTED_VALUE"""),0.0)</f>
        <v>0</v>
      </c>
      <c r="L68" s="10">
        <f>IFERROR(__xludf.DUMMYFUNCTION("""COMPUTED_VALUE"""),142.0)</f>
        <v>142</v>
      </c>
      <c r="M68" s="5">
        <f>IFERROR(__xludf.DUMMYFUNCTION("""COMPUTED_VALUE"""),1.0)</f>
        <v>1</v>
      </c>
    </row>
    <row r="69">
      <c r="A69" s="10" t="str">
        <f>IFERROR(__xludf.DUMMYFUNCTION("""COMPUTED_VALUE"""),"washisen")</f>
        <v>washisen</v>
      </c>
      <c r="B69" s="10">
        <f>IFERROR(__xludf.DUMMYFUNCTION("""COMPUTED_VALUE"""),549.0)</f>
        <v>549</v>
      </c>
      <c r="C69" s="10">
        <f>IFERROR(__xludf.DUMMYFUNCTION("""COMPUTED_VALUE"""),6401.0)</f>
        <v>6401</v>
      </c>
      <c r="D69" s="5">
        <f>IFERROR(__xludf.DUMMYFUNCTION("""COMPUTED_VALUE"""),0.41473000683527)</f>
        <v>0.4147300068</v>
      </c>
      <c r="E69" s="5">
        <f>IFERROR(__xludf.DUMMYFUNCTION("""COMPUTED_VALUE"""),0.1657552973342447)</f>
        <v>0.1657552973</v>
      </c>
      <c r="F69" s="5">
        <f>IFERROR(__xludf.DUMMYFUNCTION("""COMPUTED_VALUE"""),0.22795625427204375)</f>
        <v>0.2279562543</v>
      </c>
      <c r="G69" s="5">
        <f>IFERROR(__xludf.DUMMYFUNCTION("""COMPUTED_VALUE"""),0.17771701982228297)</f>
        <v>0.1777170198</v>
      </c>
      <c r="H69" s="5">
        <f>IFERROR(__xludf.DUMMYFUNCTION("""COMPUTED_VALUE"""),0.595952023988006)</f>
        <v>0.595952024</v>
      </c>
      <c r="I69" s="11">
        <f>IFERROR(__xludf.DUMMYFUNCTION("""COMPUTED_VALUE"""),5455.92203898051)</f>
        <v>5455.922039</v>
      </c>
      <c r="J69" s="10">
        <f>IFERROR(__xludf.DUMMYFUNCTION("""COMPUTED_VALUE"""),5.0)</f>
        <v>5</v>
      </c>
      <c r="K69" s="5">
        <f>IFERROR(__xludf.DUMMYFUNCTION("""COMPUTED_VALUE"""),0.009107468123861567)</f>
        <v>0.009107468124</v>
      </c>
      <c r="L69" s="10">
        <f>IFERROR(__xludf.DUMMYFUNCTION("""COMPUTED_VALUE"""),549.0)</f>
        <v>549</v>
      </c>
      <c r="M69" s="5">
        <f>IFERROR(__xludf.DUMMYFUNCTION("""COMPUTED_VALUE"""),1.0)</f>
        <v>1</v>
      </c>
    </row>
    <row r="70">
      <c r="A70" s="10" t="str">
        <f>IFERROR(__xludf.DUMMYFUNCTION("""COMPUTED_VALUE"""),"bante1")</f>
        <v>bante1</v>
      </c>
      <c r="B70" s="10">
        <f>IFERROR(__xludf.DUMMYFUNCTION("""COMPUTED_VALUE"""),163.0)</f>
        <v>163</v>
      </c>
      <c r="C70" s="10">
        <f>IFERROR(__xludf.DUMMYFUNCTION("""COMPUTED_VALUE"""),1931.0)</f>
        <v>1931</v>
      </c>
      <c r="D70" s="5">
        <f>IFERROR(__xludf.DUMMYFUNCTION("""COMPUTED_VALUE"""),0.39592760180995473)</f>
        <v>0.3959276018</v>
      </c>
      <c r="E70" s="5">
        <f>IFERROR(__xludf.DUMMYFUNCTION("""COMPUTED_VALUE"""),0.16572398190045248)</f>
        <v>0.1657239819</v>
      </c>
      <c r="F70" s="5">
        <f>IFERROR(__xludf.DUMMYFUNCTION("""COMPUTED_VALUE"""),0.2251131221719457)</f>
        <v>0.2251131222</v>
      </c>
      <c r="G70" s="5">
        <f>IFERROR(__xludf.DUMMYFUNCTION("""COMPUTED_VALUE"""),0.1346153846153846)</f>
        <v>0.1346153846</v>
      </c>
      <c r="H70" s="5">
        <f>IFERROR(__xludf.DUMMYFUNCTION("""COMPUTED_VALUE"""),0.5628140703517588)</f>
        <v>0.5628140704</v>
      </c>
      <c r="I70" s="11">
        <f>IFERROR(__xludf.DUMMYFUNCTION("""COMPUTED_VALUE"""),5290.70351758794)</f>
        <v>5290.703518</v>
      </c>
      <c r="J70" s="10">
        <f>IFERROR(__xludf.DUMMYFUNCTION("""COMPUTED_VALUE"""),0.0)</f>
        <v>0</v>
      </c>
      <c r="K70" s="5">
        <f>IFERROR(__xludf.DUMMYFUNCTION("""COMPUTED_VALUE"""),0.0)</f>
        <v>0</v>
      </c>
      <c r="L70" s="10">
        <f>IFERROR(__xludf.DUMMYFUNCTION("""COMPUTED_VALUE"""),163.0)</f>
        <v>163</v>
      </c>
      <c r="M70" s="5">
        <f>IFERROR(__xludf.DUMMYFUNCTION("""COMPUTED_VALUE"""),1.0)</f>
        <v>1</v>
      </c>
    </row>
    <row r="71">
      <c r="A71" s="10" t="str">
        <f>IFERROR(__xludf.DUMMYFUNCTION("""COMPUTED_VALUE"""),"★上海マスター★")</f>
        <v>★上海マスター★</v>
      </c>
      <c r="B71" s="10">
        <f>IFERROR(__xludf.DUMMYFUNCTION("""COMPUTED_VALUE"""),285.0)</f>
        <v>285</v>
      </c>
      <c r="C71" s="10">
        <f>IFERROR(__xludf.DUMMYFUNCTION("""COMPUTED_VALUE"""),3280.0)</f>
        <v>3280</v>
      </c>
      <c r="D71" s="5">
        <f>IFERROR(__xludf.DUMMYFUNCTION("""COMPUTED_VALUE"""),0.3986644407345576)</f>
        <v>0.3986644407</v>
      </c>
      <c r="E71" s="5">
        <f>IFERROR(__xludf.DUMMYFUNCTION("""COMPUTED_VALUE"""),0.1656093489148581)</f>
        <v>0.1656093489</v>
      </c>
      <c r="F71" s="5">
        <f>IFERROR(__xludf.DUMMYFUNCTION("""COMPUTED_VALUE"""),0.2367278797996661)</f>
        <v>0.2367278798</v>
      </c>
      <c r="G71" s="5">
        <f>IFERROR(__xludf.DUMMYFUNCTION("""COMPUTED_VALUE"""),0.1976627712854758)</f>
        <v>0.1976627713</v>
      </c>
      <c r="H71" s="5">
        <f>IFERROR(__xludf.DUMMYFUNCTION("""COMPUTED_VALUE"""),0.5811001410437235)</f>
        <v>0.581100141</v>
      </c>
      <c r="I71" s="11">
        <f>IFERROR(__xludf.DUMMYFUNCTION("""COMPUTED_VALUE"""),5354.442877291961)</f>
        <v>5354.442877</v>
      </c>
      <c r="J71" s="10">
        <f>IFERROR(__xludf.DUMMYFUNCTION("""COMPUTED_VALUE"""),0.0)</f>
        <v>0</v>
      </c>
      <c r="K71" s="5">
        <f>IFERROR(__xludf.DUMMYFUNCTION("""COMPUTED_VALUE"""),0.0)</f>
        <v>0</v>
      </c>
      <c r="L71" s="10">
        <f>IFERROR(__xludf.DUMMYFUNCTION("""COMPUTED_VALUE"""),285.0)</f>
        <v>285</v>
      </c>
      <c r="M71" s="5">
        <f>IFERROR(__xludf.DUMMYFUNCTION("""COMPUTED_VALUE"""),1.0)</f>
        <v>1</v>
      </c>
    </row>
    <row r="72">
      <c r="A72" s="10" t="str">
        <f>IFERROR(__xludf.DUMMYFUNCTION("""COMPUTED_VALUE"""),"Elgin123")</f>
        <v>Elgin123</v>
      </c>
      <c r="B72" s="10">
        <f>IFERROR(__xludf.DUMMYFUNCTION("""COMPUTED_VALUE"""),284.0)</f>
        <v>284</v>
      </c>
      <c r="C72" s="10">
        <f>IFERROR(__xludf.DUMMYFUNCTION("""COMPUTED_VALUE"""),3344.0)</f>
        <v>3344</v>
      </c>
      <c r="D72" s="5">
        <f>IFERROR(__xludf.DUMMYFUNCTION("""COMPUTED_VALUE"""),0.38562091503267976)</f>
        <v>0.385620915</v>
      </c>
      <c r="E72" s="5">
        <f>IFERROR(__xludf.DUMMYFUNCTION("""COMPUTED_VALUE"""),0.165359477124183)</f>
        <v>0.1653594771</v>
      </c>
      <c r="F72" s="5">
        <f>IFERROR(__xludf.DUMMYFUNCTION("""COMPUTED_VALUE"""),0.2284313725490196)</f>
        <v>0.2284313725</v>
      </c>
      <c r="G72" s="5">
        <f>IFERROR(__xludf.DUMMYFUNCTION("""COMPUTED_VALUE"""),0.21405228758169934)</f>
        <v>0.2140522876</v>
      </c>
      <c r="H72" s="5">
        <f>IFERROR(__xludf.DUMMYFUNCTION("""COMPUTED_VALUE"""),0.5894134477825465)</f>
        <v>0.5894134478</v>
      </c>
      <c r="I72" s="11">
        <f>IFERROR(__xludf.DUMMYFUNCTION("""COMPUTED_VALUE"""),5865.52217453505)</f>
        <v>5865.522175</v>
      </c>
      <c r="J72" s="10">
        <f>IFERROR(__xludf.DUMMYFUNCTION("""COMPUTED_VALUE"""),0.0)</f>
        <v>0</v>
      </c>
      <c r="K72" s="5">
        <f>IFERROR(__xludf.DUMMYFUNCTION("""COMPUTED_VALUE"""),0.0)</f>
        <v>0</v>
      </c>
      <c r="L72" s="10">
        <f>IFERROR(__xludf.DUMMYFUNCTION("""COMPUTED_VALUE"""),284.0)</f>
        <v>284</v>
      </c>
      <c r="M72" s="5">
        <f>IFERROR(__xludf.DUMMYFUNCTION("""COMPUTED_VALUE"""),1.0)</f>
        <v>1</v>
      </c>
    </row>
    <row r="73">
      <c r="A73" s="10" t="str">
        <f>IFERROR(__xludf.DUMMYFUNCTION("""COMPUTED_VALUE"""),"自來水@水貨軍團")</f>
        <v>自來水@水貨軍團</v>
      </c>
      <c r="B73" s="10">
        <f>IFERROR(__xludf.DUMMYFUNCTION("""COMPUTED_VALUE"""),146.0)</f>
        <v>146</v>
      </c>
      <c r="C73" s="10">
        <f>IFERROR(__xludf.DUMMYFUNCTION("""COMPUTED_VALUE"""),1646.0)</f>
        <v>1646</v>
      </c>
      <c r="D73" s="5">
        <f>IFERROR(__xludf.DUMMYFUNCTION("""COMPUTED_VALUE"""),0.408)</f>
        <v>0.408</v>
      </c>
      <c r="E73" s="5">
        <f>IFERROR(__xludf.DUMMYFUNCTION("""COMPUTED_VALUE"""),0.16533333333333333)</f>
        <v>0.1653333333</v>
      </c>
      <c r="F73" s="5">
        <f>IFERROR(__xludf.DUMMYFUNCTION("""COMPUTED_VALUE"""),0.232)</f>
        <v>0.232</v>
      </c>
      <c r="G73" s="5">
        <f>IFERROR(__xludf.DUMMYFUNCTION("""COMPUTED_VALUE"""),0.15466666666666667)</f>
        <v>0.1546666667</v>
      </c>
      <c r="H73" s="5">
        <f>IFERROR(__xludf.DUMMYFUNCTION("""COMPUTED_VALUE"""),0.6379310344827587)</f>
        <v>0.6379310345</v>
      </c>
      <c r="I73" s="11">
        <f>IFERROR(__xludf.DUMMYFUNCTION("""COMPUTED_VALUE"""),5863.505747126437)</f>
        <v>5863.505747</v>
      </c>
      <c r="J73" s="10">
        <f>IFERROR(__xludf.DUMMYFUNCTION("""COMPUTED_VALUE"""),1.0)</f>
        <v>1</v>
      </c>
      <c r="K73" s="5">
        <f>IFERROR(__xludf.DUMMYFUNCTION("""COMPUTED_VALUE"""),0.00684931506849315)</f>
        <v>0.006849315068</v>
      </c>
      <c r="L73" s="10">
        <f>IFERROR(__xludf.DUMMYFUNCTION("""COMPUTED_VALUE"""),146.0)</f>
        <v>146</v>
      </c>
      <c r="M73" s="5">
        <f>IFERROR(__xludf.DUMMYFUNCTION("""COMPUTED_VALUE"""),1.0)</f>
        <v>1</v>
      </c>
    </row>
    <row r="74">
      <c r="A74" s="10" t="str">
        <f>IFERROR(__xludf.DUMMYFUNCTION("""COMPUTED_VALUE"""),"L!VE")</f>
        <v>L!VE</v>
      </c>
      <c r="B74" s="10">
        <f>IFERROR(__xludf.DUMMYFUNCTION("""COMPUTED_VALUE"""),119.0)</f>
        <v>119</v>
      </c>
      <c r="C74" s="10">
        <f>IFERROR(__xludf.DUMMYFUNCTION("""COMPUTED_VALUE"""),1414.0)</f>
        <v>1414</v>
      </c>
      <c r="D74" s="5">
        <f>IFERROR(__xludf.DUMMYFUNCTION("""COMPUTED_VALUE"""),0.37065637065637064)</f>
        <v>0.3706563707</v>
      </c>
      <c r="E74" s="5">
        <f>IFERROR(__xludf.DUMMYFUNCTION("""COMPUTED_VALUE"""),0.16525096525096525)</f>
        <v>0.1652509653</v>
      </c>
      <c r="F74" s="5">
        <f>IFERROR(__xludf.DUMMYFUNCTION("""COMPUTED_VALUE"""),0.21235521235521235)</f>
        <v>0.2123552124</v>
      </c>
      <c r="G74" s="5">
        <f>IFERROR(__xludf.DUMMYFUNCTION("""COMPUTED_VALUE"""),0.1945945945945946)</f>
        <v>0.1945945946</v>
      </c>
      <c r="H74" s="5">
        <f>IFERROR(__xludf.DUMMYFUNCTION("""COMPUTED_VALUE"""),0.610909090909091)</f>
        <v>0.6109090909</v>
      </c>
      <c r="I74" s="11">
        <f>IFERROR(__xludf.DUMMYFUNCTION("""COMPUTED_VALUE"""),5578.181818181818)</f>
        <v>5578.181818</v>
      </c>
      <c r="J74" s="10">
        <f>IFERROR(__xludf.DUMMYFUNCTION("""COMPUTED_VALUE"""),0.0)</f>
        <v>0</v>
      </c>
      <c r="K74" s="5">
        <f>IFERROR(__xludf.DUMMYFUNCTION("""COMPUTED_VALUE"""),0.0)</f>
        <v>0</v>
      </c>
      <c r="L74" s="10">
        <f>IFERROR(__xludf.DUMMYFUNCTION("""COMPUTED_VALUE"""),119.0)</f>
        <v>119</v>
      </c>
      <c r="M74" s="5">
        <f>IFERROR(__xludf.DUMMYFUNCTION("""COMPUTED_VALUE"""),1.0)</f>
        <v>1</v>
      </c>
    </row>
    <row r="75">
      <c r="A75" s="10" t="str">
        <f>IFERROR(__xludf.DUMMYFUNCTION("""COMPUTED_VALUE"""),"地球委員長")</f>
        <v>地球委員長</v>
      </c>
      <c r="B75" s="10">
        <f>IFERROR(__xludf.DUMMYFUNCTION("""COMPUTED_VALUE"""),137.0)</f>
        <v>137</v>
      </c>
      <c r="C75" s="10">
        <f>IFERROR(__xludf.DUMMYFUNCTION("""COMPUTED_VALUE"""),1566.0)</f>
        <v>1566</v>
      </c>
      <c r="D75" s="5">
        <f>IFERROR(__xludf.DUMMYFUNCTION("""COMPUTED_VALUE"""),0.357592722183345)</f>
        <v>0.3575927222</v>
      </c>
      <c r="E75" s="5">
        <f>IFERROR(__xludf.DUMMYFUNCTION("""COMPUTED_VALUE"""),0.16515045486354094)</f>
        <v>0.1651504549</v>
      </c>
      <c r="F75" s="5">
        <f>IFERROR(__xludf.DUMMYFUNCTION("""COMPUTED_VALUE"""),0.21623512946116166)</f>
        <v>0.2162351295</v>
      </c>
      <c r="G75" s="5">
        <f>IFERROR(__xludf.DUMMYFUNCTION("""COMPUTED_VALUE"""),0.1630510846745976)</f>
        <v>0.1630510847</v>
      </c>
      <c r="H75" s="5">
        <f>IFERROR(__xludf.DUMMYFUNCTION("""COMPUTED_VALUE"""),0.5728155339805825)</f>
        <v>0.572815534</v>
      </c>
      <c r="I75" s="11">
        <f>IFERROR(__xludf.DUMMYFUNCTION("""COMPUTED_VALUE"""),5407.766990291262)</f>
        <v>5407.76699</v>
      </c>
      <c r="J75" s="10">
        <f>IFERROR(__xludf.DUMMYFUNCTION("""COMPUTED_VALUE"""),1.0)</f>
        <v>1</v>
      </c>
      <c r="K75" s="5">
        <f>IFERROR(__xludf.DUMMYFUNCTION("""COMPUTED_VALUE"""),0.0072992700729927005)</f>
        <v>0.007299270073</v>
      </c>
      <c r="L75" s="10">
        <f>IFERROR(__xludf.DUMMYFUNCTION("""COMPUTED_VALUE"""),137.0)</f>
        <v>137</v>
      </c>
      <c r="M75" s="5">
        <f>IFERROR(__xludf.DUMMYFUNCTION("""COMPUTED_VALUE"""),1.0)</f>
        <v>1</v>
      </c>
    </row>
    <row r="76">
      <c r="A76" s="10" t="str">
        <f>IFERROR(__xludf.DUMMYFUNCTION("""COMPUTED_VALUE"""),"進撃の巨人")</f>
        <v>進撃の巨人</v>
      </c>
      <c r="B76" s="10">
        <f>IFERROR(__xludf.DUMMYFUNCTION("""COMPUTED_VALUE"""),339.0)</f>
        <v>339</v>
      </c>
      <c r="C76" s="10">
        <f>IFERROR(__xludf.DUMMYFUNCTION("""COMPUTED_VALUE"""),3951.0)</f>
        <v>3951</v>
      </c>
      <c r="D76" s="5">
        <f>IFERROR(__xludf.DUMMYFUNCTION("""COMPUTED_VALUE"""),0.3062015503875969)</f>
        <v>0.3062015504</v>
      </c>
      <c r="E76" s="5">
        <f>IFERROR(__xludf.DUMMYFUNCTION("""COMPUTED_VALUE"""),0.16500553709856036)</f>
        <v>0.1650055371</v>
      </c>
      <c r="F76" s="5">
        <f>IFERROR(__xludf.DUMMYFUNCTION("""COMPUTED_VALUE"""),0.21816168327796234)</f>
        <v>0.2181616833</v>
      </c>
      <c r="G76" s="5">
        <f>IFERROR(__xludf.DUMMYFUNCTION("""COMPUTED_VALUE"""),0.18853820598006646)</f>
        <v>0.188538206</v>
      </c>
      <c r="H76" s="5">
        <f>IFERROR(__xludf.DUMMYFUNCTION("""COMPUTED_VALUE"""),0.5736040609137056)</f>
        <v>0.5736040609</v>
      </c>
      <c r="I76" s="11">
        <f>IFERROR(__xludf.DUMMYFUNCTION("""COMPUTED_VALUE"""),6026.1421319796955)</f>
        <v>6026.142132</v>
      </c>
      <c r="J76" s="10">
        <f>IFERROR(__xludf.DUMMYFUNCTION("""COMPUTED_VALUE"""),1.0)</f>
        <v>1</v>
      </c>
      <c r="K76" s="5">
        <f>IFERROR(__xludf.DUMMYFUNCTION("""COMPUTED_VALUE"""),0.0029498525073746312)</f>
        <v>0.002949852507</v>
      </c>
      <c r="L76" s="10">
        <f>IFERROR(__xludf.DUMMYFUNCTION("""COMPUTED_VALUE"""),339.0)</f>
        <v>339</v>
      </c>
      <c r="M76" s="5">
        <f>IFERROR(__xludf.DUMMYFUNCTION("""COMPUTED_VALUE"""),1.0)</f>
        <v>1</v>
      </c>
    </row>
    <row r="77">
      <c r="A77" s="10" t="str">
        <f>IFERROR(__xludf.DUMMYFUNCTION("""COMPUTED_VALUE"""),"matotin")</f>
        <v>matotin</v>
      </c>
      <c r="B77" s="10">
        <f>IFERROR(__xludf.DUMMYFUNCTION("""COMPUTED_VALUE"""),466.0)</f>
        <v>466</v>
      </c>
      <c r="C77" s="10">
        <f>IFERROR(__xludf.DUMMYFUNCTION("""COMPUTED_VALUE"""),5359.0)</f>
        <v>5359</v>
      </c>
      <c r="D77" s="5">
        <f>IFERROR(__xludf.DUMMYFUNCTION("""COMPUTED_VALUE"""),0.44206008583690987)</f>
        <v>0.4420600858</v>
      </c>
      <c r="E77" s="5">
        <f>IFERROR(__xludf.DUMMYFUNCTION("""COMPUTED_VALUE"""),0.1649294911097486)</f>
        <v>0.1649294911</v>
      </c>
      <c r="F77" s="5">
        <f>IFERROR(__xludf.DUMMYFUNCTION("""COMPUTED_VALUE"""),0.2305334150827713)</f>
        <v>0.2305334151</v>
      </c>
      <c r="G77" s="5">
        <f>IFERROR(__xludf.DUMMYFUNCTION("""COMPUTED_VALUE"""),0.17555691804618842)</f>
        <v>0.175556918</v>
      </c>
      <c r="H77" s="5">
        <f>IFERROR(__xludf.DUMMYFUNCTION("""COMPUTED_VALUE"""),0.6214539007092199)</f>
        <v>0.6214539007</v>
      </c>
      <c r="I77" s="11">
        <f>IFERROR(__xludf.DUMMYFUNCTION("""COMPUTED_VALUE"""),5308.599290780142)</f>
        <v>5308.599291</v>
      </c>
      <c r="J77" s="10">
        <f>IFERROR(__xludf.DUMMYFUNCTION("""COMPUTED_VALUE"""),2.0)</f>
        <v>2</v>
      </c>
      <c r="K77" s="5">
        <f>IFERROR(__xludf.DUMMYFUNCTION("""COMPUTED_VALUE"""),0.004291845493562232)</f>
        <v>0.004291845494</v>
      </c>
      <c r="L77" s="10">
        <f>IFERROR(__xludf.DUMMYFUNCTION("""COMPUTED_VALUE"""),466.0)</f>
        <v>466</v>
      </c>
      <c r="M77" s="5">
        <f>IFERROR(__xludf.DUMMYFUNCTION("""COMPUTED_VALUE"""),1.0)</f>
        <v>1</v>
      </c>
    </row>
    <row r="78">
      <c r="A78" s="10" t="str">
        <f>IFERROR(__xludf.DUMMYFUNCTION("""COMPUTED_VALUE"""),"ボヤッキー")</f>
        <v>ボヤッキー</v>
      </c>
      <c r="B78" s="10">
        <f>IFERROR(__xludf.DUMMYFUNCTION("""COMPUTED_VALUE"""),301.0)</f>
        <v>301</v>
      </c>
      <c r="C78" s="10">
        <f>IFERROR(__xludf.DUMMYFUNCTION("""COMPUTED_VALUE"""),3419.0)</f>
        <v>3419</v>
      </c>
      <c r="D78" s="5">
        <f>IFERROR(__xludf.DUMMYFUNCTION("""COMPUTED_VALUE"""),0.3104554201411161)</f>
        <v>0.3104554201</v>
      </c>
      <c r="E78" s="5">
        <f>IFERROR(__xludf.DUMMYFUNCTION("""COMPUTED_VALUE"""),0.16484926234765876)</f>
        <v>0.1648492623</v>
      </c>
      <c r="F78" s="5">
        <f>IFERROR(__xludf.DUMMYFUNCTION("""COMPUTED_VALUE"""),0.22193713919178962)</f>
        <v>0.2219371392</v>
      </c>
      <c r="G78" s="5">
        <f>IFERROR(__xludf.DUMMYFUNCTION("""COMPUTED_VALUE"""),0.19820397690827454)</f>
        <v>0.1982039769</v>
      </c>
      <c r="H78" s="5">
        <f>IFERROR(__xludf.DUMMYFUNCTION("""COMPUTED_VALUE"""),0.6257225433526011)</f>
        <v>0.6257225434</v>
      </c>
      <c r="I78" s="11">
        <f>IFERROR(__xludf.DUMMYFUNCTION("""COMPUTED_VALUE"""),5923.843930635838)</f>
        <v>5923.843931</v>
      </c>
      <c r="J78" s="10">
        <f>IFERROR(__xludf.DUMMYFUNCTION("""COMPUTED_VALUE"""),1.0)</f>
        <v>1</v>
      </c>
      <c r="K78" s="5">
        <f>IFERROR(__xludf.DUMMYFUNCTION("""COMPUTED_VALUE"""),0.0033222591362126247)</f>
        <v>0.003322259136</v>
      </c>
      <c r="L78" s="10">
        <f>IFERROR(__xludf.DUMMYFUNCTION("""COMPUTED_VALUE"""),301.0)</f>
        <v>301</v>
      </c>
      <c r="M78" s="5">
        <f>IFERROR(__xludf.DUMMYFUNCTION("""COMPUTED_VALUE"""),1.0)</f>
        <v>1</v>
      </c>
    </row>
    <row r="79">
      <c r="A79" s="10" t="str">
        <f>IFERROR(__xludf.DUMMYFUNCTION("""COMPUTED_VALUE"""),"lbird1")</f>
        <v>lbird1</v>
      </c>
      <c r="B79" s="10">
        <f>IFERROR(__xludf.DUMMYFUNCTION("""COMPUTED_VALUE"""),311.0)</f>
        <v>311</v>
      </c>
      <c r="C79" s="10">
        <f>IFERROR(__xludf.DUMMYFUNCTION("""COMPUTED_VALUE"""),3644.0)</f>
        <v>3644</v>
      </c>
      <c r="D79" s="5">
        <f>IFERROR(__xludf.DUMMYFUNCTION("""COMPUTED_VALUE"""),0.3195319531953195)</f>
        <v>0.3195319532</v>
      </c>
      <c r="E79" s="5">
        <f>IFERROR(__xludf.DUMMYFUNCTION("""COMPUTED_VALUE"""),0.16471647164716471)</f>
        <v>0.1647164716</v>
      </c>
      <c r="F79" s="5">
        <f>IFERROR(__xludf.DUMMYFUNCTION("""COMPUTED_VALUE"""),0.22142214221422143)</f>
        <v>0.2214221422</v>
      </c>
      <c r="G79" s="5">
        <f>IFERROR(__xludf.DUMMYFUNCTION("""COMPUTED_VALUE"""),0.162016201620162)</f>
        <v>0.1620162016</v>
      </c>
      <c r="H79" s="5">
        <f>IFERROR(__xludf.DUMMYFUNCTION("""COMPUTED_VALUE"""),0.5894308943089431)</f>
        <v>0.5894308943</v>
      </c>
      <c r="I79" s="11">
        <f>IFERROR(__xludf.DUMMYFUNCTION("""COMPUTED_VALUE"""),6059.078590785908)</f>
        <v>6059.078591</v>
      </c>
      <c r="J79" s="10">
        <f>IFERROR(__xludf.DUMMYFUNCTION("""COMPUTED_VALUE"""),2.0)</f>
        <v>2</v>
      </c>
      <c r="K79" s="5">
        <f>IFERROR(__xludf.DUMMYFUNCTION("""COMPUTED_VALUE"""),0.006430868167202572)</f>
        <v>0.006430868167</v>
      </c>
      <c r="L79" s="10">
        <f>IFERROR(__xludf.DUMMYFUNCTION("""COMPUTED_VALUE"""),311.0)</f>
        <v>311</v>
      </c>
      <c r="M79" s="5">
        <f>IFERROR(__xludf.DUMMYFUNCTION("""COMPUTED_VALUE"""),1.0)</f>
        <v>1</v>
      </c>
    </row>
    <row r="80">
      <c r="A80" s="10" t="str">
        <f>IFERROR(__xludf.DUMMYFUNCTION("""COMPUTED_VALUE"""),"TATSUO")</f>
        <v>TATSUO</v>
      </c>
      <c r="B80" s="10">
        <f>IFERROR(__xludf.DUMMYFUNCTION("""COMPUTED_VALUE"""),125.0)</f>
        <v>125</v>
      </c>
      <c r="C80" s="10">
        <f>IFERROR(__xludf.DUMMYFUNCTION("""COMPUTED_VALUE"""),1461.0)</f>
        <v>1461</v>
      </c>
      <c r="D80" s="5">
        <f>IFERROR(__xludf.DUMMYFUNCTION("""COMPUTED_VALUE"""),0.46182634730538924)</f>
        <v>0.4618263473</v>
      </c>
      <c r="E80" s="5">
        <f>IFERROR(__xludf.DUMMYFUNCTION("""COMPUTED_VALUE"""),0.16467065868263472)</f>
        <v>0.1646706587</v>
      </c>
      <c r="F80" s="5">
        <f>IFERROR(__xludf.DUMMYFUNCTION("""COMPUTED_VALUE"""),0.218562874251497)</f>
        <v>0.2185628743</v>
      </c>
      <c r="G80" s="5">
        <f>IFERROR(__xludf.DUMMYFUNCTION("""COMPUTED_VALUE"""),0.16991017964071856)</f>
        <v>0.1699101796</v>
      </c>
      <c r="H80" s="5">
        <f>IFERROR(__xludf.DUMMYFUNCTION("""COMPUTED_VALUE"""),0.6232876712328768)</f>
        <v>0.6232876712</v>
      </c>
      <c r="I80" s="11">
        <f>IFERROR(__xludf.DUMMYFUNCTION("""COMPUTED_VALUE"""),5246.575342465753)</f>
        <v>5246.575342</v>
      </c>
      <c r="J80" s="10">
        <f>IFERROR(__xludf.DUMMYFUNCTION("""COMPUTED_VALUE"""),1.0)</f>
        <v>1</v>
      </c>
      <c r="K80" s="5">
        <f>IFERROR(__xludf.DUMMYFUNCTION("""COMPUTED_VALUE"""),0.008)</f>
        <v>0.008</v>
      </c>
      <c r="L80" s="10">
        <f>IFERROR(__xludf.DUMMYFUNCTION("""COMPUTED_VALUE"""),125.0)</f>
        <v>125</v>
      </c>
      <c r="M80" s="5">
        <f>IFERROR(__xludf.DUMMYFUNCTION("""COMPUTED_VALUE"""),1.0)</f>
        <v>1</v>
      </c>
    </row>
    <row r="81">
      <c r="A81" s="10" t="str">
        <f>IFERROR(__xludf.DUMMYFUNCTION("""COMPUTED_VALUE"""),"うらしげる")</f>
        <v>うらしげる</v>
      </c>
      <c r="B81" s="10">
        <f>IFERROR(__xludf.DUMMYFUNCTION("""COMPUTED_VALUE"""),669.0)</f>
        <v>669</v>
      </c>
      <c r="C81" s="10">
        <f>IFERROR(__xludf.DUMMYFUNCTION("""COMPUTED_VALUE"""),7726.0)</f>
        <v>7726</v>
      </c>
      <c r="D81" s="5">
        <f>IFERROR(__xludf.DUMMYFUNCTION("""COMPUTED_VALUE"""),0.2965849511123707)</f>
        <v>0.2965849511</v>
      </c>
      <c r="E81" s="5">
        <f>IFERROR(__xludf.DUMMYFUNCTION("""COMPUTED_VALUE"""),0.1646592036276038)</f>
        <v>0.1646592036</v>
      </c>
      <c r="F81" s="5">
        <f>IFERROR(__xludf.DUMMYFUNCTION("""COMPUTED_VALUE"""),0.21609749185206178)</f>
        <v>0.2160974919</v>
      </c>
      <c r="G81" s="5">
        <f>IFERROR(__xludf.DUMMYFUNCTION("""COMPUTED_VALUE"""),0.18010486042227575)</f>
        <v>0.1801048604</v>
      </c>
      <c r="H81" s="5">
        <f>IFERROR(__xludf.DUMMYFUNCTION("""COMPUTED_VALUE"""),0.6177049180327869)</f>
        <v>0.617704918</v>
      </c>
      <c r="I81" s="11">
        <f>IFERROR(__xludf.DUMMYFUNCTION("""COMPUTED_VALUE"""),6332.065573770492)</f>
        <v>6332.065574</v>
      </c>
      <c r="J81" s="10">
        <f>IFERROR(__xludf.DUMMYFUNCTION("""COMPUTED_VALUE"""),3.0)</f>
        <v>3</v>
      </c>
      <c r="K81" s="5">
        <f>IFERROR(__xludf.DUMMYFUNCTION("""COMPUTED_VALUE"""),0.004484304932735426)</f>
        <v>0.004484304933</v>
      </c>
      <c r="L81" s="10">
        <f>IFERROR(__xludf.DUMMYFUNCTION("""COMPUTED_VALUE"""),669.0)</f>
        <v>669</v>
      </c>
      <c r="M81" s="5">
        <f>IFERROR(__xludf.DUMMYFUNCTION("""COMPUTED_VALUE"""),1.0)</f>
        <v>1</v>
      </c>
    </row>
    <row r="82">
      <c r="A82" s="10" t="str">
        <f>IFERROR(__xludf.DUMMYFUNCTION("""COMPUTED_VALUE"""),"cyber雀ゴロ")</f>
        <v>cyber雀ゴロ</v>
      </c>
      <c r="B82" s="10">
        <f>IFERROR(__xludf.DUMMYFUNCTION("""COMPUTED_VALUE"""),222.0)</f>
        <v>222</v>
      </c>
      <c r="C82" s="10">
        <f>IFERROR(__xludf.DUMMYFUNCTION("""COMPUTED_VALUE"""),2587.0)</f>
        <v>2587</v>
      </c>
      <c r="D82" s="5">
        <f>IFERROR(__xludf.DUMMYFUNCTION("""COMPUTED_VALUE"""),0.3120507399577167)</f>
        <v>0.31205074</v>
      </c>
      <c r="E82" s="5">
        <f>IFERROR(__xludf.DUMMYFUNCTION("""COMPUTED_VALUE"""),0.16448202959830865)</f>
        <v>0.1644820296</v>
      </c>
      <c r="F82" s="5">
        <f>IFERROR(__xludf.DUMMYFUNCTION("""COMPUTED_VALUE"""),0.24228329809725158)</f>
        <v>0.2422832981</v>
      </c>
      <c r="G82" s="5">
        <f>IFERROR(__xludf.DUMMYFUNCTION("""COMPUTED_VALUE"""),0.21099365750528543)</f>
        <v>0.2109936575</v>
      </c>
      <c r="H82" s="5">
        <f>IFERROR(__xludf.DUMMYFUNCTION("""COMPUTED_VALUE"""),0.6003490401396161)</f>
        <v>0.6003490401</v>
      </c>
      <c r="I82" s="11">
        <f>IFERROR(__xludf.DUMMYFUNCTION("""COMPUTED_VALUE"""),5937.870855148342)</f>
        <v>5937.870855</v>
      </c>
      <c r="J82" s="10">
        <f>IFERROR(__xludf.DUMMYFUNCTION("""COMPUTED_VALUE"""),2.0)</f>
        <v>2</v>
      </c>
      <c r="K82" s="5">
        <f>IFERROR(__xludf.DUMMYFUNCTION("""COMPUTED_VALUE"""),0.009009009009009009)</f>
        <v>0.009009009009</v>
      </c>
      <c r="L82" s="10">
        <f>IFERROR(__xludf.DUMMYFUNCTION("""COMPUTED_VALUE"""),222.0)</f>
        <v>222</v>
      </c>
      <c r="M82" s="5">
        <f>IFERROR(__xludf.DUMMYFUNCTION("""COMPUTED_VALUE"""),1.0)</f>
        <v>1</v>
      </c>
    </row>
    <row r="83">
      <c r="A83" s="10" t="str">
        <f>IFERROR(__xludf.DUMMYFUNCTION("""COMPUTED_VALUE"""),"小木曽雪菜")</f>
        <v>小木曽雪菜</v>
      </c>
      <c r="B83" s="10">
        <f>IFERROR(__xludf.DUMMYFUNCTION("""COMPUTED_VALUE"""),129.0)</f>
        <v>129</v>
      </c>
      <c r="C83" s="10">
        <f>IFERROR(__xludf.DUMMYFUNCTION("""COMPUTED_VALUE"""),1485.0)</f>
        <v>1485</v>
      </c>
      <c r="D83" s="5">
        <f>IFERROR(__xludf.DUMMYFUNCTION("""COMPUTED_VALUE"""),0.39601769911504425)</f>
        <v>0.3960176991</v>
      </c>
      <c r="E83" s="5">
        <f>IFERROR(__xludf.DUMMYFUNCTION("""COMPUTED_VALUE"""),0.16445427728613568)</f>
        <v>0.1644542773</v>
      </c>
      <c r="F83" s="5">
        <f>IFERROR(__xludf.DUMMYFUNCTION("""COMPUTED_VALUE"""),0.21238938053097345)</f>
        <v>0.2123893805</v>
      </c>
      <c r="G83" s="5">
        <f>IFERROR(__xludf.DUMMYFUNCTION("""COMPUTED_VALUE"""),0.17920353982300885)</f>
        <v>0.1792035398</v>
      </c>
      <c r="H83" s="5">
        <f>IFERROR(__xludf.DUMMYFUNCTION("""COMPUTED_VALUE"""),0.59375)</f>
        <v>0.59375</v>
      </c>
      <c r="I83" s="11">
        <f>IFERROR(__xludf.DUMMYFUNCTION("""COMPUTED_VALUE"""),5781.25)</f>
        <v>5781.25</v>
      </c>
      <c r="J83" s="10">
        <f>IFERROR(__xludf.DUMMYFUNCTION("""COMPUTED_VALUE"""),0.0)</f>
        <v>0</v>
      </c>
      <c r="K83" s="5">
        <f>IFERROR(__xludf.DUMMYFUNCTION("""COMPUTED_VALUE"""),0.0)</f>
        <v>0</v>
      </c>
      <c r="L83" s="10">
        <f>IFERROR(__xludf.DUMMYFUNCTION("""COMPUTED_VALUE"""),0.0)</f>
        <v>0</v>
      </c>
      <c r="M83" s="5">
        <f>IFERROR(__xludf.DUMMYFUNCTION("""COMPUTED_VALUE"""),0.0)</f>
        <v>0</v>
      </c>
    </row>
    <row r="84">
      <c r="A84" s="10" t="str">
        <f>IFERROR(__xludf.DUMMYFUNCTION("""COMPUTED_VALUE"""),"めんたんo")</f>
        <v>めんたんo</v>
      </c>
      <c r="B84" s="10">
        <f>IFERROR(__xludf.DUMMYFUNCTION("""COMPUTED_VALUE"""),254.0)</f>
        <v>254</v>
      </c>
      <c r="C84" s="10">
        <f>IFERROR(__xludf.DUMMYFUNCTION("""COMPUTED_VALUE"""),2938.0)</f>
        <v>2938</v>
      </c>
      <c r="D84" s="5">
        <f>IFERROR(__xludf.DUMMYFUNCTION("""COMPUTED_VALUE"""),0.36773472429210136)</f>
        <v>0.3677347243</v>
      </c>
      <c r="E84" s="5">
        <f>IFERROR(__xludf.DUMMYFUNCTION("""COMPUTED_VALUE"""),0.1643070044709389)</f>
        <v>0.1643070045</v>
      </c>
      <c r="F84" s="5">
        <f>IFERROR(__xludf.DUMMYFUNCTION("""COMPUTED_VALUE"""),0.21572280178837555)</f>
        <v>0.2157228018</v>
      </c>
      <c r="G84" s="5">
        <f>IFERROR(__xludf.DUMMYFUNCTION("""COMPUTED_VALUE"""),0.21162444113263784)</f>
        <v>0.2116244411</v>
      </c>
      <c r="H84" s="5">
        <f>IFERROR(__xludf.DUMMYFUNCTION("""COMPUTED_VALUE"""),0.6096718480138169)</f>
        <v>0.609671848</v>
      </c>
      <c r="I84" s="11">
        <f>IFERROR(__xludf.DUMMYFUNCTION("""COMPUTED_VALUE"""),6324.525043177893)</f>
        <v>6324.525043</v>
      </c>
      <c r="J84" s="10">
        <f>IFERROR(__xludf.DUMMYFUNCTION("""COMPUTED_VALUE"""),0.0)</f>
        <v>0</v>
      </c>
      <c r="K84" s="5">
        <f>IFERROR(__xludf.DUMMYFUNCTION("""COMPUTED_VALUE"""),0.0)</f>
        <v>0</v>
      </c>
      <c r="L84" s="10">
        <f>IFERROR(__xludf.DUMMYFUNCTION("""COMPUTED_VALUE"""),0.0)</f>
        <v>0</v>
      </c>
      <c r="M84" s="5">
        <f>IFERROR(__xludf.DUMMYFUNCTION("""COMPUTED_VALUE"""),0.0)</f>
        <v>0</v>
      </c>
    </row>
    <row r="85">
      <c r="A85" s="10" t="str">
        <f>IFERROR(__xludf.DUMMYFUNCTION("""COMPUTED_VALUE"""),"百物語")</f>
        <v>百物語</v>
      </c>
      <c r="B85" s="10">
        <f>IFERROR(__xludf.DUMMYFUNCTION("""COMPUTED_VALUE"""),557.0)</f>
        <v>557</v>
      </c>
      <c r="C85" s="10">
        <f>IFERROR(__xludf.DUMMYFUNCTION("""COMPUTED_VALUE"""),6384.0)</f>
        <v>6384</v>
      </c>
      <c r="D85" s="5">
        <f>IFERROR(__xludf.DUMMYFUNCTION("""COMPUTED_VALUE"""),0.3511240775699331)</f>
        <v>0.3511240776</v>
      </c>
      <c r="E85" s="5">
        <f>IFERROR(__xludf.DUMMYFUNCTION("""COMPUTED_VALUE"""),0.16423545563754935)</f>
        <v>0.1642354556</v>
      </c>
      <c r="F85" s="5">
        <f>IFERROR(__xludf.DUMMYFUNCTION("""COMPUTED_VALUE"""),0.22412905440192207)</f>
        <v>0.2241290544</v>
      </c>
      <c r="G85" s="5">
        <f>IFERROR(__xludf.DUMMYFUNCTION("""COMPUTED_VALUE"""),0.1577140895829758)</f>
        <v>0.1577140896</v>
      </c>
      <c r="H85" s="5">
        <f>IFERROR(__xludf.DUMMYFUNCTION("""COMPUTED_VALUE"""),0.6355283307810107)</f>
        <v>0.6355283308</v>
      </c>
      <c r="I85" s="11">
        <f>IFERROR(__xludf.DUMMYFUNCTION("""COMPUTED_VALUE"""),5755.972434915773)</f>
        <v>5755.972435</v>
      </c>
      <c r="J85" s="10">
        <f>IFERROR(__xludf.DUMMYFUNCTION("""COMPUTED_VALUE"""),1.0)</f>
        <v>1</v>
      </c>
      <c r="K85" s="5">
        <f>IFERROR(__xludf.DUMMYFUNCTION("""COMPUTED_VALUE"""),0.0017953321364452424)</f>
        <v>0.001795332136</v>
      </c>
      <c r="L85" s="10">
        <f>IFERROR(__xludf.DUMMYFUNCTION("""COMPUTED_VALUE"""),557.0)</f>
        <v>557</v>
      </c>
      <c r="M85" s="5">
        <f>IFERROR(__xludf.DUMMYFUNCTION("""COMPUTED_VALUE"""),1.0)</f>
        <v>1</v>
      </c>
    </row>
    <row r="86">
      <c r="A86" s="10" t="str">
        <f>IFERROR(__xludf.DUMMYFUNCTION("""COMPUTED_VALUE"""),"seisan")</f>
        <v>seisan</v>
      </c>
      <c r="B86" s="10">
        <f>IFERROR(__xludf.DUMMYFUNCTION("""COMPUTED_VALUE"""),106.0)</f>
        <v>106</v>
      </c>
      <c r="C86" s="10">
        <f>IFERROR(__xludf.DUMMYFUNCTION("""COMPUTED_VALUE"""),1253.0)</f>
        <v>1253</v>
      </c>
      <c r="D86" s="5">
        <f>IFERROR(__xludf.DUMMYFUNCTION("""COMPUTED_VALUE"""),0.25108979947689625)</f>
        <v>0.2510897995</v>
      </c>
      <c r="E86" s="5">
        <f>IFERROR(__xludf.DUMMYFUNCTION("""COMPUTED_VALUE"""),0.16390584132519617)</f>
        <v>0.1639058413</v>
      </c>
      <c r="F86" s="5">
        <f>IFERROR(__xludf.DUMMYFUNCTION("""COMPUTED_VALUE"""),0.2109851787271142)</f>
        <v>0.2109851787</v>
      </c>
      <c r="G86" s="5">
        <f>IFERROR(__xludf.DUMMYFUNCTION("""COMPUTED_VALUE"""),0.1900610287707062)</f>
        <v>0.1900610288</v>
      </c>
      <c r="H86" s="5">
        <f>IFERROR(__xludf.DUMMYFUNCTION("""COMPUTED_VALUE"""),0.5867768595041323)</f>
        <v>0.5867768595</v>
      </c>
      <c r="I86" s="11">
        <f>IFERROR(__xludf.DUMMYFUNCTION("""COMPUTED_VALUE"""),5423.140495867769)</f>
        <v>5423.140496</v>
      </c>
      <c r="J86" s="10">
        <f>IFERROR(__xludf.DUMMYFUNCTION("""COMPUTED_VALUE"""),0.0)</f>
        <v>0</v>
      </c>
      <c r="K86" s="5">
        <f>IFERROR(__xludf.DUMMYFUNCTION("""COMPUTED_VALUE"""),0.0)</f>
        <v>0</v>
      </c>
      <c r="L86" s="10">
        <f>IFERROR(__xludf.DUMMYFUNCTION("""COMPUTED_VALUE"""),106.0)</f>
        <v>106</v>
      </c>
      <c r="M86" s="5">
        <f>IFERROR(__xludf.DUMMYFUNCTION("""COMPUTED_VALUE"""),1.0)</f>
        <v>1</v>
      </c>
    </row>
    <row r="87">
      <c r="A87" s="10" t="str">
        <f>IFERROR(__xludf.DUMMYFUNCTION("""COMPUTED_VALUE"""),"温冷両用")</f>
        <v>温冷両用</v>
      </c>
      <c r="B87" s="10">
        <f>IFERROR(__xludf.DUMMYFUNCTION("""COMPUTED_VALUE"""),131.0)</f>
        <v>131</v>
      </c>
      <c r="C87" s="10">
        <f>IFERROR(__xludf.DUMMYFUNCTION("""COMPUTED_VALUE"""),1492.0)</f>
        <v>1492</v>
      </c>
      <c r="D87" s="5">
        <f>IFERROR(__xludf.DUMMYFUNCTION("""COMPUTED_VALUE"""),0.38354151359294636)</f>
        <v>0.3835415136</v>
      </c>
      <c r="E87" s="5">
        <f>IFERROR(__xludf.DUMMYFUNCTION("""COMPUTED_VALUE"""),0.16385011021307863)</f>
        <v>0.1638501102</v>
      </c>
      <c r="F87" s="5">
        <f>IFERROR(__xludf.DUMMYFUNCTION("""COMPUTED_VALUE"""),0.24834680382072005)</f>
        <v>0.2483468038</v>
      </c>
      <c r="G87" s="5">
        <f>IFERROR(__xludf.DUMMYFUNCTION("""COMPUTED_VALUE"""),0.17854518736223365)</f>
        <v>0.1785451874</v>
      </c>
      <c r="H87" s="5">
        <f>IFERROR(__xludf.DUMMYFUNCTION("""COMPUTED_VALUE"""),0.6183431952662722)</f>
        <v>0.6183431953</v>
      </c>
      <c r="I87" s="11">
        <f>IFERROR(__xludf.DUMMYFUNCTION("""COMPUTED_VALUE"""),5759.171597633136)</f>
        <v>5759.171598</v>
      </c>
      <c r="J87" s="10">
        <f>IFERROR(__xludf.DUMMYFUNCTION("""COMPUTED_VALUE"""),1.0)</f>
        <v>1</v>
      </c>
      <c r="K87" s="5">
        <f>IFERROR(__xludf.DUMMYFUNCTION("""COMPUTED_VALUE"""),0.007633587786259542)</f>
        <v>0.007633587786</v>
      </c>
      <c r="L87" s="10">
        <f>IFERROR(__xludf.DUMMYFUNCTION("""COMPUTED_VALUE"""),131.0)</f>
        <v>131</v>
      </c>
      <c r="M87" s="5">
        <f>IFERROR(__xludf.DUMMYFUNCTION("""COMPUTED_VALUE"""),1.0)</f>
        <v>1</v>
      </c>
    </row>
    <row r="88">
      <c r="A88" s="10" t="str">
        <f>IFERROR(__xludf.DUMMYFUNCTION("""COMPUTED_VALUE"""),"xxそば")</f>
        <v>xxそば</v>
      </c>
      <c r="B88" s="10">
        <f>IFERROR(__xludf.DUMMYFUNCTION("""COMPUTED_VALUE"""),183.0)</f>
        <v>183</v>
      </c>
      <c r="C88" s="10">
        <f>IFERROR(__xludf.DUMMYFUNCTION("""COMPUTED_VALUE"""),2107.0)</f>
        <v>2107</v>
      </c>
      <c r="D88" s="5">
        <f>IFERROR(__xludf.DUMMYFUNCTION("""COMPUTED_VALUE"""),0.3191268191268191)</f>
        <v>0.3191268191</v>
      </c>
      <c r="E88" s="5">
        <f>IFERROR(__xludf.DUMMYFUNCTION("""COMPUTED_VALUE"""),0.16372141372141372)</f>
        <v>0.1637214137</v>
      </c>
      <c r="F88" s="5">
        <f>IFERROR(__xludf.DUMMYFUNCTION("""COMPUTED_VALUE"""),0.19854469854469856)</f>
        <v>0.1985446985</v>
      </c>
      <c r="G88" s="5">
        <f>IFERROR(__xludf.DUMMYFUNCTION("""COMPUTED_VALUE"""),0.2104989604989605)</f>
        <v>0.2104989605</v>
      </c>
      <c r="H88" s="5">
        <f>IFERROR(__xludf.DUMMYFUNCTION("""COMPUTED_VALUE"""),0.5497382198952879)</f>
        <v>0.5497382199</v>
      </c>
      <c r="I88" s="11">
        <f>IFERROR(__xludf.DUMMYFUNCTION("""COMPUTED_VALUE"""),6091.09947643979)</f>
        <v>6091.099476</v>
      </c>
      <c r="J88" s="10">
        <f>IFERROR(__xludf.DUMMYFUNCTION("""COMPUTED_VALUE"""),0.0)</f>
        <v>0</v>
      </c>
      <c r="K88" s="5">
        <f>IFERROR(__xludf.DUMMYFUNCTION("""COMPUTED_VALUE"""),0.0)</f>
        <v>0</v>
      </c>
      <c r="L88" s="10">
        <f>IFERROR(__xludf.DUMMYFUNCTION("""COMPUTED_VALUE"""),183.0)</f>
        <v>183</v>
      </c>
      <c r="M88" s="5">
        <f>IFERROR(__xludf.DUMMYFUNCTION("""COMPUTED_VALUE"""),1.0)</f>
        <v>1</v>
      </c>
    </row>
    <row r="89">
      <c r="A89" s="10" t="str">
        <f>IFERROR(__xludf.DUMMYFUNCTION("""COMPUTED_VALUE"""),"kai-kun")</f>
        <v>kai-kun</v>
      </c>
      <c r="B89" s="10">
        <f>IFERROR(__xludf.DUMMYFUNCTION("""COMPUTED_VALUE"""),162.0)</f>
        <v>162</v>
      </c>
      <c r="C89" s="10">
        <f>IFERROR(__xludf.DUMMYFUNCTION("""COMPUTED_VALUE"""),1909.0)</f>
        <v>1909</v>
      </c>
      <c r="D89" s="5">
        <f>IFERROR(__xludf.DUMMYFUNCTION("""COMPUTED_VALUE"""),0.3594733829421866)</f>
        <v>0.3594733829</v>
      </c>
      <c r="E89" s="5">
        <f>IFERROR(__xludf.DUMMYFUNCTION("""COMPUTED_VALUE"""),0.16370921579851175)</f>
        <v>0.1637092158</v>
      </c>
      <c r="F89" s="5">
        <f>IFERROR(__xludf.DUMMYFUNCTION("""COMPUTED_VALUE"""),0.20721236405266172)</f>
        <v>0.2072123641</v>
      </c>
      <c r="G89" s="5">
        <f>IFERROR(__xludf.DUMMYFUNCTION("""COMPUTED_VALUE"""),0.18202633085289066)</f>
        <v>0.1820263309</v>
      </c>
      <c r="H89" s="5">
        <f>IFERROR(__xludf.DUMMYFUNCTION("""COMPUTED_VALUE"""),0.5552486187845304)</f>
        <v>0.5552486188</v>
      </c>
      <c r="I89" s="11">
        <f>IFERROR(__xludf.DUMMYFUNCTION("""COMPUTED_VALUE"""),5841.712707182321)</f>
        <v>5841.712707</v>
      </c>
      <c r="J89" s="10">
        <f>IFERROR(__xludf.DUMMYFUNCTION("""COMPUTED_VALUE"""),0.0)</f>
        <v>0</v>
      </c>
      <c r="K89" s="5">
        <f>IFERROR(__xludf.DUMMYFUNCTION("""COMPUTED_VALUE"""),0.0)</f>
        <v>0</v>
      </c>
      <c r="L89" s="10">
        <f>IFERROR(__xludf.DUMMYFUNCTION("""COMPUTED_VALUE"""),162.0)</f>
        <v>162</v>
      </c>
      <c r="M89" s="5">
        <f>IFERROR(__xludf.DUMMYFUNCTION("""COMPUTED_VALUE"""),1.0)</f>
        <v>1</v>
      </c>
    </row>
    <row r="90">
      <c r="A90" s="10" t="str">
        <f>IFERROR(__xludf.DUMMYFUNCTION("""COMPUTED_VALUE"""),"オガノルート")</f>
        <v>オガノルート</v>
      </c>
      <c r="B90" s="10">
        <f>IFERROR(__xludf.DUMMYFUNCTION("""COMPUTED_VALUE"""),1159.0)</f>
        <v>1159</v>
      </c>
      <c r="C90" s="10">
        <f>IFERROR(__xludf.DUMMYFUNCTION("""COMPUTED_VALUE"""),13371.0)</f>
        <v>13371</v>
      </c>
      <c r="D90" s="5">
        <f>IFERROR(__xludf.DUMMYFUNCTION("""COMPUTED_VALUE"""),0.40411071077628563)</f>
        <v>0.4041107108</v>
      </c>
      <c r="E90" s="5">
        <f>IFERROR(__xludf.DUMMYFUNCTION("""COMPUTED_VALUE"""),0.16344579102522108)</f>
        <v>0.163445791</v>
      </c>
      <c r="F90" s="5">
        <f>IFERROR(__xludf.DUMMYFUNCTION("""COMPUTED_VALUE"""),0.22920078611202097)</f>
        <v>0.2292007861</v>
      </c>
      <c r="G90" s="5">
        <f>IFERROR(__xludf.DUMMYFUNCTION("""COMPUTED_VALUE"""),0.13511300360301343)</f>
        <v>0.1351130036</v>
      </c>
      <c r="H90" s="5">
        <f>IFERROR(__xludf.DUMMYFUNCTION("""COMPUTED_VALUE"""),0.6120042872454448)</f>
        <v>0.6120042872</v>
      </c>
      <c r="I90" s="11">
        <f>IFERROR(__xludf.DUMMYFUNCTION("""COMPUTED_VALUE"""),5280.993211861379)</f>
        <v>5280.993212</v>
      </c>
      <c r="J90" s="10">
        <f>IFERROR(__xludf.DUMMYFUNCTION("""COMPUTED_VALUE"""),5.0)</f>
        <v>5</v>
      </c>
      <c r="K90" s="5">
        <f>IFERROR(__xludf.DUMMYFUNCTION("""COMPUTED_VALUE"""),0.004314063848144953)</f>
        <v>0.004314063848</v>
      </c>
      <c r="L90" s="10">
        <f>IFERROR(__xludf.DUMMYFUNCTION("""COMPUTED_VALUE"""),1159.0)</f>
        <v>1159</v>
      </c>
      <c r="M90" s="5">
        <f>IFERROR(__xludf.DUMMYFUNCTION("""COMPUTED_VALUE"""),1.0)</f>
        <v>1</v>
      </c>
    </row>
    <row r="91">
      <c r="A91" s="10" t="str">
        <f>IFERROR(__xludf.DUMMYFUNCTION("""COMPUTED_VALUE"""),"TSUBASA")</f>
        <v>TSUBASA</v>
      </c>
      <c r="B91" s="10">
        <f>IFERROR(__xludf.DUMMYFUNCTION("""COMPUTED_VALUE"""),357.0)</f>
        <v>357</v>
      </c>
      <c r="C91" s="10">
        <f>IFERROR(__xludf.DUMMYFUNCTION("""COMPUTED_VALUE"""),4108.0)</f>
        <v>4108</v>
      </c>
      <c r="D91" s="5">
        <f>IFERROR(__xludf.DUMMYFUNCTION("""COMPUTED_VALUE"""),0.30498533724340177)</f>
        <v>0.3049853372</v>
      </c>
      <c r="E91" s="5">
        <f>IFERROR(__xludf.DUMMYFUNCTION("""COMPUTED_VALUE"""),0.1631564916022394)</f>
        <v>0.1631564916</v>
      </c>
      <c r="F91" s="5">
        <f>IFERROR(__xludf.DUMMYFUNCTION("""COMPUTED_VALUE"""),0.20554518794988003)</f>
        <v>0.2055451879</v>
      </c>
      <c r="G91" s="5">
        <f>IFERROR(__xludf.DUMMYFUNCTION("""COMPUTED_VALUE"""),0.1834177552652626)</f>
        <v>0.1834177553</v>
      </c>
      <c r="H91" s="5">
        <f>IFERROR(__xludf.DUMMYFUNCTION("""COMPUTED_VALUE"""),0.6251621271076524)</f>
        <v>0.6251621271</v>
      </c>
      <c r="I91" s="11">
        <f>IFERROR(__xludf.DUMMYFUNCTION("""COMPUTED_VALUE"""),6089.494163424125)</f>
        <v>6089.494163</v>
      </c>
      <c r="J91" s="10">
        <f>IFERROR(__xludf.DUMMYFUNCTION("""COMPUTED_VALUE"""),1.0)</f>
        <v>1</v>
      </c>
      <c r="K91" s="5">
        <f>IFERROR(__xludf.DUMMYFUNCTION("""COMPUTED_VALUE"""),0.0028011204481792717)</f>
        <v>0.002801120448</v>
      </c>
      <c r="L91" s="10">
        <f>IFERROR(__xludf.DUMMYFUNCTION("""COMPUTED_VALUE"""),357.0)</f>
        <v>357</v>
      </c>
      <c r="M91" s="5">
        <f>IFERROR(__xludf.DUMMYFUNCTION("""COMPUTED_VALUE"""),1.0)</f>
        <v>1</v>
      </c>
    </row>
    <row r="92">
      <c r="A92" s="10" t="str">
        <f>IFERROR(__xludf.DUMMYFUNCTION("""COMPUTED_VALUE"""),"雀の証明")</f>
        <v>雀の証明</v>
      </c>
      <c r="B92" s="10">
        <f>IFERROR(__xludf.DUMMYFUNCTION("""COMPUTED_VALUE"""),162.0)</f>
        <v>162</v>
      </c>
      <c r="C92" s="10">
        <f>IFERROR(__xludf.DUMMYFUNCTION("""COMPUTED_VALUE"""),1940.0)</f>
        <v>1940</v>
      </c>
      <c r="D92" s="5">
        <f>IFERROR(__xludf.DUMMYFUNCTION("""COMPUTED_VALUE"""),0.3110236220472441)</f>
        <v>0.311023622</v>
      </c>
      <c r="E92" s="5">
        <f>IFERROR(__xludf.DUMMYFUNCTION("""COMPUTED_VALUE"""),0.16310461192350956)</f>
        <v>0.1631046119</v>
      </c>
      <c r="F92" s="5">
        <f>IFERROR(__xludf.DUMMYFUNCTION("""COMPUTED_VALUE"""),0.21991001124859394)</f>
        <v>0.2199100112</v>
      </c>
      <c r="G92" s="5">
        <f>IFERROR(__xludf.DUMMYFUNCTION("""COMPUTED_VALUE"""),0.19122609673790777)</f>
        <v>0.1912260967</v>
      </c>
      <c r="H92" s="5">
        <f>IFERROR(__xludf.DUMMYFUNCTION("""COMPUTED_VALUE"""),0.6138107416879796)</f>
        <v>0.6138107417</v>
      </c>
      <c r="I92" s="11">
        <f>IFERROR(__xludf.DUMMYFUNCTION("""COMPUTED_VALUE"""),5969.0537084398975)</f>
        <v>5969.053708</v>
      </c>
      <c r="J92" s="10">
        <f>IFERROR(__xludf.DUMMYFUNCTION("""COMPUTED_VALUE"""),0.0)</f>
        <v>0</v>
      </c>
      <c r="K92" s="5">
        <f>IFERROR(__xludf.DUMMYFUNCTION("""COMPUTED_VALUE"""),0.0)</f>
        <v>0</v>
      </c>
      <c r="L92" s="10">
        <f>IFERROR(__xludf.DUMMYFUNCTION("""COMPUTED_VALUE"""),162.0)</f>
        <v>162</v>
      </c>
      <c r="M92" s="5">
        <f>IFERROR(__xludf.DUMMYFUNCTION("""COMPUTED_VALUE"""),1.0)</f>
        <v>1</v>
      </c>
    </row>
    <row r="93">
      <c r="A93" s="10" t="str">
        <f>IFERROR(__xludf.DUMMYFUNCTION("""COMPUTED_VALUE"""),"Hockey22")</f>
        <v>Hockey22</v>
      </c>
      <c r="B93" s="10">
        <f>IFERROR(__xludf.DUMMYFUNCTION("""COMPUTED_VALUE"""),161.0)</f>
        <v>161</v>
      </c>
      <c r="C93" s="10">
        <f>IFERROR(__xludf.DUMMYFUNCTION("""COMPUTED_VALUE"""),1849.0)</f>
        <v>1849</v>
      </c>
      <c r="D93" s="5">
        <f>IFERROR(__xludf.DUMMYFUNCTION("""COMPUTED_VALUE"""),0.39514218009478674)</f>
        <v>0.3951421801</v>
      </c>
      <c r="E93" s="5">
        <f>IFERROR(__xludf.DUMMYFUNCTION("""COMPUTED_VALUE"""),0.16291469194312796)</f>
        <v>0.1629146919</v>
      </c>
      <c r="F93" s="5">
        <f>IFERROR(__xludf.DUMMYFUNCTION("""COMPUTED_VALUE"""),0.22274881516587677)</f>
        <v>0.2227488152</v>
      </c>
      <c r="G93" s="5">
        <f>IFERROR(__xludf.DUMMYFUNCTION("""COMPUTED_VALUE"""),0.15343601895734596)</f>
        <v>0.153436019</v>
      </c>
      <c r="H93" s="5">
        <f>IFERROR(__xludf.DUMMYFUNCTION("""COMPUTED_VALUE"""),0.5797872340425532)</f>
        <v>0.579787234</v>
      </c>
      <c r="I93" s="11">
        <f>IFERROR(__xludf.DUMMYFUNCTION("""COMPUTED_VALUE"""),5447.606382978724)</f>
        <v>5447.606383</v>
      </c>
      <c r="J93" s="10">
        <f>IFERROR(__xludf.DUMMYFUNCTION("""COMPUTED_VALUE"""),0.0)</f>
        <v>0</v>
      </c>
      <c r="K93" s="5">
        <f>IFERROR(__xludf.DUMMYFUNCTION("""COMPUTED_VALUE"""),0.0)</f>
        <v>0</v>
      </c>
      <c r="L93" s="10">
        <f>IFERROR(__xludf.DUMMYFUNCTION("""COMPUTED_VALUE"""),0.0)</f>
        <v>0</v>
      </c>
      <c r="M93" s="5">
        <f>IFERROR(__xludf.DUMMYFUNCTION("""COMPUTED_VALUE"""),0.0)</f>
        <v>0</v>
      </c>
    </row>
    <row r="94">
      <c r="A94" s="10" t="str">
        <f>IFERROR(__xludf.DUMMYFUNCTION("""COMPUTED_VALUE"""),"TEMp")</f>
        <v>TEMp</v>
      </c>
      <c r="B94" s="10">
        <f>IFERROR(__xludf.DUMMYFUNCTION("""COMPUTED_VALUE"""),205.0)</f>
        <v>205</v>
      </c>
      <c r="C94" s="10">
        <f>IFERROR(__xludf.DUMMYFUNCTION("""COMPUTED_VALUE"""),2342.0)</f>
        <v>2342</v>
      </c>
      <c r="D94" s="5">
        <f>IFERROR(__xludf.DUMMYFUNCTION("""COMPUTED_VALUE"""),0.4384651380439869)</f>
        <v>0.438465138</v>
      </c>
      <c r="E94" s="5">
        <f>IFERROR(__xludf.DUMMYFUNCTION("""COMPUTED_VALUE"""),0.1628451099672438)</f>
        <v>0.16284511</v>
      </c>
      <c r="F94" s="5">
        <f>IFERROR(__xludf.DUMMYFUNCTION("""COMPUTED_VALUE"""),0.22508189050070193)</f>
        <v>0.2250818905</v>
      </c>
      <c r="G94" s="5">
        <f>IFERROR(__xludf.DUMMYFUNCTION("""COMPUTED_VALUE"""),0.19513336452971455)</f>
        <v>0.1951333645</v>
      </c>
      <c r="H94" s="5">
        <f>IFERROR(__xludf.DUMMYFUNCTION("""COMPUTED_VALUE"""),0.5883575883575883)</f>
        <v>0.5883575884</v>
      </c>
      <c r="I94" s="11">
        <f>IFERROR(__xludf.DUMMYFUNCTION("""COMPUTED_VALUE"""),5602.079002079002)</f>
        <v>5602.079002</v>
      </c>
      <c r="J94" s="10">
        <f>IFERROR(__xludf.DUMMYFUNCTION("""COMPUTED_VALUE"""),1.0)</f>
        <v>1</v>
      </c>
      <c r="K94" s="5">
        <f>IFERROR(__xludf.DUMMYFUNCTION("""COMPUTED_VALUE"""),0.004878048780487805)</f>
        <v>0.00487804878</v>
      </c>
      <c r="L94" s="10">
        <f>IFERROR(__xludf.DUMMYFUNCTION("""COMPUTED_VALUE"""),205.0)</f>
        <v>205</v>
      </c>
      <c r="M94" s="5">
        <f>IFERROR(__xludf.DUMMYFUNCTION("""COMPUTED_VALUE"""),1.0)</f>
        <v>1</v>
      </c>
    </row>
    <row r="95">
      <c r="A95" s="10" t="str">
        <f>IFERROR(__xludf.DUMMYFUNCTION("""COMPUTED_VALUE"""),"新ゆちゅ太郎")</f>
        <v>新ゆちゅ太郎</v>
      </c>
      <c r="B95" s="10">
        <f>IFERROR(__xludf.DUMMYFUNCTION("""COMPUTED_VALUE"""),107.0)</f>
        <v>107</v>
      </c>
      <c r="C95" s="10">
        <f>IFERROR(__xludf.DUMMYFUNCTION("""COMPUTED_VALUE"""),1274.0)</f>
        <v>1274</v>
      </c>
      <c r="D95" s="5">
        <f>IFERROR(__xludf.DUMMYFUNCTION("""COMPUTED_VALUE"""),0.22707797772065125)</f>
        <v>0.2270779777</v>
      </c>
      <c r="E95" s="5">
        <f>IFERROR(__xludf.DUMMYFUNCTION("""COMPUTED_VALUE"""),0.16281062553556128)</f>
        <v>0.1628106255</v>
      </c>
      <c r="F95" s="5">
        <f>IFERROR(__xludf.DUMMYFUNCTION("""COMPUTED_VALUE"""),0.20394173093401885)</f>
        <v>0.2039417309</v>
      </c>
      <c r="G95" s="5">
        <f>IFERROR(__xludf.DUMMYFUNCTION("""COMPUTED_VALUE"""),0.2159383033419023)</f>
        <v>0.2159383033</v>
      </c>
      <c r="H95" s="5">
        <f>IFERROR(__xludf.DUMMYFUNCTION("""COMPUTED_VALUE"""),0.6092436974789915)</f>
        <v>0.6092436975</v>
      </c>
      <c r="I95" s="11">
        <f>IFERROR(__xludf.DUMMYFUNCTION("""COMPUTED_VALUE"""),5956.72268907563)</f>
        <v>5956.722689</v>
      </c>
      <c r="J95" s="10">
        <f>IFERROR(__xludf.DUMMYFUNCTION("""COMPUTED_VALUE"""),0.0)</f>
        <v>0</v>
      </c>
      <c r="K95" s="5">
        <f>IFERROR(__xludf.DUMMYFUNCTION("""COMPUTED_VALUE"""),0.0)</f>
        <v>0</v>
      </c>
      <c r="L95" s="10">
        <f>IFERROR(__xludf.DUMMYFUNCTION("""COMPUTED_VALUE"""),107.0)</f>
        <v>107</v>
      </c>
      <c r="M95" s="5">
        <f>IFERROR(__xludf.DUMMYFUNCTION("""COMPUTED_VALUE"""),1.0)</f>
        <v>1</v>
      </c>
    </row>
    <row r="96">
      <c r="A96" s="10" t="str">
        <f>IFERROR(__xludf.DUMMYFUNCTION("""COMPUTED_VALUE"""),"木の魔女")</f>
        <v>木の魔女</v>
      </c>
      <c r="B96" s="10">
        <f>IFERROR(__xludf.DUMMYFUNCTION("""COMPUTED_VALUE"""),166.0)</f>
        <v>166</v>
      </c>
      <c r="C96" s="10">
        <f>IFERROR(__xludf.DUMMYFUNCTION("""COMPUTED_VALUE"""),1979.0)</f>
        <v>1979</v>
      </c>
      <c r="D96" s="5">
        <f>IFERROR(__xludf.DUMMYFUNCTION("""COMPUTED_VALUE"""),0.3154991726420298)</f>
        <v>0.3154991726</v>
      </c>
      <c r="E96" s="5">
        <f>IFERROR(__xludf.DUMMYFUNCTION("""COMPUTED_VALUE"""),0.16271373414230558)</f>
        <v>0.1627137341</v>
      </c>
      <c r="F96" s="5">
        <f>IFERROR(__xludf.DUMMYFUNCTION("""COMPUTED_VALUE"""),0.20187534473248758)</f>
        <v>0.2018753447</v>
      </c>
      <c r="G96" s="5">
        <f>IFERROR(__xludf.DUMMYFUNCTION("""COMPUTED_VALUE"""),0.14726971869829011)</f>
        <v>0.1472697187</v>
      </c>
      <c r="H96" s="5">
        <f>IFERROR(__xludf.DUMMYFUNCTION("""COMPUTED_VALUE"""),0.5683060109289617)</f>
        <v>0.5683060109</v>
      </c>
      <c r="I96" s="11">
        <f>IFERROR(__xludf.DUMMYFUNCTION("""COMPUTED_VALUE"""),5748.907103825137)</f>
        <v>5748.907104</v>
      </c>
      <c r="J96" s="10">
        <f>IFERROR(__xludf.DUMMYFUNCTION("""COMPUTED_VALUE"""),0.0)</f>
        <v>0</v>
      </c>
      <c r="K96" s="5">
        <f>IFERROR(__xludf.DUMMYFUNCTION("""COMPUTED_VALUE"""),0.0)</f>
        <v>0</v>
      </c>
      <c r="L96" s="10">
        <f>IFERROR(__xludf.DUMMYFUNCTION("""COMPUTED_VALUE"""),0.0)</f>
        <v>0</v>
      </c>
      <c r="M96" s="5">
        <f>IFERROR(__xludf.DUMMYFUNCTION("""COMPUTED_VALUE"""),0.0)</f>
        <v>0</v>
      </c>
    </row>
    <row r="97">
      <c r="A97" s="10" t="str">
        <f>IFERROR(__xludf.DUMMYFUNCTION("""COMPUTED_VALUE"""),"レ・ブルー")</f>
        <v>レ・ブルー</v>
      </c>
      <c r="B97" s="10">
        <f>IFERROR(__xludf.DUMMYFUNCTION("""COMPUTED_VALUE"""),165.0)</f>
        <v>165</v>
      </c>
      <c r="C97" s="10">
        <f>IFERROR(__xludf.DUMMYFUNCTION("""COMPUTED_VALUE"""),1923.0)</f>
        <v>1923</v>
      </c>
      <c r="D97" s="5">
        <f>IFERROR(__xludf.DUMMYFUNCTION("""COMPUTED_VALUE"""),0.35267349260523323)</f>
        <v>0.3526734926</v>
      </c>
      <c r="E97" s="5">
        <f>IFERROR(__xludf.DUMMYFUNCTION("""COMPUTED_VALUE"""),0.1626848691695108)</f>
        <v>0.1626848692</v>
      </c>
      <c r="F97" s="5">
        <f>IFERROR(__xludf.DUMMYFUNCTION("""COMPUTED_VALUE"""),0.21729237770193402)</f>
        <v>0.2172923777</v>
      </c>
      <c r="G97" s="5">
        <f>IFERROR(__xludf.DUMMYFUNCTION("""COMPUTED_VALUE"""),0.15927189988623436)</f>
        <v>0.1592718999</v>
      </c>
      <c r="H97" s="5">
        <f>IFERROR(__xludf.DUMMYFUNCTION("""COMPUTED_VALUE"""),0.6282722513089005)</f>
        <v>0.6282722513</v>
      </c>
      <c r="I97" s="11">
        <f>IFERROR(__xludf.DUMMYFUNCTION("""COMPUTED_VALUE"""),5361.2565445026175)</f>
        <v>5361.256545</v>
      </c>
      <c r="J97" s="10">
        <f>IFERROR(__xludf.DUMMYFUNCTION("""COMPUTED_VALUE"""),0.0)</f>
        <v>0</v>
      </c>
      <c r="K97" s="5">
        <f>IFERROR(__xludf.DUMMYFUNCTION("""COMPUTED_VALUE"""),0.0)</f>
        <v>0</v>
      </c>
      <c r="L97" s="10">
        <f>IFERROR(__xludf.DUMMYFUNCTION("""COMPUTED_VALUE"""),165.0)</f>
        <v>165</v>
      </c>
      <c r="M97" s="5">
        <f>IFERROR(__xludf.DUMMYFUNCTION("""COMPUTED_VALUE"""),1.0)</f>
        <v>1</v>
      </c>
    </row>
    <row r="98">
      <c r="A98" s="10" t="str">
        <f>IFERROR(__xludf.DUMMYFUNCTION("""COMPUTED_VALUE"""),"MIKO")</f>
        <v>MIKO</v>
      </c>
      <c r="B98" s="10">
        <f>IFERROR(__xludf.DUMMYFUNCTION("""COMPUTED_VALUE"""),258.0)</f>
        <v>258</v>
      </c>
      <c r="C98" s="10">
        <f>IFERROR(__xludf.DUMMYFUNCTION("""COMPUTED_VALUE"""),2933.0)</f>
        <v>2933</v>
      </c>
      <c r="D98" s="5">
        <f>IFERROR(__xludf.DUMMYFUNCTION("""COMPUTED_VALUE"""),0.3405607476635514)</f>
        <v>0.3405607477</v>
      </c>
      <c r="E98" s="5">
        <f>IFERROR(__xludf.DUMMYFUNCTION("""COMPUTED_VALUE"""),0.16261682242990655)</f>
        <v>0.1626168224</v>
      </c>
      <c r="F98" s="5">
        <f>IFERROR(__xludf.DUMMYFUNCTION("""COMPUTED_VALUE"""),0.21046728971962617)</f>
        <v>0.2104672897</v>
      </c>
      <c r="G98" s="5">
        <f>IFERROR(__xludf.DUMMYFUNCTION("""COMPUTED_VALUE"""),0.1977570093457944)</f>
        <v>0.1977570093</v>
      </c>
      <c r="H98" s="5">
        <f>IFERROR(__xludf.DUMMYFUNCTION("""COMPUTED_VALUE"""),0.6092362344582594)</f>
        <v>0.6092362345</v>
      </c>
      <c r="I98" s="11">
        <f>IFERROR(__xludf.DUMMYFUNCTION("""COMPUTED_VALUE"""),5994.316163410302)</f>
        <v>5994.316163</v>
      </c>
      <c r="J98" s="10">
        <f>IFERROR(__xludf.DUMMYFUNCTION("""COMPUTED_VALUE"""),0.0)</f>
        <v>0</v>
      </c>
      <c r="K98" s="5">
        <f>IFERROR(__xludf.DUMMYFUNCTION("""COMPUTED_VALUE"""),0.0)</f>
        <v>0</v>
      </c>
      <c r="L98" s="10">
        <f>IFERROR(__xludf.DUMMYFUNCTION("""COMPUTED_VALUE"""),258.0)</f>
        <v>258</v>
      </c>
      <c r="M98" s="5">
        <f>IFERROR(__xludf.DUMMYFUNCTION("""COMPUTED_VALUE"""),1.0)</f>
        <v>1</v>
      </c>
    </row>
    <row r="99">
      <c r="A99" s="10" t="str">
        <f>IFERROR(__xludf.DUMMYFUNCTION("""COMPUTED_VALUE"""),"4留")</f>
        <v>4留</v>
      </c>
      <c r="B99" s="10">
        <f>IFERROR(__xludf.DUMMYFUNCTION("""COMPUTED_VALUE"""),146.0)</f>
        <v>146</v>
      </c>
      <c r="C99" s="10">
        <f>IFERROR(__xludf.DUMMYFUNCTION("""COMPUTED_VALUE"""),1709.0)</f>
        <v>1709</v>
      </c>
      <c r="D99" s="5">
        <f>IFERROR(__xludf.DUMMYFUNCTION("""COMPUTED_VALUE"""),0.5700575815738963)</f>
        <v>0.5700575816</v>
      </c>
      <c r="E99" s="5">
        <f>IFERROR(__xludf.DUMMYFUNCTION("""COMPUTED_VALUE"""),0.16250799744081892)</f>
        <v>0.1625079974</v>
      </c>
      <c r="F99" s="5">
        <f>IFERROR(__xludf.DUMMYFUNCTION("""COMPUTED_VALUE"""),0.21497120921305182)</f>
        <v>0.2149712092</v>
      </c>
      <c r="G99" s="5">
        <f>IFERROR(__xludf.DUMMYFUNCTION("""COMPUTED_VALUE"""),0.13307741522712732)</f>
        <v>0.1330774152</v>
      </c>
      <c r="H99" s="5">
        <f>IFERROR(__xludf.DUMMYFUNCTION("""COMPUTED_VALUE"""),0.6488095238095238)</f>
        <v>0.6488095238</v>
      </c>
      <c r="I99" s="11">
        <f>IFERROR(__xludf.DUMMYFUNCTION("""COMPUTED_VALUE"""),5428.273809523809)</f>
        <v>5428.27381</v>
      </c>
      <c r="J99" s="10">
        <f>IFERROR(__xludf.DUMMYFUNCTION("""COMPUTED_VALUE"""),0.0)</f>
        <v>0</v>
      </c>
      <c r="K99" s="5">
        <f>IFERROR(__xludf.DUMMYFUNCTION("""COMPUTED_VALUE"""),0.0)</f>
        <v>0</v>
      </c>
      <c r="L99" s="10">
        <f>IFERROR(__xludf.DUMMYFUNCTION("""COMPUTED_VALUE"""),146.0)</f>
        <v>146</v>
      </c>
      <c r="M99" s="5">
        <f>IFERROR(__xludf.DUMMYFUNCTION("""COMPUTED_VALUE"""),1.0)</f>
        <v>1</v>
      </c>
    </row>
    <row r="100">
      <c r="A100" s="10" t="str">
        <f>IFERROR(__xludf.DUMMYFUNCTION("""COMPUTED_VALUE"""),"川村")</f>
        <v>川村</v>
      </c>
      <c r="B100" s="10">
        <f>IFERROR(__xludf.DUMMYFUNCTION("""COMPUTED_VALUE"""),131.0)</f>
        <v>131</v>
      </c>
      <c r="C100" s="10">
        <f>IFERROR(__xludf.DUMMYFUNCTION("""COMPUTED_VALUE"""),1572.0)</f>
        <v>1572</v>
      </c>
      <c r="D100" s="5">
        <f>IFERROR(__xludf.DUMMYFUNCTION("""COMPUTED_VALUE"""),0.45246356696738377)</f>
        <v>0.452463567</v>
      </c>
      <c r="E100" s="5">
        <f>IFERROR(__xludf.DUMMYFUNCTION("""COMPUTED_VALUE"""),0.16238723108952116)</f>
        <v>0.1623872311</v>
      </c>
      <c r="F100" s="5">
        <f>IFERROR(__xludf.DUMMYFUNCTION("""COMPUTED_VALUE"""),0.24705065926439973)</f>
        <v>0.2470506593</v>
      </c>
      <c r="G100" s="5">
        <f>IFERROR(__xludf.DUMMYFUNCTION("""COMPUTED_VALUE"""),0.21165857043719638)</f>
        <v>0.2116585704</v>
      </c>
      <c r="H100" s="5">
        <f>IFERROR(__xludf.DUMMYFUNCTION("""COMPUTED_VALUE"""),0.6067415730337079)</f>
        <v>0.606741573</v>
      </c>
      <c r="I100" s="11">
        <f>IFERROR(__xludf.DUMMYFUNCTION("""COMPUTED_VALUE"""),5243.258426966292)</f>
        <v>5243.258427</v>
      </c>
      <c r="J100" s="10">
        <f>IFERROR(__xludf.DUMMYFUNCTION("""COMPUTED_VALUE"""),0.0)</f>
        <v>0</v>
      </c>
      <c r="K100" s="5">
        <f>IFERROR(__xludf.DUMMYFUNCTION("""COMPUTED_VALUE"""),0.0)</f>
        <v>0</v>
      </c>
      <c r="L100" s="10">
        <f>IFERROR(__xludf.DUMMYFUNCTION("""COMPUTED_VALUE"""),131.0)</f>
        <v>131</v>
      </c>
      <c r="M100" s="5">
        <f>IFERROR(__xludf.DUMMYFUNCTION("""COMPUTED_VALUE"""),1.0)</f>
        <v>1</v>
      </c>
    </row>
    <row r="101">
      <c r="A101" s="10" t="str">
        <f>IFERROR(__xludf.DUMMYFUNCTION("""COMPUTED_VALUE"""),"kitpow5")</f>
        <v>kitpow5</v>
      </c>
      <c r="B101" s="10">
        <f>IFERROR(__xludf.DUMMYFUNCTION("""COMPUTED_VALUE"""),192.0)</f>
        <v>192</v>
      </c>
      <c r="C101" s="10">
        <f>IFERROR(__xludf.DUMMYFUNCTION("""COMPUTED_VALUE"""),2209.0)</f>
        <v>2209</v>
      </c>
      <c r="D101" s="5">
        <f>IFERROR(__xludf.DUMMYFUNCTION("""COMPUTED_VALUE"""),0.3341596430342092)</f>
        <v>0.334159643</v>
      </c>
      <c r="E101" s="5">
        <f>IFERROR(__xludf.DUMMYFUNCTION("""COMPUTED_VALUE"""),0.16212196331184928)</f>
        <v>0.1621219633</v>
      </c>
      <c r="F101" s="5">
        <f>IFERROR(__xludf.DUMMYFUNCTION("""COMPUTED_VALUE"""),0.19930589985126426)</f>
        <v>0.1993058999</v>
      </c>
      <c r="G101" s="5">
        <f>IFERROR(__xludf.DUMMYFUNCTION("""COMPUTED_VALUE"""),0.21913733267228558)</f>
        <v>0.2191373327</v>
      </c>
      <c r="H101" s="5">
        <f>IFERROR(__xludf.DUMMYFUNCTION("""COMPUTED_VALUE"""),0.6144278606965174)</f>
        <v>0.6144278607</v>
      </c>
      <c r="I101" s="11">
        <f>IFERROR(__xludf.DUMMYFUNCTION("""COMPUTED_VALUE"""),6385.572139303483)</f>
        <v>6385.572139</v>
      </c>
      <c r="J101" s="10">
        <f>IFERROR(__xludf.DUMMYFUNCTION("""COMPUTED_VALUE"""),1.0)</f>
        <v>1</v>
      </c>
      <c r="K101" s="5">
        <f>IFERROR(__xludf.DUMMYFUNCTION("""COMPUTED_VALUE"""),0.005208333333333333)</f>
        <v>0.005208333333</v>
      </c>
      <c r="L101" s="10">
        <f>IFERROR(__xludf.DUMMYFUNCTION("""COMPUTED_VALUE"""),192.0)</f>
        <v>192</v>
      </c>
      <c r="M101" s="5">
        <f>IFERROR(__xludf.DUMMYFUNCTION("""COMPUTED_VALUE"""),1.0)</f>
        <v>1</v>
      </c>
    </row>
    <row r="102">
      <c r="A102" s="10" t="str">
        <f>IFERROR(__xludf.DUMMYFUNCTION("""COMPUTED_VALUE"""),"たーにゃ")</f>
        <v>たーにゃ</v>
      </c>
      <c r="B102" s="10">
        <f>IFERROR(__xludf.DUMMYFUNCTION("""COMPUTED_VALUE"""),174.0)</f>
        <v>174</v>
      </c>
      <c r="C102" s="10">
        <f>IFERROR(__xludf.DUMMYFUNCTION("""COMPUTED_VALUE"""),2044.0)</f>
        <v>2044</v>
      </c>
      <c r="D102" s="5">
        <f>IFERROR(__xludf.DUMMYFUNCTION("""COMPUTED_VALUE"""),0.44385026737967914)</f>
        <v>0.4438502674</v>
      </c>
      <c r="E102" s="5">
        <f>IFERROR(__xludf.DUMMYFUNCTION("""COMPUTED_VALUE"""),0.1620320855614973)</f>
        <v>0.1620320856</v>
      </c>
      <c r="F102" s="5">
        <f>IFERROR(__xludf.DUMMYFUNCTION("""COMPUTED_VALUE"""),0.23475935828877006)</f>
        <v>0.2347593583</v>
      </c>
      <c r="G102" s="5">
        <f>IFERROR(__xludf.DUMMYFUNCTION("""COMPUTED_VALUE"""),0.18235294117647058)</f>
        <v>0.1823529412</v>
      </c>
      <c r="H102" s="5">
        <f>IFERROR(__xludf.DUMMYFUNCTION("""COMPUTED_VALUE"""),0.6059225512528473)</f>
        <v>0.6059225513</v>
      </c>
      <c r="I102" s="11">
        <f>IFERROR(__xludf.DUMMYFUNCTION("""COMPUTED_VALUE"""),5565.603644646925)</f>
        <v>5565.603645</v>
      </c>
      <c r="J102" s="10">
        <f>IFERROR(__xludf.DUMMYFUNCTION("""COMPUTED_VALUE"""),0.0)</f>
        <v>0</v>
      </c>
      <c r="K102" s="5">
        <f>IFERROR(__xludf.DUMMYFUNCTION("""COMPUTED_VALUE"""),0.0)</f>
        <v>0</v>
      </c>
      <c r="L102" s="10">
        <f>IFERROR(__xludf.DUMMYFUNCTION("""COMPUTED_VALUE"""),174.0)</f>
        <v>174</v>
      </c>
      <c r="M102" s="5">
        <f>IFERROR(__xludf.DUMMYFUNCTION("""COMPUTED_VALUE"""),1.0)</f>
        <v>1</v>
      </c>
    </row>
    <row r="103">
      <c r="A103" s="10" t="str">
        <f>IFERROR(__xludf.DUMMYFUNCTION("""COMPUTED_VALUE"""),"愚徹")</f>
        <v>愚徹</v>
      </c>
      <c r="B103" s="10">
        <f>IFERROR(__xludf.DUMMYFUNCTION("""COMPUTED_VALUE"""),1359.0)</f>
        <v>1359</v>
      </c>
      <c r="C103" s="10">
        <f>IFERROR(__xludf.DUMMYFUNCTION("""COMPUTED_VALUE"""),15707.0)</f>
        <v>15707</v>
      </c>
      <c r="D103" s="5">
        <f>IFERROR(__xludf.DUMMYFUNCTION("""COMPUTED_VALUE"""),0.41852522999721214)</f>
        <v>0.41852523</v>
      </c>
      <c r="E103" s="5">
        <f>IFERROR(__xludf.DUMMYFUNCTION("""COMPUTED_VALUE"""),0.16190409813214385)</f>
        <v>0.1619040981</v>
      </c>
      <c r="F103" s="5">
        <f>IFERROR(__xludf.DUMMYFUNCTION("""COMPUTED_VALUE"""),0.24010315026484527)</f>
        <v>0.2401031503</v>
      </c>
      <c r="G103" s="5">
        <f>IFERROR(__xludf.DUMMYFUNCTION("""COMPUTED_VALUE"""),0.20623083356565375)</f>
        <v>0.2062308336</v>
      </c>
      <c r="H103" s="5">
        <f>IFERROR(__xludf.DUMMYFUNCTION("""COMPUTED_VALUE"""),0.5956458635703918)</f>
        <v>0.5956458636</v>
      </c>
      <c r="I103" s="11">
        <f>IFERROR(__xludf.DUMMYFUNCTION("""COMPUTED_VALUE"""),5643.396226415094)</f>
        <v>5643.396226</v>
      </c>
      <c r="J103" s="10">
        <f>IFERROR(__xludf.DUMMYFUNCTION("""COMPUTED_VALUE"""),4.0)</f>
        <v>4</v>
      </c>
      <c r="K103" s="5">
        <f>IFERROR(__xludf.DUMMYFUNCTION("""COMPUTED_VALUE"""),0.0029433406916850625)</f>
        <v>0.002943340692</v>
      </c>
      <c r="L103" s="10">
        <f>IFERROR(__xludf.DUMMYFUNCTION("""COMPUTED_VALUE"""),1359.0)</f>
        <v>1359</v>
      </c>
      <c r="M103" s="5">
        <f>IFERROR(__xludf.DUMMYFUNCTION("""COMPUTED_VALUE"""),1.0)</f>
        <v>1</v>
      </c>
    </row>
    <row r="104">
      <c r="A104" s="10" t="str">
        <f>IFERROR(__xludf.DUMMYFUNCTION("""COMPUTED_VALUE"""),"FUJIO")</f>
        <v>FUJIO</v>
      </c>
      <c r="B104" s="10">
        <f>IFERROR(__xludf.DUMMYFUNCTION("""COMPUTED_VALUE"""),137.0)</f>
        <v>137</v>
      </c>
      <c r="C104" s="10">
        <f>IFERROR(__xludf.DUMMYFUNCTION("""COMPUTED_VALUE"""),1638.0)</f>
        <v>1638</v>
      </c>
      <c r="D104" s="5">
        <f>IFERROR(__xludf.DUMMYFUNCTION("""COMPUTED_VALUE"""),0.3091272485009993)</f>
        <v>0.3091272485</v>
      </c>
      <c r="E104" s="5">
        <f>IFERROR(__xludf.DUMMYFUNCTION("""COMPUTED_VALUE"""),0.16189207195203198)</f>
        <v>0.161892072</v>
      </c>
      <c r="F104" s="5">
        <f>IFERROR(__xludf.DUMMYFUNCTION("""COMPUTED_VALUE"""),0.22051965356429049)</f>
        <v>0.2205196536</v>
      </c>
      <c r="G104" s="5">
        <f>IFERROR(__xludf.DUMMYFUNCTION("""COMPUTED_VALUE"""),0.20652898067954698)</f>
        <v>0.2065289807</v>
      </c>
      <c r="H104" s="5">
        <f>IFERROR(__xludf.DUMMYFUNCTION("""COMPUTED_VALUE"""),0.622356495468278)</f>
        <v>0.6223564955</v>
      </c>
      <c r="I104" s="11">
        <f>IFERROR(__xludf.DUMMYFUNCTION("""COMPUTED_VALUE"""),5535.95166163142)</f>
        <v>5535.951662</v>
      </c>
      <c r="J104" s="10">
        <f>IFERROR(__xludf.DUMMYFUNCTION("""COMPUTED_VALUE"""),1.0)</f>
        <v>1</v>
      </c>
      <c r="K104" s="5">
        <f>IFERROR(__xludf.DUMMYFUNCTION("""COMPUTED_VALUE"""),0.0072992700729927005)</f>
        <v>0.007299270073</v>
      </c>
      <c r="L104" s="10">
        <f>IFERROR(__xludf.DUMMYFUNCTION("""COMPUTED_VALUE"""),137.0)</f>
        <v>137</v>
      </c>
      <c r="M104" s="5">
        <f>IFERROR(__xludf.DUMMYFUNCTION("""COMPUTED_VALUE"""),1.0)</f>
        <v>1</v>
      </c>
    </row>
    <row r="105">
      <c r="A105" s="10" t="str">
        <f>IFERROR(__xludf.DUMMYFUNCTION("""COMPUTED_VALUE"""),"wanizou")</f>
        <v>wanizou</v>
      </c>
      <c r="B105" s="10">
        <f>IFERROR(__xludf.DUMMYFUNCTION("""COMPUTED_VALUE"""),344.0)</f>
        <v>344</v>
      </c>
      <c r="C105" s="10">
        <f>IFERROR(__xludf.DUMMYFUNCTION("""COMPUTED_VALUE"""),3905.0)</f>
        <v>3905</v>
      </c>
      <c r="D105" s="5">
        <f>IFERROR(__xludf.DUMMYFUNCTION("""COMPUTED_VALUE"""),0.493681550126369)</f>
        <v>0.4936815501</v>
      </c>
      <c r="E105" s="5">
        <f>IFERROR(__xludf.DUMMYFUNCTION("""COMPUTED_VALUE"""),0.16175231676495366)</f>
        <v>0.1617523168</v>
      </c>
      <c r="F105" s="5">
        <f>IFERROR(__xludf.DUMMYFUNCTION("""COMPUTED_VALUE"""),0.2218477955630441)</f>
        <v>0.2218477956</v>
      </c>
      <c r="G105" s="5">
        <f>IFERROR(__xludf.DUMMYFUNCTION("""COMPUTED_VALUE"""),0.15978657680426847)</f>
        <v>0.1597865768</v>
      </c>
      <c r="H105" s="5">
        <f>IFERROR(__xludf.DUMMYFUNCTION("""COMPUTED_VALUE"""),0.6240506329113924)</f>
        <v>0.6240506329</v>
      </c>
      <c r="I105" s="11">
        <f>IFERROR(__xludf.DUMMYFUNCTION("""COMPUTED_VALUE"""),5989.2405063291135)</f>
        <v>5989.240506</v>
      </c>
      <c r="J105" s="10">
        <f>IFERROR(__xludf.DUMMYFUNCTION("""COMPUTED_VALUE"""),1.0)</f>
        <v>1</v>
      </c>
      <c r="K105" s="5">
        <f>IFERROR(__xludf.DUMMYFUNCTION("""COMPUTED_VALUE"""),0.0029069767441860465)</f>
        <v>0.002906976744</v>
      </c>
      <c r="L105" s="10">
        <f>IFERROR(__xludf.DUMMYFUNCTION("""COMPUTED_VALUE"""),344.0)</f>
        <v>344</v>
      </c>
      <c r="M105" s="5">
        <f>IFERROR(__xludf.DUMMYFUNCTION("""COMPUTED_VALUE"""),1.0)</f>
        <v>1</v>
      </c>
    </row>
    <row r="106">
      <c r="A106" s="10" t="str">
        <f>IFERROR(__xludf.DUMMYFUNCTION("""COMPUTED_VALUE"""),"kj0826")</f>
        <v>kj0826</v>
      </c>
      <c r="B106" s="10">
        <f>IFERROR(__xludf.DUMMYFUNCTION("""COMPUTED_VALUE"""),118.0)</f>
        <v>118</v>
      </c>
      <c r="C106" s="10">
        <f>IFERROR(__xludf.DUMMYFUNCTION("""COMPUTED_VALUE"""),1386.0)</f>
        <v>1386</v>
      </c>
      <c r="D106" s="5">
        <f>IFERROR(__xludf.DUMMYFUNCTION("""COMPUTED_VALUE"""),0.33280757097791797)</f>
        <v>0.332807571</v>
      </c>
      <c r="E106" s="5">
        <f>IFERROR(__xludf.DUMMYFUNCTION("""COMPUTED_VALUE"""),0.16167192429022081)</f>
        <v>0.1616719243</v>
      </c>
      <c r="F106" s="5">
        <f>IFERROR(__xludf.DUMMYFUNCTION("""COMPUTED_VALUE"""),0.21608832807570977)</f>
        <v>0.2160883281</v>
      </c>
      <c r="G106" s="5">
        <f>IFERROR(__xludf.DUMMYFUNCTION("""COMPUTED_VALUE"""),0.20347003154574134)</f>
        <v>0.2034700315</v>
      </c>
      <c r="H106" s="5">
        <f>IFERROR(__xludf.DUMMYFUNCTION("""COMPUTED_VALUE"""),0.5985401459854015)</f>
        <v>0.598540146</v>
      </c>
      <c r="I106" s="11">
        <f>IFERROR(__xludf.DUMMYFUNCTION("""COMPUTED_VALUE"""),5324.4525547445255)</f>
        <v>5324.452555</v>
      </c>
      <c r="J106" s="10">
        <f>IFERROR(__xludf.DUMMYFUNCTION("""COMPUTED_VALUE"""),0.0)</f>
        <v>0</v>
      </c>
      <c r="K106" s="5">
        <f>IFERROR(__xludf.DUMMYFUNCTION("""COMPUTED_VALUE"""),0.0)</f>
        <v>0</v>
      </c>
      <c r="L106" s="10">
        <f>IFERROR(__xludf.DUMMYFUNCTION("""COMPUTED_VALUE"""),118.0)</f>
        <v>118</v>
      </c>
      <c r="M106" s="5">
        <f>IFERROR(__xludf.DUMMYFUNCTION("""COMPUTED_VALUE"""),1.0)</f>
        <v>1</v>
      </c>
    </row>
    <row r="107">
      <c r="A107" s="10" t="str">
        <f>IFERROR(__xludf.DUMMYFUNCTION("""COMPUTED_VALUE"""),"Zhouping")</f>
        <v>Zhouping</v>
      </c>
      <c r="B107" s="10">
        <f>IFERROR(__xludf.DUMMYFUNCTION("""COMPUTED_VALUE"""),316.0)</f>
        <v>316</v>
      </c>
      <c r="C107" s="10">
        <f>IFERROR(__xludf.DUMMYFUNCTION("""COMPUTED_VALUE"""),3627.0)</f>
        <v>3627</v>
      </c>
      <c r="D107" s="5">
        <f>IFERROR(__xludf.DUMMYFUNCTION("""COMPUTED_VALUE"""),0.3192389006342495)</f>
        <v>0.3192389006</v>
      </c>
      <c r="E107" s="5">
        <f>IFERROR(__xludf.DUMMYFUNCTION("""COMPUTED_VALUE"""),0.16158260344306857)</f>
        <v>0.1615826034</v>
      </c>
      <c r="F107" s="5">
        <f>IFERROR(__xludf.DUMMYFUNCTION("""COMPUTED_VALUE"""),0.20900030202355785)</f>
        <v>0.209000302</v>
      </c>
      <c r="G107" s="5">
        <f>IFERROR(__xludf.DUMMYFUNCTION("""COMPUTED_VALUE"""),0.20416792509815765)</f>
        <v>0.2041679251</v>
      </c>
      <c r="H107" s="5">
        <f>IFERROR(__xludf.DUMMYFUNCTION("""COMPUTED_VALUE"""),0.6069364161849711)</f>
        <v>0.6069364162</v>
      </c>
      <c r="I107" s="11">
        <f>IFERROR(__xludf.DUMMYFUNCTION("""COMPUTED_VALUE"""),5992.774566473989)</f>
        <v>5992.774566</v>
      </c>
      <c r="J107" s="10">
        <f>IFERROR(__xludf.DUMMYFUNCTION("""COMPUTED_VALUE"""),2.0)</f>
        <v>2</v>
      </c>
      <c r="K107" s="5">
        <f>IFERROR(__xludf.DUMMYFUNCTION("""COMPUTED_VALUE"""),0.006329113924050633)</f>
        <v>0.006329113924</v>
      </c>
      <c r="L107" s="10">
        <f>IFERROR(__xludf.DUMMYFUNCTION("""COMPUTED_VALUE"""),316.0)</f>
        <v>316</v>
      </c>
      <c r="M107" s="5">
        <f>IFERROR(__xludf.DUMMYFUNCTION("""COMPUTED_VALUE"""),1.0)</f>
        <v>1</v>
      </c>
    </row>
    <row r="108">
      <c r="A108" s="10" t="str">
        <f>IFERROR(__xludf.DUMMYFUNCTION("""COMPUTED_VALUE"""),"瓶星∮ｎ")</f>
        <v>瓶星∮ｎ</v>
      </c>
      <c r="B108" s="10">
        <f>IFERROR(__xludf.DUMMYFUNCTION("""COMPUTED_VALUE"""),122.0)</f>
        <v>122</v>
      </c>
      <c r="C108" s="10">
        <f>IFERROR(__xludf.DUMMYFUNCTION("""COMPUTED_VALUE"""),1428.0)</f>
        <v>1428</v>
      </c>
      <c r="D108" s="5">
        <f>IFERROR(__xludf.DUMMYFUNCTION("""COMPUTED_VALUE"""),0.389739663093415)</f>
        <v>0.3897396631</v>
      </c>
      <c r="E108" s="5">
        <f>IFERROR(__xludf.DUMMYFUNCTION("""COMPUTED_VALUE"""),0.16156202143950996)</f>
        <v>0.1615620214</v>
      </c>
      <c r="F108" s="5">
        <f>IFERROR(__xludf.DUMMYFUNCTION("""COMPUTED_VALUE"""),0.23660030627871362)</f>
        <v>0.2366003063</v>
      </c>
      <c r="G108" s="5">
        <f>IFERROR(__xludf.DUMMYFUNCTION("""COMPUTED_VALUE"""),0.1776416539050536)</f>
        <v>0.1776416539</v>
      </c>
      <c r="H108" s="5">
        <f>IFERROR(__xludf.DUMMYFUNCTION("""COMPUTED_VALUE"""),0.6440129449838188)</f>
        <v>0.644012945</v>
      </c>
      <c r="I108" s="11">
        <f>IFERROR(__xludf.DUMMYFUNCTION("""COMPUTED_VALUE"""),5122.977346278317)</f>
        <v>5122.977346</v>
      </c>
      <c r="J108" s="10">
        <f>IFERROR(__xludf.DUMMYFUNCTION("""COMPUTED_VALUE"""),0.0)</f>
        <v>0</v>
      </c>
      <c r="K108" s="5">
        <f>IFERROR(__xludf.DUMMYFUNCTION("""COMPUTED_VALUE"""),0.0)</f>
        <v>0</v>
      </c>
      <c r="L108" s="10">
        <f>IFERROR(__xludf.DUMMYFUNCTION("""COMPUTED_VALUE"""),27.0)</f>
        <v>27</v>
      </c>
      <c r="M108" s="5">
        <f>IFERROR(__xludf.DUMMYFUNCTION("""COMPUTED_VALUE"""),0.22131147540983606)</f>
        <v>0.2213114754</v>
      </c>
    </row>
    <row r="109">
      <c r="A109" s="10" t="str">
        <f>IFERROR(__xludf.DUMMYFUNCTION("""COMPUTED_VALUE"""),"克馬")</f>
        <v>克馬</v>
      </c>
      <c r="B109" s="10">
        <f>IFERROR(__xludf.DUMMYFUNCTION("""COMPUTED_VALUE"""),806.0)</f>
        <v>806</v>
      </c>
      <c r="C109" s="10">
        <f>IFERROR(__xludf.DUMMYFUNCTION("""COMPUTED_VALUE"""),9215.0)</f>
        <v>9215</v>
      </c>
      <c r="D109" s="5">
        <f>IFERROR(__xludf.DUMMYFUNCTION("""COMPUTED_VALUE"""),0.3465334760375788)</f>
        <v>0.346533476</v>
      </c>
      <c r="E109" s="5">
        <f>IFERROR(__xludf.DUMMYFUNCTION("""COMPUTED_VALUE"""),0.16149363776905695)</f>
        <v>0.1614936378</v>
      </c>
      <c r="F109" s="5">
        <f>IFERROR(__xludf.DUMMYFUNCTION("""COMPUTED_VALUE"""),0.22428350576762993)</f>
        <v>0.2242835058</v>
      </c>
      <c r="G109" s="5">
        <f>IFERROR(__xludf.DUMMYFUNCTION("""COMPUTED_VALUE"""),0.1939588536092282)</f>
        <v>0.1939588536</v>
      </c>
      <c r="H109" s="5">
        <f>IFERROR(__xludf.DUMMYFUNCTION("""COMPUTED_VALUE"""),0.5965005302226936)</f>
        <v>0.5965005302</v>
      </c>
      <c r="I109" s="11">
        <f>IFERROR(__xludf.DUMMYFUNCTION("""COMPUTED_VALUE"""),5876.564156945918)</f>
        <v>5876.564157</v>
      </c>
      <c r="J109" s="10">
        <f>IFERROR(__xludf.DUMMYFUNCTION("""COMPUTED_VALUE"""),2.0)</f>
        <v>2</v>
      </c>
      <c r="K109" s="5">
        <f>IFERROR(__xludf.DUMMYFUNCTION("""COMPUTED_VALUE"""),0.0024813895781637717)</f>
        <v>0.002481389578</v>
      </c>
      <c r="L109" s="10">
        <f>IFERROR(__xludf.DUMMYFUNCTION("""COMPUTED_VALUE"""),806.0)</f>
        <v>806</v>
      </c>
      <c r="M109" s="5">
        <f>IFERROR(__xludf.DUMMYFUNCTION("""COMPUTED_VALUE"""),1.0)</f>
        <v>1</v>
      </c>
    </row>
    <row r="110">
      <c r="A110" s="10" t="str">
        <f>IFERROR(__xludf.DUMMYFUNCTION("""COMPUTED_VALUE"""),"mint")</f>
        <v>mint</v>
      </c>
      <c r="B110" s="10">
        <f>IFERROR(__xludf.DUMMYFUNCTION("""COMPUTED_VALUE"""),313.0)</f>
        <v>313</v>
      </c>
      <c r="C110" s="10">
        <f>IFERROR(__xludf.DUMMYFUNCTION("""COMPUTED_VALUE"""),3602.0)</f>
        <v>3602</v>
      </c>
      <c r="D110" s="5">
        <f>IFERROR(__xludf.DUMMYFUNCTION("""COMPUTED_VALUE"""),0.2748555792034053)</f>
        <v>0.2748555792</v>
      </c>
      <c r="E110" s="5">
        <f>IFERROR(__xludf.DUMMYFUNCTION("""COMPUTED_VALUE"""),0.16144724840377014)</f>
        <v>0.1614472484</v>
      </c>
      <c r="F110" s="5">
        <f>IFERROR(__xludf.DUMMYFUNCTION("""COMPUTED_VALUE"""),0.20522955305564)</f>
        <v>0.2052295531</v>
      </c>
      <c r="G110" s="5">
        <f>IFERROR(__xludf.DUMMYFUNCTION("""COMPUTED_VALUE"""),0.2186074794770447)</f>
        <v>0.2186074795</v>
      </c>
      <c r="H110" s="5">
        <f>IFERROR(__xludf.DUMMYFUNCTION("""COMPUTED_VALUE"""),0.5866666666666667)</f>
        <v>0.5866666667</v>
      </c>
      <c r="I110" s="11">
        <f>IFERROR(__xludf.DUMMYFUNCTION("""COMPUTED_VALUE"""),6502.814814814815)</f>
        <v>6502.814815</v>
      </c>
      <c r="J110" s="10">
        <f>IFERROR(__xludf.DUMMYFUNCTION("""COMPUTED_VALUE"""),0.0)</f>
        <v>0</v>
      </c>
      <c r="K110" s="5">
        <f>IFERROR(__xludf.DUMMYFUNCTION("""COMPUTED_VALUE"""),0.0)</f>
        <v>0</v>
      </c>
      <c r="L110" s="10">
        <f>IFERROR(__xludf.DUMMYFUNCTION("""COMPUTED_VALUE"""),0.0)</f>
        <v>0</v>
      </c>
      <c r="M110" s="5">
        <f>IFERROR(__xludf.DUMMYFUNCTION("""COMPUTED_VALUE"""),0.0)</f>
        <v>0</v>
      </c>
    </row>
    <row r="111">
      <c r="A111" s="10" t="str">
        <f>IFERROR(__xludf.DUMMYFUNCTION("""COMPUTED_VALUE"""),"しゅんてぃ～ぬ")</f>
        <v>しゅんてぃ～ぬ</v>
      </c>
      <c r="B111" s="10">
        <f>IFERROR(__xludf.DUMMYFUNCTION("""COMPUTED_VALUE"""),342.0)</f>
        <v>342</v>
      </c>
      <c r="C111" s="10">
        <f>IFERROR(__xludf.DUMMYFUNCTION("""COMPUTED_VALUE"""),3991.0)</f>
        <v>3991</v>
      </c>
      <c r="D111" s="5">
        <f>IFERROR(__xludf.DUMMYFUNCTION("""COMPUTED_VALUE"""),0.360372704850644)</f>
        <v>0.3603727049</v>
      </c>
      <c r="E111" s="5">
        <f>IFERROR(__xludf.DUMMYFUNCTION("""COMPUTED_VALUE"""),0.16141408605097288)</f>
        <v>0.1614140861</v>
      </c>
      <c r="F111" s="5">
        <f>IFERROR(__xludf.DUMMYFUNCTION("""COMPUTED_VALUE"""),0.21677171827898054)</f>
        <v>0.2167717183</v>
      </c>
      <c r="G111" s="5">
        <f>IFERROR(__xludf.DUMMYFUNCTION("""COMPUTED_VALUE"""),0.18443409153192655)</f>
        <v>0.1844340915</v>
      </c>
      <c r="H111" s="5">
        <f>IFERROR(__xludf.DUMMYFUNCTION("""COMPUTED_VALUE"""),0.5979772439949431)</f>
        <v>0.597977244</v>
      </c>
      <c r="I111" s="11">
        <f>IFERROR(__xludf.DUMMYFUNCTION("""COMPUTED_VALUE"""),6258.154235145385)</f>
        <v>6258.154235</v>
      </c>
      <c r="J111" s="10">
        <f>IFERROR(__xludf.DUMMYFUNCTION("""COMPUTED_VALUE"""),5.0)</f>
        <v>5</v>
      </c>
      <c r="K111" s="5">
        <f>IFERROR(__xludf.DUMMYFUNCTION("""COMPUTED_VALUE"""),0.014619883040935672)</f>
        <v>0.01461988304</v>
      </c>
      <c r="L111" s="10">
        <f>IFERROR(__xludf.DUMMYFUNCTION("""COMPUTED_VALUE"""),342.0)</f>
        <v>342</v>
      </c>
      <c r="M111" s="5">
        <f>IFERROR(__xludf.DUMMYFUNCTION("""COMPUTED_VALUE"""),1.0)</f>
        <v>1</v>
      </c>
    </row>
    <row r="112">
      <c r="A112" s="10" t="str">
        <f>IFERROR(__xludf.DUMMYFUNCTION("""COMPUTED_VALUE"""),"yoshigi")</f>
        <v>yoshigi</v>
      </c>
      <c r="B112" s="10">
        <f>IFERROR(__xludf.DUMMYFUNCTION("""COMPUTED_VALUE"""),1099.0)</f>
        <v>1099</v>
      </c>
      <c r="C112" s="10">
        <f>IFERROR(__xludf.DUMMYFUNCTION("""COMPUTED_VALUE"""),12684.0)</f>
        <v>12684</v>
      </c>
      <c r="D112" s="5">
        <f>IFERROR(__xludf.DUMMYFUNCTION("""COMPUTED_VALUE"""),0.3293051359516616)</f>
        <v>0.329305136</v>
      </c>
      <c r="E112" s="5">
        <f>IFERROR(__xludf.DUMMYFUNCTION("""COMPUTED_VALUE"""),0.16124298662063014)</f>
        <v>0.1612429866</v>
      </c>
      <c r="F112" s="5">
        <f>IFERROR(__xludf.DUMMYFUNCTION("""COMPUTED_VALUE"""),0.22028485110056106)</f>
        <v>0.2202848511</v>
      </c>
      <c r="G112" s="5">
        <f>IFERROR(__xludf.DUMMYFUNCTION("""COMPUTED_VALUE"""),0.19775571860164004)</f>
        <v>0.1977557186</v>
      </c>
      <c r="H112" s="5">
        <f>IFERROR(__xludf.DUMMYFUNCTION("""COMPUTED_VALUE"""),0.5873824451410659)</f>
        <v>0.5873824451</v>
      </c>
      <c r="I112" s="11">
        <f>IFERROR(__xludf.DUMMYFUNCTION("""COMPUTED_VALUE"""),6051.920062695925)</f>
        <v>6051.920063</v>
      </c>
      <c r="J112" s="10">
        <f>IFERROR(__xludf.DUMMYFUNCTION("""COMPUTED_VALUE"""),5.0)</f>
        <v>5</v>
      </c>
      <c r="K112" s="5">
        <f>IFERROR(__xludf.DUMMYFUNCTION("""COMPUTED_VALUE"""),0.004549590536851683)</f>
        <v>0.004549590537</v>
      </c>
      <c r="L112" s="10">
        <f>IFERROR(__xludf.DUMMYFUNCTION("""COMPUTED_VALUE"""),1061.0)</f>
        <v>1061</v>
      </c>
      <c r="M112" s="5">
        <f>IFERROR(__xludf.DUMMYFUNCTION("""COMPUTED_VALUE"""),0.9654231119199272)</f>
        <v>0.9654231119</v>
      </c>
    </row>
    <row r="113">
      <c r="A113" s="10" t="str">
        <f>IFERROR(__xludf.DUMMYFUNCTION("""COMPUTED_VALUE"""),"Nuta79")</f>
        <v>Nuta79</v>
      </c>
      <c r="B113" s="10">
        <f>IFERROR(__xludf.DUMMYFUNCTION("""COMPUTED_VALUE"""),480.0)</f>
        <v>480</v>
      </c>
      <c r="C113" s="10">
        <f>IFERROR(__xludf.DUMMYFUNCTION("""COMPUTED_VALUE"""),5572.0)</f>
        <v>5572</v>
      </c>
      <c r="D113" s="5">
        <f>IFERROR(__xludf.DUMMYFUNCTION("""COMPUTED_VALUE"""),0.3945404556166536)</f>
        <v>0.3945404556</v>
      </c>
      <c r="E113" s="5">
        <f>IFERROR(__xludf.DUMMYFUNCTION("""COMPUTED_VALUE"""),0.1610369206598586)</f>
        <v>0.1610369207</v>
      </c>
      <c r="F113" s="5">
        <f>IFERROR(__xludf.DUMMYFUNCTION("""COMPUTED_VALUE"""),0.2152395915161037)</f>
        <v>0.2152395915</v>
      </c>
      <c r="G113" s="5">
        <f>IFERROR(__xludf.DUMMYFUNCTION("""COMPUTED_VALUE"""),0.17301649646504322)</f>
        <v>0.1730164965</v>
      </c>
      <c r="H113" s="5">
        <f>IFERROR(__xludf.DUMMYFUNCTION("""COMPUTED_VALUE"""),0.5802919708029197)</f>
        <v>0.5802919708</v>
      </c>
      <c r="I113" s="11">
        <f>IFERROR(__xludf.DUMMYFUNCTION("""COMPUTED_VALUE"""),5607.664233576642)</f>
        <v>5607.664234</v>
      </c>
      <c r="J113" s="10">
        <f>IFERROR(__xludf.DUMMYFUNCTION("""COMPUTED_VALUE"""),1.0)</f>
        <v>1</v>
      </c>
      <c r="K113" s="5">
        <f>IFERROR(__xludf.DUMMYFUNCTION("""COMPUTED_VALUE"""),0.0020833333333333333)</f>
        <v>0.002083333333</v>
      </c>
      <c r="L113" s="10">
        <f>IFERROR(__xludf.DUMMYFUNCTION("""COMPUTED_VALUE"""),480.0)</f>
        <v>480</v>
      </c>
      <c r="M113" s="5">
        <f>IFERROR(__xludf.DUMMYFUNCTION("""COMPUTED_VALUE"""),1.0)</f>
        <v>1</v>
      </c>
    </row>
    <row r="114">
      <c r="A114" s="10" t="str">
        <f>IFERROR(__xludf.DUMMYFUNCTION("""COMPUTED_VALUE"""),"桜井アソコ")</f>
        <v>桜井アソコ</v>
      </c>
      <c r="B114" s="10">
        <f>IFERROR(__xludf.DUMMYFUNCTION("""COMPUTED_VALUE"""),145.0)</f>
        <v>145</v>
      </c>
      <c r="C114" s="10">
        <f>IFERROR(__xludf.DUMMYFUNCTION("""COMPUTED_VALUE"""),1680.0)</f>
        <v>1680</v>
      </c>
      <c r="D114" s="5">
        <f>IFERROR(__xludf.DUMMYFUNCTION("""COMPUTED_VALUE"""),0.31074918566775245)</f>
        <v>0.3107491857</v>
      </c>
      <c r="E114" s="5">
        <f>IFERROR(__xludf.DUMMYFUNCTION("""COMPUTED_VALUE"""),0.16091205211726384)</f>
        <v>0.1609120521</v>
      </c>
      <c r="F114" s="5">
        <f>IFERROR(__xludf.DUMMYFUNCTION("""COMPUTED_VALUE"""),0.18045602605863192)</f>
        <v>0.1804560261</v>
      </c>
      <c r="G114" s="5">
        <f>IFERROR(__xludf.DUMMYFUNCTION("""COMPUTED_VALUE"""),0.19283387622149836)</f>
        <v>0.1928338762</v>
      </c>
      <c r="H114" s="5">
        <f>IFERROR(__xludf.DUMMYFUNCTION("""COMPUTED_VALUE"""),0.6245487364620939)</f>
        <v>0.6245487365</v>
      </c>
      <c r="I114" s="11">
        <f>IFERROR(__xludf.DUMMYFUNCTION("""COMPUTED_VALUE"""),5796.750902527076)</f>
        <v>5796.750903</v>
      </c>
      <c r="J114" s="10">
        <f>IFERROR(__xludf.DUMMYFUNCTION("""COMPUTED_VALUE"""),0.0)</f>
        <v>0</v>
      </c>
      <c r="K114" s="5">
        <f>IFERROR(__xludf.DUMMYFUNCTION("""COMPUTED_VALUE"""),0.0)</f>
        <v>0</v>
      </c>
      <c r="L114" s="10">
        <f>IFERROR(__xludf.DUMMYFUNCTION("""COMPUTED_VALUE"""),145.0)</f>
        <v>145</v>
      </c>
      <c r="M114" s="5">
        <f>IFERROR(__xludf.DUMMYFUNCTION("""COMPUTED_VALUE"""),1.0)</f>
        <v>1</v>
      </c>
    </row>
    <row r="115">
      <c r="A115" s="10" t="str">
        <f>IFERROR(__xludf.DUMMYFUNCTION("""COMPUTED_VALUE"""),"goman")</f>
        <v>goman</v>
      </c>
      <c r="B115" s="10">
        <f>IFERROR(__xludf.DUMMYFUNCTION("""COMPUTED_VALUE"""),163.0)</f>
        <v>163</v>
      </c>
      <c r="C115" s="10">
        <f>IFERROR(__xludf.DUMMYFUNCTION("""COMPUTED_VALUE"""),1854.0)</f>
        <v>1854</v>
      </c>
      <c r="D115" s="5">
        <f>IFERROR(__xludf.DUMMYFUNCTION("""COMPUTED_VALUE"""),0.44411590774689536)</f>
        <v>0.4441159077</v>
      </c>
      <c r="E115" s="5">
        <f>IFERROR(__xludf.DUMMYFUNCTION("""COMPUTED_VALUE"""),0.1608515671200473)</f>
        <v>0.1608515671</v>
      </c>
      <c r="F115" s="5">
        <f>IFERROR(__xludf.DUMMYFUNCTION("""COMPUTED_VALUE"""),0.23832052040212892)</f>
        <v>0.2383205204</v>
      </c>
      <c r="G115" s="5">
        <f>IFERROR(__xludf.DUMMYFUNCTION("""COMPUTED_VALUE"""),0.16794795978710822)</f>
        <v>0.1679479598</v>
      </c>
      <c r="H115" s="5">
        <f>IFERROR(__xludf.DUMMYFUNCTION("""COMPUTED_VALUE"""),0.6029776674937966)</f>
        <v>0.6029776675</v>
      </c>
      <c r="I115" s="11">
        <f>IFERROR(__xludf.DUMMYFUNCTION("""COMPUTED_VALUE"""),5685.359801488834)</f>
        <v>5685.359801</v>
      </c>
      <c r="J115" s="10">
        <f>IFERROR(__xludf.DUMMYFUNCTION("""COMPUTED_VALUE"""),1.0)</f>
        <v>1</v>
      </c>
      <c r="K115" s="5">
        <f>IFERROR(__xludf.DUMMYFUNCTION("""COMPUTED_VALUE"""),0.006134969325153374)</f>
        <v>0.006134969325</v>
      </c>
      <c r="L115" s="10">
        <f>IFERROR(__xludf.DUMMYFUNCTION("""COMPUTED_VALUE"""),163.0)</f>
        <v>163</v>
      </c>
      <c r="M115" s="5">
        <f>IFERROR(__xludf.DUMMYFUNCTION("""COMPUTED_VALUE"""),1.0)</f>
        <v>1</v>
      </c>
    </row>
    <row r="116">
      <c r="A116" s="10" t="str">
        <f>IFERROR(__xludf.DUMMYFUNCTION("""COMPUTED_VALUE"""),"大賢良師")</f>
        <v>大賢良師</v>
      </c>
      <c r="B116" s="10">
        <f>IFERROR(__xludf.DUMMYFUNCTION("""COMPUTED_VALUE"""),111.0)</f>
        <v>111</v>
      </c>
      <c r="C116" s="10">
        <f>IFERROR(__xludf.DUMMYFUNCTION("""COMPUTED_VALUE"""),1255.0)</f>
        <v>1255</v>
      </c>
      <c r="D116" s="5">
        <f>IFERROR(__xludf.DUMMYFUNCTION("""COMPUTED_VALUE"""),0.3723776223776224)</f>
        <v>0.3723776224</v>
      </c>
      <c r="E116" s="5">
        <f>IFERROR(__xludf.DUMMYFUNCTION("""COMPUTED_VALUE"""),0.16083916083916083)</f>
        <v>0.1608391608</v>
      </c>
      <c r="F116" s="5">
        <f>IFERROR(__xludf.DUMMYFUNCTION("""COMPUTED_VALUE"""),0.22377622377622378)</f>
        <v>0.2237762238</v>
      </c>
      <c r="G116" s="5">
        <f>IFERROR(__xludf.DUMMYFUNCTION("""COMPUTED_VALUE"""),0.17045454545454544)</f>
        <v>0.1704545455</v>
      </c>
      <c r="H116" s="5">
        <f>IFERROR(__xludf.DUMMYFUNCTION("""COMPUTED_VALUE"""),0.57421875)</f>
        <v>0.57421875</v>
      </c>
      <c r="I116" s="11">
        <f>IFERROR(__xludf.DUMMYFUNCTION("""COMPUTED_VALUE"""),5607.421875)</f>
        <v>5607.421875</v>
      </c>
      <c r="J116" s="10">
        <f>IFERROR(__xludf.DUMMYFUNCTION("""COMPUTED_VALUE"""),0.0)</f>
        <v>0</v>
      </c>
      <c r="K116" s="5">
        <f>IFERROR(__xludf.DUMMYFUNCTION("""COMPUTED_VALUE"""),0.0)</f>
        <v>0</v>
      </c>
      <c r="L116" s="10">
        <f>IFERROR(__xludf.DUMMYFUNCTION("""COMPUTED_VALUE"""),111.0)</f>
        <v>111</v>
      </c>
      <c r="M116" s="5">
        <f>IFERROR(__xludf.DUMMYFUNCTION("""COMPUTED_VALUE"""),1.0)</f>
        <v>1</v>
      </c>
    </row>
    <row r="117">
      <c r="A117" s="10" t="str">
        <f>IFERROR(__xludf.DUMMYFUNCTION("""COMPUTED_VALUE"""),"時坂空")</f>
        <v>時坂空</v>
      </c>
      <c r="B117" s="10">
        <f>IFERROR(__xludf.DUMMYFUNCTION("""COMPUTED_VALUE"""),247.0)</f>
        <v>247</v>
      </c>
      <c r="C117" s="10">
        <f>IFERROR(__xludf.DUMMYFUNCTION("""COMPUTED_VALUE"""),2910.0)</f>
        <v>2910</v>
      </c>
      <c r="D117" s="5">
        <f>IFERROR(__xludf.DUMMYFUNCTION("""COMPUTED_VALUE"""),0.40030041306796843)</f>
        <v>0.4003004131</v>
      </c>
      <c r="E117" s="5">
        <f>IFERROR(__xludf.DUMMYFUNCTION("""COMPUTED_VALUE"""),0.1607209913631243)</f>
        <v>0.1607209914</v>
      </c>
      <c r="F117" s="5">
        <f>IFERROR(__xludf.DUMMYFUNCTION("""COMPUTED_VALUE"""),0.21141569658280135)</f>
        <v>0.2114156966</v>
      </c>
      <c r="G117" s="5">
        <f>IFERROR(__xludf.DUMMYFUNCTION("""COMPUTED_VALUE"""),0.19714607585429966)</f>
        <v>0.1971460759</v>
      </c>
      <c r="H117" s="5">
        <f>IFERROR(__xludf.DUMMYFUNCTION("""COMPUTED_VALUE"""),0.5879218472468917)</f>
        <v>0.5879218472</v>
      </c>
      <c r="I117" s="11">
        <f>IFERROR(__xludf.DUMMYFUNCTION("""COMPUTED_VALUE"""),5611.190053285968)</f>
        <v>5611.190053</v>
      </c>
      <c r="J117" s="10">
        <f>IFERROR(__xludf.DUMMYFUNCTION("""COMPUTED_VALUE"""),0.0)</f>
        <v>0</v>
      </c>
      <c r="K117" s="5">
        <f>IFERROR(__xludf.DUMMYFUNCTION("""COMPUTED_VALUE"""),0.0)</f>
        <v>0</v>
      </c>
      <c r="L117" s="10">
        <f>IFERROR(__xludf.DUMMYFUNCTION("""COMPUTED_VALUE"""),0.0)</f>
        <v>0</v>
      </c>
      <c r="M117" s="5">
        <f>IFERROR(__xludf.DUMMYFUNCTION("""COMPUTED_VALUE"""),0.0)</f>
        <v>0</v>
      </c>
    </row>
    <row r="118">
      <c r="A118" s="10" t="str">
        <f>IFERROR(__xludf.DUMMYFUNCTION("""COMPUTED_VALUE"""),"おりものシート")</f>
        <v>おりものシート</v>
      </c>
      <c r="B118" s="10">
        <f>IFERROR(__xludf.DUMMYFUNCTION("""COMPUTED_VALUE"""),374.0)</f>
        <v>374</v>
      </c>
      <c r="C118" s="10">
        <f>IFERROR(__xludf.DUMMYFUNCTION("""COMPUTED_VALUE"""),4316.0)</f>
        <v>4316</v>
      </c>
      <c r="D118" s="5">
        <f>IFERROR(__xludf.DUMMYFUNCTION("""COMPUTED_VALUE"""),0.40461694571283613)</f>
        <v>0.4046169457</v>
      </c>
      <c r="E118" s="5">
        <f>IFERROR(__xludf.DUMMYFUNCTION("""COMPUTED_VALUE"""),0.16057838660578386)</f>
        <v>0.1605783866</v>
      </c>
      <c r="F118" s="5">
        <f>IFERROR(__xludf.DUMMYFUNCTION("""COMPUTED_VALUE"""),0.23795027904616944)</f>
        <v>0.237950279</v>
      </c>
      <c r="G118" s="5">
        <f>IFERROR(__xludf.DUMMYFUNCTION("""COMPUTED_VALUE"""),0.19507864028411973)</f>
        <v>0.1950786403</v>
      </c>
      <c r="H118" s="5">
        <f>IFERROR(__xludf.DUMMYFUNCTION("""COMPUTED_VALUE"""),0.6172707889125799)</f>
        <v>0.6172707889</v>
      </c>
      <c r="I118" s="11">
        <f>IFERROR(__xludf.DUMMYFUNCTION("""COMPUTED_VALUE"""),5457.569296375266)</f>
        <v>5457.569296</v>
      </c>
      <c r="J118" s="10">
        <f>IFERROR(__xludf.DUMMYFUNCTION("""COMPUTED_VALUE"""),0.0)</f>
        <v>0</v>
      </c>
      <c r="K118" s="5">
        <f>IFERROR(__xludf.DUMMYFUNCTION("""COMPUTED_VALUE"""),0.0)</f>
        <v>0</v>
      </c>
      <c r="L118" s="10">
        <f>IFERROR(__xludf.DUMMYFUNCTION("""COMPUTED_VALUE"""),374.0)</f>
        <v>374</v>
      </c>
      <c r="M118" s="5">
        <f>IFERROR(__xludf.DUMMYFUNCTION("""COMPUTED_VALUE"""),1.0)</f>
        <v>1</v>
      </c>
    </row>
    <row r="119">
      <c r="A119" s="10" t="str">
        <f>IFERROR(__xludf.DUMMYFUNCTION("""COMPUTED_VALUE"""),"桜子")</f>
        <v>桜子</v>
      </c>
      <c r="B119" s="10">
        <f>IFERROR(__xludf.DUMMYFUNCTION("""COMPUTED_VALUE"""),182.0)</f>
        <v>182</v>
      </c>
      <c r="C119" s="10">
        <f>IFERROR(__xludf.DUMMYFUNCTION("""COMPUTED_VALUE"""),2113.0)</f>
        <v>2113</v>
      </c>
      <c r="D119" s="5">
        <f>IFERROR(__xludf.DUMMYFUNCTION("""COMPUTED_VALUE"""),0.39047125841532887)</f>
        <v>0.3904712584</v>
      </c>
      <c r="E119" s="5">
        <f>IFERROR(__xludf.DUMMYFUNCTION("""COMPUTED_VALUE"""),0.16053858104609012)</f>
        <v>0.160538581</v>
      </c>
      <c r="F119" s="5">
        <f>IFERROR(__xludf.DUMMYFUNCTION("""COMPUTED_VALUE"""),0.21128948731227343)</f>
        <v>0.2112894873</v>
      </c>
      <c r="G119" s="5">
        <f>IFERROR(__xludf.DUMMYFUNCTION("""COMPUTED_VALUE"""),0.21853961677887104)</f>
        <v>0.2185396168</v>
      </c>
      <c r="H119" s="5">
        <f>IFERROR(__xludf.DUMMYFUNCTION("""COMPUTED_VALUE"""),0.5955882352941176)</f>
        <v>0.5955882353</v>
      </c>
      <c r="I119" s="11">
        <f>IFERROR(__xludf.DUMMYFUNCTION("""COMPUTED_VALUE"""),5961.274509803921)</f>
        <v>5961.27451</v>
      </c>
      <c r="J119" s="10">
        <f>IFERROR(__xludf.DUMMYFUNCTION("""COMPUTED_VALUE"""),0.0)</f>
        <v>0</v>
      </c>
      <c r="K119" s="5">
        <f>IFERROR(__xludf.DUMMYFUNCTION("""COMPUTED_VALUE"""),0.0)</f>
        <v>0</v>
      </c>
      <c r="L119" s="10">
        <f>IFERROR(__xludf.DUMMYFUNCTION("""COMPUTED_VALUE"""),0.0)</f>
        <v>0</v>
      </c>
      <c r="M119" s="5">
        <f>IFERROR(__xludf.DUMMYFUNCTION("""COMPUTED_VALUE"""),0.0)</f>
        <v>0</v>
      </c>
    </row>
    <row r="120">
      <c r="A120" s="10" t="str">
        <f>IFERROR(__xludf.DUMMYFUNCTION("""COMPUTED_VALUE"""),"魁!ミッドナイト")</f>
        <v>魁!ミッドナイト</v>
      </c>
      <c r="B120" s="10">
        <f>IFERROR(__xludf.DUMMYFUNCTION("""COMPUTED_VALUE"""),296.0)</f>
        <v>296</v>
      </c>
      <c r="C120" s="10">
        <f>IFERROR(__xludf.DUMMYFUNCTION("""COMPUTED_VALUE"""),3477.0)</f>
        <v>3477</v>
      </c>
      <c r="D120" s="5">
        <f>IFERROR(__xludf.DUMMYFUNCTION("""COMPUTED_VALUE"""),0.4177931468091795)</f>
        <v>0.4177931468</v>
      </c>
      <c r="E120" s="5">
        <f>IFERROR(__xludf.DUMMYFUNCTION("""COMPUTED_VALUE"""),0.1603269412134549)</f>
        <v>0.1603269412</v>
      </c>
      <c r="F120" s="5">
        <f>IFERROR(__xludf.DUMMYFUNCTION("""COMPUTED_VALUE"""),0.219113486325055)</f>
        <v>0.2191134863</v>
      </c>
      <c r="G120" s="5">
        <f>IFERROR(__xludf.DUMMYFUNCTION("""COMPUTED_VALUE"""),0.10028292989625903)</f>
        <v>0.1002829299</v>
      </c>
      <c r="H120" s="5">
        <f>IFERROR(__xludf.DUMMYFUNCTION("""COMPUTED_VALUE"""),0.6197991391678622)</f>
        <v>0.6197991392</v>
      </c>
      <c r="I120" s="11">
        <f>IFERROR(__xludf.DUMMYFUNCTION("""COMPUTED_VALUE"""),5652.080344332855)</f>
        <v>5652.080344</v>
      </c>
      <c r="J120" s="10">
        <f>IFERROR(__xludf.DUMMYFUNCTION("""COMPUTED_VALUE"""),1.0)</f>
        <v>1</v>
      </c>
      <c r="K120" s="5">
        <f>IFERROR(__xludf.DUMMYFUNCTION("""COMPUTED_VALUE"""),0.0033783783783783786)</f>
        <v>0.003378378378</v>
      </c>
      <c r="L120" s="10">
        <f>IFERROR(__xludf.DUMMYFUNCTION("""COMPUTED_VALUE"""),296.0)</f>
        <v>296</v>
      </c>
      <c r="M120" s="5">
        <f>IFERROR(__xludf.DUMMYFUNCTION("""COMPUTED_VALUE"""),1.0)</f>
        <v>1</v>
      </c>
    </row>
    <row r="121">
      <c r="A121" s="10" t="str">
        <f>IFERROR(__xludf.DUMMYFUNCTION("""COMPUTED_VALUE"""),"ひさ")</f>
        <v>ひさ</v>
      </c>
      <c r="B121" s="10">
        <f>IFERROR(__xludf.DUMMYFUNCTION("""COMPUTED_VALUE"""),726.0)</f>
        <v>726</v>
      </c>
      <c r="C121" s="10">
        <f>IFERROR(__xludf.DUMMYFUNCTION("""COMPUTED_VALUE"""),8383.0)</f>
        <v>8383</v>
      </c>
      <c r="D121" s="5">
        <f>IFERROR(__xludf.DUMMYFUNCTION("""COMPUTED_VALUE"""),0.396369335248792)</f>
        <v>0.3963693352</v>
      </c>
      <c r="E121" s="5">
        <f>IFERROR(__xludf.DUMMYFUNCTION("""COMPUTED_VALUE"""),0.16011492751730444)</f>
        <v>0.1601149275</v>
      </c>
      <c r="F121" s="5">
        <f>IFERROR(__xludf.DUMMYFUNCTION("""COMPUTED_VALUE"""),0.2177092856210004)</f>
        <v>0.2177092856</v>
      </c>
      <c r="G121" s="5">
        <f>IFERROR(__xludf.DUMMYFUNCTION("""COMPUTED_VALUE"""),0.20099255583126552)</f>
        <v>0.2009925558</v>
      </c>
      <c r="H121" s="5">
        <f>IFERROR(__xludf.DUMMYFUNCTION("""COMPUTED_VALUE"""),0.593881223755249)</f>
        <v>0.5938812238</v>
      </c>
      <c r="I121" s="11">
        <f>IFERROR(__xludf.DUMMYFUNCTION("""COMPUTED_VALUE"""),5955.848830233953)</f>
        <v>5955.84883</v>
      </c>
      <c r="J121" s="10">
        <f>IFERROR(__xludf.DUMMYFUNCTION("""COMPUTED_VALUE"""),1.0)</f>
        <v>1</v>
      </c>
      <c r="K121" s="5">
        <f>IFERROR(__xludf.DUMMYFUNCTION("""COMPUTED_VALUE"""),0.0013774104683195593)</f>
        <v>0.001377410468</v>
      </c>
      <c r="L121" s="10">
        <f>IFERROR(__xludf.DUMMYFUNCTION("""COMPUTED_VALUE"""),726.0)</f>
        <v>726</v>
      </c>
      <c r="M121" s="5">
        <f>IFERROR(__xludf.DUMMYFUNCTION("""COMPUTED_VALUE"""),1.0)</f>
        <v>1</v>
      </c>
    </row>
    <row r="122">
      <c r="A122" s="10" t="str">
        <f>IFERROR(__xludf.DUMMYFUNCTION("""COMPUTED_VALUE"""),"umyu2012")</f>
        <v>umyu2012</v>
      </c>
      <c r="B122" s="10">
        <f>IFERROR(__xludf.DUMMYFUNCTION("""COMPUTED_VALUE"""),197.0)</f>
        <v>197</v>
      </c>
      <c r="C122" s="10">
        <f>IFERROR(__xludf.DUMMYFUNCTION("""COMPUTED_VALUE"""),2221.0)</f>
        <v>2221</v>
      </c>
      <c r="D122" s="5">
        <f>IFERROR(__xludf.DUMMYFUNCTION("""COMPUTED_VALUE"""),0.3339920948616601)</f>
        <v>0.3339920949</v>
      </c>
      <c r="E122" s="5">
        <f>IFERROR(__xludf.DUMMYFUNCTION("""COMPUTED_VALUE"""),0.1600790513833992)</f>
        <v>0.1600790514</v>
      </c>
      <c r="F122" s="5">
        <f>IFERROR(__xludf.DUMMYFUNCTION("""COMPUTED_VALUE"""),0.19812252964426877)</f>
        <v>0.1981225296</v>
      </c>
      <c r="G122" s="5">
        <f>IFERROR(__xludf.DUMMYFUNCTION("""COMPUTED_VALUE"""),0.19713438735177866)</f>
        <v>0.1971343874</v>
      </c>
      <c r="H122" s="5">
        <f>IFERROR(__xludf.DUMMYFUNCTION("""COMPUTED_VALUE"""),0.5935162094763092)</f>
        <v>0.5935162095</v>
      </c>
      <c r="I122" s="11">
        <f>IFERROR(__xludf.DUMMYFUNCTION("""COMPUTED_VALUE"""),6358.852867830424)</f>
        <v>6358.852868</v>
      </c>
      <c r="J122" s="10">
        <f>IFERROR(__xludf.DUMMYFUNCTION("""COMPUTED_VALUE"""),0.0)</f>
        <v>0</v>
      </c>
      <c r="K122" s="5">
        <f>IFERROR(__xludf.DUMMYFUNCTION("""COMPUTED_VALUE"""),0.0)</f>
        <v>0</v>
      </c>
      <c r="L122" s="10">
        <f>IFERROR(__xludf.DUMMYFUNCTION("""COMPUTED_VALUE"""),90.0)</f>
        <v>90</v>
      </c>
      <c r="M122" s="5">
        <f>IFERROR(__xludf.DUMMYFUNCTION("""COMPUTED_VALUE"""),0.45685279187817257)</f>
        <v>0.4568527919</v>
      </c>
    </row>
    <row r="123">
      <c r="A123" s="10" t="str">
        <f>IFERROR(__xludf.DUMMYFUNCTION("""COMPUTED_VALUE"""),"青髭王子")</f>
        <v>青髭王子</v>
      </c>
      <c r="B123" s="10">
        <f>IFERROR(__xludf.DUMMYFUNCTION("""COMPUTED_VALUE"""),114.0)</f>
        <v>114</v>
      </c>
      <c r="C123" s="10">
        <f>IFERROR(__xludf.DUMMYFUNCTION("""COMPUTED_VALUE"""),1301.0)</f>
        <v>1301</v>
      </c>
      <c r="D123" s="5">
        <f>IFERROR(__xludf.DUMMYFUNCTION("""COMPUTED_VALUE"""),0.2746419545071609)</f>
        <v>0.2746419545</v>
      </c>
      <c r="E123" s="5">
        <f>IFERROR(__xludf.DUMMYFUNCTION("""COMPUTED_VALUE"""),0.16006739679865206)</f>
        <v>0.1600673968</v>
      </c>
      <c r="F123" s="5">
        <f>IFERROR(__xludf.DUMMYFUNCTION("""COMPUTED_VALUE"""),0.18534119629317608)</f>
        <v>0.1853411963</v>
      </c>
      <c r="G123" s="5">
        <f>IFERROR(__xludf.DUMMYFUNCTION("""COMPUTED_VALUE"""),0.21566975568660487)</f>
        <v>0.2156697557</v>
      </c>
      <c r="H123" s="5">
        <f>IFERROR(__xludf.DUMMYFUNCTION("""COMPUTED_VALUE"""),0.6363636363636364)</f>
        <v>0.6363636364</v>
      </c>
      <c r="I123" s="11">
        <f>IFERROR(__xludf.DUMMYFUNCTION("""COMPUTED_VALUE"""),6584.090909090909)</f>
        <v>6584.090909</v>
      </c>
      <c r="J123" s="10">
        <f>IFERROR(__xludf.DUMMYFUNCTION("""COMPUTED_VALUE"""),0.0)</f>
        <v>0</v>
      </c>
      <c r="K123" s="5">
        <f>IFERROR(__xludf.DUMMYFUNCTION("""COMPUTED_VALUE"""),0.0)</f>
        <v>0</v>
      </c>
      <c r="L123" s="10">
        <f>IFERROR(__xludf.DUMMYFUNCTION("""COMPUTED_VALUE"""),114.0)</f>
        <v>114</v>
      </c>
      <c r="M123" s="5">
        <f>IFERROR(__xludf.DUMMYFUNCTION("""COMPUTED_VALUE"""),1.0)</f>
        <v>1</v>
      </c>
    </row>
    <row r="124">
      <c r="A124" s="10" t="str">
        <f>IFERROR(__xludf.DUMMYFUNCTION("""COMPUTED_VALUE"""),"〝ラムダデルタ〟")</f>
        <v>〝ラムダデルタ〟</v>
      </c>
      <c r="B124" s="10">
        <f>IFERROR(__xludf.DUMMYFUNCTION("""COMPUTED_VALUE"""),400.0)</f>
        <v>400</v>
      </c>
      <c r="C124" s="10">
        <f>IFERROR(__xludf.DUMMYFUNCTION("""COMPUTED_VALUE"""),4698.0)</f>
        <v>4698</v>
      </c>
      <c r="D124" s="5">
        <f>IFERROR(__xludf.DUMMYFUNCTION("""COMPUTED_VALUE"""),0.3355048859934853)</f>
        <v>0.335504886</v>
      </c>
      <c r="E124" s="5">
        <f>IFERROR(__xludf.DUMMYFUNCTION("""COMPUTED_VALUE"""),0.1598417868776175)</f>
        <v>0.1598417869</v>
      </c>
      <c r="F124" s="5">
        <f>IFERROR(__xludf.DUMMYFUNCTION("""COMPUTED_VALUE"""),0.22382503489995348)</f>
        <v>0.2238250349</v>
      </c>
      <c r="G124" s="5">
        <f>IFERROR(__xludf.DUMMYFUNCTION("""COMPUTED_VALUE"""),0.18008375988832015)</f>
        <v>0.1800837599</v>
      </c>
      <c r="H124" s="5">
        <f>IFERROR(__xludf.DUMMYFUNCTION("""COMPUTED_VALUE"""),0.6153846153846154)</f>
        <v>0.6153846154</v>
      </c>
      <c r="I124" s="11">
        <f>IFERROR(__xludf.DUMMYFUNCTION("""COMPUTED_VALUE"""),5542.307692307692)</f>
        <v>5542.307692</v>
      </c>
      <c r="J124" s="10">
        <f>IFERROR(__xludf.DUMMYFUNCTION("""COMPUTED_VALUE"""),0.0)</f>
        <v>0</v>
      </c>
      <c r="K124" s="5">
        <f>IFERROR(__xludf.DUMMYFUNCTION("""COMPUTED_VALUE"""),0.0)</f>
        <v>0</v>
      </c>
      <c r="L124" s="10">
        <f>IFERROR(__xludf.DUMMYFUNCTION("""COMPUTED_VALUE"""),0.0)</f>
        <v>0</v>
      </c>
      <c r="M124" s="5">
        <f>IFERROR(__xludf.DUMMYFUNCTION("""COMPUTED_VALUE"""),0.0)</f>
        <v>0</v>
      </c>
    </row>
    <row r="125">
      <c r="A125" s="10" t="str">
        <f>IFERROR(__xludf.DUMMYFUNCTION("""COMPUTED_VALUE"""),"yagi0220")</f>
        <v>yagi0220</v>
      </c>
      <c r="B125" s="10">
        <f>IFERROR(__xludf.DUMMYFUNCTION("""COMPUTED_VALUE"""),738.0)</f>
        <v>738</v>
      </c>
      <c r="C125" s="10">
        <f>IFERROR(__xludf.DUMMYFUNCTION("""COMPUTED_VALUE"""),8658.0)</f>
        <v>8658</v>
      </c>
      <c r="D125" s="5">
        <f>IFERROR(__xludf.DUMMYFUNCTION("""COMPUTED_VALUE"""),0.36287878787878786)</f>
        <v>0.3628787879</v>
      </c>
      <c r="E125" s="5">
        <f>IFERROR(__xludf.DUMMYFUNCTION("""COMPUTED_VALUE"""),0.1597222222222222)</f>
        <v>0.1597222222</v>
      </c>
      <c r="F125" s="5">
        <f>IFERROR(__xludf.DUMMYFUNCTION("""COMPUTED_VALUE"""),0.24267676767676769)</f>
        <v>0.2426767677</v>
      </c>
      <c r="G125" s="5">
        <f>IFERROR(__xludf.DUMMYFUNCTION("""COMPUTED_VALUE"""),0.2106060606060606)</f>
        <v>0.2106060606</v>
      </c>
      <c r="H125" s="5">
        <f>IFERROR(__xludf.DUMMYFUNCTION("""COMPUTED_VALUE"""),0.5858480749219563)</f>
        <v>0.5858480749</v>
      </c>
      <c r="I125" s="11">
        <f>IFERROR(__xludf.DUMMYFUNCTION("""COMPUTED_VALUE"""),5366.2851196670135)</f>
        <v>5366.28512</v>
      </c>
      <c r="J125" s="10">
        <f>IFERROR(__xludf.DUMMYFUNCTION("""COMPUTED_VALUE"""),1.0)</f>
        <v>1</v>
      </c>
      <c r="K125" s="5">
        <f>IFERROR(__xludf.DUMMYFUNCTION("""COMPUTED_VALUE"""),0.0013550135501355014)</f>
        <v>0.00135501355</v>
      </c>
      <c r="L125" s="10">
        <f>IFERROR(__xludf.DUMMYFUNCTION("""COMPUTED_VALUE"""),738.0)</f>
        <v>738</v>
      </c>
      <c r="M125" s="5">
        <f>IFERROR(__xludf.DUMMYFUNCTION("""COMPUTED_VALUE"""),1.0)</f>
        <v>1</v>
      </c>
    </row>
    <row r="126">
      <c r="A126" s="10" t="str">
        <f>IFERROR(__xludf.DUMMYFUNCTION("""COMPUTED_VALUE"""),"栗山善助")</f>
        <v>栗山善助</v>
      </c>
      <c r="B126" s="10">
        <f>IFERROR(__xludf.DUMMYFUNCTION("""COMPUTED_VALUE"""),138.0)</f>
        <v>138</v>
      </c>
      <c r="C126" s="10">
        <f>IFERROR(__xludf.DUMMYFUNCTION("""COMPUTED_VALUE"""),1578.0)</f>
        <v>1578</v>
      </c>
      <c r="D126" s="5">
        <f>IFERROR(__xludf.DUMMYFUNCTION("""COMPUTED_VALUE"""),0.35)</f>
        <v>0.35</v>
      </c>
      <c r="E126" s="5">
        <f>IFERROR(__xludf.DUMMYFUNCTION("""COMPUTED_VALUE"""),0.1597222222222222)</f>
        <v>0.1597222222</v>
      </c>
      <c r="F126" s="5">
        <f>IFERROR(__xludf.DUMMYFUNCTION("""COMPUTED_VALUE"""),0.22708333333333333)</f>
        <v>0.2270833333</v>
      </c>
      <c r="G126" s="5">
        <f>IFERROR(__xludf.DUMMYFUNCTION("""COMPUTED_VALUE"""),0.18611111111111112)</f>
        <v>0.1861111111</v>
      </c>
      <c r="H126" s="5">
        <f>IFERROR(__xludf.DUMMYFUNCTION("""COMPUTED_VALUE"""),0.6238532110091743)</f>
        <v>0.623853211</v>
      </c>
      <c r="I126" s="11">
        <f>IFERROR(__xludf.DUMMYFUNCTION("""COMPUTED_VALUE"""),5440.978593272172)</f>
        <v>5440.978593</v>
      </c>
      <c r="J126" s="10">
        <f>IFERROR(__xludf.DUMMYFUNCTION("""COMPUTED_VALUE"""),1.0)</f>
        <v>1</v>
      </c>
      <c r="K126" s="5">
        <f>IFERROR(__xludf.DUMMYFUNCTION("""COMPUTED_VALUE"""),0.007246376811594203)</f>
        <v>0.007246376812</v>
      </c>
      <c r="L126" s="10">
        <f>IFERROR(__xludf.DUMMYFUNCTION("""COMPUTED_VALUE"""),138.0)</f>
        <v>138</v>
      </c>
      <c r="M126" s="5">
        <f>IFERROR(__xludf.DUMMYFUNCTION("""COMPUTED_VALUE"""),1.0)</f>
        <v>1</v>
      </c>
    </row>
    <row r="127">
      <c r="A127" s="10" t="str">
        <f>IFERROR(__xludf.DUMMYFUNCTION("""COMPUTED_VALUE"""),"Nerolii")</f>
        <v>Nerolii</v>
      </c>
      <c r="B127" s="10">
        <f>IFERROR(__xludf.DUMMYFUNCTION("""COMPUTED_VALUE"""),139.0)</f>
        <v>139</v>
      </c>
      <c r="C127" s="10">
        <f>IFERROR(__xludf.DUMMYFUNCTION("""COMPUTED_VALUE"""),1623.0)</f>
        <v>1623</v>
      </c>
      <c r="D127" s="5">
        <f>IFERROR(__xludf.DUMMYFUNCTION("""COMPUTED_VALUE"""),0.35175202156334234)</f>
        <v>0.3517520216</v>
      </c>
      <c r="E127" s="5">
        <f>IFERROR(__xludf.DUMMYFUNCTION("""COMPUTED_VALUE"""),0.1597035040431267)</f>
        <v>0.159703504</v>
      </c>
      <c r="F127" s="5">
        <f>IFERROR(__xludf.DUMMYFUNCTION("""COMPUTED_VALUE"""),0.21024258760107817)</f>
        <v>0.2102425876</v>
      </c>
      <c r="G127" s="5">
        <f>IFERROR(__xludf.DUMMYFUNCTION("""COMPUTED_VALUE"""),0.1610512129380054)</f>
        <v>0.1610512129</v>
      </c>
      <c r="H127" s="5">
        <f>IFERROR(__xludf.DUMMYFUNCTION("""COMPUTED_VALUE"""),0.592948717948718)</f>
        <v>0.5929487179</v>
      </c>
      <c r="I127" s="11">
        <f>IFERROR(__xludf.DUMMYFUNCTION("""COMPUTED_VALUE"""),5861.858974358975)</f>
        <v>5861.858974</v>
      </c>
      <c r="J127" s="10">
        <f>IFERROR(__xludf.DUMMYFUNCTION("""COMPUTED_VALUE"""),0.0)</f>
        <v>0</v>
      </c>
      <c r="K127" s="5">
        <f>IFERROR(__xludf.DUMMYFUNCTION("""COMPUTED_VALUE"""),0.0)</f>
        <v>0</v>
      </c>
      <c r="L127" s="10">
        <f>IFERROR(__xludf.DUMMYFUNCTION("""COMPUTED_VALUE"""),0.0)</f>
        <v>0</v>
      </c>
      <c r="M127" s="5">
        <f>IFERROR(__xludf.DUMMYFUNCTION("""COMPUTED_VALUE"""),0.0)</f>
        <v>0</v>
      </c>
    </row>
    <row r="128">
      <c r="A128" s="10" t="str">
        <f>IFERROR(__xludf.DUMMYFUNCTION("""COMPUTED_VALUE"""),"雀達")</f>
        <v>雀達</v>
      </c>
      <c r="B128" s="10">
        <f>IFERROR(__xludf.DUMMYFUNCTION("""COMPUTED_VALUE"""),417.0)</f>
        <v>417</v>
      </c>
      <c r="C128" s="10">
        <f>IFERROR(__xludf.DUMMYFUNCTION("""COMPUTED_VALUE"""),4844.0)</f>
        <v>4844</v>
      </c>
      <c r="D128" s="5">
        <f>IFERROR(__xludf.DUMMYFUNCTION("""COMPUTED_VALUE"""),0.41021007454257963)</f>
        <v>0.4102100745</v>
      </c>
      <c r="E128" s="5">
        <f>IFERROR(__xludf.DUMMYFUNCTION("""COMPUTED_VALUE"""),0.15970182968149987)</f>
        <v>0.1597018297</v>
      </c>
      <c r="F128" s="5">
        <f>IFERROR(__xludf.DUMMYFUNCTION("""COMPUTED_VALUE"""),0.2276936977637226)</f>
        <v>0.2276936978</v>
      </c>
      <c r="G128" s="5">
        <f>IFERROR(__xludf.DUMMYFUNCTION("""COMPUTED_VALUE"""),0.17257736616218658)</f>
        <v>0.1725773662</v>
      </c>
      <c r="H128" s="5">
        <f>IFERROR(__xludf.DUMMYFUNCTION("""COMPUTED_VALUE"""),0.6031746031746031)</f>
        <v>0.6031746032</v>
      </c>
      <c r="I128" s="11">
        <f>IFERROR(__xludf.DUMMYFUNCTION("""COMPUTED_VALUE"""),5507.837301587301)</f>
        <v>5507.837302</v>
      </c>
      <c r="J128" s="10">
        <f>IFERROR(__xludf.DUMMYFUNCTION("""COMPUTED_VALUE"""),1.0)</f>
        <v>1</v>
      </c>
      <c r="K128" s="5">
        <f>IFERROR(__xludf.DUMMYFUNCTION("""COMPUTED_VALUE"""),0.002398081534772182)</f>
        <v>0.002398081535</v>
      </c>
      <c r="L128" s="10">
        <f>IFERROR(__xludf.DUMMYFUNCTION("""COMPUTED_VALUE"""),417.0)</f>
        <v>417</v>
      </c>
      <c r="M128" s="5">
        <f>IFERROR(__xludf.DUMMYFUNCTION("""COMPUTED_VALUE"""),1.0)</f>
        <v>1</v>
      </c>
    </row>
    <row r="129">
      <c r="A129" s="10" t="str">
        <f>IFERROR(__xludf.DUMMYFUNCTION("""COMPUTED_VALUE"""),"青山天和")</f>
        <v>青山天和</v>
      </c>
      <c r="B129" s="10">
        <f>IFERROR(__xludf.DUMMYFUNCTION("""COMPUTED_VALUE"""),136.0)</f>
        <v>136</v>
      </c>
      <c r="C129" s="10">
        <f>IFERROR(__xludf.DUMMYFUNCTION("""COMPUTED_VALUE"""),1545.0)</f>
        <v>1545</v>
      </c>
      <c r="D129" s="5">
        <f>IFERROR(__xludf.DUMMYFUNCTION("""COMPUTED_VALUE"""),0.32789212207239177)</f>
        <v>0.3278921221</v>
      </c>
      <c r="E129" s="5">
        <f>IFERROR(__xludf.DUMMYFUNCTION("""COMPUTED_VALUE"""),0.1596877217885025)</f>
        <v>0.1596877218</v>
      </c>
      <c r="F129" s="5">
        <f>IFERROR(__xludf.DUMMYFUNCTION("""COMPUTED_VALUE"""),0.2320794889992903)</f>
        <v>0.232079489</v>
      </c>
      <c r="G129" s="5">
        <f>IFERROR(__xludf.DUMMYFUNCTION("""COMPUTED_VALUE"""),0.2044002838892832)</f>
        <v>0.2044002839</v>
      </c>
      <c r="H129" s="5">
        <f>IFERROR(__xludf.DUMMYFUNCTION("""COMPUTED_VALUE"""),0.5932721712538226)</f>
        <v>0.5932721713</v>
      </c>
      <c r="I129" s="11">
        <f>IFERROR(__xludf.DUMMYFUNCTION("""COMPUTED_VALUE"""),6053.211009174312)</f>
        <v>6053.211009</v>
      </c>
      <c r="J129" s="10">
        <f>IFERROR(__xludf.DUMMYFUNCTION("""COMPUTED_VALUE"""),0.0)</f>
        <v>0</v>
      </c>
      <c r="K129" s="5">
        <f>IFERROR(__xludf.DUMMYFUNCTION("""COMPUTED_VALUE"""),0.0)</f>
        <v>0</v>
      </c>
      <c r="L129" s="10">
        <f>IFERROR(__xludf.DUMMYFUNCTION("""COMPUTED_VALUE"""),136.0)</f>
        <v>136</v>
      </c>
      <c r="M129" s="5">
        <f>IFERROR(__xludf.DUMMYFUNCTION("""COMPUTED_VALUE"""),1.0)</f>
        <v>1</v>
      </c>
    </row>
    <row r="130">
      <c r="A130" s="10" t="str">
        <f>IFERROR(__xludf.DUMMYFUNCTION("""COMPUTED_VALUE"""),"上家はホモ")</f>
        <v>上家はホモ</v>
      </c>
      <c r="B130" s="10">
        <f>IFERROR(__xludf.DUMMYFUNCTION("""COMPUTED_VALUE"""),117.0)</f>
        <v>117</v>
      </c>
      <c r="C130" s="10">
        <f>IFERROR(__xludf.DUMMYFUNCTION("""COMPUTED_VALUE"""),1351.0)</f>
        <v>1351</v>
      </c>
      <c r="D130" s="5">
        <f>IFERROR(__xludf.DUMMYFUNCTION("""COMPUTED_VALUE"""),0.33063209076175043)</f>
        <v>0.3306320908</v>
      </c>
      <c r="E130" s="5">
        <f>IFERROR(__xludf.DUMMYFUNCTION("""COMPUTED_VALUE"""),0.15964343598055106)</f>
        <v>0.159643436</v>
      </c>
      <c r="F130" s="5">
        <f>IFERROR(__xludf.DUMMYFUNCTION("""COMPUTED_VALUE"""),0.20583468395461912)</f>
        <v>0.205834684</v>
      </c>
      <c r="G130" s="5">
        <f>IFERROR(__xludf.DUMMYFUNCTION("""COMPUTED_VALUE"""),0.1693679092382496)</f>
        <v>0.1693679092</v>
      </c>
      <c r="H130" s="5">
        <f>IFERROR(__xludf.DUMMYFUNCTION("""COMPUTED_VALUE"""),0.6377952755905512)</f>
        <v>0.6377952756</v>
      </c>
      <c r="I130" s="11">
        <f>IFERROR(__xludf.DUMMYFUNCTION("""COMPUTED_VALUE"""),5284.251968503937)</f>
        <v>5284.251969</v>
      </c>
      <c r="J130" s="10">
        <f>IFERROR(__xludf.DUMMYFUNCTION("""COMPUTED_VALUE"""),0.0)</f>
        <v>0</v>
      </c>
      <c r="K130" s="5">
        <f>IFERROR(__xludf.DUMMYFUNCTION("""COMPUTED_VALUE"""),0.0)</f>
        <v>0</v>
      </c>
      <c r="L130" s="10">
        <f>IFERROR(__xludf.DUMMYFUNCTION("""COMPUTED_VALUE"""),117.0)</f>
        <v>117</v>
      </c>
      <c r="M130" s="5">
        <f>IFERROR(__xludf.DUMMYFUNCTION("""COMPUTED_VALUE"""),1.0)</f>
        <v>1</v>
      </c>
    </row>
    <row r="131">
      <c r="A131" s="10" t="str">
        <f>IFERROR(__xludf.DUMMYFUNCTION("""COMPUTED_VALUE"""),"hiro_jck")</f>
        <v>hiro_jck</v>
      </c>
      <c r="B131" s="10">
        <f>IFERROR(__xludf.DUMMYFUNCTION("""COMPUTED_VALUE"""),179.0)</f>
        <v>179</v>
      </c>
      <c r="C131" s="10">
        <f>IFERROR(__xludf.DUMMYFUNCTION("""COMPUTED_VALUE"""),2065.0)</f>
        <v>2065</v>
      </c>
      <c r="D131" s="5">
        <f>IFERROR(__xludf.DUMMYFUNCTION("""COMPUTED_VALUE"""),0.32237539766702017)</f>
        <v>0.3223753977</v>
      </c>
      <c r="E131" s="5">
        <f>IFERROR(__xludf.DUMMYFUNCTION("""COMPUTED_VALUE"""),0.15959703075291623)</f>
        <v>0.1595970308</v>
      </c>
      <c r="F131" s="5">
        <f>IFERROR(__xludf.DUMMYFUNCTION("""COMPUTED_VALUE"""),0.2168610816542948)</f>
        <v>0.2168610817</v>
      </c>
      <c r="G131" s="5">
        <f>IFERROR(__xludf.DUMMYFUNCTION("""COMPUTED_VALUE"""),0.14316012725344646)</f>
        <v>0.1431601273</v>
      </c>
      <c r="H131" s="5">
        <f>IFERROR(__xludf.DUMMYFUNCTION("""COMPUTED_VALUE"""),0.6381418092909535)</f>
        <v>0.6381418093</v>
      </c>
      <c r="I131" s="11">
        <f>IFERROR(__xludf.DUMMYFUNCTION("""COMPUTED_VALUE"""),5317.60391198044)</f>
        <v>5317.603912</v>
      </c>
      <c r="J131" s="10">
        <f>IFERROR(__xludf.DUMMYFUNCTION("""COMPUTED_VALUE"""),1.0)</f>
        <v>1</v>
      </c>
      <c r="K131" s="5">
        <f>IFERROR(__xludf.DUMMYFUNCTION("""COMPUTED_VALUE"""),0.00558659217877095)</f>
        <v>0.005586592179</v>
      </c>
      <c r="L131" s="10">
        <f>IFERROR(__xludf.DUMMYFUNCTION("""COMPUTED_VALUE"""),179.0)</f>
        <v>179</v>
      </c>
      <c r="M131" s="5">
        <f>IFERROR(__xludf.DUMMYFUNCTION("""COMPUTED_VALUE"""),1.0)</f>
        <v>1</v>
      </c>
    </row>
    <row r="132">
      <c r="A132" s="10" t="str">
        <f>IFERROR(__xludf.DUMMYFUNCTION("""COMPUTED_VALUE"""),"sho0ohs")</f>
        <v>sho0ohs</v>
      </c>
      <c r="B132" s="10">
        <f>IFERROR(__xludf.DUMMYFUNCTION("""COMPUTED_VALUE"""),114.0)</f>
        <v>114</v>
      </c>
      <c r="C132" s="10">
        <f>IFERROR(__xludf.DUMMYFUNCTION("""COMPUTED_VALUE"""),1361.0)</f>
        <v>1361</v>
      </c>
      <c r="D132" s="5">
        <f>IFERROR(__xludf.DUMMYFUNCTION("""COMPUTED_VALUE"""),0.35765838011226947)</f>
        <v>0.3576583801</v>
      </c>
      <c r="E132" s="5">
        <f>IFERROR(__xludf.DUMMYFUNCTION("""COMPUTED_VALUE"""),0.1595829991980754)</f>
        <v>0.1595829992</v>
      </c>
      <c r="F132" s="5">
        <f>IFERROR(__xludf.DUMMYFUNCTION("""COMPUTED_VALUE"""),0.19005613472333602)</f>
        <v>0.1900561347</v>
      </c>
      <c r="G132" s="5">
        <f>IFERROR(__xludf.DUMMYFUNCTION("""COMPUTED_VALUE"""),0.19727345629510826)</f>
        <v>0.1972734563</v>
      </c>
      <c r="H132" s="5">
        <f>IFERROR(__xludf.DUMMYFUNCTION("""COMPUTED_VALUE"""),0.5569620253164557)</f>
        <v>0.5569620253</v>
      </c>
      <c r="I132" s="11">
        <f>IFERROR(__xludf.DUMMYFUNCTION("""COMPUTED_VALUE"""),5883.544303797468)</f>
        <v>5883.544304</v>
      </c>
      <c r="J132" s="10">
        <f>IFERROR(__xludf.DUMMYFUNCTION("""COMPUTED_VALUE"""),0.0)</f>
        <v>0</v>
      </c>
      <c r="K132" s="5">
        <f>IFERROR(__xludf.DUMMYFUNCTION("""COMPUTED_VALUE"""),0.0)</f>
        <v>0</v>
      </c>
      <c r="L132" s="10">
        <f>IFERROR(__xludf.DUMMYFUNCTION("""COMPUTED_VALUE"""),114.0)</f>
        <v>114</v>
      </c>
      <c r="M132" s="5">
        <f>IFERROR(__xludf.DUMMYFUNCTION("""COMPUTED_VALUE"""),1.0)</f>
        <v>1</v>
      </c>
    </row>
    <row r="133">
      <c r="A133" s="10" t="str">
        <f>IFERROR(__xludf.DUMMYFUNCTION("""COMPUTED_VALUE"""),"わしっず")</f>
        <v>わしっず</v>
      </c>
      <c r="B133" s="10">
        <f>IFERROR(__xludf.DUMMYFUNCTION("""COMPUTED_VALUE"""),195.0)</f>
        <v>195</v>
      </c>
      <c r="C133" s="10">
        <f>IFERROR(__xludf.DUMMYFUNCTION("""COMPUTED_VALUE"""),2247.0)</f>
        <v>2247</v>
      </c>
      <c r="D133" s="5">
        <f>IFERROR(__xludf.DUMMYFUNCTION("""COMPUTED_VALUE"""),0.3255360623781676)</f>
        <v>0.3255360624</v>
      </c>
      <c r="E133" s="5">
        <f>IFERROR(__xludf.DUMMYFUNCTION("""COMPUTED_VALUE"""),0.15935672514619884)</f>
        <v>0.1593567251</v>
      </c>
      <c r="F133" s="5">
        <f>IFERROR(__xludf.DUMMYFUNCTION("""COMPUTED_VALUE"""),0.21393762183235868)</f>
        <v>0.2139376218</v>
      </c>
      <c r="G133" s="5">
        <f>IFERROR(__xludf.DUMMYFUNCTION("""COMPUTED_VALUE"""),0.19395711500974658)</f>
        <v>0.193957115</v>
      </c>
      <c r="H133" s="5">
        <f>IFERROR(__xludf.DUMMYFUNCTION("""COMPUTED_VALUE"""),0.5535307517084282)</f>
        <v>0.5535307517</v>
      </c>
      <c r="I133" s="11">
        <f>IFERROR(__xludf.DUMMYFUNCTION("""COMPUTED_VALUE"""),5934.851936218679)</f>
        <v>5934.851936</v>
      </c>
      <c r="J133" s="10">
        <f>IFERROR(__xludf.DUMMYFUNCTION("""COMPUTED_VALUE"""),1.0)</f>
        <v>1</v>
      </c>
      <c r="K133" s="5">
        <f>IFERROR(__xludf.DUMMYFUNCTION("""COMPUTED_VALUE"""),0.005128205128205128)</f>
        <v>0.005128205128</v>
      </c>
      <c r="L133" s="10">
        <f>IFERROR(__xludf.DUMMYFUNCTION("""COMPUTED_VALUE"""),195.0)</f>
        <v>195</v>
      </c>
      <c r="M133" s="5">
        <f>IFERROR(__xludf.DUMMYFUNCTION("""COMPUTED_VALUE"""),1.0)</f>
        <v>1</v>
      </c>
    </row>
    <row r="134">
      <c r="A134" s="10" t="str">
        <f>IFERROR(__xludf.DUMMYFUNCTION("""COMPUTED_VALUE"""),"はゆう")</f>
        <v>はゆう</v>
      </c>
      <c r="B134" s="10">
        <f>IFERROR(__xludf.DUMMYFUNCTION("""COMPUTED_VALUE"""),120.0)</f>
        <v>120</v>
      </c>
      <c r="C134" s="10">
        <f>IFERROR(__xludf.DUMMYFUNCTION("""COMPUTED_VALUE"""),1419.0)</f>
        <v>1419</v>
      </c>
      <c r="D134" s="5">
        <f>IFERROR(__xludf.DUMMYFUNCTION("""COMPUTED_VALUE"""),0.317167051578137)</f>
        <v>0.3171670516</v>
      </c>
      <c r="E134" s="5">
        <f>IFERROR(__xludf.DUMMYFUNCTION("""COMPUTED_VALUE"""),0.15935334872979215)</f>
        <v>0.1593533487</v>
      </c>
      <c r="F134" s="5">
        <f>IFERROR(__xludf.DUMMYFUNCTION("""COMPUTED_VALUE"""),0.18937644341801385)</f>
        <v>0.1893764434</v>
      </c>
      <c r="G134" s="5">
        <f>IFERROR(__xludf.DUMMYFUNCTION("""COMPUTED_VALUE"""),0.15319476520400307)</f>
        <v>0.1531947652</v>
      </c>
      <c r="H134" s="5">
        <f>IFERROR(__xludf.DUMMYFUNCTION("""COMPUTED_VALUE"""),0.5894308943089431)</f>
        <v>0.5894308943</v>
      </c>
      <c r="I134" s="11">
        <f>IFERROR(__xludf.DUMMYFUNCTION("""COMPUTED_VALUE"""),5681.707317073171)</f>
        <v>5681.707317</v>
      </c>
      <c r="J134" s="10">
        <f>IFERROR(__xludf.DUMMYFUNCTION("""COMPUTED_VALUE"""),0.0)</f>
        <v>0</v>
      </c>
      <c r="K134" s="5">
        <f>IFERROR(__xludf.DUMMYFUNCTION("""COMPUTED_VALUE"""),0.0)</f>
        <v>0</v>
      </c>
      <c r="L134" s="10">
        <f>IFERROR(__xludf.DUMMYFUNCTION("""COMPUTED_VALUE"""),120.0)</f>
        <v>120</v>
      </c>
      <c r="M134" s="5">
        <f>IFERROR(__xludf.DUMMYFUNCTION("""COMPUTED_VALUE"""),1.0)</f>
        <v>1</v>
      </c>
    </row>
    <row r="135">
      <c r="A135" s="10" t="str">
        <f>IFERROR(__xludf.DUMMYFUNCTION("""COMPUTED_VALUE"""),"@イカ")</f>
        <v>@イカ</v>
      </c>
      <c r="B135" s="10">
        <f>IFERROR(__xludf.DUMMYFUNCTION("""COMPUTED_VALUE"""),459.0)</f>
        <v>459</v>
      </c>
      <c r="C135" s="10">
        <f>IFERROR(__xludf.DUMMYFUNCTION("""COMPUTED_VALUE"""),5361.0)</f>
        <v>5361</v>
      </c>
      <c r="D135" s="5">
        <f>IFERROR(__xludf.DUMMYFUNCTION("""COMPUTED_VALUE"""),0.4057527539779682)</f>
        <v>0.405752754</v>
      </c>
      <c r="E135" s="5">
        <f>IFERROR(__xludf.DUMMYFUNCTION("""COMPUTED_VALUE"""),0.15932272541819664)</f>
        <v>0.1593227254</v>
      </c>
      <c r="F135" s="5">
        <f>IFERROR(__xludf.DUMMYFUNCTION("""COMPUTED_VALUE"""),0.22378620971032231)</f>
        <v>0.2237862097</v>
      </c>
      <c r="G135" s="5">
        <f>IFERROR(__xludf.DUMMYFUNCTION("""COMPUTED_VALUE"""),0.18910648714810283)</f>
        <v>0.1891064871</v>
      </c>
      <c r="H135" s="5">
        <f>IFERROR(__xludf.DUMMYFUNCTION("""COMPUTED_VALUE"""),0.5943482224247949)</f>
        <v>0.5943482224</v>
      </c>
      <c r="I135" s="11">
        <f>IFERROR(__xludf.DUMMYFUNCTION("""COMPUTED_VALUE"""),5707.110300820419)</f>
        <v>5707.110301</v>
      </c>
      <c r="J135" s="10">
        <f>IFERROR(__xludf.DUMMYFUNCTION("""COMPUTED_VALUE"""),0.0)</f>
        <v>0</v>
      </c>
      <c r="K135" s="5">
        <f>IFERROR(__xludf.DUMMYFUNCTION("""COMPUTED_VALUE"""),0.0)</f>
        <v>0</v>
      </c>
      <c r="L135" s="10">
        <f>IFERROR(__xludf.DUMMYFUNCTION("""COMPUTED_VALUE"""),263.0)</f>
        <v>263</v>
      </c>
      <c r="M135" s="5">
        <f>IFERROR(__xludf.DUMMYFUNCTION("""COMPUTED_VALUE"""),0.5729847494553377)</f>
        <v>0.5729847495</v>
      </c>
    </row>
    <row r="136">
      <c r="A136" s="10" t="str">
        <f>IFERROR(__xludf.DUMMYFUNCTION("""COMPUTED_VALUE"""),"ZAKK51")</f>
        <v>ZAKK51</v>
      </c>
      <c r="B136" s="10">
        <f>IFERROR(__xludf.DUMMYFUNCTION("""COMPUTED_VALUE"""),189.0)</f>
        <v>189</v>
      </c>
      <c r="C136" s="10">
        <f>IFERROR(__xludf.DUMMYFUNCTION("""COMPUTED_VALUE"""),2224.0)</f>
        <v>2224</v>
      </c>
      <c r="D136" s="5">
        <f>IFERROR(__xludf.DUMMYFUNCTION("""COMPUTED_VALUE"""),0.2702702702702703)</f>
        <v>0.2702702703</v>
      </c>
      <c r="E136" s="5">
        <f>IFERROR(__xludf.DUMMYFUNCTION("""COMPUTED_VALUE"""),0.15921375921375922)</f>
        <v>0.1592137592</v>
      </c>
      <c r="F136" s="5">
        <f>IFERROR(__xludf.DUMMYFUNCTION("""COMPUTED_VALUE"""),0.20835380835380835)</f>
        <v>0.2083538084</v>
      </c>
      <c r="G136" s="5">
        <f>IFERROR(__xludf.DUMMYFUNCTION("""COMPUTED_VALUE"""),0.2230958230958231)</f>
        <v>0.2230958231</v>
      </c>
      <c r="H136" s="5">
        <f>IFERROR(__xludf.DUMMYFUNCTION("""COMPUTED_VALUE"""),0.6202830188679245)</f>
        <v>0.6202830189</v>
      </c>
      <c r="I136" s="11">
        <f>IFERROR(__xludf.DUMMYFUNCTION("""COMPUTED_VALUE"""),6302.358490566037)</f>
        <v>6302.358491</v>
      </c>
      <c r="J136" s="10">
        <f>IFERROR(__xludf.DUMMYFUNCTION("""COMPUTED_VALUE"""),1.0)</f>
        <v>1</v>
      </c>
      <c r="K136" s="5">
        <f>IFERROR(__xludf.DUMMYFUNCTION("""COMPUTED_VALUE"""),0.005291005291005291)</f>
        <v>0.005291005291</v>
      </c>
      <c r="L136" s="10">
        <f>IFERROR(__xludf.DUMMYFUNCTION("""COMPUTED_VALUE"""),189.0)</f>
        <v>189</v>
      </c>
      <c r="M136" s="5">
        <f>IFERROR(__xludf.DUMMYFUNCTION("""COMPUTED_VALUE"""),1.0)</f>
        <v>1</v>
      </c>
    </row>
    <row r="137">
      <c r="A137" s="10" t="str">
        <f>IFERROR(__xludf.DUMMYFUNCTION("""COMPUTED_VALUE"""),"ピヨリg")</f>
        <v>ピヨリg</v>
      </c>
      <c r="B137" s="10">
        <f>IFERROR(__xludf.DUMMYFUNCTION("""COMPUTED_VALUE"""),154.0)</f>
        <v>154</v>
      </c>
      <c r="C137" s="10">
        <f>IFERROR(__xludf.DUMMYFUNCTION("""COMPUTED_VALUE"""),1775.0)</f>
        <v>1775</v>
      </c>
      <c r="D137" s="5">
        <f>IFERROR(__xludf.DUMMYFUNCTION("""COMPUTED_VALUE"""),0.3584207279457125)</f>
        <v>0.3584207279</v>
      </c>
      <c r="E137" s="5">
        <f>IFERROR(__xludf.DUMMYFUNCTION("""COMPUTED_VALUE"""),0.1591610117211598)</f>
        <v>0.1591610117</v>
      </c>
      <c r="F137" s="5">
        <f>IFERROR(__xludf.DUMMYFUNCTION("""COMPUTED_VALUE"""),0.20604565083281925)</f>
        <v>0.2060456508</v>
      </c>
      <c r="G137" s="5">
        <f>IFERROR(__xludf.DUMMYFUNCTION("""COMPUTED_VALUE"""),0.1906230721776681)</f>
        <v>0.1906230722</v>
      </c>
      <c r="H137" s="5">
        <f>IFERROR(__xludf.DUMMYFUNCTION("""COMPUTED_VALUE"""),0.6077844311377245)</f>
        <v>0.6077844311</v>
      </c>
      <c r="I137" s="11">
        <f>IFERROR(__xludf.DUMMYFUNCTION("""COMPUTED_VALUE"""),5877.8443113772455)</f>
        <v>5877.844311</v>
      </c>
      <c r="J137" s="10">
        <f>IFERROR(__xludf.DUMMYFUNCTION("""COMPUTED_VALUE"""),1.0)</f>
        <v>1</v>
      </c>
      <c r="K137" s="5">
        <f>IFERROR(__xludf.DUMMYFUNCTION("""COMPUTED_VALUE"""),0.006493506493506494)</f>
        <v>0.006493506494</v>
      </c>
      <c r="L137" s="10">
        <f>IFERROR(__xludf.DUMMYFUNCTION("""COMPUTED_VALUE"""),154.0)</f>
        <v>154</v>
      </c>
      <c r="M137" s="5">
        <f>IFERROR(__xludf.DUMMYFUNCTION("""COMPUTED_VALUE"""),1.0)</f>
        <v>1</v>
      </c>
    </row>
    <row r="138">
      <c r="A138" s="10" t="str">
        <f>IFERROR(__xludf.DUMMYFUNCTION("""COMPUTED_VALUE"""),"pillow☆")</f>
        <v>pillow☆</v>
      </c>
      <c r="B138" s="10">
        <f>IFERROR(__xludf.DUMMYFUNCTION("""COMPUTED_VALUE"""),255.0)</f>
        <v>255</v>
      </c>
      <c r="C138" s="10">
        <f>IFERROR(__xludf.DUMMYFUNCTION("""COMPUTED_VALUE"""),2926.0)</f>
        <v>2926</v>
      </c>
      <c r="D138" s="5">
        <f>IFERROR(__xludf.DUMMYFUNCTION("""COMPUTED_VALUE"""),0.35754399101460127)</f>
        <v>0.357543991</v>
      </c>
      <c r="E138" s="5">
        <f>IFERROR(__xludf.DUMMYFUNCTION("""COMPUTED_VALUE"""),0.15911643579183826)</f>
        <v>0.1591164358</v>
      </c>
      <c r="F138" s="5">
        <f>IFERROR(__xludf.DUMMYFUNCTION("""COMPUTED_VALUE"""),0.21714713590415574)</f>
        <v>0.2171471359</v>
      </c>
      <c r="G138" s="5">
        <f>IFERROR(__xludf.DUMMYFUNCTION("""COMPUTED_VALUE"""),0.18494945713216024)</f>
        <v>0.1849494571</v>
      </c>
      <c r="H138" s="5">
        <f>IFERROR(__xludf.DUMMYFUNCTION("""COMPUTED_VALUE"""),0.6379310344827587)</f>
        <v>0.6379310345</v>
      </c>
      <c r="I138" s="11">
        <f>IFERROR(__xludf.DUMMYFUNCTION("""COMPUTED_VALUE"""),5280.3448275862065)</f>
        <v>5280.344828</v>
      </c>
      <c r="J138" s="10">
        <f>IFERROR(__xludf.DUMMYFUNCTION("""COMPUTED_VALUE"""),0.0)</f>
        <v>0</v>
      </c>
      <c r="K138" s="5">
        <f>IFERROR(__xludf.DUMMYFUNCTION("""COMPUTED_VALUE"""),0.0)</f>
        <v>0</v>
      </c>
      <c r="L138" s="10">
        <f>IFERROR(__xludf.DUMMYFUNCTION("""COMPUTED_VALUE"""),33.0)</f>
        <v>33</v>
      </c>
      <c r="M138" s="5">
        <f>IFERROR(__xludf.DUMMYFUNCTION("""COMPUTED_VALUE"""),0.12941176470588237)</f>
        <v>0.1294117647</v>
      </c>
    </row>
    <row r="139">
      <c r="A139" s="10" t="str">
        <f>IFERROR(__xludf.DUMMYFUNCTION("""COMPUTED_VALUE"""),"出水")</f>
        <v>出水</v>
      </c>
      <c r="B139" s="10">
        <f>IFERROR(__xludf.DUMMYFUNCTION("""COMPUTED_VALUE"""),139.0)</f>
        <v>139</v>
      </c>
      <c r="C139" s="10">
        <f>IFERROR(__xludf.DUMMYFUNCTION("""COMPUTED_VALUE"""),1604.0)</f>
        <v>1604</v>
      </c>
      <c r="D139" s="5">
        <f>IFERROR(__xludf.DUMMYFUNCTION("""COMPUTED_VALUE"""),0.37133105802047783)</f>
        <v>0.371331058</v>
      </c>
      <c r="E139" s="5">
        <f>IFERROR(__xludf.DUMMYFUNCTION("""COMPUTED_VALUE"""),0.1590443686006826)</f>
        <v>0.1590443686</v>
      </c>
      <c r="F139" s="5">
        <f>IFERROR(__xludf.DUMMYFUNCTION("""COMPUTED_VALUE"""),0.1931740614334471)</f>
        <v>0.1931740614</v>
      </c>
      <c r="G139" s="5">
        <f>IFERROR(__xludf.DUMMYFUNCTION("""COMPUTED_VALUE"""),0.17474402730375427)</f>
        <v>0.1747440273</v>
      </c>
      <c r="H139" s="5">
        <f>IFERROR(__xludf.DUMMYFUNCTION("""COMPUTED_VALUE"""),0.5547703180212014)</f>
        <v>0.554770318</v>
      </c>
      <c r="I139" s="11">
        <f>IFERROR(__xludf.DUMMYFUNCTION("""COMPUTED_VALUE"""),5762.897526501767)</f>
        <v>5762.897527</v>
      </c>
      <c r="J139" s="10">
        <f>IFERROR(__xludf.DUMMYFUNCTION("""COMPUTED_VALUE"""),1.0)</f>
        <v>1</v>
      </c>
      <c r="K139" s="5">
        <f>IFERROR(__xludf.DUMMYFUNCTION("""COMPUTED_VALUE"""),0.007194244604316547)</f>
        <v>0.007194244604</v>
      </c>
      <c r="L139" s="10">
        <f>IFERROR(__xludf.DUMMYFUNCTION("""COMPUTED_VALUE"""),139.0)</f>
        <v>139</v>
      </c>
      <c r="M139" s="5">
        <f>IFERROR(__xludf.DUMMYFUNCTION("""COMPUTED_VALUE"""),1.0)</f>
        <v>1</v>
      </c>
    </row>
    <row r="140">
      <c r="A140" s="10" t="str">
        <f>IFERROR(__xludf.DUMMYFUNCTION("""COMPUTED_VALUE"""),"来栖鳥")</f>
        <v>来栖鳥</v>
      </c>
      <c r="B140" s="10">
        <f>IFERROR(__xludf.DUMMYFUNCTION("""COMPUTED_VALUE"""),634.0)</f>
        <v>634</v>
      </c>
      <c r="C140" s="10">
        <f>IFERROR(__xludf.DUMMYFUNCTION("""COMPUTED_VALUE"""),7400.0)</f>
        <v>7400</v>
      </c>
      <c r="D140" s="5">
        <f>IFERROR(__xludf.DUMMYFUNCTION("""COMPUTED_VALUE"""),0.4920189181200118)</f>
        <v>0.4920189181</v>
      </c>
      <c r="E140" s="5">
        <f>IFERROR(__xludf.DUMMYFUNCTION("""COMPUTED_VALUE"""),0.15903044634939403)</f>
        <v>0.1590304463</v>
      </c>
      <c r="F140" s="5">
        <f>IFERROR(__xludf.DUMMYFUNCTION("""COMPUTED_VALUE"""),0.22657404670410877)</f>
        <v>0.2265740467</v>
      </c>
      <c r="G140" s="5">
        <f>IFERROR(__xludf.DUMMYFUNCTION("""COMPUTED_VALUE"""),0.12075081288796925)</f>
        <v>0.1207508129</v>
      </c>
      <c r="H140" s="5">
        <f>IFERROR(__xludf.DUMMYFUNCTION("""COMPUTED_VALUE"""),0.6268754076973255)</f>
        <v>0.6268754077</v>
      </c>
      <c r="I140" s="11">
        <f>IFERROR(__xludf.DUMMYFUNCTION("""COMPUTED_VALUE"""),5219.178082191781)</f>
        <v>5219.178082</v>
      </c>
      <c r="J140" s="10">
        <f>IFERROR(__xludf.DUMMYFUNCTION("""COMPUTED_VALUE"""),0.0)</f>
        <v>0</v>
      </c>
      <c r="K140" s="5">
        <f>IFERROR(__xludf.DUMMYFUNCTION("""COMPUTED_VALUE"""),0.0)</f>
        <v>0</v>
      </c>
      <c r="L140" s="10">
        <f>IFERROR(__xludf.DUMMYFUNCTION("""COMPUTED_VALUE"""),634.0)</f>
        <v>634</v>
      </c>
      <c r="M140" s="5">
        <f>IFERROR(__xludf.DUMMYFUNCTION("""COMPUTED_VALUE"""),1.0)</f>
        <v>1</v>
      </c>
    </row>
    <row r="141">
      <c r="A141" s="10" t="str">
        <f>IFERROR(__xludf.DUMMYFUNCTION("""COMPUTED_VALUE"""),"HKG&lt;&gt;LHR")</f>
        <v>HKG&lt;&gt;LHR</v>
      </c>
      <c r="B141" s="10">
        <f>IFERROR(__xludf.DUMMYFUNCTION("""COMPUTED_VALUE"""),437.0)</f>
        <v>437</v>
      </c>
      <c r="C141" s="10">
        <f>IFERROR(__xludf.DUMMYFUNCTION("""COMPUTED_VALUE"""),5078.0)</f>
        <v>5078</v>
      </c>
      <c r="D141" s="5">
        <f>IFERROR(__xludf.DUMMYFUNCTION("""COMPUTED_VALUE"""),0.41004093945270415)</f>
        <v>0.4100409395</v>
      </c>
      <c r="E141" s="5">
        <f>IFERROR(__xludf.DUMMYFUNCTION("""COMPUTED_VALUE"""),0.15901745313510018)</f>
        <v>0.1590174531</v>
      </c>
      <c r="F141" s="5">
        <f>IFERROR(__xludf.DUMMYFUNCTION("""COMPUTED_VALUE"""),0.21913380736910149)</f>
        <v>0.2191338074</v>
      </c>
      <c r="G141" s="5">
        <f>IFERROR(__xludf.DUMMYFUNCTION("""COMPUTED_VALUE"""),0.1478129713423831)</f>
        <v>0.1478129713</v>
      </c>
      <c r="H141" s="5">
        <f>IFERROR(__xludf.DUMMYFUNCTION("""COMPUTED_VALUE"""),0.6253687315634219)</f>
        <v>0.6253687316</v>
      </c>
      <c r="I141" s="11">
        <f>IFERROR(__xludf.DUMMYFUNCTION("""COMPUTED_VALUE"""),5751.032448377581)</f>
        <v>5751.032448</v>
      </c>
      <c r="J141" s="10">
        <f>IFERROR(__xludf.DUMMYFUNCTION("""COMPUTED_VALUE"""),0.0)</f>
        <v>0</v>
      </c>
      <c r="K141" s="5">
        <f>IFERROR(__xludf.DUMMYFUNCTION("""COMPUTED_VALUE"""),0.0)</f>
        <v>0</v>
      </c>
      <c r="L141" s="10">
        <f>IFERROR(__xludf.DUMMYFUNCTION("""COMPUTED_VALUE"""),437.0)</f>
        <v>437</v>
      </c>
      <c r="M141" s="5">
        <f>IFERROR(__xludf.DUMMYFUNCTION("""COMPUTED_VALUE"""),1.0)</f>
        <v>1</v>
      </c>
    </row>
    <row r="142">
      <c r="A142" s="10" t="str">
        <f>IFERROR(__xludf.DUMMYFUNCTION("""COMPUTED_VALUE"""),"蒼狼")</f>
        <v>蒼狼</v>
      </c>
      <c r="B142" s="10">
        <f>IFERROR(__xludf.DUMMYFUNCTION("""COMPUTED_VALUE"""),256.0)</f>
        <v>256</v>
      </c>
      <c r="C142" s="10">
        <f>IFERROR(__xludf.DUMMYFUNCTION("""COMPUTED_VALUE"""),2998.0)</f>
        <v>2998</v>
      </c>
      <c r="D142" s="5">
        <f>IFERROR(__xludf.DUMMYFUNCTION("""COMPUTED_VALUE"""),0.30452224653537563)</f>
        <v>0.3045222465</v>
      </c>
      <c r="E142" s="5">
        <f>IFERROR(__xludf.DUMMYFUNCTION("""COMPUTED_VALUE"""),0.15900802334062727)</f>
        <v>0.1590080233</v>
      </c>
      <c r="F142" s="5">
        <f>IFERROR(__xludf.DUMMYFUNCTION("""COMPUTED_VALUE"""),0.21261852662290298)</f>
        <v>0.2126185266</v>
      </c>
      <c r="G142" s="5">
        <f>IFERROR(__xludf.DUMMYFUNCTION("""COMPUTED_VALUE"""),0.15827862873814733)</f>
        <v>0.1582786287</v>
      </c>
      <c r="H142" s="5">
        <f>IFERROR(__xludf.DUMMYFUNCTION("""COMPUTED_VALUE"""),0.5986277873070326)</f>
        <v>0.5986277873</v>
      </c>
      <c r="I142" s="11">
        <f>IFERROR(__xludf.DUMMYFUNCTION("""COMPUTED_VALUE"""),6070.840480274443)</f>
        <v>6070.84048</v>
      </c>
      <c r="J142" s="10">
        <f>IFERROR(__xludf.DUMMYFUNCTION("""COMPUTED_VALUE"""),5.0)</f>
        <v>5</v>
      </c>
      <c r="K142" s="5">
        <f>IFERROR(__xludf.DUMMYFUNCTION("""COMPUTED_VALUE"""),0.01953125)</f>
        <v>0.01953125</v>
      </c>
      <c r="L142" s="10">
        <f>IFERROR(__xludf.DUMMYFUNCTION("""COMPUTED_VALUE"""),256.0)</f>
        <v>256</v>
      </c>
      <c r="M142" s="5">
        <f>IFERROR(__xludf.DUMMYFUNCTION("""COMPUTED_VALUE"""),1.0)</f>
        <v>1</v>
      </c>
    </row>
    <row r="143">
      <c r="A143" s="10" t="str">
        <f>IFERROR(__xludf.DUMMYFUNCTION("""COMPUTED_VALUE"""),"Sufjan")</f>
        <v>Sufjan</v>
      </c>
      <c r="B143" s="10">
        <f>IFERROR(__xludf.DUMMYFUNCTION("""COMPUTED_VALUE"""),103.0)</f>
        <v>103</v>
      </c>
      <c r="C143" s="10">
        <f>IFERROR(__xludf.DUMMYFUNCTION("""COMPUTED_VALUE"""),1192.0)</f>
        <v>1192</v>
      </c>
      <c r="D143" s="5">
        <f>IFERROR(__xludf.DUMMYFUNCTION("""COMPUTED_VALUE"""),0.4325068870523416)</f>
        <v>0.4325068871</v>
      </c>
      <c r="E143" s="5">
        <f>IFERROR(__xludf.DUMMYFUNCTION("""COMPUTED_VALUE"""),0.1588613406795225)</f>
        <v>0.1588613407</v>
      </c>
      <c r="F143" s="5">
        <f>IFERROR(__xludf.DUMMYFUNCTION("""COMPUTED_VALUE"""),0.22681359044995408)</f>
        <v>0.2268135904</v>
      </c>
      <c r="G143" s="5">
        <f>IFERROR(__xludf.DUMMYFUNCTION("""COMPUTED_VALUE"""),0.1763085399449036)</f>
        <v>0.1763085399</v>
      </c>
      <c r="H143" s="5">
        <f>IFERROR(__xludf.DUMMYFUNCTION("""COMPUTED_VALUE"""),0.6275303643724697)</f>
        <v>0.6275303644</v>
      </c>
      <c r="I143" s="11">
        <f>IFERROR(__xludf.DUMMYFUNCTION("""COMPUTED_VALUE"""),5464.372469635628)</f>
        <v>5464.37247</v>
      </c>
      <c r="J143" s="10">
        <f>IFERROR(__xludf.DUMMYFUNCTION("""COMPUTED_VALUE"""),0.0)</f>
        <v>0</v>
      </c>
      <c r="K143" s="5">
        <f>IFERROR(__xludf.DUMMYFUNCTION("""COMPUTED_VALUE"""),0.0)</f>
        <v>0</v>
      </c>
      <c r="L143" s="10">
        <f>IFERROR(__xludf.DUMMYFUNCTION("""COMPUTED_VALUE"""),30.0)</f>
        <v>30</v>
      </c>
      <c r="M143" s="5">
        <f>IFERROR(__xludf.DUMMYFUNCTION("""COMPUTED_VALUE"""),0.2912621359223301)</f>
        <v>0.2912621359</v>
      </c>
    </row>
    <row r="144">
      <c r="A144" s="10" t="str">
        <f>IFERROR(__xludf.DUMMYFUNCTION("""COMPUTED_VALUE"""),"Reznov")</f>
        <v>Reznov</v>
      </c>
      <c r="B144" s="10">
        <f>IFERROR(__xludf.DUMMYFUNCTION("""COMPUTED_VALUE"""),165.0)</f>
        <v>165</v>
      </c>
      <c r="C144" s="10">
        <f>IFERROR(__xludf.DUMMYFUNCTION("""COMPUTED_VALUE"""),1809.0)</f>
        <v>1809</v>
      </c>
      <c r="D144" s="5">
        <f>IFERROR(__xludf.DUMMYFUNCTION("""COMPUTED_VALUE"""),0.2889294403892944)</f>
        <v>0.2889294404</v>
      </c>
      <c r="E144" s="5">
        <f>IFERROR(__xludf.DUMMYFUNCTION("""COMPUTED_VALUE"""),0.15875912408759124)</f>
        <v>0.1587591241</v>
      </c>
      <c r="F144" s="5">
        <f>IFERROR(__xludf.DUMMYFUNCTION("""COMPUTED_VALUE"""),0.20194647201946472)</f>
        <v>0.201946472</v>
      </c>
      <c r="G144" s="5">
        <f>IFERROR(__xludf.DUMMYFUNCTION("""COMPUTED_VALUE"""),0.2208029197080292)</f>
        <v>0.2208029197</v>
      </c>
      <c r="H144" s="5">
        <f>IFERROR(__xludf.DUMMYFUNCTION("""COMPUTED_VALUE"""),0.5843373493975904)</f>
        <v>0.5843373494</v>
      </c>
      <c r="I144" s="11">
        <f>IFERROR(__xludf.DUMMYFUNCTION("""COMPUTED_VALUE"""),6321.686746987952)</f>
        <v>6321.686747</v>
      </c>
      <c r="J144" s="10">
        <f>IFERROR(__xludf.DUMMYFUNCTION("""COMPUTED_VALUE"""),0.0)</f>
        <v>0</v>
      </c>
      <c r="K144" s="5">
        <f>IFERROR(__xludf.DUMMYFUNCTION("""COMPUTED_VALUE"""),0.0)</f>
        <v>0</v>
      </c>
      <c r="L144" s="10">
        <f>IFERROR(__xludf.DUMMYFUNCTION("""COMPUTED_VALUE"""),165.0)</f>
        <v>165</v>
      </c>
      <c r="M144" s="5">
        <f>IFERROR(__xludf.DUMMYFUNCTION("""COMPUTED_VALUE"""),1.0)</f>
        <v>1</v>
      </c>
    </row>
    <row r="145">
      <c r="A145" s="10" t="str">
        <f>IFERROR(__xludf.DUMMYFUNCTION("""COMPUTED_VALUE"""),"ダニー1号")</f>
        <v>ダニー1号</v>
      </c>
      <c r="B145" s="10">
        <f>IFERROR(__xludf.DUMMYFUNCTION("""COMPUTED_VALUE"""),221.0)</f>
        <v>221</v>
      </c>
      <c r="C145" s="10">
        <f>IFERROR(__xludf.DUMMYFUNCTION("""COMPUTED_VALUE"""),2659.0)</f>
        <v>2659</v>
      </c>
      <c r="D145" s="5">
        <f>IFERROR(__xludf.DUMMYFUNCTION("""COMPUTED_VALUE"""),0.45365053322395404)</f>
        <v>0.4536505332</v>
      </c>
      <c r="E145" s="5">
        <f>IFERROR(__xludf.DUMMYFUNCTION("""COMPUTED_VALUE"""),0.15873666940114847)</f>
        <v>0.1587366694</v>
      </c>
      <c r="F145" s="5">
        <f>IFERROR(__xludf.DUMMYFUNCTION("""COMPUTED_VALUE"""),0.20754716981132076)</f>
        <v>0.2075471698</v>
      </c>
      <c r="G145" s="5">
        <f>IFERROR(__xludf.DUMMYFUNCTION("""COMPUTED_VALUE"""),0.1616078753076292)</f>
        <v>0.1616078753</v>
      </c>
      <c r="H145" s="5">
        <f>IFERROR(__xludf.DUMMYFUNCTION("""COMPUTED_VALUE"""),0.6027667984189723)</f>
        <v>0.6027667984</v>
      </c>
      <c r="I145" s="11">
        <f>IFERROR(__xludf.DUMMYFUNCTION("""COMPUTED_VALUE"""),5607.707509881423)</f>
        <v>5607.70751</v>
      </c>
      <c r="J145" s="10">
        <f>IFERROR(__xludf.DUMMYFUNCTION("""COMPUTED_VALUE"""),3.0)</f>
        <v>3</v>
      </c>
      <c r="K145" s="5">
        <f>IFERROR(__xludf.DUMMYFUNCTION("""COMPUTED_VALUE"""),0.013574660633484163)</f>
        <v>0.01357466063</v>
      </c>
      <c r="L145" s="10">
        <f>IFERROR(__xludf.DUMMYFUNCTION("""COMPUTED_VALUE"""),221.0)</f>
        <v>221</v>
      </c>
      <c r="M145" s="5">
        <f>IFERROR(__xludf.DUMMYFUNCTION("""COMPUTED_VALUE"""),1.0)</f>
        <v>1</v>
      </c>
    </row>
    <row r="146">
      <c r="A146" s="10" t="str">
        <f>IFERROR(__xludf.DUMMYFUNCTION("""COMPUTED_VALUE"""),"ポチョムキン★")</f>
        <v>ポチョムキン★</v>
      </c>
      <c r="B146" s="10">
        <f>IFERROR(__xludf.DUMMYFUNCTION("""COMPUTED_VALUE"""),101.0)</f>
        <v>101</v>
      </c>
      <c r="C146" s="10">
        <f>IFERROR(__xludf.DUMMYFUNCTION("""COMPUTED_VALUE"""),1191.0)</f>
        <v>1191</v>
      </c>
      <c r="D146" s="5">
        <f>IFERROR(__xludf.DUMMYFUNCTION("""COMPUTED_VALUE"""),0.3834862385321101)</f>
        <v>0.3834862385</v>
      </c>
      <c r="E146" s="5">
        <f>IFERROR(__xludf.DUMMYFUNCTION("""COMPUTED_VALUE"""),0.15871559633027524)</f>
        <v>0.1587155963</v>
      </c>
      <c r="F146" s="5">
        <f>IFERROR(__xludf.DUMMYFUNCTION("""COMPUTED_VALUE"""),0.21743119266055047)</f>
        <v>0.2174311927</v>
      </c>
      <c r="G146" s="5">
        <f>IFERROR(__xludf.DUMMYFUNCTION("""COMPUTED_VALUE"""),0.18990825688073396)</f>
        <v>0.1899082569</v>
      </c>
      <c r="H146" s="5">
        <f>IFERROR(__xludf.DUMMYFUNCTION("""COMPUTED_VALUE"""),0.5654008438818565)</f>
        <v>0.5654008439</v>
      </c>
      <c r="I146" s="11">
        <f>IFERROR(__xludf.DUMMYFUNCTION("""COMPUTED_VALUE"""),5704.641350210971)</f>
        <v>5704.64135</v>
      </c>
      <c r="J146" s="10">
        <f>IFERROR(__xludf.DUMMYFUNCTION("""COMPUTED_VALUE"""),0.0)</f>
        <v>0</v>
      </c>
      <c r="K146" s="5">
        <f>IFERROR(__xludf.DUMMYFUNCTION("""COMPUTED_VALUE"""),0.0)</f>
        <v>0</v>
      </c>
      <c r="L146" s="10">
        <f>IFERROR(__xludf.DUMMYFUNCTION("""COMPUTED_VALUE"""),101.0)</f>
        <v>101</v>
      </c>
      <c r="M146" s="5">
        <f>IFERROR(__xludf.DUMMYFUNCTION("""COMPUTED_VALUE"""),1.0)</f>
        <v>1</v>
      </c>
    </row>
    <row r="147">
      <c r="A147" s="10" t="str">
        <f>IFERROR(__xludf.DUMMYFUNCTION("""COMPUTED_VALUE"""),"あずれ＠羽生オタ")</f>
        <v>あずれ＠羽生オタ</v>
      </c>
      <c r="B147" s="10">
        <f>IFERROR(__xludf.DUMMYFUNCTION("""COMPUTED_VALUE"""),867.0)</f>
        <v>867</v>
      </c>
      <c r="C147" s="10">
        <f>IFERROR(__xludf.DUMMYFUNCTION("""COMPUTED_VALUE"""),10105.0)</f>
        <v>10105</v>
      </c>
      <c r="D147" s="5">
        <f>IFERROR(__xludf.DUMMYFUNCTION("""COMPUTED_VALUE"""),0.3813596016453778)</f>
        <v>0.3813596016</v>
      </c>
      <c r="E147" s="5">
        <f>IFERROR(__xludf.DUMMYFUNCTION("""COMPUTED_VALUE"""),0.1586923576531717)</f>
        <v>0.1586923577</v>
      </c>
      <c r="F147" s="5">
        <f>IFERROR(__xludf.DUMMYFUNCTION("""COMPUTED_VALUE"""),0.22169300714440354)</f>
        <v>0.2216930071</v>
      </c>
      <c r="G147" s="5">
        <f>IFERROR(__xludf.DUMMYFUNCTION("""COMPUTED_VALUE"""),0.18911019701234033)</f>
        <v>0.189110197</v>
      </c>
      <c r="H147" s="5">
        <f>IFERROR(__xludf.DUMMYFUNCTION("""COMPUTED_VALUE"""),0.59130859375)</f>
        <v>0.5913085938</v>
      </c>
      <c r="I147" s="11">
        <f>IFERROR(__xludf.DUMMYFUNCTION("""COMPUTED_VALUE"""),6063.525390625)</f>
        <v>6063.525391</v>
      </c>
      <c r="J147" s="10">
        <f>IFERROR(__xludf.DUMMYFUNCTION("""COMPUTED_VALUE"""),4.0)</f>
        <v>4</v>
      </c>
      <c r="K147" s="5">
        <f>IFERROR(__xludf.DUMMYFUNCTION("""COMPUTED_VALUE"""),0.00461361014994233)</f>
        <v>0.00461361015</v>
      </c>
      <c r="L147" s="10">
        <f>IFERROR(__xludf.DUMMYFUNCTION("""COMPUTED_VALUE"""),867.0)</f>
        <v>867</v>
      </c>
      <c r="M147" s="5">
        <f>IFERROR(__xludf.DUMMYFUNCTION("""COMPUTED_VALUE"""),1.0)</f>
        <v>1</v>
      </c>
    </row>
    <row r="148">
      <c r="A148" s="10" t="str">
        <f>IFERROR(__xludf.DUMMYFUNCTION("""COMPUTED_VALUE"""),"FINH")</f>
        <v>FINH</v>
      </c>
      <c r="B148" s="10">
        <f>IFERROR(__xludf.DUMMYFUNCTION("""COMPUTED_VALUE"""),427.0)</f>
        <v>427</v>
      </c>
      <c r="C148" s="10">
        <f>IFERROR(__xludf.DUMMYFUNCTION("""COMPUTED_VALUE"""),4933.0)</f>
        <v>4933</v>
      </c>
      <c r="D148" s="5">
        <f>IFERROR(__xludf.DUMMYFUNCTION("""COMPUTED_VALUE"""),0.39769196626719927)</f>
        <v>0.3976919663</v>
      </c>
      <c r="E148" s="5">
        <f>IFERROR(__xludf.DUMMYFUNCTION("""COMPUTED_VALUE"""),0.15867731913004882)</f>
        <v>0.1586773191</v>
      </c>
      <c r="F148" s="5">
        <f>IFERROR(__xludf.DUMMYFUNCTION("""COMPUTED_VALUE"""),0.211051930758988)</f>
        <v>0.2110519308</v>
      </c>
      <c r="G148" s="5">
        <f>IFERROR(__xludf.DUMMYFUNCTION("""COMPUTED_VALUE"""),0.1473590767865069)</f>
        <v>0.1473590768</v>
      </c>
      <c r="H148" s="5">
        <f>IFERROR(__xludf.DUMMYFUNCTION("""COMPUTED_VALUE"""),0.594111461619348)</f>
        <v>0.5941114616</v>
      </c>
      <c r="I148" s="11">
        <f>IFERROR(__xludf.DUMMYFUNCTION("""COMPUTED_VALUE"""),5759.93690851735)</f>
        <v>5759.936909</v>
      </c>
      <c r="J148" s="10">
        <f>IFERROR(__xludf.DUMMYFUNCTION("""COMPUTED_VALUE"""),2.0)</f>
        <v>2</v>
      </c>
      <c r="K148" s="5">
        <f>IFERROR(__xludf.DUMMYFUNCTION("""COMPUTED_VALUE"""),0.00468384074941452)</f>
        <v>0.004683840749</v>
      </c>
      <c r="L148" s="10">
        <f>IFERROR(__xludf.DUMMYFUNCTION("""COMPUTED_VALUE"""),427.0)</f>
        <v>427</v>
      </c>
      <c r="M148" s="5">
        <f>IFERROR(__xludf.DUMMYFUNCTION("""COMPUTED_VALUE"""),1.0)</f>
        <v>1</v>
      </c>
    </row>
    <row r="149">
      <c r="A149" s="10" t="str">
        <f>IFERROR(__xludf.DUMMYFUNCTION("""COMPUTED_VALUE"""),"かく。")</f>
        <v>かく。</v>
      </c>
      <c r="B149" s="10">
        <f>IFERROR(__xludf.DUMMYFUNCTION("""COMPUTED_VALUE"""),108.0)</f>
        <v>108</v>
      </c>
      <c r="C149" s="10">
        <f>IFERROR(__xludf.DUMMYFUNCTION("""COMPUTED_VALUE"""),1255.0)</f>
        <v>1255</v>
      </c>
      <c r="D149" s="5">
        <f>IFERROR(__xludf.DUMMYFUNCTION("""COMPUTED_VALUE"""),0.31734960767218834)</f>
        <v>0.3173496077</v>
      </c>
      <c r="E149" s="5">
        <f>IFERROR(__xludf.DUMMYFUNCTION("""COMPUTED_VALUE"""),0.15867480383609417)</f>
        <v>0.1586748038</v>
      </c>
      <c r="F149" s="5">
        <f>IFERROR(__xludf.DUMMYFUNCTION("""COMPUTED_VALUE"""),0.21708805579773321)</f>
        <v>0.2170880558</v>
      </c>
      <c r="G149" s="5">
        <f>IFERROR(__xludf.DUMMYFUNCTION("""COMPUTED_VALUE"""),0.1961639058413252)</f>
        <v>0.1961639058</v>
      </c>
      <c r="H149" s="5">
        <f>IFERROR(__xludf.DUMMYFUNCTION("""COMPUTED_VALUE"""),0.5863453815261044)</f>
        <v>0.5863453815</v>
      </c>
      <c r="I149" s="11">
        <f>IFERROR(__xludf.DUMMYFUNCTION("""COMPUTED_VALUE"""),5620.080321285141)</f>
        <v>5620.080321</v>
      </c>
      <c r="J149" s="10">
        <f>IFERROR(__xludf.DUMMYFUNCTION("""COMPUTED_VALUE"""),0.0)</f>
        <v>0</v>
      </c>
      <c r="K149" s="5">
        <f>IFERROR(__xludf.DUMMYFUNCTION("""COMPUTED_VALUE"""),0.0)</f>
        <v>0</v>
      </c>
      <c r="L149" s="10">
        <f>IFERROR(__xludf.DUMMYFUNCTION("""COMPUTED_VALUE"""),108.0)</f>
        <v>108</v>
      </c>
      <c r="M149" s="5">
        <f>IFERROR(__xludf.DUMMYFUNCTION("""COMPUTED_VALUE"""),1.0)</f>
        <v>1</v>
      </c>
    </row>
    <row r="150">
      <c r="A150" s="10" t="str">
        <f>IFERROR(__xludf.DUMMYFUNCTION("""COMPUTED_VALUE"""),"こあくまV2")</f>
        <v>こあくまV2</v>
      </c>
      <c r="B150" s="10">
        <f>IFERROR(__xludf.DUMMYFUNCTION("""COMPUTED_VALUE"""),333.0)</f>
        <v>333</v>
      </c>
      <c r="C150" s="10">
        <f>IFERROR(__xludf.DUMMYFUNCTION("""COMPUTED_VALUE"""),3869.0)</f>
        <v>3869</v>
      </c>
      <c r="D150" s="5">
        <f>IFERROR(__xludf.DUMMYFUNCTION("""COMPUTED_VALUE"""),0.3684954751131222)</f>
        <v>0.3684954751</v>
      </c>
      <c r="E150" s="5">
        <f>IFERROR(__xludf.DUMMYFUNCTION("""COMPUTED_VALUE"""),0.15865384615384615)</f>
        <v>0.1586538462</v>
      </c>
      <c r="F150" s="5">
        <f>IFERROR(__xludf.DUMMYFUNCTION("""COMPUTED_VALUE"""),0.23076923076923078)</f>
        <v>0.2307692308</v>
      </c>
      <c r="G150" s="5">
        <f>IFERROR(__xludf.DUMMYFUNCTION("""COMPUTED_VALUE"""),0.1954185520361991)</f>
        <v>0.195418552</v>
      </c>
      <c r="H150" s="5">
        <f>IFERROR(__xludf.DUMMYFUNCTION("""COMPUTED_VALUE"""),0.5796568627450981)</f>
        <v>0.5796568627</v>
      </c>
      <c r="I150" s="11">
        <f>IFERROR(__xludf.DUMMYFUNCTION("""COMPUTED_VALUE"""),5655.759803921569)</f>
        <v>5655.759804</v>
      </c>
      <c r="J150" s="10">
        <f>IFERROR(__xludf.DUMMYFUNCTION("""COMPUTED_VALUE"""),1.0)</f>
        <v>1</v>
      </c>
      <c r="K150" s="5">
        <f>IFERROR(__xludf.DUMMYFUNCTION("""COMPUTED_VALUE"""),0.003003003003003003)</f>
        <v>0.003003003003</v>
      </c>
      <c r="L150" s="10">
        <f>IFERROR(__xludf.DUMMYFUNCTION("""COMPUTED_VALUE"""),333.0)</f>
        <v>333</v>
      </c>
      <c r="M150" s="5">
        <f>IFERROR(__xludf.DUMMYFUNCTION("""COMPUTED_VALUE"""),1.0)</f>
        <v>1</v>
      </c>
    </row>
    <row r="151">
      <c r="A151" s="10" t="str">
        <f>IFERROR(__xludf.DUMMYFUNCTION("""COMPUTED_VALUE"""),"ズッシー")</f>
        <v>ズッシー</v>
      </c>
      <c r="B151" s="10">
        <f>IFERROR(__xludf.DUMMYFUNCTION("""COMPUTED_VALUE"""),296.0)</f>
        <v>296</v>
      </c>
      <c r="C151" s="10">
        <f>IFERROR(__xludf.DUMMYFUNCTION("""COMPUTED_VALUE"""),3488.0)</f>
        <v>3488</v>
      </c>
      <c r="D151" s="5">
        <f>IFERROR(__xludf.DUMMYFUNCTION("""COMPUTED_VALUE"""),0.3101503759398496)</f>
        <v>0.3101503759</v>
      </c>
      <c r="E151" s="5">
        <f>IFERROR(__xludf.DUMMYFUNCTION("""COMPUTED_VALUE"""),0.15852130325814537)</f>
        <v>0.1585213033</v>
      </c>
      <c r="F151" s="5">
        <f>IFERROR(__xludf.DUMMYFUNCTION("""COMPUTED_VALUE"""),0.20864661654135339)</f>
        <v>0.2086466165</v>
      </c>
      <c r="G151" s="5">
        <f>IFERROR(__xludf.DUMMYFUNCTION("""COMPUTED_VALUE"""),0.17355889724310777)</f>
        <v>0.1735588972</v>
      </c>
      <c r="H151" s="5">
        <f>IFERROR(__xludf.DUMMYFUNCTION("""COMPUTED_VALUE"""),0.6261261261261262)</f>
        <v>0.6261261261</v>
      </c>
      <c r="I151" s="11">
        <f>IFERROR(__xludf.DUMMYFUNCTION("""COMPUTED_VALUE"""),5526.126126126126)</f>
        <v>5526.126126</v>
      </c>
      <c r="J151" s="10">
        <f>IFERROR(__xludf.DUMMYFUNCTION("""COMPUTED_VALUE"""),0.0)</f>
        <v>0</v>
      </c>
      <c r="K151" s="5">
        <f>IFERROR(__xludf.DUMMYFUNCTION("""COMPUTED_VALUE"""),0.0)</f>
        <v>0</v>
      </c>
      <c r="L151" s="10">
        <f>IFERROR(__xludf.DUMMYFUNCTION("""COMPUTED_VALUE"""),296.0)</f>
        <v>296</v>
      </c>
      <c r="M151" s="5">
        <f>IFERROR(__xludf.DUMMYFUNCTION("""COMPUTED_VALUE"""),1.0)</f>
        <v>1</v>
      </c>
    </row>
    <row r="152">
      <c r="A152" s="10" t="str">
        <f>IFERROR(__xludf.DUMMYFUNCTION("""COMPUTED_VALUE"""),"oscar240")</f>
        <v>oscar240</v>
      </c>
      <c r="B152" s="10">
        <f>IFERROR(__xludf.DUMMYFUNCTION("""COMPUTED_VALUE"""),165.0)</f>
        <v>165</v>
      </c>
      <c r="C152" s="10">
        <f>IFERROR(__xludf.DUMMYFUNCTION("""COMPUTED_VALUE"""),1913.0)</f>
        <v>1913</v>
      </c>
      <c r="D152" s="5">
        <f>IFERROR(__xludf.DUMMYFUNCTION("""COMPUTED_VALUE"""),0.3209382151029748)</f>
        <v>0.3209382151</v>
      </c>
      <c r="E152" s="5">
        <f>IFERROR(__xludf.DUMMYFUNCTION("""COMPUTED_VALUE"""),0.15846681922196795)</f>
        <v>0.1584668192</v>
      </c>
      <c r="F152" s="5">
        <f>IFERROR(__xludf.DUMMYFUNCTION("""COMPUTED_VALUE"""),0.19393592677345536)</f>
        <v>0.1939359268</v>
      </c>
      <c r="G152" s="5">
        <f>IFERROR(__xludf.DUMMYFUNCTION("""COMPUTED_VALUE"""),0.2116704805491991)</f>
        <v>0.2116704805</v>
      </c>
      <c r="H152" s="5">
        <f>IFERROR(__xludf.DUMMYFUNCTION("""COMPUTED_VALUE"""),0.5811209439528023)</f>
        <v>0.581120944</v>
      </c>
      <c r="I152" s="11">
        <f>IFERROR(__xludf.DUMMYFUNCTION("""COMPUTED_VALUE"""),6064.896755162242)</f>
        <v>6064.896755</v>
      </c>
      <c r="J152" s="10">
        <f>IFERROR(__xludf.DUMMYFUNCTION("""COMPUTED_VALUE"""),0.0)</f>
        <v>0</v>
      </c>
      <c r="K152" s="5">
        <f>IFERROR(__xludf.DUMMYFUNCTION("""COMPUTED_VALUE"""),0.0)</f>
        <v>0</v>
      </c>
      <c r="L152" s="10">
        <f>IFERROR(__xludf.DUMMYFUNCTION("""COMPUTED_VALUE"""),165.0)</f>
        <v>165</v>
      </c>
      <c r="M152" s="5">
        <f>IFERROR(__xludf.DUMMYFUNCTION("""COMPUTED_VALUE"""),1.0)</f>
        <v>1</v>
      </c>
    </row>
    <row r="153">
      <c r="A153" s="10" t="str">
        <f>IFERROR(__xludf.DUMMYFUNCTION("""COMPUTED_VALUE"""),"由詑かなみ")</f>
        <v>由詑かなみ</v>
      </c>
      <c r="B153" s="10">
        <f>IFERROR(__xludf.DUMMYFUNCTION("""COMPUTED_VALUE"""),329.0)</f>
        <v>329</v>
      </c>
      <c r="C153" s="10">
        <f>IFERROR(__xludf.DUMMYFUNCTION("""COMPUTED_VALUE"""),3799.0)</f>
        <v>3799</v>
      </c>
      <c r="D153" s="5">
        <f>IFERROR(__xludf.DUMMYFUNCTION("""COMPUTED_VALUE"""),0.37752161383285304)</f>
        <v>0.3775216138</v>
      </c>
      <c r="E153" s="5">
        <f>IFERROR(__xludf.DUMMYFUNCTION("""COMPUTED_VALUE"""),0.15821325648414986)</f>
        <v>0.1582132565</v>
      </c>
      <c r="F153" s="5">
        <f>IFERROR(__xludf.DUMMYFUNCTION("""COMPUTED_VALUE"""),0.22622478386167147)</f>
        <v>0.2262247839</v>
      </c>
      <c r="G153" s="5">
        <f>IFERROR(__xludf.DUMMYFUNCTION("""COMPUTED_VALUE"""),0.17636887608069166)</f>
        <v>0.1763688761</v>
      </c>
      <c r="H153" s="5">
        <f>IFERROR(__xludf.DUMMYFUNCTION("""COMPUTED_VALUE"""),0.6089171974522293)</f>
        <v>0.6089171975</v>
      </c>
      <c r="I153" s="11">
        <f>IFERROR(__xludf.DUMMYFUNCTION("""COMPUTED_VALUE"""),5475.15923566879)</f>
        <v>5475.159236</v>
      </c>
      <c r="J153" s="10">
        <f>IFERROR(__xludf.DUMMYFUNCTION("""COMPUTED_VALUE"""),0.0)</f>
        <v>0</v>
      </c>
      <c r="K153" s="5">
        <f>IFERROR(__xludf.DUMMYFUNCTION("""COMPUTED_VALUE"""),0.0)</f>
        <v>0</v>
      </c>
      <c r="L153" s="10">
        <f>IFERROR(__xludf.DUMMYFUNCTION("""COMPUTED_VALUE"""),0.0)</f>
        <v>0</v>
      </c>
      <c r="M153" s="5">
        <f>IFERROR(__xludf.DUMMYFUNCTION("""COMPUTED_VALUE"""),0.0)</f>
        <v>0</v>
      </c>
    </row>
    <row r="154">
      <c r="A154" s="10" t="str">
        <f>IFERROR(__xludf.DUMMYFUNCTION("""COMPUTED_VALUE"""),"hinomaru")</f>
        <v>hinomaru</v>
      </c>
      <c r="B154" s="10">
        <f>IFERROR(__xludf.DUMMYFUNCTION("""COMPUTED_VALUE"""),265.0)</f>
        <v>265</v>
      </c>
      <c r="C154" s="10">
        <f>IFERROR(__xludf.DUMMYFUNCTION("""COMPUTED_VALUE"""),3141.0)</f>
        <v>3141</v>
      </c>
      <c r="D154" s="5">
        <f>IFERROR(__xludf.DUMMYFUNCTION("""COMPUTED_VALUE"""),0.36752433936022255)</f>
        <v>0.3675243394</v>
      </c>
      <c r="E154" s="5">
        <f>IFERROR(__xludf.DUMMYFUNCTION("""COMPUTED_VALUE"""),0.15820584144645342)</f>
        <v>0.1582058414</v>
      </c>
      <c r="F154" s="5">
        <f>IFERROR(__xludf.DUMMYFUNCTION("""COMPUTED_VALUE"""),0.22983310152990263)</f>
        <v>0.2298331015</v>
      </c>
      <c r="G154" s="5">
        <f>IFERROR(__xludf.DUMMYFUNCTION("""COMPUTED_VALUE"""),0.1627260083449235)</f>
        <v>0.1627260083</v>
      </c>
      <c r="H154" s="5">
        <f>IFERROR(__xludf.DUMMYFUNCTION("""COMPUTED_VALUE"""),0.5824508320726173)</f>
        <v>0.5824508321</v>
      </c>
      <c r="I154" s="11">
        <f>IFERROR(__xludf.DUMMYFUNCTION("""COMPUTED_VALUE"""),5342.662632375189)</f>
        <v>5342.662632</v>
      </c>
      <c r="J154" s="10">
        <f>IFERROR(__xludf.DUMMYFUNCTION("""COMPUTED_VALUE"""),1.0)</f>
        <v>1</v>
      </c>
      <c r="K154" s="5">
        <f>IFERROR(__xludf.DUMMYFUNCTION("""COMPUTED_VALUE"""),0.0037735849056603774)</f>
        <v>0.003773584906</v>
      </c>
      <c r="L154" s="10">
        <f>IFERROR(__xludf.DUMMYFUNCTION("""COMPUTED_VALUE"""),265.0)</f>
        <v>265</v>
      </c>
      <c r="M154" s="5">
        <f>IFERROR(__xludf.DUMMYFUNCTION("""COMPUTED_VALUE"""),1.0)</f>
        <v>1</v>
      </c>
    </row>
    <row r="155">
      <c r="A155" s="10" t="str">
        <f>IFERROR(__xludf.DUMMYFUNCTION("""COMPUTED_VALUE"""),"Lオプティジンク")</f>
        <v>Lオプティジンク</v>
      </c>
      <c r="B155" s="10">
        <f>IFERROR(__xludf.DUMMYFUNCTION("""COMPUTED_VALUE"""),490.0)</f>
        <v>490</v>
      </c>
      <c r="C155" s="10">
        <f>IFERROR(__xludf.DUMMYFUNCTION("""COMPUTED_VALUE"""),5646.0)</f>
        <v>5646</v>
      </c>
      <c r="D155" s="5">
        <f>IFERROR(__xludf.DUMMYFUNCTION("""COMPUTED_VALUE"""),0.3207913110938712)</f>
        <v>0.3207913111</v>
      </c>
      <c r="E155" s="5">
        <f>IFERROR(__xludf.DUMMYFUNCTION("""COMPUTED_VALUE"""),0.15806826997672616)</f>
        <v>0.15806827</v>
      </c>
      <c r="F155" s="5">
        <f>IFERROR(__xludf.DUMMYFUNCTION("""COMPUTED_VALUE"""),0.19763382467028703)</f>
        <v>0.1976338247</v>
      </c>
      <c r="G155" s="5">
        <f>IFERROR(__xludf.DUMMYFUNCTION("""COMPUTED_VALUE"""),0.18502715283165244)</f>
        <v>0.1850271528</v>
      </c>
      <c r="H155" s="5">
        <f>IFERROR(__xludf.DUMMYFUNCTION("""COMPUTED_VALUE"""),0.5721295387634936)</f>
        <v>0.5721295388</v>
      </c>
      <c r="I155" s="11">
        <f>IFERROR(__xludf.DUMMYFUNCTION("""COMPUTED_VALUE"""),6189.892051030422)</f>
        <v>6189.892051</v>
      </c>
      <c r="J155" s="10">
        <f>IFERROR(__xludf.DUMMYFUNCTION("""COMPUTED_VALUE"""),1.0)</f>
        <v>1</v>
      </c>
      <c r="K155" s="5">
        <f>IFERROR(__xludf.DUMMYFUNCTION("""COMPUTED_VALUE"""),0.0020408163265306124)</f>
        <v>0.002040816327</v>
      </c>
      <c r="L155" s="10">
        <f>IFERROR(__xludf.DUMMYFUNCTION("""COMPUTED_VALUE"""),490.0)</f>
        <v>490</v>
      </c>
      <c r="M155" s="5">
        <f>IFERROR(__xludf.DUMMYFUNCTION("""COMPUTED_VALUE"""),1.0)</f>
        <v>1</v>
      </c>
    </row>
    <row r="156">
      <c r="A156" s="10" t="str">
        <f>IFERROR(__xludf.DUMMYFUNCTION("""COMPUTED_VALUE"""),"ハムさいてょ")</f>
        <v>ハムさいてょ</v>
      </c>
      <c r="B156" s="10">
        <f>IFERROR(__xludf.DUMMYFUNCTION("""COMPUTED_VALUE"""),323.0)</f>
        <v>323</v>
      </c>
      <c r="C156" s="10">
        <f>IFERROR(__xludf.DUMMYFUNCTION("""COMPUTED_VALUE"""),3843.0)</f>
        <v>3843</v>
      </c>
      <c r="D156" s="5">
        <f>IFERROR(__xludf.DUMMYFUNCTION("""COMPUTED_VALUE"""),0.35795454545454547)</f>
        <v>0.3579545455</v>
      </c>
      <c r="E156" s="5">
        <f>IFERROR(__xludf.DUMMYFUNCTION("""COMPUTED_VALUE"""),0.15795454545454546)</f>
        <v>0.1579545455</v>
      </c>
      <c r="F156" s="5">
        <f>IFERROR(__xludf.DUMMYFUNCTION("""COMPUTED_VALUE"""),0.23778409090909092)</f>
        <v>0.2377840909</v>
      </c>
      <c r="G156" s="5">
        <f>IFERROR(__xludf.DUMMYFUNCTION("""COMPUTED_VALUE"""),0.2)</f>
        <v>0.2</v>
      </c>
      <c r="H156" s="5">
        <f>IFERROR(__xludf.DUMMYFUNCTION("""COMPUTED_VALUE"""),0.5937873357228196)</f>
        <v>0.5937873357</v>
      </c>
      <c r="I156" s="11">
        <f>IFERROR(__xludf.DUMMYFUNCTION("""COMPUTED_VALUE"""),5519.5937873357225)</f>
        <v>5519.593787</v>
      </c>
      <c r="J156" s="10">
        <f>IFERROR(__xludf.DUMMYFUNCTION("""COMPUTED_VALUE"""),2.0)</f>
        <v>2</v>
      </c>
      <c r="K156" s="5">
        <f>IFERROR(__xludf.DUMMYFUNCTION("""COMPUTED_VALUE"""),0.006191950464396285)</f>
        <v>0.006191950464</v>
      </c>
      <c r="L156" s="10">
        <f>IFERROR(__xludf.DUMMYFUNCTION("""COMPUTED_VALUE"""),323.0)</f>
        <v>323</v>
      </c>
      <c r="M156" s="5">
        <f>IFERROR(__xludf.DUMMYFUNCTION("""COMPUTED_VALUE"""),1.0)</f>
        <v>1</v>
      </c>
    </row>
    <row r="157">
      <c r="A157" s="10" t="str">
        <f>IFERROR(__xludf.DUMMYFUNCTION("""COMPUTED_VALUE"""),"もんごるっ")</f>
        <v>もんごるっ</v>
      </c>
      <c r="B157" s="10">
        <f>IFERROR(__xludf.DUMMYFUNCTION("""COMPUTED_VALUE"""),133.0)</f>
        <v>133</v>
      </c>
      <c r="C157" s="10">
        <f>IFERROR(__xludf.DUMMYFUNCTION("""COMPUTED_VALUE"""),1545.0)</f>
        <v>1545</v>
      </c>
      <c r="D157" s="5">
        <f>IFERROR(__xludf.DUMMYFUNCTION("""COMPUTED_VALUE"""),0.2868271954674221)</f>
        <v>0.2868271955</v>
      </c>
      <c r="E157" s="5">
        <f>IFERROR(__xludf.DUMMYFUNCTION("""COMPUTED_VALUE"""),0.15793201133144477)</f>
        <v>0.1579320113</v>
      </c>
      <c r="F157" s="5">
        <f>IFERROR(__xludf.DUMMYFUNCTION("""COMPUTED_VALUE"""),0.20254957507082152)</f>
        <v>0.2025495751</v>
      </c>
      <c r="G157" s="5">
        <f>IFERROR(__xludf.DUMMYFUNCTION("""COMPUTED_VALUE"""),0.17422096317280453)</f>
        <v>0.1742209632</v>
      </c>
      <c r="H157" s="5">
        <f>IFERROR(__xludf.DUMMYFUNCTION("""COMPUTED_VALUE"""),0.6433566433566433)</f>
        <v>0.6433566434</v>
      </c>
      <c r="I157" s="11">
        <f>IFERROR(__xludf.DUMMYFUNCTION("""COMPUTED_VALUE"""),6340.55944055944)</f>
        <v>6340.559441</v>
      </c>
      <c r="J157" s="10">
        <f>IFERROR(__xludf.DUMMYFUNCTION("""COMPUTED_VALUE"""),0.0)</f>
        <v>0</v>
      </c>
      <c r="K157" s="5">
        <f>IFERROR(__xludf.DUMMYFUNCTION("""COMPUTED_VALUE"""),0.0)</f>
        <v>0</v>
      </c>
      <c r="L157" s="10">
        <f>IFERROR(__xludf.DUMMYFUNCTION("""COMPUTED_VALUE"""),133.0)</f>
        <v>133</v>
      </c>
      <c r="M157" s="5">
        <f>IFERROR(__xludf.DUMMYFUNCTION("""COMPUTED_VALUE"""),1.0)</f>
        <v>1</v>
      </c>
    </row>
    <row r="158">
      <c r="A158" s="10" t="str">
        <f>IFERROR(__xludf.DUMMYFUNCTION("""COMPUTED_VALUE"""),"fantasia")</f>
        <v>fantasia</v>
      </c>
      <c r="B158" s="10">
        <f>IFERROR(__xludf.DUMMYFUNCTION("""COMPUTED_VALUE"""),267.0)</f>
        <v>267</v>
      </c>
      <c r="C158" s="10">
        <f>IFERROR(__xludf.DUMMYFUNCTION("""COMPUTED_VALUE"""),3142.0)</f>
        <v>3142</v>
      </c>
      <c r="D158" s="5">
        <f>IFERROR(__xludf.DUMMYFUNCTION("""COMPUTED_VALUE"""),0.25043478260869567)</f>
        <v>0.2504347826</v>
      </c>
      <c r="E158" s="5">
        <f>IFERROR(__xludf.DUMMYFUNCTION("""COMPUTED_VALUE"""),0.15791304347826088)</f>
        <v>0.1579130435</v>
      </c>
      <c r="F158" s="5">
        <f>IFERROR(__xludf.DUMMYFUNCTION("""COMPUTED_VALUE"""),0.18678260869565216)</f>
        <v>0.1867826087</v>
      </c>
      <c r="G158" s="5">
        <f>IFERROR(__xludf.DUMMYFUNCTION("""COMPUTED_VALUE"""),0.1502608695652174)</f>
        <v>0.1502608696</v>
      </c>
      <c r="H158" s="5">
        <f>IFERROR(__xludf.DUMMYFUNCTION("""COMPUTED_VALUE"""),0.5884543761638734)</f>
        <v>0.5884543762</v>
      </c>
      <c r="I158" s="11">
        <f>IFERROR(__xludf.DUMMYFUNCTION("""COMPUTED_VALUE"""),5707.262569832402)</f>
        <v>5707.26257</v>
      </c>
      <c r="J158" s="10">
        <f>IFERROR(__xludf.DUMMYFUNCTION("""COMPUTED_VALUE"""),1.0)</f>
        <v>1</v>
      </c>
      <c r="K158" s="5">
        <f>IFERROR(__xludf.DUMMYFUNCTION("""COMPUTED_VALUE"""),0.003745318352059925)</f>
        <v>0.003745318352</v>
      </c>
      <c r="L158" s="10">
        <f>IFERROR(__xludf.DUMMYFUNCTION("""COMPUTED_VALUE"""),267.0)</f>
        <v>267</v>
      </c>
      <c r="M158" s="5">
        <f>IFERROR(__xludf.DUMMYFUNCTION("""COMPUTED_VALUE"""),1.0)</f>
        <v>1</v>
      </c>
    </row>
    <row r="159">
      <c r="A159" s="10" t="str">
        <f>IFERROR(__xludf.DUMMYFUNCTION("""COMPUTED_VALUE"""),"fujimura")</f>
        <v>fujimura</v>
      </c>
      <c r="B159" s="10">
        <f>IFERROR(__xludf.DUMMYFUNCTION("""COMPUTED_VALUE"""),1008.0)</f>
        <v>1008</v>
      </c>
      <c r="C159" s="10">
        <f>IFERROR(__xludf.DUMMYFUNCTION("""COMPUTED_VALUE"""),11692.0)</f>
        <v>11692</v>
      </c>
      <c r="D159" s="5">
        <f>IFERROR(__xludf.DUMMYFUNCTION("""COMPUTED_VALUE"""),0.4394421564956945)</f>
        <v>0.4394421565</v>
      </c>
      <c r="E159" s="5">
        <f>IFERROR(__xludf.DUMMYFUNCTION("""COMPUTED_VALUE"""),0.15789966304754774)</f>
        <v>0.157899663</v>
      </c>
      <c r="F159" s="5">
        <f>IFERROR(__xludf.DUMMYFUNCTION("""COMPUTED_VALUE"""),0.22107824784724822)</f>
        <v>0.2210782478</v>
      </c>
      <c r="G159" s="5">
        <f>IFERROR(__xludf.DUMMYFUNCTION("""COMPUTED_VALUE"""),0.13440658929239985)</f>
        <v>0.1344065893</v>
      </c>
      <c r="H159" s="5">
        <f>IFERROR(__xludf.DUMMYFUNCTION("""COMPUTED_VALUE"""),0.6117696867061811)</f>
        <v>0.6117696867</v>
      </c>
      <c r="I159" s="11">
        <f>IFERROR(__xludf.DUMMYFUNCTION("""COMPUTED_VALUE"""),5791.828958509737)</f>
        <v>5791.828959</v>
      </c>
      <c r="J159" s="10">
        <f>IFERROR(__xludf.DUMMYFUNCTION("""COMPUTED_VALUE"""),4.0)</f>
        <v>4</v>
      </c>
      <c r="K159" s="5">
        <f>IFERROR(__xludf.DUMMYFUNCTION("""COMPUTED_VALUE"""),0.003968253968253968)</f>
        <v>0.003968253968</v>
      </c>
      <c r="L159" s="10">
        <f>IFERROR(__xludf.DUMMYFUNCTION("""COMPUTED_VALUE"""),1008.0)</f>
        <v>1008</v>
      </c>
      <c r="M159" s="5">
        <f>IFERROR(__xludf.DUMMYFUNCTION("""COMPUTED_VALUE"""),1.0)</f>
        <v>1</v>
      </c>
    </row>
    <row r="160">
      <c r="A160" s="10" t="str">
        <f>IFERROR(__xludf.DUMMYFUNCTION("""COMPUTED_VALUE"""),"如水ｖ")</f>
        <v>如水ｖ</v>
      </c>
      <c r="B160" s="10">
        <f>IFERROR(__xludf.DUMMYFUNCTION("""COMPUTED_VALUE"""),121.0)</f>
        <v>121</v>
      </c>
      <c r="C160" s="10">
        <f>IFERROR(__xludf.DUMMYFUNCTION("""COMPUTED_VALUE"""),1337.0)</f>
        <v>1337</v>
      </c>
      <c r="D160" s="5">
        <f>IFERROR(__xludf.DUMMYFUNCTION("""COMPUTED_VALUE"""),0.30180921052631576)</f>
        <v>0.3018092105</v>
      </c>
      <c r="E160" s="5">
        <f>IFERROR(__xludf.DUMMYFUNCTION("""COMPUTED_VALUE"""),0.15789473684210525)</f>
        <v>0.1578947368</v>
      </c>
      <c r="F160" s="5">
        <f>IFERROR(__xludf.DUMMYFUNCTION("""COMPUTED_VALUE"""),0.18585526315789475)</f>
        <v>0.1858552632</v>
      </c>
      <c r="G160" s="5">
        <f>IFERROR(__xludf.DUMMYFUNCTION("""COMPUTED_VALUE"""),0.17105263157894737)</f>
        <v>0.1710526316</v>
      </c>
      <c r="H160" s="5">
        <f>IFERROR(__xludf.DUMMYFUNCTION("""COMPUTED_VALUE"""),0.6415929203539823)</f>
        <v>0.6415929204</v>
      </c>
      <c r="I160" s="11">
        <f>IFERROR(__xludf.DUMMYFUNCTION("""COMPUTED_VALUE"""),6161.504424778761)</f>
        <v>6161.504425</v>
      </c>
      <c r="J160" s="10">
        <f>IFERROR(__xludf.DUMMYFUNCTION("""COMPUTED_VALUE"""),0.0)</f>
        <v>0</v>
      </c>
      <c r="K160" s="5">
        <f>IFERROR(__xludf.DUMMYFUNCTION("""COMPUTED_VALUE"""),0.0)</f>
        <v>0</v>
      </c>
      <c r="L160" s="10">
        <f>IFERROR(__xludf.DUMMYFUNCTION("""COMPUTED_VALUE"""),121.0)</f>
        <v>121</v>
      </c>
      <c r="M160" s="5">
        <f>IFERROR(__xludf.DUMMYFUNCTION("""COMPUTED_VALUE"""),1.0)</f>
        <v>1</v>
      </c>
    </row>
    <row r="161">
      <c r="A161" s="10" t="str">
        <f>IFERROR(__xludf.DUMMYFUNCTION("""COMPUTED_VALUE"""),"神芝居")</f>
        <v>神芝居</v>
      </c>
      <c r="B161" s="10">
        <f>IFERROR(__xludf.DUMMYFUNCTION("""COMPUTED_VALUE"""),536.0)</f>
        <v>536</v>
      </c>
      <c r="C161" s="10">
        <f>IFERROR(__xludf.DUMMYFUNCTION("""COMPUTED_VALUE"""),6218.0)</f>
        <v>6218</v>
      </c>
      <c r="D161" s="5">
        <f>IFERROR(__xludf.DUMMYFUNCTION("""COMPUTED_VALUE"""),0.4125307990144315)</f>
        <v>0.412530799</v>
      </c>
      <c r="E161" s="5">
        <f>IFERROR(__xludf.DUMMYFUNCTION("""COMPUTED_VALUE"""),0.15769095388947554)</f>
        <v>0.1576909539</v>
      </c>
      <c r="F161" s="5">
        <f>IFERROR(__xludf.DUMMYFUNCTION("""COMPUTED_VALUE"""),0.21981696585709257)</f>
        <v>0.2198169659</v>
      </c>
      <c r="G161" s="5">
        <f>IFERROR(__xludf.DUMMYFUNCTION("""COMPUTED_VALUE"""),0.18813797958465328)</f>
        <v>0.1881379796</v>
      </c>
      <c r="H161" s="5">
        <f>IFERROR(__xludf.DUMMYFUNCTION("""COMPUTED_VALUE"""),0.5908726981585268)</f>
        <v>0.5908726982</v>
      </c>
      <c r="I161" s="11">
        <f>IFERROR(__xludf.DUMMYFUNCTION("""COMPUTED_VALUE"""),5743.875100080064)</f>
        <v>5743.8751</v>
      </c>
      <c r="J161" s="10">
        <f>IFERROR(__xludf.DUMMYFUNCTION("""COMPUTED_VALUE"""),1.0)</f>
        <v>1</v>
      </c>
      <c r="K161" s="5">
        <f>IFERROR(__xludf.DUMMYFUNCTION("""COMPUTED_VALUE"""),0.0018656716417910447)</f>
        <v>0.001865671642</v>
      </c>
      <c r="L161" s="10">
        <f>IFERROR(__xludf.DUMMYFUNCTION("""COMPUTED_VALUE"""),497.0)</f>
        <v>497</v>
      </c>
      <c r="M161" s="5">
        <f>IFERROR(__xludf.DUMMYFUNCTION("""COMPUTED_VALUE"""),0.9272388059701493)</f>
        <v>0.927238806</v>
      </c>
    </row>
    <row r="162">
      <c r="A162" s="10" t="str">
        <f>IFERROR(__xludf.DUMMYFUNCTION("""COMPUTED_VALUE"""),"ほじ")</f>
        <v>ほじ</v>
      </c>
      <c r="B162" s="10">
        <f>IFERROR(__xludf.DUMMYFUNCTION("""COMPUTED_VALUE"""),366.0)</f>
        <v>366</v>
      </c>
      <c r="C162" s="10">
        <f>IFERROR(__xludf.DUMMYFUNCTION("""COMPUTED_VALUE"""),4293.0)</f>
        <v>4293</v>
      </c>
      <c r="D162" s="5">
        <f>IFERROR(__xludf.DUMMYFUNCTION("""COMPUTED_VALUE"""),0.37102113572701806)</f>
        <v>0.3710211357</v>
      </c>
      <c r="E162" s="5">
        <f>IFERROR(__xludf.DUMMYFUNCTION("""COMPUTED_VALUE"""),0.15762668703845176)</f>
        <v>0.157626687</v>
      </c>
      <c r="F162" s="5">
        <f>IFERROR(__xludf.DUMMYFUNCTION("""COMPUTED_VALUE"""),0.21695951107715813)</f>
        <v>0.2169595111</v>
      </c>
      <c r="G162" s="5">
        <f>IFERROR(__xludf.DUMMYFUNCTION("""COMPUTED_VALUE"""),0.16195569136745608)</f>
        <v>0.1619556914</v>
      </c>
      <c r="H162" s="5">
        <f>IFERROR(__xludf.DUMMYFUNCTION("""COMPUTED_VALUE"""),0.5821596244131455)</f>
        <v>0.5821596244</v>
      </c>
      <c r="I162" s="11">
        <f>IFERROR(__xludf.DUMMYFUNCTION("""COMPUTED_VALUE"""),5672.065727699531)</f>
        <v>5672.065728</v>
      </c>
      <c r="J162" s="10">
        <f>IFERROR(__xludf.DUMMYFUNCTION("""COMPUTED_VALUE"""),1.0)</f>
        <v>1</v>
      </c>
      <c r="K162" s="5">
        <f>IFERROR(__xludf.DUMMYFUNCTION("""COMPUTED_VALUE"""),0.00273224043715847)</f>
        <v>0.002732240437</v>
      </c>
      <c r="L162" s="10">
        <f>IFERROR(__xludf.DUMMYFUNCTION("""COMPUTED_VALUE"""),366.0)</f>
        <v>366</v>
      </c>
      <c r="M162" s="5">
        <f>IFERROR(__xludf.DUMMYFUNCTION("""COMPUTED_VALUE"""),1.0)</f>
        <v>1</v>
      </c>
    </row>
    <row r="163">
      <c r="A163" s="10" t="str">
        <f>IFERROR(__xludf.DUMMYFUNCTION("""COMPUTED_VALUE"""),"ゆーせー")</f>
        <v>ゆーせー</v>
      </c>
      <c r="B163" s="10">
        <f>IFERROR(__xludf.DUMMYFUNCTION("""COMPUTED_VALUE"""),272.0)</f>
        <v>272</v>
      </c>
      <c r="C163" s="10">
        <f>IFERROR(__xludf.DUMMYFUNCTION("""COMPUTED_VALUE"""),3210.0)</f>
        <v>3210</v>
      </c>
      <c r="D163" s="5">
        <f>IFERROR(__xludf.DUMMYFUNCTION("""COMPUTED_VALUE"""),0.3665759019741321)</f>
        <v>0.366575902</v>
      </c>
      <c r="E163" s="5">
        <f>IFERROR(__xludf.DUMMYFUNCTION("""COMPUTED_VALUE"""),0.15759019741320626)</f>
        <v>0.1575901974</v>
      </c>
      <c r="F163" s="5">
        <f>IFERROR(__xludf.DUMMYFUNCTION("""COMPUTED_VALUE"""),0.2283866575901974)</f>
        <v>0.2283866576</v>
      </c>
      <c r="G163" s="5">
        <f>IFERROR(__xludf.DUMMYFUNCTION("""COMPUTED_VALUE"""),0.19196732471068753)</f>
        <v>0.1919673247</v>
      </c>
      <c r="H163" s="5">
        <f>IFERROR(__xludf.DUMMYFUNCTION("""COMPUTED_VALUE"""),0.6080476900149031)</f>
        <v>0.60804769</v>
      </c>
      <c r="I163" s="11">
        <f>IFERROR(__xludf.DUMMYFUNCTION("""COMPUTED_VALUE"""),5863.934426229508)</f>
        <v>5863.934426</v>
      </c>
      <c r="J163" s="10">
        <f>IFERROR(__xludf.DUMMYFUNCTION("""COMPUTED_VALUE"""),2.0)</f>
        <v>2</v>
      </c>
      <c r="K163" s="5">
        <f>IFERROR(__xludf.DUMMYFUNCTION("""COMPUTED_VALUE"""),0.007352941176470588)</f>
        <v>0.007352941176</v>
      </c>
      <c r="L163" s="10">
        <f>IFERROR(__xludf.DUMMYFUNCTION("""COMPUTED_VALUE"""),272.0)</f>
        <v>272</v>
      </c>
      <c r="M163" s="5">
        <f>IFERROR(__xludf.DUMMYFUNCTION("""COMPUTED_VALUE"""),1.0)</f>
        <v>1</v>
      </c>
    </row>
    <row r="164">
      <c r="A164" s="10" t="str">
        <f>IFERROR(__xludf.DUMMYFUNCTION("""COMPUTED_VALUE"""),"roberoto")</f>
        <v>roberoto</v>
      </c>
      <c r="B164" s="10">
        <f>IFERROR(__xludf.DUMMYFUNCTION("""COMPUTED_VALUE"""),335.0)</f>
        <v>335</v>
      </c>
      <c r="C164" s="10">
        <f>IFERROR(__xludf.DUMMYFUNCTION("""COMPUTED_VALUE"""),3955.0)</f>
        <v>3955</v>
      </c>
      <c r="D164" s="5">
        <f>IFERROR(__xludf.DUMMYFUNCTION("""COMPUTED_VALUE"""),0.38535911602209943)</f>
        <v>0.385359116</v>
      </c>
      <c r="E164" s="5">
        <f>IFERROR(__xludf.DUMMYFUNCTION("""COMPUTED_VALUE"""),0.1574585635359116)</f>
        <v>0.1574585635</v>
      </c>
      <c r="F164" s="5">
        <f>IFERROR(__xludf.DUMMYFUNCTION("""COMPUTED_VALUE"""),0.20801104972375692)</f>
        <v>0.2080110497</v>
      </c>
      <c r="G164" s="5">
        <f>IFERROR(__xludf.DUMMYFUNCTION("""COMPUTED_VALUE"""),0.16353591160220995)</f>
        <v>0.1635359116</v>
      </c>
      <c r="H164" s="5">
        <f>IFERROR(__xludf.DUMMYFUNCTION("""COMPUTED_VALUE"""),0.5883134130146083)</f>
        <v>0.588313413</v>
      </c>
      <c r="I164" s="11">
        <f>IFERROR(__xludf.DUMMYFUNCTION("""COMPUTED_VALUE"""),5891.633466135459)</f>
        <v>5891.633466</v>
      </c>
      <c r="J164" s="10">
        <f>IFERROR(__xludf.DUMMYFUNCTION("""COMPUTED_VALUE"""),2.0)</f>
        <v>2</v>
      </c>
      <c r="K164" s="5">
        <f>IFERROR(__xludf.DUMMYFUNCTION("""COMPUTED_VALUE"""),0.005970149253731343)</f>
        <v>0.005970149254</v>
      </c>
      <c r="L164" s="10">
        <f>IFERROR(__xludf.DUMMYFUNCTION("""COMPUTED_VALUE"""),16.0)</f>
        <v>16</v>
      </c>
      <c r="M164" s="5">
        <f>IFERROR(__xludf.DUMMYFUNCTION("""COMPUTED_VALUE"""),0.04776119402985075)</f>
        <v>0.04776119403</v>
      </c>
    </row>
    <row r="165">
      <c r="A165" s="10" t="str">
        <f>IFERROR(__xludf.DUMMYFUNCTION("""COMPUTED_VALUE"""),"悔しくないのか？")</f>
        <v>悔しくないのか？</v>
      </c>
      <c r="B165" s="10">
        <f>IFERROR(__xludf.DUMMYFUNCTION("""COMPUTED_VALUE"""),338.0)</f>
        <v>338</v>
      </c>
      <c r="C165" s="10">
        <f>IFERROR(__xludf.DUMMYFUNCTION("""COMPUTED_VALUE"""),3884.0)</f>
        <v>3884</v>
      </c>
      <c r="D165" s="5">
        <f>IFERROR(__xludf.DUMMYFUNCTION("""COMPUTED_VALUE"""),0.33417935702199664)</f>
        <v>0.334179357</v>
      </c>
      <c r="E165" s="5">
        <f>IFERROR(__xludf.DUMMYFUNCTION("""COMPUTED_VALUE"""),0.15736040609137056)</f>
        <v>0.1573604061</v>
      </c>
      <c r="F165" s="5">
        <f>IFERROR(__xludf.DUMMYFUNCTION("""COMPUTED_VALUE"""),0.2222222222222222)</f>
        <v>0.2222222222</v>
      </c>
      <c r="G165" s="5">
        <f>IFERROR(__xludf.DUMMYFUNCTION("""COMPUTED_VALUE"""),0.15143824027072758)</f>
        <v>0.1514382403</v>
      </c>
      <c r="H165" s="5">
        <f>IFERROR(__xludf.DUMMYFUNCTION("""COMPUTED_VALUE"""),0.5901015228426396)</f>
        <v>0.5901015228</v>
      </c>
      <c r="I165" s="11">
        <f>IFERROR(__xludf.DUMMYFUNCTION("""COMPUTED_VALUE"""),5736.5482233502535)</f>
        <v>5736.548223</v>
      </c>
      <c r="J165" s="10">
        <f>IFERROR(__xludf.DUMMYFUNCTION("""COMPUTED_VALUE"""),2.0)</f>
        <v>2</v>
      </c>
      <c r="K165" s="5">
        <f>IFERROR(__xludf.DUMMYFUNCTION("""COMPUTED_VALUE"""),0.005917159763313609)</f>
        <v>0.005917159763</v>
      </c>
      <c r="L165" s="10">
        <f>IFERROR(__xludf.DUMMYFUNCTION("""COMPUTED_VALUE"""),338.0)</f>
        <v>338</v>
      </c>
      <c r="M165" s="5">
        <f>IFERROR(__xludf.DUMMYFUNCTION("""COMPUTED_VALUE"""),1.0)</f>
        <v>1</v>
      </c>
    </row>
    <row r="166">
      <c r="A166" s="10" t="str">
        <f>IFERROR(__xludf.DUMMYFUNCTION("""COMPUTED_VALUE"""),"GaKu")</f>
        <v>GaKu</v>
      </c>
      <c r="B166" s="10">
        <f>IFERROR(__xludf.DUMMYFUNCTION("""COMPUTED_VALUE"""),870.0)</f>
        <v>870</v>
      </c>
      <c r="C166" s="10">
        <f>IFERROR(__xludf.DUMMYFUNCTION("""COMPUTED_VALUE"""),10337.0)</f>
        <v>10337</v>
      </c>
      <c r="D166" s="5">
        <f>IFERROR(__xludf.DUMMYFUNCTION("""COMPUTED_VALUE"""),0.35681842188655327)</f>
        <v>0.3568184219</v>
      </c>
      <c r="E166" s="5">
        <f>IFERROR(__xludf.DUMMYFUNCTION("""COMPUTED_VALUE"""),0.15728319425372347)</f>
        <v>0.1572831943</v>
      </c>
      <c r="F166" s="5">
        <f>IFERROR(__xludf.DUMMYFUNCTION("""COMPUTED_VALUE"""),0.22890039083130875)</f>
        <v>0.2289003908</v>
      </c>
      <c r="G166" s="5">
        <f>IFERROR(__xludf.DUMMYFUNCTION("""COMPUTED_VALUE"""),0.18390197528256047)</f>
        <v>0.1839019753</v>
      </c>
      <c r="H166" s="5">
        <f>IFERROR(__xludf.DUMMYFUNCTION("""COMPUTED_VALUE"""),0.6049838486386709)</f>
        <v>0.6049838486</v>
      </c>
      <c r="I166" s="11">
        <f>IFERROR(__xludf.DUMMYFUNCTION("""COMPUTED_VALUE"""),5602.953391785879)</f>
        <v>5602.953392</v>
      </c>
      <c r="J166" s="10">
        <f>IFERROR(__xludf.DUMMYFUNCTION("""COMPUTED_VALUE"""),3.0)</f>
        <v>3</v>
      </c>
      <c r="K166" s="5">
        <f>IFERROR(__xludf.DUMMYFUNCTION("""COMPUTED_VALUE"""),0.0034482758620689655)</f>
        <v>0.003448275862</v>
      </c>
      <c r="L166" s="10">
        <f>IFERROR(__xludf.DUMMYFUNCTION("""COMPUTED_VALUE"""),870.0)</f>
        <v>870</v>
      </c>
      <c r="M166" s="5">
        <f>IFERROR(__xludf.DUMMYFUNCTION("""COMPUTED_VALUE"""),1.0)</f>
        <v>1</v>
      </c>
    </row>
    <row r="167">
      <c r="A167" s="10" t="str">
        <f>IFERROR(__xludf.DUMMYFUNCTION("""COMPUTED_VALUE"""),"はぎわらまさと")</f>
        <v>はぎわらまさと</v>
      </c>
      <c r="B167" s="10">
        <f>IFERROR(__xludf.DUMMYFUNCTION("""COMPUTED_VALUE"""),267.0)</f>
        <v>267</v>
      </c>
      <c r="C167" s="10">
        <f>IFERROR(__xludf.DUMMYFUNCTION("""COMPUTED_VALUE"""),3160.0)</f>
        <v>3160</v>
      </c>
      <c r="D167" s="5">
        <f>IFERROR(__xludf.DUMMYFUNCTION("""COMPUTED_VALUE"""),0.3159350155547874)</f>
        <v>0.3159350156</v>
      </c>
      <c r="E167" s="5">
        <f>IFERROR(__xludf.DUMMYFUNCTION("""COMPUTED_VALUE"""),0.15727618389215348)</f>
        <v>0.1572761839</v>
      </c>
      <c r="F167" s="5">
        <f>IFERROR(__xludf.DUMMYFUNCTION("""COMPUTED_VALUE"""),0.20463187003110958)</f>
        <v>0.20463187</v>
      </c>
      <c r="G167" s="5">
        <f>IFERROR(__xludf.DUMMYFUNCTION("""COMPUTED_VALUE"""),0.15278257863809194)</f>
        <v>0.1527825786</v>
      </c>
      <c r="H167" s="5">
        <f>IFERROR(__xludf.DUMMYFUNCTION("""COMPUTED_VALUE"""),0.5726351351351351)</f>
        <v>0.5726351351</v>
      </c>
      <c r="I167" s="11">
        <f>IFERROR(__xludf.DUMMYFUNCTION("""COMPUTED_VALUE"""),6212.668918918919)</f>
        <v>6212.668919</v>
      </c>
      <c r="J167" s="10">
        <f>IFERROR(__xludf.DUMMYFUNCTION("""COMPUTED_VALUE"""),3.0)</f>
        <v>3</v>
      </c>
      <c r="K167" s="5">
        <f>IFERROR(__xludf.DUMMYFUNCTION("""COMPUTED_VALUE"""),0.011235955056179775)</f>
        <v>0.01123595506</v>
      </c>
      <c r="L167" s="10">
        <f>IFERROR(__xludf.DUMMYFUNCTION("""COMPUTED_VALUE"""),267.0)</f>
        <v>267</v>
      </c>
      <c r="M167" s="5">
        <f>IFERROR(__xludf.DUMMYFUNCTION("""COMPUTED_VALUE"""),1.0)</f>
        <v>1</v>
      </c>
    </row>
    <row r="168">
      <c r="A168" s="10" t="str">
        <f>IFERROR(__xludf.DUMMYFUNCTION("""COMPUTED_VALUE"""),"おおさかさんま")</f>
        <v>おおさかさんま</v>
      </c>
      <c r="B168" s="10">
        <f>IFERROR(__xludf.DUMMYFUNCTION("""COMPUTED_VALUE"""),148.0)</f>
        <v>148</v>
      </c>
      <c r="C168" s="10">
        <f>IFERROR(__xludf.DUMMYFUNCTION("""COMPUTED_VALUE"""),1674.0)</f>
        <v>1674</v>
      </c>
      <c r="D168" s="5">
        <f>IFERROR(__xludf.DUMMYFUNCTION("""COMPUTED_VALUE"""),0.30668414154652685)</f>
        <v>0.3066841415</v>
      </c>
      <c r="E168" s="5">
        <f>IFERROR(__xludf.DUMMYFUNCTION("""COMPUTED_VALUE"""),0.15727391874180865)</f>
        <v>0.1572739187</v>
      </c>
      <c r="F168" s="5">
        <f>IFERROR(__xludf.DUMMYFUNCTION("""COMPUTED_VALUE"""),0.21363040629095675)</f>
        <v>0.2136304063</v>
      </c>
      <c r="G168" s="5">
        <f>IFERROR(__xludf.DUMMYFUNCTION("""COMPUTED_VALUE"""),0.15465268676277852)</f>
        <v>0.1546526868</v>
      </c>
      <c r="H168" s="5">
        <f>IFERROR(__xludf.DUMMYFUNCTION("""COMPUTED_VALUE"""),0.6380368098159509)</f>
        <v>0.6380368098</v>
      </c>
      <c r="I168" s="11">
        <f>IFERROR(__xludf.DUMMYFUNCTION("""COMPUTED_VALUE"""),5905.828220858895)</f>
        <v>5905.828221</v>
      </c>
      <c r="J168" s="10">
        <f>IFERROR(__xludf.DUMMYFUNCTION("""COMPUTED_VALUE"""),1.0)</f>
        <v>1</v>
      </c>
      <c r="K168" s="5">
        <f>IFERROR(__xludf.DUMMYFUNCTION("""COMPUTED_VALUE"""),0.006756756756756757)</f>
        <v>0.006756756757</v>
      </c>
      <c r="L168" s="10">
        <f>IFERROR(__xludf.DUMMYFUNCTION("""COMPUTED_VALUE"""),148.0)</f>
        <v>148</v>
      </c>
      <c r="M168" s="5">
        <f>IFERROR(__xludf.DUMMYFUNCTION("""COMPUTED_VALUE"""),1.0)</f>
        <v>1</v>
      </c>
    </row>
    <row r="169">
      <c r="A169" s="10" t="str">
        <f>IFERROR(__xludf.DUMMYFUNCTION("""COMPUTED_VALUE"""),"ワハハ部長")</f>
        <v>ワハハ部長</v>
      </c>
      <c r="B169" s="10">
        <f>IFERROR(__xludf.DUMMYFUNCTION("""COMPUTED_VALUE"""),141.0)</f>
        <v>141</v>
      </c>
      <c r="C169" s="10">
        <f>IFERROR(__xludf.DUMMYFUNCTION("""COMPUTED_VALUE"""),1648.0)</f>
        <v>1648</v>
      </c>
      <c r="D169" s="5">
        <f>IFERROR(__xludf.DUMMYFUNCTION("""COMPUTED_VALUE"""),0.37823490378234903)</f>
        <v>0.3782349038</v>
      </c>
      <c r="E169" s="5">
        <f>IFERROR(__xludf.DUMMYFUNCTION("""COMPUTED_VALUE"""),0.15726609157266092)</f>
        <v>0.1572660916</v>
      </c>
      <c r="F169" s="5">
        <f>IFERROR(__xludf.DUMMYFUNCTION("""COMPUTED_VALUE"""),0.21698739216987392)</f>
        <v>0.2169873922</v>
      </c>
      <c r="G169" s="5">
        <f>IFERROR(__xludf.DUMMYFUNCTION("""COMPUTED_VALUE"""),0.1712010617120106)</f>
        <v>0.1712010617</v>
      </c>
      <c r="H169" s="5">
        <f>IFERROR(__xludf.DUMMYFUNCTION("""COMPUTED_VALUE"""),0.617737003058104)</f>
        <v>0.6177370031</v>
      </c>
      <c r="I169" s="11">
        <f>IFERROR(__xludf.DUMMYFUNCTION("""COMPUTED_VALUE"""),5461.467889908256)</f>
        <v>5461.46789</v>
      </c>
      <c r="J169" s="10">
        <f>IFERROR(__xludf.DUMMYFUNCTION("""COMPUTED_VALUE"""),0.0)</f>
        <v>0</v>
      </c>
      <c r="K169" s="5">
        <f>IFERROR(__xludf.DUMMYFUNCTION("""COMPUTED_VALUE"""),0.0)</f>
        <v>0</v>
      </c>
      <c r="L169" s="10">
        <f>IFERROR(__xludf.DUMMYFUNCTION("""COMPUTED_VALUE"""),0.0)</f>
        <v>0</v>
      </c>
      <c r="M169" s="5">
        <f>IFERROR(__xludf.DUMMYFUNCTION("""COMPUTED_VALUE"""),0.0)</f>
        <v>0</v>
      </c>
    </row>
    <row r="170">
      <c r="A170" s="10" t="str">
        <f>IFERROR(__xludf.DUMMYFUNCTION("""COMPUTED_VALUE"""),"うぇっへっへw")</f>
        <v>うぇっへっへw</v>
      </c>
      <c r="B170" s="10">
        <f>IFERROR(__xludf.DUMMYFUNCTION("""COMPUTED_VALUE"""),1158.0)</f>
        <v>1158</v>
      </c>
      <c r="C170" s="10">
        <f>IFERROR(__xludf.DUMMYFUNCTION("""COMPUTED_VALUE"""),13419.0)</f>
        <v>13419</v>
      </c>
      <c r="D170" s="5">
        <f>IFERROR(__xludf.DUMMYFUNCTION("""COMPUTED_VALUE"""),0.3746023978468314)</f>
        <v>0.3746023978</v>
      </c>
      <c r="E170" s="5">
        <f>IFERROR(__xludf.DUMMYFUNCTION("""COMPUTED_VALUE"""),0.15724655411467253)</f>
        <v>0.1572465541</v>
      </c>
      <c r="F170" s="5">
        <f>IFERROR(__xludf.DUMMYFUNCTION("""COMPUTED_VALUE"""),0.2241252752630291)</f>
        <v>0.2241252753</v>
      </c>
      <c r="G170" s="5">
        <f>IFERROR(__xludf.DUMMYFUNCTION("""COMPUTED_VALUE"""),0.18155126009297773)</f>
        <v>0.1815512601</v>
      </c>
      <c r="H170" s="5">
        <f>IFERROR(__xludf.DUMMYFUNCTION("""COMPUTED_VALUE"""),0.5997088791848617)</f>
        <v>0.5997088792</v>
      </c>
      <c r="I170" s="11">
        <f>IFERROR(__xludf.DUMMYFUNCTION("""COMPUTED_VALUE"""),5818.668122270742)</f>
        <v>5818.668122</v>
      </c>
      <c r="J170" s="10">
        <f>IFERROR(__xludf.DUMMYFUNCTION("""COMPUTED_VALUE"""),3.0)</f>
        <v>3</v>
      </c>
      <c r="K170" s="5">
        <f>IFERROR(__xludf.DUMMYFUNCTION("""COMPUTED_VALUE"""),0.0025906735751295338)</f>
        <v>0.002590673575</v>
      </c>
      <c r="L170" s="10">
        <f>IFERROR(__xludf.DUMMYFUNCTION("""COMPUTED_VALUE"""),1158.0)</f>
        <v>1158</v>
      </c>
      <c r="M170" s="5">
        <f>IFERROR(__xludf.DUMMYFUNCTION("""COMPUTED_VALUE"""),1.0)</f>
        <v>1</v>
      </c>
    </row>
    <row r="171">
      <c r="A171" s="10" t="str">
        <f>IFERROR(__xludf.DUMMYFUNCTION("""COMPUTED_VALUE"""),"roasso28")</f>
        <v>roasso28</v>
      </c>
      <c r="B171" s="10">
        <f>IFERROR(__xludf.DUMMYFUNCTION("""COMPUTED_VALUE"""),468.0)</f>
        <v>468</v>
      </c>
      <c r="C171" s="10">
        <f>IFERROR(__xludf.DUMMYFUNCTION("""COMPUTED_VALUE"""),5470.0)</f>
        <v>5470</v>
      </c>
      <c r="D171" s="5">
        <f>IFERROR(__xludf.DUMMYFUNCTION("""COMPUTED_VALUE"""),0.4416233506597361)</f>
        <v>0.4416233507</v>
      </c>
      <c r="E171" s="5">
        <f>IFERROR(__xludf.DUMMYFUNCTION("""COMPUTED_VALUE"""),0.1571371451419432)</f>
        <v>0.1571371451</v>
      </c>
      <c r="F171" s="5">
        <f>IFERROR(__xludf.DUMMYFUNCTION("""COMPUTED_VALUE"""),0.21291483406637346)</f>
        <v>0.2129148341</v>
      </c>
      <c r="G171" s="5">
        <f>IFERROR(__xludf.DUMMYFUNCTION("""COMPUTED_VALUE"""),0.14934026389444222)</f>
        <v>0.1493402639</v>
      </c>
      <c r="H171" s="5">
        <f>IFERROR(__xludf.DUMMYFUNCTION("""COMPUTED_VALUE"""),0.6093896713615023)</f>
        <v>0.6093896714</v>
      </c>
      <c r="I171" s="11">
        <f>IFERROR(__xludf.DUMMYFUNCTION("""COMPUTED_VALUE"""),5578.87323943662)</f>
        <v>5578.873239</v>
      </c>
      <c r="J171" s="10">
        <f>IFERROR(__xludf.DUMMYFUNCTION("""COMPUTED_VALUE"""),1.0)</f>
        <v>1</v>
      </c>
      <c r="K171" s="5">
        <f>IFERROR(__xludf.DUMMYFUNCTION("""COMPUTED_VALUE"""),0.002136752136752137)</f>
        <v>0.002136752137</v>
      </c>
      <c r="L171" s="10">
        <f>IFERROR(__xludf.DUMMYFUNCTION("""COMPUTED_VALUE"""),468.0)</f>
        <v>468</v>
      </c>
      <c r="M171" s="5">
        <f>IFERROR(__xludf.DUMMYFUNCTION("""COMPUTED_VALUE"""),1.0)</f>
        <v>1</v>
      </c>
    </row>
    <row r="172">
      <c r="A172" s="10" t="str">
        <f>IFERROR(__xludf.DUMMYFUNCTION("""COMPUTED_VALUE"""),"むーみん_21")</f>
        <v>むーみん_21</v>
      </c>
      <c r="B172" s="10">
        <f>IFERROR(__xludf.DUMMYFUNCTION("""COMPUTED_VALUE"""),488.0)</f>
        <v>488</v>
      </c>
      <c r="C172" s="10">
        <f>IFERROR(__xludf.DUMMYFUNCTION("""COMPUTED_VALUE"""),5726.0)</f>
        <v>5726</v>
      </c>
      <c r="D172" s="5">
        <f>IFERROR(__xludf.DUMMYFUNCTION("""COMPUTED_VALUE"""),0.36731576937762506)</f>
        <v>0.3673157694</v>
      </c>
      <c r="E172" s="5">
        <f>IFERROR(__xludf.DUMMYFUNCTION("""COMPUTED_VALUE"""),0.15712103856433754)</f>
        <v>0.1571210386</v>
      </c>
      <c r="F172" s="5">
        <f>IFERROR(__xludf.DUMMYFUNCTION("""COMPUTED_VALUE"""),0.2170675830469645)</f>
        <v>0.217067583</v>
      </c>
      <c r="G172" s="5">
        <f>IFERROR(__xludf.DUMMYFUNCTION("""COMPUTED_VALUE"""),0.18403970981290568)</f>
        <v>0.1840397098</v>
      </c>
      <c r="H172" s="5">
        <f>IFERROR(__xludf.DUMMYFUNCTION("""COMPUTED_VALUE"""),0.5963060686015831)</f>
        <v>0.5963060686</v>
      </c>
      <c r="I172" s="11">
        <f>IFERROR(__xludf.DUMMYFUNCTION("""COMPUTED_VALUE"""),6078.715919085313)</f>
        <v>6078.715919</v>
      </c>
      <c r="J172" s="10">
        <f>IFERROR(__xludf.DUMMYFUNCTION("""COMPUTED_VALUE"""),3.0)</f>
        <v>3</v>
      </c>
      <c r="K172" s="5">
        <f>IFERROR(__xludf.DUMMYFUNCTION("""COMPUTED_VALUE"""),0.006147540983606557)</f>
        <v>0.006147540984</v>
      </c>
      <c r="L172" s="10">
        <f>IFERROR(__xludf.DUMMYFUNCTION("""COMPUTED_VALUE"""),488.0)</f>
        <v>488</v>
      </c>
      <c r="M172" s="5">
        <f>IFERROR(__xludf.DUMMYFUNCTION("""COMPUTED_VALUE"""),1.0)</f>
        <v>1</v>
      </c>
    </row>
    <row r="173">
      <c r="A173" s="10" t="str">
        <f>IFERROR(__xludf.DUMMYFUNCTION("""COMPUTED_VALUE"""),"運命に抗う")</f>
        <v>運命に抗う</v>
      </c>
      <c r="B173" s="10">
        <f>IFERROR(__xludf.DUMMYFUNCTION("""COMPUTED_VALUE"""),532.0)</f>
        <v>532</v>
      </c>
      <c r="C173" s="10">
        <f>IFERROR(__xludf.DUMMYFUNCTION("""COMPUTED_VALUE"""),6237.0)</f>
        <v>6237</v>
      </c>
      <c r="D173" s="5">
        <f>IFERROR(__xludf.DUMMYFUNCTION("""COMPUTED_VALUE"""),0.42208588957055215)</f>
        <v>0.4220858896</v>
      </c>
      <c r="E173" s="5">
        <f>IFERROR(__xludf.DUMMYFUNCTION("""COMPUTED_VALUE"""),0.1570552147239264)</f>
        <v>0.1570552147</v>
      </c>
      <c r="F173" s="5">
        <f>IFERROR(__xludf.DUMMYFUNCTION("""COMPUTED_VALUE"""),0.21630148992112183)</f>
        <v>0.2163014899</v>
      </c>
      <c r="G173" s="5">
        <f>IFERROR(__xludf.DUMMYFUNCTION("""COMPUTED_VALUE"""),0.1817703768624014)</f>
        <v>0.1817703769</v>
      </c>
      <c r="H173" s="5">
        <f>IFERROR(__xludf.DUMMYFUNCTION("""COMPUTED_VALUE"""),0.6021069692058347)</f>
        <v>0.6021069692</v>
      </c>
      <c r="I173" s="11">
        <f>IFERROR(__xludf.DUMMYFUNCTION("""COMPUTED_VALUE"""),5918.314424635332)</f>
        <v>5918.314425</v>
      </c>
      <c r="J173" s="10">
        <f>IFERROR(__xludf.DUMMYFUNCTION("""COMPUTED_VALUE"""),3.0)</f>
        <v>3</v>
      </c>
      <c r="K173" s="5">
        <f>IFERROR(__xludf.DUMMYFUNCTION("""COMPUTED_VALUE"""),0.005639097744360902)</f>
        <v>0.005639097744</v>
      </c>
      <c r="L173" s="10">
        <f>IFERROR(__xludf.DUMMYFUNCTION("""COMPUTED_VALUE"""),532.0)</f>
        <v>532</v>
      </c>
      <c r="M173" s="5">
        <f>IFERROR(__xludf.DUMMYFUNCTION("""COMPUTED_VALUE"""),1.0)</f>
        <v>1</v>
      </c>
    </row>
    <row r="174">
      <c r="A174" s="10" t="str">
        <f>IFERROR(__xludf.DUMMYFUNCTION("""COMPUTED_VALUE"""),"PLANET.")</f>
        <v>PLANET.</v>
      </c>
      <c r="B174" s="10">
        <f>IFERROR(__xludf.DUMMYFUNCTION("""COMPUTED_VALUE"""),186.0)</f>
        <v>186</v>
      </c>
      <c r="C174" s="10">
        <f>IFERROR(__xludf.DUMMYFUNCTION("""COMPUTED_VALUE"""),2192.0)</f>
        <v>2192</v>
      </c>
      <c r="D174" s="5">
        <f>IFERROR(__xludf.DUMMYFUNCTION("""COMPUTED_VALUE"""),0.3793619142572283)</f>
        <v>0.3793619143</v>
      </c>
      <c r="E174" s="5">
        <f>IFERROR(__xludf.DUMMYFUNCTION("""COMPUTED_VALUE"""),0.15702891326021934)</f>
        <v>0.1570289133</v>
      </c>
      <c r="F174" s="5">
        <f>IFERROR(__xludf.DUMMYFUNCTION("""COMPUTED_VALUE"""),0.2168494516450648)</f>
        <v>0.2168494516</v>
      </c>
      <c r="G174" s="5">
        <f>IFERROR(__xludf.DUMMYFUNCTION("""COMPUTED_VALUE"""),0.1535393818544367)</f>
        <v>0.1535393819</v>
      </c>
      <c r="H174" s="5">
        <f>IFERROR(__xludf.DUMMYFUNCTION("""COMPUTED_VALUE"""),0.5954022988505747)</f>
        <v>0.5954022989</v>
      </c>
      <c r="I174" s="11">
        <f>IFERROR(__xludf.DUMMYFUNCTION("""COMPUTED_VALUE"""),5491.724137931034)</f>
        <v>5491.724138</v>
      </c>
      <c r="J174" s="10">
        <f>IFERROR(__xludf.DUMMYFUNCTION("""COMPUTED_VALUE"""),0.0)</f>
        <v>0</v>
      </c>
      <c r="K174" s="5">
        <f>IFERROR(__xludf.DUMMYFUNCTION("""COMPUTED_VALUE"""),0.0)</f>
        <v>0</v>
      </c>
      <c r="L174" s="10">
        <f>IFERROR(__xludf.DUMMYFUNCTION("""COMPUTED_VALUE"""),186.0)</f>
        <v>186</v>
      </c>
      <c r="M174" s="5">
        <f>IFERROR(__xludf.DUMMYFUNCTION("""COMPUTED_VALUE"""),1.0)</f>
        <v>1</v>
      </c>
    </row>
    <row r="175">
      <c r="A175" s="10" t="str">
        <f>IFERROR(__xludf.DUMMYFUNCTION("""COMPUTED_VALUE"""),"ターヤ")</f>
        <v>ターヤ</v>
      </c>
      <c r="B175" s="10">
        <f>IFERROR(__xludf.DUMMYFUNCTION("""COMPUTED_VALUE"""),170.0)</f>
        <v>170</v>
      </c>
      <c r="C175" s="10">
        <f>IFERROR(__xludf.DUMMYFUNCTION("""COMPUTED_VALUE"""),1980.0)</f>
        <v>1980</v>
      </c>
      <c r="D175" s="5">
        <f>IFERROR(__xludf.DUMMYFUNCTION("""COMPUTED_VALUE"""),0.30497237569060776)</f>
        <v>0.3049723757</v>
      </c>
      <c r="E175" s="5">
        <f>IFERROR(__xludf.DUMMYFUNCTION("""COMPUTED_VALUE"""),0.1569060773480663)</f>
        <v>0.1569060773</v>
      </c>
      <c r="F175" s="5">
        <f>IFERROR(__xludf.DUMMYFUNCTION("""COMPUTED_VALUE"""),0.23425414364640884)</f>
        <v>0.2342541436</v>
      </c>
      <c r="G175" s="5">
        <f>IFERROR(__xludf.DUMMYFUNCTION("""COMPUTED_VALUE"""),0.1983425414364641)</f>
        <v>0.1983425414</v>
      </c>
      <c r="H175" s="5">
        <f>IFERROR(__xludf.DUMMYFUNCTION("""COMPUTED_VALUE"""),0.625)</f>
        <v>0.625</v>
      </c>
      <c r="I175" s="11">
        <f>IFERROR(__xludf.DUMMYFUNCTION("""COMPUTED_VALUE"""),5466.745283018868)</f>
        <v>5466.745283</v>
      </c>
      <c r="J175" s="10">
        <f>IFERROR(__xludf.DUMMYFUNCTION("""COMPUTED_VALUE"""),1.0)</f>
        <v>1</v>
      </c>
      <c r="K175" s="5">
        <f>IFERROR(__xludf.DUMMYFUNCTION("""COMPUTED_VALUE"""),0.0058823529411764705)</f>
        <v>0.005882352941</v>
      </c>
      <c r="L175" s="10">
        <f>IFERROR(__xludf.DUMMYFUNCTION("""COMPUTED_VALUE"""),170.0)</f>
        <v>170</v>
      </c>
      <c r="M175" s="5">
        <f>IFERROR(__xludf.DUMMYFUNCTION("""COMPUTED_VALUE"""),1.0)</f>
        <v>1</v>
      </c>
    </row>
    <row r="176">
      <c r="A176" s="10" t="str">
        <f>IFERROR(__xludf.DUMMYFUNCTION("""COMPUTED_VALUE"""),"オウベイ")</f>
        <v>オウベイ</v>
      </c>
      <c r="B176" s="10">
        <f>IFERROR(__xludf.DUMMYFUNCTION("""COMPUTED_VALUE"""),936.0)</f>
        <v>936</v>
      </c>
      <c r="C176" s="10">
        <f>IFERROR(__xludf.DUMMYFUNCTION("""COMPUTED_VALUE"""),10741.0)</f>
        <v>10741</v>
      </c>
      <c r="D176" s="5">
        <f>IFERROR(__xludf.DUMMYFUNCTION("""COMPUTED_VALUE"""),0.3991840897501275)</f>
        <v>0.3991840898</v>
      </c>
      <c r="E176" s="5">
        <f>IFERROR(__xludf.DUMMYFUNCTION("""COMPUTED_VALUE"""),0.1568587455379908)</f>
        <v>0.1568587455</v>
      </c>
      <c r="F176" s="5">
        <f>IFERROR(__xludf.DUMMYFUNCTION("""COMPUTED_VALUE"""),0.22570117287098418)</f>
        <v>0.2257011729</v>
      </c>
      <c r="G176" s="5">
        <f>IFERROR(__xludf.DUMMYFUNCTION("""COMPUTED_VALUE"""),0.16216216216216217)</f>
        <v>0.1621621622</v>
      </c>
      <c r="H176" s="5">
        <f>IFERROR(__xludf.DUMMYFUNCTION("""COMPUTED_VALUE"""),0.5978309986443742)</f>
        <v>0.5978309986</v>
      </c>
      <c r="I176" s="11">
        <f>IFERROR(__xludf.DUMMYFUNCTION("""COMPUTED_VALUE"""),5811.3420695887935)</f>
        <v>5811.34207</v>
      </c>
      <c r="J176" s="10">
        <f>IFERROR(__xludf.DUMMYFUNCTION("""COMPUTED_VALUE"""),4.0)</f>
        <v>4</v>
      </c>
      <c r="K176" s="5">
        <f>IFERROR(__xludf.DUMMYFUNCTION("""COMPUTED_VALUE"""),0.004273504273504274)</f>
        <v>0.004273504274</v>
      </c>
      <c r="L176" s="10">
        <f>IFERROR(__xludf.DUMMYFUNCTION("""COMPUTED_VALUE"""),936.0)</f>
        <v>936</v>
      </c>
      <c r="M176" s="5">
        <f>IFERROR(__xludf.DUMMYFUNCTION("""COMPUTED_VALUE"""),1.0)</f>
        <v>1</v>
      </c>
    </row>
    <row r="177">
      <c r="A177" s="10" t="str">
        <f>IFERROR(__xludf.DUMMYFUNCTION("""COMPUTED_VALUE"""),"italian")</f>
        <v>italian</v>
      </c>
      <c r="B177" s="10">
        <f>IFERROR(__xludf.DUMMYFUNCTION("""COMPUTED_VALUE"""),373.0)</f>
        <v>373</v>
      </c>
      <c r="C177" s="10">
        <f>IFERROR(__xludf.DUMMYFUNCTION("""COMPUTED_VALUE"""),4314.0)</f>
        <v>4314</v>
      </c>
      <c r="D177" s="5">
        <f>IFERROR(__xludf.DUMMYFUNCTION("""COMPUTED_VALUE"""),0.32073077899010405)</f>
        <v>0.320730779</v>
      </c>
      <c r="E177" s="5">
        <f>IFERROR(__xludf.DUMMYFUNCTION("""COMPUTED_VALUE"""),0.15681299162649073)</f>
        <v>0.1568129916</v>
      </c>
      <c r="F177" s="5">
        <f>IFERROR(__xludf.DUMMYFUNCTION("""COMPUTED_VALUE"""),0.19690433900025375)</f>
        <v>0.196904339</v>
      </c>
      <c r="G177" s="5">
        <f>IFERROR(__xludf.DUMMYFUNCTION("""COMPUTED_VALUE"""),0.1705150976909414)</f>
        <v>0.1705150977</v>
      </c>
      <c r="H177" s="5">
        <f>IFERROR(__xludf.DUMMYFUNCTION("""COMPUTED_VALUE"""),0.6134020618556701)</f>
        <v>0.6134020619</v>
      </c>
      <c r="I177" s="11">
        <f>IFERROR(__xludf.DUMMYFUNCTION("""COMPUTED_VALUE"""),5705.798969072165)</f>
        <v>5705.798969</v>
      </c>
      <c r="J177" s="10">
        <f>IFERROR(__xludf.DUMMYFUNCTION("""COMPUTED_VALUE"""),1.0)</f>
        <v>1</v>
      </c>
      <c r="K177" s="5">
        <f>IFERROR(__xludf.DUMMYFUNCTION("""COMPUTED_VALUE"""),0.002680965147453083)</f>
        <v>0.002680965147</v>
      </c>
      <c r="L177" s="10">
        <f>IFERROR(__xludf.DUMMYFUNCTION("""COMPUTED_VALUE"""),373.0)</f>
        <v>373</v>
      </c>
      <c r="M177" s="5">
        <f>IFERROR(__xludf.DUMMYFUNCTION("""COMPUTED_VALUE"""),1.0)</f>
        <v>1</v>
      </c>
    </row>
    <row r="178">
      <c r="A178" s="10" t="str">
        <f>IFERROR(__xludf.DUMMYFUNCTION("""COMPUTED_VALUE"""),"A--B--C2")</f>
        <v>A--B--C2</v>
      </c>
      <c r="B178" s="10">
        <f>IFERROR(__xludf.DUMMYFUNCTION("""COMPUTED_VALUE"""),106.0)</f>
        <v>106</v>
      </c>
      <c r="C178" s="10">
        <f>IFERROR(__xludf.DUMMYFUNCTION("""COMPUTED_VALUE"""),1254.0)</f>
        <v>1254</v>
      </c>
      <c r="D178" s="5">
        <f>IFERROR(__xludf.DUMMYFUNCTION("""COMPUTED_VALUE"""),0.39372822299651566)</f>
        <v>0.393728223</v>
      </c>
      <c r="E178" s="5">
        <f>IFERROR(__xludf.DUMMYFUNCTION("""COMPUTED_VALUE"""),0.156794425087108)</f>
        <v>0.1567944251</v>
      </c>
      <c r="F178" s="5">
        <f>IFERROR(__xludf.DUMMYFUNCTION("""COMPUTED_VALUE"""),0.21515679442508712)</f>
        <v>0.2151567944</v>
      </c>
      <c r="G178" s="5">
        <f>IFERROR(__xludf.DUMMYFUNCTION("""COMPUTED_VALUE"""),0.16898954703832753)</f>
        <v>0.168989547</v>
      </c>
      <c r="H178" s="5">
        <f>IFERROR(__xludf.DUMMYFUNCTION("""COMPUTED_VALUE"""),0.5991902834008097)</f>
        <v>0.5991902834</v>
      </c>
      <c r="I178" s="11">
        <f>IFERROR(__xludf.DUMMYFUNCTION("""COMPUTED_VALUE"""),5801.619433198381)</f>
        <v>5801.619433</v>
      </c>
      <c r="J178" s="10">
        <f>IFERROR(__xludf.DUMMYFUNCTION("""COMPUTED_VALUE"""),1.0)</f>
        <v>1</v>
      </c>
      <c r="K178" s="5">
        <f>IFERROR(__xludf.DUMMYFUNCTION("""COMPUTED_VALUE"""),0.009433962264150943)</f>
        <v>0.009433962264</v>
      </c>
      <c r="L178" s="10">
        <f>IFERROR(__xludf.DUMMYFUNCTION("""COMPUTED_VALUE"""),106.0)</f>
        <v>106</v>
      </c>
      <c r="M178" s="5">
        <f>IFERROR(__xludf.DUMMYFUNCTION("""COMPUTED_VALUE"""),1.0)</f>
        <v>1</v>
      </c>
    </row>
    <row r="179">
      <c r="A179" s="10" t="str">
        <f>IFERROR(__xludf.DUMMYFUNCTION("""COMPUTED_VALUE"""),"＝Ⅸ＝")</f>
        <v>＝Ⅸ＝</v>
      </c>
      <c r="B179" s="10">
        <f>IFERROR(__xludf.DUMMYFUNCTION("""COMPUTED_VALUE"""),576.0)</f>
        <v>576</v>
      </c>
      <c r="C179" s="10">
        <f>IFERROR(__xludf.DUMMYFUNCTION("""COMPUTED_VALUE"""),6782.0)</f>
        <v>6782</v>
      </c>
      <c r="D179" s="5">
        <f>IFERROR(__xludf.DUMMYFUNCTION("""COMPUTED_VALUE"""),0.3515952304221721)</f>
        <v>0.3515952304</v>
      </c>
      <c r="E179" s="5">
        <f>IFERROR(__xludf.DUMMYFUNCTION("""COMPUTED_VALUE"""),0.15678375765388333)</f>
        <v>0.1567837577</v>
      </c>
      <c r="F179" s="5">
        <f>IFERROR(__xludf.DUMMYFUNCTION("""COMPUTED_VALUE"""),0.22558814050918466)</f>
        <v>0.2255881405</v>
      </c>
      <c r="G179" s="5">
        <f>IFERROR(__xludf.DUMMYFUNCTION("""COMPUTED_VALUE"""),0.18546567837576539)</f>
        <v>0.1854656784</v>
      </c>
      <c r="H179" s="5">
        <f>IFERROR(__xludf.DUMMYFUNCTION("""COMPUTED_VALUE"""),0.5942857142857143)</f>
        <v>0.5942857143</v>
      </c>
      <c r="I179" s="11">
        <f>IFERROR(__xludf.DUMMYFUNCTION("""COMPUTED_VALUE"""),5801.214285714285)</f>
        <v>5801.214286</v>
      </c>
      <c r="J179" s="10">
        <f>IFERROR(__xludf.DUMMYFUNCTION("""COMPUTED_VALUE"""),1.0)</f>
        <v>1</v>
      </c>
      <c r="K179" s="5">
        <f>IFERROR(__xludf.DUMMYFUNCTION("""COMPUTED_VALUE"""),0.001736111111111111)</f>
        <v>0.001736111111</v>
      </c>
      <c r="L179" s="10">
        <f>IFERROR(__xludf.DUMMYFUNCTION("""COMPUTED_VALUE"""),576.0)</f>
        <v>576</v>
      </c>
      <c r="M179" s="5">
        <f>IFERROR(__xludf.DUMMYFUNCTION("""COMPUTED_VALUE"""),1.0)</f>
        <v>1</v>
      </c>
    </row>
    <row r="180">
      <c r="A180" s="10" t="str">
        <f>IFERROR(__xludf.DUMMYFUNCTION("""COMPUTED_VALUE"""),"chubu74")</f>
        <v>chubu74</v>
      </c>
      <c r="B180" s="10">
        <f>IFERROR(__xludf.DUMMYFUNCTION("""COMPUTED_VALUE"""),904.0)</f>
        <v>904</v>
      </c>
      <c r="C180" s="10">
        <f>IFERROR(__xludf.DUMMYFUNCTION("""COMPUTED_VALUE"""),10543.0)</f>
        <v>10543</v>
      </c>
      <c r="D180" s="5">
        <f>IFERROR(__xludf.DUMMYFUNCTION("""COMPUTED_VALUE"""),0.3693329183525262)</f>
        <v>0.3693329184</v>
      </c>
      <c r="E180" s="5">
        <f>IFERROR(__xludf.DUMMYFUNCTION("""COMPUTED_VALUE"""),0.1567589998962548)</f>
        <v>0.1567589999</v>
      </c>
      <c r="F180" s="5">
        <f>IFERROR(__xludf.DUMMYFUNCTION("""COMPUTED_VALUE"""),0.22450461666147942)</f>
        <v>0.2245046167</v>
      </c>
      <c r="G180" s="5">
        <f>IFERROR(__xludf.DUMMYFUNCTION("""COMPUTED_VALUE"""),0.13175640626621019)</f>
        <v>0.1317564063</v>
      </c>
      <c r="H180" s="5">
        <f>IFERROR(__xludf.DUMMYFUNCTION("""COMPUTED_VALUE"""),0.6081330868761553)</f>
        <v>0.6081330869</v>
      </c>
      <c r="I180" s="11">
        <f>IFERROR(__xludf.DUMMYFUNCTION("""COMPUTED_VALUE"""),5170.194085027726)</f>
        <v>5170.194085</v>
      </c>
      <c r="J180" s="10">
        <f>IFERROR(__xludf.DUMMYFUNCTION("""COMPUTED_VALUE"""),2.0)</f>
        <v>2</v>
      </c>
      <c r="K180" s="5">
        <f>IFERROR(__xludf.DUMMYFUNCTION("""COMPUTED_VALUE"""),0.0022123893805309734)</f>
        <v>0.002212389381</v>
      </c>
      <c r="L180" s="10">
        <f>IFERROR(__xludf.DUMMYFUNCTION("""COMPUTED_VALUE"""),904.0)</f>
        <v>904</v>
      </c>
      <c r="M180" s="5">
        <f>IFERROR(__xludf.DUMMYFUNCTION("""COMPUTED_VALUE"""),1.0)</f>
        <v>1</v>
      </c>
    </row>
    <row r="181">
      <c r="A181" s="10" t="str">
        <f>IFERROR(__xludf.DUMMYFUNCTION("""COMPUTED_VALUE"""),"東風のぷー")</f>
        <v>東風のぷー</v>
      </c>
      <c r="B181" s="10">
        <f>IFERROR(__xludf.DUMMYFUNCTION("""COMPUTED_VALUE"""),108.0)</f>
        <v>108</v>
      </c>
      <c r="C181" s="10">
        <f>IFERROR(__xludf.DUMMYFUNCTION("""COMPUTED_VALUE"""),1218.0)</f>
        <v>1218</v>
      </c>
      <c r="D181" s="5">
        <f>IFERROR(__xludf.DUMMYFUNCTION("""COMPUTED_VALUE"""),0.3855855855855856)</f>
        <v>0.3855855856</v>
      </c>
      <c r="E181" s="5">
        <f>IFERROR(__xludf.DUMMYFUNCTION("""COMPUTED_VALUE"""),0.15675675675675677)</f>
        <v>0.1567567568</v>
      </c>
      <c r="F181" s="5">
        <f>IFERROR(__xludf.DUMMYFUNCTION("""COMPUTED_VALUE"""),0.1990990990990991)</f>
        <v>0.1990990991</v>
      </c>
      <c r="G181" s="5">
        <f>IFERROR(__xludf.DUMMYFUNCTION("""COMPUTED_VALUE"""),0.19099099099099098)</f>
        <v>0.190990991</v>
      </c>
      <c r="H181" s="5">
        <f>IFERROR(__xludf.DUMMYFUNCTION("""COMPUTED_VALUE"""),0.6063348416289592)</f>
        <v>0.6063348416</v>
      </c>
      <c r="I181" s="11">
        <f>IFERROR(__xludf.DUMMYFUNCTION("""COMPUTED_VALUE"""),5332.126696832579)</f>
        <v>5332.126697</v>
      </c>
      <c r="J181" s="10">
        <f>IFERROR(__xludf.DUMMYFUNCTION("""COMPUTED_VALUE"""),0.0)</f>
        <v>0</v>
      </c>
      <c r="K181" s="5">
        <f>IFERROR(__xludf.DUMMYFUNCTION("""COMPUTED_VALUE"""),0.0)</f>
        <v>0</v>
      </c>
      <c r="L181" s="10">
        <f>IFERROR(__xludf.DUMMYFUNCTION("""COMPUTED_VALUE"""),108.0)</f>
        <v>108</v>
      </c>
      <c r="M181" s="5">
        <f>IFERROR(__xludf.DUMMYFUNCTION("""COMPUTED_VALUE"""),1.0)</f>
        <v>1</v>
      </c>
    </row>
    <row r="182">
      <c r="A182" s="10" t="str">
        <f>IFERROR(__xludf.DUMMYFUNCTION("""COMPUTED_VALUE"""),"親父軍総帥")</f>
        <v>親父軍総帥</v>
      </c>
      <c r="B182" s="10">
        <f>IFERROR(__xludf.DUMMYFUNCTION("""COMPUTED_VALUE"""),122.0)</f>
        <v>122</v>
      </c>
      <c r="C182" s="10">
        <f>IFERROR(__xludf.DUMMYFUNCTION("""COMPUTED_VALUE"""),1424.0)</f>
        <v>1424</v>
      </c>
      <c r="D182" s="5">
        <f>IFERROR(__xludf.DUMMYFUNCTION("""COMPUTED_VALUE"""),0.28648233486943164)</f>
        <v>0.2864823349</v>
      </c>
      <c r="E182" s="5">
        <f>IFERROR(__xludf.DUMMYFUNCTION("""COMPUTED_VALUE"""),0.15668202764976957)</f>
        <v>0.1566820276</v>
      </c>
      <c r="F182" s="5">
        <f>IFERROR(__xludf.DUMMYFUNCTION("""COMPUTED_VALUE"""),0.22196620583717358)</f>
        <v>0.2219662058</v>
      </c>
      <c r="G182" s="5">
        <f>IFERROR(__xludf.DUMMYFUNCTION("""COMPUTED_VALUE"""),0.18125960061443933)</f>
        <v>0.1812596006</v>
      </c>
      <c r="H182" s="5">
        <f>IFERROR(__xludf.DUMMYFUNCTION("""COMPUTED_VALUE"""),0.6124567474048442)</f>
        <v>0.6124567474</v>
      </c>
      <c r="I182" s="11">
        <f>IFERROR(__xludf.DUMMYFUNCTION("""COMPUTED_VALUE"""),5842.214532871973)</f>
        <v>5842.214533</v>
      </c>
      <c r="J182" s="10">
        <f>IFERROR(__xludf.DUMMYFUNCTION("""COMPUTED_VALUE"""),0.0)</f>
        <v>0</v>
      </c>
      <c r="K182" s="5">
        <f>IFERROR(__xludf.DUMMYFUNCTION("""COMPUTED_VALUE"""),0.0)</f>
        <v>0</v>
      </c>
      <c r="L182" s="10">
        <f>IFERROR(__xludf.DUMMYFUNCTION("""COMPUTED_VALUE"""),122.0)</f>
        <v>122</v>
      </c>
      <c r="M182" s="5">
        <f>IFERROR(__xludf.DUMMYFUNCTION("""COMPUTED_VALUE"""),1.0)</f>
        <v>1</v>
      </c>
    </row>
    <row r="183">
      <c r="A183" s="10" t="str">
        <f>IFERROR(__xludf.DUMMYFUNCTION("""COMPUTED_VALUE"""),"wcp02")</f>
        <v>wcp02</v>
      </c>
      <c r="B183" s="10">
        <f>IFERROR(__xludf.DUMMYFUNCTION("""COMPUTED_VALUE"""),253.0)</f>
        <v>253</v>
      </c>
      <c r="C183" s="10">
        <f>IFERROR(__xludf.DUMMYFUNCTION("""COMPUTED_VALUE"""),3037.0)</f>
        <v>3037</v>
      </c>
      <c r="D183" s="5">
        <f>IFERROR(__xludf.DUMMYFUNCTION("""COMPUTED_VALUE"""),0.3933189655172414)</f>
        <v>0.3933189655</v>
      </c>
      <c r="E183" s="5">
        <f>IFERROR(__xludf.DUMMYFUNCTION("""COMPUTED_VALUE"""),0.15660919540229884)</f>
        <v>0.1566091954</v>
      </c>
      <c r="F183" s="5">
        <f>IFERROR(__xludf.DUMMYFUNCTION("""COMPUTED_VALUE"""),0.22557471264367815)</f>
        <v>0.2255747126</v>
      </c>
      <c r="G183" s="5">
        <f>IFERROR(__xludf.DUMMYFUNCTION("""COMPUTED_VALUE"""),0.17420977011494254)</f>
        <v>0.1742097701</v>
      </c>
      <c r="H183" s="5">
        <f>IFERROR(__xludf.DUMMYFUNCTION("""COMPUTED_VALUE"""),0.60828025477707)</f>
        <v>0.6082802548</v>
      </c>
      <c r="I183" s="11">
        <f>IFERROR(__xludf.DUMMYFUNCTION("""COMPUTED_VALUE"""),5364.490445859873)</f>
        <v>5364.490446</v>
      </c>
      <c r="J183" s="10">
        <f>IFERROR(__xludf.DUMMYFUNCTION("""COMPUTED_VALUE"""),0.0)</f>
        <v>0</v>
      </c>
      <c r="K183" s="5">
        <f>IFERROR(__xludf.DUMMYFUNCTION("""COMPUTED_VALUE"""),0.0)</f>
        <v>0</v>
      </c>
      <c r="L183" s="10">
        <f>IFERROR(__xludf.DUMMYFUNCTION("""COMPUTED_VALUE"""),253.0)</f>
        <v>253</v>
      </c>
      <c r="M183" s="5">
        <f>IFERROR(__xludf.DUMMYFUNCTION("""COMPUTED_VALUE"""),1.0)</f>
        <v>1</v>
      </c>
    </row>
    <row r="184">
      <c r="A184" s="10" t="str">
        <f>IFERROR(__xludf.DUMMYFUNCTION("""COMPUTED_VALUE"""),"opanpon")</f>
        <v>opanpon</v>
      </c>
      <c r="B184" s="10">
        <f>IFERROR(__xludf.DUMMYFUNCTION("""COMPUTED_VALUE"""),716.0)</f>
        <v>716</v>
      </c>
      <c r="C184" s="10">
        <f>IFERROR(__xludf.DUMMYFUNCTION("""COMPUTED_VALUE"""),8292.0)</f>
        <v>8292</v>
      </c>
      <c r="D184" s="5">
        <f>IFERROR(__xludf.DUMMYFUNCTION("""COMPUTED_VALUE"""),0.39651531151003166)</f>
        <v>0.3965153115</v>
      </c>
      <c r="E184" s="5">
        <f>IFERROR(__xludf.DUMMYFUNCTION("""COMPUTED_VALUE"""),0.1565469904963041)</f>
        <v>0.1565469905</v>
      </c>
      <c r="F184" s="5">
        <f>IFERROR(__xludf.DUMMYFUNCTION("""COMPUTED_VALUE"""),0.23310454065469904)</f>
        <v>0.2331045407</v>
      </c>
      <c r="G184" s="5">
        <f>IFERROR(__xludf.DUMMYFUNCTION("""COMPUTED_VALUE"""),0.2085533262935586)</f>
        <v>0.2085533263</v>
      </c>
      <c r="H184" s="5">
        <f>IFERROR(__xludf.DUMMYFUNCTION("""COMPUTED_VALUE"""),0.6138165345413363)</f>
        <v>0.6138165345</v>
      </c>
      <c r="I184" s="11">
        <f>IFERROR(__xludf.DUMMYFUNCTION("""COMPUTED_VALUE"""),5560.022650056625)</f>
        <v>5560.02265</v>
      </c>
      <c r="J184" s="10">
        <f>IFERROR(__xludf.DUMMYFUNCTION("""COMPUTED_VALUE"""),4.0)</f>
        <v>4</v>
      </c>
      <c r="K184" s="5">
        <f>IFERROR(__xludf.DUMMYFUNCTION("""COMPUTED_VALUE"""),0.00558659217877095)</f>
        <v>0.005586592179</v>
      </c>
      <c r="L184" s="10">
        <f>IFERROR(__xludf.DUMMYFUNCTION("""COMPUTED_VALUE"""),716.0)</f>
        <v>716</v>
      </c>
      <c r="M184" s="5">
        <f>IFERROR(__xludf.DUMMYFUNCTION("""COMPUTED_VALUE"""),1.0)</f>
        <v>1</v>
      </c>
    </row>
    <row r="185">
      <c r="A185" s="10" t="str">
        <f>IFERROR(__xludf.DUMMYFUNCTION("""COMPUTED_VALUE"""),"えいじ0122")</f>
        <v>えいじ0122</v>
      </c>
      <c r="B185" s="10">
        <f>IFERROR(__xludf.DUMMYFUNCTION("""COMPUTED_VALUE"""),128.0)</f>
        <v>128</v>
      </c>
      <c r="C185" s="10">
        <f>IFERROR(__xludf.DUMMYFUNCTION("""COMPUTED_VALUE"""),1515.0)</f>
        <v>1515</v>
      </c>
      <c r="D185" s="5">
        <f>IFERROR(__xludf.DUMMYFUNCTION("""COMPUTED_VALUE"""),0.3749098774333093)</f>
        <v>0.3749098774</v>
      </c>
      <c r="E185" s="5">
        <f>IFERROR(__xludf.DUMMYFUNCTION("""COMPUTED_VALUE"""),0.15645277577505406)</f>
        <v>0.1564527758</v>
      </c>
      <c r="F185" s="5">
        <f>IFERROR(__xludf.DUMMYFUNCTION("""COMPUTED_VALUE"""),0.2062004325883201)</f>
        <v>0.2062004326</v>
      </c>
      <c r="G185" s="5">
        <f>IFERROR(__xludf.DUMMYFUNCTION("""COMPUTED_VALUE"""),0.1658255227108868)</f>
        <v>0.1658255227</v>
      </c>
      <c r="H185" s="5">
        <f>IFERROR(__xludf.DUMMYFUNCTION("""COMPUTED_VALUE"""),0.5944055944055944)</f>
        <v>0.5944055944</v>
      </c>
      <c r="I185" s="11">
        <f>IFERROR(__xludf.DUMMYFUNCTION("""COMPUTED_VALUE"""),5833.916083916084)</f>
        <v>5833.916084</v>
      </c>
      <c r="J185" s="10">
        <f>IFERROR(__xludf.DUMMYFUNCTION("""COMPUTED_VALUE"""),0.0)</f>
        <v>0</v>
      </c>
      <c r="K185" s="5">
        <f>IFERROR(__xludf.DUMMYFUNCTION("""COMPUTED_VALUE"""),0.0)</f>
        <v>0</v>
      </c>
      <c r="L185" s="10">
        <f>IFERROR(__xludf.DUMMYFUNCTION("""COMPUTED_VALUE"""),128.0)</f>
        <v>128</v>
      </c>
      <c r="M185" s="5">
        <f>IFERROR(__xludf.DUMMYFUNCTION("""COMPUTED_VALUE"""),1.0)</f>
        <v>1</v>
      </c>
    </row>
    <row r="186">
      <c r="A186" s="10" t="str">
        <f>IFERROR(__xludf.DUMMYFUNCTION("""COMPUTED_VALUE"""),"フッィュー")</f>
        <v>フッィュー</v>
      </c>
      <c r="B186" s="10">
        <f>IFERROR(__xludf.DUMMYFUNCTION("""COMPUTED_VALUE"""),143.0)</f>
        <v>143</v>
      </c>
      <c r="C186" s="10">
        <f>IFERROR(__xludf.DUMMYFUNCTION("""COMPUTED_VALUE"""),1697.0)</f>
        <v>1697</v>
      </c>
      <c r="D186" s="5">
        <f>IFERROR(__xludf.DUMMYFUNCTION("""COMPUTED_VALUE"""),0.38996138996138996)</f>
        <v>0.38996139</v>
      </c>
      <c r="E186" s="5">
        <f>IFERROR(__xludf.DUMMYFUNCTION("""COMPUTED_VALUE"""),0.15637065637065636)</f>
        <v>0.1563706564</v>
      </c>
      <c r="F186" s="5">
        <f>IFERROR(__xludf.DUMMYFUNCTION("""COMPUTED_VALUE"""),0.22715572715572716)</f>
        <v>0.2271557272</v>
      </c>
      <c r="G186" s="5">
        <f>IFERROR(__xludf.DUMMYFUNCTION("""COMPUTED_VALUE"""),0.1788931788931789)</f>
        <v>0.1788931789</v>
      </c>
      <c r="H186" s="5">
        <f>IFERROR(__xludf.DUMMYFUNCTION("""COMPUTED_VALUE"""),0.5949008498583569)</f>
        <v>0.5949008499</v>
      </c>
      <c r="I186" s="11">
        <f>IFERROR(__xludf.DUMMYFUNCTION("""COMPUTED_VALUE"""),5783.569405099151)</f>
        <v>5783.569405</v>
      </c>
      <c r="J186" s="10">
        <f>IFERROR(__xludf.DUMMYFUNCTION("""COMPUTED_VALUE"""),1.0)</f>
        <v>1</v>
      </c>
      <c r="K186" s="5">
        <f>IFERROR(__xludf.DUMMYFUNCTION("""COMPUTED_VALUE"""),0.006993006993006993)</f>
        <v>0.006993006993</v>
      </c>
      <c r="L186" s="10">
        <f>IFERROR(__xludf.DUMMYFUNCTION("""COMPUTED_VALUE"""),143.0)</f>
        <v>143</v>
      </c>
      <c r="M186" s="5">
        <f>IFERROR(__xludf.DUMMYFUNCTION("""COMPUTED_VALUE"""),1.0)</f>
        <v>1</v>
      </c>
    </row>
    <row r="187">
      <c r="A187" s="10" t="str">
        <f>IFERROR(__xludf.DUMMYFUNCTION("""COMPUTED_VALUE"""),"Iapetus")</f>
        <v>Iapetus</v>
      </c>
      <c r="B187" s="10">
        <f>IFERROR(__xludf.DUMMYFUNCTION("""COMPUTED_VALUE"""),158.0)</f>
        <v>158</v>
      </c>
      <c r="C187" s="10">
        <f>IFERROR(__xludf.DUMMYFUNCTION("""COMPUTED_VALUE"""),1853.0)</f>
        <v>1853</v>
      </c>
      <c r="D187" s="5">
        <f>IFERROR(__xludf.DUMMYFUNCTION("""COMPUTED_VALUE"""),0.32212389380530976)</f>
        <v>0.3221238938</v>
      </c>
      <c r="E187" s="5">
        <f>IFERROR(__xludf.DUMMYFUNCTION("""COMPUTED_VALUE"""),0.15634218289085547)</f>
        <v>0.1563421829</v>
      </c>
      <c r="F187" s="5">
        <f>IFERROR(__xludf.DUMMYFUNCTION("""COMPUTED_VALUE"""),0.20353982300884957)</f>
        <v>0.203539823</v>
      </c>
      <c r="G187" s="5">
        <f>IFERROR(__xludf.DUMMYFUNCTION("""COMPUTED_VALUE"""),0.1687315634218289)</f>
        <v>0.1687315634</v>
      </c>
      <c r="H187" s="5">
        <f>IFERROR(__xludf.DUMMYFUNCTION("""COMPUTED_VALUE"""),0.6231884057971014)</f>
        <v>0.6231884058</v>
      </c>
      <c r="I187" s="11">
        <f>IFERROR(__xludf.DUMMYFUNCTION("""COMPUTED_VALUE"""),5566.376811594203)</f>
        <v>5566.376812</v>
      </c>
      <c r="J187" s="10">
        <f>IFERROR(__xludf.DUMMYFUNCTION("""COMPUTED_VALUE"""),0.0)</f>
        <v>0</v>
      </c>
      <c r="K187" s="5">
        <f>IFERROR(__xludf.DUMMYFUNCTION("""COMPUTED_VALUE"""),0.0)</f>
        <v>0</v>
      </c>
      <c r="L187" s="10">
        <f>IFERROR(__xludf.DUMMYFUNCTION("""COMPUTED_VALUE"""),158.0)</f>
        <v>158</v>
      </c>
      <c r="M187" s="5">
        <f>IFERROR(__xludf.DUMMYFUNCTION("""COMPUTED_VALUE"""),1.0)</f>
        <v>1</v>
      </c>
    </row>
    <row r="188">
      <c r="A188" s="10" t="str">
        <f>IFERROR(__xludf.DUMMYFUNCTION("""COMPUTED_VALUE"""),"T-boy")</f>
        <v>T-boy</v>
      </c>
      <c r="B188" s="10">
        <f>IFERROR(__xludf.DUMMYFUNCTION("""COMPUTED_VALUE"""),149.0)</f>
        <v>149</v>
      </c>
      <c r="C188" s="10">
        <f>IFERROR(__xludf.DUMMYFUNCTION("""COMPUTED_VALUE"""),1710.0)</f>
        <v>1710</v>
      </c>
      <c r="D188" s="5">
        <f>IFERROR(__xludf.DUMMYFUNCTION("""COMPUTED_VALUE"""),0.28315182575272263)</f>
        <v>0.2831518258</v>
      </c>
      <c r="E188" s="5">
        <f>IFERROR(__xludf.DUMMYFUNCTION("""COMPUTED_VALUE"""),0.15631005765534914)</f>
        <v>0.1563100577</v>
      </c>
      <c r="F188" s="5">
        <f>IFERROR(__xludf.DUMMYFUNCTION("""COMPUTED_VALUE"""),0.19987187700192185)</f>
        <v>0.199871877</v>
      </c>
      <c r="G188" s="5">
        <f>IFERROR(__xludf.DUMMYFUNCTION("""COMPUTED_VALUE"""),0.17296604740550928)</f>
        <v>0.1729660474</v>
      </c>
      <c r="H188" s="5">
        <f>IFERROR(__xludf.DUMMYFUNCTION("""COMPUTED_VALUE"""),0.6602564102564102)</f>
        <v>0.6602564103</v>
      </c>
      <c r="I188" s="11">
        <f>IFERROR(__xludf.DUMMYFUNCTION("""COMPUTED_VALUE"""),5633.01282051282)</f>
        <v>5633.012821</v>
      </c>
      <c r="J188" s="10">
        <f>IFERROR(__xludf.DUMMYFUNCTION("""COMPUTED_VALUE"""),0.0)</f>
        <v>0</v>
      </c>
      <c r="K188" s="5">
        <f>IFERROR(__xludf.DUMMYFUNCTION("""COMPUTED_VALUE"""),0.0)</f>
        <v>0</v>
      </c>
      <c r="L188" s="10">
        <f>IFERROR(__xludf.DUMMYFUNCTION("""COMPUTED_VALUE"""),149.0)</f>
        <v>149</v>
      </c>
      <c r="M188" s="5">
        <f>IFERROR(__xludf.DUMMYFUNCTION("""COMPUTED_VALUE"""),1.0)</f>
        <v>1</v>
      </c>
    </row>
    <row r="189">
      <c r="A189" s="10" t="str">
        <f>IFERROR(__xludf.DUMMYFUNCTION("""COMPUTED_VALUE"""),"plum4139")</f>
        <v>plum4139</v>
      </c>
      <c r="B189" s="10">
        <f>IFERROR(__xludf.DUMMYFUNCTION("""COMPUTED_VALUE"""),100.0)</f>
        <v>100</v>
      </c>
      <c r="C189" s="10">
        <f>IFERROR(__xludf.DUMMYFUNCTION("""COMPUTED_VALUE"""),1124.0)</f>
        <v>1124</v>
      </c>
      <c r="D189" s="5">
        <f>IFERROR(__xludf.DUMMYFUNCTION("""COMPUTED_VALUE"""),0.337890625)</f>
        <v>0.337890625</v>
      </c>
      <c r="E189" s="5">
        <f>IFERROR(__xludf.DUMMYFUNCTION("""COMPUTED_VALUE"""),0.15625)</f>
        <v>0.15625</v>
      </c>
      <c r="F189" s="5">
        <f>IFERROR(__xludf.DUMMYFUNCTION("""COMPUTED_VALUE"""),0.19140625)</f>
        <v>0.19140625</v>
      </c>
      <c r="G189" s="5">
        <f>IFERROR(__xludf.DUMMYFUNCTION("""COMPUTED_VALUE"""),0.154296875)</f>
        <v>0.154296875</v>
      </c>
      <c r="H189" s="5">
        <f>IFERROR(__xludf.DUMMYFUNCTION("""COMPUTED_VALUE"""),0.5612244897959183)</f>
        <v>0.5612244898</v>
      </c>
      <c r="I189" s="11">
        <f>IFERROR(__xludf.DUMMYFUNCTION("""COMPUTED_VALUE"""),5620.408163265306)</f>
        <v>5620.408163</v>
      </c>
      <c r="J189" s="10">
        <f>IFERROR(__xludf.DUMMYFUNCTION("""COMPUTED_VALUE"""),0.0)</f>
        <v>0</v>
      </c>
      <c r="K189" s="5">
        <f>IFERROR(__xludf.DUMMYFUNCTION("""COMPUTED_VALUE"""),0.0)</f>
        <v>0</v>
      </c>
      <c r="L189" s="10">
        <f>IFERROR(__xludf.DUMMYFUNCTION("""COMPUTED_VALUE"""),100.0)</f>
        <v>100</v>
      </c>
      <c r="M189" s="5">
        <f>IFERROR(__xludf.DUMMYFUNCTION("""COMPUTED_VALUE"""),1.0)</f>
        <v>1</v>
      </c>
    </row>
    <row r="190">
      <c r="A190" s="10" t="str">
        <f>IFERROR(__xludf.DUMMYFUNCTION("""COMPUTED_VALUE"""),"Nektar")</f>
        <v>Nektar</v>
      </c>
      <c r="B190" s="10">
        <f>IFERROR(__xludf.DUMMYFUNCTION("""COMPUTED_VALUE"""),726.0)</f>
        <v>726</v>
      </c>
      <c r="C190" s="10">
        <f>IFERROR(__xludf.DUMMYFUNCTION("""COMPUTED_VALUE"""),8366.0)</f>
        <v>8366</v>
      </c>
      <c r="D190" s="5">
        <f>IFERROR(__xludf.DUMMYFUNCTION("""COMPUTED_VALUE"""),0.2895287958115183)</f>
        <v>0.2895287958</v>
      </c>
      <c r="E190" s="5">
        <f>IFERROR(__xludf.DUMMYFUNCTION("""COMPUTED_VALUE"""),0.156151832460733)</f>
        <v>0.1561518325</v>
      </c>
      <c r="F190" s="5">
        <f>IFERROR(__xludf.DUMMYFUNCTION("""COMPUTED_VALUE"""),0.2112565445026178)</f>
        <v>0.2112565445</v>
      </c>
      <c r="G190" s="5">
        <f>IFERROR(__xludf.DUMMYFUNCTION("""COMPUTED_VALUE"""),0.19816753926701572)</f>
        <v>0.1981675393</v>
      </c>
      <c r="H190" s="5">
        <f>IFERROR(__xludf.DUMMYFUNCTION("""COMPUTED_VALUE"""),0.5997521685254027)</f>
        <v>0.5997521685</v>
      </c>
      <c r="I190" s="11">
        <f>IFERROR(__xludf.DUMMYFUNCTION("""COMPUTED_VALUE"""),6083.1474597273855)</f>
        <v>6083.14746</v>
      </c>
      <c r="J190" s="10">
        <f>IFERROR(__xludf.DUMMYFUNCTION("""COMPUTED_VALUE"""),2.0)</f>
        <v>2</v>
      </c>
      <c r="K190" s="5">
        <f>IFERROR(__xludf.DUMMYFUNCTION("""COMPUTED_VALUE"""),0.0027548209366391185)</f>
        <v>0.002754820937</v>
      </c>
      <c r="L190" s="10">
        <f>IFERROR(__xludf.DUMMYFUNCTION("""COMPUTED_VALUE"""),726.0)</f>
        <v>726</v>
      </c>
      <c r="M190" s="5">
        <f>IFERROR(__xludf.DUMMYFUNCTION("""COMPUTED_VALUE"""),1.0)</f>
        <v>1</v>
      </c>
    </row>
    <row r="191">
      <c r="A191" s="10" t="str">
        <f>IFERROR(__xludf.DUMMYFUNCTION("""COMPUTED_VALUE"""),"あっくん2")</f>
        <v>あっくん2</v>
      </c>
      <c r="B191" s="10">
        <f>IFERROR(__xludf.DUMMYFUNCTION("""COMPUTED_VALUE"""),433.0)</f>
        <v>433</v>
      </c>
      <c r="C191" s="10">
        <f>IFERROR(__xludf.DUMMYFUNCTION("""COMPUTED_VALUE"""),5122.0)</f>
        <v>5122</v>
      </c>
      <c r="D191" s="5">
        <f>IFERROR(__xludf.DUMMYFUNCTION("""COMPUTED_VALUE"""),0.37150778417573044)</f>
        <v>0.3715077842</v>
      </c>
      <c r="E191" s="5">
        <f>IFERROR(__xludf.DUMMYFUNCTION("""COMPUTED_VALUE"""),0.1561100447856686)</f>
        <v>0.1561100448</v>
      </c>
      <c r="F191" s="5">
        <f>IFERROR(__xludf.DUMMYFUNCTION("""COMPUTED_VALUE"""),0.20857325655790146)</f>
        <v>0.2085732566</v>
      </c>
      <c r="G191" s="5">
        <f>IFERROR(__xludf.DUMMYFUNCTION("""COMPUTED_VALUE"""),0.1676263595649392)</f>
        <v>0.1676263596</v>
      </c>
      <c r="H191" s="5">
        <f>IFERROR(__xludf.DUMMYFUNCTION("""COMPUTED_VALUE"""),0.5828220858895705)</f>
        <v>0.5828220859</v>
      </c>
      <c r="I191" s="11">
        <f>IFERROR(__xludf.DUMMYFUNCTION("""COMPUTED_VALUE"""),5753.271983640082)</f>
        <v>5753.271984</v>
      </c>
      <c r="J191" s="10">
        <f>IFERROR(__xludf.DUMMYFUNCTION("""COMPUTED_VALUE"""),1.0)</f>
        <v>1</v>
      </c>
      <c r="K191" s="5">
        <f>IFERROR(__xludf.DUMMYFUNCTION("""COMPUTED_VALUE"""),0.0023094688221709007)</f>
        <v>0.002309468822</v>
      </c>
      <c r="L191" s="10">
        <f>IFERROR(__xludf.DUMMYFUNCTION("""COMPUTED_VALUE"""),433.0)</f>
        <v>433</v>
      </c>
      <c r="M191" s="5">
        <f>IFERROR(__xludf.DUMMYFUNCTION("""COMPUTED_VALUE"""),1.0)</f>
        <v>1</v>
      </c>
    </row>
    <row r="192">
      <c r="A192" s="10" t="str">
        <f>IFERROR(__xludf.DUMMYFUNCTION("""COMPUTED_VALUE"""),"momonin")</f>
        <v>momonin</v>
      </c>
      <c r="B192" s="10">
        <f>IFERROR(__xludf.DUMMYFUNCTION("""COMPUTED_VALUE"""),170.0)</f>
        <v>170</v>
      </c>
      <c r="C192" s="10">
        <f>IFERROR(__xludf.DUMMYFUNCTION("""COMPUTED_VALUE"""),1996.0)</f>
        <v>1996</v>
      </c>
      <c r="D192" s="5">
        <f>IFERROR(__xludf.DUMMYFUNCTION("""COMPUTED_VALUE"""),0.37075575027382257)</f>
        <v>0.3707557503</v>
      </c>
      <c r="E192" s="5">
        <f>IFERROR(__xludf.DUMMYFUNCTION("""COMPUTED_VALUE"""),0.156078860898138)</f>
        <v>0.1560788609</v>
      </c>
      <c r="F192" s="5">
        <f>IFERROR(__xludf.DUMMYFUNCTION("""COMPUTED_VALUE"""),0.20372398685651696)</f>
        <v>0.2037239869</v>
      </c>
      <c r="G192" s="5">
        <f>IFERROR(__xludf.DUMMYFUNCTION("""COMPUTED_VALUE"""),0.1511500547645126)</f>
        <v>0.1511500548</v>
      </c>
      <c r="H192" s="5">
        <f>IFERROR(__xludf.DUMMYFUNCTION("""COMPUTED_VALUE"""),0.6236559139784946)</f>
        <v>0.623655914</v>
      </c>
      <c r="I192" s="11">
        <f>IFERROR(__xludf.DUMMYFUNCTION("""COMPUTED_VALUE"""),5841.129032258064)</f>
        <v>5841.129032</v>
      </c>
      <c r="J192" s="10">
        <f>IFERROR(__xludf.DUMMYFUNCTION("""COMPUTED_VALUE"""),1.0)</f>
        <v>1</v>
      </c>
      <c r="K192" s="5">
        <f>IFERROR(__xludf.DUMMYFUNCTION("""COMPUTED_VALUE"""),0.0058823529411764705)</f>
        <v>0.005882352941</v>
      </c>
      <c r="L192" s="10">
        <f>IFERROR(__xludf.DUMMYFUNCTION("""COMPUTED_VALUE"""),170.0)</f>
        <v>170</v>
      </c>
      <c r="M192" s="5">
        <f>IFERROR(__xludf.DUMMYFUNCTION("""COMPUTED_VALUE"""),1.0)</f>
        <v>1</v>
      </c>
    </row>
    <row r="193">
      <c r="A193" s="10" t="str">
        <f>IFERROR(__xludf.DUMMYFUNCTION("""COMPUTED_VALUE"""),"☆イスコ☆")</f>
        <v>☆イスコ☆</v>
      </c>
      <c r="B193" s="10">
        <f>IFERROR(__xludf.DUMMYFUNCTION("""COMPUTED_VALUE"""),139.0)</f>
        <v>139</v>
      </c>
      <c r="C193" s="10">
        <f>IFERROR(__xludf.DUMMYFUNCTION("""COMPUTED_VALUE"""),1600.0)</f>
        <v>1600</v>
      </c>
      <c r="D193" s="5">
        <f>IFERROR(__xludf.DUMMYFUNCTION("""COMPUTED_VALUE"""),0.3812457221081451)</f>
        <v>0.3812457221</v>
      </c>
      <c r="E193" s="5">
        <f>IFERROR(__xludf.DUMMYFUNCTION("""COMPUTED_VALUE"""),0.15605749486652978)</f>
        <v>0.1560574949</v>
      </c>
      <c r="F193" s="5">
        <f>IFERROR(__xludf.DUMMYFUNCTION("""COMPUTED_VALUE"""),0.22792607802874743)</f>
        <v>0.227926078</v>
      </c>
      <c r="G193" s="5">
        <f>IFERROR(__xludf.DUMMYFUNCTION("""COMPUTED_VALUE"""),0.15879534565366188)</f>
        <v>0.1587953457</v>
      </c>
      <c r="H193" s="5">
        <f>IFERROR(__xludf.DUMMYFUNCTION("""COMPUTED_VALUE"""),0.6096096096096096)</f>
        <v>0.6096096096</v>
      </c>
      <c r="I193" s="11">
        <f>IFERROR(__xludf.DUMMYFUNCTION("""COMPUTED_VALUE"""),5621.021021021021)</f>
        <v>5621.021021</v>
      </c>
      <c r="J193" s="10">
        <f>IFERROR(__xludf.DUMMYFUNCTION("""COMPUTED_VALUE"""),1.0)</f>
        <v>1</v>
      </c>
      <c r="K193" s="5">
        <f>IFERROR(__xludf.DUMMYFUNCTION("""COMPUTED_VALUE"""),0.007194244604316547)</f>
        <v>0.007194244604</v>
      </c>
      <c r="L193" s="10">
        <f>IFERROR(__xludf.DUMMYFUNCTION("""COMPUTED_VALUE"""),20.0)</f>
        <v>20</v>
      </c>
      <c r="M193" s="5">
        <f>IFERROR(__xludf.DUMMYFUNCTION("""COMPUTED_VALUE"""),0.14388489208633093)</f>
        <v>0.1438848921</v>
      </c>
    </row>
    <row r="194">
      <c r="A194" s="10" t="str">
        <f>IFERROR(__xludf.DUMMYFUNCTION("""COMPUTED_VALUE"""),"スズカアーチスト")</f>
        <v>スズカアーチスト</v>
      </c>
      <c r="B194" s="10">
        <f>IFERROR(__xludf.DUMMYFUNCTION("""COMPUTED_VALUE"""),183.0)</f>
        <v>183</v>
      </c>
      <c r="C194" s="10">
        <f>IFERROR(__xludf.DUMMYFUNCTION("""COMPUTED_VALUE"""),2099.0)</f>
        <v>2099</v>
      </c>
      <c r="D194" s="5">
        <f>IFERROR(__xludf.DUMMYFUNCTION("""COMPUTED_VALUE"""),0.3695198329853862)</f>
        <v>0.369519833</v>
      </c>
      <c r="E194" s="5">
        <f>IFERROR(__xludf.DUMMYFUNCTION("""COMPUTED_VALUE"""),0.15605427974947808)</f>
        <v>0.1560542797</v>
      </c>
      <c r="F194" s="5">
        <f>IFERROR(__xludf.DUMMYFUNCTION("""COMPUTED_VALUE"""),0.22286012526096033)</f>
        <v>0.2228601253</v>
      </c>
      <c r="G194" s="5">
        <f>IFERROR(__xludf.DUMMYFUNCTION("""COMPUTED_VALUE"""),0.1826722338204593)</f>
        <v>0.1826722338</v>
      </c>
      <c r="H194" s="5">
        <f>IFERROR(__xludf.DUMMYFUNCTION("""COMPUTED_VALUE"""),0.6135831381733021)</f>
        <v>0.6135831382</v>
      </c>
      <c r="I194" s="11">
        <f>IFERROR(__xludf.DUMMYFUNCTION("""COMPUTED_VALUE"""),5783.606557377049)</f>
        <v>5783.606557</v>
      </c>
      <c r="J194" s="10">
        <f>IFERROR(__xludf.DUMMYFUNCTION("""COMPUTED_VALUE"""),0.0)</f>
        <v>0</v>
      </c>
      <c r="K194" s="5">
        <f>IFERROR(__xludf.DUMMYFUNCTION("""COMPUTED_VALUE"""),0.0)</f>
        <v>0</v>
      </c>
      <c r="L194" s="10">
        <f>IFERROR(__xludf.DUMMYFUNCTION("""COMPUTED_VALUE"""),183.0)</f>
        <v>183</v>
      </c>
      <c r="M194" s="5">
        <f>IFERROR(__xludf.DUMMYFUNCTION("""COMPUTED_VALUE"""),1.0)</f>
        <v>1</v>
      </c>
    </row>
    <row r="195">
      <c r="A195" s="10" t="str">
        <f>IFERROR(__xludf.DUMMYFUNCTION("""COMPUTED_VALUE"""),"xiaohui")</f>
        <v>xiaohui</v>
      </c>
      <c r="B195" s="10">
        <f>IFERROR(__xludf.DUMMYFUNCTION("""COMPUTED_VALUE"""),292.0)</f>
        <v>292</v>
      </c>
      <c r="C195" s="10">
        <f>IFERROR(__xludf.DUMMYFUNCTION("""COMPUTED_VALUE"""),3336.0)</f>
        <v>3336</v>
      </c>
      <c r="D195" s="5">
        <f>IFERROR(__xludf.DUMMYFUNCTION("""COMPUTED_VALUE"""),0.31865965834428384)</f>
        <v>0.3186596583</v>
      </c>
      <c r="E195" s="5">
        <f>IFERROR(__xludf.DUMMYFUNCTION("""COMPUTED_VALUE"""),0.15604467805519054)</f>
        <v>0.1560446781</v>
      </c>
      <c r="F195" s="5">
        <f>IFERROR(__xludf.DUMMYFUNCTION("""COMPUTED_VALUE"""),0.2049934296977661)</f>
        <v>0.2049934297</v>
      </c>
      <c r="G195" s="5">
        <f>IFERROR(__xludf.DUMMYFUNCTION("""COMPUTED_VALUE"""),0.1938239159001314)</f>
        <v>0.1938239159</v>
      </c>
      <c r="H195" s="5">
        <f>IFERROR(__xludf.DUMMYFUNCTION("""COMPUTED_VALUE"""),0.5897435897435898)</f>
        <v>0.5897435897</v>
      </c>
      <c r="I195" s="11">
        <f>IFERROR(__xludf.DUMMYFUNCTION("""COMPUTED_VALUE"""),6243.429487179487)</f>
        <v>6243.429487</v>
      </c>
      <c r="J195" s="10">
        <f>IFERROR(__xludf.DUMMYFUNCTION("""COMPUTED_VALUE"""),1.0)</f>
        <v>1</v>
      </c>
      <c r="K195" s="5">
        <f>IFERROR(__xludf.DUMMYFUNCTION("""COMPUTED_VALUE"""),0.003424657534246575)</f>
        <v>0.003424657534</v>
      </c>
      <c r="L195" s="10">
        <f>IFERROR(__xludf.DUMMYFUNCTION("""COMPUTED_VALUE"""),0.0)</f>
        <v>0</v>
      </c>
      <c r="M195" s="5">
        <f>IFERROR(__xludf.DUMMYFUNCTION("""COMPUTED_VALUE"""),0.0)</f>
        <v>0</v>
      </c>
    </row>
    <row r="196">
      <c r="A196" s="10" t="str">
        <f>IFERROR(__xludf.DUMMYFUNCTION("""COMPUTED_VALUE"""),"サブマリーナ")</f>
        <v>サブマリーナ</v>
      </c>
      <c r="B196" s="10">
        <f>IFERROR(__xludf.DUMMYFUNCTION("""COMPUTED_VALUE"""),222.0)</f>
        <v>222</v>
      </c>
      <c r="C196" s="10">
        <f>IFERROR(__xludf.DUMMYFUNCTION("""COMPUTED_VALUE"""),2574.0)</f>
        <v>2574</v>
      </c>
      <c r="D196" s="5">
        <f>IFERROR(__xludf.DUMMYFUNCTION("""COMPUTED_VALUE"""),0.4366496598639456)</f>
        <v>0.4366496599</v>
      </c>
      <c r="E196" s="5">
        <f>IFERROR(__xludf.DUMMYFUNCTION("""COMPUTED_VALUE"""),0.1560374149659864)</f>
        <v>0.156037415</v>
      </c>
      <c r="F196" s="5">
        <f>IFERROR(__xludf.DUMMYFUNCTION("""COMPUTED_VALUE"""),0.22363945578231292)</f>
        <v>0.2236394558</v>
      </c>
      <c r="G196" s="5">
        <f>IFERROR(__xludf.DUMMYFUNCTION("""COMPUTED_VALUE"""),0.16326530612244897)</f>
        <v>0.1632653061</v>
      </c>
      <c r="H196" s="5">
        <f>IFERROR(__xludf.DUMMYFUNCTION("""COMPUTED_VALUE"""),0.6045627376425855)</f>
        <v>0.6045627376</v>
      </c>
      <c r="I196" s="11">
        <f>IFERROR(__xludf.DUMMYFUNCTION("""COMPUTED_VALUE"""),5436.692015209125)</f>
        <v>5436.692015</v>
      </c>
      <c r="J196" s="10">
        <f>IFERROR(__xludf.DUMMYFUNCTION("""COMPUTED_VALUE"""),1.0)</f>
        <v>1</v>
      </c>
      <c r="K196" s="5">
        <f>IFERROR(__xludf.DUMMYFUNCTION("""COMPUTED_VALUE"""),0.0045045045045045045)</f>
        <v>0.004504504505</v>
      </c>
      <c r="L196" s="10">
        <f>IFERROR(__xludf.DUMMYFUNCTION("""COMPUTED_VALUE"""),222.0)</f>
        <v>222</v>
      </c>
      <c r="M196" s="5">
        <f>IFERROR(__xludf.DUMMYFUNCTION("""COMPUTED_VALUE"""),1.0)</f>
        <v>1</v>
      </c>
    </row>
    <row r="197">
      <c r="A197" s="10" t="str">
        <f>IFERROR(__xludf.DUMMYFUNCTION("""COMPUTED_VALUE"""),"dddon11")</f>
        <v>dddon11</v>
      </c>
      <c r="B197" s="10">
        <f>IFERROR(__xludf.DUMMYFUNCTION("""COMPUTED_VALUE"""),122.0)</f>
        <v>122</v>
      </c>
      <c r="C197" s="10">
        <f>IFERROR(__xludf.DUMMYFUNCTION("""COMPUTED_VALUE"""),1423.0)</f>
        <v>1423</v>
      </c>
      <c r="D197" s="5">
        <f>IFERROR(__xludf.DUMMYFUNCTION("""COMPUTED_VALUE"""),0.404304381245196)</f>
        <v>0.4043043812</v>
      </c>
      <c r="E197" s="5">
        <f>IFERROR(__xludf.DUMMYFUNCTION("""COMPUTED_VALUE"""),0.15603382013835512)</f>
        <v>0.1560338201</v>
      </c>
      <c r="F197" s="5">
        <f>IFERROR(__xludf.DUMMYFUNCTION("""COMPUTED_VALUE"""),0.21983089930822444)</f>
        <v>0.2198308993</v>
      </c>
      <c r="G197" s="5">
        <f>IFERROR(__xludf.DUMMYFUNCTION("""COMPUTED_VALUE"""),0.1760184473481937)</f>
        <v>0.1760184473</v>
      </c>
      <c r="H197" s="5">
        <f>IFERROR(__xludf.DUMMYFUNCTION("""COMPUTED_VALUE"""),0.6083916083916084)</f>
        <v>0.6083916084</v>
      </c>
      <c r="I197" s="11">
        <f>IFERROR(__xludf.DUMMYFUNCTION("""COMPUTED_VALUE"""),5018.881118881119)</f>
        <v>5018.881119</v>
      </c>
      <c r="J197" s="10">
        <f>IFERROR(__xludf.DUMMYFUNCTION("""COMPUTED_VALUE"""),1.0)</f>
        <v>1</v>
      </c>
      <c r="K197" s="5">
        <f>IFERROR(__xludf.DUMMYFUNCTION("""COMPUTED_VALUE"""),0.00819672131147541)</f>
        <v>0.008196721311</v>
      </c>
      <c r="L197" s="10">
        <f>IFERROR(__xludf.DUMMYFUNCTION("""COMPUTED_VALUE"""),122.0)</f>
        <v>122</v>
      </c>
      <c r="M197" s="5">
        <f>IFERROR(__xludf.DUMMYFUNCTION("""COMPUTED_VALUE"""),1.0)</f>
        <v>1</v>
      </c>
    </row>
    <row r="198">
      <c r="A198" s="10" t="str">
        <f>IFERROR(__xludf.DUMMYFUNCTION("""COMPUTED_VALUE"""),"noboru")</f>
        <v>noboru</v>
      </c>
      <c r="B198" s="10">
        <f>IFERROR(__xludf.DUMMYFUNCTION("""COMPUTED_VALUE"""),211.0)</f>
        <v>211</v>
      </c>
      <c r="C198" s="10">
        <f>IFERROR(__xludf.DUMMYFUNCTION("""COMPUTED_VALUE"""),2448.0)</f>
        <v>2448</v>
      </c>
      <c r="D198" s="5">
        <f>IFERROR(__xludf.DUMMYFUNCTION("""COMPUTED_VALUE"""),0.3254358515869468)</f>
        <v>0.3254358516</v>
      </c>
      <c r="E198" s="5">
        <f>IFERROR(__xludf.DUMMYFUNCTION("""COMPUTED_VALUE"""),0.15601251676352257)</f>
        <v>0.1560125168</v>
      </c>
      <c r="F198" s="5">
        <f>IFERROR(__xludf.DUMMYFUNCTION("""COMPUTED_VALUE"""),0.22440768886902102)</f>
        <v>0.2244076889</v>
      </c>
      <c r="G198" s="5">
        <f>IFERROR(__xludf.DUMMYFUNCTION("""COMPUTED_VALUE"""),0.2168082253017434)</f>
        <v>0.2168082253</v>
      </c>
      <c r="H198" s="5">
        <f>IFERROR(__xludf.DUMMYFUNCTION("""COMPUTED_VALUE"""),0.6075697211155379)</f>
        <v>0.6075697211</v>
      </c>
      <c r="I198" s="11">
        <f>IFERROR(__xludf.DUMMYFUNCTION("""COMPUTED_VALUE"""),6164.741035856574)</f>
        <v>6164.741036</v>
      </c>
      <c r="J198" s="10">
        <f>IFERROR(__xludf.DUMMYFUNCTION("""COMPUTED_VALUE"""),0.0)</f>
        <v>0</v>
      </c>
      <c r="K198" s="5">
        <f>IFERROR(__xludf.DUMMYFUNCTION("""COMPUTED_VALUE"""),0.0)</f>
        <v>0</v>
      </c>
      <c r="L198" s="10">
        <f>IFERROR(__xludf.DUMMYFUNCTION("""COMPUTED_VALUE"""),211.0)</f>
        <v>211</v>
      </c>
      <c r="M198" s="5">
        <f>IFERROR(__xludf.DUMMYFUNCTION("""COMPUTED_VALUE"""),1.0)</f>
        <v>1</v>
      </c>
    </row>
    <row r="199">
      <c r="A199" s="10" t="str">
        <f>IFERROR(__xludf.DUMMYFUNCTION("""COMPUTED_VALUE"""),"ネオけろっちょ")</f>
        <v>ネオけろっちょ</v>
      </c>
      <c r="B199" s="10">
        <f>IFERROR(__xludf.DUMMYFUNCTION("""COMPUTED_VALUE"""),435.0)</f>
        <v>435</v>
      </c>
      <c r="C199" s="10">
        <f>IFERROR(__xludf.DUMMYFUNCTION("""COMPUTED_VALUE"""),5115.0)</f>
        <v>5115</v>
      </c>
      <c r="D199" s="5">
        <f>IFERROR(__xludf.DUMMYFUNCTION("""COMPUTED_VALUE"""),0.30833333333333335)</f>
        <v>0.3083333333</v>
      </c>
      <c r="E199" s="5">
        <f>IFERROR(__xludf.DUMMYFUNCTION("""COMPUTED_VALUE"""),0.15598290598290598)</f>
        <v>0.155982906</v>
      </c>
      <c r="F199" s="5">
        <f>IFERROR(__xludf.DUMMYFUNCTION("""COMPUTED_VALUE"""),0.19658119658119658)</f>
        <v>0.1965811966</v>
      </c>
      <c r="G199" s="5">
        <f>IFERROR(__xludf.DUMMYFUNCTION("""COMPUTED_VALUE"""),0.19465811965811966)</f>
        <v>0.1946581197</v>
      </c>
      <c r="H199" s="5">
        <f>IFERROR(__xludf.DUMMYFUNCTION("""COMPUTED_VALUE"""),0.5880434782608696)</f>
        <v>0.5880434783</v>
      </c>
      <c r="I199" s="11">
        <f>IFERROR(__xludf.DUMMYFUNCTION("""COMPUTED_VALUE"""),6225.217391304348)</f>
        <v>6225.217391</v>
      </c>
      <c r="J199" s="10">
        <f>IFERROR(__xludf.DUMMYFUNCTION("""COMPUTED_VALUE"""),4.0)</f>
        <v>4</v>
      </c>
      <c r="K199" s="5">
        <f>IFERROR(__xludf.DUMMYFUNCTION("""COMPUTED_VALUE"""),0.009195402298850575)</f>
        <v>0.009195402299</v>
      </c>
      <c r="L199" s="10">
        <f>IFERROR(__xludf.DUMMYFUNCTION("""COMPUTED_VALUE"""),435.0)</f>
        <v>435</v>
      </c>
      <c r="M199" s="5">
        <f>IFERROR(__xludf.DUMMYFUNCTION("""COMPUTED_VALUE"""),1.0)</f>
        <v>1</v>
      </c>
    </row>
    <row r="200">
      <c r="A200" s="10" t="str">
        <f>IFERROR(__xludf.DUMMYFUNCTION("""COMPUTED_VALUE"""),"相川七瀬（本人）")</f>
        <v>相川七瀬（本人）</v>
      </c>
      <c r="B200" s="10">
        <f>IFERROR(__xludf.DUMMYFUNCTION("""COMPUTED_VALUE"""),708.0)</f>
        <v>708</v>
      </c>
      <c r="C200" s="10">
        <f>IFERROR(__xludf.DUMMYFUNCTION("""COMPUTED_VALUE"""),8152.0)</f>
        <v>8152</v>
      </c>
      <c r="D200" s="5">
        <f>IFERROR(__xludf.DUMMYFUNCTION("""COMPUTED_VALUE"""),0.47635679742074155)</f>
        <v>0.4763567974</v>
      </c>
      <c r="E200" s="5">
        <f>IFERROR(__xludf.DUMMYFUNCTION("""COMPUTED_VALUE"""),0.1559645351961311)</f>
        <v>0.1559645352</v>
      </c>
      <c r="F200" s="5">
        <f>IFERROR(__xludf.DUMMYFUNCTION("""COMPUTED_VALUE"""),0.23965609887157444)</f>
        <v>0.2396560989</v>
      </c>
      <c r="G200" s="5">
        <f>IFERROR(__xludf.DUMMYFUNCTION("""COMPUTED_VALUE"""),0.17195056421278881)</f>
        <v>0.1719505642</v>
      </c>
      <c r="H200" s="5">
        <f>IFERROR(__xludf.DUMMYFUNCTION("""COMPUTED_VALUE"""),0.6132286995515696)</f>
        <v>0.6132286996</v>
      </c>
      <c r="I200" s="11">
        <f>IFERROR(__xludf.DUMMYFUNCTION("""COMPUTED_VALUE"""),5362.892376681614)</f>
        <v>5362.892377</v>
      </c>
      <c r="J200" s="10">
        <f>IFERROR(__xludf.DUMMYFUNCTION("""COMPUTED_VALUE"""),4.0)</f>
        <v>4</v>
      </c>
      <c r="K200" s="5">
        <f>IFERROR(__xludf.DUMMYFUNCTION("""COMPUTED_VALUE"""),0.005649717514124294)</f>
        <v>0.005649717514</v>
      </c>
      <c r="L200" s="10">
        <f>IFERROR(__xludf.DUMMYFUNCTION("""COMPUTED_VALUE"""),0.0)</f>
        <v>0</v>
      </c>
      <c r="M200" s="5">
        <f>IFERROR(__xludf.DUMMYFUNCTION("""COMPUTED_VALUE"""),0.0)</f>
        <v>0</v>
      </c>
    </row>
    <row r="201">
      <c r="A201" s="10" t="str">
        <f>IFERROR(__xludf.DUMMYFUNCTION("""COMPUTED_VALUE"""),"Pokepoke")</f>
        <v>Pokepoke</v>
      </c>
      <c r="B201" s="10">
        <f>IFERROR(__xludf.DUMMYFUNCTION("""COMPUTED_VALUE"""),935.0)</f>
        <v>935</v>
      </c>
      <c r="C201" s="10">
        <f>IFERROR(__xludf.DUMMYFUNCTION("""COMPUTED_VALUE"""),10843.0)</f>
        <v>10843</v>
      </c>
      <c r="D201" s="5">
        <f>IFERROR(__xludf.DUMMYFUNCTION("""COMPUTED_VALUE"""),0.33942268873637466)</f>
        <v>0.3394226887</v>
      </c>
      <c r="E201" s="5">
        <f>IFERROR(__xludf.DUMMYFUNCTION("""COMPUTED_VALUE"""),0.15593459830440048)</f>
        <v>0.1559345983</v>
      </c>
      <c r="F201" s="5">
        <f>IFERROR(__xludf.DUMMYFUNCTION("""COMPUTED_VALUE"""),0.21356479612434395)</f>
        <v>0.2135647961</v>
      </c>
      <c r="G201" s="5">
        <f>IFERROR(__xludf.DUMMYFUNCTION("""COMPUTED_VALUE"""),0.19186515946709728)</f>
        <v>0.1918651595</v>
      </c>
      <c r="H201" s="5">
        <f>IFERROR(__xludf.DUMMYFUNCTION("""COMPUTED_VALUE"""),0.5916824196597353)</f>
        <v>0.5916824197</v>
      </c>
      <c r="I201" s="11">
        <f>IFERROR(__xludf.DUMMYFUNCTION("""COMPUTED_VALUE"""),5748.818525519849)</f>
        <v>5748.818526</v>
      </c>
      <c r="J201" s="10">
        <f>IFERROR(__xludf.DUMMYFUNCTION("""COMPUTED_VALUE"""),5.0)</f>
        <v>5</v>
      </c>
      <c r="K201" s="5">
        <f>IFERROR(__xludf.DUMMYFUNCTION("""COMPUTED_VALUE"""),0.0053475935828877)</f>
        <v>0.005347593583</v>
      </c>
      <c r="L201" s="10">
        <f>IFERROR(__xludf.DUMMYFUNCTION("""COMPUTED_VALUE"""),935.0)</f>
        <v>935</v>
      </c>
      <c r="M201" s="5">
        <f>IFERROR(__xludf.DUMMYFUNCTION("""COMPUTED_VALUE"""),1.0)</f>
        <v>1</v>
      </c>
    </row>
    <row r="202">
      <c r="A202" s="10" t="str">
        <f>IFERROR(__xludf.DUMMYFUNCTION("""COMPUTED_VALUE"""),"iTenhou")</f>
        <v>iTenhou</v>
      </c>
      <c r="B202" s="10">
        <f>IFERROR(__xludf.DUMMYFUNCTION("""COMPUTED_VALUE"""),250.0)</f>
        <v>250</v>
      </c>
      <c r="C202" s="10">
        <f>IFERROR(__xludf.DUMMYFUNCTION("""COMPUTED_VALUE"""),2893.0)</f>
        <v>2893</v>
      </c>
      <c r="D202" s="5">
        <f>IFERROR(__xludf.DUMMYFUNCTION("""COMPUTED_VALUE"""),0.38327657964434353)</f>
        <v>0.3832765796</v>
      </c>
      <c r="E202" s="5">
        <f>IFERROR(__xludf.DUMMYFUNCTION("""COMPUTED_VALUE"""),0.15588346575860765)</f>
        <v>0.1558834658</v>
      </c>
      <c r="F202" s="5">
        <f>IFERROR(__xludf.DUMMYFUNCTION("""COMPUTED_VALUE"""),0.21074536511539918)</f>
        <v>0.2107453651</v>
      </c>
      <c r="G202" s="5">
        <f>IFERROR(__xludf.DUMMYFUNCTION("""COMPUTED_VALUE"""),0.17972001513431707)</f>
        <v>0.1797200151</v>
      </c>
      <c r="H202" s="5">
        <f>IFERROR(__xludf.DUMMYFUNCTION("""COMPUTED_VALUE"""),0.6032315978456014)</f>
        <v>0.6032315978</v>
      </c>
      <c r="I202" s="11">
        <f>IFERROR(__xludf.DUMMYFUNCTION("""COMPUTED_VALUE"""),5605.565529622981)</f>
        <v>5605.56553</v>
      </c>
      <c r="J202" s="10">
        <f>IFERROR(__xludf.DUMMYFUNCTION("""COMPUTED_VALUE"""),0.0)</f>
        <v>0</v>
      </c>
      <c r="K202" s="5">
        <f>IFERROR(__xludf.DUMMYFUNCTION("""COMPUTED_VALUE"""),0.0)</f>
        <v>0</v>
      </c>
      <c r="L202" s="10">
        <f>IFERROR(__xludf.DUMMYFUNCTION("""COMPUTED_VALUE"""),250.0)</f>
        <v>250</v>
      </c>
      <c r="M202" s="5">
        <f>IFERROR(__xludf.DUMMYFUNCTION("""COMPUTED_VALUE"""),1.0)</f>
        <v>1</v>
      </c>
    </row>
    <row r="203">
      <c r="A203" s="10" t="str">
        <f>IFERROR(__xludf.DUMMYFUNCTION("""COMPUTED_VALUE"""),"水原祐太я")</f>
        <v>水原祐太я</v>
      </c>
      <c r="B203" s="10">
        <f>IFERROR(__xludf.DUMMYFUNCTION("""COMPUTED_VALUE"""),156.0)</f>
        <v>156</v>
      </c>
      <c r="C203" s="10">
        <f>IFERROR(__xludf.DUMMYFUNCTION("""COMPUTED_VALUE"""),1856.0)</f>
        <v>1856</v>
      </c>
      <c r="D203" s="5">
        <f>IFERROR(__xludf.DUMMYFUNCTION("""COMPUTED_VALUE"""),0.34647058823529414)</f>
        <v>0.3464705882</v>
      </c>
      <c r="E203" s="5">
        <f>IFERROR(__xludf.DUMMYFUNCTION("""COMPUTED_VALUE"""),0.15588235294117647)</f>
        <v>0.1558823529</v>
      </c>
      <c r="F203" s="5">
        <f>IFERROR(__xludf.DUMMYFUNCTION("""COMPUTED_VALUE"""),0.21823529411764706)</f>
        <v>0.2182352941</v>
      </c>
      <c r="G203" s="5">
        <f>IFERROR(__xludf.DUMMYFUNCTION("""COMPUTED_VALUE"""),0.20588235294117646)</f>
        <v>0.2058823529</v>
      </c>
      <c r="H203" s="5">
        <f>IFERROR(__xludf.DUMMYFUNCTION("""COMPUTED_VALUE"""),0.633423180592992)</f>
        <v>0.6334231806</v>
      </c>
      <c r="I203" s="11">
        <f>IFERROR(__xludf.DUMMYFUNCTION("""COMPUTED_VALUE"""),5329.380053908356)</f>
        <v>5329.380054</v>
      </c>
      <c r="J203" s="10">
        <f>IFERROR(__xludf.DUMMYFUNCTION("""COMPUTED_VALUE"""),0.0)</f>
        <v>0</v>
      </c>
      <c r="K203" s="5">
        <f>IFERROR(__xludf.DUMMYFUNCTION("""COMPUTED_VALUE"""),0.0)</f>
        <v>0</v>
      </c>
      <c r="L203" s="10">
        <f>IFERROR(__xludf.DUMMYFUNCTION("""COMPUTED_VALUE"""),156.0)</f>
        <v>156</v>
      </c>
      <c r="M203" s="5">
        <f>IFERROR(__xludf.DUMMYFUNCTION("""COMPUTED_VALUE"""),1.0)</f>
        <v>1</v>
      </c>
    </row>
    <row r="204">
      <c r="A204" s="10" t="str">
        <f>IFERROR(__xludf.DUMMYFUNCTION("""COMPUTED_VALUE"""),"SiC")</f>
        <v>SiC</v>
      </c>
      <c r="B204" s="10">
        <f>IFERROR(__xludf.DUMMYFUNCTION("""COMPUTED_VALUE"""),395.0)</f>
        <v>395</v>
      </c>
      <c r="C204" s="10">
        <f>IFERROR(__xludf.DUMMYFUNCTION("""COMPUTED_VALUE"""),4732.0)</f>
        <v>4732</v>
      </c>
      <c r="D204" s="5">
        <f>IFERROR(__xludf.DUMMYFUNCTION("""COMPUTED_VALUE"""),0.32441780032280376)</f>
        <v>0.3244178003</v>
      </c>
      <c r="E204" s="5">
        <f>IFERROR(__xludf.DUMMYFUNCTION("""COMPUTED_VALUE"""),0.15586811159787872)</f>
        <v>0.1558681116</v>
      </c>
      <c r="F204" s="5">
        <f>IFERROR(__xludf.DUMMYFUNCTION("""COMPUTED_VALUE"""),0.22550149873184228)</f>
        <v>0.2255014987</v>
      </c>
      <c r="G204" s="5">
        <f>IFERROR(__xludf.DUMMYFUNCTION("""COMPUTED_VALUE"""),0.15148720313580816)</f>
        <v>0.1514872031</v>
      </c>
      <c r="H204" s="5">
        <f>IFERROR(__xludf.DUMMYFUNCTION("""COMPUTED_VALUE"""),0.6165644171779141)</f>
        <v>0.6165644172</v>
      </c>
      <c r="I204" s="11">
        <f>IFERROR(__xludf.DUMMYFUNCTION("""COMPUTED_VALUE"""),5447.955010224949)</f>
        <v>5447.95501</v>
      </c>
      <c r="J204" s="10">
        <f>IFERROR(__xludf.DUMMYFUNCTION("""COMPUTED_VALUE"""),0.0)</f>
        <v>0</v>
      </c>
      <c r="K204" s="5">
        <f>IFERROR(__xludf.DUMMYFUNCTION("""COMPUTED_VALUE"""),0.0)</f>
        <v>0</v>
      </c>
      <c r="L204" s="10">
        <f>IFERROR(__xludf.DUMMYFUNCTION("""COMPUTED_VALUE"""),395.0)</f>
        <v>395</v>
      </c>
      <c r="M204" s="5">
        <f>IFERROR(__xludf.DUMMYFUNCTION("""COMPUTED_VALUE"""),1.0)</f>
        <v>1</v>
      </c>
    </row>
    <row r="205">
      <c r="A205" s="10" t="str">
        <f>IFERROR(__xludf.DUMMYFUNCTION("""COMPUTED_VALUE"""),"朝田シノ")</f>
        <v>朝田シノ</v>
      </c>
      <c r="B205" s="10">
        <f>IFERROR(__xludf.DUMMYFUNCTION("""COMPUTED_VALUE"""),192.0)</f>
        <v>192</v>
      </c>
      <c r="C205" s="10">
        <f>IFERROR(__xludf.DUMMYFUNCTION("""COMPUTED_VALUE"""),2271.0)</f>
        <v>2271</v>
      </c>
      <c r="D205" s="5">
        <f>IFERROR(__xludf.DUMMYFUNCTION("""COMPUTED_VALUE"""),0.40115440115440115)</f>
        <v>0.4011544012</v>
      </c>
      <c r="E205" s="5">
        <f>IFERROR(__xludf.DUMMYFUNCTION("""COMPUTED_VALUE"""),0.15584415584415584)</f>
        <v>0.1558441558</v>
      </c>
      <c r="F205" s="5">
        <f>IFERROR(__xludf.DUMMYFUNCTION("""COMPUTED_VALUE"""),0.21115921115921116)</f>
        <v>0.2111592112</v>
      </c>
      <c r="G205" s="5">
        <f>IFERROR(__xludf.DUMMYFUNCTION("""COMPUTED_VALUE"""),0.12506012506012507)</f>
        <v>0.1250601251</v>
      </c>
      <c r="H205" s="5">
        <f>IFERROR(__xludf.DUMMYFUNCTION("""COMPUTED_VALUE"""),0.5876993166287016)</f>
        <v>0.5876993166</v>
      </c>
      <c r="I205" s="11">
        <f>IFERROR(__xludf.DUMMYFUNCTION("""COMPUTED_VALUE"""),5202.277904328018)</f>
        <v>5202.277904</v>
      </c>
      <c r="J205" s="10">
        <f>IFERROR(__xludf.DUMMYFUNCTION("""COMPUTED_VALUE"""),0.0)</f>
        <v>0</v>
      </c>
      <c r="K205" s="5">
        <f>IFERROR(__xludf.DUMMYFUNCTION("""COMPUTED_VALUE"""),0.0)</f>
        <v>0</v>
      </c>
      <c r="L205" s="10">
        <f>IFERROR(__xludf.DUMMYFUNCTION("""COMPUTED_VALUE"""),192.0)</f>
        <v>192</v>
      </c>
      <c r="M205" s="5">
        <f>IFERROR(__xludf.DUMMYFUNCTION("""COMPUTED_VALUE"""),1.0)</f>
        <v>1</v>
      </c>
    </row>
    <row r="206">
      <c r="A206" s="10" t="str">
        <f>IFERROR(__xludf.DUMMYFUNCTION("""COMPUTED_VALUE"""),"sachio")</f>
        <v>sachio</v>
      </c>
      <c r="B206" s="10">
        <f>IFERROR(__xludf.DUMMYFUNCTION("""COMPUTED_VALUE"""),2442.0)</f>
        <v>2442</v>
      </c>
      <c r="C206" s="10">
        <f>IFERROR(__xludf.DUMMYFUNCTION("""COMPUTED_VALUE"""),28721.0)</f>
        <v>28721</v>
      </c>
      <c r="D206" s="5">
        <f>IFERROR(__xludf.DUMMYFUNCTION("""COMPUTED_VALUE"""),0.33715133756992277)</f>
        <v>0.3371513376</v>
      </c>
      <c r="E206" s="5">
        <f>IFERROR(__xludf.DUMMYFUNCTION("""COMPUTED_VALUE"""),0.15582784733056815)</f>
        <v>0.1558278473</v>
      </c>
      <c r="F206" s="5">
        <f>IFERROR(__xludf.DUMMYFUNCTION("""COMPUTED_VALUE"""),0.22885193500513717)</f>
        <v>0.228851935</v>
      </c>
      <c r="G206" s="5">
        <f>IFERROR(__xludf.DUMMYFUNCTION("""COMPUTED_VALUE"""),0.17512081890482895)</f>
        <v>0.1751208189</v>
      </c>
      <c r="H206" s="5">
        <f>IFERROR(__xludf.DUMMYFUNCTION("""COMPUTED_VALUE"""),0.6064183571666112)</f>
        <v>0.6064183572</v>
      </c>
      <c r="I206" s="11">
        <f>IFERROR(__xludf.DUMMYFUNCTION("""COMPUTED_VALUE"""),5804.655803126039)</f>
        <v>5804.655803</v>
      </c>
      <c r="J206" s="10">
        <f>IFERROR(__xludf.DUMMYFUNCTION("""COMPUTED_VALUE"""),8.0)</f>
        <v>8</v>
      </c>
      <c r="K206" s="5">
        <f>IFERROR(__xludf.DUMMYFUNCTION("""COMPUTED_VALUE"""),0.003276003276003276)</f>
        <v>0.003276003276</v>
      </c>
      <c r="L206" s="10">
        <f>IFERROR(__xludf.DUMMYFUNCTION("""COMPUTED_VALUE"""),2442.0)</f>
        <v>2442</v>
      </c>
      <c r="M206" s="5">
        <f>IFERROR(__xludf.DUMMYFUNCTION("""COMPUTED_VALUE"""),1.0)</f>
        <v>1</v>
      </c>
    </row>
    <row r="207">
      <c r="A207" s="10" t="str">
        <f>IFERROR(__xludf.DUMMYFUNCTION("""COMPUTED_VALUE"""),"魚類代表")</f>
        <v>魚類代表</v>
      </c>
      <c r="B207" s="10">
        <f>IFERROR(__xludf.DUMMYFUNCTION("""COMPUTED_VALUE"""),161.0)</f>
        <v>161</v>
      </c>
      <c r="C207" s="10">
        <f>IFERROR(__xludf.DUMMYFUNCTION("""COMPUTED_VALUE"""),1849.0)</f>
        <v>1849</v>
      </c>
      <c r="D207" s="5">
        <f>IFERROR(__xludf.DUMMYFUNCTION("""COMPUTED_VALUE"""),0.3299763033175355)</f>
        <v>0.3299763033</v>
      </c>
      <c r="E207" s="5">
        <f>IFERROR(__xludf.DUMMYFUNCTION("""COMPUTED_VALUE"""),0.15580568720379148)</f>
        <v>0.1558056872</v>
      </c>
      <c r="F207" s="5">
        <f>IFERROR(__xludf.DUMMYFUNCTION("""COMPUTED_VALUE"""),0.20912322274881517)</f>
        <v>0.2091232227</v>
      </c>
      <c r="G207" s="5">
        <f>IFERROR(__xludf.DUMMYFUNCTION("""COMPUTED_VALUE"""),0.19194312796208532)</f>
        <v>0.191943128</v>
      </c>
      <c r="H207" s="5">
        <f>IFERROR(__xludf.DUMMYFUNCTION("""COMPUTED_VALUE"""),0.5864022662889519)</f>
        <v>0.5864022663</v>
      </c>
      <c r="I207" s="11">
        <f>IFERROR(__xludf.DUMMYFUNCTION("""COMPUTED_VALUE"""),6355.240793201133)</f>
        <v>6355.240793</v>
      </c>
      <c r="J207" s="10">
        <f>IFERROR(__xludf.DUMMYFUNCTION("""COMPUTED_VALUE"""),1.0)</f>
        <v>1</v>
      </c>
      <c r="K207" s="5">
        <f>IFERROR(__xludf.DUMMYFUNCTION("""COMPUTED_VALUE"""),0.006211180124223602)</f>
        <v>0.006211180124</v>
      </c>
      <c r="L207" s="10">
        <f>IFERROR(__xludf.DUMMYFUNCTION("""COMPUTED_VALUE"""),161.0)</f>
        <v>161</v>
      </c>
      <c r="M207" s="5">
        <f>IFERROR(__xludf.DUMMYFUNCTION("""COMPUTED_VALUE"""),1.0)</f>
        <v>1</v>
      </c>
    </row>
    <row r="208">
      <c r="A208" s="10" t="str">
        <f>IFERROR(__xludf.DUMMYFUNCTION("""COMPUTED_VALUE"""),"garucia")</f>
        <v>garucia</v>
      </c>
      <c r="B208" s="10">
        <f>IFERROR(__xludf.DUMMYFUNCTION("""COMPUTED_VALUE"""),4991.0)</f>
        <v>4991</v>
      </c>
      <c r="C208" s="10">
        <f>IFERROR(__xludf.DUMMYFUNCTION("""COMPUTED_VALUE"""),58411.0)</f>
        <v>58411</v>
      </c>
      <c r="D208" s="5">
        <f>IFERROR(__xludf.DUMMYFUNCTION("""COMPUTED_VALUE"""),0.37452265069262447)</f>
        <v>0.3745226507</v>
      </c>
      <c r="E208" s="5">
        <f>IFERROR(__xludf.DUMMYFUNCTION("""COMPUTED_VALUE"""),0.15578435043055036)</f>
        <v>0.1557843504</v>
      </c>
      <c r="F208" s="5">
        <f>IFERROR(__xludf.DUMMYFUNCTION("""COMPUTED_VALUE"""),0.23584799700486708)</f>
        <v>0.235847997</v>
      </c>
      <c r="G208" s="5">
        <f>IFERROR(__xludf.DUMMYFUNCTION("""COMPUTED_VALUE"""),0.1695619618120554)</f>
        <v>0.1695619618</v>
      </c>
      <c r="H208" s="5">
        <f>IFERROR(__xludf.DUMMYFUNCTION("""COMPUTED_VALUE"""),0.6116358441146122)</f>
        <v>0.6116358441</v>
      </c>
      <c r="I208" s="11">
        <f>IFERROR(__xludf.DUMMYFUNCTION("""COMPUTED_VALUE"""),5316.1838241130245)</f>
        <v>5316.183824</v>
      </c>
      <c r="J208" s="10">
        <f>IFERROR(__xludf.DUMMYFUNCTION("""COMPUTED_VALUE"""),8.0)</f>
        <v>8</v>
      </c>
      <c r="K208" s="5">
        <f>IFERROR(__xludf.DUMMYFUNCTION("""COMPUTED_VALUE"""),0.0016028851933480265)</f>
        <v>0.001602885193</v>
      </c>
      <c r="L208" s="10">
        <f>IFERROR(__xludf.DUMMYFUNCTION("""COMPUTED_VALUE"""),4991.0)</f>
        <v>4991</v>
      </c>
      <c r="M208" s="5">
        <f>IFERROR(__xludf.DUMMYFUNCTION("""COMPUTED_VALUE"""),1.0)</f>
        <v>1</v>
      </c>
    </row>
    <row r="209">
      <c r="A209" s="10" t="str">
        <f>IFERROR(__xludf.DUMMYFUNCTION("""COMPUTED_VALUE"""),"フェルメール")</f>
        <v>フェルメール</v>
      </c>
      <c r="B209" s="10">
        <f>IFERROR(__xludf.DUMMYFUNCTION("""COMPUTED_VALUE"""),589.0)</f>
        <v>589</v>
      </c>
      <c r="C209" s="10">
        <f>IFERROR(__xludf.DUMMYFUNCTION("""COMPUTED_VALUE"""),6958.0)</f>
        <v>6958</v>
      </c>
      <c r="D209" s="5">
        <f>IFERROR(__xludf.DUMMYFUNCTION("""COMPUTED_VALUE"""),0.3526456272570262)</f>
        <v>0.3526456273</v>
      </c>
      <c r="E209" s="5">
        <f>IFERROR(__xludf.DUMMYFUNCTION("""COMPUTED_VALUE"""),0.15575443554718166)</f>
        <v>0.1557544355</v>
      </c>
      <c r="F209" s="5">
        <f>IFERROR(__xludf.DUMMYFUNCTION("""COMPUTED_VALUE"""),0.2141623488773748)</f>
        <v>0.2141623489</v>
      </c>
      <c r="G209" s="5">
        <f>IFERROR(__xludf.DUMMYFUNCTION("""COMPUTED_VALUE"""),0.17569477154969382)</f>
        <v>0.1756947715</v>
      </c>
      <c r="H209" s="5">
        <f>IFERROR(__xludf.DUMMYFUNCTION("""COMPUTED_VALUE"""),0.6136363636363636)</f>
        <v>0.6136363636</v>
      </c>
      <c r="I209" s="11">
        <f>IFERROR(__xludf.DUMMYFUNCTION("""COMPUTED_VALUE"""),5402.052785923754)</f>
        <v>5402.052786</v>
      </c>
      <c r="J209" s="10">
        <f>IFERROR(__xludf.DUMMYFUNCTION("""COMPUTED_VALUE"""),2.0)</f>
        <v>2</v>
      </c>
      <c r="K209" s="5">
        <f>IFERROR(__xludf.DUMMYFUNCTION("""COMPUTED_VALUE"""),0.003395585738539898)</f>
        <v>0.003395585739</v>
      </c>
      <c r="L209" s="10">
        <f>IFERROR(__xludf.DUMMYFUNCTION("""COMPUTED_VALUE"""),217.0)</f>
        <v>217</v>
      </c>
      <c r="M209" s="5">
        <f>IFERROR(__xludf.DUMMYFUNCTION("""COMPUTED_VALUE"""),0.3684210526315789)</f>
        <v>0.3684210526</v>
      </c>
    </row>
    <row r="210">
      <c r="A210" s="10" t="str">
        <f>IFERROR(__xludf.DUMMYFUNCTION("""COMPUTED_VALUE"""),"dan")</f>
        <v>dan</v>
      </c>
      <c r="B210" s="10">
        <f>IFERROR(__xludf.DUMMYFUNCTION("""COMPUTED_VALUE"""),488.0)</f>
        <v>488</v>
      </c>
      <c r="C210" s="10">
        <f>IFERROR(__xludf.DUMMYFUNCTION("""COMPUTED_VALUE"""),5676.0)</f>
        <v>5676</v>
      </c>
      <c r="D210" s="5">
        <f>IFERROR(__xludf.DUMMYFUNCTION("""COMPUTED_VALUE"""),0.2873939861218196)</f>
        <v>0.2873939861</v>
      </c>
      <c r="E210" s="5">
        <f>IFERROR(__xludf.DUMMYFUNCTION("""COMPUTED_VALUE"""),0.15574402467232074)</f>
        <v>0.1557440247</v>
      </c>
      <c r="F210" s="5">
        <f>IFERROR(__xludf.DUMMYFUNCTION("""COMPUTED_VALUE"""),0.20528141865844257)</f>
        <v>0.2052814187</v>
      </c>
      <c r="G210" s="5">
        <f>IFERROR(__xludf.DUMMYFUNCTION("""COMPUTED_VALUE"""),0.15169622205088665)</f>
        <v>0.1516962221</v>
      </c>
      <c r="H210" s="5">
        <f>IFERROR(__xludf.DUMMYFUNCTION("""COMPUTED_VALUE"""),0.5971830985915493)</f>
        <v>0.5971830986</v>
      </c>
      <c r="I210" s="11">
        <f>IFERROR(__xludf.DUMMYFUNCTION("""COMPUTED_VALUE"""),6020.56338028169)</f>
        <v>6020.56338</v>
      </c>
      <c r="J210" s="10">
        <f>IFERROR(__xludf.DUMMYFUNCTION("""COMPUTED_VALUE"""),2.0)</f>
        <v>2</v>
      </c>
      <c r="K210" s="5">
        <f>IFERROR(__xludf.DUMMYFUNCTION("""COMPUTED_VALUE"""),0.004098360655737705)</f>
        <v>0.004098360656</v>
      </c>
      <c r="L210" s="10">
        <f>IFERROR(__xludf.DUMMYFUNCTION("""COMPUTED_VALUE"""),488.0)</f>
        <v>488</v>
      </c>
      <c r="M210" s="5">
        <f>IFERROR(__xludf.DUMMYFUNCTION("""COMPUTED_VALUE"""),1.0)</f>
        <v>1</v>
      </c>
    </row>
    <row r="211">
      <c r="A211" s="10" t="str">
        <f>IFERROR(__xludf.DUMMYFUNCTION("""COMPUTED_VALUE"""),"piroki.")</f>
        <v>piroki.</v>
      </c>
      <c r="B211" s="10">
        <f>IFERROR(__xludf.DUMMYFUNCTION("""COMPUTED_VALUE"""),126.0)</f>
        <v>126</v>
      </c>
      <c r="C211" s="10">
        <f>IFERROR(__xludf.DUMMYFUNCTION("""COMPUTED_VALUE"""),1526.0)</f>
        <v>1526</v>
      </c>
      <c r="D211" s="5">
        <f>IFERROR(__xludf.DUMMYFUNCTION("""COMPUTED_VALUE"""),0.3485714285714286)</f>
        <v>0.3485714286</v>
      </c>
      <c r="E211" s="5">
        <f>IFERROR(__xludf.DUMMYFUNCTION("""COMPUTED_VALUE"""),0.15571428571428572)</f>
        <v>0.1557142857</v>
      </c>
      <c r="F211" s="5">
        <f>IFERROR(__xludf.DUMMYFUNCTION("""COMPUTED_VALUE"""),0.22142857142857142)</f>
        <v>0.2214285714</v>
      </c>
      <c r="G211" s="5">
        <f>IFERROR(__xludf.DUMMYFUNCTION("""COMPUTED_VALUE"""),0.2042857142857143)</f>
        <v>0.2042857143</v>
      </c>
      <c r="H211" s="5">
        <f>IFERROR(__xludf.DUMMYFUNCTION("""COMPUTED_VALUE"""),0.603225806451613)</f>
        <v>0.6032258065</v>
      </c>
      <c r="I211" s="11">
        <f>IFERROR(__xludf.DUMMYFUNCTION("""COMPUTED_VALUE"""),5543.870967741936)</f>
        <v>5543.870968</v>
      </c>
      <c r="J211" s="10">
        <f>IFERROR(__xludf.DUMMYFUNCTION("""COMPUTED_VALUE"""),0.0)</f>
        <v>0</v>
      </c>
      <c r="K211" s="5">
        <f>IFERROR(__xludf.DUMMYFUNCTION("""COMPUTED_VALUE"""),0.0)</f>
        <v>0</v>
      </c>
      <c r="L211" s="10">
        <f>IFERROR(__xludf.DUMMYFUNCTION("""COMPUTED_VALUE"""),126.0)</f>
        <v>126</v>
      </c>
      <c r="M211" s="5">
        <f>IFERROR(__xludf.DUMMYFUNCTION("""COMPUTED_VALUE"""),1.0)</f>
        <v>1</v>
      </c>
    </row>
    <row r="212">
      <c r="A212" s="10" t="str">
        <f>IFERROR(__xludf.DUMMYFUNCTION("""COMPUTED_VALUE"""),"shunpy")</f>
        <v>shunpy</v>
      </c>
      <c r="B212" s="10">
        <f>IFERROR(__xludf.DUMMYFUNCTION("""COMPUTED_VALUE"""),354.0)</f>
        <v>354</v>
      </c>
      <c r="C212" s="10">
        <f>IFERROR(__xludf.DUMMYFUNCTION("""COMPUTED_VALUE"""),4145.0)</f>
        <v>4145</v>
      </c>
      <c r="D212" s="5">
        <f>IFERROR(__xludf.DUMMYFUNCTION("""COMPUTED_VALUE"""),0.38380374571353204)</f>
        <v>0.3838037457</v>
      </c>
      <c r="E212" s="5">
        <f>IFERROR(__xludf.DUMMYFUNCTION("""COMPUTED_VALUE"""),0.1556317594302295)</f>
        <v>0.1556317594</v>
      </c>
      <c r="F212" s="5">
        <f>IFERROR(__xludf.DUMMYFUNCTION("""COMPUTED_VALUE"""),0.2049591136903192)</f>
        <v>0.2049591137</v>
      </c>
      <c r="G212" s="5">
        <f>IFERROR(__xludf.DUMMYFUNCTION("""COMPUTED_VALUE"""),0.1535214982854128)</f>
        <v>0.1535214983</v>
      </c>
      <c r="H212" s="5">
        <f>IFERROR(__xludf.DUMMYFUNCTION("""COMPUTED_VALUE"""),0.5791505791505791)</f>
        <v>0.5791505792</v>
      </c>
      <c r="I212" s="11">
        <f>IFERROR(__xludf.DUMMYFUNCTION("""COMPUTED_VALUE"""),6015.444015444015)</f>
        <v>6015.444015</v>
      </c>
      <c r="J212" s="10">
        <f>IFERROR(__xludf.DUMMYFUNCTION("""COMPUTED_VALUE"""),1.0)</f>
        <v>1</v>
      </c>
      <c r="K212" s="5">
        <f>IFERROR(__xludf.DUMMYFUNCTION("""COMPUTED_VALUE"""),0.002824858757062147)</f>
        <v>0.002824858757</v>
      </c>
      <c r="L212" s="10">
        <f>IFERROR(__xludf.DUMMYFUNCTION("""COMPUTED_VALUE"""),354.0)</f>
        <v>354</v>
      </c>
      <c r="M212" s="5">
        <f>IFERROR(__xludf.DUMMYFUNCTION("""COMPUTED_VALUE"""),1.0)</f>
        <v>1</v>
      </c>
    </row>
    <row r="213">
      <c r="A213" s="10" t="str">
        <f>IFERROR(__xludf.DUMMYFUNCTION("""COMPUTED_VALUE"""),"JWILL")</f>
        <v>JWILL</v>
      </c>
      <c r="B213" s="10">
        <f>IFERROR(__xludf.DUMMYFUNCTION("""COMPUTED_VALUE"""),3609.0)</f>
        <v>3609</v>
      </c>
      <c r="C213" s="10">
        <f>IFERROR(__xludf.DUMMYFUNCTION("""COMPUTED_VALUE"""),41794.0)</f>
        <v>41794</v>
      </c>
      <c r="D213" s="5">
        <f>IFERROR(__xludf.DUMMYFUNCTION("""COMPUTED_VALUE"""),0.2648945921173236)</f>
        <v>0.2648945921</v>
      </c>
      <c r="E213" s="5">
        <f>IFERROR(__xludf.DUMMYFUNCTION("""COMPUTED_VALUE"""),0.15545371219065077)</f>
        <v>0.1554537122</v>
      </c>
      <c r="F213" s="5">
        <f>IFERROR(__xludf.DUMMYFUNCTION("""COMPUTED_VALUE"""),0.21579154118109206)</f>
        <v>0.2157915412</v>
      </c>
      <c r="G213" s="5">
        <f>IFERROR(__xludf.DUMMYFUNCTION("""COMPUTED_VALUE"""),0.24577713761948408)</f>
        <v>0.2457771376</v>
      </c>
      <c r="H213" s="5">
        <f>IFERROR(__xludf.DUMMYFUNCTION("""COMPUTED_VALUE"""),0.5783980582524272)</f>
        <v>0.5783980583</v>
      </c>
      <c r="I213" s="11">
        <f>IFERROR(__xludf.DUMMYFUNCTION("""COMPUTED_VALUE"""),6545.461165048544)</f>
        <v>6545.461165</v>
      </c>
      <c r="J213" s="10">
        <f>IFERROR(__xludf.DUMMYFUNCTION("""COMPUTED_VALUE"""),17.0)</f>
        <v>17</v>
      </c>
      <c r="K213" s="5">
        <f>IFERROR(__xludf.DUMMYFUNCTION("""COMPUTED_VALUE"""),0.004710446106954835)</f>
        <v>0.004710446107</v>
      </c>
      <c r="L213" s="10">
        <f>IFERROR(__xludf.DUMMYFUNCTION("""COMPUTED_VALUE"""),3609.0)</f>
        <v>3609</v>
      </c>
      <c r="M213" s="5">
        <f>IFERROR(__xludf.DUMMYFUNCTION("""COMPUTED_VALUE"""),1.0)</f>
        <v>1</v>
      </c>
    </row>
    <row r="214">
      <c r="A214" s="10" t="str">
        <f>IFERROR(__xludf.DUMMYFUNCTION("""COMPUTED_VALUE"""),"shombory")</f>
        <v>shombory</v>
      </c>
      <c r="B214" s="10">
        <f>IFERROR(__xludf.DUMMYFUNCTION("""COMPUTED_VALUE"""),104.0)</f>
        <v>104</v>
      </c>
      <c r="C214" s="10">
        <f>IFERROR(__xludf.DUMMYFUNCTION("""COMPUTED_VALUE"""),1262.0)</f>
        <v>1262</v>
      </c>
      <c r="D214" s="5">
        <f>IFERROR(__xludf.DUMMYFUNCTION("""COMPUTED_VALUE"""),0.2918825561312608)</f>
        <v>0.2918825561</v>
      </c>
      <c r="E214" s="5">
        <f>IFERROR(__xludf.DUMMYFUNCTION("""COMPUTED_VALUE"""),0.15544041450777202)</f>
        <v>0.1554404145</v>
      </c>
      <c r="F214" s="5">
        <f>IFERROR(__xludf.DUMMYFUNCTION("""COMPUTED_VALUE"""),0.20293609671848015)</f>
        <v>0.2029360967</v>
      </c>
      <c r="G214" s="5">
        <f>IFERROR(__xludf.DUMMYFUNCTION("""COMPUTED_VALUE"""),0.19516407599309155)</f>
        <v>0.195164076</v>
      </c>
      <c r="H214" s="5">
        <f>IFERROR(__xludf.DUMMYFUNCTION("""COMPUTED_VALUE"""),0.5659574468085107)</f>
        <v>0.5659574468</v>
      </c>
      <c r="I214" s="11">
        <f>IFERROR(__xludf.DUMMYFUNCTION("""COMPUTED_VALUE"""),5475.744680851064)</f>
        <v>5475.744681</v>
      </c>
      <c r="J214" s="10">
        <f>IFERROR(__xludf.DUMMYFUNCTION("""COMPUTED_VALUE"""),0.0)</f>
        <v>0</v>
      </c>
      <c r="K214" s="5">
        <f>IFERROR(__xludf.DUMMYFUNCTION("""COMPUTED_VALUE"""),0.0)</f>
        <v>0</v>
      </c>
      <c r="L214" s="10">
        <f>IFERROR(__xludf.DUMMYFUNCTION("""COMPUTED_VALUE"""),104.0)</f>
        <v>104</v>
      </c>
      <c r="M214" s="5">
        <f>IFERROR(__xludf.DUMMYFUNCTION("""COMPUTED_VALUE"""),1.0)</f>
        <v>1</v>
      </c>
    </row>
    <row r="215">
      <c r="A215" s="10" t="str">
        <f>IFERROR(__xludf.DUMMYFUNCTION("""COMPUTED_VALUE"""),"桜竜†タマ")</f>
        <v>桜竜†タマ</v>
      </c>
      <c r="B215" s="10">
        <f>IFERROR(__xludf.DUMMYFUNCTION("""COMPUTED_VALUE"""),265.0)</f>
        <v>265</v>
      </c>
      <c r="C215" s="10">
        <f>IFERROR(__xludf.DUMMYFUNCTION("""COMPUTED_VALUE"""),3064.0)</f>
        <v>3064</v>
      </c>
      <c r="D215" s="5">
        <f>IFERROR(__xludf.DUMMYFUNCTION("""COMPUTED_VALUE"""),0.2951053947838514)</f>
        <v>0.2951053948</v>
      </c>
      <c r="E215" s="5">
        <f>IFERROR(__xludf.DUMMYFUNCTION("""COMPUTED_VALUE"""),0.15541264737406216)</f>
        <v>0.1554126474</v>
      </c>
      <c r="F215" s="5">
        <f>IFERROR(__xludf.DUMMYFUNCTION("""COMPUTED_VALUE"""),0.23222579492675954)</f>
        <v>0.2322257949</v>
      </c>
      <c r="G215" s="5">
        <f>IFERROR(__xludf.DUMMYFUNCTION("""COMPUTED_VALUE"""),0.20685959271168275)</f>
        <v>0.2068595927</v>
      </c>
      <c r="H215" s="5">
        <f>IFERROR(__xludf.DUMMYFUNCTION("""COMPUTED_VALUE"""),0.6046153846153847)</f>
        <v>0.6046153846</v>
      </c>
      <c r="I215" s="11">
        <f>IFERROR(__xludf.DUMMYFUNCTION("""COMPUTED_VALUE"""),6035.2307692307695)</f>
        <v>6035.230769</v>
      </c>
      <c r="J215" s="10">
        <f>IFERROR(__xludf.DUMMYFUNCTION("""COMPUTED_VALUE"""),2.0)</f>
        <v>2</v>
      </c>
      <c r="K215" s="5">
        <f>IFERROR(__xludf.DUMMYFUNCTION("""COMPUTED_VALUE"""),0.007547169811320755)</f>
        <v>0.007547169811</v>
      </c>
      <c r="L215" s="10">
        <f>IFERROR(__xludf.DUMMYFUNCTION("""COMPUTED_VALUE"""),13.0)</f>
        <v>13</v>
      </c>
      <c r="M215" s="5">
        <f>IFERROR(__xludf.DUMMYFUNCTION("""COMPUTED_VALUE"""),0.04905660377358491)</f>
        <v>0.04905660377</v>
      </c>
    </row>
    <row r="216">
      <c r="A216" s="10" t="str">
        <f>IFERROR(__xludf.DUMMYFUNCTION("""COMPUTED_VALUE"""),"断幺ドラ3")</f>
        <v>断幺ドラ3</v>
      </c>
      <c r="B216" s="10">
        <f>IFERROR(__xludf.DUMMYFUNCTION("""COMPUTED_VALUE"""),368.0)</f>
        <v>368</v>
      </c>
      <c r="C216" s="10">
        <f>IFERROR(__xludf.DUMMYFUNCTION("""COMPUTED_VALUE"""),4351.0)</f>
        <v>4351</v>
      </c>
      <c r="D216" s="5">
        <f>IFERROR(__xludf.DUMMYFUNCTION("""COMPUTED_VALUE"""),0.4019583228722069)</f>
        <v>0.4019583229</v>
      </c>
      <c r="E216" s="5">
        <f>IFERROR(__xludf.DUMMYFUNCTION("""COMPUTED_VALUE"""),0.15541049460205875)</f>
        <v>0.1554104946</v>
      </c>
      <c r="F216" s="5">
        <f>IFERROR(__xludf.DUMMYFUNCTION("""COMPUTED_VALUE"""),0.2126537785588752)</f>
        <v>0.2126537786</v>
      </c>
      <c r="G216" s="5">
        <f>IFERROR(__xludf.DUMMYFUNCTION("""COMPUTED_VALUE"""),0.18955561134822999)</f>
        <v>0.1895556113</v>
      </c>
      <c r="H216" s="5">
        <f>IFERROR(__xludf.DUMMYFUNCTION("""COMPUTED_VALUE"""),0.5950413223140496)</f>
        <v>0.5950413223</v>
      </c>
      <c r="I216" s="11">
        <f>IFERROR(__xludf.DUMMYFUNCTION("""COMPUTED_VALUE"""),5736.127508854782)</f>
        <v>5736.127509</v>
      </c>
      <c r="J216" s="10">
        <f>IFERROR(__xludf.DUMMYFUNCTION("""COMPUTED_VALUE"""),0.0)</f>
        <v>0</v>
      </c>
      <c r="K216" s="5">
        <f>IFERROR(__xludf.DUMMYFUNCTION("""COMPUTED_VALUE"""),0.0)</f>
        <v>0</v>
      </c>
      <c r="L216" s="10">
        <f>IFERROR(__xludf.DUMMYFUNCTION("""COMPUTED_VALUE"""),103.0)</f>
        <v>103</v>
      </c>
      <c r="M216" s="5">
        <f>IFERROR(__xludf.DUMMYFUNCTION("""COMPUTED_VALUE"""),0.2798913043478261)</f>
        <v>0.2798913043</v>
      </c>
    </row>
    <row r="217">
      <c r="A217" s="10" t="str">
        <f>IFERROR(__xludf.DUMMYFUNCTION("""COMPUTED_VALUE"""),"マジキチ")</f>
        <v>マジキチ</v>
      </c>
      <c r="B217" s="10">
        <f>IFERROR(__xludf.DUMMYFUNCTION("""COMPUTED_VALUE"""),103.0)</f>
        <v>103</v>
      </c>
      <c r="C217" s="10">
        <f>IFERROR(__xludf.DUMMYFUNCTION("""COMPUTED_VALUE"""),1210.0)</f>
        <v>1210</v>
      </c>
      <c r="D217" s="5">
        <f>IFERROR(__xludf.DUMMYFUNCTION("""COMPUTED_VALUE"""),0.4173441734417344)</f>
        <v>0.4173441734</v>
      </c>
      <c r="E217" s="5">
        <f>IFERROR(__xludf.DUMMYFUNCTION("""COMPUTED_VALUE"""),0.15537488708220415)</f>
        <v>0.1553748871</v>
      </c>
      <c r="F217" s="5">
        <f>IFERROR(__xludf.DUMMYFUNCTION("""COMPUTED_VALUE"""),0.2222222222222222)</f>
        <v>0.2222222222</v>
      </c>
      <c r="G217" s="5">
        <f>IFERROR(__xludf.DUMMYFUNCTION("""COMPUTED_VALUE"""),0.13911472448057813)</f>
        <v>0.1391147245</v>
      </c>
      <c r="H217" s="5">
        <f>IFERROR(__xludf.DUMMYFUNCTION("""COMPUTED_VALUE"""),0.6219512195121951)</f>
        <v>0.6219512195</v>
      </c>
      <c r="I217" s="11">
        <f>IFERROR(__xludf.DUMMYFUNCTION("""COMPUTED_VALUE"""),4949.59349593496)</f>
        <v>4949.593496</v>
      </c>
      <c r="J217" s="10">
        <f>IFERROR(__xludf.DUMMYFUNCTION("""COMPUTED_VALUE"""),0.0)</f>
        <v>0</v>
      </c>
      <c r="K217" s="5">
        <f>IFERROR(__xludf.DUMMYFUNCTION("""COMPUTED_VALUE"""),0.0)</f>
        <v>0</v>
      </c>
      <c r="L217" s="10">
        <f>IFERROR(__xludf.DUMMYFUNCTION("""COMPUTED_VALUE"""),96.0)</f>
        <v>96</v>
      </c>
      <c r="M217" s="5">
        <f>IFERROR(__xludf.DUMMYFUNCTION("""COMPUTED_VALUE"""),0.9320388349514563)</f>
        <v>0.932038835</v>
      </c>
    </row>
    <row r="218">
      <c r="A218" s="10" t="str">
        <f>IFERROR(__xludf.DUMMYFUNCTION("""COMPUTED_VALUE"""),"えすあーる")</f>
        <v>えすあーる</v>
      </c>
      <c r="B218" s="10">
        <f>IFERROR(__xludf.DUMMYFUNCTION("""COMPUTED_VALUE"""),116.0)</f>
        <v>116</v>
      </c>
      <c r="C218" s="10">
        <f>IFERROR(__xludf.DUMMYFUNCTION("""COMPUTED_VALUE"""),1384.0)</f>
        <v>1384</v>
      </c>
      <c r="D218" s="5">
        <f>IFERROR(__xludf.DUMMYFUNCTION("""COMPUTED_VALUE"""),0.32965299684542587)</f>
        <v>0.3296529968</v>
      </c>
      <c r="E218" s="5">
        <f>IFERROR(__xludf.DUMMYFUNCTION("""COMPUTED_VALUE"""),0.1553627760252366)</f>
        <v>0.155362776</v>
      </c>
      <c r="F218" s="5">
        <f>IFERROR(__xludf.DUMMYFUNCTION("""COMPUTED_VALUE"""),0.20662460567823343)</f>
        <v>0.2066246057</v>
      </c>
      <c r="G218" s="5">
        <f>IFERROR(__xludf.DUMMYFUNCTION("""COMPUTED_VALUE"""),0.19242902208201892)</f>
        <v>0.1924290221</v>
      </c>
      <c r="H218" s="5">
        <f>IFERROR(__xludf.DUMMYFUNCTION("""COMPUTED_VALUE"""),0.5916030534351145)</f>
        <v>0.5916030534</v>
      </c>
      <c r="I218" s="11">
        <f>IFERROR(__xludf.DUMMYFUNCTION("""COMPUTED_VALUE"""),5767.557251908397)</f>
        <v>5767.557252</v>
      </c>
      <c r="J218" s="10">
        <f>IFERROR(__xludf.DUMMYFUNCTION("""COMPUTED_VALUE"""),0.0)</f>
        <v>0</v>
      </c>
      <c r="K218" s="5">
        <f>IFERROR(__xludf.DUMMYFUNCTION("""COMPUTED_VALUE"""),0.0)</f>
        <v>0</v>
      </c>
      <c r="L218" s="10">
        <f>IFERROR(__xludf.DUMMYFUNCTION("""COMPUTED_VALUE"""),116.0)</f>
        <v>116</v>
      </c>
      <c r="M218" s="5">
        <f>IFERROR(__xludf.DUMMYFUNCTION("""COMPUTED_VALUE"""),1.0)</f>
        <v>1</v>
      </c>
    </row>
    <row r="219">
      <c r="A219" s="10" t="str">
        <f>IFERROR(__xludf.DUMMYFUNCTION("""COMPUTED_VALUE"""),"フレンチブル")</f>
        <v>フレンチブル</v>
      </c>
      <c r="B219" s="10">
        <f>IFERROR(__xludf.DUMMYFUNCTION("""COMPUTED_VALUE"""),305.0)</f>
        <v>305</v>
      </c>
      <c r="C219" s="10">
        <f>IFERROR(__xludf.DUMMYFUNCTION("""COMPUTED_VALUE"""),3556.0)</f>
        <v>3556</v>
      </c>
      <c r="D219" s="5">
        <f>IFERROR(__xludf.DUMMYFUNCTION("""COMPUTED_VALUE"""),0.33928022147031683)</f>
        <v>0.3392802215</v>
      </c>
      <c r="E219" s="5">
        <f>IFERROR(__xludf.DUMMYFUNCTION("""COMPUTED_VALUE"""),0.15533681944017225)</f>
        <v>0.1553368194</v>
      </c>
      <c r="F219" s="5">
        <f>IFERROR(__xludf.DUMMYFUNCTION("""COMPUTED_VALUE"""),0.22577668409720086)</f>
        <v>0.2257766841</v>
      </c>
      <c r="G219" s="5">
        <f>IFERROR(__xludf.DUMMYFUNCTION("""COMPUTED_VALUE"""),0.168871116579514)</f>
        <v>0.1688711166</v>
      </c>
      <c r="H219" s="5">
        <f>IFERROR(__xludf.DUMMYFUNCTION("""COMPUTED_VALUE"""),0.6185286103542235)</f>
        <v>0.6185286104</v>
      </c>
      <c r="I219" s="11">
        <f>IFERROR(__xludf.DUMMYFUNCTION("""COMPUTED_VALUE"""),5902.724795640327)</f>
        <v>5902.724796</v>
      </c>
      <c r="J219" s="10">
        <f>IFERROR(__xludf.DUMMYFUNCTION("""COMPUTED_VALUE"""),0.0)</f>
        <v>0</v>
      </c>
      <c r="K219" s="5">
        <f>IFERROR(__xludf.DUMMYFUNCTION("""COMPUTED_VALUE"""),0.0)</f>
        <v>0</v>
      </c>
      <c r="L219" s="10">
        <f>IFERROR(__xludf.DUMMYFUNCTION("""COMPUTED_VALUE"""),305.0)</f>
        <v>305</v>
      </c>
      <c r="M219" s="5">
        <f>IFERROR(__xludf.DUMMYFUNCTION("""COMPUTED_VALUE"""),1.0)</f>
        <v>1</v>
      </c>
    </row>
    <row r="220">
      <c r="A220" s="10" t="str">
        <f>IFERROR(__xludf.DUMMYFUNCTION("""COMPUTED_VALUE"""),"NAK7")</f>
        <v>NAK7</v>
      </c>
      <c r="B220" s="10">
        <f>IFERROR(__xludf.DUMMYFUNCTION("""COMPUTED_VALUE"""),254.0)</f>
        <v>254</v>
      </c>
      <c r="C220" s="10">
        <f>IFERROR(__xludf.DUMMYFUNCTION("""COMPUTED_VALUE"""),2990.0)</f>
        <v>2990</v>
      </c>
      <c r="D220" s="5">
        <f>IFERROR(__xludf.DUMMYFUNCTION("""COMPUTED_VALUE"""),0.33516081871345027)</f>
        <v>0.3351608187</v>
      </c>
      <c r="E220" s="5">
        <f>IFERROR(__xludf.DUMMYFUNCTION("""COMPUTED_VALUE"""),0.15533625730994152)</f>
        <v>0.1553362573</v>
      </c>
      <c r="F220" s="5">
        <f>IFERROR(__xludf.DUMMYFUNCTION("""COMPUTED_VALUE"""),0.19773391812865498)</f>
        <v>0.1977339181</v>
      </c>
      <c r="G220" s="5">
        <f>IFERROR(__xludf.DUMMYFUNCTION("""COMPUTED_VALUE"""),0.17982456140350878)</f>
        <v>0.1798245614</v>
      </c>
      <c r="H220" s="5">
        <f>IFERROR(__xludf.DUMMYFUNCTION("""COMPUTED_VALUE"""),0.6025878003696857)</f>
        <v>0.6025878004</v>
      </c>
      <c r="I220" s="11">
        <f>IFERROR(__xludf.DUMMYFUNCTION("""COMPUTED_VALUE"""),6143.992606284658)</f>
        <v>6143.992606</v>
      </c>
      <c r="J220" s="10">
        <f>IFERROR(__xludf.DUMMYFUNCTION("""COMPUTED_VALUE"""),2.0)</f>
        <v>2</v>
      </c>
      <c r="K220" s="5">
        <f>IFERROR(__xludf.DUMMYFUNCTION("""COMPUTED_VALUE"""),0.007874015748031496)</f>
        <v>0.007874015748</v>
      </c>
      <c r="L220" s="10">
        <f>IFERROR(__xludf.DUMMYFUNCTION("""COMPUTED_VALUE"""),254.0)</f>
        <v>254</v>
      </c>
      <c r="M220" s="5">
        <f>IFERROR(__xludf.DUMMYFUNCTION("""COMPUTED_VALUE"""),1.0)</f>
        <v>1</v>
      </c>
    </row>
    <row r="221">
      <c r="A221" s="10" t="str">
        <f>IFERROR(__xludf.DUMMYFUNCTION("""COMPUTED_VALUE"""),"ほしのてつろう")</f>
        <v>ほしのてつろう</v>
      </c>
      <c r="B221" s="10">
        <f>IFERROR(__xludf.DUMMYFUNCTION("""COMPUTED_VALUE"""),224.0)</f>
        <v>224</v>
      </c>
      <c r="C221" s="10">
        <f>IFERROR(__xludf.DUMMYFUNCTION("""COMPUTED_VALUE"""),2529.0)</f>
        <v>2529</v>
      </c>
      <c r="D221" s="5">
        <f>IFERROR(__xludf.DUMMYFUNCTION("""COMPUTED_VALUE"""),0.33058568329718)</f>
        <v>0.3305856833</v>
      </c>
      <c r="E221" s="5">
        <f>IFERROR(__xludf.DUMMYFUNCTION("""COMPUTED_VALUE"""),0.15531453362255965)</f>
        <v>0.1553145336</v>
      </c>
      <c r="F221" s="5">
        <f>IFERROR(__xludf.DUMMYFUNCTION("""COMPUTED_VALUE"""),0.20650759219088938)</f>
        <v>0.2065075922</v>
      </c>
      <c r="G221" s="5">
        <f>IFERROR(__xludf.DUMMYFUNCTION("""COMPUTED_VALUE"""),0.21778741865509763)</f>
        <v>0.2177874187</v>
      </c>
      <c r="H221" s="5">
        <f>IFERROR(__xludf.DUMMYFUNCTION("""COMPUTED_VALUE"""),0.5651260504201681)</f>
        <v>0.5651260504</v>
      </c>
      <c r="I221" s="11">
        <f>IFERROR(__xludf.DUMMYFUNCTION("""COMPUTED_VALUE"""),6459.033613445378)</f>
        <v>6459.033613</v>
      </c>
      <c r="J221" s="10">
        <f>IFERROR(__xludf.DUMMYFUNCTION("""COMPUTED_VALUE"""),0.0)</f>
        <v>0</v>
      </c>
      <c r="K221" s="5">
        <f>IFERROR(__xludf.DUMMYFUNCTION("""COMPUTED_VALUE"""),0.0)</f>
        <v>0</v>
      </c>
      <c r="L221" s="10">
        <f>IFERROR(__xludf.DUMMYFUNCTION("""COMPUTED_VALUE"""),202.0)</f>
        <v>202</v>
      </c>
      <c r="M221" s="5">
        <f>IFERROR(__xludf.DUMMYFUNCTION("""COMPUTED_VALUE"""),0.9017857142857143)</f>
        <v>0.9017857143</v>
      </c>
    </row>
    <row r="222">
      <c r="A222" s="10" t="str">
        <f>IFERROR(__xludf.DUMMYFUNCTION("""COMPUTED_VALUE"""),"kokounos")</f>
        <v>kokounos</v>
      </c>
      <c r="B222" s="10">
        <f>IFERROR(__xludf.DUMMYFUNCTION("""COMPUTED_VALUE"""),291.0)</f>
        <v>291</v>
      </c>
      <c r="C222" s="10">
        <f>IFERROR(__xludf.DUMMYFUNCTION("""COMPUTED_VALUE"""),3326.0)</f>
        <v>3326</v>
      </c>
      <c r="D222" s="5">
        <f>IFERROR(__xludf.DUMMYFUNCTION("""COMPUTED_VALUE"""),0.2968698517298188)</f>
        <v>0.2968698517</v>
      </c>
      <c r="E222" s="5">
        <f>IFERROR(__xludf.DUMMYFUNCTION("""COMPUTED_VALUE"""),0.15518945634266887)</f>
        <v>0.1551894563</v>
      </c>
      <c r="F222" s="5">
        <f>IFERROR(__xludf.DUMMYFUNCTION("""COMPUTED_VALUE"""),0.19670510708401978)</f>
        <v>0.1967051071</v>
      </c>
      <c r="G222" s="5">
        <f>IFERROR(__xludf.DUMMYFUNCTION("""COMPUTED_VALUE"""),0.18220757825370676)</f>
        <v>0.1822075783</v>
      </c>
      <c r="H222" s="5">
        <f>IFERROR(__xludf.DUMMYFUNCTION("""COMPUTED_VALUE"""),0.5778894472361809)</f>
        <v>0.5778894472</v>
      </c>
      <c r="I222" s="11">
        <f>IFERROR(__xludf.DUMMYFUNCTION("""COMPUTED_VALUE"""),6346.901172529313)</f>
        <v>6346.901173</v>
      </c>
      <c r="J222" s="10">
        <f>IFERROR(__xludf.DUMMYFUNCTION("""COMPUTED_VALUE"""),2.0)</f>
        <v>2</v>
      </c>
      <c r="K222" s="5">
        <f>IFERROR(__xludf.DUMMYFUNCTION("""COMPUTED_VALUE"""),0.006872852233676976)</f>
        <v>0.006872852234</v>
      </c>
      <c r="L222" s="10">
        <f>IFERROR(__xludf.DUMMYFUNCTION("""COMPUTED_VALUE"""),291.0)</f>
        <v>291</v>
      </c>
      <c r="M222" s="5">
        <f>IFERROR(__xludf.DUMMYFUNCTION("""COMPUTED_VALUE"""),1.0)</f>
        <v>1</v>
      </c>
    </row>
    <row r="223">
      <c r="A223" s="10" t="str">
        <f>IFERROR(__xludf.DUMMYFUNCTION("""COMPUTED_VALUE"""),"推空Ｐ")</f>
        <v>推空Ｐ</v>
      </c>
      <c r="B223" s="10">
        <f>IFERROR(__xludf.DUMMYFUNCTION("""COMPUTED_VALUE"""),2834.0)</f>
        <v>2834</v>
      </c>
      <c r="C223" s="10">
        <f>IFERROR(__xludf.DUMMYFUNCTION("""COMPUTED_VALUE"""),32869.0)</f>
        <v>32869</v>
      </c>
      <c r="D223" s="5">
        <f>IFERROR(__xludf.DUMMYFUNCTION("""COMPUTED_VALUE"""),0.3666389212585317)</f>
        <v>0.3666389213</v>
      </c>
      <c r="E223" s="5">
        <f>IFERROR(__xludf.DUMMYFUNCTION("""COMPUTED_VALUE"""),0.1551523222906609)</f>
        <v>0.1551523223</v>
      </c>
      <c r="F223" s="5">
        <f>IFERROR(__xludf.DUMMYFUNCTION("""COMPUTED_VALUE"""),0.21891127018478443)</f>
        <v>0.2189112702</v>
      </c>
      <c r="G223" s="5">
        <f>IFERROR(__xludf.DUMMYFUNCTION("""COMPUTED_VALUE"""),0.1874812718495089)</f>
        <v>0.1874812718</v>
      </c>
      <c r="H223" s="5">
        <f>IFERROR(__xludf.DUMMYFUNCTION("""COMPUTED_VALUE"""),0.6015209125475285)</f>
        <v>0.6015209125</v>
      </c>
      <c r="I223" s="11">
        <f>IFERROR(__xludf.DUMMYFUNCTION("""COMPUTED_VALUE"""),5987.041825095057)</f>
        <v>5987.041825</v>
      </c>
      <c r="J223" s="10">
        <f>IFERROR(__xludf.DUMMYFUNCTION("""COMPUTED_VALUE"""),21.0)</f>
        <v>21</v>
      </c>
      <c r="K223" s="5">
        <f>IFERROR(__xludf.DUMMYFUNCTION("""COMPUTED_VALUE"""),0.007410021171489062)</f>
        <v>0.007410021171</v>
      </c>
      <c r="L223" s="10">
        <f>IFERROR(__xludf.DUMMYFUNCTION("""COMPUTED_VALUE"""),230.0)</f>
        <v>230</v>
      </c>
      <c r="M223" s="5">
        <f>IFERROR(__xludf.DUMMYFUNCTION("""COMPUTED_VALUE"""),0.08115737473535639)</f>
        <v>0.08115737474</v>
      </c>
    </row>
    <row r="224">
      <c r="A224" s="10" t="str">
        <f>IFERROR(__xludf.DUMMYFUNCTION("""COMPUTED_VALUE"""),"n.g.s")</f>
        <v>n.g.s</v>
      </c>
      <c r="B224" s="10">
        <f>IFERROR(__xludf.DUMMYFUNCTION("""COMPUTED_VALUE"""),385.0)</f>
        <v>385</v>
      </c>
      <c r="C224" s="10">
        <f>IFERROR(__xludf.DUMMYFUNCTION("""COMPUTED_VALUE"""),4394.0)</f>
        <v>4394</v>
      </c>
      <c r="D224" s="5">
        <f>IFERROR(__xludf.DUMMYFUNCTION("""COMPUTED_VALUE"""),0.2848590670990272)</f>
        <v>0.2848590671</v>
      </c>
      <c r="E224" s="5">
        <f>IFERROR(__xludf.DUMMYFUNCTION("""COMPUTED_VALUE"""),0.15515091045148416)</f>
        <v>0.1551509105</v>
      </c>
      <c r="F224" s="5">
        <f>IFERROR(__xludf.DUMMYFUNCTION("""COMPUTED_VALUE"""),0.209279121975555)</f>
        <v>0.209279122</v>
      </c>
      <c r="G224" s="5">
        <f>IFERROR(__xludf.DUMMYFUNCTION("""COMPUTED_VALUE"""),0.18433524569718135)</f>
        <v>0.1843352457</v>
      </c>
      <c r="H224" s="5">
        <f>IFERROR(__xludf.DUMMYFUNCTION("""COMPUTED_VALUE"""),0.6078665077473182)</f>
        <v>0.6078665077</v>
      </c>
      <c r="I224" s="11">
        <f>IFERROR(__xludf.DUMMYFUNCTION("""COMPUTED_VALUE"""),6356.73420738975)</f>
        <v>6356.734207</v>
      </c>
      <c r="J224" s="10">
        <f>IFERROR(__xludf.DUMMYFUNCTION("""COMPUTED_VALUE"""),2.0)</f>
        <v>2</v>
      </c>
      <c r="K224" s="5">
        <f>IFERROR(__xludf.DUMMYFUNCTION("""COMPUTED_VALUE"""),0.005194805194805195)</f>
        <v>0.005194805195</v>
      </c>
      <c r="L224" s="10">
        <f>IFERROR(__xludf.DUMMYFUNCTION("""COMPUTED_VALUE"""),385.0)</f>
        <v>385</v>
      </c>
      <c r="M224" s="5">
        <f>IFERROR(__xludf.DUMMYFUNCTION("""COMPUTED_VALUE"""),1.0)</f>
        <v>1</v>
      </c>
    </row>
    <row r="225">
      <c r="A225" s="10" t="str">
        <f>IFERROR(__xludf.DUMMYFUNCTION("""COMPUTED_VALUE"""),"往復ビンタ")</f>
        <v>往復ビンタ</v>
      </c>
      <c r="B225" s="10">
        <f>IFERROR(__xludf.DUMMYFUNCTION("""COMPUTED_VALUE"""),1175.0)</f>
        <v>1175</v>
      </c>
      <c r="C225" s="10">
        <f>IFERROR(__xludf.DUMMYFUNCTION("""COMPUTED_VALUE"""),13670.0)</f>
        <v>13670</v>
      </c>
      <c r="D225" s="5">
        <f>IFERROR(__xludf.DUMMYFUNCTION("""COMPUTED_VALUE"""),0.29371748699479794)</f>
        <v>0.293717487</v>
      </c>
      <c r="E225" s="5">
        <f>IFERROR(__xludf.DUMMYFUNCTION("""COMPUTED_VALUE"""),0.15510204081632653)</f>
        <v>0.1551020408</v>
      </c>
      <c r="F225" s="5">
        <f>IFERROR(__xludf.DUMMYFUNCTION("""COMPUTED_VALUE"""),0.2167266906762705)</f>
        <v>0.2167266907</v>
      </c>
      <c r="G225" s="5">
        <f>IFERROR(__xludf.DUMMYFUNCTION("""COMPUTED_VALUE"""),0.20640256102440976)</f>
        <v>0.206402561</v>
      </c>
      <c r="H225" s="5">
        <f>IFERROR(__xludf.DUMMYFUNCTION("""COMPUTED_VALUE"""),0.5923190546528804)</f>
        <v>0.5923190547</v>
      </c>
      <c r="I225" s="11">
        <f>IFERROR(__xludf.DUMMYFUNCTION("""COMPUTED_VALUE"""),6092.023633677991)</f>
        <v>6092.023634</v>
      </c>
      <c r="J225" s="10">
        <f>IFERROR(__xludf.DUMMYFUNCTION("""COMPUTED_VALUE"""),4.0)</f>
        <v>4</v>
      </c>
      <c r="K225" s="5">
        <f>IFERROR(__xludf.DUMMYFUNCTION("""COMPUTED_VALUE"""),0.003404255319148936)</f>
        <v>0.003404255319</v>
      </c>
      <c r="L225" s="10">
        <f>IFERROR(__xludf.DUMMYFUNCTION("""COMPUTED_VALUE"""),1175.0)</f>
        <v>1175</v>
      </c>
      <c r="M225" s="5">
        <f>IFERROR(__xludf.DUMMYFUNCTION("""COMPUTED_VALUE"""),1.0)</f>
        <v>1</v>
      </c>
    </row>
    <row r="226">
      <c r="A226" s="10" t="str">
        <f>IFERROR(__xludf.DUMMYFUNCTION("""COMPUTED_VALUE"""),"歩夢釣法")</f>
        <v>歩夢釣法</v>
      </c>
      <c r="B226" s="10">
        <f>IFERROR(__xludf.DUMMYFUNCTION("""COMPUTED_VALUE"""),197.0)</f>
        <v>197</v>
      </c>
      <c r="C226" s="10">
        <f>IFERROR(__xludf.DUMMYFUNCTION("""COMPUTED_VALUE"""),2325.0)</f>
        <v>2325</v>
      </c>
      <c r="D226" s="5">
        <f>IFERROR(__xludf.DUMMYFUNCTION("""COMPUTED_VALUE"""),0.3491541353383459)</f>
        <v>0.3491541353</v>
      </c>
      <c r="E226" s="5">
        <f>IFERROR(__xludf.DUMMYFUNCTION("""COMPUTED_VALUE"""),0.1550751879699248)</f>
        <v>0.155075188</v>
      </c>
      <c r="F226" s="5">
        <f>IFERROR(__xludf.DUMMYFUNCTION("""COMPUTED_VALUE"""),0.21099624060150377)</f>
        <v>0.2109962406</v>
      </c>
      <c r="G226" s="5">
        <f>IFERROR(__xludf.DUMMYFUNCTION("""COMPUTED_VALUE"""),0.20441729323308272)</f>
        <v>0.2044172932</v>
      </c>
      <c r="H226" s="5">
        <f>IFERROR(__xludf.DUMMYFUNCTION("""COMPUTED_VALUE"""),0.5857461024498887)</f>
        <v>0.5857461024</v>
      </c>
      <c r="I226" s="11">
        <f>IFERROR(__xludf.DUMMYFUNCTION("""COMPUTED_VALUE"""),5875.723830734966)</f>
        <v>5875.723831</v>
      </c>
      <c r="J226" s="10">
        <f>IFERROR(__xludf.DUMMYFUNCTION("""COMPUTED_VALUE"""),0.0)</f>
        <v>0</v>
      </c>
      <c r="K226" s="5">
        <f>IFERROR(__xludf.DUMMYFUNCTION("""COMPUTED_VALUE"""),0.0)</f>
        <v>0</v>
      </c>
      <c r="L226" s="10">
        <f>IFERROR(__xludf.DUMMYFUNCTION("""COMPUTED_VALUE"""),197.0)</f>
        <v>197</v>
      </c>
      <c r="M226" s="5">
        <f>IFERROR(__xludf.DUMMYFUNCTION("""COMPUTED_VALUE"""),1.0)</f>
        <v>1</v>
      </c>
    </row>
    <row r="227">
      <c r="A227" s="10" t="str">
        <f>IFERROR(__xludf.DUMMYFUNCTION("""COMPUTED_VALUE"""),"myleus")</f>
        <v>myleus</v>
      </c>
      <c r="B227" s="10">
        <f>IFERROR(__xludf.DUMMYFUNCTION("""COMPUTED_VALUE"""),114.0)</f>
        <v>114</v>
      </c>
      <c r="C227" s="10">
        <f>IFERROR(__xludf.DUMMYFUNCTION("""COMPUTED_VALUE"""),1314.0)</f>
        <v>1314</v>
      </c>
      <c r="D227" s="5">
        <f>IFERROR(__xludf.DUMMYFUNCTION("""COMPUTED_VALUE"""),0.43416666666666665)</f>
        <v>0.4341666667</v>
      </c>
      <c r="E227" s="5">
        <f>IFERROR(__xludf.DUMMYFUNCTION("""COMPUTED_VALUE"""),0.155)</f>
        <v>0.155</v>
      </c>
      <c r="F227" s="5">
        <f>IFERROR(__xludf.DUMMYFUNCTION("""COMPUTED_VALUE"""),0.22416666666666665)</f>
        <v>0.2241666667</v>
      </c>
      <c r="G227" s="5">
        <f>IFERROR(__xludf.DUMMYFUNCTION("""COMPUTED_VALUE"""),0.14083333333333334)</f>
        <v>0.1408333333</v>
      </c>
      <c r="H227" s="5">
        <f>IFERROR(__xludf.DUMMYFUNCTION("""COMPUTED_VALUE"""),0.6579925650557621)</f>
        <v>0.6579925651</v>
      </c>
      <c r="I227" s="11">
        <f>IFERROR(__xludf.DUMMYFUNCTION("""COMPUTED_VALUE"""),5285.501858736059)</f>
        <v>5285.501859</v>
      </c>
      <c r="J227" s="10">
        <f>IFERROR(__xludf.DUMMYFUNCTION("""COMPUTED_VALUE"""),0.0)</f>
        <v>0</v>
      </c>
      <c r="K227" s="5">
        <f>IFERROR(__xludf.DUMMYFUNCTION("""COMPUTED_VALUE"""),0.0)</f>
        <v>0</v>
      </c>
      <c r="L227" s="10">
        <f>IFERROR(__xludf.DUMMYFUNCTION("""COMPUTED_VALUE"""),114.0)</f>
        <v>114</v>
      </c>
      <c r="M227" s="5">
        <f>IFERROR(__xludf.DUMMYFUNCTION("""COMPUTED_VALUE"""),1.0)</f>
        <v>1</v>
      </c>
    </row>
    <row r="228">
      <c r="A228" s="10" t="str">
        <f>IFERROR(__xludf.DUMMYFUNCTION("""COMPUTED_VALUE"""),"八云紫")</f>
        <v>八云紫</v>
      </c>
      <c r="B228" s="10">
        <f>IFERROR(__xludf.DUMMYFUNCTION("""COMPUTED_VALUE"""),124.0)</f>
        <v>124</v>
      </c>
      <c r="C228" s="10">
        <f>IFERROR(__xludf.DUMMYFUNCTION("""COMPUTED_VALUE"""),1408.0)</f>
        <v>1408</v>
      </c>
      <c r="D228" s="5">
        <f>IFERROR(__xludf.DUMMYFUNCTION("""COMPUTED_VALUE"""),0.3411214953271028)</f>
        <v>0.3411214953</v>
      </c>
      <c r="E228" s="5">
        <f>IFERROR(__xludf.DUMMYFUNCTION("""COMPUTED_VALUE"""),0.15498442367601245)</f>
        <v>0.1549844237</v>
      </c>
      <c r="F228" s="5">
        <f>IFERROR(__xludf.DUMMYFUNCTION("""COMPUTED_VALUE"""),0.2118380062305296)</f>
        <v>0.2118380062</v>
      </c>
      <c r="G228" s="5">
        <f>IFERROR(__xludf.DUMMYFUNCTION("""COMPUTED_VALUE"""),0.17834890965732086)</f>
        <v>0.1783489097</v>
      </c>
      <c r="H228" s="5">
        <f>IFERROR(__xludf.DUMMYFUNCTION("""COMPUTED_VALUE"""),0.6544117647058824)</f>
        <v>0.6544117647</v>
      </c>
      <c r="I228" s="11">
        <f>IFERROR(__xludf.DUMMYFUNCTION("""COMPUTED_VALUE"""),5634.191176470588)</f>
        <v>5634.191176</v>
      </c>
      <c r="J228" s="10">
        <f>IFERROR(__xludf.DUMMYFUNCTION("""COMPUTED_VALUE"""),0.0)</f>
        <v>0</v>
      </c>
      <c r="K228" s="5">
        <f>IFERROR(__xludf.DUMMYFUNCTION("""COMPUTED_VALUE"""),0.0)</f>
        <v>0</v>
      </c>
      <c r="L228" s="10">
        <f>IFERROR(__xludf.DUMMYFUNCTION("""COMPUTED_VALUE"""),14.0)</f>
        <v>14</v>
      </c>
      <c r="M228" s="5">
        <f>IFERROR(__xludf.DUMMYFUNCTION("""COMPUTED_VALUE"""),0.11290322580645161)</f>
        <v>0.1129032258</v>
      </c>
    </row>
    <row r="229">
      <c r="A229" s="10" t="str">
        <f>IFERROR(__xludf.DUMMYFUNCTION("""COMPUTED_VALUE"""),"gaterin")</f>
        <v>gaterin</v>
      </c>
      <c r="B229" s="10">
        <f>IFERROR(__xludf.DUMMYFUNCTION("""COMPUTED_VALUE"""),175.0)</f>
        <v>175</v>
      </c>
      <c r="C229" s="10">
        <f>IFERROR(__xludf.DUMMYFUNCTION("""COMPUTED_VALUE"""),2001.0)</f>
        <v>2001</v>
      </c>
      <c r="D229" s="5">
        <f>IFERROR(__xludf.DUMMYFUNCTION("""COMPUTED_VALUE"""),0.2847754654983571)</f>
        <v>0.2847754655</v>
      </c>
      <c r="E229" s="5">
        <f>IFERROR(__xludf.DUMMYFUNCTION("""COMPUTED_VALUE"""),0.15498357064622126)</f>
        <v>0.1549835706</v>
      </c>
      <c r="F229" s="5">
        <f>IFERROR(__xludf.DUMMYFUNCTION("""COMPUTED_VALUE"""),0.20481927710843373)</f>
        <v>0.2048192771</v>
      </c>
      <c r="G229" s="5">
        <f>IFERROR(__xludf.DUMMYFUNCTION("""COMPUTED_VALUE"""),0.21631982475355968)</f>
        <v>0.2163198248</v>
      </c>
      <c r="H229" s="5">
        <f>IFERROR(__xludf.DUMMYFUNCTION("""COMPUTED_VALUE"""),0.5828877005347594)</f>
        <v>0.5828877005</v>
      </c>
      <c r="I229" s="11">
        <f>IFERROR(__xludf.DUMMYFUNCTION("""COMPUTED_VALUE"""),6410.427807486631)</f>
        <v>6410.427807</v>
      </c>
      <c r="J229" s="10">
        <f>IFERROR(__xludf.DUMMYFUNCTION("""COMPUTED_VALUE"""),0.0)</f>
        <v>0</v>
      </c>
      <c r="K229" s="5">
        <f>IFERROR(__xludf.DUMMYFUNCTION("""COMPUTED_VALUE"""),0.0)</f>
        <v>0</v>
      </c>
      <c r="L229" s="10">
        <f>IFERROR(__xludf.DUMMYFUNCTION("""COMPUTED_VALUE"""),175.0)</f>
        <v>175</v>
      </c>
      <c r="M229" s="5">
        <f>IFERROR(__xludf.DUMMYFUNCTION("""COMPUTED_VALUE"""),1.0)</f>
        <v>1</v>
      </c>
    </row>
    <row r="230">
      <c r="A230" s="10" t="str">
        <f>IFERROR(__xludf.DUMMYFUNCTION("""COMPUTED_VALUE"""),"raterate")</f>
        <v>raterate</v>
      </c>
      <c r="B230" s="10">
        <f>IFERROR(__xludf.DUMMYFUNCTION("""COMPUTED_VALUE"""),208.0)</f>
        <v>208</v>
      </c>
      <c r="C230" s="10">
        <f>IFERROR(__xludf.DUMMYFUNCTION("""COMPUTED_VALUE"""),2390.0)</f>
        <v>2390</v>
      </c>
      <c r="D230" s="5">
        <f>IFERROR(__xludf.DUMMYFUNCTION("""COMPUTED_VALUE"""),0.3913840513290559)</f>
        <v>0.3913840513</v>
      </c>
      <c r="E230" s="5">
        <f>IFERROR(__xludf.DUMMYFUNCTION("""COMPUTED_VALUE"""),0.15490375802016498)</f>
        <v>0.154903758</v>
      </c>
      <c r="F230" s="5">
        <f>IFERROR(__xludf.DUMMYFUNCTION("""COMPUTED_VALUE"""),0.23281393217231897)</f>
        <v>0.2328139322</v>
      </c>
      <c r="G230" s="5">
        <f>IFERROR(__xludf.DUMMYFUNCTION("""COMPUTED_VALUE"""),0.17277726856095327)</f>
        <v>0.1727772686</v>
      </c>
      <c r="H230" s="5">
        <f>IFERROR(__xludf.DUMMYFUNCTION("""COMPUTED_VALUE"""),0.6338582677165354)</f>
        <v>0.6338582677</v>
      </c>
      <c r="I230" s="11">
        <f>IFERROR(__xludf.DUMMYFUNCTION("""COMPUTED_VALUE"""),5281.299212598426)</f>
        <v>5281.299213</v>
      </c>
      <c r="J230" s="10">
        <f>IFERROR(__xludf.DUMMYFUNCTION("""COMPUTED_VALUE"""),0.0)</f>
        <v>0</v>
      </c>
      <c r="K230" s="5">
        <f>IFERROR(__xludf.DUMMYFUNCTION("""COMPUTED_VALUE"""),0.0)</f>
        <v>0</v>
      </c>
      <c r="L230" s="10">
        <f>IFERROR(__xludf.DUMMYFUNCTION("""COMPUTED_VALUE"""),208.0)</f>
        <v>208</v>
      </c>
      <c r="M230" s="5">
        <f>IFERROR(__xludf.DUMMYFUNCTION("""COMPUTED_VALUE"""),1.0)</f>
        <v>1</v>
      </c>
    </row>
    <row r="231">
      <c r="A231" s="10" t="str">
        <f>IFERROR(__xludf.DUMMYFUNCTION("""COMPUTED_VALUE"""),"keiryo")</f>
        <v>keiryo</v>
      </c>
      <c r="B231" s="10">
        <f>IFERROR(__xludf.DUMMYFUNCTION("""COMPUTED_VALUE"""),135.0)</f>
        <v>135</v>
      </c>
      <c r="C231" s="10">
        <f>IFERROR(__xludf.DUMMYFUNCTION("""COMPUTED_VALUE"""),1588.0)</f>
        <v>1588</v>
      </c>
      <c r="D231" s="5">
        <f>IFERROR(__xludf.DUMMYFUNCTION("""COMPUTED_VALUE"""),0.38540949759119064)</f>
        <v>0.3854094976</v>
      </c>
      <c r="E231" s="5">
        <f>IFERROR(__xludf.DUMMYFUNCTION("""COMPUTED_VALUE"""),0.1548520302821748)</f>
        <v>0.1548520303</v>
      </c>
      <c r="F231" s="5">
        <f>IFERROR(__xludf.DUMMYFUNCTION("""COMPUTED_VALUE"""),0.20715760495526497)</f>
        <v>0.207157605</v>
      </c>
      <c r="G231" s="5">
        <f>IFERROR(__xludf.DUMMYFUNCTION("""COMPUTED_VALUE"""),0.18513420509291123)</f>
        <v>0.1851342051</v>
      </c>
      <c r="H231" s="5">
        <f>IFERROR(__xludf.DUMMYFUNCTION("""COMPUTED_VALUE"""),0.5880398671096345)</f>
        <v>0.5880398671</v>
      </c>
      <c r="I231" s="11">
        <f>IFERROR(__xludf.DUMMYFUNCTION("""COMPUTED_VALUE"""),5731.893687707641)</f>
        <v>5731.893688</v>
      </c>
      <c r="J231" s="10">
        <f>IFERROR(__xludf.DUMMYFUNCTION("""COMPUTED_VALUE"""),0.0)</f>
        <v>0</v>
      </c>
      <c r="K231" s="5">
        <f>IFERROR(__xludf.DUMMYFUNCTION("""COMPUTED_VALUE"""),0.0)</f>
        <v>0</v>
      </c>
      <c r="L231" s="10">
        <f>IFERROR(__xludf.DUMMYFUNCTION("""COMPUTED_VALUE"""),0.0)</f>
        <v>0</v>
      </c>
      <c r="M231" s="5">
        <f>IFERROR(__xludf.DUMMYFUNCTION("""COMPUTED_VALUE"""),0.0)</f>
        <v>0</v>
      </c>
    </row>
    <row r="232">
      <c r="A232" s="10" t="str">
        <f>IFERROR(__xludf.DUMMYFUNCTION("""COMPUTED_VALUE"""),"Ippashu")</f>
        <v>Ippashu</v>
      </c>
      <c r="B232" s="10">
        <f>IFERROR(__xludf.DUMMYFUNCTION("""COMPUTED_VALUE"""),350.0)</f>
        <v>350</v>
      </c>
      <c r="C232" s="10">
        <f>IFERROR(__xludf.DUMMYFUNCTION("""COMPUTED_VALUE"""),3968.0)</f>
        <v>3968</v>
      </c>
      <c r="D232" s="5">
        <f>IFERROR(__xludf.DUMMYFUNCTION("""COMPUTED_VALUE"""),0.3825317855168601)</f>
        <v>0.3825317855</v>
      </c>
      <c r="E232" s="5">
        <f>IFERROR(__xludf.DUMMYFUNCTION("""COMPUTED_VALUE"""),0.15478164731896074)</f>
        <v>0.1547816473</v>
      </c>
      <c r="F232" s="5">
        <f>IFERROR(__xludf.DUMMYFUNCTION("""COMPUTED_VALUE"""),0.23521282476506358)</f>
        <v>0.2352128248</v>
      </c>
      <c r="G232" s="5">
        <f>IFERROR(__xludf.DUMMYFUNCTION("""COMPUTED_VALUE"""),0.1710889994472084)</f>
        <v>0.1710889994</v>
      </c>
      <c r="H232" s="5">
        <f>IFERROR(__xludf.DUMMYFUNCTION("""COMPUTED_VALUE"""),0.6556991774383079)</f>
        <v>0.6556991774</v>
      </c>
      <c r="I232" s="11">
        <f>IFERROR(__xludf.DUMMYFUNCTION("""COMPUTED_VALUE"""),5430.199764982373)</f>
        <v>5430.199765</v>
      </c>
      <c r="J232" s="10">
        <f>IFERROR(__xludf.DUMMYFUNCTION("""COMPUTED_VALUE"""),3.0)</f>
        <v>3</v>
      </c>
      <c r="K232" s="5">
        <f>IFERROR(__xludf.DUMMYFUNCTION("""COMPUTED_VALUE"""),0.008571428571428572)</f>
        <v>0.008571428571</v>
      </c>
      <c r="L232" s="10">
        <f>IFERROR(__xludf.DUMMYFUNCTION("""COMPUTED_VALUE"""),350.0)</f>
        <v>350</v>
      </c>
      <c r="M232" s="5">
        <f>IFERROR(__xludf.DUMMYFUNCTION("""COMPUTED_VALUE"""),1.0)</f>
        <v>1</v>
      </c>
    </row>
    <row r="233">
      <c r="A233" s="10" t="str">
        <f>IFERROR(__xludf.DUMMYFUNCTION("""COMPUTED_VALUE"""),"桜鶴ん")</f>
        <v>桜鶴ん</v>
      </c>
      <c r="B233" s="10">
        <f>IFERROR(__xludf.DUMMYFUNCTION("""COMPUTED_VALUE"""),146.0)</f>
        <v>146</v>
      </c>
      <c r="C233" s="10">
        <f>IFERROR(__xludf.DUMMYFUNCTION("""COMPUTED_VALUE"""),1729.0)</f>
        <v>1729</v>
      </c>
      <c r="D233" s="5">
        <f>IFERROR(__xludf.DUMMYFUNCTION("""COMPUTED_VALUE"""),0.4144030322173089)</f>
        <v>0.4144030322</v>
      </c>
      <c r="E233" s="5">
        <f>IFERROR(__xludf.DUMMYFUNCTION("""COMPUTED_VALUE"""),0.15476942514213518)</f>
        <v>0.1547694251</v>
      </c>
      <c r="F233" s="5">
        <f>IFERROR(__xludf.DUMMYFUNCTION("""COMPUTED_VALUE"""),0.21288692356285535)</f>
        <v>0.2128869236</v>
      </c>
      <c r="G233" s="5">
        <f>IFERROR(__xludf.DUMMYFUNCTION("""COMPUTED_VALUE"""),0.18003790271636133)</f>
        <v>0.1800379027</v>
      </c>
      <c r="H233" s="5">
        <f>IFERROR(__xludf.DUMMYFUNCTION("""COMPUTED_VALUE"""),0.6231454005934718)</f>
        <v>0.6231454006</v>
      </c>
      <c r="I233" s="11">
        <f>IFERROR(__xludf.DUMMYFUNCTION("""COMPUTED_VALUE"""),5602.967359050445)</f>
        <v>5602.967359</v>
      </c>
      <c r="J233" s="10">
        <f>IFERROR(__xludf.DUMMYFUNCTION("""COMPUTED_VALUE"""),1.0)</f>
        <v>1</v>
      </c>
      <c r="K233" s="5">
        <f>IFERROR(__xludf.DUMMYFUNCTION("""COMPUTED_VALUE"""),0.00684931506849315)</f>
        <v>0.006849315068</v>
      </c>
      <c r="L233" s="10">
        <f>IFERROR(__xludf.DUMMYFUNCTION("""COMPUTED_VALUE"""),146.0)</f>
        <v>146</v>
      </c>
      <c r="M233" s="5">
        <f>IFERROR(__xludf.DUMMYFUNCTION("""COMPUTED_VALUE"""),1.0)</f>
        <v>1</v>
      </c>
    </row>
    <row r="234">
      <c r="A234" s="10" t="str">
        <f>IFERROR(__xludf.DUMMYFUNCTION("""COMPUTED_VALUE"""),"スナイパー猫@")</f>
        <v>スナイパー猫@</v>
      </c>
      <c r="B234" s="10">
        <f>IFERROR(__xludf.DUMMYFUNCTION("""COMPUTED_VALUE"""),233.0)</f>
        <v>233</v>
      </c>
      <c r="C234" s="10">
        <f>IFERROR(__xludf.DUMMYFUNCTION("""COMPUTED_VALUE"""),2682.0)</f>
        <v>2682</v>
      </c>
      <c r="D234" s="5">
        <f>IFERROR(__xludf.DUMMYFUNCTION("""COMPUTED_VALUE"""),0.3540220498162515)</f>
        <v>0.3540220498</v>
      </c>
      <c r="E234" s="5">
        <f>IFERROR(__xludf.DUMMYFUNCTION("""COMPUTED_VALUE"""),0.15475704369130258)</f>
        <v>0.1547570437</v>
      </c>
      <c r="F234" s="5">
        <f>IFERROR(__xludf.DUMMYFUNCTION("""COMPUTED_VALUE"""),0.2045732952225398)</f>
        <v>0.2045732952</v>
      </c>
      <c r="G234" s="5">
        <f>IFERROR(__xludf.DUMMYFUNCTION("""COMPUTED_VALUE"""),0.1694569211923234)</f>
        <v>0.1694569212</v>
      </c>
      <c r="H234" s="5">
        <f>IFERROR(__xludf.DUMMYFUNCTION("""COMPUTED_VALUE"""),0.5888223552894212)</f>
        <v>0.5888223553</v>
      </c>
      <c r="I234" s="11">
        <f>IFERROR(__xludf.DUMMYFUNCTION("""COMPUTED_VALUE"""),5565.868263473054)</f>
        <v>5565.868263</v>
      </c>
      <c r="J234" s="10">
        <f>IFERROR(__xludf.DUMMYFUNCTION("""COMPUTED_VALUE"""),0.0)</f>
        <v>0</v>
      </c>
      <c r="K234" s="5">
        <f>IFERROR(__xludf.DUMMYFUNCTION("""COMPUTED_VALUE"""),0.0)</f>
        <v>0</v>
      </c>
      <c r="L234" s="10">
        <f>IFERROR(__xludf.DUMMYFUNCTION("""COMPUTED_VALUE"""),27.0)</f>
        <v>27</v>
      </c>
      <c r="M234" s="5">
        <f>IFERROR(__xludf.DUMMYFUNCTION("""COMPUTED_VALUE"""),0.11587982832618025)</f>
        <v>0.1158798283</v>
      </c>
    </row>
    <row r="235">
      <c r="A235" s="10" t="str">
        <f>IFERROR(__xludf.DUMMYFUNCTION("""COMPUTED_VALUE"""),"咋不里三")</f>
        <v>咋不里三</v>
      </c>
      <c r="B235" s="10">
        <f>IFERROR(__xludf.DUMMYFUNCTION("""COMPUTED_VALUE"""),183.0)</f>
        <v>183</v>
      </c>
      <c r="C235" s="10">
        <f>IFERROR(__xludf.DUMMYFUNCTION("""COMPUTED_VALUE"""),2128.0)</f>
        <v>2128</v>
      </c>
      <c r="D235" s="5">
        <f>IFERROR(__xludf.DUMMYFUNCTION("""COMPUTED_VALUE"""),0.4586118251928021)</f>
        <v>0.4586118252</v>
      </c>
      <c r="E235" s="5">
        <f>IFERROR(__xludf.DUMMYFUNCTION("""COMPUTED_VALUE"""),0.15475578406169666)</f>
        <v>0.1547557841</v>
      </c>
      <c r="F235" s="5">
        <f>IFERROR(__xludf.DUMMYFUNCTION("""COMPUTED_VALUE"""),0.22519280205655526)</f>
        <v>0.2251928021</v>
      </c>
      <c r="G235" s="5">
        <f>IFERROR(__xludf.DUMMYFUNCTION("""COMPUTED_VALUE"""),0.16349614395886888)</f>
        <v>0.163496144</v>
      </c>
      <c r="H235" s="5">
        <f>IFERROR(__xludf.DUMMYFUNCTION("""COMPUTED_VALUE"""),0.639269406392694)</f>
        <v>0.6392694064</v>
      </c>
      <c r="I235" s="11">
        <f>IFERROR(__xludf.DUMMYFUNCTION("""COMPUTED_VALUE"""),5464.3835616438355)</f>
        <v>5464.383562</v>
      </c>
      <c r="J235" s="10">
        <f>IFERROR(__xludf.DUMMYFUNCTION("""COMPUTED_VALUE"""),0.0)</f>
        <v>0</v>
      </c>
      <c r="K235" s="5">
        <f>IFERROR(__xludf.DUMMYFUNCTION("""COMPUTED_VALUE"""),0.0)</f>
        <v>0</v>
      </c>
      <c r="L235" s="10">
        <f>IFERROR(__xludf.DUMMYFUNCTION("""COMPUTED_VALUE"""),0.0)</f>
        <v>0</v>
      </c>
      <c r="M235" s="5">
        <f>IFERROR(__xludf.DUMMYFUNCTION("""COMPUTED_VALUE"""),0.0)</f>
        <v>0</v>
      </c>
    </row>
    <row r="236">
      <c r="A236" s="10" t="str">
        <f>IFERROR(__xludf.DUMMYFUNCTION("""COMPUTED_VALUE"""),"UNsan")</f>
        <v>UNsan</v>
      </c>
      <c r="B236" s="10">
        <f>IFERROR(__xludf.DUMMYFUNCTION("""COMPUTED_VALUE"""),156.0)</f>
        <v>156</v>
      </c>
      <c r="C236" s="10">
        <f>IFERROR(__xludf.DUMMYFUNCTION("""COMPUTED_VALUE"""),1824.0)</f>
        <v>1824</v>
      </c>
      <c r="D236" s="5">
        <f>IFERROR(__xludf.DUMMYFUNCTION("""COMPUTED_VALUE"""),0.3381294964028777)</f>
        <v>0.3381294964</v>
      </c>
      <c r="E236" s="5">
        <f>IFERROR(__xludf.DUMMYFUNCTION("""COMPUTED_VALUE"""),0.15467625899280577)</f>
        <v>0.154676259</v>
      </c>
      <c r="F236" s="5">
        <f>IFERROR(__xludf.DUMMYFUNCTION("""COMPUTED_VALUE"""),0.2260191846522782)</f>
        <v>0.2260191847</v>
      </c>
      <c r="G236" s="5">
        <f>IFERROR(__xludf.DUMMYFUNCTION("""COMPUTED_VALUE"""),0.20083932853717026)</f>
        <v>0.2008393285</v>
      </c>
      <c r="H236" s="5">
        <f>IFERROR(__xludf.DUMMYFUNCTION("""COMPUTED_VALUE"""),0.5941644562334217)</f>
        <v>0.5941644562</v>
      </c>
      <c r="I236" s="11">
        <f>IFERROR(__xludf.DUMMYFUNCTION("""COMPUTED_VALUE"""),5174.801061007957)</f>
        <v>5174.801061</v>
      </c>
      <c r="J236" s="10">
        <f>IFERROR(__xludf.DUMMYFUNCTION("""COMPUTED_VALUE"""),0.0)</f>
        <v>0</v>
      </c>
      <c r="K236" s="5">
        <f>IFERROR(__xludf.DUMMYFUNCTION("""COMPUTED_VALUE"""),0.0)</f>
        <v>0</v>
      </c>
      <c r="L236" s="10">
        <f>IFERROR(__xludf.DUMMYFUNCTION("""COMPUTED_VALUE"""),0.0)</f>
        <v>0</v>
      </c>
      <c r="M236" s="5">
        <f>IFERROR(__xludf.DUMMYFUNCTION("""COMPUTED_VALUE"""),0.0)</f>
        <v>0</v>
      </c>
    </row>
    <row r="237">
      <c r="A237" s="10" t="str">
        <f>IFERROR(__xludf.DUMMYFUNCTION("""COMPUTED_VALUE"""),"カール３世")</f>
        <v>カール３世</v>
      </c>
      <c r="B237" s="10">
        <f>IFERROR(__xludf.DUMMYFUNCTION("""COMPUTED_VALUE"""),429.0)</f>
        <v>429</v>
      </c>
      <c r="C237" s="10">
        <f>IFERROR(__xludf.DUMMYFUNCTION("""COMPUTED_VALUE"""),5002.0)</f>
        <v>5002</v>
      </c>
      <c r="D237" s="5">
        <f>IFERROR(__xludf.DUMMYFUNCTION("""COMPUTED_VALUE"""),0.41198338071287993)</f>
        <v>0.4119833807</v>
      </c>
      <c r="E237" s="5">
        <f>IFERROR(__xludf.DUMMYFUNCTION("""COMPUTED_VALUE"""),0.1546031051825935)</f>
        <v>0.1546031052</v>
      </c>
      <c r="F237" s="5">
        <f>IFERROR(__xludf.DUMMYFUNCTION("""COMPUTED_VALUE"""),0.1998687951016838)</f>
        <v>0.1998687951</v>
      </c>
      <c r="G237" s="5">
        <f>IFERROR(__xludf.DUMMYFUNCTION("""COMPUTED_VALUE"""),0.15591515416575552)</f>
        <v>0.1559151542</v>
      </c>
      <c r="H237" s="5">
        <f>IFERROR(__xludf.DUMMYFUNCTION("""COMPUTED_VALUE"""),0.587527352297593)</f>
        <v>0.5875273523</v>
      </c>
      <c r="I237" s="11">
        <f>IFERROR(__xludf.DUMMYFUNCTION("""COMPUTED_VALUE"""),6192.450765864332)</f>
        <v>6192.450766</v>
      </c>
      <c r="J237" s="10">
        <f>IFERROR(__xludf.DUMMYFUNCTION("""COMPUTED_VALUE"""),5.0)</f>
        <v>5</v>
      </c>
      <c r="K237" s="5">
        <f>IFERROR(__xludf.DUMMYFUNCTION("""COMPUTED_VALUE"""),0.011655011655011656)</f>
        <v>0.01165501166</v>
      </c>
      <c r="L237" s="10">
        <f>IFERROR(__xludf.DUMMYFUNCTION("""COMPUTED_VALUE"""),429.0)</f>
        <v>429</v>
      </c>
      <c r="M237" s="5">
        <f>IFERROR(__xludf.DUMMYFUNCTION("""COMPUTED_VALUE"""),1.0)</f>
        <v>1</v>
      </c>
    </row>
    <row r="238">
      <c r="A238" s="10" t="str">
        <f>IFERROR(__xludf.DUMMYFUNCTION("""COMPUTED_VALUE"""),"ikeikei")</f>
        <v>ikeikei</v>
      </c>
      <c r="B238" s="10">
        <f>IFERROR(__xludf.DUMMYFUNCTION("""COMPUTED_VALUE"""),777.0)</f>
        <v>777</v>
      </c>
      <c r="C238" s="10">
        <f>IFERROR(__xludf.DUMMYFUNCTION("""COMPUTED_VALUE"""),9046.0)</f>
        <v>9046</v>
      </c>
      <c r="D238" s="5">
        <f>IFERROR(__xludf.DUMMYFUNCTION("""COMPUTED_VALUE"""),0.3416374410448664)</f>
        <v>0.341637441</v>
      </c>
      <c r="E238" s="5">
        <f>IFERROR(__xludf.DUMMYFUNCTION("""COMPUTED_VALUE"""),0.15455315032047406)</f>
        <v>0.1545531503</v>
      </c>
      <c r="F238" s="5">
        <f>IFERROR(__xludf.DUMMYFUNCTION("""COMPUTED_VALUE"""),0.21501995404522917)</f>
        <v>0.215019954</v>
      </c>
      <c r="G238" s="5">
        <f>IFERROR(__xludf.DUMMYFUNCTION("""COMPUTED_VALUE"""),0.17898173902527512)</f>
        <v>0.178981739</v>
      </c>
      <c r="H238" s="5">
        <f>IFERROR(__xludf.DUMMYFUNCTION("""COMPUTED_VALUE"""),0.5894263217097863)</f>
        <v>0.5894263217</v>
      </c>
      <c r="I238" s="11">
        <f>IFERROR(__xludf.DUMMYFUNCTION("""COMPUTED_VALUE"""),6043.363329583802)</f>
        <v>6043.36333</v>
      </c>
      <c r="J238" s="10">
        <f>IFERROR(__xludf.DUMMYFUNCTION("""COMPUTED_VALUE"""),2.0)</f>
        <v>2</v>
      </c>
      <c r="K238" s="5">
        <f>IFERROR(__xludf.DUMMYFUNCTION("""COMPUTED_VALUE"""),0.002574002574002574)</f>
        <v>0.002574002574</v>
      </c>
      <c r="L238" s="10">
        <f>IFERROR(__xludf.DUMMYFUNCTION("""COMPUTED_VALUE"""),777.0)</f>
        <v>777</v>
      </c>
      <c r="M238" s="5">
        <f>IFERROR(__xludf.DUMMYFUNCTION("""COMPUTED_VALUE"""),1.0)</f>
        <v>1</v>
      </c>
    </row>
    <row r="239">
      <c r="A239" s="10" t="str">
        <f>IFERROR(__xludf.DUMMYFUNCTION("""COMPUTED_VALUE"""),"Kurokaze")</f>
        <v>Kurokaze</v>
      </c>
      <c r="B239" s="10">
        <f>IFERROR(__xludf.DUMMYFUNCTION("""COMPUTED_VALUE"""),180.0)</f>
        <v>180</v>
      </c>
      <c r="C239" s="10">
        <f>IFERROR(__xludf.DUMMYFUNCTION("""COMPUTED_VALUE"""),2103.0)</f>
        <v>2103</v>
      </c>
      <c r="D239" s="5">
        <f>IFERROR(__xludf.DUMMYFUNCTION("""COMPUTED_VALUE"""),0.4092563702548102)</f>
        <v>0.4092563703</v>
      </c>
      <c r="E239" s="5">
        <f>IFERROR(__xludf.DUMMYFUNCTION("""COMPUTED_VALUE"""),0.1544461778471139)</f>
        <v>0.1544461778</v>
      </c>
      <c r="F239" s="5">
        <f>IFERROR(__xludf.DUMMYFUNCTION("""COMPUTED_VALUE"""),0.22204888195527822)</f>
        <v>0.222048882</v>
      </c>
      <c r="G239" s="5">
        <f>IFERROR(__xludf.DUMMYFUNCTION("""COMPUTED_VALUE"""),0.16120644825793032)</f>
        <v>0.1612064483</v>
      </c>
      <c r="H239" s="5">
        <f>IFERROR(__xludf.DUMMYFUNCTION("""COMPUTED_VALUE"""),0.6346604215456675)</f>
        <v>0.6346604215</v>
      </c>
      <c r="I239" s="11">
        <f>IFERROR(__xludf.DUMMYFUNCTION("""COMPUTED_VALUE"""),6016.627634660422)</f>
        <v>6016.627635</v>
      </c>
      <c r="J239" s="10">
        <f>IFERROR(__xludf.DUMMYFUNCTION("""COMPUTED_VALUE"""),1.0)</f>
        <v>1</v>
      </c>
      <c r="K239" s="5">
        <f>IFERROR(__xludf.DUMMYFUNCTION("""COMPUTED_VALUE"""),0.005555555555555556)</f>
        <v>0.005555555556</v>
      </c>
      <c r="L239" s="10">
        <f>IFERROR(__xludf.DUMMYFUNCTION("""COMPUTED_VALUE"""),180.0)</f>
        <v>180</v>
      </c>
      <c r="M239" s="5">
        <f>IFERROR(__xludf.DUMMYFUNCTION("""COMPUTED_VALUE"""),1.0)</f>
        <v>1</v>
      </c>
    </row>
    <row r="240">
      <c r="A240" s="10" t="str">
        <f>IFERROR(__xludf.DUMMYFUNCTION("""COMPUTED_VALUE"""),"hana500")</f>
        <v>hana500</v>
      </c>
      <c r="B240" s="10">
        <f>IFERROR(__xludf.DUMMYFUNCTION("""COMPUTED_VALUE"""),130.0)</f>
        <v>130</v>
      </c>
      <c r="C240" s="10">
        <f>IFERROR(__xludf.DUMMYFUNCTION("""COMPUTED_VALUE"""),1542.0)</f>
        <v>1542</v>
      </c>
      <c r="D240" s="5">
        <f>IFERROR(__xludf.DUMMYFUNCTION("""COMPUTED_VALUE"""),0.2719546742209632)</f>
        <v>0.2719546742</v>
      </c>
      <c r="E240" s="5">
        <f>IFERROR(__xludf.DUMMYFUNCTION("""COMPUTED_VALUE"""),0.15439093484419264)</f>
        <v>0.1543909348</v>
      </c>
      <c r="F240" s="5">
        <f>IFERROR(__xludf.DUMMYFUNCTION("""COMPUTED_VALUE"""),0.19830028328611898)</f>
        <v>0.1983002833</v>
      </c>
      <c r="G240" s="5">
        <f>IFERROR(__xludf.DUMMYFUNCTION("""COMPUTED_VALUE"""),0.20113314447592068)</f>
        <v>0.2011331445</v>
      </c>
      <c r="H240" s="5">
        <f>IFERROR(__xludf.DUMMYFUNCTION("""COMPUTED_VALUE"""),0.6178571428571429)</f>
        <v>0.6178571429</v>
      </c>
      <c r="I240" s="11">
        <f>IFERROR(__xludf.DUMMYFUNCTION("""COMPUTED_VALUE"""),6170.357142857143)</f>
        <v>6170.357143</v>
      </c>
      <c r="J240" s="10">
        <f>IFERROR(__xludf.DUMMYFUNCTION("""COMPUTED_VALUE"""),0.0)</f>
        <v>0</v>
      </c>
      <c r="K240" s="5">
        <f>IFERROR(__xludf.DUMMYFUNCTION("""COMPUTED_VALUE"""),0.0)</f>
        <v>0</v>
      </c>
      <c r="L240" s="10">
        <f>IFERROR(__xludf.DUMMYFUNCTION("""COMPUTED_VALUE"""),0.0)</f>
        <v>0</v>
      </c>
      <c r="M240" s="5">
        <f>IFERROR(__xludf.DUMMYFUNCTION("""COMPUTED_VALUE"""),0.0)</f>
        <v>0</v>
      </c>
    </row>
    <row r="241">
      <c r="A241" s="10" t="str">
        <f>IFERROR(__xludf.DUMMYFUNCTION("""COMPUTED_VALUE"""),"hyakusyo")</f>
        <v>hyakusyo</v>
      </c>
      <c r="B241" s="10">
        <f>IFERROR(__xludf.DUMMYFUNCTION("""COMPUTED_VALUE"""),146.0)</f>
        <v>146</v>
      </c>
      <c r="C241" s="10">
        <f>IFERROR(__xludf.DUMMYFUNCTION("""COMPUTED_VALUE"""),1707.0)</f>
        <v>1707</v>
      </c>
      <c r="D241" s="5">
        <f>IFERROR(__xludf.DUMMYFUNCTION("""COMPUTED_VALUE"""),0.35490070467648943)</f>
        <v>0.3549007047</v>
      </c>
      <c r="E241" s="5">
        <f>IFERROR(__xludf.DUMMYFUNCTION("""COMPUTED_VALUE"""),0.15438821268417682)</f>
        <v>0.1543882127</v>
      </c>
      <c r="F241" s="5">
        <f>IFERROR(__xludf.DUMMYFUNCTION("""COMPUTED_VALUE"""),0.21268417680973734)</f>
        <v>0.2126841768</v>
      </c>
      <c r="G241" s="5">
        <f>IFERROR(__xludf.DUMMYFUNCTION("""COMPUTED_VALUE"""),0.1755285073670724)</f>
        <v>0.1755285074</v>
      </c>
      <c r="H241" s="5">
        <f>IFERROR(__xludf.DUMMYFUNCTION("""COMPUTED_VALUE"""),0.641566265060241)</f>
        <v>0.6415662651</v>
      </c>
      <c r="I241" s="11">
        <f>IFERROR(__xludf.DUMMYFUNCTION("""COMPUTED_VALUE"""),5936.144578313253)</f>
        <v>5936.144578</v>
      </c>
      <c r="J241" s="10">
        <f>IFERROR(__xludf.DUMMYFUNCTION("""COMPUTED_VALUE"""),0.0)</f>
        <v>0</v>
      </c>
      <c r="K241" s="5">
        <f>IFERROR(__xludf.DUMMYFUNCTION("""COMPUTED_VALUE"""),0.0)</f>
        <v>0</v>
      </c>
      <c r="L241" s="10">
        <f>IFERROR(__xludf.DUMMYFUNCTION("""COMPUTED_VALUE"""),146.0)</f>
        <v>146</v>
      </c>
      <c r="M241" s="5">
        <f>IFERROR(__xludf.DUMMYFUNCTION("""COMPUTED_VALUE"""),1.0)</f>
        <v>1</v>
      </c>
    </row>
    <row r="242">
      <c r="A242" s="10" t="str">
        <f>IFERROR(__xludf.DUMMYFUNCTION("""COMPUTED_VALUE"""),"乱歩の影")</f>
        <v>乱歩の影</v>
      </c>
      <c r="B242" s="10">
        <f>IFERROR(__xludf.DUMMYFUNCTION("""COMPUTED_VALUE"""),119.0)</f>
        <v>119</v>
      </c>
      <c r="C242" s="10">
        <f>IFERROR(__xludf.DUMMYFUNCTION("""COMPUTED_VALUE"""),1415.0)</f>
        <v>1415</v>
      </c>
      <c r="D242" s="5">
        <f>IFERROR(__xludf.DUMMYFUNCTION("""COMPUTED_VALUE"""),0.3148148148148148)</f>
        <v>0.3148148148</v>
      </c>
      <c r="E242" s="5">
        <f>IFERROR(__xludf.DUMMYFUNCTION("""COMPUTED_VALUE"""),0.15432098765432098)</f>
        <v>0.1543209877</v>
      </c>
      <c r="F242" s="5">
        <f>IFERROR(__xludf.DUMMYFUNCTION("""COMPUTED_VALUE"""),0.19367283950617284)</f>
        <v>0.1936728395</v>
      </c>
      <c r="G242" s="5">
        <f>IFERROR(__xludf.DUMMYFUNCTION("""COMPUTED_VALUE"""),0.16898148148148148)</f>
        <v>0.1689814815</v>
      </c>
      <c r="H242" s="5">
        <f>IFERROR(__xludf.DUMMYFUNCTION("""COMPUTED_VALUE"""),0.6135458167330677)</f>
        <v>0.6135458167</v>
      </c>
      <c r="I242" s="11">
        <f>IFERROR(__xludf.DUMMYFUNCTION("""COMPUTED_VALUE"""),6051.394422310757)</f>
        <v>6051.394422</v>
      </c>
      <c r="J242" s="10">
        <f>IFERROR(__xludf.DUMMYFUNCTION("""COMPUTED_VALUE"""),1.0)</f>
        <v>1</v>
      </c>
      <c r="K242" s="5">
        <f>IFERROR(__xludf.DUMMYFUNCTION("""COMPUTED_VALUE"""),0.008403361344537815)</f>
        <v>0.008403361345</v>
      </c>
      <c r="L242" s="10">
        <f>IFERROR(__xludf.DUMMYFUNCTION("""COMPUTED_VALUE"""),119.0)</f>
        <v>119</v>
      </c>
      <c r="M242" s="5">
        <f>IFERROR(__xludf.DUMMYFUNCTION("""COMPUTED_VALUE"""),1.0)</f>
        <v>1</v>
      </c>
    </row>
    <row r="243">
      <c r="A243" s="10" t="str">
        <f>IFERROR(__xludf.DUMMYFUNCTION("""COMPUTED_VALUE"""),"天才てるき様")</f>
        <v>天才てるき様</v>
      </c>
      <c r="B243" s="10">
        <f>IFERROR(__xludf.DUMMYFUNCTION("""COMPUTED_VALUE"""),347.0)</f>
        <v>347</v>
      </c>
      <c r="C243" s="10">
        <f>IFERROR(__xludf.DUMMYFUNCTION("""COMPUTED_VALUE"""),3976.0)</f>
        <v>3976</v>
      </c>
      <c r="D243" s="5">
        <f>IFERROR(__xludf.DUMMYFUNCTION("""COMPUTED_VALUE"""),0.27087351887572336)</f>
        <v>0.2708735189</v>
      </c>
      <c r="E243" s="5">
        <f>IFERROR(__xludf.DUMMYFUNCTION("""COMPUTED_VALUE"""),0.1543124827776247)</f>
        <v>0.1543124828</v>
      </c>
      <c r="F243" s="5">
        <f>IFERROR(__xludf.DUMMYFUNCTION("""COMPUTED_VALUE"""),0.20914852576467347)</f>
        <v>0.2091485258</v>
      </c>
      <c r="G243" s="5">
        <f>IFERROR(__xludf.DUMMYFUNCTION("""COMPUTED_VALUE"""),0.19233948746211077)</f>
        <v>0.1923394875</v>
      </c>
      <c r="H243" s="5">
        <f>IFERROR(__xludf.DUMMYFUNCTION("""COMPUTED_VALUE"""),0.5928853754940712)</f>
        <v>0.5928853755</v>
      </c>
      <c r="I243" s="11">
        <f>IFERROR(__xludf.DUMMYFUNCTION("""COMPUTED_VALUE"""),6168.774703557312)</f>
        <v>6168.774704</v>
      </c>
      <c r="J243" s="10">
        <f>IFERROR(__xludf.DUMMYFUNCTION("""COMPUTED_VALUE"""),1.0)</f>
        <v>1</v>
      </c>
      <c r="K243" s="5">
        <f>IFERROR(__xludf.DUMMYFUNCTION("""COMPUTED_VALUE"""),0.002881844380403458)</f>
        <v>0.00288184438</v>
      </c>
      <c r="L243" s="10">
        <f>IFERROR(__xludf.DUMMYFUNCTION("""COMPUTED_VALUE"""),347.0)</f>
        <v>347</v>
      </c>
      <c r="M243" s="5">
        <f>IFERROR(__xludf.DUMMYFUNCTION("""COMPUTED_VALUE"""),1.0)</f>
        <v>1</v>
      </c>
    </row>
    <row r="244">
      <c r="A244" s="10" t="str">
        <f>IFERROR(__xludf.DUMMYFUNCTION("""COMPUTED_VALUE"""),"三月君")</f>
        <v>三月君</v>
      </c>
      <c r="B244" s="10">
        <f>IFERROR(__xludf.DUMMYFUNCTION("""COMPUTED_VALUE"""),622.0)</f>
        <v>622</v>
      </c>
      <c r="C244" s="10">
        <f>IFERROR(__xludf.DUMMYFUNCTION("""COMPUTED_VALUE"""),7214.0)</f>
        <v>7214</v>
      </c>
      <c r="D244" s="5">
        <f>IFERROR(__xludf.DUMMYFUNCTION("""COMPUTED_VALUE"""),0.4162621359223301)</f>
        <v>0.4162621359</v>
      </c>
      <c r="E244" s="5">
        <f>IFERROR(__xludf.DUMMYFUNCTION("""COMPUTED_VALUE"""),0.15427791262135923)</f>
        <v>0.1542779126</v>
      </c>
      <c r="F244" s="5">
        <f>IFERROR(__xludf.DUMMYFUNCTION("""COMPUTED_VALUE"""),0.22375606796116504)</f>
        <v>0.223756068</v>
      </c>
      <c r="G244" s="5">
        <f>IFERROR(__xludf.DUMMYFUNCTION("""COMPUTED_VALUE"""),0.1664138349514563)</f>
        <v>0.166413835</v>
      </c>
      <c r="H244" s="5">
        <f>IFERROR(__xludf.DUMMYFUNCTION("""COMPUTED_VALUE"""),0.6142372881355932)</f>
        <v>0.6142372881</v>
      </c>
      <c r="I244" s="11">
        <f>IFERROR(__xludf.DUMMYFUNCTION("""COMPUTED_VALUE"""),5553.627118644068)</f>
        <v>5553.627119</v>
      </c>
      <c r="J244" s="10">
        <f>IFERROR(__xludf.DUMMYFUNCTION("""COMPUTED_VALUE"""),3.0)</f>
        <v>3</v>
      </c>
      <c r="K244" s="5">
        <f>IFERROR(__xludf.DUMMYFUNCTION("""COMPUTED_VALUE"""),0.00482315112540193)</f>
        <v>0.004823151125</v>
      </c>
      <c r="L244" s="10">
        <f>IFERROR(__xludf.DUMMYFUNCTION("""COMPUTED_VALUE"""),601.0)</f>
        <v>601</v>
      </c>
      <c r="M244" s="5">
        <f>IFERROR(__xludf.DUMMYFUNCTION("""COMPUTED_VALUE"""),0.9662379421221865)</f>
        <v>0.9662379421</v>
      </c>
    </row>
    <row r="245">
      <c r="A245" s="10" t="str">
        <f>IFERROR(__xludf.DUMMYFUNCTION("""COMPUTED_VALUE"""),"大智")</f>
        <v>大智</v>
      </c>
      <c r="B245" s="10">
        <f>IFERROR(__xludf.DUMMYFUNCTION("""COMPUTED_VALUE"""),549.0)</f>
        <v>549</v>
      </c>
      <c r="C245" s="10">
        <f>IFERROR(__xludf.DUMMYFUNCTION("""COMPUTED_VALUE"""),6275.0)</f>
        <v>6275</v>
      </c>
      <c r="D245" s="5">
        <f>IFERROR(__xludf.DUMMYFUNCTION("""COMPUTED_VALUE"""),0.35399930143206426)</f>
        <v>0.3539993014</v>
      </c>
      <c r="E245" s="5">
        <f>IFERROR(__xludf.DUMMYFUNCTION("""COMPUTED_VALUE"""),0.15420887181278378)</f>
        <v>0.1542088718</v>
      </c>
      <c r="F245" s="5">
        <f>IFERROR(__xludf.DUMMYFUNCTION("""COMPUTED_VALUE"""),0.22336709745022704)</f>
        <v>0.2233670975</v>
      </c>
      <c r="G245" s="5">
        <f>IFERROR(__xludf.DUMMYFUNCTION("""COMPUTED_VALUE"""),0.18564442892071253)</f>
        <v>0.1856444289</v>
      </c>
      <c r="H245" s="5">
        <f>IFERROR(__xludf.DUMMYFUNCTION("""COMPUTED_VALUE"""),0.5949960906958561)</f>
        <v>0.5949960907</v>
      </c>
      <c r="I245" s="11">
        <f>IFERROR(__xludf.DUMMYFUNCTION("""COMPUTED_VALUE"""),5836.512900703675)</f>
        <v>5836.512901</v>
      </c>
      <c r="J245" s="10">
        <f>IFERROR(__xludf.DUMMYFUNCTION("""COMPUTED_VALUE"""),1.0)</f>
        <v>1</v>
      </c>
      <c r="K245" s="5">
        <f>IFERROR(__xludf.DUMMYFUNCTION("""COMPUTED_VALUE"""),0.0018214936247723133)</f>
        <v>0.001821493625</v>
      </c>
      <c r="L245" s="10">
        <f>IFERROR(__xludf.DUMMYFUNCTION("""COMPUTED_VALUE"""),549.0)</f>
        <v>549</v>
      </c>
      <c r="M245" s="5">
        <f>IFERROR(__xludf.DUMMYFUNCTION("""COMPUTED_VALUE"""),1.0)</f>
        <v>1</v>
      </c>
    </row>
    <row r="246">
      <c r="A246" s="10" t="str">
        <f>IFERROR(__xludf.DUMMYFUNCTION("""COMPUTED_VALUE"""),"誘導リアクタンス")</f>
        <v>誘導リアクタンス</v>
      </c>
      <c r="B246" s="10">
        <f>IFERROR(__xludf.DUMMYFUNCTION("""COMPUTED_VALUE"""),102.0)</f>
        <v>102</v>
      </c>
      <c r="C246" s="10">
        <f>IFERROR(__xludf.DUMMYFUNCTION("""COMPUTED_VALUE"""),1198.0)</f>
        <v>1198</v>
      </c>
      <c r="D246" s="5">
        <f>IFERROR(__xludf.DUMMYFUNCTION("""COMPUTED_VALUE"""),0.2728102189781022)</f>
        <v>0.272810219</v>
      </c>
      <c r="E246" s="5">
        <f>IFERROR(__xludf.DUMMYFUNCTION("""COMPUTED_VALUE"""),0.1541970802919708)</f>
        <v>0.1541970803</v>
      </c>
      <c r="F246" s="5">
        <f>IFERROR(__xludf.DUMMYFUNCTION("""COMPUTED_VALUE"""),0.21624087591240876)</f>
        <v>0.2162408759</v>
      </c>
      <c r="G246" s="5">
        <f>IFERROR(__xludf.DUMMYFUNCTION("""COMPUTED_VALUE"""),0.23905109489051096)</f>
        <v>0.2390510949</v>
      </c>
      <c r="H246" s="5">
        <f>IFERROR(__xludf.DUMMYFUNCTION("""COMPUTED_VALUE"""),0.6413502109704642)</f>
        <v>0.641350211</v>
      </c>
      <c r="I246" s="11">
        <f>IFERROR(__xludf.DUMMYFUNCTION("""COMPUTED_VALUE"""),6343.459915611815)</f>
        <v>6343.459916</v>
      </c>
      <c r="J246" s="10">
        <f>IFERROR(__xludf.DUMMYFUNCTION("""COMPUTED_VALUE"""),0.0)</f>
        <v>0</v>
      </c>
      <c r="K246" s="5">
        <f>IFERROR(__xludf.DUMMYFUNCTION("""COMPUTED_VALUE"""),0.0)</f>
        <v>0</v>
      </c>
      <c r="L246" s="10">
        <f>IFERROR(__xludf.DUMMYFUNCTION("""COMPUTED_VALUE"""),102.0)</f>
        <v>102</v>
      </c>
      <c r="M246" s="5">
        <f>IFERROR(__xludf.DUMMYFUNCTION("""COMPUTED_VALUE"""),1.0)</f>
        <v>1</v>
      </c>
    </row>
    <row r="247">
      <c r="A247" s="10" t="str">
        <f>IFERROR(__xludf.DUMMYFUNCTION("""COMPUTED_VALUE"""),"shino")</f>
        <v>shino</v>
      </c>
      <c r="B247" s="10">
        <f>IFERROR(__xludf.DUMMYFUNCTION("""COMPUTED_VALUE"""),151.0)</f>
        <v>151</v>
      </c>
      <c r="C247" s="10">
        <f>IFERROR(__xludf.DUMMYFUNCTION("""COMPUTED_VALUE"""),1715.0)</f>
        <v>1715</v>
      </c>
      <c r="D247" s="5">
        <f>IFERROR(__xludf.DUMMYFUNCTION("""COMPUTED_VALUE"""),0.2915601023017903)</f>
        <v>0.2915601023</v>
      </c>
      <c r="E247" s="5">
        <f>IFERROR(__xludf.DUMMYFUNCTION("""COMPUTED_VALUE"""),0.15409207161125318)</f>
        <v>0.1540920716</v>
      </c>
      <c r="F247" s="5">
        <f>IFERROR(__xludf.DUMMYFUNCTION("""COMPUTED_VALUE"""),0.21994884910485935)</f>
        <v>0.2199488491</v>
      </c>
      <c r="G247" s="5">
        <f>IFERROR(__xludf.DUMMYFUNCTION("""COMPUTED_VALUE"""),0.2071611253196931)</f>
        <v>0.2071611253</v>
      </c>
      <c r="H247" s="5">
        <f>IFERROR(__xludf.DUMMYFUNCTION("""COMPUTED_VALUE"""),0.5813953488372093)</f>
        <v>0.5813953488</v>
      </c>
      <c r="I247" s="11">
        <f>IFERROR(__xludf.DUMMYFUNCTION("""COMPUTED_VALUE"""),5742.441860465116)</f>
        <v>5742.44186</v>
      </c>
      <c r="J247" s="10">
        <f>IFERROR(__xludf.DUMMYFUNCTION("""COMPUTED_VALUE"""),0.0)</f>
        <v>0</v>
      </c>
      <c r="K247" s="5">
        <f>IFERROR(__xludf.DUMMYFUNCTION("""COMPUTED_VALUE"""),0.0)</f>
        <v>0</v>
      </c>
      <c r="L247" s="10">
        <f>IFERROR(__xludf.DUMMYFUNCTION("""COMPUTED_VALUE"""),151.0)</f>
        <v>151</v>
      </c>
      <c r="M247" s="5">
        <f>IFERROR(__xludf.DUMMYFUNCTION("""COMPUTED_VALUE"""),1.0)</f>
        <v>1</v>
      </c>
    </row>
    <row r="248">
      <c r="A248" s="10" t="str">
        <f>IFERROR(__xludf.DUMMYFUNCTION("""COMPUTED_VALUE"""),"p-chan")</f>
        <v>p-chan</v>
      </c>
      <c r="B248" s="10">
        <f>IFERROR(__xludf.DUMMYFUNCTION("""COMPUTED_VALUE"""),315.0)</f>
        <v>315</v>
      </c>
      <c r="C248" s="10">
        <f>IFERROR(__xludf.DUMMYFUNCTION("""COMPUTED_VALUE"""),3600.0)</f>
        <v>3600</v>
      </c>
      <c r="D248" s="5">
        <f>IFERROR(__xludf.DUMMYFUNCTION("""COMPUTED_VALUE"""),0.32907153729071537)</f>
        <v>0.3290715373</v>
      </c>
      <c r="E248" s="5">
        <f>IFERROR(__xludf.DUMMYFUNCTION("""COMPUTED_VALUE"""),0.15403348554033486)</f>
        <v>0.1540334855</v>
      </c>
      <c r="F248" s="5">
        <f>IFERROR(__xludf.DUMMYFUNCTION("""COMPUTED_VALUE"""),0.21552511415525114)</f>
        <v>0.2155251142</v>
      </c>
      <c r="G248" s="5">
        <f>IFERROR(__xludf.DUMMYFUNCTION("""COMPUTED_VALUE"""),0.15951293759512938)</f>
        <v>0.1595129376</v>
      </c>
      <c r="H248" s="5">
        <f>IFERROR(__xludf.DUMMYFUNCTION("""COMPUTED_VALUE"""),0.6087570621468926)</f>
        <v>0.6087570621</v>
      </c>
      <c r="I248" s="11">
        <f>IFERROR(__xludf.DUMMYFUNCTION("""COMPUTED_VALUE"""),5855.225988700565)</f>
        <v>5855.225989</v>
      </c>
      <c r="J248" s="10">
        <f>IFERROR(__xludf.DUMMYFUNCTION("""COMPUTED_VALUE"""),2.0)</f>
        <v>2</v>
      </c>
      <c r="K248" s="5">
        <f>IFERROR(__xludf.DUMMYFUNCTION("""COMPUTED_VALUE"""),0.006349206349206349)</f>
        <v>0.006349206349</v>
      </c>
      <c r="L248" s="10">
        <f>IFERROR(__xludf.DUMMYFUNCTION("""COMPUTED_VALUE"""),315.0)</f>
        <v>315</v>
      </c>
      <c r="M248" s="5">
        <f>IFERROR(__xludf.DUMMYFUNCTION("""COMPUTED_VALUE"""),1.0)</f>
        <v>1</v>
      </c>
    </row>
    <row r="249">
      <c r="A249" s="10" t="str">
        <f>IFERROR(__xludf.DUMMYFUNCTION("""COMPUTED_VALUE"""),"龍星丸")</f>
        <v>龍星丸</v>
      </c>
      <c r="B249" s="10">
        <f>IFERROR(__xludf.DUMMYFUNCTION("""COMPUTED_VALUE"""),103.0)</f>
        <v>103</v>
      </c>
      <c r="C249" s="10">
        <f>IFERROR(__xludf.DUMMYFUNCTION("""COMPUTED_VALUE"""),1207.0)</f>
        <v>1207</v>
      </c>
      <c r="D249" s="5">
        <f>IFERROR(__xludf.DUMMYFUNCTION("""COMPUTED_VALUE"""),0.3695652173913043)</f>
        <v>0.3695652174</v>
      </c>
      <c r="E249" s="5">
        <f>IFERROR(__xludf.DUMMYFUNCTION("""COMPUTED_VALUE"""),0.1539855072463768)</f>
        <v>0.1539855072</v>
      </c>
      <c r="F249" s="5">
        <f>IFERROR(__xludf.DUMMYFUNCTION("""COMPUTED_VALUE"""),0.22282608695652173)</f>
        <v>0.222826087</v>
      </c>
      <c r="G249" s="5">
        <f>IFERROR(__xludf.DUMMYFUNCTION("""COMPUTED_VALUE"""),0.1956521739130435)</f>
        <v>0.1956521739</v>
      </c>
      <c r="H249" s="5">
        <f>IFERROR(__xludf.DUMMYFUNCTION("""COMPUTED_VALUE"""),0.6097560975609756)</f>
        <v>0.6097560976</v>
      </c>
      <c r="I249" s="11">
        <f>IFERROR(__xludf.DUMMYFUNCTION("""COMPUTED_VALUE"""),5508.536585365854)</f>
        <v>5508.536585</v>
      </c>
      <c r="J249" s="10">
        <f>IFERROR(__xludf.DUMMYFUNCTION("""COMPUTED_VALUE"""),0.0)</f>
        <v>0</v>
      </c>
      <c r="K249" s="5">
        <f>IFERROR(__xludf.DUMMYFUNCTION("""COMPUTED_VALUE"""),0.0)</f>
        <v>0</v>
      </c>
      <c r="L249" s="10">
        <f>IFERROR(__xludf.DUMMYFUNCTION("""COMPUTED_VALUE"""),103.0)</f>
        <v>103</v>
      </c>
      <c r="M249" s="5">
        <f>IFERROR(__xludf.DUMMYFUNCTION("""COMPUTED_VALUE"""),1.0)</f>
        <v>1</v>
      </c>
    </row>
    <row r="250">
      <c r="A250" s="10" t="str">
        <f>IFERROR(__xludf.DUMMYFUNCTION("""COMPUTED_VALUE"""),"かっぱー")</f>
        <v>かっぱー</v>
      </c>
      <c r="B250" s="10">
        <f>IFERROR(__xludf.DUMMYFUNCTION("""COMPUTED_VALUE"""),348.0)</f>
        <v>348</v>
      </c>
      <c r="C250" s="10">
        <f>IFERROR(__xludf.DUMMYFUNCTION("""COMPUTED_VALUE"""),4076.0)</f>
        <v>4076</v>
      </c>
      <c r="D250" s="5">
        <f>IFERROR(__xludf.DUMMYFUNCTION("""COMPUTED_VALUE"""),0.4012875536480687)</f>
        <v>0.4012875536</v>
      </c>
      <c r="E250" s="5">
        <f>IFERROR(__xludf.DUMMYFUNCTION("""COMPUTED_VALUE"""),0.15396995708154507)</f>
        <v>0.1539699571</v>
      </c>
      <c r="F250" s="5">
        <f>IFERROR(__xludf.DUMMYFUNCTION("""COMPUTED_VALUE"""),0.1990343347639485)</f>
        <v>0.1990343348</v>
      </c>
      <c r="G250" s="5">
        <f>IFERROR(__xludf.DUMMYFUNCTION("""COMPUTED_VALUE"""),0.15075107296137338)</f>
        <v>0.150751073</v>
      </c>
      <c r="H250" s="5">
        <f>IFERROR(__xludf.DUMMYFUNCTION("""COMPUTED_VALUE"""),0.6172506738544474)</f>
        <v>0.6172506739</v>
      </c>
      <c r="I250" s="11">
        <f>IFERROR(__xludf.DUMMYFUNCTION("""COMPUTED_VALUE"""),5637.735849056604)</f>
        <v>5637.735849</v>
      </c>
      <c r="J250" s="10">
        <f>IFERROR(__xludf.DUMMYFUNCTION("""COMPUTED_VALUE"""),1.0)</f>
        <v>1</v>
      </c>
      <c r="K250" s="5">
        <f>IFERROR(__xludf.DUMMYFUNCTION("""COMPUTED_VALUE"""),0.0028735632183908046)</f>
        <v>0.002873563218</v>
      </c>
      <c r="L250" s="10">
        <f>IFERROR(__xludf.DUMMYFUNCTION("""COMPUTED_VALUE"""),348.0)</f>
        <v>348</v>
      </c>
      <c r="M250" s="5">
        <f>IFERROR(__xludf.DUMMYFUNCTION("""COMPUTED_VALUE"""),1.0)</f>
        <v>1</v>
      </c>
    </row>
    <row r="251">
      <c r="A251" s="10" t="str">
        <f>IFERROR(__xludf.DUMMYFUNCTION("""COMPUTED_VALUE"""),"crownz")</f>
        <v>crownz</v>
      </c>
      <c r="B251" s="10">
        <f>IFERROR(__xludf.DUMMYFUNCTION("""COMPUTED_VALUE"""),154.0)</f>
        <v>154</v>
      </c>
      <c r="C251" s="10">
        <f>IFERROR(__xludf.DUMMYFUNCTION("""COMPUTED_VALUE"""),1804.0)</f>
        <v>1804</v>
      </c>
      <c r="D251" s="5">
        <f>IFERROR(__xludf.DUMMYFUNCTION("""COMPUTED_VALUE"""),0.28363636363636363)</f>
        <v>0.2836363636</v>
      </c>
      <c r="E251" s="5">
        <f>IFERROR(__xludf.DUMMYFUNCTION("""COMPUTED_VALUE"""),0.15393939393939393)</f>
        <v>0.1539393939</v>
      </c>
      <c r="F251" s="5">
        <f>IFERROR(__xludf.DUMMYFUNCTION("""COMPUTED_VALUE"""),0.19333333333333333)</f>
        <v>0.1933333333</v>
      </c>
      <c r="G251" s="5">
        <f>IFERROR(__xludf.DUMMYFUNCTION("""COMPUTED_VALUE"""),0.11636363636363636)</f>
        <v>0.1163636364</v>
      </c>
      <c r="H251" s="5">
        <f>IFERROR(__xludf.DUMMYFUNCTION("""COMPUTED_VALUE"""),0.5862068965517241)</f>
        <v>0.5862068966</v>
      </c>
      <c r="I251" s="11">
        <f>IFERROR(__xludf.DUMMYFUNCTION("""COMPUTED_VALUE"""),5996.238244514107)</f>
        <v>5996.238245</v>
      </c>
      <c r="J251" s="10">
        <f>IFERROR(__xludf.DUMMYFUNCTION("""COMPUTED_VALUE"""),0.0)</f>
        <v>0</v>
      </c>
      <c r="K251" s="5">
        <f>IFERROR(__xludf.DUMMYFUNCTION("""COMPUTED_VALUE"""),0.0)</f>
        <v>0</v>
      </c>
      <c r="L251" s="10">
        <f>IFERROR(__xludf.DUMMYFUNCTION("""COMPUTED_VALUE"""),154.0)</f>
        <v>154</v>
      </c>
      <c r="M251" s="5">
        <f>IFERROR(__xludf.DUMMYFUNCTION("""COMPUTED_VALUE"""),1.0)</f>
        <v>1</v>
      </c>
    </row>
    <row r="252">
      <c r="A252" s="10" t="str">
        <f>IFERROR(__xludf.DUMMYFUNCTION("""COMPUTED_VALUE"""),"gyroxas")</f>
        <v>gyroxas</v>
      </c>
      <c r="B252" s="10">
        <f>IFERROR(__xludf.DUMMYFUNCTION("""COMPUTED_VALUE"""),378.0)</f>
        <v>378</v>
      </c>
      <c r="C252" s="10">
        <f>IFERROR(__xludf.DUMMYFUNCTION("""COMPUTED_VALUE"""),4439.0)</f>
        <v>4439</v>
      </c>
      <c r="D252" s="5">
        <f>IFERROR(__xludf.DUMMYFUNCTION("""COMPUTED_VALUE"""),0.40334892883526224)</f>
        <v>0.4033489288</v>
      </c>
      <c r="E252" s="5">
        <f>IFERROR(__xludf.DUMMYFUNCTION("""COMPUTED_VALUE"""),0.1539029795616843)</f>
        <v>0.1539029796</v>
      </c>
      <c r="F252" s="5">
        <f>IFERROR(__xludf.DUMMYFUNCTION("""COMPUTED_VALUE"""),0.22359024870721497)</f>
        <v>0.2235902487</v>
      </c>
      <c r="G252" s="5">
        <f>IFERROR(__xludf.DUMMYFUNCTION("""COMPUTED_VALUE"""),0.14085200689485347)</f>
        <v>0.1408520069</v>
      </c>
      <c r="H252" s="5">
        <f>IFERROR(__xludf.DUMMYFUNCTION("""COMPUTED_VALUE"""),0.6288546255506607)</f>
        <v>0.6288546256</v>
      </c>
      <c r="I252" s="11">
        <f>IFERROR(__xludf.DUMMYFUNCTION("""COMPUTED_VALUE"""),5296.806167400881)</f>
        <v>5296.806167</v>
      </c>
      <c r="J252" s="10">
        <f>IFERROR(__xludf.DUMMYFUNCTION("""COMPUTED_VALUE"""),0.0)</f>
        <v>0</v>
      </c>
      <c r="K252" s="5">
        <f>IFERROR(__xludf.DUMMYFUNCTION("""COMPUTED_VALUE"""),0.0)</f>
        <v>0</v>
      </c>
      <c r="L252" s="10">
        <f>IFERROR(__xludf.DUMMYFUNCTION("""COMPUTED_VALUE"""),322.0)</f>
        <v>322</v>
      </c>
      <c r="M252" s="5">
        <f>IFERROR(__xludf.DUMMYFUNCTION("""COMPUTED_VALUE"""),0.8518518518518519)</f>
        <v>0.8518518519</v>
      </c>
    </row>
    <row r="253">
      <c r="A253" s="10" t="str">
        <f>IFERROR(__xludf.DUMMYFUNCTION("""COMPUTED_VALUE"""),"風の民j")</f>
        <v>風の民j</v>
      </c>
      <c r="B253" s="10">
        <f>IFERROR(__xludf.DUMMYFUNCTION("""COMPUTED_VALUE"""),127.0)</f>
        <v>127</v>
      </c>
      <c r="C253" s="10">
        <f>IFERROR(__xludf.DUMMYFUNCTION("""COMPUTED_VALUE"""),1498.0)</f>
        <v>1498</v>
      </c>
      <c r="D253" s="5">
        <f>IFERROR(__xludf.DUMMYFUNCTION("""COMPUTED_VALUE"""),0.32093362509117435)</f>
        <v>0.3209336251</v>
      </c>
      <c r="E253" s="5">
        <f>IFERROR(__xludf.DUMMYFUNCTION("""COMPUTED_VALUE"""),0.1539022611232677)</f>
        <v>0.1539022611</v>
      </c>
      <c r="F253" s="5">
        <f>IFERROR(__xludf.DUMMYFUNCTION("""COMPUTED_VALUE"""),0.20058351568198396)</f>
        <v>0.2005835157</v>
      </c>
      <c r="G253" s="5">
        <f>IFERROR(__xludf.DUMMYFUNCTION("""COMPUTED_VALUE"""),0.1925601750547046)</f>
        <v>0.1925601751</v>
      </c>
      <c r="H253" s="5">
        <f>IFERROR(__xludf.DUMMYFUNCTION("""COMPUTED_VALUE"""),0.6218181818181818)</f>
        <v>0.6218181818</v>
      </c>
      <c r="I253" s="11">
        <f>IFERROR(__xludf.DUMMYFUNCTION("""COMPUTED_VALUE"""),5653.090909090909)</f>
        <v>5653.090909</v>
      </c>
      <c r="J253" s="10">
        <f>IFERROR(__xludf.DUMMYFUNCTION("""COMPUTED_VALUE"""),0.0)</f>
        <v>0</v>
      </c>
      <c r="K253" s="5">
        <f>IFERROR(__xludf.DUMMYFUNCTION("""COMPUTED_VALUE"""),0.0)</f>
        <v>0</v>
      </c>
      <c r="L253" s="10">
        <f>IFERROR(__xludf.DUMMYFUNCTION("""COMPUTED_VALUE"""),24.0)</f>
        <v>24</v>
      </c>
      <c r="M253" s="5">
        <f>IFERROR(__xludf.DUMMYFUNCTION("""COMPUTED_VALUE"""),0.1889763779527559)</f>
        <v>0.188976378</v>
      </c>
    </row>
    <row r="254">
      <c r="A254" s="10" t="str">
        <f>IFERROR(__xludf.DUMMYFUNCTION("""COMPUTED_VALUE"""),"VenusSay")</f>
        <v>VenusSay</v>
      </c>
      <c r="B254" s="10">
        <f>IFERROR(__xludf.DUMMYFUNCTION("""COMPUTED_VALUE"""),251.0)</f>
        <v>251</v>
      </c>
      <c r="C254" s="10">
        <f>IFERROR(__xludf.DUMMYFUNCTION("""COMPUTED_VALUE"""),2948.0)</f>
        <v>2948</v>
      </c>
      <c r="D254" s="5">
        <f>IFERROR(__xludf.DUMMYFUNCTION("""COMPUTED_VALUE"""),0.3967371153133111)</f>
        <v>0.3967371153</v>
      </c>
      <c r="E254" s="5">
        <f>IFERROR(__xludf.DUMMYFUNCTION("""COMPUTED_VALUE"""),0.1538746755654431)</f>
        <v>0.1538746756</v>
      </c>
      <c r="F254" s="5">
        <f>IFERROR(__xludf.DUMMYFUNCTION("""COMPUTED_VALUE"""),0.2443455691509084)</f>
        <v>0.2443455692</v>
      </c>
      <c r="G254" s="5">
        <f>IFERROR(__xludf.DUMMYFUNCTION("""COMPUTED_VALUE"""),0.18835743418613274)</f>
        <v>0.1883574342</v>
      </c>
      <c r="H254" s="5">
        <f>IFERROR(__xludf.DUMMYFUNCTION("""COMPUTED_VALUE"""),0.5781487101669196)</f>
        <v>0.5781487102</v>
      </c>
      <c r="I254" s="11">
        <f>IFERROR(__xludf.DUMMYFUNCTION("""COMPUTED_VALUE"""),5281.33535660091)</f>
        <v>5281.335357</v>
      </c>
      <c r="J254" s="10">
        <f>IFERROR(__xludf.DUMMYFUNCTION("""COMPUTED_VALUE"""),0.0)</f>
        <v>0</v>
      </c>
      <c r="K254" s="5">
        <f>IFERROR(__xludf.DUMMYFUNCTION("""COMPUTED_VALUE"""),0.0)</f>
        <v>0</v>
      </c>
      <c r="L254" s="10">
        <f>IFERROR(__xludf.DUMMYFUNCTION("""COMPUTED_VALUE"""),242.0)</f>
        <v>242</v>
      </c>
      <c r="M254" s="5">
        <f>IFERROR(__xludf.DUMMYFUNCTION("""COMPUTED_VALUE"""),0.9641434262948207)</f>
        <v>0.9641434263</v>
      </c>
    </row>
    <row r="255">
      <c r="A255" s="10" t="str">
        <f>IFERROR(__xludf.DUMMYFUNCTION("""COMPUTED_VALUE"""),"どい－ん")</f>
        <v>どい－ん</v>
      </c>
      <c r="B255" s="10">
        <f>IFERROR(__xludf.DUMMYFUNCTION("""COMPUTED_VALUE"""),514.0)</f>
        <v>514</v>
      </c>
      <c r="C255" s="10">
        <f>IFERROR(__xludf.DUMMYFUNCTION("""COMPUTED_VALUE"""),6104.0)</f>
        <v>6104</v>
      </c>
      <c r="D255" s="5">
        <f>IFERROR(__xludf.DUMMYFUNCTION("""COMPUTED_VALUE"""),0.289087656529517)</f>
        <v>0.2890876565</v>
      </c>
      <c r="E255" s="5">
        <f>IFERROR(__xludf.DUMMYFUNCTION("""COMPUTED_VALUE"""),0.15384615384615385)</f>
        <v>0.1538461538</v>
      </c>
      <c r="F255" s="5">
        <f>IFERROR(__xludf.DUMMYFUNCTION("""COMPUTED_VALUE"""),0.2110912343470483)</f>
        <v>0.2110912343</v>
      </c>
      <c r="G255" s="5">
        <f>IFERROR(__xludf.DUMMYFUNCTION("""COMPUTED_VALUE"""),0.1592128801431127)</f>
        <v>0.1592128801</v>
      </c>
      <c r="H255" s="5">
        <f>IFERROR(__xludf.DUMMYFUNCTION("""COMPUTED_VALUE"""),0.6093220338983051)</f>
        <v>0.6093220339</v>
      </c>
      <c r="I255" s="11">
        <f>IFERROR(__xludf.DUMMYFUNCTION("""COMPUTED_VALUE"""),5501.779661016949)</f>
        <v>5501.779661</v>
      </c>
      <c r="J255" s="10">
        <f>IFERROR(__xludf.DUMMYFUNCTION("""COMPUTED_VALUE"""),2.0)</f>
        <v>2</v>
      </c>
      <c r="K255" s="5">
        <f>IFERROR(__xludf.DUMMYFUNCTION("""COMPUTED_VALUE"""),0.0038910505836575876)</f>
        <v>0.003891050584</v>
      </c>
      <c r="L255" s="10">
        <f>IFERROR(__xludf.DUMMYFUNCTION("""COMPUTED_VALUE"""),514.0)</f>
        <v>514</v>
      </c>
      <c r="M255" s="5">
        <f>IFERROR(__xludf.DUMMYFUNCTION("""COMPUTED_VALUE"""),1.0)</f>
        <v>1</v>
      </c>
    </row>
    <row r="256">
      <c r="A256" s="10" t="str">
        <f>IFERROR(__xludf.DUMMYFUNCTION("""COMPUTED_VALUE"""),"津田沼っ子")</f>
        <v>津田沼っ子</v>
      </c>
      <c r="B256" s="10">
        <f>IFERROR(__xludf.DUMMYFUNCTION("""COMPUTED_VALUE"""),693.0)</f>
        <v>693</v>
      </c>
      <c r="C256" s="10">
        <f>IFERROR(__xludf.DUMMYFUNCTION("""COMPUTED_VALUE"""),8191.0)</f>
        <v>8191</v>
      </c>
      <c r="D256" s="5">
        <f>IFERROR(__xludf.DUMMYFUNCTION("""COMPUTED_VALUE"""),0.25500133368898376)</f>
        <v>0.2550013337</v>
      </c>
      <c r="E256" s="5">
        <f>IFERROR(__xludf.DUMMYFUNCTION("""COMPUTED_VALUE"""),0.15377433982395305)</f>
        <v>0.1537743398</v>
      </c>
      <c r="F256" s="5">
        <f>IFERROR(__xludf.DUMMYFUNCTION("""COMPUTED_VALUE"""),0.22032542011202988)</f>
        <v>0.2203254201</v>
      </c>
      <c r="G256" s="5">
        <f>IFERROR(__xludf.DUMMYFUNCTION("""COMPUTED_VALUE"""),0.2125900240064017)</f>
        <v>0.212590024</v>
      </c>
      <c r="H256" s="5">
        <f>IFERROR(__xludf.DUMMYFUNCTION("""COMPUTED_VALUE"""),0.597457627118644)</f>
        <v>0.5974576271</v>
      </c>
      <c r="I256" s="11">
        <f>IFERROR(__xludf.DUMMYFUNCTION("""COMPUTED_VALUE"""),5854.116222760291)</f>
        <v>5854.116223</v>
      </c>
      <c r="J256" s="10">
        <f>IFERROR(__xludf.DUMMYFUNCTION("""COMPUTED_VALUE"""),1.0)</f>
        <v>1</v>
      </c>
      <c r="K256" s="5">
        <f>IFERROR(__xludf.DUMMYFUNCTION("""COMPUTED_VALUE"""),0.001443001443001443)</f>
        <v>0.001443001443</v>
      </c>
      <c r="L256" s="10">
        <f>IFERROR(__xludf.DUMMYFUNCTION("""COMPUTED_VALUE"""),693.0)</f>
        <v>693</v>
      </c>
      <c r="M256" s="5">
        <f>IFERROR(__xludf.DUMMYFUNCTION("""COMPUTED_VALUE"""),1.0)</f>
        <v>1</v>
      </c>
    </row>
    <row r="257">
      <c r="A257" s="10" t="str">
        <f>IFERROR(__xludf.DUMMYFUNCTION("""COMPUTED_VALUE"""),"甘いマッ缶")</f>
        <v>甘いマッ缶</v>
      </c>
      <c r="B257" s="10">
        <f>IFERROR(__xludf.DUMMYFUNCTION("""COMPUTED_VALUE"""),146.0)</f>
        <v>146</v>
      </c>
      <c r="C257" s="10">
        <f>IFERROR(__xludf.DUMMYFUNCTION("""COMPUTED_VALUE"""),1642.0)</f>
        <v>1642</v>
      </c>
      <c r="D257" s="5">
        <f>IFERROR(__xludf.DUMMYFUNCTION("""COMPUTED_VALUE"""),0.4184491978609626)</f>
        <v>0.4184491979</v>
      </c>
      <c r="E257" s="5">
        <f>IFERROR(__xludf.DUMMYFUNCTION("""COMPUTED_VALUE"""),0.1537433155080214)</f>
        <v>0.1537433155</v>
      </c>
      <c r="F257" s="5">
        <f>IFERROR(__xludf.DUMMYFUNCTION("""COMPUTED_VALUE"""),0.20454545454545456)</f>
        <v>0.2045454545</v>
      </c>
      <c r="G257" s="5">
        <f>IFERROR(__xludf.DUMMYFUNCTION("""COMPUTED_VALUE"""),0.18382352941176472)</f>
        <v>0.1838235294</v>
      </c>
      <c r="H257" s="5">
        <f>IFERROR(__xludf.DUMMYFUNCTION("""COMPUTED_VALUE"""),0.630718954248366)</f>
        <v>0.6307189542</v>
      </c>
      <c r="I257" s="11">
        <f>IFERROR(__xludf.DUMMYFUNCTION("""COMPUTED_VALUE"""),5988.888888888889)</f>
        <v>5988.888889</v>
      </c>
      <c r="J257" s="10">
        <f>IFERROR(__xludf.DUMMYFUNCTION("""COMPUTED_VALUE"""),2.0)</f>
        <v>2</v>
      </c>
      <c r="K257" s="5">
        <f>IFERROR(__xludf.DUMMYFUNCTION("""COMPUTED_VALUE"""),0.0136986301369863)</f>
        <v>0.01369863014</v>
      </c>
      <c r="L257" s="10">
        <f>IFERROR(__xludf.DUMMYFUNCTION("""COMPUTED_VALUE"""),68.0)</f>
        <v>68</v>
      </c>
      <c r="M257" s="5">
        <f>IFERROR(__xludf.DUMMYFUNCTION("""COMPUTED_VALUE"""),0.4657534246575342)</f>
        <v>0.4657534247</v>
      </c>
    </row>
    <row r="258">
      <c r="A258" s="10" t="str">
        <f>IFERROR(__xludf.DUMMYFUNCTION("""COMPUTED_VALUE"""),"オール＠チームT")</f>
        <v>オール＠チームT</v>
      </c>
      <c r="B258" s="10">
        <f>IFERROR(__xludf.DUMMYFUNCTION("""COMPUTED_VALUE"""),132.0)</f>
        <v>132</v>
      </c>
      <c r="C258" s="10">
        <f>IFERROR(__xludf.DUMMYFUNCTION("""COMPUTED_VALUE"""),1537.0)</f>
        <v>1537</v>
      </c>
      <c r="D258" s="5">
        <f>IFERROR(__xludf.DUMMYFUNCTION("""COMPUTED_VALUE"""),0.3530249110320285)</f>
        <v>0.353024911</v>
      </c>
      <c r="E258" s="5">
        <f>IFERROR(__xludf.DUMMYFUNCTION("""COMPUTED_VALUE"""),0.15373665480427046)</f>
        <v>0.1537366548</v>
      </c>
      <c r="F258" s="5">
        <f>IFERROR(__xludf.DUMMYFUNCTION("""COMPUTED_VALUE"""),0.19644128113879003)</f>
        <v>0.1964412811</v>
      </c>
      <c r="G258" s="5">
        <f>IFERROR(__xludf.DUMMYFUNCTION("""COMPUTED_VALUE"""),0.15729537366548044)</f>
        <v>0.1572953737</v>
      </c>
      <c r="H258" s="5">
        <f>IFERROR(__xludf.DUMMYFUNCTION("""COMPUTED_VALUE"""),0.6376811594202898)</f>
        <v>0.6376811594</v>
      </c>
      <c r="I258" s="11">
        <f>IFERROR(__xludf.DUMMYFUNCTION("""COMPUTED_VALUE"""),5187.31884057971)</f>
        <v>5187.318841</v>
      </c>
      <c r="J258" s="10">
        <f>IFERROR(__xludf.DUMMYFUNCTION("""COMPUTED_VALUE"""),0.0)</f>
        <v>0</v>
      </c>
      <c r="K258" s="5">
        <f>IFERROR(__xludf.DUMMYFUNCTION("""COMPUTED_VALUE"""),0.0)</f>
        <v>0</v>
      </c>
      <c r="L258" s="10">
        <f>IFERROR(__xludf.DUMMYFUNCTION("""COMPUTED_VALUE"""),132.0)</f>
        <v>132</v>
      </c>
      <c r="M258" s="5">
        <f>IFERROR(__xludf.DUMMYFUNCTION("""COMPUTED_VALUE"""),1.0)</f>
        <v>1</v>
      </c>
    </row>
    <row r="259">
      <c r="A259" s="10" t="str">
        <f>IFERROR(__xludf.DUMMYFUNCTION("""COMPUTED_VALUE"""),"つぉんが")</f>
        <v>つぉんが</v>
      </c>
      <c r="B259" s="10">
        <f>IFERROR(__xludf.DUMMYFUNCTION("""COMPUTED_VALUE"""),318.0)</f>
        <v>318</v>
      </c>
      <c r="C259" s="10">
        <f>IFERROR(__xludf.DUMMYFUNCTION("""COMPUTED_VALUE"""),3610.0)</f>
        <v>3610</v>
      </c>
      <c r="D259" s="5">
        <f>IFERROR(__xludf.DUMMYFUNCTION("""COMPUTED_VALUE"""),0.27855407047387604)</f>
        <v>0.2785540705</v>
      </c>
      <c r="E259" s="5">
        <f>IFERROR(__xludf.DUMMYFUNCTION("""COMPUTED_VALUE"""),0.15370595382746052)</f>
        <v>0.1537059538</v>
      </c>
      <c r="F259" s="5">
        <f>IFERROR(__xludf.DUMMYFUNCTION("""COMPUTED_VALUE"""),0.1965370595382746)</f>
        <v>0.1965370595</v>
      </c>
      <c r="G259" s="5">
        <f>IFERROR(__xludf.DUMMYFUNCTION("""COMPUTED_VALUE"""),0.18985419198055892)</f>
        <v>0.189854192</v>
      </c>
      <c r="H259" s="5">
        <f>IFERROR(__xludf.DUMMYFUNCTION("""COMPUTED_VALUE"""),0.5734157650695518)</f>
        <v>0.5734157651</v>
      </c>
      <c r="I259" s="11">
        <f>IFERROR(__xludf.DUMMYFUNCTION("""COMPUTED_VALUE"""),6764.760432766615)</f>
        <v>6764.760433</v>
      </c>
      <c r="J259" s="10">
        <f>IFERROR(__xludf.DUMMYFUNCTION("""COMPUTED_VALUE"""),2.0)</f>
        <v>2</v>
      </c>
      <c r="K259" s="5">
        <f>IFERROR(__xludf.DUMMYFUNCTION("""COMPUTED_VALUE"""),0.006289308176100629)</f>
        <v>0.006289308176</v>
      </c>
      <c r="L259" s="10">
        <f>IFERROR(__xludf.DUMMYFUNCTION("""COMPUTED_VALUE"""),318.0)</f>
        <v>318</v>
      </c>
      <c r="M259" s="5">
        <f>IFERROR(__xludf.DUMMYFUNCTION("""COMPUTED_VALUE"""),1.0)</f>
        <v>1</v>
      </c>
    </row>
    <row r="260">
      <c r="A260" s="10" t="str">
        <f>IFERROR(__xludf.DUMMYFUNCTION("""COMPUTED_VALUE"""),"unchovvv")</f>
        <v>unchovvv</v>
      </c>
      <c r="B260" s="10">
        <f>IFERROR(__xludf.DUMMYFUNCTION("""COMPUTED_VALUE"""),146.0)</f>
        <v>146</v>
      </c>
      <c r="C260" s="10">
        <f>IFERROR(__xludf.DUMMYFUNCTION("""COMPUTED_VALUE"""),1688.0)</f>
        <v>1688</v>
      </c>
      <c r="D260" s="5">
        <f>IFERROR(__xludf.DUMMYFUNCTION("""COMPUTED_VALUE"""),0.3203631647211414)</f>
        <v>0.3203631647</v>
      </c>
      <c r="E260" s="5">
        <f>IFERROR(__xludf.DUMMYFUNCTION("""COMPUTED_VALUE"""),0.15369649805447472)</f>
        <v>0.1536964981</v>
      </c>
      <c r="F260" s="5">
        <f>IFERROR(__xludf.DUMMYFUNCTION("""COMPUTED_VALUE"""),0.2140077821011673)</f>
        <v>0.2140077821</v>
      </c>
      <c r="G260" s="5">
        <f>IFERROR(__xludf.DUMMYFUNCTION("""COMPUTED_VALUE"""),0.1880674448767834)</f>
        <v>0.1880674449</v>
      </c>
      <c r="H260" s="5">
        <f>IFERROR(__xludf.DUMMYFUNCTION("""COMPUTED_VALUE"""),0.6090909090909091)</f>
        <v>0.6090909091</v>
      </c>
      <c r="I260" s="11">
        <f>IFERROR(__xludf.DUMMYFUNCTION("""COMPUTED_VALUE"""),5647.575757575758)</f>
        <v>5647.575758</v>
      </c>
      <c r="J260" s="10">
        <f>IFERROR(__xludf.DUMMYFUNCTION("""COMPUTED_VALUE"""),1.0)</f>
        <v>1</v>
      </c>
      <c r="K260" s="5">
        <f>IFERROR(__xludf.DUMMYFUNCTION("""COMPUTED_VALUE"""),0.00684931506849315)</f>
        <v>0.006849315068</v>
      </c>
      <c r="L260" s="10">
        <f>IFERROR(__xludf.DUMMYFUNCTION("""COMPUTED_VALUE"""),146.0)</f>
        <v>146</v>
      </c>
      <c r="M260" s="5">
        <f>IFERROR(__xludf.DUMMYFUNCTION("""COMPUTED_VALUE"""),1.0)</f>
        <v>1</v>
      </c>
    </row>
    <row r="261">
      <c r="A261" s="10" t="str">
        <f>IFERROR(__xludf.DUMMYFUNCTION("""COMPUTED_VALUE"""),"グリーンアルバム")</f>
        <v>グリーンアルバム</v>
      </c>
      <c r="B261" s="10">
        <f>IFERROR(__xludf.DUMMYFUNCTION("""COMPUTED_VALUE"""),486.0)</f>
        <v>486</v>
      </c>
      <c r="C261" s="10">
        <f>IFERROR(__xludf.DUMMYFUNCTION("""COMPUTED_VALUE"""),5659.0)</f>
        <v>5659</v>
      </c>
      <c r="D261" s="5">
        <f>IFERROR(__xludf.DUMMYFUNCTION("""COMPUTED_VALUE"""),0.3651652812681229)</f>
        <v>0.3651652813</v>
      </c>
      <c r="E261" s="5">
        <f>IFERROR(__xludf.DUMMYFUNCTION("""COMPUTED_VALUE"""),0.15368258264063406)</f>
        <v>0.1536825826</v>
      </c>
      <c r="F261" s="5">
        <f>IFERROR(__xludf.DUMMYFUNCTION("""COMPUTED_VALUE"""),0.2159288613957085)</f>
        <v>0.2159288614</v>
      </c>
      <c r="G261" s="5">
        <f>IFERROR(__xludf.DUMMYFUNCTION("""COMPUTED_VALUE"""),0.20433017591339647)</f>
        <v>0.2043301759</v>
      </c>
      <c r="H261" s="5">
        <f>IFERROR(__xludf.DUMMYFUNCTION("""COMPUTED_VALUE"""),0.576544315129812)</f>
        <v>0.5765443151</v>
      </c>
      <c r="I261" s="11">
        <f>IFERROR(__xludf.DUMMYFUNCTION("""COMPUTED_VALUE"""),5795.434198746643)</f>
        <v>5795.434199</v>
      </c>
      <c r="J261" s="10">
        <f>IFERROR(__xludf.DUMMYFUNCTION("""COMPUTED_VALUE"""),1.0)</f>
        <v>1</v>
      </c>
      <c r="K261" s="5">
        <f>IFERROR(__xludf.DUMMYFUNCTION("""COMPUTED_VALUE"""),0.00205761316872428)</f>
        <v>0.002057613169</v>
      </c>
      <c r="L261" s="10">
        <f>IFERROR(__xludf.DUMMYFUNCTION("""COMPUTED_VALUE"""),486.0)</f>
        <v>486</v>
      </c>
      <c r="M261" s="5">
        <f>IFERROR(__xludf.DUMMYFUNCTION("""COMPUTED_VALUE"""),1.0)</f>
        <v>1</v>
      </c>
    </row>
    <row r="262">
      <c r="A262" s="10" t="str">
        <f>IFERROR(__xludf.DUMMYFUNCTION("""COMPUTED_VALUE"""),"おとうと♪")</f>
        <v>おとうと♪</v>
      </c>
      <c r="B262" s="10">
        <f>IFERROR(__xludf.DUMMYFUNCTION("""COMPUTED_VALUE"""),110.0)</f>
        <v>110</v>
      </c>
      <c r="C262" s="10">
        <f>IFERROR(__xludf.DUMMYFUNCTION("""COMPUTED_VALUE"""),1288.0)</f>
        <v>1288</v>
      </c>
      <c r="D262" s="5">
        <f>IFERROR(__xludf.DUMMYFUNCTION("""COMPUTED_VALUE"""),0.2826825127334465)</f>
        <v>0.2826825127</v>
      </c>
      <c r="E262" s="5">
        <f>IFERROR(__xludf.DUMMYFUNCTION("""COMPUTED_VALUE"""),0.1536502546689304)</f>
        <v>0.1536502547</v>
      </c>
      <c r="F262" s="5">
        <f>IFERROR(__xludf.DUMMYFUNCTION("""COMPUTED_VALUE"""),0.20882852292020374)</f>
        <v>0.2088285229</v>
      </c>
      <c r="G262" s="5">
        <f>IFERROR(__xludf.DUMMYFUNCTION("""COMPUTED_VALUE"""),0.21561969439728354)</f>
        <v>0.2156196944</v>
      </c>
      <c r="H262" s="5">
        <f>IFERROR(__xludf.DUMMYFUNCTION("""COMPUTED_VALUE"""),0.573170731707317)</f>
        <v>0.5731707317</v>
      </c>
      <c r="I262" s="11">
        <f>IFERROR(__xludf.DUMMYFUNCTION("""COMPUTED_VALUE"""),5869.1056910569105)</f>
        <v>5869.105691</v>
      </c>
      <c r="J262" s="10">
        <f>IFERROR(__xludf.DUMMYFUNCTION("""COMPUTED_VALUE"""),0.0)</f>
        <v>0</v>
      </c>
      <c r="K262" s="5">
        <f>IFERROR(__xludf.DUMMYFUNCTION("""COMPUTED_VALUE"""),0.0)</f>
        <v>0</v>
      </c>
      <c r="L262" s="10">
        <f>IFERROR(__xludf.DUMMYFUNCTION("""COMPUTED_VALUE"""),110.0)</f>
        <v>110</v>
      </c>
      <c r="M262" s="5">
        <f>IFERROR(__xludf.DUMMYFUNCTION("""COMPUTED_VALUE"""),1.0)</f>
        <v>1</v>
      </c>
    </row>
    <row r="263">
      <c r="A263" s="10" t="str">
        <f>IFERROR(__xludf.DUMMYFUNCTION("""COMPUTED_VALUE"""),"＠中村豪")</f>
        <v>＠中村豪</v>
      </c>
      <c r="B263" s="10">
        <f>IFERROR(__xludf.DUMMYFUNCTION("""COMPUTED_VALUE"""),396.0)</f>
        <v>396</v>
      </c>
      <c r="C263" s="10">
        <f>IFERROR(__xludf.DUMMYFUNCTION("""COMPUTED_VALUE"""),4692.0)</f>
        <v>4692</v>
      </c>
      <c r="D263" s="5">
        <f>IFERROR(__xludf.DUMMYFUNCTION("""COMPUTED_VALUE"""),0.37662942271880817)</f>
        <v>0.3766294227</v>
      </c>
      <c r="E263" s="5">
        <f>IFERROR(__xludf.DUMMYFUNCTION("""COMPUTED_VALUE"""),0.15363128491620112)</f>
        <v>0.1536312849</v>
      </c>
      <c r="F263" s="5">
        <f>IFERROR(__xludf.DUMMYFUNCTION("""COMPUTED_VALUE"""),0.21834264432029796)</f>
        <v>0.2183426443</v>
      </c>
      <c r="G263" s="5">
        <f>IFERROR(__xludf.DUMMYFUNCTION("""COMPUTED_VALUE"""),0.1920391061452514)</f>
        <v>0.1920391061</v>
      </c>
      <c r="H263" s="5">
        <f>IFERROR(__xludf.DUMMYFUNCTION("""COMPUTED_VALUE"""),0.5767590618336887)</f>
        <v>0.5767590618</v>
      </c>
      <c r="I263" s="11">
        <f>IFERROR(__xludf.DUMMYFUNCTION("""COMPUTED_VALUE"""),5632.302771855011)</f>
        <v>5632.302772</v>
      </c>
      <c r="J263" s="10">
        <f>IFERROR(__xludf.DUMMYFUNCTION("""COMPUTED_VALUE"""),1.0)</f>
        <v>1</v>
      </c>
      <c r="K263" s="5">
        <f>IFERROR(__xludf.DUMMYFUNCTION("""COMPUTED_VALUE"""),0.0025252525252525255)</f>
        <v>0.002525252525</v>
      </c>
      <c r="L263" s="10">
        <f>IFERROR(__xludf.DUMMYFUNCTION("""COMPUTED_VALUE"""),396.0)</f>
        <v>396</v>
      </c>
      <c r="M263" s="5">
        <f>IFERROR(__xludf.DUMMYFUNCTION("""COMPUTED_VALUE"""),1.0)</f>
        <v>1</v>
      </c>
    </row>
    <row r="264">
      <c r="A264" s="10" t="str">
        <f>IFERROR(__xludf.DUMMYFUNCTION("""COMPUTED_VALUE"""),"宮永照＠白糸台")</f>
        <v>宮永照＠白糸台</v>
      </c>
      <c r="B264" s="10">
        <f>IFERROR(__xludf.DUMMYFUNCTION("""COMPUTED_VALUE"""),168.0)</f>
        <v>168</v>
      </c>
      <c r="C264" s="10">
        <f>IFERROR(__xludf.DUMMYFUNCTION("""COMPUTED_VALUE"""),1945.0)</f>
        <v>1945</v>
      </c>
      <c r="D264" s="5">
        <f>IFERROR(__xludf.DUMMYFUNCTION("""COMPUTED_VALUE"""),0.421496904895892)</f>
        <v>0.4214969049</v>
      </c>
      <c r="E264" s="5">
        <f>IFERROR(__xludf.DUMMYFUNCTION("""COMPUTED_VALUE"""),0.15362971299943726)</f>
        <v>0.153629713</v>
      </c>
      <c r="F264" s="5">
        <f>IFERROR(__xludf.DUMMYFUNCTION("""COMPUTED_VALUE"""),0.2076533483398987)</f>
        <v>0.2076533483</v>
      </c>
      <c r="G264" s="5">
        <f>IFERROR(__xludf.DUMMYFUNCTION("""COMPUTED_VALUE"""),0.15756893640967923)</f>
        <v>0.1575689364</v>
      </c>
      <c r="H264" s="5">
        <f>IFERROR(__xludf.DUMMYFUNCTION("""COMPUTED_VALUE"""),0.6314363143631436)</f>
        <v>0.6314363144</v>
      </c>
      <c r="I264" s="11">
        <f>IFERROR(__xludf.DUMMYFUNCTION("""COMPUTED_VALUE"""),5552.303523035231)</f>
        <v>5552.303523</v>
      </c>
      <c r="J264" s="10">
        <f>IFERROR(__xludf.DUMMYFUNCTION("""COMPUTED_VALUE"""),0.0)</f>
        <v>0</v>
      </c>
      <c r="K264" s="5">
        <f>IFERROR(__xludf.DUMMYFUNCTION("""COMPUTED_VALUE"""),0.0)</f>
        <v>0</v>
      </c>
      <c r="L264" s="10">
        <f>IFERROR(__xludf.DUMMYFUNCTION("""COMPUTED_VALUE"""),35.0)</f>
        <v>35</v>
      </c>
      <c r="M264" s="5">
        <f>IFERROR(__xludf.DUMMYFUNCTION("""COMPUTED_VALUE"""),0.20833333333333334)</f>
        <v>0.2083333333</v>
      </c>
    </row>
    <row r="265">
      <c r="A265" s="10" t="str">
        <f>IFERROR(__xludf.DUMMYFUNCTION("""COMPUTED_VALUE"""),"嵯峨政宗")</f>
        <v>嵯峨政宗</v>
      </c>
      <c r="B265" s="10">
        <f>IFERROR(__xludf.DUMMYFUNCTION("""COMPUTED_VALUE"""),185.0)</f>
        <v>185</v>
      </c>
      <c r="C265" s="10">
        <f>IFERROR(__xludf.DUMMYFUNCTION("""COMPUTED_VALUE"""),2229.0)</f>
        <v>2229</v>
      </c>
      <c r="D265" s="5">
        <f>IFERROR(__xludf.DUMMYFUNCTION("""COMPUTED_VALUE"""),0.38796477495107634)</f>
        <v>0.387964775</v>
      </c>
      <c r="E265" s="5">
        <f>IFERROR(__xludf.DUMMYFUNCTION("""COMPUTED_VALUE"""),0.15362035225048923)</f>
        <v>0.1536203523</v>
      </c>
      <c r="F265" s="5">
        <f>IFERROR(__xludf.DUMMYFUNCTION("""COMPUTED_VALUE"""),0.20205479452054795)</f>
        <v>0.2020547945</v>
      </c>
      <c r="G265" s="5">
        <f>IFERROR(__xludf.DUMMYFUNCTION("""COMPUTED_VALUE"""),0.17367906066536204)</f>
        <v>0.1736790607</v>
      </c>
      <c r="H265" s="5">
        <f>IFERROR(__xludf.DUMMYFUNCTION("""COMPUTED_VALUE"""),0.6174334140435835)</f>
        <v>0.617433414</v>
      </c>
      <c r="I265" s="11">
        <f>IFERROR(__xludf.DUMMYFUNCTION("""COMPUTED_VALUE"""),5472.1549636803875)</f>
        <v>5472.154964</v>
      </c>
      <c r="J265" s="10">
        <f>IFERROR(__xludf.DUMMYFUNCTION("""COMPUTED_VALUE"""),1.0)</f>
        <v>1</v>
      </c>
      <c r="K265" s="5">
        <f>IFERROR(__xludf.DUMMYFUNCTION("""COMPUTED_VALUE"""),0.005405405405405406)</f>
        <v>0.005405405405</v>
      </c>
      <c r="L265" s="10">
        <f>IFERROR(__xludf.DUMMYFUNCTION("""COMPUTED_VALUE"""),22.0)</f>
        <v>22</v>
      </c>
      <c r="M265" s="5">
        <f>IFERROR(__xludf.DUMMYFUNCTION("""COMPUTED_VALUE"""),0.11891891891891893)</f>
        <v>0.1189189189</v>
      </c>
    </row>
    <row r="266">
      <c r="A266" s="10" t="str">
        <f>IFERROR(__xludf.DUMMYFUNCTION("""COMPUTED_VALUE"""),"sumiya")</f>
        <v>sumiya</v>
      </c>
      <c r="B266" s="10">
        <f>IFERROR(__xludf.DUMMYFUNCTION("""COMPUTED_VALUE"""),502.0)</f>
        <v>502</v>
      </c>
      <c r="C266" s="10">
        <f>IFERROR(__xludf.DUMMYFUNCTION("""COMPUTED_VALUE"""),5776.0)</f>
        <v>5776</v>
      </c>
      <c r="D266" s="5">
        <f>IFERROR(__xludf.DUMMYFUNCTION("""COMPUTED_VALUE"""),0.34452028820629504)</f>
        <v>0.3445202882</v>
      </c>
      <c r="E266" s="5">
        <f>IFERROR(__xludf.DUMMYFUNCTION("""COMPUTED_VALUE"""),0.15358361774744028)</f>
        <v>0.1535836177</v>
      </c>
      <c r="F266" s="5">
        <f>IFERROR(__xludf.DUMMYFUNCTION("""COMPUTED_VALUE"""),0.2254455821008722)</f>
        <v>0.2254455821</v>
      </c>
      <c r="G266" s="5">
        <f>IFERROR(__xludf.DUMMYFUNCTION("""COMPUTED_VALUE"""),0.1323473644292757)</f>
        <v>0.1323473644</v>
      </c>
      <c r="H266" s="5">
        <f>IFERROR(__xludf.DUMMYFUNCTION("""COMPUTED_VALUE"""),0.624053826745164)</f>
        <v>0.6240538267</v>
      </c>
      <c r="I266" s="11">
        <f>IFERROR(__xludf.DUMMYFUNCTION("""COMPUTED_VALUE"""),5848.3599663582845)</f>
        <v>5848.359966</v>
      </c>
      <c r="J266" s="10">
        <f>IFERROR(__xludf.DUMMYFUNCTION("""COMPUTED_VALUE"""),2.0)</f>
        <v>2</v>
      </c>
      <c r="K266" s="5">
        <f>IFERROR(__xludf.DUMMYFUNCTION("""COMPUTED_VALUE"""),0.00398406374501992)</f>
        <v>0.003984063745</v>
      </c>
      <c r="L266" s="10">
        <f>IFERROR(__xludf.DUMMYFUNCTION("""COMPUTED_VALUE"""),502.0)</f>
        <v>502</v>
      </c>
      <c r="M266" s="5">
        <f>IFERROR(__xludf.DUMMYFUNCTION("""COMPUTED_VALUE"""),1.0)</f>
        <v>1</v>
      </c>
    </row>
    <row r="267">
      <c r="A267" s="10" t="str">
        <f>IFERROR(__xludf.DUMMYFUNCTION("""COMPUTED_VALUE"""),"hiko_be")</f>
        <v>hiko_be</v>
      </c>
      <c r="B267" s="10">
        <f>IFERROR(__xludf.DUMMYFUNCTION("""COMPUTED_VALUE"""),145.0)</f>
        <v>145</v>
      </c>
      <c r="C267" s="10">
        <f>IFERROR(__xludf.DUMMYFUNCTION("""COMPUTED_VALUE"""),1747.0)</f>
        <v>1747</v>
      </c>
      <c r="D267" s="5">
        <f>IFERROR(__xludf.DUMMYFUNCTION("""COMPUTED_VALUE"""),0.3951310861423221)</f>
        <v>0.3951310861</v>
      </c>
      <c r="E267" s="5">
        <f>IFERROR(__xludf.DUMMYFUNCTION("""COMPUTED_VALUE"""),0.15355805243445692)</f>
        <v>0.1535580524</v>
      </c>
      <c r="F267" s="5">
        <f>IFERROR(__xludf.DUMMYFUNCTION("""COMPUTED_VALUE"""),0.22284644194756553)</f>
        <v>0.2228464419</v>
      </c>
      <c r="G267" s="5">
        <f>IFERROR(__xludf.DUMMYFUNCTION("""COMPUTED_VALUE"""),0.20599250936329588)</f>
        <v>0.2059925094</v>
      </c>
      <c r="H267" s="5">
        <f>IFERROR(__xludf.DUMMYFUNCTION("""COMPUTED_VALUE"""),0.6022408963585434)</f>
        <v>0.6022408964</v>
      </c>
      <c r="I267" s="11">
        <f>IFERROR(__xludf.DUMMYFUNCTION("""COMPUTED_VALUE"""),5477.310924369748)</f>
        <v>5477.310924</v>
      </c>
      <c r="J267" s="10">
        <f>IFERROR(__xludf.DUMMYFUNCTION("""COMPUTED_VALUE"""),0.0)</f>
        <v>0</v>
      </c>
      <c r="K267" s="5">
        <f>IFERROR(__xludf.DUMMYFUNCTION("""COMPUTED_VALUE"""),0.0)</f>
        <v>0</v>
      </c>
      <c r="L267" s="10">
        <f>IFERROR(__xludf.DUMMYFUNCTION("""COMPUTED_VALUE"""),145.0)</f>
        <v>145</v>
      </c>
      <c r="M267" s="5">
        <f>IFERROR(__xludf.DUMMYFUNCTION("""COMPUTED_VALUE"""),1.0)</f>
        <v>1</v>
      </c>
    </row>
    <row r="268">
      <c r="A268" s="10" t="str">
        <f>IFERROR(__xludf.DUMMYFUNCTION("""COMPUTED_VALUE"""),"山幸商店")</f>
        <v>山幸商店</v>
      </c>
      <c r="B268" s="10">
        <f>IFERROR(__xludf.DUMMYFUNCTION("""COMPUTED_VALUE"""),326.0)</f>
        <v>326</v>
      </c>
      <c r="C268" s="10">
        <f>IFERROR(__xludf.DUMMYFUNCTION("""COMPUTED_VALUE"""),3771.0)</f>
        <v>3771</v>
      </c>
      <c r="D268" s="5">
        <f>IFERROR(__xludf.DUMMYFUNCTION("""COMPUTED_VALUE"""),0.4127721335268505)</f>
        <v>0.4127721335</v>
      </c>
      <c r="E268" s="5">
        <f>IFERROR(__xludf.DUMMYFUNCTION("""COMPUTED_VALUE"""),0.15355587808417998)</f>
        <v>0.1535558781</v>
      </c>
      <c r="F268" s="5">
        <f>IFERROR(__xludf.DUMMYFUNCTION("""COMPUTED_VALUE"""),0.22438316400580552)</f>
        <v>0.224383164</v>
      </c>
      <c r="G268" s="5">
        <f>IFERROR(__xludf.DUMMYFUNCTION("""COMPUTED_VALUE"""),0.1285921625544267)</f>
        <v>0.1285921626</v>
      </c>
      <c r="H268" s="5">
        <f>IFERROR(__xludf.DUMMYFUNCTION("""COMPUTED_VALUE"""),0.6080206985769728)</f>
        <v>0.6080206986</v>
      </c>
      <c r="I268" s="11">
        <f>IFERROR(__xludf.DUMMYFUNCTION("""COMPUTED_VALUE"""),5343.8551099611905)</f>
        <v>5343.85511</v>
      </c>
      <c r="J268" s="10">
        <f>IFERROR(__xludf.DUMMYFUNCTION("""COMPUTED_VALUE"""),1.0)</f>
        <v>1</v>
      </c>
      <c r="K268" s="5">
        <f>IFERROR(__xludf.DUMMYFUNCTION("""COMPUTED_VALUE"""),0.003067484662576687)</f>
        <v>0.003067484663</v>
      </c>
      <c r="L268" s="10">
        <f>IFERROR(__xludf.DUMMYFUNCTION("""COMPUTED_VALUE"""),326.0)</f>
        <v>326</v>
      </c>
      <c r="M268" s="5">
        <f>IFERROR(__xludf.DUMMYFUNCTION("""COMPUTED_VALUE"""),1.0)</f>
        <v>1</v>
      </c>
    </row>
    <row r="269">
      <c r="A269" s="10" t="str">
        <f>IFERROR(__xludf.DUMMYFUNCTION("""COMPUTED_VALUE"""),"じじょ。")</f>
        <v>じじょ。</v>
      </c>
      <c r="B269" s="10">
        <f>IFERROR(__xludf.DUMMYFUNCTION("""COMPUTED_VALUE"""),121.0)</f>
        <v>121</v>
      </c>
      <c r="C269" s="10">
        <f>IFERROR(__xludf.DUMMYFUNCTION("""COMPUTED_VALUE"""),1404.0)</f>
        <v>1404</v>
      </c>
      <c r="D269" s="5">
        <f>IFERROR(__xludf.DUMMYFUNCTION("""COMPUTED_VALUE"""),0.3141075604053001)</f>
        <v>0.3141075604</v>
      </c>
      <c r="E269" s="5">
        <f>IFERROR(__xludf.DUMMYFUNCTION("""COMPUTED_VALUE"""),0.15354637568199533)</f>
        <v>0.1535463757</v>
      </c>
      <c r="F269" s="5">
        <f>IFERROR(__xludf.DUMMYFUNCTION("""COMPUTED_VALUE"""),0.20109119251753702)</f>
        <v>0.2010911925</v>
      </c>
      <c r="G269" s="5">
        <f>IFERROR(__xludf.DUMMYFUNCTION("""COMPUTED_VALUE"""),0.1956352299298519)</f>
        <v>0.1956352299</v>
      </c>
      <c r="H269" s="5">
        <f>IFERROR(__xludf.DUMMYFUNCTION("""COMPUTED_VALUE"""),0.5116279069767442)</f>
        <v>0.511627907</v>
      </c>
      <c r="I269" s="11">
        <f>IFERROR(__xludf.DUMMYFUNCTION("""COMPUTED_VALUE"""),5887.984496124031)</f>
        <v>5887.984496</v>
      </c>
      <c r="J269" s="10">
        <f>IFERROR(__xludf.DUMMYFUNCTION("""COMPUTED_VALUE"""),1.0)</f>
        <v>1</v>
      </c>
      <c r="K269" s="5">
        <f>IFERROR(__xludf.DUMMYFUNCTION("""COMPUTED_VALUE"""),0.008264462809917356)</f>
        <v>0.00826446281</v>
      </c>
      <c r="L269" s="10">
        <f>IFERROR(__xludf.DUMMYFUNCTION("""COMPUTED_VALUE"""),121.0)</f>
        <v>121</v>
      </c>
      <c r="M269" s="5">
        <f>IFERROR(__xludf.DUMMYFUNCTION("""COMPUTED_VALUE"""),1.0)</f>
        <v>1</v>
      </c>
    </row>
    <row r="270">
      <c r="A270" s="10" t="str">
        <f>IFERROR(__xludf.DUMMYFUNCTION("""COMPUTED_VALUE"""),"みかもめ")</f>
        <v>みかもめ</v>
      </c>
      <c r="B270" s="10">
        <f>IFERROR(__xludf.DUMMYFUNCTION("""COMPUTED_VALUE"""),659.0)</f>
        <v>659</v>
      </c>
      <c r="C270" s="10">
        <f>IFERROR(__xludf.DUMMYFUNCTION("""COMPUTED_VALUE"""),7569.0)</f>
        <v>7569</v>
      </c>
      <c r="D270" s="5">
        <f>IFERROR(__xludf.DUMMYFUNCTION("""COMPUTED_VALUE"""),0.3447178002894356)</f>
        <v>0.3447178003</v>
      </c>
      <c r="E270" s="5">
        <f>IFERROR(__xludf.DUMMYFUNCTION("""COMPUTED_VALUE"""),0.15354558610709118)</f>
        <v>0.1535455861</v>
      </c>
      <c r="F270" s="5">
        <f>IFERROR(__xludf.DUMMYFUNCTION("""COMPUTED_VALUE"""),0.22735166425470332)</f>
        <v>0.2273516643</v>
      </c>
      <c r="G270" s="5">
        <f>IFERROR(__xludf.DUMMYFUNCTION("""COMPUTED_VALUE"""),0.2094066570188133)</f>
        <v>0.209406657</v>
      </c>
      <c r="H270" s="5">
        <f>IFERROR(__xludf.DUMMYFUNCTION("""COMPUTED_VALUE"""),0.5977084659452578)</f>
        <v>0.5977084659</v>
      </c>
      <c r="I270" s="11">
        <f>IFERROR(__xludf.DUMMYFUNCTION("""COMPUTED_VALUE"""),5951.814131126671)</f>
        <v>5951.814131</v>
      </c>
      <c r="J270" s="10">
        <f>IFERROR(__xludf.DUMMYFUNCTION("""COMPUTED_VALUE"""),1.0)</f>
        <v>1</v>
      </c>
      <c r="K270" s="5">
        <f>IFERROR(__xludf.DUMMYFUNCTION("""COMPUTED_VALUE"""),0.0015174506828528073)</f>
        <v>0.001517450683</v>
      </c>
      <c r="L270" s="10">
        <f>IFERROR(__xludf.DUMMYFUNCTION("""COMPUTED_VALUE"""),659.0)</f>
        <v>659</v>
      </c>
      <c r="M270" s="5">
        <f>IFERROR(__xludf.DUMMYFUNCTION("""COMPUTED_VALUE"""),1.0)</f>
        <v>1</v>
      </c>
    </row>
    <row r="271">
      <c r="A271" s="10" t="str">
        <f>IFERROR(__xludf.DUMMYFUNCTION("""COMPUTED_VALUE"""),"とらちゃん")</f>
        <v>とらちゃん</v>
      </c>
      <c r="B271" s="10">
        <f>IFERROR(__xludf.DUMMYFUNCTION("""COMPUTED_VALUE"""),311.0)</f>
        <v>311</v>
      </c>
      <c r="C271" s="10">
        <f>IFERROR(__xludf.DUMMYFUNCTION("""COMPUTED_VALUE"""),3613.0)</f>
        <v>3613</v>
      </c>
      <c r="D271" s="5">
        <f>IFERROR(__xludf.DUMMYFUNCTION("""COMPUTED_VALUE"""),0.3940036341611145)</f>
        <v>0.3940036342</v>
      </c>
      <c r="E271" s="5">
        <f>IFERROR(__xludf.DUMMYFUNCTION("""COMPUTED_VALUE"""),0.15354330708661418)</f>
        <v>0.1535433071</v>
      </c>
      <c r="F271" s="5">
        <f>IFERROR(__xludf.DUMMYFUNCTION("""COMPUTED_VALUE"""),0.21895820714718353)</f>
        <v>0.2189582071</v>
      </c>
      <c r="G271" s="5">
        <f>IFERROR(__xludf.DUMMYFUNCTION("""COMPUTED_VALUE"""),0.19291338582677164)</f>
        <v>0.1929133858</v>
      </c>
      <c r="H271" s="5">
        <f>IFERROR(__xludf.DUMMYFUNCTION("""COMPUTED_VALUE"""),0.6016597510373444)</f>
        <v>0.601659751</v>
      </c>
      <c r="I271" s="11">
        <f>IFERROR(__xludf.DUMMYFUNCTION("""COMPUTED_VALUE"""),5596.265560165975)</f>
        <v>5596.26556</v>
      </c>
      <c r="J271" s="10">
        <f>IFERROR(__xludf.DUMMYFUNCTION("""COMPUTED_VALUE"""),0.0)</f>
        <v>0</v>
      </c>
      <c r="K271" s="5">
        <f>IFERROR(__xludf.DUMMYFUNCTION("""COMPUTED_VALUE"""),0.0)</f>
        <v>0</v>
      </c>
      <c r="L271" s="10">
        <f>IFERROR(__xludf.DUMMYFUNCTION("""COMPUTED_VALUE"""),311.0)</f>
        <v>311</v>
      </c>
      <c r="M271" s="5">
        <f>IFERROR(__xludf.DUMMYFUNCTION("""COMPUTED_VALUE"""),1.0)</f>
        <v>1</v>
      </c>
    </row>
    <row r="272">
      <c r="A272" s="10" t="str">
        <f>IFERROR(__xludf.DUMMYFUNCTION("""COMPUTED_VALUE"""),"乱切り")</f>
        <v>乱切り</v>
      </c>
      <c r="B272" s="10">
        <f>IFERROR(__xludf.DUMMYFUNCTION("""COMPUTED_VALUE"""),140.0)</f>
        <v>140</v>
      </c>
      <c r="C272" s="10">
        <f>IFERROR(__xludf.DUMMYFUNCTION("""COMPUTED_VALUE"""),1658.0)</f>
        <v>1658</v>
      </c>
      <c r="D272" s="5">
        <f>IFERROR(__xludf.DUMMYFUNCTION("""COMPUTED_VALUE"""),0.3181818181818182)</f>
        <v>0.3181818182</v>
      </c>
      <c r="E272" s="5">
        <f>IFERROR(__xludf.DUMMYFUNCTION("""COMPUTED_VALUE"""),0.15349143610013175)</f>
        <v>0.1534914361</v>
      </c>
      <c r="F272" s="5">
        <f>IFERROR(__xludf.DUMMYFUNCTION("""COMPUTED_VALUE"""),0.21212121212121213)</f>
        <v>0.2121212121</v>
      </c>
      <c r="G272" s="5">
        <f>IFERROR(__xludf.DUMMYFUNCTION("""COMPUTED_VALUE"""),0.16666666666666666)</f>
        <v>0.1666666667</v>
      </c>
      <c r="H272" s="5">
        <f>IFERROR(__xludf.DUMMYFUNCTION("""COMPUTED_VALUE"""),0.6118012422360248)</f>
        <v>0.6118012422</v>
      </c>
      <c r="I272" s="11">
        <f>IFERROR(__xludf.DUMMYFUNCTION("""COMPUTED_VALUE"""),5293.478260869565)</f>
        <v>5293.478261</v>
      </c>
      <c r="J272" s="10">
        <f>IFERROR(__xludf.DUMMYFUNCTION("""COMPUTED_VALUE"""),0.0)</f>
        <v>0</v>
      </c>
      <c r="K272" s="5">
        <f>IFERROR(__xludf.DUMMYFUNCTION("""COMPUTED_VALUE"""),0.0)</f>
        <v>0</v>
      </c>
      <c r="L272" s="10">
        <f>IFERROR(__xludf.DUMMYFUNCTION("""COMPUTED_VALUE"""),140.0)</f>
        <v>140</v>
      </c>
      <c r="M272" s="5">
        <f>IFERROR(__xludf.DUMMYFUNCTION("""COMPUTED_VALUE"""),1.0)</f>
        <v>1</v>
      </c>
    </row>
    <row r="273">
      <c r="A273" s="10" t="str">
        <f>IFERROR(__xludf.DUMMYFUNCTION("""COMPUTED_VALUE"""),"郡山烈火")</f>
        <v>郡山烈火</v>
      </c>
      <c r="B273" s="10">
        <f>IFERROR(__xludf.DUMMYFUNCTION("""COMPUTED_VALUE"""),218.0)</f>
        <v>218</v>
      </c>
      <c r="C273" s="10">
        <f>IFERROR(__xludf.DUMMYFUNCTION("""COMPUTED_VALUE"""),2506.0)</f>
        <v>2506</v>
      </c>
      <c r="D273" s="5">
        <f>IFERROR(__xludf.DUMMYFUNCTION("""COMPUTED_VALUE"""),0.3518356643356643)</f>
        <v>0.3518356643</v>
      </c>
      <c r="E273" s="5">
        <f>IFERROR(__xludf.DUMMYFUNCTION("""COMPUTED_VALUE"""),0.1534090909090909)</f>
        <v>0.1534090909</v>
      </c>
      <c r="F273" s="5">
        <f>IFERROR(__xludf.DUMMYFUNCTION("""COMPUTED_VALUE"""),0.21241258741258742)</f>
        <v>0.2124125874</v>
      </c>
      <c r="G273" s="5">
        <f>IFERROR(__xludf.DUMMYFUNCTION("""COMPUTED_VALUE"""),0.16433566433566432)</f>
        <v>0.1643356643</v>
      </c>
      <c r="H273" s="5">
        <f>IFERROR(__xludf.DUMMYFUNCTION("""COMPUTED_VALUE"""),0.6152263374485597)</f>
        <v>0.6152263374</v>
      </c>
      <c r="I273" s="11">
        <f>IFERROR(__xludf.DUMMYFUNCTION("""COMPUTED_VALUE"""),5459.0534979423865)</f>
        <v>5459.053498</v>
      </c>
      <c r="J273" s="10">
        <f>IFERROR(__xludf.DUMMYFUNCTION("""COMPUTED_VALUE"""),0.0)</f>
        <v>0</v>
      </c>
      <c r="K273" s="5">
        <f>IFERROR(__xludf.DUMMYFUNCTION("""COMPUTED_VALUE"""),0.0)</f>
        <v>0</v>
      </c>
      <c r="L273" s="10">
        <f>IFERROR(__xludf.DUMMYFUNCTION("""COMPUTED_VALUE"""),218.0)</f>
        <v>218</v>
      </c>
      <c r="M273" s="5">
        <f>IFERROR(__xludf.DUMMYFUNCTION("""COMPUTED_VALUE"""),1.0)</f>
        <v>1</v>
      </c>
    </row>
    <row r="274">
      <c r="A274" s="10" t="str">
        <f>IFERROR(__xludf.DUMMYFUNCTION("""COMPUTED_VALUE"""),"yyx0115")</f>
        <v>yyx0115</v>
      </c>
      <c r="B274" s="10">
        <f>IFERROR(__xludf.DUMMYFUNCTION("""COMPUTED_VALUE"""),118.0)</f>
        <v>118</v>
      </c>
      <c r="C274" s="10">
        <f>IFERROR(__xludf.DUMMYFUNCTION("""COMPUTED_VALUE"""),1324.0)</f>
        <v>1324</v>
      </c>
      <c r="D274" s="5">
        <f>IFERROR(__xludf.DUMMYFUNCTION("""COMPUTED_VALUE"""),0.36981757877280264)</f>
        <v>0.3698175788</v>
      </c>
      <c r="E274" s="5">
        <f>IFERROR(__xludf.DUMMYFUNCTION("""COMPUTED_VALUE"""),0.15339966832504145)</f>
        <v>0.1533996683</v>
      </c>
      <c r="F274" s="5">
        <f>IFERROR(__xludf.DUMMYFUNCTION("""COMPUTED_VALUE"""),0.21144278606965175)</f>
        <v>0.2114427861</v>
      </c>
      <c r="G274" s="5">
        <f>IFERROR(__xludf.DUMMYFUNCTION("""COMPUTED_VALUE"""),0.16583747927031509)</f>
        <v>0.1658374793</v>
      </c>
      <c r="H274" s="5">
        <f>IFERROR(__xludf.DUMMYFUNCTION("""COMPUTED_VALUE"""),0.6039215686274509)</f>
        <v>0.6039215686</v>
      </c>
      <c r="I274" s="11">
        <f>IFERROR(__xludf.DUMMYFUNCTION("""COMPUTED_VALUE"""),5682.35294117647)</f>
        <v>5682.352941</v>
      </c>
      <c r="J274" s="10">
        <f>IFERROR(__xludf.DUMMYFUNCTION("""COMPUTED_VALUE"""),0.0)</f>
        <v>0</v>
      </c>
      <c r="K274" s="5">
        <f>IFERROR(__xludf.DUMMYFUNCTION("""COMPUTED_VALUE"""),0.0)</f>
        <v>0</v>
      </c>
      <c r="L274" s="10">
        <f>IFERROR(__xludf.DUMMYFUNCTION("""COMPUTED_VALUE"""),118.0)</f>
        <v>118</v>
      </c>
      <c r="M274" s="5">
        <f>IFERROR(__xludf.DUMMYFUNCTION("""COMPUTED_VALUE"""),1.0)</f>
        <v>1</v>
      </c>
    </row>
    <row r="275">
      <c r="A275" s="10" t="str">
        <f>IFERROR(__xludf.DUMMYFUNCTION("""COMPUTED_VALUE"""),"つのだ＠アビ猫")</f>
        <v>つのだ＠アビ猫</v>
      </c>
      <c r="B275" s="10">
        <f>IFERROR(__xludf.DUMMYFUNCTION("""COMPUTED_VALUE"""),780.0)</f>
        <v>780</v>
      </c>
      <c r="C275" s="10">
        <f>IFERROR(__xludf.DUMMYFUNCTION("""COMPUTED_VALUE"""),8923.0)</f>
        <v>8923</v>
      </c>
      <c r="D275" s="5">
        <f>IFERROR(__xludf.DUMMYFUNCTION("""COMPUTED_VALUE"""),0.30836301117524256)</f>
        <v>0.3083630112</v>
      </c>
      <c r="E275" s="5">
        <f>IFERROR(__xludf.DUMMYFUNCTION("""COMPUTED_VALUE"""),0.1533832739776495)</f>
        <v>0.153383274</v>
      </c>
      <c r="F275" s="5">
        <f>IFERROR(__xludf.DUMMYFUNCTION("""COMPUTED_VALUE"""),0.21920668058455114)</f>
        <v>0.2192066806</v>
      </c>
      <c r="G275" s="5">
        <f>IFERROR(__xludf.DUMMYFUNCTION("""COMPUTED_VALUE"""),0.21110155962176103)</f>
        <v>0.2111015596</v>
      </c>
      <c r="H275" s="5">
        <f>IFERROR(__xludf.DUMMYFUNCTION("""COMPUTED_VALUE"""),0.5910364145658263)</f>
        <v>0.5910364146</v>
      </c>
      <c r="I275" s="11">
        <f>IFERROR(__xludf.DUMMYFUNCTION("""COMPUTED_VALUE"""),6081.008403361345)</f>
        <v>6081.008403</v>
      </c>
      <c r="J275" s="10">
        <f>IFERROR(__xludf.DUMMYFUNCTION("""COMPUTED_VALUE"""),1.0)</f>
        <v>1</v>
      </c>
      <c r="K275" s="5">
        <f>IFERROR(__xludf.DUMMYFUNCTION("""COMPUTED_VALUE"""),0.001282051282051282)</f>
        <v>0.001282051282</v>
      </c>
      <c r="L275" s="10">
        <f>IFERROR(__xludf.DUMMYFUNCTION("""COMPUTED_VALUE"""),780.0)</f>
        <v>780</v>
      </c>
      <c r="M275" s="5">
        <f>IFERROR(__xludf.DUMMYFUNCTION("""COMPUTED_VALUE"""),1.0)</f>
        <v>1</v>
      </c>
    </row>
    <row r="276">
      <c r="A276" s="10" t="str">
        <f>IFERROR(__xludf.DUMMYFUNCTION("""COMPUTED_VALUE"""),"りふれく")</f>
        <v>りふれく</v>
      </c>
      <c r="B276" s="10">
        <f>IFERROR(__xludf.DUMMYFUNCTION("""COMPUTED_VALUE"""),1994.0)</f>
        <v>1994</v>
      </c>
      <c r="C276" s="10">
        <f>IFERROR(__xludf.DUMMYFUNCTION("""COMPUTED_VALUE"""),23128.0)</f>
        <v>23128</v>
      </c>
      <c r="D276" s="5">
        <f>IFERROR(__xludf.DUMMYFUNCTION("""COMPUTED_VALUE"""),0.46545850288634427)</f>
        <v>0.4654585029</v>
      </c>
      <c r="E276" s="5">
        <f>IFERROR(__xludf.DUMMYFUNCTION("""COMPUTED_VALUE"""),0.15335478376076464)</f>
        <v>0.1533547838</v>
      </c>
      <c r="F276" s="5">
        <f>IFERROR(__xludf.DUMMYFUNCTION("""COMPUTED_VALUE"""),0.22858900350146683)</f>
        <v>0.2285890035</v>
      </c>
      <c r="G276" s="5">
        <f>IFERROR(__xludf.DUMMYFUNCTION("""COMPUTED_VALUE"""),0.19210750449512634)</f>
        <v>0.1921075045</v>
      </c>
      <c r="H276" s="5">
        <f>IFERROR(__xludf.DUMMYFUNCTION("""COMPUTED_VALUE"""),0.5994618091492445)</f>
        <v>0.5994618091</v>
      </c>
      <c r="I276" s="11">
        <f>IFERROR(__xludf.DUMMYFUNCTION("""COMPUTED_VALUE"""),5487.538811840199)</f>
        <v>5487.538812</v>
      </c>
      <c r="J276" s="10">
        <f>IFERROR(__xludf.DUMMYFUNCTION("""COMPUTED_VALUE"""),2.0)</f>
        <v>2</v>
      </c>
      <c r="K276" s="5">
        <f>IFERROR(__xludf.DUMMYFUNCTION("""COMPUTED_VALUE"""),0.0010030090270812437)</f>
        <v>0.001003009027</v>
      </c>
      <c r="L276" s="10">
        <f>IFERROR(__xludf.DUMMYFUNCTION("""COMPUTED_VALUE"""),1994.0)</f>
        <v>1994</v>
      </c>
      <c r="M276" s="5">
        <f>IFERROR(__xludf.DUMMYFUNCTION("""COMPUTED_VALUE"""),1.0)</f>
        <v>1</v>
      </c>
    </row>
    <row r="277">
      <c r="A277" s="10" t="str">
        <f>IFERROR(__xludf.DUMMYFUNCTION("""COMPUTED_VALUE"""),"バッハ")</f>
        <v>バッハ</v>
      </c>
      <c r="B277" s="10">
        <f>IFERROR(__xludf.DUMMYFUNCTION("""COMPUTED_VALUE"""),1690.0)</f>
        <v>1690</v>
      </c>
      <c r="C277" s="10">
        <f>IFERROR(__xludf.DUMMYFUNCTION("""COMPUTED_VALUE"""),19418.0)</f>
        <v>19418</v>
      </c>
      <c r="D277" s="5">
        <f>IFERROR(__xludf.DUMMYFUNCTION("""COMPUTED_VALUE"""),0.36501579422382674)</f>
        <v>0.3650157942</v>
      </c>
      <c r="E277" s="5">
        <f>IFERROR(__xludf.DUMMYFUNCTION("""COMPUTED_VALUE"""),0.15331678700361012)</f>
        <v>0.153316787</v>
      </c>
      <c r="F277" s="5">
        <f>IFERROR(__xludf.DUMMYFUNCTION("""COMPUTED_VALUE"""),0.21638086642599277)</f>
        <v>0.2163808664</v>
      </c>
      <c r="G277" s="5">
        <f>IFERROR(__xludf.DUMMYFUNCTION("""COMPUTED_VALUE"""),0.1811259025270758)</f>
        <v>0.1811259025</v>
      </c>
      <c r="H277" s="5">
        <f>IFERROR(__xludf.DUMMYFUNCTION("""COMPUTED_VALUE"""),0.6047966631908238)</f>
        <v>0.6047966632</v>
      </c>
      <c r="I277" s="11">
        <f>IFERROR(__xludf.DUMMYFUNCTION("""COMPUTED_VALUE"""),5910.036496350365)</f>
        <v>5910.036496</v>
      </c>
      <c r="J277" s="10">
        <f>IFERROR(__xludf.DUMMYFUNCTION("""COMPUTED_VALUE"""),5.0)</f>
        <v>5</v>
      </c>
      <c r="K277" s="5">
        <f>IFERROR(__xludf.DUMMYFUNCTION("""COMPUTED_VALUE"""),0.0029585798816568047)</f>
        <v>0.002958579882</v>
      </c>
      <c r="L277" s="10">
        <f>IFERROR(__xludf.DUMMYFUNCTION("""COMPUTED_VALUE"""),1690.0)</f>
        <v>1690</v>
      </c>
      <c r="M277" s="5">
        <f>IFERROR(__xludf.DUMMYFUNCTION("""COMPUTED_VALUE"""),1.0)</f>
        <v>1</v>
      </c>
    </row>
    <row r="278">
      <c r="A278" s="10" t="str">
        <f>IFERROR(__xludf.DUMMYFUNCTION("""COMPUTED_VALUE"""),"s-royal")</f>
        <v>s-royal</v>
      </c>
      <c r="B278" s="10">
        <f>IFERROR(__xludf.DUMMYFUNCTION("""COMPUTED_VALUE"""),145.0)</f>
        <v>145</v>
      </c>
      <c r="C278" s="10">
        <f>IFERROR(__xludf.DUMMYFUNCTION("""COMPUTED_VALUE"""),1691.0)</f>
        <v>1691</v>
      </c>
      <c r="D278" s="5">
        <f>IFERROR(__xludf.DUMMYFUNCTION("""COMPUTED_VALUE"""),0.3783958602846054)</f>
        <v>0.3783958603</v>
      </c>
      <c r="E278" s="5">
        <f>IFERROR(__xludf.DUMMYFUNCTION("""COMPUTED_VALUE"""),0.15329883570504527)</f>
        <v>0.1532988357</v>
      </c>
      <c r="F278" s="5">
        <f>IFERROR(__xludf.DUMMYFUNCTION("""COMPUTED_VALUE"""),0.2115135834411384)</f>
        <v>0.2115135834</v>
      </c>
      <c r="G278" s="5">
        <f>IFERROR(__xludf.DUMMYFUNCTION("""COMPUTED_VALUE"""),0.21021992238033635)</f>
        <v>0.2102199224</v>
      </c>
      <c r="H278" s="5">
        <f>IFERROR(__xludf.DUMMYFUNCTION("""COMPUTED_VALUE"""),0.6085626911314985)</f>
        <v>0.6085626911</v>
      </c>
      <c r="I278" s="11">
        <f>IFERROR(__xludf.DUMMYFUNCTION("""COMPUTED_VALUE"""),6176.146788990825)</f>
        <v>6176.146789</v>
      </c>
      <c r="J278" s="10">
        <f>IFERROR(__xludf.DUMMYFUNCTION("""COMPUTED_VALUE"""),3.0)</f>
        <v>3</v>
      </c>
      <c r="K278" s="5">
        <f>IFERROR(__xludf.DUMMYFUNCTION("""COMPUTED_VALUE"""),0.020689655172413793)</f>
        <v>0.02068965517</v>
      </c>
      <c r="L278" s="10">
        <f>IFERROR(__xludf.DUMMYFUNCTION("""COMPUTED_VALUE"""),145.0)</f>
        <v>145</v>
      </c>
      <c r="M278" s="5">
        <f>IFERROR(__xludf.DUMMYFUNCTION("""COMPUTED_VALUE"""),1.0)</f>
        <v>1</v>
      </c>
    </row>
    <row r="279">
      <c r="A279" s="10" t="str">
        <f>IFERROR(__xludf.DUMMYFUNCTION("""COMPUTED_VALUE"""),"ＸＹＺ")</f>
        <v>ＸＹＺ</v>
      </c>
      <c r="B279" s="10">
        <f>IFERROR(__xludf.DUMMYFUNCTION("""COMPUTED_VALUE"""),190.0)</f>
        <v>190</v>
      </c>
      <c r="C279" s="10">
        <f>IFERROR(__xludf.DUMMYFUNCTION("""COMPUTED_VALUE"""),2194.0)</f>
        <v>2194</v>
      </c>
      <c r="D279" s="5">
        <f>IFERROR(__xludf.DUMMYFUNCTION("""COMPUTED_VALUE"""),0.3498003992015968)</f>
        <v>0.3498003992</v>
      </c>
      <c r="E279" s="5">
        <f>IFERROR(__xludf.DUMMYFUNCTION("""COMPUTED_VALUE"""),0.1531936127744511)</f>
        <v>0.1531936128</v>
      </c>
      <c r="F279" s="5">
        <f>IFERROR(__xludf.DUMMYFUNCTION("""COMPUTED_VALUE"""),0.21057884231536927)</f>
        <v>0.2105788423</v>
      </c>
      <c r="G279" s="5">
        <f>IFERROR(__xludf.DUMMYFUNCTION("""COMPUTED_VALUE"""),0.1751497005988024)</f>
        <v>0.1751497006</v>
      </c>
      <c r="H279" s="5">
        <f>IFERROR(__xludf.DUMMYFUNCTION("""COMPUTED_VALUE"""),0.6161137440758294)</f>
        <v>0.6161137441</v>
      </c>
      <c r="I279" s="11">
        <f>IFERROR(__xludf.DUMMYFUNCTION("""COMPUTED_VALUE"""),5425.592417061612)</f>
        <v>5425.592417</v>
      </c>
      <c r="J279" s="10">
        <f>IFERROR(__xludf.DUMMYFUNCTION("""COMPUTED_VALUE"""),1.0)</f>
        <v>1</v>
      </c>
      <c r="K279" s="5">
        <f>IFERROR(__xludf.DUMMYFUNCTION("""COMPUTED_VALUE"""),0.005263157894736842)</f>
        <v>0.005263157895</v>
      </c>
      <c r="L279" s="10">
        <f>IFERROR(__xludf.DUMMYFUNCTION("""COMPUTED_VALUE"""),188.0)</f>
        <v>188</v>
      </c>
      <c r="M279" s="5">
        <f>IFERROR(__xludf.DUMMYFUNCTION("""COMPUTED_VALUE"""),0.9894736842105263)</f>
        <v>0.9894736842</v>
      </c>
    </row>
    <row r="280">
      <c r="A280" s="10" t="str">
        <f>IFERROR(__xludf.DUMMYFUNCTION("""COMPUTED_VALUE"""),"代スケッチ")</f>
        <v>代スケッチ</v>
      </c>
      <c r="B280" s="10">
        <f>IFERROR(__xludf.DUMMYFUNCTION("""COMPUTED_VALUE"""),288.0)</f>
        <v>288</v>
      </c>
      <c r="C280" s="10">
        <f>IFERROR(__xludf.DUMMYFUNCTION("""COMPUTED_VALUE"""),3402.0)</f>
        <v>3402</v>
      </c>
      <c r="D280" s="5">
        <f>IFERROR(__xludf.DUMMYFUNCTION("""COMPUTED_VALUE"""),0.2697495183044316)</f>
        <v>0.2697495183</v>
      </c>
      <c r="E280" s="5">
        <f>IFERROR(__xludf.DUMMYFUNCTION("""COMPUTED_VALUE"""),0.1531791907514451)</f>
        <v>0.1531791908</v>
      </c>
      <c r="F280" s="5">
        <f>IFERROR(__xludf.DUMMYFUNCTION("""COMPUTED_VALUE"""),0.19653179190751446)</f>
        <v>0.1965317919</v>
      </c>
      <c r="G280" s="5">
        <f>IFERROR(__xludf.DUMMYFUNCTION("""COMPUTED_VALUE"""),0.15703275529865124)</f>
        <v>0.1570327553</v>
      </c>
      <c r="H280" s="5">
        <f>IFERROR(__xludf.DUMMYFUNCTION("""COMPUTED_VALUE"""),0.5816993464052288)</f>
        <v>0.5816993464</v>
      </c>
      <c r="I280" s="11">
        <f>IFERROR(__xludf.DUMMYFUNCTION("""COMPUTED_VALUE"""),6055.392156862745)</f>
        <v>6055.392157</v>
      </c>
      <c r="J280" s="10">
        <f>IFERROR(__xludf.DUMMYFUNCTION("""COMPUTED_VALUE"""),2.0)</f>
        <v>2</v>
      </c>
      <c r="K280" s="5">
        <f>IFERROR(__xludf.DUMMYFUNCTION("""COMPUTED_VALUE"""),0.006944444444444444)</f>
        <v>0.006944444444</v>
      </c>
      <c r="L280" s="10">
        <f>IFERROR(__xludf.DUMMYFUNCTION("""COMPUTED_VALUE"""),288.0)</f>
        <v>288</v>
      </c>
      <c r="M280" s="5">
        <f>IFERROR(__xludf.DUMMYFUNCTION("""COMPUTED_VALUE"""),1.0)</f>
        <v>1</v>
      </c>
    </row>
    <row r="281">
      <c r="A281" s="10" t="str">
        <f>IFERROR(__xludf.DUMMYFUNCTION("""COMPUTED_VALUE"""),"fighters")</f>
        <v>fighters</v>
      </c>
      <c r="B281" s="10">
        <f>IFERROR(__xludf.DUMMYFUNCTION("""COMPUTED_VALUE"""),1180.0)</f>
        <v>1180</v>
      </c>
      <c r="C281" s="10">
        <f>IFERROR(__xludf.DUMMYFUNCTION("""COMPUTED_VALUE"""),13898.0)</f>
        <v>13898</v>
      </c>
      <c r="D281" s="5">
        <f>IFERROR(__xludf.DUMMYFUNCTION("""COMPUTED_VALUE"""),0.4491272212612046)</f>
        <v>0.4491272213</v>
      </c>
      <c r="E281" s="5">
        <f>IFERROR(__xludf.DUMMYFUNCTION("""COMPUTED_VALUE"""),0.15316873722283378)</f>
        <v>0.1531687372</v>
      </c>
      <c r="F281" s="5">
        <f>IFERROR(__xludf.DUMMYFUNCTION("""COMPUTED_VALUE"""),0.21662211039471616)</f>
        <v>0.2166221104</v>
      </c>
      <c r="G281" s="5">
        <f>IFERROR(__xludf.DUMMYFUNCTION("""COMPUTED_VALUE"""),0.1604812077370656)</f>
        <v>0.1604812077</v>
      </c>
      <c r="H281" s="5">
        <f>IFERROR(__xludf.DUMMYFUNCTION("""COMPUTED_VALUE"""),0.6007259528130672)</f>
        <v>0.6007259528</v>
      </c>
      <c r="I281" s="11">
        <f>IFERROR(__xludf.DUMMYFUNCTION("""COMPUTED_VALUE"""),5586.932849364791)</f>
        <v>5586.932849</v>
      </c>
      <c r="J281" s="10">
        <f>IFERROR(__xludf.DUMMYFUNCTION("""COMPUTED_VALUE"""),1.0)</f>
        <v>1</v>
      </c>
      <c r="K281" s="5">
        <f>IFERROR(__xludf.DUMMYFUNCTION("""COMPUTED_VALUE"""),8.47457627118644E-4)</f>
        <v>0.0008474576271</v>
      </c>
      <c r="L281" s="10">
        <f>IFERROR(__xludf.DUMMYFUNCTION("""COMPUTED_VALUE"""),1180.0)</f>
        <v>1180</v>
      </c>
      <c r="M281" s="5">
        <f>IFERROR(__xludf.DUMMYFUNCTION("""COMPUTED_VALUE"""),1.0)</f>
        <v>1</v>
      </c>
    </row>
    <row r="282">
      <c r="A282" s="10" t="str">
        <f>IFERROR(__xludf.DUMMYFUNCTION("""COMPUTED_VALUE"""),"自重")</f>
        <v>自重</v>
      </c>
      <c r="B282" s="10">
        <f>IFERROR(__xludf.DUMMYFUNCTION("""COMPUTED_VALUE"""),380.0)</f>
        <v>380</v>
      </c>
      <c r="C282" s="10">
        <f>IFERROR(__xludf.DUMMYFUNCTION("""COMPUTED_VALUE"""),4456.0)</f>
        <v>4456</v>
      </c>
      <c r="D282" s="5">
        <f>IFERROR(__xludf.DUMMYFUNCTION("""COMPUTED_VALUE"""),0.3319430814524043)</f>
        <v>0.3319430815</v>
      </c>
      <c r="E282" s="5">
        <f>IFERROR(__xludf.DUMMYFUNCTION("""COMPUTED_VALUE"""),0.15309126594700687)</f>
        <v>0.1530912659</v>
      </c>
      <c r="F282" s="5">
        <f>IFERROR(__xludf.DUMMYFUNCTION("""COMPUTED_VALUE"""),0.20682041216879293)</f>
        <v>0.2068204122</v>
      </c>
      <c r="G282" s="5">
        <f>IFERROR(__xludf.DUMMYFUNCTION("""COMPUTED_VALUE"""),0.1928361138370952)</f>
        <v>0.1928361138</v>
      </c>
      <c r="H282" s="5">
        <f>IFERROR(__xludf.DUMMYFUNCTION("""COMPUTED_VALUE"""),0.5788849347568209)</f>
        <v>0.5788849348</v>
      </c>
      <c r="I282" s="11">
        <f>IFERROR(__xludf.DUMMYFUNCTION("""COMPUTED_VALUE"""),5915.421115065244)</f>
        <v>5915.421115</v>
      </c>
      <c r="J282" s="10">
        <f>IFERROR(__xludf.DUMMYFUNCTION("""COMPUTED_VALUE"""),2.0)</f>
        <v>2</v>
      </c>
      <c r="K282" s="5">
        <f>IFERROR(__xludf.DUMMYFUNCTION("""COMPUTED_VALUE"""),0.005263157894736842)</f>
        <v>0.005263157895</v>
      </c>
      <c r="L282" s="10">
        <f>IFERROR(__xludf.DUMMYFUNCTION("""COMPUTED_VALUE"""),380.0)</f>
        <v>380</v>
      </c>
      <c r="M282" s="5">
        <f>IFERROR(__xludf.DUMMYFUNCTION("""COMPUTED_VALUE"""),1.0)</f>
        <v>1</v>
      </c>
    </row>
    <row r="283">
      <c r="A283" s="10" t="str">
        <f>IFERROR(__xludf.DUMMYFUNCTION("""COMPUTED_VALUE"""),"morekou")</f>
        <v>morekou</v>
      </c>
      <c r="B283" s="10">
        <f>IFERROR(__xludf.DUMMYFUNCTION("""COMPUTED_VALUE"""),343.0)</f>
        <v>343</v>
      </c>
      <c r="C283" s="10">
        <f>IFERROR(__xludf.DUMMYFUNCTION("""COMPUTED_VALUE"""),3962.0)</f>
        <v>3962</v>
      </c>
      <c r="D283" s="5">
        <f>IFERROR(__xludf.DUMMYFUNCTION("""COMPUTED_VALUE"""),0.39568941696601273)</f>
        <v>0.395689417</v>
      </c>
      <c r="E283" s="5">
        <f>IFERROR(__xludf.DUMMYFUNCTION("""COMPUTED_VALUE"""),0.1530809615915999)</f>
        <v>0.1530809616</v>
      </c>
      <c r="F283" s="5">
        <f>IFERROR(__xludf.DUMMYFUNCTION("""COMPUTED_VALUE"""),0.23708206686930092)</f>
        <v>0.2370820669</v>
      </c>
      <c r="G283" s="5">
        <f>IFERROR(__xludf.DUMMYFUNCTION("""COMPUTED_VALUE"""),0.17546283503730312)</f>
        <v>0.175462835</v>
      </c>
      <c r="H283" s="5">
        <f>IFERROR(__xludf.DUMMYFUNCTION("""COMPUTED_VALUE"""),0.6060606060606061)</f>
        <v>0.6060606061</v>
      </c>
      <c r="I283" s="11">
        <f>IFERROR(__xludf.DUMMYFUNCTION("""COMPUTED_VALUE"""),5224.941724941725)</f>
        <v>5224.941725</v>
      </c>
      <c r="J283" s="10">
        <f>IFERROR(__xludf.DUMMYFUNCTION("""COMPUTED_VALUE"""),0.0)</f>
        <v>0</v>
      </c>
      <c r="K283" s="5">
        <f>IFERROR(__xludf.DUMMYFUNCTION("""COMPUTED_VALUE"""),0.0)</f>
        <v>0</v>
      </c>
      <c r="L283" s="10">
        <f>IFERROR(__xludf.DUMMYFUNCTION("""COMPUTED_VALUE"""),343.0)</f>
        <v>343</v>
      </c>
      <c r="M283" s="5">
        <f>IFERROR(__xludf.DUMMYFUNCTION("""COMPUTED_VALUE"""),1.0)</f>
        <v>1</v>
      </c>
    </row>
    <row r="284">
      <c r="A284" s="10" t="str">
        <f>IFERROR(__xludf.DUMMYFUNCTION("""COMPUTED_VALUE"""),"ターツ")</f>
        <v>ターツ</v>
      </c>
      <c r="B284" s="10">
        <f>IFERROR(__xludf.DUMMYFUNCTION("""COMPUTED_VALUE"""),350.0)</f>
        <v>350</v>
      </c>
      <c r="C284" s="10">
        <f>IFERROR(__xludf.DUMMYFUNCTION("""COMPUTED_VALUE"""),4100.0)</f>
        <v>4100</v>
      </c>
      <c r="D284" s="5">
        <f>IFERROR(__xludf.DUMMYFUNCTION("""COMPUTED_VALUE"""),0.3368)</f>
        <v>0.3368</v>
      </c>
      <c r="E284" s="5">
        <f>IFERROR(__xludf.DUMMYFUNCTION("""COMPUTED_VALUE"""),0.15306666666666666)</f>
        <v>0.1530666667</v>
      </c>
      <c r="F284" s="5">
        <f>IFERROR(__xludf.DUMMYFUNCTION("""COMPUTED_VALUE"""),0.2)</f>
        <v>0.2</v>
      </c>
      <c r="G284" s="5">
        <f>IFERROR(__xludf.DUMMYFUNCTION("""COMPUTED_VALUE"""),0.1688)</f>
        <v>0.1688</v>
      </c>
      <c r="H284" s="5">
        <f>IFERROR(__xludf.DUMMYFUNCTION("""COMPUTED_VALUE"""),0.612)</f>
        <v>0.612</v>
      </c>
      <c r="I284" s="11">
        <f>IFERROR(__xludf.DUMMYFUNCTION("""COMPUTED_VALUE"""),6299.733333333334)</f>
        <v>6299.733333</v>
      </c>
      <c r="J284" s="10">
        <f>IFERROR(__xludf.DUMMYFUNCTION("""COMPUTED_VALUE"""),1.0)</f>
        <v>1</v>
      </c>
      <c r="K284" s="5">
        <f>IFERROR(__xludf.DUMMYFUNCTION("""COMPUTED_VALUE"""),0.002857142857142857)</f>
        <v>0.002857142857</v>
      </c>
      <c r="L284" s="10">
        <f>IFERROR(__xludf.DUMMYFUNCTION("""COMPUTED_VALUE"""),350.0)</f>
        <v>350</v>
      </c>
      <c r="M284" s="5">
        <f>IFERROR(__xludf.DUMMYFUNCTION("""COMPUTED_VALUE"""),1.0)</f>
        <v>1</v>
      </c>
    </row>
    <row r="285">
      <c r="A285" s="10" t="str">
        <f>IFERROR(__xludf.DUMMYFUNCTION("""COMPUTED_VALUE"""),"スライムナイト")</f>
        <v>スライムナイト</v>
      </c>
      <c r="B285" s="10">
        <f>IFERROR(__xludf.DUMMYFUNCTION("""COMPUTED_VALUE"""),166.0)</f>
        <v>166</v>
      </c>
      <c r="C285" s="10">
        <f>IFERROR(__xludf.DUMMYFUNCTION("""COMPUTED_VALUE"""),1937.0)</f>
        <v>1937</v>
      </c>
      <c r="D285" s="5">
        <f>IFERROR(__xludf.DUMMYFUNCTION("""COMPUTED_VALUE"""),0.2924901185770751)</f>
        <v>0.2924901186</v>
      </c>
      <c r="E285" s="5">
        <f>IFERROR(__xludf.DUMMYFUNCTION("""COMPUTED_VALUE"""),0.15302089215132694)</f>
        <v>0.1530208922</v>
      </c>
      <c r="F285" s="5">
        <f>IFERROR(__xludf.DUMMYFUNCTION("""COMPUTED_VALUE"""),0.19649915302089216)</f>
        <v>0.196499153</v>
      </c>
      <c r="G285" s="5">
        <f>IFERROR(__xludf.DUMMYFUNCTION("""COMPUTED_VALUE"""),0.18746470920383965)</f>
        <v>0.1874647092</v>
      </c>
      <c r="H285" s="5">
        <f>IFERROR(__xludf.DUMMYFUNCTION("""COMPUTED_VALUE"""),0.5517241379310345)</f>
        <v>0.5517241379</v>
      </c>
      <c r="I285" s="11">
        <f>IFERROR(__xludf.DUMMYFUNCTION("""COMPUTED_VALUE"""),5871.551724137931)</f>
        <v>5871.551724</v>
      </c>
      <c r="J285" s="10">
        <f>IFERROR(__xludf.DUMMYFUNCTION("""COMPUTED_VALUE"""),0.0)</f>
        <v>0</v>
      </c>
      <c r="K285" s="5">
        <f>IFERROR(__xludf.DUMMYFUNCTION("""COMPUTED_VALUE"""),0.0)</f>
        <v>0</v>
      </c>
      <c r="L285" s="10">
        <f>IFERROR(__xludf.DUMMYFUNCTION("""COMPUTED_VALUE"""),166.0)</f>
        <v>166</v>
      </c>
      <c r="M285" s="5">
        <f>IFERROR(__xludf.DUMMYFUNCTION("""COMPUTED_VALUE"""),1.0)</f>
        <v>1</v>
      </c>
    </row>
    <row r="286">
      <c r="A286" s="10" t="str">
        <f>IFERROR(__xludf.DUMMYFUNCTION("""COMPUTED_VALUE"""),"なすび４")</f>
        <v>なすび４</v>
      </c>
      <c r="B286" s="10">
        <f>IFERROR(__xludf.DUMMYFUNCTION("""COMPUTED_VALUE"""),231.0)</f>
        <v>231</v>
      </c>
      <c r="C286" s="10">
        <f>IFERROR(__xludf.DUMMYFUNCTION("""COMPUTED_VALUE"""),2715.0)</f>
        <v>2715</v>
      </c>
      <c r="D286" s="5">
        <f>IFERROR(__xludf.DUMMYFUNCTION("""COMPUTED_VALUE"""),0.3780193236714976)</f>
        <v>0.3780193237</v>
      </c>
      <c r="E286" s="5">
        <f>IFERROR(__xludf.DUMMYFUNCTION("""COMPUTED_VALUE"""),0.1529790660225443)</f>
        <v>0.152979066</v>
      </c>
      <c r="F286" s="5">
        <f>IFERROR(__xludf.DUMMYFUNCTION("""COMPUTED_VALUE"""),0.21618357487922704)</f>
        <v>0.2161835749</v>
      </c>
      <c r="G286" s="5">
        <f>IFERROR(__xludf.DUMMYFUNCTION("""COMPUTED_VALUE"""),0.14492753623188406)</f>
        <v>0.1449275362</v>
      </c>
      <c r="H286" s="5">
        <f>IFERROR(__xludf.DUMMYFUNCTION("""COMPUTED_VALUE"""),0.6219739292364991)</f>
        <v>0.6219739292</v>
      </c>
      <c r="I286" s="11">
        <f>IFERROR(__xludf.DUMMYFUNCTION("""COMPUTED_VALUE"""),5536.871508379888)</f>
        <v>5536.871508</v>
      </c>
      <c r="J286" s="10">
        <f>IFERROR(__xludf.DUMMYFUNCTION("""COMPUTED_VALUE"""),0.0)</f>
        <v>0</v>
      </c>
      <c r="K286" s="5">
        <f>IFERROR(__xludf.DUMMYFUNCTION("""COMPUTED_VALUE"""),0.0)</f>
        <v>0</v>
      </c>
      <c r="L286" s="10">
        <f>IFERROR(__xludf.DUMMYFUNCTION("""COMPUTED_VALUE"""),231.0)</f>
        <v>231</v>
      </c>
      <c r="M286" s="5">
        <f>IFERROR(__xludf.DUMMYFUNCTION("""COMPUTED_VALUE"""),1.0)</f>
        <v>1</v>
      </c>
    </row>
    <row r="287">
      <c r="A287" s="10" t="str">
        <f>IFERROR(__xludf.DUMMYFUNCTION("""COMPUTED_VALUE"""),"大辻")</f>
        <v>大辻</v>
      </c>
      <c r="B287" s="10">
        <f>IFERROR(__xludf.DUMMYFUNCTION("""COMPUTED_VALUE"""),248.0)</f>
        <v>248</v>
      </c>
      <c r="C287" s="10">
        <f>IFERROR(__xludf.DUMMYFUNCTION("""COMPUTED_VALUE"""),2883.0)</f>
        <v>2883</v>
      </c>
      <c r="D287" s="5">
        <f>IFERROR(__xludf.DUMMYFUNCTION("""COMPUTED_VALUE"""),0.28994307400379504)</f>
        <v>0.289943074</v>
      </c>
      <c r="E287" s="5">
        <f>IFERROR(__xludf.DUMMYFUNCTION("""COMPUTED_VALUE"""),0.15294117647058825)</f>
        <v>0.1529411765</v>
      </c>
      <c r="F287" s="5">
        <f>IFERROR(__xludf.DUMMYFUNCTION("""COMPUTED_VALUE"""),0.20569259962049335)</f>
        <v>0.2056925996</v>
      </c>
      <c r="G287" s="5">
        <f>IFERROR(__xludf.DUMMYFUNCTION("""COMPUTED_VALUE"""),0.21024667931688804)</f>
        <v>0.2102466793</v>
      </c>
      <c r="H287" s="5">
        <f>IFERROR(__xludf.DUMMYFUNCTION("""COMPUTED_VALUE"""),0.584870848708487)</f>
        <v>0.5848708487</v>
      </c>
      <c r="I287" s="11">
        <f>IFERROR(__xludf.DUMMYFUNCTION("""COMPUTED_VALUE"""),6080.9963099630995)</f>
        <v>6080.99631</v>
      </c>
      <c r="J287" s="10">
        <f>IFERROR(__xludf.DUMMYFUNCTION("""COMPUTED_VALUE"""),0.0)</f>
        <v>0</v>
      </c>
      <c r="K287" s="5">
        <f>IFERROR(__xludf.DUMMYFUNCTION("""COMPUTED_VALUE"""),0.0)</f>
        <v>0</v>
      </c>
      <c r="L287" s="10">
        <f>IFERROR(__xludf.DUMMYFUNCTION("""COMPUTED_VALUE"""),248.0)</f>
        <v>248</v>
      </c>
      <c r="M287" s="5">
        <f>IFERROR(__xludf.DUMMYFUNCTION("""COMPUTED_VALUE"""),1.0)</f>
        <v>1</v>
      </c>
    </row>
    <row r="288">
      <c r="A288" s="10" t="str">
        <f>IFERROR(__xludf.DUMMYFUNCTION("""COMPUTED_VALUE"""),"poikai3")</f>
        <v>poikai3</v>
      </c>
      <c r="B288" s="10">
        <f>IFERROR(__xludf.DUMMYFUNCTION("""COMPUTED_VALUE"""),298.0)</f>
        <v>298</v>
      </c>
      <c r="C288" s="10">
        <f>IFERROR(__xludf.DUMMYFUNCTION("""COMPUTED_VALUE"""),3561.0)</f>
        <v>3561</v>
      </c>
      <c r="D288" s="5">
        <f>IFERROR(__xludf.DUMMYFUNCTION("""COMPUTED_VALUE"""),0.3475329451425069)</f>
        <v>0.3475329451</v>
      </c>
      <c r="E288" s="5">
        <f>IFERROR(__xludf.DUMMYFUNCTION("""COMPUTED_VALUE"""),0.15292675452038001)</f>
        <v>0.1529267545</v>
      </c>
      <c r="F288" s="5">
        <f>IFERROR(__xludf.DUMMYFUNCTION("""COMPUTED_VALUE"""),0.21575237511492493)</f>
        <v>0.2157523751</v>
      </c>
      <c r="G288" s="5">
        <f>IFERROR(__xludf.DUMMYFUNCTION("""COMPUTED_VALUE"""),0.2083971805087343)</f>
        <v>0.2083971805</v>
      </c>
      <c r="H288" s="5">
        <f>IFERROR(__xludf.DUMMYFUNCTION("""COMPUTED_VALUE"""),0.5823863636363636)</f>
        <v>0.5823863636</v>
      </c>
      <c r="I288" s="11">
        <f>IFERROR(__xludf.DUMMYFUNCTION("""COMPUTED_VALUE"""),6020.170454545455)</f>
        <v>6020.170455</v>
      </c>
      <c r="J288" s="10">
        <f>IFERROR(__xludf.DUMMYFUNCTION("""COMPUTED_VALUE"""),1.0)</f>
        <v>1</v>
      </c>
      <c r="K288" s="5">
        <f>IFERROR(__xludf.DUMMYFUNCTION("""COMPUTED_VALUE"""),0.003355704697986577)</f>
        <v>0.003355704698</v>
      </c>
      <c r="L288" s="10">
        <f>IFERROR(__xludf.DUMMYFUNCTION("""COMPUTED_VALUE"""),0.0)</f>
        <v>0</v>
      </c>
      <c r="M288" s="5">
        <f>IFERROR(__xludf.DUMMYFUNCTION("""COMPUTED_VALUE"""),0.0)</f>
        <v>0</v>
      </c>
    </row>
    <row r="289">
      <c r="A289" s="10" t="str">
        <f>IFERROR(__xludf.DUMMYFUNCTION("""COMPUTED_VALUE"""),"小鳴立直")</f>
        <v>小鳴立直</v>
      </c>
      <c r="B289" s="10">
        <f>IFERROR(__xludf.DUMMYFUNCTION("""COMPUTED_VALUE"""),106.0)</f>
        <v>106</v>
      </c>
      <c r="C289" s="10">
        <f>IFERROR(__xludf.DUMMYFUNCTION("""COMPUTED_VALUE"""),1225.0)</f>
        <v>1225</v>
      </c>
      <c r="D289" s="5">
        <f>IFERROR(__xludf.DUMMYFUNCTION("""COMPUTED_VALUE"""),0.34048257372654156)</f>
        <v>0.3404825737</v>
      </c>
      <c r="E289" s="5">
        <f>IFERROR(__xludf.DUMMYFUNCTION("""COMPUTED_VALUE"""),0.15281501340482573)</f>
        <v>0.1528150134</v>
      </c>
      <c r="F289" s="5">
        <f>IFERROR(__xludf.DUMMYFUNCTION("""COMPUTED_VALUE"""),0.225201072386059)</f>
        <v>0.2252010724</v>
      </c>
      <c r="G289" s="5">
        <f>IFERROR(__xludf.DUMMYFUNCTION("""COMPUTED_VALUE"""),0.20732797140303844)</f>
        <v>0.2073279714</v>
      </c>
      <c r="H289" s="5">
        <f>IFERROR(__xludf.DUMMYFUNCTION("""COMPUTED_VALUE"""),0.5912698412698413)</f>
        <v>0.5912698413</v>
      </c>
      <c r="I289" s="11">
        <f>IFERROR(__xludf.DUMMYFUNCTION("""COMPUTED_VALUE"""),5337.6984126984125)</f>
        <v>5337.698413</v>
      </c>
      <c r="J289" s="10">
        <f>IFERROR(__xludf.DUMMYFUNCTION("""COMPUTED_VALUE"""),0.0)</f>
        <v>0</v>
      </c>
      <c r="K289" s="5">
        <f>IFERROR(__xludf.DUMMYFUNCTION("""COMPUTED_VALUE"""),0.0)</f>
        <v>0</v>
      </c>
      <c r="L289" s="10">
        <f>IFERROR(__xludf.DUMMYFUNCTION("""COMPUTED_VALUE"""),106.0)</f>
        <v>106</v>
      </c>
      <c r="M289" s="5">
        <f>IFERROR(__xludf.DUMMYFUNCTION("""COMPUTED_VALUE"""),1.0)</f>
        <v>1</v>
      </c>
    </row>
    <row r="290">
      <c r="A290" s="10" t="str">
        <f>IFERROR(__xludf.DUMMYFUNCTION("""COMPUTED_VALUE"""),"麻雀やめたい")</f>
        <v>麻雀やめたい</v>
      </c>
      <c r="B290" s="10">
        <f>IFERROR(__xludf.DUMMYFUNCTION("""COMPUTED_VALUE"""),275.0)</f>
        <v>275</v>
      </c>
      <c r="C290" s="10">
        <f>IFERROR(__xludf.DUMMYFUNCTION("""COMPUTED_VALUE"""),3233.0)</f>
        <v>3233</v>
      </c>
      <c r="D290" s="5">
        <f>IFERROR(__xludf.DUMMYFUNCTION("""COMPUTED_VALUE"""),0.35294117647058826)</f>
        <v>0.3529411765</v>
      </c>
      <c r="E290" s="5">
        <f>IFERROR(__xludf.DUMMYFUNCTION("""COMPUTED_VALUE"""),0.15280594996619337)</f>
        <v>0.15280595</v>
      </c>
      <c r="F290" s="5">
        <f>IFERROR(__xludf.DUMMYFUNCTION("""COMPUTED_VALUE"""),0.20453008789722785)</f>
        <v>0.2045300879</v>
      </c>
      <c r="G290" s="5">
        <f>IFERROR(__xludf.DUMMYFUNCTION("""COMPUTED_VALUE"""),0.17106152805949967)</f>
        <v>0.1710615281</v>
      </c>
      <c r="H290" s="5">
        <f>IFERROR(__xludf.DUMMYFUNCTION("""COMPUTED_VALUE"""),0.6099173553719008)</f>
        <v>0.6099173554</v>
      </c>
      <c r="I290" s="11">
        <f>IFERROR(__xludf.DUMMYFUNCTION("""COMPUTED_VALUE"""),5803.471074380165)</f>
        <v>5803.471074</v>
      </c>
      <c r="J290" s="10">
        <f>IFERROR(__xludf.DUMMYFUNCTION("""COMPUTED_VALUE"""),0.0)</f>
        <v>0</v>
      </c>
      <c r="K290" s="5">
        <f>IFERROR(__xludf.DUMMYFUNCTION("""COMPUTED_VALUE"""),0.0)</f>
        <v>0</v>
      </c>
      <c r="L290" s="10">
        <f>IFERROR(__xludf.DUMMYFUNCTION("""COMPUTED_VALUE"""),0.0)</f>
        <v>0</v>
      </c>
      <c r="M290" s="5">
        <f>IFERROR(__xludf.DUMMYFUNCTION("""COMPUTED_VALUE"""),0.0)</f>
        <v>0</v>
      </c>
    </row>
    <row r="291">
      <c r="A291" s="10" t="str">
        <f>IFERROR(__xludf.DUMMYFUNCTION("""COMPUTED_VALUE"""),"デリリウムちゃん")</f>
        <v>デリリウムちゃん</v>
      </c>
      <c r="B291" s="10">
        <f>IFERROR(__xludf.DUMMYFUNCTION("""COMPUTED_VALUE"""),203.0)</f>
        <v>203</v>
      </c>
      <c r="C291" s="10">
        <f>IFERROR(__xludf.DUMMYFUNCTION("""COMPUTED_VALUE"""),2409.0)</f>
        <v>2409</v>
      </c>
      <c r="D291" s="5">
        <f>IFERROR(__xludf.DUMMYFUNCTION("""COMPUTED_VALUE"""),0.34904805077062556)</f>
        <v>0.3490480508</v>
      </c>
      <c r="E291" s="5">
        <f>IFERROR(__xludf.DUMMYFUNCTION("""COMPUTED_VALUE"""),0.1527651858567543)</f>
        <v>0.1527651859</v>
      </c>
      <c r="F291" s="5">
        <f>IFERROR(__xludf.DUMMYFUNCTION("""COMPUTED_VALUE"""),0.20670897552130554)</f>
        <v>0.2067089755</v>
      </c>
      <c r="G291" s="5">
        <f>IFERROR(__xludf.DUMMYFUNCTION("""COMPUTED_VALUE"""),0.17724388032638258)</f>
        <v>0.1772438803</v>
      </c>
      <c r="H291" s="5">
        <f>IFERROR(__xludf.DUMMYFUNCTION("""COMPUTED_VALUE"""),0.618421052631579)</f>
        <v>0.6184210526</v>
      </c>
      <c r="I291" s="11">
        <f>IFERROR(__xludf.DUMMYFUNCTION("""COMPUTED_VALUE"""),6061.184210526316)</f>
        <v>6061.184211</v>
      </c>
      <c r="J291" s="10">
        <f>IFERROR(__xludf.DUMMYFUNCTION("""COMPUTED_VALUE"""),0.0)</f>
        <v>0</v>
      </c>
      <c r="K291" s="5">
        <f>IFERROR(__xludf.DUMMYFUNCTION("""COMPUTED_VALUE"""),0.0)</f>
        <v>0</v>
      </c>
      <c r="L291" s="10">
        <f>IFERROR(__xludf.DUMMYFUNCTION("""COMPUTED_VALUE"""),0.0)</f>
        <v>0</v>
      </c>
      <c r="M291" s="5">
        <f>IFERROR(__xludf.DUMMYFUNCTION("""COMPUTED_VALUE"""),0.0)</f>
        <v>0</v>
      </c>
    </row>
    <row r="292">
      <c r="A292" s="10" t="str">
        <f>IFERROR(__xludf.DUMMYFUNCTION("""COMPUTED_VALUE"""),"1/21")</f>
        <v>1/21</v>
      </c>
      <c r="B292" s="10">
        <f>IFERROR(__xludf.DUMMYFUNCTION("""COMPUTED_VALUE"""),263.0)</f>
        <v>263</v>
      </c>
      <c r="C292" s="10">
        <f>IFERROR(__xludf.DUMMYFUNCTION("""COMPUTED_VALUE"""),3104.0)</f>
        <v>3104</v>
      </c>
      <c r="D292" s="5">
        <f>IFERROR(__xludf.DUMMYFUNCTION("""COMPUTED_VALUE"""),0.41077085533262936)</f>
        <v>0.4107708553</v>
      </c>
      <c r="E292" s="5">
        <f>IFERROR(__xludf.DUMMYFUNCTION("""COMPUTED_VALUE"""),0.15276311158042943)</f>
        <v>0.1527631116</v>
      </c>
      <c r="F292" s="5">
        <f>IFERROR(__xludf.DUMMYFUNCTION("""COMPUTED_VALUE"""),0.20837733192537838)</f>
        <v>0.2083773319</v>
      </c>
      <c r="G292" s="5">
        <f>IFERROR(__xludf.DUMMYFUNCTION("""COMPUTED_VALUE"""),0.14889123548046462)</f>
        <v>0.1488912355</v>
      </c>
      <c r="H292" s="5">
        <f>IFERROR(__xludf.DUMMYFUNCTION("""COMPUTED_VALUE"""),0.5760135135135135)</f>
        <v>0.5760135135</v>
      </c>
      <c r="I292" s="11">
        <f>IFERROR(__xludf.DUMMYFUNCTION("""COMPUTED_VALUE"""),5478.209459459459)</f>
        <v>5478.209459</v>
      </c>
      <c r="J292" s="10">
        <f>IFERROR(__xludf.DUMMYFUNCTION("""COMPUTED_VALUE"""),1.0)</f>
        <v>1</v>
      </c>
      <c r="K292" s="5">
        <f>IFERROR(__xludf.DUMMYFUNCTION("""COMPUTED_VALUE"""),0.0038022813688212928)</f>
        <v>0.003802281369</v>
      </c>
      <c r="L292" s="10">
        <f>IFERROR(__xludf.DUMMYFUNCTION("""COMPUTED_VALUE"""),263.0)</f>
        <v>263</v>
      </c>
      <c r="M292" s="5">
        <f>IFERROR(__xludf.DUMMYFUNCTION("""COMPUTED_VALUE"""),1.0)</f>
        <v>1</v>
      </c>
    </row>
    <row r="293">
      <c r="A293" s="10" t="str">
        <f>IFERROR(__xludf.DUMMYFUNCTION("""COMPUTED_VALUE"""),"バーチャ秋山")</f>
        <v>バーチャ秋山</v>
      </c>
      <c r="B293" s="10">
        <f>IFERROR(__xludf.DUMMYFUNCTION("""COMPUTED_VALUE"""),110.0)</f>
        <v>110</v>
      </c>
      <c r="C293" s="10">
        <f>IFERROR(__xludf.DUMMYFUNCTION("""COMPUTED_VALUE"""),1256.0)</f>
        <v>1256</v>
      </c>
      <c r="D293" s="5">
        <f>IFERROR(__xludf.DUMMYFUNCTION("""COMPUTED_VALUE"""),0.3089005235602094)</f>
        <v>0.3089005236</v>
      </c>
      <c r="E293" s="5">
        <f>IFERROR(__xludf.DUMMYFUNCTION("""COMPUTED_VALUE"""),0.15270506108202445)</f>
        <v>0.1527050611</v>
      </c>
      <c r="F293" s="5">
        <f>IFERROR(__xludf.DUMMYFUNCTION("""COMPUTED_VALUE"""),0.19982547993019198)</f>
        <v>0.1998254799</v>
      </c>
      <c r="G293" s="5">
        <f>IFERROR(__xludf.DUMMYFUNCTION("""COMPUTED_VALUE"""),0.14834205933682373)</f>
        <v>0.1483420593</v>
      </c>
      <c r="H293" s="5">
        <f>IFERROR(__xludf.DUMMYFUNCTION("""COMPUTED_VALUE"""),0.6157205240174672)</f>
        <v>0.615720524</v>
      </c>
      <c r="I293" s="11">
        <f>IFERROR(__xludf.DUMMYFUNCTION("""COMPUTED_VALUE"""),5525.327510917031)</f>
        <v>5525.327511</v>
      </c>
      <c r="J293" s="10">
        <f>IFERROR(__xludf.DUMMYFUNCTION("""COMPUTED_VALUE"""),1.0)</f>
        <v>1</v>
      </c>
      <c r="K293" s="5">
        <f>IFERROR(__xludf.DUMMYFUNCTION("""COMPUTED_VALUE"""),0.00909090909090909)</f>
        <v>0.009090909091</v>
      </c>
      <c r="L293" s="10">
        <f>IFERROR(__xludf.DUMMYFUNCTION("""COMPUTED_VALUE"""),1.0)</f>
        <v>1</v>
      </c>
      <c r="M293" s="5">
        <f>IFERROR(__xludf.DUMMYFUNCTION("""COMPUTED_VALUE"""),0.00909090909090909)</f>
        <v>0.009090909091</v>
      </c>
    </row>
    <row r="294">
      <c r="A294" s="10" t="str">
        <f>IFERROR(__xludf.DUMMYFUNCTION("""COMPUTED_VALUE"""),"うぐいすくん２世")</f>
        <v>うぐいすくん２世</v>
      </c>
      <c r="B294" s="10">
        <f>IFERROR(__xludf.DUMMYFUNCTION("""COMPUTED_VALUE"""),146.0)</f>
        <v>146</v>
      </c>
      <c r="C294" s="10">
        <f>IFERROR(__xludf.DUMMYFUNCTION("""COMPUTED_VALUE"""),1744.0)</f>
        <v>1744</v>
      </c>
      <c r="D294" s="5">
        <f>IFERROR(__xludf.DUMMYFUNCTION("""COMPUTED_VALUE"""),0.36107634543178974)</f>
        <v>0.3610763454</v>
      </c>
      <c r="E294" s="5">
        <f>IFERROR(__xludf.DUMMYFUNCTION("""COMPUTED_VALUE"""),0.15269086357947434)</f>
        <v>0.1526908636</v>
      </c>
      <c r="F294" s="5">
        <f>IFERROR(__xludf.DUMMYFUNCTION("""COMPUTED_VALUE"""),0.20337922403003755)</f>
        <v>0.203379224</v>
      </c>
      <c r="G294" s="5">
        <f>IFERROR(__xludf.DUMMYFUNCTION("""COMPUTED_VALUE"""),0.1846057571964956)</f>
        <v>0.1846057572</v>
      </c>
      <c r="H294" s="5">
        <f>IFERROR(__xludf.DUMMYFUNCTION("""COMPUTED_VALUE"""),0.5846153846153846)</f>
        <v>0.5846153846</v>
      </c>
      <c r="I294" s="11">
        <f>IFERROR(__xludf.DUMMYFUNCTION("""COMPUTED_VALUE"""),5709.538461538462)</f>
        <v>5709.538462</v>
      </c>
      <c r="J294" s="10">
        <f>IFERROR(__xludf.DUMMYFUNCTION("""COMPUTED_VALUE"""),0.0)</f>
        <v>0</v>
      </c>
      <c r="K294" s="5">
        <f>IFERROR(__xludf.DUMMYFUNCTION("""COMPUTED_VALUE"""),0.0)</f>
        <v>0</v>
      </c>
      <c r="L294" s="10">
        <f>IFERROR(__xludf.DUMMYFUNCTION("""COMPUTED_VALUE"""),146.0)</f>
        <v>146</v>
      </c>
      <c r="M294" s="5">
        <f>IFERROR(__xludf.DUMMYFUNCTION("""COMPUTED_VALUE"""),1.0)</f>
        <v>1</v>
      </c>
    </row>
    <row r="295">
      <c r="A295" s="10" t="str">
        <f>IFERROR(__xludf.DUMMYFUNCTION("""COMPUTED_VALUE"""),"ちゃびん隊長")</f>
        <v>ちゃびん隊長</v>
      </c>
      <c r="B295" s="10">
        <f>IFERROR(__xludf.DUMMYFUNCTION("""COMPUTED_VALUE"""),208.0)</f>
        <v>208</v>
      </c>
      <c r="C295" s="10">
        <f>IFERROR(__xludf.DUMMYFUNCTION("""COMPUTED_VALUE"""),2430.0)</f>
        <v>2430</v>
      </c>
      <c r="D295" s="5">
        <f>IFERROR(__xludf.DUMMYFUNCTION("""COMPUTED_VALUE"""),0.3033303330333033)</f>
        <v>0.303330333</v>
      </c>
      <c r="E295" s="5">
        <f>IFERROR(__xludf.DUMMYFUNCTION("""COMPUTED_VALUE"""),0.15256525652565256)</f>
        <v>0.1525652565</v>
      </c>
      <c r="F295" s="5">
        <f>IFERROR(__xludf.DUMMYFUNCTION("""COMPUTED_VALUE"""),0.20252025202520252)</f>
        <v>0.202520252</v>
      </c>
      <c r="G295" s="5">
        <f>IFERROR(__xludf.DUMMYFUNCTION("""COMPUTED_VALUE"""),0.15346534653465346)</f>
        <v>0.1534653465</v>
      </c>
      <c r="H295" s="5">
        <f>IFERROR(__xludf.DUMMYFUNCTION("""COMPUTED_VALUE"""),0.5822222222222222)</f>
        <v>0.5822222222</v>
      </c>
      <c r="I295" s="11">
        <f>IFERROR(__xludf.DUMMYFUNCTION("""COMPUTED_VALUE"""),6153.555555555556)</f>
        <v>6153.555556</v>
      </c>
      <c r="J295" s="10">
        <f>IFERROR(__xludf.DUMMYFUNCTION("""COMPUTED_VALUE"""),0.0)</f>
        <v>0</v>
      </c>
      <c r="K295" s="5">
        <f>IFERROR(__xludf.DUMMYFUNCTION("""COMPUTED_VALUE"""),0.0)</f>
        <v>0</v>
      </c>
      <c r="L295" s="10">
        <f>IFERROR(__xludf.DUMMYFUNCTION("""COMPUTED_VALUE"""),208.0)</f>
        <v>208</v>
      </c>
      <c r="M295" s="5">
        <f>IFERROR(__xludf.DUMMYFUNCTION("""COMPUTED_VALUE"""),1.0)</f>
        <v>1</v>
      </c>
    </row>
    <row r="296">
      <c r="A296" s="10" t="str">
        <f>IFERROR(__xludf.DUMMYFUNCTION("""COMPUTED_VALUE"""),"norip--")</f>
        <v>norip--</v>
      </c>
      <c r="B296" s="10">
        <f>IFERROR(__xludf.DUMMYFUNCTION("""COMPUTED_VALUE"""),285.0)</f>
        <v>285</v>
      </c>
      <c r="C296" s="10">
        <f>IFERROR(__xludf.DUMMYFUNCTION("""COMPUTED_VALUE"""),3405.0)</f>
        <v>3405</v>
      </c>
      <c r="D296" s="5">
        <f>IFERROR(__xludf.DUMMYFUNCTION("""COMPUTED_VALUE"""),0.41762820512820514)</f>
        <v>0.4176282051</v>
      </c>
      <c r="E296" s="5">
        <f>IFERROR(__xludf.DUMMYFUNCTION("""COMPUTED_VALUE"""),0.15256410256410258)</f>
        <v>0.1525641026</v>
      </c>
      <c r="F296" s="5">
        <f>IFERROR(__xludf.DUMMYFUNCTION("""COMPUTED_VALUE"""),0.21506410256410258)</f>
        <v>0.2150641026</v>
      </c>
      <c r="G296" s="5">
        <f>IFERROR(__xludf.DUMMYFUNCTION("""COMPUTED_VALUE"""),0.17692307692307693)</f>
        <v>0.1769230769</v>
      </c>
      <c r="H296" s="5">
        <f>IFERROR(__xludf.DUMMYFUNCTION("""COMPUTED_VALUE"""),0.5901639344262295)</f>
        <v>0.5901639344</v>
      </c>
      <c r="I296" s="11">
        <f>IFERROR(__xludf.DUMMYFUNCTION("""COMPUTED_VALUE"""),5736.8107302533535)</f>
        <v>5736.81073</v>
      </c>
      <c r="J296" s="10">
        <f>IFERROR(__xludf.DUMMYFUNCTION("""COMPUTED_VALUE"""),0.0)</f>
        <v>0</v>
      </c>
      <c r="K296" s="5">
        <f>IFERROR(__xludf.DUMMYFUNCTION("""COMPUTED_VALUE"""),0.0)</f>
        <v>0</v>
      </c>
      <c r="L296" s="10">
        <f>IFERROR(__xludf.DUMMYFUNCTION("""COMPUTED_VALUE"""),285.0)</f>
        <v>285</v>
      </c>
      <c r="M296" s="5">
        <f>IFERROR(__xludf.DUMMYFUNCTION("""COMPUTED_VALUE"""),1.0)</f>
        <v>1</v>
      </c>
    </row>
    <row r="297">
      <c r="A297" s="10" t="str">
        <f>IFERROR(__xludf.DUMMYFUNCTION("""COMPUTED_VALUE"""),"曙之光")</f>
        <v>曙之光</v>
      </c>
      <c r="B297" s="10">
        <f>IFERROR(__xludf.DUMMYFUNCTION("""COMPUTED_VALUE"""),575.0)</f>
        <v>575</v>
      </c>
      <c r="C297" s="10">
        <f>IFERROR(__xludf.DUMMYFUNCTION("""COMPUTED_VALUE"""),6680.0)</f>
        <v>6680</v>
      </c>
      <c r="D297" s="5">
        <f>IFERROR(__xludf.DUMMYFUNCTION("""COMPUTED_VALUE"""),0.3760851760851761)</f>
        <v>0.3760851761</v>
      </c>
      <c r="E297" s="5">
        <f>IFERROR(__xludf.DUMMYFUNCTION("""COMPUTED_VALUE"""),0.1524979524979525)</f>
        <v>0.1524979525</v>
      </c>
      <c r="F297" s="5">
        <f>IFERROR(__xludf.DUMMYFUNCTION("""COMPUTED_VALUE"""),0.21785421785421785)</f>
        <v>0.2178542179</v>
      </c>
      <c r="G297" s="5">
        <f>IFERROR(__xludf.DUMMYFUNCTION("""COMPUTED_VALUE"""),0.189025389025389)</f>
        <v>0.189025389</v>
      </c>
      <c r="H297" s="5">
        <f>IFERROR(__xludf.DUMMYFUNCTION("""COMPUTED_VALUE"""),0.6097744360902255)</f>
        <v>0.6097744361</v>
      </c>
      <c r="I297" s="11">
        <f>IFERROR(__xludf.DUMMYFUNCTION("""COMPUTED_VALUE"""),5460.150375939849)</f>
        <v>5460.150376</v>
      </c>
      <c r="J297" s="10">
        <f>IFERROR(__xludf.DUMMYFUNCTION("""COMPUTED_VALUE"""),1.0)</f>
        <v>1</v>
      </c>
      <c r="K297" s="5">
        <f>IFERROR(__xludf.DUMMYFUNCTION("""COMPUTED_VALUE"""),0.0017391304347826088)</f>
        <v>0.001739130435</v>
      </c>
      <c r="L297" s="10">
        <f>IFERROR(__xludf.DUMMYFUNCTION("""COMPUTED_VALUE"""),0.0)</f>
        <v>0</v>
      </c>
      <c r="M297" s="5">
        <f>IFERROR(__xludf.DUMMYFUNCTION("""COMPUTED_VALUE"""),0.0)</f>
        <v>0</v>
      </c>
    </row>
    <row r="298">
      <c r="A298" s="10" t="str">
        <f>IFERROR(__xludf.DUMMYFUNCTION("""COMPUTED_VALUE"""),"ネク")</f>
        <v>ネク</v>
      </c>
      <c r="B298" s="10">
        <f>IFERROR(__xludf.DUMMYFUNCTION("""COMPUTED_VALUE"""),199.0)</f>
        <v>199</v>
      </c>
      <c r="C298" s="10">
        <f>IFERROR(__xludf.DUMMYFUNCTION("""COMPUTED_VALUE"""),2311.0)</f>
        <v>2311</v>
      </c>
      <c r="D298" s="5">
        <f>IFERROR(__xludf.DUMMYFUNCTION("""COMPUTED_VALUE"""),0.3347537878787879)</f>
        <v>0.3347537879</v>
      </c>
      <c r="E298" s="5">
        <f>IFERROR(__xludf.DUMMYFUNCTION("""COMPUTED_VALUE"""),0.15246212121212122)</f>
        <v>0.1524621212</v>
      </c>
      <c r="F298" s="5">
        <f>IFERROR(__xludf.DUMMYFUNCTION("""COMPUTED_VALUE"""),0.21354166666666666)</f>
        <v>0.2135416667</v>
      </c>
      <c r="G298" s="5">
        <f>IFERROR(__xludf.DUMMYFUNCTION("""COMPUTED_VALUE"""),0.2002840909090909)</f>
        <v>0.2002840909</v>
      </c>
      <c r="H298" s="5">
        <f>IFERROR(__xludf.DUMMYFUNCTION("""COMPUTED_VALUE"""),0.5831485587583148)</f>
        <v>0.5831485588</v>
      </c>
      <c r="I298" s="11">
        <f>IFERROR(__xludf.DUMMYFUNCTION("""COMPUTED_VALUE"""),6113.525498891353)</f>
        <v>6113.525499</v>
      </c>
      <c r="J298" s="10">
        <f>IFERROR(__xludf.DUMMYFUNCTION("""COMPUTED_VALUE"""),1.0)</f>
        <v>1</v>
      </c>
      <c r="K298" s="5">
        <f>IFERROR(__xludf.DUMMYFUNCTION("""COMPUTED_VALUE"""),0.005025125628140704)</f>
        <v>0.005025125628</v>
      </c>
      <c r="L298" s="10">
        <f>IFERROR(__xludf.DUMMYFUNCTION("""COMPUTED_VALUE"""),199.0)</f>
        <v>199</v>
      </c>
      <c r="M298" s="5">
        <f>IFERROR(__xludf.DUMMYFUNCTION("""COMPUTED_VALUE"""),1.0)</f>
        <v>1</v>
      </c>
    </row>
    <row r="299">
      <c r="A299" s="10" t="str">
        <f>IFERROR(__xludf.DUMMYFUNCTION("""COMPUTED_VALUE"""),"tamago大好")</f>
        <v>tamago大好</v>
      </c>
      <c r="B299" s="10">
        <f>IFERROR(__xludf.DUMMYFUNCTION("""COMPUTED_VALUE"""),234.0)</f>
        <v>234</v>
      </c>
      <c r="C299" s="10">
        <f>IFERROR(__xludf.DUMMYFUNCTION("""COMPUTED_VALUE"""),2720.0)</f>
        <v>2720</v>
      </c>
      <c r="D299" s="5">
        <f>IFERROR(__xludf.DUMMYFUNCTION("""COMPUTED_VALUE"""),0.3825422365245374)</f>
        <v>0.3825422365</v>
      </c>
      <c r="E299" s="5">
        <f>IFERROR(__xludf.DUMMYFUNCTION("""COMPUTED_VALUE"""),0.15245374094931616)</f>
        <v>0.1524537409</v>
      </c>
      <c r="F299" s="5">
        <f>IFERROR(__xludf.DUMMYFUNCTION("""COMPUTED_VALUE"""),0.21399839098954143)</f>
        <v>0.213998391</v>
      </c>
      <c r="G299" s="5">
        <f>IFERROR(__xludf.DUMMYFUNCTION("""COMPUTED_VALUE"""),0.1584875301689461)</f>
        <v>0.1584875302</v>
      </c>
      <c r="H299" s="5">
        <f>IFERROR(__xludf.DUMMYFUNCTION("""COMPUTED_VALUE"""),0.5939849624060151)</f>
        <v>0.5939849624</v>
      </c>
      <c r="I299" s="11">
        <f>IFERROR(__xludf.DUMMYFUNCTION("""COMPUTED_VALUE"""),5406.390977443609)</f>
        <v>5406.390977</v>
      </c>
      <c r="J299" s="10">
        <f>IFERROR(__xludf.DUMMYFUNCTION("""COMPUTED_VALUE"""),0.0)</f>
        <v>0</v>
      </c>
      <c r="K299" s="5">
        <f>IFERROR(__xludf.DUMMYFUNCTION("""COMPUTED_VALUE"""),0.0)</f>
        <v>0</v>
      </c>
      <c r="L299" s="10">
        <f>IFERROR(__xludf.DUMMYFUNCTION("""COMPUTED_VALUE"""),27.0)</f>
        <v>27</v>
      </c>
      <c r="M299" s="5">
        <f>IFERROR(__xludf.DUMMYFUNCTION("""COMPUTED_VALUE"""),0.11538461538461539)</f>
        <v>0.1153846154</v>
      </c>
    </row>
    <row r="300">
      <c r="A300" s="10" t="str">
        <f>IFERROR(__xludf.DUMMYFUNCTION("""COMPUTED_VALUE"""),"136top")</f>
        <v>136top</v>
      </c>
      <c r="B300" s="10">
        <f>IFERROR(__xludf.DUMMYFUNCTION("""COMPUTED_VALUE"""),1025.0)</f>
        <v>1025</v>
      </c>
      <c r="C300" s="10">
        <f>IFERROR(__xludf.DUMMYFUNCTION("""COMPUTED_VALUE"""),11868.0)</f>
        <v>11868</v>
      </c>
      <c r="D300" s="5">
        <f>IFERROR(__xludf.DUMMYFUNCTION("""COMPUTED_VALUE"""),0.3380060868763257)</f>
        <v>0.3380060869</v>
      </c>
      <c r="E300" s="5">
        <f>IFERROR(__xludf.DUMMYFUNCTION("""COMPUTED_VALUE"""),0.15244858434012726)</f>
        <v>0.1524485843</v>
      </c>
      <c r="F300" s="5">
        <f>IFERROR(__xludf.DUMMYFUNCTION("""COMPUTED_VALUE"""),0.22936456700175228)</f>
        <v>0.229364567</v>
      </c>
      <c r="G300" s="5">
        <f>IFERROR(__xludf.DUMMYFUNCTION("""COMPUTED_VALUE"""),0.17190814350272066)</f>
        <v>0.1719081435</v>
      </c>
      <c r="H300" s="5">
        <f>IFERROR(__xludf.DUMMYFUNCTION("""COMPUTED_VALUE"""),0.6135906714917572)</f>
        <v>0.6135906715</v>
      </c>
      <c r="I300" s="11">
        <f>IFERROR(__xludf.DUMMYFUNCTION("""COMPUTED_VALUE"""),5764.575794129473)</f>
        <v>5764.575794</v>
      </c>
      <c r="J300" s="10">
        <f>IFERROR(__xludf.DUMMYFUNCTION("""COMPUTED_VALUE"""),3.0)</f>
        <v>3</v>
      </c>
      <c r="K300" s="5">
        <f>IFERROR(__xludf.DUMMYFUNCTION("""COMPUTED_VALUE"""),0.002926829268292683)</f>
        <v>0.002926829268</v>
      </c>
      <c r="L300" s="10">
        <f>IFERROR(__xludf.DUMMYFUNCTION("""COMPUTED_VALUE"""),1019.0)</f>
        <v>1019</v>
      </c>
      <c r="M300" s="5">
        <f>IFERROR(__xludf.DUMMYFUNCTION("""COMPUTED_VALUE"""),0.9941463414634146)</f>
        <v>0.9941463415</v>
      </c>
    </row>
    <row r="301">
      <c r="A301" s="10" t="str">
        <f>IFERROR(__xludf.DUMMYFUNCTION("""COMPUTED_VALUE"""),"fettran")</f>
        <v>fettran</v>
      </c>
      <c r="B301" s="10">
        <f>IFERROR(__xludf.DUMMYFUNCTION("""COMPUTED_VALUE"""),209.0)</f>
        <v>209</v>
      </c>
      <c r="C301" s="10">
        <f>IFERROR(__xludf.DUMMYFUNCTION("""COMPUTED_VALUE"""),2466.0)</f>
        <v>2466</v>
      </c>
      <c r="D301" s="5">
        <f>IFERROR(__xludf.DUMMYFUNCTION("""COMPUTED_VALUE"""),0.38856889676561807)</f>
        <v>0.3885688968</v>
      </c>
      <c r="E301" s="5">
        <f>IFERROR(__xludf.DUMMYFUNCTION("""COMPUTED_VALUE"""),0.15241470979175897)</f>
        <v>0.1524147098</v>
      </c>
      <c r="F301" s="5">
        <f>IFERROR(__xludf.DUMMYFUNCTION("""COMPUTED_VALUE"""),0.21665928223305272)</f>
        <v>0.2166592822</v>
      </c>
      <c r="G301" s="5">
        <f>IFERROR(__xludf.DUMMYFUNCTION("""COMPUTED_VALUE"""),0.1909614532565352)</f>
        <v>0.1909614533</v>
      </c>
      <c r="H301" s="5">
        <f>IFERROR(__xludf.DUMMYFUNCTION("""COMPUTED_VALUE"""),0.5766871165644172)</f>
        <v>0.5766871166</v>
      </c>
      <c r="I301" s="11">
        <f>IFERROR(__xludf.DUMMYFUNCTION("""COMPUTED_VALUE"""),5724.130879345604)</f>
        <v>5724.130879</v>
      </c>
      <c r="J301" s="10">
        <f>IFERROR(__xludf.DUMMYFUNCTION("""COMPUTED_VALUE"""),0.0)</f>
        <v>0</v>
      </c>
      <c r="K301" s="5">
        <f>IFERROR(__xludf.DUMMYFUNCTION("""COMPUTED_VALUE"""),0.0)</f>
        <v>0</v>
      </c>
      <c r="L301" s="10">
        <f>IFERROR(__xludf.DUMMYFUNCTION("""COMPUTED_VALUE"""),209.0)</f>
        <v>209</v>
      </c>
      <c r="M301" s="5">
        <f>IFERROR(__xludf.DUMMYFUNCTION("""COMPUTED_VALUE"""),1.0)</f>
        <v>1</v>
      </c>
    </row>
    <row r="302">
      <c r="A302" s="10" t="str">
        <f>IFERROR(__xludf.DUMMYFUNCTION("""COMPUTED_VALUE"""),"Jun777")</f>
        <v>Jun777</v>
      </c>
      <c r="B302" s="10">
        <f>IFERROR(__xludf.DUMMYFUNCTION("""COMPUTED_VALUE"""),503.0)</f>
        <v>503</v>
      </c>
      <c r="C302" s="10">
        <f>IFERROR(__xludf.DUMMYFUNCTION("""COMPUTED_VALUE"""),5970.0)</f>
        <v>5970</v>
      </c>
      <c r="D302" s="5">
        <f>IFERROR(__xludf.DUMMYFUNCTION("""COMPUTED_VALUE"""),0.3405889884763124)</f>
        <v>0.3405889885</v>
      </c>
      <c r="E302" s="5">
        <f>IFERROR(__xludf.DUMMYFUNCTION("""COMPUTED_VALUE"""),0.1523687580025608)</f>
        <v>0.152368758</v>
      </c>
      <c r="F302" s="5">
        <f>IFERROR(__xludf.DUMMYFUNCTION("""COMPUTED_VALUE"""),0.2063288823852204)</f>
        <v>0.2063288824</v>
      </c>
      <c r="G302" s="5">
        <f>IFERROR(__xludf.DUMMYFUNCTION("""COMPUTED_VALUE"""),0.14743003475397842)</f>
        <v>0.1474300348</v>
      </c>
      <c r="H302" s="5">
        <f>IFERROR(__xludf.DUMMYFUNCTION("""COMPUTED_VALUE"""),0.6072695035460993)</f>
        <v>0.6072695035</v>
      </c>
      <c r="I302" s="11">
        <f>IFERROR(__xludf.DUMMYFUNCTION("""COMPUTED_VALUE"""),5819.148936170212)</f>
        <v>5819.148936</v>
      </c>
      <c r="J302" s="10">
        <f>IFERROR(__xludf.DUMMYFUNCTION("""COMPUTED_VALUE"""),2.0)</f>
        <v>2</v>
      </c>
      <c r="K302" s="5">
        <f>IFERROR(__xludf.DUMMYFUNCTION("""COMPUTED_VALUE"""),0.003976143141153081)</f>
        <v>0.003976143141</v>
      </c>
      <c r="L302" s="10">
        <f>IFERROR(__xludf.DUMMYFUNCTION("""COMPUTED_VALUE"""),503.0)</f>
        <v>503</v>
      </c>
      <c r="M302" s="5">
        <f>IFERROR(__xludf.DUMMYFUNCTION("""COMPUTED_VALUE"""),1.0)</f>
        <v>1</v>
      </c>
    </row>
    <row r="303">
      <c r="A303" s="10" t="str">
        <f>IFERROR(__xludf.DUMMYFUNCTION("""COMPUTED_VALUE"""),"ちあトリア")</f>
        <v>ちあトリア</v>
      </c>
      <c r="B303" s="10">
        <f>IFERROR(__xludf.DUMMYFUNCTION("""COMPUTED_VALUE"""),159.0)</f>
        <v>159</v>
      </c>
      <c r="C303" s="10">
        <f>IFERROR(__xludf.DUMMYFUNCTION("""COMPUTED_VALUE"""),1846.0)</f>
        <v>1846</v>
      </c>
      <c r="D303" s="5">
        <f>IFERROR(__xludf.DUMMYFUNCTION("""COMPUTED_VALUE"""),0.3971547125074096)</f>
        <v>0.3971547125</v>
      </c>
      <c r="E303" s="5">
        <f>IFERROR(__xludf.DUMMYFUNCTION("""COMPUTED_VALUE"""),0.15234143449911083)</f>
        <v>0.1523414345</v>
      </c>
      <c r="F303" s="5">
        <f>IFERROR(__xludf.DUMMYFUNCTION("""COMPUTED_VALUE"""),0.2009484291641968)</f>
        <v>0.2009484292</v>
      </c>
      <c r="G303" s="5">
        <f>IFERROR(__xludf.DUMMYFUNCTION("""COMPUTED_VALUE"""),0.16478956727919383)</f>
        <v>0.1647895673</v>
      </c>
      <c r="H303" s="5">
        <f>IFERROR(__xludf.DUMMYFUNCTION("""COMPUTED_VALUE"""),0.5929203539823009)</f>
        <v>0.592920354</v>
      </c>
      <c r="I303" s="11">
        <f>IFERROR(__xludf.DUMMYFUNCTION("""COMPUTED_VALUE"""),5835.398230088495)</f>
        <v>5835.39823</v>
      </c>
      <c r="J303" s="10">
        <f>IFERROR(__xludf.DUMMYFUNCTION("""COMPUTED_VALUE"""),0.0)</f>
        <v>0</v>
      </c>
      <c r="K303" s="5">
        <f>IFERROR(__xludf.DUMMYFUNCTION("""COMPUTED_VALUE"""),0.0)</f>
        <v>0</v>
      </c>
      <c r="L303" s="10">
        <f>IFERROR(__xludf.DUMMYFUNCTION("""COMPUTED_VALUE"""),159.0)</f>
        <v>159</v>
      </c>
      <c r="M303" s="5">
        <f>IFERROR(__xludf.DUMMYFUNCTION("""COMPUTED_VALUE"""),1.0)</f>
        <v>1</v>
      </c>
    </row>
    <row r="304">
      <c r="A304" s="10" t="str">
        <f>IFERROR(__xludf.DUMMYFUNCTION("""COMPUTED_VALUE"""),"平田裕香")</f>
        <v>平田裕香</v>
      </c>
      <c r="B304" s="10">
        <f>IFERROR(__xludf.DUMMYFUNCTION("""COMPUTED_VALUE"""),298.0)</f>
        <v>298</v>
      </c>
      <c r="C304" s="10">
        <f>IFERROR(__xludf.DUMMYFUNCTION("""COMPUTED_VALUE"""),3508.0)</f>
        <v>3508</v>
      </c>
      <c r="D304" s="5">
        <f>IFERROR(__xludf.DUMMYFUNCTION("""COMPUTED_VALUE"""),0.3766355140186916)</f>
        <v>0.376635514</v>
      </c>
      <c r="E304" s="5">
        <f>IFERROR(__xludf.DUMMYFUNCTION("""COMPUTED_VALUE"""),0.15233644859813084)</f>
        <v>0.1523364486</v>
      </c>
      <c r="F304" s="5">
        <f>IFERROR(__xludf.DUMMYFUNCTION("""COMPUTED_VALUE"""),0.20809968847352026)</f>
        <v>0.2080996885</v>
      </c>
      <c r="G304" s="5">
        <f>IFERROR(__xludf.DUMMYFUNCTION("""COMPUTED_VALUE"""),0.164797507788162)</f>
        <v>0.1647975078</v>
      </c>
      <c r="H304" s="5">
        <f>IFERROR(__xludf.DUMMYFUNCTION("""COMPUTED_VALUE"""),0.5883233532934131)</f>
        <v>0.5883233533</v>
      </c>
      <c r="I304" s="11">
        <f>IFERROR(__xludf.DUMMYFUNCTION("""COMPUTED_VALUE"""),5461.676646706587)</f>
        <v>5461.676647</v>
      </c>
      <c r="J304" s="10">
        <f>IFERROR(__xludf.DUMMYFUNCTION("""COMPUTED_VALUE"""),0.0)</f>
        <v>0</v>
      </c>
      <c r="K304" s="5">
        <f>IFERROR(__xludf.DUMMYFUNCTION("""COMPUTED_VALUE"""),0.0)</f>
        <v>0</v>
      </c>
      <c r="L304" s="10">
        <f>IFERROR(__xludf.DUMMYFUNCTION("""COMPUTED_VALUE"""),0.0)</f>
        <v>0</v>
      </c>
      <c r="M304" s="5">
        <f>IFERROR(__xludf.DUMMYFUNCTION("""COMPUTED_VALUE"""),0.0)</f>
        <v>0</v>
      </c>
    </row>
    <row r="305">
      <c r="A305" s="10" t="str">
        <f>IFERROR(__xludf.DUMMYFUNCTION("""COMPUTED_VALUE"""),"ネコマジン")</f>
        <v>ネコマジン</v>
      </c>
      <c r="B305" s="10">
        <f>IFERROR(__xludf.DUMMYFUNCTION("""COMPUTED_VALUE"""),201.0)</f>
        <v>201</v>
      </c>
      <c r="C305" s="10">
        <f>IFERROR(__xludf.DUMMYFUNCTION("""COMPUTED_VALUE"""),2387.0)</f>
        <v>2387</v>
      </c>
      <c r="D305" s="5">
        <f>IFERROR(__xludf.DUMMYFUNCTION("""COMPUTED_VALUE"""),0.3435498627630375)</f>
        <v>0.3435498628</v>
      </c>
      <c r="E305" s="5">
        <f>IFERROR(__xludf.DUMMYFUNCTION("""COMPUTED_VALUE"""),0.15233302836230558)</f>
        <v>0.1523330284</v>
      </c>
      <c r="F305" s="5">
        <f>IFERROR(__xludf.DUMMYFUNCTION("""COMPUTED_VALUE"""),0.21363220494053065)</f>
        <v>0.2136322049</v>
      </c>
      <c r="G305" s="5">
        <f>IFERROR(__xludf.DUMMYFUNCTION("""COMPUTED_VALUE"""),0.18618481244281793)</f>
        <v>0.1861848124</v>
      </c>
      <c r="H305" s="5">
        <f>IFERROR(__xludf.DUMMYFUNCTION("""COMPUTED_VALUE"""),0.5995717344753747)</f>
        <v>0.5995717345</v>
      </c>
      <c r="I305" s="11">
        <f>IFERROR(__xludf.DUMMYFUNCTION("""COMPUTED_VALUE"""),5719.914346895075)</f>
        <v>5719.914347</v>
      </c>
      <c r="J305" s="10">
        <f>IFERROR(__xludf.DUMMYFUNCTION("""COMPUTED_VALUE"""),0.0)</f>
        <v>0</v>
      </c>
      <c r="K305" s="5">
        <f>IFERROR(__xludf.DUMMYFUNCTION("""COMPUTED_VALUE"""),0.0)</f>
        <v>0</v>
      </c>
      <c r="L305" s="10">
        <f>IFERROR(__xludf.DUMMYFUNCTION("""COMPUTED_VALUE"""),201.0)</f>
        <v>201</v>
      </c>
      <c r="M305" s="5">
        <f>IFERROR(__xludf.DUMMYFUNCTION("""COMPUTED_VALUE"""),1.0)</f>
        <v>1</v>
      </c>
    </row>
    <row r="306">
      <c r="A306" s="10" t="str">
        <f>IFERROR(__xludf.DUMMYFUNCTION("""COMPUTED_VALUE"""),"コキュートス")</f>
        <v>コキュートス</v>
      </c>
      <c r="B306" s="10">
        <f>IFERROR(__xludf.DUMMYFUNCTION("""COMPUTED_VALUE"""),156.0)</f>
        <v>156</v>
      </c>
      <c r="C306" s="10">
        <f>IFERROR(__xludf.DUMMYFUNCTION("""COMPUTED_VALUE"""),1850.0)</f>
        <v>1850</v>
      </c>
      <c r="D306" s="5">
        <f>IFERROR(__xludf.DUMMYFUNCTION("""COMPUTED_VALUE"""),0.3270365997638725)</f>
        <v>0.3270365998</v>
      </c>
      <c r="E306" s="5">
        <f>IFERROR(__xludf.DUMMYFUNCTION("""COMPUTED_VALUE"""),0.15230224321133412)</f>
        <v>0.1523022432</v>
      </c>
      <c r="F306" s="5">
        <f>IFERROR(__xludf.DUMMYFUNCTION("""COMPUTED_VALUE"""),0.23140495867768596)</f>
        <v>0.2314049587</v>
      </c>
      <c r="G306" s="5">
        <f>IFERROR(__xludf.DUMMYFUNCTION("""COMPUTED_VALUE"""),0.179456906729634)</f>
        <v>0.1794569067</v>
      </c>
      <c r="H306" s="5">
        <f>IFERROR(__xludf.DUMMYFUNCTION("""COMPUTED_VALUE"""),0.5867346938775511)</f>
        <v>0.5867346939</v>
      </c>
      <c r="I306" s="11">
        <f>IFERROR(__xludf.DUMMYFUNCTION("""COMPUTED_VALUE"""),5178.316326530612)</f>
        <v>5178.316327</v>
      </c>
      <c r="J306" s="10">
        <f>IFERROR(__xludf.DUMMYFUNCTION("""COMPUTED_VALUE"""),0.0)</f>
        <v>0</v>
      </c>
      <c r="K306" s="5">
        <f>IFERROR(__xludf.DUMMYFUNCTION("""COMPUTED_VALUE"""),0.0)</f>
        <v>0</v>
      </c>
      <c r="L306" s="10">
        <f>IFERROR(__xludf.DUMMYFUNCTION("""COMPUTED_VALUE"""),156.0)</f>
        <v>156</v>
      </c>
      <c r="M306" s="5">
        <f>IFERROR(__xludf.DUMMYFUNCTION("""COMPUTED_VALUE"""),1.0)</f>
        <v>1</v>
      </c>
    </row>
    <row r="307">
      <c r="A307" s="10" t="str">
        <f>IFERROR(__xludf.DUMMYFUNCTION("""COMPUTED_VALUE"""),"chiaki7")</f>
        <v>chiaki7</v>
      </c>
      <c r="B307" s="10">
        <f>IFERROR(__xludf.DUMMYFUNCTION("""COMPUTED_VALUE"""),757.0)</f>
        <v>757</v>
      </c>
      <c r="C307" s="10">
        <f>IFERROR(__xludf.DUMMYFUNCTION("""COMPUTED_VALUE"""),8973.0)</f>
        <v>8973</v>
      </c>
      <c r="D307" s="5">
        <f>IFERROR(__xludf.DUMMYFUNCTION("""COMPUTED_VALUE"""),0.2876095423563778)</f>
        <v>0.2876095424</v>
      </c>
      <c r="E307" s="5">
        <f>IFERROR(__xludf.DUMMYFUNCTION("""COMPUTED_VALUE"""),0.1522638753651412)</f>
        <v>0.1522638754</v>
      </c>
      <c r="F307" s="5">
        <f>IFERROR(__xludf.DUMMYFUNCTION("""COMPUTED_VALUE"""),0.21798928919182084)</f>
        <v>0.2179892892</v>
      </c>
      <c r="G307" s="5">
        <f>IFERROR(__xludf.DUMMYFUNCTION("""COMPUTED_VALUE"""),0.17952775073028238)</f>
        <v>0.1795277507</v>
      </c>
      <c r="H307" s="5">
        <f>IFERROR(__xludf.DUMMYFUNCTION("""COMPUTED_VALUE"""),0.6147403685092128)</f>
        <v>0.6147403685</v>
      </c>
      <c r="I307" s="11">
        <f>IFERROR(__xludf.DUMMYFUNCTION("""COMPUTED_VALUE"""),5959.073143495254)</f>
        <v>5959.073143</v>
      </c>
      <c r="J307" s="10">
        <f>IFERROR(__xludf.DUMMYFUNCTION("""COMPUTED_VALUE"""),1.0)</f>
        <v>1</v>
      </c>
      <c r="K307" s="5">
        <f>IFERROR(__xludf.DUMMYFUNCTION("""COMPUTED_VALUE"""),0.001321003963011889)</f>
        <v>0.001321003963</v>
      </c>
      <c r="L307" s="10">
        <f>IFERROR(__xludf.DUMMYFUNCTION("""COMPUTED_VALUE"""),757.0)</f>
        <v>757</v>
      </c>
      <c r="M307" s="5">
        <f>IFERROR(__xludf.DUMMYFUNCTION("""COMPUTED_VALUE"""),1.0)</f>
        <v>1</v>
      </c>
    </row>
    <row r="308">
      <c r="A308" s="10" t="str">
        <f>IFERROR(__xludf.DUMMYFUNCTION("""COMPUTED_VALUE"""),"なくにゃん")</f>
        <v>なくにゃん</v>
      </c>
      <c r="B308" s="10">
        <f>IFERROR(__xludf.DUMMYFUNCTION("""COMPUTED_VALUE"""),410.0)</f>
        <v>410</v>
      </c>
      <c r="C308" s="10">
        <f>IFERROR(__xludf.DUMMYFUNCTION("""COMPUTED_VALUE"""),4766.0)</f>
        <v>4766</v>
      </c>
      <c r="D308" s="5">
        <f>IFERROR(__xludf.DUMMYFUNCTION("""COMPUTED_VALUE"""),0.35858585858585856)</f>
        <v>0.3585858586</v>
      </c>
      <c r="E308" s="5">
        <f>IFERROR(__xludf.DUMMYFUNCTION("""COMPUTED_VALUE"""),0.1522038567493113)</f>
        <v>0.1522038567</v>
      </c>
      <c r="F308" s="5">
        <f>IFERROR(__xludf.DUMMYFUNCTION("""COMPUTED_VALUE"""),0.2024793388429752)</f>
        <v>0.2024793388</v>
      </c>
      <c r="G308" s="5">
        <f>IFERROR(__xludf.DUMMYFUNCTION("""COMPUTED_VALUE"""),0.1655188246097337)</f>
        <v>0.1655188246</v>
      </c>
      <c r="H308" s="5">
        <f>IFERROR(__xludf.DUMMYFUNCTION("""COMPUTED_VALUE"""),0.5986394557823129)</f>
        <v>0.5986394558</v>
      </c>
      <c r="I308" s="11">
        <f>IFERROR(__xludf.DUMMYFUNCTION("""COMPUTED_VALUE"""),5868.480725623583)</f>
        <v>5868.480726</v>
      </c>
      <c r="J308" s="10">
        <f>IFERROR(__xludf.DUMMYFUNCTION("""COMPUTED_VALUE"""),3.0)</f>
        <v>3</v>
      </c>
      <c r="K308" s="5">
        <f>IFERROR(__xludf.DUMMYFUNCTION("""COMPUTED_VALUE"""),0.007317073170731708)</f>
        <v>0.007317073171</v>
      </c>
      <c r="L308" s="10">
        <f>IFERROR(__xludf.DUMMYFUNCTION("""COMPUTED_VALUE"""),406.0)</f>
        <v>406</v>
      </c>
      <c r="M308" s="5">
        <f>IFERROR(__xludf.DUMMYFUNCTION("""COMPUTED_VALUE"""),0.9902439024390244)</f>
        <v>0.9902439024</v>
      </c>
    </row>
    <row r="309">
      <c r="A309" s="10" t="str">
        <f>IFERROR(__xludf.DUMMYFUNCTION("""COMPUTED_VALUE"""),"Ayaaya")</f>
        <v>Ayaaya</v>
      </c>
      <c r="B309" s="10">
        <f>IFERROR(__xludf.DUMMYFUNCTION("""COMPUTED_VALUE"""),576.0)</f>
        <v>576</v>
      </c>
      <c r="C309" s="10">
        <f>IFERROR(__xludf.DUMMYFUNCTION("""COMPUTED_VALUE"""),6674.0)</f>
        <v>6674</v>
      </c>
      <c r="D309" s="5">
        <f>IFERROR(__xludf.DUMMYFUNCTION("""COMPUTED_VALUE"""),0.42604132502459824)</f>
        <v>0.426041325</v>
      </c>
      <c r="E309" s="5">
        <f>IFERROR(__xludf.DUMMYFUNCTION("""COMPUTED_VALUE"""),0.15218104296490653)</f>
        <v>0.152181043</v>
      </c>
      <c r="F309" s="5">
        <f>IFERROR(__xludf.DUMMYFUNCTION("""COMPUTED_VALUE"""),0.23105936372581173)</f>
        <v>0.2310593637</v>
      </c>
      <c r="G309" s="5">
        <f>IFERROR(__xludf.DUMMYFUNCTION("""COMPUTED_VALUE"""),0.17891111839947524)</f>
        <v>0.1789111184</v>
      </c>
      <c r="H309" s="5">
        <f>IFERROR(__xludf.DUMMYFUNCTION("""COMPUTED_VALUE"""),0.6011355571327183)</f>
        <v>0.6011355571</v>
      </c>
      <c r="I309" s="11">
        <f>IFERROR(__xludf.DUMMYFUNCTION("""COMPUTED_VALUE"""),5556.139105748758)</f>
        <v>5556.139106</v>
      </c>
      <c r="J309" s="10">
        <f>IFERROR(__xludf.DUMMYFUNCTION("""COMPUTED_VALUE"""),2.0)</f>
        <v>2</v>
      </c>
      <c r="K309" s="5">
        <f>IFERROR(__xludf.DUMMYFUNCTION("""COMPUTED_VALUE"""),0.003472222222222222)</f>
        <v>0.003472222222</v>
      </c>
      <c r="L309" s="10">
        <f>IFERROR(__xludf.DUMMYFUNCTION("""COMPUTED_VALUE"""),0.0)</f>
        <v>0</v>
      </c>
      <c r="M309" s="5">
        <f>IFERROR(__xludf.DUMMYFUNCTION("""COMPUTED_VALUE"""),0.0)</f>
        <v>0</v>
      </c>
    </row>
    <row r="310">
      <c r="A310" s="10" t="str">
        <f>IFERROR(__xludf.DUMMYFUNCTION("""COMPUTED_VALUE"""),"harddays")</f>
        <v>harddays</v>
      </c>
      <c r="B310" s="10">
        <f>IFERROR(__xludf.DUMMYFUNCTION("""COMPUTED_VALUE"""),175.0)</f>
        <v>175</v>
      </c>
      <c r="C310" s="10">
        <f>IFERROR(__xludf.DUMMYFUNCTION("""COMPUTED_VALUE"""),2061.0)</f>
        <v>2061</v>
      </c>
      <c r="D310" s="5">
        <f>IFERROR(__xludf.DUMMYFUNCTION("""COMPUTED_VALUE"""),0.34411452810180276)</f>
        <v>0.3441145281</v>
      </c>
      <c r="E310" s="5">
        <f>IFERROR(__xludf.DUMMYFUNCTION("""COMPUTED_VALUE"""),0.15217391304347827)</f>
        <v>0.152173913</v>
      </c>
      <c r="F310" s="5">
        <f>IFERROR(__xludf.DUMMYFUNCTION("""COMPUTED_VALUE"""),0.2205726405090138)</f>
        <v>0.2205726405</v>
      </c>
      <c r="G310" s="5">
        <f>IFERROR(__xludf.DUMMYFUNCTION("""COMPUTED_VALUE"""),0.176033934252386)</f>
        <v>0.1760339343</v>
      </c>
      <c r="H310" s="5">
        <f>IFERROR(__xludf.DUMMYFUNCTION("""COMPUTED_VALUE"""),0.65625)</f>
        <v>0.65625</v>
      </c>
      <c r="I310" s="11">
        <f>IFERROR(__xludf.DUMMYFUNCTION("""COMPUTED_VALUE"""),5516.1057692307695)</f>
        <v>5516.105769</v>
      </c>
      <c r="J310" s="10">
        <f>IFERROR(__xludf.DUMMYFUNCTION("""COMPUTED_VALUE"""),0.0)</f>
        <v>0</v>
      </c>
      <c r="K310" s="5">
        <f>IFERROR(__xludf.DUMMYFUNCTION("""COMPUTED_VALUE"""),0.0)</f>
        <v>0</v>
      </c>
      <c r="L310" s="10">
        <f>IFERROR(__xludf.DUMMYFUNCTION("""COMPUTED_VALUE"""),175.0)</f>
        <v>175</v>
      </c>
      <c r="M310" s="5">
        <f>IFERROR(__xludf.DUMMYFUNCTION("""COMPUTED_VALUE"""),1.0)</f>
        <v>1</v>
      </c>
    </row>
    <row r="311">
      <c r="A311" s="10" t="str">
        <f>IFERROR(__xludf.DUMMYFUNCTION("""COMPUTED_VALUE"""),"司狼")</f>
        <v>司狼</v>
      </c>
      <c r="B311" s="10">
        <f>IFERROR(__xludf.DUMMYFUNCTION("""COMPUTED_VALUE"""),159.0)</f>
        <v>159</v>
      </c>
      <c r="C311" s="10">
        <f>IFERROR(__xludf.DUMMYFUNCTION("""COMPUTED_VALUE"""),1848.0)</f>
        <v>1848</v>
      </c>
      <c r="D311" s="5">
        <f>IFERROR(__xludf.DUMMYFUNCTION("""COMPUTED_VALUE"""),0.32326820603907636)</f>
        <v>0.323268206</v>
      </c>
      <c r="E311" s="5">
        <f>IFERROR(__xludf.DUMMYFUNCTION("""COMPUTED_VALUE"""),0.1521610420367081)</f>
        <v>0.152161042</v>
      </c>
      <c r="F311" s="5">
        <f>IFERROR(__xludf.DUMMYFUNCTION("""COMPUTED_VALUE"""),0.18590882178804027)</f>
        <v>0.1859088218</v>
      </c>
      <c r="G311" s="5">
        <f>IFERROR(__xludf.DUMMYFUNCTION("""COMPUTED_VALUE"""),0.18058022498519835)</f>
        <v>0.180580225</v>
      </c>
      <c r="H311" s="5">
        <f>IFERROR(__xludf.DUMMYFUNCTION("""COMPUTED_VALUE"""),0.5923566878980892)</f>
        <v>0.5923566879</v>
      </c>
      <c r="I311" s="11">
        <f>IFERROR(__xludf.DUMMYFUNCTION("""COMPUTED_VALUE"""),6165.286624203822)</f>
        <v>6165.286624</v>
      </c>
      <c r="J311" s="10">
        <f>IFERROR(__xludf.DUMMYFUNCTION("""COMPUTED_VALUE"""),0.0)</f>
        <v>0</v>
      </c>
      <c r="K311" s="5">
        <f>IFERROR(__xludf.DUMMYFUNCTION("""COMPUTED_VALUE"""),0.0)</f>
        <v>0</v>
      </c>
      <c r="L311" s="10">
        <f>IFERROR(__xludf.DUMMYFUNCTION("""COMPUTED_VALUE"""),0.0)</f>
        <v>0</v>
      </c>
      <c r="M311" s="5">
        <f>IFERROR(__xludf.DUMMYFUNCTION("""COMPUTED_VALUE"""),0.0)</f>
        <v>0</v>
      </c>
    </row>
    <row r="312">
      <c r="A312" s="10" t="str">
        <f>IFERROR(__xludf.DUMMYFUNCTION("""COMPUTED_VALUE"""),"monok")</f>
        <v>monok</v>
      </c>
      <c r="B312" s="10">
        <f>IFERROR(__xludf.DUMMYFUNCTION("""COMPUTED_VALUE"""),573.0)</f>
        <v>573</v>
      </c>
      <c r="C312" s="10">
        <f>IFERROR(__xludf.DUMMYFUNCTION("""COMPUTED_VALUE"""),6712.0)</f>
        <v>6712</v>
      </c>
      <c r="D312" s="5">
        <f>IFERROR(__xludf.DUMMYFUNCTION("""COMPUTED_VALUE"""),0.3236683498941196)</f>
        <v>0.3236683499</v>
      </c>
      <c r="E312" s="5">
        <f>IFERROR(__xludf.DUMMYFUNCTION("""COMPUTED_VALUE"""),0.15214204267796058)</f>
        <v>0.1521420427</v>
      </c>
      <c r="F312" s="5">
        <f>IFERROR(__xludf.DUMMYFUNCTION("""COMPUTED_VALUE"""),0.2044306890373025)</f>
        <v>0.204430689</v>
      </c>
      <c r="G312" s="5">
        <f>IFERROR(__xludf.DUMMYFUNCTION("""COMPUTED_VALUE"""),0.18309170874735298)</f>
        <v>0.1830917087</v>
      </c>
      <c r="H312" s="5">
        <f>IFERROR(__xludf.DUMMYFUNCTION("""COMPUTED_VALUE"""),0.6247011952191235)</f>
        <v>0.6247011952</v>
      </c>
      <c r="I312" s="11">
        <f>IFERROR(__xludf.DUMMYFUNCTION("""COMPUTED_VALUE"""),6221.434262948207)</f>
        <v>6221.434263</v>
      </c>
      <c r="J312" s="10">
        <f>IFERROR(__xludf.DUMMYFUNCTION("""COMPUTED_VALUE"""),1.0)</f>
        <v>1</v>
      </c>
      <c r="K312" s="5">
        <f>IFERROR(__xludf.DUMMYFUNCTION("""COMPUTED_VALUE"""),0.0017452006980802793)</f>
        <v>0.001745200698</v>
      </c>
      <c r="L312" s="10">
        <f>IFERROR(__xludf.DUMMYFUNCTION("""COMPUTED_VALUE"""),573.0)</f>
        <v>573</v>
      </c>
      <c r="M312" s="5">
        <f>IFERROR(__xludf.DUMMYFUNCTION("""COMPUTED_VALUE"""),1.0)</f>
        <v>1</v>
      </c>
    </row>
    <row r="313">
      <c r="A313" s="10" t="str">
        <f>IFERROR(__xludf.DUMMYFUNCTION("""COMPUTED_VALUE"""),"天才発明家")</f>
        <v>天才発明家</v>
      </c>
      <c r="B313" s="10">
        <f>IFERROR(__xludf.DUMMYFUNCTION("""COMPUTED_VALUE"""),301.0)</f>
        <v>301</v>
      </c>
      <c r="C313" s="10">
        <f>IFERROR(__xludf.DUMMYFUNCTION("""COMPUTED_VALUE"""),3522.0)</f>
        <v>3522</v>
      </c>
      <c r="D313" s="5">
        <f>IFERROR(__xludf.DUMMYFUNCTION("""COMPUTED_VALUE"""),0.335610058987892)</f>
        <v>0.335610059</v>
      </c>
      <c r="E313" s="5">
        <f>IFERROR(__xludf.DUMMYFUNCTION("""COMPUTED_VALUE"""),0.15212666873641725)</f>
        <v>0.1521266687</v>
      </c>
      <c r="F313" s="5">
        <f>IFERROR(__xludf.DUMMYFUNCTION("""COMPUTED_VALUE"""),0.22508537721204594)</f>
        <v>0.2250853772</v>
      </c>
      <c r="G313" s="5">
        <f>IFERROR(__xludf.DUMMYFUNCTION("""COMPUTED_VALUE"""),0.1614405464141571)</f>
        <v>0.1614405464</v>
      </c>
      <c r="H313" s="5">
        <f>IFERROR(__xludf.DUMMYFUNCTION("""COMPUTED_VALUE"""),0.646896551724138)</f>
        <v>0.6468965517</v>
      </c>
      <c r="I313" s="11">
        <f>IFERROR(__xludf.DUMMYFUNCTION("""COMPUTED_VALUE"""),5559.0344827586205)</f>
        <v>5559.034483</v>
      </c>
      <c r="J313" s="10">
        <f>IFERROR(__xludf.DUMMYFUNCTION("""COMPUTED_VALUE"""),3.0)</f>
        <v>3</v>
      </c>
      <c r="K313" s="5">
        <f>IFERROR(__xludf.DUMMYFUNCTION("""COMPUTED_VALUE"""),0.009966777408637873)</f>
        <v>0.009966777409</v>
      </c>
      <c r="L313" s="10">
        <f>IFERROR(__xludf.DUMMYFUNCTION("""COMPUTED_VALUE"""),301.0)</f>
        <v>301</v>
      </c>
      <c r="M313" s="5">
        <f>IFERROR(__xludf.DUMMYFUNCTION("""COMPUTED_VALUE"""),1.0)</f>
        <v>1</v>
      </c>
    </row>
    <row r="314">
      <c r="A314" s="10" t="str">
        <f>IFERROR(__xludf.DUMMYFUNCTION("""COMPUTED_VALUE"""),"JOJO1985")</f>
        <v>JOJO1985</v>
      </c>
      <c r="B314" s="10">
        <f>IFERROR(__xludf.DUMMYFUNCTION("""COMPUTED_VALUE"""),298.0)</f>
        <v>298</v>
      </c>
      <c r="C314" s="10">
        <f>IFERROR(__xludf.DUMMYFUNCTION("""COMPUTED_VALUE"""),3395.0)</f>
        <v>3395</v>
      </c>
      <c r="D314" s="5">
        <f>IFERROR(__xludf.DUMMYFUNCTION("""COMPUTED_VALUE"""),0.3519535033903778)</f>
        <v>0.3519535034</v>
      </c>
      <c r="E314" s="5">
        <f>IFERROR(__xludf.DUMMYFUNCTION("""COMPUTED_VALUE"""),0.15208266063932838)</f>
        <v>0.1520826606</v>
      </c>
      <c r="F314" s="5">
        <f>IFERROR(__xludf.DUMMYFUNCTION("""COMPUTED_VALUE"""),0.20697449144333227)</f>
        <v>0.2069744914</v>
      </c>
      <c r="G314" s="5">
        <f>IFERROR(__xludf.DUMMYFUNCTION("""COMPUTED_VALUE"""),0.20632870519857927)</f>
        <v>0.2063287052</v>
      </c>
      <c r="H314" s="5">
        <f>IFERROR(__xludf.DUMMYFUNCTION("""COMPUTED_VALUE"""),0.5975039001560063)</f>
        <v>0.5975039002</v>
      </c>
      <c r="I314" s="11">
        <f>IFERROR(__xludf.DUMMYFUNCTION("""COMPUTED_VALUE"""),5648.205928237129)</f>
        <v>5648.205928</v>
      </c>
      <c r="J314" s="10">
        <f>IFERROR(__xludf.DUMMYFUNCTION("""COMPUTED_VALUE"""),0.0)</f>
        <v>0</v>
      </c>
      <c r="K314" s="5">
        <f>IFERROR(__xludf.DUMMYFUNCTION("""COMPUTED_VALUE"""),0.0)</f>
        <v>0</v>
      </c>
      <c r="L314" s="10">
        <f>IFERROR(__xludf.DUMMYFUNCTION("""COMPUTED_VALUE"""),298.0)</f>
        <v>298</v>
      </c>
      <c r="M314" s="5">
        <f>IFERROR(__xludf.DUMMYFUNCTION("""COMPUTED_VALUE"""),1.0)</f>
        <v>1</v>
      </c>
    </row>
    <row r="315">
      <c r="A315" s="10" t="str">
        <f>IFERROR(__xludf.DUMMYFUNCTION("""COMPUTED_VALUE"""),"yoshi52")</f>
        <v>yoshi52</v>
      </c>
      <c r="B315" s="10">
        <f>IFERROR(__xludf.DUMMYFUNCTION("""COMPUTED_VALUE"""),384.0)</f>
        <v>384</v>
      </c>
      <c r="C315" s="10">
        <f>IFERROR(__xludf.DUMMYFUNCTION("""COMPUTED_VALUE"""),4502.0)</f>
        <v>4502</v>
      </c>
      <c r="D315" s="5">
        <f>IFERROR(__xludf.DUMMYFUNCTION("""COMPUTED_VALUE"""),0.33778533268576977)</f>
        <v>0.3377853327</v>
      </c>
      <c r="E315" s="5">
        <f>IFERROR(__xludf.DUMMYFUNCTION("""COMPUTED_VALUE"""),0.15201554152501215)</f>
        <v>0.1520155415</v>
      </c>
      <c r="F315" s="5">
        <f>IFERROR(__xludf.DUMMYFUNCTION("""COMPUTED_VALUE"""),0.21758135016998542)</f>
        <v>0.2175813502</v>
      </c>
      <c r="G315" s="5">
        <f>IFERROR(__xludf.DUMMYFUNCTION("""COMPUTED_VALUE"""),0.21588149587178243)</f>
        <v>0.2158814959</v>
      </c>
      <c r="H315" s="5">
        <f>IFERROR(__xludf.DUMMYFUNCTION("""COMPUTED_VALUE"""),0.6216517857142857)</f>
        <v>0.6216517857</v>
      </c>
      <c r="I315" s="11">
        <f>IFERROR(__xludf.DUMMYFUNCTION("""COMPUTED_VALUE"""),5801.450892857143)</f>
        <v>5801.450893</v>
      </c>
      <c r="J315" s="10">
        <f>IFERROR(__xludf.DUMMYFUNCTION("""COMPUTED_VALUE"""),3.0)</f>
        <v>3</v>
      </c>
      <c r="K315" s="5">
        <f>IFERROR(__xludf.DUMMYFUNCTION("""COMPUTED_VALUE"""),0.0078125)</f>
        <v>0.0078125</v>
      </c>
      <c r="L315" s="10">
        <f>IFERROR(__xludf.DUMMYFUNCTION("""COMPUTED_VALUE"""),384.0)</f>
        <v>384</v>
      </c>
      <c r="M315" s="5">
        <f>IFERROR(__xludf.DUMMYFUNCTION("""COMPUTED_VALUE"""),1.0)</f>
        <v>1</v>
      </c>
    </row>
    <row r="316">
      <c r="A316" s="10" t="str">
        <f>IFERROR(__xludf.DUMMYFUNCTION("""COMPUTED_VALUE"""),"おきたかひろ")</f>
        <v>おきたかひろ</v>
      </c>
      <c r="B316" s="10">
        <f>IFERROR(__xludf.DUMMYFUNCTION("""COMPUTED_VALUE"""),116.0)</f>
        <v>116</v>
      </c>
      <c r="C316" s="10">
        <f>IFERROR(__xludf.DUMMYFUNCTION("""COMPUTED_VALUE"""),1366.0)</f>
        <v>1366</v>
      </c>
      <c r="D316" s="5">
        <f>IFERROR(__xludf.DUMMYFUNCTION("""COMPUTED_VALUE"""),0.3912)</f>
        <v>0.3912</v>
      </c>
      <c r="E316" s="5">
        <f>IFERROR(__xludf.DUMMYFUNCTION("""COMPUTED_VALUE"""),0.152)</f>
        <v>0.152</v>
      </c>
      <c r="F316" s="5">
        <f>IFERROR(__xludf.DUMMYFUNCTION("""COMPUTED_VALUE"""),0.2096)</f>
        <v>0.2096</v>
      </c>
      <c r="G316" s="5">
        <f>IFERROR(__xludf.DUMMYFUNCTION("""COMPUTED_VALUE"""),0.1408)</f>
        <v>0.1408</v>
      </c>
      <c r="H316" s="5">
        <f>IFERROR(__xludf.DUMMYFUNCTION("""COMPUTED_VALUE"""),0.6145038167938931)</f>
        <v>0.6145038168</v>
      </c>
      <c r="I316" s="11">
        <f>IFERROR(__xludf.DUMMYFUNCTION("""COMPUTED_VALUE"""),5234.3511450381675)</f>
        <v>5234.351145</v>
      </c>
      <c r="J316" s="10">
        <f>IFERROR(__xludf.DUMMYFUNCTION("""COMPUTED_VALUE"""),0.0)</f>
        <v>0</v>
      </c>
      <c r="K316" s="5">
        <f>IFERROR(__xludf.DUMMYFUNCTION("""COMPUTED_VALUE"""),0.0)</f>
        <v>0</v>
      </c>
      <c r="L316" s="10">
        <f>IFERROR(__xludf.DUMMYFUNCTION("""COMPUTED_VALUE"""),12.0)</f>
        <v>12</v>
      </c>
      <c r="M316" s="5">
        <f>IFERROR(__xludf.DUMMYFUNCTION("""COMPUTED_VALUE"""),0.10344827586206896)</f>
        <v>0.1034482759</v>
      </c>
    </row>
    <row r="317">
      <c r="A317" s="10" t="str">
        <f>IFERROR(__xludf.DUMMYFUNCTION("""COMPUTED_VALUE"""),"iceman2")</f>
        <v>iceman2</v>
      </c>
      <c r="B317" s="10">
        <f>IFERROR(__xludf.DUMMYFUNCTION("""COMPUTED_VALUE"""),589.0)</f>
        <v>589</v>
      </c>
      <c r="C317" s="10">
        <f>IFERROR(__xludf.DUMMYFUNCTION("""COMPUTED_VALUE"""),6905.0)</f>
        <v>6905</v>
      </c>
      <c r="D317" s="5">
        <f>IFERROR(__xludf.DUMMYFUNCTION("""COMPUTED_VALUE"""),0.43302723242558583)</f>
        <v>0.4330272324</v>
      </c>
      <c r="E317" s="5">
        <f>IFERROR(__xludf.DUMMYFUNCTION("""COMPUTED_VALUE"""),0.1519949335022166)</f>
        <v>0.1519949335</v>
      </c>
      <c r="F317" s="5">
        <f>IFERROR(__xludf.DUMMYFUNCTION("""COMPUTED_VALUE"""),0.2325839138695377)</f>
        <v>0.2325839139</v>
      </c>
      <c r="G317" s="5">
        <f>IFERROR(__xludf.DUMMYFUNCTION("""COMPUTED_VALUE"""),0.12444585180493983)</f>
        <v>0.1244458518</v>
      </c>
      <c r="H317" s="5">
        <f>IFERROR(__xludf.DUMMYFUNCTION("""COMPUTED_VALUE"""),0.6432947583390062)</f>
        <v>0.6432947583</v>
      </c>
      <c r="I317" s="11">
        <f>IFERROR(__xludf.DUMMYFUNCTION("""COMPUTED_VALUE"""),5360.040844111641)</f>
        <v>5360.040844</v>
      </c>
      <c r="J317" s="10">
        <f>IFERROR(__xludf.DUMMYFUNCTION("""COMPUTED_VALUE"""),2.0)</f>
        <v>2</v>
      </c>
      <c r="K317" s="5">
        <f>IFERROR(__xludf.DUMMYFUNCTION("""COMPUTED_VALUE"""),0.003395585738539898)</f>
        <v>0.003395585739</v>
      </c>
      <c r="L317" s="10">
        <f>IFERROR(__xludf.DUMMYFUNCTION("""COMPUTED_VALUE"""),589.0)</f>
        <v>589</v>
      </c>
      <c r="M317" s="5">
        <f>IFERROR(__xludf.DUMMYFUNCTION("""COMPUTED_VALUE"""),1.0)</f>
        <v>1</v>
      </c>
    </row>
    <row r="318">
      <c r="A318" s="10" t="str">
        <f>IFERROR(__xludf.DUMMYFUNCTION("""COMPUTED_VALUE"""),"ぬるりんこ")</f>
        <v>ぬるりんこ</v>
      </c>
      <c r="B318" s="10">
        <f>IFERROR(__xludf.DUMMYFUNCTION("""COMPUTED_VALUE"""),184.0)</f>
        <v>184</v>
      </c>
      <c r="C318" s="10">
        <f>IFERROR(__xludf.DUMMYFUNCTION("""COMPUTED_VALUE"""),2152.0)</f>
        <v>2152</v>
      </c>
      <c r="D318" s="5">
        <f>IFERROR(__xludf.DUMMYFUNCTION("""COMPUTED_VALUE"""),0.421239837398374)</f>
        <v>0.4212398374</v>
      </c>
      <c r="E318" s="5">
        <f>IFERROR(__xludf.DUMMYFUNCTION("""COMPUTED_VALUE"""),0.15193089430894308)</f>
        <v>0.1519308943</v>
      </c>
      <c r="F318" s="5">
        <f>IFERROR(__xludf.DUMMYFUNCTION("""COMPUTED_VALUE"""),0.20782520325203252)</f>
        <v>0.2078252033</v>
      </c>
      <c r="G318" s="5">
        <f>IFERROR(__xludf.DUMMYFUNCTION("""COMPUTED_VALUE"""),0.17530487804878048)</f>
        <v>0.175304878</v>
      </c>
      <c r="H318" s="5">
        <f>IFERROR(__xludf.DUMMYFUNCTION("""COMPUTED_VALUE"""),0.5819070904645477)</f>
        <v>0.5819070905</v>
      </c>
      <c r="I318" s="11">
        <f>IFERROR(__xludf.DUMMYFUNCTION("""COMPUTED_VALUE"""),5683.618581907091)</f>
        <v>5683.618582</v>
      </c>
      <c r="J318" s="10">
        <f>IFERROR(__xludf.DUMMYFUNCTION("""COMPUTED_VALUE"""),0.0)</f>
        <v>0</v>
      </c>
      <c r="K318" s="5">
        <f>IFERROR(__xludf.DUMMYFUNCTION("""COMPUTED_VALUE"""),0.0)</f>
        <v>0</v>
      </c>
      <c r="L318" s="10">
        <f>IFERROR(__xludf.DUMMYFUNCTION("""COMPUTED_VALUE"""),74.0)</f>
        <v>74</v>
      </c>
      <c r="M318" s="5">
        <f>IFERROR(__xludf.DUMMYFUNCTION("""COMPUTED_VALUE"""),0.40217391304347827)</f>
        <v>0.402173913</v>
      </c>
    </row>
    <row r="319">
      <c r="A319" s="10" t="str">
        <f>IFERROR(__xludf.DUMMYFUNCTION("""COMPUTED_VALUE"""),"戦力外ポーク")</f>
        <v>戦力外ポーク</v>
      </c>
      <c r="B319" s="10">
        <f>IFERROR(__xludf.DUMMYFUNCTION("""COMPUTED_VALUE"""),179.0)</f>
        <v>179</v>
      </c>
      <c r="C319" s="10">
        <f>IFERROR(__xludf.DUMMYFUNCTION("""COMPUTED_VALUE"""),2147.0)</f>
        <v>2147</v>
      </c>
      <c r="D319" s="5">
        <f>IFERROR(__xludf.DUMMYFUNCTION("""COMPUTED_VALUE"""),0.35060975609756095)</f>
        <v>0.3506097561</v>
      </c>
      <c r="E319" s="5">
        <f>IFERROR(__xludf.DUMMYFUNCTION("""COMPUTED_VALUE"""),0.15193089430894308)</f>
        <v>0.1519308943</v>
      </c>
      <c r="F319" s="5">
        <f>IFERROR(__xludf.DUMMYFUNCTION("""COMPUTED_VALUE"""),0.20071138211382114)</f>
        <v>0.2007113821</v>
      </c>
      <c r="G319" s="5">
        <f>IFERROR(__xludf.DUMMYFUNCTION("""COMPUTED_VALUE"""),0.1559959349593496)</f>
        <v>0.155995935</v>
      </c>
      <c r="H319" s="5">
        <f>IFERROR(__xludf.DUMMYFUNCTION("""COMPUTED_VALUE"""),0.5341772151898734)</f>
        <v>0.5341772152</v>
      </c>
      <c r="I319" s="11">
        <f>IFERROR(__xludf.DUMMYFUNCTION("""COMPUTED_VALUE"""),5651.392405063291)</f>
        <v>5651.392405</v>
      </c>
      <c r="J319" s="10">
        <f>IFERROR(__xludf.DUMMYFUNCTION("""COMPUTED_VALUE"""),0.0)</f>
        <v>0</v>
      </c>
      <c r="K319" s="5">
        <f>IFERROR(__xludf.DUMMYFUNCTION("""COMPUTED_VALUE"""),0.0)</f>
        <v>0</v>
      </c>
      <c r="L319" s="10">
        <f>IFERROR(__xludf.DUMMYFUNCTION("""COMPUTED_VALUE"""),179.0)</f>
        <v>179</v>
      </c>
      <c r="M319" s="5">
        <f>IFERROR(__xludf.DUMMYFUNCTION("""COMPUTED_VALUE"""),1.0)</f>
        <v>1</v>
      </c>
    </row>
    <row r="320">
      <c r="A320" s="10" t="str">
        <f>IFERROR(__xludf.DUMMYFUNCTION("""COMPUTED_VALUE"""),"高原万葉")</f>
        <v>高原万葉</v>
      </c>
      <c r="B320" s="10">
        <f>IFERROR(__xludf.DUMMYFUNCTION("""COMPUTED_VALUE"""),267.0)</f>
        <v>267</v>
      </c>
      <c r="C320" s="10">
        <f>IFERROR(__xludf.DUMMYFUNCTION("""COMPUTED_VALUE"""),3091.0)</f>
        <v>3091</v>
      </c>
      <c r="D320" s="5">
        <f>IFERROR(__xludf.DUMMYFUNCTION("""COMPUTED_VALUE"""),0.41005665722379603)</f>
        <v>0.4100566572</v>
      </c>
      <c r="E320" s="5">
        <f>IFERROR(__xludf.DUMMYFUNCTION("""COMPUTED_VALUE"""),0.15191218130311615)</f>
        <v>0.1519121813</v>
      </c>
      <c r="F320" s="5">
        <f>IFERROR(__xludf.DUMMYFUNCTION("""COMPUTED_VALUE"""),0.209985835694051)</f>
        <v>0.2099858357</v>
      </c>
      <c r="G320" s="5">
        <f>IFERROR(__xludf.DUMMYFUNCTION("""COMPUTED_VALUE"""),0.16395184135977336)</f>
        <v>0.1639518414</v>
      </c>
      <c r="H320" s="5">
        <f>IFERROR(__xludf.DUMMYFUNCTION("""COMPUTED_VALUE"""),0.6003372681281619)</f>
        <v>0.6003372681</v>
      </c>
      <c r="I320" s="11">
        <f>IFERROR(__xludf.DUMMYFUNCTION("""COMPUTED_VALUE"""),5799.325463743677)</f>
        <v>5799.325464</v>
      </c>
      <c r="J320" s="10">
        <f>IFERROR(__xludf.DUMMYFUNCTION("""COMPUTED_VALUE"""),0.0)</f>
        <v>0</v>
      </c>
      <c r="K320" s="5">
        <f>IFERROR(__xludf.DUMMYFUNCTION("""COMPUTED_VALUE"""),0.0)</f>
        <v>0</v>
      </c>
      <c r="L320" s="10">
        <f>IFERROR(__xludf.DUMMYFUNCTION("""COMPUTED_VALUE"""),0.0)</f>
        <v>0</v>
      </c>
      <c r="M320" s="5">
        <f>IFERROR(__xludf.DUMMYFUNCTION("""COMPUTED_VALUE"""),0.0)</f>
        <v>0</v>
      </c>
    </row>
    <row r="321">
      <c r="A321" s="10" t="str">
        <f>IFERROR(__xludf.DUMMYFUNCTION("""COMPUTED_VALUE"""),"sakai67")</f>
        <v>sakai67</v>
      </c>
      <c r="B321" s="10">
        <f>IFERROR(__xludf.DUMMYFUNCTION("""COMPUTED_VALUE"""),1048.0)</f>
        <v>1048</v>
      </c>
      <c r="C321" s="10">
        <f>IFERROR(__xludf.DUMMYFUNCTION("""COMPUTED_VALUE"""),12188.0)</f>
        <v>12188</v>
      </c>
      <c r="D321" s="5">
        <f>IFERROR(__xludf.DUMMYFUNCTION("""COMPUTED_VALUE"""),0.39847396768402155)</f>
        <v>0.3984739677</v>
      </c>
      <c r="E321" s="5">
        <f>IFERROR(__xludf.DUMMYFUNCTION("""COMPUTED_VALUE"""),0.1518850987432675)</f>
        <v>0.1518850987</v>
      </c>
      <c r="F321" s="5">
        <f>IFERROR(__xludf.DUMMYFUNCTION("""COMPUTED_VALUE"""),0.23491921005385996)</f>
        <v>0.2349192101</v>
      </c>
      <c r="G321" s="5">
        <f>IFERROR(__xludf.DUMMYFUNCTION("""COMPUTED_VALUE"""),0.172262118491921)</f>
        <v>0.1722621185</v>
      </c>
      <c r="H321" s="5">
        <f>IFERROR(__xludf.DUMMYFUNCTION("""COMPUTED_VALUE"""),0.6178830722200993)</f>
        <v>0.6178830722</v>
      </c>
      <c r="I321" s="11">
        <f>IFERROR(__xludf.DUMMYFUNCTION("""COMPUTED_VALUE"""),5472.44936950707)</f>
        <v>5472.44937</v>
      </c>
      <c r="J321" s="10">
        <f>IFERROR(__xludf.DUMMYFUNCTION("""COMPUTED_VALUE"""),2.0)</f>
        <v>2</v>
      </c>
      <c r="K321" s="5">
        <f>IFERROR(__xludf.DUMMYFUNCTION("""COMPUTED_VALUE"""),0.0019083969465648854)</f>
        <v>0.001908396947</v>
      </c>
      <c r="L321" s="10">
        <f>IFERROR(__xludf.DUMMYFUNCTION("""COMPUTED_VALUE"""),1048.0)</f>
        <v>1048</v>
      </c>
      <c r="M321" s="5">
        <f>IFERROR(__xludf.DUMMYFUNCTION("""COMPUTED_VALUE"""),1.0)</f>
        <v>1</v>
      </c>
    </row>
    <row r="322">
      <c r="A322" s="10" t="str">
        <f>IFERROR(__xludf.DUMMYFUNCTION("""COMPUTED_VALUE"""),"NIss")</f>
        <v>NIss</v>
      </c>
      <c r="B322" s="10">
        <f>IFERROR(__xludf.DUMMYFUNCTION("""COMPUTED_VALUE"""),234.0)</f>
        <v>234</v>
      </c>
      <c r="C322" s="10">
        <f>IFERROR(__xludf.DUMMYFUNCTION("""COMPUTED_VALUE"""),2743.0)</f>
        <v>2743</v>
      </c>
      <c r="D322" s="5">
        <f>IFERROR(__xludf.DUMMYFUNCTION("""COMPUTED_VALUE"""),0.29374252690314867)</f>
        <v>0.2937425269</v>
      </c>
      <c r="E322" s="5">
        <f>IFERROR(__xludf.DUMMYFUNCTION("""COMPUTED_VALUE"""),0.15185332801913112)</f>
        <v>0.151853328</v>
      </c>
      <c r="F322" s="5">
        <f>IFERROR(__xludf.DUMMYFUNCTION("""COMPUTED_VALUE"""),0.19569549621363092)</f>
        <v>0.1956954962</v>
      </c>
      <c r="G322" s="5">
        <f>IFERROR(__xludf.DUMMYFUNCTION("""COMPUTED_VALUE"""),0.17297728178557195)</f>
        <v>0.1729772818</v>
      </c>
      <c r="H322" s="5">
        <f>IFERROR(__xludf.DUMMYFUNCTION("""COMPUTED_VALUE"""),0.5376782077393075)</f>
        <v>0.5376782077</v>
      </c>
      <c r="I322" s="11">
        <f>IFERROR(__xludf.DUMMYFUNCTION("""COMPUTED_VALUE"""),5754.786150712831)</f>
        <v>5754.786151</v>
      </c>
      <c r="J322" s="10">
        <f>IFERROR(__xludf.DUMMYFUNCTION("""COMPUTED_VALUE"""),0.0)</f>
        <v>0</v>
      </c>
      <c r="K322" s="5">
        <f>IFERROR(__xludf.DUMMYFUNCTION("""COMPUTED_VALUE"""),0.0)</f>
        <v>0</v>
      </c>
      <c r="L322" s="10">
        <f>IFERROR(__xludf.DUMMYFUNCTION("""COMPUTED_VALUE"""),234.0)</f>
        <v>234</v>
      </c>
      <c r="M322" s="5">
        <f>IFERROR(__xludf.DUMMYFUNCTION("""COMPUTED_VALUE"""),1.0)</f>
        <v>1</v>
      </c>
    </row>
    <row r="323">
      <c r="A323" s="10" t="str">
        <f>IFERROR(__xludf.DUMMYFUNCTION("""COMPUTED_VALUE"""),"しけもく太郎")</f>
        <v>しけもく太郎</v>
      </c>
      <c r="B323" s="10">
        <f>IFERROR(__xludf.DUMMYFUNCTION("""COMPUTED_VALUE"""),330.0)</f>
        <v>330</v>
      </c>
      <c r="C323" s="10">
        <f>IFERROR(__xludf.DUMMYFUNCTION("""COMPUTED_VALUE"""),3906.0)</f>
        <v>3906</v>
      </c>
      <c r="D323" s="5">
        <f>IFERROR(__xludf.DUMMYFUNCTION("""COMPUTED_VALUE"""),0.27768456375838924)</f>
        <v>0.2776845638</v>
      </c>
      <c r="E323" s="5">
        <f>IFERROR(__xludf.DUMMYFUNCTION("""COMPUTED_VALUE"""),0.1518456375838926)</f>
        <v>0.1518456376</v>
      </c>
      <c r="F323" s="5">
        <f>IFERROR(__xludf.DUMMYFUNCTION("""COMPUTED_VALUE"""),0.1965883668903803)</f>
        <v>0.1965883669</v>
      </c>
      <c r="G323" s="5">
        <f>IFERROR(__xludf.DUMMYFUNCTION("""COMPUTED_VALUE"""),0.16946308724832215)</f>
        <v>0.1694630872</v>
      </c>
      <c r="H323" s="5">
        <f>IFERROR(__xludf.DUMMYFUNCTION("""COMPUTED_VALUE"""),0.5874822190611664)</f>
        <v>0.5874822191</v>
      </c>
      <c r="I323" s="11">
        <f>IFERROR(__xludf.DUMMYFUNCTION("""COMPUTED_VALUE"""),6060.881934566145)</f>
        <v>6060.881935</v>
      </c>
      <c r="J323" s="10">
        <f>IFERROR(__xludf.DUMMYFUNCTION("""COMPUTED_VALUE"""),2.0)</f>
        <v>2</v>
      </c>
      <c r="K323" s="5">
        <f>IFERROR(__xludf.DUMMYFUNCTION("""COMPUTED_VALUE"""),0.006060606060606061)</f>
        <v>0.006060606061</v>
      </c>
      <c r="L323" s="10">
        <f>IFERROR(__xludf.DUMMYFUNCTION("""COMPUTED_VALUE"""),330.0)</f>
        <v>330</v>
      </c>
      <c r="M323" s="5">
        <f>IFERROR(__xludf.DUMMYFUNCTION("""COMPUTED_VALUE"""),1.0)</f>
        <v>1</v>
      </c>
    </row>
    <row r="324">
      <c r="A324" s="10" t="str">
        <f>IFERROR(__xludf.DUMMYFUNCTION("""COMPUTED_VALUE"""),"(＾ω＾)おぉん")</f>
        <v>(＾ω＾)おぉん</v>
      </c>
      <c r="B324" s="10">
        <f>IFERROR(__xludf.DUMMYFUNCTION("""COMPUTED_VALUE"""),502.0)</f>
        <v>502</v>
      </c>
      <c r="C324" s="10">
        <f>IFERROR(__xludf.DUMMYFUNCTION("""COMPUTED_VALUE"""),5923.0)</f>
        <v>5923</v>
      </c>
      <c r="D324" s="5">
        <f>IFERROR(__xludf.DUMMYFUNCTION("""COMPUTED_VALUE"""),0.3503043718871057)</f>
        <v>0.3503043719</v>
      </c>
      <c r="E324" s="5">
        <f>IFERROR(__xludf.DUMMYFUNCTION("""COMPUTED_VALUE"""),0.15181700793211583)</f>
        <v>0.1518170079</v>
      </c>
      <c r="F324" s="5">
        <f>IFERROR(__xludf.DUMMYFUNCTION("""COMPUTED_VALUE"""),0.2136137244050913)</f>
        <v>0.2136137244</v>
      </c>
      <c r="G324" s="5">
        <f>IFERROR(__xludf.DUMMYFUNCTION("""COMPUTED_VALUE"""),0.15735104224312857)</f>
        <v>0.1573510422</v>
      </c>
      <c r="H324" s="5">
        <f>IFERROR(__xludf.DUMMYFUNCTION("""COMPUTED_VALUE"""),0.6001727115716753)</f>
        <v>0.6001727116</v>
      </c>
      <c r="I324" s="11">
        <f>IFERROR(__xludf.DUMMYFUNCTION("""COMPUTED_VALUE"""),5353.713298791019)</f>
        <v>5353.713299</v>
      </c>
      <c r="J324" s="10">
        <f>IFERROR(__xludf.DUMMYFUNCTION("""COMPUTED_VALUE"""),3.0)</f>
        <v>3</v>
      </c>
      <c r="K324" s="5">
        <f>IFERROR(__xludf.DUMMYFUNCTION("""COMPUTED_VALUE"""),0.00597609561752988)</f>
        <v>0.005976095618</v>
      </c>
      <c r="L324" s="10">
        <f>IFERROR(__xludf.DUMMYFUNCTION("""COMPUTED_VALUE"""),22.0)</f>
        <v>22</v>
      </c>
      <c r="M324" s="5">
        <f>IFERROR(__xludf.DUMMYFUNCTION("""COMPUTED_VALUE"""),0.043824701195219126)</f>
        <v>0.0438247012</v>
      </c>
    </row>
    <row r="325">
      <c r="A325" s="10" t="str">
        <f>IFERROR(__xludf.DUMMYFUNCTION("""COMPUTED_VALUE"""),"こきまろ")</f>
        <v>こきまろ</v>
      </c>
      <c r="B325" s="10">
        <f>IFERROR(__xludf.DUMMYFUNCTION("""COMPUTED_VALUE"""),153.0)</f>
        <v>153</v>
      </c>
      <c r="C325" s="10">
        <f>IFERROR(__xludf.DUMMYFUNCTION("""COMPUTED_VALUE"""),1767.0)</f>
        <v>1767</v>
      </c>
      <c r="D325" s="5">
        <f>IFERROR(__xludf.DUMMYFUNCTION("""COMPUTED_VALUE"""),0.31784386617100374)</f>
        <v>0.3178438662</v>
      </c>
      <c r="E325" s="5">
        <f>IFERROR(__xludf.DUMMYFUNCTION("""COMPUTED_VALUE"""),0.15179677819083023)</f>
        <v>0.1517967782</v>
      </c>
      <c r="F325" s="5">
        <f>IFERROR(__xludf.DUMMYFUNCTION("""COMPUTED_VALUE"""),0.2379182156133829)</f>
        <v>0.2379182156</v>
      </c>
      <c r="G325" s="5">
        <f>IFERROR(__xludf.DUMMYFUNCTION("""COMPUTED_VALUE"""),0.1809169764560099)</f>
        <v>0.1809169765</v>
      </c>
      <c r="H325" s="5">
        <f>IFERROR(__xludf.DUMMYFUNCTION("""COMPUTED_VALUE"""),0.5963541666666666)</f>
        <v>0.5963541667</v>
      </c>
      <c r="I325" s="11">
        <f>IFERROR(__xludf.DUMMYFUNCTION("""COMPUTED_VALUE"""),5911.197916666667)</f>
        <v>5911.197917</v>
      </c>
      <c r="J325" s="10">
        <f>IFERROR(__xludf.DUMMYFUNCTION("""COMPUTED_VALUE"""),0.0)</f>
        <v>0</v>
      </c>
      <c r="K325" s="5">
        <f>IFERROR(__xludf.DUMMYFUNCTION("""COMPUTED_VALUE"""),0.0)</f>
        <v>0</v>
      </c>
      <c r="L325" s="10">
        <f>IFERROR(__xludf.DUMMYFUNCTION("""COMPUTED_VALUE"""),153.0)</f>
        <v>153</v>
      </c>
      <c r="M325" s="5">
        <f>IFERROR(__xludf.DUMMYFUNCTION("""COMPUTED_VALUE"""),1.0)</f>
        <v>1</v>
      </c>
    </row>
    <row r="326">
      <c r="A326" s="10" t="str">
        <f>IFERROR(__xludf.DUMMYFUNCTION("""COMPUTED_VALUE"""),"（＾∀＾）")</f>
        <v>（＾∀＾）</v>
      </c>
      <c r="B326" s="10">
        <f>IFERROR(__xludf.DUMMYFUNCTION("""COMPUTED_VALUE"""),136.0)</f>
        <v>136</v>
      </c>
      <c r="C326" s="10">
        <f>IFERROR(__xludf.DUMMYFUNCTION("""COMPUTED_VALUE"""),1625.0)</f>
        <v>1625</v>
      </c>
      <c r="D326" s="5">
        <f>IFERROR(__xludf.DUMMYFUNCTION("""COMPUTED_VALUE"""),0.31229012760241776)</f>
        <v>0.3122901276</v>
      </c>
      <c r="E326" s="5">
        <f>IFERROR(__xludf.DUMMYFUNCTION("""COMPUTED_VALUE"""),0.15177971793149764)</f>
        <v>0.1517797179</v>
      </c>
      <c r="F326" s="5">
        <f>IFERROR(__xludf.DUMMYFUNCTION("""COMPUTED_VALUE"""),0.20013431833445267)</f>
        <v>0.2001343183</v>
      </c>
      <c r="G326" s="5">
        <f>IFERROR(__xludf.DUMMYFUNCTION("""COMPUTED_VALUE"""),0.180658159838818)</f>
        <v>0.1806581598</v>
      </c>
      <c r="H326" s="5">
        <f>IFERROR(__xludf.DUMMYFUNCTION("""COMPUTED_VALUE"""),0.5469798657718121)</f>
        <v>0.5469798658</v>
      </c>
      <c r="I326" s="11">
        <f>IFERROR(__xludf.DUMMYFUNCTION("""COMPUTED_VALUE"""),5673.154362416108)</f>
        <v>5673.154362</v>
      </c>
      <c r="J326" s="10">
        <f>IFERROR(__xludf.DUMMYFUNCTION("""COMPUTED_VALUE"""),0.0)</f>
        <v>0</v>
      </c>
      <c r="K326" s="5">
        <f>IFERROR(__xludf.DUMMYFUNCTION("""COMPUTED_VALUE"""),0.0)</f>
        <v>0</v>
      </c>
      <c r="L326" s="10">
        <f>IFERROR(__xludf.DUMMYFUNCTION("""COMPUTED_VALUE"""),136.0)</f>
        <v>136</v>
      </c>
      <c r="M326" s="5">
        <f>IFERROR(__xludf.DUMMYFUNCTION("""COMPUTED_VALUE"""),1.0)</f>
        <v>1</v>
      </c>
    </row>
    <row r="327">
      <c r="A327" s="10" t="str">
        <f>IFERROR(__xludf.DUMMYFUNCTION("""COMPUTED_VALUE"""),"fkds")</f>
        <v>fkds</v>
      </c>
      <c r="B327" s="10">
        <f>IFERROR(__xludf.DUMMYFUNCTION("""COMPUTED_VALUE"""),240.0)</f>
        <v>240</v>
      </c>
      <c r="C327" s="10">
        <f>IFERROR(__xludf.DUMMYFUNCTION("""COMPUTED_VALUE"""),2770.0)</f>
        <v>2770</v>
      </c>
      <c r="D327" s="5">
        <f>IFERROR(__xludf.DUMMYFUNCTION("""COMPUTED_VALUE"""),0.26877470355731226)</f>
        <v>0.2687747036</v>
      </c>
      <c r="E327" s="5">
        <f>IFERROR(__xludf.DUMMYFUNCTION("""COMPUTED_VALUE"""),0.15177865612648223)</f>
        <v>0.1517786561</v>
      </c>
      <c r="F327" s="5">
        <f>IFERROR(__xludf.DUMMYFUNCTION("""COMPUTED_VALUE"""),0.1992094861660079)</f>
        <v>0.1992094862</v>
      </c>
      <c r="G327" s="5">
        <f>IFERROR(__xludf.DUMMYFUNCTION("""COMPUTED_VALUE"""),0.17351778656126482)</f>
        <v>0.1735177866</v>
      </c>
      <c r="H327" s="5">
        <f>IFERROR(__xludf.DUMMYFUNCTION("""COMPUTED_VALUE"""),0.5873015873015873)</f>
        <v>0.5873015873</v>
      </c>
      <c r="I327" s="11">
        <f>IFERROR(__xludf.DUMMYFUNCTION("""COMPUTED_VALUE"""),6173.214285714285)</f>
        <v>6173.214286</v>
      </c>
      <c r="J327" s="10">
        <f>IFERROR(__xludf.DUMMYFUNCTION("""COMPUTED_VALUE"""),1.0)</f>
        <v>1</v>
      </c>
      <c r="K327" s="5">
        <f>IFERROR(__xludf.DUMMYFUNCTION("""COMPUTED_VALUE"""),0.004166666666666667)</f>
        <v>0.004166666667</v>
      </c>
      <c r="L327" s="10">
        <f>IFERROR(__xludf.DUMMYFUNCTION("""COMPUTED_VALUE"""),240.0)</f>
        <v>240</v>
      </c>
      <c r="M327" s="5">
        <f>IFERROR(__xludf.DUMMYFUNCTION("""COMPUTED_VALUE"""),1.0)</f>
        <v>1</v>
      </c>
    </row>
    <row r="328">
      <c r="A328" s="10" t="str">
        <f>IFERROR(__xludf.DUMMYFUNCTION("""COMPUTED_VALUE"""),"みさわまる")</f>
        <v>みさわまる</v>
      </c>
      <c r="B328" s="10">
        <f>IFERROR(__xludf.DUMMYFUNCTION("""COMPUTED_VALUE"""),223.0)</f>
        <v>223</v>
      </c>
      <c r="C328" s="10">
        <f>IFERROR(__xludf.DUMMYFUNCTION("""COMPUTED_VALUE"""),2641.0)</f>
        <v>2641</v>
      </c>
      <c r="D328" s="5">
        <f>IFERROR(__xludf.DUMMYFUNCTION("""COMPUTED_VALUE"""),0.4003308519437552)</f>
        <v>0.4003308519</v>
      </c>
      <c r="E328" s="5">
        <f>IFERROR(__xludf.DUMMYFUNCTION("""COMPUTED_VALUE"""),0.15177832919768403)</f>
        <v>0.1517783292</v>
      </c>
      <c r="F328" s="5">
        <f>IFERROR(__xludf.DUMMYFUNCTION("""COMPUTED_VALUE"""),0.21546732837055418)</f>
        <v>0.2154673284</v>
      </c>
      <c r="G328" s="5">
        <f>IFERROR(__xludf.DUMMYFUNCTION("""COMPUTED_VALUE"""),0.17038875103391232)</f>
        <v>0.170388751</v>
      </c>
      <c r="H328" s="5">
        <f>IFERROR(__xludf.DUMMYFUNCTION("""COMPUTED_VALUE"""),0.5892514395393474)</f>
        <v>0.5892514395</v>
      </c>
      <c r="I328" s="11">
        <f>IFERROR(__xludf.DUMMYFUNCTION("""COMPUTED_VALUE"""),5143.378119001919)</f>
        <v>5143.378119</v>
      </c>
      <c r="J328" s="10">
        <f>IFERROR(__xludf.DUMMYFUNCTION("""COMPUTED_VALUE"""),0.0)</f>
        <v>0</v>
      </c>
      <c r="K328" s="5">
        <f>IFERROR(__xludf.DUMMYFUNCTION("""COMPUTED_VALUE"""),0.0)</f>
        <v>0</v>
      </c>
      <c r="L328" s="10">
        <f>IFERROR(__xludf.DUMMYFUNCTION("""COMPUTED_VALUE"""),223.0)</f>
        <v>223</v>
      </c>
      <c r="M328" s="5">
        <f>IFERROR(__xludf.DUMMYFUNCTION("""COMPUTED_VALUE"""),1.0)</f>
        <v>1</v>
      </c>
    </row>
    <row r="329">
      <c r="A329" s="10" t="str">
        <f>IFERROR(__xludf.DUMMYFUNCTION("""COMPUTED_VALUE"""),"ぴょこぴゃん")</f>
        <v>ぴょこぴゃん</v>
      </c>
      <c r="B329" s="10">
        <f>IFERROR(__xludf.DUMMYFUNCTION("""COMPUTED_VALUE"""),245.0)</f>
        <v>245</v>
      </c>
      <c r="C329" s="10">
        <f>IFERROR(__xludf.DUMMYFUNCTION("""COMPUTED_VALUE"""),2855.0)</f>
        <v>2855</v>
      </c>
      <c r="D329" s="5">
        <f>IFERROR(__xludf.DUMMYFUNCTION("""COMPUTED_VALUE"""),0.39731800766283526)</f>
        <v>0.3973180077</v>
      </c>
      <c r="E329" s="5">
        <f>IFERROR(__xludf.DUMMYFUNCTION("""COMPUTED_VALUE"""),0.15172413793103448)</f>
        <v>0.1517241379</v>
      </c>
      <c r="F329" s="5">
        <f>IFERROR(__xludf.DUMMYFUNCTION("""COMPUTED_VALUE"""),0.2053639846743295)</f>
        <v>0.2053639847</v>
      </c>
      <c r="G329" s="5">
        <f>IFERROR(__xludf.DUMMYFUNCTION("""COMPUTED_VALUE"""),0.15402298850574714)</f>
        <v>0.1540229885</v>
      </c>
      <c r="H329" s="5">
        <f>IFERROR(__xludf.DUMMYFUNCTION("""COMPUTED_VALUE"""),0.5988805970149254)</f>
        <v>0.598880597</v>
      </c>
      <c r="I329" s="11">
        <f>IFERROR(__xludf.DUMMYFUNCTION("""COMPUTED_VALUE"""),5713.619402985075)</f>
        <v>5713.619403</v>
      </c>
      <c r="J329" s="10">
        <f>IFERROR(__xludf.DUMMYFUNCTION("""COMPUTED_VALUE"""),0.0)</f>
        <v>0</v>
      </c>
      <c r="K329" s="5">
        <f>IFERROR(__xludf.DUMMYFUNCTION("""COMPUTED_VALUE"""),0.0)</f>
        <v>0</v>
      </c>
      <c r="L329" s="10">
        <f>IFERROR(__xludf.DUMMYFUNCTION("""COMPUTED_VALUE"""),245.0)</f>
        <v>245</v>
      </c>
      <c r="M329" s="5">
        <f>IFERROR(__xludf.DUMMYFUNCTION("""COMPUTED_VALUE"""),1.0)</f>
        <v>1</v>
      </c>
    </row>
    <row r="330">
      <c r="A330" s="10" t="str">
        <f>IFERROR(__xludf.DUMMYFUNCTION("""COMPUTED_VALUE"""),"ホモ公")</f>
        <v>ホモ公</v>
      </c>
      <c r="B330" s="10">
        <f>IFERROR(__xludf.DUMMYFUNCTION("""COMPUTED_VALUE"""),217.0)</f>
        <v>217</v>
      </c>
      <c r="C330" s="10">
        <f>IFERROR(__xludf.DUMMYFUNCTION("""COMPUTED_VALUE"""),2578.0)</f>
        <v>2578</v>
      </c>
      <c r="D330" s="5">
        <f>IFERROR(__xludf.DUMMYFUNCTION("""COMPUTED_VALUE"""),0.37738246505717915)</f>
        <v>0.3773824651</v>
      </c>
      <c r="E330" s="5">
        <f>IFERROR(__xludf.DUMMYFUNCTION("""COMPUTED_VALUE"""),0.1516306649724693)</f>
        <v>0.151630665</v>
      </c>
      <c r="F330" s="5">
        <f>IFERROR(__xludf.DUMMYFUNCTION("""COMPUTED_VALUE"""),0.21982210927573062)</f>
        <v>0.2198221093</v>
      </c>
      <c r="G330" s="5">
        <f>IFERROR(__xludf.DUMMYFUNCTION("""COMPUTED_VALUE"""),0.18382041507835664)</f>
        <v>0.1838204151</v>
      </c>
      <c r="H330" s="5">
        <f>IFERROR(__xludf.DUMMYFUNCTION("""COMPUTED_VALUE"""),0.6088631984585742)</f>
        <v>0.6088631985</v>
      </c>
      <c r="I330" s="11">
        <f>IFERROR(__xludf.DUMMYFUNCTION("""COMPUTED_VALUE"""),5281.888246628131)</f>
        <v>5281.888247</v>
      </c>
      <c r="J330" s="10">
        <f>IFERROR(__xludf.DUMMYFUNCTION("""COMPUTED_VALUE"""),0.0)</f>
        <v>0</v>
      </c>
      <c r="K330" s="5">
        <f>IFERROR(__xludf.DUMMYFUNCTION("""COMPUTED_VALUE"""),0.0)</f>
        <v>0</v>
      </c>
      <c r="L330" s="10">
        <f>IFERROR(__xludf.DUMMYFUNCTION("""COMPUTED_VALUE"""),83.0)</f>
        <v>83</v>
      </c>
      <c r="M330" s="5">
        <f>IFERROR(__xludf.DUMMYFUNCTION("""COMPUTED_VALUE"""),0.3824884792626728)</f>
        <v>0.3824884793</v>
      </c>
    </row>
    <row r="331">
      <c r="A331" s="10" t="str">
        <f>IFERROR(__xludf.DUMMYFUNCTION("""COMPUTED_VALUE"""),"ケイト")</f>
        <v>ケイト</v>
      </c>
      <c r="B331" s="10">
        <f>IFERROR(__xludf.DUMMYFUNCTION("""COMPUTED_VALUE"""),251.0)</f>
        <v>251</v>
      </c>
      <c r="C331" s="10">
        <f>IFERROR(__xludf.DUMMYFUNCTION("""COMPUTED_VALUE"""),2896.0)</f>
        <v>2896</v>
      </c>
      <c r="D331" s="5">
        <f>IFERROR(__xludf.DUMMYFUNCTION("""COMPUTED_VALUE"""),0.2502835538752363)</f>
        <v>0.2502835539</v>
      </c>
      <c r="E331" s="5">
        <f>IFERROR(__xludf.DUMMYFUNCTION("""COMPUTED_VALUE"""),0.15160680529300566)</f>
        <v>0.1516068053</v>
      </c>
      <c r="F331" s="5">
        <f>IFERROR(__xludf.DUMMYFUNCTION("""COMPUTED_VALUE"""),0.20491493383742912)</f>
        <v>0.2049149338</v>
      </c>
      <c r="G331" s="5">
        <f>IFERROR(__xludf.DUMMYFUNCTION("""COMPUTED_VALUE"""),0.20907372400756144)</f>
        <v>0.209073724</v>
      </c>
      <c r="H331" s="5">
        <f>IFERROR(__xludf.DUMMYFUNCTION("""COMPUTED_VALUE"""),0.5738007380073801)</f>
        <v>0.573800738</v>
      </c>
      <c r="I331" s="11">
        <f>IFERROR(__xludf.DUMMYFUNCTION("""COMPUTED_VALUE"""),5779.151291512915)</f>
        <v>5779.151292</v>
      </c>
      <c r="J331" s="10">
        <f>IFERROR(__xludf.DUMMYFUNCTION("""COMPUTED_VALUE"""),0.0)</f>
        <v>0</v>
      </c>
      <c r="K331" s="5">
        <f>IFERROR(__xludf.DUMMYFUNCTION("""COMPUTED_VALUE"""),0.0)</f>
        <v>0</v>
      </c>
      <c r="L331" s="10">
        <f>IFERROR(__xludf.DUMMYFUNCTION("""COMPUTED_VALUE"""),251.0)</f>
        <v>251</v>
      </c>
      <c r="M331" s="5">
        <f>IFERROR(__xludf.DUMMYFUNCTION("""COMPUTED_VALUE"""),1.0)</f>
        <v>1</v>
      </c>
    </row>
    <row r="332">
      <c r="A332" s="10" t="str">
        <f>IFERROR(__xludf.DUMMYFUNCTION("""COMPUTED_VALUE"""),"shot49")</f>
        <v>shot49</v>
      </c>
      <c r="B332" s="10">
        <f>IFERROR(__xludf.DUMMYFUNCTION("""COMPUTED_VALUE"""),291.0)</f>
        <v>291</v>
      </c>
      <c r="C332" s="10">
        <f>IFERROR(__xludf.DUMMYFUNCTION("""COMPUTED_VALUE"""),3431.0)</f>
        <v>3431</v>
      </c>
      <c r="D332" s="5">
        <f>IFERROR(__xludf.DUMMYFUNCTION("""COMPUTED_VALUE"""),0.34394904458598724)</f>
        <v>0.3439490446</v>
      </c>
      <c r="E332" s="5">
        <f>IFERROR(__xludf.DUMMYFUNCTION("""COMPUTED_VALUE"""),0.15159235668789808)</f>
        <v>0.1515923567</v>
      </c>
      <c r="F332" s="5">
        <f>IFERROR(__xludf.DUMMYFUNCTION("""COMPUTED_VALUE"""),0.21178343949044587)</f>
        <v>0.2117834395</v>
      </c>
      <c r="G332" s="5">
        <f>IFERROR(__xludf.DUMMYFUNCTION("""COMPUTED_VALUE"""),0.16210191082802547)</f>
        <v>0.1621019108</v>
      </c>
      <c r="H332" s="5">
        <f>IFERROR(__xludf.DUMMYFUNCTION("""COMPUTED_VALUE"""),0.5984962406015037)</f>
        <v>0.5984962406</v>
      </c>
      <c r="I332" s="11">
        <f>IFERROR(__xludf.DUMMYFUNCTION("""COMPUTED_VALUE"""),5618.9473684210525)</f>
        <v>5618.947368</v>
      </c>
      <c r="J332" s="10">
        <f>IFERROR(__xludf.DUMMYFUNCTION("""COMPUTED_VALUE"""),0.0)</f>
        <v>0</v>
      </c>
      <c r="K332" s="5">
        <f>IFERROR(__xludf.DUMMYFUNCTION("""COMPUTED_VALUE"""),0.0)</f>
        <v>0</v>
      </c>
      <c r="L332" s="10">
        <f>IFERROR(__xludf.DUMMYFUNCTION("""COMPUTED_VALUE"""),291.0)</f>
        <v>291</v>
      </c>
      <c r="M332" s="5">
        <f>IFERROR(__xludf.DUMMYFUNCTION("""COMPUTED_VALUE"""),1.0)</f>
        <v>1</v>
      </c>
    </row>
    <row r="333">
      <c r="A333" s="10" t="str">
        <f>IFERROR(__xludf.DUMMYFUNCTION("""COMPUTED_VALUE"""),"御成門")</f>
        <v>御成門</v>
      </c>
      <c r="B333" s="10">
        <f>IFERROR(__xludf.DUMMYFUNCTION("""COMPUTED_VALUE"""),119.0)</f>
        <v>119</v>
      </c>
      <c r="C333" s="10">
        <f>IFERROR(__xludf.DUMMYFUNCTION("""COMPUTED_VALUE"""),1379.0)</f>
        <v>1379</v>
      </c>
      <c r="D333" s="5">
        <f>IFERROR(__xludf.DUMMYFUNCTION("""COMPUTED_VALUE"""),0.353968253968254)</f>
        <v>0.353968254</v>
      </c>
      <c r="E333" s="5">
        <f>IFERROR(__xludf.DUMMYFUNCTION("""COMPUTED_VALUE"""),0.15158730158730158)</f>
        <v>0.1515873016</v>
      </c>
      <c r="F333" s="5">
        <f>IFERROR(__xludf.DUMMYFUNCTION("""COMPUTED_VALUE"""),0.2150793650793651)</f>
        <v>0.2150793651</v>
      </c>
      <c r="G333" s="5">
        <f>IFERROR(__xludf.DUMMYFUNCTION("""COMPUTED_VALUE"""),0.1619047619047619)</f>
        <v>0.1619047619</v>
      </c>
      <c r="H333" s="5">
        <f>IFERROR(__xludf.DUMMYFUNCTION("""COMPUTED_VALUE"""),0.6715867158671587)</f>
        <v>0.6715867159</v>
      </c>
      <c r="I333" s="11">
        <f>IFERROR(__xludf.DUMMYFUNCTION("""COMPUTED_VALUE"""),5480.811808118081)</f>
        <v>5480.811808</v>
      </c>
      <c r="J333" s="10">
        <f>IFERROR(__xludf.DUMMYFUNCTION("""COMPUTED_VALUE"""),0.0)</f>
        <v>0</v>
      </c>
      <c r="K333" s="5">
        <f>IFERROR(__xludf.DUMMYFUNCTION("""COMPUTED_VALUE"""),0.0)</f>
        <v>0</v>
      </c>
      <c r="L333" s="10">
        <f>IFERROR(__xludf.DUMMYFUNCTION("""COMPUTED_VALUE"""),119.0)</f>
        <v>119</v>
      </c>
      <c r="M333" s="5">
        <f>IFERROR(__xludf.DUMMYFUNCTION("""COMPUTED_VALUE"""),1.0)</f>
        <v>1</v>
      </c>
    </row>
    <row r="334">
      <c r="A334" s="10" t="str">
        <f>IFERROR(__xludf.DUMMYFUNCTION("""COMPUTED_VALUE"""),"綾南月火")</f>
        <v>綾南月火</v>
      </c>
      <c r="B334" s="10">
        <f>IFERROR(__xludf.DUMMYFUNCTION("""COMPUTED_VALUE"""),187.0)</f>
        <v>187</v>
      </c>
      <c r="C334" s="10">
        <f>IFERROR(__xludf.DUMMYFUNCTION("""COMPUTED_VALUE"""),2206.0)</f>
        <v>2206</v>
      </c>
      <c r="D334" s="5">
        <f>IFERROR(__xludf.DUMMYFUNCTION("""COMPUTED_VALUE"""),0.41654284299158)</f>
        <v>0.416542843</v>
      </c>
      <c r="E334" s="5">
        <f>IFERROR(__xludf.DUMMYFUNCTION("""COMPUTED_VALUE"""),0.1515601783060921)</f>
        <v>0.1515601783</v>
      </c>
      <c r="F334" s="5">
        <f>IFERROR(__xludf.DUMMYFUNCTION("""COMPUTED_VALUE"""),0.22535908865775137)</f>
        <v>0.2253590887</v>
      </c>
      <c r="G334" s="5">
        <f>IFERROR(__xludf.DUMMYFUNCTION("""COMPUTED_VALUE"""),0.1411589895988113)</f>
        <v>0.1411589896</v>
      </c>
      <c r="H334" s="5">
        <f>IFERROR(__xludf.DUMMYFUNCTION("""COMPUTED_VALUE"""),0.5978021978021978)</f>
        <v>0.5978021978</v>
      </c>
      <c r="I334" s="11">
        <f>IFERROR(__xludf.DUMMYFUNCTION("""COMPUTED_VALUE"""),5065.054945054945)</f>
        <v>5065.054945</v>
      </c>
      <c r="J334" s="10">
        <f>IFERROR(__xludf.DUMMYFUNCTION("""COMPUTED_VALUE"""),0.0)</f>
        <v>0</v>
      </c>
      <c r="K334" s="5">
        <f>IFERROR(__xludf.DUMMYFUNCTION("""COMPUTED_VALUE"""),0.0)</f>
        <v>0</v>
      </c>
      <c r="L334" s="10">
        <f>IFERROR(__xludf.DUMMYFUNCTION("""COMPUTED_VALUE"""),0.0)</f>
        <v>0</v>
      </c>
      <c r="M334" s="5">
        <f>IFERROR(__xludf.DUMMYFUNCTION("""COMPUTED_VALUE"""),0.0)</f>
        <v>0</v>
      </c>
    </row>
    <row r="335">
      <c r="A335" s="10" t="str">
        <f>IFERROR(__xludf.DUMMYFUNCTION("""COMPUTED_VALUE"""),"田園都市線南町田")</f>
        <v>田園都市線南町田</v>
      </c>
      <c r="B335" s="10">
        <f>IFERROR(__xludf.DUMMYFUNCTION("""COMPUTED_VALUE"""),192.0)</f>
        <v>192</v>
      </c>
      <c r="C335" s="10">
        <f>IFERROR(__xludf.DUMMYFUNCTION("""COMPUTED_VALUE"""),2264.0)</f>
        <v>2264</v>
      </c>
      <c r="D335" s="5">
        <f>IFERROR(__xludf.DUMMYFUNCTION("""COMPUTED_VALUE"""),0.416988416988417)</f>
        <v>0.416988417</v>
      </c>
      <c r="E335" s="5">
        <f>IFERROR(__xludf.DUMMYFUNCTION("""COMPUTED_VALUE"""),0.15154440154440155)</f>
        <v>0.1515444015</v>
      </c>
      <c r="F335" s="5">
        <f>IFERROR(__xludf.DUMMYFUNCTION("""COMPUTED_VALUE"""),0.22876447876447875)</f>
        <v>0.2287644788</v>
      </c>
      <c r="G335" s="5">
        <f>IFERROR(__xludf.DUMMYFUNCTION("""COMPUTED_VALUE"""),0.17471042471042472)</f>
        <v>0.1747104247</v>
      </c>
      <c r="H335" s="5">
        <f>IFERROR(__xludf.DUMMYFUNCTION("""COMPUTED_VALUE"""),0.5864978902953587)</f>
        <v>0.5864978903</v>
      </c>
      <c r="I335" s="11">
        <f>IFERROR(__xludf.DUMMYFUNCTION("""COMPUTED_VALUE"""),5329.324894514768)</f>
        <v>5329.324895</v>
      </c>
      <c r="J335" s="10">
        <f>IFERROR(__xludf.DUMMYFUNCTION("""COMPUTED_VALUE"""),0.0)</f>
        <v>0</v>
      </c>
      <c r="K335" s="5">
        <f>IFERROR(__xludf.DUMMYFUNCTION("""COMPUTED_VALUE"""),0.0)</f>
        <v>0</v>
      </c>
      <c r="L335" s="10">
        <f>IFERROR(__xludf.DUMMYFUNCTION("""COMPUTED_VALUE"""),192.0)</f>
        <v>192</v>
      </c>
      <c r="M335" s="5">
        <f>IFERROR(__xludf.DUMMYFUNCTION("""COMPUTED_VALUE"""),1.0)</f>
        <v>1</v>
      </c>
    </row>
    <row r="336">
      <c r="A336" s="10" t="str">
        <f>IFERROR(__xludf.DUMMYFUNCTION("""COMPUTED_VALUE"""),"ガム")</f>
        <v>ガム</v>
      </c>
      <c r="B336" s="10">
        <f>IFERROR(__xludf.DUMMYFUNCTION("""COMPUTED_VALUE"""),123.0)</f>
        <v>123</v>
      </c>
      <c r="C336" s="10">
        <f>IFERROR(__xludf.DUMMYFUNCTION("""COMPUTED_VALUE"""),1456.0)</f>
        <v>1456</v>
      </c>
      <c r="D336" s="5">
        <f>IFERROR(__xludf.DUMMYFUNCTION("""COMPUTED_VALUE"""),0.27831957989497375)</f>
        <v>0.2783195799</v>
      </c>
      <c r="E336" s="5">
        <f>IFERROR(__xludf.DUMMYFUNCTION("""COMPUTED_VALUE"""),0.15153788447111777)</f>
        <v>0.1515378845</v>
      </c>
      <c r="F336" s="5">
        <f>IFERROR(__xludf.DUMMYFUNCTION("""COMPUTED_VALUE"""),0.1867966991747937)</f>
        <v>0.1867966992</v>
      </c>
      <c r="G336" s="5">
        <f>IFERROR(__xludf.DUMMYFUNCTION("""COMPUTED_VALUE"""),0.1942985746436609)</f>
        <v>0.1942985746</v>
      </c>
      <c r="H336" s="5">
        <f>IFERROR(__xludf.DUMMYFUNCTION("""COMPUTED_VALUE"""),0.5783132530120482)</f>
        <v>0.578313253</v>
      </c>
      <c r="I336" s="11">
        <f>IFERROR(__xludf.DUMMYFUNCTION("""COMPUTED_VALUE"""),6179.518072289156)</f>
        <v>6179.518072</v>
      </c>
      <c r="J336" s="10">
        <f>IFERROR(__xludf.DUMMYFUNCTION("""COMPUTED_VALUE"""),1.0)</f>
        <v>1</v>
      </c>
      <c r="K336" s="5">
        <f>IFERROR(__xludf.DUMMYFUNCTION("""COMPUTED_VALUE"""),0.008130081300813009)</f>
        <v>0.008130081301</v>
      </c>
      <c r="L336" s="10">
        <f>IFERROR(__xludf.DUMMYFUNCTION("""COMPUTED_VALUE"""),123.0)</f>
        <v>123</v>
      </c>
      <c r="M336" s="5">
        <f>IFERROR(__xludf.DUMMYFUNCTION("""COMPUTED_VALUE"""),1.0)</f>
        <v>1</v>
      </c>
    </row>
    <row r="337">
      <c r="A337" s="10" t="str">
        <f>IFERROR(__xludf.DUMMYFUNCTION("""COMPUTED_VALUE"""),"kuro5566")</f>
        <v>kuro5566</v>
      </c>
      <c r="B337" s="10">
        <f>IFERROR(__xludf.DUMMYFUNCTION("""COMPUTED_VALUE"""),571.0)</f>
        <v>571</v>
      </c>
      <c r="C337" s="10">
        <f>IFERROR(__xludf.DUMMYFUNCTION("""COMPUTED_VALUE"""),6550.0)</f>
        <v>6550</v>
      </c>
      <c r="D337" s="5">
        <f>IFERROR(__xludf.DUMMYFUNCTION("""COMPUTED_VALUE"""),0.3169426325472487)</f>
        <v>0.3169426325</v>
      </c>
      <c r="E337" s="5">
        <f>IFERROR(__xludf.DUMMYFUNCTION("""COMPUTED_VALUE"""),0.15153035624686403)</f>
        <v>0.1515303562</v>
      </c>
      <c r="F337" s="5">
        <f>IFERROR(__xludf.DUMMYFUNCTION("""COMPUTED_VALUE"""),0.22244522495400568)</f>
        <v>0.222445225</v>
      </c>
      <c r="G337" s="5">
        <f>IFERROR(__xludf.DUMMYFUNCTION("""COMPUTED_VALUE"""),0.1729386184980766)</f>
        <v>0.1729386185</v>
      </c>
      <c r="H337" s="5">
        <f>IFERROR(__xludf.DUMMYFUNCTION("""COMPUTED_VALUE"""),0.6120300751879699)</f>
        <v>0.6120300752</v>
      </c>
      <c r="I337" s="11">
        <f>IFERROR(__xludf.DUMMYFUNCTION("""COMPUTED_VALUE"""),5976.390977443609)</f>
        <v>5976.390977</v>
      </c>
      <c r="J337" s="10">
        <f>IFERROR(__xludf.DUMMYFUNCTION("""COMPUTED_VALUE"""),0.0)</f>
        <v>0</v>
      </c>
      <c r="K337" s="5">
        <f>IFERROR(__xludf.DUMMYFUNCTION("""COMPUTED_VALUE"""),0.0)</f>
        <v>0</v>
      </c>
      <c r="L337" s="10">
        <f>IFERROR(__xludf.DUMMYFUNCTION("""COMPUTED_VALUE"""),571.0)</f>
        <v>571</v>
      </c>
      <c r="M337" s="5">
        <f>IFERROR(__xludf.DUMMYFUNCTION("""COMPUTED_VALUE"""),1.0)</f>
        <v>1</v>
      </c>
    </row>
    <row r="338">
      <c r="A338" s="10" t="str">
        <f>IFERROR(__xludf.DUMMYFUNCTION("""COMPUTED_VALUE"""),"かなっちょ_25")</f>
        <v>かなっちょ_25</v>
      </c>
      <c r="B338" s="10">
        <f>IFERROR(__xludf.DUMMYFUNCTION("""COMPUTED_VALUE"""),103.0)</f>
        <v>103</v>
      </c>
      <c r="C338" s="10">
        <f>IFERROR(__xludf.DUMMYFUNCTION("""COMPUTED_VALUE"""),1212.0)</f>
        <v>1212</v>
      </c>
      <c r="D338" s="5">
        <f>IFERROR(__xludf.DUMMYFUNCTION("""COMPUTED_VALUE"""),0.3101893597835888)</f>
        <v>0.3101893598</v>
      </c>
      <c r="E338" s="5">
        <f>IFERROR(__xludf.DUMMYFUNCTION("""COMPUTED_VALUE"""),0.151487826871055)</f>
        <v>0.1514878269</v>
      </c>
      <c r="F338" s="5">
        <f>IFERROR(__xludf.DUMMYFUNCTION("""COMPUTED_VALUE"""),0.19657348963029755)</f>
        <v>0.1965734896</v>
      </c>
      <c r="G338" s="5">
        <f>IFERROR(__xludf.DUMMYFUNCTION("""COMPUTED_VALUE"""),0.17493237150586113)</f>
        <v>0.1749323715</v>
      </c>
      <c r="H338" s="5">
        <f>IFERROR(__xludf.DUMMYFUNCTION("""COMPUTED_VALUE"""),0.6009174311926605)</f>
        <v>0.6009174312</v>
      </c>
      <c r="I338" s="11">
        <f>IFERROR(__xludf.DUMMYFUNCTION("""COMPUTED_VALUE"""),5665.59633027523)</f>
        <v>5665.59633</v>
      </c>
      <c r="J338" s="10">
        <f>IFERROR(__xludf.DUMMYFUNCTION("""COMPUTED_VALUE"""),0.0)</f>
        <v>0</v>
      </c>
      <c r="K338" s="5">
        <f>IFERROR(__xludf.DUMMYFUNCTION("""COMPUTED_VALUE"""),0.0)</f>
        <v>0</v>
      </c>
      <c r="L338" s="10">
        <f>IFERROR(__xludf.DUMMYFUNCTION("""COMPUTED_VALUE"""),103.0)</f>
        <v>103</v>
      </c>
      <c r="M338" s="5">
        <f>IFERROR(__xludf.DUMMYFUNCTION("""COMPUTED_VALUE"""),1.0)</f>
        <v>1</v>
      </c>
    </row>
    <row r="339">
      <c r="A339" s="10" t="str">
        <f>IFERROR(__xludf.DUMMYFUNCTION("""COMPUTED_VALUE"""),"Takaya@")</f>
        <v>Takaya@</v>
      </c>
      <c r="B339" s="10">
        <f>IFERROR(__xludf.DUMMYFUNCTION("""COMPUTED_VALUE"""),292.0)</f>
        <v>292</v>
      </c>
      <c r="C339" s="10">
        <f>IFERROR(__xludf.DUMMYFUNCTION("""COMPUTED_VALUE"""),3441.0)</f>
        <v>3441</v>
      </c>
      <c r="D339" s="5">
        <f>IFERROR(__xludf.DUMMYFUNCTION("""COMPUTED_VALUE"""),0.20704985709749127)</f>
        <v>0.2070498571</v>
      </c>
      <c r="E339" s="5">
        <f>IFERROR(__xludf.DUMMYFUNCTION("""COMPUTED_VALUE"""),0.15147665925690695)</f>
        <v>0.1514766593</v>
      </c>
      <c r="F339" s="5">
        <f>IFERROR(__xludf.DUMMYFUNCTION("""COMPUTED_VALUE"""),0.21625912988250237)</f>
        <v>0.2162591299</v>
      </c>
      <c r="G339" s="5">
        <f>IFERROR(__xludf.DUMMYFUNCTION("""COMPUTED_VALUE"""),0.1664020323912353)</f>
        <v>0.1664020324</v>
      </c>
      <c r="H339" s="5">
        <f>IFERROR(__xludf.DUMMYFUNCTION("""COMPUTED_VALUE"""),0.5829662261380323)</f>
        <v>0.5829662261</v>
      </c>
      <c r="I339" s="11">
        <f>IFERROR(__xludf.DUMMYFUNCTION("""COMPUTED_VALUE"""),6065.198237885463)</f>
        <v>6065.198238</v>
      </c>
      <c r="J339" s="10">
        <f>IFERROR(__xludf.DUMMYFUNCTION("""COMPUTED_VALUE"""),1.0)</f>
        <v>1</v>
      </c>
      <c r="K339" s="5">
        <f>IFERROR(__xludf.DUMMYFUNCTION("""COMPUTED_VALUE"""),0.003424657534246575)</f>
        <v>0.003424657534</v>
      </c>
      <c r="L339" s="10">
        <f>IFERROR(__xludf.DUMMYFUNCTION("""COMPUTED_VALUE"""),292.0)</f>
        <v>292</v>
      </c>
      <c r="M339" s="5">
        <f>IFERROR(__xludf.DUMMYFUNCTION("""COMPUTED_VALUE"""),1.0)</f>
        <v>1</v>
      </c>
    </row>
    <row r="340">
      <c r="A340" s="10" t="str">
        <f>IFERROR(__xludf.DUMMYFUNCTION("""COMPUTED_VALUE"""),"higetora")</f>
        <v>higetora</v>
      </c>
      <c r="B340" s="10">
        <f>IFERROR(__xludf.DUMMYFUNCTION("""COMPUTED_VALUE"""),128.0)</f>
        <v>128</v>
      </c>
      <c r="C340" s="10">
        <f>IFERROR(__xludf.DUMMYFUNCTION("""COMPUTED_VALUE"""),1508.0)</f>
        <v>1508</v>
      </c>
      <c r="D340" s="5">
        <f>IFERROR(__xludf.DUMMYFUNCTION("""COMPUTED_VALUE"""),0.33043478260869563)</f>
        <v>0.3304347826</v>
      </c>
      <c r="E340" s="5">
        <f>IFERROR(__xludf.DUMMYFUNCTION("""COMPUTED_VALUE"""),0.15144927536231884)</f>
        <v>0.1514492754</v>
      </c>
      <c r="F340" s="5">
        <f>IFERROR(__xludf.DUMMYFUNCTION("""COMPUTED_VALUE"""),0.20869565217391303)</f>
        <v>0.2086956522</v>
      </c>
      <c r="G340" s="5">
        <f>IFERROR(__xludf.DUMMYFUNCTION("""COMPUTED_VALUE"""),0.18695652173913044)</f>
        <v>0.1869565217</v>
      </c>
      <c r="H340" s="5">
        <f>IFERROR(__xludf.DUMMYFUNCTION("""COMPUTED_VALUE"""),0.6319444444444444)</f>
        <v>0.6319444444</v>
      </c>
      <c r="I340" s="11">
        <f>IFERROR(__xludf.DUMMYFUNCTION("""COMPUTED_VALUE"""),6007.291666666667)</f>
        <v>6007.291667</v>
      </c>
      <c r="J340" s="10">
        <f>IFERROR(__xludf.DUMMYFUNCTION("""COMPUTED_VALUE"""),2.0)</f>
        <v>2</v>
      </c>
      <c r="K340" s="5">
        <f>IFERROR(__xludf.DUMMYFUNCTION("""COMPUTED_VALUE"""),0.015625)</f>
        <v>0.015625</v>
      </c>
      <c r="L340" s="10">
        <f>IFERROR(__xludf.DUMMYFUNCTION("""COMPUTED_VALUE"""),128.0)</f>
        <v>128</v>
      </c>
      <c r="M340" s="5">
        <f>IFERROR(__xludf.DUMMYFUNCTION("""COMPUTED_VALUE"""),1.0)</f>
        <v>1</v>
      </c>
    </row>
    <row r="341">
      <c r="A341" s="10" t="str">
        <f>IFERROR(__xludf.DUMMYFUNCTION("""COMPUTED_VALUE"""),"takayame")</f>
        <v>takayame</v>
      </c>
      <c r="B341" s="10">
        <f>IFERROR(__xludf.DUMMYFUNCTION("""COMPUTED_VALUE"""),589.0)</f>
        <v>589</v>
      </c>
      <c r="C341" s="10">
        <f>IFERROR(__xludf.DUMMYFUNCTION("""COMPUTED_VALUE"""),6778.0)</f>
        <v>6778</v>
      </c>
      <c r="D341" s="5">
        <f>IFERROR(__xludf.DUMMYFUNCTION("""COMPUTED_VALUE"""),0.3132977863952173)</f>
        <v>0.3132977864</v>
      </c>
      <c r="E341" s="5">
        <f>IFERROR(__xludf.DUMMYFUNCTION("""COMPUTED_VALUE"""),0.15139764097592504)</f>
        <v>0.151397641</v>
      </c>
      <c r="F341" s="5">
        <f>IFERROR(__xludf.DUMMYFUNCTION("""COMPUTED_VALUE"""),0.2291161738568428)</f>
        <v>0.2291161739</v>
      </c>
      <c r="G341" s="5">
        <f>IFERROR(__xludf.DUMMYFUNCTION("""COMPUTED_VALUE"""),0.2001938923897237)</f>
        <v>0.2001938924</v>
      </c>
      <c r="H341" s="5">
        <f>IFERROR(__xludf.DUMMYFUNCTION("""COMPUTED_VALUE"""),0.5923836389280677)</f>
        <v>0.5923836389</v>
      </c>
      <c r="I341" s="11">
        <f>IFERROR(__xludf.DUMMYFUNCTION("""COMPUTED_VALUE"""),5704.442877291961)</f>
        <v>5704.442877</v>
      </c>
      <c r="J341" s="10">
        <f>IFERROR(__xludf.DUMMYFUNCTION("""COMPUTED_VALUE"""),2.0)</f>
        <v>2</v>
      </c>
      <c r="K341" s="5">
        <f>IFERROR(__xludf.DUMMYFUNCTION("""COMPUTED_VALUE"""),0.003395585738539898)</f>
        <v>0.003395585739</v>
      </c>
      <c r="L341" s="10">
        <f>IFERROR(__xludf.DUMMYFUNCTION("""COMPUTED_VALUE"""),589.0)</f>
        <v>589</v>
      </c>
      <c r="M341" s="5">
        <f>IFERROR(__xludf.DUMMYFUNCTION("""COMPUTED_VALUE"""),1.0)</f>
        <v>1</v>
      </c>
    </row>
    <row r="342">
      <c r="A342" s="10" t="str">
        <f>IFERROR(__xludf.DUMMYFUNCTION("""COMPUTED_VALUE"""),"天月紗矢香")</f>
        <v>天月紗矢香</v>
      </c>
      <c r="B342" s="10">
        <f>IFERROR(__xludf.DUMMYFUNCTION("""COMPUTED_VALUE"""),481.0)</f>
        <v>481</v>
      </c>
      <c r="C342" s="10">
        <f>IFERROR(__xludf.DUMMYFUNCTION("""COMPUTED_VALUE"""),5661.0)</f>
        <v>5661</v>
      </c>
      <c r="D342" s="5">
        <f>IFERROR(__xludf.DUMMYFUNCTION("""COMPUTED_VALUE"""),0.3872586872586873)</f>
        <v>0.3872586873</v>
      </c>
      <c r="E342" s="5">
        <f>IFERROR(__xludf.DUMMYFUNCTION("""COMPUTED_VALUE"""),0.15135135135135136)</f>
        <v>0.1513513514</v>
      </c>
      <c r="F342" s="5">
        <f>IFERROR(__xludf.DUMMYFUNCTION("""COMPUTED_VALUE"""),0.22239382239382238)</f>
        <v>0.2223938224</v>
      </c>
      <c r="G342" s="5">
        <f>IFERROR(__xludf.DUMMYFUNCTION("""COMPUTED_VALUE"""),0.17123552123552124)</f>
        <v>0.1712355212</v>
      </c>
      <c r="H342" s="5">
        <f>IFERROR(__xludf.DUMMYFUNCTION("""COMPUTED_VALUE"""),0.6154513888888888)</f>
        <v>0.6154513889</v>
      </c>
      <c r="I342" s="11">
        <f>IFERROR(__xludf.DUMMYFUNCTION("""COMPUTED_VALUE"""),5383.333333333333)</f>
        <v>5383.333333</v>
      </c>
      <c r="J342" s="10">
        <f>IFERROR(__xludf.DUMMYFUNCTION("""COMPUTED_VALUE"""),1.0)</f>
        <v>1</v>
      </c>
      <c r="K342" s="5">
        <f>IFERROR(__xludf.DUMMYFUNCTION("""COMPUTED_VALUE"""),0.002079002079002079)</f>
        <v>0.002079002079</v>
      </c>
      <c r="L342" s="10">
        <f>IFERROR(__xludf.DUMMYFUNCTION("""COMPUTED_VALUE"""),481.0)</f>
        <v>481</v>
      </c>
      <c r="M342" s="5">
        <f>IFERROR(__xludf.DUMMYFUNCTION("""COMPUTED_VALUE"""),1.0)</f>
        <v>1</v>
      </c>
    </row>
    <row r="343">
      <c r="A343" s="10" t="str">
        <f>IFERROR(__xludf.DUMMYFUNCTION("""COMPUTED_VALUE"""),"Weherzog")</f>
        <v>Weherzog</v>
      </c>
      <c r="B343" s="10">
        <f>IFERROR(__xludf.DUMMYFUNCTION("""COMPUTED_VALUE"""),170.0)</f>
        <v>170</v>
      </c>
      <c r="C343" s="10">
        <f>IFERROR(__xludf.DUMMYFUNCTION("""COMPUTED_VALUE"""),2020.0)</f>
        <v>2020</v>
      </c>
      <c r="D343" s="5">
        <f>IFERROR(__xludf.DUMMYFUNCTION("""COMPUTED_VALUE"""),0.3286486486486486)</f>
        <v>0.3286486486</v>
      </c>
      <c r="E343" s="5">
        <f>IFERROR(__xludf.DUMMYFUNCTION("""COMPUTED_VALUE"""),0.15135135135135136)</f>
        <v>0.1513513514</v>
      </c>
      <c r="F343" s="5">
        <f>IFERROR(__xludf.DUMMYFUNCTION("""COMPUTED_VALUE"""),0.19405405405405404)</f>
        <v>0.1940540541</v>
      </c>
      <c r="G343" s="5">
        <f>IFERROR(__xludf.DUMMYFUNCTION("""COMPUTED_VALUE"""),0.15513513513513513)</f>
        <v>0.1551351351</v>
      </c>
      <c r="H343" s="5">
        <f>IFERROR(__xludf.DUMMYFUNCTION("""COMPUTED_VALUE"""),0.6350974930362117)</f>
        <v>0.635097493</v>
      </c>
      <c r="I343" s="11">
        <f>IFERROR(__xludf.DUMMYFUNCTION("""COMPUTED_VALUE"""),5655.710306406685)</f>
        <v>5655.710306</v>
      </c>
      <c r="J343" s="10">
        <f>IFERROR(__xludf.DUMMYFUNCTION("""COMPUTED_VALUE"""),0.0)</f>
        <v>0</v>
      </c>
      <c r="K343" s="5">
        <f>IFERROR(__xludf.DUMMYFUNCTION("""COMPUTED_VALUE"""),0.0)</f>
        <v>0</v>
      </c>
      <c r="L343" s="10">
        <f>IFERROR(__xludf.DUMMYFUNCTION("""COMPUTED_VALUE"""),170.0)</f>
        <v>170</v>
      </c>
      <c r="M343" s="5">
        <f>IFERROR(__xludf.DUMMYFUNCTION("""COMPUTED_VALUE"""),1.0)</f>
        <v>1</v>
      </c>
    </row>
    <row r="344">
      <c r="A344" s="10" t="str">
        <f>IFERROR(__xludf.DUMMYFUNCTION("""COMPUTED_VALUE"""),"毒餅")</f>
        <v>毒餅</v>
      </c>
      <c r="B344" s="10">
        <f>IFERROR(__xludf.DUMMYFUNCTION("""COMPUTED_VALUE"""),107.0)</f>
        <v>107</v>
      </c>
      <c r="C344" s="10">
        <f>IFERROR(__xludf.DUMMYFUNCTION("""COMPUTED_VALUE"""),1217.0)</f>
        <v>1217</v>
      </c>
      <c r="D344" s="5">
        <f>IFERROR(__xludf.DUMMYFUNCTION("""COMPUTED_VALUE"""),0.46126126126126127)</f>
        <v>0.4612612613</v>
      </c>
      <c r="E344" s="5">
        <f>IFERROR(__xludf.DUMMYFUNCTION("""COMPUTED_VALUE"""),0.15135135135135136)</f>
        <v>0.1513513514</v>
      </c>
      <c r="F344" s="5">
        <f>IFERROR(__xludf.DUMMYFUNCTION("""COMPUTED_VALUE"""),0.2)</f>
        <v>0.2</v>
      </c>
      <c r="G344" s="5">
        <f>IFERROR(__xludf.DUMMYFUNCTION("""COMPUTED_VALUE"""),0.15405405405405406)</f>
        <v>0.1540540541</v>
      </c>
      <c r="H344" s="5">
        <f>IFERROR(__xludf.DUMMYFUNCTION("""COMPUTED_VALUE"""),0.545045045045045)</f>
        <v>0.545045045</v>
      </c>
      <c r="I344" s="11">
        <f>IFERROR(__xludf.DUMMYFUNCTION("""COMPUTED_VALUE"""),4848.648648648648)</f>
        <v>4848.648649</v>
      </c>
      <c r="J344" s="10">
        <f>IFERROR(__xludf.DUMMYFUNCTION("""COMPUTED_VALUE"""),0.0)</f>
        <v>0</v>
      </c>
      <c r="K344" s="5">
        <f>IFERROR(__xludf.DUMMYFUNCTION("""COMPUTED_VALUE"""),0.0)</f>
        <v>0</v>
      </c>
      <c r="L344" s="10">
        <f>IFERROR(__xludf.DUMMYFUNCTION("""COMPUTED_VALUE"""),0.0)</f>
        <v>0</v>
      </c>
      <c r="M344" s="5">
        <f>IFERROR(__xludf.DUMMYFUNCTION("""COMPUTED_VALUE"""),0.0)</f>
        <v>0</v>
      </c>
    </row>
    <row r="345">
      <c r="A345" s="10" t="str">
        <f>IFERROR(__xludf.DUMMYFUNCTION("""COMPUTED_VALUE"""),"三麻亭染太郎")</f>
        <v>三麻亭染太郎</v>
      </c>
      <c r="B345" s="10">
        <f>IFERROR(__xludf.DUMMYFUNCTION("""COMPUTED_VALUE"""),149.0)</f>
        <v>149</v>
      </c>
      <c r="C345" s="10">
        <f>IFERROR(__xludf.DUMMYFUNCTION("""COMPUTED_VALUE"""),1748.0)</f>
        <v>1748</v>
      </c>
      <c r="D345" s="5">
        <f>IFERROR(__xludf.DUMMYFUNCTION("""COMPUTED_VALUE"""),0.3896185115697311)</f>
        <v>0.3896185116</v>
      </c>
      <c r="E345" s="5">
        <f>IFERROR(__xludf.DUMMYFUNCTION("""COMPUTED_VALUE"""),0.15134459036898062)</f>
        <v>0.1513445904</v>
      </c>
      <c r="F345" s="5">
        <f>IFERROR(__xludf.DUMMYFUNCTION("""COMPUTED_VALUE"""),0.22951844903064414)</f>
        <v>0.229518449</v>
      </c>
      <c r="G345" s="5">
        <f>IFERROR(__xludf.DUMMYFUNCTION("""COMPUTED_VALUE"""),0.19699812382739212)</f>
        <v>0.1969981238</v>
      </c>
      <c r="H345" s="5">
        <f>IFERROR(__xludf.DUMMYFUNCTION("""COMPUTED_VALUE"""),0.5831062670299727)</f>
        <v>0.583106267</v>
      </c>
      <c r="I345" s="11">
        <f>IFERROR(__xludf.DUMMYFUNCTION("""COMPUTED_VALUE"""),5878.4741144414165)</f>
        <v>5878.474114</v>
      </c>
      <c r="J345" s="10">
        <f>IFERROR(__xludf.DUMMYFUNCTION("""COMPUTED_VALUE"""),0.0)</f>
        <v>0</v>
      </c>
      <c r="K345" s="5">
        <f>IFERROR(__xludf.DUMMYFUNCTION("""COMPUTED_VALUE"""),0.0)</f>
        <v>0</v>
      </c>
      <c r="L345" s="10">
        <f>IFERROR(__xludf.DUMMYFUNCTION("""COMPUTED_VALUE"""),149.0)</f>
        <v>149</v>
      </c>
      <c r="M345" s="5">
        <f>IFERROR(__xludf.DUMMYFUNCTION("""COMPUTED_VALUE"""),1.0)</f>
        <v>1</v>
      </c>
    </row>
    <row r="346">
      <c r="A346" s="10" t="str">
        <f>IFERROR(__xludf.DUMMYFUNCTION("""COMPUTED_VALUE"""),"R_SAITO")</f>
        <v>R_SAITO</v>
      </c>
      <c r="B346" s="10">
        <f>IFERROR(__xludf.DUMMYFUNCTION("""COMPUTED_VALUE"""),347.0)</f>
        <v>347</v>
      </c>
      <c r="C346" s="10">
        <f>IFERROR(__xludf.DUMMYFUNCTION("""COMPUTED_VALUE"""),4034.0)</f>
        <v>4034</v>
      </c>
      <c r="D346" s="5">
        <f>IFERROR(__xludf.DUMMYFUNCTION("""COMPUTED_VALUE"""),0.2915649579604014)</f>
        <v>0.291564958</v>
      </c>
      <c r="E346" s="5">
        <f>IFERROR(__xludf.DUMMYFUNCTION("""COMPUTED_VALUE"""),0.15134255492270138)</f>
        <v>0.1513425549</v>
      </c>
      <c r="F346" s="5">
        <f>IFERROR(__xludf.DUMMYFUNCTION("""COMPUTED_VALUE"""),0.22321670735014917)</f>
        <v>0.2232167074</v>
      </c>
      <c r="G346" s="5">
        <f>IFERROR(__xludf.DUMMYFUNCTION("""COMPUTED_VALUE"""),0.21724979658258747)</f>
        <v>0.2172497966</v>
      </c>
      <c r="H346" s="5">
        <f>IFERROR(__xludf.DUMMYFUNCTION("""COMPUTED_VALUE"""),0.5771567436208992)</f>
        <v>0.5771567436</v>
      </c>
      <c r="I346" s="11">
        <f>IFERROR(__xludf.DUMMYFUNCTION("""COMPUTED_VALUE"""),5963.6695018226)</f>
        <v>5963.669502</v>
      </c>
      <c r="J346" s="10">
        <f>IFERROR(__xludf.DUMMYFUNCTION("""COMPUTED_VALUE"""),1.0)</f>
        <v>1</v>
      </c>
      <c r="K346" s="5">
        <f>IFERROR(__xludf.DUMMYFUNCTION("""COMPUTED_VALUE"""),0.002881844380403458)</f>
        <v>0.00288184438</v>
      </c>
      <c r="L346" s="10">
        <f>IFERROR(__xludf.DUMMYFUNCTION("""COMPUTED_VALUE"""),347.0)</f>
        <v>347</v>
      </c>
      <c r="M346" s="5">
        <f>IFERROR(__xludf.DUMMYFUNCTION("""COMPUTED_VALUE"""),1.0)</f>
        <v>1</v>
      </c>
    </row>
    <row r="347">
      <c r="A347" s="10" t="str">
        <f>IFERROR(__xludf.DUMMYFUNCTION("""COMPUTED_VALUE"""),"最後の黒ダンディ")</f>
        <v>最後の黒ダンディ</v>
      </c>
      <c r="B347" s="10">
        <f>IFERROR(__xludf.DUMMYFUNCTION("""COMPUTED_VALUE"""),154.0)</f>
        <v>154</v>
      </c>
      <c r="C347" s="10">
        <f>IFERROR(__xludf.DUMMYFUNCTION("""COMPUTED_VALUE"""),1773.0)</f>
        <v>1773</v>
      </c>
      <c r="D347" s="5">
        <f>IFERROR(__xludf.DUMMYFUNCTION("""COMPUTED_VALUE"""),0.3452748610253243)</f>
        <v>0.345274861</v>
      </c>
      <c r="E347" s="5">
        <f>IFERROR(__xludf.DUMMYFUNCTION("""COMPUTED_VALUE"""),0.15132798023471278)</f>
        <v>0.1513279802</v>
      </c>
      <c r="F347" s="5">
        <f>IFERROR(__xludf.DUMMYFUNCTION("""COMPUTED_VALUE"""),0.23162445954292774)</f>
        <v>0.2316244595</v>
      </c>
      <c r="G347" s="5">
        <f>IFERROR(__xludf.DUMMYFUNCTION("""COMPUTED_VALUE"""),0.14885731933292157)</f>
        <v>0.1488573193</v>
      </c>
      <c r="H347" s="5">
        <f>IFERROR(__xludf.DUMMYFUNCTION("""COMPUTED_VALUE"""),0.632)</f>
        <v>0.632</v>
      </c>
      <c r="I347" s="11">
        <f>IFERROR(__xludf.DUMMYFUNCTION("""COMPUTED_VALUE"""),5539.733333333334)</f>
        <v>5539.733333</v>
      </c>
      <c r="J347" s="10">
        <f>IFERROR(__xludf.DUMMYFUNCTION("""COMPUTED_VALUE"""),0.0)</f>
        <v>0</v>
      </c>
      <c r="K347" s="5">
        <f>IFERROR(__xludf.DUMMYFUNCTION("""COMPUTED_VALUE"""),0.0)</f>
        <v>0</v>
      </c>
      <c r="L347" s="10">
        <f>IFERROR(__xludf.DUMMYFUNCTION("""COMPUTED_VALUE"""),154.0)</f>
        <v>154</v>
      </c>
      <c r="M347" s="5">
        <f>IFERROR(__xludf.DUMMYFUNCTION("""COMPUTED_VALUE"""),1.0)</f>
        <v>1</v>
      </c>
    </row>
    <row r="348">
      <c r="A348" s="10" t="str">
        <f>IFERROR(__xludf.DUMMYFUNCTION("""COMPUTED_VALUE"""),"66万分の1")</f>
        <v>66万分の1</v>
      </c>
      <c r="B348" s="10">
        <f>IFERROR(__xludf.DUMMYFUNCTION("""COMPUTED_VALUE"""),195.0)</f>
        <v>195</v>
      </c>
      <c r="C348" s="10">
        <f>IFERROR(__xludf.DUMMYFUNCTION("""COMPUTED_VALUE"""),2290.0)</f>
        <v>2290</v>
      </c>
      <c r="D348" s="5">
        <f>IFERROR(__xludf.DUMMYFUNCTION("""COMPUTED_VALUE"""),0.3766109785202864)</f>
        <v>0.3766109785</v>
      </c>
      <c r="E348" s="5">
        <f>IFERROR(__xludf.DUMMYFUNCTION("""COMPUTED_VALUE"""),0.1513126491646778)</f>
        <v>0.1513126492</v>
      </c>
      <c r="F348" s="5">
        <f>IFERROR(__xludf.DUMMYFUNCTION("""COMPUTED_VALUE"""),0.21670644391408114)</f>
        <v>0.2167064439</v>
      </c>
      <c r="G348" s="5">
        <f>IFERROR(__xludf.DUMMYFUNCTION("""COMPUTED_VALUE"""),0.1718377088305489)</f>
        <v>0.1718377088</v>
      </c>
      <c r="H348" s="5">
        <f>IFERROR(__xludf.DUMMYFUNCTION("""COMPUTED_VALUE"""),0.579295154185022)</f>
        <v>0.5792951542</v>
      </c>
      <c r="I348" s="11">
        <f>IFERROR(__xludf.DUMMYFUNCTION("""COMPUTED_VALUE"""),5394.713656387666)</f>
        <v>5394.713656</v>
      </c>
      <c r="J348" s="10">
        <f>IFERROR(__xludf.DUMMYFUNCTION("""COMPUTED_VALUE"""),1.0)</f>
        <v>1</v>
      </c>
      <c r="K348" s="5">
        <f>IFERROR(__xludf.DUMMYFUNCTION("""COMPUTED_VALUE"""),0.005128205128205128)</f>
        <v>0.005128205128</v>
      </c>
      <c r="L348" s="10">
        <f>IFERROR(__xludf.DUMMYFUNCTION("""COMPUTED_VALUE"""),195.0)</f>
        <v>195</v>
      </c>
      <c r="M348" s="5">
        <f>IFERROR(__xludf.DUMMYFUNCTION("""COMPUTED_VALUE"""),1.0)</f>
        <v>1</v>
      </c>
    </row>
    <row r="349">
      <c r="A349" s="10" t="str">
        <f>IFERROR(__xludf.DUMMYFUNCTION("""COMPUTED_VALUE"""),"ジュンジュン22")</f>
        <v>ジュンジュン22</v>
      </c>
      <c r="B349" s="10">
        <f>IFERROR(__xludf.DUMMYFUNCTION("""COMPUTED_VALUE"""),142.0)</f>
        <v>142</v>
      </c>
      <c r="C349" s="10">
        <f>IFERROR(__xludf.DUMMYFUNCTION("""COMPUTED_VALUE"""),1603.0)</f>
        <v>1603</v>
      </c>
      <c r="D349" s="5">
        <f>IFERROR(__xludf.DUMMYFUNCTION("""COMPUTED_VALUE"""),0.2511978097193703)</f>
        <v>0.2511978097</v>
      </c>
      <c r="E349" s="5">
        <f>IFERROR(__xludf.DUMMYFUNCTION("""COMPUTED_VALUE"""),0.1512662559890486)</f>
        <v>0.151266256</v>
      </c>
      <c r="F349" s="5">
        <f>IFERROR(__xludf.DUMMYFUNCTION("""COMPUTED_VALUE"""),0.20465434633812457)</f>
        <v>0.2046543463</v>
      </c>
      <c r="G349" s="5">
        <f>IFERROR(__xludf.DUMMYFUNCTION("""COMPUTED_VALUE"""),0.1601642710472279)</f>
        <v>0.160164271</v>
      </c>
      <c r="H349" s="5">
        <f>IFERROR(__xludf.DUMMYFUNCTION("""COMPUTED_VALUE"""),0.6086956521739131)</f>
        <v>0.6086956522</v>
      </c>
      <c r="I349" s="11">
        <f>IFERROR(__xludf.DUMMYFUNCTION("""COMPUTED_VALUE"""),5920.066889632107)</f>
        <v>5920.06689</v>
      </c>
      <c r="J349" s="10">
        <f>IFERROR(__xludf.DUMMYFUNCTION("""COMPUTED_VALUE"""),1.0)</f>
        <v>1</v>
      </c>
      <c r="K349" s="5">
        <f>IFERROR(__xludf.DUMMYFUNCTION("""COMPUTED_VALUE"""),0.007042253521126761)</f>
        <v>0.007042253521</v>
      </c>
      <c r="L349" s="10">
        <f>IFERROR(__xludf.DUMMYFUNCTION("""COMPUTED_VALUE"""),142.0)</f>
        <v>142</v>
      </c>
      <c r="M349" s="5">
        <f>IFERROR(__xludf.DUMMYFUNCTION("""COMPUTED_VALUE"""),1.0)</f>
        <v>1</v>
      </c>
    </row>
    <row r="350">
      <c r="A350" s="10" t="str">
        <f>IFERROR(__xludf.DUMMYFUNCTION("""COMPUTED_VALUE"""),"松島")</f>
        <v>松島</v>
      </c>
      <c r="B350" s="10">
        <f>IFERROR(__xludf.DUMMYFUNCTION("""COMPUTED_VALUE"""),1662.0)</f>
        <v>1662</v>
      </c>
      <c r="C350" s="10">
        <f>IFERROR(__xludf.DUMMYFUNCTION("""COMPUTED_VALUE"""),19539.0)</f>
        <v>19539</v>
      </c>
      <c r="D350" s="5">
        <f>IFERROR(__xludf.DUMMYFUNCTION("""COMPUTED_VALUE"""),0.4334619902668233)</f>
        <v>0.4334619903</v>
      </c>
      <c r="E350" s="5">
        <f>IFERROR(__xludf.DUMMYFUNCTION("""COMPUTED_VALUE"""),0.15125580354645635)</f>
        <v>0.1512558035</v>
      </c>
      <c r="F350" s="5">
        <f>IFERROR(__xludf.DUMMYFUNCTION("""COMPUTED_VALUE"""),0.225709011579124)</f>
        <v>0.2257090116</v>
      </c>
      <c r="G350" s="5">
        <f>IFERROR(__xludf.DUMMYFUNCTION("""COMPUTED_VALUE"""),0.17133747273032388)</f>
        <v>0.1713374727</v>
      </c>
      <c r="H350" s="5">
        <f>IFERROR(__xludf.DUMMYFUNCTION("""COMPUTED_VALUE"""),0.5913258983890954)</f>
        <v>0.5913258984</v>
      </c>
      <c r="I350" s="11">
        <f>IFERROR(__xludf.DUMMYFUNCTION("""COMPUTED_VALUE"""),5540.396530359356)</f>
        <v>5540.39653</v>
      </c>
      <c r="J350" s="10">
        <f>IFERROR(__xludf.DUMMYFUNCTION("""COMPUTED_VALUE"""),6.0)</f>
        <v>6</v>
      </c>
      <c r="K350" s="5">
        <f>IFERROR(__xludf.DUMMYFUNCTION("""COMPUTED_VALUE"""),0.0036101083032490976)</f>
        <v>0.003610108303</v>
      </c>
      <c r="L350" s="10">
        <f>IFERROR(__xludf.DUMMYFUNCTION("""COMPUTED_VALUE"""),1015.0)</f>
        <v>1015</v>
      </c>
      <c r="M350" s="5">
        <f>IFERROR(__xludf.DUMMYFUNCTION("""COMPUTED_VALUE"""),0.6107099879663056)</f>
        <v>0.610709988</v>
      </c>
    </row>
    <row r="351">
      <c r="A351" s="10" t="str">
        <f>IFERROR(__xludf.DUMMYFUNCTION("""COMPUTED_VALUE"""),"高瀬さん")</f>
        <v>高瀬さん</v>
      </c>
      <c r="B351" s="10">
        <f>IFERROR(__xludf.DUMMYFUNCTION("""COMPUTED_VALUE"""),946.0)</f>
        <v>946</v>
      </c>
      <c r="C351" s="10">
        <f>IFERROR(__xludf.DUMMYFUNCTION("""COMPUTED_VALUE"""),10970.0)</f>
        <v>10970</v>
      </c>
      <c r="D351" s="5">
        <f>IFERROR(__xludf.DUMMYFUNCTION("""COMPUTED_VALUE"""),0.4167996807661612)</f>
        <v>0.4167996808</v>
      </c>
      <c r="E351" s="5">
        <f>IFERROR(__xludf.DUMMYFUNCTION("""COMPUTED_VALUE"""),0.1512370311252993)</f>
        <v>0.1512370311</v>
      </c>
      <c r="F351" s="5">
        <f>IFERROR(__xludf.DUMMYFUNCTION("""COMPUTED_VALUE"""),0.23353950518754987)</f>
        <v>0.2335395052</v>
      </c>
      <c r="G351" s="5">
        <f>IFERROR(__xludf.DUMMYFUNCTION("""COMPUTED_VALUE"""),0.14894253790901835)</f>
        <v>0.1489425379</v>
      </c>
      <c r="H351" s="5">
        <f>IFERROR(__xludf.DUMMYFUNCTION("""COMPUTED_VALUE"""),0.6018795386586928)</f>
        <v>0.6018795387</v>
      </c>
      <c r="I351" s="11">
        <f>IFERROR(__xludf.DUMMYFUNCTION("""COMPUTED_VALUE"""),5220.973942759504)</f>
        <v>5220.973943</v>
      </c>
      <c r="J351" s="10">
        <f>IFERROR(__xludf.DUMMYFUNCTION("""COMPUTED_VALUE"""),5.0)</f>
        <v>5</v>
      </c>
      <c r="K351" s="5">
        <f>IFERROR(__xludf.DUMMYFUNCTION("""COMPUTED_VALUE"""),0.005285412262156448)</f>
        <v>0.005285412262</v>
      </c>
      <c r="L351" s="10">
        <f>IFERROR(__xludf.DUMMYFUNCTION("""COMPUTED_VALUE"""),381.0)</f>
        <v>381</v>
      </c>
      <c r="M351" s="5">
        <f>IFERROR(__xludf.DUMMYFUNCTION("""COMPUTED_VALUE"""),0.40274841437632136)</f>
        <v>0.4027484144</v>
      </c>
    </row>
    <row r="352">
      <c r="A352" s="10" t="str">
        <f>IFERROR(__xludf.DUMMYFUNCTION("""COMPUTED_VALUE"""),"馬龍left")</f>
        <v>馬龍left</v>
      </c>
      <c r="B352" s="10">
        <f>IFERROR(__xludf.DUMMYFUNCTION("""COMPUTED_VALUE"""),115.0)</f>
        <v>115</v>
      </c>
      <c r="C352" s="10">
        <f>IFERROR(__xludf.DUMMYFUNCTION("""COMPUTED_VALUE"""),1352.0)</f>
        <v>1352</v>
      </c>
      <c r="D352" s="5">
        <f>IFERROR(__xludf.DUMMYFUNCTION("""COMPUTED_VALUE"""),0.25303152789005656)</f>
        <v>0.2530315279</v>
      </c>
      <c r="E352" s="5">
        <f>IFERROR(__xludf.DUMMYFUNCTION("""COMPUTED_VALUE"""),0.15117219078415522)</f>
        <v>0.1511721908</v>
      </c>
      <c r="F352" s="5">
        <f>IFERROR(__xludf.DUMMYFUNCTION("""COMPUTED_VALUE"""),0.19967663702506064)</f>
        <v>0.199676637</v>
      </c>
      <c r="G352" s="5">
        <f>IFERROR(__xludf.DUMMYFUNCTION("""COMPUTED_VALUE"""),0.15359741309620048)</f>
        <v>0.1535974131</v>
      </c>
      <c r="H352" s="5">
        <f>IFERROR(__xludf.DUMMYFUNCTION("""COMPUTED_VALUE"""),0.5991902834008097)</f>
        <v>0.5991902834</v>
      </c>
      <c r="I352" s="11">
        <f>IFERROR(__xludf.DUMMYFUNCTION("""COMPUTED_VALUE"""),6009.311740890688)</f>
        <v>6009.311741</v>
      </c>
      <c r="J352" s="10">
        <f>IFERROR(__xludf.DUMMYFUNCTION("""COMPUTED_VALUE"""),1.0)</f>
        <v>1</v>
      </c>
      <c r="K352" s="5">
        <f>IFERROR(__xludf.DUMMYFUNCTION("""COMPUTED_VALUE"""),0.008695652173913044)</f>
        <v>0.008695652174</v>
      </c>
      <c r="L352" s="10">
        <f>IFERROR(__xludf.DUMMYFUNCTION("""COMPUTED_VALUE"""),115.0)</f>
        <v>115</v>
      </c>
      <c r="M352" s="5">
        <f>IFERROR(__xludf.DUMMYFUNCTION("""COMPUTED_VALUE"""),1.0)</f>
        <v>1</v>
      </c>
    </row>
    <row r="353">
      <c r="A353" s="10" t="str">
        <f>IFERROR(__xludf.DUMMYFUNCTION("""COMPUTED_VALUE"""),"縛虎手")</f>
        <v>縛虎手</v>
      </c>
      <c r="B353" s="10">
        <f>IFERROR(__xludf.DUMMYFUNCTION("""COMPUTED_VALUE"""),136.0)</f>
        <v>136</v>
      </c>
      <c r="C353" s="10">
        <f>IFERROR(__xludf.DUMMYFUNCTION("""COMPUTED_VALUE"""),1592.0)</f>
        <v>1592</v>
      </c>
      <c r="D353" s="5">
        <f>IFERROR(__xludf.DUMMYFUNCTION("""COMPUTED_VALUE"""),0.38461538461538464)</f>
        <v>0.3846153846</v>
      </c>
      <c r="E353" s="5">
        <f>IFERROR(__xludf.DUMMYFUNCTION("""COMPUTED_VALUE"""),0.1510989010989011)</f>
        <v>0.1510989011</v>
      </c>
      <c r="F353" s="5">
        <f>IFERROR(__xludf.DUMMYFUNCTION("""COMPUTED_VALUE"""),0.21565934065934067)</f>
        <v>0.2156593407</v>
      </c>
      <c r="G353" s="5">
        <f>IFERROR(__xludf.DUMMYFUNCTION("""COMPUTED_VALUE"""),0.16414835164835165)</f>
        <v>0.1641483516</v>
      </c>
      <c r="H353" s="5">
        <f>IFERROR(__xludf.DUMMYFUNCTION("""COMPUTED_VALUE"""),0.6178343949044586)</f>
        <v>0.6178343949</v>
      </c>
      <c r="I353" s="11">
        <f>IFERROR(__xludf.DUMMYFUNCTION("""COMPUTED_VALUE"""),5528.343949044586)</f>
        <v>5528.343949</v>
      </c>
      <c r="J353" s="10">
        <f>IFERROR(__xludf.DUMMYFUNCTION("""COMPUTED_VALUE"""),0.0)</f>
        <v>0</v>
      </c>
      <c r="K353" s="5">
        <f>IFERROR(__xludf.DUMMYFUNCTION("""COMPUTED_VALUE"""),0.0)</f>
        <v>0</v>
      </c>
      <c r="L353" s="10">
        <f>IFERROR(__xludf.DUMMYFUNCTION("""COMPUTED_VALUE"""),115.0)</f>
        <v>115</v>
      </c>
      <c r="M353" s="5">
        <f>IFERROR(__xludf.DUMMYFUNCTION("""COMPUTED_VALUE"""),0.8455882352941176)</f>
        <v>0.8455882353</v>
      </c>
    </row>
    <row r="354">
      <c r="A354" s="10" t="str">
        <f>IFERROR(__xludf.DUMMYFUNCTION("""COMPUTED_VALUE"""),"パーラーキング")</f>
        <v>パーラーキング</v>
      </c>
      <c r="B354" s="10">
        <f>IFERROR(__xludf.DUMMYFUNCTION("""COMPUTED_VALUE"""),248.0)</f>
        <v>248</v>
      </c>
      <c r="C354" s="10">
        <f>IFERROR(__xludf.DUMMYFUNCTION("""COMPUTED_VALUE"""),2935.0)</f>
        <v>2935</v>
      </c>
      <c r="D354" s="5">
        <f>IFERROR(__xludf.DUMMYFUNCTION("""COMPUTED_VALUE"""),0.3178265723855601)</f>
        <v>0.3178265724</v>
      </c>
      <c r="E354" s="5">
        <f>IFERROR(__xludf.DUMMYFUNCTION("""COMPUTED_VALUE"""),0.15109787867510235)</f>
        <v>0.1510978787</v>
      </c>
      <c r="F354" s="5">
        <f>IFERROR(__xludf.DUMMYFUNCTION("""COMPUTED_VALUE"""),0.2065500558243394)</f>
        <v>0.2065500558</v>
      </c>
      <c r="G354" s="5">
        <f>IFERROR(__xludf.DUMMYFUNCTION("""COMPUTED_VALUE"""),0.1365835504279866)</f>
        <v>0.1365835504</v>
      </c>
      <c r="H354" s="5">
        <f>IFERROR(__xludf.DUMMYFUNCTION("""COMPUTED_VALUE"""),0.5765765765765766)</f>
        <v>0.5765765766</v>
      </c>
      <c r="I354" s="11">
        <f>IFERROR(__xludf.DUMMYFUNCTION("""COMPUTED_VALUE"""),5622.342342342342)</f>
        <v>5622.342342</v>
      </c>
      <c r="J354" s="10">
        <f>IFERROR(__xludf.DUMMYFUNCTION("""COMPUTED_VALUE"""),0.0)</f>
        <v>0</v>
      </c>
      <c r="K354" s="5">
        <f>IFERROR(__xludf.DUMMYFUNCTION("""COMPUTED_VALUE"""),0.0)</f>
        <v>0</v>
      </c>
      <c r="L354" s="10">
        <f>IFERROR(__xludf.DUMMYFUNCTION("""COMPUTED_VALUE"""),248.0)</f>
        <v>248</v>
      </c>
      <c r="M354" s="5">
        <f>IFERROR(__xludf.DUMMYFUNCTION("""COMPUTED_VALUE"""),1.0)</f>
        <v>1</v>
      </c>
    </row>
    <row r="355">
      <c r="A355" s="10" t="str">
        <f>IFERROR(__xludf.DUMMYFUNCTION("""COMPUTED_VALUE"""),"腸炎ビブリオⅢ")</f>
        <v>腸炎ビブリオⅢ</v>
      </c>
      <c r="B355" s="10">
        <f>IFERROR(__xludf.DUMMYFUNCTION("""COMPUTED_VALUE"""),233.0)</f>
        <v>233</v>
      </c>
      <c r="C355" s="10">
        <f>IFERROR(__xludf.DUMMYFUNCTION("""COMPUTED_VALUE"""),2735.0)</f>
        <v>2735</v>
      </c>
      <c r="D355" s="5">
        <f>IFERROR(__xludf.DUMMYFUNCTION("""COMPUTED_VALUE"""),0.23860911270983212)</f>
        <v>0.2386091127</v>
      </c>
      <c r="E355" s="5">
        <f>IFERROR(__xludf.DUMMYFUNCTION("""COMPUTED_VALUE"""),0.1510791366906475)</f>
        <v>0.1510791367</v>
      </c>
      <c r="F355" s="5">
        <f>IFERROR(__xludf.DUMMYFUNCTION("""COMPUTED_VALUE"""),0.20343725019984013)</f>
        <v>0.2034372502</v>
      </c>
      <c r="G355" s="5">
        <f>IFERROR(__xludf.DUMMYFUNCTION("""COMPUTED_VALUE"""),0.21262989608313348)</f>
        <v>0.2126298961</v>
      </c>
      <c r="H355" s="5">
        <f>IFERROR(__xludf.DUMMYFUNCTION("""COMPUTED_VALUE"""),0.5658153241650294)</f>
        <v>0.5658153242</v>
      </c>
      <c r="I355" s="11">
        <f>IFERROR(__xludf.DUMMYFUNCTION("""COMPUTED_VALUE"""),6197.642436149313)</f>
        <v>6197.642436</v>
      </c>
      <c r="J355" s="10">
        <f>IFERROR(__xludf.DUMMYFUNCTION("""COMPUTED_VALUE"""),0.0)</f>
        <v>0</v>
      </c>
      <c r="K355" s="5">
        <f>IFERROR(__xludf.DUMMYFUNCTION("""COMPUTED_VALUE"""),0.0)</f>
        <v>0</v>
      </c>
      <c r="L355" s="10">
        <f>IFERROR(__xludf.DUMMYFUNCTION("""COMPUTED_VALUE"""),145.0)</f>
        <v>145</v>
      </c>
      <c r="M355" s="5">
        <f>IFERROR(__xludf.DUMMYFUNCTION("""COMPUTED_VALUE"""),0.6223175965665236)</f>
        <v>0.6223175966</v>
      </c>
    </row>
    <row r="356">
      <c r="A356" s="10" t="str">
        <f>IFERROR(__xludf.DUMMYFUNCTION("""COMPUTED_VALUE"""),"エスケー")</f>
        <v>エスケー</v>
      </c>
      <c r="B356" s="10">
        <f>IFERROR(__xludf.DUMMYFUNCTION("""COMPUTED_VALUE"""),124.0)</f>
        <v>124</v>
      </c>
      <c r="C356" s="10">
        <f>IFERROR(__xludf.DUMMYFUNCTION("""COMPUTED_VALUE"""),1468.0)</f>
        <v>1468</v>
      </c>
      <c r="D356" s="5">
        <f>IFERROR(__xludf.DUMMYFUNCTION("""COMPUTED_VALUE"""),0.4069940476190476)</f>
        <v>0.4069940476</v>
      </c>
      <c r="E356" s="5">
        <f>IFERROR(__xludf.DUMMYFUNCTION("""COMPUTED_VALUE"""),0.15104166666666666)</f>
        <v>0.1510416667</v>
      </c>
      <c r="F356" s="5">
        <f>IFERROR(__xludf.DUMMYFUNCTION("""COMPUTED_VALUE"""),0.21875)</f>
        <v>0.21875</v>
      </c>
      <c r="G356" s="5">
        <f>IFERROR(__xludf.DUMMYFUNCTION("""COMPUTED_VALUE"""),0.17485119047619047)</f>
        <v>0.1748511905</v>
      </c>
      <c r="H356" s="5">
        <f>IFERROR(__xludf.DUMMYFUNCTION("""COMPUTED_VALUE"""),0.5986394557823129)</f>
        <v>0.5986394558</v>
      </c>
      <c r="I356" s="11">
        <f>IFERROR(__xludf.DUMMYFUNCTION("""COMPUTED_VALUE"""),5260.544217687075)</f>
        <v>5260.544218</v>
      </c>
      <c r="J356" s="10">
        <f>IFERROR(__xludf.DUMMYFUNCTION("""COMPUTED_VALUE"""),0.0)</f>
        <v>0</v>
      </c>
      <c r="K356" s="5">
        <f>IFERROR(__xludf.DUMMYFUNCTION("""COMPUTED_VALUE"""),0.0)</f>
        <v>0</v>
      </c>
      <c r="L356" s="10">
        <f>IFERROR(__xludf.DUMMYFUNCTION("""COMPUTED_VALUE"""),124.0)</f>
        <v>124</v>
      </c>
      <c r="M356" s="5">
        <f>IFERROR(__xludf.DUMMYFUNCTION("""COMPUTED_VALUE"""),1.0)</f>
        <v>1</v>
      </c>
    </row>
    <row r="357">
      <c r="A357" s="10" t="str">
        <f>IFERROR(__xludf.DUMMYFUNCTION("""COMPUTED_VALUE"""),"長光麻夜")</f>
        <v>長光麻夜</v>
      </c>
      <c r="B357" s="10">
        <f>IFERROR(__xludf.DUMMYFUNCTION("""COMPUTED_VALUE"""),173.0)</f>
        <v>173</v>
      </c>
      <c r="C357" s="10">
        <f>IFERROR(__xludf.DUMMYFUNCTION("""COMPUTED_VALUE"""),2047.0)</f>
        <v>2047</v>
      </c>
      <c r="D357" s="5">
        <f>IFERROR(__xludf.DUMMYFUNCTION("""COMPUTED_VALUE"""),0.38046958377801493)</f>
        <v>0.3804695838</v>
      </c>
      <c r="E357" s="5">
        <f>IFERROR(__xludf.DUMMYFUNCTION("""COMPUTED_VALUE"""),0.15101387406616862)</f>
        <v>0.1510138741</v>
      </c>
      <c r="F357" s="5">
        <f>IFERROR(__xludf.DUMMYFUNCTION("""COMPUTED_VALUE"""),0.22198505869797225)</f>
        <v>0.2219850587</v>
      </c>
      <c r="G357" s="5">
        <f>IFERROR(__xludf.DUMMYFUNCTION("""COMPUTED_VALUE"""),0.18783351120597652)</f>
        <v>0.1878335112</v>
      </c>
      <c r="H357" s="5">
        <f>IFERROR(__xludf.DUMMYFUNCTION("""COMPUTED_VALUE"""),0.6177884615384616)</f>
        <v>0.6177884615</v>
      </c>
      <c r="I357" s="11">
        <f>IFERROR(__xludf.DUMMYFUNCTION("""COMPUTED_VALUE"""),5559.8557692307695)</f>
        <v>5559.855769</v>
      </c>
      <c r="J357" s="10">
        <f>IFERROR(__xludf.DUMMYFUNCTION("""COMPUTED_VALUE"""),2.0)</f>
        <v>2</v>
      </c>
      <c r="K357" s="5">
        <f>IFERROR(__xludf.DUMMYFUNCTION("""COMPUTED_VALUE"""),0.011560693641618497)</f>
        <v>0.01156069364</v>
      </c>
      <c r="L357" s="10">
        <f>IFERROR(__xludf.DUMMYFUNCTION("""COMPUTED_VALUE"""),173.0)</f>
        <v>173</v>
      </c>
      <c r="M357" s="5">
        <f>IFERROR(__xludf.DUMMYFUNCTION("""COMPUTED_VALUE"""),1.0)</f>
        <v>1</v>
      </c>
    </row>
    <row r="358">
      <c r="A358" s="10" t="str">
        <f>IFERROR(__xludf.DUMMYFUNCTION("""COMPUTED_VALUE"""),"西尾紫苑")</f>
        <v>西尾紫苑</v>
      </c>
      <c r="B358" s="10">
        <f>IFERROR(__xludf.DUMMYFUNCTION("""COMPUTED_VALUE"""),151.0)</f>
        <v>151</v>
      </c>
      <c r="C358" s="10">
        <f>IFERROR(__xludf.DUMMYFUNCTION("""COMPUTED_VALUE"""),1747.0)</f>
        <v>1747</v>
      </c>
      <c r="D358" s="5">
        <f>IFERROR(__xludf.DUMMYFUNCTION("""COMPUTED_VALUE"""),0.41604010025062654)</f>
        <v>0.4160401003</v>
      </c>
      <c r="E358" s="5">
        <f>IFERROR(__xludf.DUMMYFUNCTION("""COMPUTED_VALUE"""),0.15100250626566417)</f>
        <v>0.1510025063</v>
      </c>
      <c r="F358" s="5">
        <f>IFERROR(__xludf.DUMMYFUNCTION("""COMPUTED_VALUE"""),0.20614035087719298)</f>
        <v>0.2061403509</v>
      </c>
      <c r="G358" s="5">
        <f>IFERROR(__xludf.DUMMYFUNCTION("""COMPUTED_VALUE"""),0.18546365914786966)</f>
        <v>0.1854636591</v>
      </c>
      <c r="H358" s="5">
        <f>IFERROR(__xludf.DUMMYFUNCTION("""COMPUTED_VALUE"""),0.5835866261398176)</f>
        <v>0.5835866261</v>
      </c>
      <c r="I358" s="11">
        <f>IFERROR(__xludf.DUMMYFUNCTION("""COMPUTED_VALUE"""),5692.705167173252)</f>
        <v>5692.705167</v>
      </c>
      <c r="J358" s="10">
        <f>IFERROR(__xludf.DUMMYFUNCTION("""COMPUTED_VALUE"""),1.0)</f>
        <v>1</v>
      </c>
      <c r="K358" s="5">
        <f>IFERROR(__xludf.DUMMYFUNCTION("""COMPUTED_VALUE"""),0.006622516556291391)</f>
        <v>0.006622516556</v>
      </c>
      <c r="L358" s="10">
        <f>IFERROR(__xludf.DUMMYFUNCTION("""COMPUTED_VALUE"""),129.0)</f>
        <v>129</v>
      </c>
      <c r="M358" s="5">
        <f>IFERROR(__xludf.DUMMYFUNCTION("""COMPUTED_VALUE"""),0.8543046357615894)</f>
        <v>0.8543046358</v>
      </c>
    </row>
    <row r="359">
      <c r="A359" s="10" t="str">
        <f>IFERROR(__xludf.DUMMYFUNCTION("""COMPUTED_VALUE"""),"正体不明")</f>
        <v>正体不明</v>
      </c>
      <c r="B359" s="10">
        <f>IFERROR(__xludf.DUMMYFUNCTION("""COMPUTED_VALUE"""),540.0)</f>
        <v>540</v>
      </c>
      <c r="C359" s="10">
        <f>IFERROR(__xludf.DUMMYFUNCTION("""COMPUTED_VALUE"""),6269.0)</f>
        <v>6269</v>
      </c>
      <c r="D359" s="5">
        <f>IFERROR(__xludf.DUMMYFUNCTION("""COMPUTED_VALUE"""),0.3147146098795601)</f>
        <v>0.3147146099</v>
      </c>
      <c r="E359" s="5">
        <f>IFERROR(__xludf.DUMMYFUNCTION("""COMPUTED_VALUE"""),0.15098621050794206)</f>
        <v>0.1509862105</v>
      </c>
      <c r="F359" s="5">
        <f>IFERROR(__xludf.DUMMYFUNCTION("""COMPUTED_VALUE"""),0.21574445802059697)</f>
        <v>0.215744458</v>
      </c>
      <c r="G359" s="5">
        <f>IFERROR(__xludf.DUMMYFUNCTION("""COMPUTED_VALUE"""),0.18764182230755805)</f>
        <v>0.1876418223</v>
      </c>
      <c r="H359" s="5">
        <f>IFERROR(__xludf.DUMMYFUNCTION("""COMPUTED_VALUE"""),0.6043689320388349)</f>
        <v>0.604368932</v>
      </c>
      <c r="I359" s="11">
        <f>IFERROR(__xludf.DUMMYFUNCTION("""COMPUTED_VALUE"""),5938.1067961165045)</f>
        <v>5938.106796</v>
      </c>
      <c r="J359" s="10">
        <f>IFERROR(__xludf.DUMMYFUNCTION("""COMPUTED_VALUE"""),1.0)</f>
        <v>1</v>
      </c>
      <c r="K359" s="5">
        <f>IFERROR(__xludf.DUMMYFUNCTION("""COMPUTED_VALUE"""),0.001851851851851852)</f>
        <v>0.001851851852</v>
      </c>
      <c r="L359" s="10">
        <f>IFERROR(__xludf.DUMMYFUNCTION("""COMPUTED_VALUE"""),310.0)</f>
        <v>310</v>
      </c>
      <c r="M359" s="5">
        <f>IFERROR(__xludf.DUMMYFUNCTION("""COMPUTED_VALUE"""),0.5740740740740741)</f>
        <v>0.5740740741</v>
      </c>
    </row>
    <row r="360">
      <c r="A360" s="10" t="str">
        <f>IFERROR(__xludf.DUMMYFUNCTION("""COMPUTED_VALUE"""),"鮫島宏昌α")</f>
        <v>鮫島宏昌α</v>
      </c>
      <c r="B360" s="10">
        <f>IFERROR(__xludf.DUMMYFUNCTION("""COMPUTED_VALUE"""),1254.0)</f>
        <v>1254</v>
      </c>
      <c r="C360" s="10">
        <f>IFERROR(__xludf.DUMMYFUNCTION("""COMPUTED_VALUE"""),14756.0)</f>
        <v>14756</v>
      </c>
      <c r="D360" s="5">
        <f>IFERROR(__xludf.DUMMYFUNCTION("""COMPUTED_VALUE"""),0.3672789216412383)</f>
        <v>0.3672789216</v>
      </c>
      <c r="E360" s="5">
        <f>IFERROR(__xludf.DUMMYFUNCTION("""COMPUTED_VALUE"""),0.15094060139238633)</f>
        <v>0.1509406014</v>
      </c>
      <c r="F360" s="5">
        <f>IFERROR(__xludf.DUMMYFUNCTION("""COMPUTED_VALUE"""),0.2228558732039698)</f>
        <v>0.2228558732</v>
      </c>
      <c r="G360" s="5">
        <f>IFERROR(__xludf.DUMMYFUNCTION("""COMPUTED_VALUE"""),0.16745667308546883)</f>
        <v>0.1674566731</v>
      </c>
      <c r="H360" s="5">
        <f>IFERROR(__xludf.DUMMYFUNCTION("""COMPUTED_VALUE"""),0.5925556663343303)</f>
        <v>0.5925556663</v>
      </c>
      <c r="I360" s="11">
        <f>IFERROR(__xludf.DUMMYFUNCTION("""COMPUTED_VALUE"""),5597.773346626786)</f>
        <v>5597.773347</v>
      </c>
      <c r="J360" s="10">
        <f>IFERROR(__xludf.DUMMYFUNCTION("""COMPUTED_VALUE"""),0.0)</f>
        <v>0</v>
      </c>
      <c r="K360" s="5">
        <f>IFERROR(__xludf.DUMMYFUNCTION("""COMPUTED_VALUE"""),0.0)</f>
        <v>0</v>
      </c>
      <c r="L360" s="10">
        <f>IFERROR(__xludf.DUMMYFUNCTION("""COMPUTED_VALUE"""),1254.0)</f>
        <v>1254</v>
      </c>
      <c r="M360" s="5">
        <f>IFERROR(__xludf.DUMMYFUNCTION("""COMPUTED_VALUE"""),1.0)</f>
        <v>1</v>
      </c>
    </row>
    <row r="361">
      <c r="A361" s="10" t="str">
        <f>IFERROR(__xludf.DUMMYFUNCTION("""COMPUTED_VALUE"""),"Junbou")</f>
        <v>Junbou</v>
      </c>
      <c r="B361" s="10">
        <f>IFERROR(__xludf.DUMMYFUNCTION("""COMPUTED_VALUE"""),308.0)</f>
        <v>308</v>
      </c>
      <c r="C361" s="10">
        <f>IFERROR(__xludf.DUMMYFUNCTION("""COMPUTED_VALUE"""),3548.0)</f>
        <v>3548</v>
      </c>
      <c r="D361" s="5">
        <f>IFERROR(__xludf.DUMMYFUNCTION("""COMPUTED_VALUE"""),0.32407407407407407)</f>
        <v>0.3240740741</v>
      </c>
      <c r="E361" s="5">
        <f>IFERROR(__xludf.DUMMYFUNCTION("""COMPUTED_VALUE"""),0.15092592592592594)</f>
        <v>0.1509259259</v>
      </c>
      <c r="F361" s="5">
        <f>IFERROR(__xludf.DUMMYFUNCTION("""COMPUTED_VALUE"""),0.20185185185185187)</f>
        <v>0.2018518519</v>
      </c>
      <c r="G361" s="5">
        <f>IFERROR(__xludf.DUMMYFUNCTION("""COMPUTED_VALUE"""),0.16203703703703703)</f>
        <v>0.162037037</v>
      </c>
      <c r="H361" s="5">
        <f>IFERROR(__xludf.DUMMYFUNCTION("""COMPUTED_VALUE"""),0.5963302752293578)</f>
        <v>0.5963302752</v>
      </c>
      <c r="I361" s="11">
        <f>IFERROR(__xludf.DUMMYFUNCTION("""COMPUTED_VALUE"""),5734.709480122324)</f>
        <v>5734.70948</v>
      </c>
      <c r="J361" s="10">
        <f>IFERROR(__xludf.DUMMYFUNCTION("""COMPUTED_VALUE"""),1.0)</f>
        <v>1</v>
      </c>
      <c r="K361" s="5">
        <f>IFERROR(__xludf.DUMMYFUNCTION("""COMPUTED_VALUE"""),0.003246753246753247)</f>
        <v>0.003246753247</v>
      </c>
      <c r="L361" s="10">
        <f>IFERROR(__xludf.DUMMYFUNCTION("""COMPUTED_VALUE"""),308.0)</f>
        <v>308</v>
      </c>
      <c r="M361" s="5">
        <f>IFERROR(__xludf.DUMMYFUNCTION("""COMPUTED_VALUE"""),1.0)</f>
        <v>1</v>
      </c>
    </row>
    <row r="362">
      <c r="A362" s="10" t="str">
        <f>IFERROR(__xludf.DUMMYFUNCTION("""COMPUTED_VALUE"""),"三半荘まで")</f>
        <v>三半荘まで</v>
      </c>
      <c r="B362" s="10">
        <f>IFERROR(__xludf.DUMMYFUNCTION("""COMPUTED_VALUE"""),481.0)</f>
        <v>481</v>
      </c>
      <c r="C362" s="10">
        <f>IFERROR(__xludf.DUMMYFUNCTION("""COMPUTED_VALUE"""),5458.0)</f>
        <v>5458</v>
      </c>
      <c r="D362" s="5">
        <f>IFERROR(__xludf.DUMMYFUNCTION("""COMPUTED_VALUE"""),0.35161744022503516)</f>
        <v>0.3516174402</v>
      </c>
      <c r="E362" s="5">
        <f>IFERROR(__xludf.DUMMYFUNCTION("""COMPUTED_VALUE"""),0.15089411291942936)</f>
        <v>0.1508941129</v>
      </c>
      <c r="F362" s="5">
        <f>IFERROR(__xludf.DUMMYFUNCTION("""COMPUTED_VALUE"""),0.225637934498694)</f>
        <v>0.2256379345</v>
      </c>
      <c r="G362" s="5">
        <f>IFERROR(__xludf.DUMMYFUNCTION("""COMPUTED_VALUE"""),0.1902752662246333)</f>
        <v>0.1902752662</v>
      </c>
      <c r="H362" s="5">
        <f>IFERROR(__xludf.DUMMYFUNCTION("""COMPUTED_VALUE"""),0.6295636687444346)</f>
        <v>0.6295636687</v>
      </c>
      <c r="I362" s="11">
        <f>IFERROR(__xludf.DUMMYFUNCTION("""COMPUTED_VALUE"""),5667.943009795192)</f>
        <v>5667.94301</v>
      </c>
      <c r="J362" s="10">
        <f>IFERROR(__xludf.DUMMYFUNCTION("""COMPUTED_VALUE"""),0.0)</f>
        <v>0</v>
      </c>
      <c r="K362" s="5">
        <f>IFERROR(__xludf.DUMMYFUNCTION("""COMPUTED_VALUE"""),0.0)</f>
        <v>0</v>
      </c>
      <c r="L362" s="10">
        <f>IFERROR(__xludf.DUMMYFUNCTION("""COMPUTED_VALUE"""),481.0)</f>
        <v>481</v>
      </c>
      <c r="M362" s="5">
        <f>IFERROR(__xludf.DUMMYFUNCTION("""COMPUTED_VALUE"""),1.0)</f>
        <v>1</v>
      </c>
    </row>
    <row r="363">
      <c r="A363" s="10" t="str">
        <f>IFERROR(__xludf.DUMMYFUNCTION("""COMPUTED_VALUE"""),"おいどんさん")</f>
        <v>おいどんさん</v>
      </c>
      <c r="B363" s="10">
        <f>IFERROR(__xludf.DUMMYFUNCTION("""COMPUTED_VALUE"""),124.0)</f>
        <v>124</v>
      </c>
      <c r="C363" s="10">
        <f>IFERROR(__xludf.DUMMYFUNCTION("""COMPUTED_VALUE"""),1443.0)</f>
        <v>1443</v>
      </c>
      <c r="D363" s="5">
        <f>IFERROR(__xludf.DUMMYFUNCTION("""COMPUTED_VALUE"""),0.25549658832448824)</f>
        <v>0.2554965883</v>
      </c>
      <c r="E363" s="5">
        <f>IFERROR(__xludf.DUMMYFUNCTION("""COMPUTED_VALUE"""),0.1508718726307809)</f>
        <v>0.1508718726</v>
      </c>
      <c r="F363" s="5">
        <f>IFERROR(__xludf.DUMMYFUNCTION("""COMPUTED_VALUE"""),0.19939347990902198)</f>
        <v>0.1993934799</v>
      </c>
      <c r="G363" s="5">
        <f>IFERROR(__xludf.DUMMYFUNCTION("""COMPUTED_VALUE"""),0.17058377558756635)</f>
        <v>0.1705837756</v>
      </c>
      <c r="H363" s="5">
        <f>IFERROR(__xludf.DUMMYFUNCTION("""COMPUTED_VALUE"""),0.6159695817490495)</f>
        <v>0.6159695817</v>
      </c>
      <c r="I363" s="11">
        <f>IFERROR(__xludf.DUMMYFUNCTION("""COMPUTED_VALUE"""),5954.752851711027)</f>
        <v>5954.752852</v>
      </c>
      <c r="J363" s="10">
        <f>IFERROR(__xludf.DUMMYFUNCTION("""COMPUTED_VALUE"""),0.0)</f>
        <v>0</v>
      </c>
      <c r="K363" s="5">
        <f>IFERROR(__xludf.DUMMYFUNCTION("""COMPUTED_VALUE"""),0.0)</f>
        <v>0</v>
      </c>
      <c r="L363" s="10">
        <f>IFERROR(__xludf.DUMMYFUNCTION("""COMPUTED_VALUE"""),124.0)</f>
        <v>124</v>
      </c>
      <c r="M363" s="5">
        <f>IFERROR(__xludf.DUMMYFUNCTION("""COMPUTED_VALUE"""),1.0)</f>
        <v>1</v>
      </c>
    </row>
    <row r="364">
      <c r="A364" s="10" t="str">
        <f>IFERROR(__xludf.DUMMYFUNCTION("""COMPUTED_VALUE"""),"momochi")</f>
        <v>momochi</v>
      </c>
      <c r="B364" s="10">
        <f>IFERROR(__xludf.DUMMYFUNCTION("""COMPUTED_VALUE"""),114.0)</f>
        <v>114</v>
      </c>
      <c r="C364" s="10">
        <f>IFERROR(__xludf.DUMMYFUNCTION("""COMPUTED_VALUE"""),1367.0)</f>
        <v>1367</v>
      </c>
      <c r="D364" s="5">
        <f>IFERROR(__xludf.DUMMYFUNCTION("""COMPUTED_VALUE"""),0.3040702314445331)</f>
        <v>0.3040702314</v>
      </c>
      <c r="E364" s="5">
        <f>IFERROR(__xludf.DUMMYFUNCTION("""COMPUTED_VALUE"""),0.15083798882681565)</f>
        <v>0.1508379888</v>
      </c>
      <c r="F364" s="5">
        <f>IFERROR(__xludf.DUMMYFUNCTION("""COMPUTED_VALUE"""),0.23942537909018355)</f>
        <v>0.2394253791</v>
      </c>
      <c r="G364" s="5">
        <f>IFERROR(__xludf.DUMMYFUNCTION("""COMPUTED_VALUE"""),0.24341580207501995)</f>
        <v>0.2434158021</v>
      </c>
      <c r="H364" s="5">
        <f>IFERROR(__xludf.DUMMYFUNCTION("""COMPUTED_VALUE"""),0.57)</f>
        <v>0.57</v>
      </c>
      <c r="I364" s="11">
        <f>IFERROR(__xludf.DUMMYFUNCTION("""COMPUTED_VALUE"""),5660.333333333333)</f>
        <v>5660.333333</v>
      </c>
      <c r="J364" s="10">
        <f>IFERROR(__xludf.DUMMYFUNCTION("""COMPUTED_VALUE"""),0.0)</f>
        <v>0</v>
      </c>
      <c r="K364" s="5">
        <f>IFERROR(__xludf.DUMMYFUNCTION("""COMPUTED_VALUE"""),0.0)</f>
        <v>0</v>
      </c>
      <c r="L364" s="10">
        <f>IFERROR(__xludf.DUMMYFUNCTION("""COMPUTED_VALUE"""),114.0)</f>
        <v>114</v>
      </c>
      <c r="M364" s="5">
        <f>IFERROR(__xludf.DUMMYFUNCTION("""COMPUTED_VALUE"""),1.0)</f>
        <v>1</v>
      </c>
    </row>
    <row r="365">
      <c r="A365" s="10" t="str">
        <f>IFERROR(__xludf.DUMMYFUNCTION("""COMPUTED_VALUE"""),"マミ～Ｄ☆面前")</f>
        <v>マミ～Ｄ☆面前</v>
      </c>
      <c r="B365" s="10">
        <f>IFERROR(__xludf.DUMMYFUNCTION("""COMPUTED_VALUE"""),211.0)</f>
        <v>211</v>
      </c>
      <c r="C365" s="10">
        <f>IFERROR(__xludf.DUMMYFUNCTION("""COMPUTED_VALUE"""),2433.0)</f>
        <v>2433</v>
      </c>
      <c r="D365" s="5">
        <f>IFERROR(__xludf.DUMMYFUNCTION("""COMPUTED_VALUE"""),0.3811881188118812)</f>
        <v>0.3811881188</v>
      </c>
      <c r="E365" s="5">
        <f>IFERROR(__xludf.DUMMYFUNCTION("""COMPUTED_VALUE"""),0.15076507650765075)</f>
        <v>0.1507650765</v>
      </c>
      <c r="F365" s="5">
        <f>IFERROR(__xludf.DUMMYFUNCTION("""COMPUTED_VALUE"""),0.1935193519351935)</f>
        <v>0.1935193519</v>
      </c>
      <c r="G365" s="5">
        <f>IFERROR(__xludf.DUMMYFUNCTION("""COMPUTED_VALUE"""),0.15346534653465346)</f>
        <v>0.1534653465</v>
      </c>
      <c r="H365" s="5">
        <f>IFERROR(__xludf.DUMMYFUNCTION("""COMPUTED_VALUE"""),0.5930232558139535)</f>
        <v>0.5930232558</v>
      </c>
      <c r="I365" s="11">
        <f>IFERROR(__xludf.DUMMYFUNCTION("""COMPUTED_VALUE"""),5858.837209302325)</f>
        <v>5858.837209</v>
      </c>
      <c r="J365" s="10">
        <f>IFERROR(__xludf.DUMMYFUNCTION("""COMPUTED_VALUE"""),1.0)</f>
        <v>1</v>
      </c>
      <c r="K365" s="5">
        <f>IFERROR(__xludf.DUMMYFUNCTION("""COMPUTED_VALUE"""),0.004739336492890996)</f>
        <v>0.004739336493</v>
      </c>
      <c r="L365" s="10">
        <f>IFERROR(__xludf.DUMMYFUNCTION("""COMPUTED_VALUE"""),204.0)</f>
        <v>204</v>
      </c>
      <c r="M365" s="5">
        <f>IFERROR(__xludf.DUMMYFUNCTION("""COMPUTED_VALUE"""),0.966824644549763)</f>
        <v>0.9668246445</v>
      </c>
    </row>
    <row r="366">
      <c r="A366" s="10" t="str">
        <f>IFERROR(__xludf.DUMMYFUNCTION("""COMPUTED_VALUE"""),"naita")</f>
        <v>naita</v>
      </c>
      <c r="B366" s="10">
        <f>IFERROR(__xludf.DUMMYFUNCTION("""COMPUTED_VALUE"""),848.0)</f>
        <v>848</v>
      </c>
      <c r="C366" s="10">
        <f>IFERROR(__xludf.DUMMYFUNCTION("""COMPUTED_VALUE"""),9890.0)</f>
        <v>9890</v>
      </c>
      <c r="D366" s="5">
        <f>IFERROR(__xludf.DUMMYFUNCTION("""COMPUTED_VALUE"""),0.3281353682813537)</f>
        <v>0.3281353683</v>
      </c>
      <c r="E366" s="5">
        <f>IFERROR(__xludf.DUMMYFUNCTION("""COMPUTED_VALUE"""),0.15074098650740986)</f>
        <v>0.1507409865</v>
      </c>
      <c r="F366" s="5">
        <f>IFERROR(__xludf.DUMMYFUNCTION("""COMPUTED_VALUE"""),0.21853572218535722)</f>
        <v>0.2185357222</v>
      </c>
      <c r="G366" s="5">
        <f>IFERROR(__xludf.DUMMYFUNCTION("""COMPUTED_VALUE"""),0.18524662685246626)</f>
        <v>0.1852466269</v>
      </c>
      <c r="H366" s="5">
        <f>IFERROR(__xludf.DUMMYFUNCTION("""COMPUTED_VALUE"""),0.5789473684210527)</f>
        <v>0.5789473684</v>
      </c>
      <c r="I366" s="11">
        <f>IFERROR(__xludf.DUMMYFUNCTION("""COMPUTED_VALUE"""),5684.665991902834)</f>
        <v>5684.665992</v>
      </c>
      <c r="J366" s="10">
        <f>IFERROR(__xludf.DUMMYFUNCTION("""COMPUTED_VALUE"""),6.0)</f>
        <v>6</v>
      </c>
      <c r="K366" s="5">
        <f>IFERROR(__xludf.DUMMYFUNCTION("""COMPUTED_VALUE"""),0.007075471698113208)</f>
        <v>0.007075471698</v>
      </c>
      <c r="L366" s="10">
        <f>IFERROR(__xludf.DUMMYFUNCTION("""COMPUTED_VALUE"""),848.0)</f>
        <v>848</v>
      </c>
      <c r="M366" s="5">
        <f>IFERROR(__xludf.DUMMYFUNCTION("""COMPUTED_VALUE"""),1.0)</f>
        <v>1</v>
      </c>
    </row>
    <row r="367">
      <c r="A367" s="10" t="str">
        <f>IFERROR(__xludf.DUMMYFUNCTION("""COMPUTED_VALUE"""),"ねみぞう")</f>
        <v>ねみぞう</v>
      </c>
      <c r="B367" s="10">
        <f>IFERROR(__xludf.DUMMYFUNCTION("""COMPUTED_VALUE"""),116.0)</f>
        <v>116</v>
      </c>
      <c r="C367" s="10">
        <f>IFERROR(__xludf.DUMMYFUNCTION("""COMPUTED_VALUE"""),1337.0)</f>
        <v>1337</v>
      </c>
      <c r="D367" s="5">
        <f>IFERROR(__xludf.DUMMYFUNCTION("""COMPUTED_VALUE"""),0.19656019656019655)</f>
        <v>0.1965601966</v>
      </c>
      <c r="E367" s="5">
        <f>IFERROR(__xludf.DUMMYFUNCTION("""COMPUTED_VALUE"""),0.1506961506961507)</f>
        <v>0.1506961507</v>
      </c>
      <c r="F367" s="5">
        <f>IFERROR(__xludf.DUMMYFUNCTION("""COMPUTED_VALUE"""),0.1941031941031941)</f>
        <v>0.1941031941</v>
      </c>
      <c r="G367" s="5">
        <f>IFERROR(__xludf.DUMMYFUNCTION("""COMPUTED_VALUE"""),0.14823914823914824)</f>
        <v>0.1482391482</v>
      </c>
      <c r="H367" s="5">
        <f>IFERROR(__xludf.DUMMYFUNCTION("""COMPUTED_VALUE"""),0.5611814345991561)</f>
        <v>0.5611814346</v>
      </c>
      <c r="I367" s="11">
        <f>IFERROR(__xludf.DUMMYFUNCTION("""COMPUTED_VALUE"""),6347.257383966245)</f>
        <v>6347.257384</v>
      </c>
      <c r="J367" s="10">
        <f>IFERROR(__xludf.DUMMYFUNCTION("""COMPUTED_VALUE"""),0.0)</f>
        <v>0</v>
      </c>
      <c r="K367" s="5">
        <f>IFERROR(__xludf.DUMMYFUNCTION("""COMPUTED_VALUE"""),0.0)</f>
        <v>0</v>
      </c>
      <c r="L367" s="10">
        <f>IFERROR(__xludf.DUMMYFUNCTION("""COMPUTED_VALUE"""),116.0)</f>
        <v>116</v>
      </c>
      <c r="M367" s="5">
        <f>IFERROR(__xludf.DUMMYFUNCTION("""COMPUTED_VALUE"""),1.0)</f>
        <v>1</v>
      </c>
    </row>
    <row r="368">
      <c r="A368" s="10" t="str">
        <f>IFERROR(__xludf.DUMMYFUNCTION("""COMPUTED_VALUE"""),"-紅茶提督-")</f>
        <v>-紅茶提督-</v>
      </c>
      <c r="B368" s="10">
        <f>IFERROR(__xludf.DUMMYFUNCTION("""COMPUTED_VALUE"""),268.0)</f>
        <v>268</v>
      </c>
      <c r="C368" s="10">
        <f>IFERROR(__xludf.DUMMYFUNCTION("""COMPUTED_VALUE"""),3188.0)</f>
        <v>3188</v>
      </c>
      <c r="D368" s="5">
        <f>IFERROR(__xludf.DUMMYFUNCTION("""COMPUTED_VALUE"""),0.275)</f>
        <v>0.275</v>
      </c>
      <c r="E368" s="5">
        <f>IFERROR(__xludf.DUMMYFUNCTION("""COMPUTED_VALUE"""),0.1506849315068493)</f>
        <v>0.1506849315</v>
      </c>
      <c r="F368" s="5">
        <f>IFERROR(__xludf.DUMMYFUNCTION("""COMPUTED_VALUE"""),0.18972602739726027)</f>
        <v>0.1897260274</v>
      </c>
      <c r="G368" s="5">
        <f>IFERROR(__xludf.DUMMYFUNCTION("""COMPUTED_VALUE"""),0.1773972602739726)</f>
        <v>0.1773972603</v>
      </c>
      <c r="H368" s="5">
        <f>IFERROR(__xludf.DUMMYFUNCTION("""COMPUTED_VALUE"""),0.5740072202166066)</f>
        <v>0.5740072202</v>
      </c>
      <c r="I368" s="11">
        <f>IFERROR(__xludf.DUMMYFUNCTION("""COMPUTED_VALUE"""),6642.599277978339)</f>
        <v>6642.599278</v>
      </c>
      <c r="J368" s="10">
        <f>IFERROR(__xludf.DUMMYFUNCTION("""COMPUTED_VALUE"""),1.0)</f>
        <v>1</v>
      </c>
      <c r="K368" s="5">
        <f>IFERROR(__xludf.DUMMYFUNCTION("""COMPUTED_VALUE"""),0.0037313432835820895)</f>
        <v>0.003731343284</v>
      </c>
      <c r="L368" s="10">
        <f>IFERROR(__xludf.DUMMYFUNCTION("""COMPUTED_VALUE"""),268.0)</f>
        <v>268</v>
      </c>
      <c r="M368" s="5">
        <f>IFERROR(__xludf.DUMMYFUNCTION("""COMPUTED_VALUE"""),1.0)</f>
        <v>1</v>
      </c>
    </row>
    <row r="369">
      <c r="A369" s="10" t="str">
        <f>IFERROR(__xludf.DUMMYFUNCTION("""COMPUTED_VALUE"""),"Russia")</f>
        <v>Russia</v>
      </c>
      <c r="B369" s="10">
        <f>IFERROR(__xludf.DUMMYFUNCTION("""COMPUTED_VALUE"""),376.0)</f>
        <v>376</v>
      </c>
      <c r="C369" s="10">
        <f>IFERROR(__xludf.DUMMYFUNCTION("""COMPUTED_VALUE"""),4378.0)</f>
        <v>4378</v>
      </c>
      <c r="D369" s="5">
        <f>IFERROR(__xludf.DUMMYFUNCTION("""COMPUTED_VALUE"""),0.4017991004497751)</f>
        <v>0.4017991004</v>
      </c>
      <c r="E369" s="5">
        <f>IFERROR(__xludf.DUMMYFUNCTION("""COMPUTED_VALUE"""),0.15067466266866567)</f>
        <v>0.1506746627</v>
      </c>
      <c r="F369" s="5">
        <f>IFERROR(__xludf.DUMMYFUNCTION("""COMPUTED_VALUE"""),0.20964517741129435)</f>
        <v>0.2096451774</v>
      </c>
      <c r="G369" s="5">
        <f>IFERROR(__xludf.DUMMYFUNCTION("""COMPUTED_VALUE"""),0.1549225387306347)</f>
        <v>0.1549225387</v>
      </c>
      <c r="H369" s="5">
        <f>IFERROR(__xludf.DUMMYFUNCTION("""COMPUTED_VALUE"""),0.6078665077473182)</f>
        <v>0.6078665077</v>
      </c>
      <c r="I369" s="11">
        <f>IFERROR(__xludf.DUMMYFUNCTION("""COMPUTED_VALUE"""),5566.030989272944)</f>
        <v>5566.030989</v>
      </c>
      <c r="J369" s="10">
        <f>IFERROR(__xludf.DUMMYFUNCTION("""COMPUTED_VALUE"""),1.0)</f>
        <v>1</v>
      </c>
      <c r="K369" s="5">
        <f>IFERROR(__xludf.DUMMYFUNCTION("""COMPUTED_VALUE"""),0.0026595744680851063)</f>
        <v>0.002659574468</v>
      </c>
      <c r="L369" s="10">
        <f>IFERROR(__xludf.DUMMYFUNCTION("""COMPUTED_VALUE"""),159.0)</f>
        <v>159</v>
      </c>
      <c r="M369" s="5">
        <f>IFERROR(__xludf.DUMMYFUNCTION("""COMPUTED_VALUE"""),0.4228723404255319)</f>
        <v>0.4228723404</v>
      </c>
    </row>
    <row r="370">
      <c r="A370" s="10" t="str">
        <f>IFERROR(__xludf.DUMMYFUNCTION("""COMPUTED_VALUE"""),"桂ヒナギク")</f>
        <v>桂ヒナギク</v>
      </c>
      <c r="B370" s="10">
        <f>IFERROR(__xludf.DUMMYFUNCTION("""COMPUTED_VALUE"""),322.0)</f>
        <v>322</v>
      </c>
      <c r="C370" s="10">
        <f>IFERROR(__xludf.DUMMYFUNCTION("""COMPUTED_VALUE"""),3761.0)</f>
        <v>3761</v>
      </c>
      <c r="D370" s="5">
        <f>IFERROR(__xludf.DUMMYFUNCTION("""COMPUTED_VALUE"""),0.36376853736551323)</f>
        <v>0.3637685374</v>
      </c>
      <c r="E370" s="5">
        <f>IFERROR(__xludf.DUMMYFUNCTION("""COMPUTED_VALUE"""),0.15062518173887757)</f>
        <v>0.1506251817</v>
      </c>
      <c r="F370" s="5">
        <f>IFERROR(__xludf.DUMMYFUNCTION("""COMPUTED_VALUE"""),0.20878162256469904)</f>
        <v>0.2087816226</v>
      </c>
      <c r="G370" s="5">
        <f>IFERROR(__xludf.DUMMYFUNCTION("""COMPUTED_VALUE"""),0.17039837161965687)</f>
        <v>0.1703983716</v>
      </c>
      <c r="H370" s="5">
        <f>IFERROR(__xludf.DUMMYFUNCTION("""COMPUTED_VALUE"""),0.5738161559888579)</f>
        <v>0.573816156</v>
      </c>
      <c r="I370" s="11">
        <f>IFERROR(__xludf.DUMMYFUNCTION("""COMPUTED_VALUE"""),5525.487465181059)</f>
        <v>5525.487465</v>
      </c>
      <c r="J370" s="10">
        <f>IFERROR(__xludf.DUMMYFUNCTION("""COMPUTED_VALUE"""),0.0)</f>
        <v>0</v>
      </c>
      <c r="K370" s="5">
        <f>IFERROR(__xludf.DUMMYFUNCTION("""COMPUTED_VALUE"""),0.0)</f>
        <v>0</v>
      </c>
      <c r="L370" s="10">
        <f>IFERROR(__xludf.DUMMYFUNCTION("""COMPUTED_VALUE"""),0.0)</f>
        <v>0</v>
      </c>
      <c r="M370" s="5">
        <f>IFERROR(__xludf.DUMMYFUNCTION("""COMPUTED_VALUE"""),0.0)</f>
        <v>0</v>
      </c>
    </row>
    <row r="371">
      <c r="A371" s="10" t="str">
        <f>IFERROR(__xludf.DUMMYFUNCTION("""COMPUTED_VALUE"""),"雀鬼ぬるりん")</f>
        <v>雀鬼ぬるりん</v>
      </c>
      <c r="B371" s="10">
        <f>IFERROR(__xludf.DUMMYFUNCTION("""COMPUTED_VALUE"""),141.0)</f>
        <v>141</v>
      </c>
      <c r="C371" s="10">
        <f>IFERROR(__xludf.DUMMYFUNCTION("""COMPUTED_VALUE"""),1635.0)</f>
        <v>1635</v>
      </c>
      <c r="D371" s="5">
        <f>IFERROR(__xludf.DUMMYFUNCTION("""COMPUTED_VALUE"""),0.3152610441767068)</f>
        <v>0.3152610442</v>
      </c>
      <c r="E371" s="5">
        <f>IFERROR(__xludf.DUMMYFUNCTION("""COMPUTED_VALUE"""),0.15060240963855423)</f>
        <v>0.1506024096</v>
      </c>
      <c r="F371" s="5">
        <f>IFERROR(__xludf.DUMMYFUNCTION("""COMPUTED_VALUE"""),0.1927710843373494)</f>
        <v>0.1927710843</v>
      </c>
      <c r="G371" s="5">
        <f>IFERROR(__xludf.DUMMYFUNCTION("""COMPUTED_VALUE"""),0.17938420348058903)</f>
        <v>0.1793842035</v>
      </c>
      <c r="H371" s="5">
        <f>IFERROR(__xludf.DUMMYFUNCTION("""COMPUTED_VALUE"""),0.6180555555555556)</f>
        <v>0.6180555556</v>
      </c>
      <c r="I371" s="11">
        <f>IFERROR(__xludf.DUMMYFUNCTION("""COMPUTED_VALUE"""),5743.055555555556)</f>
        <v>5743.055556</v>
      </c>
      <c r="J371" s="10">
        <f>IFERROR(__xludf.DUMMYFUNCTION("""COMPUTED_VALUE"""),0.0)</f>
        <v>0</v>
      </c>
      <c r="K371" s="5">
        <f>IFERROR(__xludf.DUMMYFUNCTION("""COMPUTED_VALUE"""),0.0)</f>
        <v>0</v>
      </c>
      <c r="L371" s="10">
        <f>IFERROR(__xludf.DUMMYFUNCTION("""COMPUTED_VALUE"""),141.0)</f>
        <v>141</v>
      </c>
      <c r="M371" s="5">
        <f>IFERROR(__xludf.DUMMYFUNCTION("""COMPUTED_VALUE"""),1.0)</f>
        <v>1</v>
      </c>
    </row>
    <row r="372">
      <c r="A372" s="10" t="str">
        <f>IFERROR(__xludf.DUMMYFUNCTION("""COMPUTED_VALUE"""),"ユンケル")</f>
        <v>ユンケル</v>
      </c>
      <c r="B372" s="10">
        <f>IFERROR(__xludf.DUMMYFUNCTION("""COMPUTED_VALUE"""),559.0)</f>
        <v>559</v>
      </c>
      <c r="C372" s="10">
        <f>IFERROR(__xludf.DUMMYFUNCTION("""COMPUTED_VALUE"""),6416.0)</f>
        <v>6416</v>
      </c>
      <c r="D372" s="5">
        <f>IFERROR(__xludf.DUMMYFUNCTION("""COMPUTED_VALUE"""),0.4130100734164248)</f>
        <v>0.4130100734</v>
      </c>
      <c r="E372" s="5">
        <f>IFERROR(__xludf.DUMMYFUNCTION("""COMPUTED_VALUE"""),0.15058903875704285)</f>
        <v>0.1505890388</v>
      </c>
      <c r="F372" s="5">
        <f>IFERROR(__xludf.DUMMYFUNCTION("""COMPUTED_VALUE"""),0.22024927437254568)</f>
        <v>0.2202492744</v>
      </c>
      <c r="G372" s="5">
        <f>IFERROR(__xludf.DUMMYFUNCTION("""COMPUTED_VALUE"""),0.16322349325593308)</f>
        <v>0.1632234933</v>
      </c>
      <c r="H372" s="5">
        <f>IFERROR(__xludf.DUMMYFUNCTION("""COMPUTED_VALUE"""),0.603875968992248)</f>
        <v>0.603875969</v>
      </c>
      <c r="I372" s="11">
        <f>IFERROR(__xludf.DUMMYFUNCTION("""COMPUTED_VALUE"""),5620.852713178295)</f>
        <v>5620.852713</v>
      </c>
      <c r="J372" s="10">
        <f>IFERROR(__xludf.DUMMYFUNCTION("""COMPUTED_VALUE"""),2.0)</f>
        <v>2</v>
      </c>
      <c r="K372" s="5">
        <f>IFERROR(__xludf.DUMMYFUNCTION("""COMPUTED_VALUE"""),0.0035778175313059034)</f>
        <v>0.003577817531</v>
      </c>
      <c r="L372" s="10">
        <f>IFERROR(__xludf.DUMMYFUNCTION("""COMPUTED_VALUE"""),559.0)</f>
        <v>559</v>
      </c>
      <c r="M372" s="5">
        <f>IFERROR(__xludf.DUMMYFUNCTION("""COMPUTED_VALUE"""),1.0)</f>
        <v>1</v>
      </c>
    </row>
    <row r="373">
      <c r="A373" s="10" t="str">
        <f>IFERROR(__xludf.DUMMYFUNCTION("""COMPUTED_VALUE"""),"超人Ｍ")</f>
        <v>超人Ｍ</v>
      </c>
      <c r="B373" s="10">
        <f>IFERROR(__xludf.DUMMYFUNCTION("""COMPUTED_VALUE"""),2055.0)</f>
        <v>2055</v>
      </c>
      <c r="C373" s="10">
        <f>IFERROR(__xludf.DUMMYFUNCTION("""COMPUTED_VALUE"""),23857.0)</f>
        <v>23857</v>
      </c>
      <c r="D373" s="5">
        <f>IFERROR(__xludf.DUMMYFUNCTION("""COMPUTED_VALUE"""),0.44312448399229426)</f>
        <v>0.443124484</v>
      </c>
      <c r="E373" s="5">
        <f>IFERROR(__xludf.DUMMYFUNCTION("""COMPUTED_VALUE"""),0.1505825153655628)</f>
        <v>0.1505825154</v>
      </c>
      <c r="F373" s="5">
        <f>IFERROR(__xludf.DUMMYFUNCTION("""COMPUTED_VALUE"""),0.23997798367122283)</f>
        <v>0.2399779837</v>
      </c>
      <c r="G373" s="5">
        <f>IFERROR(__xludf.DUMMYFUNCTION("""COMPUTED_VALUE"""),0.18291899825704064)</f>
        <v>0.1829189983</v>
      </c>
      <c r="H373" s="5">
        <f>IFERROR(__xludf.DUMMYFUNCTION("""COMPUTED_VALUE"""),0.6043577981651376)</f>
        <v>0.6043577982</v>
      </c>
      <c r="I373" s="11">
        <f>IFERROR(__xludf.DUMMYFUNCTION("""COMPUTED_VALUE"""),5415.787461773701)</f>
        <v>5415.787462</v>
      </c>
      <c r="J373" s="10">
        <f>IFERROR(__xludf.DUMMYFUNCTION("""COMPUTED_VALUE"""),7.0)</f>
        <v>7</v>
      </c>
      <c r="K373" s="5">
        <f>IFERROR(__xludf.DUMMYFUNCTION("""COMPUTED_VALUE"""),0.0034063260340632603)</f>
        <v>0.003406326034</v>
      </c>
      <c r="L373" s="10">
        <f>IFERROR(__xludf.DUMMYFUNCTION("""COMPUTED_VALUE"""),2055.0)</f>
        <v>2055</v>
      </c>
      <c r="M373" s="5">
        <f>IFERROR(__xludf.DUMMYFUNCTION("""COMPUTED_VALUE"""),1.0)</f>
        <v>1</v>
      </c>
    </row>
    <row r="374">
      <c r="A374" s="10" t="str">
        <f>IFERROR(__xludf.DUMMYFUNCTION("""COMPUTED_VALUE"""),"freeze7")</f>
        <v>freeze7</v>
      </c>
      <c r="B374" s="10">
        <f>IFERROR(__xludf.DUMMYFUNCTION("""COMPUTED_VALUE"""),1132.0)</f>
        <v>1132</v>
      </c>
      <c r="C374" s="10">
        <f>IFERROR(__xludf.DUMMYFUNCTION("""COMPUTED_VALUE"""),13345.0)</f>
        <v>13345</v>
      </c>
      <c r="D374" s="5">
        <f>IFERROR(__xludf.DUMMYFUNCTION("""COMPUTED_VALUE"""),0.37353639564398594)</f>
        <v>0.3735363956</v>
      </c>
      <c r="E374" s="5">
        <f>IFERROR(__xludf.DUMMYFUNCTION("""COMPUTED_VALUE"""),0.15057725374600836)</f>
        <v>0.1505772537</v>
      </c>
      <c r="F374" s="5">
        <f>IFERROR(__xludf.DUMMYFUNCTION("""COMPUTED_VALUE"""),0.21673626463604356)</f>
        <v>0.2167362646</v>
      </c>
      <c r="G374" s="5">
        <f>IFERROR(__xludf.DUMMYFUNCTION("""COMPUTED_VALUE"""),0.1817735200196512)</f>
        <v>0.18177352</v>
      </c>
      <c r="H374" s="5">
        <f>IFERROR(__xludf.DUMMYFUNCTION("""COMPUTED_VALUE"""),0.5961465810351341)</f>
        <v>0.596146581</v>
      </c>
      <c r="I374" s="11">
        <f>IFERROR(__xludf.DUMMYFUNCTION("""COMPUTED_VALUE"""),5645.598791084246)</f>
        <v>5645.598791</v>
      </c>
      <c r="J374" s="10">
        <f>IFERROR(__xludf.DUMMYFUNCTION("""COMPUTED_VALUE"""),0.0)</f>
        <v>0</v>
      </c>
      <c r="K374" s="5">
        <f>IFERROR(__xludf.DUMMYFUNCTION("""COMPUTED_VALUE"""),0.0)</f>
        <v>0</v>
      </c>
      <c r="L374" s="10">
        <f>IFERROR(__xludf.DUMMYFUNCTION("""COMPUTED_VALUE"""),1132.0)</f>
        <v>1132</v>
      </c>
      <c r="M374" s="5">
        <f>IFERROR(__xludf.DUMMYFUNCTION("""COMPUTED_VALUE"""),1.0)</f>
        <v>1</v>
      </c>
    </row>
    <row r="375">
      <c r="A375" s="10" t="str">
        <f>IFERROR(__xludf.DUMMYFUNCTION("""COMPUTED_VALUE"""),"うたひめ")</f>
        <v>うたひめ</v>
      </c>
      <c r="B375" s="10">
        <f>IFERROR(__xludf.DUMMYFUNCTION("""COMPUTED_VALUE"""),203.0)</f>
        <v>203</v>
      </c>
      <c r="C375" s="10">
        <f>IFERROR(__xludf.DUMMYFUNCTION("""COMPUTED_VALUE"""),2375.0)</f>
        <v>2375</v>
      </c>
      <c r="D375" s="5">
        <f>IFERROR(__xludf.DUMMYFUNCTION("""COMPUTED_VALUE"""),0.3885819521178637)</f>
        <v>0.3885819521</v>
      </c>
      <c r="E375" s="5">
        <f>IFERROR(__xludf.DUMMYFUNCTION("""COMPUTED_VALUE"""),0.1505524861878453)</f>
        <v>0.1505524862</v>
      </c>
      <c r="F375" s="5">
        <f>IFERROR(__xludf.DUMMYFUNCTION("""COMPUTED_VALUE"""),0.19797421731123388)</f>
        <v>0.1979742173</v>
      </c>
      <c r="G375" s="5">
        <f>IFERROR(__xludf.DUMMYFUNCTION("""COMPUTED_VALUE"""),0.16022099447513813)</f>
        <v>0.1602209945</v>
      </c>
      <c r="H375" s="5">
        <f>IFERROR(__xludf.DUMMYFUNCTION("""COMPUTED_VALUE"""),0.5813953488372093)</f>
        <v>0.5813953488</v>
      </c>
      <c r="I375" s="11">
        <f>IFERROR(__xludf.DUMMYFUNCTION("""COMPUTED_VALUE"""),5512.325581395349)</f>
        <v>5512.325581</v>
      </c>
      <c r="J375" s="10">
        <f>IFERROR(__xludf.DUMMYFUNCTION("""COMPUTED_VALUE"""),0.0)</f>
        <v>0</v>
      </c>
      <c r="K375" s="5">
        <f>IFERROR(__xludf.DUMMYFUNCTION("""COMPUTED_VALUE"""),0.0)</f>
        <v>0</v>
      </c>
      <c r="L375" s="10">
        <f>IFERROR(__xludf.DUMMYFUNCTION("""COMPUTED_VALUE"""),203.0)</f>
        <v>203</v>
      </c>
      <c r="M375" s="5">
        <f>IFERROR(__xludf.DUMMYFUNCTION("""COMPUTED_VALUE"""),1.0)</f>
        <v>1</v>
      </c>
    </row>
    <row r="376">
      <c r="A376" s="10" t="str">
        <f>IFERROR(__xludf.DUMMYFUNCTION("""COMPUTED_VALUE"""),"リマインドミー")</f>
        <v>リマインドミー</v>
      </c>
      <c r="B376" s="10">
        <f>IFERROR(__xludf.DUMMYFUNCTION("""COMPUTED_VALUE"""),123.0)</f>
        <v>123</v>
      </c>
      <c r="C376" s="10">
        <f>IFERROR(__xludf.DUMMYFUNCTION("""COMPUTED_VALUE"""),1425.0)</f>
        <v>1425</v>
      </c>
      <c r="D376" s="5">
        <f>IFERROR(__xludf.DUMMYFUNCTION("""COMPUTED_VALUE"""),0.2434715821812596)</f>
        <v>0.2434715822</v>
      </c>
      <c r="E376" s="5">
        <f>IFERROR(__xludf.DUMMYFUNCTION("""COMPUTED_VALUE"""),0.15053763440860216)</f>
        <v>0.1505376344</v>
      </c>
      <c r="F376" s="5">
        <f>IFERROR(__xludf.DUMMYFUNCTION("""COMPUTED_VALUE"""),0.21812596006144394)</f>
        <v>0.2181259601</v>
      </c>
      <c r="G376" s="5">
        <f>IFERROR(__xludf.DUMMYFUNCTION("""COMPUTED_VALUE"""),0.16282642089093702)</f>
        <v>0.1628264209</v>
      </c>
      <c r="H376" s="5">
        <f>IFERROR(__xludf.DUMMYFUNCTION("""COMPUTED_VALUE"""),0.6408450704225352)</f>
        <v>0.6408450704</v>
      </c>
      <c r="I376" s="11">
        <f>IFERROR(__xludf.DUMMYFUNCTION("""COMPUTED_VALUE"""),5426.408450704225)</f>
        <v>5426.408451</v>
      </c>
      <c r="J376" s="10">
        <f>IFERROR(__xludf.DUMMYFUNCTION("""COMPUTED_VALUE"""),0.0)</f>
        <v>0</v>
      </c>
      <c r="K376" s="5">
        <f>IFERROR(__xludf.DUMMYFUNCTION("""COMPUTED_VALUE"""),0.0)</f>
        <v>0</v>
      </c>
      <c r="L376" s="10">
        <f>IFERROR(__xludf.DUMMYFUNCTION("""COMPUTED_VALUE"""),123.0)</f>
        <v>123</v>
      </c>
      <c r="M376" s="5">
        <f>IFERROR(__xludf.DUMMYFUNCTION("""COMPUTED_VALUE"""),1.0)</f>
        <v>1</v>
      </c>
    </row>
    <row r="377">
      <c r="A377" s="10" t="str">
        <f>IFERROR(__xludf.DUMMYFUNCTION("""COMPUTED_VALUE"""),"アヤセ")</f>
        <v>アヤセ</v>
      </c>
      <c r="B377" s="10">
        <f>IFERROR(__xludf.DUMMYFUNCTION("""COMPUTED_VALUE"""),724.0)</f>
        <v>724</v>
      </c>
      <c r="C377" s="10">
        <f>IFERROR(__xludf.DUMMYFUNCTION("""COMPUTED_VALUE"""),8463.0)</f>
        <v>8463</v>
      </c>
      <c r="D377" s="5">
        <f>IFERROR(__xludf.DUMMYFUNCTION("""COMPUTED_VALUE"""),0.36400051686264373)</f>
        <v>0.3640005169</v>
      </c>
      <c r="E377" s="5">
        <f>IFERROR(__xludf.DUMMYFUNCTION("""COMPUTED_VALUE"""),0.15053624499289314)</f>
        <v>0.150536245</v>
      </c>
      <c r="F377" s="5">
        <f>IFERROR(__xludf.DUMMYFUNCTION("""COMPUTED_VALUE"""),0.22496446569324202)</f>
        <v>0.2249644657</v>
      </c>
      <c r="G377" s="5">
        <f>IFERROR(__xludf.DUMMYFUNCTION("""COMPUTED_VALUE"""),0.2022225093681354)</f>
        <v>0.2022225094</v>
      </c>
      <c r="H377" s="5">
        <f>IFERROR(__xludf.DUMMYFUNCTION("""COMPUTED_VALUE"""),0.5789775990809879)</f>
        <v>0.5789775991</v>
      </c>
      <c r="I377" s="11">
        <f>IFERROR(__xludf.DUMMYFUNCTION("""COMPUTED_VALUE"""),5989.546237794371)</f>
        <v>5989.546238</v>
      </c>
      <c r="J377" s="10">
        <f>IFERROR(__xludf.DUMMYFUNCTION("""COMPUTED_VALUE"""),1.0)</f>
        <v>1</v>
      </c>
      <c r="K377" s="5">
        <f>IFERROR(__xludf.DUMMYFUNCTION("""COMPUTED_VALUE"""),0.0013812154696132596)</f>
        <v>0.00138121547</v>
      </c>
      <c r="L377" s="10">
        <f>IFERROR(__xludf.DUMMYFUNCTION("""COMPUTED_VALUE"""),724.0)</f>
        <v>724</v>
      </c>
      <c r="M377" s="5">
        <f>IFERROR(__xludf.DUMMYFUNCTION("""COMPUTED_VALUE"""),1.0)</f>
        <v>1</v>
      </c>
    </row>
    <row r="378">
      <c r="A378" s="10" t="str">
        <f>IFERROR(__xludf.DUMMYFUNCTION("""COMPUTED_VALUE"""),"agunes")</f>
        <v>agunes</v>
      </c>
      <c r="B378" s="10">
        <f>IFERROR(__xludf.DUMMYFUNCTION("""COMPUTED_VALUE"""),296.0)</f>
        <v>296</v>
      </c>
      <c r="C378" s="10">
        <f>IFERROR(__xludf.DUMMYFUNCTION("""COMPUTED_VALUE"""),3425.0)</f>
        <v>3425</v>
      </c>
      <c r="D378" s="5">
        <f>IFERROR(__xludf.DUMMYFUNCTION("""COMPUTED_VALUE"""),0.32534356024288913)</f>
        <v>0.3253435602</v>
      </c>
      <c r="E378" s="5">
        <f>IFERROR(__xludf.DUMMYFUNCTION("""COMPUTED_VALUE"""),0.15052732502396932)</f>
        <v>0.150527325</v>
      </c>
      <c r="F378" s="5">
        <f>IFERROR(__xludf.DUMMYFUNCTION("""COMPUTED_VALUE"""),0.20262064557366571)</f>
        <v>0.2026206456</v>
      </c>
      <c r="G378" s="5">
        <f>IFERROR(__xludf.DUMMYFUNCTION("""COMPUTED_VALUE"""),0.14605305209332056)</f>
        <v>0.1460530521</v>
      </c>
      <c r="H378" s="5">
        <f>IFERROR(__xludf.DUMMYFUNCTION("""COMPUTED_VALUE"""),0.6198738170347003)</f>
        <v>0.619873817</v>
      </c>
      <c r="I378" s="11">
        <f>IFERROR(__xludf.DUMMYFUNCTION("""COMPUTED_VALUE"""),5568.13880126183)</f>
        <v>5568.138801</v>
      </c>
      <c r="J378" s="10">
        <f>IFERROR(__xludf.DUMMYFUNCTION("""COMPUTED_VALUE"""),0.0)</f>
        <v>0</v>
      </c>
      <c r="K378" s="5">
        <f>IFERROR(__xludf.DUMMYFUNCTION("""COMPUTED_VALUE"""),0.0)</f>
        <v>0</v>
      </c>
      <c r="L378" s="10">
        <f>IFERROR(__xludf.DUMMYFUNCTION("""COMPUTED_VALUE"""),0.0)</f>
        <v>0</v>
      </c>
      <c r="M378" s="5">
        <f>IFERROR(__xludf.DUMMYFUNCTION("""COMPUTED_VALUE"""),0.0)</f>
        <v>0</v>
      </c>
    </row>
    <row r="379">
      <c r="A379" s="10" t="str">
        <f>IFERROR(__xludf.DUMMYFUNCTION("""COMPUTED_VALUE"""),"超鶴亀仙人")</f>
        <v>超鶴亀仙人</v>
      </c>
      <c r="B379" s="10">
        <f>IFERROR(__xludf.DUMMYFUNCTION("""COMPUTED_VALUE"""),260.0)</f>
        <v>260</v>
      </c>
      <c r="C379" s="10">
        <f>IFERROR(__xludf.DUMMYFUNCTION("""COMPUTED_VALUE"""),2971.0)</f>
        <v>2971</v>
      </c>
      <c r="D379" s="5">
        <f>IFERROR(__xludf.DUMMYFUNCTION("""COMPUTED_VALUE"""),0.36407229804500185)</f>
        <v>0.364072298</v>
      </c>
      <c r="E379" s="5">
        <f>IFERROR(__xludf.DUMMYFUNCTION("""COMPUTED_VALUE"""),0.15049797122832903)</f>
        <v>0.1504979712</v>
      </c>
      <c r="F379" s="5">
        <f>IFERROR(__xludf.DUMMYFUNCTION("""COMPUTED_VALUE"""),0.22095167834747326)</f>
        <v>0.2209516783</v>
      </c>
      <c r="G379" s="5">
        <f>IFERROR(__xludf.DUMMYFUNCTION("""COMPUTED_VALUE"""),0.18922906676503135)</f>
        <v>0.1892290668</v>
      </c>
      <c r="H379" s="5">
        <f>IFERROR(__xludf.DUMMYFUNCTION("""COMPUTED_VALUE"""),0.5809682804674458)</f>
        <v>0.5809682805</v>
      </c>
      <c r="I379" s="11">
        <f>IFERROR(__xludf.DUMMYFUNCTION("""COMPUTED_VALUE"""),5222.871452420701)</f>
        <v>5222.871452</v>
      </c>
      <c r="J379" s="10">
        <f>IFERROR(__xludf.DUMMYFUNCTION("""COMPUTED_VALUE"""),0.0)</f>
        <v>0</v>
      </c>
      <c r="K379" s="5">
        <f>IFERROR(__xludf.DUMMYFUNCTION("""COMPUTED_VALUE"""),0.0)</f>
        <v>0</v>
      </c>
      <c r="L379" s="10">
        <f>IFERROR(__xludf.DUMMYFUNCTION("""COMPUTED_VALUE"""),260.0)</f>
        <v>260</v>
      </c>
      <c r="M379" s="5">
        <f>IFERROR(__xludf.DUMMYFUNCTION("""COMPUTED_VALUE"""),1.0)</f>
        <v>1</v>
      </c>
    </row>
    <row r="380">
      <c r="A380" s="10" t="str">
        <f>IFERROR(__xludf.DUMMYFUNCTION("""COMPUTED_VALUE"""),"ガハラさんの妹")</f>
        <v>ガハラさんの妹</v>
      </c>
      <c r="B380" s="10">
        <f>IFERROR(__xludf.DUMMYFUNCTION("""COMPUTED_VALUE"""),229.0)</f>
        <v>229</v>
      </c>
      <c r="C380" s="10">
        <f>IFERROR(__xludf.DUMMYFUNCTION("""COMPUTED_VALUE"""),2721.0)</f>
        <v>2721</v>
      </c>
      <c r="D380" s="5">
        <f>IFERROR(__xludf.DUMMYFUNCTION("""COMPUTED_VALUE"""),0.42014446227929375)</f>
        <v>0.4201444623</v>
      </c>
      <c r="E380" s="5">
        <f>IFERROR(__xludf.DUMMYFUNCTION("""COMPUTED_VALUE"""),0.15048154093097912)</f>
        <v>0.1504815409</v>
      </c>
      <c r="F380" s="5">
        <f>IFERROR(__xludf.DUMMYFUNCTION("""COMPUTED_VALUE"""),0.22150882825040127)</f>
        <v>0.2215088283</v>
      </c>
      <c r="G380" s="5">
        <f>IFERROR(__xludf.DUMMYFUNCTION("""COMPUTED_VALUE"""),0.15569823434991975)</f>
        <v>0.1556982343</v>
      </c>
      <c r="H380" s="5">
        <f>IFERROR(__xludf.DUMMYFUNCTION("""COMPUTED_VALUE"""),0.6141304347826086)</f>
        <v>0.6141304348</v>
      </c>
      <c r="I380" s="11">
        <f>IFERROR(__xludf.DUMMYFUNCTION("""COMPUTED_VALUE"""),5611.775362318841)</f>
        <v>5611.775362</v>
      </c>
      <c r="J380" s="10">
        <f>IFERROR(__xludf.DUMMYFUNCTION("""COMPUTED_VALUE"""),2.0)</f>
        <v>2</v>
      </c>
      <c r="K380" s="5">
        <f>IFERROR(__xludf.DUMMYFUNCTION("""COMPUTED_VALUE"""),0.008733624454148471)</f>
        <v>0.008733624454</v>
      </c>
      <c r="L380" s="10">
        <f>IFERROR(__xludf.DUMMYFUNCTION("""COMPUTED_VALUE"""),0.0)</f>
        <v>0</v>
      </c>
      <c r="M380" s="5">
        <f>IFERROR(__xludf.DUMMYFUNCTION("""COMPUTED_VALUE"""),0.0)</f>
        <v>0</v>
      </c>
    </row>
    <row r="381">
      <c r="A381" s="10" t="str">
        <f>IFERROR(__xludf.DUMMYFUNCTION("""COMPUTED_VALUE"""),"オカデジ雀士")</f>
        <v>オカデジ雀士</v>
      </c>
      <c r="B381" s="10">
        <f>IFERROR(__xludf.DUMMYFUNCTION("""COMPUTED_VALUE"""),233.0)</f>
        <v>233</v>
      </c>
      <c r="C381" s="10">
        <f>IFERROR(__xludf.DUMMYFUNCTION("""COMPUTED_VALUE"""),2765.0)</f>
        <v>2765</v>
      </c>
      <c r="D381" s="5">
        <f>IFERROR(__xludf.DUMMYFUNCTION("""COMPUTED_VALUE"""),0.3412322274881517)</f>
        <v>0.3412322275</v>
      </c>
      <c r="E381" s="5">
        <f>IFERROR(__xludf.DUMMYFUNCTION("""COMPUTED_VALUE"""),0.1504739336492891)</f>
        <v>0.1504739336</v>
      </c>
      <c r="F381" s="5">
        <f>IFERROR(__xludf.DUMMYFUNCTION("""COMPUTED_VALUE"""),0.20576619273301738)</f>
        <v>0.2057661927</v>
      </c>
      <c r="G381" s="5">
        <f>IFERROR(__xludf.DUMMYFUNCTION("""COMPUTED_VALUE"""),0.2033965244865719)</f>
        <v>0.2033965245</v>
      </c>
      <c r="H381" s="5">
        <f>IFERROR(__xludf.DUMMYFUNCTION("""COMPUTED_VALUE"""),0.6142034548944337)</f>
        <v>0.6142034549</v>
      </c>
      <c r="I381" s="11">
        <f>IFERROR(__xludf.DUMMYFUNCTION("""COMPUTED_VALUE"""),5589.059500959693)</f>
        <v>5589.059501</v>
      </c>
      <c r="J381" s="10">
        <f>IFERROR(__xludf.DUMMYFUNCTION("""COMPUTED_VALUE"""),0.0)</f>
        <v>0</v>
      </c>
      <c r="K381" s="5">
        <f>IFERROR(__xludf.DUMMYFUNCTION("""COMPUTED_VALUE"""),0.0)</f>
        <v>0</v>
      </c>
      <c r="L381" s="10">
        <f>IFERROR(__xludf.DUMMYFUNCTION("""COMPUTED_VALUE"""),233.0)</f>
        <v>233</v>
      </c>
      <c r="M381" s="5">
        <f>IFERROR(__xludf.DUMMYFUNCTION("""COMPUTED_VALUE"""),1.0)</f>
        <v>1</v>
      </c>
    </row>
    <row r="382">
      <c r="A382" s="10" t="str">
        <f>IFERROR(__xludf.DUMMYFUNCTION("""COMPUTED_VALUE"""),"中本さん")</f>
        <v>中本さん</v>
      </c>
      <c r="B382" s="10">
        <f>IFERROR(__xludf.DUMMYFUNCTION("""COMPUTED_VALUE"""),189.0)</f>
        <v>189</v>
      </c>
      <c r="C382" s="10">
        <f>IFERROR(__xludf.DUMMYFUNCTION("""COMPUTED_VALUE"""),2183.0)</f>
        <v>2183</v>
      </c>
      <c r="D382" s="5">
        <f>IFERROR(__xludf.DUMMYFUNCTION("""COMPUTED_VALUE"""),0.4147442326980943)</f>
        <v>0.4147442327</v>
      </c>
      <c r="E382" s="5">
        <f>IFERROR(__xludf.DUMMYFUNCTION("""COMPUTED_VALUE"""),0.15045135406218657)</f>
        <v>0.1504513541</v>
      </c>
      <c r="F382" s="5">
        <f>IFERROR(__xludf.DUMMYFUNCTION("""COMPUTED_VALUE"""),0.2176529588766299)</f>
        <v>0.2176529589</v>
      </c>
      <c r="G382" s="5">
        <f>IFERROR(__xludf.DUMMYFUNCTION("""COMPUTED_VALUE"""),0.1815446339017051)</f>
        <v>0.1815446339</v>
      </c>
      <c r="H382" s="5">
        <f>IFERROR(__xludf.DUMMYFUNCTION("""COMPUTED_VALUE"""),0.652073732718894)</f>
        <v>0.6520737327</v>
      </c>
      <c r="I382" s="11">
        <f>IFERROR(__xludf.DUMMYFUNCTION("""COMPUTED_VALUE"""),5226.497695852535)</f>
        <v>5226.497696</v>
      </c>
      <c r="J382" s="10">
        <f>IFERROR(__xludf.DUMMYFUNCTION("""COMPUTED_VALUE"""),1.0)</f>
        <v>1</v>
      </c>
      <c r="K382" s="5">
        <f>IFERROR(__xludf.DUMMYFUNCTION("""COMPUTED_VALUE"""),0.005291005291005291)</f>
        <v>0.005291005291</v>
      </c>
      <c r="L382" s="10">
        <f>IFERROR(__xludf.DUMMYFUNCTION("""COMPUTED_VALUE"""),0.0)</f>
        <v>0</v>
      </c>
      <c r="M382" s="5">
        <f>IFERROR(__xludf.DUMMYFUNCTION("""COMPUTED_VALUE"""),0.0)</f>
        <v>0</v>
      </c>
    </row>
    <row r="383">
      <c r="A383" s="10" t="str">
        <f>IFERROR(__xludf.DUMMYFUNCTION("""COMPUTED_VALUE"""),"hatasan")</f>
        <v>hatasan</v>
      </c>
      <c r="B383" s="10">
        <f>IFERROR(__xludf.DUMMYFUNCTION("""COMPUTED_VALUE"""),414.0)</f>
        <v>414</v>
      </c>
      <c r="C383" s="10">
        <f>IFERROR(__xludf.DUMMYFUNCTION("""COMPUTED_VALUE"""),4775.0)</f>
        <v>4775</v>
      </c>
      <c r="D383" s="5">
        <f>IFERROR(__xludf.DUMMYFUNCTION("""COMPUTED_VALUE"""),0.37835358862646185)</f>
        <v>0.3783535886</v>
      </c>
      <c r="E383" s="5">
        <f>IFERROR(__xludf.DUMMYFUNCTION("""COMPUTED_VALUE"""),0.1504242146296721)</f>
        <v>0.1504242146</v>
      </c>
      <c r="F383" s="5">
        <f>IFERROR(__xludf.DUMMYFUNCTION("""COMPUTED_VALUE"""),0.21256592524650308)</f>
        <v>0.2125659252</v>
      </c>
      <c r="G383" s="5">
        <f>IFERROR(__xludf.DUMMYFUNCTION("""COMPUTED_VALUE"""),0.19949552854849806)</f>
        <v>0.1994955285</v>
      </c>
      <c r="H383" s="5">
        <f>IFERROR(__xludf.DUMMYFUNCTION("""COMPUTED_VALUE"""),0.5717367853290184)</f>
        <v>0.5717367853</v>
      </c>
      <c r="I383" s="11">
        <f>IFERROR(__xludf.DUMMYFUNCTION("""COMPUTED_VALUE"""),6076.699029126214)</f>
        <v>6076.699029</v>
      </c>
      <c r="J383" s="10">
        <f>IFERROR(__xludf.DUMMYFUNCTION("""COMPUTED_VALUE"""),2.0)</f>
        <v>2</v>
      </c>
      <c r="K383" s="5">
        <f>IFERROR(__xludf.DUMMYFUNCTION("""COMPUTED_VALUE"""),0.004830917874396135)</f>
        <v>0.004830917874</v>
      </c>
      <c r="L383" s="10">
        <f>IFERROR(__xludf.DUMMYFUNCTION("""COMPUTED_VALUE"""),414.0)</f>
        <v>414</v>
      </c>
      <c r="M383" s="5">
        <f>IFERROR(__xludf.DUMMYFUNCTION("""COMPUTED_VALUE"""),1.0)</f>
        <v>1</v>
      </c>
    </row>
    <row r="384">
      <c r="A384" s="10" t="str">
        <f>IFERROR(__xludf.DUMMYFUNCTION("""COMPUTED_VALUE"""),"（cross）")</f>
        <v>（cross）</v>
      </c>
      <c r="B384" s="10">
        <f>IFERROR(__xludf.DUMMYFUNCTION("""COMPUTED_VALUE"""),245.0)</f>
        <v>245</v>
      </c>
      <c r="C384" s="10">
        <f>IFERROR(__xludf.DUMMYFUNCTION("""COMPUTED_VALUE"""),2891.0)</f>
        <v>2891</v>
      </c>
      <c r="D384" s="5">
        <f>IFERROR(__xludf.DUMMYFUNCTION("""COMPUTED_VALUE"""),0.31859410430839)</f>
        <v>0.3185941043</v>
      </c>
      <c r="E384" s="5">
        <f>IFERROR(__xludf.DUMMYFUNCTION("""COMPUTED_VALUE"""),0.15041572184429328)</f>
        <v>0.1504157218</v>
      </c>
      <c r="F384" s="5">
        <f>IFERROR(__xludf.DUMMYFUNCTION("""COMPUTED_VALUE"""),0.21012849584278157)</f>
        <v>0.2101284958</v>
      </c>
      <c r="G384" s="5">
        <f>IFERROR(__xludf.DUMMYFUNCTION("""COMPUTED_VALUE"""),0.16137566137566137)</f>
        <v>0.1613756614</v>
      </c>
      <c r="H384" s="5">
        <f>IFERROR(__xludf.DUMMYFUNCTION("""COMPUTED_VALUE"""),0.5845323741007195)</f>
        <v>0.5845323741</v>
      </c>
      <c r="I384" s="11">
        <f>IFERROR(__xludf.DUMMYFUNCTION("""COMPUTED_VALUE"""),5420.503597122302)</f>
        <v>5420.503597</v>
      </c>
      <c r="J384" s="10">
        <f>IFERROR(__xludf.DUMMYFUNCTION("""COMPUTED_VALUE"""),0.0)</f>
        <v>0</v>
      </c>
      <c r="K384" s="5">
        <f>IFERROR(__xludf.DUMMYFUNCTION("""COMPUTED_VALUE"""),0.0)</f>
        <v>0</v>
      </c>
      <c r="L384" s="10">
        <f>IFERROR(__xludf.DUMMYFUNCTION("""COMPUTED_VALUE"""),245.0)</f>
        <v>245</v>
      </c>
      <c r="M384" s="5">
        <f>IFERROR(__xludf.DUMMYFUNCTION("""COMPUTED_VALUE"""),1.0)</f>
        <v>1</v>
      </c>
    </row>
    <row r="385">
      <c r="A385" s="10" t="str">
        <f>IFERROR(__xludf.DUMMYFUNCTION("""COMPUTED_VALUE"""),"まるせろ_12")</f>
        <v>まるせろ_12</v>
      </c>
      <c r="B385" s="10">
        <f>IFERROR(__xludf.DUMMYFUNCTION("""COMPUTED_VALUE"""),189.0)</f>
        <v>189</v>
      </c>
      <c r="C385" s="10">
        <f>IFERROR(__xludf.DUMMYFUNCTION("""COMPUTED_VALUE"""),2250.0)</f>
        <v>2250</v>
      </c>
      <c r="D385" s="5">
        <f>IFERROR(__xludf.DUMMYFUNCTION("""COMPUTED_VALUE"""),0.4114507520621058)</f>
        <v>0.4114507521</v>
      </c>
      <c r="E385" s="5">
        <f>IFERROR(__xludf.DUMMYFUNCTION("""COMPUTED_VALUE"""),0.15041242115477924)</f>
        <v>0.1504124212</v>
      </c>
      <c r="F385" s="5">
        <f>IFERROR(__xludf.DUMMYFUNCTION("""COMPUTED_VALUE"""),0.20912178554099953)</f>
        <v>0.2091217855</v>
      </c>
      <c r="G385" s="5">
        <f>IFERROR(__xludf.DUMMYFUNCTION("""COMPUTED_VALUE"""),0.16302765647743814)</f>
        <v>0.1630276565</v>
      </c>
      <c r="H385" s="5">
        <f>IFERROR(__xludf.DUMMYFUNCTION("""COMPUTED_VALUE"""),0.5707656612529002)</f>
        <v>0.5707656613</v>
      </c>
      <c r="I385" s="11">
        <f>IFERROR(__xludf.DUMMYFUNCTION("""COMPUTED_VALUE"""),5494.663573085847)</f>
        <v>5494.663573</v>
      </c>
      <c r="J385" s="10">
        <f>IFERROR(__xludf.DUMMYFUNCTION("""COMPUTED_VALUE"""),0.0)</f>
        <v>0</v>
      </c>
      <c r="K385" s="5">
        <f>IFERROR(__xludf.DUMMYFUNCTION("""COMPUTED_VALUE"""),0.0)</f>
        <v>0</v>
      </c>
      <c r="L385" s="10">
        <f>IFERROR(__xludf.DUMMYFUNCTION("""COMPUTED_VALUE"""),189.0)</f>
        <v>189</v>
      </c>
      <c r="M385" s="5">
        <f>IFERROR(__xludf.DUMMYFUNCTION("""COMPUTED_VALUE"""),1.0)</f>
        <v>1</v>
      </c>
    </row>
    <row r="386">
      <c r="A386" s="10" t="str">
        <f>IFERROR(__xludf.DUMMYFUNCTION("""COMPUTED_VALUE"""),"kitaeria")</f>
        <v>kitaeria</v>
      </c>
      <c r="B386" s="10">
        <f>IFERROR(__xludf.DUMMYFUNCTION("""COMPUTED_VALUE"""),272.0)</f>
        <v>272</v>
      </c>
      <c r="C386" s="10">
        <f>IFERROR(__xludf.DUMMYFUNCTION("""COMPUTED_VALUE"""),3138.0)</f>
        <v>3138</v>
      </c>
      <c r="D386" s="5">
        <f>IFERROR(__xludf.DUMMYFUNCTION("""COMPUTED_VALUE"""),0.4019539427773901)</f>
        <v>0.4019539428</v>
      </c>
      <c r="E386" s="5">
        <f>IFERROR(__xludf.DUMMYFUNCTION("""COMPUTED_VALUE"""),0.1503838101884159)</f>
        <v>0.1503838102</v>
      </c>
      <c r="F386" s="5">
        <f>IFERROR(__xludf.DUMMYFUNCTION("""COMPUTED_VALUE"""),0.21284019539427773)</f>
        <v>0.2128401954</v>
      </c>
      <c r="G386" s="5">
        <f>IFERROR(__xludf.DUMMYFUNCTION("""COMPUTED_VALUE"""),0.15003489183531055)</f>
        <v>0.1500348918</v>
      </c>
      <c r="H386" s="5">
        <f>IFERROR(__xludf.DUMMYFUNCTION("""COMPUTED_VALUE"""),0.6245901639344262)</f>
        <v>0.6245901639</v>
      </c>
      <c r="I386" s="11">
        <f>IFERROR(__xludf.DUMMYFUNCTION("""COMPUTED_VALUE"""),5750.327868852459)</f>
        <v>5750.327869</v>
      </c>
      <c r="J386" s="10">
        <f>IFERROR(__xludf.DUMMYFUNCTION("""COMPUTED_VALUE"""),2.0)</f>
        <v>2</v>
      </c>
      <c r="K386" s="5">
        <f>IFERROR(__xludf.DUMMYFUNCTION("""COMPUTED_VALUE"""),0.007352941176470588)</f>
        <v>0.007352941176</v>
      </c>
      <c r="L386" s="10">
        <f>IFERROR(__xludf.DUMMYFUNCTION("""COMPUTED_VALUE"""),272.0)</f>
        <v>272</v>
      </c>
      <c r="M386" s="5">
        <f>IFERROR(__xludf.DUMMYFUNCTION("""COMPUTED_VALUE"""),1.0)</f>
        <v>1</v>
      </c>
    </row>
    <row r="387">
      <c r="A387" s="10" t="str">
        <f>IFERROR(__xludf.DUMMYFUNCTION("""COMPUTED_VALUE"""),"エセデジタル２号")</f>
        <v>エセデジタル２号</v>
      </c>
      <c r="B387" s="10">
        <f>IFERROR(__xludf.DUMMYFUNCTION("""COMPUTED_VALUE"""),597.0)</f>
        <v>597</v>
      </c>
      <c r="C387" s="10">
        <f>IFERROR(__xludf.DUMMYFUNCTION("""COMPUTED_VALUE"""),6942.0)</f>
        <v>6942</v>
      </c>
      <c r="D387" s="5">
        <f>IFERROR(__xludf.DUMMYFUNCTION("""COMPUTED_VALUE"""),0.3207249802994484)</f>
        <v>0.3207249803</v>
      </c>
      <c r="E387" s="5">
        <f>IFERROR(__xludf.DUMMYFUNCTION("""COMPUTED_VALUE"""),0.150354609929078)</f>
        <v>0.1503546099</v>
      </c>
      <c r="F387" s="5">
        <f>IFERROR(__xludf.DUMMYFUNCTION("""COMPUTED_VALUE"""),0.2170212765957447)</f>
        <v>0.2170212766</v>
      </c>
      <c r="G387" s="5">
        <f>IFERROR(__xludf.DUMMYFUNCTION("""COMPUTED_VALUE"""),0.21134751773049645)</f>
        <v>0.2113475177</v>
      </c>
      <c r="H387" s="5">
        <f>IFERROR(__xludf.DUMMYFUNCTION("""COMPUTED_VALUE"""),0.588961510530138)</f>
        <v>0.5889615105</v>
      </c>
      <c r="I387" s="11">
        <f>IFERROR(__xludf.DUMMYFUNCTION("""COMPUTED_VALUE"""),5605.954974582425)</f>
        <v>5605.954975</v>
      </c>
      <c r="J387" s="10">
        <f>IFERROR(__xludf.DUMMYFUNCTION("""COMPUTED_VALUE"""),1.0)</f>
        <v>1</v>
      </c>
      <c r="K387" s="5">
        <f>IFERROR(__xludf.DUMMYFUNCTION("""COMPUTED_VALUE"""),0.0016750418760469012)</f>
        <v>0.001675041876</v>
      </c>
      <c r="L387" s="10">
        <f>IFERROR(__xludf.DUMMYFUNCTION("""COMPUTED_VALUE"""),597.0)</f>
        <v>597</v>
      </c>
      <c r="M387" s="5">
        <f>IFERROR(__xludf.DUMMYFUNCTION("""COMPUTED_VALUE"""),1.0)</f>
        <v>1</v>
      </c>
    </row>
    <row r="388">
      <c r="A388" s="10" t="str">
        <f>IFERROR(__xludf.DUMMYFUNCTION("""COMPUTED_VALUE"""),"おかもろん")</f>
        <v>おかもろん</v>
      </c>
      <c r="B388" s="10">
        <f>IFERROR(__xludf.DUMMYFUNCTION("""COMPUTED_VALUE"""),159.0)</f>
        <v>159</v>
      </c>
      <c r="C388" s="10">
        <f>IFERROR(__xludf.DUMMYFUNCTION("""COMPUTED_VALUE"""),1855.0)</f>
        <v>1855</v>
      </c>
      <c r="D388" s="5">
        <f>IFERROR(__xludf.DUMMYFUNCTION("""COMPUTED_VALUE"""),0.35672169811320753)</f>
        <v>0.3567216981</v>
      </c>
      <c r="E388" s="5">
        <f>IFERROR(__xludf.DUMMYFUNCTION("""COMPUTED_VALUE"""),0.15035377358490565)</f>
        <v>0.1503537736</v>
      </c>
      <c r="F388" s="5">
        <f>IFERROR(__xludf.DUMMYFUNCTION("""COMPUTED_VALUE"""),0.2016509433962264)</f>
        <v>0.2016509434</v>
      </c>
      <c r="G388" s="5">
        <f>IFERROR(__xludf.DUMMYFUNCTION("""COMPUTED_VALUE"""),0.1821933962264151)</f>
        <v>0.1821933962</v>
      </c>
      <c r="H388" s="5">
        <f>IFERROR(__xludf.DUMMYFUNCTION("""COMPUTED_VALUE"""),0.6111111111111112)</f>
        <v>0.6111111111</v>
      </c>
      <c r="I388" s="11">
        <f>IFERROR(__xludf.DUMMYFUNCTION("""COMPUTED_VALUE"""),5883.625730994152)</f>
        <v>5883.625731</v>
      </c>
      <c r="J388" s="10">
        <f>IFERROR(__xludf.DUMMYFUNCTION("""COMPUTED_VALUE"""),0.0)</f>
        <v>0</v>
      </c>
      <c r="K388" s="5">
        <f>IFERROR(__xludf.DUMMYFUNCTION("""COMPUTED_VALUE"""),0.0)</f>
        <v>0</v>
      </c>
      <c r="L388" s="10">
        <f>IFERROR(__xludf.DUMMYFUNCTION("""COMPUTED_VALUE"""),0.0)</f>
        <v>0</v>
      </c>
      <c r="M388" s="5">
        <f>IFERROR(__xludf.DUMMYFUNCTION("""COMPUTED_VALUE"""),0.0)</f>
        <v>0</v>
      </c>
    </row>
    <row r="389">
      <c r="A389" s="10" t="str">
        <f>IFERROR(__xludf.DUMMYFUNCTION("""COMPUTED_VALUE"""),"みーる")</f>
        <v>みーる</v>
      </c>
      <c r="B389" s="10">
        <f>IFERROR(__xludf.DUMMYFUNCTION("""COMPUTED_VALUE"""),1784.0)</f>
        <v>1784</v>
      </c>
      <c r="C389" s="10">
        <f>IFERROR(__xludf.DUMMYFUNCTION("""COMPUTED_VALUE"""),20693.0)</f>
        <v>20693</v>
      </c>
      <c r="D389" s="5">
        <f>IFERROR(__xludf.DUMMYFUNCTION("""COMPUTED_VALUE"""),0.3791845153101698)</f>
        <v>0.3791845153</v>
      </c>
      <c r="E389" s="5">
        <f>IFERROR(__xludf.DUMMYFUNCTION("""COMPUTED_VALUE"""),0.15035168438309798)</f>
        <v>0.1503516844</v>
      </c>
      <c r="F389" s="5">
        <f>IFERROR(__xludf.DUMMYFUNCTION("""COMPUTED_VALUE"""),0.2095298535089111)</f>
        <v>0.2095298535</v>
      </c>
      <c r="G389" s="5">
        <f>IFERROR(__xludf.DUMMYFUNCTION("""COMPUTED_VALUE"""),0.19292400444232904)</f>
        <v>0.1929240044</v>
      </c>
      <c r="H389" s="5">
        <f>IFERROR(__xludf.DUMMYFUNCTION("""COMPUTED_VALUE"""),0.5981827359919233)</f>
        <v>0.598182736</v>
      </c>
      <c r="I389" s="11">
        <f>IFERROR(__xludf.DUMMYFUNCTION("""COMPUTED_VALUE"""),5980.0353356890455)</f>
        <v>5980.035336</v>
      </c>
      <c r="J389" s="10">
        <f>IFERROR(__xludf.DUMMYFUNCTION("""COMPUTED_VALUE"""),3.0)</f>
        <v>3</v>
      </c>
      <c r="K389" s="5">
        <f>IFERROR(__xludf.DUMMYFUNCTION("""COMPUTED_VALUE"""),0.0016816143497757848)</f>
        <v>0.00168161435</v>
      </c>
      <c r="L389" s="10">
        <f>IFERROR(__xludf.DUMMYFUNCTION("""COMPUTED_VALUE"""),0.0)</f>
        <v>0</v>
      </c>
      <c r="M389" s="5">
        <f>IFERROR(__xludf.DUMMYFUNCTION("""COMPUTED_VALUE"""),0.0)</f>
        <v>0</v>
      </c>
    </row>
    <row r="390">
      <c r="A390" s="10" t="str">
        <f>IFERROR(__xludf.DUMMYFUNCTION("""COMPUTED_VALUE"""),"ssaakkii")</f>
        <v>ssaakkii</v>
      </c>
      <c r="B390" s="10">
        <f>IFERROR(__xludf.DUMMYFUNCTION("""COMPUTED_VALUE"""),375.0)</f>
        <v>375</v>
      </c>
      <c r="C390" s="10">
        <f>IFERROR(__xludf.DUMMYFUNCTION("""COMPUTED_VALUE"""),4333.0)</f>
        <v>4333</v>
      </c>
      <c r="D390" s="5">
        <f>IFERROR(__xludf.DUMMYFUNCTION("""COMPUTED_VALUE"""),0.30318342597271347)</f>
        <v>0.303183426</v>
      </c>
      <c r="E390" s="5">
        <f>IFERROR(__xludf.DUMMYFUNCTION("""COMPUTED_VALUE"""),0.15032844871147044)</f>
        <v>0.1503284487</v>
      </c>
      <c r="F390" s="5">
        <f>IFERROR(__xludf.DUMMYFUNCTION("""COMPUTED_VALUE"""),0.20035371399696816)</f>
        <v>0.200353714</v>
      </c>
      <c r="G390" s="5">
        <f>IFERROR(__xludf.DUMMYFUNCTION("""COMPUTED_VALUE"""),0.15740272865083377)</f>
        <v>0.1574027287</v>
      </c>
      <c r="H390" s="5">
        <f>IFERROR(__xludf.DUMMYFUNCTION("""COMPUTED_VALUE"""),0.5813366960907944)</f>
        <v>0.5813366961</v>
      </c>
      <c r="I390" s="11">
        <f>IFERROR(__xludf.DUMMYFUNCTION("""COMPUTED_VALUE"""),6093.947036569987)</f>
        <v>6093.947037</v>
      </c>
      <c r="J390" s="10">
        <f>IFERROR(__xludf.DUMMYFUNCTION("""COMPUTED_VALUE"""),0.0)</f>
        <v>0</v>
      </c>
      <c r="K390" s="5">
        <f>IFERROR(__xludf.DUMMYFUNCTION("""COMPUTED_VALUE"""),0.0)</f>
        <v>0</v>
      </c>
      <c r="L390" s="10">
        <f>IFERROR(__xludf.DUMMYFUNCTION("""COMPUTED_VALUE"""),375.0)</f>
        <v>375</v>
      </c>
      <c r="M390" s="5">
        <f>IFERROR(__xludf.DUMMYFUNCTION("""COMPUTED_VALUE"""),1.0)</f>
        <v>1</v>
      </c>
    </row>
    <row r="391">
      <c r="A391" s="10" t="str">
        <f>IFERROR(__xludf.DUMMYFUNCTION("""COMPUTED_VALUE"""),"ハリネズミ命")</f>
        <v>ハリネズミ命</v>
      </c>
      <c r="B391" s="10">
        <f>IFERROR(__xludf.DUMMYFUNCTION("""COMPUTED_VALUE"""),106.0)</f>
        <v>106</v>
      </c>
      <c r="C391" s="10">
        <f>IFERROR(__xludf.DUMMYFUNCTION("""COMPUTED_VALUE"""),1257.0)</f>
        <v>1257</v>
      </c>
      <c r="D391" s="5">
        <f>IFERROR(__xludf.DUMMYFUNCTION("""COMPUTED_VALUE"""),0.36055603822762816)</f>
        <v>0.3605560382</v>
      </c>
      <c r="E391" s="5">
        <f>IFERROR(__xludf.DUMMYFUNCTION("""COMPUTED_VALUE"""),0.15030408340573415)</f>
        <v>0.1503040834</v>
      </c>
      <c r="F391" s="5">
        <f>IFERROR(__xludf.DUMMYFUNCTION("""COMPUTED_VALUE"""),0.20156385751520417)</f>
        <v>0.2015638575</v>
      </c>
      <c r="G391" s="5">
        <f>IFERROR(__xludf.DUMMYFUNCTION("""COMPUTED_VALUE"""),0.1894005212858384)</f>
        <v>0.1894005213</v>
      </c>
      <c r="H391" s="5">
        <f>IFERROR(__xludf.DUMMYFUNCTION("""COMPUTED_VALUE"""),0.521551724137931)</f>
        <v>0.5215517241</v>
      </c>
      <c r="I391" s="11">
        <f>IFERROR(__xludf.DUMMYFUNCTION("""COMPUTED_VALUE"""),5855.603448275862)</f>
        <v>5855.603448</v>
      </c>
      <c r="J391" s="10">
        <f>IFERROR(__xludf.DUMMYFUNCTION("""COMPUTED_VALUE"""),0.0)</f>
        <v>0</v>
      </c>
      <c r="K391" s="5">
        <f>IFERROR(__xludf.DUMMYFUNCTION("""COMPUTED_VALUE"""),0.0)</f>
        <v>0</v>
      </c>
      <c r="L391" s="10">
        <f>IFERROR(__xludf.DUMMYFUNCTION("""COMPUTED_VALUE"""),106.0)</f>
        <v>106</v>
      </c>
      <c r="M391" s="5">
        <f>IFERROR(__xludf.DUMMYFUNCTION("""COMPUTED_VALUE"""),1.0)</f>
        <v>1</v>
      </c>
    </row>
    <row r="392">
      <c r="A392" s="10" t="str">
        <f>IFERROR(__xludf.DUMMYFUNCTION("""COMPUTED_VALUE"""),"JjangGul")</f>
        <v>JjangGul</v>
      </c>
      <c r="B392" s="10">
        <f>IFERROR(__xludf.DUMMYFUNCTION("""COMPUTED_VALUE"""),199.0)</f>
        <v>199</v>
      </c>
      <c r="C392" s="10">
        <f>IFERROR(__xludf.DUMMYFUNCTION("""COMPUTED_VALUE"""),2355.0)</f>
        <v>2355</v>
      </c>
      <c r="D392" s="5">
        <f>IFERROR(__xludf.DUMMYFUNCTION("""COMPUTED_VALUE"""),0.2894248608534323)</f>
        <v>0.2894248609</v>
      </c>
      <c r="E392" s="5">
        <f>IFERROR(__xludf.DUMMYFUNCTION("""COMPUTED_VALUE"""),0.150278293135436)</f>
        <v>0.1502782931</v>
      </c>
      <c r="F392" s="5">
        <f>IFERROR(__xludf.DUMMYFUNCTION("""COMPUTED_VALUE"""),0.20500927643784786)</f>
        <v>0.2050092764</v>
      </c>
      <c r="G392" s="5">
        <f>IFERROR(__xludf.DUMMYFUNCTION("""COMPUTED_VALUE"""),0.17717996289424862)</f>
        <v>0.1771799629</v>
      </c>
      <c r="H392" s="5">
        <f>IFERROR(__xludf.DUMMYFUNCTION("""COMPUTED_VALUE"""),0.6221719457013575)</f>
        <v>0.6221719457</v>
      </c>
      <c r="I392" s="11">
        <f>IFERROR(__xludf.DUMMYFUNCTION("""COMPUTED_VALUE"""),6095.022624434389)</f>
        <v>6095.022624</v>
      </c>
      <c r="J392" s="10">
        <f>IFERROR(__xludf.DUMMYFUNCTION("""COMPUTED_VALUE"""),3.0)</f>
        <v>3</v>
      </c>
      <c r="K392" s="5">
        <f>IFERROR(__xludf.DUMMYFUNCTION("""COMPUTED_VALUE"""),0.01507537688442211)</f>
        <v>0.01507537688</v>
      </c>
      <c r="L392" s="10">
        <f>IFERROR(__xludf.DUMMYFUNCTION("""COMPUTED_VALUE"""),199.0)</f>
        <v>199</v>
      </c>
      <c r="M392" s="5">
        <f>IFERROR(__xludf.DUMMYFUNCTION("""COMPUTED_VALUE"""),1.0)</f>
        <v>1</v>
      </c>
    </row>
    <row r="393">
      <c r="A393" s="10" t="str">
        <f>IFERROR(__xludf.DUMMYFUNCTION("""COMPUTED_VALUE"""),"赤木竜也")</f>
        <v>赤木竜也</v>
      </c>
      <c r="B393" s="10">
        <f>IFERROR(__xludf.DUMMYFUNCTION("""COMPUTED_VALUE"""),103.0)</f>
        <v>103</v>
      </c>
      <c r="C393" s="10">
        <f>IFERROR(__xludf.DUMMYFUNCTION("""COMPUTED_VALUE"""),1201.0)</f>
        <v>1201</v>
      </c>
      <c r="D393" s="5">
        <f>IFERROR(__xludf.DUMMYFUNCTION("""COMPUTED_VALUE"""),0.40528233151183973)</f>
        <v>0.4052823315</v>
      </c>
      <c r="E393" s="5">
        <f>IFERROR(__xludf.DUMMYFUNCTION("""COMPUTED_VALUE"""),0.15027322404371585)</f>
        <v>0.150273224</v>
      </c>
      <c r="F393" s="5">
        <f>IFERROR(__xludf.DUMMYFUNCTION("""COMPUTED_VALUE"""),0.2040072859744991)</f>
        <v>0.204007286</v>
      </c>
      <c r="G393" s="5">
        <f>IFERROR(__xludf.DUMMYFUNCTION("""COMPUTED_VALUE"""),0.19763205828779598)</f>
        <v>0.1976320583</v>
      </c>
      <c r="H393" s="5">
        <f>IFERROR(__xludf.DUMMYFUNCTION("""COMPUTED_VALUE"""),0.6339285714285714)</f>
        <v>0.6339285714</v>
      </c>
      <c r="I393" s="11">
        <f>IFERROR(__xludf.DUMMYFUNCTION("""COMPUTED_VALUE"""),5676.785714285715)</f>
        <v>5676.785714</v>
      </c>
      <c r="J393" s="10">
        <f>IFERROR(__xludf.DUMMYFUNCTION("""COMPUTED_VALUE"""),0.0)</f>
        <v>0</v>
      </c>
      <c r="K393" s="5">
        <f>IFERROR(__xludf.DUMMYFUNCTION("""COMPUTED_VALUE"""),0.0)</f>
        <v>0</v>
      </c>
      <c r="L393" s="10">
        <f>IFERROR(__xludf.DUMMYFUNCTION("""COMPUTED_VALUE"""),103.0)</f>
        <v>103</v>
      </c>
      <c r="M393" s="5">
        <f>IFERROR(__xludf.DUMMYFUNCTION("""COMPUTED_VALUE"""),1.0)</f>
        <v>1</v>
      </c>
    </row>
    <row r="394">
      <c r="A394" s="10" t="str">
        <f>IFERROR(__xludf.DUMMYFUNCTION("""COMPUTED_VALUE"""),"白滝ぜんざい")</f>
        <v>白滝ぜんざい</v>
      </c>
      <c r="B394" s="10">
        <f>IFERROR(__xludf.DUMMYFUNCTION("""COMPUTED_VALUE"""),145.0)</f>
        <v>145</v>
      </c>
      <c r="C394" s="10">
        <f>IFERROR(__xludf.DUMMYFUNCTION("""COMPUTED_VALUE"""),1676.0)</f>
        <v>1676</v>
      </c>
      <c r="D394" s="5">
        <f>IFERROR(__xludf.DUMMYFUNCTION("""COMPUTED_VALUE"""),0.34291312867406926)</f>
        <v>0.3429131287</v>
      </c>
      <c r="E394" s="5">
        <f>IFERROR(__xludf.DUMMYFUNCTION("""COMPUTED_VALUE"""),0.15022860875244937)</f>
        <v>0.1502286088</v>
      </c>
      <c r="F394" s="5">
        <f>IFERROR(__xludf.DUMMYFUNCTION("""COMPUTED_VALUE"""),0.1992161985630307)</f>
        <v>0.1992161986</v>
      </c>
      <c r="G394" s="5">
        <f>IFERROR(__xludf.DUMMYFUNCTION("""COMPUTED_VALUE"""),0.18549967341606793)</f>
        <v>0.1854996734</v>
      </c>
      <c r="H394" s="5">
        <f>IFERROR(__xludf.DUMMYFUNCTION("""COMPUTED_VALUE"""),0.6163934426229508)</f>
        <v>0.6163934426</v>
      </c>
      <c r="I394" s="11">
        <f>IFERROR(__xludf.DUMMYFUNCTION("""COMPUTED_VALUE"""),5828.852459016393)</f>
        <v>5828.852459</v>
      </c>
      <c r="J394" s="10">
        <f>IFERROR(__xludf.DUMMYFUNCTION("""COMPUTED_VALUE"""),1.0)</f>
        <v>1</v>
      </c>
      <c r="K394" s="5">
        <f>IFERROR(__xludf.DUMMYFUNCTION("""COMPUTED_VALUE"""),0.006896551724137931)</f>
        <v>0.006896551724</v>
      </c>
      <c r="L394" s="10">
        <f>IFERROR(__xludf.DUMMYFUNCTION("""COMPUTED_VALUE"""),145.0)</f>
        <v>145</v>
      </c>
      <c r="M394" s="5">
        <f>IFERROR(__xludf.DUMMYFUNCTION("""COMPUTED_VALUE"""),1.0)</f>
        <v>1</v>
      </c>
    </row>
    <row r="395">
      <c r="A395" s="10" t="str">
        <f>IFERROR(__xludf.DUMMYFUNCTION("""COMPUTED_VALUE"""),"千里眼")</f>
        <v>千里眼</v>
      </c>
      <c r="B395" s="10">
        <f>IFERROR(__xludf.DUMMYFUNCTION("""COMPUTED_VALUE"""),175.0)</f>
        <v>175</v>
      </c>
      <c r="C395" s="10">
        <f>IFERROR(__xludf.DUMMYFUNCTION("""COMPUTED_VALUE"""),2087.0)</f>
        <v>2087</v>
      </c>
      <c r="D395" s="5">
        <f>IFERROR(__xludf.DUMMYFUNCTION("""COMPUTED_VALUE"""),0.2907949790794979)</f>
        <v>0.2907949791</v>
      </c>
      <c r="E395" s="5">
        <f>IFERROR(__xludf.DUMMYFUNCTION("""COMPUTED_VALUE"""),0.15010460251046026)</f>
        <v>0.1501046025</v>
      </c>
      <c r="F395" s="5">
        <f>IFERROR(__xludf.DUMMYFUNCTION("""COMPUTED_VALUE"""),0.20920502092050208)</f>
        <v>0.2092050209</v>
      </c>
      <c r="G395" s="5">
        <f>IFERROR(__xludf.DUMMYFUNCTION("""COMPUTED_VALUE"""),0.16579497907949792)</f>
        <v>0.1657949791</v>
      </c>
      <c r="H395" s="5">
        <f>IFERROR(__xludf.DUMMYFUNCTION("""COMPUTED_VALUE"""),0.61)</f>
        <v>0.61</v>
      </c>
      <c r="I395" s="11">
        <f>IFERROR(__xludf.DUMMYFUNCTION("""COMPUTED_VALUE"""),5852.0)</f>
        <v>5852</v>
      </c>
      <c r="J395" s="10">
        <f>IFERROR(__xludf.DUMMYFUNCTION("""COMPUTED_VALUE"""),0.0)</f>
        <v>0</v>
      </c>
      <c r="K395" s="5">
        <f>IFERROR(__xludf.DUMMYFUNCTION("""COMPUTED_VALUE"""),0.0)</f>
        <v>0</v>
      </c>
      <c r="L395" s="10">
        <f>IFERROR(__xludf.DUMMYFUNCTION("""COMPUTED_VALUE"""),175.0)</f>
        <v>175</v>
      </c>
      <c r="M395" s="5">
        <f>IFERROR(__xludf.DUMMYFUNCTION("""COMPUTED_VALUE"""),1.0)</f>
        <v>1</v>
      </c>
    </row>
    <row r="396">
      <c r="A396" s="10" t="str">
        <f>IFERROR(__xludf.DUMMYFUNCTION("""COMPUTED_VALUE"""),"タバサ")</f>
        <v>タバサ</v>
      </c>
      <c r="B396" s="10">
        <f>IFERROR(__xludf.DUMMYFUNCTION("""COMPUTED_VALUE"""),231.0)</f>
        <v>231</v>
      </c>
      <c r="C396" s="10">
        <f>IFERROR(__xludf.DUMMYFUNCTION("""COMPUTED_VALUE"""),2676.0)</f>
        <v>2676</v>
      </c>
      <c r="D396" s="5">
        <f>IFERROR(__xludf.DUMMYFUNCTION("""COMPUTED_VALUE"""),0.3071574642126789)</f>
        <v>0.3071574642</v>
      </c>
      <c r="E396" s="5">
        <f>IFERROR(__xludf.DUMMYFUNCTION("""COMPUTED_VALUE"""),0.15010224948875256)</f>
        <v>0.1501022495</v>
      </c>
      <c r="F396" s="5">
        <f>IFERROR(__xludf.DUMMYFUNCTION("""COMPUTED_VALUE"""),0.1918200408997955)</f>
        <v>0.1918200409</v>
      </c>
      <c r="G396" s="5">
        <f>IFERROR(__xludf.DUMMYFUNCTION("""COMPUTED_VALUE"""),0.16768916155419222)</f>
        <v>0.1676891616</v>
      </c>
      <c r="H396" s="5">
        <f>IFERROR(__xludf.DUMMYFUNCTION("""COMPUTED_VALUE"""),0.5948827292110874)</f>
        <v>0.5948827292</v>
      </c>
      <c r="I396" s="11">
        <f>IFERROR(__xludf.DUMMYFUNCTION("""COMPUTED_VALUE"""),6232.835820895522)</f>
        <v>6232.835821</v>
      </c>
      <c r="J396" s="10">
        <f>IFERROR(__xludf.DUMMYFUNCTION("""COMPUTED_VALUE"""),0.0)</f>
        <v>0</v>
      </c>
      <c r="K396" s="5">
        <f>IFERROR(__xludf.DUMMYFUNCTION("""COMPUTED_VALUE"""),0.0)</f>
        <v>0</v>
      </c>
      <c r="L396" s="10">
        <f>IFERROR(__xludf.DUMMYFUNCTION("""COMPUTED_VALUE"""),231.0)</f>
        <v>231</v>
      </c>
      <c r="M396" s="5">
        <f>IFERROR(__xludf.DUMMYFUNCTION("""COMPUTED_VALUE"""),1.0)</f>
        <v>1</v>
      </c>
    </row>
    <row r="397">
      <c r="A397" s="10" t="str">
        <f>IFERROR(__xludf.DUMMYFUNCTION("""COMPUTED_VALUE"""),"麻龍")</f>
        <v>麻龍</v>
      </c>
      <c r="B397" s="10">
        <f>IFERROR(__xludf.DUMMYFUNCTION("""COMPUTED_VALUE"""),112.0)</f>
        <v>112</v>
      </c>
      <c r="C397" s="10">
        <f>IFERROR(__xludf.DUMMYFUNCTION("""COMPUTED_VALUE"""),1358.0)</f>
        <v>1358</v>
      </c>
      <c r="D397" s="5">
        <f>IFERROR(__xludf.DUMMYFUNCTION("""COMPUTED_VALUE"""),0.25120385232744785)</f>
        <v>0.2512038523</v>
      </c>
      <c r="E397" s="5">
        <f>IFERROR(__xludf.DUMMYFUNCTION("""COMPUTED_VALUE"""),0.15008025682182985)</f>
        <v>0.1500802568</v>
      </c>
      <c r="F397" s="5">
        <f>IFERROR(__xludf.DUMMYFUNCTION("""COMPUTED_VALUE"""),0.22391653290529695)</f>
        <v>0.2239165329</v>
      </c>
      <c r="G397" s="5">
        <f>IFERROR(__xludf.DUMMYFUNCTION("""COMPUTED_VALUE"""),0.2592295345104334)</f>
        <v>0.2592295345</v>
      </c>
      <c r="H397" s="5">
        <f>IFERROR(__xludf.DUMMYFUNCTION("""COMPUTED_VALUE"""),0.5878136200716846)</f>
        <v>0.5878136201</v>
      </c>
      <c r="I397" s="11">
        <f>IFERROR(__xludf.DUMMYFUNCTION("""COMPUTED_VALUE"""),5692.4731182795695)</f>
        <v>5692.473118</v>
      </c>
      <c r="J397" s="10">
        <f>IFERROR(__xludf.DUMMYFUNCTION("""COMPUTED_VALUE"""),0.0)</f>
        <v>0</v>
      </c>
      <c r="K397" s="5">
        <f>IFERROR(__xludf.DUMMYFUNCTION("""COMPUTED_VALUE"""),0.0)</f>
        <v>0</v>
      </c>
      <c r="L397" s="10">
        <f>IFERROR(__xludf.DUMMYFUNCTION("""COMPUTED_VALUE"""),112.0)</f>
        <v>112</v>
      </c>
      <c r="M397" s="5">
        <f>IFERROR(__xludf.DUMMYFUNCTION("""COMPUTED_VALUE"""),1.0)</f>
        <v>1</v>
      </c>
    </row>
    <row r="398">
      <c r="A398" s="10" t="str">
        <f>IFERROR(__xludf.DUMMYFUNCTION("""COMPUTED_VALUE"""),"幻に賭けろ")</f>
        <v>幻に賭けろ</v>
      </c>
      <c r="B398" s="10">
        <f>IFERROR(__xludf.DUMMYFUNCTION("""COMPUTED_VALUE"""),327.0)</f>
        <v>327</v>
      </c>
      <c r="C398" s="10">
        <f>IFERROR(__xludf.DUMMYFUNCTION("""COMPUTED_VALUE"""),3839.0)</f>
        <v>3839</v>
      </c>
      <c r="D398" s="5">
        <f>IFERROR(__xludf.DUMMYFUNCTION("""COMPUTED_VALUE"""),0.44817767653758545)</f>
        <v>0.4481776765</v>
      </c>
      <c r="E398" s="5">
        <f>IFERROR(__xludf.DUMMYFUNCTION("""COMPUTED_VALUE"""),0.15005694760820046)</f>
        <v>0.1500569476</v>
      </c>
      <c r="F398" s="5">
        <f>IFERROR(__xludf.DUMMYFUNCTION("""COMPUTED_VALUE"""),0.21184510250569477)</f>
        <v>0.2118451025</v>
      </c>
      <c r="G398" s="5">
        <f>IFERROR(__xludf.DUMMYFUNCTION("""COMPUTED_VALUE"""),0.16543280182232345)</f>
        <v>0.1654328018</v>
      </c>
      <c r="H398" s="5">
        <f>IFERROR(__xludf.DUMMYFUNCTION("""COMPUTED_VALUE"""),0.5846774193548387)</f>
        <v>0.5846774194</v>
      </c>
      <c r="I398" s="11">
        <f>IFERROR(__xludf.DUMMYFUNCTION("""COMPUTED_VALUE"""),5600.940860215053)</f>
        <v>5600.94086</v>
      </c>
      <c r="J398" s="10">
        <f>IFERROR(__xludf.DUMMYFUNCTION("""COMPUTED_VALUE"""),0.0)</f>
        <v>0</v>
      </c>
      <c r="K398" s="5">
        <f>IFERROR(__xludf.DUMMYFUNCTION("""COMPUTED_VALUE"""),0.0)</f>
        <v>0</v>
      </c>
      <c r="L398" s="10">
        <f>IFERROR(__xludf.DUMMYFUNCTION("""COMPUTED_VALUE"""),205.0)</f>
        <v>205</v>
      </c>
      <c r="M398" s="5">
        <f>IFERROR(__xludf.DUMMYFUNCTION("""COMPUTED_VALUE"""),0.6269113149847095)</f>
        <v>0.626911315</v>
      </c>
    </row>
    <row r="399">
      <c r="A399" s="10" t="str">
        <f>IFERROR(__xludf.DUMMYFUNCTION("""COMPUTED_VALUE"""),"vrml777")</f>
        <v>vrml777</v>
      </c>
      <c r="B399" s="10">
        <f>IFERROR(__xludf.DUMMYFUNCTION("""COMPUTED_VALUE"""),580.0)</f>
        <v>580</v>
      </c>
      <c r="C399" s="10">
        <f>IFERROR(__xludf.DUMMYFUNCTION("""COMPUTED_VALUE"""),6832.0)</f>
        <v>6832</v>
      </c>
      <c r="D399" s="5">
        <f>IFERROR(__xludf.DUMMYFUNCTION("""COMPUTED_VALUE"""),0.32741522712731924)</f>
        <v>0.3274152271</v>
      </c>
      <c r="E399" s="5">
        <f>IFERROR(__xludf.DUMMYFUNCTION("""COMPUTED_VALUE"""),0.15003198976327575)</f>
        <v>0.1500319898</v>
      </c>
      <c r="F399" s="5">
        <f>IFERROR(__xludf.DUMMYFUNCTION("""COMPUTED_VALUE"""),0.21849008317338453)</f>
        <v>0.2184900832</v>
      </c>
      <c r="G399" s="5">
        <f>IFERROR(__xludf.DUMMYFUNCTION("""COMPUTED_VALUE"""),0.20409468969929623)</f>
        <v>0.2040946897</v>
      </c>
      <c r="H399" s="5">
        <f>IFERROR(__xludf.DUMMYFUNCTION("""COMPUTED_VALUE"""),0.6054172767203514)</f>
        <v>0.6054172767</v>
      </c>
      <c r="I399" s="11">
        <f>IFERROR(__xludf.DUMMYFUNCTION("""COMPUTED_VALUE"""),5963.250366032211)</f>
        <v>5963.250366</v>
      </c>
      <c r="J399" s="10">
        <f>IFERROR(__xludf.DUMMYFUNCTION("""COMPUTED_VALUE"""),1.0)</f>
        <v>1</v>
      </c>
      <c r="K399" s="5">
        <f>IFERROR(__xludf.DUMMYFUNCTION("""COMPUTED_VALUE"""),0.0017241379310344827)</f>
        <v>0.001724137931</v>
      </c>
      <c r="L399" s="10">
        <f>IFERROR(__xludf.DUMMYFUNCTION("""COMPUTED_VALUE"""),580.0)</f>
        <v>580</v>
      </c>
      <c r="M399" s="5">
        <f>IFERROR(__xludf.DUMMYFUNCTION("""COMPUTED_VALUE"""),1.0)</f>
        <v>1</v>
      </c>
    </row>
    <row r="400">
      <c r="A400" s="10" t="str">
        <f>IFERROR(__xludf.DUMMYFUNCTION("""COMPUTED_VALUE"""),"桜井桜子")</f>
        <v>桜井桜子</v>
      </c>
      <c r="B400" s="10">
        <f>IFERROR(__xludf.DUMMYFUNCTION("""COMPUTED_VALUE"""),150.0)</f>
        <v>150</v>
      </c>
      <c r="C400" s="10">
        <f>IFERROR(__xludf.DUMMYFUNCTION("""COMPUTED_VALUE"""),1763.0)</f>
        <v>1763</v>
      </c>
      <c r="D400" s="5">
        <f>IFERROR(__xludf.DUMMYFUNCTION("""COMPUTED_VALUE"""),0.3558586484810911)</f>
        <v>0.3558586485</v>
      </c>
      <c r="E400" s="5">
        <f>IFERROR(__xludf.DUMMYFUNCTION("""COMPUTED_VALUE"""),0.1500309981401116)</f>
        <v>0.1500309981</v>
      </c>
      <c r="F400" s="5">
        <f>IFERROR(__xludf.DUMMYFUNCTION("""COMPUTED_VALUE"""),0.217606943583385)</f>
        <v>0.2176069436</v>
      </c>
      <c r="G400" s="5">
        <f>IFERROR(__xludf.DUMMYFUNCTION("""COMPUTED_VALUE"""),0.15623062616243025)</f>
        <v>0.1562306262</v>
      </c>
      <c r="H400" s="5">
        <f>IFERROR(__xludf.DUMMYFUNCTION("""COMPUTED_VALUE"""),0.6296296296296297)</f>
        <v>0.6296296296</v>
      </c>
      <c r="I400" s="11">
        <f>IFERROR(__xludf.DUMMYFUNCTION("""COMPUTED_VALUE"""),5570.08547008547)</f>
        <v>5570.08547</v>
      </c>
      <c r="J400" s="10">
        <f>IFERROR(__xludf.DUMMYFUNCTION("""COMPUTED_VALUE"""),0.0)</f>
        <v>0</v>
      </c>
      <c r="K400" s="5">
        <f>IFERROR(__xludf.DUMMYFUNCTION("""COMPUTED_VALUE"""),0.0)</f>
        <v>0</v>
      </c>
      <c r="L400" s="10">
        <f>IFERROR(__xludf.DUMMYFUNCTION("""COMPUTED_VALUE"""),147.0)</f>
        <v>147</v>
      </c>
      <c r="M400" s="5">
        <f>IFERROR(__xludf.DUMMYFUNCTION("""COMPUTED_VALUE"""),0.98)</f>
        <v>0.98</v>
      </c>
    </row>
    <row r="401">
      <c r="A401" s="10" t="str">
        <f>IFERROR(__xludf.DUMMYFUNCTION("""COMPUTED_VALUE"""),"Mercis")</f>
        <v>Mercis</v>
      </c>
      <c r="B401" s="10">
        <f>IFERROR(__xludf.DUMMYFUNCTION("""COMPUTED_VALUE"""),151.0)</f>
        <v>151</v>
      </c>
      <c r="C401" s="10">
        <f>IFERROR(__xludf.DUMMYFUNCTION("""COMPUTED_VALUE"""),1758.0)</f>
        <v>1758</v>
      </c>
      <c r="D401" s="5">
        <f>IFERROR(__xludf.DUMMYFUNCTION("""COMPUTED_VALUE"""),0.3117610454262601)</f>
        <v>0.3117610454</v>
      </c>
      <c r="E401" s="5">
        <f>IFERROR(__xludf.DUMMYFUNCTION("""COMPUTED_VALUE"""),0.14996888612321096)</f>
        <v>0.1499688861</v>
      </c>
      <c r="F401" s="5">
        <f>IFERROR(__xludf.DUMMYFUNCTION("""COMPUTED_VALUE"""),0.21095208462974488)</f>
        <v>0.2109520846</v>
      </c>
      <c r="G401" s="5">
        <f>IFERROR(__xludf.DUMMYFUNCTION("""COMPUTED_VALUE"""),0.1835718730553827)</f>
        <v>0.1835718731</v>
      </c>
      <c r="H401" s="5">
        <f>IFERROR(__xludf.DUMMYFUNCTION("""COMPUTED_VALUE"""),0.6076696165191741)</f>
        <v>0.6076696165</v>
      </c>
      <c r="I401" s="11">
        <f>IFERROR(__xludf.DUMMYFUNCTION("""COMPUTED_VALUE"""),5898.525073746313)</f>
        <v>5898.525074</v>
      </c>
      <c r="J401" s="10">
        <f>IFERROR(__xludf.DUMMYFUNCTION("""COMPUTED_VALUE"""),0.0)</f>
        <v>0</v>
      </c>
      <c r="K401" s="5">
        <f>IFERROR(__xludf.DUMMYFUNCTION("""COMPUTED_VALUE"""),0.0)</f>
        <v>0</v>
      </c>
      <c r="L401" s="10">
        <f>IFERROR(__xludf.DUMMYFUNCTION("""COMPUTED_VALUE"""),151.0)</f>
        <v>151</v>
      </c>
      <c r="M401" s="5">
        <f>IFERROR(__xludf.DUMMYFUNCTION("""COMPUTED_VALUE"""),1.0)</f>
        <v>1</v>
      </c>
    </row>
    <row r="402">
      <c r="A402" s="10" t="str">
        <f>IFERROR(__xludf.DUMMYFUNCTION("""COMPUTED_VALUE"""),"ユリア")</f>
        <v>ユリア</v>
      </c>
      <c r="B402" s="10">
        <f>IFERROR(__xludf.DUMMYFUNCTION("""COMPUTED_VALUE"""),1077.0)</f>
        <v>1077</v>
      </c>
      <c r="C402" s="10">
        <f>IFERROR(__xludf.DUMMYFUNCTION("""COMPUTED_VALUE"""),12553.0)</f>
        <v>12553</v>
      </c>
      <c r="D402" s="5">
        <f>IFERROR(__xludf.DUMMYFUNCTION("""COMPUTED_VALUE"""),0.31683513419309867)</f>
        <v>0.3168351342</v>
      </c>
      <c r="E402" s="5">
        <f>IFERROR(__xludf.DUMMYFUNCTION("""COMPUTED_VALUE"""),0.14996514464970373)</f>
        <v>0.1499651446</v>
      </c>
      <c r="F402" s="5">
        <f>IFERROR(__xludf.DUMMYFUNCTION("""COMPUTED_VALUE"""),0.20660508888114326)</f>
        <v>0.2066050889</v>
      </c>
      <c r="G402" s="5">
        <f>IFERROR(__xludf.DUMMYFUNCTION("""COMPUTED_VALUE"""),0.1720111537120948)</f>
        <v>0.1720111537</v>
      </c>
      <c r="H402" s="5">
        <f>IFERROR(__xludf.DUMMYFUNCTION("""COMPUTED_VALUE"""),0.5769717418810628)</f>
        <v>0.5769717419</v>
      </c>
      <c r="I402" s="11">
        <f>IFERROR(__xludf.DUMMYFUNCTION("""COMPUTED_VALUE"""),6242.260649514973)</f>
        <v>6242.26065</v>
      </c>
      <c r="J402" s="10">
        <f>IFERROR(__xludf.DUMMYFUNCTION("""COMPUTED_VALUE"""),6.0)</f>
        <v>6</v>
      </c>
      <c r="K402" s="5">
        <f>IFERROR(__xludf.DUMMYFUNCTION("""COMPUTED_VALUE"""),0.005571030640668524)</f>
        <v>0.005571030641</v>
      </c>
      <c r="L402" s="10">
        <f>IFERROR(__xludf.DUMMYFUNCTION("""COMPUTED_VALUE"""),0.0)</f>
        <v>0</v>
      </c>
      <c r="M402" s="5">
        <f>IFERROR(__xludf.DUMMYFUNCTION("""COMPUTED_VALUE"""),0.0)</f>
        <v>0</v>
      </c>
    </row>
    <row r="403">
      <c r="A403" s="10" t="str">
        <f>IFERROR(__xludf.DUMMYFUNCTION("""COMPUTED_VALUE"""),"～吉留未春～")</f>
        <v>～吉留未春～</v>
      </c>
      <c r="B403" s="10">
        <f>IFERROR(__xludf.DUMMYFUNCTION("""COMPUTED_VALUE"""),258.0)</f>
        <v>258</v>
      </c>
      <c r="C403" s="10">
        <f>IFERROR(__xludf.DUMMYFUNCTION("""COMPUTED_VALUE"""),3039.0)</f>
        <v>3039</v>
      </c>
      <c r="D403" s="5">
        <f>IFERROR(__xludf.DUMMYFUNCTION("""COMPUTED_VALUE"""),0.4570298453793599)</f>
        <v>0.4570298454</v>
      </c>
      <c r="E403" s="5">
        <f>IFERROR(__xludf.DUMMYFUNCTION("""COMPUTED_VALUE"""),0.1499460625674218)</f>
        <v>0.1499460626</v>
      </c>
      <c r="F403" s="5">
        <f>IFERROR(__xludf.DUMMYFUNCTION("""COMPUTED_VALUE"""),0.21503056454512764)</f>
        <v>0.2150305645</v>
      </c>
      <c r="G403" s="5">
        <f>IFERROR(__xludf.DUMMYFUNCTION("""COMPUTED_VALUE"""),0.15605897159295218)</f>
        <v>0.1560589716</v>
      </c>
      <c r="H403" s="5">
        <f>IFERROR(__xludf.DUMMYFUNCTION("""COMPUTED_VALUE"""),0.6020066889632107)</f>
        <v>0.602006689</v>
      </c>
      <c r="I403" s="11">
        <f>IFERROR(__xludf.DUMMYFUNCTION("""COMPUTED_VALUE"""),5545.484949832776)</f>
        <v>5545.48495</v>
      </c>
      <c r="J403" s="10">
        <f>IFERROR(__xludf.DUMMYFUNCTION("""COMPUTED_VALUE"""),0.0)</f>
        <v>0</v>
      </c>
      <c r="K403" s="5">
        <f>IFERROR(__xludf.DUMMYFUNCTION("""COMPUTED_VALUE"""),0.0)</f>
        <v>0</v>
      </c>
      <c r="L403" s="10">
        <f>IFERROR(__xludf.DUMMYFUNCTION("""COMPUTED_VALUE"""),258.0)</f>
        <v>258</v>
      </c>
      <c r="M403" s="5">
        <f>IFERROR(__xludf.DUMMYFUNCTION("""COMPUTED_VALUE"""),1.0)</f>
        <v>1</v>
      </c>
    </row>
    <row r="404">
      <c r="A404" s="10" t="str">
        <f>IFERROR(__xludf.DUMMYFUNCTION("""COMPUTED_VALUE"""),"nogami")</f>
        <v>nogami</v>
      </c>
      <c r="B404" s="10">
        <f>IFERROR(__xludf.DUMMYFUNCTION("""COMPUTED_VALUE"""),362.0)</f>
        <v>362</v>
      </c>
      <c r="C404" s="10">
        <f>IFERROR(__xludf.DUMMYFUNCTION("""COMPUTED_VALUE"""),4244.0)</f>
        <v>4244</v>
      </c>
      <c r="D404" s="5">
        <f>IFERROR(__xludf.DUMMYFUNCTION("""COMPUTED_VALUE"""),0.23467284904688304)</f>
        <v>0.234672849</v>
      </c>
      <c r="E404" s="5">
        <f>IFERROR(__xludf.DUMMYFUNCTION("""COMPUTED_VALUE"""),0.14992272024729522)</f>
        <v>0.1499227202</v>
      </c>
      <c r="F404" s="5">
        <f>IFERROR(__xludf.DUMMYFUNCTION("""COMPUTED_VALUE"""),0.19216898505924782)</f>
        <v>0.1921689851</v>
      </c>
      <c r="G404" s="5">
        <f>IFERROR(__xludf.DUMMYFUNCTION("""COMPUTED_VALUE"""),0.17594023699124162)</f>
        <v>0.175940237</v>
      </c>
      <c r="H404" s="5">
        <f>IFERROR(__xludf.DUMMYFUNCTION("""COMPUTED_VALUE"""),0.5697050938337802)</f>
        <v>0.5697050938</v>
      </c>
      <c r="I404" s="11">
        <f>IFERROR(__xludf.DUMMYFUNCTION("""COMPUTED_VALUE"""),6362.7345844504025)</f>
        <v>6362.734584</v>
      </c>
      <c r="J404" s="10">
        <f>IFERROR(__xludf.DUMMYFUNCTION("""COMPUTED_VALUE"""),2.0)</f>
        <v>2</v>
      </c>
      <c r="K404" s="5">
        <f>IFERROR(__xludf.DUMMYFUNCTION("""COMPUTED_VALUE"""),0.0055248618784530384)</f>
        <v>0.005524861878</v>
      </c>
      <c r="L404" s="10">
        <f>IFERROR(__xludf.DUMMYFUNCTION("""COMPUTED_VALUE"""),362.0)</f>
        <v>362</v>
      </c>
      <c r="M404" s="5">
        <f>IFERROR(__xludf.DUMMYFUNCTION("""COMPUTED_VALUE"""),1.0)</f>
        <v>1</v>
      </c>
    </row>
    <row r="405">
      <c r="A405" s="10" t="str">
        <f>IFERROR(__xludf.DUMMYFUNCTION("""COMPUTED_VALUE"""),"ルク助")</f>
        <v>ルク助</v>
      </c>
      <c r="B405" s="10">
        <f>IFERROR(__xludf.DUMMYFUNCTION("""COMPUTED_VALUE"""),189.0)</f>
        <v>189</v>
      </c>
      <c r="C405" s="10">
        <f>IFERROR(__xludf.DUMMYFUNCTION("""COMPUTED_VALUE"""),2284.0)</f>
        <v>2284</v>
      </c>
      <c r="D405" s="5">
        <f>IFERROR(__xludf.DUMMYFUNCTION("""COMPUTED_VALUE"""),0.3894988066825776)</f>
        <v>0.3894988067</v>
      </c>
      <c r="E405" s="5">
        <f>IFERROR(__xludf.DUMMYFUNCTION("""COMPUTED_VALUE"""),0.14988066825775656)</f>
        <v>0.1498806683</v>
      </c>
      <c r="F405" s="5">
        <f>IFERROR(__xludf.DUMMYFUNCTION("""COMPUTED_VALUE"""),0.20572792362768497)</f>
        <v>0.2057279236</v>
      </c>
      <c r="G405" s="5">
        <f>IFERROR(__xludf.DUMMYFUNCTION("""COMPUTED_VALUE"""),0.18806682577565634)</f>
        <v>0.1880668258</v>
      </c>
      <c r="H405" s="5">
        <f>IFERROR(__xludf.DUMMYFUNCTION("""COMPUTED_VALUE"""),0.5986078886310905)</f>
        <v>0.5986078886</v>
      </c>
      <c r="I405" s="11">
        <f>IFERROR(__xludf.DUMMYFUNCTION("""COMPUTED_VALUE"""),5751.508120649652)</f>
        <v>5751.508121</v>
      </c>
      <c r="J405" s="10">
        <f>IFERROR(__xludf.DUMMYFUNCTION("""COMPUTED_VALUE"""),1.0)</f>
        <v>1</v>
      </c>
      <c r="K405" s="5">
        <f>IFERROR(__xludf.DUMMYFUNCTION("""COMPUTED_VALUE"""),0.005291005291005291)</f>
        <v>0.005291005291</v>
      </c>
      <c r="L405" s="10">
        <f>IFERROR(__xludf.DUMMYFUNCTION("""COMPUTED_VALUE"""),170.0)</f>
        <v>170</v>
      </c>
      <c r="M405" s="5">
        <f>IFERROR(__xludf.DUMMYFUNCTION("""COMPUTED_VALUE"""),0.8994708994708994)</f>
        <v>0.8994708995</v>
      </c>
    </row>
    <row r="406">
      <c r="A406" s="10" t="str">
        <f>IFERROR(__xludf.DUMMYFUNCTION("""COMPUTED_VALUE"""),"口マーリオ")</f>
        <v>口マーリオ</v>
      </c>
      <c r="B406" s="10">
        <f>IFERROR(__xludf.DUMMYFUNCTION("""COMPUTED_VALUE"""),190.0)</f>
        <v>190</v>
      </c>
      <c r="C406" s="10">
        <f>IFERROR(__xludf.DUMMYFUNCTION("""COMPUTED_VALUE"""),2205.0)</f>
        <v>2205</v>
      </c>
      <c r="D406" s="5">
        <f>IFERROR(__xludf.DUMMYFUNCTION("""COMPUTED_VALUE"""),0.3910669975186104)</f>
        <v>0.3910669975</v>
      </c>
      <c r="E406" s="5">
        <f>IFERROR(__xludf.DUMMYFUNCTION("""COMPUTED_VALUE"""),0.1498759305210918)</f>
        <v>0.1498759305</v>
      </c>
      <c r="F406" s="5">
        <f>IFERROR(__xludf.DUMMYFUNCTION("""COMPUTED_VALUE"""),0.2248138957816377)</f>
        <v>0.2248138958</v>
      </c>
      <c r="G406" s="5">
        <f>IFERROR(__xludf.DUMMYFUNCTION("""COMPUTED_VALUE"""),0.15285359801488835)</f>
        <v>0.152853598</v>
      </c>
      <c r="H406" s="5">
        <f>IFERROR(__xludf.DUMMYFUNCTION("""COMPUTED_VALUE"""),0.6600441501103753)</f>
        <v>0.6600441501</v>
      </c>
      <c r="I406" s="11">
        <f>IFERROR(__xludf.DUMMYFUNCTION("""COMPUTED_VALUE"""),5206.181015452538)</f>
        <v>5206.181015</v>
      </c>
      <c r="J406" s="10">
        <f>IFERROR(__xludf.DUMMYFUNCTION("""COMPUTED_VALUE"""),0.0)</f>
        <v>0</v>
      </c>
      <c r="K406" s="5">
        <f>IFERROR(__xludf.DUMMYFUNCTION("""COMPUTED_VALUE"""),0.0)</f>
        <v>0</v>
      </c>
      <c r="L406" s="10">
        <f>IFERROR(__xludf.DUMMYFUNCTION("""COMPUTED_VALUE"""),0.0)</f>
        <v>0</v>
      </c>
      <c r="M406" s="5">
        <f>IFERROR(__xludf.DUMMYFUNCTION("""COMPUTED_VALUE"""),0.0)</f>
        <v>0</v>
      </c>
    </row>
    <row r="407">
      <c r="A407" s="10" t="str">
        <f>IFERROR(__xludf.DUMMYFUNCTION("""COMPUTED_VALUE"""),"※コマ☆")</f>
        <v>※コマ☆</v>
      </c>
      <c r="B407" s="10">
        <f>IFERROR(__xludf.DUMMYFUNCTION("""COMPUTED_VALUE"""),143.0)</f>
        <v>143</v>
      </c>
      <c r="C407" s="10">
        <f>IFERROR(__xludf.DUMMYFUNCTION("""COMPUTED_VALUE"""),1671.0)</f>
        <v>1671</v>
      </c>
      <c r="D407" s="5">
        <f>IFERROR(__xludf.DUMMYFUNCTION("""COMPUTED_VALUE"""),0.42408376963350786)</f>
        <v>0.4240837696</v>
      </c>
      <c r="E407" s="5">
        <f>IFERROR(__xludf.DUMMYFUNCTION("""COMPUTED_VALUE"""),0.149869109947644)</f>
        <v>0.1498691099</v>
      </c>
      <c r="F407" s="5">
        <f>IFERROR(__xludf.DUMMYFUNCTION("""COMPUTED_VALUE"""),0.2238219895287958)</f>
        <v>0.2238219895</v>
      </c>
      <c r="G407" s="5">
        <f>IFERROR(__xludf.DUMMYFUNCTION("""COMPUTED_VALUE"""),0.20353403141361257)</f>
        <v>0.2035340314</v>
      </c>
      <c r="H407" s="5">
        <f>IFERROR(__xludf.DUMMYFUNCTION("""COMPUTED_VALUE"""),0.6169590643274854)</f>
        <v>0.6169590643</v>
      </c>
      <c r="I407" s="11">
        <f>IFERROR(__xludf.DUMMYFUNCTION("""COMPUTED_VALUE"""),5667.251461988304)</f>
        <v>5667.251462</v>
      </c>
      <c r="J407" s="10">
        <f>IFERROR(__xludf.DUMMYFUNCTION("""COMPUTED_VALUE"""),0.0)</f>
        <v>0</v>
      </c>
      <c r="K407" s="5">
        <f>IFERROR(__xludf.DUMMYFUNCTION("""COMPUTED_VALUE"""),0.0)</f>
        <v>0</v>
      </c>
      <c r="L407" s="10">
        <f>IFERROR(__xludf.DUMMYFUNCTION("""COMPUTED_VALUE"""),143.0)</f>
        <v>143</v>
      </c>
      <c r="M407" s="5">
        <f>IFERROR(__xludf.DUMMYFUNCTION("""COMPUTED_VALUE"""),1.0)</f>
        <v>1</v>
      </c>
    </row>
    <row r="408">
      <c r="A408" s="10" t="str">
        <f>IFERROR(__xludf.DUMMYFUNCTION("""COMPUTED_VALUE"""),"西森柚咲")</f>
        <v>西森柚咲</v>
      </c>
      <c r="B408" s="10">
        <f>IFERROR(__xludf.DUMMYFUNCTION("""COMPUTED_VALUE"""),520.0)</f>
        <v>520</v>
      </c>
      <c r="C408" s="10">
        <f>IFERROR(__xludf.DUMMYFUNCTION("""COMPUTED_VALUE"""),5987.0)</f>
        <v>5987</v>
      </c>
      <c r="D408" s="5">
        <f>IFERROR(__xludf.DUMMYFUNCTION("""COMPUTED_VALUE"""),0.35156392902871775)</f>
        <v>0.351563929</v>
      </c>
      <c r="E408" s="5">
        <f>IFERROR(__xludf.DUMMYFUNCTION("""COMPUTED_VALUE"""),0.14980793854033292)</f>
        <v>0.1498079385</v>
      </c>
      <c r="F408" s="5">
        <f>IFERROR(__xludf.DUMMYFUNCTION("""COMPUTED_VALUE"""),0.22718126943479056)</f>
        <v>0.2271812694</v>
      </c>
      <c r="G408" s="5">
        <f>IFERROR(__xludf.DUMMYFUNCTION("""COMPUTED_VALUE"""),0.1448692152917505)</f>
        <v>0.1448692153</v>
      </c>
      <c r="H408" s="5">
        <f>IFERROR(__xludf.DUMMYFUNCTION("""COMPUTED_VALUE"""),0.5974235104669887)</f>
        <v>0.5974235105</v>
      </c>
      <c r="I408" s="11">
        <f>IFERROR(__xludf.DUMMYFUNCTION("""COMPUTED_VALUE"""),5569.323671497585)</f>
        <v>5569.323671</v>
      </c>
      <c r="J408" s="10">
        <f>IFERROR(__xludf.DUMMYFUNCTION("""COMPUTED_VALUE"""),3.0)</f>
        <v>3</v>
      </c>
      <c r="K408" s="5">
        <f>IFERROR(__xludf.DUMMYFUNCTION("""COMPUTED_VALUE"""),0.0057692307692307696)</f>
        <v>0.005769230769</v>
      </c>
      <c r="L408" s="10">
        <f>IFERROR(__xludf.DUMMYFUNCTION("""COMPUTED_VALUE"""),0.0)</f>
        <v>0</v>
      </c>
      <c r="M408" s="5">
        <f>IFERROR(__xludf.DUMMYFUNCTION("""COMPUTED_VALUE"""),0.0)</f>
        <v>0</v>
      </c>
    </row>
    <row r="409">
      <c r="A409" s="10" t="str">
        <f>IFERROR(__xludf.DUMMYFUNCTION("""COMPUTED_VALUE"""),"中田ヤスタカ")</f>
        <v>中田ヤスタカ</v>
      </c>
      <c r="B409" s="10">
        <f>IFERROR(__xludf.DUMMYFUNCTION("""COMPUTED_VALUE"""),426.0)</f>
        <v>426</v>
      </c>
      <c r="C409" s="10">
        <f>IFERROR(__xludf.DUMMYFUNCTION("""COMPUTED_VALUE"""),4939.0)</f>
        <v>4939</v>
      </c>
      <c r="D409" s="5">
        <f>IFERROR(__xludf.DUMMYFUNCTION("""COMPUTED_VALUE"""),0.3319299800576113)</f>
        <v>0.3319299801</v>
      </c>
      <c r="E409" s="5">
        <f>IFERROR(__xludf.DUMMYFUNCTION("""COMPUTED_VALUE"""),0.1497894970086417)</f>
        <v>0.149789497</v>
      </c>
      <c r="F409" s="5">
        <f>IFERROR(__xludf.DUMMYFUNCTION("""COMPUTED_VALUE"""),0.1961001551074673)</f>
        <v>0.1961001551</v>
      </c>
      <c r="G409" s="5">
        <f>IFERROR(__xludf.DUMMYFUNCTION("""COMPUTED_VALUE"""),0.1438067804121427)</f>
        <v>0.1438067804</v>
      </c>
      <c r="H409" s="5">
        <f>IFERROR(__xludf.DUMMYFUNCTION("""COMPUTED_VALUE"""),0.5615819209039548)</f>
        <v>0.5615819209</v>
      </c>
      <c r="I409" s="11">
        <f>IFERROR(__xludf.DUMMYFUNCTION("""COMPUTED_VALUE"""),6246.892655367232)</f>
        <v>6246.892655</v>
      </c>
      <c r="J409" s="10">
        <f>IFERROR(__xludf.DUMMYFUNCTION("""COMPUTED_VALUE"""),1.0)</f>
        <v>1</v>
      </c>
      <c r="K409" s="5">
        <f>IFERROR(__xludf.DUMMYFUNCTION("""COMPUTED_VALUE"""),0.002347417840375587)</f>
        <v>0.00234741784</v>
      </c>
      <c r="L409" s="10">
        <f>IFERROR(__xludf.DUMMYFUNCTION("""COMPUTED_VALUE"""),426.0)</f>
        <v>426</v>
      </c>
      <c r="M409" s="5">
        <f>IFERROR(__xludf.DUMMYFUNCTION("""COMPUTED_VALUE"""),1.0)</f>
        <v>1</v>
      </c>
    </row>
    <row r="410">
      <c r="A410" s="10" t="str">
        <f>IFERROR(__xludf.DUMMYFUNCTION("""COMPUTED_VALUE"""),"桃枝絵留々")</f>
        <v>桃枝絵留々</v>
      </c>
      <c r="B410" s="10">
        <f>IFERROR(__xludf.DUMMYFUNCTION("""COMPUTED_VALUE"""),132.0)</f>
        <v>132</v>
      </c>
      <c r="C410" s="10">
        <f>IFERROR(__xludf.DUMMYFUNCTION("""COMPUTED_VALUE"""),1474.0)</f>
        <v>1474</v>
      </c>
      <c r="D410" s="5">
        <f>IFERROR(__xludf.DUMMYFUNCTION("""COMPUTED_VALUE"""),0.3144560357675112)</f>
        <v>0.3144560358</v>
      </c>
      <c r="E410" s="5">
        <f>IFERROR(__xludf.DUMMYFUNCTION("""COMPUTED_VALUE"""),0.1497764530551416)</f>
        <v>0.1497764531</v>
      </c>
      <c r="F410" s="5">
        <f>IFERROR(__xludf.DUMMYFUNCTION("""COMPUTED_VALUE"""),0.21609538002980627)</f>
        <v>0.21609538</v>
      </c>
      <c r="G410" s="5">
        <f>IFERROR(__xludf.DUMMYFUNCTION("""COMPUTED_VALUE"""),0.1721311475409836)</f>
        <v>0.1721311475</v>
      </c>
      <c r="H410" s="5">
        <f>IFERROR(__xludf.DUMMYFUNCTION("""COMPUTED_VALUE"""),0.6172413793103448)</f>
        <v>0.6172413793</v>
      </c>
      <c r="I410" s="11">
        <f>IFERROR(__xludf.DUMMYFUNCTION("""COMPUTED_VALUE"""),5436.551724137931)</f>
        <v>5436.551724</v>
      </c>
      <c r="J410" s="10">
        <f>IFERROR(__xludf.DUMMYFUNCTION("""COMPUTED_VALUE"""),1.0)</f>
        <v>1</v>
      </c>
      <c r="K410" s="5">
        <f>IFERROR(__xludf.DUMMYFUNCTION("""COMPUTED_VALUE"""),0.007575757575757576)</f>
        <v>0.007575757576</v>
      </c>
      <c r="L410" s="10">
        <f>IFERROR(__xludf.DUMMYFUNCTION("""COMPUTED_VALUE"""),0.0)</f>
        <v>0</v>
      </c>
      <c r="M410" s="5">
        <f>IFERROR(__xludf.DUMMYFUNCTION("""COMPUTED_VALUE"""),0.0)</f>
        <v>0</v>
      </c>
    </row>
    <row r="411">
      <c r="A411" s="10" t="str">
        <f>IFERROR(__xludf.DUMMYFUNCTION("""COMPUTED_VALUE"""),"Ninomiya")</f>
        <v>Ninomiya</v>
      </c>
      <c r="B411" s="10">
        <f>IFERROR(__xludf.DUMMYFUNCTION("""COMPUTED_VALUE"""),204.0)</f>
        <v>204</v>
      </c>
      <c r="C411" s="10">
        <f>IFERROR(__xludf.DUMMYFUNCTION("""COMPUTED_VALUE"""),2341.0)</f>
        <v>2341</v>
      </c>
      <c r="D411" s="5">
        <f>IFERROR(__xludf.DUMMYFUNCTION("""COMPUTED_VALUE"""),0.3687412260177819)</f>
        <v>0.368741226</v>
      </c>
      <c r="E411" s="5">
        <f>IFERROR(__xludf.DUMMYFUNCTION("""COMPUTED_VALUE"""),0.14974262985493683)</f>
        <v>0.1497426299</v>
      </c>
      <c r="F411" s="5">
        <f>IFERROR(__xludf.DUMMYFUNCTION("""COMPUTED_VALUE"""),0.22508189050070193)</f>
        <v>0.2250818905</v>
      </c>
      <c r="G411" s="5">
        <f>IFERROR(__xludf.DUMMYFUNCTION("""COMPUTED_VALUE"""),0.1665886757136172)</f>
        <v>0.1665886757</v>
      </c>
      <c r="H411" s="5">
        <f>IFERROR(__xludf.DUMMYFUNCTION("""COMPUTED_VALUE"""),0.6174636174636174)</f>
        <v>0.6174636175</v>
      </c>
      <c r="I411" s="11">
        <f>IFERROR(__xludf.DUMMYFUNCTION("""COMPUTED_VALUE"""),5705.405405405405)</f>
        <v>5705.405405</v>
      </c>
      <c r="J411" s="10">
        <f>IFERROR(__xludf.DUMMYFUNCTION("""COMPUTED_VALUE"""),2.0)</f>
        <v>2</v>
      </c>
      <c r="K411" s="5">
        <f>IFERROR(__xludf.DUMMYFUNCTION("""COMPUTED_VALUE"""),0.00980392156862745)</f>
        <v>0.009803921569</v>
      </c>
      <c r="L411" s="10">
        <f>IFERROR(__xludf.DUMMYFUNCTION("""COMPUTED_VALUE"""),204.0)</f>
        <v>204</v>
      </c>
      <c r="M411" s="5">
        <f>IFERROR(__xludf.DUMMYFUNCTION("""COMPUTED_VALUE"""),1.0)</f>
        <v>1</v>
      </c>
    </row>
    <row r="412">
      <c r="A412" s="10" t="str">
        <f>IFERROR(__xludf.DUMMYFUNCTION("""COMPUTED_VALUE"""),"pcgenjin")</f>
        <v>pcgenjin</v>
      </c>
      <c r="B412" s="10">
        <f>IFERROR(__xludf.DUMMYFUNCTION("""COMPUTED_VALUE"""),766.0)</f>
        <v>766</v>
      </c>
      <c r="C412" s="10">
        <f>IFERROR(__xludf.DUMMYFUNCTION("""COMPUTED_VALUE"""),8971.0)</f>
        <v>8971</v>
      </c>
      <c r="D412" s="5">
        <f>IFERROR(__xludf.DUMMYFUNCTION("""COMPUTED_VALUE"""),0.30054844606946984)</f>
        <v>0.3005484461</v>
      </c>
      <c r="E412" s="5">
        <f>IFERROR(__xludf.DUMMYFUNCTION("""COMPUTED_VALUE"""),0.14966483851310178)</f>
        <v>0.1496648385</v>
      </c>
      <c r="F412" s="5">
        <f>IFERROR(__xludf.DUMMYFUNCTION("""COMPUTED_VALUE"""),0.21852528945764776)</f>
        <v>0.2185252895</v>
      </c>
      <c r="G412" s="5">
        <f>IFERROR(__xludf.DUMMYFUNCTION("""COMPUTED_VALUE"""),0.2036563071297989)</f>
        <v>0.2036563071</v>
      </c>
      <c r="H412" s="5">
        <f>IFERROR(__xludf.DUMMYFUNCTION("""COMPUTED_VALUE"""),0.5906302286670385)</f>
        <v>0.5906302287</v>
      </c>
      <c r="I412" s="11">
        <f>IFERROR(__xludf.DUMMYFUNCTION("""COMPUTED_VALUE"""),5862.13050752928)</f>
        <v>5862.130508</v>
      </c>
      <c r="J412" s="10">
        <f>IFERROR(__xludf.DUMMYFUNCTION("""COMPUTED_VALUE"""),3.0)</f>
        <v>3</v>
      </c>
      <c r="K412" s="5">
        <f>IFERROR(__xludf.DUMMYFUNCTION("""COMPUTED_VALUE"""),0.0039164490861618795)</f>
        <v>0.003916449086</v>
      </c>
      <c r="L412" s="10">
        <f>IFERROR(__xludf.DUMMYFUNCTION("""COMPUTED_VALUE"""),766.0)</f>
        <v>766</v>
      </c>
      <c r="M412" s="5">
        <f>IFERROR(__xludf.DUMMYFUNCTION("""COMPUTED_VALUE"""),1.0)</f>
        <v>1</v>
      </c>
    </row>
    <row r="413">
      <c r="A413" s="10" t="str">
        <f>IFERROR(__xludf.DUMMYFUNCTION("""COMPUTED_VALUE"""),"トレインNew")</f>
        <v>トレインNew</v>
      </c>
      <c r="B413" s="10">
        <f>IFERROR(__xludf.DUMMYFUNCTION("""COMPUTED_VALUE"""),149.0)</f>
        <v>149</v>
      </c>
      <c r="C413" s="10">
        <f>IFERROR(__xludf.DUMMYFUNCTION("""COMPUTED_VALUE"""),1786.0)</f>
        <v>1786</v>
      </c>
      <c r="D413" s="5">
        <f>IFERROR(__xludf.DUMMYFUNCTION("""COMPUTED_VALUE"""),0.3164324984728161)</f>
        <v>0.3164324985</v>
      </c>
      <c r="E413" s="5">
        <f>IFERROR(__xludf.DUMMYFUNCTION("""COMPUTED_VALUE"""),0.14966401954795358)</f>
        <v>0.1496640195</v>
      </c>
      <c r="F413" s="5">
        <f>IFERROR(__xludf.DUMMYFUNCTION("""COMPUTED_VALUE"""),0.20158827122785583)</f>
        <v>0.2015882712</v>
      </c>
      <c r="G413" s="5">
        <f>IFERROR(__xludf.DUMMYFUNCTION("""COMPUTED_VALUE"""),0.1533292608430055)</f>
        <v>0.1533292608</v>
      </c>
      <c r="H413" s="5">
        <f>IFERROR(__xludf.DUMMYFUNCTION("""COMPUTED_VALUE"""),0.5606060606060606)</f>
        <v>0.5606060606</v>
      </c>
      <c r="I413" s="11">
        <f>IFERROR(__xludf.DUMMYFUNCTION("""COMPUTED_VALUE"""),5998.181818181818)</f>
        <v>5998.181818</v>
      </c>
      <c r="J413" s="10">
        <f>IFERROR(__xludf.DUMMYFUNCTION("""COMPUTED_VALUE"""),1.0)</f>
        <v>1</v>
      </c>
      <c r="K413" s="5">
        <f>IFERROR(__xludf.DUMMYFUNCTION("""COMPUTED_VALUE"""),0.006711409395973154)</f>
        <v>0.006711409396</v>
      </c>
      <c r="L413" s="10">
        <f>IFERROR(__xludf.DUMMYFUNCTION("""COMPUTED_VALUE"""),149.0)</f>
        <v>149</v>
      </c>
      <c r="M413" s="5">
        <f>IFERROR(__xludf.DUMMYFUNCTION("""COMPUTED_VALUE"""),1.0)</f>
        <v>1</v>
      </c>
    </row>
    <row r="414">
      <c r="A414" s="10" t="str">
        <f>IFERROR(__xludf.DUMMYFUNCTION("""COMPUTED_VALUE"""),"bu-bu-")</f>
        <v>bu-bu-</v>
      </c>
      <c r="B414" s="10">
        <f>IFERROR(__xludf.DUMMYFUNCTION("""COMPUTED_VALUE"""),294.0)</f>
        <v>294</v>
      </c>
      <c r="C414" s="10">
        <f>IFERROR(__xludf.DUMMYFUNCTION("""COMPUTED_VALUE"""),3515.0)</f>
        <v>3515</v>
      </c>
      <c r="D414" s="5">
        <f>IFERROR(__xludf.DUMMYFUNCTION("""COMPUTED_VALUE"""),0.3942874883576529)</f>
        <v>0.3942874884</v>
      </c>
      <c r="E414" s="5">
        <f>IFERROR(__xludf.DUMMYFUNCTION("""COMPUTED_VALUE"""),0.1496429680223533)</f>
        <v>0.149642968</v>
      </c>
      <c r="F414" s="5">
        <f>IFERROR(__xludf.DUMMYFUNCTION("""COMPUTED_VALUE"""),0.20894132257063025)</f>
        <v>0.2089413226</v>
      </c>
      <c r="G414" s="5">
        <f>IFERROR(__xludf.DUMMYFUNCTION("""COMPUTED_VALUE"""),0.15336851909344923)</f>
        <v>0.1533685191</v>
      </c>
      <c r="H414" s="5">
        <f>IFERROR(__xludf.DUMMYFUNCTION("""COMPUTED_VALUE"""),0.5898959881129272)</f>
        <v>0.5898959881</v>
      </c>
      <c r="I414" s="11">
        <f>IFERROR(__xludf.DUMMYFUNCTION("""COMPUTED_VALUE"""),5465.676077265974)</f>
        <v>5465.676077</v>
      </c>
      <c r="J414" s="10">
        <f>IFERROR(__xludf.DUMMYFUNCTION("""COMPUTED_VALUE"""),0.0)</f>
        <v>0</v>
      </c>
      <c r="K414" s="5">
        <f>IFERROR(__xludf.DUMMYFUNCTION("""COMPUTED_VALUE"""),0.0)</f>
        <v>0</v>
      </c>
      <c r="L414" s="10">
        <f>IFERROR(__xludf.DUMMYFUNCTION("""COMPUTED_VALUE"""),294.0)</f>
        <v>294</v>
      </c>
      <c r="M414" s="5">
        <f>IFERROR(__xludf.DUMMYFUNCTION("""COMPUTED_VALUE"""),1.0)</f>
        <v>1</v>
      </c>
    </row>
    <row r="415">
      <c r="A415" s="10" t="str">
        <f>IFERROR(__xludf.DUMMYFUNCTION("""COMPUTED_VALUE"""),"＠やなぎ")</f>
        <v>＠やなぎ</v>
      </c>
      <c r="B415" s="10">
        <f>IFERROR(__xludf.DUMMYFUNCTION("""COMPUTED_VALUE"""),101.0)</f>
        <v>101</v>
      </c>
      <c r="C415" s="10">
        <f>IFERROR(__xludf.DUMMYFUNCTION("""COMPUTED_VALUE"""),1197.0)</f>
        <v>1197</v>
      </c>
      <c r="D415" s="5">
        <f>IFERROR(__xludf.DUMMYFUNCTION("""COMPUTED_VALUE"""),0.36222627737226276)</f>
        <v>0.3622262774</v>
      </c>
      <c r="E415" s="5">
        <f>IFERROR(__xludf.DUMMYFUNCTION("""COMPUTED_VALUE"""),0.14963503649635038)</f>
        <v>0.1496350365</v>
      </c>
      <c r="F415" s="5">
        <f>IFERROR(__xludf.DUMMYFUNCTION("""COMPUTED_VALUE"""),0.21350364963503649)</f>
        <v>0.2135036496</v>
      </c>
      <c r="G415" s="5">
        <f>IFERROR(__xludf.DUMMYFUNCTION("""COMPUTED_VALUE"""),0.19981751824817517)</f>
        <v>0.1998175182</v>
      </c>
      <c r="H415" s="5">
        <f>IFERROR(__xludf.DUMMYFUNCTION("""COMPUTED_VALUE"""),0.6153846153846154)</f>
        <v>0.6153846154</v>
      </c>
      <c r="I415" s="11">
        <f>IFERROR(__xludf.DUMMYFUNCTION("""COMPUTED_VALUE"""),5788.461538461538)</f>
        <v>5788.461538</v>
      </c>
      <c r="J415" s="10">
        <f>IFERROR(__xludf.DUMMYFUNCTION("""COMPUTED_VALUE"""),0.0)</f>
        <v>0</v>
      </c>
      <c r="K415" s="5">
        <f>IFERROR(__xludf.DUMMYFUNCTION("""COMPUTED_VALUE"""),0.0)</f>
        <v>0</v>
      </c>
      <c r="L415" s="10">
        <f>IFERROR(__xludf.DUMMYFUNCTION("""COMPUTED_VALUE"""),0.0)</f>
        <v>0</v>
      </c>
      <c r="M415" s="5">
        <f>IFERROR(__xludf.DUMMYFUNCTION("""COMPUTED_VALUE"""),0.0)</f>
        <v>0</v>
      </c>
    </row>
    <row r="416">
      <c r="A416" s="10" t="str">
        <f>IFERROR(__xludf.DUMMYFUNCTION("""COMPUTED_VALUE"""),"MlYA")</f>
        <v>MlYA</v>
      </c>
      <c r="B416" s="10">
        <f>IFERROR(__xludf.DUMMYFUNCTION("""COMPUTED_VALUE"""),225.0)</f>
        <v>225</v>
      </c>
      <c r="C416" s="10">
        <f>IFERROR(__xludf.DUMMYFUNCTION("""COMPUTED_VALUE"""),2591.0)</f>
        <v>2591</v>
      </c>
      <c r="D416" s="5">
        <f>IFERROR(__xludf.DUMMYFUNCTION("""COMPUTED_VALUE"""),0.29501267962806427)</f>
        <v>0.2950126796</v>
      </c>
      <c r="E416" s="5">
        <f>IFERROR(__xludf.DUMMYFUNCTION("""COMPUTED_VALUE"""),0.1496196111580727)</f>
        <v>0.1496196112</v>
      </c>
      <c r="F416" s="5">
        <f>IFERROR(__xludf.DUMMYFUNCTION("""COMPUTED_VALUE"""),0.2180896027049873)</f>
        <v>0.2180896027</v>
      </c>
      <c r="G416" s="5">
        <f>IFERROR(__xludf.DUMMYFUNCTION("""COMPUTED_VALUE"""),0.2032967032967033)</f>
        <v>0.2032967033</v>
      </c>
      <c r="H416" s="5">
        <f>IFERROR(__xludf.DUMMYFUNCTION("""COMPUTED_VALUE"""),0.5891472868217055)</f>
        <v>0.5891472868</v>
      </c>
      <c r="I416" s="11">
        <f>IFERROR(__xludf.DUMMYFUNCTION("""COMPUTED_VALUE"""),5796.899224806201)</f>
        <v>5796.899225</v>
      </c>
      <c r="J416" s="10">
        <f>IFERROR(__xludf.DUMMYFUNCTION("""COMPUTED_VALUE"""),0.0)</f>
        <v>0</v>
      </c>
      <c r="K416" s="5">
        <f>IFERROR(__xludf.DUMMYFUNCTION("""COMPUTED_VALUE"""),0.0)</f>
        <v>0</v>
      </c>
      <c r="L416" s="10">
        <f>IFERROR(__xludf.DUMMYFUNCTION("""COMPUTED_VALUE"""),126.0)</f>
        <v>126</v>
      </c>
      <c r="M416" s="5">
        <f>IFERROR(__xludf.DUMMYFUNCTION("""COMPUTED_VALUE"""),0.56)</f>
        <v>0.56</v>
      </c>
    </row>
    <row r="417">
      <c r="A417" s="10" t="str">
        <f>IFERROR(__xludf.DUMMYFUNCTION("""COMPUTED_VALUE"""),"鈴丸")</f>
        <v>鈴丸</v>
      </c>
      <c r="B417" s="10">
        <f>IFERROR(__xludf.DUMMYFUNCTION("""COMPUTED_VALUE"""),300.0)</f>
        <v>300</v>
      </c>
      <c r="C417" s="10">
        <f>IFERROR(__xludf.DUMMYFUNCTION("""COMPUTED_VALUE"""),3495.0)</f>
        <v>3495</v>
      </c>
      <c r="D417" s="5">
        <f>IFERROR(__xludf.DUMMYFUNCTION("""COMPUTED_VALUE"""),0.36964006259780907)</f>
        <v>0.3696400626</v>
      </c>
      <c r="E417" s="5">
        <f>IFERROR(__xludf.DUMMYFUNCTION("""COMPUTED_VALUE"""),0.14960876369327072)</f>
        <v>0.1496087637</v>
      </c>
      <c r="F417" s="5">
        <f>IFERROR(__xludf.DUMMYFUNCTION("""COMPUTED_VALUE"""),0.23411580594679185)</f>
        <v>0.2341158059</v>
      </c>
      <c r="G417" s="5">
        <f>IFERROR(__xludf.DUMMYFUNCTION("""COMPUTED_VALUE"""),0.19467918622848202)</f>
        <v>0.1946791862</v>
      </c>
      <c r="H417" s="5">
        <f>IFERROR(__xludf.DUMMYFUNCTION("""COMPUTED_VALUE"""),0.6082887700534759)</f>
        <v>0.6082887701</v>
      </c>
      <c r="I417" s="11">
        <f>IFERROR(__xludf.DUMMYFUNCTION("""COMPUTED_VALUE"""),5437.299465240641)</f>
        <v>5437.299465</v>
      </c>
      <c r="J417" s="10">
        <f>IFERROR(__xludf.DUMMYFUNCTION("""COMPUTED_VALUE"""),0.0)</f>
        <v>0</v>
      </c>
      <c r="K417" s="5">
        <f>IFERROR(__xludf.DUMMYFUNCTION("""COMPUTED_VALUE"""),0.0)</f>
        <v>0</v>
      </c>
      <c r="L417" s="10">
        <f>IFERROR(__xludf.DUMMYFUNCTION("""COMPUTED_VALUE"""),300.0)</f>
        <v>300</v>
      </c>
      <c r="M417" s="5">
        <f>IFERROR(__xludf.DUMMYFUNCTION("""COMPUTED_VALUE"""),1.0)</f>
        <v>1</v>
      </c>
    </row>
    <row r="418">
      <c r="A418" s="10" t="str">
        <f>IFERROR(__xludf.DUMMYFUNCTION("""COMPUTED_VALUE"""),"テセラック")</f>
        <v>テセラック</v>
      </c>
      <c r="B418" s="10">
        <f>IFERROR(__xludf.DUMMYFUNCTION("""COMPUTED_VALUE"""),174.0)</f>
        <v>174</v>
      </c>
      <c r="C418" s="10">
        <f>IFERROR(__xludf.DUMMYFUNCTION("""COMPUTED_VALUE"""),2059.0)</f>
        <v>2059</v>
      </c>
      <c r="D418" s="5">
        <f>IFERROR(__xludf.DUMMYFUNCTION("""COMPUTED_VALUE"""),0.2875331564986737)</f>
        <v>0.2875331565</v>
      </c>
      <c r="E418" s="5">
        <f>IFERROR(__xludf.DUMMYFUNCTION("""COMPUTED_VALUE"""),0.1496021220159151)</f>
        <v>0.149602122</v>
      </c>
      <c r="F418" s="5">
        <f>IFERROR(__xludf.DUMMYFUNCTION("""COMPUTED_VALUE"""),0.21061007957559683)</f>
        <v>0.2106100796</v>
      </c>
      <c r="G418" s="5">
        <f>IFERROR(__xludf.DUMMYFUNCTION("""COMPUTED_VALUE"""),0.24297082228116712)</f>
        <v>0.2429708223</v>
      </c>
      <c r="H418" s="5">
        <f>IFERROR(__xludf.DUMMYFUNCTION("""COMPUTED_VALUE"""),0.5516372795969773)</f>
        <v>0.5516372796</v>
      </c>
      <c r="I418" s="11">
        <f>IFERROR(__xludf.DUMMYFUNCTION("""COMPUTED_VALUE"""),5553.904282115869)</f>
        <v>5553.904282</v>
      </c>
      <c r="J418" s="10">
        <f>IFERROR(__xludf.DUMMYFUNCTION("""COMPUTED_VALUE"""),0.0)</f>
        <v>0</v>
      </c>
      <c r="K418" s="5">
        <f>IFERROR(__xludf.DUMMYFUNCTION("""COMPUTED_VALUE"""),0.0)</f>
        <v>0</v>
      </c>
      <c r="L418" s="10">
        <f>IFERROR(__xludf.DUMMYFUNCTION("""COMPUTED_VALUE"""),81.0)</f>
        <v>81</v>
      </c>
      <c r="M418" s="5">
        <f>IFERROR(__xludf.DUMMYFUNCTION("""COMPUTED_VALUE"""),0.46551724137931033)</f>
        <v>0.4655172414</v>
      </c>
    </row>
    <row r="419">
      <c r="A419" s="10" t="str">
        <f>IFERROR(__xludf.DUMMYFUNCTION("""COMPUTED_VALUE"""),"椎野きらり")</f>
        <v>椎野きらり</v>
      </c>
      <c r="B419" s="10">
        <f>IFERROR(__xludf.DUMMYFUNCTION("""COMPUTED_VALUE"""),456.0)</f>
        <v>456</v>
      </c>
      <c r="C419" s="10">
        <f>IFERROR(__xludf.DUMMYFUNCTION("""COMPUTED_VALUE"""),5289.0)</f>
        <v>5289</v>
      </c>
      <c r="D419" s="5">
        <f>IFERROR(__xludf.DUMMYFUNCTION("""COMPUTED_VALUE"""),0.3639561349058556)</f>
        <v>0.3639561349</v>
      </c>
      <c r="E419" s="5">
        <f>IFERROR(__xludf.DUMMYFUNCTION("""COMPUTED_VALUE"""),0.14959652389819988)</f>
        <v>0.1495965239</v>
      </c>
      <c r="F419" s="5">
        <f>IFERROR(__xludf.DUMMYFUNCTION("""COMPUTED_VALUE"""),0.21084212704324437)</f>
        <v>0.210842127</v>
      </c>
      <c r="G419" s="5">
        <f>IFERROR(__xludf.DUMMYFUNCTION("""COMPUTED_VALUE"""),0.16242499482722947)</f>
        <v>0.1624249948</v>
      </c>
      <c r="H419" s="5">
        <f>IFERROR(__xludf.DUMMYFUNCTION("""COMPUTED_VALUE"""),0.5858684985279686)</f>
        <v>0.5858684985</v>
      </c>
      <c r="I419" s="11">
        <f>IFERROR(__xludf.DUMMYFUNCTION("""COMPUTED_VALUE"""),5751.521099116781)</f>
        <v>5751.521099</v>
      </c>
      <c r="J419" s="10">
        <f>IFERROR(__xludf.DUMMYFUNCTION("""COMPUTED_VALUE"""),3.0)</f>
        <v>3</v>
      </c>
      <c r="K419" s="5">
        <f>IFERROR(__xludf.DUMMYFUNCTION("""COMPUTED_VALUE"""),0.006578947368421052)</f>
        <v>0.006578947368</v>
      </c>
      <c r="L419" s="10">
        <f>IFERROR(__xludf.DUMMYFUNCTION("""COMPUTED_VALUE"""),0.0)</f>
        <v>0</v>
      </c>
      <c r="M419" s="5">
        <f>IFERROR(__xludf.DUMMYFUNCTION("""COMPUTED_VALUE"""),0.0)</f>
        <v>0</v>
      </c>
    </row>
    <row r="420">
      <c r="A420" s="10" t="str">
        <f>IFERROR(__xludf.DUMMYFUNCTION("""COMPUTED_VALUE"""),"麻中J@NKY")</f>
        <v>麻中J@NKY</v>
      </c>
      <c r="B420" s="10">
        <f>IFERROR(__xludf.DUMMYFUNCTION("""COMPUTED_VALUE"""),129.0)</f>
        <v>129</v>
      </c>
      <c r="C420" s="10">
        <f>IFERROR(__xludf.DUMMYFUNCTION("""COMPUTED_VALUE"""),1533.0)</f>
        <v>1533</v>
      </c>
      <c r="D420" s="5">
        <f>IFERROR(__xludf.DUMMYFUNCTION("""COMPUTED_VALUE"""),0.3525641025641026)</f>
        <v>0.3525641026</v>
      </c>
      <c r="E420" s="5">
        <f>IFERROR(__xludf.DUMMYFUNCTION("""COMPUTED_VALUE"""),0.14957264957264957)</f>
        <v>0.1495726496</v>
      </c>
      <c r="F420" s="5">
        <f>IFERROR(__xludf.DUMMYFUNCTION("""COMPUTED_VALUE"""),0.2094017094017094)</f>
        <v>0.2094017094</v>
      </c>
      <c r="G420" s="5">
        <f>IFERROR(__xludf.DUMMYFUNCTION("""COMPUTED_VALUE"""),0.1267806267806268)</f>
        <v>0.1267806268</v>
      </c>
      <c r="H420" s="5">
        <f>IFERROR(__xludf.DUMMYFUNCTION("""COMPUTED_VALUE"""),0.5578231292517006)</f>
        <v>0.5578231293</v>
      </c>
      <c r="I420" s="11">
        <f>IFERROR(__xludf.DUMMYFUNCTION("""COMPUTED_VALUE"""),5479.591836734694)</f>
        <v>5479.591837</v>
      </c>
      <c r="J420" s="10">
        <f>IFERROR(__xludf.DUMMYFUNCTION("""COMPUTED_VALUE"""),0.0)</f>
        <v>0</v>
      </c>
      <c r="K420" s="5">
        <f>IFERROR(__xludf.DUMMYFUNCTION("""COMPUTED_VALUE"""),0.0)</f>
        <v>0</v>
      </c>
      <c r="L420" s="10">
        <f>IFERROR(__xludf.DUMMYFUNCTION("""COMPUTED_VALUE"""),129.0)</f>
        <v>129</v>
      </c>
      <c r="M420" s="5">
        <f>IFERROR(__xludf.DUMMYFUNCTION("""COMPUTED_VALUE"""),1.0)</f>
        <v>1</v>
      </c>
    </row>
    <row r="421">
      <c r="A421" s="10" t="str">
        <f>IFERROR(__xludf.DUMMYFUNCTION("""COMPUTED_VALUE"""),"コンチⅢ")</f>
        <v>コンチⅢ</v>
      </c>
      <c r="B421" s="10">
        <f>IFERROR(__xludf.DUMMYFUNCTION("""COMPUTED_VALUE"""),1076.0)</f>
        <v>1076</v>
      </c>
      <c r="C421" s="10">
        <f>IFERROR(__xludf.DUMMYFUNCTION("""COMPUTED_VALUE"""),12636.0)</f>
        <v>12636</v>
      </c>
      <c r="D421" s="5">
        <f>IFERROR(__xludf.DUMMYFUNCTION("""COMPUTED_VALUE"""),0.3773356401384083)</f>
        <v>0.3773356401</v>
      </c>
      <c r="E421" s="5">
        <f>IFERROR(__xludf.DUMMYFUNCTION("""COMPUTED_VALUE"""),0.1495674740484429)</f>
        <v>0.149567474</v>
      </c>
      <c r="F421" s="5">
        <f>IFERROR(__xludf.DUMMYFUNCTION("""COMPUTED_VALUE"""),0.21522491349480968)</f>
        <v>0.2152249135</v>
      </c>
      <c r="G421" s="5">
        <f>IFERROR(__xludf.DUMMYFUNCTION("""COMPUTED_VALUE"""),0.18598615916955016)</f>
        <v>0.1859861592</v>
      </c>
      <c r="H421" s="5">
        <f>IFERROR(__xludf.DUMMYFUNCTION("""COMPUTED_VALUE"""),0.5831993569131833)</f>
        <v>0.5831993569</v>
      </c>
      <c r="I421" s="11">
        <f>IFERROR(__xludf.DUMMYFUNCTION("""COMPUTED_VALUE"""),6030.305466237942)</f>
        <v>6030.305466</v>
      </c>
      <c r="J421" s="10">
        <f>IFERROR(__xludf.DUMMYFUNCTION("""COMPUTED_VALUE"""),3.0)</f>
        <v>3</v>
      </c>
      <c r="K421" s="5">
        <f>IFERROR(__xludf.DUMMYFUNCTION("""COMPUTED_VALUE"""),0.0027881040892193307)</f>
        <v>0.002788104089</v>
      </c>
      <c r="L421" s="10">
        <f>IFERROR(__xludf.DUMMYFUNCTION("""COMPUTED_VALUE"""),1076.0)</f>
        <v>1076</v>
      </c>
      <c r="M421" s="5">
        <f>IFERROR(__xludf.DUMMYFUNCTION("""COMPUTED_VALUE"""),1.0)</f>
        <v>1</v>
      </c>
    </row>
    <row r="422">
      <c r="A422" s="10" t="str">
        <f>IFERROR(__xludf.DUMMYFUNCTION("""COMPUTED_VALUE"""),"オリザニン")</f>
        <v>オリザニン</v>
      </c>
      <c r="B422" s="10">
        <f>IFERROR(__xludf.DUMMYFUNCTION("""COMPUTED_VALUE"""),180.0)</f>
        <v>180</v>
      </c>
      <c r="C422" s="10">
        <f>IFERROR(__xludf.DUMMYFUNCTION("""COMPUTED_VALUE"""),2079.0)</f>
        <v>2079</v>
      </c>
      <c r="D422" s="5">
        <f>IFERROR(__xludf.DUMMYFUNCTION("""COMPUTED_VALUE"""),0.3701948393891522)</f>
        <v>0.3701948394</v>
      </c>
      <c r="E422" s="5">
        <f>IFERROR(__xludf.DUMMYFUNCTION("""COMPUTED_VALUE"""),0.14955239599789363)</f>
        <v>0.149552396</v>
      </c>
      <c r="F422" s="5">
        <f>IFERROR(__xludf.DUMMYFUNCTION("""COMPUTED_VALUE"""),0.20115850447604003)</f>
        <v>0.2011585045</v>
      </c>
      <c r="G422" s="5">
        <f>IFERROR(__xludf.DUMMYFUNCTION("""COMPUTED_VALUE"""),0.16798314902580305)</f>
        <v>0.167983149</v>
      </c>
      <c r="H422" s="5">
        <f>IFERROR(__xludf.DUMMYFUNCTION("""COMPUTED_VALUE"""),0.5890052356020943)</f>
        <v>0.5890052356</v>
      </c>
      <c r="I422" s="11">
        <f>IFERROR(__xludf.DUMMYFUNCTION("""COMPUTED_VALUE"""),5687.958115183246)</f>
        <v>5687.958115</v>
      </c>
      <c r="J422" s="10">
        <f>IFERROR(__xludf.DUMMYFUNCTION("""COMPUTED_VALUE"""),0.0)</f>
        <v>0</v>
      </c>
      <c r="K422" s="5">
        <f>IFERROR(__xludf.DUMMYFUNCTION("""COMPUTED_VALUE"""),0.0)</f>
        <v>0</v>
      </c>
      <c r="L422" s="10">
        <f>IFERROR(__xludf.DUMMYFUNCTION("""COMPUTED_VALUE"""),180.0)</f>
        <v>180</v>
      </c>
      <c r="M422" s="5">
        <f>IFERROR(__xludf.DUMMYFUNCTION("""COMPUTED_VALUE"""),1.0)</f>
        <v>1</v>
      </c>
    </row>
    <row r="423">
      <c r="A423" s="10" t="str">
        <f>IFERROR(__xludf.DUMMYFUNCTION("""COMPUTED_VALUE"""),"☆あみらぶ☆")</f>
        <v>☆あみらぶ☆</v>
      </c>
      <c r="B423" s="10">
        <f>IFERROR(__xludf.DUMMYFUNCTION("""COMPUTED_VALUE"""),273.0)</f>
        <v>273</v>
      </c>
      <c r="C423" s="10">
        <f>IFERROR(__xludf.DUMMYFUNCTION("""COMPUTED_VALUE"""),3203.0)</f>
        <v>3203</v>
      </c>
      <c r="D423" s="5">
        <f>IFERROR(__xludf.DUMMYFUNCTION("""COMPUTED_VALUE"""),0.3658703071672355)</f>
        <v>0.3658703072</v>
      </c>
      <c r="E423" s="5">
        <f>IFERROR(__xludf.DUMMYFUNCTION("""COMPUTED_VALUE"""),0.14948805460750852)</f>
        <v>0.1494880546</v>
      </c>
      <c r="F423" s="5">
        <f>IFERROR(__xludf.DUMMYFUNCTION("""COMPUTED_VALUE"""),0.21228668941979523)</f>
        <v>0.2122866894</v>
      </c>
      <c r="G423" s="5">
        <f>IFERROR(__xludf.DUMMYFUNCTION("""COMPUTED_VALUE"""),0.1658703071672355)</f>
        <v>0.1658703072</v>
      </c>
      <c r="H423" s="5">
        <f>IFERROR(__xludf.DUMMYFUNCTION("""COMPUTED_VALUE"""),0.6061093247588425)</f>
        <v>0.6061093248</v>
      </c>
      <c r="I423" s="11">
        <f>IFERROR(__xludf.DUMMYFUNCTION("""COMPUTED_VALUE"""),5826.20578778135)</f>
        <v>5826.205788</v>
      </c>
      <c r="J423" s="10">
        <f>IFERROR(__xludf.DUMMYFUNCTION("""COMPUTED_VALUE"""),0.0)</f>
        <v>0</v>
      </c>
      <c r="K423" s="5">
        <f>IFERROR(__xludf.DUMMYFUNCTION("""COMPUTED_VALUE"""),0.0)</f>
        <v>0</v>
      </c>
      <c r="L423" s="10">
        <f>IFERROR(__xludf.DUMMYFUNCTION("""COMPUTED_VALUE"""),273.0)</f>
        <v>273</v>
      </c>
      <c r="M423" s="5">
        <f>IFERROR(__xludf.DUMMYFUNCTION("""COMPUTED_VALUE"""),1.0)</f>
        <v>1</v>
      </c>
    </row>
    <row r="424">
      <c r="A424" s="10" t="str">
        <f>IFERROR(__xludf.DUMMYFUNCTION("""COMPUTED_VALUE"""),"エセデジタル君")</f>
        <v>エセデジタル君</v>
      </c>
      <c r="B424" s="10">
        <f>IFERROR(__xludf.DUMMYFUNCTION("""COMPUTED_VALUE"""),301.0)</f>
        <v>301</v>
      </c>
      <c r="C424" s="10">
        <f>IFERROR(__xludf.DUMMYFUNCTION("""COMPUTED_VALUE"""),3559.0)</f>
        <v>3559</v>
      </c>
      <c r="D424" s="5">
        <f>IFERROR(__xludf.DUMMYFUNCTION("""COMPUTED_VALUE"""),0.3198281154082259)</f>
        <v>0.3198281154</v>
      </c>
      <c r="E424" s="5">
        <f>IFERROR(__xludf.DUMMYFUNCTION("""COMPUTED_VALUE"""),0.14947820748925722)</f>
        <v>0.1494782075</v>
      </c>
      <c r="F424" s="5">
        <f>IFERROR(__xludf.DUMMYFUNCTION("""COMPUTED_VALUE"""),0.23204419889502761)</f>
        <v>0.2320441989</v>
      </c>
      <c r="G424" s="5">
        <f>IFERROR(__xludf.DUMMYFUNCTION("""COMPUTED_VALUE"""),0.21731123388581952)</f>
        <v>0.2173112339</v>
      </c>
      <c r="H424" s="5">
        <f>IFERROR(__xludf.DUMMYFUNCTION("""COMPUTED_VALUE"""),0.5423280423280423)</f>
        <v>0.5423280423</v>
      </c>
      <c r="I424" s="11">
        <f>IFERROR(__xludf.DUMMYFUNCTION("""COMPUTED_VALUE"""),5205.291005291006)</f>
        <v>5205.291005</v>
      </c>
      <c r="J424" s="10">
        <f>IFERROR(__xludf.DUMMYFUNCTION("""COMPUTED_VALUE"""),0.0)</f>
        <v>0</v>
      </c>
      <c r="K424" s="5">
        <f>IFERROR(__xludf.DUMMYFUNCTION("""COMPUTED_VALUE"""),0.0)</f>
        <v>0</v>
      </c>
      <c r="L424" s="10">
        <f>IFERROR(__xludf.DUMMYFUNCTION("""COMPUTED_VALUE"""),301.0)</f>
        <v>301</v>
      </c>
      <c r="M424" s="5">
        <f>IFERROR(__xludf.DUMMYFUNCTION("""COMPUTED_VALUE"""),1.0)</f>
        <v>1</v>
      </c>
    </row>
    <row r="425">
      <c r="A425" s="10" t="str">
        <f>IFERROR(__xludf.DUMMYFUNCTION("""COMPUTED_VALUE"""),"黒旋風夢幻")</f>
        <v>黒旋風夢幻</v>
      </c>
      <c r="B425" s="10">
        <f>IFERROR(__xludf.DUMMYFUNCTION("""COMPUTED_VALUE"""),101.0)</f>
        <v>101</v>
      </c>
      <c r="C425" s="10">
        <f>IFERROR(__xludf.DUMMYFUNCTION("""COMPUTED_VALUE"""),1192.0)</f>
        <v>1192</v>
      </c>
      <c r="D425" s="5">
        <f>IFERROR(__xludf.DUMMYFUNCTION("""COMPUTED_VALUE"""),0.3363886342804766)</f>
        <v>0.3363886343</v>
      </c>
      <c r="E425" s="5">
        <f>IFERROR(__xludf.DUMMYFUNCTION("""COMPUTED_VALUE"""),0.14940421631530706)</f>
        <v>0.1494042163</v>
      </c>
      <c r="F425" s="5">
        <f>IFERROR(__xludf.DUMMYFUNCTION("""COMPUTED_VALUE"""),0.22548120989917506)</f>
        <v>0.2254812099</v>
      </c>
      <c r="G425" s="5">
        <f>IFERROR(__xludf.DUMMYFUNCTION("""COMPUTED_VALUE"""),0.17140238313473877)</f>
        <v>0.1714023831</v>
      </c>
      <c r="H425" s="5">
        <f>IFERROR(__xludf.DUMMYFUNCTION("""COMPUTED_VALUE"""),0.6666666666666666)</f>
        <v>0.6666666667</v>
      </c>
      <c r="I425" s="11">
        <f>IFERROR(__xludf.DUMMYFUNCTION("""COMPUTED_VALUE"""),5309.756097560976)</f>
        <v>5309.756098</v>
      </c>
      <c r="J425" s="10">
        <f>IFERROR(__xludf.DUMMYFUNCTION("""COMPUTED_VALUE"""),0.0)</f>
        <v>0</v>
      </c>
      <c r="K425" s="5">
        <f>IFERROR(__xludf.DUMMYFUNCTION("""COMPUTED_VALUE"""),0.0)</f>
        <v>0</v>
      </c>
      <c r="L425" s="10">
        <f>IFERROR(__xludf.DUMMYFUNCTION("""COMPUTED_VALUE"""),101.0)</f>
        <v>101</v>
      </c>
      <c r="M425" s="5">
        <f>IFERROR(__xludf.DUMMYFUNCTION("""COMPUTED_VALUE"""),1.0)</f>
        <v>1</v>
      </c>
    </row>
    <row r="426">
      <c r="A426" s="10" t="str">
        <f>IFERROR(__xludf.DUMMYFUNCTION("""COMPUTED_VALUE"""),"Paladin")</f>
        <v>Paladin</v>
      </c>
      <c r="B426" s="10">
        <f>IFERROR(__xludf.DUMMYFUNCTION("""COMPUTED_VALUE"""),141.0)</f>
        <v>141</v>
      </c>
      <c r="C426" s="10">
        <f>IFERROR(__xludf.DUMMYFUNCTION("""COMPUTED_VALUE"""),1627.0)</f>
        <v>1627</v>
      </c>
      <c r="D426" s="5">
        <f>IFERROR(__xludf.DUMMYFUNCTION("""COMPUTED_VALUE"""),0.3755047106325707)</f>
        <v>0.3755047106</v>
      </c>
      <c r="E426" s="5">
        <f>IFERROR(__xludf.DUMMYFUNCTION("""COMPUTED_VALUE"""),0.14939434724091522)</f>
        <v>0.1493943472</v>
      </c>
      <c r="F426" s="5">
        <f>IFERROR(__xludf.DUMMYFUNCTION("""COMPUTED_VALUE"""),0.2072678331090175)</f>
        <v>0.2072678331</v>
      </c>
      <c r="G426" s="5">
        <f>IFERROR(__xludf.DUMMYFUNCTION("""COMPUTED_VALUE"""),0.20659488559892328)</f>
        <v>0.2065948856</v>
      </c>
      <c r="H426" s="5">
        <f>IFERROR(__xludf.DUMMYFUNCTION("""COMPUTED_VALUE"""),0.6006493506493507)</f>
        <v>0.6006493506</v>
      </c>
      <c r="I426" s="11">
        <f>IFERROR(__xludf.DUMMYFUNCTION("""COMPUTED_VALUE"""),6243.181818181818)</f>
        <v>6243.181818</v>
      </c>
      <c r="J426" s="10">
        <f>IFERROR(__xludf.DUMMYFUNCTION("""COMPUTED_VALUE"""),1.0)</f>
        <v>1</v>
      </c>
      <c r="K426" s="5">
        <f>IFERROR(__xludf.DUMMYFUNCTION("""COMPUTED_VALUE"""),0.0070921985815602835)</f>
        <v>0.007092198582</v>
      </c>
      <c r="L426" s="10">
        <f>IFERROR(__xludf.DUMMYFUNCTION("""COMPUTED_VALUE"""),137.0)</f>
        <v>137</v>
      </c>
      <c r="M426" s="5">
        <f>IFERROR(__xludf.DUMMYFUNCTION("""COMPUTED_VALUE"""),0.9716312056737588)</f>
        <v>0.9716312057</v>
      </c>
    </row>
    <row r="427">
      <c r="A427" s="10" t="str">
        <f>IFERROR(__xludf.DUMMYFUNCTION("""COMPUTED_VALUE"""),"運だけ☆ゼンツ君")</f>
        <v>運だけ☆ゼンツ君</v>
      </c>
      <c r="B427" s="10">
        <f>IFERROR(__xludf.DUMMYFUNCTION("""COMPUTED_VALUE"""),302.0)</f>
        <v>302</v>
      </c>
      <c r="C427" s="10">
        <f>IFERROR(__xludf.DUMMYFUNCTION("""COMPUTED_VALUE"""),3469.0)</f>
        <v>3469</v>
      </c>
      <c r="D427" s="5">
        <f>IFERROR(__xludf.DUMMYFUNCTION("""COMPUTED_VALUE"""),0.35617303441742976)</f>
        <v>0.3561730344</v>
      </c>
      <c r="E427" s="5">
        <f>IFERROR(__xludf.DUMMYFUNCTION("""COMPUTED_VALUE"""),0.14935269971581938)</f>
        <v>0.1493526997</v>
      </c>
      <c r="F427" s="5">
        <f>IFERROR(__xludf.DUMMYFUNCTION("""COMPUTED_VALUE"""),0.2251341964003789)</f>
        <v>0.2251341964</v>
      </c>
      <c r="G427" s="5">
        <f>IFERROR(__xludf.DUMMYFUNCTION("""COMPUTED_VALUE"""),0.1806125670982002)</f>
        <v>0.1806125671</v>
      </c>
      <c r="H427" s="5">
        <f>IFERROR(__xludf.DUMMYFUNCTION("""COMPUTED_VALUE"""),0.5876577840112202)</f>
        <v>0.587657784</v>
      </c>
      <c r="I427" s="11">
        <f>IFERROR(__xludf.DUMMYFUNCTION("""COMPUTED_VALUE"""),5367.180925666199)</f>
        <v>5367.180926</v>
      </c>
      <c r="J427" s="10">
        <f>IFERROR(__xludf.DUMMYFUNCTION("""COMPUTED_VALUE"""),0.0)</f>
        <v>0</v>
      </c>
      <c r="K427" s="5">
        <f>IFERROR(__xludf.DUMMYFUNCTION("""COMPUTED_VALUE"""),0.0)</f>
        <v>0</v>
      </c>
      <c r="L427" s="10">
        <f>IFERROR(__xludf.DUMMYFUNCTION("""COMPUTED_VALUE"""),302.0)</f>
        <v>302</v>
      </c>
      <c r="M427" s="5">
        <f>IFERROR(__xludf.DUMMYFUNCTION("""COMPUTED_VALUE"""),1.0)</f>
        <v>1</v>
      </c>
    </row>
    <row r="428">
      <c r="A428" s="10" t="str">
        <f>IFERROR(__xludf.DUMMYFUNCTION("""COMPUTED_VALUE"""),"ヒヨコの極み")</f>
        <v>ヒヨコの極み</v>
      </c>
      <c r="B428" s="10">
        <f>IFERROR(__xludf.DUMMYFUNCTION("""COMPUTED_VALUE"""),184.0)</f>
        <v>184</v>
      </c>
      <c r="C428" s="10">
        <f>IFERROR(__xludf.DUMMYFUNCTION("""COMPUTED_VALUE"""),2166.0)</f>
        <v>2166</v>
      </c>
      <c r="D428" s="5">
        <f>IFERROR(__xludf.DUMMYFUNCTION("""COMPUTED_VALUE"""),0.38042381432896066)</f>
        <v>0.3804238143</v>
      </c>
      <c r="E428" s="5">
        <f>IFERROR(__xludf.DUMMYFUNCTION("""COMPUTED_VALUE"""),0.14934409687184663)</f>
        <v>0.1493440969</v>
      </c>
      <c r="F428" s="5">
        <f>IFERROR(__xludf.DUMMYFUNCTION("""COMPUTED_VALUE"""),0.21644803229061554)</f>
        <v>0.2164480323</v>
      </c>
      <c r="G428" s="5">
        <f>IFERROR(__xludf.DUMMYFUNCTION("""COMPUTED_VALUE"""),0.17961654894046417)</f>
        <v>0.1796165489</v>
      </c>
      <c r="H428" s="5">
        <f>IFERROR(__xludf.DUMMYFUNCTION("""COMPUTED_VALUE"""),0.62004662004662)</f>
        <v>0.62004662</v>
      </c>
      <c r="I428" s="11">
        <f>IFERROR(__xludf.DUMMYFUNCTION("""COMPUTED_VALUE"""),5549.184149184149)</f>
        <v>5549.184149</v>
      </c>
      <c r="J428" s="10">
        <f>IFERROR(__xludf.DUMMYFUNCTION("""COMPUTED_VALUE"""),0.0)</f>
        <v>0</v>
      </c>
      <c r="K428" s="5">
        <f>IFERROR(__xludf.DUMMYFUNCTION("""COMPUTED_VALUE"""),0.0)</f>
        <v>0</v>
      </c>
      <c r="L428" s="10">
        <f>IFERROR(__xludf.DUMMYFUNCTION("""COMPUTED_VALUE"""),184.0)</f>
        <v>184</v>
      </c>
      <c r="M428" s="5">
        <f>IFERROR(__xludf.DUMMYFUNCTION("""COMPUTED_VALUE"""),1.0)</f>
        <v>1</v>
      </c>
    </row>
    <row r="429">
      <c r="A429" s="10" t="str">
        <f>IFERROR(__xludf.DUMMYFUNCTION("""COMPUTED_VALUE"""),"マグロンキー")</f>
        <v>マグロンキー</v>
      </c>
      <c r="B429" s="10">
        <f>IFERROR(__xludf.DUMMYFUNCTION("""COMPUTED_VALUE"""),269.0)</f>
        <v>269</v>
      </c>
      <c r="C429" s="10">
        <f>IFERROR(__xludf.DUMMYFUNCTION("""COMPUTED_VALUE"""),3155.0)</f>
        <v>3155</v>
      </c>
      <c r="D429" s="5">
        <f>IFERROR(__xludf.DUMMYFUNCTION("""COMPUTED_VALUE"""),0.334026334026334)</f>
        <v>0.334026334</v>
      </c>
      <c r="E429" s="5">
        <f>IFERROR(__xludf.DUMMYFUNCTION("""COMPUTED_VALUE"""),0.14934164934164934)</f>
        <v>0.1493416493</v>
      </c>
      <c r="F429" s="5">
        <f>IFERROR(__xludf.DUMMYFUNCTION("""COMPUTED_VALUE"""),0.22765072765072766)</f>
        <v>0.2276507277</v>
      </c>
      <c r="G429" s="5">
        <f>IFERROR(__xludf.DUMMYFUNCTION("""COMPUTED_VALUE"""),0.22903672903672903)</f>
        <v>0.229036729</v>
      </c>
      <c r="H429" s="5">
        <f>IFERROR(__xludf.DUMMYFUNCTION("""COMPUTED_VALUE"""),0.6012176560121766)</f>
        <v>0.601217656</v>
      </c>
      <c r="I429" s="11">
        <f>IFERROR(__xludf.DUMMYFUNCTION("""COMPUTED_VALUE"""),5710.806697108067)</f>
        <v>5710.806697</v>
      </c>
      <c r="J429" s="10">
        <f>IFERROR(__xludf.DUMMYFUNCTION("""COMPUTED_VALUE"""),1.0)</f>
        <v>1</v>
      </c>
      <c r="K429" s="5">
        <f>IFERROR(__xludf.DUMMYFUNCTION("""COMPUTED_VALUE"""),0.0037174721189591076)</f>
        <v>0.003717472119</v>
      </c>
      <c r="L429" s="10">
        <f>IFERROR(__xludf.DUMMYFUNCTION("""COMPUTED_VALUE"""),269.0)</f>
        <v>269</v>
      </c>
      <c r="M429" s="5">
        <f>IFERROR(__xludf.DUMMYFUNCTION("""COMPUTED_VALUE"""),1.0)</f>
        <v>1</v>
      </c>
    </row>
    <row r="430">
      <c r="A430" s="10" t="str">
        <f>IFERROR(__xludf.DUMMYFUNCTION("""COMPUTED_VALUE"""),"U・x・Uっ")</f>
        <v>U・x・Uっ</v>
      </c>
      <c r="B430" s="10">
        <f>IFERROR(__xludf.DUMMYFUNCTION("""COMPUTED_VALUE"""),201.0)</f>
        <v>201</v>
      </c>
      <c r="C430" s="10">
        <f>IFERROR(__xludf.DUMMYFUNCTION("""COMPUTED_VALUE"""),2317.0)</f>
        <v>2317</v>
      </c>
      <c r="D430" s="5">
        <f>IFERROR(__xludf.DUMMYFUNCTION("""COMPUTED_VALUE"""),0.33601134215500944)</f>
        <v>0.3360113422</v>
      </c>
      <c r="E430" s="5">
        <f>IFERROR(__xludf.DUMMYFUNCTION("""COMPUTED_VALUE"""),0.14933837429111532)</f>
        <v>0.1493383743</v>
      </c>
      <c r="F430" s="5">
        <f>IFERROR(__xludf.DUMMYFUNCTION("""COMPUTED_VALUE"""),0.2060491493383743)</f>
        <v>0.2060491493</v>
      </c>
      <c r="G430" s="5">
        <f>IFERROR(__xludf.DUMMYFUNCTION("""COMPUTED_VALUE"""),0.2055765595463138)</f>
        <v>0.2055765595</v>
      </c>
      <c r="H430" s="5">
        <f>IFERROR(__xludf.DUMMYFUNCTION("""COMPUTED_VALUE"""),0.555045871559633)</f>
        <v>0.5550458716</v>
      </c>
      <c r="I430" s="11">
        <f>IFERROR(__xludf.DUMMYFUNCTION("""COMPUTED_VALUE"""),6284.174311926606)</f>
        <v>6284.174312</v>
      </c>
      <c r="J430" s="10">
        <f>IFERROR(__xludf.DUMMYFUNCTION("""COMPUTED_VALUE"""),0.0)</f>
        <v>0</v>
      </c>
      <c r="K430" s="5">
        <f>IFERROR(__xludf.DUMMYFUNCTION("""COMPUTED_VALUE"""),0.0)</f>
        <v>0</v>
      </c>
      <c r="L430" s="10">
        <f>IFERROR(__xludf.DUMMYFUNCTION("""COMPUTED_VALUE"""),201.0)</f>
        <v>201</v>
      </c>
      <c r="M430" s="5">
        <f>IFERROR(__xludf.DUMMYFUNCTION("""COMPUTED_VALUE"""),1.0)</f>
        <v>1</v>
      </c>
    </row>
    <row r="431">
      <c r="A431" s="10" t="str">
        <f>IFERROR(__xludf.DUMMYFUNCTION("""COMPUTED_VALUE"""),"KAZOON")</f>
        <v>KAZOON</v>
      </c>
      <c r="B431" s="10">
        <f>IFERROR(__xludf.DUMMYFUNCTION("""COMPUTED_VALUE"""),452.0)</f>
        <v>452</v>
      </c>
      <c r="C431" s="10">
        <f>IFERROR(__xludf.DUMMYFUNCTION("""COMPUTED_VALUE"""),5287.0)</f>
        <v>5287</v>
      </c>
      <c r="D431" s="5">
        <f>IFERROR(__xludf.DUMMYFUNCTION("""COMPUTED_VALUE"""),0.3617373319544985)</f>
        <v>0.361737332</v>
      </c>
      <c r="E431" s="5">
        <f>IFERROR(__xludf.DUMMYFUNCTION("""COMPUTED_VALUE"""),0.14932781799379524)</f>
        <v>0.149327818</v>
      </c>
      <c r="F431" s="5">
        <f>IFERROR(__xludf.DUMMYFUNCTION("""COMPUTED_VALUE"""),0.2153050672182006)</f>
        <v>0.2153050672</v>
      </c>
      <c r="G431" s="5">
        <f>IFERROR(__xludf.DUMMYFUNCTION("""COMPUTED_VALUE"""),0.17766287487073423)</f>
        <v>0.1776628749</v>
      </c>
      <c r="H431" s="5">
        <f>IFERROR(__xludf.DUMMYFUNCTION("""COMPUTED_VALUE"""),0.6032660902977905)</f>
        <v>0.6032660903</v>
      </c>
      <c r="I431" s="11">
        <f>IFERROR(__xludf.DUMMYFUNCTION("""COMPUTED_VALUE"""),5356.772334293948)</f>
        <v>5356.772334</v>
      </c>
      <c r="J431" s="10">
        <f>IFERROR(__xludf.DUMMYFUNCTION("""COMPUTED_VALUE"""),0.0)</f>
        <v>0</v>
      </c>
      <c r="K431" s="5">
        <f>IFERROR(__xludf.DUMMYFUNCTION("""COMPUTED_VALUE"""),0.0)</f>
        <v>0</v>
      </c>
      <c r="L431" s="10">
        <f>IFERROR(__xludf.DUMMYFUNCTION("""COMPUTED_VALUE"""),452.0)</f>
        <v>452</v>
      </c>
      <c r="M431" s="5">
        <f>IFERROR(__xludf.DUMMYFUNCTION("""COMPUTED_VALUE"""),1.0)</f>
        <v>1</v>
      </c>
    </row>
    <row r="432">
      <c r="A432" s="10" t="str">
        <f>IFERROR(__xludf.DUMMYFUNCTION("""COMPUTED_VALUE"""),"（´・ω・｀*）")</f>
        <v>（´・ω・｀*）</v>
      </c>
      <c r="B432" s="10">
        <f>IFERROR(__xludf.DUMMYFUNCTION("""COMPUTED_VALUE"""),113.0)</f>
        <v>113</v>
      </c>
      <c r="C432" s="10">
        <f>IFERROR(__xludf.DUMMYFUNCTION("""COMPUTED_VALUE"""),1352.0)</f>
        <v>1352</v>
      </c>
      <c r="D432" s="5">
        <f>IFERROR(__xludf.DUMMYFUNCTION("""COMPUTED_VALUE"""),0.3414043583535109)</f>
        <v>0.3414043584</v>
      </c>
      <c r="E432" s="5">
        <f>IFERROR(__xludf.DUMMYFUNCTION("""COMPUTED_VALUE"""),0.1493139628732849)</f>
        <v>0.1493139629</v>
      </c>
      <c r="F432" s="5">
        <f>IFERROR(__xludf.DUMMYFUNCTION("""COMPUTED_VALUE"""),0.19047619047619047)</f>
        <v>0.1904761905</v>
      </c>
      <c r="G432" s="5">
        <f>IFERROR(__xludf.DUMMYFUNCTION("""COMPUTED_VALUE"""),0.18159806295399517)</f>
        <v>0.181598063</v>
      </c>
      <c r="H432" s="5">
        <f>IFERROR(__xludf.DUMMYFUNCTION("""COMPUTED_VALUE"""),0.635593220338983)</f>
        <v>0.6355932203</v>
      </c>
      <c r="I432" s="11">
        <f>IFERROR(__xludf.DUMMYFUNCTION("""COMPUTED_VALUE"""),5141.525423728814)</f>
        <v>5141.525424</v>
      </c>
      <c r="J432" s="10">
        <f>IFERROR(__xludf.DUMMYFUNCTION("""COMPUTED_VALUE"""),0.0)</f>
        <v>0</v>
      </c>
      <c r="K432" s="5">
        <f>IFERROR(__xludf.DUMMYFUNCTION("""COMPUTED_VALUE"""),0.0)</f>
        <v>0</v>
      </c>
      <c r="L432" s="10">
        <f>IFERROR(__xludf.DUMMYFUNCTION("""COMPUTED_VALUE"""),71.0)</f>
        <v>71</v>
      </c>
      <c r="M432" s="5">
        <f>IFERROR(__xludf.DUMMYFUNCTION("""COMPUTED_VALUE"""),0.6283185840707964)</f>
        <v>0.6283185841</v>
      </c>
    </row>
    <row r="433">
      <c r="A433" s="10" t="str">
        <f>IFERROR(__xludf.DUMMYFUNCTION("""COMPUTED_VALUE"""),"どぅーざん")</f>
        <v>どぅーざん</v>
      </c>
      <c r="B433" s="10">
        <f>IFERROR(__xludf.DUMMYFUNCTION("""COMPUTED_VALUE"""),461.0)</f>
        <v>461</v>
      </c>
      <c r="C433" s="10">
        <f>IFERROR(__xludf.DUMMYFUNCTION("""COMPUTED_VALUE"""),5344.0)</f>
        <v>5344</v>
      </c>
      <c r="D433" s="5">
        <f>IFERROR(__xludf.DUMMYFUNCTION("""COMPUTED_VALUE"""),0.3442555805857055)</f>
        <v>0.3442555806</v>
      </c>
      <c r="E433" s="5">
        <f>IFERROR(__xludf.DUMMYFUNCTION("""COMPUTED_VALUE"""),0.14929346713086217)</f>
        <v>0.1492934671</v>
      </c>
      <c r="F433" s="5">
        <f>IFERROR(__xludf.DUMMYFUNCTION("""COMPUTED_VALUE"""),0.2045873438459963)</f>
        <v>0.2045873438</v>
      </c>
      <c r="G433" s="5">
        <f>IFERROR(__xludf.DUMMYFUNCTION("""COMPUTED_VALUE"""),0.1454024165472046)</f>
        <v>0.1454024165</v>
      </c>
      <c r="H433" s="5">
        <f>IFERROR(__xludf.DUMMYFUNCTION("""COMPUTED_VALUE"""),0.5795795795795796)</f>
        <v>0.5795795796</v>
      </c>
      <c r="I433" s="11">
        <f>IFERROR(__xludf.DUMMYFUNCTION("""COMPUTED_VALUE"""),5689.88988988989)</f>
        <v>5689.88989</v>
      </c>
      <c r="J433" s="10">
        <f>IFERROR(__xludf.DUMMYFUNCTION("""COMPUTED_VALUE"""),1.0)</f>
        <v>1</v>
      </c>
      <c r="K433" s="5">
        <f>IFERROR(__xludf.DUMMYFUNCTION("""COMPUTED_VALUE"""),0.0021691973969631237)</f>
        <v>0.002169197397</v>
      </c>
      <c r="L433" s="10">
        <f>IFERROR(__xludf.DUMMYFUNCTION("""COMPUTED_VALUE"""),461.0)</f>
        <v>461</v>
      </c>
      <c r="M433" s="5">
        <f>IFERROR(__xludf.DUMMYFUNCTION("""COMPUTED_VALUE"""),1.0)</f>
        <v>1</v>
      </c>
    </row>
    <row r="434">
      <c r="A434" s="10" t="str">
        <f>IFERROR(__xludf.DUMMYFUNCTION("""COMPUTED_VALUE"""),"kaitu")</f>
        <v>kaitu</v>
      </c>
      <c r="B434" s="10">
        <f>IFERROR(__xludf.DUMMYFUNCTION("""COMPUTED_VALUE"""),235.0)</f>
        <v>235</v>
      </c>
      <c r="C434" s="10">
        <f>IFERROR(__xludf.DUMMYFUNCTION("""COMPUTED_VALUE"""),2774.0)</f>
        <v>2774</v>
      </c>
      <c r="D434" s="5">
        <f>IFERROR(__xludf.DUMMYFUNCTION("""COMPUTED_VALUE"""),0.39346199291059475)</f>
        <v>0.3934619929</v>
      </c>
      <c r="E434" s="5">
        <f>IFERROR(__xludf.DUMMYFUNCTION("""COMPUTED_VALUE"""),0.1492713666797952)</f>
        <v>0.1492713667</v>
      </c>
      <c r="F434" s="5">
        <f>IFERROR(__xludf.DUMMYFUNCTION("""COMPUTED_VALUE"""),0.2134698700275699)</f>
        <v>0.21346987</v>
      </c>
      <c r="G434" s="5">
        <f>IFERROR(__xludf.DUMMYFUNCTION("""COMPUTED_VALUE"""),0.16305632138637258)</f>
        <v>0.1630563214</v>
      </c>
      <c r="H434" s="5">
        <f>IFERROR(__xludf.DUMMYFUNCTION("""COMPUTED_VALUE"""),0.6199261992619927)</f>
        <v>0.6199261993</v>
      </c>
      <c r="I434" s="11">
        <f>IFERROR(__xludf.DUMMYFUNCTION("""COMPUTED_VALUE"""),5428.966789667897)</f>
        <v>5428.96679</v>
      </c>
      <c r="J434" s="10">
        <f>IFERROR(__xludf.DUMMYFUNCTION("""COMPUTED_VALUE"""),1.0)</f>
        <v>1</v>
      </c>
      <c r="K434" s="5">
        <f>IFERROR(__xludf.DUMMYFUNCTION("""COMPUTED_VALUE"""),0.00425531914893617)</f>
        <v>0.004255319149</v>
      </c>
      <c r="L434" s="10">
        <f>IFERROR(__xludf.DUMMYFUNCTION("""COMPUTED_VALUE"""),235.0)</f>
        <v>235</v>
      </c>
      <c r="M434" s="5">
        <f>IFERROR(__xludf.DUMMYFUNCTION("""COMPUTED_VALUE"""),1.0)</f>
        <v>1</v>
      </c>
    </row>
    <row r="435">
      <c r="A435" s="10" t="str">
        <f>IFERROR(__xludf.DUMMYFUNCTION("""COMPUTED_VALUE"""),"spg23")</f>
        <v>spg23</v>
      </c>
      <c r="B435" s="10">
        <f>IFERROR(__xludf.DUMMYFUNCTION("""COMPUTED_VALUE"""),164.0)</f>
        <v>164</v>
      </c>
      <c r="C435" s="10">
        <f>IFERROR(__xludf.DUMMYFUNCTION("""COMPUTED_VALUE"""),1946.0)</f>
        <v>1946</v>
      </c>
      <c r="D435" s="5">
        <f>IFERROR(__xludf.DUMMYFUNCTION("""COMPUTED_VALUE"""),0.2721661054994388)</f>
        <v>0.2721661055</v>
      </c>
      <c r="E435" s="5">
        <f>IFERROR(__xludf.DUMMYFUNCTION("""COMPUTED_VALUE"""),0.14927048260381592)</f>
        <v>0.1492704826</v>
      </c>
      <c r="F435" s="5">
        <f>IFERROR(__xludf.DUMMYFUNCTION("""COMPUTED_VALUE"""),0.20033670033670034)</f>
        <v>0.2003367003</v>
      </c>
      <c r="G435" s="5">
        <f>IFERROR(__xludf.DUMMYFUNCTION("""COMPUTED_VALUE"""),0.18855218855218855)</f>
        <v>0.1885521886</v>
      </c>
      <c r="H435" s="5">
        <f>IFERROR(__xludf.DUMMYFUNCTION("""COMPUTED_VALUE"""),0.6022408963585434)</f>
        <v>0.6022408964</v>
      </c>
      <c r="I435" s="11">
        <f>IFERROR(__xludf.DUMMYFUNCTION("""COMPUTED_VALUE"""),5698.0392156862745)</f>
        <v>5698.039216</v>
      </c>
      <c r="J435" s="10">
        <f>IFERROR(__xludf.DUMMYFUNCTION("""COMPUTED_VALUE"""),1.0)</f>
        <v>1</v>
      </c>
      <c r="K435" s="5">
        <f>IFERROR(__xludf.DUMMYFUNCTION("""COMPUTED_VALUE"""),0.006097560975609756)</f>
        <v>0.006097560976</v>
      </c>
      <c r="L435" s="10">
        <f>IFERROR(__xludf.DUMMYFUNCTION("""COMPUTED_VALUE"""),164.0)</f>
        <v>164</v>
      </c>
      <c r="M435" s="5">
        <f>IFERROR(__xludf.DUMMYFUNCTION("""COMPUTED_VALUE"""),1.0)</f>
        <v>1</v>
      </c>
    </row>
    <row r="436">
      <c r="A436" s="10" t="str">
        <f>IFERROR(__xludf.DUMMYFUNCTION("""COMPUTED_VALUE"""),"中堅＠ハーベスト")</f>
        <v>中堅＠ハーベスト</v>
      </c>
      <c r="B436" s="10">
        <f>IFERROR(__xludf.DUMMYFUNCTION("""COMPUTED_VALUE"""),767.0)</f>
        <v>767</v>
      </c>
      <c r="C436" s="10">
        <f>IFERROR(__xludf.DUMMYFUNCTION("""COMPUTED_VALUE"""),8853.0)</f>
        <v>8853</v>
      </c>
      <c r="D436" s="5">
        <f>IFERROR(__xludf.DUMMYFUNCTION("""COMPUTED_VALUE"""),0.31956467969329705)</f>
        <v>0.3195646797</v>
      </c>
      <c r="E436" s="5">
        <f>IFERROR(__xludf.DUMMYFUNCTION("""COMPUTED_VALUE"""),0.14927034380410587)</f>
        <v>0.1492703438</v>
      </c>
      <c r="F436" s="5">
        <f>IFERROR(__xludf.DUMMYFUNCTION("""COMPUTED_VALUE"""),0.22421469206035122)</f>
        <v>0.2242146921</v>
      </c>
      <c r="G436" s="5">
        <f>IFERROR(__xludf.DUMMYFUNCTION("""COMPUTED_VALUE"""),0.17734355676477864)</f>
        <v>0.1773435568</v>
      </c>
      <c r="H436" s="5">
        <f>IFERROR(__xludf.DUMMYFUNCTION("""COMPUTED_VALUE"""),0.597904026475455)</f>
        <v>0.5979040265</v>
      </c>
      <c r="I436" s="11">
        <f>IFERROR(__xludf.DUMMYFUNCTION("""COMPUTED_VALUE"""),5762.0518477661335)</f>
        <v>5762.051848</v>
      </c>
      <c r="J436" s="10">
        <f>IFERROR(__xludf.DUMMYFUNCTION("""COMPUTED_VALUE"""),4.0)</f>
        <v>4</v>
      </c>
      <c r="K436" s="5">
        <f>IFERROR(__xludf.DUMMYFUNCTION("""COMPUTED_VALUE"""),0.005215123859191656)</f>
        <v>0.005215123859</v>
      </c>
      <c r="L436" s="10">
        <f>IFERROR(__xludf.DUMMYFUNCTION("""COMPUTED_VALUE"""),0.0)</f>
        <v>0</v>
      </c>
      <c r="M436" s="5">
        <f>IFERROR(__xludf.DUMMYFUNCTION("""COMPUTED_VALUE"""),0.0)</f>
        <v>0</v>
      </c>
    </row>
    <row r="437">
      <c r="A437" s="10" t="str">
        <f>IFERROR(__xludf.DUMMYFUNCTION("""COMPUTED_VALUE"""),"jizou-")</f>
        <v>jizou-</v>
      </c>
      <c r="B437" s="10">
        <f>IFERROR(__xludf.DUMMYFUNCTION("""COMPUTED_VALUE"""),107.0)</f>
        <v>107</v>
      </c>
      <c r="C437" s="10">
        <f>IFERROR(__xludf.DUMMYFUNCTION("""COMPUTED_VALUE"""),1266.0)</f>
        <v>1266</v>
      </c>
      <c r="D437" s="5">
        <f>IFERROR(__xludf.DUMMYFUNCTION("""COMPUTED_VALUE"""),0.4012079378774806)</f>
        <v>0.4012079379</v>
      </c>
      <c r="E437" s="5">
        <f>IFERROR(__xludf.DUMMYFUNCTION("""COMPUTED_VALUE"""),0.14926660914581535)</f>
        <v>0.1492666091</v>
      </c>
      <c r="F437" s="5">
        <f>IFERROR(__xludf.DUMMYFUNCTION("""COMPUTED_VALUE"""),0.19327006039689387)</f>
        <v>0.1932700604</v>
      </c>
      <c r="G437" s="5">
        <f>IFERROR(__xludf.DUMMYFUNCTION("""COMPUTED_VALUE"""),0.18377911993097498)</f>
        <v>0.1837791199</v>
      </c>
      <c r="H437" s="5">
        <f>IFERROR(__xludf.DUMMYFUNCTION("""COMPUTED_VALUE"""),0.5357142857142857)</f>
        <v>0.5357142857</v>
      </c>
      <c r="I437" s="11">
        <f>IFERROR(__xludf.DUMMYFUNCTION("""COMPUTED_VALUE"""),5408.928571428572)</f>
        <v>5408.928571</v>
      </c>
      <c r="J437" s="10">
        <f>IFERROR(__xludf.DUMMYFUNCTION("""COMPUTED_VALUE"""),0.0)</f>
        <v>0</v>
      </c>
      <c r="K437" s="5">
        <f>IFERROR(__xludf.DUMMYFUNCTION("""COMPUTED_VALUE"""),0.0)</f>
        <v>0</v>
      </c>
      <c r="L437" s="10">
        <f>IFERROR(__xludf.DUMMYFUNCTION("""COMPUTED_VALUE"""),107.0)</f>
        <v>107</v>
      </c>
      <c r="M437" s="5">
        <f>IFERROR(__xludf.DUMMYFUNCTION("""COMPUTED_VALUE"""),1.0)</f>
        <v>1</v>
      </c>
    </row>
    <row r="438">
      <c r="A438" s="10" t="str">
        <f>IFERROR(__xludf.DUMMYFUNCTION("""COMPUTED_VALUE"""),"よるがた")</f>
        <v>よるがた</v>
      </c>
      <c r="B438" s="10">
        <f>IFERROR(__xludf.DUMMYFUNCTION("""COMPUTED_VALUE"""),3262.0)</f>
        <v>3262</v>
      </c>
      <c r="C438" s="10">
        <f>IFERROR(__xludf.DUMMYFUNCTION("""COMPUTED_VALUE"""),38096.0)</f>
        <v>38096</v>
      </c>
      <c r="D438" s="5">
        <f>IFERROR(__xludf.DUMMYFUNCTION("""COMPUTED_VALUE"""),0.39521731641499686)</f>
        <v>0.3952173164</v>
      </c>
      <c r="E438" s="5">
        <f>IFERROR(__xludf.DUMMYFUNCTION("""COMPUTED_VALUE"""),0.14925073204340586)</f>
        <v>0.149250732</v>
      </c>
      <c r="F438" s="5">
        <f>IFERROR(__xludf.DUMMYFUNCTION("""COMPUTED_VALUE"""),0.222081874031119)</f>
        <v>0.222081874</v>
      </c>
      <c r="G438" s="5">
        <f>IFERROR(__xludf.DUMMYFUNCTION("""COMPUTED_VALUE"""),0.18315438938967676)</f>
        <v>0.1831543894</v>
      </c>
      <c r="H438" s="5">
        <f>IFERROR(__xludf.DUMMYFUNCTION("""COMPUTED_VALUE"""),0.6085832471561531)</f>
        <v>0.6085832472</v>
      </c>
      <c r="I438" s="11">
        <f>IFERROR(__xludf.DUMMYFUNCTION("""COMPUTED_VALUE"""),5604.821613236815)</f>
        <v>5604.821613</v>
      </c>
      <c r="J438" s="10">
        <f>IFERROR(__xludf.DUMMYFUNCTION("""COMPUTED_VALUE"""),11.0)</f>
        <v>11</v>
      </c>
      <c r="K438" s="5">
        <f>IFERROR(__xludf.DUMMYFUNCTION("""COMPUTED_VALUE"""),0.003372164316370325)</f>
        <v>0.003372164316</v>
      </c>
      <c r="L438" s="10">
        <f>IFERROR(__xludf.DUMMYFUNCTION("""COMPUTED_VALUE"""),3262.0)</f>
        <v>3262</v>
      </c>
      <c r="M438" s="5">
        <f>IFERROR(__xludf.DUMMYFUNCTION("""COMPUTED_VALUE"""),1.0)</f>
        <v>1</v>
      </c>
    </row>
    <row r="439">
      <c r="A439" s="10" t="str">
        <f>IFERROR(__xludf.DUMMYFUNCTION("""COMPUTED_VALUE"""),"ロックの神様")</f>
        <v>ロックの神様</v>
      </c>
      <c r="B439" s="10">
        <f>IFERROR(__xludf.DUMMYFUNCTION("""COMPUTED_VALUE"""),922.0)</f>
        <v>922</v>
      </c>
      <c r="C439" s="10">
        <f>IFERROR(__xludf.DUMMYFUNCTION("""COMPUTED_VALUE"""),10631.0)</f>
        <v>10631</v>
      </c>
      <c r="D439" s="5">
        <f>IFERROR(__xludf.DUMMYFUNCTION("""COMPUTED_VALUE"""),0.30724070450097846)</f>
        <v>0.3072407045</v>
      </c>
      <c r="E439" s="5">
        <f>IFERROR(__xludf.DUMMYFUNCTION("""COMPUTED_VALUE"""),0.14924297043979812)</f>
        <v>0.1492429704</v>
      </c>
      <c r="F439" s="5">
        <f>IFERROR(__xludf.DUMMYFUNCTION("""COMPUTED_VALUE"""),0.21680914615305386)</f>
        <v>0.2168091462</v>
      </c>
      <c r="G439" s="5">
        <f>IFERROR(__xludf.DUMMYFUNCTION("""COMPUTED_VALUE"""),0.20918735194149757)</f>
        <v>0.2091873519</v>
      </c>
      <c r="H439" s="5">
        <f>IFERROR(__xludf.DUMMYFUNCTION("""COMPUTED_VALUE"""),0.5705463182897862)</f>
        <v>0.5705463183</v>
      </c>
      <c r="I439" s="11">
        <f>IFERROR(__xludf.DUMMYFUNCTION("""COMPUTED_VALUE"""),5927.838479809976)</f>
        <v>5927.83848</v>
      </c>
      <c r="J439" s="10">
        <f>IFERROR(__xludf.DUMMYFUNCTION("""COMPUTED_VALUE"""),3.0)</f>
        <v>3</v>
      </c>
      <c r="K439" s="5">
        <f>IFERROR(__xludf.DUMMYFUNCTION("""COMPUTED_VALUE"""),0.0032537960954446853)</f>
        <v>0.003253796095</v>
      </c>
      <c r="L439" s="10">
        <f>IFERROR(__xludf.DUMMYFUNCTION("""COMPUTED_VALUE"""),922.0)</f>
        <v>922</v>
      </c>
      <c r="M439" s="5">
        <f>IFERROR(__xludf.DUMMYFUNCTION("""COMPUTED_VALUE"""),1.0)</f>
        <v>1</v>
      </c>
    </row>
    <row r="440">
      <c r="A440" s="10" t="str">
        <f>IFERROR(__xludf.DUMMYFUNCTION("""COMPUTED_VALUE"""),"かもぱぱ")</f>
        <v>かもぱぱ</v>
      </c>
      <c r="B440" s="10">
        <f>IFERROR(__xludf.DUMMYFUNCTION("""COMPUTED_VALUE"""),284.0)</f>
        <v>284</v>
      </c>
      <c r="C440" s="10">
        <f>IFERROR(__xludf.DUMMYFUNCTION("""COMPUTED_VALUE"""),3280.0)</f>
        <v>3280</v>
      </c>
      <c r="D440" s="5">
        <f>IFERROR(__xludf.DUMMYFUNCTION("""COMPUTED_VALUE"""),0.2960614152202937)</f>
        <v>0.2960614152</v>
      </c>
      <c r="E440" s="5">
        <f>IFERROR(__xludf.DUMMYFUNCTION("""COMPUTED_VALUE"""),0.1491989319092123)</f>
        <v>0.1491989319</v>
      </c>
      <c r="F440" s="5">
        <f>IFERROR(__xludf.DUMMYFUNCTION("""COMPUTED_VALUE"""),0.20093457943925233)</f>
        <v>0.2009345794</v>
      </c>
      <c r="G440" s="5">
        <f>IFERROR(__xludf.DUMMYFUNCTION("""COMPUTED_VALUE"""),0.15921228304405874)</f>
        <v>0.159212283</v>
      </c>
      <c r="H440" s="5">
        <f>IFERROR(__xludf.DUMMYFUNCTION("""COMPUTED_VALUE"""),0.6345514950166113)</f>
        <v>0.634551495</v>
      </c>
      <c r="I440" s="11">
        <f>IFERROR(__xludf.DUMMYFUNCTION("""COMPUTED_VALUE"""),5714.784053156146)</f>
        <v>5714.784053</v>
      </c>
      <c r="J440" s="10">
        <f>IFERROR(__xludf.DUMMYFUNCTION("""COMPUTED_VALUE"""),0.0)</f>
        <v>0</v>
      </c>
      <c r="K440" s="5">
        <f>IFERROR(__xludf.DUMMYFUNCTION("""COMPUTED_VALUE"""),0.0)</f>
        <v>0</v>
      </c>
      <c r="L440" s="10">
        <f>IFERROR(__xludf.DUMMYFUNCTION("""COMPUTED_VALUE"""),284.0)</f>
        <v>284</v>
      </c>
      <c r="M440" s="5">
        <f>IFERROR(__xludf.DUMMYFUNCTION("""COMPUTED_VALUE"""),1.0)</f>
        <v>1</v>
      </c>
    </row>
    <row r="441">
      <c r="A441" s="10" t="str">
        <f>IFERROR(__xludf.DUMMYFUNCTION("""COMPUTED_VALUE"""),"諾")</f>
        <v>諾</v>
      </c>
      <c r="B441" s="10">
        <f>IFERROR(__xludf.DUMMYFUNCTION("""COMPUTED_VALUE"""),295.0)</f>
        <v>295</v>
      </c>
      <c r="C441" s="10">
        <f>IFERROR(__xludf.DUMMYFUNCTION("""COMPUTED_VALUE"""),3412.0)</f>
        <v>3412</v>
      </c>
      <c r="D441" s="5">
        <f>IFERROR(__xludf.DUMMYFUNCTION("""COMPUTED_VALUE"""),0.4231632980429901)</f>
        <v>0.423163298</v>
      </c>
      <c r="E441" s="5">
        <f>IFERROR(__xludf.DUMMYFUNCTION("""COMPUTED_VALUE"""),0.14918190567853706)</f>
        <v>0.1491819057</v>
      </c>
      <c r="F441" s="5">
        <f>IFERROR(__xludf.DUMMYFUNCTION("""COMPUTED_VALUE"""),0.22778312479948667)</f>
        <v>0.2277831248</v>
      </c>
      <c r="G441" s="5">
        <f>IFERROR(__xludf.DUMMYFUNCTION("""COMPUTED_VALUE"""),0.17420596727622714)</f>
        <v>0.1742059673</v>
      </c>
      <c r="H441" s="5">
        <f>IFERROR(__xludf.DUMMYFUNCTION("""COMPUTED_VALUE"""),0.5887323943661972)</f>
        <v>0.5887323944</v>
      </c>
      <c r="I441" s="11">
        <f>IFERROR(__xludf.DUMMYFUNCTION("""COMPUTED_VALUE"""),5545.633802816901)</f>
        <v>5545.633803</v>
      </c>
      <c r="J441" s="10">
        <f>IFERROR(__xludf.DUMMYFUNCTION("""COMPUTED_VALUE"""),0.0)</f>
        <v>0</v>
      </c>
      <c r="K441" s="5">
        <f>IFERROR(__xludf.DUMMYFUNCTION("""COMPUTED_VALUE"""),0.0)</f>
        <v>0</v>
      </c>
      <c r="L441" s="10">
        <f>IFERROR(__xludf.DUMMYFUNCTION("""COMPUTED_VALUE"""),251.0)</f>
        <v>251</v>
      </c>
      <c r="M441" s="5">
        <f>IFERROR(__xludf.DUMMYFUNCTION("""COMPUTED_VALUE"""),0.8508474576271187)</f>
        <v>0.8508474576</v>
      </c>
    </row>
    <row r="442">
      <c r="A442" s="10" t="str">
        <f>IFERROR(__xludf.DUMMYFUNCTION("""COMPUTED_VALUE"""),"山乃檸檬")</f>
        <v>山乃檸檬</v>
      </c>
      <c r="B442" s="10">
        <f>IFERROR(__xludf.DUMMYFUNCTION("""COMPUTED_VALUE"""),109.0)</f>
        <v>109</v>
      </c>
      <c r="C442" s="10">
        <f>IFERROR(__xludf.DUMMYFUNCTION("""COMPUTED_VALUE"""),1242.0)</f>
        <v>1242</v>
      </c>
      <c r="D442" s="5">
        <f>IFERROR(__xludf.DUMMYFUNCTION("""COMPUTED_VALUE"""),0.33451015004413065)</f>
        <v>0.33451015</v>
      </c>
      <c r="E442" s="5">
        <f>IFERROR(__xludf.DUMMYFUNCTION("""COMPUTED_VALUE"""),0.14916151809355693)</f>
        <v>0.1491615181</v>
      </c>
      <c r="F442" s="5">
        <f>IFERROR(__xludf.DUMMYFUNCTION("""COMPUTED_VALUE"""),0.18711385701676964)</f>
        <v>0.187113857</v>
      </c>
      <c r="G442" s="5">
        <f>IFERROR(__xludf.DUMMYFUNCTION("""COMPUTED_VALUE"""),0.1994704324801412)</f>
        <v>0.1994704325</v>
      </c>
      <c r="H442" s="5">
        <f>IFERROR(__xludf.DUMMYFUNCTION("""COMPUTED_VALUE"""),0.6415094339622641)</f>
        <v>0.641509434</v>
      </c>
      <c r="I442" s="11">
        <f>IFERROR(__xludf.DUMMYFUNCTION("""COMPUTED_VALUE"""),6085.8490566037735)</f>
        <v>6085.849057</v>
      </c>
      <c r="J442" s="10">
        <f>IFERROR(__xludf.DUMMYFUNCTION("""COMPUTED_VALUE"""),0.0)</f>
        <v>0</v>
      </c>
      <c r="K442" s="5">
        <f>IFERROR(__xludf.DUMMYFUNCTION("""COMPUTED_VALUE"""),0.0)</f>
        <v>0</v>
      </c>
      <c r="L442" s="10">
        <f>IFERROR(__xludf.DUMMYFUNCTION("""COMPUTED_VALUE"""),0.0)</f>
        <v>0</v>
      </c>
      <c r="M442" s="5">
        <f>IFERROR(__xludf.DUMMYFUNCTION("""COMPUTED_VALUE"""),0.0)</f>
        <v>0</v>
      </c>
    </row>
    <row r="443">
      <c r="A443" s="10" t="str">
        <f>IFERROR(__xludf.DUMMYFUNCTION("""COMPUTED_VALUE"""),"naohassy")</f>
        <v>naohassy</v>
      </c>
      <c r="B443" s="10">
        <f>IFERROR(__xludf.DUMMYFUNCTION("""COMPUTED_VALUE"""),174.0)</f>
        <v>174</v>
      </c>
      <c r="C443" s="10">
        <f>IFERROR(__xludf.DUMMYFUNCTION("""COMPUTED_VALUE"""),2018.0)</f>
        <v>2018</v>
      </c>
      <c r="D443" s="5">
        <f>IFERROR(__xludf.DUMMYFUNCTION("""COMPUTED_VALUE"""),0.4018438177874187)</f>
        <v>0.4018438178</v>
      </c>
      <c r="E443" s="5">
        <f>IFERROR(__xludf.DUMMYFUNCTION("""COMPUTED_VALUE"""),0.14913232104121474)</f>
        <v>0.149132321</v>
      </c>
      <c r="F443" s="5">
        <f>IFERROR(__xludf.DUMMYFUNCTION("""COMPUTED_VALUE"""),0.22017353579175705)</f>
        <v>0.2201735358</v>
      </c>
      <c r="G443" s="5">
        <f>IFERROR(__xludf.DUMMYFUNCTION("""COMPUTED_VALUE"""),0.14967462039045554)</f>
        <v>0.1496746204</v>
      </c>
      <c r="H443" s="5">
        <f>IFERROR(__xludf.DUMMYFUNCTION("""COMPUTED_VALUE"""),0.6009852216748769)</f>
        <v>0.6009852217</v>
      </c>
      <c r="I443" s="11">
        <f>IFERROR(__xludf.DUMMYFUNCTION("""COMPUTED_VALUE"""),5383.251231527093)</f>
        <v>5383.251232</v>
      </c>
      <c r="J443" s="10">
        <f>IFERROR(__xludf.DUMMYFUNCTION("""COMPUTED_VALUE"""),1.0)</f>
        <v>1</v>
      </c>
      <c r="K443" s="5">
        <f>IFERROR(__xludf.DUMMYFUNCTION("""COMPUTED_VALUE"""),0.005747126436781609)</f>
        <v>0.005747126437</v>
      </c>
      <c r="L443" s="10">
        <f>IFERROR(__xludf.DUMMYFUNCTION("""COMPUTED_VALUE"""),174.0)</f>
        <v>174</v>
      </c>
      <c r="M443" s="5">
        <f>IFERROR(__xludf.DUMMYFUNCTION("""COMPUTED_VALUE"""),1.0)</f>
        <v>1</v>
      </c>
    </row>
    <row r="444">
      <c r="A444" s="10" t="str">
        <f>IFERROR(__xludf.DUMMYFUNCTION("""COMPUTED_VALUE"""),"ツンツンメガネ")</f>
        <v>ツンツンメガネ</v>
      </c>
      <c r="B444" s="10">
        <f>IFERROR(__xludf.DUMMYFUNCTION("""COMPUTED_VALUE"""),125.0)</f>
        <v>125</v>
      </c>
      <c r="C444" s="10">
        <f>IFERROR(__xludf.DUMMYFUNCTION("""COMPUTED_VALUE"""),1540.0)</f>
        <v>1540</v>
      </c>
      <c r="D444" s="5">
        <f>IFERROR(__xludf.DUMMYFUNCTION("""COMPUTED_VALUE"""),0.37173144876325087)</f>
        <v>0.3717314488</v>
      </c>
      <c r="E444" s="5">
        <f>IFERROR(__xludf.DUMMYFUNCTION("""COMPUTED_VALUE"""),0.14911660777385158)</f>
        <v>0.1491166078</v>
      </c>
      <c r="F444" s="5">
        <f>IFERROR(__xludf.DUMMYFUNCTION("""COMPUTED_VALUE"""),0.21201413427561838)</f>
        <v>0.2120141343</v>
      </c>
      <c r="G444" s="5">
        <f>IFERROR(__xludf.DUMMYFUNCTION("""COMPUTED_VALUE"""),0.15830388692579506)</f>
        <v>0.1583038869</v>
      </c>
      <c r="H444" s="5">
        <f>IFERROR(__xludf.DUMMYFUNCTION("""COMPUTED_VALUE"""),0.6166666666666667)</f>
        <v>0.6166666667</v>
      </c>
      <c r="I444" s="11">
        <f>IFERROR(__xludf.DUMMYFUNCTION("""COMPUTED_VALUE"""),5411.666666666667)</f>
        <v>5411.666667</v>
      </c>
      <c r="J444" s="10">
        <f>IFERROR(__xludf.DUMMYFUNCTION("""COMPUTED_VALUE"""),0.0)</f>
        <v>0</v>
      </c>
      <c r="K444" s="5">
        <f>IFERROR(__xludf.DUMMYFUNCTION("""COMPUTED_VALUE"""),0.0)</f>
        <v>0</v>
      </c>
      <c r="L444" s="10">
        <f>IFERROR(__xludf.DUMMYFUNCTION("""COMPUTED_VALUE"""),0.0)</f>
        <v>0</v>
      </c>
      <c r="M444" s="5">
        <f>IFERROR(__xludf.DUMMYFUNCTION("""COMPUTED_VALUE"""),0.0)</f>
        <v>0</v>
      </c>
    </row>
    <row r="445">
      <c r="A445" s="10" t="str">
        <f>IFERROR(__xludf.DUMMYFUNCTION("""COMPUTED_VALUE"""),"鉄風少女")</f>
        <v>鉄風少女</v>
      </c>
      <c r="B445" s="10">
        <f>IFERROR(__xludf.DUMMYFUNCTION("""COMPUTED_VALUE"""),425.0)</f>
        <v>425</v>
      </c>
      <c r="C445" s="10">
        <f>IFERROR(__xludf.DUMMYFUNCTION("""COMPUTED_VALUE"""),5046.0)</f>
        <v>5046</v>
      </c>
      <c r="D445" s="5">
        <f>IFERROR(__xludf.DUMMYFUNCTION("""COMPUTED_VALUE"""),0.31162086128543603)</f>
        <v>0.3116208613</v>
      </c>
      <c r="E445" s="5">
        <f>IFERROR(__xludf.DUMMYFUNCTION("""COMPUTED_VALUE"""),0.14910192599004546)</f>
        <v>0.149101926</v>
      </c>
      <c r="F445" s="5">
        <f>IFERROR(__xludf.DUMMYFUNCTION("""COMPUTED_VALUE"""),0.21012767799177667)</f>
        <v>0.210127678</v>
      </c>
      <c r="G445" s="5">
        <f>IFERROR(__xludf.DUMMYFUNCTION("""COMPUTED_VALUE"""),0.18545769314001298)</f>
        <v>0.1854576931</v>
      </c>
      <c r="H445" s="5">
        <f>IFERROR(__xludf.DUMMYFUNCTION("""COMPUTED_VALUE"""),0.5695159629248198)</f>
        <v>0.5695159629</v>
      </c>
      <c r="I445" s="11">
        <f>IFERROR(__xludf.DUMMYFUNCTION("""COMPUTED_VALUE"""),6003.501544799176)</f>
        <v>6003.501545</v>
      </c>
      <c r="J445" s="10">
        <f>IFERROR(__xludf.DUMMYFUNCTION("""COMPUTED_VALUE"""),2.0)</f>
        <v>2</v>
      </c>
      <c r="K445" s="5">
        <f>IFERROR(__xludf.DUMMYFUNCTION("""COMPUTED_VALUE"""),0.004705882352941176)</f>
        <v>0.004705882353</v>
      </c>
      <c r="L445" s="10">
        <f>IFERROR(__xludf.DUMMYFUNCTION("""COMPUTED_VALUE"""),0.0)</f>
        <v>0</v>
      </c>
      <c r="M445" s="5">
        <f>IFERROR(__xludf.DUMMYFUNCTION("""COMPUTED_VALUE"""),0.0)</f>
        <v>0</v>
      </c>
    </row>
    <row r="446">
      <c r="A446" s="10" t="str">
        <f>IFERROR(__xludf.DUMMYFUNCTION("""COMPUTED_VALUE"""),"A010")</f>
        <v>A010</v>
      </c>
      <c r="B446" s="10">
        <f>IFERROR(__xludf.DUMMYFUNCTION("""COMPUTED_VALUE"""),343.0)</f>
        <v>343</v>
      </c>
      <c r="C446" s="10">
        <f>IFERROR(__xludf.DUMMYFUNCTION("""COMPUTED_VALUE"""),3972.0)</f>
        <v>3972</v>
      </c>
      <c r="D446" s="5">
        <f>IFERROR(__xludf.DUMMYFUNCTION("""COMPUTED_VALUE"""),0.31661614769909063)</f>
        <v>0.3166161477</v>
      </c>
      <c r="E446" s="5">
        <f>IFERROR(__xludf.DUMMYFUNCTION("""COMPUTED_VALUE"""),0.14907688068338384)</f>
        <v>0.1490768807</v>
      </c>
      <c r="F446" s="5">
        <f>IFERROR(__xludf.DUMMYFUNCTION("""COMPUTED_VALUE"""),0.2044640396803527)</f>
        <v>0.2044640397</v>
      </c>
      <c r="G446" s="5">
        <f>IFERROR(__xludf.DUMMYFUNCTION("""COMPUTED_VALUE"""),0.1917883714521907)</f>
        <v>0.1917883715</v>
      </c>
      <c r="H446" s="5">
        <f>IFERROR(__xludf.DUMMYFUNCTION("""COMPUTED_VALUE"""),0.6132075471698113)</f>
        <v>0.6132075472</v>
      </c>
      <c r="I446" s="11">
        <f>IFERROR(__xludf.DUMMYFUNCTION("""COMPUTED_VALUE"""),6321.428571428572)</f>
        <v>6321.428571</v>
      </c>
      <c r="J446" s="10">
        <f>IFERROR(__xludf.DUMMYFUNCTION("""COMPUTED_VALUE"""),1.0)</f>
        <v>1</v>
      </c>
      <c r="K446" s="5">
        <f>IFERROR(__xludf.DUMMYFUNCTION("""COMPUTED_VALUE"""),0.0029154518950437317)</f>
        <v>0.002915451895</v>
      </c>
      <c r="L446" s="10">
        <f>IFERROR(__xludf.DUMMYFUNCTION("""COMPUTED_VALUE"""),0.0)</f>
        <v>0</v>
      </c>
      <c r="M446" s="5">
        <f>IFERROR(__xludf.DUMMYFUNCTION("""COMPUTED_VALUE"""),0.0)</f>
        <v>0</v>
      </c>
    </row>
    <row r="447">
      <c r="A447" s="10" t="str">
        <f>IFERROR(__xludf.DUMMYFUNCTION("""COMPUTED_VALUE"""),"本居小鈴")</f>
        <v>本居小鈴</v>
      </c>
      <c r="B447" s="10">
        <f>IFERROR(__xludf.DUMMYFUNCTION("""COMPUTED_VALUE"""),206.0)</f>
        <v>206</v>
      </c>
      <c r="C447" s="10">
        <f>IFERROR(__xludf.DUMMYFUNCTION("""COMPUTED_VALUE"""),2366.0)</f>
        <v>2366</v>
      </c>
      <c r="D447" s="5">
        <f>IFERROR(__xludf.DUMMYFUNCTION("""COMPUTED_VALUE"""),0.30972222222222223)</f>
        <v>0.3097222222</v>
      </c>
      <c r="E447" s="5">
        <f>IFERROR(__xludf.DUMMYFUNCTION("""COMPUTED_VALUE"""),0.14907407407407408)</f>
        <v>0.1490740741</v>
      </c>
      <c r="F447" s="5">
        <f>IFERROR(__xludf.DUMMYFUNCTION("""COMPUTED_VALUE"""),0.19074074074074074)</f>
        <v>0.1907407407</v>
      </c>
      <c r="G447" s="5">
        <f>IFERROR(__xludf.DUMMYFUNCTION("""COMPUTED_VALUE"""),0.19722222222222222)</f>
        <v>0.1972222222</v>
      </c>
      <c r="H447" s="5">
        <f>IFERROR(__xludf.DUMMYFUNCTION("""COMPUTED_VALUE"""),0.5752427184466019)</f>
        <v>0.5752427184</v>
      </c>
      <c r="I447" s="11">
        <f>IFERROR(__xludf.DUMMYFUNCTION("""COMPUTED_VALUE"""),5805.825242718447)</f>
        <v>5805.825243</v>
      </c>
      <c r="J447" s="10">
        <f>IFERROR(__xludf.DUMMYFUNCTION("""COMPUTED_VALUE"""),0.0)</f>
        <v>0</v>
      </c>
      <c r="K447" s="5">
        <f>IFERROR(__xludf.DUMMYFUNCTION("""COMPUTED_VALUE"""),0.0)</f>
        <v>0</v>
      </c>
      <c r="L447" s="10">
        <f>IFERROR(__xludf.DUMMYFUNCTION("""COMPUTED_VALUE"""),0.0)</f>
        <v>0</v>
      </c>
      <c r="M447" s="5">
        <f>IFERROR(__xludf.DUMMYFUNCTION("""COMPUTED_VALUE"""),0.0)</f>
        <v>0</v>
      </c>
    </row>
    <row r="448">
      <c r="A448" s="10" t="str">
        <f>IFERROR(__xludf.DUMMYFUNCTION("""COMPUTED_VALUE"""),"kurikunn")</f>
        <v>kurikunn</v>
      </c>
      <c r="B448" s="10">
        <f>IFERROR(__xludf.DUMMYFUNCTION("""COMPUTED_VALUE"""),129.0)</f>
        <v>129</v>
      </c>
      <c r="C448" s="10">
        <f>IFERROR(__xludf.DUMMYFUNCTION("""COMPUTED_VALUE"""),1558.0)</f>
        <v>1558</v>
      </c>
      <c r="D448" s="5">
        <f>IFERROR(__xludf.DUMMYFUNCTION("""COMPUTED_VALUE"""),0.36529041287613717)</f>
        <v>0.3652904129</v>
      </c>
      <c r="E448" s="5">
        <f>IFERROR(__xludf.DUMMYFUNCTION("""COMPUTED_VALUE"""),0.1490552834149755)</f>
        <v>0.1490552834</v>
      </c>
      <c r="F448" s="5">
        <f>IFERROR(__xludf.DUMMYFUNCTION("""COMPUTED_VALUE"""),0.22883135059482154)</f>
        <v>0.2288313506</v>
      </c>
      <c r="G448" s="5">
        <f>IFERROR(__xludf.DUMMYFUNCTION("""COMPUTED_VALUE"""),0.16235129461161651)</f>
        <v>0.1623512946</v>
      </c>
      <c r="H448" s="5">
        <f>IFERROR(__xludf.DUMMYFUNCTION("""COMPUTED_VALUE"""),0.6697247706422018)</f>
        <v>0.6697247706</v>
      </c>
      <c r="I448" s="11">
        <f>IFERROR(__xludf.DUMMYFUNCTION("""COMPUTED_VALUE"""),5065.137614678899)</f>
        <v>5065.137615</v>
      </c>
      <c r="J448" s="10">
        <f>IFERROR(__xludf.DUMMYFUNCTION("""COMPUTED_VALUE"""),0.0)</f>
        <v>0</v>
      </c>
      <c r="K448" s="5">
        <f>IFERROR(__xludf.DUMMYFUNCTION("""COMPUTED_VALUE"""),0.0)</f>
        <v>0</v>
      </c>
      <c r="L448" s="10">
        <f>IFERROR(__xludf.DUMMYFUNCTION("""COMPUTED_VALUE"""),126.0)</f>
        <v>126</v>
      </c>
      <c r="M448" s="5">
        <f>IFERROR(__xludf.DUMMYFUNCTION("""COMPUTED_VALUE"""),0.9767441860465116)</f>
        <v>0.976744186</v>
      </c>
    </row>
    <row r="449">
      <c r="A449" s="10" t="str">
        <f>IFERROR(__xludf.DUMMYFUNCTION("""COMPUTED_VALUE"""),"Monoid")</f>
        <v>Monoid</v>
      </c>
      <c r="B449" s="10">
        <f>IFERROR(__xludf.DUMMYFUNCTION("""COMPUTED_VALUE"""),2818.0)</f>
        <v>2818</v>
      </c>
      <c r="C449" s="10">
        <f>IFERROR(__xludf.DUMMYFUNCTION("""COMPUTED_VALUE"""),32687.0)</f>
        <v>32687</v>
      </c>
      <c r="D449" s="5">
        <f>IFERROR(__xludf.DUMMYFUNCTION("""COMPUTED_VALUE"""),0.45907127791355584)</f>
        <v>0.4590712779</v>
      </c>
      <c r="E449" s="5">
        <f>IFERROR(__xludf.DUMMYFUNCTION("""COMPUTED_VALUE"""),0.14905085540192173)</f>
        <v>0.1490508554</v>
      </c>
      <c r="F449" s="5">
        <f>IFERROR(__xludf.DUMMYFUNCTION("""COMPUTED_VALUE"""),0.237604205028625)</f>
        <v>0.237604205</v>
      </c>
      <c r="G449" s="5">
        <f>IFERROR(__xludf.DUMMYFUNCTION("""COMPUTED_VALUE"""),0.18936020623388797)</f>
        <v>0.1893602062</v>
      </c>
      <c r="H449" s="5">
        <f>IFERROR(__xludf.DUMMYFUNCTION("""COMPUTED_VALUE"""),0.5970128223192899)</f>
        <v>0.5970128223</v>
      </c>
      <c r="I449" s="11">
        <f>IFERROR(__xludf.DUMMYFUNCTION("""COMPUTED_VALUE"""),5389.037621530224)</f>
        <v>5389.037622</v>
      </c>
      <c r="J449" s="10">
        <f>IFERROR(__xludf.DUMMYFUNCTION("""COMPUTED_VALUE"""),5.0)</f>
        <v>5</v>
      </c>
      <c r="K449" s="5">
        <f>IFERROR(__xludf.DUMMYFUNCTION("""COMPUTED_VALUE"""),0.0017743080198722497)</f>
        <v>0.00177430802</v>
      </c>
      <c r="L449" s="10">
        <f>IFERROR(__xludf.DUMMYFUNCTION("""COMPUTED_VALUE"""),0.0)</f>
        <v>0</v>
      </c>
      <c r="M449" s="5">
        <f>IFERROR(__xludf.DUMMYFUNCTION("""COMPUTED_VALUE"""),0.0)</f>
        <v>0</v>
      </c>
    </row>
    <row r="450">
      <c r="A450" s="10" t="str">
        <f>IFERROR(__xludf.DUMMYFUNCTION("""COMPUTED_VALUE"""),"UTI")</f>
        <v>UTI</v>
      </c>
      <c r="B450" s="10">
        <f>IFERROR(__xludf.DUMMYFUNCTION("""COMPUTED_VALUE"""),340.0)</f>
        <v>340</v>
      </c>
      <c r="C450" s="10">
        <f>IFERROR(__xludf.DUMMYFUNCTION("""COMPUTED_VALUE"""),3963.0)</f>
        <v>3963</v>
      </c>
      <c r="D450" s="5">
        <f>IFERROR(__xludf.DUMMYFUNCTION("""COMPUTED_VALUE"""),0.3513662710460944)</f>
        <v>0.351366271</v>
      </c>
      <c r="E450" s="5">
        <f>IFERROR(__xludf.DUMMYFUNCTION("""COMPUTED_VALUE"""),0.14904775048302513)</f>
        <v>0.1490477505</v>
      </c>
      <c r="F450" s="5">
        <f>IFERROR(__xludf.DUMMYFUNCTION("""COMPUTED_VALUE"""),0.2147391664366547)</f>
        <v>0.2147391664</v>
      </c>
      <c r="G450" s="5">
        <f>IFERROR(__xludf.DUMMYFUNCTION("""COMPUTED_VALUE"""),0.1567761523599227)</f>
        <v>0.1567761524</v>
      </c>
      <c r="H450" s="5">
        <f>IFERROR(__xludf.DUMMYFUNCTION("""COMPUTED_VALUE"""),0.6439588688946015)</f>
        <v>0.6439588689</v>
      </c>
      <c r="I450" s="11">
        <f>IFERROR(__xludf.DUMMYFUNCTION("""COMPUTED_VALUE"""),5461.953727506427)</f>
        <v>5461.953728</v>
      </c>
      <c r="J450" s="10">
        <f>IFERROR(__xludf.DUMMYFUNCTION("""COMPUTED_VALUE"""),1.0)</f>
        <v>1</v>
      </c>
      <c r="K450" s="5">
        <f>IFERROR(__xludf.DUMMYFUNCTION("""COMPUTED_VALUE"""),0.0029411764705882353)</f>
        <v>0.002941176471</v>
      </c>
      <c r="L450" s="10">
        <f>IFERROR(__xludf.DUMMYFUNCTION("""COMPUTED_VALUE"""),340.0)</f>
        <v>340</v>
      </c>
      <c r="M450" s="5">
        <f>IFERROR(__xludf.DUMMYFUNCTION("""COMPUTED_VALUE"""),1.0)</f>
        <v>1</v>
      </c>
    </row>
    <row r="451">
      <c r="A451" s="10" t="str">
        <f>IFERROR(__xludf.DUMMYFUNCTION("""COMPUTED_VALUE"""),"■スメラギ■")</f>
        <v>■スメラギ■</v>
      </c>
      <c r="B451" s="10">
        <f>IFERROR(__xludf.DUMMYFUNCTION("""COMPUTED_VALUE"""),434.0)</f>
        <v>434</v>
      </c>
      <c r="C451" s="10">
        <f>IFERROR(__xludf.DUMMYFUNCTION("""COMPUTED_VALUE"""),5010.0)</f>
        <v>5010</v>
      </c>
      <c r="D451" s="5">
        <f>IFERROR(__xludf.DUMMYFUNCTION("""COMPUTED_VALUE"""),0.39619755244755245)</f>
        <v>0.3961975524</v>
      </c>
      <c r="E451" s="5">
        <f>IFERROR(__xludf.DUMMYFUNCTION("""COMPUTED_VALUE"""),0.14903846153846154)</f>
        <v>0.1490384615</v>
      </c>
      <c r="F451" s="5">
        <f>IFERROR(__xludf.DUMMYFUNCTION("""COMPUTED_VALUE"""),0.21284965034965034)</f>
        <v>0.2128496503</v>
      </c>
      <c r="G451" s="5">
        <f>IFERROR(__xludf.DUMMYFUNCTION("""COMPUTED_VALUE"""),0.1888111888111888)</f>
        <v>0.1888111888</v>
      </c>
      <c r="H451" s="5">
        <f>IFERROR(__xludf.DUMMYFUNCTION("""COMPUTED_VALUE"""),0.5913757700205339)</f>
        <v>0.59137577</v>
      </c>
      <c r="I451" s="11">
        <f>IFERROR(__xludf.DUMMYFUNCTION("""COMPUTED_VALUE"""),5761.806981519507)</f>
        <v>5761.806982</v>
      </c>
      <c r="J451" s="10">
        <f>IFERROR(__xludf.DUMMYFUNCTION("""COMPUTED_VALUE"""),3.0)</f>
        <v>3</v>
      </c>
      <c r="K451" s="5">
        <f>IFERROR(__xludf.DUMMYFUNCTION("""COMPUTED_VALUE"""),0.0069124423963133645)</f>
        <v>0.006912442396</v>
      </c>
      <c r="L451" s="10">
        <f>IFERROR(__xludf.DUMMYFUNCTION("""COMPUTED_VALUE"""),434.0)</f>
        <v>434</v>
      </c>
      <c r="M451" s="5">
        <f>IFERROR(__xludf.DUMMYFUNCTION("""COMPUTED_VALUE"""),1.0)</f>
        <v>1</v>
      </c>
    </row>
    <row r="452">
      <c r="A452" s="10" t="str">
        <f>IFERROR(__xludf.DUMMYFUNCTION("""COMPUTED_VALUE"""),"銭形")</f>
        <v>銭形</v>
      </c>
      <c r="B452" s="10">
        <f>IFERROR(__xludf.DUMMYFUNCTION("""COMPUTED_VALUE"""),136.0)</f>
        <v>136</v>
      </c>
      <c r="C452" s="10">
        <f>IFERROR(__xludf.DUMMYFUNCTION("""COMPUTED_VALUE"""),1592.0)</f>
        <v>1592</v>
      </c>
      <c r="D452" s="5">
        <f>IFERROR(__xludf.DUMMYFUNCTION("""COMPUTED_VALUE"""),0.41552197802197804)</f>
        <v>0.415521978</v>
      </c>
      <c r="E452" s="5">
        <f>IFERROR(__xludf.DUMMYFUNCTION("""COMPUTED_VALUE"""),0.14903846153846154)</f>
        <v>0.1490384615</v>
      </c>
      <c r="F452" s="5">
        <f>IFERROR(__xludf.DUMMYFUNCTION("""COMPUTED_VALUE"""),0.22939560439560439)</f>
        <v>0.2293956044</v>
      </c>
      <c r="G452" s="5">
        <f>IFERROR(__xludf.DUMMYFUNCTION("""COMPUTED_VALUE"""),0.14972527472527472)</f>
        <v>0.1497252747</v>
      </c>
      <c r="H452" s="5">
        <f>IFERROR(__xludf.DUMMYFUNCTION("""COMPUTED_VALUE"""),0.592814371257485)</f>
        <v>0.5928143713</v>
      </c>
      <c r="I452" s="11">
        <f>IFERROR(__xludf.DUMMYFUNCTION("""COMPUTED_VALUE"""),5568.562874251497)</f>
        <v>5568.562874</v>
      </c>
      <c r="J452" s="10">
        <f>IFERROR(__xludf.DUMMYFUNCTION("""COMPUTED_VALUE"""),1.0)</f>
        <v>1</v>
      </c>
      <c r="K452" s="5">
        <f>IFERROR(__xludf.DUMMYFUNCTION("""COMPUTED_VALUE"""),0.007352941176470588)</f>
        <v>0.007352941176</v>
      </c>
      <c r="L452" s="10">
        <f>IFERROR(__xludf.DUMMYFUNCTION("""COMPUTED_VALUE"""),136.0)</f>
        <v>136</v>
      </c>
      <c r="M452" s="5">
        <f>IFERROR(__xludf.DUMMYFUNCTION("""COMPUTED_VALUE"""),1.0)</f>
        <v>1</v>
      </c>
    </row>
    <row r="453">
      <c r="A453" s="10" t="str">
        <f>IFERROR(__xludf.DUMMYFUNCTION("""COMPUTED_VALUE"""),"ハッカドール")</f>
        <v>ハッカドール</v>
      </c>
      <c r="B453" s="10">
        <f>IFERROR(__xludf.DUMMYFUNCTION("""COMPUTED_VALUE"""),209.0)</f>
        <v>209</v>
      </c>
      <c r="C453" s="10">
        <f>IFERROR(__xludf.DUMMYFUNCTION("""COMPUTED_VALUE"""),2430.0)</f>
        <v>2430</v>
      </c>
      <c r="D453" s="5">
        <f>IFERROR(__xludf.DUMMYFUNCTION("""COMPUTED_VALUE"""),0.3759567762269248)</f>
        <v>0.3759567762</v>
      </c>
      <c r="E453" s="5">
        <f>IFERROR(__xludf.DUMMYFUNCTION("""COMPUTED_VALUE"""),0.1490319675821702)</f>
        <v>0.1490319676</v>
      </c>
      <c r="F453" s="5">
        <f>IFERROR(__xludf.DUMMYFUNCTION("""COMPUTED_VALUE"""),0.21566861773975687)</f>
        <v>0.2156686177</v>
      </c>
      <c r="G453" s="5">
        <f>IFERROR(__xludf.DUMMYFUNCTION("""COMPUTED_VALUE"""),0.1760468257541648)</f>
        <v>0.1760468258</v>
      </c>
      <c r="H453" s="5">
        <f>IFERROR(__xludf.DUMMYFUNCTION("""COMPUTED_VALUE"""),0.6471816283924844)</f>
        <v>0.6471816284</v>
      </c>
      <c r="I453" s="11">
        <f>IFERROR(__xludf.DUMMYFUNCTION("""COMPUTED_VALUE"""),5420.041753653445)</f>
        <v>5420.041754</v>
      </c>
      <c r="J453" s="10">
        <f>IFERROR(__xludf.DUMMYFUNCTION("""COMPUTED_VALUE"""),0.0)</f>
        <v>0</v>
      </c>
      <c r="K453" s="5">
        <f>IFERROR(__xludf.DUMMYFUNCTION("""COMPUTED_VALUE"""),0.0)</f>
        <v>0</v>
      </c>
      <c r="L453" s="10">
        <f>IFERROR(__xludf.DUMMYFUNCTION("""COMPUTED_VALUE"""),209.0)</f>
        <v>209</v>
      </c>
      <c r="M453" s="5">
        <f>IFERROR(__xludf.DUMMYFUNCTION("""COMPUTED_VALUE"""),1.0)</f>
        <v>1</v>
      </c>
    </row>
    <row r="454">
      <c r="A454" s="10" t="str">
        <f>IFERROR(__xludf.DUMMYFUNCTION("""COMPUTED_VALUE"""),"三田村茜")</f>
        <v>三田村茜</v>
      </c>
      <c r="B454" s="10">
        <f>IFERROR(__xludf.DUMMYFUNCTION("""COMPUTED_VALUE"""),177.0)</f>
        <v>177</v>
      </c>
      <c r="C454" s="10">
        <f>IFERROR(__xludf.DUMMYFUNCTION("""COMPUTED_VALUE"""),2117.0)</f>
        <v>2117</v>
      </c>
      <c r="D454" s="5">
        <f>IFERROR(__xludf.DUMMYFUNCTION("""COMPUTED_VALUE"""),0.338659793814433)</f>
        <v>0.3386597938</v>
      </c>
      <c r="E454" s="5">
        <f>IFERROR(__xludf.DUMMYFUNCTION("""COMPUTED_VALUE"""),0.14896907216494845)</f>
        <v>0.1489690722</v>
      </c>
      <c r="F454" s="5">
        <f>IFERROR(__xludf.DUMMYFUNCTION("""COMPUTED_VALUE"""),0.2211340206185567)</f>
        <v>0.2211340206</v>
      </c>
      <c r="G454" s="5">
        <f>IFERROR(__xludf.DUMMYFUNCTION("""COMPUTED_VALUE"""),0.18711340206185567)</f>
        <v>0.1871134021</v>
      </c>
      <c r="H454" s="5">
        <f>IFERROR(__xludf.DUMMYFUNCTION("""COMPUTED_VALUE"""),0.627039627039627)</f>
        <v>0.627039627</v>
      </c>
      <c r="I454" s="11">
        <f>IFERROR(__xludf.DUMMYFUNCTION("""COMPUTED_VALUE"""),5573.892773892774)</f>
        <v>5573.892774</v>
      </c>
      <c r="J454" s="10">
        <f>IFERROR(__xludf.DUMMYFUNCTION("""COMPUTED_VALUE"""),0.0)</f>
        <v>0</v>
      </c>
      <c r="K454" s="5">
        <f>IFERROR(__xludf.DUMMYFUNCTION("""COMPUTED_VALUE"""),0.0)</f>
        <v>0</v>
      </c>
      <c r="L454" s="10">
        <f>IFERROR(__xludf.DUMMYFUNCTION("""COMPUTED_VALUE"""),0.0)</f>
        <v>0</v>
      </c>
      <c r="M454" s="5">
        <f>IFERROR(__xludf.DUMMYFUNCTION("""COMPUTED_VALUE"""),0.0)</f>
        <v>0</v>
      </c>
    </row>
    <row r="455">
      <c r="A455" s="10" t="str">
        <f>IFERROR(__xludf.DUMMYFUNCTION("""COMPUTED_VALUE"""),"マツモト氏")</f>
        <v>マツモト氏</v>
      </c>
      <c r="B455" s="10">
        <f>IFERROR(__xludf.DUMMYFUNCTION("""COMPUTED_VALUE"""),143.0)</f>
        <v>143</v>
      </c>
      <c r="C455" s="10">
        <f>IFERROR(__xludf.DUMMYFUNCTION("""COMPUTED_VALUE"""),1640.0)</f>
        <v>1640</v>
      </c>
      <c r="D455" s="5">
        <f>IFERROR(__xludf.DUMMYFUNCTION("""COMPUTED_VALUE"""),0.3259853039412158)</f>
        <v>0.3259853039</v>
      </c>
      <c r="E455" s="5">
        <f>IFERROR(__xludf.DUMMYFUNCTION("""COMPUTED_VALUE"""),0.14896459585838343)</f>
        <v>0.1489645959</v>
      </c>
      <c r="F455" s="5">
        <f>IFERROR(__xludf.DUMMYFUNCTION("""COMPUTED_VALUE"""),0.2070808283233133)</f>
        <v>0.2070808283</v>
      </c>
      <c r="G455" s="5">
        <f>IFERROR(__xludf.DUMMYFUNCTION("""COMPUTED_VALUE"""),0.15831663326653306)</f>
        <v>0.1583166333</v>
      </c>
      <c r="H455" s="5">
        <f>IFERROR(__xludf.DUMMYFUNCTION("""COMPUTED_VALUE"""),0.6064516129032258)</f>
        <v>0.6064516129</v>
      </c>
      <c r="I455" s="11">
        <f>IFERROR(__xludf.DUMMYFUNCTION("""COMPUTED_VALUE"""),6201.290322580645)</f>
        <v>6201.290323</v>
      </c>
      <c r="J455" s="10">
        <f>IFERROR(__xludf.DUMMYFUNCTION("""COMPUTED_VALUE"""),0.0)</f>
        <v>0</v>
      </c>
      <c r="K455" s="5">
        <f>IFERROR(__xludf.DUMMYFUNCTION("""COMPUTED_VALUE"""),0.0)</f>
        <v>0</v>
      </c>
      <c r="L455" s="10">
        <f>IFERROR(__xludf.DUMMYFUNCTION("""COMPUTED_VALUE"""),143.0)</f>
        <v>143</v>
      </c>
      <c r="M455" s="5">
        <f>IFERROR(__xludf.DUMMYFUNCTION("""COMPUTED_VALUE"""),1.0)</f>
        <v>1</v>
      </c>
    </row>
    <row r="456">
      <c r="A456" s="10" t="str">
        <f>IFERROR(__xludf.DUMMYFUNCTION("""COMPUTED_VALUE"""),"PHYO")</f>
        <v>PHYO</v>
      </c>
      <c r="B456" s="10">
        <f>IFERROR(__xludf.DUMMYFUNCTION("""COMPUTED_VALUE"""),282.0)</f>
        <v>282</v>
      </c>
      <c r="C456" s="10">
        <f>IFERROR(__xludf.DUMMYFUNCTION("""COMPUTED_VALUE"""),3276.0)</f>
        <v>3276</v>
      </c>
      <c r="D456" s="5">
        <f>IFERROR(__xludf.DUMMYFUNCTION("""COMPUTED_VALUE"""),0.4201736806947228)</f>
        <v>0.4201736807</v>
      </c>
      <c r="E456" s="5">
        <f>IFERROR(__xludf.DUMMYFUNCTION("""COMPUTED_VALUE"""),0.14896459585838343)</f>
        <v>0.1489645959</v>
      </c>
      <c r="F456" s="5">
        <f>IFERROR(__xludf.DUMMYFUNCTION("""COMPUTED_VALUE"""),0.22645290581162325)</f>
        <v>0.2264529058</v>
      </c>
      <c r="G456" s="5">
        <f>IFERROR(__xludf.DUMMYFUNCTION("""COMPUTED_VALUE"""),0.1576486305945224)</f>
        <v>0.1576486306</v>
      </c>
      <c r="H456" s="5">
        <f>IFERROR(__xludf.DUMMYFUNCTION("""COMPUTED_VALUE"""),0.616519174041298)</f>
        <v>0.616519174</v>
      </c>
      <c r="I456" s="11">
        <f>IFERROR(__xludf.DUMMYFUNCTION("""COMPUTED_VALUE"""),5546.607669616519)</f>
        <v>5546.60767</v>
      </c>
      <c r="J456" s="10">
        <f>IFERROR(__xludf.DUMMYFUNCTION("""COMPUTED_VALUE"""),0.0)</f>
        <v>0</v>
      </c>
      <c r="K456" s="5">
        <f>IFERROR(__xludf.DUMMYFUNCTION("""COMPUTED_VALUE"""),0.0)</f>
        <v>0</v>
      </c>
      <c r="L456" s="10">
        <f>IFERROR(__xludf.DUMMYFUNCTION("""COMPUTED_VALUE"""),282.0)</f>
        <v>282</v>
      </c>
      <c r="M456" s="5">
        <f>IFERROR(__xludf.DUMMYFUNCTION("""COMPUTED_VALUE"""),1.0)</f>
        <v>1</v>
      </c>
    </row>
    <row r="457">
      <c r="A457" s="10" t="str">
        <f>IFERROR(__xludf.DUMMYFUNCTION("""COMPUTED_VALUE"""),"ビッグ珍珍")</f>
        <v>ビッグ珍珍</v>
      </c>
      <c r="B457" s="10">
        <f>IFERROR(__xludf.DUMMYFUNCTION("""COMPUTED_VALUE"""),106.0)</f>
        <v>106</v>
      </c>
      <c r="C457" s="10">
        <f>IFERROR(__xludf.DUMMYFUNCTION("""COMPUTED_VALUE"""),1234.0)</f>
        <v>1234</v>
      </c>
      <c r="D457" s="5">
        <f>IFERROR(__xludf.DUMMYFUNCTION("""COMPUTED_VALUE"""),0.3820921985815603)</f>
        <v>0.3820921986</v>
      </c>
      <c r="E457" s="5">
        <f>IFERROR(__xludf.DUMMYFUNCTION("""COMPUTED_VALUE"""),0.14893617021276595)</f>
        <v>0.1489361702</v>
      </c>
      <c r="F457" s="5">
        <f>IFERROR(__xludf.DUMMYFUNCTION("""COMPUTED_VALUE"""),0.20212765957446807)</f>
        <v>0.2021276596</v>
      </c>
      <c r="G457" s="5">
        <f>IFERROR(__xludf.DUMMYFUNCTION("""COMPUTED_VALUE"""),0.14361702127659576)</f>
        <v>0.1436170213</v>
      </c>
      <c r="H457" s="5">
        <f>IFERROR(__xludf.DUMMYFUNCTION("""COMPUTED_VALUE"""),0.6666666666666666)</f>
        <v>0.6666666667</v>
      </c>
      <c r="I457" s="11">
        <f>IFERROR(__xludf.DUMMYFUNCTION("""COMPUTED_VALUE"""),5409.210526315789)</f>
        <v>5409.210526</v>
      </c>
      <c r="J457" s="10">
        <f>IFERROR(__xludf.DUMMYFUNCTION("""COMPUTED_VALUE"""),0.0)</f>
        <v>0</v>
      </c>
      <c r="K457" s="5">
        <f>IFERROR(__xludf.DUMMYFUNCTION("""COMPUTED_VALUE"""),0.0)</f>
        <v>0</v>
      </c>
      <c r="L457" s="10">
        <f>IFERROR(__xludf.DUMMYFUNCTION("""COMPUTED_VALUE"""),106.0)</f>
        <v>106</v>
      </c>
      <c r="M457" s="5">
        <f>IFERROR(__xludf.DUMMYFUNCTION("""COMPUTED_VALUE"""),1.0)</f>
        <v>1</v>
      </c>
    </row>
    <row r="458">
      <c r="A458" s="10" t="str">
        <f>IFERROR(__xludf.DUMMYFUNCTION("""COMPUTED_VALUE"""),"ひびきったー")</f>
        <v>ひびきったー</v>
      </c>
      <c r="B458" s="10">
        <f>IFERROR(__xludf.DUMMYFUNCTION("""COMPUTED_VALUE"""),173.0)</f>
        <v>173</v>
      </c>
      <c r="C458" s="10">
        <f>IFERROR(__xludf.DUMMYFUNCTION("""COMPUTED_VALUE"""),2067.0)</f>
        <v>2067</v>
      </c>
      <c r="D458" s="5">
        <f>IFERROR(__xludf.DUMMYFUNCTION("""COMPUTED_VALUE"""),0.3041182682154171)</f>
        <v>0.3041182682</v>
      </c>
      <c r="E458" s="5">
        <f>IFERROR(__xludf.DUMMYFUNCTION("""COMPUTED_VALUE"""),0.14889123548046462)</f>
        <v>0.1488912355</v>
      </c>
      <c r="F458" s="5">
        <f>IFERROR(__xludf.DUMMYFUNCTION("""COMPUTED_VALUE"""),0.20380147835269272)</f>
        <v>0.2038014784</v>
      </c>
      <c r="G458" s="5">
        <f>IFERROR(__xludf.DUMMYFUNCTION("""COMPUTED_VALUE"""),0.1900739176346357)</f>
        <v>0.1900739176</v>
      </c>
      <c r="H458" s="5">
        <f>IFERROR(__xludf.DUMMYFUNCTION("""COMPUTED_VALUE"""),0.5621761658031088)</f>
        <v>0.5621761658</v>
      </c>
      <c r="I458" s="11">
        <f>IFERROR(__xludf.DUMMYFUNCTION("""COMPUTED_VALUE"""),5709.58549222798)</f>
        <v>5709.585492</v>
      </c>
      <c r="J458" s="10">
        <f>IFERROR(__xludf.DUMMYFUNCTION("""COMPUTED_VALUE"""),1.0)</f>
        <v>1</v>
      </c>
      <c r="K458" s="5">
        <f>IFERROR(__xludf.DUMMYFUNCTION("""COMPUTED_VALUE"""),0.005780346820809248)</f>
        <v>0.005780346821</v>
      </c>
      <c r="L458" s="10">
        <f>IFERROR(__xludf.DUMMYFUNCTION("""COMPUTED_VALUE"""),173.0)</f>
        <v>173</v>
      </c>
      <c r="M458" s="5">
        <f>IFERROR(__xludf.DUMMYFUNCTION("""COMPUTED_VALUE"""),1.0)</f>
        <v>1</v>
      </c>
    </row>
    <row r="459">
      <c r="A459" s="10" t="str">
        <f>IFERROR(__xludf.DUMMYFUNCTION("""COMPUTED_VALUE"""),"昧光")</f>
        <v>昧光</v>
      </c>
      <c r="B459" s="10">
        <f>IFERROR(__xludf.DUMMYFUNCTION("""COMPUTED_VALUE"""),241.0)</f>
        <v>241</v>
      </c>
      <c r="C459" s="10">
        <f>IFERROR(__xludf.DUMMYFUNCTION("""COMPUTED_VALUE"""),2753.0)</f>
        <v>2753</v>
      </c>
      <c r="D459" s="5">
        <f>IFERROR(__xludf.DUMMYFUNCTION("""COMPUTED_VALUE"""),0.3769904458598726)</f>
        <v>0.3769904459</v>
      </c>
      <c r="E459" s="5">
        <f>IFERROR(__xludf.DUMMYFUNCTION("""COMPUTED_VALUE"""),0.14888535031847133)</f>
        <v>0.1488853503</v>
      </c>
      <c r="F459" s="5">
        <f>IFERROR(__xludf.DUMMYFUNCTION("""COMPUTED_VALUE"""),0.21695859872611464)</f>
        <v>0.2169585987</v>
      </c>
      <c r="G459" s="5">
        <f>IFERROR(__xludf.DUMMYFUNCTION("""COMPUTED_VALUE"""),0.19187898089171976)</f>
        <v>0.1918789809</v>
      </c>
      <c r="H459" s="5">
        <f>IFERROR(__xludf.DUMMYFUNCTION("""COMPUTED_VALUE"""),0.5871559633027523)</f>
        <v>0.5871559633</v>
      </c>
      <c r="I459" s="11">
        <f>IFERROR(__xludf.DUMMYFUNCTION("""COMPUTED_VALUE"""),5860.5504587155965)</f>
        <v>5860.550459</v>
      </c>
      <c r="J459" s="10">
        <f>IFERROR(__xludf.DUMMYFUNCTION("""COMPUTED_VALUE"""),0.0)</f>
        <v>0</v>
      </c>
      <c r="K459" s="5">
        <f>IFERROR(__xludf.DUMMYFUNCTION("""COMPUTED_VALUE"""),0.0)</f>
        <v>0</v>
      </c>
      <c r="L459" s="10">
        <f>IFERROR(__xludf.DUMMYFUNCTION("""COMPUTED_VALUE"""),111.0)</f>
        <v>111</v>
      </c>
      <c r="M459" s="5">
        <f>IFERROR(__xludf.DUMMYFUNCTION("""COMPUTED_VALUE"""),0.4605809128630705)</f>
        <v>0.4605809129</v>
      </c>
    </row>
    <row r="460">
      <c r="A460" s="10" t="str">
        <f>IFERROR(__xludf.DUMMYFUNCTION("""COMPUTED_VALUE"""),"モモっち")</f>
        <v>モモっち</v>
      </c>
      <c r="B460" s="10">
        <f>IFERROR(__xludf.DUMMYFUNCTION("""COMPUTED_VALUE"""),112.0)</f>
        <v>112</v>
      </c>
      <c r="C460" s="10">
        <f>IFERROR(__xludf.DUMMYFUNCTION("""COMPUTED_VALUE"""),1328.0)</f>
        <v>1328</v>
      </c>
      <c r="D460" s="5">
        <f>IFERROR(__xludf.DUMMYFUNCTION("""COMPUTED_VALUE"""),0.296875)</f>
        <v>0.296875</v>
      </c>
      <c r="E460" s="5">
        <f>IFERROR(__xludf.DUMMYFUNCTION("""COMPUTED_VALUE"""),0.14884868421052633)</f>
        <v>0.1488486842</v>
      </c>
      <c r="F460" s="5">
        <f>IFERROR(__xludf.DUMMYFUNCTION("""COMPUTED_VALUE"""),0.19983552631578946)</f>
        <v>0.1998355263</v>
      </c>
      <c r="G460" s="5">
        <f>IFERROR(__xludf.DUMMYFUNCTION("""COMPUTED_VALUE"""),0.17598684210526316)</f>
        <v>0.1759868421</v>
      </c>
      <c r="H460" s="5">
        <f>IFERROR(__xludf.DUMMYFUNCTION("""COMPUTED_VALUE"""),0.6460905349794238)</f>
        <v>0.646090535</v>
      </c>
      <c r="I460" s="11">
        <f>IFERROR(__xludf.DUMMYFUNCTION("""COMPUTED_VALUE"""),5442.38683127572)</f>
        <v>5442.386831</v>
      </c>
      <c r="J460" s="10">
        <f>IFERROR(__xludf.DUMMYFUNCTION("""COMPUTED_VALUE"""),0.0)</f>
        <v>0</v>
      </c>
      <c r="K460" s="5">
        <f>IFERROR(__xludf.DUMMYFUNCTION("""COMPUTED_VALUE"""),0.0)</f>
        <v>0</v>
      </c>
      <c r="L460" s="10">
        <f>IFERROR(__xludf.DUMMYFUNCTION("""COMPUTED_VALUE"""),112.0)</f>
        <v>112</v>
      </c>
      <c r="M460" s="5">
        <f>IFERROR(__xludf.DUMMYFUNCTION("""COMPUTED_VALUE"""),1.0)</f>
        <v>1</v>
      </c>
    </row>
    <row r="461">
      <c r="A461" s="10" t="str">
        <f>IFERROR(__xludf.DUMMYFUNCTION("""COMPUTED_VALUE"""),"西木野真姫？")</f>
        <v>西木野真姫？</v>
      </c>
      <c r="B461" s="10">
        <f>IFERROR(__xludf.DUMMYFUNCTION("""COMPUTED_VALUE"""),256.0)</f>
        <v>256</v>
      </c>
      <c r="C461" s="10">
        <f>IFERROR(__xludf.DUMMYFUNCTION("""COMPUTED_VALUE"""),2977.0)</f>
        <v>2977</v>
      </c>
      <c r="D461" s="5">
        <f>IFERROR(__xludf.DUMMYFUNCTION("""COMPUTED_VALUE"""),0.35942668136714445)</f>
        <v>0.3594266814</v>
      </c>
      <c r="E461" s="5">
        <f>IFERROR(__xludf.DUMMYFUNCTION("""COMPUTED_VALUE"""),0.14884233737596472)</f>
        <v>0.1488423374</v>
      </c>
      <c r="F461" s="5">
        <f>IFERROR(__xludf.DUMMYFUNCTION("""COMPUTED_VALUE"""),0.2087467842704888)</f>
        <v>0.2087467843</v>
      </c>
      <c r="G461" s="5">
        <f>IFERROR(__xludf.DUMMYFUNCTION("""COMPUTED_VALUE"""),0.16501286291804484)</f>
        <v>0.1650128629</v>
      </c>
      <c r="H461" s="5">
        <f>IFERROR(__xludf.DUMMYFUNCTION("""COMPUTED_VALUE"""),0.5915492957746479)</f>
        <v>0.5915492958</v>
      </c>
      <c r="I461" s="11">
        <f>IFERROR(__xludf.DUMMYFUNCTION("""COMPUTED_VALUE"""),5961.971830985915)</f>
        <v>5961.971831</v>
      </c>
      <c r="J461" s="10">
        <f>IFERROR(__xludf.DUMMYFUNCTION("""COMPUTED_VALUE"""),2.0)</f>
        <v>2</v>
      </c>
      <c r="K461" s="5">
        <f>IFERROR(__xludf.DUMMYFUNCTION("""COMPUTED_VALUE"""),0.0078125)</f>
        <v>0.0078125</v>
      </c>
      <c r="L461" s="10">
        <f>IFERROR(__xludf.DUMMYFUNCTION("""COMPUTED_VALUE"""),0.0)</f>
        <v>0</v>
      </c>
      <c r="M461" s="5">
        <f>IFERROR(__xludf.DUMMYFUNCTION("""COMPUTED_VALUE"""),0.0)</f>
        <v>0</v>
      </c>
    </row>
    <row r="462">
      <c r="A462" s="10" t="str">
        <f>IFERROR(__xludf.DUMMYFUNCTION("""COMPUTED_VALUE"""),"newjack")</f>
        <v>newjack</v>
      </c>
      <c r="B462" s="10">
        <f>IFERROR(__xludf.DUMMYFUNCTION("""COMPUTED_VALUE"""),473.0)</f>
        <v>473</v>
      </c>
      <c r="C462" s="10">
        <f>IFERROR(__xludf.DUMMYFUNCTION("""COMPUTED_VALUE"""),5539.0)</f>
        <v>5539</v>
      </c>
      <c r="D462" s="5">
        <f>IFERROR(__xludf.DUMMYFUNCTION("""COMPUTED_VALUE"""),0.3651796288985393)</f>
        <v>0.3651796289</v>
      </c>
      <c r="E462" s="5">
        <f>IFERROR(__xludf.DUMMYFUNCTION("""COMPUTED_VALUE"""),0.14883537307540465)</f>
        <v>0.1488353731</v>
      </c>
      <c r="F462" s="5">
        <f>IFERROR(__xludf.DUMMYFUNCTION("""COMPUTED_VALUE"""),0.22542439794709832)</f>
        <v>0.2254243979</v>
      </c>
      <c r="G462" s="5">
        <f>IFERROR(__xludf.DUMMYFUNCTION("""COMPUTED_VALUE"""),0.20173707066719304)</f>
        <v>0.2017370707</v>
      </c>
      <c r="H462" s="5">
        <f>IFERROR(__xludf.DUMMYFUNCTION("""COMPUTED_VALUE"""),0.5849387040280211)</f>
        <v>0.584938704</v>
      </c>
      <c r="I462" s="11">
        <f>IFERROR(__xludf.DUMMYFUNCTION("""COMPUTED_VALUE"""),5497.110332749562)</f>
        <v>5497.110333</v>
      </c>
      <c r="J462" s="10">
        <f>IFERROR(__xludf.DUMMYFUNCTION("""COMPUTED_VALUE"""),2.0)</f>
        <v>2</v>
      </c>
      <c r="K462" s="5">
        <f>IFERROR(__xludf.DUMMYFUNCTION("""COMPUTED_VALUE"""),0.004228329809725159)</f>
        <v>0.00422832981</v>
      </c>
      <c r="L462" s="10">
        <f>IFERROR(__xludf.DUMMYFUNCTION("""COMPUTED_VALUE"""),473.0)</f>
        <v>473</v>
      </c>
      <c r="M462" s="5">
        <f>IFERROR(__xludf.DUMMYFUNCTION("""COMPUTED_VALUE"""),1.0)</f>
        <v>1</v>
      </c>
    </row>
    <row r="463">
      <c r="A463" s="10" t="str">
        <f>IFERROR(__xludf.DUMMYFUNCTION("""COMPUTED_VALUE"""),"大年寺三郎太")</f>
        <v>大年寺三郎太</v>
      </c>
      <c r="B463" s="10">
        <f>IFERROR(__xludf.DUMMYFUNCTION("""COMPUTED_VALUE"""),629.0)</f>
        <v>629</v>
      </c>
      <c r="C463" s="10">
        <f>IFERROR(__xludf.DUMMYFUNCTION("""COMPUTED_VALUE"""),7263.0)</f>
        <v>7263</v>
      </c>
      <c r="D463" s="5">
        <f>IFERROR(__xludf.DUMMYFUNCTION("""COMPUTED_VALUE"""),0.4181489297558034)</f>
        <v>0.4181489298</v>
      </c>
      <c r="E463" s="5">
        <f>IFERROR(__xludf.DUMMYFUNCTION("""COMPUTED_VALUE"""),0.14877901718420258)</f>
        <v>0.1487790172</v>
      </c>
      <c r="F463" s="5">
        <f>IFERROR(__xludf.DUMMYFUNCTION("""COMPUTED_VALUE"""),0.23002713295146215)</f>
        <v>0.230027133</v>
      </c>
      <c r="G463" s="5">
        <f>IFERROR(__xludf.DUMMYFUNCTION("""COMPUTED_VALUE"""),0.18164003617726862)</f>
        <v>0.1816400362</v>
      </c>
      <c r="H463" s="5">
        <f>IFERROR(__xludf.DUMMYFUNCTION("""COMPUTED_VALUE"""),0.5871559633027523)</f>
        <v>0.5871559633</v>
      </c>
      <c r="I463" s="11">
        <f>IFERROR(__xludf.DUMMYFUNCTION("""COMPUTED_VALUE"""),5391.022280471821)</f>
        <v>5391.02228</v>
      </c>
      <c r="J463" s="10">
        <f>IFERROR(__xludf.DUMMYFUNCTION("""COMPUTED_VALUE"""),0.0)</f>
        <v>0</v>
      </c>
      <c r="K463" s="5">
        <f>IFERROR(__xludf.DUMMYFUNCTION("""COMPUTED_VALUE"""),0.0)</f>
        <v>0</v>
      </c>
      <c r="L463" s="10">
        <f>IFERROR(__xludf.DUMMYFUNCTION("""COMPUTED_VALUE"""),629.0)</f>
        <v>629</v>
      </c>
      <c r="M463" s="5">
        <f>IFERROR(__xludf.DUMMYFUNCTION("""COMPUTED_VALUE"""),1.0)</f>
        <v>1</v>
      </c>
    </row>
    <row r="464">
      <c r="A464" s="10" t="str">
        <f>IFERROR(__xludf.DUMMYFUNCTION("""COMPUTED_VALUE"""),"川村晃裕（東風）")</f>
        <v>川村晃裕（東風）</v>
      </c>
      <c r="B464" s="10">
        <f>IFERROR(__xludf.DUMMYFUNCTION("""COMPUTED_VALUE"""),183.0)</f>
        <v>183</v>
      </c>
      <c r="C464" s="10">
        <f>IFERROR(__xludf.DUMMYFUNCTION("""COMPUTED_VALUE"""),2153.0)</f>
        <v>2153</v>
      </c>
      <c r="D464" s="5">
        <f>IFERROR(__xludf.DUMMYFUNCTION("""COMPUTED_VALUE"""),0.4116751269035533)</f>
        <v>0.4116751269</v>
      </c>
      <c r="E464" s="5">
        <f>IFERROR(__xludf.DUMMYFUNCTION("""COMPUTED_VALUE"""),0.14873096446700507)</f>
        <v>0.1487309645</v>
      </c>
      <c r="F464" s="5">
        <f>IFERROR(__xludf.DUMMYFUNCTION("""COMPUTED_VALUE"""),0.2116751269035533)</f>
        <v>0.2116751269</v>
      </c>
      <c r="G464" s="5">
        <f>IFERROR(__xludf.DUMMYFUNCTION("""COMPUTED_VALUE"""),0.2050761421319797)</f>
        <v>0.2050761421</v>
      </c>
      <c r="H464" s="5">
        <f>IFERROR(__xludf.DUMMYFUNCTION("""COMPUTED_VALUE"""),0.5875299760191847)</f>
        <v>0.587529976</v>
      </c>
      <c r="I464" s="11">
        <f>IFERROR(__xludf.DUMMYFUNCTION("""COMPUTED_VALUE"""),5218.4652278177455)</f>
        <v>5218.465228</v>
      </c>
      <c r="J464" s="10">
        <f>IFERROR(__xludf.DUMMYFUNCTION("""COMPUTED_VALUE"""),1.0)</f>
        <v>1</v>
      </c>
      <c r="K464" s="5">
        <f>IFERROR(__xludf.DUMMYFUNCTION("""COMPUTED_VALUE"""),0.00546448087431694)</f>
        <v>0.005464480874</v>
      </c>
      <c r="L464" s="10">
        <f>IFERROR(__xludf.DUMMYFUNCTION("""COMPUTED_VALUE"""),98.0)</f>
        <v>98</v>
      </c>
      <c r="M464" s="5">
        <f>IFERROR(__xludf.DUMMYFUNCTION("""COMPUTED_VALUE"""),0.5355191256830601)</f>
        <v>0.5355191257</v>
      </c>
    </row>
    <row r="465">
      <c r="A465" s="10" t="str">
        <f>IFERROR(__xludf.DUMMYFUNCTION("""COMPUTED_VALUE"""),"ダークネス小町改")</f>
        <v>ダークネス小町改</v>
      </c>
      <c r="B465" s="10">
        <f>IFERROR(__xludf.DUMMYFUNCTION("""COMPUTED_VALUE"""),119.0)</f>
        <v>119</v>
      </c>
      <c r="C465" s="10">
        <f>IFERROR(__xludf.DUMMYFUNCTION("""COMPUTED_VALUE"""),1343.0)</f>
        <v>1343</v>
      </c>
      <c r="D465" s="5">
        <f>IFERROR(__xludf.DUMMYFUNCTION("""COMPUTED_VALUE"""),0.3488562091503268)</f>
        <v>0.3488562092</v>
      </c>
      <c r="E465" s="5">
        <f>IFERROR(__xludf.DUMMYFUNCTION("""COMPUTED_VALUE"""),0.14869281045751634)</f>
        <v>0.1486928105</v>
      </c>
      <c r="F465" s="5">
        <f>IFERROR(__xludf.DUMMYFUNCTION("""COMPUTED_VALUE"""),0.18709150326797386)</f>
        <v>0.1870915033</v>
      </c>
      <c r="G465" s="5">
        <f>IFERROR(__xludf.DUMMYFUNCTION("""COMPUTED_VALUE"""),0.18382352941176472)</f>
        <v>0.1838235294</v>
      </c>
      <c r="H465" s="5">
        <f>IFERROR(__xludf.DUMMYFUNCTION("""COMPUTED_VALUE"""),0.6200873362445415)</f>
        <v>0.6200873362</v>
      </c>
      <c r="I465" s="11">
        <f>IFERROR(__xludf.DUMMYFUNCTION("""COMPUTED_VALUE"""),5960.698689956332)</f>
        <v>5960.69869</v>
      </c>
      <c r="J465" s="10">
        <f>IFERROR(__xludf.DUMMYFUNCTION("""COMPUTED_VALUE"""),0.0)</f>
        <v>0</v>
      </c>
      <c r="K465" s="5">
        <f>IFERROR(__xludf.DUMMYFUNCTION("""COMPUTED_VALUE"""),0.0)</f>
        <v>0</v>
      </c>
      <c r="L465" s="10">
        <f>IFERROR(__xludf.DUMMYFUNCTION("""COMPUTED_VALUE"""),119.0)</f>
        <v>119</v>
      </c>
      <c r="M465" s="5">
        <f>IFERROR(__xludf.DUMMYFUNCTION("""COMPUTED_VALUE"""),1.0)</f>
        <v>1</v>
      </c>
    </row>
    <row r="466">
      <c r="A466" s="10" t="str">
        <f>IFERROR(__xludf.DUMMYFUNCTION("""COMPUTED_VALUE"""),"ぴえにん")</f>
        <v>ぴえにん</v>
      </c>
      <c r="B466" s="10">
        <f>IFERROR(__xludf.DUMMYFUNCTION("""COMPUTED_VALUE"""),167.0)</f>
        <v>167</v>
      </c>
      <c r="C466" s="10">
        <f>IFERROR(__xludf.DUMMYFUNCTION("""COMPUTED_VALUE"""),1956.0)</f>
        <v>1956</v>
      </c>
      <c r="D466" s="5">
        <f>IFERROR(__xludf.DUMMYFUNCTION("""COMPUTED_VALUE"""),0.4292901062045836)</f>
        <v>0.4292901062</v>
      </c>
      <c r="E466" s="5">
        <f>IFERROR(__xludf.DUMMYFUNCTION("""COMPUTED_VALUE"""),0.14868641699273338)</f>
        <v>0.148686417</v>
      </c>
      <c r="F466" s="5">
        <f>IFERROR(__xludf.DUMMYFUNCTION("""COMPUTED_VALUE"""),0.22694242593627725)</f>
        <v>0.2269424259</v>
      </c>
      <c r="G466" s="5">
        <f>IFERROR(__xludf.DUMMYFUNCTION("""COMPUTED_VALUE"""),0.13862493012856344)</f>
        <v>0.1386249301</v>
      </c>
      <c r="H466" s="5">
        <f>IFERROR(__xludf.DUMMYFUNCTION("""COMPUTED_VALUE"""),0.5911330049261084)</f>
        <v>0.5911330049</v>
      </c>
      <c r="I466" s="11">
        <f>IFERROR(__xludf.DUMMYFUNCTION("""COMPUTED_VALUE"""),5240.147783251232)</f>
        <v>5240.147783</v>
      </c>
      <c r="J466" s="10">
        <f>IFERROR(__xludf.DUMMYFUNCTION("""COMPUTED_VALUE"""),0.0)</f>
        <v>0</v>
      </c>
      <c r="K466" s="5">
        <f>IFERROR(__xludf.DUMMYFUNCTION("""COMPUTED_VALUE"""),0.0)</f>
        <v>0</v>
      </c>
      <c r="L466" s="10">
        <f>IFERROR(__xludf.DUMMYFUNCTION("""COMPUTED_VALUE"""),167.0)</f>
        <v>167</v>
      </c>
      <c r="M466" s="5">
        <f>IFERROR(__xludf.DUMMYFUNCTION("""COMPUTED_VALUE"""),1.0)</f>
        <v>1</v>
      </c>
    </row>
    <row r="467">
      <c r="A467" s="10" t="str">
        <f>IFERROR(__xludf.DUMMYFUNCTION("""COMPUTED_VALUE"""),"南ア男")</f>
        <v>南ア男</v>
      </c>
      <c r="B467" s="10">
        <f>IFERROR(__xludf.DUMMYFUNCTION("""COMPUTED_VALUE"""),165.0)</f>
        <v>165</v>
      </c>
      <c r="C467" s="10">
        <f>IFERROR(__xludf.DUMMYFUNCTION("""COMPUTED_VALUE"""),1941.0)</f>
        <v>1941</v>
      </c>
      <c r="D467" s="5">
        <f>IFERROR(__xludf.DUMMYFUNCTION("""COMPUTED_VALUE"""),0.3350225225225225)</f>
        <v>0.3350225225</v>
      </c>
      <c r="E467" s="5">
        <f>IFERROR(__xludf.DUMMYFUNCTION("""COMPUTED_VALUE"""),0.14864864864864866)</f>
        <v>0.1486486486</v>
      </c>
      <c r="F467" s="5">
        <f>IFERROR(__xludf.DUMMYFUNCTION("""COMPUTED_VALUE"""),0.18806306306306306)</f>
        <v>0.1880630631</v>
      </c>
      <c r="G467" s="5">
        <f>IFERROR(__xludf.DUMMYFUNCTION("""COMPUTED_VALUE"""),0.18074324324324326)</f>
        <v>0.1807432432</v>
      </c>
      <c r="H467" s="5">
        <f>IFERROR(__xludf.DUMMYFUNCTION("""COMPUTED_VALUE"""),0.5778443113772455)</f>
        <v>0.5778443114</v>
      </c>
      <c r="I467" s="11">
        <f>IFERROR(__xludf.DUMMYFUNCTION("""COMPUTED_VALUE"""),5607.784431137725)</f>
        <v>5607.784431</v>
      </c>
      <c r="J467" s="10">
        <f>IFERROR(__xludf.DUMMYFUNCTION("""COMPUTED_VALUE"""),0.0)</f>
        <v>0</v>
      </c>
      <c r="K467" s="5">
        <f>IFERROR(__xludf.DUMMYFUNCTION("""COMPUTED_VALUE"""),0.0)</f>
        <v>0</v>
      </c>
      <c r="L467" s="10">
        <f>IFERROR(__xludf.DUMMYFUNCTION("""COMPUTED_VALUE"""),165.0)</f>
        <v>165</v>
      </c>
      <c r="M467" s="5">
        <f>IFERROR(__xludf.DUMMYFUNCTION("""COMPUTED_VALUE"""),1.0)</f>
        <v>1</v>
      </c>
    </row>
    <row r="468">
      <c r="A468" s="10" t="str">
        <f>IFERROR(__xludf.DUMMYFUNCTION("""COMPUTED_VALUE"""),"銀河に喝")</f>
        <v>銀河に喝</v>
      </c>
      <c r="B468" s="10">
        <f>IFERROR(__xludf.DUMMYFUNCTION("""COMPUTED_VALUE"""),138.0)</f>
        <v>138</v>
      </c>
      <c r="C468" s="10">
        <f>IFERROR(__xludf.DUMMYFUNCTION("""COMPUTED_VALUE"""),1625.0)</f>
        <v>1625</v>
      </c>
      <c r="D468" s="5">
        <f>IFERROR(__xludf.DUMMYFUNCTION("""COMPUTED_VALUE"""),0.3503698722259583)</f>
        <v>0.3503698722</v>
      </c>
      <c r="E468" s="5">
        <f>IFERROR(__xludf.DUMMYFUNCTION("""COMPUTED_VALUE"""),0.14862138533960995)</f>
        <v>0.1486213853</v>
      </c>
      <c r="F468" s="5">
        <f>IFERROR(__xludf.DUMMYFUNCTION("""COMPUTED_VALUE"""),0.19905850706119704)</f>
        <v>0.1990585071</v>
      </c>
      <c r="G468" s="5">
        <f>IFERROR(__xludf.DUMMYFUNCTION("""COMPUTED_VALUE"""),0.17955615332885003)</f>
        <v>0.1795561533</v>
      </c>
      <c r="H468" s="5">
        <f>IFERROR(__xludf.DUMMYFUNCTION("""COMPUTED_VALUE"""),0.5540540540540541)</f>
        <v>0.5540540541</v>
      </c>
      <c r="I468" s="11">
        <f>IFERROR(__xludf.DUMMYFUNCTION("""COMPUTED_VALUE"""),6013.851351351352)</f>
        <v>6013.851351</v>
      </c>
      <c r="J468" s="10">
        <f>IFERROR(__xludf.DUMMYFUNCTION("""COMPUTED_VALUE"""),1.0)</f>
        <v>1</v>
      </c>
      <c r="K468" s="5">
        <f>IFERROR(__xludf.DUMMYFUNCTION("""COMPUTED_VALUE"""),0.007246376811594203)</f>
        <v>0.007246376812</v>
      </c>
      <c r="L468" s="10">
        <f>IFERROR(__xludf.DUMMYFUNCTION("""COMPUTED_VALUE"""),0.0)</f>
        <v>0</v>
      </c>
      <c r="M468" s="5">
        <f>IFERROR(__xludf.DUMMYFUNCTION("""COMPUTED_VALUE"""),0.0)</f>
        <v>0</v>
      </c>
    </row>
    <row r="469">
      <c r="A469" s="10" t="str">
        <f>IFERROR(__xludf.DUMMYFUNCTION("""COMPUTED_VALUE"""),"AMOUK")</f>
        <v>AMOUK</v>
      </c>
      <c r="B469" s="10">
        <f>IFERROR(__xludf.DUMMYFUNCTION("""COMPUTED_VALUE"""),751.0)</f>
        <v>751</v>
      </c>
      <c r="C469" s="10">
        <f>IFERROR(__xludf.DUMMYFUNCTION("""COMPUTED_VALUE"""),8698.0)</f>
        <v>8698</v>
      </c>
      <c r="D469" s="5">
        <f>IFERROR(__xludf.DUMMYFUNCTION("""COMPUTED_VALUE"""),0.26399899333081667)</f>
        <v>0.2639989933</v>
      </c>
      <c r="E469" s="5">
        <f>IFERROR(__xludf.DUMMYFUNCTION("""COMPUTED_VALUE"""),0.14860953819051215)</f>
        <v>0.1486095382</v>
      </c>
      <c r="F469" s="5">
        <f>IFERROR(__xludf.DUMMYFUNCTION("""COMPUTED_VALUE"""),0.20712218447212785)</f>
        <v>0.2071221845</v>
      </c>
      <c r="G469" s="5">
        <f>IFERROR(__xludf.DUMMYFUNCTION("""COMPUTED_VALUE"""),0.18937964011576697)</f>
        <v>0.1893796401</v>
      </c>
      <c r="H469" s="5">
        <f>IFERROR(__xludf.DUMMYFUNCTION("""COMPUTED_VALUE"""),0.6038882138517618)</f>
        <v>0.6038882139</v>
      </c>
      <c r="I469" s="11">
        <f>IFERROR(__xludf.DUMMYFUNCTION("""COMPUTED_VALUE"""),5990.461725394896)</f>
        <v>5990.461725</v>
      </c>
      <c r="J469" s="10">
        <f>IFERROR(__xludf.DUMMYFUNCTION("""COMPUTED_VALUE"""),1.0)</f>
        <v>1</v>
      </c>
      <c r="K469" s="5">
        <f>IFERROR(__xludf.DUMMYFUNCTION("""COMPUTED_VALUE"""),0.0013315579227696406)</f>
        <v>0.001331557923</v>
      </c>
      <c r="L469" s="10">
        <f>IFERROR(__xludf.DUMMYFUNCTION("""COMPUTED_VALUE"""),751.0)</f>
        <v>751</v>
      </c>
      <c r="M469" s="5">
        <f>IFERROR(__xludf.DUMMYFUNCTION("""COMPUTED_VALUE"""),1.0)</f>
        <v>1</v>
      </c>
    </row>
    <row r="470">
      <c r="A470" s="10" t="str">
        <f>IFERROR(__xludf.DUMMYFUNCTION("""COMPUTED_VALUE"""),"禁酒目録")</f>
        <v>禁酒目録</v>
      </c>
      <c r="B470" s="10">
        <f>IFERROR(__xludf.DUMMYFUNCTION("""COMPUTED_VALUE"""),310.0)</f>
        <v>310</v>
      </c>
      <c r="C470" s="10">
        <f>IFERROR(__xludf.DUMMYFUNCTION("""COMPUTED_VALUE"""),3615.0)</f>
        <v>3615</v>
      </c>
      <c r="D470" s="5">
        <f>IFERROR(__xludf.DUMMYFUNCTION("""COMPUTED_VALUE"""),0.37972768532526474)</f>
        <v>0.3797276853</v>
      </c>
      <c r="E470" s="5">
        <f>IFERROR(__xludf.DUMMYFUNCTION("""COMPUTED_VALUE"""),0.14856278366111952)</f>
        <v>0.1485627837</v>
      </c>
      <c r="F470" s="5">
        <f>IFERROR(__xludf.DUMMYFUNCTION("""COMPUTED_VALUE"""),0.2130105900151286)</f>
        <v>0.21301059</v>
      </c>
      <c r="G470" s="5">
        <f>IFERROR(__xludf.DUMMYFUNCTION("""COMPUTED_VALUE"""),0.17186081694402422)</f>
        <v>0.1718608169</v>
      </c>
      <c r="H470" s="5">
        <f>IFERROR(__xludf.DUMMYFUNCTION("""COMPUTED_VALUE"""),0.59375)</f>
        <v>0.59375</v>
      </c>
      <c r="I470" s="11">
        <f>IFERROR(__xludf.DUMMYFUNCTION("""COMPUTED_VALUE"""),5500.852272727273)</f>
        <v>5500.852273</v>
      </c>
      <c r="J470" s="10">
        <f>IFERROR(__xludf.DUMMYFUNCTION("""COMPUTED_VALUE"""),1.0)</f>
        <v>1</v>
      </c>
      <c r="K470" s="5">
        <f>IFERROR(__xludf.DUMMYFUNCTION("""COMPUTED_VALUE"""),0.0032258064516129032)</f>
        <v>0.003225806452</v>
      </c>
      <c r="L470" s="10">
        <f>IFERROR(__xludf.DUMMYFUNCTION("""COMPUTED_VALUE"""),310.0)</f>
        <v>310</v>
      </c>
      <c r="M470" s="5">
        <f>IFERROR(__xludf.DUMMYFUNCTION("""COMPUTED_VALUE"""),1.0)</f>
        <v>1</v>
      </c>
    </row>
    <row r="471">
      <c r="A471" s="10" t="str">
        <f>IFERROR(__xludf.DUMMYFUNCTION("""COMPUTED_VALUE"""),"ひっぴこん")</f>
        <v>ひっぴこん</v>
      </c>
      <c r="B471" s="10">
        <f>IFERROR(__xludf.DUMMYFUNCTION("""COMPUTED_VALUE"""),150.0)</f>
        <v>150</v>
      </c>
      <c r="C471" s="10">
        <f>IFERROR(__xludf.DUMMYFUNCTION("""COMPUTED_VALUE"""),1786.0)</f>
        <v>1786</v>
      </c>
      <c r="D471" s="5">
        <f>IFERROR(__xludf.DUMMYFUNCTION("""COMPUTED_VALUE"""),0.33618581907090467)</f>
        <v>0.3361858191</v>
      </c>
      <c r="E471" s="5">
        <f>IFERROR(__xludf.DUMMYFUNCTION("""COMPUTED_VALUE"""),0.14853300733496333)</f>
        <v>0.1485330073</v>
      </c>
      <c r="F471" s="5">
        <f>IFERROR(__xludf.DUMMYFUNCTION("""COMPUTED_VALUE"""),0.19926650366748166)</f>
        <v>0.1992665037</v>
      </c>
      <c r="G471" s="5">
        <f>IFERROR(__xludf.DUMMYFUNCTION("""COMPUTED_VALUE"""),0.16809290953545233)</f>
        <v>0.1680929095</v>
      </c>
      <c r="H471" s="5">
        <f>IFERROR(__xludf.DUMMYFUNCTION("""COMPUTED_VALUE"""),0.5797546012269938)</f>
        <v>0.5797546012</v>
      </c>
      <c r="I471" s="11">
        <f>IFERROR(__xludf.DUMMYFUNCTION("""COMPUTED_VALUE"""),6115.950920245399)</f>
        <v>6115.95092</v>
      </c>
      <c r="J471" s="10">
        <f>IFERROR(__xludf.DUMMYFUNCTION("""COMPUTED_VALUE"""),2.0)</f>
        <v>2</v>
      </c>
      <c r="K471" s="5">
        <f>IFERROR(__xludf.DUMMYFUNCTION("""COMPUTED_VALUE"""),0.013333333333333334)</f>
        <v>0.01333333333</v>
      </c>
      <c r="L471" s="10">
        <f>IFERROR(__xludf.DUMMYFUNCTION("""COMPUTED_VALUE"""),150.0)</f>
        <v>150</v>
      </c>
      <c r="M471" s="5">
        <f>IFERROR(__xludf.DUMMYFUNCTION("""COMPUTED_VALUE"""),1.0)</f>
        <v>1</v>
      </c>
    </row>
    <row r="472">
      <c r="A472" s="10" t="str">
        <f>IFERROR(__xludf.DUMMYFUNCTION("""COMPUTED_VALUE"""),"コリラックマ")</f>
        <v>コリラックマ</v>
      </c>
      <c r="B472" s="10">
        <f>IFERROR(__xludf.DUMMYFUNCTION("""COMPUTED_VALUE"""),161.0)</f>
        <v>161</v>
      </c>
      <c r="C472" s="10">
        <f>IFERROR(__xludf.DUMMYFUNCTION("""COMPUTED_VALUE"""),1898.0)</f>
        <v>1898</v>
      </c>
      <c r="D472" s="5">
        <f>IFERROR(__xludf.DUMMYFUNCTION("""COMPUTED_VALUE"""),0.3252734599884859)</f>
        <v>0.32527346</v>
      </c>
      <c r="E472" s="5">
        <f>IFERROR(__xludf.DUMMYFUNCTION("""COMPUTED_VALUE"""),0.14853195164075994)</f>
        <v>0.1485319516</v>
      </c>
      <c r="F472" s="5">
        <f>IFERROR(__xludf.DUMMYFUNCTION("""COMPUTED_VALUE"""),0.20725388601036268)</f>
        <v>0.207253886</v>
      </c>
      <c r="G472" s="5">
        <f>IFERROR(__xludf.DUMMYFUNCTION("""COMPUTED_VALUE"""),0.15947035118019573)</f>
        <v>0.1594703512</v>
      </c>
      <c r="H472" s="5">
        <f>IFERROR(__xludf.DUMMYFUNCTION("""COMPUTED_VALUE"""),0.6527777777777778)</f>
        <v>0.6527777778</v>
      </c>
      <c r="I472" s="11">
        <f>IFERROR(__xludf.DUMMYFUNCTION("""COMPUTED_VALUE"""),6063.611111111111)</f>
        <v>6063.611111</v>
      </c>
      <c r="J472" s="10">
        <f>IFERROR(__xludf.DUMMYFUNCTION("""COMPUTED_VALUE"""),1.0)</f>
        <v>1</v>
      </c>
      <c r="K472" s="5">
        <f>IFERROR(__xludf.DUMMYFUNCTION("""COMPUTED_VALUE"""),0.006211180124223602)</f>
        <v>0.006211180124</v>
      </c>
      <c r="L472" s="10">
        <f>IFERROR(__xludf.DUMMYFUNCTION("""COMPUTED_VALUE"""),161.0)</f>
        <v>161</v>
      </c>
      <c r="M472" s="5">
        <f>IFERROR(__xludf.DUMMYFUNCTION("""COMPUTED_VALUE"""),1.0)</f>
        <v>1</v>
      </c>
    </row>
    <row r="473">
      <c r="A473" s="10" t="str">
        <f>IFERROR(__xludf.DUMMYFUNCTION("""COMPUTED_VALUE"""),"MASARU")</f>
        <v>MASARU</v>
      </c>
      <c r="B473" s="10">
        <f>IFERROR(__xludf.DUMMYFUNCTION("""COMPUTED_VALUE"""),398.0)</f>
        <v>398</v>
      </c>
      <c r="C473" s="10">
        <f>IFERROR(__xludf.DUMMYFUNCTION("""COMPUTED_VALUE"""),4532.0)</f>
        <v>4532</v>
      </c>
      <c r="D473" s="5">
        <f>IFERROR(__xludf.DUMMYFUNCTION("""COMPUTED_VALUE"""),0.36768263183357525)</f>
        <v>0.3676826318</v>
      </c>
      <c r="E473" s="5">
        <f>IFERROR(__xludf.DUMMYFUNCTION("""COMPUTED_VALUE"""),0.14852443154329947)</f>
        <v>0.1485244315</v>
      </c>
      <c r="F473" s="5">
        <f>IFERROR(__xludf.DUMMYFUNCTION("""COMPUTED_VALUE"""),0.21262699564586357)</f>
        <v>0.2126269956</v>
      </c>
      <c r="G473" s="5">
        <f>IFERROR(__xludf.DUMMYFUNCTION("""COMPUTED_VALUE"""),0.18142235123367198)</f>
        <v>0.1814223512</v>
      </c>
      <c r="H473" s="5">
        <f>IFERROR(__xludf.DUMMYFUNCTION("""COMPUTED_VALUE"""),0.6143344709897611)</f>
        <v>0.614334471</v>
      </c>
      <c r="I473" s="11">
        <f>IFERROR(__xludf.DUMMYFUNCTION("""COMPUTED_VALUE"""),6067.235494880546)</f>
        <v>6067.235495</v>
      </c>
      <c r="J473" s="10">
        <f>IFERROR(__xludf.DUMMYFUNCTION("""COMPUTED_VALUE"""),1.0)</f>
        <v>1</v>
      </c>
      <c r="K473" s="5">
        <f>IFERROR(__xludf.DUMMYFUNCTION("""COMPUTED_VALUE"""),0.002512562814070352)</f>
        <v>0.002512562814</v>
      </c>
      <c r="L473" s="10">
        <f>IFERROR(__xludf.DUMMYFUNCTION("""COMPUTED_VALUE"""),398.0)</f>
        <v>398</v>
      </c>
      <c r="M473" s="5">
        <f>IFERROR(__xludf.DUMMYFUNCTION("""COMPUTED_VALUE"""),1.0)</f>
        <v>1</v>
      </c>
    </row>
    <row r="474">
      <c r="A474" s="10" t="str">
        <f>IFERROR(__xludf.DUMMYFUNCTION("""COMPUTED_VALUE"""),"romanes")</f>
        <v>romanes</v>
      </c>
      <c r="B474" s="10">
        <f>IFERROR(__xludf.DUMMYFUNCTION("""COMPUTED_VALUE"""),157.0)</f>
        <v>157</v>
      </c>
      <c r="C474" s="10">
        <f>IFERROR(__xludf.DUMMYFUNCTION("""COMPUTED_VALUE"""),1827.0)</f>
        <v>1827</v>
      </c>
      <c r="D474" s="5">
        <f>IFERROR(__xludf.DUMMYFUNCTION("""COMPUTED_VALUE"""),0.41077844311377243)</f>
        <v>0.4107784431</v>
      </c>
      <c r="E474" s="5">
        <f>IFERROR(__xludf.DUMMYFUNCTION("""COMPUTED_VALUE"""),0.14850299401197606)</f>
        <v>0.148502994</v>
      </c>
      <c r="F474" s="5">
        <f>IFERROR(__xludf.DUMMYFUNCTION("""COMPUTED_VALUE"""),0.218562874251497)</f>
        <v>0.2185628743</v>
      </c>
      <c r="G474" s="5">
        <f>IFERROR(__xludf.DUMMYFUNCTION("""COMPUTED_VALUE"""),0.18742514970059881)</f>
        <v>0.1874251497</v>
      </c>
      <c r="H474" s="5">
        <f>IFERROR(__xludf.DUMMYFUNCTION("""COMPUTED_VALUE"""),0.6273972602739726)</f>
        <v>0.6273972603</v>
      </c>
      <c r="I474" s="11">
        <f>IFERROR(__xludf.DUMMYFUNCTION("""COMPUTED_VALUE"""),5267.123287671233)</f>
        <v>5267.123288</v>
      </c>
      <c r="J474" s="10">
        <f>IFERROR(__xludf.DUMMYFUNCTION("""COMPUTED_VALUE"""),0.0)</f>
        <v>0</v>
      </c>
      <c r="K474" s="5">
        <f>IFERROR(__xludf.DUMMYFUNCTION("""COMPUTED_VALUE"""),0.0)</f>
        <v>0</v>
      </c>
      <c r="L474" s="10">
        <f>IFERROR(__xludf.DUMMYFUNCTION("""COMPUTED_VALUE"""),157.0)</f>
        <v>157</v>
      </c>
      <c r="M474" s="5">
        <f>IFERROR(__xludf.DUMMYFUNCTION("""COMPUTED_VALUE"""),1.0)</f>
        <v>1</v>
      </c>
    </row>
    <row r="475">
      <c r="A475" s="10" t="str">
        <f>IFERROR(__xludf.DUMMYFUNCTION("""COMPUTED_VALUE"""),"漆黒の騎士")</f>
        <v>漆黒の騎士</v>
      </c>
      <c r="B475" s="10">
        <f>IFERROR(__xludf.DUMMYFUNCTION("""COMPUTED_VALUE"""),101.0)</f>
        <v>101</v>
      </c>
      <c r="C475" s="10">
        <f>IFERROR(__xludf.DUMMYFUNCTION("""COMPUTED_VALUE"""),1165.0)</f>
        <v>1165</v>
      </c>
      <c r="D475" s="5">
        <f>IFERROR(__xludf.DUMMYFUNCTION("""COMPUTED_VALUE"""),0.3843984962406015)</f>
        <v>0.3843984962</v>
      </c>
      <c r="E475" s="5">
        <f>IFERROR(__xludf.DUMMYFUNCTION("""COMPUTED_VALUE"""),0.14849624060150377)</f>
        <v>0.1484962406</v>
      </c>
      <c r="F475" s="5">
        <f>IFERROR(__xludf.DUMMYFUNCTION("""COMPUTED_VALUE"""),0.2199248120300752)</f>
        <v>0.219924812</v>
      </c>
      <c r="G475" s="5">
        <f>IFERROR(__xludf.DUMMYFUNCTION("""COMPUTED_VALUE"""),0.17105263157894737)</f>
        <v>0.1710526316</v>
      </c>
      <c r="H475" s="5">
        <f>IFERROR(__xludf.DUMMYFUNCTION("""COMPUTED_VALUE"""),0.5769230769230769)</f>
        <v>0.5769230769</v>
      </c>
      <c r="I475" s="11">
        <f>IFERROR(__xludf.DUMMYFUNCTION("""COMPUTED_VALUE"""),5433.333333333333)</f>
        <v>5433.333333</v>
      </c>
      <c r="J475" s="10">
        <f>IFERROR(__xludf.DUMMYFUNCTION("""COMPUTED_VALUE"""),0.0)</f>
        <v>0</v>
      </c>
      <c r="K475" s="5">
        <f>IFERROR(__xludf.DUMMYFUNCTION("""COMPUTED_VALUE"""),0.0)</f>
        <v>0</v>
      </c>
      <c r="L475" s="10">
        <f>IFERROR(__xludf.DUMMYFUNCTION("""COMPUTED_VALUE"""),101.0)</f>
        <v>101</v>
      </c>
      <c r="M475" s="5">
        <f>IFERROR(__xludf.DUMMYFUNCTION("""COMPUTED_VALUE"""),1.0)</f>
        <v>1</v>
      </c>
    </row>
    <row r="476">
      <c r="A476" s="10" t="str">
        <f>IFERROR(__xludf.DUMMYFUNCTION("""COMPUTED_VALUE"""),"taiwanco")</f>
        <v>taiwanco</v>
      </c>
      <c r="B476" s="10">
        <f>IFERROR(__xludf.DUMMYFUNCTION("""COMPUTED_VALUE"""),2392.0)</f>
        <v>2392</v>
      </c>
      <c r="C476" s="10">
        <f>IFERROR(__xludf.DUMMYFUNCTION("""COMPUTED_VALUE"""),27893.0)</f>
        <v>27893</v>
      </c>
      <c r="D476" s="5">
        <f>IFERROR(__xludf.DUMMYFUNCTION("""COMPUTED_VALUE"""),0.4131210540763107)</f>
        <v>0.4131210541</v>
      </c>
      <c r="E476" s="5">
        <f>IFERROR(__xludf.DUMMYFUNCTION("""COMPUTED_VALUE"""),0.14842555193913964)</f>
        <v>0.1484255519</v>
      </c>
      <c r="F476" s="5">
        <f>IFERROR(__xludf.DUMMYFUNCTION("""COMPUTED_VALUE"""),0.23779459629034155)</f>
        <v>0.2377945963</v>
      </c>
      <c r="G476" s="5">
        <f>IFERROR(__xludf.DUMMYFUNCTION("""COMPUTED_VALUE"""),0.17713030861534843)</f>
        <v>0.1771303086</v>
      </c>
      <c r="H476" s="5">
        <f>IFERROR(__xludf.DUMMYFUNCTION("""COMPUTED_VALUE"""),0.5953166226912929)</f>
        <v>0.5953166227</v>
      </c>
      <c r="I476" s="11">
        <f>IFERROR(__xludf.DUMMYFUNCTION("""COMPUTED_VALUE"""),5294.821899736147)</f>
        <v>5294.8219</v>
      </c>
      <c r="J476" s="10">
        <f>IFERROR(__xludf.DUMMYFUNCTION("""COMPUTED_VALUE"""),5.0)</f>
        <v>5</v>
      </c>
      <c r="K476" s="5">
        <f>IFERROR(__xludf.DUMMYFUNCTION("""COMPUTED_VALUE"""),0.0020903010033444815)</f>
        <v>0.002090301003</v>
      </c>
      <c r="L476" s="10">
        <f>IFERROR(__xludf.DUMMYFUNCTION("""COMPUTED_VALUE"""),2377.0)</f>
        <v>2377</v>
      </c>
      <c r="M476" s="5">
        <f>IFERROR(__xludf.DUMMYFUNCTION("""COMPUTED_VALUE"""),0.9937290969899666)</f>
        <v>0.993729097</v>
      </c>
    </row>
    <row r="477">
      <c r="A477" s="10" t="str">
        <f>IFERROR(__xludf.DUMMYFUNCTION("""COMPUTED_VALUE"""),"村松です。")</f>
        <v>村松です。</v>
      </c>
      <c r="B477" s="10">
        <f>IFERROR(__xludf.DUMMYFUNCTION("""COMPUTED_VALUE"""),198.0)</f>
        <v>198</v>
      </c>
      <c r="C477" s="10">
        <f>IFERROR(__xludf.DUMMYFUNCTION("""COMPUTED_VALUE"""),2334.0)</f>
        <v>2334</v>
      </c>
      <c r="D477" s="5">
        <f>IFERROR(__xludf.DUMMYFUNCTION("""COMPUTED_VALUE"""),0.28651685393258425)</f>
        <v>0.2865168539</v>
      </c>
      <c r="E477" s="5">
        <f>IFERROR(__xludf.DUMMYFUNCTION("""COMPUTED_VALUE"""),0.14840823970037453)</f>
        <v>0.1484082397</v>
      </c>
      <c r="F477" s="5">
        <f>IFERROR(__xludf.DUMMYFUNCTION("""COMPUTED_VALUE"""),0.20084269662921347)</f>
        <v>0.2008426966</v>
      </c>
      <c r="G477" s="5">
        <f>IFERROR(__xludf.DUMMYFUNCTION("""COMPUTED_VALUE"""),0.17134831460674158)</f>
        <v>0.1713483146</v>
      </c>
      <c r="H477" s="5">
        <f>IFERROR(__xludf.DUMMYFUNCTION("""COMPUTED_VALUE"""),0.6083916083916084)</f>
        <v>0.6083916084</v>
      </c>
      <c r="I477" s="11">
        <f>IFERROR(__xludf.DUMMYFUNCTION("""COMPUTED_VALUE"""),6553.379953379954)</f>
        <v>6553.379953</v>
      </c>
      <c r="J477" s="10">
        <f>IFERROR(__xludf.DUMMYFUNCTION("""COMPUTED_VALUE"""),1.0)</f>
        <v>1</v>
      </c>
      <c r="K477" s="5">
        <f>IFERROR(__xludf.DUMMYFUNCTION("""COMPUTED_VALUE"""),0.005050505050505051)</f>
        <v>0.005050505051</v>
      </c>
      <c r="L477" s="10">
        <f>IFERROR(__xludf.DUMMYFUNCTION("""COMPUTED_VALUE"""),198.0)</f>
        <v>198</v>
      </c>
      <c r="M477" s="5">
        <f>IFERROR(__xludf.DUMMYFUNCTION("""COMPUTED_VALUE"""),1.0)</f>
        <v>1</v>
      </c>
    </row>
    <row r="478">
      <c r="A478" s="10" t="str">
        <f>IFERROR(__xludf.DUMMYFUNCTION("""COMPUTED_VALUE"""),"中継")</f>
        <v>中継</v>
      </c>
      <c r="B478" s="10">
        <f>IFERROR(__xludf.DUMMYFUNCTION("""COMPUTED_VALUE"""),350.0)</f>
        <v>350</v>
      </c>
      <c r="C478" s="10">
        <f>IFERROR(__xludf.DUMMYFUNCTION("""COMPUTED_VALUE"""),3935.0)</f>
        <v>3935</v>
      </c>
      <c r="D478" s="5">
        <f>IFERROR(__xludf.DUMMYFUNCTION("""COMPUTED_VALUE"""),0.35453277545327755)</f>
        <v>0.3545327755</v>
      </c>
      <c r="E478" s="5">
        <f>IFERROR(__xludf.DUMMYFUNCTION("""COMPUTED_VALUE"""),0.14839609483960947)</f>
        <v>0.1483960948</v>
      </c>
      <c r="F478" s="5">
        <f>IFERROR(__xludf.DUMMYFUNCTION("""COMPUTED_VALUE"""),0.2080892608089261)</f>
        <v>0.2080892608</v>
      </c>
      <c r="G478" s="5">
        <f>IFERROR(__xludf.DUMMYFUNCTION("""COMPUTED_VALUE"""),0.19386331938633194)</f>
        <v>0.1938633194</v>
      </c>
      <c r="H478" s="5">
        <f>IFERROR(__xludf.DUMMYFUNCTION("""COMPUTED_VALUE"""),0.5844504021447721)</f>
        <v>0.5844504021</v>
      </c>
      <c r="I478" s="11">
        <f>IFERROR(__xludf.DUMMYFUNCTION("""COMPUTED_VALUE"""),5803.887399463807)</f>
        <v>5803.887399</v>
      </c>
      <c r="J478" s="10">
        <f>IFERROR(__xludf.DUMMYFUNCTION("""COMPUTED_VALUE"""),0.0)</f>
        <v>0</v>
      </c>
      <c r="K478" s="5">
        <f>IFERROR(__xludf.DUMMYFUNCTION("""COMPUTED_VALUE"""),0.0)</f>
        <v>0</v>
      </c>
      <c r="L478" s="10">
        <f>IFERROR(__xludf.DUMMYFUNCTION("""COMPUTED_VALUE"""),350.0)</f>
        <v>350</v>
      </c>
      <c r="M478" s="5">
        <f>IFERROR(__xludf.DUMMYFUNCTION("""COMPUTED_VALUE"""),1.0)</f>
        <v>1</v>
      </c>
    </row>
    <row r="479">
      <c r="A479" s="10" t="str">
        <f>IFERROR(__xludf.DUMMYFUNCTION("""COMPUTED_VALUE"""),"OSC777")</f>
        <v>OSC777</v>
      </c>
      <c r="B479" s="10">
        <f>IFERROR(__xludf.DUMMYFUNCTION("""COMPUTED_VALUE"""),714.0)</f>
        <v>714</v>
      </c>
      <c r="C479" s="10">
        <f>IFERROR(__xludf.DUMMYFUNCTION("""COMPUTED_VALUE"""),8373.0)</f>
        <v>8373</v>
      </c>
      <c r="D479" s="5">
        <f>IFERROR(__xludf.DUMMYFUNCTION("""COMPUTED_VALUE"""),0.3839926883405144)</f>
        <v>0.3839926883</v>
      </c>
      <c r="E479" s="5">
        <f>IFERROR(__xludf.DUMMYFUNCTION("""COMPUTED_VALUE"""),0.14832223527875701)</f>
        <v>0.1483222353</v>
      </c>
      <c r="F479" s="5">
        <f>IFERROR(__xludf.DUMMYFUNCTION("""COMPUTED_VALUE"""),0.22548635592113853)</f>
        <v>0.2254863559</v>
      </c>
      <c r="G479" s="5">
        <f>IFERROR(__xludf.DUMMYFUNCTION("""COMPUTED_VALUE"""),0.1620315968142055)</f>
        <v>0.1620315968</v>
      </c>
      <c r="H479" s="5">
        <f>IFERROR(__xludf.DUMMYFUNCTION("""COMPUTED_VALUE"""),0.6155182397220614)</f>
        <v>0.6155182397</v>
      </c>
      <c r="I479" s="11">
        <f>IFERROR(__xludf.DUMMYFUNCTION("""COMPUTED_VALUE"""),5334.916039374638)</f>
        <v>5334.916039</v>
      </c>
      <c r="J479" s="10">
        <f>IFERROR(__xludf.DUMMYFUNCTION("""COMPUTED_VALUE"""),1.0)</f>
        <v>1</v>
      </c>
      <c r="K479" s="5">
        <f>IFERROR(__xludf.DUMMYFUNCTION("""COMPUTED_VALUE"""),0.0014005602240896359)</f>
        <v>0.001400560224</v>
      </c>
      <c r="L479" s="10">
        <f>IFERROR(__xludf.DUMMYFUNCTION("""COMPUTED_VALUE"""),714.0)</f>
        <v>714</v>
      </c>
      <c r="M479" s="5">
        <f>IFERROR(__xludf.DUMMYFUNCTION("""COMPUTED_VALUE"""),1.0)</f>
        <v>1</v>
      </c>
    </row>
    <row r="480">
      <c r="A480" s="10" t="str">
        <f>IFERROR(__xludf.DUMMYFUNCTION("""COMPUTED_VALUE"""),"1")</f>
        <v>1</v>
      </c>
      <c r="B480" s="10">
        <f>IFERROR(__xludf.DUMMYFUNCTION("""COMPUTED_VALUE"""),565.0)</f>
        <v>565</v>
      </c>
      <c r="C480" s="10">
        <f>IFERROR(__xludf.DUMMYFUNCTION("""COMPUTED_VALUE"""),6532.0)</f>
        <v>6532</v>
      </c>
      <c r="D480" s="5">
        <f>IFERROR(__xludf.DUMMYFUNCTION("""COMPUTED_VALUE"""),0.38495056142114964)</f>
        <v>0.3849505614</v>
      </c>
      <c r="E480" s="5">
        <f>IFERROR(__xludf.DUMMYFUNCTION("""COMPUTED_VALUE"""),0.14831573655103067)</f>
        <v>0.1483157366</v>
      </c>
      <c r="F480" s="5">
        <f>IFERROR(__xludf.DUMMYFUNCTION("""COMPUTED_VALUE"""),0.2260767554885202)</f>
        <v>0.2260767555</v>
      </c>
      <c r="G480" s="5">
        <f>IFERROR(__xludf.DUMMYFUNCTION("""COMPUTED_VALUE"""),0.15786827551533433)</f>
        <v>0.1578682755</v>
      </c>
      <c r="H480" s="5">
        <f>IFERROR(__xludf.DUMMYFUNCTION("""COMPUTED_VALUE"""),0.6300963676797627)</f>
        <v>0.6300963677</v>
      </c>
      <c r="I480" s="11">
        <f>IFERROR(__xludf.DUMMYFUNCTION("""COMPUTED_VALUE"""),5900.815418828762)</f>
        <v>5900.815419</v>
      </c>
      <c r="J480" s="10">
        <f>IFERROR(__xludf.DUMMYFUNCTION("""COMPUTED_VALUE"""),2.0)</f>
        <v>2</v>
      </c>
      <c r="K480" s="5">
        <f>IFERROR(__xludf.DUMMYFUNCTION("""COMPUTED_VALUE"""),0.0035398230088495575)</f>
        <v>0.003539823009</v>
      </c>
      <c r="L480" s="10">
        <f>IFERROR(__xludf.DUMMYFUNCTION("""COMPUTED_VALUE"""),565.0)</f>
        <v>565</v>
      </c>
      <c r="M480" s="5">
        <f>IFERROR(__xludf.DUMMYFUNCTION("""COMPUTED_VALUE"""),1.0)</f>
        <v>1</v>
      </c>
    </row>
    <row r="481">
      <c r="A481" s="10" t="str">
        <f>IFERROR(__xludf.DUMMYFUNCTION("""COMPUTED_VALUE"""),"GINJIR2")</f>
        <v>GINJIR2</v>
      </c>
      <c r="B481" s="10">
        <f>IFERROR(__xludf.DUMMYFUNCTION("""COMPUTED_VALUE"""),146.0)</f>
        <v>146</v>
      </c>
      <c r="C481" s="10">
        <f>IFERROR(__xludf.DUMMYFUNCTION("""COMPUTED_VALUE"""),1724.0)</f>
        <v>1724</v>
      </c>
      <c r="D481" s="5">
        <f>IFERROR(__xludf.DUMMYFUNCTION("""COMPUTED_VALUE"""),0.37389100126742714)</f>
        <v>0.3738910013</v>
      </c>
      <c r="E481" s="5">
        <f>IFERROR(__xludf.DUMMYFUNCTION("""COMPUTED_VALUE"""),0.1482889733840304)</f>
        <v>0.1482889734</v>
      </c>
      <c r="F481" s="5">
        <f>IFERROR(__xludf.DUMMYFUNCTION("""COMPUTED_VALUE"""),0.197084917617237)</f>
        <v>0.1970849176</v>
      </c>
      <c r="G481" s="5">
        <f>IFERROR(__xludf.DUMMYFUNCTION("""COMPUTED_VALUE"""),0.17807351077313055)</f>
        <v>0.1780735108</v>
      </c>
      <c r="H481" s="5">
        <f>IFERROR(__xludf.DUMMYFUNCTION("""COMPUTED_VALUE"""),0.6077170418006431)</f>
        <v>0.6077170418</v>
      </c>
      <c r="I481" s="11">
        <f>IFERROR(__xludf.DUMMYFUNCTION("""COMPUTED_VALUE"""),5755.305466237942)</f>
        <v>5755.305466</v>
      </c>
      <c r="J481" s="10">
        <f>IFERROR(__xludf.DUMMYFUNCTION("""COMPUTED_VALUE"""),0.0)</f>
        <v>0</v>
      </c>
      <c r="K481" s="5">
        <f>IFERROR(__xludf.DUMMYFUNCTION("""COMPUTED_VALUE"""),0.0)</f>
        <v>0</v>
      </c>
      <c r="L481" s="10">
        <f>IFERROR(__xludf.DUMMYFUNCTION("""COMPUTED_VALUE"""),146.0)</f>
        <v>146</v>
      </c>
      <c r="M481" s="5">
        <f>IFERROR(__xludf.DUMMYFUNCTION("""COMPUTED_VALUE"""),1.0)</f>
        <v>1</v>
      </c>
    </row>
    <row r="482">
      <c r="A482" s="10" t="str">
        <f>IFERROR(__xludf.DUMMYFUNCTION("""COMPUTED_VALUE"""),"YHVH")</f>
        <v>YHVH</v>
      </c>
      <c r="B482" s="10">
        <f>IFERROR(__xludf.DUMMYFUNCTION("""COMPUTED_VALUE"""),981.0)</f>
        <v>981</v>
      </c>
      <c r="C482" s="10">
        <f>IFERROR(__xludf.DUMMYFUNCTION("""COMPUTED_VALUE"""),11609.0)</f>
        <v>11609</v>
      </c>
      <c r="D482" s="5">
        <f>IFERROR(__xludf.DUMMYFUNCTION("""COMPUTED_VALUE"""),0.32357922468949946)</f>
        <v>0.3235792247</v>
      </c>
      <c r="E482" s="5">
        <f>IFERROR(__xludf.DUMMYFUNCTION("""COMPUTED_VALUE"""),0.14828754234098607)</f>
        <v>0.1482875423</v>
      </c>
      <c r="F482" s="5">
        <f>IFERROR(__xludf.DUMMYFUNCTION("""COMPUTED_VALUE"""),0.2170681219420399)</f>
        <v>0.2170681219</v>
      </c>
      <c r="G482" s="5">
        <f>IFERROR(__xludf.DUMMYFUNCTION("""COMPUTED_VALUE"""),0.18281896876176137)</f>
        <v>0.1828189688</v>
      </c>
      <c r="H482" s="5">
        <f>IFERROR(__xludf.DUMMYFUNCTION("""COMPUTED_VALUE"""),0.5925444299956654)</f>
        <v>0.59254443</v>
      </c>
      <c r="I482" s="11">
        <f>IFERROR(__xludf.DUMMYFUNCTION("""COMPUTED_VALUE"""),5636.280884265279)</f>
        <v>5636.280884</v>
      </c>
      <c r="J482" s="10">
        <f>IFERROR(__xludf.DUMMYFUNCTION("""COMPUTED_VALUE"""),1.0)</f>
        <v>1</v>
      </c>
      <c r="K482" s="5">
        <f>IFERROR(__xludf.DUMMYFUNCTION("""COMPUTED_VALUE"""),0.0010193679918450561)</f>
        <v>0.001019367992</v>
      </c>
      <c r="L482" s="10">
        <f>IFERROR(__xludf.DUMMYFUNCTION("""COMPUTED_VALUE"""),8.0)</f>
        <v>8</v>
      </c>
      <c r="M482" s="5">
        <f>IFERROR(__xludf.DUMMYFUNCTION("""COMPUTED_VALUE"""),0.00815494393476045)</f>
        <v>0.008154943935</v>
      </c>
    </row>
    <row r="483">
      <c r="A483" s="10" t="str">
        <f>IFERROR(__xludf.DUMMYFUNCTION("""COMPUTED_VALUE"""),"アゴット")</f>
        <v>アゴット</v>
      </c>
      <c r="B483" s="10">
        <f>IFERROR(__xludf.DUMMYFUNCTION("""COMPUTED_VALUE"""),112.0)</f>
        <v>112</v>
      </c>
      <c r="C483" s="10">
        <f>IFERROR(__xludf.DUMMYFUNCTION("""COMPUTED_VALUE"""),1272.0)</f>
        <v>1272</v>
      </c>
      <c r="D483" s="5">
        <f>IFERROR(__xludf.DUMMYFUNCTION("""COMPUTED_VALUE"""),0.31982758620689655)</f>
        <v>0.3198275862</v>
      </c>
      <c r="E483" s="5">
        <f>IFERROR(__xludf.DUMMYFUNCTION("""COMPUTED_VALUE"""),0.1482758620689655)</f>
        <v>0.1482758621</v>
      </c>
      <c r="F483" s="5">
        <f>IFERROR(__xludf.DUMMYFUNCTION("""COMPUTED_VALUE"""),0.20862068965517241)</f>
        <v>0.2086206897</v>
      </c>
      <c r="G483" s="5">
        <f>IFERROR(__xludf.DUMMYFUNCTION("""COMPUTED_VALUE"""),0.19051724137931034)</f>
        <v>0.1905172414</v>
      </c>
      <c r="H483" s="5">
        <f>IFERROR(__xludf.DUMMYFUNCTION("""COMPUTED_VALUE"""),0.5826446280991735)</f>
        <v>0.5826446281</v>
      </c>
      <c r="I483" s="11">
        <f>IFERROR(__xludf.DUMMYFUNCTION("""COMPUTED_VALUE"""),5195.0413223140495)</f>
        <v>5195.041322</v>
      </c>
      <c r="J483" s="10">
        <f>IFERROR(__xludf.DUMMYFUNCTION("""COMPUTED_VALUE"""),0.0)</f>
        <v>0</v>
      </c>
      <c r="K483" s="5">
        <f>IFERROR(__xludf.DUMMYFUNCTION("""COMPUTED_VALUE"""),0.0)</f>
        <v>0</v>
      </c>
      <c r="L483" s="10">
        <f>IFERROR(__xludf.DUMMYFUNCTION("""COMPUTED_VALUE"""),112.0)</f>
        <v>112</v>
      </c>
      <c r="M483" s="5">
        <f>IFERROR(__xludf.DUMMYFUNCTION("""COMPUTED_VALUE"""),1.0)</f>
        <v>1</v>
      </c>
    </row>
    <row r="484">
      <c r="A484" s="10" t="str">
        <f>IFERROR(__xludf.DUMMYFUNCTION("""COMPUTED_VALUE"""),"hirajun")</f>
        <v>hirajun</v>
      </c>
      <c r="B484" s="10">
        <f>IFERROR(__xludf.DUMMYFUNCTION("""COMPUTED_VALUE"""),233.0)</f>
        <v>233</v>
      </c>
      <c r="C484" s="10">
        <f>IFERROR(__xludf.DUMMYFUNCTION("""COMPUTED_VALUE"""),2769.0)</f>
        <v>2769</v>
      </c>
      <c r="D484" s="5">
        <f>IFERROR(__xludf.DUMMYFUNCTION("""COMPUTED_VALUE"""),0.36001577287066244)</f>
        <v>0.3600157729</v>
      </c>
      <c r="E484" s="5">
        <f>IFERROR(__xludf.DUMMYFUNCTION("""COMPUTED_VALUE"""),0.14826498422712933)</f>
        <v>0.1482649842</v>
      </c>
      <c r="F484" s="5">
        <f>IFERROR(__xludf.DUMMYFUNCTION("""COMPUTED_VALUE"""),0.21056782334384858)</f>
        <v>0.2105678233</v>
      </c>
      <c r="G484" s="5">
        <f>IFERROR(__xludf.DUMMYFUNCTION("""COMPUTED_VALUE"""),0.19834384858044163)</f>
        <v>0.1983438486</v>
      </c>
      <c r="H484" s="5">
        <f>IFERROR(__xludf.DUMMYFUNCTION("""COMPUTED_VALUE"""),0.6067415730337079)</f>
        <v>0.606741573</v>
      </c>
      <c r="I484" s="11">
        <f>IFERROR(__xludf.DUMMYFUNCTION("""COMPUTED_VALUE"""),5931.2734082397)</f>
        <v>5931.273408</v>
      </c>
      <c r="J484" s="10">
        <f>IFERROR(__xludf.DUMMYFUNCTION("""COMPUTED_VALUE"""),0.0)</f>
        <v>0</v>
      </c>
      <c r="K484" s="5">
        <f>IFERROR(__xludf.DUMMYFUNCTION("""COMPUTED_VALUE"""),0.0)</f>
        <v>0</v>
      </c>
      <c r="L484" s="10">
        <f>IFERROR(__xludf.DUMMYFUNCTION("""COMPUTED_VALUE"""),233.0)</f>
        <v>233</v>
      </c>
      <c r="M484" s="5">
        <f>IFERROR(__xludf.DUMMYFUNCTION("""COMPUTED_VALUE"""),1.0)</f>
        <v>1</v>
      </c>
    </row>
    <row r="485">
      <c r="A485" s="10" t="str">
        <f>IFERROR(__xludf.DUMMYFUNCTION("""COMPUTED_VALUE"""),"リンガンタルパズ")</f>
        <v>リンガンタルパズ</v>
      </c>
      <c r="B485" s="10">
        <f>IFERROR(__xludf.DUMMYFUNCTION("""COMPUTED_VALUE"""),167.0)</f>
        <v>167</v>
      </c>
      <c r="C485" s="10">
        <f>IFERROR(__xludf.DUMMYFUNCTION("""COMPUTED_VALUE"""),1887.0)</f>
        <v>1887</v>
      </c>
      <c r="D485" s="5">
        <f>IFERROR(__xludf.DUMMYFUNCTION("""COMPUTED_VALUE"""),0.31976744186046513)</f>
        <v>0.3197674419</v>
      </c>
      <c r="E485" s="5">
        <f>IFERROR(__xludf.DUMMYFUNCTION("""COMPUTED_VALUE"""),0.14825581395348839)</f>
        <v>0.148255814</v>
      </c>
      <c r="F485" s="5">
        <f>IFERROR(__xludf.DUMMYFUNCTION("""COMPUTED_VALUE"""),0.2558139534883721)</f>
        <v>0.2558139535</v>
      </c>
      <c r="G485" s="5">
        <f>IFERROR(__xludf.DUMMYFUNCTION("""COMPUTED_VALUE"""),0.20930232558139536)</f>
        <v>0.2093023256</v>
      </c>
      <c r="H485" s="5">
        <f>IFERROR(__xludf.DUMMYFUNCTION("""COMPUTED_VALUE"""),0.6227272727272727)</f>
        <v>0.6227272727</v>
      </c>
      <c r="I485" s="11">
        <f>IFERROR(__xludf.DUMMYFUNCTION("""COMPUTED_VALUE"""),4667.954545454545)</f>
        <v>4667.954545</v>
      </c>
      <c r="J485" s="10">
        <f>IFERROR(__xludf.DUMMYFUNCTION("""COMPUTED_VALUE"""),0.0)</f>
        <v>0</v>
      </c>
      <c r="K485" s="5">
        <f>IFERROR(__xludf.DUMMYFUNCTION("""COMPUTED_VALUE"""),0.0)</f>
        <v>0</v>
      </c>
      <c r="L485" s="10">
        <f>IFERROR(__xludf.DUMMYFUNCTION("""COMPUTED_VALUE"""),167.0)</f>
        <v>167</v>
      </c>
      <c r="M485" s="5">
        <f>IFERROR(__xludf.DUMMYFUNCTION("""COMPUTED_VALUE"""),1.0)</f>
        <v>1</v>
      </c>
    </row>
    <row r="486">
      <c r="A486" s="10" t="str">
        <f>IFERROR(__xludf.DUMMYFUNCTION("""COMPUTED_VALUE"""),"kapada")</f>
        <v>kapada</v>
      </c>
      <c r="B486" s="10">
        <f>IFERROR(__xludf.DUMMYFUNCTION("""COMPUTED_VALUE"""),471.0)</f>
        <v>471</v>
      </c>
      <c r="C486" s="10">
        <f>IFERROR(__xludf.DUMMYFUNCTION("""COMPUTED_VALUE"""),5456.0)</f>
        <v>5456</v>
      </c>
      <c r="D486" s="5">
        <f>IFERROR(__xludf.DUMMYFUNCTION("""COMPUTED_VALUE"""),0.35085255767301904)</f>
        <v>0.3508525577</v>
      </c>
      <c r="E486" s="5">
        <f>IFERROR(__xludf.DUMMYFUNCTION("""COMPUTED_VALUE"""),0.14824473420260784)</f>
        <v>0.1482447342</v>
      </c>
      <c r="F486" s="5">
        <f>IFERROR(__xludf.DUMMYFUNCTION("""COMPUTED_VALUE"""),0.2128385155466399)</f>
        <v>0.2128385155</v>
      </c>
      <c r="G486" s="5">
        <f>IFERROR(__xludf.DUMMYFUNCTION("""COMPUTED_VALUE"""),0.17873620862587764)</f>
        <v>0.1787362086</v>
      </c>
      <c r="H486" s="5">
        <f>IFERROR(__xludf.DUMMYFUNCTION("""COMPUTED_VALUE"""),0.6069745523091423)</f>
        <v>0.6069745523</v>
      </c>
      <c r="I486" s="11">
        <f>IFERROR(__xludf.DUMMYFUNCTION("""COMPUTED_VALUE"""),5765.221489161168)</f>
        <v>5765.221489</v>
      </c>
      <c r="J486" s="10">
        <f>IFERROR(__xludf.DUMMYFUNCTION("""COMPUTED_VALUE"""),1.0)</f>
        <v>1</v>
      </c>
      <c r="K486" s="5">
        <f>IFERROR(__xludf.DUMMYFUNCTION("""COMPUTED_VALUE"""),0.0021231422505307855)</f>
        <v>0.002123142251</v>
      </c>
      <c r="L486" s="10">
        <f>IFERROR(__xludf.DUMMYFUNCTION("""COMPUTED_VALUE"""),466.0)</f>
        <v>466</v>
      </c>
      <c r="M486" s="5">
        <f>IFERROR(__xludf.DUMMYFUNCTION("""COMPUTED_VALUE"""),0.9893842887473461)</f>
        <v>0.9893842887</v>
      </c>
    </row>
    <row r="487">
      <c r="A487" s="10" t="str">
        <f>IFERROR(__xludf.DUMMYFUNCTION("""COMPUTED_VALUE"""),"asada12")</f>
        <v>asada12</v>
      </c>
      <c r="B487" s="10">
        <f>IFERROR(__xludf.DUMMYFUNCTION("""COMPUTED_VALUE"""),472.0)</f>
        <v>472</v>
      </c>
      <c r="C487" s="10">
        <f>IFERROR(__xludf.DUMMYFUNCTION("""COMPUTED_VALUE"""),5545.0)</f>
        <v>5545</v>
      </c>
      <c r="D487" s="5">
        <f>IFERROR(__xludf.DUMMYFUNCTION("""COMPUTED_VALUE"""),0.3991720875221762)</f>
        <v>0.3991720875</v>
      </c>
      <c r="E487" s="5">
        <f>IFERROR(__xludf.DUMMYFUNCTION("""COMPUTED_VALUE"""),0.14823575793416124)</f>
        <v>0.1482357579</v>
      </c>
      <c r="F487" s="5">
        <f>IFERROR(__xludf.DUMMYFUNCTION("""COMPUTED_VALUE"""),0.22393061304947762)</f>
        <v>0.223930613</v>
      </c>
      <c r="G487" s="5">
        <f>IFERROR(__xludf.DUMMYFUNCTION("""COMPUTED_VALUE"""),0.13463433865562782)</f>
        <v>0.1346343387</v>
      </c>
      <c r="H487" s="5">
        <f>IFERROR(__xludf.DUMMYFUNCTION("""COMPUTED_VALUE"""),0.625)</f>
        <v>0.625</v>
      </c>
      <c r="I487" s="11">
        <f>IFERROR(__xludf.DUMMYFUNCTION("""COMPUTED_VALUE"""),5645.598591549296)</f>
        <v>5645.598592</v>
      </c>
      <c r="J487" s="10">
        <f>IFERROR(__xludf.DUMMYFUNCTION("""COMPUTED_VALUE"""),3.0)</f>
        <v>3</v>
      </c>
      <c r="K487" s="5">
        <f>IFERROR(__xludf.DUMMYFUNCTION("""COMPUTED_VALUE"""),0.006355932203389831)</f>
        <v>0.006355932203</v>
      </c>
      <c r="L487" s="10">
        <f>IFERROR(__xludf.DUMMYFUNCTION("""COMPUTED_VALUE"""),472.0)</f>
        <v>472</v>
      </c>
      <c r="M487" s="5">
        <f>IFERROR(__xludf.DUMMYFUNCTION("""COMPUTED_VALUE"""),1.0)</f>
        <v>1</v>
      </c>
    </row>
    <row r="488">
      <c r="A488" s="10" t="str">
        <f>IFERROR(__xludf.DUMMYFUNCTION("""COMPUTED_VALUE"""),"高月宿男")</f>
        <v>高月宿男</v>
      </c>
      <c r="B488" s="10">
        <f>IFERROR(__xludf.DUMMYFUNCTION("""COMPUTED_VALUE"""),832.0)</f>
        <v>832</v>
      </c>
      <c r="C488" s="10">
        <f>IFERROR(__xludf.DUMMYFUNCTION("""COMPUTED_VALUE"""),9637.0)</f>
        <v>9637</v>
      </c>
      <c r="D488" s="5">
        <f>IFERROR(__xludf.DUMMYFUNCTION("""COMPUTED_VALUE"""),0.303236797274276)</f>
        <v>0.3032367973</v>
      </c>
      <c r="E488" s="5">
        <f>IFERROR(__xludf.DUMMYFUNCTION("""COMPUTED_VALUE"""),0.14821124361158433)</f>
        <v>0.1482112436</v>
      </c>
      <c r="F488" s="5">
        <f>IFERROR(__xludf.DUMMYFUNCTION("""COMPUTED_VALUE"""),0.20136286201022147)</f>
        <v>0.201362862</v>
      </c>
      <c r="G488" s="5">
        <f>IFERROR(__xludf.DUMMYFUNCTION("""COMPUTED_VALUE"""),0.16774559909142533)</f>
        <v>0.1677455991</v>
      </c>
      <c r="H488" s="5">
        <f>IFERROR(__xludf.DUMMYFUNCTION("""COMPUTED_VALUE"""),0.589960518894529)</f>
        <v>0.5899605189</v>
      </c>
      <c r="I488" s="11">
        <f>IFERROR(__xludf.DUMMYFUNCTION("""COMPUTED_VALUE"""),6377.439368302313)</f>
        <v>6377.439368</v>
      </c>
      <c r="J488" s="10">
        <f>IFERROR(__xludf.DUMMYFUNCTION("""COMPUTED_VALUE"""),4.0)</f>
        <v>4</v>
      </c>
      <c r="K488" s="5">
        <f>IFERROR(__xludf.DUMMYFUNCTION("""COMPUTED_VALUE"""),0.004807692307692308)</f>
        <v>0.004807692308</v>
      </c>
      <c r="L488" s="10">
        <f>IFERROR(__xludf.DUMMYFUNCTION("""COMPUTED_VALUE"""),832.0)</f>
        <v>832</v>
      </c>
      <c r="M488" s="5">
        <f>IFERROR(__xludf.DUMMYFUNCTION("""COMPUTED_VALUE"""),1.0)</f>
        <v>1</v>
      </c>
    </row>
    <row r="489">
      <c r="A489" s="10" t="str">
        <f>IFERROR(__xludf.DUMMYFUNCTION("""COMPUTED_VALUE"""),"MANKAZU")</f>
        <v>MANKAZU</v>
      </c>
      <c r="B489" s="10">
        <f>IFERROR(__xludf.DUMMYFUNCTION("""COMPUTED_VALUE"""),133.0)</f>
        <v>133</v>
      </c>
      <c r="C489" s="10">
        <f>IFERROR(__xludf.DUMMYFUNCTION("""COMPUTED_VALUE"""),1550.0)</f>
        <v>1550</v>
      </c>
      <c r="D489" s="5">
        <f>IFERROR(__xludf.DUMMYFUNCTION("""COMPUTED_VALUE"""),0.34650670430486946)</f>
        <v>0.3465067043</v>
      </c>
      <c r="E489" s="5">
        <f>IFERROR(__xludf.DUMMYFUNCTION("""COMPUTED_VALUE"""),0.14820042342978124)</f>
        <v>0.1482004234</v>
      </c>
      <c r="F489" s="5">
        <f>IFERROR(__xludf.DUMMYFUNCTION("""COMPUTED_VALUE"""),0.20959774170783346)</f>
        <v>0.2095977417</v>
      </c>
      <c r="G489" s="5">
        <f>IFERROR(__xludf.DUMMYFUNCTION("""COMPUTED_VALUE"""),0.1651376146788991)</f>
        <v>0.1651376147</v>
      </c>
      <c r="H489" s="5">
        <f>IFERROR(__xludf.DUMMYFUNCTION("""COMPUTED_VALUE"""),0.6060606060606061)</f>
        <v>0.6060606061</v>
      </c>
      <c r="I489" s="11">
        <f>IFERROR(__xludf.DUMMYFUNCTION("""COMPUTED_VALUE"""),5267.676767676768)</f>
        <v>5267.676768</v>
      </c>
      <c r="J489" s="10">
        <f>IFERROR(__xludf.DUMMYFUNCTION("""COMPUTED_VALUE"""),0.0)</f>
        <v>0</v>
      </c>
      <c r="K489" s="5">
        <f>IFERROR(__xludf.DUMMYFUNCTION("""COMPUTED_VALUE"""),0.0)</f>
        <v>0</v>
      </c>
      <c r="L489" s="10">
        <f>IFERROR(__xludf.DUMMYFUNCTION("""COMPUTED_VALUE"""),62.0)</f>
        <v>62</v>
      </c>
      <c r="M489" s="5">
        <f>IFERROR(__xludf.DUMMYFUNCTION("""COMPUTED_VALUE"""),0.46616541353383456)</f>
        <v>0.4661654135</v>
      </c>
    </row>
    <row r="490">
      <c r="A490" s="10" t="str">
        <f>IFERROR(__xludf.DUMMYFUNCTION("""COMPUTED_VALUE"""),"バナナチョコ")</f>
        <v>バナナチョコ</v>
      </c>
      <c r="B490" s="10">
        <f>IFERROR(__xludf.DUMMYFUNCTION("""COMPUTED_VALUE"""),208.0)</f>
        <v>208</v>
      </c>
      <c r="C490" s="10">
        <f>IFERROR(__xludf.DUMMYFUNCTION("""COMPUTED_VALUE"""),2327.0)</f>
        <v>2327</v>
      </c>
      <c r="D490" s="5">
        <f>IFERROR(__xludf.DUMMYFUNCTION("""COMPUTED_VALUE"""),0.37753657385559225)</f>
        <v>0.3775365739</v>
      </c>
      <c r="E490" s="5">
        <f>IFERROR(__xludf.DUMMYFUNCTION("""COMPUTED_VALUE"""),0.14818310523831996)</f>
        <v>0.1481831052</v>
      </c>
      <c r="F490" s="5">
        <f>IFERROR(__xludf.DUMMYFUNCTION("""COMPUTED_VALUE"""),0.22180273714016047)</f>
        <v>0.2218027371</v>
      </c>
      <c r="G490" s="5">
        <f>IFERROR(__xludf.DUMMYFUNCTION("""COMPUTED_VALUE"""),0.1500707881075979)</f>
        <v>0.1500707881</v>
      </c>
      <c r="H490" s="5">
        <f>IFERROR(__xludf.DUMMYFUNCTION("""COMPUTED_VALUE"""),0.5957446808510638)</f>
        <v>0.5957446809</v>
      </c>
      <c r="I490" s="11">
        <f>IFERROR(__xludf.DUMMYFUNCTION("""COMPUTED_VALUE"""),5986.808510638298)</f>
        <v>5986.808511</v>
      </c>
      <c r="J490" s="10">
        <f>IFERROR(__xludf.DUMMYFUNCTION("""COMPUTED_VALUE"""),1.0)</f>
        <v>1</v>
      </c>
      <c r="K490" s="5">
        <f>IFERROR(__xludf.DUMMYFUNCTION("""COMPUTED_VALUE"""),0.004807692307692308)</f>
        <v>0.004807692308</v>
      </c>
      <c r="L490" s="10">
        <f>IFERROR(__xludf.DUMMYFUNCTION("""COMPUTED_VALUE"""),208.0)</f>
        <v>208</v>
      </c>
      <c r="M490" s="5">
        <f>IFERROR(__xludf.DUMMYFUNCTION("""COMPUTED_VALUE"""),1.0)</f>
        <v>1</v>
      </c>
    </row>
    <row r="491">
      <c r="A491" s="10" t="str">
        <f>IFERROR(__xludf.DUMMYFUNCTION("""COMPUTED_VALUE"""),"tomutomi")</f>
        <v>tomutomi</v>
      </c>
      <c r="B491" s="10">
        <f>IFERROR(__xludf.DUMMYFUNCTION("""COMPUTED_VALUE"""),3907.0)</f>
        <v>3907</v>
      </c>
      <c r="C491" s="10">
        <f>IFERROR(__xludf.DUMMYFUNCTION("""COMPUTED_VALUE"""),45737.0)</f>
        <v>45737</v>
      </c>
      <c r="D491" s="5">
        <f>IFERROR(__xludf.DUMMYFUNCTION("""COMPUTED_VALUE"""),0.35103992349988045)</f>
        <v>0.3510399235</v>
      </c>
      <c r="E491" s="5">
        <f>IFERROR(__xludf.DUMMYFUNCTION("""COMPUTED_VALUE"""),0.148147262730098)</f>
        <v>0.1481472627</v>
      </c>
      <c r="F491" s="5">
        <f>IFERROR(__xludf.DUMMYFUNCTION("""COMPUTED_VALUE"""),0.21991393736552714)</f>
        <v>0.2199139374</v>
      </c>
      <c r="G491" s="5">
        <f>IFERROR(__xludf.DUMMYFUNCTION("""COMPUTED_VALUE"""),0.141357877121683)</f>
        <v>0.1413578771</v>
      </c>
      <c r="H491" s="5">
        <f>IFERROR(__xludf.DUMMYFUNCTION("""COMPUTED_VALUE"""),0.6228937928035656)</f>
        <v>0.6228937928</v>
      </c>
      <c r="I491" s="11">
        <f>IFERROR(__xludf.DUMMYFUNCTION("""COMPUTED_VALUE"""),5614.077617132297)</f>
        <v>5614.077617</v>
      </c>
      <c r="J491" s="10">
        <f>IFERROR(__xludf.DUMMYFUNCTION("""COMPUTED_VALUE"""),10.0)</f>
        <v>10</v>
      </c>
      <c r="K491" s="5">
        <f>IFERROR(__xludf.DUMMYFUNCTION("""COMPUTED_VALUE"""),0.002559508574353724)</f>
        <v>0.002559508574</v>
      </c>
      <c r="L491" s="10">
        <f>IFERROR(__xludf.DUMMYFUNCTION("""COMPUTED_VALUE"""),3907.0)</f>
        <v>3907</v>
      </c>
      <c r="M491" s="5">
        <f>IFERROR(__xludf.DUMMYFUNCTION("""COMPUTED_VALUE"""),1.0)</f>
        <v>1</v>
      </c>
    </row>
    <row r="492">
      <c r="A492" s="10" t="str">
        <f>IFERROR(__xludf.DUMMYFUNCTION("""COMPUTED_VALUE"""),"やむちゃｙｐ")</f>
        <v>やむちゃｙｐ</v>
      </c>
      <c r="B492" s="10">
        <f>IFERROR(__xludf.DUMMYFUNCTION("""COMPUTED_VALUE"""),121.0)</f>
        <v>121</v>
      </c>
      <c r="C492" s="10">
        <f>IFERROR(__xludf.DUMMYFUNCTION("""COMPUTED_VALUE"""),1397.0)</f>
        <v>1397</v>
      </c>
      <c r="D492" s="5">
        <f>IFERROR(__xludf.DUMMYFUNCTION("""COMPUTED_VALUE"""),0.3518808777429467)</f>
        <v>0.3518808777</v>
      </c>
      <c r="E492" s="5">
        <f>IFERROR(__xludf.DUMMYFUNCTION("""COMPUTED_VALUE"""),0.1481191222570533)</f>
        <v>0.1481191223</v>
      </c>
      <c r="F492" s="5">
        <f>IFERROR(__xludf.DUMMYFUNCTION("""COMPUTED_VALUE"""),0.23824451410658307)</f>
        <v>0.2382445141</v>
      </c>
      <c r="G492" s="5">
        <f>IFERROR(__xludf.DUMMYFUNCTION("""COMPUTED_VALUE"""),0.1536050156739812)</f>
        <v>0.1536050157</v>
      </c>
      <c r="H492" s="5">
        <f>IFERROR(__xludf.DUMMYFUNCTION("""COMPUTED_VALUE"""),0.5986842105263158)</f>
        <v>0.5986842105</v>
      </c>
      <c r="I492" s="11">
        <f>IFERROR(__xludf.DUMMYFUNCTION("""COMPUTED_VALUE"""),5280.263157894737)</f>
        <v>5280.263158</v>
      </c>
      <c r="J492" s="10">
        <f>IFERROR(__xludf.DUMMYFUNCTION("""COMPUTED_VALUE"""),0.0)</f>
        <v>0</v>
      </c>
      <c r="K492" s="5">
        <f>IFERROR(__xludf.DUMMYFUNCTION("""COMPUTED_VALUE"""),0.0)</f>
        <v>0</v>
      </c>
      <c r="L492" s="10">
        <f>IFERROR(__xludf.DUMMYFUNCTION("""COMPUTED_VALUE"""),121.0)</f>
        <v>121</v>
      </c>
      <c r="M492" s="5">
        <f>IFERROR(__xludf.DUMMYFUNCTION("""COMPUTED_VALUE"""),1.0)</f>
        <v>1</v>
      </c>
    </row>
    <row r="493">
      <c r="A493" s="10" t="str">
        <f>IFERROR(__xludf.DUMMYFUNCTION("""COMPUTED_VALUE"""),"キャラメルコーン")</f>
        <v>キャラメルコーン</v>
      </c>
      <c r="B493" s="10">
        <f>IFERROR(__xludf.DUMMYFUNCTION("""COMPUTED_VALUE"""),333.0)</f>
        <v>333</v>
      </c>
      <c r="C493" s="10">
        <f>IFERROR(__xludf.DUMMYFUNCTION("""COMPUTED_VALUE"""),3864.0)</f>
        <v>3864</v>
      </c>
      <c r="D493" s="5">
        <f>IFERROR(__xludf.DUMMYFUNCTION("""COMPUTED_VALUE"""),0.3718493344661569)</f>
        <v>0.3718493345</v>
      </c>
      <c r="E493" s="5">
        <f>IFERROR(__xludf.DUMMYFUNCTION("""COMPUTED_VALUE"""),0.1481166808269612)</f>
        <v>0.1481166808</v>
      </c>
      <c r="F493" s="5">
        <f>IFERROR(__xludf.DUMMYFUNCTION("""COMPUTED_VALUE"""),0.20928915321438685)</f>
        <v>0.2092891532</v>
      </c>
      <c r="G493" s="5">
        <f>IFERROR(__xludf.DUMMYFUNCTION("""COMPUTED_VALUE"""),0.15179835740583403)</f>
        <v>0.1517983574</v>
      </c>
      <c r="H493" s="5">
        <f>IFERROR(__xludf.DUMMYFUNCTION("""COMPUTED_VALUE"""),0.571041948579161)</f>
        <v>0.5710419486</v>
      </c>
      <c r="I493" s="11">
        <f>IFERROR(__xludf.DUMMYFUNCTION("""COMPUTED_VALUE"""),5579.702300405954)</f>
        <v>5579.7023</v>
      </c>
      <c r="J493" s="10">
        <f>IFERROR(__xludf.DUMMYFUNCTION("""COMPUTED_VALUE"""),0.0)</f>
        <v>0</v>
      </c>
      <c r="K493" s="5">
        <f>IFERROR(__xludf.DUMMYFUNCTION("""COMPUTED_VALUE"""),0.0)</f>
        <v>0</v>
      </c>
      <c r="L493" s="10">
        <f>IFERROR(__xludf.DUMMYFUNCTION("""COMPUTED_VALUE"""),333.0)</f>
        <v>333</v>
      </c>
      <c r="M493" s="5">
        <f>IFERROR(__xludf.DUMMYFUNCTION("""COMPUTED_VALUE"""),1.0)</f>
        <v>1</v>
      </c>
    </row>
    <row r="494">
      <c r="A494" s="10" t="str">
        <f>IFERROR(__xludf.DUMMYFUNCTION("""COMPUTED_VALUE"""),"はるかー")</f>
        <v>はるかー</v>
      </c>
      <c r="B494" s="10">
        <f>IFERROR(__xludf.DUMMYFUNCTION("""COMPUTED_VALUE"""),134.0)</f>
        <v>134</v>
      </c>
      <c r="C494" s="10">
        <f>IFERROR(__xludf.DUMMYFUNCTION("""COMPUTED_VALUE"""),1606.0)</f>
        <v>1606</v>
      </c>
      <c r="D494" s="5">
        <f>IFERROR(__xludf.DUMMYFUNCTION("""COMPUTED_VALUE"""),0.31929347826086957)</f>
        <v>0.3192934783</v>
      </c>
      <c r="E494" s="5">
        <f>IFERROR(__xludf.DUMMYFUNCTION("""COMPUTED_VALUE"""),0.1480978260869565)</f>
        <v>0.1480978261</v>
      </c>
      <c r="F494" s="5">
        <f>IFERROR(__xludf.DUMMYFUNCTION("""COMPUTED_VALUE"""),0.1983695652173913)</f>
        <v>0.1983695652</v>
      </c>
      <c r="G494" s="5">
        <f>IFERROR(__xludf.DUMMYFUNCTION("""COMPUTED_VALUE"""),0.14673913043478262)</f>
        <v>0.1467391304</v>
      </c>
      <c r="H494" s="5">
        <f>IFERROR(__xludf.DUMMYFUNCTION("""COMPUTED_VALUE"""),0.6506849315068494)</f>
        <v>0.6506849315</v>
      </c>
      <c r="I494" s="11">
        <f>IFERROR(__xludf.DUMMYFUNCTION("""COMPUTED_VALUE"""),5568.493150684932)</f>
        <v>5568.493151</v>
      </c>
      <c r="J494" s="10">
        <f>IFERROR(__xludf.DUMMYFUNCTION("""COMPUTED_VALUE"""),3.0)</f>
        <v>3</v>
      </c>
      <c r="K494" s="5">
        <f>IFERROR(__xludf.DUMMYFUNCTION("""COMPUTED_VALUE"""),0.022388059701492536)</f>
        <v>0.0223880597</v>
      </c>
      <c r="L494" s="10">
        <f>IFERROR(__xludf.DUMMYFUNCTION("""COMPUTED_VALUE"""),0.0)</f>
        <v>0</v>
      </c>
      <c r="M494" s="5">
        <f>IFERROR(__xludf.DUMMYFUNCTION("""COMPUTED_VALUE"""),0.0)</f>
        <v>0</v>
      </c>
    </row>
    <row r="495">
      <c r="A495" s="10" t="str">
        <f>IFERROR(__xludf.DUMMYFUNCTION("""COMPUTED_VALUE"""),"Yuuki_P")</f>
        <v>Yuuki_P</v>
      </c>
      <c r="B495" s="10">
        <f>IFERROR(__xludf.DUMMYFUNCTION("""COMPUTED_VALUE"""),151.0)</f>
        <v>151</v>
      </c>
      <c r="C495" s="10">
        <f>IFERROR(__xludf.DUMMYFUNCTION("""COMPUTED_VALUE"""),1779.0)</f>
        <v>1779</v>
      </c>
      <c r="D495" s="5">
        <f>IFERROR(__xludf.DUMMYFUNCTION("""COMPUTED_VALUE"""),0.28992628992628994)</f>
        <v>0.2899262899</v>
      </c>
      <c r="E495" s="5">
        <f>IFERROR(__xludf.DUMMYFUNCTION("""COMPUTED_VALUE"""),0.14803439803439802)</f>
        <v>0.148034398</v>
      </c>
      <c r="F495" s="5">
        <f>IFERROR(__xludf.DUMMYFUNCTION("""COMPUTED_VALUE"""),0.21621621621621623)</f>
        <v>0.2162162162</v>
      </c>
      <c r="G495" s="5">
        <f>IFERROR(__xludf.DUMMYFUNCTION("""COMPUTED_VALUE"""),0.18243243243243243)</f>
        <v>0.1824324324</v>
      </c>
      <c r="H495" s="5">
        <f>IFERROR(__xludf.DUMMYFUNCTION("""COMPUTED_VALUE"""),0.5880681818181818)</f>
        <v>0.5880681818</v>
      </c>
      <c r="I495" s="11">
        <f>IFERROR(__xludf.DUMMYFUNCTION("""COMPUTED_VALUE"""),5543.465909090909)</f>
        <v>5543.465909</v>
      </c>
      <c r="J495" s="10">
        <f>IFERROR(__xludf.DUMMYFUNCTION("""COMPUTED_VALUE"""),0.0)</f>
        <v>0</v>
      </c>
      <c r="K495" s="5">
        <f>IFERROR(__xludf.DUMMYFUNCTION("""COMPUTED_VALUE"""),0.0)</f>
        <v>0</v>
      </c>
      <c r="L495" s="10">
        <f>IFERROR(__xludf.DUMMYFUNCTION("""COMPUTED_VALUE"""),107.0)</f>
        <v>107</v>
      </c>
      <c r="M495" s="5">
        <f>IFERROR(__xludf.DUMMYFUNCTION("""COMPUTED_VALUE"""),0.7086092715231788)</f>
        <v>0.7086092715</v>
      </c>
    </row>
    <row r="496">
      <c r="A496" s="10" t="str">
        <f>IFERROR(__xludf.DUMMYFUNCTION("""COMPUTED_VALUE"""),"miwaku@")</f>
        <v>miwaku@</v>
      </c>
      <c r="B496" s="10">
        <f>IFERROR(__xludf.DUMMYFUNCTION("""COMPUTED_VALUE"""),503.0)</f>
        <v>503</v>
      </c>
      <c r="C496" s="10">
        <f>IFERROR(__xludf.DUMMYFUNCTION("""COMPUTED_VALUE"""),5813.0)</f>
        <v>5813</v>
      </c>
      <c r="D496" s="5">
        <f>IFERROR(__xludf.DUMMYFUNCTION("""COMPUTED_VALUE"""),0.28606403013182674)</f>
        <v>0.2860640301</v>
      </c>
      <c r="E496" s="5">
        <f>IFERROR(__xludf.DUMMYFUNCTION("""COMPUTED_VALUE"""),0.1480225988700565)</f>
        <v>0.1480225989</v>
      </c>
      <c r="F496" s="5">
        <f>IFERROR(__xludf.DUMMYFUNCTION("""COMPUTED_VALUE"""),0.2160075329566855)</f>
        <v>0.216007533</v>
      </c>
      <c r="G496" s="5">
        <f>IFERROR(__xludf.DUMMYFUNCTION("""COMPUTED_VALUE"""),0.17570621468926553)</f>
        <v>0.1757062147</v>
      </c>
      <c r="H496" s="5">
        <f>IFERROR(__xludf.DUMMYFUNCTION("""COMPUTED_VALUE"""),0.6050566695727986)</f>
        <v>0.6050566696</v>
      </c>
      <c r="I496" s="11">
        <f>IFERROR(__xludf.DUMMYFUNCTION("""COMPUTED_VALUE"""),5872.188317349608)</f>
        <v>5872.188317</v>
      </c>
      <c r="J496" s="10">
        <f>IFERROR(__xludf.DUMMYFUNCTION("""COMPUTED_VALUE"""),2.0)</f>
        <v>2</v>
      </c>
      <c r="K496" s="5">
        <f>IFERROR(__xludf.DUMMYFUNCTION("""COMPUTED_VALUE"""),0.003976143141153081)</f>
        <v>0.003976143141</v>
      </c>
      <c r="L496" s="10">
        <f>IFERROR(__xludf.DUMMYFUNCTION("""COMPUTED_VALUE"""),503.0)</f>
        <v>503</v>
      </c>
      <c r="M496" s="5">
        <f>IFERROR(__xludf.DUMMYFUNCTION("""COMPUTED_VALUE"""),1.0)</f>
        <v>1</v>
      </c>
    </row>
    <row r="497">
      <c r="A497" s="10" t="str">
        <f>IFERROR(__xludf.DUMMYFUNCTION("""COMPUTED_VALUE"""),"kageshin")</f>
        <v>kageshin</v>
      </c>
      <c r="B497" s="10">
        <f>IFERROR(__xludf.DUMMYFUNCTION("""COMPUTED_VALUE"""),526.0)</f>
        <v>526</v>
      </c>
      <c r="C497" s="10">
        <f>IFERROR(__xludf.DUMMYFUNCTION("""COMPUTED_VALUE"""),6086.0)</f>
        <v>6086</v>
      </c>
      <c r="D497" s="5">
        <f>IFERROR(__xludf.DUMMYFUNCTION("""COMPUTED_VALUE"""),0.3606115107913669)</f>
        <v>0.3606115108</v>
      </c>
      <c r="E497" s="5">
        <f>IFERROR(__xludf.DUMMYFUNCTION("""COMPUTED_VALUE"""),0.14802158273381294)</f>
        <v>0.1480215827</v>
      </c>
      <c r="F497" s="5">
        <f>IFERROR(__xludf.DUMMYFUNCTION("""COMPUTED_VALUE"""),0.22122302158273383)</f>
        <v>0.2212230216</v>
      </c>
      <c r="G497" s="5">
        <f>IFERROR(__xludf.DUMMYFUNCTION("""COMPUTED_VALUE"""),0.22068345323741007)</f>
        <v>0.2206834532</v>
      </c>
      <c r="H497" s="5">
        <f>IFERROR(__xludf.DUMMYFUNCTION("""COMPUTED_VALUE"""),0.5739837398373984)</f>
        <v>0.5739837398</v>
      </c>
      <c r="I497" s="11">
        <f>IFERROR(__xludf.DUMMYFUNCTION("""COMPUTED_VALUE"""),5628.373983739837)</f>
        <v>5628.373984</v>
      </c>
      <c r="J497" s="10">
        <f>IFERROR(__xludf.DUMMYFUNCTION("""COMPUTED_VALUE"""),0.0)</f>
        <v>0</v>
      </c>
      <c r="K497" s="5">
        <f>IFERROR(__xludf.DUMMYFUNCTION("""COMPUTED_VALUE"""),0.0)</f>
        <v>0</v>
      </c>
      <c r="L497" s="10">
        <f>IFERROR(__xludf.DUMMYFUNCTION("""COMPUTED_VALUE"""),526.0)</f>
        <v>526</v>
      </c>
      <c r="M497" s="5">
        <f>IFERROR(__xludf.DUMMYFUNCTION("""COMPUTED_VALUE"""),1.0)</f>
        <v>1</v>
      </c>
    </row>
    <row r="498">
      <c r="A498" s="10" t="str">
        <f>IFERROR(__xludf.DUMMYFUNCTION("""COMPUTED_VALUE"""),"ZZZZZ")</f>
        <v>ZZZZZ</v>
      </c>
      <c r="B498" s="10">
        <f>IFERROR(__xludf.DUMMYFUNCTION("""COMPUTED_VALUE"""),3333.0)</f>
        <v>3333</v>
      </c>
      <c r="C498" s="10">
        <f>IFERROR(__xludf.DUMMYFUNCTION("""COMPUTED_VALUE"""),39081.0)</f>
        <v>39081</v>
      </c>
      <c r="D498" s="5">
        <f>IFERROR(__xludf.DUMMYFUNCTION("""COMPUTED_VALUE"""),0.3659785162806311)</f>
        <v>0.3659785163</v>
      </c>
      <c r="E498" s="5">
        <f>IFERROR(__xludf.DUMMYFUNCTION("""COMPUTED_VALUE"""),0.14798030659057848)</f>
        <v>0.1479803066</v>
      </c>
      <c r="F498" s="5">
        <f>IFERROR(__xludf.DUMMYFUNCTION("""COMPUTED_VALUE"""),0.22708962739174218)</f>
        <v>0.2270896274</v>
      </c>
      <c r="G498" s="5">
        <f>IFERROR(__xludf.DUMMYFUNCTION("""COMPUTED_VALUE"""),0.17925478348439072)</f>
        <v>0.1792547835</v>
      </c>
      <c r="H498" s="5">
        <f>IFERROR(__xludf.DUMMYFUNCTION("""COMPUTED_VALUE"""),0.6079083518107908)</f>
        <v>0.6079083518</v>
      </c>
      <c r="I498" s="11">
        <f>IFERROR(__xludf.DUMMYFUNCTION("""COMPUTED_VALUE"""),5444.419807834442)</f>
        <v>5444.419808</v>
      </c>
      <c r="J498" s="10">
        <f>IFERROR(__xludf.DUMMYFUNCTION("""COMPUTED_VALUE"""),2.0)</f>
        <v>2</v>
      </c>
      <c r="K498" s="5">
        <f>IFERROR(__xludf.DUMMYFUNCTION("""COMPUTED_VALUE"""),6.000600060006001E-4)</f>
        <v>0.000600060006</v>
      </c>
      <c r="L498" s="10">
        <f>IFERROR(__xludf.DUMMYFUNCTION("""COMPUTED_VALUE"""),3333.0)</f>
        <v>3333</v>
      </c>
      <c r="M498" s="5">
        <f>IFERROR(__xludf.DUMMYFUNCTION("""COMPUTED_VALUE"""),1.0)</f>
        <v>1</v>
      </c>
    </row>
    <row r="499">
      <c r="A499" s="10" t="str">
        <f>IFERROR(__xludf.DUMMYFUNCTION("""COMPUTED_VALUE"""),"ぎっくりごし")</f>
        <v>ぎっくりごし</v>
      </c>
      <c r="B499" s="10">
        <f>IFERROR(__xludf.DUMMYFUNCTION("""COMPUTED_VALUE"""),506.0)</f>
        <v>506</v>
      </c>
      <c r="C499" s="10">
        <f>IFERROR(__xludf.DUMMYFUNCTION("""COMPUTED_VALUE"""),5907.0)</f>
        <v>5907</v>
      </c>
      <c r="D499" s="5">
        <f>IFERROR(__xludf.DUMMYFUNCTION("""COMPUTED_VALUE"""),0.373449361229402)</f>
        <v>0.3734493612</v>
      </c>
      <c r="E499" s="5">
        <f>IFERROR(__xludf.DUMMYFUNCTION("""COMPUTED_VALUE"""),0.1479355674875023)</f>
        <v>0.1479355675</v>
      </c>
      <c r="F499" s="5">
        <f>IFERROR(__xludf.DUMMYFUNCTION("""COMPUTED_VALUE"""),0.2306980188853916)</f>
        <v>0.2306980189</v>
      </c>
      <c r="G499" s="5">
        <f>IFERROR(__xludf.DUMMYFUNCTION("""COMPUTED_VALUE"""),0.15404554712090354)</f>
        <v>0.1540455471</v>
      </c>
      <c r="H499" s="5">
        <f>IFERROR(__xludf.DUMMYFUNCTION("""COMPUTED_VALUE"""),0.5955056179775281)</f>
        <v>0.595505618</v>
      </c>
      <c r="I499" s="11">
        <f>IFERROR(__xludf.DUMMYFUNCTION("""COMPUTED_VALUE"""),5325.120385232744)</f>
        <v>5325.120385</v>
      </c>
      <c r="J499" s="10">
        <f>IFERROR(__xludf.DUMMYFUNCTION("""COMPUTED_VALUE"""),3.0)</f>
        <v>3</v>
      </c>
      <c r="K499" s="5">
        <f>IFERROR(__xludf.DUMMYFUNCTION("""COMPUTED_VALUE"""),0.005928853754940711)</f>
        <v>0.005928853755</v>
      </c>
      <c r="L499" s="10">
        <f>IFERROR(__xludf.DUMMYFUNCTION("""COMPUTED_VALUE"""),506.0)</f>
        <v>506</v>
      </c>
      <c r="M499" s="5">
        <f>IFERROR(__xludf.DUMMYFUNCTION("""COMPUTED_VALUE"""),1.0)</f>
        <v>1</v>
      </c>
    </row>
    <row r="500">
      <c r="A500" s="10" t="str">
        <f>IFERROR(__xludf.DUMMYFUNCTION("""COMPUTED_VALUE"""),"KEN-OGAS")</f>
        <v>KEN-OGAS</v>
      </c>
      <c r="B500" s="10">
        <f>IFERROR(__xludf.DUMMYFUNCTION("""COMPUTED_VALUE"""),3729.0)</f>
        <v>3729</v>
      </c>
      <c r="C500" s="10">
        <f>IFERROR(__xludf.DUMMYFUNCTION("""COMPUTED_VALUE"""),43206.0)</f>
        <v>43206</v>
      </c>
      <c r="D500" s="5">
        <f>IFERROR(__xludf.DUMMYFUNCTION("""COMPUTED_VALUE"""),0.3463282417610254)</f>
        <v>0.3463282418</v>
      </c>
      <c r="E500" s="5">
        <f>IFERROR(__xludf.DUMMYFUNCTION("""COMPUTED_VALUE"""),0.14793424019049067)</f>
        <v>0.1479342402</v>
      </c>
      <c r="F500" s="5">
        <f>IFERROR(__xludf.DUMMYFUNCTION("""COMPUTED_VALUE"""),0.21982420143374623)</f>
        <v>0.2198242014</v>
      </c>
      <c r="G500" s="5">
        <f>IFERROR(__xludf.DUMMYFUNCTION("""COMPUTED_VALUE"""),0.18638701015781342)</f>
        <v>0.1863870102</v>
      </c>
      <c r="H500" s="5">
        <f>IFERROR(__xludf.DUMMYFUNCTION("""COMPUTED_VALUE"""),0.6000230467849735)</f>
        <v>0.6000230468</v>
      </c>
      <c r="I500" s="11">
        <f>IFERROR(__xludf.DUMMYFUNCTION("""COMPUTED_VALUE"""),5860.578474302834)</f>
        <v>5860.578474</v>
      </c>
      <c r="J500" s="10">
        <f>IFERROR(__xludf.DUMMYFUNCTION("""COMPUTED_VALUE"""),14.0)</f>
        <v>14</v>
      </c>
      <c r="K500" s="5">
        <f>IFERROR(__xludf.DUMMYFUNCTION("""COMPUTED_VALUE"""),0.0037543577366586215)</f>
        <v>0.003754357737</v>
      </c>
      <c r="L500" s="10">
        <f>IFERROR(__xludf.DUMMYFUNCTION("""COMPUTED_VALUE"""),3729.0)</f>
        <v>3729</v>
      </c>
      <c r="M500" s="5">
        <f>IFERROR(__xludf.DUMMYFUNCTION("""COMPUTED_VALUE"""),1.0)</f>
        <v>1</v>
      </c>
    </row>
    <row r="501">
      <c r="A501" s="10" t="str">
        <f>IFERROR(__xludf.DUMMYFUNCTION("""COMPUTED_VALUE"""),"JackRose")</f>
        <v>JackRose</v>
      </c>
      <c r="B501" s="10">
        <f>IFERROR(__xludf.DUMMYFUNCTION("""COMPUTED_VALUE"""),465.0)</f>
        <v>465</v>
      </c>
      <c r="C501" s="10">
        <f>IFERROR(__xludf.DUMMYFUNCTION("""COMPUTED_VALUE"""),5529.0)</f>
        <v>5529</v>
      </c>
      <c r="D501" s="5">
        <f>IFERROR(__xludf.DUMMYFUNCTION("""COMPUTED_VALUE"""),0.28218799368088465)</f>
        <v>0.2821879937</v>
      </c>
      <c r="E501" s="5">
        <f>IFERROR(__xludf.DUMMYFUNCTION("""COMPUTED_VALUE"""),0.14790679304897314)</f>
        <v>0.147906793</v>
      </c>
      <c r="F501" s="5">
        <f>IFERROR(__xludf.DUMMYFUNCTION("""COMPUTED_VALUE"""),0.2010268562401264)</f>
        <v>0.2010268562</v>
      </c>
      <c r="G501" s="5">
        <f>IFERROR(__xludf.DUMMYFUNCTION("""COMPUTED_VALUE"""),0.17950236966824645)</f>
        <v>0.1795023697</v>
      </c>
      <c r="H501" s="5">
        <f>IFERROR(__xludf.DUMMYFUNCTION("""COMPUTED_VALUE"""),0.5795677799607073)</f>
        <v>0.57956778</v>
      </c>
      <c r="I501" s="11">
        <f>IFERROR(__xludf.DUMMYFUNCTION("""COMPUTED_VALUE"""),6197.740667976424)</f>
        <v>6197.740668</v>
      </c>
      <c r="J501" s="10">
        <f>IFERROR(__xludf.DUMMYFUNCTION("""COMPUTED_VALUE"""),2.0)</f>
        <v>2</v>
      </c>
      <c r="K501" s="5">
        <f>IFERROR(__xludf.DUMMYFUNCTION("""COMPUTED_VALUE"""),0.004301075268817204)</f>
        <v>0.004301075269</v>
      </c>
      <c r="L501" s="10">
        <f>IFERROR(__xludf.DUMMYFUNCTION("""COMPUTED_VALUE"""),465.0)</f>
        <v>465</v>
      </c>
      <c r="M501" s="5">
        <f>IFERROR(__xludf.DUMMYFUNCTION("""COMPUTED_VALUE"""),1.0)</f>
        <v>1</v>
      </c>
    </row>
    <row r="502">
      <c r="A502" s="10" t="str">
        <f>IFERROR(__xludf.DUMMYFUNCTION("""COMPUTED_VALUE"""),"サウリー")</f>
        <v>サウリー</v>
      </c>
      <c r="B502" s="10">
        <f>IFERROR(__xludf.DUMMYFUNCTION("""COMPUTED_VALUE"""),834.0)</f>
        <v>834</v>
      </c>
      <c r="C502" s="10">
        <f>IFERROR(__xludf.DUMMYFUNCTION("""COMPUTED_VALUE"""),9712.0)</f>
        <v>9712</v>
      </c>
      <c r="D502" s="5">
        <f>IFERROR(__xludf.DUMMYFUNCTION("""COMPUTED_VALUE"""),0.2663888263122325)</f>
        <v>0.2663888263</v>
      </c>
      <c r="E502" s="5">
        <f>IFERROR(__xludf.DUMMYFUNCTION("""COMPUTED_VALUE"""),0.14789366974543816)</f>
        <v>0.1478936697</v>
      </c>
      <c r="F502" s="5">
        <f>IFERROR(__xludf.DUMMYFUNCTION("""COMPUTED_VALUE"""),0.20680333408425322)</f>
        <v>0.2068033341</v>
      </c>
      <c r="G502" s="5">
        <f>IFERROR(__xludf.DUMMYFUNCTION("""COMPUTED_VALUE"""),0.19339941428249605)</f>
        <v>0.1933994143</v>
      </c>
      <c r="H502" s="5">
        <f>IFERROR(__xludf.DUMMYFUNCTION("""COMPUTED_VALUE"""),0.5876906318082789)</f>
        <v>0.5876906318</v>
      </c>
      <c r="I502" s="11">
        <f>IFERROR(__xludf.DUMMYFUNCTION("""COMPUTED_VALUE"""),6000.435729847494)</f>
        <v>6000.43573</v>
      </c>
      <c r="J502" s="10">
        <f>IFERROR(__xludf.DUMMYFUNCTION("""COMPUTED_VALUE"""),3.0)</f>
        <v>3</v>
      </c>
      <c r="K502" s="5">
        <f>IFERROR(__xludf.DUMMYFUNCTION("""COMPUTED_VALUE"""),0.0035971223021582736)</f>
        <v>0.003597122302</v>
      </c>
      <c r="L502" s="10">
        <f>IFERROR(__xludf.DUMMYFUNCTION("""COMPUTED_VALUE"""),834.0)</f>
        <v>834</v>
      </c>
      <c r="M502" s="5">
        <f>IFERROR(__xludf.DUMMYFUNCTION("""COMPUTED_VALUE"""),1.0)</f>
        <v>1</v>
      </c>
    </row>
    <row r="503">
      <c r="A503" s="10" t="str">
        <f>IFERROR(__xludf.DUMMYFUNCTION("""COMPUTED_VALUE"""),"信男")</f>
        <v>信男</v>
      </c>
      <c r="B503" s="10">
        <f>IFERROR(__xludf.DUMMYFUNCTION("""COMPUTED_VALUE"""),149.0)</f>
        <v>149</v>
      </c>
      <c r="C503" s="10">
        <f>IFERROR(__xludf.DUMMYFUNCTION("""COMPUTED_VALUE"""),1745.0)</f>
        <v>1745</v>
      </c>
      <c r="D503" s="5">
        <f>IFERROR(__xludf.DUMMYFUNCTION("""COMPUTED_VALUE"""),0.3201754385964912)</f>
        <v>0.3201754386</v>
      </c>
      <c r="E503" s="5">
        <f>IFERROR(__xludf.DUMMYFUNCTION("""COMPUTED_VALUE"""),0.14786967418546365)</f>
        <v>0.1478696742</v>
      </c>
      <c r="F503" s="5">
        <f>IFERROR(__xludf.DUMMYFUNCTION("""COMPUTED_VALUE"""),0.22431077694235588)</f>
        <v>0.2243107769</v>
      </c>
      <c r="G503" s="5">
        <f>IFERROR(__xludf.DUMMYFUNCTION("""COMPUTED_VALUE"""),0.18358395989974938)</f>
        <v>0.1835839599</v>
      </c>
      <c r="H503" s="5">
        <f>IFERROR(__xludf.DUMMYFUNCTION("""COMPUTED_VALUE"""),0.5837988826815642)</f>
        <v>0.5837988827</v>
      </c>
      <c r="I503" s="11">
        <f>IFERROR(__xludf.DUMMYFUNCTION("""COMPUTED_VALUE"""),5544.692737430168)</f>
        <v>5544.692737</v>
      </c>
      <c r="J503" s="10">
        <f>IFERROR(__xludf.DUMMYFUNCTION("""COMPUTED_VALUE"""),0.0)</f>
        <v>0</v>
      </c>
      <c r="K503" s="5">
        <f>IFERROR(__xludf.DUMMYFUNCTION("""COMPUTED_VALUE"""),0.0)</f>
        <v>0</v>
      </c>
      <c r="L503" s="10">
        <f>IFERROR(__xludf.DUMMYFUNCTION("""COMPUTED_VALUE"""),0.0)</f>
        <v>0</v>
      </c>
      <c r="M503" s="5">
        <f>IFERROR(__xludf.DUMMYFUNCTION("""COMPUTED_VALUE"""),0.0)</f>
        <v>0</v>
      </c>
    </row>
    <row r="504">
      <c r="A504" s="10" t="str">
        <f>IFERROR(__xludf.DUMMYFUNCTION("""COMPUTED_VALUE"""),"☆天☆鳳☆愛☆")</f>
        <v>☆天☆鳳☆愛☆</v>
      </c>
      <c r="B504" s="10">
        <f>IFERROR(__xludf.DUMMYFUNCTION("""COMPUTED_VALUE"""),922.0)</f>
        <v>922</v>
      </c>
      <c r="C504" s="10">
        <f>IFERROR(__xludf.DUMMYFUNCTION("""COMPUTED_VALUE"""),10776.0)</f>
        <v>10776</v>
      </c>
      <c r="D504" s="5">
        <f>IFERROR(__xludf.DUMMYFUNCTION("""COMPUTED_VALUE"""),0.39933022122995737)</f>
        <v>0.3993302212</v>
      </c>
      <c r="E504" s="5">
        <f>IFERROR(__xludf.DUMMYFUNCTION("""COMPUTED_VALUE"""),0.1478587375685001)</f>
        <v>0.1478587376</v>
      </c>
      <c r="F504" s="5">
        <f>IFERROR(__xludf.DUMMYFUNCTION("""COMPUTED_VALUE"""),0.22133143900953928)</f>
        <v>0.221331439</v>
      </c>
      <c r="G504" s="5">
        <f>IFERROR(__xludf.DUMMYFUNCTION("""COMPUTED_VALUE"""),0.16379135376496853)</f>
        <v>0.1637913538</v>
      </c>
      <c r="H504" s="5">
        <f>IFERROR(__xludf.DUMMYFUNCTION("""COMPUTED_VALUE"""),0.584135717560752)</f>
        <v>0.5841357176</v>
      </c>
      <c r="I504" s="11">
        <f>IFERROR(__xludf.DUMMYFUNCTION("""COMPUTED_VALUE"""),5490.784044016506)</f>
        <v>5490.784044</v>
      </c>
      <c r="J504" s="10">
        <f>IFERROR(__xludf.DUMMYFUNCTION("""COMPUTED_VALUE"""),1.0)</f>
        <v>1</v>
      </c>
      <c r="K504" s="5">
        <f>IFERROR(__xludf.DUMMYFUNCTION("""COMPUTED_VALUE"""),0.0010845986984815619)</f>
        <v>0.001084598698</v>
      </c>
      <c r="L504" s="10">
        <f>IFERROR(__xludf.DUMMYFUNCTION("""COMPUTED_VALUE"""),0.0)</f>
        <v>0</v>
      </c>
      <c r="M504" s="5">
        <f>IFERROR(__xludf.DUMMYFUNCTION("""COMPUTED_VALUE"""),0.0)</f>
        <v>0</v>
      </c>
    </row>
    <row r="505">
      <c r="A505" s="10" t="str">
        <f>IFERROR(__xludf.DUMMYFUNCTION("""COMPUTED_VALUE"""),"けーたん☆")</f>
        <v>けーたん☆</v>
      </c>
      <c r="B505" s="10">
        <f>IFERROR(__xludf.DUMMYFUNCTION("""COMPUTED_VALUE"""),103.0)</f>
        <v>103</v>
      </c>
      <c r="C505" s="10">
        <f>IFERROR(__xludf.DUMMYFUNCTION("""COMPUTED_VALUE"""),1246.0)</f>
        <v>1246</v>
      </c>
      <c r="D505" s="5">
        <f>IFERROR(__xludf.DUMMYFUNCTION("""COMPUTED_VALUE"""),0.3665791776027997)</f>
        <v>0.3665791776</v>
      </c>
      <c r="E505" s="5">
        <f>IFERROR(__xludf.DUMMYFUNCTION("""COMPUTED_VALUE"""),0.14785651793525809)</f>
        <v>0.1478565179</v>
      </c>
      <c r="F505" s="5">
        <f>IFERROR(__xludf.DUMMYFUNCTION("""COMPUTED_VALUE"""),0.19597550306211722)</f>
        <v>0.1959755031</v>
      </c>
      <c r="G505" s="5">
        <f>IFERROR(__xludf.DUMMYFUNCTION("""COMPUTED_VALUE"""),0.18722659667541558)</f>
        <v>0.1872265967</v>
      </c>
      <c r="H505" s="5">
        <f>IFERROR(__xludf.DUMMYFUNCTION("""COMPUTED_VALUE"""),0.6026785714285714)</f>
        <v>0.6026785714</v>
      </c>
      <c r="I505" s="11">
        <f>IFERROR(__xludf.DUMMYFUNCTION("""COMPUTED_VALUE"""),6092.410714285715)</f>
        <v>6092.410714</v>
      </c>
      <c r="J505" s="10">
        <f>IFERROR(__xludf.DUMMYFUNCTION("""COMPUTED_VALUE"""),0.0)</f>
        <v>0</v>
      </c>
      <c r="K505" s="5">
        <f>IFERROR(__xludf.DUMMYFUNCTION("""COMPUTED_VALUE"""),0.0)</f>
        <v>0</v>
      </c>
      <c r="L505" s="10">
        <f>IFERROR(__xludf.DUMMYFUNCTION("""COMPUTED_VALUE"""),103.0)</f>
        <v>103</v>
      </c>
      <c r="M505" s="5">
        <f>IFERROR(__xludf.DUMMYFUNCTION("""COMPUTED_VALUE"""),1.0)</f>
        <v>1</v>
      </c>
    </row>
    <row r="506">
      <c r="A506" s="10" t="str">
        <f>IFERROR(__xludf.DUMMYFUNCTION("""COMPUTED_VALUE"""),"上東キング")</f>
        <v>上東キング</v>
      </c>
      <c r="B506" s="10">
        <f>IFERROR(__xludf.DUMMYFUNCTION("""COMPUTED_VALUE"""),120.0)</f>
        <v>120</v>
      </c>
      <c r="C506" s="10">
        <f>IFERROR(__xludf.DUMMYFUNCTION("""COMPUTED_VALUE"""),1385.0)</f>
        <v>1385</v>
      </c>
      <c r="D506" s="5">
        <f>IFERROR(__xludf.DUMMYFUNCTION("""COMPUTED_VALUE"""),0.33992094861660077)</f>
        <v>0.3399209486</v>
      </c>
      <c r="E506" s="5">
        <f>IFERROR(__xludf.DUMMYFUNCTION("""COMPUTED_VALUE"""),0.14782608695652175)</f>
        <v>0.147826087</v>
      </c>
      <c r="F506" s="5">
        <f>IFERROR(__xludf.DUMMYFUNCTION("""COMPUTED_VALUE"""),0.20632411067193676)</f>
        <v>0.2063241107</v>
      </c>
      <c r="G506" s="5">
        <f>IFERROR(__xludf.DUMMYFUNCTION("""COMPUTED_VALUE"""),0.22450592885375495)</f>
        <v>0.2245059289</v>
      </c>
      <c r="H506" s="5">
        <f>IFERROR(__xludf.DUMMYFUNCTION("""COMPUTED_VALUE"""),0.6053639846743295)</f>
        <v>0.6053639847</v>
      </c>
      <c r="I506" s="11">
        <f>IFERROR(__xludf.DUMMYFUNCTION("""COMPUTED_VALUE"""),5670.114942528736)</f>
        <v>5670.114943</v>
      </c>
      <c r="J506" s="10">
        <f>IFERROR(__xludf.DUMMYFUNCTION("""COMPUTED_VALUE"""),0.0)</f>
        <v>0</v>
      </c>
      <c r="K506" s="5">
        <f>IFERROR(__xludf.DUMMYFUNCTION("""COMPUTED_VALUE"""),0.0)</f>
        <v>0</v>
      </c>
      <c r="L506" s="10">
        <f>IFERROR(__xludf.DUMMYFUNCTION("""COMPUTED_VALUE"""),120.0)</f>
        <v>120</v>
      </c>
      <c r="M506" s="5">
        <f>IFERROR(__xludf.DUMMYFUNCTION("""COMPUTED_VALUE"""),1.0)</f>
        <v>1</v>
      </c>
    </row>
    <row r="507">
      <c r="A507" s="10" t="str">
        <f>IFERROR(__xludf.DUMMYFUNCTION("""COMPUTED_VALUE"""),"Trooper")</f>
        <v>Trooper</v>
      </c>
      <c r="B507" s="10">
        <f>IFERROR(__xludf.DUMMYFUNCTION("""COMPUTED_VALUE"""),604.0)</f>
        <v>604</v>
      </c>
      <c r="C507" s="10">
        <f>IFERROR(__xludf.DUMMYFUNCTION("""COMPUTED_VALUE"""),7066.0)</f>
        <v>7066</v>
      </c>
      <c r="D507" s="5">
        <f>IFERROR(__xludf.DUMMYFUNCTION("""COMPUTED_VALUE"""),0.3238935314144228)</f>
        <v>0.3238935314</v>
      </c>
      <c r="E507" s="5">
        <f>IFERROR(__xludf.DUMMYFUNCTION("""COMPUTED_VALUE"""),0.14778706282884557)</f>
        <v>0.1477870628</v>
      </c>
      <c r="F507" s="5">
        <f>IFERROR(__xludf.DUMMYFUNCTION("""COMPUTED_VALUE"""),0.20659238625812443)</f>
        <v>0.2065923863</v>
      </c>
      <c r="G507" s="5">
        <f>IFERROR(__xludf.DUMMYFUNCTION("""COMPUTED_VALUE"""),0.14917982048901268)</f>
        <v>0.1491798205</v>
      </c>
      <c r="H507" s="5">
        <f>IFERROR(__xludf.DUMMYFUNCTION("""COMPUTED_VALUE"""),0.6059925093632959)</f>
        <v>0.6059925094</v>
      </c>
      <c r="I507" s="11">
        <f>IFERROR(__xludf.DUMMYFUNCTION("""COMPUTED_VALUE"""),5950.936329588015)</f>
        <v>5950.93633</v>
      </c>
      <c r="J507" s="10">
        <f>IFERROR(__xludf.DUMMYFUNCTION("""COMPUTED_VALUE"""),2.0)</f>
        <v>2</v>
      </c>
      <c r="K507" s="5">
        <f>IFERROR(__xludf.DUMMYFUNCTION("""COMPUTED_VALUE"""),0.0033112582781456954)</f>
        <v>0.003311258278</v>
      </c>
      <c r="L507" s="10">
        <f>IFERROR(__xludf.DUMMYFUNCTION("""COMPUTED_VALUE"""),604.0)</f>
        <v>604</v>
      </c>
      <c r="M507" s="5">
        <f>IFERROR(__xludf.DUMMYFUNCTION("""COMPUTED_VALUE"""),1.0)</f>
        <v>1</v>
      </c>
    </row>
    <row r="508">
      <c r="A508" s="10" t="str">
        <f>IFERROR(__xludf.DUMMYFUNCTION("""COMPUTED_VALUE"""),"phelps")</f>
        <v>phelps</v>
      </c>
      <c r="B508" s="10">
        <f>IFERROR(__xludf.DUMMYFUNCTION("""COMPUTED_VALUE"""),102.0)</f>
        <v>102</v>
      </c>
      <c r="C508" s="10">
        <f>IFERROR(__xludf.DUMMYFUNCTION("""COMPUTED_VALUE"""),1151.0)</f>
        <v>1151</v>
      </c>
      <c r="D508" s="5">
        <f>IFERROR(__xludf.DUMMYFUNCTION("""COMPUTED_VALUE"""),0.23355576739752146)</f>
        <v>0.2335557674</v>
      </c>
      <c r="E508" s="5">
        <f>IFERROR(__xludf.DUMMYFUNCTION("""COMPUTED_VALUE"""),0.14775977121067682)</f>
        <v>0.1477597712</v>
      </c>
      <c r="F508" s="5">
        <f>IFERROR(__xludf.DUMMYFUNCTION("""COMPUTED_VALUE"""),0.19065776930409914)</f>
        <v>0.1906577693</v>
      </c>
      <c r="G508" s="5">
        <f>IFERROR(__xludf.DUMMYFUNCTION("""COMPUTED_VALUE"""),0.17635843660629172)</f>
        <v>0.1763584366</v>
      </c>
      <c r="H508" s="5">
        <f>IFERROR(__xludf.DUMMYFUNCTION("""COMPUTED_VALUE"""),0.64)</f>
        <v>0.64</v>
      </c>
      <c r="I508" s="11">
        <f>IFERROR(__xludf.DUMMYFUNCTION("""COMPUTED_VALUE"""),6386.5)</f>
        <v>6386.5</v>
      </c>
      <c r="J508" s="10">
        <f>IFERROR(__xludf.DUMMYFUNCTION("""COMPUTED_VALUE"""),0.0)</f>
        <v>0</v>
      </c>
      <c r="K508" s="5">
        <f>IFERROR(__xludf.DUMMYFUNCTION("""COMPUTED_VALUE"""),0.0)</f>
        <v>0</v>
      </c>
      <c r="L508" s="10">
        <f>IFERROR(__xludf.DUMMYFUNCTION("""COMPUTED_VALUE"""),102.0)</f>
        <v>102</v>
      </c>
      <c r="M508" s="5">
        <f>IFERROR(__xludf.DUMMYFUNCTION("""COMPUTED_VALUE"""),1.0)</f>
        <v>1</v>
      </c>
    </row>
    <row r="509">
      <c r="A509" s="10" t="str">
        <f>IFERROR(__xludf.DUMMYFUNCTION("""COMPUTED_VALUE"""),"しろたんがいいお")</f>
        <v>しろたんがいいお</v>
      </c>
      <c r="B509" s="10">
        <f>IFERROR(__xludf.DUMMYFUNCTION("""COMPUTED_VALUE"""),797.0)</f>
        <v>797</v>
      </c>
      <c r="C509" s="10">
        <f>IFERROR(__xludf.DUMMYFUNCTION("""COMPUTED_VALUE"""),9171.0)</f>
        <v>9171</v>
      </c>
      <c r="D509" s="5">
        <f>IFERROR(__xludf.DUMMYFUNCTION("""COMPUTED_VALUE"""),0.3448770002388345)</f>
        <v>0.3448770002</v>
      </c>
      <c r="E509" s="5">
        <f>IFERROR(__xludf.DUMMYFUNCTION("""COMPUTED_VALUE"""),0.14771913064246478)</f>
        <v>0.1477191306</v>
      </c>
      <c r="F509" s="5">
        <f>IFERROR(__xludf.DUMMYFUNCTION("""COMPUTED_VALUE"""),0.2228325770241223)</f>
        <v>0.222832577</v>
      </c>
      <c r="G509" s="5">
        <f>IFERROR(__xludf.DUMMYFUNCTION("""COMPUTED_VALUE"""),0.1828278003343683)</f>
        <v>0.1828278003</v>
      </c>
      <c r="H509" s="5">
        <f>IFERROR(__xludf.DUMMYFUNCTION("""COMPUTED_VALUE"""),0.6087888531618435)</f>
        <v>0.6087888532</v>
      </c>
      <c r="I509" s="11">
        <f>IFERROR(__xludf.DUMMYFUNCTION("""COMPUTED_VALUE"""),5635.101822079314)</f>
        <v>5635.101822</v>
      </c>
      <c r="J509" s="10">
        <f>IFERROR(__xludf.DUMMYFUNCTION("""COMPUTED_VALUE"""),0.0)</f>
        <v>0</v>
      </c>
      <c r="K509" s="5">
        <f>IFERROR(__xludf.DUMMYFUNCTION("""COMPUTED_VALUE"""),0.0)</f>
        <v>0</v>
      </c>
      <c r="L509" s="10">
        <f>IFERROR(__xludf.DUMMYFUNCTION("""COMPUTED_VALUE"""),453.0)</f>
        <v>453</v>
      </c>
      <c r="M509" s="5">
        <f>IFERROR(__xludf.DUMMYFUNCTION("""COMPUTED_VALUE"""),0.5683814303638645)</f>
        <v>0.5683814304</v>
      </c>
    </row>
    <row r="510">
      <c r="A510" s="10" t="str">
        <f>IFERROR(__xludf.DUMMYFUNCTION("""COMPUTED_VALUE"""),"はっとりへいじ")</f>
        <v>はっとりへいじ</v>
      </c>
      <c r="B510" s="10">
        <f>IFERROR(__xludf.DUMMYFUNCTION("""COMPUTED_VALUE"""),1034.0)</f>
        <v>1034</v>
      </c>
      <c r="C510" s="10">
        <f>IFERROR(__xludf.DUMMYFUNCTION("""COMPUTED_VALUE"""),11956.0)</f>
        <v>11956</v>
      </c>
      <c r="D510" s="5">
        <f>IFERROR(__xludf.DUMMYFUNCTION("""COMPUTED_VALUE"""),0.4063358359274858)</f>
        <v>0.4063358359</v>
      </c>
      <c r="E510" s="5">
        <f>IFERROR(__xludf.DUMMYFUNCTION("""COMPUTED_VALUE"""),0.14768357443691632)</f>
        <v>0.1476835744</v>
      </c>
      <c r="F510" s="5">
        <f>IFERROR(__xludf.DUMMYFUNCTION("""COMPUTED_VALUE"""),0.2252334737227614)</f>
        <v>0.2252334737</v>
      </c>
      <c r="G510" s="5">
        <f>IFERROR(__xludf.DUMMYFUNCTION("""COMPUTED_VALUE"""),0.15354330708661418)</f>
        <v>0.1535433071</v>
      </c>
      <c r="H510" s="5">
        <f>IFERROR(__xludf.DUMMYFUNCTION("""COMPUTED_VALUE"""),0.5939024390243902)</f>
        <v>0.593902439</v>
      </c>
      <c r="I510" s="11">
        <f>IFERROR(__xludf.DUMMYFUNCTION("""COMPUTED_VALUE"""),5612.4796747967475)</f>
        <v>5612.479675</v>
      </c>
      <c r="J510" s="10">
        <f>IFERROR(__xludf.DUMMYFUNCTION("""COMPUTED_VALUE"""),1.0)</f>
        <v>1</v>
      </c>
      <c r="K510" s="5">
        <f>IFERROR(__xludf.DUMMYFUNCTION("""COMPUTED_VALUE"""),9.671179883945841E-4)</f>
        <v>0.0009671179884</v>
      </c>
      <c r="L510" s="10">
        <f>IFERROR(__xludf.DUMMYFUNCTION("""COMPUTED_VALUE"""),1034.0)</f>
        <v>1034</v>
      </c>
      <c r="M510" s="5">
        <f>IFERROR(__xludf.DUMMYFUNCTION("""COMPUTED_VALUE"""),1.0)</f>
        <v>1</v>
      </c>
    </row>
    <row r="511">
      <c r="A511" s="10" t="str">
        <f>IFERROR(__xludf.DUMMYFUNCTION("""COMPUTED_VALUE"""),"棄和銃一発")</f>
        <v>棄和銃一発</v>
      </c>
      <c r="B511" s="10">
        <f>IFERROR(__xludf.DUMMYFUNCTION("""COMPUTED_VALUE"""),346.0)</f>
        <v>346</v>
      </c>
      <c r="C511" s="10">
        <f>IFERROR(__xludf.DUMMYFUNCTION("""COMPUTED_VALUE"""),4024.0)</f>
        <v>4024</v>
      </c>
      <c r="D511" s="5">
        <f>IFERROR(__xludf.DUMMYFUNCTION("""COMPUTED_VALUE"""),0.398858075040783)</f>
        <v>0.398858075</v>
      </c>
      <c r="E511" s="5">
        <f>IFERROR(__xludf.DUMMYFUNCTION("""COMPUTED_VALUE"""),0.14763458401305057)</f>
        <v>0.147634584</v>
      </c>
      <c r="F511" s="5">
        <f>IFERROR(__xludf.DUMMYFUNCTION("""COMPUTED_VALUE"""),0.23436650353452965)</f>
        <v>0.2343665035</v>
      </c>
      <c r="G511" s="5">
        <f>IFERROR(__xludf.DUMMYFUNCTION("""COMPUTED_VALUE"""),0.1631321370309951)</f>
        <v>0.163132137</v>
      </c>
      <c r="H511" s="5">
        <f>IFERROR(__xludf.DUMMYFUNCTION("""COMPUTED_VALUE"""),0.5788863109048724)</f>
        <v>0.5788863109</v>
      </c>
      <c r="I511" s="11">
        <f>IFERROR(__xludf.DUMMYFUNCTION("""COMPUTED_VALUE"""),5341.879350348027)</f>
        <v>5341.87935</v>
      </c>
      <c r="J511" s="10">
        <f>IFERROR(__xludf.DUMMYFUNCTION("""COMPUTED_VALUE"""),0.0)</f>
        <v>0</v>
      </c>
      <c r="K511" s="5">
        <f>IFERROR(__xludf.DUMMYFUNCTION("""COMPUTED_VALUE"""),0.0)</f>
        <v>0</v>
      </c>
      <c r="L511" s="10">
        <f>IFERROR(__xludf.DUMMYFUNCTION("""COMPUTED_VALUE"""),346.0)</f>
        <v>346</v>
      </c>
      <c r="M511" s="5">
        <f>IFERROR(__xludf.DUMMYFUNCTION("""COMPUTED_VALUE"""),1.0)</f>
        <v>1</v>
      </c>
    </row>
    <row r="512">
      <c r="A512" s="10" t="str">
        <f>IFERROR(__xludf.DUMMYFUNCTION("""COMPUTED_VALUE"""),"ふとん")</f>
        <v>ふとん</v>
      </c>
      <c r="B512" s="10">
        <f>IFERROR(__xludf.DUMMYFUNCTION("""COMPUTED_VALUE"""),931.0)</f>
        <v>931</v>
      </c>
      <c r="C512" s="10">
        <f>IFERROR(__xludf.DUMMYFUNCTION("""COMPUTED_VALUE"""),10949.0)</f>
        <v>10949</v>
      </c>
      <c r="D512" s="5">
        <f>IFERROR(__xludf.DUMMYFUNCTION("""COMPUTED_VALUE"""),0.41106009183469755)</f>
        <v>0.4110600918</v>
      </c>
      <c r="E512" s="5">
        <f>IFERROR(__xludf.DUMMYFUNCTION("""COMPUTED_VALUE"""),0.147634258334997)</f>
        <v>0.1476342583</v>
      </c>
      <c r="F512" s="5">
        <f>IFERROR(__xludf.DUMMYFUNCTION("""COMPUTED_VALUE"""),0.23098422838889998)</f>
        <v>0.2309842284</v>
      </c>
      <c r="G512" s="5">
        <f>IFERROR(__xludf.DUMMYFUNCTION("""COMPUTED_VALUE"""),0.1809742463565582)</f>
        <v>0.1809742464</v>
      </c>
      <c r="H512" s="5">
        <f>IFERROR(__xludf.DUMMYFUNCTION("""COMPUTED_VALUE"""),0.6006914433880726)</f>
        <v>0.6006914434</v>
      </c>
      <c r="I512" s="11">
        <f>IFERROR(__xludf.DUMMYFUNCTION("""COMPUTED_VALUE"""),5362.057044079516)</f>
        <v>5362.057044</v>
      </c>
      <c r="J512" s="10">
        <f>IFERROR(__xludf.DUMMYFUNCTION("""COMPUTED_VALUE"""),3.0)</f>
        <v>3</v>
      </c>
      <c r="K512" s="5">
        <f>IFERROR(__xludf.DUMMYFUNCTION("""COMPUTED_VALUE"""),0.00322234156820623)</f>
        <v>0.003222341568</v>
      </c>
      <c r="L512" s="10">
        <f>IFERROR(__xludf.DUMMYFUNCTION("""COMPUTED_VALUE"""),62.0)</f>
        <v>62</v>
      </c>
      <c r="M512" s="5">
        <f>IFERROR(__xludf.DUMMYFUNCTION("""COMPUTED_VALUE"""),0.06659505907626208)</f>
        <v>0.06659505908</v>
      </c>
    </row>
    <row r="513">
      <c r="A513" s="10" t="str">
        <f>IFERROR(__xludf.DUMMYFUNCTION("""COMPUTED_VALUE"""),"柴犬レオ")</f>
        <v>柴犬レオ</v>
      </c>
      <c r="B513" s="10">
        <f>IFERROR(__xludf.DUMMYFUNCTION("""COMPUTED_VALUE"""),206.0)</f>
        <v>206</v>
      </c>
      <c r="C513" s="10">
        <f>IFERROR(__xludf.DUMMYFUNCTION("""COMPUTED_VALUE"""),2462.0)</f>
        <v>2462</v>
      </c>
      <c r="D513" s="5">
        <f>IFERROR(__xludf.DUMMYFUNCTION("""COMPUTED_VALUE"""),0.3257978723404255)</f>
        <v>0.3257978723</v>
      </c>
      <c r="E513" s="5">
        <f>IFERROR(__xludf.DUMMYFUNCTION("""COMPUTED_VALUE"""),0.14760638297872342)</f>
        <v>0.147606383</v>
      </c>
      <c r="F513" s="5">
        <f>IFERROR(__xludf.DUMMYFUNCTION("""COMPUTED_VALUE"""),0.20921985815602837)</f>
        <v>0.2092198582</v>
      </c>
      <c r="G513" s="5">
        <f>IFERROR(__xludf.DUMMYFUNCTION("""COMPUTED_VALUE"""),0.18085106382978725)</f>
        <v>0.1808510638</v>
      </c>
      <c r="H513" s="5">
        <f>IFERROR(__xludf.DUMMYFUNCTION("""COMPUTED_VALUE"""),0.5783898305084746)</f>
        <v>0.5783898305</v>
      </c>
      <c r="I513" s="11">
        <f>IFERROR(__xludf.DUMMYFUNCTION("""COMPUTED_VALUE"""),6266.1016949152545)</f>
        <v>6266.101695</v>
      </c>
      <c r="J513" s="10">
        <f>IFERROR(__xludf.DUMMYFUNCTION("""COMPUTED_VALUE"""),0.0)</f>
        <v>0</v>
      </c>
      <c r="K513" s="5">
        <f>IFERROR(__xludf.DUMMYFUNCTION("""COMPUTED_VALUE"""),0.0)</f>
        <v>0</v>
      </c>
      <c r="L513" s="10">
        <f>IFERROR(__xludf.DUMMYFUNCTION("""COMPUTED_VALUE"""),206.0)</f>
        <v>206</v>
      </c>
      <c r="M513" s="5">
        <f>IFERROR(__xludf.DUMMYFUNCTION("""COMPUTED_VALUE"""),1.0)</f>
        <v>1</v>
      </c>
    </row>
    <row r="514">
      <c r="A514" s="10" t="str">
        <f>IFERROR(__xludf.DUMMYFUNCTION("""COMPUTED_VALUE"""),"une")</f>
        <v>une</v>
      </c>
      <c r="B514" s="10">
        <f>IFERROR(__xludf.DUMMYFUNCTION("""COMPUTED_VALUE"""),231.0)</f>
        <v>231</v>
      </c>
      <c r="C514" s="10">
        <f>IFERROR(__xludf.DUMMYFUNCTION("""COMPUTED_VALUE"""),2677.0)</f>
        <v>2677</v>
      </c>
      <c r="D514" s="5">
        <f>IFERROR(__xludf.DUMMYFUNCTION("""COMPUTED_VALUE"""),0.3597710547833197)</f>
        <v>0.3597710548</v>
      </c>
      <c r="E514" s="5">
        <f>IFERROR(__xludf.DUMMYFUNCTION("""COMPUTED_VALUE"""),0.14758789860997548)</f>
        <v>0.1475878986</v>
      </c>
      <c r="F514" s="5">
        <f>IFERROR(__xludf.DUMMYFUNCTION("""COMPUTED_VALUE"""),0.21913327882256745)</f>
        <v>0.2191332788</v>
      </c>
      <c r="G514" s="5">
        <f>IFERROR(__xludf.DUMMYFUNCTION("""COMPUTED_VALUE"""),0.2097301717089125)</f>
        <v>0.2097301717</v>
      </c>
      <c r="H514" s="5">
        <f>IFERROR(__xludf.DUMMYFUNCTION("""COMPUTED_VALUE"""),0.6082089552238806)</f>
        <v>0.6082089552</v>
      </c>
      <c r="I514" s="11">
        <f>IFERROR(__xludf.DUMMYFUNCTION("""COMPUTED_VALUE"""),5411.007462686567)</f>
        <v>5411.007463</v>
      </c>
      <c r="J514" s="10">
        <f>IFERROR(__xludf.DUMMYFUNCTION("""COMPUTED_VALUE"""),1.0)</f>
        <v>1</v>
      </c>
      <c r="K514" s="5">
        <f>IFERROR(__xludf.DUMMYFUNCTION("""COMPUTED_VALUE"""),0.004329004329004329)</f>
        <v>0.004329004329</v>
      </c>
      <c r="L514" s="10">
        <f>IFERROR(__xludf.DUMMYFUNCTION("""COMPUTED_VALUE"""),231.0)</f>
        <v>231</v>
      </c>
      <c r="M514" s="5">
        <f>IFERROR(__xludf.DUMMYFUNCTION("""COMPUTED_VALUE"""),1.0)</f>
        <v>1</v>
      </c>
    </row>
    <row r="515">
      <c r="A515" s="10" t="str">
        <f>IFERROR(__xludf.DUMMYFUNCTION("""COMPUTED_VALUE"""),"ゆみ☆ミ")</f>
        <v>ゆみ☆ミ</v>
      </c>
      <c r="B515" s="10">
        <f>IFERROR(__xludf.DUMMYFUNCTION("""COMPUTED_VALUE"""),145.0)</f>
        <v>145</v>
      </c>
      <c r="C515" s="10">
        <f>IFERROR(__xludf.DUMMYFUNCTION("""COMPUTED_VALUE"""),1785.0)</f>
        <v>1785</v>
      </c>
      <c r="D515" s="5">
        <f>IFERROR(__xludf.DUMMYFUNCTION("""COMPUTED_VALUE"""),0.35121951219512193)</f>
        <v>0.3512195122</v>
      </c>
      <c r="E515" s="5">
        <f>IFERROR(__xludf.DUMMYFUNCTION("""COMPUTED_VALUE"""),0.1475609756097561)</f>
        <v>0.1475609756</v>
      </c>
      <c r="F515" s="5">
        <f>IFERROR(__xludf.DUMMYFUNCTION("""COMPUTED_VALUE"""),0.2097560975609756)</f>
        <v>0.2097560976</v>
      </c>
      <c r="G515" s="5">
        <f>IFERROR(__xludf.DUMMYFUNCTION("""COMPUTED_VALUE"""),0.16707317073170733)</f>
        <v>0.1670731707</v>
      </c>
      <c r="H515" s="5">
        <f>IFERROR(__xludf.DUMMYFUNCTION("""COMPUTED_VALUE"""),0.6046511627906976)</f>
        <v>0.6046511628</v>
      </c>
      <c r="I515" s="11">
        <f>IFERROR(__xludf.DUMMYFUNCTION("""COMPUTED_VALUE"""),5795.930232558139)</f>
        <v>5795.930233</v>
      </c>
      <c r="J515" s="10">
        <f>IFERROR(__xludf.DUMMYFUNCTION("""COMPUTED_VALUE"""),0.0)</f>
        <v>0</v>
      </c>
      <c r="K515" s="5">
        <f>IFERROR(__xludf.DUMMYFUNCTION("""COMPUTED_VALUE"""),0.0)</f>
        <v>0</v>
      </c>
      <c r="L515" s="10">
        <f>IFERROR(__xludf.DUMMYFUNCTION("""COMPUTED_VALUE"""),0.0)</f>
        <v>0</v>
      </c>
      <c r="M515" s="5">
        <f>IFERROR(__xludf.DUMMYFUNCTION("""COMPUTED_VALUE"""),0.0)</f>
        <v>0</v>
      </c>
    </row>
    <row r="516">
      <c r="A516" s="10" t="str">
        <f>IFERROR(__xludf.DUMMYFUNCTION("""COMPUTED_VALUE"""),"Ihccot")</f>
        <v>Ihccot</v>
      </c>
      <c r="B516" s="10">
        <f>IFERROR(__xludf.DUMMYFUNCTION("""COMPUTED_VALUE"""),325.0)</f>
        <v>325</v>
      </c>
      <c r="C516" s="10">
        <f>IFERROR(__xludf.DUMMYFUNCTION("""COMPUTED_VALUE"""),3822.0)</f>
        <v>3822</v>
      </c>
      <c r="D516" s="5">
        <f>IFERROR(__xludf.DUMMYFUNCTION("""COMPUTED_VALUE"""),0.33028309979982845)</f>
        <v>0.3302830998</v>
      </c>
      <c r="E516" s="5">
        <f>IFERROR(__xludf.DUMMYFUNCTION("""COMPUTED_VALUE"""),0.14755504718329998)</f>
        <v>0.1475550472</v>
      </c>
      <c r="F516" s="5">
        <f>IFERROR(__xludf.DUMMYFUNCTION("""COMPUTED_VALUE"""),0.21160995138690306)</f>
        <v>0.2116099514</v>
      </c>
      <c r="G516" s="5">
        <f>IFERROR(__xludf.DUMMYFUNCTION("""COMPUTED_VALUE"""),0.1549899914212182)</f>
        <v>0.1549899914</v>
      </c>
      <c r="H516" s="5">
        <f>IFERROR(__xludf.DUMMYFUNCTION("""COMPUTED_VALUE"""),0.6054054054054054)</f>
        <v>0.6054054054</v>
      </c>
      <c r="I516" s="11">
        <f>IFERROR(__xludf.DUMMYFUNCTION("""COMPUTED_VALUE"""),5622.7027027027025)</f>
        <v>5622.702703</v>
      </c>
      <c r="J516" s="10">
        <f>IFERROR(__xludf.DUMMYFUNCTION("""COMPUTED_VALUE"""),3.0)</f>
        <v>3</v>
      </c>
      <c r="K516" s="5">
        <f>IFERROR(__xludf.DUMMYFUNCTION("""COMPUTED_VALUE"""),0.009230769230769232)</f>
        <v>0.009230769231</v>
      </c>
      <c r="L516" s="10">
        <f>IFERROR(__xludf.DUMMYFUNCTION("""COMPUTED_VALUE"""),325.0)</f>
        <v>325</v>
      </c>
      <c r="M516" s="5">
        <f>IFERROR(__xludf.DUMMYFUNCTION("""COMPUTED_VALUE"""),1.0)</f>
        <v>1</v>
      </c>
    </row>
    <row r="517">
      <c r="A517" s="10" t="str">
        <f>IFERROR(__xludf.DUMMYFUNCTION("""COMPUTED_VALUE"""),"tatsu702")</f>
        <v>tatsu702</v>
      </c>
      <c r="B517" s="10">
        <f>IFERROR(__xludf.DUMMYFUNCTION("""COMPUTED_VALUE"""),8074.0)</f>
        <v>8074</v>
      </c>
      <c r="C517" s="10">
        <f>IFERROR(__xludf.DUMMYFUNCTION("""COMPUTED_VALUE"""),94390.0)</f>
        <v>94390</v>
      </c>
      <c r="D517" s="5">
        <f>IFERROR(__xludf.DUMMYFUNCTION("""COMPUTED_VALUE"""),0.38924417257518884)</f>
        <v>0.3892441726</v>
      </c>
      <c r="E517" s="5">
        <f>IFERROR(__xludf.DUMMYFUNCTION("""COMPUTED_VALUE"""),0.14755085963204967)</f>
        <v>0.1475508596</v>
      </c>
      <c r="F517" s="5">
        <f>IFERROR(__xludf.DUMMYFUNCTION("""COMPUTED_VALUE"""),0.22611103387552714)</f>
        <v>0.2261110339</v>
      </c>
      <c r="G517" s="5">
        <f>IFERROR(__xludf.DUMMYFUNCTION("""COMPUTED_VALUE"""),0.1945178182492238)</f>
        <v>0.1945178182</v>
      </c>
      <c r="H517" s="5">
        <f>IFERROR(__xludf.DUMMYFUNCTION("""COMPUTED_VALUE"""),0.604293692678178)</f>
        <v>0.6042936927</v>
      </c>
      <c r="I517" s="11">
        <f>IFERROR(__xludf.DUMMYFUNCTION("""COMPUTED_VALUE"""),5769.395911256853)</f>
        <v>5769.395911</v>
      </c>
      <c r="J517" s="10">
        <f>IFERROR(__xludf.DUMMYFUNCTION("""COMPUTED_VALUE"""),24.0)</f>
        <v>24</v>
      </c>
      <c r="K517" s="5">
        <f>IFERROR(__xludf.DUMMYFUNCTION("""COMPUTED_VALUE"""),0.002972504334902155)</f>
        <v>0.002972504335</v>
      </c>
      <c r="L517" s="10">
        <f>IFERROR(__xludf.DUMMYFUNCTION("""COMPUTED_VALUE"""),8074.0)</f>
        <v>8074</v>
      </c>
      <c r="M517" s="5">
        <f>IFERROR(__xludf.DUMMYFUNCTION("""COMPUTED_VALUE"""),1.0)</f>
        <v>1</v>
      </c>
    </row>
    <row r="518">
      <c r="A518" s="10" t="str">
        <f>IFERROR(__xludf.DUMMYFUNCTION("""COMPUTED_VALUE"""),"ナイト3")</f>
        <v>ナイト3</v>
      </c>
      <c r="B518" s="10">
        <f>IFERROR(__xludf.DUMMYFUNCTION("""COMPUTED_VALUE"""),106.0)</f>
        <v>106</v>
      </c>
      <c r="C518" s="10">
        <f>IFERROR(__xludf.DUMMYFUNCTION("""COMPUTED_VALUE"""),1218.0)</f>
        <v>1218</v>
      </c>
      <c r="D518" s="5">
        <f>IFERROR(__xludf.DUMMYFUNCTION("""COMPUTED_VALUE"""),0.36330935251798563)</f>
        <v>0.3633093525</v>
      </c>
      <c r="E518" s="5">
        <f>IFERROR(__xludf.DUMMYFUNCTION("""COMPUTED_VALUE"""),0.1474820143884892)</f>
        <v>0.1474820144</v>
      </c>
      <c r="F518" s="5">
        <f>IFERROR(__xludf.DUMMYFUNCTION("""COMPUTED_VALUE"""),0.20323741007194246)</f>
        <v>0.2032374101</v>
      </c>
      <c r="G518" s="5">
        <f>IFERROR(__xludf.DUMMYFUNCTION("""COMPUTED_VALUE"""),0.19244604316546762)</f>
        <v>0.1924460432</v>
      </c>
      <c r="H518" s="5">
        <f>IFERROR(__xludf.DUMMYFUNCTION("""COMPUTED_VALUE"""),0.5619469026548672)</f>
        <v>0.5619469027</v>
      </c>
      <c r="I518" s="11">
        <f>IFERROR(__xludf.DUMMYFUNCTION("""COMPUTED_VALUE"""),5610.619469026548)</f>
        <v>5610.619469</v>
      </c>
      <c r="J518" s="10">
        <f>IFERROR(__xludf.DUMMYFUNCTION("""COMPUTED_VALUE"""),0.0)</f>
        <v>0</v>
      </c>
      <c r="K518" s="5">
        <f>IFERROR(__xludf.DUMMYFUNCTION("""COMPUTED_VALUE"""),0.0)</f>
        <v>0</v>
      </c>
      <c r="L518" s="10">
        <f>IFERROR(__xludf.DUMMYFUNCTION("""COMPUTED_VALUE"""),105.0)</f>
        <v>105</v>
      </c>
      <c r="M518" s="5">
        <f>IFERROR(__xludf.DUMMYFUNCTION("""COMPUTED_VALUE"""),0.9905660377358491)</f>
        <v>0.9905660377</v>
      </c>
    </row>
    <row r="519">
      <c r="A519" s="10" t="str">
        <f>IFERROR(__xludf.DUMMYFUNCTION("""COMPUTED_VALUE"""),"大覚アキラ様")</f>
        <v>大覚アキラ様</v>
      </c>
      <c r="B519" s="10">
        <f>IFERROR(__xludf.DUMMYFUNCTION("""COMPUTED_VALUE"""),201.0)</f>
        <v>201</v>
      </c>
      <c r="C519" s="10">
        <f>IFERROR(__xludf.DUMMYFUNCTION("""COMPUTED_VALUE"""),2283.0)</f>
        <v>2283</v>
      </c>
      <c r="D519" s="5">
        <f>IFERROR(__xludf.DUMMYFUNCTION("""COMPUTED_VALUE"""),0.388568683957733)</f>
        <v>0.388568684</v>
      </c>
      <c r="E519" s="5">
        <f>IFERROR(__xludf.DUMMYFUNCTION("""COMPUTED_VALUE"""),0.14745437079731027)</f>
        <v>0.1474543708</v>
      </c>
      <c r="F519" s="5">
        <f>IFERROR(__xludf.DUMMYFUNCTION("""COMPUTED_VALUE"""),0.2137367915465898)</f>
        <v>0.2137367915</v>
      </c>
      <c r="G519" s="5">
        <f>IFERROR(__xludf.DUMMYFUNCTION("""COMPUTED_VALUE"""),0.16714697406340057)</f>
        <v>0.1671469741</v>
      </c>
      <c r="H519" s="5">
        <f>IFERROR(__xludf.DUMMYFUNCTION("""COMPUTED_VALUE"""),0.6022471910112359)</f>
        <v>0.602247191</v>
      </c>
      <c r="I519" s="11">
        <f>IFERROR(__xludf.DUMMYFUNCTION("""COMPUTED_VALUE"""),5766.966292134832)</f>
        <v>5766.966292</v>
      </c>
      <c r="J519" s="10">
        <f>IFERROR(__xludf.DUMMYFUNCTION("""COMPUTED_VALUE"""),0.0)</f>
        <v>0</v>
      </c>
      <c r="K519" s="5">
        <f>IFERROR(__xludf.DUMMYFUNCTION("""COMPUTED_VALUE"""),0.0)</f>
        <v>0</v>
      </c>
      <c r="L519" s="10">
        <f>IFERROR(__xludf.DUMMYFUNCTION("""COMPUTED_VALUE"""),201.0)</f>
        <v>201</v>
      </c>
      <c r="M519" s="5">
        <f>IFERROR(__xludf.DUMMYFUNCTION("""COMPUTED_VALUE"""),1.0)</f>
        <v>1</v>
      </c>
    </row>
    <row r="520">
      <c r="A520" s="10" t="str">
        <f>IFERROR(__xludf.DUMMYFUNCTION("""COMPUTED_VALUE"""),"Bjergsen")</f>
        <v>Bjergsen</v>
      </c>
      <c r="B520" s="10">
        <f>IFERROR(__xludf.DUMMYFUNCTION("""COMPUTED_VALUE"""),168.0)</f>
        <v>168</v>
      </c>
      <c r="C520" s="10">
        <f>IFERROR(__xludf.DUMMYFUNCTION("""COMPUTED_VALUE"""),1972.0)</f>
        <v>1972</v>
      </c>
      <c r="D520" s="5">
        <f>IFERROR(__xludf.DUMMYFUNCTION("""COMPUTED_VALUE"""),0.35033259423503327)</f>
        <v>0.3503325942</v>
      </c>
      <c r="E520" s="5">
        <f>IFERROR(__xludf.DUMMYFUNCTION("""COMPUTED_VALUE"""),0.14745011086474502)</f>
        <v>0.1474501109</v>
      </c>
      <c r="F520" s="5">
        <f>IFERROR(__xludf.DUMMYFUNCTION("""COMPUTED_VALUE"""),0.21008869179600886)</f>
        <v>0.2100886918</v>
      </c>
      <c r="G520" s="5">
        <f>IFERROR(__xludf.DUMMYFUNCTION("""COMPUTED_VALUE"""),0.17960088691796008)</f>
        <v>0.1796008869</v>
      </c>
      <c r="H520" s="5">
        <f>IFERROR(__xludf.DUMMYFUNCTION("""COMPUTED_VALUE"""),0.6226912928759895)</f>
        <v>0.6226912929</v>
      </c>
      <c r="I520" s="11">
        <f>IFERROR(__xludf.DUMMYFUNCTION("""COMPUTED_VALUE"""),5592.612137203167)</f>
        <v>5592.612137</v>
      </c>
      <c r="J520" s="10">
        <f>IFERROR(__xludf.DUMMYFUNCTION("""COMPUTED_VALUE"""),0.0)</f>
        <v>0</v>
      </c>
      <c r="K520" s="5">
        <f>IFERROR(__xludf.DUMMYFUNCTION("""COMPUTED_VALUE"""),0.0)</f>
        <v>0</v>
      </c>
      <c r="L520" s="10">
        <f>IFERROR(__xludf.DUMMYFUNCTION("""COMPUTED_VALUE"""),0.0)</f>
        <v>0</v>
      </c>
      <c r="M520" s="5">
        <f>IFERROR(__xludf.DUMMYFUNCTION("""COMPUTED_VALUE"""),0.0)</f>
        <v>0</v>
      </c>
    </row>
    <row r="521">
      <c r="A521" s="10" t="str">
        <f>IFERROR(__xludf.DUMMYFUNCTION("""COMPUTED_VALUE"""),"大星淡あわあわ")</f>
        <v>大星淡あわあわ</v>
      </c>
      <c r="B521" s="10">
        <f>IFERROR(__xludf.DUMMYFUNCTION("""COMPUTED_VALUE"""),802.0)</f>
        <v>802</v>
      </c>
      <c r="C521" s="10">
        <f>IFERROR(__xludf.DUMMYFUNCTION("""COMPUTED_VALUE"""),9377.0)</f>
        <v>9377</v>
      </c>
      <c r="D521" s="5">
        <f>IFERROR(__xludf.DUMMYFUNCTION("""COMPUTED_VALUE"""),0.36011661807580175)</f>
        <v>0.3601166181</v>
      </c>
      <c r="E521" s="5">
        <f>IFERROR(__xludf.DUMMYFUNCTION("""COMPUTED_VALUE"""),0.14740524781341108)</f>
        <v>0.1474052478</v>
      </c>
      <c r="F521" s="5">
        <f>IFERROR(__xludf.DUMMYFUNCTION("""COMPUTED_VALUE"""),0.21154518950437318)</f>
        <v>0.2115451895</v>
      </c>
      <c r="G521" s="5">
        <f>IFERROR(__xludf.DUMMYFUNCTION("""COMPUTED_VALUE"""),0.15930029154518952)</f>
        <v>0.1593002915</v>
      </c>
      <c r="H521" s="5">
        <f>IFERROR(__xludf.DUMMYFUNCTION("""COMPUTED_VALUE"""),0.6091510474090408)</f>
        <v>0.6091510474</v>
      </c>
      <c r="I521" s="11">
        <f>IFERROR(__xludf.DUMMYFUNCTION("""COMPUTED_VALUE"""),5538.257993384785)</f>
        <v>5538.257993</v>
      </c>
      <c r="J521" s="10">
        <f>IFERROR(__xludf.DUMMYFUNCTION("""COMPUTED_VALUE"""),2.0)</f>
        <v>2</v>
      </c>
      <c r="K521" s="5">
        <f>IFERROR(__xludf.DUMMYFUNCTION("""COMPUTED_VALUE"""),0.0024937655860349127)</f>
        <v>0.002493765586</v>
      </c>
      <c r="L521" s="10">
        <f>IFERROR(__xludf.DUMMYFUNCTION("""COMPUTED_VALUE"""),744.0)</f>
        <v>744</v>
      </c>
      <c r="M521" s="5">
        <f>IFERROR(__xludf.DUMMYFUNCTION("""COMPUTED_VALUE"""),0.9276807980049875)</f>
        <v>0.927680798</v>
      </c>
    </row>
    <row r="522">
      <c r="A522" s="10" t="str">
        <f>IFERROR(__xludf.DUMMYFUNCTION("""COMPUTED_VALUE"""),"西拓＠ＭＢＣ")</f>
        <v>西拓＠ＭＢＣ</v>
      </c>
      <c r="B522" s="10">
        <f>IFERROR(__xludf.DUMMYFUNCTION("""COMPUTED_VALUE"""),138.0)</f>
        <v>138</v>
      </c>
      <c r="C522" s="10">
        <f>IFERROR(__xludf.DUMMYFUNCTION("""COMPUTED_VALUE"""),1617.0)</f>
        <v>1617</v>
      </c>
      <c r="D522" s="5">
        <f>IFERROR(__xludf.DUMMYFUNCTION("""COMPUTED_VALUE"""),0.4232589587559162)</f>
        <v>0.4232589588</v>
      </c>
      <c r="E522" s="5">
        <f>IFERROR(__xludf.DUMMYFUNCTION("""COMPUTED_VALUE"""),0.14739688979039892)</f>
        <v>0.1473968898</v>
      </c>
      <c r="F522" s="5">
        <f>IFERROR(__xludf.DUMMYFUNCTION("""COMPUTED_VALUE"""),0.21703853955375255)</f>
        <v>0.2170385396</v>
      </c>
      <c r="G522" s="5">
        <f>IFERROR(__xludf.DUMMYFUNCTION("""COMPUTED_VALUE"""),0.1440162271805274)</f>
        <v>0.1440162272</v>
      </c>
      <c r="H522" s="5">
        <f>IFERROR(__xludf.DUMMYFUNCTION("""COMPUTED_VALUE"""),0.6105919003115264)</f>
        <v>0.6105919003</v>
      </c>
      <c r="I522" s="11">
        <f>IFERROR(__xludf.DUMMYFUNCTION("""COMPUTED_VALUE"""),5519.003115264797)</f>
        <v>5519.003115</v>
      </c>
      <c r="J522" s="10">
        <f>IFERROR(__xludf.DUMMYFUNCTION("""COMPUTED_VALUE"""),0.0)</f>
        <v>0</v>
      </c>
      <c r="K522" s="5">
        <f>IFERROR(__xludf.DUMMYFUNCTION("""COMPUTED_VALUE"""),0.0)</f>
        <v>0</v>
      </c>
      <c r="L522" s="10">
        <f>IFERROR(__xludf.DUMMYFUNCTION("""COMPUTED_VALUE"""),138.0)</f>
        <v>138</v>
      </c>
      <c r="M522" s="5">
        <f>IFERROR(__xludf.DUMMYFUNCTION("""COMPUTED_VALUE"""),1.0)</f>
        <v>1</v>
      </c>
    </row>
    <row r="523">
      <c r="A523" s="10" t="str">
        <f>IFERROR(__xludf.DUMMYFUNCTION("""COMPUTED_VALUE"""),"deniro")</f>
        <v>deniro</v>
      </c>
      <c r="B523" s="10">
        <f>IFERROR(__xludf.DUMMYFUNCTION("""COMPUTED_VALUE"""),141.0)</f>
        <v>141</v>
      </c>
      <c r="C523" s="10">
        <f>IFERROR(__xludf.DUMMYFUNCTION("""COMPUTED_VALUE"""),1593.0)</f>
        <v>1593</v>
      </c>
      <c r="D523" s="5">
        <f>IFERROR(__xludf.DUMMYFUNCTION("""COMPUTED_VALUE"""),0.42768595041322316)</f>
        <v>0.4276859504</v>
      </c>
      <c r="E523" s="5">
        <f>IFERROR(__xludf.DUMMYFUNCTION("""COMPUTED_VALUE"""),0.14738292011019283)</f>
        <v>0.1473829201</v>
      </c>
      <c r="F523" s="5">
        <f>IFERROR(__xludf.DUMMYFUNCTION("""COMPUTED_VALUE"""),0.22038567493112948)</f>
        <v>0.2203856749</v>
      </c>
      <c r="G523" s="5">
        <f>IFERROR(__xludf.DUMMYFUNCTION("""COMPUTED_VALUE"""),0.1763085399449036)</f>
        <v>0.1763085399</v>
      </c>
      <c r="H523" s="5">
        <f>IFERROR(__xludf.DUMMYFUNCTION("""COMPUTED_VALUE"""),0.603125)</f>
        <v>0.603125</v>
      </c>
      <c r="I523" s="11">
        <f>IFERROR(__xludf.DUMMYFUNCTION("""COMPUTED_VALUE"""),5628.75)</f>
        <v>5628.75</v>
      </c>
      <c r="J523" s="10">
        <f>IFERROR(__xludf.DUMMYFUNCTION("""COMPUTED_VALUE"""),0.0)</f>
        <v>0</v>
      </c>
      <c r="K523" s="5">
        <f>IFERROR(__xludf.DUMMYFUNCTION("""COMPUTED_VALUE"""),0.0)</f>
        <v>0</v>
      </c>
      <c r="L523" s="10">
        <f>IFERROR(__xludf.DUMMYFUNCTION("""COMPUTED_VALUE"""),141.0)</f>
        <v>141</v>
      </c>
      <c r="M523" s="5">
        <f>IFERROR(__xludf.DUMMYFUNCTION("""COMPUTED_VALUE"""),1.0)</f>
        <v>1</v>
      </c>
    </row>
    <row r="524">
      <c r="A524" s="10" t="str">
        <f>IFERROR(__xludf.DUMMYFUNCTION("""COMPUTED_VALUE"""),"早紀")</f>
        <v>早紀</v>
      </c>
      <c r="B524" s="10">
        <f>IFERROR(__xludf.DUMMYFUNCTION("""COMPUTED_VALUE"""),410.0)</f>
        <v>410</v>
      </c>
      <c r="C524" s="10">
        <f>IFERROR(__xludf.DUMMYFUNCTION("""COMPUTED_VALUE"""),4679.0)</f>
        <v>4679</v>
      </c>
      <c r="D524" s="5">
        <f>IFERROR(__xludf.DUMMYFUNCTION("""COMPUTED_VALUE"""),0.21457015694542048)</f>
        <v>0.2145701569</v>
      </c>
      <c r="E524" s="5">
        <f>IFERROR(__xludf.DUMMYFUNCTION("""COMPUTED_VALUE"""),0.1473412977278051)</f>
        <v>0.1473412977</v>
      </c>
      <c r="F524" s="5">
        <f>IFERROR(__xludf.DUMMYFUNCTION("""COMPUTED_VALUE"""),0.18411806043569923)</f>
        <v>0.1841180604</v>
      </c>
      <c r="G524" s="5">
        <f>IFERROR(__xludf.DUMMYFUNCTION("""COMPUTED_VALUE"""),0.17591941906769734)</f>
        <v>0.1759194191</v>
      </c>
      <c r="H524" s="5">
        <f>IFERROR(__xludf.DUMMYFUNCTION("""COMPUTED_VALUE"""),0.5585241730279898)</f>
        <v>0.558524173</v>
      </c>
      <c r="I524" s="11">
        <f>IFERROR(__xludf.DUMMYFUNCTION("""COMPUTED_VALUE"""),6681.933842239186)</f>
        <v>6681.933842</v>
      </c>
      <c r="J524" s="10">
        <f>IFERROR(__xludf.DUMMYFUNCTION("""COMPUTED_VALUE"""),3.0)</f>
        <v>3</v>
      </c>
      <c r="K524" s="5">
        <f>IFERROR(__xludf.DUMMYFUNCTION("""COMPUTED_VALUE"""),0.007317073170731708)</f>
        <v>0.007317073171</v>
      </c>
      <c r="L524" s="10">
        <f>IFERROR(__xludf.DUMMYFUNCTION("""COMPUTED_VALUE"""),0.0)</f>
        <v>0</v>
      </c>
      <c r="M524" s="5">
        <f>IFERROR(__xludf.DUMMYFUNCTION("""COMPUTED_VALUE"""),0.0)</f>
        <v>0</v>
      </c>
    </row>
    <row r="525">
      <c r="A525" s="10" t="str">
        <f>IFERROR(__xludf.DUMMYFUNCTION("""COMPUTED_VALUE"""),"nk0910")</f>
        <v>nk0910</v>
      </c>
      <c r="B525" s="10">
        <f>IFERROR(__xludf.DUMMYFUNCTION("""COMPUTED_VALUE"""),159.0)</f>
        <v>159</v>
      </c>
      <c r="C525" s="10">
        <f>IFERROR(__xludf.DUMMYFUNCTION("""COMPUTED_VALUE"""),1856.0)</f>
        <v>1856</v>
      </c>
      <c r="D525" s="5">
        <f>IFERROR(__xludf.DUMMYFUNCTION("""COMPUTED_VALUE"""),0.41367118444313494)</f>
        <v>0.4136711844</v>
      </c>
      <c r="E525" s="5">
        <f>IFERROR(__xludf.DUMMYFUNCTION("""COMPUTED_VALUE"""),0.1473187978786093)</f>
        <v>0.1473187979</v>
      </c>
      <c r="F525" s="5">
        <f>IFERROR(__xludf.DUMMYFUNCTION("""COMPUTED_VALUE"""),0.2150854449027696)</f>
        <v>0.2150854449</v>
      </c>
      <c r="G525" s="5">
        <f>IFERROR(__xludf.DUMMYFUNCTION("""COMPUTED_VALUE"""),0.18738951090159103)</f>
        <v>0.1873895109</v>
      </c>
      <c r="H525" s="5">
        <f>IFERROR(__xludf.DUMMYFUNCTION("""COMPUTED_VALUE"""),0.547945205479452)</f>
        <v>0.5479452055</v>
      </c>
      <c r="I525" s="11">
        <f>IFERROR(__xludf.DUMMYFUNCTION("""COMPUTED_VALUE"""),5418.356164383562)</f>
        <v>5418.356164</v>
      </c>
      <c r="J525" s="10">
        <f>IFERROR(__xludf.DUMMYFUNCTION("""COMPUTED_VALUE"""),0.0)</f>
        <v>0</v>
      </c>
      <c r="K525" s="5">
        <f>IFERROR(__xludf.DUMMYFUNCTION("""COMPUTED_VALUE"""),0.0)</f>
        <v>0</v>
      </c>
      <c r="L525" s="10">
        <f>IFERROR(__xludf.DUMMYFUNCTION("""COMPUTED_VALUE"""),159.0)</f>
        <v>159</v>
      </c>
      <c r="M525" s="5">
        <f>IFERROR(__xludf.DUMMYFUNCTION("""COMPUTED_VALUE"""),1.0)</f>
        <v>1</v>
      </c>
    </row>
    <row r="526">
      <c r="A526" s="10" t="str">
        <f>IFERROR(__xludf.DUMMYFUNCTION("""COMPUTED_VALUE"""),"確率麻雀")</f>
        <v>確率麻雀</v>
      </c>
      <c r="B526" s="10">
        <f>IFERROR(__xludf.DUMMYFUNCTION("""COMPUTED_VALUE"""),1358.0)</f>
        <v>1358</v>
      </c>
      <c r="C526" s="10">
        <f>IFERROR(__xludf.DUMMYFUNCTION("""COMPUTED_VALUE"""),15817.0)</f>
        <v>15817</v>
      </c>
      <c r="D526" s="5">
        <f>IFERROR(__xludf.DUMMYFUNCTION("""COMPUTED_VALUE"""),0.3905525969984093)</f>
        <v>0.390552597</v>
      </c>
      <c r="E526" s="5">
        <f>IFERROR(__xludf.DUMMYFUNCTION("""COMPUTED_VALUE"""),0.1473130921917145)</f>
        <v>0.1473130922</v>
      </c>
      <c r="F526" s="5">
        <f>IFERROR(__xludf.DUMMYFUNCTION("""COMPUTED_VALUE"""),0.23424856490766996)</f>
        <v>0.2342485649</v>
      </c>
      <c r="G526" s="5">
        <f>IFERROR(__xludf.DUMMYFUNCTION("""COMPUTED_VALUE"""),0.18244691887405767)</f>
        <v>0.1824469189</v>
      </c>
      <c r="H526" s="5">
        <f>IFERROR(__xludf.DUMMYFUNCTION("""COMPUTED_VALUE"""),0.614112784174786)</f>
        <v>0.6141127842</v>
      </c>
      <c r="I526" s="11">
        <f>IFERROR(__xludf.DUMMYFUNCTION("""COMPUTED_VALUE"""),5240.950693829347)</f>
        <v>5240.950694</v>
      </c>
      <c r="J526" s="10">
        <f>IFERROR(__xludf.DUMMYFUNCTION("""COMPUTED_VALUE"""),3.0)</f>
        <v>3</v>
      </c>
      <c r="K526" s="5">
        <f>IFERROR(__xludf.DUMMYFUNCTION("""COMPUTED_VALUE"""),0.0022091310751104565)</f>
        <v>0.002209131075</v>
      </c>
      <c r="L526" s="10">
        <f>IFERROR(__xludf.DUMMYFUNCTION("""COMPUTED_VALUE"""),1358.0)</f>
        <v>1358</v>
      </c>
      <c r="M526" s="5">
        <f>IFERROR(__xludf.DUMMYFUNCTION("""COMPUTED_VALUE"""),1.0)</f>
        <v>1</v>
      </c>
    </row>
    <row r="527">
      <c r="A527" s="10" t="str">
        <f>IFERROR(__xludf.DUMMYFUNCTION("""COMPUTED_VALUE"""),"デブ専")</f>
        <v>デブ専</v>
      </c>
      <c r="B527" s="10">
        <f>IFERROR(__xludf.DUMMYFUNCTION("""COMPUTED_VALUE"""),137.0)</f>
        <v>137</v>
      </c>
      <c r="C527" s="10">
        <f>IFERROR(__xludf.DUMMYFUNCTION("""COMPUTED_VALUE"""),1583.0)</f>
        <v>1583</v>
      </c>
      <c r="D527" s="5">
        <f>IFERROR(__xludf.DUMMYFUNCTION("""COMPUTED_VALUE"""),0.35269709543568467)</f>
        <v>0.3526970954</v>
      </c>
      <c r="E527" s="5">
        <f>IFERROR(__xludf.DUMMYFUNCTION("""COMPUTED_VALUE"""),0.14730290456431536)</f>
        <v>0.1473029046</v>
      </c>
      <c r="F527" s="5">
        <f>IFERROR(__xludf.DUMMYFUNCTION("""COMPUTED_VALUE"""),0.21784232365145229)</f>
        <v>0.2178423237</v>
      </c>
      <c r="G527" s="5">
        <f>IFERROR(__xludf.DUMMYFUNCTION("""COMPUTED_VALUE"""),0.1887966804979253)</f>
        <v>0.1887966805</v>
      </c>
      <c r="H527" s="5">
        <f>IFERROR(__xludf.DUMMYFUNCTION("""COMPUTED_VALUE"""),0.5746031746031746)</f>
        <v>0.5746031746</v>
      </c>
      <c r="I527" s="11">
        <f>IFERROR(__xludf.DUMMYFUNCTION("""COMPUTED_VALUE"""),5643.174603174603)</f>
        <v>5643.174603</v>
      </c>
      <c r="J527" s="10">
        <f>IFERROR(__xludf.DUMMYFUNCTION("""COMPUTED_VALUE"""),0.0)</f>
        <v>0</v>
      </c>
      <c r="K527" s="5">
        <f>IFERROR(__xludf.DUMMYFUNCTION("""COMPUTED_VALUE"""),0.0)</f>
        <v>0</v>
      </c>
      <c r="L527" s="10">
        <f>IFERROR(__xludf.DUMMYFUNCTION("""COMPUTED_VALUE"""),137.0)</f>
        <v>137</v>
      </c>
      <c r="M527" s="5">
        <f>IFERROR(__xludf.DUMMYFUNCTION("""COMPUTED_VALUE"""),1.0)</f>
        <v>1</v>
      </c>
    </row>
    <row r="528">
      <c r="A528" s="10" t="str">
        <f>IFERROR(__xludf.DUMMYFUNCTION("""COMPUTED_VALUE"""),"Mogera")</f>
        <v>Mogera</v>
      </c>
      <c r="B528" s="10">
        <f>IFERROR(__xludf.DUMMYFUNCTION("""COMPUTED_VALUE"""),520.0)</f>
        <v>520</v>
      </c>
      <c r="C528" s="10">
        <f>IFERROR(__xludf.DUMMYFUNCTION("""COMPUTED_VALUE"""),6053.0)</f>
        <v>6053</v>
      </c>
      <c r="D528" s="5">
        <f>IFERROR(__xludf.DUMMYFUNCTION("""COMPUTED_VALUE"""),0.3283932767034159)</f>
        <v>0.3283932767</v>
      </c>
      <c r="E528" s="5">
        <f>IFERROR(__xludf.DUMMYFUNCTION("""COMPUTED_VALUE"""),0.14729803000180733)</f>
        <v>0.14729803</v>
      </c>
      <c r="F528" s="5">
        <f>IFERROR(__xludf.DUMMYFUNCTION("""COMPUTED_VALUE"""),0.215615398517983)</f>
        <v>0.2156153985</v>
      </c>
      <c r="G528" s="5">
        <f>IFERROR(__xludf.DUMMYFUNCTION("""COMPUTED_VALUE"""),0.18109524670160854)</f>
        <v>0.1810952467</v>
      </c>
      <c r="H528" s="5">
        <f>IFERROR(__xludf.DUMMYFUNCTION("""COMPUTED_VALUE"""),0.5934618608549874)</f>
        <v>0.5934618609</v>
      </c>
      <c r="I528" s="11">
        <f>IFERROR(__xludf.DUMMYFUNCTION("""COMPUTED_VALUE"""),5875.188600167645)</f>
        <v>5875.1886</v>
      </c>
      <c r="J528" s="10">
        <f>IFERROR(__xludf.DUMMYFUNCTION("""COMPUTED_VALUE"""),2.0)</f>
        <v>2</v>
      </c>
      <c r="K528" s="5">
        <f>IFERROR(__xludf.DUMMYFUNCTION("""COMPUTED_VALUE"""),0.0038461538461538464)</f>
        <v>0.003846153846</v>
      </c>
      <c r="L528" s="10">
        <f>IFERROR(__xludf.DUMMYFUNCTION("""COMPUTED_VALUE"""),25.0)</f>
        <v>25</v>
      </c>
      <c r="M528" s="5">
        <f>IFERROR(__xludf.DUMMYFUNCTION("""COMPUTED_VALUE"""),0.04807692307692308)</f>
        <v>0.04807692308</v>
      </c>
    </row>
    <row r="529">
      <c r="A529" s="10" t="str">
        <f>IFERROR(__xludf.DUMMYFUNCTION("""COMPUTED_VALUE"""),"まつがさき")</f>
        <v>まつがさき</v>
      </c>
      <c r="B529" s="10">
        <f>IFERROR(__xludf.DUMMYFUNCTION("""COMPUTED_VALUE"""),317.0)</f>
        <v>317</v>
      </c>
      <c r="C529" s="10">
        <f>IFERROR(__xludf.DUMMYFUNCTION("""COMPUTED_VALUE"""),3664.0)</f>
        <v>3664</v>
      </c>
      <c r="D529" s="5">
        <f>IFERROR(__xludf.DUMMYFUNCTION("""COMPUTED_VALUE"""),0.3104272482820436)</f>
        <v>0.3104272483</v>
      </c>
      <c r="E529" s="5">
        <f>IFERROR(__xludf.DUMMYFUNCTION("""COMPUTED_VALUE"""),0.14729608604720645)</f>
        <v>0.147296086</v>
      </c>
      <c r="F529" s="5">
        <f>IFERROR(__xludf.DUMMYFUNCTION("""COMPUTED_VALUE"""),0.20675231550642367)</f>
        <v>0.2067523155</v>
      </c>
      <c r="G529" s="5">
        <f>IFERROR(__xludf.DUMMYFUNCTION("""COMPUTED_VALUE"""),0.16193606214520467)</f>
        <v>0.1619360621</v>
      </c>
      <c r="H529" s="5">
        <f>IFERROR(__xludf.DUMMYFUNCTION("""COMPUTED_VALUE"""),0.5621387283236994)</f>
        <v>0.5621387283</v>
      </c>
      <c r="I529" s="11">
        <f>IFERROR(__xludf.DUMMYFUNCTION("""COMPUTED_VALUE"""),5745.375722543353)</f>
        <v>5745.375723</v>
      </c>
      <c r="J529" s="10">
        <f>IFERROR(__xludf.DUMMYFUNCTION("""COMPUTED_VALUE"""),0.0)</f>
        <v>0</v>
      </c>
      <c r="K529" s="5">
        <f>IFERROR(__xludf.DUMMYFUNCTION("""COMPUTED_VALUE"""),0.0)</f>
        <v>0</v>
      </c>
      <c r="L529" s="10">
        <f>IFERROR(__xludf.DUMMYFUNCTION("""COMPUTED_VALUE"""),317.0)</f>
        <v>317</v>
      </c>
      <c r="M529" s="5">
        <f>IFERROR(__xludf.DUMMYFUNCTION("""COMPUTED_VALUE"""),1.0)</f>
        <v>1</v>
      </c>
    </row>
    <row r="530">
      <c r="A530" s="10" t="str">
        <f>IFERROR(__xludf.DUMMYFUNCTION("""COMPUTED_VALUE"""),"kimi0322")</f>
        <v>kimi0322</v>
      </c>
      <c r="B530" s="10">
        <f>IFERROR(__xludf.DUMMYFUNCTION("""COMPUTED_VALUE"""),409.0)</f>
        <v>409</v>
      </c>
      <c r="C530" s="10">
        <f>IFERROR(__xludf.DUMMYFUNCTION("""COMPUTED_VALUE"""),4768.0)</f>
        <v>4768</v>
      </c>
      <c r="D530" s="5">
        <f>IFERROR(__xludf.DUMMYFUNCTION("""COMPUTED_VALUE"""),0.2713925212204634)</f>
        <v>0.2713925212</v>
      </c>
      <c r="E530" s="5">
        <f>IFERROR(__xludf.DUMMYFUNCTION("""COMPUTED_VALUE"""),0.14728148657949072)</f>
        <v>0.1472814866</v>
      </c>
      <c r="F530" s="5">
        <f>IFERROR(__xludf.DUMMYFUNCTION("""COMPUTED_VALUE"""),0.19591649460885524)</f>
        <v>0.1959164946</v>
      </c>
      <c r="G530" s="5">
        <f>IFERROR(__xludf.DUMMYFUNCTION("""COMPUTED_VALUE"""),0.1757283780683643)</f>
        <v>0.1757283781</v>
      </c>
      <c r="H530" s="5">
        <f>IFERROR(__xludf.DUMMYFUNCTION("""COMPUTED_VALUE"""),0.5761124121779859)</f>
        <v>0.5761124122</v>
      </c>
      <c r="I530" s="11">
        <f>IFERROR(__xludf.DUMMYFUNCTION("""COMPUTED_VALUE"""),6038.407494145199)</f>
        <v>6038.407494</v>
      </c>
      <c r="J530" s="10">
        <f>IFERROR(__xludf.DUMMYFUNCTION("""COMPUTED_VALUE"""),1.0)</f>
        <v>1</v>
      </c>
      <c r="K530" s="5">
        <f>IFERROR(__xludf.DUMMYFUNCTION("""COMPUTED_VALUE"""),0.0024449877750611247)</f>
        <v>0.002444987775</v>
      </c>
      <c r="L530" s="10">
        <f>IFERROR(__xludf.DUMMYFUNCTION("""COMPUTED_VALUE"""),409.0)</f>
        <v>409</v>
      </c>
      <c r="M530" s="5">
        <f>IFERROR(__xludf.DUMMYFUNCTION("""COMPUTED_VALUE"""),1.0)</f>
        <v>1</v>
      </c>
    </row>
    <row r="531">
      <c r="A531" s="10" t="str">
        <f>IFERROR(__xludf.DUMMYFUNCTION("""COMPUTED_VALUE"""),"坂上闘真")</f>
        <v>坂上闘真</v>
      </c>
      <c r="B531" s="10">
        <f>IFERROR(__xludf.DUMMYFUNCTION("""COMPUTED_VALUE"""),125.0)</f>
        <v>125</v>
      </c>
      <c r="C531" s="10">
        <f>IFERROR(__xludf.DUMMYFUNCTION("""COMPUTED_VALUE"""),1483.0)</f>
        <v>1483</v>
      </c>
      <c r="D531" s="5">
        <f>IFERROR(__xludf.DUMMYFUNCTION("""COMPUTED_VALUE"""),0.38807069219440354)</f>
        <v>0.3880706922</v>
      </c>
      <c r="E531" s="5">
        <f>IFERROR(__xludf.DUMMYFUNCTION("""COMPUTED_VALUE"""),0.14727540500736377)</f>
        <v>0.147275405</v>
      </c>
      <c r="F531" s="5">
        <f>IFERROR(__xludf.DUMMYFUNCTION("""COMPUTED_VALUE"""),0.21944035346097202)</f>
        <v>0.2194403535</v>
      </c>
      <c r="G531" s="5">
        <f>IFERROR(__xludf.DUMMYFUNCTION("""COMPUTED_VALUE"""),0.16126656848306334)</f>
        <v>0.1612665685</v>
      </c>
      <c r="H531" s="5">
        <f>IFERROR(__xludf.DUMMYFUNCTION("""COMPUTED_VALUE"""),0.6174496644295302)</f>
        <v>0.6174496644</v>
      </c>
      <c r="I531" s="11">
        <f>IFERROR(__xludf.DUMMYFUNCTION("""COMPUTED_VALUE"""),5753.6912751677855)</f>
        <v>5753.691275</v>
      </c>
      <c r="J531" s="10">
        <f>IFERROR(__xludf.DUMMYFUNCTION("""COMPUTED_VALUE"""),0.0)</f>
        <v>0</v>
      </c>
      <c r="K531" s="5">
        <f>IFERROR(__xludf.DUMMYFUNCTION("""COMPUTED_VALUE"""),0.0)</f>
        <v>0</v>
      </c>
      <c r="L531" s="10">
        <f>IFERROR(__xludf.DUMMYFUNCTION("""COMPUTED_VALUE"""),122.0)</f>
        <v>122</v>
      </c>
      <c r="M531" s="5">
        <f>IFERROR(__xludf.DUMMYFUNCTION("""COMPUTED_VALUE"""),0.976)</f>
        <v>0.976</v>
      </c>
    </row>
    <row r="532">
      <c r="A532" s="10" t="str">
        <f>IFERROR(__xludf.DUMMYFUNCTION("""COMPUTED_VALUE"""),"ひごんた")</f>
        <v>ひごんた</v>
      </c>
      <c r="B532" s="10">
        <f>IFERROR(__xludf.DUMMYFUNCTION("""COMPUTED_VALUE"""),319.0)</f>
        <v>319</v>
      </c>
      <c r="C532" s="10">
        <f>IFERROR(__xludf.DUMMYFUNCTION("""COMPUTED_VALUE"""),3721.0)</f>
        <v>3721</v>
      </c>
      <c r="D532" s="5">
        <f>IFERROR(__xludf.DUMMYFUNCTION("""COMPUTED_VALUE"""),0.36067019400352734)</f>
        <v>0.360670194</v>
      </c>
      <c r="E532" s="5">
        <f>IFERROR(__xludf.DUMMYFUNCTION("""COMPUTED_VALUE"""),0.1472663139329806)</f>
        <v>0.1472663139</v>
      </c>
      <c r="F532" s="5">
        <f>IFERROR(__xludf.DUMMYFUNCTION("""COMPUTED_VALUE"""),0.22134038800705466)</f>
        <v>0.221340388</v>
      </c>
      <c r="G532" s="5">
        <f>IFERROR(__xludf.DUMMYFUNCTION("""COMPUTED_VALUE"""),0.2139917695473251)</f>
        <v>0.2139917695</v>
      </c>
      <c r="H532" s="5">
        <f>IFERROR(__xludf.DUMMYFUNCTION("""COMPUTED_VALUE"""),0.5737051792828686)</f>
        <v>0.5737051793</v>
      </c>
      <c r="I532" s="11">
        <f>IFERROR(__xludf.DUMMYFUNCTION("""COMPUTED_VALUE"""),5985.790172642763)</f>
        <v>5985.790173</v>
      </c>
      <c r="J532" s="10">
        <f>IFERROR(__xludf.DUMMYFUNCTION("""COMPUTED_VALUE"""),3.0)</f>
        <v>3</v>
      </c>
      <c r="K532" s="5">
        <f>IFERROR(__xludf.DUMMYFUNCTION("""COMPUTED_VALUE"""),0.009404388714733543)</f>
        <v>0.009404388715</v>
      </c>
      <c r="L532" s="10">
        <f>IFERROR(__xludf.DUMMYFUNCTION("""COMPUTED_VALUE"""),319.0)</f>
        <v>319</v>
      </c>
      <c r="M532" s="5">
        <f>IFERROR(__xludf.DUMMYFUNCTION("""COMPUTED_VALUE"""),1.0)</f>
        <v>1</v>
      </c>
    </row>
    <row r="533">
      <c r="A533" s="10" t="str">
        <f>IFERROR(__xludf.DUMMYFUNCTION("""COMPUTED_VALUE"""),"shun729")</f>
        <v>shun729</v>
      </c>
      <c r="B533" s="10">
        <f>IFERROR(__xludf.DUMMYFUNCTION("""COMPUTED_VALUE"""),221.0)</f>
        <v>221</v>
      </c>
      <c r="C533" s="10">
        <f>IFERROR(__xludf.DUMMYFUNCTION("""COMPUTED_VALUE"""),2625.0)</f>
        <v>2625</v>
      </c>
      <c r="D533" s="5">
        <f>IFERROR(__xludf.DUMMYFUNCTION("""COMPUTED_VALUE"""),0.31405990016638935)</f>
        <v>0.3140599002</v>
      </c>
      <c r="E533" s="5">
        <f>IFERROR(__xludf.DUMMYFUNCTION("""COMPUTED_VALUE"""),0.14725457570715475)</f>
        <v>0.1472545757</v>
      </c>
      <c r="F533" s="5">
        <f>IFERROR(__xludf.DUMMYFUNCTION("""COMPUTED_VALUE"""),0.21505823627287854)</f>
        <v>0.2150582363</v>
      </c>
      <c r="G533" s="5">
        <f>IFERROR(__xludf.DUMMYFUNCTION("""COMPUTED_VALUE"""),0.1867720465890183)</f>
        <v>0.1867720466</v>
      </c>
      <c r="H533" s="5">
        <f>IFERROR(__xludf.DUMMYFUNCTION("""COMPUTED_VALUE"""),0.6595744680851063)</f>
        <v>0.6595744681</v>
      </c>
      <c r="I533" s="11">
        <f>IFERROR(__xludf.DUMMYFUNCTION("""COMPUTED_VALUE"""),5948.742746615087)</f>
        <v>5948.742747</v>
      </c>
      <c r="J533" s="10">
        <f>IFERROR(__xludf.DUMMYFUNCTION("""COMPUTED_VALUE"""),2.0)</f>
        <v>2</v>
      </c>
      <c r="K533" s="5">
        <f>IFERROR(__xludf.DUMMYFUNCTION("""COMPUTED_VALUE"""),0.00904977375565611)</f>
        <v>0.009049773756</v>
      </c>
      <c r="L533" s="10">
        <f>IFERROR(__xludf.DUMMYFUNCTION("""COMPUTED_VALUE"""),221.0)</f>
        <v>221</v>
      </c>
      <c r="M533" s="5">
        <f>IFERROR(__xludf.DUMMYFUNCTION("""COMPUTED_VALUE"""),1.0)</f>
        <v>1</v>
      </c>
    </row>
    <row r="534">
      <c r="A534" s="10" t="str">
        <f>IFERROR(__xludf.DUMMYFUNCTION("""COMPUTED_VALUE"""),"ないと☆")</f>
        <v>ないと☆</v>
      </c>
      <c r="B534" s="10">
        <f>IFERROR(__xludf.DUMMYFUNCTION("""COMPUTED_VALUE"""),776.0)</f>
        <v>776</v>
      </c>
      <c r="C534" s="10">
        <f>IFERROR(__xludf.DUMMYFUNCTION("""COMPUTED_VALUE"""),9158.0)</f>
        <v>9158</v>
      </c>
      <c r="D534" s="5">
        <f>IFERROR(__xludf.DUMMYFUNCTION("""COMPUTED_VALUE"""),0.4142209496540205)</f>
        <v>0.4142209497</v>
      </c>
      <c r="E534" s="5">
        <f>IFERROR(__xludf.DUMMYFUNCTION("""COMPUTED_VALUE"""),0.14722023383440705)</f>
        <v>0.1472202338</v>
      </c>
      <c r="F534" s="5">
        <f>IFERROR(__xludf.DUMMYFUNCTION("""COMPUTED_VALUE"""),0.21391076115485563)</f>
        <v>0.2139107612</v>
      </c>
      <c r="G534" s="5">
        <f>IFERROR(__xludf.DUMMYFUNCTION("""COMPUTED_VALUE"""),0.15020281555714626)</f>
        <v>0.1502028156</v>
      </c>
      <c r="H534" s="5">
        <f>IFERROR(__xludf.DUMMYFUNCTION("""COMPUTED_VALUE"""),0.5867261572783046)</f>
        <v>0.5867261573</v>
      </c>
      <c r="I534" s="11">
        <f>IFERROR(__xludf.DUMMYFUNCTION("""COMPUTED_VALUE"""),5611.879531511433)</f>
        <v>5611.879532</v>
      </c>
      <c r="J534" s="10">
        <f>IFERROR(__xludf.DUMMYFUNCTION("""COMPUTED_VALUE"""),1.0)</f>
        <v>1</v>
      </c>
      <c r="K534" s="5">
        <f>IFERROR(__xludf.DUMMYFUNCTION("""COMPUTED_VALUE"""),0.001288659793814433)</f>
        <v>0.001288659794</v>
      </c>
      <c r="L534" s="10">
        <f>IFERROR(__xludf.DUMMYFUNCTION("""COMPUTED_VALUE"""),776.0)</f>
        <v>776</v>
      </c>
      <c r="M534" s="5">
        <f>IFERROR(__xludf.DUMMYFUNCTION("""COMPUTED_VALUE"""),1.0)</f>
        <v>1</v>
      </c>
    </row>
    <row r="535">
      <c r="A535" s="10" t="str">
        <f>IFERROR(__xludf.DUMMYFUNCTION("""COMPUTED_VALUE"""),"生粋の煽ラー♪")</f>
        <v>生粋の煽ラー♪</v>
      </c>
      <c r="B535" s="10">
        <f>IFERROR(__xludf.DUMMYFUNCTION("""COMPUTED_VALUE"""),706.0)</f>
        <v>706</v>
      </c>
      <c r="C535" s="10">
        <f>IFERROR(__xludf.DUMMYFUNCTION("""COMPUTED_VALUE"""),8206.0)</f>
        <v>8206</v>
      </c>
      <c r="D535" s="5">
        <f>IFERROR(__xludf.DUMMYFUNCTION("""COMPUTED_VALUE"""),0.40213333333333334)</f>
        <v>0.4021333333</v>
      </c>
      <c r="E535" s="5">
        <f>IFERROR(__xludf.DUMMYFUNCTION("""COMPUTED_VALUE"""),0.1472)</f>
        <v>0.1472</v>
      </c>
      <c r="F535" s="5">
        <f>IFERROR(__xludf.DUMMYFUNCTION("""COMPUTED_VALUE"""),0.22)</f>
        <v>0.22</v>
      </c>
      <c r="G535" s="5">
        <f>IFERROR(__xludf.DUMMYFUNCTION("""COMPUTED_VALUE"""),0.1788)</f>
        <v>0.1788</v>
      </c>
      <c r="H535" s="5">
        <f>IFERROR(__xludf.DUMMYFUNCTION("""COMPUTED_VALUE"""),0.5915151515151515)</f>
        <v>0.5915151515</v>
      </c>
      <c r="I535" s="11">
        <f>IFERROR(__xludf.DUMMYFUNCTION("""COMPUTED_VALUE"""),5783.818181818182)</f>
        <v>5783.818182</v>
      </c>
      <c r="J535" s="10">
        <f>IFERROR(__xludf.DUMMYFUNCTION("""COMPUTED_VALUE"""),1.0)</f>
        <v>1</v>
      </c>
      <c r="K535" s="5">
        <f>IFERROR(__xludf.DUMMYFUNCTION("""COMPUTED_VALUE"""),0.00141643059490085)</f>
        <v>0.001416430595</v>
      </c>
      <c r="L535" s="10">
        <f>IFERROR(__xludf.DUMMYFUNCTION("""COMPUTED_VALUE"""),706.0)</f>
        <v>706</v>
      </c>
      <c r="M535" s="5">
        <f>IFERROR(__xludf.DUMMYFUNCTION("""COMPUTED_VALUE"""),1.0)</f>
        <v>1</v>
      </c>
    </row>
    <row r="536">
      <c r="A536" s="10" t="str">
        <f>IFERROR(__xludf.DUMMYFUNCTION("""COMPUTED_VALUE"""),"場代ちゃら")</f>
        <v>場代ちゃら</v>
      </c>
      <c r="B536" s="10">
        <f>IFERROR(__xludf.DUMMYFUNCTION("""COMPUTED_VALUE"""),881.0)</f>
        <v>881</v>
      </c>
      <c r="C536" s="10">
        <f>IFERROR(__xludf.DUMMYFUNCTION("""COMPUTED_VALUE"""),10361.0)</f>
        <v>10361</v>
      </c>
      <c r="D536" s="5">
        <f>IFERROR(__xludf.DUMMYFUNCTION("""COMPUTED_VALUE"""),0.3431434599156118)</f>
        <v>0.3431434599</v>
      </c>
      <c r="E536" s="5">
        <f>IFERROR(__xludf.DUMMYFUNCTION("""COMPUTED_VALUE"""),0.14715189873417722)</f>
        <v>0.1471518987</v>
      </c>
      <c r="F536" s="5">
        <f>IFERROR(__xludf.DUMMYFUNCTION("""COMPUTED_VALUE"""),0.20875527426160337)</f>
        <v>0.2087552743</v>
      </c>
      <c r="G536" s="5">
        <f>IFERROR(__xludf.DUMMYFUNCTION("""COMPUTED_VALUE"""),0.15981012658227847)</f>
        <v>0.1598101266</v>
      </c>
      <c r="H536" s="5">
        <f>IFERROR(__xludf.DUMMYFUNCTION("""COMPUTED_VALUE"""),0.5952501263264275)</f>
        <v>0.5952501263</v>
      </c>
      <c r="I536" s="11">
        <f>IFERROR(__xludf.DUMMYFUNCTION("""COMPUTED_VALUE"""),5438.605356240526)</f>
        <v>5438.605356</v>
      </c>
      <c r="J536" s="10">
        <f>IFERROR(__xludf.DUMMYFUNCTION("""COMPUTED_VALUE"""),1.0)</f>
        <v>1</v>
      </c>
      <c r="K536" s="5">
        <f>IFERROR(__xludf.DUMMYFUNCTION("""COMPUTED_VALUE"""),0.0011350737797956867)</f>
        <v>0.00113507378</v>
      </c>
      <c r="L536" s="10">
        <f>IFERROR(__xludf.DUMMYFUNCTION("""COMPUTED_VALUE"""),881.0)</f>
        <v>881</v>
      </c>
      <c r="M536" s="5">
        <f>IFERROR(__xludf.DUMMYFUNCTION("""COMPUTED_VALUE"""),1.0)</f>
        <v>1</v>
      </c>
    </row>
    <row r="537">
      <c r="A537" s="10" t="str">
        <f>IFERROR(__xludf.DUMMYFUNCTION("""COMPUTED_VALUE"""),"芋堅皮")</f>
        <v>芋堅皮</v>
      </c>
      <c r="B537" s="10">
        <f>IFERROR(__xludf.DUMMYFUNCTION("""COMPUTED_VALUE"""),122.0)</f>
        <v>122</v>
      </c>
      <c r="C537" s="10">
        <f>IFERROR(__xludf.DUMMYFUNCTION("""COMPUTED_VALUE"""),1393.0)</f>
        <v>1393</v>
      </c>
      <c r="D537" s="5">
        <f>IFERROR(__xludf.DUMMYFUNCTION("""COMPUTED_VALUE"""),0.4036191974822974)</f>
        <v>0.4036191975</v>
      </c>
      <c r="E537" s="5">
        <f>IFERROR(__xludf.DUMMYFUNCTION("""COMPUTED_VALUE"""),0.14712824547600314)</f>
        <v>0.1471282455</v>
      </c>
      <c r="F537" s="5">
        <f>IFERROR(__xludf.DUMMYFUNCTION("""COMPUTED_VALUE"""),0.1943351691581432)</f>
        <v>0.1943351692</v>
      </c>
      <c r="G537" s="5">
        <f>IFERROR(__xludf.DUMMYFUNCTION("""COMPUTED_VALUE"""),0.14870180959874116)</f>
        <v>0.1487018096</v>
      </c>
      <c r="H537" s="5">
        <f>IFERROR(__xludf.DUMMYFUNCTION("""COMPUTED_VALUE"""),0.6356275303643725)</f>
        <v>0.6356275304</v>
      </c>
      <c r="I537" s="11">
        <f>IFERROR(__xludf.DUMMYFUNCTION("""COMPUTED_VALUE"""),5775.708502024291)</f>
        <v>5775.708502</v>
      </c>
      <c r="J537" s="10">
        <f>IFERROR(__xludf.DUMMYFUNCTION("""COMPUTED_VALUE"""),0.0)</f>
        <v>0</v>
      </c>
      <c r="K537" s="5">
        <f>IFERROR(__xludf.DUMMYFUNCTION("""COMPUTED_VALUE"""),0.0)</f>
        <v>0</v>
      </c>
      <c r="L537" s="10">
        <f>IFERROR(__xludf.DUMMYFUNCTION("""COMPUTED_VALUE"""),122.0)</f>
        <v>122</v>
      </c>
      <c r="M537" s="5">
        <f>IFERROR(__xludf.DUMMYFUNCTION("""COMPUTED_VALUE"""),1.0)</f>
        <v>1</v>
      </c>
    </row>
    <row r="538">
      <c r="A538" s="10" t="str">
        <f>IFERROR(__xludf.DUMMYFUNCTION("""COMPUTED_VALUE"""),"天才イベリコ豚")</f>
        <v>天才イベリコ豚</v>
      </c>
      <c r="B538" s="10">
        <f>IFERROR(__xludf.DUMMYFUNCTION("""COMPUTED_VALUE"""),539.0)</f>
        <v>539</v>
      </c>
      <c r="C538" s="10">
        <f>IFERROR(__xludf.DUMMYFUNCTION("""COMPUTED_VALUE"""),6330.0)</f>
        <v>6330</v>
      </c>
      <c r="D538" s="5">
        <f>IFERROR(__xludf.DUMMYFUNCTION("""COMPUTED_VALUE"""),0.36988430322914867)</f>
        <v>0.3698843032</v>
      </c>
      <c r="E538" s="5">
        <f>IFERROR(__xludf.DUMMYFUNCTION("""COMPUTED_VALUE"""),0.1471248489034709)</f>
        <v>0.1471248489</v>
      </c>
      <c r="F538" s="5">
        <f>IFERROR(__xludf.DUMMYFUNCTION("""COMPUTED_VALUE"""),0.2177516836470385)</f>
        <v>0.2177516836</v>
      </c>
      <c r="G538" s="5">
        <f>IFERROR(__xludf.DUMMYFUNCTION("""COMPUTED_VALUE"""),0.16422034190986012)</f>
        <v>0.1642203419</v>
      </c>
      <c r="H538" s="5">
        <f>IFERROR(__xludf.DUMMYFUNCTION("""COMPUTED_VALUE"""),0.6098334655035687)</f>
        <v>0.6098334655</v>
      </c>
      <c r="I538" s="11">
        <f>IFERROR(__xludf.DUMMYFUNCTION("""COMPUTED_VALUE"""),5407.61300555115)</f>
        <v>5407.613006</v>
      </c>
      <c r="J538" s="10">
        <f>IFERROR(__xludf.DUMMYFUNCTION("""COMPUTED_VALUE"""),1.0)</f>
        <v>1</v>
      </c>
      <c r="K538" s="5">
        <f>IFERROR(__xludf.DUMMYFUNCTION("""COMPUTED_VALUE"""),0.0018552875695732839)</f>
        <v>0.00185528757</v>
      </c>
      <c r="L538" s="10">
        <f>IFERROR(__xludf.DUMMYFUNCTION("""COMPUTED_VALUE"""),186.0)</f>
        <v>186</v>
      </c>
      <c r="M538" s="5">
        <f>IFERROR(__xludf.DUMMYFUNCTION("""COMPUTED_VALUE"""),0.3450834879406308)</f>
        <v>0.3450834879</v>
      </c>
    </row>
    <row r="539">
      <c r="A539" s="10" t="str">
        <f>IFERROR(__xludf.DUMMYFUNCTION("""COMPUTED_VALUE"""),"やくさ")</f>
        <v>やくさ</v>
      </c>
      <c r="B539" s="10">
        <f>IFERROR(__xludf.DUMMYFUNCTION("""COMPUTED_VALUE"""),620.0)</f>
        <v>620</v>
      </c>
      <c r="C539" s="10">
        <f>IFERROR(__xludf.DUMMYFUNCTION("""COMPUTED_VALUE"""),7152.0)</f>
        <v>7152</v>
      </c>
      <c r="D539" s="5">
        <f>IFERROR(__xludf.DUMMYFUNCTION("""COMPUTED_VALUE"""),0.338946723821188)</f>
        <v>0.3389467238</v>
      </c>
      <c r="E539" s="5">
        <f>IFERROR(__xludf.DUMMYFUNCTION("""COMPUTED_VALUE"""),0.14712186160440907)</f>
        <v>0.1471218616</v>
      </c>
      <c r="F539" s="5">
        <f>IFERROR(__xludf.DUMMYFUNCTION("""COMPUTED_VALUE"""),0.21203306797305574)</f>
        <v>0.212033068</v>
      </c>
      <c r="G539" s="5">
        <f>IFERROR(__xludf.DUMMYFUNCTION("""COMPUTED_VALUE"""),0.17253521126760563)</f>
        <v>0.1725352113</v>
      </c>
      <c r="H539" s="5">
        <f>IFERROR(__xludf.DUMMYFUNCTION("""COMPUTED_VALUE"""),0.612274368231047)</f>
        <v>0.6122743682</v>
      </c>
      <c r="I539" s="11">
        <f>IFERROR(__xludf.DUMMYFUNCTION("""COMPUTED_VALUE"""),5746.281588447653)</f>
        <v>5746.281588</v>
      </c>
      <c r="J539" s="10">
        <f>IFERROR(__xludf.DUMMYFUNCTION("""COMPUTED_VALUE"""),1.0)</f>
        <v>1</v>
      </c>
      <c r="K539" s="5">
        <f>IFERROR(__xludf.DUMMYFUNCTION("""COMPUTED_VALUE"""),0.0016129032258064516)</f>
        <v>0.001612903226</v>
      </c>
      <c r="L539" s="10">
        <f>IFERROR(__xludf.DUMMYFUNCTION("""COMPUTED_VALUE"""),620.0)</f>
        <v>620</v>
      </c>
      <c r="M539" s="5">
        <f>IFERROR(__xludf.DUMMYFUNCTION("""COMPUTED_VALUE"""),1.0)</f>
        <v>1</v>
      </c>
    </row>
    <row r="540">
      <c r="A540" s="10" t="str">
        <f>IFERROR(__xludf.DUMMYFUNCTION("""COMPUTED_VALUE"""),"NakanoS")</f>
        <v>NakanoS</v>
      </c>
      <c r="B540" s="10">
        <f>IFERROR(__xludf.DUMMYFUNCTION("""COMPUTED_VALUE"""),180.0)</f>
        <v>180</v>
      </c>
      <c r="C540" s="10">
        <f>IFERROR(__xludf.DUMMYFUNCTION("""COMPUTED_VALUE"""),2158.0)</f>
        <v>2158</v>
      </c>
      <c r="D540" s="5">
        <f>IFERROR(__xludf.DUMMYFUNCTION("""COMPUTED_VALUE"""),0.3483316481294237)</f>
        <v>0.3483316481</v>
      </c>
      <c r="E540" s="5">
        <f>IFERROR(__xludf.DUMMYFUNCTION("""COMPUTED_VALUE"""),0.14711830131445905)</f>
        <v>0.1471183013</v>
      </c>
      <c r="F540" s="5">
        <f>IFERROR(__xludf.DUMMYFUNCTION("""COMPUTED_VALUE"""),0.20070778564206268)</f>
        <v>0.2007077856</v>
      </c>
      <c r="G540" s="5">
        <f>IFERROR(__xludf.DUMMYFUNCTION("""COMPUTED_VALUE"""),0.19261880687563196)</f>
        <v>0.1926188069</v>
      </c>
      <c r="H540" s="5">
        <f>IFERROR(__xludf.DUMMYFUNCTION("""COMPUTED_VALUE"""),0.5717884130982368)</f>
        <v>0.5717884131</v>
      </c>
      <c r="I540" s="11">
        <f>IFERROR(__xludf.DUMMYFUNCTION("""COMPUTED_VALUE"""),5816.120906801008)</f>
        <v>5816.120907</v>
      </c>
      <c r="J540" s="10">
        <f>IFERROR(__xludf.DUMMYFUNCTION("""COMPUTED_VALUE"""),0.0)</f>
        <v>0</v>
      </c>
      <c r="K540" s="5">
        <f>IFERROR(__xludf.DUMMYFUNCTION("""COMPUTED_VALUE"""),0.0)</f>
        <v>0</v>
      </c>
      <c r="L540" s="10">
        <f>IFERROR(__xludf.DUMMYFUNCTION("""COMPUTED_VALUE"""),180.0)</f>
        <v>180</v>
      </c>
      <c r="M540" s="5">
        <f>IFERROR(__xludf.DUMMYFUNCTION("""COMPUTED_VALUE"""),1.0)</f>
        <v>1</v>
      </c>
    </row>
    <row r="541">
      <c r="A541" s="10" t="str">
        <f>IFERROR(__xludf.DUMMYFUNCTION("""COMPUTED_VALUE"""),"御門龍水")</f>
        <v>御門龍水</v>
      </c>
      <c r="B541" s="10">
        <f>IFERROR(__xludf.DUMMYFUNCTION("""COMPUTED_VALUE"""),146.0)</f>
        <v>146</v>
      </c>
      <c r="C541" s="10">
        <f>IFERROR(__xludf.DUMMYFUNCTION("""COMPUTED_VALUE"""),1655.0)</f>
        <v>1655</v>
      </c>
      <c r="D541" s="5">
        <f>IFERROR(__xludf.DUMMYFUNCTION("""COMPUTED_VALUE"""),0.37773359840954274)</f>
        <v>0.3777335984</v>
      </c>
      <c r="E541" s="5">
        <f>IFERROR(__xludf.DUMMYFUNCTION("""COMPUTED_VALUE"""),0.147117296222664)</f>
        <v>0.1471172962</v>
      </c>
      <c r="F541" s="5">
        <f>IFERROR(__xludf.DUMMYFUNCTION("""COMPUTED_VALUE"""),0.20874751491053678)</f>
        <v>0.2087475149</v>
      </c>
      <c r="G541" s="5">
        <f>IFERROR(__xludf.DUMMYFUNCTION("""COMPUTED_VALUE"""),0.1855533465871438)</f>
        <v>0.1855533466</v>
      </c>
      <c r="H541" s="5">
        <f>IFERROR(__xludf.DUMMYFUNCTION("""COMPUTED_VALUE"""),0.6095238095238096)</f>
        <v>0.6095238095</v>
      </c>
      <c r="I541" s="11">
        <f>IFERROR(__xludf.DUMMYFUNCTION("""COMPUTED_VALUE"""),5752.6984126984125)</f>
        <v>5752.698413</v>
      </c>
      <c r="J541" s="10">
        <f>IFERROR(__xludf.DUMMYFUNCTION("""COMPUTED_VALUE"""),0.0)</f>
        <v>0</v>
      </c>
      <c r="K541" s="5">
        <f>IFERROR(__xludf.DUMMYFUNCTION("""COMPUTED_VALUE"""),0.0)</f>
        <v>0</v>
      </c>
      <c r="L541" s="10">
        <f>IFERROR(__xludf.DUMMYFUNCTION("""COMPUTED_VALUE"""),0.0)</f>
        <v>0</v>
      </c>
      <c r="M541" s="5">
        <f>IFERROR(__xludf.DUMMYFUNCTION("""COMPUTED_VALUE"""),0.0)</f>
        <v>0</v>
      </c>
    </row>
    <row r="542">
      <c r="A542" s="10" t="str">
        <f>IFERROR(__xludf.DUMMYFUNCTION("""COMPUTED_VALUE"""),"のひまり")</f>
        <v>のひまり</v>
      </c>
      <c r="B542" s="10">
        <f>IFERROR(__xludf.DUMMYFUNCTION("""COMPUTED_VALUE"""),207.0)</f>
        <v>207</v>
      </c>
      <c r="C542" s="10">
        <f>IFERROR(__xludf.DUMMYFUNCTION("""COMPUTED_VALUE"""),2464.0)</f>
        <v>2464</v>
      </c>
      <c r="D542" s="5">
        <f>IFERROR(__xludf.DUMMYFUNCTION("""COMPUTED_VALUE"""),0.37261852015950375)</f>
        <v>0.3726185202</v>
      </c>
      <c r="E542" s="5">
        <f>IFERROR(__xludf.DUMMYFUNCTION("""COMPUTED_VALUE"""),0.14709791758972088)</f>
        <v>0.1470979176</v>
      </c>
      <c r="F542" s="5">
        <f>IFERROR(__xludf.DUMMYFUNCTION("""COMPUTED_VALUE"""),0.2202038103677448)</f>
        <v>0.2202038104</v>
      </c>
      <c r="G542" s="5">
        <f>IFERROR(__xludf.DUMMYFUNCTION("""COMPUTED_VALUE"""),0.17013735046521933)</f>
        <v>0.1701373505</v>
      </c>
      <c r="H542" s="5">
        <f>IFERROR(__xludf.DUMMYFUNCTION("""COMPUTED_VALUE"""),0.6036217303822937)</f>
        <v>0.6036217304</v>
      </c>
      <c r="I542" s="11">
        <f>IFERROR(__xludf.DUMMYFUNCTION("""COMPUTED_VALUE"""),6151.307847082495)</f>
        <v>6151.307847</v>
      </c>
      <c r="J542" s="10">
        <f>IFERROR(__xludf.DUMMYFUNCTION("""COMPUTED_VALUE"""),2.0)</f>
        <v>2</v>
      </c>
      <c r="K542" s="5">
        <f>IFERROR(__xludf.DUMMYFUNCTION("""COMPUTED_VALUE"""),0.00966183574879227)</f>
        <v>0.009661835749</v>
      </c>
      <c r="L542" s="10">
        <f>IFERROR(__xludf.DUMMYFUNCTION("""COMPUTED_VALUE"""),207.0)</f>
        <v>207</v>
      </c>
      <c r="M542" s="5">
        <f>IFERROR(__xludf.DUMMYFUNCTION("""COMPUTED_VALUE"""),1.0)</f>
        <v>1</v>
      </c>
    </row>
    <row r="543">
      <c r="A543" s="10" t="str">
        <f>IFERROR(__xludf.DUMMYFUNCTION("""COMPUTED_VALUE"""),"SEED")</f>
        <v>SEED</v>
      </c>
      <c r="B543" s="10">
        <f>IFERROR(__xludf.DUMMYFUNCTION("""COMPUTED_VALUE"""),686.0)</f>
        <v>686</v>
      </c>
      <c r="C543" s="10">
        <f>IFERROR(__xludf.DUMMYFUNCTION("""COMPUTED_VALUE"""),8103.0)</f>
        <v>8103</v>
      </c>
      <c r="D543" s="5">
        <f>IFERROR(__xludf.DUMMYFUNCTION("""COMPUTED_VALUE"""),0.3932856950249427)</f>
        <v>0.393285695</v>
      </c>
      <c r="E543" s="5">
        <f>IFERROR(__xludf.DUMMYFUNCTION("""COMPUTED_VALUE"""),0.147094512606175)</f>
        <v>0.1470945126</v>
      </c>
      <c r="F543" s="5">
        <f>IFERROR(__xludf.DUMMYFUNCTION("""COMPUTED_VALUE"""),0.2134286099501146)</f>
        <v>0.21342861</v>
      </c>
      <c r="G543" s="5">
        <f>IFERROR(__xludf.DUMMYFUNCTION("""COMPUTED_VALUE"""),0.15761089389240934)</f>
        <v>0.1576108939</v>
      </c>
      <c r="H543" s="5">
        <f>IFERROR(__xludf.DUMMYFUNCTION("""COMPUTED_VALUE"""),0.5906506632975363)</f>
        <v>0.5906506633</v>
      </c>
      <c r="I543" s="11">
        <f>IFERROR(__xludf.DUMMYFUNCTION("""COMPUTED_VALUE"""),5543.0195830701205)</f>
        <v>5543.019583</v>
      </c>
      <c r="J543" s="10">
        <f>IFERROR(__xludf.DUMMYFUNCTION("""COMPUTED_VALUE"""),1.0)</f>
        <v>1</v>
      </c>
      <c r="K543" s="5">
        <f>IFERROR(__xludf.DUMMYFUNCTION("""COMPUTED_VALUE"""),0.0014577259475218659)</f>
        <v>0.001457725948</v>
      </c>
      <c r="L543" s="10">
        <f>IFERROR(__xludf.DUMMYFUNCTION("""COMPUTED_VALUE"""),686.0)</f>
        <v>686</v>
      </c>
      <c r="M543" s="5">
        <f>IFERROR(__xludf.DUMMYFUNCTION("""COMPUTED_VALUE"""),1.0)</f>
        <v>1</v>
      </c>
    </row>
    <row r="544">
      <c r="A544" s="10" t="str">
        <f>IFERROR(__xludf.DUMMYFUNCTION("""COMPUTED_VALUE"""),"チュン太")</f>
        <v>チュン太</v>
      </c>
      <c r="B544" s="10">
        <f>IFERROR(__xludf.DUMMYFUNCTION("""COMPUTED_VALUE"""),257.0)</f>
        <v>257</v>
      </c>
      <c r="C544" s="10">
        <f>IFERROR(__xludf.DUMMYFUNCTION("""COMPUTED_VALUE"""),2997.0)</f>
        <v>2997</v>
      </c>
      <c r="D544" s="5">
        <f>IFERROR(__xludf.DUMMYFUNCTION("""COMPUTED_VALUE"""),0.3624087591240876)</f>
        <v>0.3624087591</v>
      </c>
      <c r="E544" s="5">
        <f>IFERROR(__xludf.DUMMYFUNCTION("""COMPUTED_VALUE"""),0.1470802919708029)</f>
        <v>0.147080292</v>
      </c>
      <c r="F544" s="5">
        <f>IFERROR(__xludf.DUMMYFUNCTION("""COMPUTED_VALUE"""),0.22481751824817517)</f>
        <v>0.2248175182</v>
      </c>
      <c r="G544" s="5">
        <f>IFERROR(__xludf.DUMMYFUNCTION("""COMPUTED_VALUE"""),0.1937956204379562)</f>
        <v>0.1937956204</v>
      </c>
      <c r="H544" s="5">
        <f>IFERROR(__xludf.DUMMYFUNCTION("""COMPUTED_VALUE"""),0.5909090909090909)</f>
        <v>0.5909090909</v>
      </c>
      <c r="I544" s="11">
        <f>IFERROR(__xludf.DUMMYFUNCTION("""COMPUTED_VALUE"""),5621.103896103896)</f>
        <v>5621.103896</v>
      </c>
      <c r="J544" s="10">
        <f>IFERROR(__xludf.DUMMYFUNCTION("""COMPUTED_VALUE"""),0.0)</f>
        <v>0</v>
      </c>
      <c r="K544" s="5">
        <f>IFERROR(__xludf.DUMMYFUNCTION("""COMPUTED_VALUE"""),0.0)</f>
        <v>0</v>
      </c>
      <c r="L544" s="10">
        <f>IFERROR(__xludf.DUMMYFUNCTION("""COMPUTED_VALUE"""),257.0)</f>
        <v>257</v>
      </c>
      <c r="M544" s="5">
        <f>IFERROR(__xludf.DUMMYFUNCTION("""COMPUTED_VALUE"""),1.0)</f>
        <v>1</v>
      </c>
    </row>
    <row r="545">
      <c r="A545" s="10" t="str">
        <f>IFERROR(__xludf.DUMMYFUNCTION("""COMPUTED_VALUE"""),"Ietta")</f>
        <v>Ietta</v>
      </c>
      <c r="B545" s="10">
        <f>IFERROR(__xludf.DUMMYFUNCTION("""COMPUTED_VALUE"""),155.0)</f>
        <v>155</v>
      </c>
      <c r="C545" s="10">
        <f>IFERROR(__xludf.DUMMYFUNCTION("""COMPUTED_VALUE"""),1821.0)</f>
        <v>1821</v>
      </c>
      <c r="D545" s="5">
        <f>IFERROR(__xludf.DUMMYFUNCTION("""COMPUTED_VALUE"""),0.3751500600240096)</f>
        <v>0.37515006</v>
      </c>
      <c r="E545" s="5">
        <f>IFERROR(__xludf.DUMMYFUNCTION("""COMPUTED_VALUE"""),0.14705882352941177)</f>
        <v>0.1470588235</v>
      </c>
      <c r="F545" s="5">
        <f>IFERROR(__xludf.DUMMYFUNCTION("""COMPUTED_VALUE"""),0.21788715486194477)</f>
        <v>0.2178871549</v>
      </c>
      <c r="G545" s="5">
        <f>IFERROR(__xludf.DUMMYFUNCTION("""COMPUTED_VALUE"""),0.16626650660264106)</f>
        <v>0.1662665066</v>
      </c>
      <c r="H545" s="5">
        <f>IFERROR(__xludf.DUMMYFUNCTION("""COMPUTED_VALUE"""),0.5950413223140496)</f>
        <v>0.5950413223</v>
      </c>
      <c r="I545" s="11">
        <f>IFERROR(__xludf.DUMMYFUNCTION("""COMPUTED_VALUE"""),5079.338842975207)</f>
        <v>5079.338843</v>
      </c>
      <c r="J545" s="10">
        <f>IFERROR(__xludf.DUMMYFUNCTION("""COMPUTED_VALUE"""),0.0)</f>
        <v>0</v>
      </c>
      <c r="K545" s="5">
        <f>IFERROR(__xludf.DUMMYFUNCTION("""COMPUTED_VALUE"""),0.0)</f>
        <v>0</v>
      </c>
      <c r="L545" s="10">
        <f>IFERROR(__xludf.DUMMYFUNCTION("""COMPUTED_VALUE"""),155.0)</f>
        <v>155</v>
      </c>
      <c r="M545" s="5">
        <f>IFERROR(__xludf.DUMMYFUNCTION("""COMPUTED_VALUE"""),1.0)</f>
        <v>1</v>
      </c>
    </row>
    <row r="546">
      <c r="A546" s="10" t="str">
        <f>IFERROR(__xludf.DUMMYFUNCTION("""COMPUTED_VALUE"""),"pierre_A")</f>
        <v>pierre_A</v>
      </c>
      <c r="B546" s="10">
        <f>IFERROR(__xludf.DUMMYFUNCTION("""COMPUTED_VALUE"""),413.0)</f>
        <v>413</v>
      </c>
      <c r="C546" s="10">
        <f>IFERROR(__xludf.DUMMYFUNCTION("""COMPUTED_VALUE"""),4835.0)</f>
        <v>4835</v>
      </c>
      <c r="D546" s="5">
        <f>IFERROR(__xludf.DUMMYFUNCTION("""COMPUTED_VALUE"""),0.34305744007236544)</f>
        <v>0.3430574401</v>
      </c>
      <c r="E546" s="5">
        <f>IFERROR(__xludf.DUMMYFUNCTION("""COMPUTED_VALUE"""),0.14699231117141565)</f>
        <v>0.1469923112</v>
      </c>
      <c r="F546" s="5">
        <f>IFERROR(__xludf.DUMMYFUNCTION("""COMPUTED_VALUE"""),0.2062415196743555)</f>
        <v>0.2062415197</v>
      </c>
      <c r="G546" s="5">
        <f>IFERROR(__xludf.DUMMYFUNCTION("""COMPUTED_VALUE"""),0.19063772048846675)</f>
        <v>0.1906377205</v>
      </c>
      <c r="H546" s="5">
        <f>IFERROR(__xludf.DUMMYFUNCTION("""COMPUTED_VALUE"""),0.5493421052631579)</f>
        <v>0.5493421053</v>
      </c>
      <c r="I546" s="11">
        <f>IFERROR(__xludf.DUMMYFUNCTION("""COMPUTED_VALUE"""),6108.333333333333)</f>
        <v>6108.333333</v>
      </c>
      <c r="J546" s="10">
        <f>IFERROR(__xludf.DUMMYFUNCTION("""COMPUTED_VALUE"""),2.0)</f>
        <v>2</v>
      </c>
      <c r="K546" s="5">
        <f>IFERROR(__xludf.DUMMYFUNCTION("""COMPUTED_VALUE"""),0.004842615012106538)</f>
        <v>0.004842615012</v>
      </c>
      <c r="L546" s="10">
        <f>IFERROR(__xludf.DUMMYFUNCTION("""COMPUTED_VALUE"""),413.0)</f>
        <v>413</v>
      </c>
      <c r="M546" s="5">
        <f>IFERROR(__xludf.DUMMYFUNCTION("""COMPUTED_VALUE"""),1.0)</f>
        <v>1</v>
      </c>
    </row>
    <row r="547">
      <c r="A547" s="10" t="str">
        <f>IFERROR(__xludf.DUMMYFUNCTION("""COMPUTED_VALUE"""),"yamaga")</f>
        <v>yamaga</v>
      </c>
      <c r="B547" s="10">
        <f>IFERROR(__xludf.DUMMYFUNCTION("""COMPUTED_VALUE"""),288.0)</f>
        <v>288</v>
      </c>
      <c r="C547" s="10">
        <f>IFERROR(__xludf.DUMMYFUNCTION("""COMPUTED_VALUE"""),3296.0)</f>
        <v>3296</v>
      </c>
      <c r="D547" s="5">
        <f>IFERROR(__xludf.DUMMYFUNCTION("""COMPUTED_VALUE"""),0.2579787234042553)</f>
        <v>0.2579787234</v>
      </c>
      <c r="E547" s="5">
        <f>IFERROR(__xludf.DUMMYFUNCTION("""COMPUTED_VALUE"""),0.14694148936170212)</f>
        <v>0.1469414894</v>
      </c>
      <c r="F547" s="5">
        <f>IFERROR(__xludf.DUMMYFUNCTION("""COMPUTED_VALUE"""),0.19115691489361702)</f>
        <v>0.1911569149</v>
      </c>
      <c r="G547" s="5">
        <f>IFERROR(__xludf.DUMMYFUNCTION("""COMPUTED_VALUE"""),0.15591755319148937)</f>
        <v>0.1559175532</v>
      </c>
      <c r="H547" s="5">
        <f>IFERROR(__xludf.DUMMYFUNCTION("""COMPUTED_VALUE"""),0.6330434782608696)</f>
        <v>0.6330434783</v>
      </c>
      <c r="I547" s="11">
        <f>IFERROR(__xludf.DUMMYFUNCTION("""COMPUTED_VALUE"""),6024.695652173913)</f>
        <v>6024.695652</v>
      </c>
      <c r="J547" s="10">
        <f>IFERROR(__xludf.DUMMYFUNCTION("""COMPUTED_VALUE"""),0.0)</f>
        <v>0</v>
      </c>
      <c r="K547" s="5">
        <f>IFERROR(__xludf.DUMMYFUNCTION("""COMPUTED_VALUE"""),0.0)</f>
        <v>0</v>
      </c>
      <c r="L547" s="10">
        <f>IFERROR(__xludf.DUMMYFUNCTION("""COMPUTED_VALUE"""),288.0)</f>
        <v>288</v>
      </c>
      <c r="M547" s="5">
        <f>IFERROR(__xludf.DUMMYFUNCTION("""COMPUTED_VALUE"""),1.0)</f>
        <v>1</v>
      </c>
    </row>
    <row r="548">
      <c r="A548" s="10" t="str">
        <f>IFERROR(__xludf.DUMMYFUNCTION("""COMPUTED_VALUE"""),"大坪")</f>
        <v>大坪</v>
      </c>
      <c r="B548" s="10">
        <f>IFERROR(__xludf.DUMMYFUNCTION("""COMPUTED_VALUE"""),1639.0)</f>
        <v>1639</v>
      </c>
      <c r="C548" s="10">
        <f>IFERROR(__xludf.DUMMYFUNCTION("""COMPUTED_VALUE"""),18898.0)</f>
        <v>18898</v>
      </c>
      <c r="D548" s="5">
        <f>IFERROR(__xludf.DUMMYFUNCTION("""COMPUTED_VALUE"""),0.3084767367750159)</f>
        <v>0.3084767368</v>
      </c>
      <c r="E548" s="5">
        <f>IFERROR(__xludf.DUMMYFUNCTION("""COMPUTED_VALUE"""),0.14693782953821194)</f>
        <v>0.1469378295</v>
      </c>
      <c r="F548" s="5">
        <f>IFERROR(__xludf.DUMMYFUNCTION("""COMPUTED_VALUE"""),0.22312996117967437)</f>
        <v>0.2231299612</v>
      </c>
      <c r="G548" s="5">
        <f>IFERROR(__xludf.DUMMYFUNCTION("""COMPUTED_VALUE"""),0.18187612260270003)</f>
        <v>0.1818761226</v>
      </c>
      <c r="H548" s="5">
        <f>IFERROR(__xludf.DUMMYFUNCTION("""COMPUTED_VALUE"""),0.6091924175538821)</f>
        <v>0.6091924176</v>
      </c>
      <c r="I548" s="11">
        <f>IFERROR(__xludf.DUMMYFUNCTION("""COMPUTED_VALUE"""),5524.3832770708905)</f>
        <v>5524.383277</v>
      </c>
      <c r="J548" s="10">
        <f>IFERROR(__xludf.DUMMYFUNCTION("""COMPUTED_VALUE"""),4.0)</f>
        <v>4</v>
      </c>
      <c r="K548" s="5">
        <f>IFERROR(__xludf.DUMMYFUNCTION("""COMPUTED_VALUE"""),0.0024405125076266015)</f>
        <v>0.002440512508</v>
      </c>
      <c r="L548" s="10">
        <f>IFERROR(__xludf.DUMMYFUNCTION("""COMPUTED_VALUE"""),1639.0)</f>
        <v>1639</v>
      </c>
      <c r="M548" s="5">
        <f>IFERROR(__xludf.DUMMYFUNCTION("""COMPUTED_VALUE"""),1.0)</f>
        <v>1</v>
      </c>
    </row>
    <row r="549">
      <c r="A549" s="10" t="str">
        <f>IFERROR(__xludf.DUMMYFUNCTION("""COMPUTED_VALUE"""),"‐赤犬‐")</f>
        <v>‐赤犬‐</v>
      </c>
      <c r="B549" s="10">
        <f>IFERROR(__xludf.DUMMYFUNCTION("""COMPUTED_VALUE"""),895.0)</f>
        <v>895</v>
      </c>
      <c r="C549" s="10">
        <f>IFERROR(__xludf.DUMMYFUNCTION("""COMPUTED_VALUE"""),10560.0)</f>
        <v>10560</v>
      </c>
      <c r="D549" s="5">
        <f>IFERROR(__xludf.DUMMYFUNCTION("""COMPUTED_VALUE"""),0.40196585618210035)</f>
        <v>0.4019658562</v>
      </c>
      <c r="E549" s="5">
        <f>IFERROR(__xludf.DUMMYFUNCTION("""COMPUTED_VALUE"""),0.1469218830832902)</f>
        <v>0.1469218831</v>
      </c>
      <c r="F549" s="5">
        <f>IFERROR(__xludf.DUMMYFUNCTION("""COMPUTED_VALUE"""),0.19648215209518882)</f>
        <v>0.1964821521</v>
      </c>
      <c r="G549" s="5">
        <f>IFERROR(__xludf.DUMMYFUNCTION("""COMPUTED_VALUE"""),0.1587170201758924)</f>
        <v>0.1587170202</v>
      </c>
      <c r="H549" s="5">
        <f>IFERROR(__xludf.DUMMYFUNCTION("""COMPUTED_VALUE"""),0.6024223275408109)</f>
        <v>0.6024223275</v>
      </c>
      <c r="I549" s="11">
        <f>IFERROR(__xludf.DUMMYFUNCTION("""COMPUTED_VALUE"""),5642.654028436019)</f>
        <v>5642.654028</v>
      </c>
      <c r="J549" s="10">
        <f>IFERROR(__xludf.DUMMYFUNCTION("""COMPUTED_VALUE"""),2.0)</f>
        <v>2</v>
      </c>
      <c r="K549" s="5">
        <f>IFERROR(__xludf.DUMMYFUNCTION("""COMPUTED_VALUE"""),0.0022346368715083797)</f>
        <v>0.002234636872</v>
      </c>
      <c r="L549" s="10">
        <f>IFERROR(__xludf.DUMMYFUNCTION("""COMPUTED_VALUE"""),1.0)</f>
        <v>1</v>
      </c>
      <c r="M549" s="5">
        <f>IFERROR(__xludf.DUMMYFUNCTION("""COMPUTED_VALUE"""),0.0011173184357541898)</f>
        <v>0.001117318436</v>
      </c>
    </row>
    <row r="550">
      <c r="A550" s="10" t="str">
        <f>IFERROR(__xludf.DUMMYFUNCTION("""COMPUTED_VALUE"""),"夢はニート")</f>
        <v>夢はニート</v>
      </c>
      <c r="B550" s="10">
        <f>IFERROR(__xludf.DUMMYFUNCTION("""COMPUTED_VALUE"""),173.0)</f>
        <v>173</v>
      </c>
      <c r="C550" s="10">
        <f>IFERROR(__xludf.DUMMYFUNCTION("""COMPUTED_VALUE"""),2011.0)</f>
        <v>2011</v>
      </c>
      <c r="D550" s="5">
        <f>IFERROR(__xludf.DUMMYFUNCTION("""COMPUTED_VALUE"""),0.367791077257889)</f>
        <v>0.3677910773</v>
      </c>
      <c r="E550" s="5">
        <f>IFERROR(__xludf.DUMMYFUNCTION("""COMPUTED_VALUE"""),0.14689880304678998)</f>
        <v>0.146898803</v>
      </c>
      <c r="F550" s="5">
        <f>IFERROR(__xludf.DUMMYFUNCTION("""COMPUTED_VALUE"""),0.21436343852013057)</f>
        <v>0.2143634385</v>
      </c>
      <c r="G550" s="5">
        <f>IFERROR(__xludf.DUMMYFUNCTION("""COMPUTED_VALUE"""),0.1735582154515778)</f>
        <v>0.1735582155</v>
      </c>
      <c r="H550" s="5">
        <f>IFERROR(__xludf.DUMMYFUNCTION("""COMPUTED_VALUE"""),0.583756345177665)</f>
        <v>0.5837563452</v>
      </c>
      <c r="I550" s="11">
        <f>IFERROR(__xludf.DUMMYFUNCTION("""COMPUTED_VALUE"""),6456.091370558375)</f>
        <v>6456.091371</v>
      </c>
      <c r="J550" s="10">
        <f>IFERROR(__xludf.DUMMYFUNCTION("""COMPUTED_VALUE"""),0.0)</f>
        <v>0</v>
      </c>
      <c r="K550" s="5">
        <f>IFERROR(__xludf.DUMMYFUNCTION("""COMPUTED_VALUE"""),0.0)</f>
        <v>0</v>
      </c>
      <c r="L550" s="10">
        <f>IFERROR(__xludf.DUMMYFUNCTION("""COMPUTED_VALUE"""),173.0)</f>
        <v>173</v>
      </c>
      <c r="M550" s="5">
        <f>IFERROR(__xludf.DUMMYFUNCTION("""COMPUTED_VALUE"""),1.0)</f>
        <v>1</v>
      </c>
    </row>
    <row r="551">
      <c r="A551" s="10" t="str">
        <f>IFERROR(__xludf.DUMMYFUNCTION("""COMPUTED_VALUE"""),"千石撫子@")</f>
        <v>千石撫子@</v>
      </c>
      <c r="B551" s="10">
        <f>IFERROR(__xludf.DUMMYFUNCTION("""COMPUTED_VALUE"""),179.0)</f>
        <v>179</v>
      </c>
      <c r="C551" s="10">
        <f>IFERROR(__xludf.DUMMYFUNCTION("""COMPUTED_VALUE"""),2126.0)</f>
        <v>2126</v>
      </c>
      <c r="D551" s="5">
        <f>IFERROR(__xludf.DUMMYFUNCTION("""COMPUTED_VALUE"""),0.3995891114535182)</f>
        <v>0.3995891115</v>
      </c>
      <c r="E551" s="5">
        <f>IFERROR(__xludf.DUMMYFUNCTION("""COMPUTED_VALUE"""),0.14689265536723164)</f>
        <v>0.1468926554</v>
      </c>
      <c r="F551" s="5">
        <f>IFERROR(__xludf.DUMMYFUNCTION("""COMPUTED_VALUE"""),0.22033898305084745)</f>
        <v>0.2203389831</v>
      </c>
      <c r="G551" s="5">
        <f>IFERROR(__xludf.DUMMYFUNCTION("""COMPUTED_VALUE"""),0.14586543400102722)</f>
        <v>0.145865434</v>
      </c>
      <c r="H551" s="5">
        <f>IFERROR(__xludf.DUMMYFUNCTION("""COMPUTED_VALUE"""),0.5874125874125874)</f>
        <v>0.5874125874</v>
      </c>
      <c r="I551" s="11">
        <f>IFERROR(__xludf.DUMMYFUNCTION("""COMPUTED_VALUE"""),5345.454545454545)</f>
        <v>5345.454545</v>
      </c>
      <c r="J551" s="10">
        <f>IFERROR(__xludf.DUMMYFUNCTION("""COMPUTED_VALUE"""),1.0)</f>
        <v>1</v>
      </c>
      <c r="K551" s="5">
        <f>IFERROR(__xludf.DUMMYFUNCTION("""COMPUTED_VALUE"""),0.00558659217877095)</f>
        <v>0.005586592179</v>
      </c>
      <c r="L551" s="10">
        <f>IFERROR(__xludf.DUMMYFUNCTION("""COMPUTED_VALUE"""),0.0)</f>
        <v>0</v>
      </c>
      <c r="M551" s="5">
        <f>IFERROR(__xludf.DUMMYFUNCTION("""COMPUTED_VALUE"""),0.0)</f>
        <v>0</v>
      </c>
    </row>
    <row r="552">
      <c r="A552" s="10" t="str">
        <f>IFERROR(__xludf.DUMMYFUNCTION("""COMPUTED_VALUE"""),"Shoebill")</f>
        <v>Shoebill</v>
      </c>
      <c r="B552" s="10">
        <f>IFERROR(__xludf.DUMMYFUNCTION("""COMPUTED_VALUE"""),186.0)</f>
        <v>186</v>
      </c>
      <c r="C552" s="10">
        <f>IFERROR(__xludf.DUMMYFUNCTION("""COMPUTED_VALUE"""),2072.0)</f>
        <v>2072</v>
      </c>
      <c r="D552" s="5">
        <f>IFERROR(__xludf.DUMMYFUNCTION("""COMPUTED_VALUE"""),0.3366914103923648)</f>
        <v>0.3366914104</v>
      </c>
      <c r="E552" s="5">
        <f>IFERROR(__xludf.DUMMYFUNCTION("""COMPUTED_VALUE"""),0.14687168610816542)</f>
        <v>0.1468716861</v>
      </c>
      <c r="F552" s="5">
        <f>IFERROR(__xludf.DUMMYFUNCTION("""COMPUTED_VALUE"""),0.19300106044538706)</f>
        <v>0.1930010604</v>
      </c>
      <c r="G552" s="5">
        <f>IFERROR(__xludf.DUMMYFUNCTION("""COMPUTED_VALUE"""),0.1765641569459173)</f>
        <v>0.1765641569</v>
      </c>
      <c r="H552" s="5">
        <f>IFERROR(__xludf.DUMMYFUNCTION("""COMPUTED_VALUE"""),0.6236263736263736)</f>
        <v>0.6236263736</v>
      </c>
      <c r="I552" s="11">
        <f>IFERROR(__xludf.DUMMYFUNCTION("""COMPUTED_VALUE"""),5632.9670329670325)</f>
        <v>5632.967033</v>
      </c>
      <c r="J552" s="10">
        <f>IFERROR(__xludf.DUMMYFUNCTION("""COMPUTED_VALUE"""),1.0)</f>
        <v>1</v>
      </c>
      <c r="K552" s="5">
        <f>IFERROR(__xludf.DUMMYFUNCTION("""COMPUTED_VALUE"""),0.005376344086021506)</f>
        <v>0.005376344086</v>
      </c>
      <c r="L552" s="10">
        <f>IFERROR(__xludf.DUMMYFUNCTION("""COMPUTED_VALUE"""),87.0)</f>
        <v>87</v>
      </c>
      <c r="M552" s="5">
        <f>IFERROR(__xludf.DUMMYFUNCTION("""COMPUTED_VALUE"""),0.46774193548387094)</f>
        <v>0.4677419355</v>
      </c>
    </row>
    <row r="553">
      <c r="A553" s="10" t="str">
        <f>IFERROR(__xludf.DUMMYFUNCTION("""COMPUTED_VALUE"""),"京極堂")</f>
        <v>京極堂</v>
      </c>
      <c r="B553" s="10">
        <f>IFERROR(__xludf.DUMMYFUNCTION("""COMPUTED_VALUE"""),105.0)</f>
        <v>105</v>
      </c>
      <c r="C553" s="10">
        <f>IFERROR(__xludf.DUMMYFUNCTION("""COMPUTED_VALUE"""),1249.0)</f>
        <v>1249</v>
      </c>
      <c r="D553" s="5">
        <f>IFERROR(__xludf.DUMMYFUNCTION("""COMPUTED_VALUE"""),0.34615384615384615)</f>
        <v>0.3461538462</v>
      </c>
      <c r="E553" s="5">
        <f>IFERROR(__xludf.DUMMYFUNCTION("""COMPUTED_VALUE"""),0.14685314685314685)</f>
        <v>0.1468531469</v>
      </c>
      <c r="F553" s="5">
        <f>IFERROR(__xludf.DUMMYFUNCTION("""COMPUTED_VALUE"""),0.18793706293706294)</f>
        <v>0.1879370629</v>
      </c>
      <c r="G553" s="5">
        <f>IFERROR(__xludf.DUMMYFUNCTION("""COMPUTED_VALUE"""),0.16433566433566432)</f>
        <v>0.1643356643</v>
      </c>
      <c r="H553" s="5">
        <f>IFERROR(__xludf.DUMMYFUNCTION("""COMPUTED_VALUE"""),0.5627906976744186)</f>
        <v>0.5627906977</v>
      </c>
      <c r="I553" s="11">
        <f>IFERROR(__xludf.DUMMYFUNCTION("""COMPUTED_VALUE"""),5697.209302325581)</f>
        <v>5697.209302</v>
      </c>
      <c r="J553" s="10">
        <f>IFERROR(__xludf.DUMMYFUNCTION("""COMPUTED_VALUE"""),1.0)</f>
        <v>1</v>
      </c>
      <c r="K553" s="5">
        <f>IFERROR(__xludf.DUMMYFUNCTION("""COMPUTED_VALUE"""),0.009523809523809525)</f>
        <v>0.009523809524</v>
      </c>
      <c r="L553" s="10">
        <f>IFERROR(__xludf.DUMMYFUNCTION("""COMPUTED_VALUE"""),0.0)</f>
        <v>0</v>
      </c>
      <c r="M553" s="5">
        <f>IFERROR(__xludf.DUMMYFUNCTION("""COMPUTED_VALUE"""),0.0)</f>
        <v>0</v>
      </c>
    </row>
    <row r="554">
      <c r="A554" s="10" t="str">
        <f>IFERROR(__xludf.DUMMYFUNCTION("""COMPUTED_VALUE"""),"NTH")</f>
        <v>NTH</v>
      </c>
      <c r="B554" s="10">
        <f>IFERROR(__xludf.DUMMYFUNCTION("""COMPUTED_VALUE"""),105.0)</f>
        <v>105</v>
      </c>
      <c r="C554" s="10">
        <f>IFERROR(__xludf.DUMMYFUNCTION("""COMPUTED_VALUE"""),1215.0)</f>
        <v>1215</v>
      </c>
      <c r="D554" s="5">
        <f>IFERROR(__xludf.DUMMYFUNCTION("""COMPUTED_VALUE"""),0.34144144144144145)</f>
        <v>0.3414414414</v>
      </c>
      <c r="E554" s="5">
        <f>IFERROR(__xludf.DUMMYFUNCTION("""COMPUTED_VALUE"""),0.14684684684684685)</f>
        <v>0.1468468468</v>
      </c>
      <c r="F554" s="5">
        <f>IFERROR(__xludf.DUMMYFUNCTION("""COMPUTED_VALUE"""),0.2036036036036036)</f>
        <v>0.2036036036</v>
      </c>
      <c r="G554" s="5">
        <f>IFERROR(__xludf.DUMMYFUNCTION("""COMPUTED_VALUE"""),0.15945945945945947)</f>
        <v>0.1594594595</v>
      </c>
      <c r="H554" s="5">
        <f>IFERROR(__xludf.DUMMYFUNCTION("""COMPUTED_VALUE"""),0.5663716814159292)</f>
        <v>0.5663716814</v>
      </c>
      <c r="I554" s="11">
        <f>IFERROR(__xludf.DUMMYFUNCTION("""COMPUTED_VALUE"""),5671.238938053098)</f>
        <v>5671.238938</v>
      </c>
      <c r="J554" s="10">
        <f>IFERROR(__xludf.DUMMYFUNCTION("""COMPUTED_VALUE"""),0.0)</f>
        <v>0</v>
      </c>
      <c r="K554" s="5">
        <f>IFERROR(__xludf.DUMMYFUNCTION("""COMPUTED_VALUE"""),0.0)</f>
        <v>0</v>
      </c>
      <c r="L554" s="10">
        <f>IFERROR(__xludf.DUMMYFUNCTION("""COMPUTED_VALUE"""),105.0)</f>
        <v>105</v>
      </c>
      <c r="M554" s="5">
        <f>IFERROR(__xludf.DUMMYFUNCTION("""COMPUTED_VALUE"""),1.0)</f>
        <v>1</v>
      </c>
    </row>
    <row r="555">
      <c r="A555" s="10" t="str">
        <f>IFERROR(__xludf.DUMMYFUNCTION("""COMPUTED_VALUE"""),"AKKARI-N")</f>
        <v>AKKARI-N</v>
      </c>
      <c r="B555" s="10">
        <f>IFERROR(__xludf.DUMMYFUNCTION("""COMPUTED_VALUE"""),278.0)</f>
        <v>278</v>
      </c>
      <c r="C555" s="10">
        <f>IFERROR(__xludf.DUMMYFUNCTION("""COMPUTED_VALUE"""),3186.0)</f>
        <v>3186</v>
      </c>
      <c r="D555" s="5">
        <f>IFERROR(__xludf.DUMMYFUNCTION("""COMPUTED_VALUE"""),0.3297799174690509)</f>
        <v>0.3297799175</v>
      </c>
      <c r="E555" s="5">
        <f>IFERROR(__xludf.DUMMYFUNCTION("""COMPUTED_VALUE"""),0.1468363136176066)</f>
        <v>0.1468363136</v>
      </c>
      <c r="F555" s="5">
        <f>IFERROR(__xludf.DUMMYFUNCTION("""COMPUTED_VALUE"""),0.20735900962861073)</f>
        <v>0.2073590096</v>
      </c>
      <c r="G555" s="5">
        <f>IFERROR(__xludf.DUMMYFUNCTION("""COMPUTED_VALUE"""),0.14442916093535077)</f>
        <v>0.1444291609</v>
      </c>
      <c r="H555" s="5">
        <f>IFERROR(__xludf.DUMMYFUNCTION("""COMPUTED_VALUE"""),0.5704809286898839)</f>
        <v>0.5704809287</v>
      </c>
      <c r="I555" s="11">
        <f>IFERROR(__xludf.DUMMYFUNCTION("""COMPUTED_VALUE"""),5766.169154228855)</f>
        <v>5766.169154</v>
      </c>
      <c r="J555" s="10">
        <f>IFERROR(__xludf.DUMMYFUNCTION("""COMPUTED_VALUE"""),0.0)</f>
        <v>0</v>
      </c>
      <c r="K555" s="5">
        <f>IFERROR(__xludf.DUMMYFUNCTION("""COMPUTED_VALUE"""),0.0)</f>
        <v>0</v>
      </c>
      <c r="L555" s="10">
        <f>IFERROR(__xludf.DUMMYFUNCTION("""COMPUTED_VALUE"""),278.0)</f>
        <v>278</v>
      </c>
      <c r="M555" s="5">
        <f>IFERROR(__xludf.DUMMYFUNCTION("""COMPUTED_VALUE"""),1.0)</f>
        <v>1</v>
      </c>
    </row>
    <row r="556">
      <c r="A556" s="10" t="str">
        <f>IFERROR(__xludf.DUMMYFUNCTION("""COMPUTED_VALUE"""),"どくりんごサワー")</f>
        <v>どくりんごサワー</v>
      </c>
      <c r="B556" s="10">
        <f>IFERROR(__xludf.DUMMYFUNCTION("""COMPUTED_VALUE"""),137.0)</f>
        <v>137</v>
      </c>
      <c r="C556" s="10">
        <f>IFERROR(__xludf.DUMMYFUNCTION("""COMPUTED_VALUE"""),1574.0)</f>
        <v>1574</v>
      </c>
      <c r="D556" s="5">
        <f>IFERROR(__xludf.DUMMYFUNCTION("""COMPUTED_VALUE"""),0.4919972164231037)</f>
        <v>0.4919972164</v>
      </c>
      <c r="E556" s="5">
        <f>IFERROR(__xludf.DUMMYFUNCTION("""COMPUTED_VALUE"""),0.14683368128044538)</f>
        <v>0.1468336813</v>
      </c>
      <c r="F556" s="5">
        <f>IFERROR(__xludf.DUMMYFUNCTION("""COMPUTED_VALUE"""),0.21920668058455114)</f>
        <v>0.2192066806</v>
      </c>
      <c r="G556" s="5">
        <f>IFERROR(__xludf.DUMMYFUNCTION("""COMPUTED_VALUE"""),0.1579679888656924)</f>
        <v>0.1579679889</v>
      </c>
      <c r="H556" s="5">
        <f>IFERROR(__xludf.DUMMYFUNCTION("""COMPUTED_VALUE"""),0.5841269841269842)</f>
        <v>0.5841269841</v>
      </c>
      <c r="I556" s="11">
        <f>IFERROR(__xludf.DUMMYFUNCTION("""COMPUTED_VALUE"""),5372.380952380952)</f>
        <v>5372.380952</v>
      </c>
      <c r="J556" s="10">
        <f>IFERROR(__xludf.DUMMYFUNCTION("""COMPUTED_VALUE"""),0.0)</f>
        <v>0</v>
      </c>
      <c r="K556" s="5">
        <f>IFERROR(__xludf.DUMMYFUNCTION("""COMPUTED_VALUE"""),0.0)</f>
        <v>0</v>
      </c>
      <c r="L556" s="10">
        <f>IFERROR(__xludf.DUMMYFUNCTION("""COMPUTED_VALUE"""),0.0)</f>
        <v>0</v>
      </c>
      <c r="M556" s="5">
        <f>IFERROR(__xludf.DUMMYFUNCTION("""COMPUTED_VALUE"""),0.0)</f>
        <v>0</v>
      </c>
    </row>
    <row r="557">
      <c r="A557" s="10" t="str">
        <f>IFERROR(__xludf.DUMMYFUNCTION("""COMPUTED_VALUE"""),"IKDZSS")</f>
        <v>IKDZSS</v>
      </c>
      <c r="B557" s="10">
        <f>IFERROR(__xludf.DUMMYFUNCTION("""COMPUTED_VALUE"""),548.0)</f>
        <v>548</v>
      </c>
      <c r="C557" s="10">
        <f>IFERROR(__xludf.DUMMYFUNCTION("""COMPUTED_VALUE"""),6446.0)</f>
        <v>6446</v>
      </c>
      <c r="D557" s="5">
        <f>IFERROR(__xludf.DUMMYFUNCTION("""COMPUTED_VALUE"""),0.3894540522210919)</f>
        <v>0.3894540522</v>
      </c>
      <c r="E557" s="5">
        <f>IFERROR(__xludf.DUMMYFUNCTION("""COMPUTED_VALUE"""),0.14682943370634113)</f>
        <v>0.1468294337</v>
      </c>
      <c r="F557" s="5">
        <f>IFERROR(__xludf.DUMMYFUNCTION("""COMPUTED_VALUE"""),0.21702271956595456)</f>
        <v>0.2170227196</v>
      </c>
      <c r="G557" s="5">
        <f>IFERROR(__xludf.DUMMYFUNCTION("""COMPUTED_VALUE"""),0.18836893862326212)</f>
        <v>0.1883689386</v>
      </c>
      <c r="H557" s="5">
        <f>IFERROR(__xludf.DUMMYFUNCTION("""COMPUTED_VALUE"""),0.5796875)</f>
        <v>0.5796875</v>
      </c>
      <c r="I557" s="11">
        <f>IFERROR(__xludf.DUMMYFUNCTION("""COMPUTED_VALUE"""),5456.25)</f>
        <v>5456.25</v>
      </c>
      <c r="J557" s="10">
        <f>IFERROR(__xludf.DUMMYFUNCTION("""COMPUTED_VALUE"""),0.0)</f>
        <v>0</v>
      </c>
      <c r="K557" s="5">
        <f>IFERROR(__xludf.DUMMYFUNCTION("""COMPUTED_VALUE"""),0.0)</f>
        <v>0</v>
      </c>
      <c r="L557" s="10">
        <f>IFERROR(__xludf.DUMMYFUNCTION("""COMPUTED_VALUE"""),548.0)</f>
        <v>548</v>
      </c>
      <c r="M557" s="5">
        <f>IFERROR(__xludf.DUMMYFUNCTION("""COMPUTED_VALUE"""),1.0)</f>
        <v>1</v>
      </c>
    </row>
    <row r="558">
      <c r="A558" s="10" t="str">
        <f>IFERROR(__xludf.DUMMYFUNCTION("""COMPUTED_VALUE"""),"あかべぇそふと2")</f>
        <v>あかべぇそふと2</v>
      </c>
      <c r="B558" s="10">
        <f>IFERROR(__xludf.DUMMYFUNCTION("""COMPUTED_VALUE"""),500.0)</f>
        <v>500</v>
      </c>
      <c r="C558" s="10">
        <f>IFERROR(__xludf.DUMMYFUNCTION("""COMPUTED_VALUE"""),5826.0)</f>
        <v>5826</v>
      </c>
      <c r="D558" s="5">
        <f>IFERROR(__xludf.DUMMYFUNCTION("""COMPUTED_VALUE"""),0.40461885092001504)</f>
        <v>0.4046188509</v>
      </c>
      <c r="E558" s="5">
        <f>IFERROR(__xludf.DUMMYFUNCTION("""COMPUTED_VALUE"""),0.14682688696958318)</f>
        <v>0.146826887</v>
      </c>
      <c r="F558" s="5">
        <f>IFERROR(__xludf.DUMMYFUNCTION("""COMPUTED_VALUE"""),0.20597070972587309)</f>
        <v>0.2059707097</v>
      </c>
      <c r="G558" s="5">
        <f>IFERROR(__xludf.DUMMYFUNCTION("""COMPUTED_VALUE"""),0.15396169733383402)</f>
        <v>0.1539616973</v>
      </c>
      <c r="H558" s="5">
        <f>IFERROR(__xludf.DUMMYFUNCTION("""COMPUTED_VALUE"""),0.5979945305378305)</f>
        <v>0.5979945305</v>
      </c>
      <c r="I558" s="11">
        <f>IFERROR(__xludf.DUMMYFUNCTION("""COMPUTED_VALUE"""),5600.729261622607)</f>
        <v>5600.729262</v>
      </c>
      <c r="J558" s="10">
        <f>IFERROR(__xludf.DUMMYFUNCTION("""COMPUTED_VALUE"""),0.0)</f>
        <v>0</v>
      </c>
      <c r="K558" s="5">
        <f>IFERROR(__xludf.DUMMYFUNCTION("""COMPUTED_VALUE"""),0.0)</f>
        <v>0</v>
      </c>
      <c r="L558" s="10">
        <f>IFERROR(__xludf.DUMMYFUNCTION("""COMPUTED_VALUE"""),499.0)</f>
        <v>499</v>
      </c>
      <c r="M558" s="5">
        <f>IFERROR(__xludf.DUMMYFUNCTION("""COMPUTED_VALUE"""),0.998)</f>
        <v>0.998</v>
      </c>
    </row>
    <row r="559">
      <c r="A559" s="10" t="str">
        <f>IFERROR(__xludf.DUMMYFUNCTION("""COMPUTED_VALUE"""),"寝打ち")</f>
        <v>寝打ち</v>
      </c>
      <c r="B559" s="10">
        <f>IFERROR(__xludf.DUMMYFUNCTION("""COMPUTED_VALUE"""),727.0)</f>
        <v>727</v>
      </c>
      <c r="C559" s="10">
        <f>IFERROR(__xludf.DUMMYFUNCTION("""COMPUTED_VALUE"""),8288.0)</f>
        <v>8288</v>
      </c>
      <c r="D559" s="5">
        <f>IFERROR(__xludf.DUMMYFUNCTION("""COMPUTED_VALUE"""),0.4060309482872636)</f>
        <v>0.4060309483</v>
      </c>
      <c r="E559" s="5">
        <f>IFERROR(__xludf.DUMMYFUNCTION("""COMPUTED_VALUE"""),0.1468059780452321)</f>
        <v>0.146805978</v>
      </c>
      <c r="F559" s="5">
        <f>IFERROR(__xludf.DUMMYFUNCTION("""COMPUTED_VALUE"""),0.23475730723449278)</f>
        <v>0.2347573072</v>
      </c>
      <c r="G559" s="5">
        <f>IFERROR(__xludf.DUMMYFUNCTION("""COMPUTED_VALUE"""),0.19944451792090992)</f>
        <v>0.1994445179</v>
      </c>
      <c r="H559" s="5">
        <f>IFERROR(__xludf.DUMMYFUNCTION("""COMPUTED_VALUE"""),0.6022535211267606)</f>
        <v>0.6022535211</v>
      </c>
      <c r="I559" s="11">
        <f>IFERROR(__xludf.DUMMYFUNCTION("""COMPUTED_VALUE"""),5544.619718309859)</f>
        <v>5544.619718</v>
      </c>
      <c r="J559" s="10">
        <f>IFERROR(__xludf.DUMMYFUNCTION("""COMPUTED_VALUE"""),5.0)</f>
        <v>5</v>
      </c>
      <c r="K559" s="5">
        <f>IFERROR(__xludf.DUMMYFUNCTION("""COMPUTED_VALUE"""),0.0068775790921595595)</f>
        <v>0.006877579092</v>
      </c>
      <c r="L559" s="10">
        <f>IFERROR(__xludf.DUMMYFUNCTION("""COMPUTED_VALUE"""),343.0)</f>
        <v>343</v>
      </c>
      <c r="M559" s="5">
        <f>IFERROR(__xludf.DUMMYFUNCTION("""COMPUTED_VALUE"""),0.4718019257221458)</f>
        <v>0.4718019257</v>
      </c>
    </row>
    <row r="560">
      <c r="A560" s="10" t="str">
        <f>IFERROR(__xludf.DUMMYFUNCTION("""COMPUTED_VALUE"""),"K.Y.なトトロ")</f>
        <v>K.Y.なトトロ</v>
      </c>
      <c r="B560" s="10">
        <f>IFERROR(__xludf.DUMMYFUNCTION("""COMPUTED_VALUE"""),127.0)</f>
        <v>127</v>
      </c>
      <c r="C560" s="10">
        <f>IFERROR(__xludf.DUMMYFUNCTION("""COMPUTED_VALUE"""),1483.0)</f>
        <v>1483</v>
      </c>
      <c r="D560" s="5">
        <f>IFERROR(__xludf.DUMMYFUNCTION("""COMPUTED_VALUE"""),0.3915929203539823)</f>
        <v>0.3915929204</v>
      </c>
      <c r="E560" s="5">
        <f>IFERROR(__xludf.DUMMYFUNCTION("""COMPUTED_VALUE"""),0.1467551622418879)</f>
        <v>0.1467551622</v>
      </c>
      <c r="F560" s="5">
        <f>IFERROR(__xludf.DUMMYFUNCTION("""COMPUTED_VALUE"""),0.21017699115044247)</f>
        <v>0.2101769912</v>
      </c>
      <c r="G560" s="5">
        <f>IFERROR(__xludf.DUMMYFUNCTION("""COMPUTED_VALUE"""),0.1887905604719764)</f>
        <v>0.1887905605</v>
      </c>
      <c r="H560" s="5">
        <f>IFERROR(__xludf.DUMMYFUNCTION("""COMPUTED_VALUE"""),0.6140350877192983)</f>
        <v>0.6140350877</v>
      </c>
      <c r="I560" s="11">
        <f>IFERROR(__xludf.DUMMYFUNCTION("""COMPUTED_VALUE"""),5313.333333333333)</f>
        <v>5313.333333</v>
      </c>
      <c r="J560" s="10">
        <f>IFERROR(__xludf.DUMMYFUNCTION("""COMPUTED_VALUE"""),0.0)</f>
        <v>0</v>
      </c>
      <c r="K560" s="5">
        <f>IFERROR(__xludf.DUMMYFUNCTION("""COMPUTED_VALUE"""),0.0)</f>
        <v>0</v>
      </c>
      <c r="L560" s="10">
        <f>IFERROR(__xludf.DUMMYFUNCTION("""COMPUTED_VALUE"""),127.0)</f>
        <v>127</v>
      </c>
      <c r="M560" s="5">
        <f>IFERROR(__xludf.DUMMYFUNCTION("""COMPUTED_VALUE"""),1.0)</f>
        <v>1</v>
      </c>
    </row>
    <row r="561">
      <c r="A561" s="10" t="str">
        <f>IFERROR(__xludf.DUMMYFUNCTION("""COMPUTED_VALUE"""),"不浪不送")</f>
        <v>不浪不送</v>
      </c>
      <c r="B561" s="10">
        <f>IFERROR(__xludf.DUMMYFUNCTION("""COMPUTED_VALUE"""),241.0)</f>
        <v>241</v>
      </c>
      <c r="C561" s="10">
        <f>IFERROR(__xludf.DUMMYFUNCTION("""COMPUTED_VALUE"""),2742.0)</f>
        <v>2742</v>
      </c>
      <c r="D561" s="5">
        <f>IFERROR(__xludf.DUMMYFUNCTION("""COMPUTED_VALUE"""),0.2882846861255498)</f>
        <v>0.2882846861</v>
      </c>
      <c r="E561" s="5">
        <f>IFERROR(__xludf.DUMMYFUNCTION("""COMPUTED_VALUE"""),0.14674130347860856)</f>
        <v>0.1467413035</v>
      </c>
      <c r="F561" s="5">
        <f>IFERROR(__xludf.DUMMYFUNCTION("""COMPUTED_VALUE"""),0.20831667333066772)</f>
        <v>0.2083166733</v>
      </c>
      <c r="G561" s="5">
        <f>IFERROR(__xludf.DUMMYFUNCTION("""COMPUTED_VALUE"""),0.18112754898040784)</f>
        <v>0.181127549</v>
      </c>
      <c r="H561" s="5">
        <f>IFERROR(__xludf.DUMMYFUNCTION("""COMPUTED_VALUE"""),0.5911708253358925)</f>
        <v>0.5911708253</v>
      </c>
      <c r="I561" s="11">
        <f>IFERROR(__xludf.DUMMYFUNCTION("""COMPUTED_VALUE"""),5789.059500959693)</f>
        <v>5789.059501</v>
      </c>
      <c r="J561" s="10">
        <f>IFERROR(__xludf.DUMMYFUNCTION("""COMPUTED_VALUE"""),0.0)</f>
        <v>0</v>
      </c>
      <c r="K561" s="5">
        <f>IFERROR(__xludf.DUMMYFUNCTION("""COMPUTED_VALUE"""),0.0)</f>
        <v>0</v>
      </c>
      <c r="L561" s="10">
        <f>IFERROR(__xludf.DUMMYFUNCTION("""COMPUTED_VALUE"""),241.0)</f>
        <v>241</v>
      </c>
      <c r="M561" s="5">
        <f>IFERROR(__xludf.DUMMYFUNCTION("""COMPUTED_VALUE"""),1.0)</f>
        <v>1</v>
      </c>
    </row>
    <row r="562">
      <c r="A562" s="10" t="str">
        <f>IFERROR(__xludf.DUMMYFUNCTION("""COMPUTED_VALUE"""),"かりあげ正太")</f>
        <v>かりあげ正太</v>
      </c>
      <c r="B562" s="10">
        <f>IFERROR(__xludf.DUMMYFUNCTION("""COMPUTED_VALUE"""),154.0)</f>
        <v>154</v>
      </c>
      <c r="C562" s="10">
        <f>IFERROR(__xludf.DUMMYFUNCTION("""COMPUTED_VALUE"""),1810.0)</f>
        <v>1810</v>
      </c>
      <c r="D562" s="5">
        <f>IFERROR(__xludf.DUMMYFUNCTION("""COMPUTED_VALUE"""),0.5531400966183575)</f>
        <v>0.5531400966</v>
      </c>
      <c r="E562" s="5">
        <f>IFERROR(__xludf.DUMMYFUNCTION("""COMPUTED_VALUE"""),0.14673913043478262)</f>
        <v>0.1467391304</v>
      </c>
      <c r="F562" s="5">
        <f>IFERROR(__xludf.DUMMYFUNCTION("""COMPUTED_VALUE"""),0.23490338164251207)</f>
        <v>0.2349033816</v>
      </c>
      <c r="G562" s="5">
        <f>IFERROR(__xludf.DUMMYFUNCTION("""COMPUTED_VALUE"""),0.13345410628019325)</f>
        <v>0.1334541063</v>
      </c>
      <c r="H562" s="5">
        <f>IFERROR(__xludf.DUMMYFUNCTION("""COMPUTED_VALUE"""),0.6580976863753213)</f>
        <v>0.6580976864</v>
      </c>
      <c r="I562" s="11">
        <f>IFERROR(__xludf.DUMMYFUNCTION("""COMPUTED_VALUE"""),5065.552699228791)</f>
        <v>5065.552699</v>
      </c>
      <c r="J562" s="10">
        <f>IFERROR(__xludf.DUMMYFUNCTION("""COMPUTED_VALUE"""),0.0)</f>
        <v>0</v>
      </c>
      <c r="K562" s="5">
        <f>IFERROR(__xludf.DUMMYFUNCTION("""COMPUTED_VALUE"""),0.0)</f>
        <v>0</v>
      </c>
      <c r="L562" s="10">
        <f>IFERROR(__xludf.DUMMYFUNCTION("""COMPUTED_VALUE"""),154.0)</f>
        <v>154</v>
      </c>
      <c r="M562" s="5">
        <f>IFERROR(__xludf.DUMMYFUNCTION("""COMPUTED_VALUE"""),1.0)</f>
        <v>1</v>
      </c>
    </row>
    <row r="563">
      <c r="A563" s="10" t="str">
        <f>IFERROR(__xludf.DUMMYFUNCTION("""COMPUTED_VALUE"""),"darkRide")</f>
        <v>darkRide</v>
      </c>
      <c r="B563" s="10">
        <f>IFERROR(__xludf.DUMMYFUNCTION("""COMPUTED_VALUE"""),261.0)</f>
        <v>261</v>
      </c>
      <c r="C563" s="10">
        <f>IFERROR(__xludf.DUMMYFUNCTION("""COMPUTED_VALUE"""),2926.0)</f>
        <v>2926</v>
      </c>
      <c r="D563" s="5">
        <f>IFERROR(__xludf.DUMMYFUNCTION("""COMPUTED_VALUE"""),0.3328330206378987)</f>
        <v>0.3328330206</v>
      </c>
      <c r="E563" s="5">
        <f>IFERROR(__xludf.DUMMYFUNCTION("""COMPUTED_VALUE"""),0.14671669793621014)</f>
        <v>0.1467166979</v>
      </c>
      <c r="F563" s="5">
        <f>IFERROR(__xludf.DUMMYFUNCTION("""COMPUTED_VALUE"""),0.21613508442776735)</f>
        <v>0.2161350844</v>
      </c>
      <c r="G563" s="5">
        <f>IFERROR(__xludf.DUMMYFUNCTION("""COMPUTED_VALUE"""),0.14859287054409007)</f>
        <v>0.1485928705</v>
      </c>
      <c r="H563" s="5">
        <f>IFERROR(__xludf.DUMMYFUNCTION("""COMPUTED_VALUE"""),0.609375)</f>
        <v>0.609375</v>
      </c>
      <c r="I563" s="11">
        <f>IFERROR(__xludf.DUMMYFUNCTION("""COMPUTED_VALUE"""),6247.395833333333)</f>
        <v>6247.395833</v>
      </c>
      <c r="J563" s="10">
        <f>IFERROR(__xludf.DUMMYFUNCTION("""COMPUTED_VALUE"""),1.0)</f>
        <v>1</v>
      </c>
      <c r="K563" s="5">
        <f>IFERROR(__xludf.DUMMYFUNCTION("""COMPUTED_VALUE"""),0.0038314176245210726)</f>
        <v>0.003831417625</v>
      </c>
      <c r="L563" s="10">
        <f>IFERROR(__xludf.DUMMYFUNCTION("""COMPUTED_VALUE"""),261.0)</f>
        <v>261</v>
      </c>
      <c r="M563" s="5">
        <f>IFERROR(__xludf.DUMMYFUNCTION("""COMPUTED_VALUE"""),1.0)</f>
        <v>1</v>
      </c>
    </row>
    <row r="564">
      <c r="A564" s="10" t="str">
        <f>IFERROR(__xludf.DUMMYFUNCTION("""COMPUTED_VALUE"""),"つきをください")</f>
        <v>つきをください</v>
      </c>
      <c r="B564" s="10">
        <f>IFERROR(__xludf.DUMMYFUNCTION("""COMPUTED_VALUE"""),852.0)</f>
        <v>852</v>
      </c>
      <c r="C564" s="10">
        <f>IFERROR(__xludf.DUMMYFUNCTION("""COMPUTED_VALUE"""),9802.0)</f>
        <v>9802</v>
      </c>
      <c r="D564" s="5">
        <f>IFERROR(__xludf.DUMMYFUNCTION("""COMPUTED_VALUE"""),0.3088268156424581)</f>
        <v>0.3088268156</v>
      </c>
      <c r="E564" s="5">
        <f>IFERROR(__xludf.DUMMYFUNCTION("""COMPUTED_VALUE"""),0.14670391061452515)</f>
        <v>0.1467039106</v>
      </c>
      <c r="F564" s="5">
        <f>IFERROR(__xludf.DUMMYFUNCTION("""COMPUTED_VALUE"""),0.2204469273743017)</f>
        <v>0.2204469274</v>
      </c>
      <c r="G564" s="5">
        <f>IFERROR(__xludf.DUMMYFUNCTION("""COMPUTED_VALUE"""),0.1929608938547486)</f>
        <v>0.1929608939</v>
      </c>
      <c r="H564" s="5">
        <f>IFERROR(__xludf.DUMMYFUNCTION("""COMPUTED_VALUE"""),0.6097313735428281)</f>
        <v>0.6097313735</v>
      </c>
      <c r="I564" s="11">
        <f>IFERROR(__xludf.DUMMYFUNCTION("""COMPUTED_VALUE"""),5938.9254941713125)</f>
        <v>5938.925494</v>
      </c>
      <c r="J564" s="10">
        <f>IFERROR(__xludf.DUMMYFUNCTION("""COMPUTED_VALUE"""),3.0)</f>
        <v>3</v>
      </c>
      <c r="K564" s="5">
        <f>IFERROR(__xludf.DUMMYFUNCTION("""COMPUTED_VALUE"""),0.0035211267605633804)</f>
        <v>0.003521126761</v>
      </c>
      <c r="L564" s="10">
        <f>IFERROR(__xludf.DUMMYFUNCTION("""COMPUTED_VALUE"""),55.0)</f>
        <v>55</v>
      </c>
      <c r="M564" s="5">
        <f>IFERROR(__xludf.DUMMYFUNCTION("""COMPUTED_VALUE"""),0.06455399061032864)</f>
        <v>0.06455399061</v>
      </c>
    </row>
    <row r="565">
      <c r="A565" s="10" t="str">
        <f>IFERROR(__xludf.DUMMYFUNCTION("""COMPUTED_VALUE"""),"Gen/gen")</f>
        <v>Gen/gen</v>
      </c>
      <c r="B565" s="10">
        <f>IFERROR(__xludf.DUMMYFUNCTION("""COMPUTED_VALUE"""),1149.0)</f>
        <v>1149</v>
      </c>
      <c r="C565" s="10">
        <f>IFERROR(__xludf.DUMMYFUNCTION("""COMPUTED_VALUE"""),13257.0)</f>
        <v>13257</v>
      </c>
      <c r="D565" s="5">
        <f>IFERROR(__xludf.DUMMYFUNCTION("""COMPUTED_VALUE"""),0.3315163528245788)</f>
        <v>0.3315163528</v>
      </c>
      <c r="E565" s="5">
        <f>IFERROR(__xludf.DUMMYFUNCTION("""COMPUTED_VALUE"""),0.1466798810703667)</f>
        <v>0.1466798811</v>
      </c>
      <c r="F565" s="5">
        <f>IFERROR(__xludf.DUMMYFUNCTION("""COMPUTED_VALUE"""),0.21143045920052858)</f>
        <v>0.2114304592</v>
      </c>
      <c r="G565" s="5">
        <f>IFERROR(__xludf.DUMMYFUNCTION("""COMPUTED_VALUE"""),0.15972910472414933)</f>
        <v>0.1597291047</v>
      </c>
      <c r="H565" s="5">
        <f>IFERROR(__xludf.DUMMYFUNCTION("""COMPUTED_VALUE"""),0.60234375)</f>
        <v>0.60234375</v>
      </c>
      <c r="I565" s="11">
        <f>IFERROR(__xludf.DUMMYFUNCTION("""COMPUTED_VALUE"""),5563.28125)</f>
        <v>5563.28125</v>
      </c>
      <c r="J565" s="10">
        <f>IFERROR(__xludf.DUMMYFUNCTION("""COMPUTED_VALUE"""),5.0)</f>
        <v>5</v>
      </c>
      <c r="K565" s="5">
        <f>IFERROR(__xludf.DUMMYFUNCTION("""COMPUTED_VALUE"""),0.004351610095735422)</f>
        <v>0.004351610096</v>
      </c>
      <c r="L565" s="10">
        <f>IFERROR(__xludf.DUMMYFUNCTION("""COMPUTED_VALUE"""),1149.0)</f>
        <v>1149</v>
      </c>
      <c r="M565" s="5">
        <f>IFERROR(__xludf.DUMMYFUNCTION("""COMPUTED_VALUE"""),1.0)</f>
        <v>1</v>
      </c>
    </row>
    <row r="566">
      <c r="A566" s="10" t="str">
        <f>IFERROR(__xludf.DUMMYFUNCTION("""COMPUTED_VALUE"""),"まぁー")</f>
        <v>まぁー</v>
      </c>
      <c r="B566" s="10">
        <f>IFERROR(__xludf.DUMMYFUNCTION("""COMPUTED_VALUE"""),114.0)</f>
        <v>114</v>
      </c>
      <c r="C566" s="10">
        <f>IFERROR(__xludf.DUMMYFUNCTION("""COMPUTED_VALUE"""),1348.0)</f>
        <v>1348</v>
      </c>
      <c r="D566" s="5">
        <f>IFERROR(__xludf.DUMMYFUNCTION("""COMPUTED_VALUE"""),0.36709886547811993)</f>
        <v>0.3670988655</v>
      </c>
      <c r="E566" s="5">
        <f>IFERROR(__xludf.DUMMYFUNCTION("""COMPUTED_VALUE"""),0.146677471636953)</f>
        <v>0.1466774716</v>
      </c>
      <c r="F566" s="5">
        <f>IFERROR(__xludf.DUMMYFUNCTION("""COMPUTED_VALUE"""),0.21555915721231766)</f>
        <v>0.2155591572</v>
      </c>
      <c r="G566" s="5">
        <f>IFERROR(__xludf.DUMMYFUNCTION("""COMPUTED_VALUE"""),0.18557536466774716)</f>
        <v>0.1855753647</v>
      </c>
      <c r="H566" s="5">
        <f>IFERROR(__xludf.DUMMYFUNCTION("""COMPUTED_VALUE"""),0.5676691729323309)</f>
        <v>0.5676691729</v>
      </c>
      <c r="I566" s="11">
        <f>IFERROR(__xludf.DUMMYFUNCTION("""COMPUTED_VALUE"""),6065.413533834587)</f>
        <v>6065.413534</v>
      </c>
      <c r="J566" s="10">
        <f>IFERROR(__xludf.DUMMYFUNCTION("""COMPUTED_VALUE"""),0.0)</f>
        <v>0</v>
      </c>
      <c r="K566" s="5">
        <f>IFERROR(__xludf.DUMMYFUNCTION("""COMPUTED_VALUE"""),0.0)</f>
        <v>0</v>
      </c>
      <c r="L566" s="10">
        <f>IFERROR(__xludf.DUMMYFUNCTION("""COMPUTED_VALUE"""),114.0)</f>
        <v>114</v>
      </c>
      <c r="M566" s="5">
        <f>IFERROR(__xludf.DUMMYFUNCTION("""COMPUTED_VALUE"""),1.0)</f>
        <v>1</v>
      </c>
    </row>
    <row r="567">
      <c r="A567" s="10" t="str">
        <f>IFERROR(__xludf.DUMMYFUNCTION("""COMPUTED_VALUE"""),"小野寺小咲♪")</f>
        <v>小野寺小咲♪</v>
      </c>
      <c r="B567" s="10">
        <f>IFERROR(__xludf.DUMMYFUNCTION("""COMPUTED_VALUE"""),260.0)</f>
        <v>260</v>
      </c>
      <c r="C567" s="10">
        <f>IFERROR(__xludf.DUMMYFUNCTION("""COMPUTED_VALUE"""),3035.0)</f>
        <v>3035</v>
      </c>
      <c r="D567" s="5">
        <f>IFERROR(__xludf.DUMMYFUNCTION("""COMPUTED_VALUE"""),0.29153153153153155)</f>
        <v>0.2915315315</v>
      </c>
      <c r="E567" s="5">
        <f>IFERROR(__xludf.DUMMYFUNCTION("""COMPUTED_VALUE"""),0.14666666666666667)</f>
        <v>0.1466666667</v>
      </c>
      <c r="F567" s="5">
        <f>IFERROR(__xludf.DUMMYFUNCTION("""COMPUTED_VALUE"""),0.18486486486486486)</f>
        <v>0.1848648649</v>
      </c>
      <c r="G567" s="5">
        <f>IFERROR(__xludf.DUMMYFUNCTION("""COMPUTED_VALUE"""),0.19495495495495496)</f>
        <v>0.194954955</v>
      </c>
      <c r="H567" s="5">
        <f>IFERROR(__xludf.DUMMYFUNCTION("""COMPUTED_VALUE"""),0.5867446393762183)</f>
        <v>0.5867446394</v>
      </c>
      <c r="I567" s="11">
        <f>IFERROR(__xludf.DUMMYFUNCTION("""COMPUTED_VALUE"""),5910.136452241715)</f>
        <v>5910.136452</v>
      </c>
      <c r="J567" s="10">
        <f>IFERROR(__xludf.DUMMYFUNCTION("""COMPUTED_VALUE"""),2.0)</f>
        <v>2</v>
      </c>
      <c r="K567" s="5">
        <f>IFERROR(__xludf.DUMMYFUNCTION("""COMPUTED_VALUE"""),0.007692307692307693)</f>
        <v>0.007692307692</v>
      </c>
      <c r="L567" s="10">
        <f>IFERROR(__xludf.DUMMYFUNCTION("""COMPUTED_VALUE"""),3.0)</f>
        <v>3</v>
      </c>
      <c r="M567" s="5">
        <f>IFERROR(__xludf.DUMMYFUNCTION("""COMPUTED_VALUE"""),0.011538461538461539)</f>
        <v>0.01153846154</v>
      </c>
    </row>
    <row r="568">
      <c r="A568" s="10" t="str">
        <f>IFERROR(__xludf.DUMMYFUNCTION("""COMPUTED_VALUE"""),"ら・せ・ら♪")</f>
        <v>ら・せ・ら♪</v>
      </c>
      <c r="B568" s="10">
        <f>IFERROR(__xludf.DUMMYFUNCTION("""COMPUTED_VALUE"""),111.0)</f>
        <v>111</v>
      </c>
      <c r="C568" s="10">
        <f>IFERROR(__xludf.DUMMYFUNCTION("""COMPUTED_VALUE"""),1318.0)</f>
        <v>1318</v>
      </c>
      <c r="D568" s="5">
        <f>IFERROR(__xludf.DUMMYFUNCTION("""COMPUTED_VALUE"""),0.28583264291632143)</f>
        <v>0.2858326429</v>
      </c>
      <c r="E568" s="5">
        <f>IFERROR(__xludf.DUMMYFUNCTION("""COMPUTED_VALUE"""),0.14664457332228667)</f>
        <v>0.1466445733</v>
      </c>
      <c r="F568" s="5">
        <f>IFERROR(__xludf.DUMMYFUNCTION("""COMPUTED_VALUE"""),0.188069594034797)</f>
        <v>0.188069594</v>
      </c>
      <c r="G568" s="5">
        <f>IFERROR(__xludf.DUMMYFUNCTION("""COMPUTED_VALUE"""),0.14498757249378624)</f>
        <v>0.1449875725</v>
      </c>
      <c r="H568" s="5">
        <f>IFERROR(__xludf.DUMMYFUNCTION("""COMPUTED_VALUE"""),0.5947136563876652)</f>
        <v>0.5947136564</v>
      </c>
      <c r="I568" s="11">
        <f>IFERROR(__xludf.DUMMYFUNCTION("""COMPUTED_VALUE"""),5810.57268722467)</f>
        <v>5810.572687</v>
      </c>
      <c r="J568" s="10">
        <f>IFERROR(__xludf.DUMMYFUNCTION("""COMPUTED_VALUE"""),0.0)</f>
        <v>0</v>
      </c>
      <c r="K568" s="5">
        <f>IFERROR(__xludf.DUMMYFUNCTION("""COMPUTED_VALUE"""),0.0)</f>
        <v>0</v>
      </c>
      <c r="L568" s="10">
        <f>IFERROR(__xludf.DUMMYFUNCTION("""COMPUTED_VALUE"""),111.0)</f>
        <v>111</v>
      </c>
      <c r="M568" s="5">
        <f>IFERROR(__xludf.DUMMYFUNCTION("""COMPUTED_VALUE"""),1.0)</f>
        <v>1</v>
      </c>
    </row>
    <row r="569">
      <c r="A569" s="10" t="str">
        <f>IFERROR(__xludf.DUMMYFUNCTION("""COMPUTED_VALUE"""),"Jeff")</f>
        <v>Jeff</v>
      </c>
      <c r="B569" s="10">
        <f>IFERROR(__xludf.DUMMYFUNCTION("""COMPUTED_VALUE"""),245.0)</f>
        <v>245</v>
      </c>
      <c r="C569" s="10">
        <f>IFERROR(__xludf.DUMMYFUNCTION("""COMPUTED_VALUE"""),2925.0)</f>
        <v>2925</v>
      </c>
      <c r="D569" s="5">
        <f>IFERROR(__xludf.DUMMYFUNCTION("""COMPUTED_VALUE"""),0.37910447761194027)</f>
        <v>0.3791044776</v>
      </c>
      <c r="E569" s="5">
        <f>IFERROR(__xludf.DUMMYFUNCTION("""COMPUTED_VALUE"""),0.14664179104477612)</f>
        <v>0.146641791</v>
      </c>
      <c r="F569" s="5">
        <f>IFERROR(__xludf.DUMMYFUNCTION("""COMPUTED_VALUE"""),0.2085820895522388)</f>
        <v>0.2085820896</v>
      </c>
      <c r="G569" s="5">
        <f>IFERROR(__xludf.DUMMYFUNCTION("""COMPUTED_VALUE"""),0.16791044776119404)</f>
        <v>0.1679104478</v>
      </c>
      <c r="H569" s="5">
        <f>IFERROR(__xludf.DUMMYFUNCTION("""COMPUTED_VALUE"""),0.592128801431127)</f>
        <v>0.5921288014</v>
      </c>
      <c r="I569" s="11">
        <f>IFERROR(__xludf.DUMMYFUNCTION("""COMPUTED_VALUE"""),5699.105545617173)</f>
        <v>5699.105546</v>
      </c>
      <c r="J569" s="10">
        <f>IFERROR(__xludf.DUMMYFUNCTION("""COMPUTED_VALUE"""),0.0)</f>
        <v>0</v>
      </c>
      <c r="K569" s="5">
        <f>IFERROR(__xludf.DUMMYFUNCTION("""COMPUTED_VALUE"""),0.0)</f>
        <v>0</v>
      </c>
      <c r="L569" s="10">
        <f>IFERROR(__xludf.DUMMYFUNCTION("""COMPUTED_VALUE"""),206.0)</f>
        <v>206</v>
      </c>
      <c r="M569" s="5">
        <f>IFERROR(__xludf.DUMMYFUNCTION("""COMPUTED_VALUE"""),0.8408163265306122)</f>
        <v>0.8408163265</v>
      </c>
    </row>
    <row r="570">
      <c r="A570" s="10" t="str">
        <f>IFERROR(__xludf.DUMMYFUNCTION("""COMPUTED_VALUE"""),"ノオチャベス")</f>
        <v>ノオチャベス</v>
      </c>
      <c r="B570" s="10">
        <f>IFERROR(__xludf.DUMMYFUNCTION("""COMPUTED_VALUE"""),3264.0)</f>
        <v>3264</v>
      </c>
      <c r="C570" s="10">
        <f>IFERROR(__xludf.DUMMYFUNCTION("""COMPUTED_VALUE"""),37932.0)</f>
        <v>37932</v>
      </c>
      <c r="D570" s="5">
        <f>IFERROR(__xludf.DUMMYFUNCTION("""COMPUTED_VALUE"""),0.30812276450905735)</f>
        <v>0.3081227645</v>
      </c>
      <c r="E570" s="5">
        <f>IFERROR(__xludf.DUMMYFUNCTION("""COMPUTED_VALUE"""),0.14661936079381563)</f>
        <v>0.1466193608</v>
      </c>
      <c r="F570" s="5">
        <f>IFERROR(__xludf.DUMMYFUNCTION("""COMPUTED_VALUE"""),0.22230875735548633)</f>
        <v>0.2223087574</v>
      </c>
      <c r="G570" s="5">
        <f>IFERROR(__xludf.DUMMYFUNCTION("""COMPUTED_VALUE"""),0.18218530056536286)</f>
        <v>0.1821853006</v>
      </c>
      <c r="H570" s="5">
        <f>IFERROR(__xludf.DUMMYFUNCTION("""COMPUTED_VALUE"""),0.600233553912028)</f>
        <v>0.6002335539</v>
      </c>
      <c r="I570" s="11">
        <f>IFERROR(__xludf.DUMMYFUNCTION("""COMPUTED_VALUE"""),5842.454911119761)</f>
        <v>5842.454911</v>
      </c>
      <c r="J570" s="10">
        <f>IFERROR(__xludf.DUMMYFUNCTION("""COMPUTED_VALUE"""),9.0)</f>
        <v>9</v>
      </c>
      <c r="K570" s="5">
        <f>IFERROR(__xludf.DUMMYFUNCTION("""COMPUTED_VALUE"""),0.0027573529411764708)</f>
        <v>0.002757352941</v>
      </c>
      <c r="L570" s="10">
        <f>IFERROR(__xludf.DUMMYFUNCTION("""COMPUTED_VALUE"""),3172.0)</f>
        <v>3172</v>
      </c>
      <c r="M570" s="5">
        <f>IFERROR(__xludf.DUMMYFUNCTION("""COMPUTED_VALUE"""),0.9718137254901961)</f>
        <v>0.9718137255</v>
      </c>
    </row>
    <row r="571">
      <c r="A571" s="10" t="str">
        <f>IFERROR(__xludf.DUMMYFUNCTION("""COMPUTED_VALUE"""),"ytomoyu")</f>
        <v>ytomoyu</v>
      </c>
      <c r="B571" s="10">
        <f>IFERROR(__xludf.DUMMYFUNCTION("""COMPUTED_VALUE"""),563.0)</f>
        <v>563</v>
      </c>
      <c r="C571" s="10">
        <f>IFERROR(__xludf.DUMMYFUNCTION("""COMPUTED_VALUE"""),6424.0)</f>
        <v>6424</v>
      </c>
      <c r="D571" s="5">
        <f>IFERROR(__xludf.DUMMYFUNCTION("""COMPUTED_VALUE"""),0.3112096911789797)</f>
        <v>0.3112096912</v>
      </c>
      <c r="E571" s="5">
        <f>IFERROR(__xludf.DUMMYFUNCTION("""COMPUTED_VALUE"""),0.1465620201330831)</f>
        <v>0.1465620201</v>
      </c>
      <c r="F571" s="5">
        <f>IFERROR(__xludf.DUMMYFUNCTION("""COMPUTED_VALUE"""),0.2028664050503327)</f>
        <v>0.2028664051</v>
      </c>
      <c r="G571" s="5">
        <f>IFERROR(__xludf.DUMMYFUNCTION("""COMPUTED_VALUE"""),0.1680600580105784)</f>
        <v>0.168060058</v>
      </c>
      <c r="H571" s="5">
        <f>IFERROR(__xludf.DUMMYFUNCTION("""COMPUTED_VALUE"""),0.6063919259882254)</f>
        <v>0.606391926</v>
      </c>
      <c r="I571" s="11">
        <f>IFERROR(__xludf.DUMMYFUNCTION("""COMPUTED_VALUE"""),6264.255677039529)</f>
        <v>6264.255677</v>
      </c>
      <c r="J571" s="10">
        <f>IFERROR(__xludf.DUMMYFUNCTION("""COMPUTED_VALUE"""),0.0)</f>
        <v>0</v>
      </c>
      <c r="K571" s="5">
        <f>IFERROR(__xludf.DUMMYFUNCTION("""COMPUTED_VALUE"""),0.0)</f>
        <v>0</v>
      </c>
      <c r="L571" s="10">
        <f>IFERROR(__xludf.DUMMYFUNCTION("""COMPUTED_VALUE"""),563.0)</f>
        <v>563</v>
      </c>
      <c r="M571" s="5">
        <f>IFERROR(__xludf.DUMMYFUNCTION("""COMPUTED_VALUE"""),1.0)</f>
        <v>1</v>
      </c>
    </row>
    <row r="572">
      <c r="A572" s="10" t="str">
        <f>IFERROR(__xludf.DUMMYFUNCTION("""COMPUTED_VALUE"""),"yushi**")</f>
        <v>yushi**</v>
      </c>
      <c r="B572" s="10">
        <f>IFERROR(__xludf.DUMMYFUNCTION("""COMPUTED_VALUE"""),360.0)</f>
        <v>360</v>
      </c>
      <c r="C572" s="10">
        <f>IFERROR(__xludf.DUMMYFUNCTION("""COMPUTED_VALUE"""),4297.0)</f>
        <v>4297</v>
      </c>
      <c r="D572" s="5">
        <f>IFERROR(__xludf.DUMMYFUNCTION("""COMPUTED_VALUE"""),0.2476504953009906)</f>
        <v>0.2476504953</v>
      </c>
      <c r="E572" s="5">
        <f>IFERROR(__xludf.DUMMYFUNCTION("""COMPUTED_VALUE"""),0.14655829311658625)</f>
        <v>0.1465582931</v>
      </c>
      <c r="F572" s="5">
        <f>IFERROR(__xludf.DUMMYFUNCTION("""COMPUTED_VALUE"""),0.18669037338074676)</f>
        <v>0.1866903734</v>
      </c>
      <c r="G572" s="5">
        <f>IFERROR(__xludf.DUMMYFUNCTION("""COMPUTED_VALUE"""),0.17729235458470918)</f>
        <v>0.1772923546</v>
      </c>
      <c r="H572" s="5">
        <f>IFERROR(__xludf.DUMMYFUNCTION("""COMPUTED_VALUE"""),0.6054421768707483)</f>
        <v>0.6054421769</v>
      </c>
      <c r="I572" s="11">
        <f>IFERROR(__xludf.DUMMYFUNCTION("""COMPUTED_VALUE"""),6388.9795918367345)</f>
        <v>6388.979592</v>
      </c>
      <c r="J572" s="10">
        <f>IFERROR(__xludf.DUMMYFUNCTION("""COMPUTED_VALUE"""),0.0)</f>
        <v>0</v>
      </c>
      <c r="K572" s="5">
        <f>IFERROR(__xludf.DUMMYFUNCTION("""COMPUTED_VALUE"""),0.0)</f>
        <v>0</v>
      </c>
      <c r="L572" s="10">
        <f>IFERROR(__xludf.DUMMYFUNCTION("""COMPUTED_VALUE"""),360.0)</f>
        <v>360</v>
      </c>
      <c r="M572" s="5">
        <f>IFERROR(__xludf.DUMMYFUNCTION("""COMPUTED_VALUE"""),1.0)</f>
        <v>1</v>
      </c>
    </row>
    <row r="573">
      <c r="A573" s="10" t="str">
        <f>IFERROR(__xludf.DUMMYFUNCTION("""COMPUTED_VALUE"""),"nisangar")</f>
        <v>nisangar</v>
      </c>
      <c r="B573" s="10">
        <f>IFERROR(__xludf.DUMMYFUNCTION("""COMPUTED_VALUE"""),186.0)</f>
        <v>186</v>
      </c>
      <c r="C573" s="10">
        <f>IFERROR(__xludf.DUMMYFUNCTION("""COMPUTED_VALUE"""),2158.0)</f>
        <v>2158</v>
      </c>
      <c r="D573" s="5">
        <f>IFERROR(__xludf.DUMMYFUNCTION("""COMPUTED_VALUE"""),0.3220081135902637)</f>
        <v>0.3220081136</v>
      </c>
      <c r="E573" s="5">
        <f>IFERROR(__xludf.DUMMYFUNCTION("""COMPUTED_VALUE"""),0.14655172413793102)</f>
        <v>0.1465517241</v>
      </c>
      <c r="F573" s="5">
        <f>IFERROR(__xludf.DUMMYFUNCTION("""COMPUTED_VALUE"""),0.2302231237322515)</f>
        <v>0.2302231237</v>
      </c>
      <c r="G573" s="5">
        <f>IFERROR(__xludf.DUMMYFUNCTION("""COMPUTED_VALUE"""),0.17342799188640973)</f>
        <v>0.1734279919</v>
      </c>
      <c r="H573" s="5">
        <f>IFERROR(__xludf.DUMMYFUNCTION("""COMPUTED_VALUE"""),0.6321585903083701)</f>
        <v>0.6321585903</v>
      </c>
      <c r="I573" s="11">
        <f>IFERROR(__xludf.DUMMYFUNCTION("""COMPUTED_VALUE"""),5483.2599118942735)</f>
        <v>5483.259912</v>
      </c>
      <c r="J573" s="10">
        <f>IFERROR(__xludf.DUMMYFUNCTION("""COMPUTED_VALUE"""),1.0)</f>
        <v>1</v>
      </c>
      <c r="K573" s="5">
        <f>IFERROR(__xludf.DUMMYFUNCTION("""COMPUTED_VALUE"""),0.005376344086021506)</f>
        <v>0.005376344086</v>
      </c>
      <c r="L573" s="10">
        <f>IFERROR(__xludf.DUMMYFUNCTION("""COMPUTED_VALUE"""),0.0)</f>
        <v>0</v>
      </c>
      <c r="M573" s="5">
        <f>IFERROR(__xludf.DUMMYFUNCTION("""COMPUTED_VALUE"""),0.0)</f>
        <v>0</v>
      </c>
    </row>
    <row r="574">
      <c r="A574" s="10" t="str">
        <f>IFERROR(__xludf.DUMMYFUNCTION("""COMPUTED_VALUE"""),"土天寺")</f>
        <v>土天寺</v>
      </c>
      <c r="B574" s="10">
        <f>IFERROR(__xludf.DUMMYFUNCTION("""COMPUTED_VALUE"""),110.0)</f>
        <v>110</v>
      </c>
      <c r="C574" s="10">
        <f>IFERROR(__xludf.DUMMYFUNCTION("""COMPUTED_VALUE"""),1277.0)</f>
        <v>1277</v>
      </c>
      <c r="D574" s="5">
        <f>IFERROR(__xludf.DUMMYFUNCTION("""COMPUTED_VALUE"""),0.38303341902313626)</f>
        <v>0.383033419</v>
      </c>
      <c r="E574" s="5">
        <f>IFERROR(__xludf.DUMMYFUNCTION("""COMPUTED_VALUE"""),0.14652956298200515)</f>
        <v>0.146529563</v>
      </c>
      <c r="F574" s="5">
        <f>IFERROR(__xludf.DUMMYFUNCTION("""COMPUTED_VALUE"""),0.2125107112253642)</f>
        <v>0.2125107112</v>
      </c>
      <c r="G574" s="5">
        <f>IFERROR(__xludf.DUMMYFUNCTION("""COMPUTED_VALUE"""),0.14995715509854327)</f>
        <v>0.1499571551</v>
      </c>
      <c r="H574" s="5">
        <f>IFERROR(__xludf.DUMMYFUNCTION("""COMPUTED_VALUE"""),0.6491935483870968)</f>
        <v>0.6491935484</v>
      </c>
      <c r="I574" s="11">
        <f>IFERROR(__xludf.DUMMYFUNCTION("""COMPUTED_VALUE"""),4787.5)</f>
        <v>4787.5</v>
      </c>
      <c r="J574" s="10">
        <f>IFERROR(__xludf.DUMMYFUNCTION("""COMPUTED_VALUE"""),0.0)</f>
        <v>0</v>
      </c>
      <c r="K574" s="5">
        <f>IFERROR(__xludf.DUMMYFUNCTION("""COMPUTED_VALUE"""),0.0)</f>
        <v>0</v>
      </c>
      <c r="L574" s="10">
        <f>IFERROR(__xludf.DUMMYFUNCTION("""COMPUTED_VALUE"""),110.0)</f>
        <v>110</v>
      </c>
      <c r="M574" s="5">
        <f>IFERROR(__xludf.DUMMYFUNCTION("""COMPUTED_VALUE"""),1.0)</f>
        <v>1</v>
      </c>
    </row>
    <row r="575">
      <c r="A575" s="10" t="str">
        <f>IFERROR(__xludf.DUMMYFUNCTION("""COMPUTED_VALUE"""),"☆をわん☆")</f>
        <v>☆をわん☆</v>
      </c>
      <c r="B575" s="10">
        <f>IFERROR(__xludf.DUMMYFUNCTION("""COMPUTED_VALUE"""),586.0)</f>
        <v>586</v>
      </c>
      <c r="C575" s="10">
        <f>IFERROR(__xludf.DUMMYFUNCTION("""COMPUTED_VALUE"""),6858.0)</f>
        <v>6858</v>
      </c>
      <c r="D575" s="5">
        <f>IFERROR(__xludf.DUMMYFUNCTION("""COMPUTED_VALUE"""),0.35267857142857145)</f>
        <v>0.3526785714</v>
      </c>
      <c r="E575" s="5">
        <f>IFERROR(__xludf.DUMMYFUNCTION("""COMPUTED_VALUE"""),0.14652423469387754)</f>
        <v>0.1465242347</v>
      </c>
      <c r="F575" s="5">
        <f>IFERROR(__xludf.DUMMYFUNCTION("""COMPUTED_VALUE"""),0.21173469387755103)</f>
        <v>0.2117346939</v>
      </c>
      <c r="G575" s="5">
        <f>IFERROR(__xludf.DUMMYFUNCTION("""COMPUTED_VALUE"""),0.16278698979591838)</f>
        <v>0.1627869898</v>
      </c>
      <c r="H575" s="5">
        <f>IFERROR(__xludf.DUMMYFUNCTION("""COMPUTED_VALUE"""),0.5873493975903614)</f>
        <v>0.5873493976</v>
      </c>
      <c r="I575" s="11">
        <f>IFERROR(__xludf.DUMMYFUNCTION("""COMPUTED_VALUE"""),5546.084337349397)</f>
        <v>5546.084337</v>
      </c>
      <c r="J575" s="10">
        <f>IFERROR(__xludf.DUMMYFUNCTION("""COMPUTED_VALUE"""),2.0)</f>
        <v>2</v>
      </c>
      <c r="K575" s="5">
        <f>IFERROR(__xludf.DUMMYFUNCTION("""COMPUTED_VALUE"""),0.0034129692832764505)</f>
        <v>0.003412969283</v>
      </c>
      <c r="L575" s="10">
        <f>IFERROR(__xludf.DUMMYFUNCTION("""COMPUTED_VALUE"""),586.0)</f>
        <v>586</v>
      </c>
      <c r="M575" s="5">
        <f>IFERROR(__xludf.DUMMYFUNCTION("""COMPUTED_VALUE"""),1.0)</f>
        <v>1</v>
      </c>
    </row>
    <row r="576">
      <c r="A576" s="10" t="str">
        <f>IFERROR(__xludf.DUMMYFUNCTION("""COMPUTED_VALUE"""),"サキザ")</f>
        <v>サキザ</v>
      </c>
      <c r="B576" s="10">
        <f>IFERROR(__xludf.DUMMYFUNCTION("""COMPUTED_VALUE"""),100.0)</f>
        <v>100</v>
      </c>
      <c r="C576" s="10">
        <f>IFERROR(__xludf.DUMMYFUNCTION("""COMPUTED_VALUE"""),1117.0)</f>
        <v>1117</v>
      </c>
      <c r="D576" s="5">
        <f>IFERROR(__xludf.DUMMYFUNCTION("""COMPUTED_VALUE"""),0.43559488692232057)</f>
        <v>0.4355948869</v>
      </c>
      <c r="E576" s="5">
        <f>IFERROR(__xludf.DUMMYFUNCTION("""COMPUTED_VALUE"""),0.14650934119960668)</f>
        <v>0.1465093412</v>
      </c>
      <c r="F576" s="5">
        <f>IFERROR(__xludf.DUMMYFUNCTION("""COMPUTED_VALUE"""),0.21730580137659783)</f>
        <v>0.2173058014</v>
      </c>
      <c r="G576" s="5">
        <f>IFERROR(__xludf.DUMMYFUNCTION("""COMPUTED_VALUE"""),0.18584070796460178)</f>
        <v>0.185840708</v>
      </c>
      <c r="H576" s="5">
        <f>IFERROR(__xludf.DUMMYFUNCTION("""COMPUTED_VALUE"""),0.6968325791855203)</f>
        <v>0.6968325792</v>
      </c>
      <c r="I576" s="11">
        <f>IFERROR(__xludf.DUMMYFUNCTION("""COMPUTED_VALUE"""),5105.429864253394)</f>
        <v>5105.429864</v>
      </c>
      <c r="J576" s="10">
        <f>IFERROR(__xludf.DUMMYFUNCTION("""COMPUTED_VALUE"""),0.0)</f>
        <v>0</v>
      </c>
      <c r="K576" s="5">
        <f>IFERROR(__xludf.DUMMYFUNCTION("""COMPUTED_VALUE"""),0.0)</f>
        <v>0</v>
      </c>
      <c r="L576" s="10">
        <f>IFERROR(__xludf.DUMMYFUNCTION("""COMPUTED_VALUE"""),100.0)</f>
        <v>100</v>
      </c>
      <c r="M576" s="5">
        <f>IFERROR(__xludf.DUMMYFUNCTION("""COMPUTED_VALUE"""),1.0)</f>
        <v>1</v>
      </c>
    </row>
    <row r="577">
      <c r="A577" s="10" t="str">
        <f>IFERROR(__xludf.DUMMYFUNCTION("""COMPUTED_VALUE"""),"はせすけ．")</f>
        <v>はせすけ．</v>
      </c>
      <c r="B577" s="10">
        <f>IFERROR(__xludf.DUMMYFUNCTION("""COMPUTED_VALUE"""),208.0)</f>
        <v>208</v>
      </c>
      <c r="C577" s="10">
        <f>IFERROR(__xludf.DUMMYFUNCTION("""COMPUTED_VALUE"""),2447.0)</f>
        <v>2447</v>
      </c>
      <c r="D577" s="5">
        <f>IFERROR(__xludf.DUMMYFUNCTION("""COMPUTED_VALUE"""),0.3617686467172845)</f>
        <v>0.3617686467</v>
      </c>
      <c r="E577" s="5">
        <f>IFERROR(__xludf.DUMMYFUNCTION("""COMPUTED_VALUE"""),0.14649397052255472)</f>
        <v>0.1464939705</v>
      </c>
      <c r="F577" s="5">
        <f>IFERROR(__xludf.DUMMYFUNCTION("""COMPUTED_VALUE"""),0.20991514068780706)</f>
        <v>0.2099151407</v>
      </c>
      <c r="G577" s="5">
        <f>IFERROR(__xludf.DUMMYFUNCTION("""COMPUTED_VALUE"""),0.17329164805716837)</f>
        <v>0.1732916481</v>
      </c>
      <c r="H577" s="5">
        <f>IFERROR(__xludf.DUMMYFUNCTION("""COMPUTED_VALUE"""),0.6510638297872341)</f>
        <v>0.6510638298</v>
      </c>
      <c r="I577" s="11">
        <f>IFERROR(__xludf.DUMMYFUNCTION("""COMPUTED_VALUE"""),5368.723404255319)</f>
        <v>5368.723404</v>
      </c>
      <c r="J577" s="10">
        <f>IFERROR(__xludf.DUMMYFUNCTION("""COMPUTED_VALUE"""),0.0)</f>
        <v>0</v>
      </c>
      <c r="K577" s="5">
        <f>IFERROR(__xludf.DUMMYFUNCTION("""COMPUTED_VALUE"""),0.0)</f>
        <v>0</v>
      </c>
      <c r="L577" s="10">
        <f>IFERROR(__xludf.DUMMYFUNCTION("""COMPUTED_VALUE"""),208.0)</f>
        <v>208</v>
      </c>
      <c r="M577" s="5">
        <f>IFERROR(__xludf.DUMMYFUNCTION("""COMPUTED_VALUE"""),1.0)</f>
        <v>1</v>
      </c>
    </row>
    <row r="578">
      <c r="A578" s="10" t="str">
        <f>IFERROR(__xludf.DUMMYFUNCTION("""COMPUTED_VALUE"""),"Ayesha")</f>
        <v>Ayesha</v>
      </c>
      <c r="B578" s="10">
        <f>IFERROR(__xludf.DUMMYFUNCTION("""COMPUTED_VALUE"""),1238.0)</f>
        <v>1238</v>
      </c>
      <c r="C578" s="10">
        <f>IFERROR(__xludf.DUMMYFUNCTION("""COMPUTED_VALUE"""),14415.0)</f>
        <v>14415</v>
      </c>
      <c r="D578" s="5">
        <f>IFERROR(__xludf.DUMMYFUNCTION("""COMPUTED_VALUE"""),0.3806632769219094)</f>
        <v>0.3806632769</v>
      </c>
      <c r="E578" s="5">
        <f>IFERROR(__xludf.DUMMYFUNCTION("""COMPUTED_VALUE"""),0.14646732943765653)</f>
        <v>0.1464673294</v>
      </c>
      <c r="F578" s="5">
        <f>IFERROR(__xludf.DUMMYFUNCTION("""COMPUTED_VALUE"""),0.22167412916445323)</f>
        <v>0.2216741292</v>
      </c>
      <c r="G578" s="5">
        <f>IFERROR(__xludf.DUMMYFUNCTION("""COMPUTED_VALUE"""),0.16619867951734082)</f>
        <v>0.1661986795</v>
      </c>
      <c r="H578" s="5">
        <f>IFERROR(__xludf.DUMMYFUNCTION("""COMPUTED_VALUE"""),0.5977404998288257)</f>
        <v>0.5977404998</v>
      </c>
      <c r="I578" s="11">
        <f>IFERROR(__xludf.DUMMYFUNCTION("""COMPUTED_VALUE"""),5499.79459089353)</f>
        <v>5499.794591</v>
      </c>
      <c r="J578" s="10">
        <f>IFERROR(__xludf.DUMMYFUNCTION("""COMPUTED_VALUE"""),5.0)</f>
        <v>5</v>
      </c>
      <c r="K578" s="5">
        <f>IFERROR(__xludf.DUMMYFUNCTION("""COMPUTED_VALUE"""),0.004038772213247173)</f>
        <v>0.004038772213</v>
      </c>
      <c r="L578" s="10">
        <f>IFERROR(__xludf.DUMMYFUNCTION("""COMPUTED_VALUE"""),717.0)</f>
        <v>717</v>
      </c>
      <c r="M578" s="5">
        <f>IFERROR(__xludf.DUMMYFUNCTION("""COMPUTED_VALUE"""),0.5791599353796446)</f>
        <v>0.5791599354</v>
      </c>
    </row>
    <row r="579">
      <c r="A579" s="10" t="str">
        <f>IFERROR(__xludf.DUMMYFUNCTION("""COMPUTED_VALUE"""),"catmeVGC")</f>
        <v>catmeVGC</v>
      </c>
      <c r="B579" s="10">
        <f>IFERROR(__xludf.DUMMYFUNCTION("""COMPUTED_VALUE"""),2088.0)</f>
        <v>2088</v>
      </c>
      <c r="C579" s="10">
        <f>IFERROR(__xludf.DUMMYFUNCTION("""COMPUTED_VALUE"""),24389.0)</f>
        <v>24389</v>
      </c>
      <c r="D579" s="5">
        <f>IFERROR(__xludf.DUMMYFUNCTION("""COMPUTED_VALUE"""),0.36523025873279225)</f>
        <v>0.3652302587</v>
      </c>
      <c r="E579" s="5">
        <f>IFERROR(__xludf.DUMMYFUNCTION("""COMPUTED_VALUE"""),0.14645083180126453)</f>
        <v>0.1464508318</v>
      </c>
      <c r="F579" s="5">
        <f>IFERROR(__xludf.DUMMYFUNCTION("""COMPUTED_VALUE"""),0.225550423747814)</f>
        <v>0.2255504237</v>
      </c>
      <c r="G579" s="5">
        <f>IFERROR(__xludf.DUMMYFUNCTION("""COMPUTED_VALUE"""),0.19698668221156002)</f>
        <v>0.1969866822</v>
      </c>
      <c r="H579" s="5">
        <f>IFERROR(__xludf.DUMMYFUNCTION("""COMPUTED_VALUE"""),0.5852882703777336)</f>
        <v>0.5852882704</v>
      </c>
      <c r="I579" s="11">
        <f>IFERROR(__xludf.DUMMYFUNCTION("""COMPUTED_VALUE"""),5760.854870775348)</f>
        <v>5760.854871</v>
      </c>
      <c r="J579" s="10">
        <f>IFERROR(__xludf.DUMMYFUNCTION("""COMPUTED_VALUE"""),7.0)</f>
        <v>7</v>
      </c>
      <c r="K579" s="5">
        <f>IFERROR(__xludf.DUMMYFUNCTION("""COMPUTED_VALUE"""),0.003352490421455939)</f>
        <v>0.003352490421</v>
      </c>
      <c r="L579" s="10">
        <f>IFERROR(__xludf.DUMMYFUNCTION("""COMPUTED_VALUE"""),2088.0)</f>
        <v>2088</v>
      </c>
      <c r="M579" s="5">
        <f>IFERROR(__xludf.DUMMYFUNCTION("""COMPUTED_VALUE"""),1.0)</f>
        <v>1</v>
      </c>
    </row>
    <row r="580">
      <c r="A580" s="10" t="str">
        <f>IFERROR(__xludf.DUMMYFUNCTION("""COMPUTED_VALUE"""),"オードル")</f>
        <v>オードル</v>
      </c>
      <c r="B580" s="10">
        <f>IFERROR(__xludf.DUMMYFUNCTION("""COMPUTED_VALUE"""),101.0)</f>
        <v>101</v>
      </c>
      <c r="C580" s="10">
        <f>IFERROR(__xludf.DUMMYFUNCTION("""COMPUTED_VALUE"""),1139.0)</f>
        <v>1139</v>
      </c>
      <c r="D580" s="5">
        <f>IFERROR(__xludf.DUMMYFUNCTION("""COMPUTED_VALUE"""),0.3516377649325626)</f>
        <v>0.3516377649</v>
      </c>
      <c r="E580" s="5">
        <f>IFERROR(__xludf.DUMMYFUNCTION("""COMPUTED_VALUE"""),0.1464354527938343)</f>
        <v>0.1464354528</v>
      </c>
      <c r="F580" s="5">
        <f>IFERROR(__xludf.DUMMYFUNCTION("""COMPUTED_VALUE"""),0.1907514450867052)</f>
        <v>0.1907514451</v>
      </c>
      <c r="G580" s="5">
        <f>IFERROR(__xludf.DUMMYFUNCTION("""COMPUTED_VALUE"""),0.17533718689788053)</f>
        <v>0.1753371869</v>
      </c>
      <c r="H580" s="5">
        <f>IFERROR(__xludf.DUMMYFUNCTION("""COMPUTED_VALUE"""),0.6212121212121212)</f>
        <v>0.6212121212</v>
      </c>
      <c r="I580" s="11">
        <f>IFERROR(__xludf.DUMMYFUNCTION("""COMPUTED_VALUE"""),6190.404040404041)</f>
        <v>6190.40404</v>
      </c>
      <c r="J580" s="10">
        <f>IFERROR(__xludf.DUMMYFUNCTION("""COMPUTED_VALUE"""),0.0)</f>
        <v>0</v>
      </c>
      <c r="K580" s="5">
        <f>IFERROR(__xludf.DUMMYFUNCTION("""COMPUTED_VALUE"""),0.0)</f>
        <v>0</v>
      </c>
      <c r="L580" s="10">
        <f>IFERROR(__xludf.DUMMYFUNCTION("""COMPUTED_VALUE"""),101.0)</f>
        <v>101</v>
      </c>
      <c r="M580" s="5">
        <f>IFERROR(__xludf.DUMMYFUNCTION("""COMPUTED_VALUE"""),1.0)</f>
        <v>1</v>
      </c>
    </row>
    <row r="581">
      <c r="A581" s="10" t="str">
        <f>IFERROR(__xludf.DUMMYFUNCTION("""COMPUTED_VALUE"""),"masaya11")</f>
        <v>masaya11</v>
      </c>
      <c r="B581" s="10">
        <f>IFERROR(__xludf.DUMMYFUNCTION("""COMPUTED_VALUE"""),275.0)</f>
        <v>275</v>
      </c>
      <c r="C581" s="10">
        <f>IFERROR(__xludf.DUMMYFUNCTION("""COMPUTED_VALUE"""),3191.0)</f>
        <v>3191</v>
      </c>
      <c r="D581" s="5">
        <f>IFERROR(__xludf.DUMMYFUNCTION("""COMPUTED_VALUE"""),0.33676268861454045)</f>
        <v>0.3367626886</v>
      </c>
      <c r="E581" s="5">
        <f>IFERROR(__xludf.DUMMYFUNCTION("""COMPUTED_VALUE"""),0.14643347050754457)</f>
        <v>0.1464334705</v>
      </c>
      <c r="F581" s="5">
        <f>IFERROR(__xludf.DUMMYFUNCTION("""COMPUTED_VALUE"""),0.2222222222222222)</f>
        <v>0.2222222222</v>
      </c>
      <c r="G581" s="5">
        <f>IFERROR(__xludf.DUMMYFUNCTION("""COMPUTED_VALUE"""),0.17078189300411523)</f>
        <v>0.170781893</v>
      </c>
      <c r="H581" s="5">
        <f>IFERROR(__xludf.DUMMYFUNCTION("""COMPUTED_VALUE"""),0.6311728395061729)</f>
        <v>0.6311728395</v>
      </c>
      <c r="I581" s="11">
        <f>IFERROR(__xludf.DUMMYFUNCTION("""COMPUTED_VALUE"""),5588.117283950617)</f>
        <v>5588.117284</v>
      </c>
      <c r="J581" s="10">
        <f>IFERROR(__xludf.DUMMYFUNCTION("""COMPUTED_VALUE"""),0.0)</f>
        <v>0</v>
      </c>
      <c r="K581" s="5">
        <f>IFERROR(__xludf.DUMMYFUNCTION("""COMPUTED_VALUE"""),0.0)</f>
        <v>0</v>
      </c>
      <c r="L581" s="10">
        <f>IFERROR(__xludf.DUMMYFUNCTION("""COMPUTED_VALUE"""),275.0)</f>
        <v>275</v>
      </c>
      <c r="M581" s="5">
        <f>IFERROR(__xludf.DUMMYFUNCTION("""COMPUTED_VALUE"""),1.0)</f>
        <v>1</v>
      </c>
    </row>
    <row r="582">
      <c r="A582" s="10" t="str">
        <f>IFERROR(__xludf.DUMMYFUNCTION("""COMPUTED_VALUE"""),"ゴミツモ")</f>
        <v>ゴミツモ</v>
      </c>
      <c r="B582" s="10">
        <f>IFERROR(__xludf.DUMMYFUNCTION("""COMPUTED_VALUE"""),637.0)</f>
        <v>637</v>
      </c>
      <c r="C582" s="10">
        <f>IFERROR(__xludf.DUMMYFUNCTION("""COMPUTED_VALUE"""),7542.0)</f>
        <v>7542</v>
      </c>
      <c r="D582" s="5">
        <f>IFERROR(__xludf.DUMMYFUNCTION("""COMPUTED_VALUE"""),0.3501810282404055)</f>
        <v>0.3501810282</v>
      </c>
      <c r="E582" s="5">
        <f>IFERROR(__xludf.DUMMYFUNCTION("""COMPUTED_VALUE"""),0.14641564083997102)</f>
        <v>0.1464156408</v>
      </c>
      <c r="F582" s="5">
        <f>IFERROR(__xludf.DUMMYFUNCTION("""COMPUTED_VALUE"""),0.22070963070238958)</f>
        <v>0.2207096307</v>
      </c>
      <c r="G582" s="5">
        <f>IFERROR(__xludf.DUMMYFUNCTION("""COMPUTED_VALUE"""),0.16973207820419986)</f>
        <v>0.1697320782</v>
      </c>
      <c r="H582" s="5">
        <f>IFERROR(__xludf.DUMMYFUNCTION("""COMPUTED_VALUE"""),0.5800524934383202)</f>
        <v>0.5800524934</v>
      </c>
      <c r="I582" s="11">
        <f>IFERROR(__xludf.DUMMYFUNCTION("""COMPUTED_VALUE"""),5845.472440944882)</f>
        <v>5845.472441</v>
      </c>
      <c r="J582" s="10">
        <f>IFERROR(__xludf.DUMMYFUNCTION("""COMPUTED_VALUE"""),2.0)</f>
        <v>2</v>
      </c>
      <c r="K582" s="5">
        <f>IFERROR(__xludf.DUMMYFUNCTION("""COMPUTED_VALUE"""),0.0031397174254317113)</f>
        <v>0.003139717425</v>
      </c>
      <c r="L582" s="10">
        <f>IFERROR(__xludf.DUMMYFUNCTION("""COMPUTED_VALUE"""),637.0)</f>
        <v>637</v>
      </c>
      <c r="M582" s="5">
        <f>IFERROR(__xludf.DUMMYFUNCTION("""COMPUTED_VALUE"""),1.0)</f>
        <v>1</v>
      </c>
    </row>
    <row r="583">
      <c r="A583" s="10" t="str">
        <f>IFERROR(__xludf.DUMMYFUNCTION("""COMPUTED_VALUE"""),"ゼンツッパ")</f>
        <v>ゼンツッパ</v>
      </c>
      <c r="B583" s="10">
        <f>IFERROR(__xludf.DUMMYFUNCTION("""COMPUTED_VALUE"""),1565.0)</f>
        <v>1565</v>
      </c>
      <c r="C583" s="10">
        <f>IFERROR(__xludf.DUMMYFUNCTION("""COMPUTED_VALUE"""),18025.0)</f>
        <v>18025</v>
      </c>
      <c r="D583" s="5">
        <f>IFERROR(__xludf.DUMMYFUNCTION("""COMPUTED_VALUE"""),0.35479951397326853)</f>
        <v>0.354799514</v>
      </c>
      <c r="E583" s="5">
        <f>IFERROR(__xludf.DUMMYFUNCTION("""COMPUTED_VALUE"""),0.14641555285540706)</f>
        <v>0.1464155529</v>
      </c>
      <c r="F583" s="5">
        <f>IFERROR(__xludf.DUMMYFUNCTION("""COMPUTED_VALUE"""),0.219501822600243)</f>
        <v>0.2195018226</v>
      </c>
      <c r="G583" s="5">
        <f>IFERROR(__xludf.DUMMYFUNCTION("""COMPUTED_VALUE"""),0.21008505467800728)</f>
        <v>0.2100850547</v>
      </c>
      <c r="H583" s="5">
        <f>IFERROR(__xludf.DUMMYFUNCTION("""COMPUTED_VALUE"""),0.5939662330473291)</f>
        <v>0.593966233</v>
      </c>
      <c r="I583" s="11">
        <f>IFERROR(__xludf.DUMMYFUNCTION("""COMPUTED_VALUE"""),6060.669803487406)</f>
        <v>6060.669803</v>
      </c>
      <c r="J583" s="10">
        <f>IFERROR(__xludf.DUMMYFUNCTION("""COMPUTED_VALUE"""),1.0)</f>
        <v>1</v>
      </c>
      <c r="K583" s="5">
        <f>IFERROR(__xludf.DUMMYFUNCTION("""COMPUTED_VALUE"""),6.389776357827476E-4)</f>
        <v>0.0006389776358</v>
      </c>
      <c r="L583" s="10">
        <f>IFERROR(__xludf.DUMMYFUNCTION("""COMPUTED_VALUE"""),1565.0)</f>
        <v>1565</v>
      </c>
      <c r="M583" s="5">
        <f>IFERROR(__xludf.DUMMYFUNCTION("""COMPUTED_VALUE"""),1.0)</f>
        <v>1</v>
      </c>
    </row>
    <row r="584">
      <c r="A584" s="10" t="str">
        <f>IFERROR(__xludf.DUMMYFUNCTION("""COMPUTED_VALUE"""),"りょうま5724")</f>
        <v>りょうま5724</v>
      </c>
      <c r="B584" s="10">
        <f>IFERROR(__xludf.DUMMYFUNCTION("""COMPUTED_VALUE"""),1570.0)</f>
        <v>1570</v>
      </c>
      <c r="C584" s="10">
        <f>IFERROR(__xludf.DUMMYFUNCTION("""COMPUTED_VALUE"""),18394.0)</f>
        <v>18394</v>
      </c>
      <c r="D584" s="5">
        <f>IFERROR(__xludf.DUMMYFUNCTION("""COMPUTED_VALUE"""),0.3728007608178792)</f>
        <v>0.3728007608</v>
      </c>
      <c r="E584" s="5">
        <f>IFERROR(__xludf.DUMMYFUNCTION("""COMPUTED_VALUE"""),0.14639800285306706)</f>
        <v>0.1463980029</v>
      </c>
      <c r="F584" s="5">
        <f>IFERROR(__xludf.DUMMYFUNCTION("""COMPUTED_VALUE"""),0.231811697574893)</f>
        <v>0.2318116976</v>
      </c>
      <c r="G584" s="5">
        <f>IFERROR(__xludf.DUMMYFUNCTION("""COMPUTED_VALUE"""),0.19840703756538278)</f>
        <v>0.1984070376</v>
      </c>
      <c r="H584" s="5">
        <f>IFERROR(__xludf.DUMMYFUNCTION("""COMPUTED_VALUE"""),0.5917948717948718)</f>
        <v>0.5917948718</v>
      </c>
      <c r="I584" s="11">
        <f>IFERROR(__xludf.DUMMYFUNCTION("""COMPUTED_VALUE"""),5545.051282051282)</f>
        <v>5545.051282</v>
      </c>
      <c r="J584" s="10">
        <f>IFERROR(__xludf.DUMMYFUNCTION("""COMPUTED_VALUE"""),1.0)</f>
        <v>1</v>
      </c>
      <c r="K584" s="5">
        <f>IFERROR(__xludf.DUMMYFUNCTION("""COMPUTED_VALUE"""),6.369426751592356E-4)</f>
        <v>0.0006369426752</v>
      </c>
      <c r="L584" s="10">
        <f>IFERROR(__xludf.DUMMYFUNCTION("""COMPUTED_VALUE"""),1570.0)</f>
        <v>1570</v>
      </c>
      <c r="M584" s="5">
        <f>IFERROR(__xludf.DUMMYFUNCTION("""COMPUTED_VALUE"""),1.0)</f>
        <v>1</v>
      </c>
    </row>
    <row r="585">
      <c r="A585" s="10" t="str">
        <f>IFERROR(__xludf.DUMMYFUNCTION("""COMPUTED_VALUE"""),"あかんほうの木村")</f>
        <v>あかんほうの木村</v>
      </c>
      <c r="B585" s="10">
        <f>IFERROR(__xludf.DUMMYFUNCTION("""COMPUTED_VALUE"""),257.0)</f>
        <v>257</v>
      </c>
      <c r="C585" s="10">
        <f>IFERROR(__xludf.DUMMYFUNCTION("""COMPUTED_VALUE"""),2922.0)</f>
        <v>2922</v>
      </c>
      <c r="D585" s="5">
        <f>IFERROR(__xludf.DUMMYFUNCTION("""COMPUTED_VALUE"""),0.3433395872420263)</f>
        <v>0.3433395872</v>
      </c>
      <c r="E585" s="5">
        <f>IFERROR(__xludf.DUMMYFUNCTION("""COMPUTED_VALUE"""),0.14634146341463414)</f>
        <v>0.1463414634</v>
      </c>
      <c r="F585" s="5">
        <f>IFERROR(__xludf.DUMMYFUNCTION("""COMPUTED_VALUE"""),0.21726078799249532)</f>
        <v>0.217260788</v>
      </c>
      <c r="G585" s="5">
        <f>IFERROR(__xludf.DUMMYFUNCTION("""COMPUTED_VALUE"""),0.18649155722326455)</f>
        <v>0.1864915572</v>
      </c>
      <c r="H585" s="5">
        <f>IFERROR(__xludf.DUMMYFUNCTION("""COMPUTED_VALUE"""),0.6010362694300518)</f>
        <v>0.6010362694</v>
      </c>
      <c r="I585" s="11">
        <f>IFERROR(__xludf.DUMMYFUNCTION("""COMPUTED_VALUE"""),5660.621761658031)</f>
        <v>5660.621762</v>
      </c>
      <c r="J585" s="10">
        <f>IFERROR(__xludf.DUMMYFUNCTION("""COMPUTED_VALUE"""),1.0)</f>
        <v>1</v>
      </c>
      <c r="K585" s="5">
        <f>IFERROR(__xludf.DUMMYFUNCTION("""COMPUTED_VALUE"""),0.0038910505836575876)</f>
        <v>0.003891050584</v>
      </c>
      <c r="L585" s="10">
        <f>IFERROR(__xludf.DUMMYFUNCTION("""COMPUTED_VALUE"""),257.0)</f>
        <v>257</v>
      </c>
      <c r="M585" s="5">
        <f>IFERROR(__xludf.DUMMYFUNCTION("""COMPUTED_VALUE"""),1.0)</f>
        <v>1</v>
      </c>
    </row>
    <row r="586">
      <c r="A586" s="10" t="str">
        <f>IFERROR(__xludf.DUMMYFUNCTION("""COMPUTED_VALUE"""),"SUZUKAⅡ")</f>
        <v>SUZUKAⅡ</v>
      </c>
      <c r="B586" s="10">
        <f>IFERROR(__xludf.DUMMYFUNCTION("""COMPUTED_VALUE"""),152.0)</f>
        <v>152</v>
      </c>
      <c r="C586" s="10">
        <f>IFERROR(__xludf.DUMMYFUNCTION("""COMPUTED_VALUE"""),1799.0)</f>
        <v>1799</v>
      </c>
      <c r="D586" s="5">
        <f>IFERROR(__xludf.DUMMYFUNCTION("""COMPUTED_VALUE"""),0.28233151183970856)</f>
        <v>0.2823315118</v>
      </c>
      <c r="E586" s="5">
        <f>IFERROR(__xludf.DUMMYFUNCTION("""COMPUTED_VALUE"""),0.14632665452337584)</f>
        <v>0.1463266545</v>
      </c>
      <c r="F586" s="5">
        <f>IFERROR(__xludf.DUMMYFUNCTION("""COMPUTED_VALUE"""),0.19672131147540983)</f>
        <v>0.1967213115</v>
      </c>
      <c r="G586" s="5">
        <f>IFERROR(__xludf.DUMMYFUNCTION("""COMPUTED_VALUE"""),0.19368548876745598)</f>
        <v>0.1936854888</v>
      </c>
      <c r="H586" s="5">
        <f>IFERROR(__xludf.DUMMYFUNCTION("""COMPUTED_VALUE"""),0.5246913580246914)</f>
        <v>0.524691358</v>
      </c>
      <c r="I586" s="11">
        <f>IFERROR(__xludf.DUMMYFUNCTION("""COMPUTED_VALUE"""),5794.444444444444)</f>
        <v>5794.444444</v>
      </c>
      <c r="J586" s="10">
        <f>IFERROR(__xludf.DUMMYFUNCTION("""COMPUTED_VALUE"""),0.0)</f>
        <v>0</v>
      </c>
      <c r="K586" s="5">
        <f>IFERROR(__xludf.DUMMYFUNCTION("""COMPUTED_VALUE"""),0.0)</f>
        <v>0</v>
      </c>
      <c r="L586" s="10">
        <f>IFERROR(__xludf.DUMMYFUNCTION("""COMPUTED_VALUE"""),152.0)</f>
        <v>152</v>
      </c>
      <c r="M586" s="5">
        <f>IFERROR(__xludf.DUMMYFUNCTION("""COMPUTED_VALUE"""),1.0)</f>
        <v>1</v>
      </c>
    </row>
    <row r="587">
      <c r="A587" s="10" t="str">
        <f>IFERROR(__xludf.DUMMYFUNCTION("""COMPUTED_VALUE"""),"seven")</f>
        <v>seven</v>
      </c>
      <c r="B587" s="10">
        <f>IFERROR(__xludf.DUMMYFUNCTION("""COMPUTED_VALUE"""),124.0)</f>
        <v>124</v>
      </c>
      <c r="C587" s="10">
        <f>IFERROR(__xludf.DUMMYFUNCTION("""COMPUTED_VALUE"""),1443.0)</f>
        <v>1443</v>
      </c>
      <c r="D587" s="5">
        <f>IFERROR(__xludf.DUMMYFUNCTION("""COMPUTED_VALUE"""),0.3434420015163002)</f>
        <v>0.3434420015</v>
      </c>
      <c r="E587" s="5">
        <f>IFERROR(__xludf.DUMMYFUNCTION("""COMPUTED_VALUE"""),0.1463229719484458)</f>
        <v>0.1463229719</v>
      </c>
      <c r="F587" s="5">
        <f>IFERROR(__xludf.DUMMYFUNCTION("""COMPUTED_VALUE"""),0.18802122820318423)</f>
        <v>0.1880212282</v>
      </c>
      <c r="G587" s="5">
        <f>IFERROR(__xludf.DUMMYFUNCTION("""COMPUTED_VALUE"""),0.15769522365428354)</f>
        <v>0.1576952237</v>
      </c>
      <c r="H587" s="5">
        <f>IFERROR(__xludf.DUMMYFUNCTION("""COMPUTED_VALUE"""),0.592741935483871)</f>
        <v>0.5927419355</v>
      </c>
      <c r="I587" s="11">
        <f>IFERROR(__xludf.DUMMYFUNCTION("""COMPUTED_VALUE"""),5452.419354838709)</f>
        <v>5452.419355</v>
      </c>
      <c r="J587" s="10">
        <f>IFERROR(__xludf.DUMMYFUNCTION("""COMPUTED_VALUE"""),0.0)</f>
        <v>0</v>
      </c>
      <c r="K587" s="5">
        <f>IFERROR(__xludf.DUMMYFUNCTION("""COMPUTED_VALUE"""),0.0)</f>
        <v>0</v>
      </c>
      <c r="L587" s="10">
        <f>IFERROR(__xludf.DUMMYFUNCTION("""COMPUTED_VALUE"""),124.0)</f>
        <v>124</v>
      </c>
      <c r="M587" s="5">
        <f>IFERROR(__xludf.DUMMYFUNCTION("""COMPUTED_VALUE"""),1.0)</f>
        <v>1</v>
      </c>
    </row>
    <row r="588">
      <c r="A588" s="10" t="str">
        <f>IFERROR(__xludf.DUMMYFUNCTION("""COMPUTED_VALUE"""),"sibiya0")</f>
        <v>sibiya0</v>
      </c>
      <c r="B588" s="10">
        <f>IFERROR(__xludf.DUMMYFUNCTION("""COMPUTED_VALUE"""),217.0)</f>
        <v>217</v>
      </c>
      <c r="C588" s="10">
        <f>IFERROR(__xludf.DUMMYFUNCTION("""COMPUTED_VALUE"""),2486.0)</f>
        <v>2486</v>
      </c>
      <c r="D588" s="5">
        <f>IFERROR(__xludf.DUMMYFUNCTION("""COMPUTED_VALUE"""),0.35742617893345086)</f>
        <v>0.3574261789</v>
      </c>
      <c r="E588" s="5">
        <f>IFERROR(__xludf.DUMMYFUNCTION("""COMPUTED_VALUE"""),0.14631996474217718)</f>
        <v>0.1463199647</v>
      </c>
      <c r="F588" s="5">
        <f>IFERROR(__xludf.DUMMYFUNCTION("""COMPUTED_VALUE"""),0.2256500661084178)</f>
        <v>0.2256500661</v>
      </c>
      <c r="G588" s="5">
        <f>IFERROR(__xludf.DUMMYFUNCTION("""COMPUTED_VALUE"""),0.17188188629352139)</f>
        <v>0.1718818863</v>
      </c>
      <c r="H588" s="5">
        <f>IFERROR(__xludf.DUMMYFUNCTION("""COMPUTED_VALUE"""),0.568359375)</f>
        <v>0.568359375</v>
      </c>
      <c r="I588" s="11">
        <f>IFERROR(__xludf.DUMMYFUNCTION("""COMPUTED_VALUE"""),5271.875)</f>
        <v>5271.875</v>
      </c>
      <c r="J588" s="10">
        <f>IFERROR(__xludf.DUMMYFUNCTION("""COMPUTED_VALUE"""),1.0)</f>
        <v>1</v>
      </c>
      <c r="K588" s="5">
        <f>IFERROR(__xludf.DUMMYFUNCTION("""COMPUTED_VALUE"""),0.004608294930875576)</f>
        <v>0.004608294931</v>
      </c>
      <c r="L588" s="10">
        <f>IFERROR(__xludf.DUMMYFUNCTION("""COMPUTED_VALUE"""),217.0)</f>
        <v>217</v>
      </c>
      <c r="M588" s="5">
        <f>IFERROR(__xludf.DUMMYFUNCTION("""COMPUTED_VALUE"""),1.0)</f>
        <v>1</v>
      </c>
    </row>
    <row r="589">
      <c r="A589" s="10" t="str">
        <f>IFERROR(__xludf.DUMMYFUNCTION("""COMPUTED_VALUE"""),"*can*")</f>
        <v>*can*</v>
      </c>
      <c r="B589" s="10">
        <f>IFERROR(__xludf.DUMMYFUNCTION("""COMPUTED_VALUE"""),208.0)</f>
        <v>208</v>
      </c>
      <c r="C589" s="10">
        <f>IFERROR(__xludf.DUMMYFUNCTION("""COMPUTED_VALUE"""),2402.0)</f>
        <v>2402</v>
      </c>
      <c r="D589" s="5">
        <f>IFERROR(__xludf.DUMMYFUNCTION("""COMPUTED_VALUE"""),0.38012762078395623)</f>
        <v>0.3801276208</v>
      </c>
      <c r="E589" s="5">
        <f>IFERROR(__xludf.DUMMYFUNCTION("""COMPUTED_VALUE"""),0.1463081130355515)</f>
        <v>0.146308113</v>
      </c>
      <c r="F589" s="5">
        <f>IFERROR(__xludf.DUMMYFUNCTION("""COMPUTED_VALUE"""),0.21194165907019144)</f>
        <v>0.2119416591</v>
      </c>
      <c r="G589" s="5">
        <f>IFERROR(__xludf.DUMMYFUNCTION("""COMPUTED_VALUE"""),0.1649954421148587)</f>
        <v>0.1649954421</v>
      </c>
      <c r="H589" s="5">
        <f>IFERROR(__xludf.DUMMYFUNCTION("""COMPUTED_VALUE"""),0.6193548387096774)</f>
        <v>0.6193548387</v>
      </c>
      <c r="I589" s="11">
        <f>IFERROR(__xludf.DUMMYFUNCTION("""COMPUTED_VALUE"""),5981.935483870968)</f>
        <v>5981.935484</v>
      </c>
      <c r="J589" s="10">
        <f>IFERROR(__xludf.DUMMYFUNCTION("""COMPUTED_VALUE"""),0.0)</f>
        <v>0</v>
      </c>
      <c r="K589" s="5">
        <f>IFERROR(__xludf.DUMMYFUNCTION("""COMPUTED_VALUE"""),0.0)</f>
        <v>0</v>
      </c>
      <c r="L589" s="10">
        <f>IFERROR(__xludf.DUMMYFUNCTION("""COMPUTED_VALUE"""),208.0)</f>
        <v>208</v>
      </c>
      <c r="M589" s="5">
        <f>IFERROR(__xludf.DUMMYFUNCTION("""COMPUTED_VALUE"""),1.0)</f>
        <v>1</v>
      </c>
    </row>
    <row r="590">
      <c r="A590" s="10" t="str">
        <f>IFERROR(__xludf.DUMMYFUNCTION("""COMPUTED_VALUE"""),"REDSTAR")</f>
        <v>REDSTAR</v>
      </c>
      <c r="B590" s="10">
        <f>IFERROR(__xludf.DUMMYFUNCTION("""COMPUTED_VALUE"""),250.0)</f>
        <v>250</v>
      </c>
      <c r="C590" s="10">
        <f>IFERROR(__xludf.DUMMYFUNCTION("""COMPUTED_VALUE"""),2984.0)</f>
        <v>2984</v>
      </c>
      <c r="D590" s="5">
        <f>IFERROR(__xludf.DUMMYFUNCTION("""COMPUTED_VALUE"""),0.3467446964155084)</f>
        <v>0.3467446964</v>
      </c>
      <c r="E590" s="5">
        <f>IFERROR(__xludf.DUMMYFUNCTION("""COMPUTED_VALUE"""),0.14630577907827358)</f>
        <v>0.1463057791</v>
      </c>
      <c r="F590" s="5">
        <f>IFERROR(__xludf.DUMMYFUNCTION("""COMPUTED_VALUE"""),0.19568397951719094)</f>
        <v>0.1956839795</v>
      </c>
      <c r="G590" s="5">
        <f>IFERROR(__xludf.DUMMYFUNCTION("""COMPUTED_VALUE"""),0.1733723482077542)</f>
        <v>0.1733723482</v>
      </c>
      <c r="H590" s="5">
        <f>IFERROR(__xludf.DUMMYFUNCTION("""COMPUTED_VALUE"""),0.5906542056074766)</f>
        <v>0.5906542056</v>
      </c>
      <c r="I590" s="11">
        <f>IFERROR(__xludf.DUMMYFUNCTION("""COMPUTED_VALUE"""),5856.822429906542)</f>
        <v>5856.82243</v>
      </c>
      <c r="J590" s="10">
        <f>IFERROR(__xludf.DUMMYFUNCTION("""COMPUTED_VALUE"""),3.0)</f>
        <v>3</v>
      </c>
      <c r="K590" s="5">
        <f>IFERROR(__xludf.DUMMYFUNCTION("""COMPUTED_VALUE"""),0.012)</f>
        <v>0.012</v>
      </c>
      <c r="L590" s="10">
        <f>IFERROR(__xludf.DUMMYFUNCTION("""COMPUTED_VALUE"""),250.0)</f>
        <v>250</v>
      </c>
      <c r="M590" s="5">
        <f>IFERROR(__xludf.DUMMYFUNCTION("""COMPUTED_VALUE"""),1.0)</f>
        <v>1</v>
      </c>
    </row>
    <row r="591">
      <c r="A591" s="10" t="str">
        <f>IFERROR(__xludf.DUMMYFUNCTION("""COMPUTED_VALUE"""),"はずき")</f>
        <v>はずき</v>
      </c>
      <c r="B591" s="10">
        <f>IFERROR(__xludf.DUMMYFUNCTION("""COMPUTED_VALUE"""),221.0)</f>
        <v>221</v>
      </c>
      <c r="C591" s="10">
        <f>IFERROR(__xludf.DUMMYFUNCTION("""COMPUTED_VALUE"""),2545.0)</f>
        <v>2545</v>
      </c>
      <c r="D591" s="5">
        <f>IFERROR(__xludf.DUMMYFUNCTION("""COMPUTED_VALUE"""),0.346815834767642)</f>
        <v>0.3468158348</v>
      </c>
      <c r="E591" s="5">
        <f>IFERROR(__xludf.DUMMYFUNCTION("""COMPUTED_VALUE"""),0.14629948364888123)</f>
        <v>0.1462994836</v>
      </c>
      <c r="F591" s="5">
        <f>IFERROR(__xludf.DUMMYFUNCTION("""COMPUTED_VALUE"""),0.20137693631669534)</f>
        <v>0.2013769363</v>
      </c>
      <c r="G591" s="5">
        <f>IFERROR(__xludf.DUMMYFUNCTION("""COMPUTED_VALUE"""),0.1579173838209983)</f>
        <v>0.1579173838</v>
      </c>
      <c r="H591" s="5">
        <f>IFERROR(__xludf.DUMMYFUNCTION("""COMPUTED_VALUE"""),0.6645299145299145)</f>
        <v>0.6645299145</v>
      </c>
      <c r="I591" s="11">
        <f>IFERROR(__xludf.DUMMYFUNCTION("""COMPUTED_VALUE"""),5384.401709401709)</f>
        <v>5384.401709</v>
      </c>
      <c r="J591" s="10">
        <f>IFERROR(__xludf.DUMMYFUNCTION("""COMPUTED_VALUE"""),1.0)</f>
        <v>1</v>
      </c>
      <c r="K591" s="5">
        <f>IFERROR(__xludf.DUMMYFUNCTION("""COMPUTED_VALUE"""),0.004524886877828055)</f>
        <v>0.004524886878</v>
      </c>
      <c r="L591" s="10">
        <f>IFERROR(__xludf.DUMMYFUNCTION("""COMPUTED_VALUE"""),190.0)</f>
        <v>190</v>
      </c>
      <c r="M591" s="5">
        <f>IFERROR(__xludf.DUMMYFUNCTION("""COMPUTED_VALUE"""),0.8597285067873304)</f>
        <v>0.8597285068</v>
      </c>
    </row>
    <row r="592">
      <c r="A592" s="10" t="str">
        <f>IFERROR(__xludf.DUMMYFUNCTION("""COMPUTED_VALUE"""),"◇航洋◆")</f>
        <v>◇航洋◆</v>
      </c>
      <c r="B592" s="10">
        <f>IFERROR(__xludf.DUMMYFUNCTION("""COMPUTED_VALUE"""),1118.0)</f>
        <v>1118</v>
      </c>
      <c r="C592" s="10">
        <f>IFERROR(__xludf.DUMMYFUNCTION("""COMPUTED_VALUE"""),13095.0)</f>
        <v>13095</v>
      </c>
      <c r="D592" s="5">
        <f>IFERROR(__xludf.DUMMYFUNCTION("""COMPUTED_VALUE"""),0.4026884862653419)</f>
        <v>0.4026884863</v>
      </c>
      <c r="E592" s="5">
        <f>IFERROR(__xludf.DUMMYFUNCTION("""COMPUTED_VALUE"""),0.14628037071052852)</f>
        <v>0.1462803707</v>
      </c>
      <c r="F592" s="5">
        <f>IFERROR(__xludf.DUMMYFUNCTION("""COMPUTED_VALUE"""),0.21992151623945896)</f>
        <v>0.2199215162</v>
      </c>
      <c r="G592" s="5">
        <f>IFERROR(__xludf.DUMMYFUNCTION("""COMPUTED_VALUE"""),0.15713450780662938)</f>
        <v>0.1571345078</v>
      </c>
      <c r="H592" s="5">
        <f>IFERROR(__xludf.DUMMYFUNCTION("""COMPUTED_VALUE"""),0.5964312832194382)</f>
        <v>0.5964312832</v>
      </c>
      <c r="I592" s="11">
        <f>IFERROR(__xludf.DUMMYFUNCTION("""COMPUTED_VALUE"""),5594.381169324221)</f>
        <v>5594.381169</v>
      </c>
      <c r="J592" s="10">
        <f>IFERROR(__xludf.DUMMYFUNCTION("""COMPUTED_VALUE"""),6.0)</f>
        <v>6</v>
      </c>
      <c r="K592" s="5">
        <f>IFERROR(__xludf.DUMMYFUNCTION("""COMPUTED_VALUE"""),0.005366726296958855)</f>
        <v>0.005366726297</v>
      </c>
      <c r="L592" s="10">
        <f>IFERROR(__xludf.DUMMYFUNCTION("""COMPUTED_VALUE"""),1071.0)</f>
        <v>1071</v>
      </c>
      <c r="M592" s="5">
        <f>IFERROR(__xludf.DUMMYFUNCTION("""COMPUTED_VALUE"""),0.9579606440071556)</f>
        <v>0.957960644</v>
      </c>
    </row>
    <row r="593">
      <c r="A593" s="10" t="str">
        <f>IFERROR(__xludf.DUMMYFUNCTION("""COMPUTED_VALUE"""),"yuuki520")</f>
        <v>yuuki520</v>
      </c>
      <c r="B593" s="10">
        <f>IFERROR(__xludf.DUMMYFUNCTION("""COMPUTED_VALUE"""),417.0)</f>
        <v>417</v>
      </c>
      <c r="C593" s="10">
        <f>IFERROR(__xludf.DUMMYFUNCTION("""COMPUTED_VALUE"""),4888.0)</f>
        <v>4888</v>
      </c>
      <c r="D593" s="5">
        <f>IFERROR(__xludf.DUMMYFUNCTION("""COMPUTED_VALUE"""),0.34645493178259895)</f>
        <v>0.3464549318</v>
      </c>
      <c r="E593" s="5">
        <f>IFERROR(__xludf.DUMMYFUNCTION("""COMPUTED_VALUE"""),0.14627600089465445)</f>
        <v>0.1462760009</v>
      </c>
      <c r="F593" s="5">
        <f>IFERROR(__xludf.DUMMYFUNCTION("""COMPUTED_VALUE"""),0.1986132856184299)</f>
        <v>0.1986132856</v>
      </c>
      <c r="G593" s="5">
        <f>IFERROR(__xludf.DUMMYFUNCTION("""COMPUTED_VALUE"""),0.1583538358309103)</f>
        <v>0.1583538358</v>
      </c>
      <c r="H593" s="5">
        <f>IFERROR(__xludf.DUMMYFUNCTION("""COMPUTED_VALUE"""),0.6148648648648649)</f>
        <v>0.6148648649</v>
      </c>
      <c r="I593" s="11">
        <f>IFERROR(__xludf.DUMMYFUNCTION("""COMPUTED_VALUE"""),5772.860360360361)</f>
        <v>5772.86036</v>
      </c>
      <c r="J593" s="10">
        <f>IFERROR(__xludf.DUMMYFUNCTION("""COMPUTED_VALUE"""),1.0)</f>
        <v>1</v>
      </c>
      <c r="K593" s="5">
        <f>IFERROR(__xludf.DUMMYFUNCTION("""COMPUTED_VALUE"""),0.002398081534772182)</f>
        <v>0.002398081535</v>
      </c>
      <c r="L593" s="10">
        <f>IFERROR(__xludf.DUMMYFUNCTION("""COMPUTED_VALUE"""),417.0)</f>
        <v>417</v>
      </c>
      <c r="M593" s="5">
        <f>IFERROR(__xludf.DUMMYFUNCTION("""COMPUTED_VALUE"""),1.0)</f>
        <v>1</v>
      </c>
    </row>
    <row r="594">
      <c r="A594" s="10" t="str">
        <f>IFERROR(__xludf.DUMMYFUNCTION("""COMPUTED_VALUE"""),"ぽむ太郎")</f>
        <v>ぽむ太郎</v>
      </c>
      <c r="B594" s="10">
        <f>IFERROR(__xludf.DUMMYFUNCTION("""COMPUTED_VALUE"""),942.0)</f>
        <v>942</v>
      </c>
      <c r="C594" s="10">
        <f>IFERROR(__xludf.DUMMYFUNCTION("""COMPUTED_VALUE"""),11081.0)</f>
        <v>11081</v>
      </c>
      <c r="D594" s="5">
        <f>IFERROR(__xludf.DUMMYFUNCTION("""COMPUTED_VALUE"""),0.37962323700562184)</f>
        <v>0.379623237</v>
      </c>
      <c r="E594" s="5">
        <f>IFERROR(__xludf.DUMMYFUNCTION("""COMPUTED_VALUE"""),0.14626689022586054)</f>
        <v>0.1462668902</v>
      </c>
      <c r="F594" s="5">
        <f>IFERROR(__xludf.DUMMYFUNCTION("""COMPUTED_VALUE"""),0.2144195680047342)</f>
        <v>0.214419568</v>
      </c>
      <c r="G594" s="5">
        <f>IFERROR(__xludf.DUMMYFUNCTION("""COMPUTED_VALUE"""),0.16165302298057008)</f>
        <v>0.161653023</v>
      </c>
      <c r="H594" s="5">
        <f>IFERROR(__xludf.DUMMYFUNCTION("""COMPUTED_VALUE"""),0.6025758969641214)</f>
        <v>0.602575897</v>
      </c>
      <c r="I594" s="11">
        <f>IFERROR(__xludf.DUMMYFUNCTION("""COMPUTED_VALUE"""),5511.867525298988)</f>
        <v>5511.867525</v>
      </c>
      <c r="J594" s="10">
        <f>IFERROR(__xludf.DUMMYFUNCTION("""COMPUTED_VALUE"""),2.0)</f>
        <v>2</v>
      </c>
      <c r="K594" s="5">
        <f>IFERROR(__xludf.DUMMYFUNCTION("""COMPUTED_VALUE"""),0.0021231422505307855)</f>
        <v>0.002123142251</v>
      </c>
      <c r="L594" s="10">
        <f>IFERROR(__xludf.DUMMYFUNCTION("""COMPUTED_VALUE"""),0.0)</f>
        <v>0</v>
      </c>
      <c r="M594" s="5">
        <f>IFERROR(__xludf.DUMMYFUNCTION("""COMPUTED_VALUE"""),0.0)</f>
        <v>0</v>
      </c>
    </row>
    <row r="595">
      <c r="A595" s="10" t="str">
        <f>IFERROR(__xludf.DUMMYFUNCTION("""COMPUTED_VALUE"""),"wilson")</f>
        <v>wilson</v>
      </c>
      <c r="B595" s="10">
        <f>IFERROR(__xludf.DUMMYFUNCTION("""COMPUTED_VALUE"""),1006.0)</f>
        <v>1006</v>
      </c>
      <c r="C595" s="10">
        <f>IFERROR(__xludf.DUMMYFUNCTION("""COMPUTED_VALUE"""),11774.0)</f>
        <v>11774</v>
      </c>
      <c r="D595" s="5">
        <f>IFERROR(__xludf.DUMMYFUNCTION("""COMPUTED_VALUE"""),0.3843796433878158)</f>
        <v>0.3843796434</v>
      </c>
      <c r="E595" s="5">
        <f>IFERROR(__xludf.DUMMYFUNCTION("""COMPUTED_VALUE"""),0.1462667161961367)</f>
        <v>0.1462667162</v>
      </c>
      <c r="F595" s="5">
        <f>IFERROR(__xludf.DUMMYFUNCTION("""COMPUTED_VALUE"""),0.21842496285289748)</f>
        <v>0.2184249629</v>
      </c>
      <c r="G595" s="5">
        <f>IFERROR(__xludf.DUMMYFUNCTION("""COMPUTED_VALUE"""),0.21675334323922735)</f>
        <v>0.2167533432</v>
      </c>
      <c r="H595" s="5">
        <f>IFERROR(__xludf.DUMMYFUNCTION("""COMPUTED_VALUE"""),0.608843537414966)</f>
        <v>0.6088435374</v>
      </c>
      <c r="I595" s="11">
        <f>IFERROR(__xludf.DUMMYFUNCTION("""COMPUTED_VALUE"""),5766.964285714285)</f>
        <v>5766.964286</v>
      </c>
      <c r="J595" s="10">
        <f>IFERROR(__xludf.DUMMYFUNCTION("""COMPUTED_VALUE"""),4.0)</f>
        <v>4</v>
      </c>
      <c r="K595" s="5">
        <f>IFERROR(__xludf.DUMMYFUNCTION("""COMPUTED_VALUE"""),0.003976143141153081)</f>
        <v>0.003976143141</v>
      </c>
      <c r="L595" s="10">
        <f>IFERROR(__xludf.DUMMYFUNCTION("""COMPUTED_VALUE"""),1006.0)</f>
        <v>1006</v>
      </c>
      <c r="M595" s="5">
        <f>IFERROR(__xludf.DUMMYFUNCTION("""COMPUTED_VALUE"""),1.0)</f>
        <v>1</v>
      </c>
    </row>
    <row r="596">
      <c r="A596" s="10" t="str">
        <f>IFERROR(__xludf.DUMMYFUNCTION("""COMPUTED_VALUE"""),"鈴本たろう")</f>
        <v>鈴本たろう</v>
      </c>
      <c r="B596" s="10">
        <f>IFERROR(__xludf.DUMMYFUNCTION("""COMPUTED_VALUE"""),162.0)</f>
        <v>162</v>
      </c>
      <c r="C596" s="10">
        <f>IFERROR(__xludf.DUMMYFUNCTION("""COMPUTED_VALUE"""),1906.0)</f>
        <v>1906</v>
      </c>
      <c r="D596" s="5">
        <f>IFERROR(__xludf.DUMMYFUNCTION("""COMPUTED_VALUE"""),0.33142201834862384)</f>
        <v>0.3314220183</v>
      </c>
      <c r="E596" s="5">
        <f>IFERROR(__xludf.DUMMYFUNCTION("""COMPUTED_VALUE"""),0.14621559633027523)</f>
        <v>0.1462155963</v>
      </c>
      <c r="F596" s="5">
        <f>IFERROR(__xludf.DUMMYFUNCTION("""COMPUTED_VALUE"""),0.21330275229357798)</f>
        <v>0.2133027523</v>
      </c>
      <c r="G596" s="5">
        <f>IFERROR(__xludf.DUMMYFUNCTION("""COMPUTED_VALUE"""),0.17029816513761467)</f>
        <v>0.1702981651</v>
      </c>
      <c r="H596" s="5">
        <f>IFERROR(__xludf.DUMMYFUNCTION("""COMPUTED_VALUE"""),0.6129032258064516)</f>
        <v>0.6129032258</v>
      </c>
      <c r="I596" s="11">
        <f>IFERROR(__xludf.DUMMYFUNCTION("""COMPUTED_VALUE"""),5743.548387096775)</f>
        <v>5743.548387</v>
      </c>
      <c r="J596" s="10">
        <f>IFERROR(__xludf.DUMMYFUNCTION("""COMPUTED_VALUE"""),0.0)</f>
        <v>0</v>
      </c>
      <c r="K596" s="5">
        <f>IFERROR(__xludf.DUMMYFUNCTION("""COMPUTED_VALUE"""),0.0)</f>
        <v>0</v>
      </c>
      <c r="L596" s="10">
        <f>IFERROR(__xludf.DUMMYFUNCTION("""COMPUTED_VALUE"""),162.0)</f>
        <v>162</v>
      </c>
      <c r="M596" s="5">
        <f>IFERROR(__xludf.DUMMYFUNCTION("""COMPUTED_VALUE"""),1.0)</f>
        <v>1</v>
      </c>
    </row>
    <row r="597">
      <c r="A597" s="10" t="str">
        <f>IFERROR(__xludf.DUMMYFUNCTION("""COMPUTED_VALUE"""),"積乱雲")</f>
        <v>積乱雲</v>
      </c>
      <c r="B597" s="10">
        <f>IFERROR(__xludf.DUMMYFUNCTION("""COMPUTED_VALUE"""),120.0)</f>
        <v>120</v>
      </c>
      <c r="C597" s="10">
        <f>IFERROR(__xludf.DUMMYFUNCTION("""COMPUTED_VALUE"""),1399.0)</f>
        <v>1399</v>
      </c>
      <c r="D597" s="5">
        <f>IFERROR(__xludf.DUMMYFUNCTION("""COMPUTED_VALUE"""),0.3096168881939015)</f>
        <v>0.3096168882</v>
      </c>
      <c r="E597" s="5">
        <f>IFERROR(__xludf.DUMMYFUNCTION("""COMPUTED_VALUE"""),0.1462079749804535)</f>
        <v>0.146207975</v>
      </c>
      <c r="F597" s="5">
        <f>IFERROR(__xludf.DUMMYFUNCTION("""COMPUTED_VALUE"""),0.19859265050820954)</f>
        <v>0.1985926505</v>
      </c>
      <c r="G597" s="5">
        <f>IFERROR(__xludf.DUMMYFUNCTION("""COMPUTED_VALUE"""),0.2150117279124316)</f>
        <v>0.2150117279</v>
      </c>
      <c r="H597" s="5">
        <f>IFERROR(__xludf.DUMMYFUNCTION("""COMPUTED_VALUE"""),0.5669291338582677)</f>
        <v>0.5669291339</v>
      </c>
      <c r="I597" s="11">
        <f>IFERROR(__xludf.DUMMYFUNCTION("""COMPUTED_VALUE"""),5962.59842519685)</f>
        <v>5962.598425</v>
      </c>
      <c r="J597" s="10">
        <f>IFERROR(__xludf.DUMMYFUNCTION("""COMPUTED_VALUE"""),0.0)</f>
        <v>0</v>
      </c>
      <c r="K597" s="5">
        <f>IFERROR(__xludf.DUMMYFUNCTION("""COMPUTED_VALUE"""),0.0)</f>
        <v>0</v>
      </c>
      <c r="L597" s="10">
        <f>IFERROR(__xludf.DUMMYFUNCTION("""COMPUTED_VALUE"""),120.0)</f>
        <v>120</v>
      </c>
      <c r="M597" s="5">
        <f>IFERROR(__xludf.DUMMYFUNCTION("""COMPUTED_VALUE"""),1.0)</f>
        <v>1</v>
      </c>
    </row>
    <row r="598">
      <c r="A598" s="10" t="str">
        <f>IFERROR(__xludf.DUMMYFUNCTION("""COMPUTED_VALUE"""),"oretuee")</f>
        <v>oretuee</v>
      </c>
      <c r="B598" s="10">
        <f>IFERROR(__xludf.DUMMYFUNCTION("""COMPUTED_VALUE"""),102.0)</f>
        <v>102</v>
      </c>
      <c r="C598" s="10">
        <f>IFERROR(__xludf.DUMMYFUNCTION("""COMPUTED_VALUE"""),1169.0)</f>
        <v>1169</v>
      </c>
      <c r="D598" s="5">
        <f>IFERROR(__xludf.DUMMYFUNCTION("""COMPUTED_VALUE"""),0.3477038425492034)</f>
        <v>0.3477038425</v>
      </c>
      <c r="E598" s="5">
        <f>IFERROR(__xludf.DUMMYFUNCTION("""COMPUTED_VALUE"""),0.14620431115276475)</f>
        <v>0.1462043112</v>
      </c>
      <c r="F598" s="5">
        <f>IFERROR(__xludf.DUMMYFUNCTION("""COMPUTED_VALUE"""),0.21462043111527648)</f>
        <v>0.2146204311</v>
      </c>
      <c r="G598" s="5">
        <f>IFERROR(__xludf.DUMMYFUNCTION("""COMPUTED_VALUE"""),0.16307403936269915)</f>
        <v>0.1630740394</v>
      </c>
      <c r="H598" s="5">
        <f>IFERROR(__xludf.DUMMYFUNCTION("""COMPUTED_VALUE"""),0.5589519650655022)</f>
        <v>0.5589519651</v>
      </c>
      <c r="I598" s="11">
        <f>IFERROR(__xludf.DUMMYFUNCTION("""COMPUTED_VALUE"""),5788.646288209607)</f>
        <v>5788.646288</v>
      </c>
      <c r="J598" s="10">
        <f>IFERROR(__xludf.DUMMYFUNCTION("""COMPUTED_VALUE"""),1.0)</f>
        <v>1</v>
      </c>
      <c r="K598" s="5">
        <f>IFERROR(__xludf.DUMMYFUNCTION("""COMPUTED_VALUE"""),0.00980392156862745)</f>
        <v>0.009803921569</v>
      </c>
      <c r="L598" s="10">
        <f>IFERROR(__xludf.DUMMYFUNCTION("""COMPUTED_VALUE"""),18.0)</f>
        <v>18</v>
      </c>
      <c r="M598" s="5">
        <f>IFERROR(__xludf.DUMMYFUNCTION("""COMPUTED_VALUE"""),0.17647058823529413)</f>
        <v>0.1764705882</v>
      </c>
    </row>
    <row r="599">
      <c r="A599" s="10" t="str">
        <f>IFERROR(__xludf.DUMMYFUNCTION("""COMPUTED_VALUE"""),"ジュアン様")</f>
        <v>ジュアン様</v>
      </c>
      <c r="B599" s="10">
        <f>IFERROR(__xludf.DUMMYFUNCTION("""COMPUTED_VALUE"""),164.0)</f>
        <v>164</v>
      </c>
      <c r="C599" s="10">
        <f>IFERROR(__xludf.DUMMYFUNCTION("""COMPUTED_VALUE"""),1915.0)</f>
        <v>1915</v>
      </c>
      <c r="D599" s="5">
        <f>IFERROR(__xludf.DUMMYFUNCTION("""COMPUTED_VALUE"""),0.2735579668760708)</f>
        <v>0.2735579669</v>
      </c>
      <c r="E599" s="5">
        <f>IFERROR(__xludf.DUMMYFUNCTION("""COMPUTED_VALUE"""),0.14620217018846374)</f>
        <v>0.1462021702</v>
      </c>
      <c r="F599" s="5">
        <f>IFERROR(__xludf.DUMMYFUNCTION("""COMPUTED_VALUE"""),0.20102798400913763)</f>
        <v>0.201027984</v>
      </c>
      <c r="G599" s="5">
        <f>IFERROR(__xludf.DUMMYFUNCTION("""COMPUTED_VALUE"""),0.19360365505425473)</f>
        <v>0.1936036551</v>
      </c>
      <c r="H599" s="5">
        <f>IFERROR(__xludf.DUMMYFUNCTION("""COMPUTED_VALUE"""),0.5568181818181818)</f>
        <v>0.5568181818</v>
      </c>
      <c r="I599" s="11">
        <f>IFERROR(__xludf.DUMMYFUNCTION("""COMPUTED_VALUE"""),6185.795454545455)</f>
        <v>6185.795455</v>
      </c>
      <c r="J599" s="10">
        <f>IFERROR(__xludf.DUMMYFUNCTION("""COMPUTED_VALUE"""),1.0)</f>
        <v>1</v>
      </c>
      <c r="K599" s="5">
        <f>IFERROR(__xludf.DUMMYFUNCTION("""COMPUTED_VALUE"""),0.006097560975609756)</f>
        <v>0.006097560976</v>
      </c>
      <c r="L599" s="10">
        <f>IFERROR(__xludf.DUMMYFUNCTION("""COMPUTED_VALUE"""),164.0)</f>
        <v>164</v>
      </c>
      <c r="M599" s="5">
        <f>IFERROR(__xludf.DUMMYFUNCTION("""COMPUTED_VALUE"""),1.0)</f>
        <v>1</v>
      </c>
    </row>
    <row r="600">
      <c r="A600" s="10" t="str">
        <f>IFERROR(__xludf.DUMMYFUNCTION("""COMPUTED_VALUE"""),"元珍")</f>
        <v>元珍</v>
      </c>
      <c r="B600" s="10">
        <f>IFERROR(__xludf.DUMMYFUNCTION("""COMPUTED_VALUE"""),2086.0)</f>
        <v>2086</v>
      </c>
      <c r="C600" s="10">
        <f>IFERROR(__xludf.DUMMYFUNCTION("""COMPUTED_VALUE"""),24309.0)</f>
        <v>24309</v>
      </c>
      <c r="D600" s="5">
        <f>IFERROR(__xludf.DUMMYFUNCTION("""COMPUTED_VALUE"""),0.25905593304234353)</f>
        <v>0.259055933</v>
      </c>
      <c r="E600" s="5">
        <f>IFERROR(__xludf.DUMMYFUNCTION("""COMPUTED_VALUE"""),0.14619988300409487)</f>
        <v>0.146199883</v>
      </c>
      <c r="F600" s="5">
        <f>IFERROR(__xludf.DUMMYFUNCTION("""COMPUTED_VALUE"""),0.21405750798722045)</f>
        <v>0.214057508</v>
      </c>
      <c r="G600" s="5">
        <f>IFERROR(__xludf.DUMMYFUNCTION("""COMPUTED_VALUE"""),0.19043333483328084)</f>
        <v>0.1904333348</v>
      </c>
      <c r="H600" s="5">
        <f>IFERROR(__xludf.DUMMYFUNCTION("""COMPUTED_VALUE"""),0.5913390792516292)</f>
        <v>0.5913390793</v>
      </c>
      <c r="I600" s="11">
        <f>IFERROR(__xludf.DUMMYFUNCTION("""COMPUTED_VALUE"""),5911.8351902459535)</f>
        <v>5911.83519</v>
      </c>
      <c r="J600" s="10">
        <f>IFERROR(__xludf.DUMMYFUNCTION("""COMPUTED_VALUE"""),8.0)</f>
        <v>8</v>
      </c>
      <c r="K600" s="5">
        <f>IFERROR(__xludf.DUMMYFUNCTION("""COMPUTED_VALUE"""),0.003835091083413231)</f>
        <v>0.003835091083</v>
      </c>
      <c r="L600" s="10">
        <f>IFERROR(__xludf.DUMMYFUNCTION("""COMPUTED_VALUE"""),2086.0)</f>
        <v>2086</v>
      </c>
      <c r="M600" s="5">
        <f>IFERROR(__xludf.DUMMYFUNCTION("""COMPUTED_VALUE"""),1.0)</f>
        <v>1</v>
      </c>
    </row>
    <row r="601">
      <c r="A601" s="10" t="str">
        <f>IFERROR(__xludf.DUMMYFUNCTION("""COMPUTED_VALUE"""),"ちびてつ")</f>
        <v>ちびてつ</v>
      </c>
      <c r="B601" s="10">
        <f>IFERROR(__xludf.DUMMYFUNCTION("""COMPUTED_VALUE"""),2066.0)</f>
        <v>2066</v>
      </c>
      <c r="C601" s="10">
        <f>IFERROR(__xludf.DUMMYFUNCTION("""COMPUTED_VALUE"""),24368.0)</f>
        <v>24368</v>
      </c>
      <c r="D601" s="5">
        <f>IFERROR(__xludf.DUMMYFUNCTION("""COMPUTED_VALUE"""),0.37767913191642005)</f>
        <v>0.3776791319</v>
      </c>
      <c r="E601" s="5">
        <f>IFERROR(__xludf.DUMMYFUNCTION("""COMPUTED_VALUE"""),0.14617523092099363)</f>
        <v>0.1461752309</v>
      </c>
      <c r="F601" s="5">
        <f>IFERROR(__xludf.DUMMYFUNCTION("""COMPUTED_VALUE"""),0.21675186081965744)</f>
        <v>0.2167518608</v>
      </c>
      <c r="G601" s="5">
        <f>IFERROR(__xludf.DUMMYFUNCTION("""COMPUTED_VALUE"""),0.15290108510447495)</f>
        <v>0.1529010851</v>
      </c>
      <c r="H601" s="5">
        <f>IFERROR(__xludf.DUMMYFUNCTION("""COMPUTED_VALUE"""),0.6152254861398427)</f>
        <v>0.6152254861</v>
      </c>
      <c r="I601" s="11">
        <f>IFERROR(__xludf.DUMMYFUNCTION("""COMPUTED_VALUE"""),5378.2581712867195)</f>
        <v>5378.258171</v>
      </c>
      <c r="J601" s="10">
        <f>IFERROR(__xludf.DUMMYFUNCTION("""COMPUTED_VALUE"""),2.0)</f>
        <v>2</v>
      </c>
      <c r="K601" s="5">
        <f>IFERROR(__xludf.DUMMYFUNCTION("""COMPUTED_VALUE"""),9.68054211035818E-4)</f>
        <v>0.000968054211</v>
      </c>
      <c r="L601" s="10">
        <f>IFERROR(__xludf.DUMMYFUNCTION("""COMPUTED_VALUE"""),2066.0)</f>
        <v>2066</v>
      </c>
      <c r="M601" s="5">
        <f>IFERROR(__xludf.DUMMYFUNCTION("""COMPUTED_VALUE"""),1.0)</f>
        <v>1</v>
      </c>
    </row>
    <row r="602">
      <c r="A602" s="10" t="str">
        <f>IFERROR(__xludf.DUMMYFUNCTION("""COMPUTED_VALUE"""),"昨日も睡眠不足")</f>
        <v>昨日も睡眠不足</v>
      </c>
      <c r="B602" s="10">
        <f>IFERROR(__xludf.DUMMYFUNCTION("""COMPUTED_VALUE"""),320.0)</f>
        <v>320</v>
      </c>
      <c r="C602" s="10">
        <f>IFERROR(__xludf.DUMMYFUNCTION("""COMPUTED_VALUE"""),3809.0)</f>
        <v>3809</v>
      </c>
      <c r="D602" s="5">
        <f>IFERROR(__xludf.DUMMYFUNCTION("""COMPUTED_VALUE"""),0.34852393235884205)</f>
        <v>0.3485239324</v>
      </c>
      <c r="E602" s="5">
        <f>IFERROR(__xludf.DUMMYFUNCTION("""COMPUTED_VALUE"""),0.1461736887360275)</f>
        <v>0.1461736887</v>
      </c>
      <c r="F602" s="5">
        <f>IFERROR(__xludf.DUMMYFUNCTION("""COMPUTED_VALUE"""),0.2235597592433362)</f>
        <v>0.2235597592</v>
      </c>
      <c r="G602" s="5">
        <f>IFERROR(__xludf.DUMMYFUNCTION("""COMPUTED_VALUE"""),0.17798796216680998)</f>
        <v>0.1779879622</v>
      </c>
      <c r="H602" s="5">
        <f>IFERROR(__xludf.DUMMYFUNCTION("""COMPUTED_VALUE"""),0.617948717948718)</f>
        <v>0.6179487179</v>
      </c>
      <c r="I602" s="11">
        <f>IFERROR(__xludf.DUMMYFUNCTION("""COMPUTED_VALUE"""),5505.51282051282)</f>
        <v>5505.512821</v>
      </c>
      <c r="J602" s="10">
        <f>IFERROR(__xludf.DUMMYFUNCTION("""COMPUTED_VALUE"""),0.0)</f>
        <v>0</v>
      </c>
      <c r="K602" s="5">
        <f>IFERROR(__xludf.DUMMYFUNCTION("""COMPUTED_VALUE"""),0.0)</f>
        <v>0</v>
      </c>
      <c r="L602" s="10">
        <f>IFERROR(__xludf.DUMMYFUNCTION("""COMPUTED_VALUE"""),320.0)</f>
        <v>320</v>
      </c>
      <c r="M602" s="5">
        <f>IFERROR(__xludf.DUMMYFUNCTION("""COMPUTED_VALUE"""),1.0)</f>
        <v>1</v>
      </c>
    </row>
    <row r="603">
      <c r="A603" s="10" t="str">
        <f>IFERROR(__xludf.DUMMYFUNCTION("""COMPUTED_VALUE"""),"遠山キンジ")</f>
        <v>遠山キンジ</v>
      </c>
      <c r="B603" s="10">
        <f>IFERROR(__xludf.DUMMYFUNCTION("""COMPUTED_VALUE"""),101.0)</f>
        <v>101</v>
      </c>
      <c r="C603" s="10">
        <f>IFERROR(__xludf.DUMMYFUNCTION("""COMPUTED_VALUE"""),1182.0)</f>
        <v>1182</v>
      </c>
      <c r="D603" s="5">
        <f>IFERROR(__xludf.DUMMYFUNCTION("""COMPUTED_VALUE"""),0.3755781683626272)</f>
        <v>0.3755781684</v>
      </c>
      <c r="E603" s="5">
        <f>IFERROR(__xludf.DUMMYFUNCTION("""COMPUTED_VALUE"""),0.1461609620721554)</f>
        <v>0.1461609621</v>
      </c>
      <c r="F603" s="5">
        <f>IFERROR(__xludf.DUMMYFUNCTION("""COMPUTED_VALUE"""),0.19703977798334876)</f>
        <v>0.197039778</v>
      </c>
      <c r="G603" s="5">
        <f>IFERROR(__xludf.DUMMYFUNCTION("""COMPUTED_VALUE"""),0.1332099907493062)</f>
        <v>0.1332099907</v>
      </c>
      <c r="H603" s="5">
        <f>IFERROR(__xludf.DUMMYFUNCTION("""COMPUTED_VALUE"""),0.6056338028169014)</f>
        <v>0.6056338028</v>
      </c>
      <c r="I603" s="11">
        <f>IFERROR(__xludf.DUMMYFUNCTION("""COMPUTED_VALUE"""),5227.230046948357)</f>
        <v>5227.230047</v>
      </c>
      <c r="J603" s="10">
        <f>IFERROR(__xludf.DUMMYFUNCTION("""COMPUTED_VALUE"""),0.0)</f>
        <v>0</v>
      </c>
      <c r="K603" s="5">
        <f>IFERROR(__xludf.DUMMYFUNCTION("""COMPUTED_VALUE"""),0.0)</f>
        <v>0</v>
      </c>
      <c r="L603" s="10">
        <f>IFERROR(__xludf.DUMMYFUNCTION("""COMPUTED_VALUE"""),101.0)</f>
        <v>101</v>
      </c>
      <c r="M603" s="5">
        <f>IFERROR(__xludf.DUMMYFUNCTION("""COMPUTED_VALUE"""),1.0)</f>
        <v>1</v>
      </c>
    </row>
    <row r="604">
      <c r="A604" s="10" t="str">
        <f>IFERROR(__xludf.DUMMYFUNCTION("""COMPUTED_VALUE"""),"〓暁紀〓")</f>
        <v>〓暁紀〓</v>
      </c>
      <c r="B604" s="10">
        <f>IFERROR(__xludf.DUMMYFUNCTION("""COMPUTED_VALUE"""),243.0)</f>
        <v>243</v>
      </c>
      <c r="C604" s="10">
        <f>IFERROR(__xludf.DUMMYFUNCTION("""COMPUTED_VALUE"""),2843.0)</f>
        <v>2843</v>
      </c>
      <c r="D604" s="5">
        <f>IFERROR(__xludf.DUMMYFUNCTION("""COMPUTED_VALUE"""),0.3392307692307692)</f>
        <v>0.3392307692</v>
      </c>
      <c r="E604" s="5">
        <f>IFERROR(__xludf.DUMMYFUNCTION("""COMPUTED_VALUE"""),0.14615384615384616)</f>
        <v>0.1461538462</v>
      </c>
      <c r="F604" s="5">
        <f>IFERROR(__xludf.DUMMYFUNCTION("""COMPUTED_VALUE"""),0.21192307692307694)</f>
        <v>0.2119230769</v>
      </c>
      <c r="G604" s="5">
        <f>IFERROR(__xludf.DUMMYFUNCTION("""COMPUTED_VALUE"""),0.16115384615384615)</f>
        <v>0.1611538462</v>
      </c>
      <c r="H604" s="5">
        <f>IFERROR(__xludf.DUMMYFUNCTION("""COMPUTED_VALUE"""),0.5862068965517241)</f>
        <v>0.5862068966</v>
      </c>
      <c r="I604" s="11">
        <f>IFERROR(__xludf.DUMMYFUNCTION("""COMPUTED_VALUE"""),5673.1397459165155)</f>
        <v>5673.139746</v>
      </c>
      <c r="J604" s="10">
        <f>IFERROR(__xludf.DUMMYFUNCTION("""COMPUTED_VALUE"""),1.0)</f>
        <v>1</v>
      </c>
      <c r="K604" s="5">
        <f>IFERROR(__xludf.DUMMYFUNCTION("""COMPUTED_VALUE"""),0.00411522633744856)</f>
        <v>0.004115226337</v>
      </c>
      <c r="L604" s="10">
        <f>IFERROR(__xludf.DUMMYFUNCTION("""COMPUTED_VALUE"""),61.0)</f>
        <v>61</v>
      </c>
      <c r="M604" s="5">
        <f>IFERROR(__xludf.DUMMYFUNCTION("""COMPUTED_VALUE"""),0.25102880658436216)</f>
        <v>0.2510288066</v>
      </c>
    </row>
    <row r="605">
      <c r="A605" s="10" t="str">
        <f>IFERROR(__xludf.DUMMYFUNCTION("""COMPUTED_VALUE"""),"どんよく")</f>
        <v>どんよく</v>
      </c>
      <c r="B605" s="10">
        <f>IFERROR(__xludf.DUMMYFUNCTION("""COMPUTED_VALUE"""),1600.0)</f>
        <v>1600</v>
      </c>
      <c r="C605" s="10">
        <f>IFERROR(__xludf.DUMMYFUNCTION("""COMPUTED_VALUE"""),18631.0)</f>
        <v>18631</v>
      </c>
      <c r="D605" s="5">
        <f>IFERROR(__xludf.DUMMYFUNCTION("""COMPUTED_VALUE"""),0.29076390112148437)</f>
        <v>0.2907639011</v>
      </c>
      <c r="E605" s="5">
        <f>IFERROR(__xludf.DUMMYFUNCTION("""COMPUTED_VALUE"""),0.14614526451764429)</f>
        <v>0.1461452645</v>
      </c>
      <c r="F605" s="5">
        <f>IFERROR(__xludf.DUMMYFUNCTION("""COMPUTED_VALUE"""),0.20985262168985966)</f>
        <v>0.2098526217</v>
      </c>
      <c r="G605" s="5">
        <f>IFERROR(__xludf.DUMMYFUNCTION("""COMPUTED_VALUE"""),0.21443250543127237)</f>
        <v>0.2144325054</v>
      </c>
      <c r="H605" s="5">
        <f>IFERROR(__xludf.DUMMYFUNCTION("""COMPUTED_VALUE"""),0.6021264689423615)</f>
        <v>0.6021264689</v>
      </c>
      <c r="I605" s="11">
        <f>IFERROR(__xludf.DUMMYFUNCTION("""COMPUTED_VALUE"""),6171.6004476776725)</f>
        <v>6171.600448</v>
      </c>
      <c r="J605" s="10">
        <f>IFERROR(__xludf.DUMMYFUNCTION("""COMPUTED_VALUE"""),3.0)</f>
        <v>3</v>
      </c>
      <c r="K605" s="5">
        <f>IFERROR(__xludf.DUMMYFUNCTION("""COMPUTED_VALUE"""),0.001875)</f>
        <v>0.001875</v>
      </c>
      <c r="L605" s="10">
        <f>IFERROR(__xludf.DUMMYFUNCTION("""COMPUTED_VALUE"""),1600.0)</f>
        <v>1600</v>
      </c>
      <c r="M605" s="5">
        <f>IFERROR(__xludf.DUMMYFUNCTION("""COMPUTED_VALUE"""),1.0)</f>
        <v>1</v>
      </c>
    </row>
    <row r="606">
      <c r="A606" s="10" t="str">
        <f>IFERROR(__xludf.DUMMYFUNCTION("""COMPUTED_VALUE"""),"メガンテ")</f>
        <v>メガンテ</v>
      </c>
      <c r="B606" s="10">
        <f>IFERROR(__xludf.DUMMYFUNCTION("""COMPUTED_VALUE"""),1112.0)</f>
        <v>1112</v>
      </c>
      <c r="C606" s="10">
        <f>IFERROR(__xludf.DUMMYFUNCTION("""COMPUTED_VALUE"""),13066.0)</f>
        <v>13066</v>
      </c>
      <c r="D606" s="5">
        <f>IFERROR(__xludf.DUMMYFUNCTION("""COMPUTED_VALUE"""),0.40572193408064244)</f>
        <v>0.4057219341</v>
      </c>
      <c r="E606" s="5">
        <f>IFERROR(__xludf.DUMMYFUNCTION("""COMPUTED_VALUE"""),0.14614355027605822)</f>
        <v>0.1461435503</v>
      </c>
      <c r="F606" s="5">
        <f>IFERROR(__xludf.DUMMYFUNCTION("""COMPUTED_VALUE"""),0.22661870503597123)</f>
        <v>0.226618705</v>
      </c>
      <c r="G606" s="5">
        <f>IFERROR(__xludf.DUMMYFUNCTION("""COMPUTED_VALUE"""),0.17542245273548604)</f>
        <v>0.1754224527</v>
      </c>
      <c r="H606" s="5">
        <f>IFERROR(__xludf.DUMMYFUNCTION("""COMPUTED_VALUE"""),0.5961609449981543)</f>
        <v>0.596160945</v>
      </c>
      <c r="I606" s="11">
        <f>IFERROR(__xludf.DUMMYFUNCTION("""COMPUTED_VALUE"""),5423.071244001477)</f>
        <v>5423.071244</v>
      </c>
      <c r="J606" s="10">
        <f>IFERROR(__xludf.DUMMYFUNCTION("""COMPUTED_VALUE"""),4.0)</f>
        <v>4</v>
      </c>
      <c r="K606" s="5">
        <f>IFERROR(__xludf.DUMMYFUNCTION("""COMPUTED_VALUE"""),0.0035971223021582736)</f>
        <v>0.003597122302</v>
      </c>
      <c r="L606" s="10">
        <f>IFERROR(__xludf.DUMMYFUNCTION("""COMPUTED_VALUE"""),152.0)</f>
        <v>152</v>
      </c>
      <c r="M606" s="5">
        <f>IFERROR(__xludf.DUMMYFUNCTION("""COMPUTED_VALUE"""),0.1366906474820144)</f>
        <v>0.1366906475</v>
      </c>
    </row>
    <row r="607">
      <c r="A607" s="10" t="str">
        <f>IFERROR(__xludf.DUMMYFUNCTION("""COMPUTED_VALUE"""),"天ノ斑駒")</f>
        <v>天ノ斑駒</v>
      </c>
      <c r="B607" s="10">
        <f>IFERROR(__xludf.DUMMYFUNCTION("""COMPUTED_VALUE"""),104.0)</f>
        <v>104</v>
      </c>
      <c r="C607" s="10">
        <f>IFERROR(__xludf.DUMMYFUNCTION("""COMPUTED_VALUE"""),1151.0)</f>
        <v>1151</v>
      </c>
      <c r="D607" s="5">
        <f>IFERROR(__xludf.DUMMYFUNCTION("""COMPUTED_VALUE"""),0.31996179560649474)</f>
        <v>0.3199617956</v>
      </c>
      <c r="E607" s="5">
        <f>IFERROR(__xludf.DUMMYFUNCTION("""COMPUTED_VALUE"""),0.14613180515759314)</f>
        <v>0.1461318052</v>
      </c>
      <c r="F607" s="5">
        <f>IFERROR(__xludf.DUMMYFUNCTION("""COMPUTED_VALUE"""),0.19579751671442217)</f>
        <v>0.1957975167</v>
      </c>
      <c r="G607" s="5">
        <f>IFERROR(__xludf.DUMMYFUNCTION("""COMPUTED_VALUE"""),0.21967526265520534)</f>
        <v>0.2196752627</v>
      </c>
      <c r="H607" s="5">
        <f>IFERROR(__xludf.DUMMYFUNCTION("""COMPUTED_VALUE"""),0.6195121951219512)</f>
        <v>0.6195121951</v>
      </c>
      <c r="I607" s="11">
        <f>IFERROR(__xludf.DUMMYFUNCTION("""COMPUTED_VALUE"""),6036.585365853659)</f>
        <v>6036.585366</v>
      </c>
      <c r="J607" s="10">
        <f>IFERROR(__xludf.DUMMYFUNCTION("""COMPUTED_VALUE"""),0.0)</f>
        <v>0</v>
      </c>
      <c r="K607" s="5">
        <f>IFERROR(__xludf.DUMMYFUNCTION("""COMPUTED_VALUE"""),0.0)</f>
        <v>0</v>
      </c>
      <c r="L607" s="10">
        <f>IFERROR(__xludf.DUMMYFUNCTION("""COMPUTED_VALUE"""),0.0)</f>
        <v>0</v>
      </c>
      <c r="M607" s="5">
        <f>IFERROR(__xludf.DUMMYFUNCTION("""COMPUTED_VALUE"""),0.0)</f>
        <v>0</v>
      </c>
    </row>
    <row r="608">
      <c r="A608" s="10" t="str">
        <f>IFERROR(__xludf.DUMMYFUNCTION("""COMPUTED_VALUE"""),"MisoSoup")</f>
        <v>MisoSoup</v>
      </c>
      <c r="B608" s="10">
        <f>IFERROR(__xludf.DUMMYFUNCTION("""COMPUTED_VALUE"""),136.0)</f>
        <v>136</v>
      </c>
      <c r="C608" s="10">
        <f>IFERROR(__xludf.DUMMYFUNCTION("""COMPUTED_VALUE"""),1628.0)</f>
        <v>1628</v>
      </c>
      <c r="D608" s="5">
        <f>IFERROR(__xludf.DUMMYFUNCTION("""COMPUTED_VALUE"""),0.2868632707774799)</f>
        <v>0.2868632708</v>
      </c>
      <c r="E608" s="5">
        <f>IFERROR(__xludf.DUMMYFUNCTION("""COMPUTED_VALUE"""),0.14611260053619302)</f>
        <v>0.1461126005</v>
      </c>
      <c r="F608" s="5">
        <f>IFERROR(__xludf.DUMMYFUNCTION("""COMPUTED_VALUE"""),0.18230563002680966)</f>
        <v>0.18230563</v>
      </c>
      <c r="G608" s="5">
        <f>IFERROR(__xludf.DUMMYFUNCTION("""COMPUTED_VALUE"""),0.16219839142091153)</f>
        <v>0.1621983914</v>
      </c>
      <c r="H608" s="5">
        <f>IFERROR(__xludf.DUMMYFUNCTION("""COMPUTED_VALUE"""),0.5661764705882353)</f>
        <v>0.5661764706</v>
      </c>
      <c r="I608" s="11">
        <f>IFERROR(__xludf.DUMMYFUNCTION("""COMPUTED_VALUE"""),6168.75)</f>
        <v>6168.75</v>
      </c>
      <c r="J608" s="10">
        <f>IFERROR(__xludf.DUMMYFUNCTION("""COMPUTED_VALUE"""),0.0)</f>
        <v>0</v>
      </c>
      <c r="K608" s="5">
        <f>IFERROR(__xludf.DUMMYFUNCTION("""COMPUTED_VALUE"""),0.0)</f>
        <v>0</v>
      </c>
      <c r="L608" s="10">
        <f>IFERROR(__xludf.DUMMYFUNCTION("""COMPUTED_VALUE"""),136.0)</f>
        <v>136</v>
      </c>
      <c r="M608" s="5">
        <f>IFERROR(__xludf.DUMMYFUNCTION("""COMPUTED_VALUE"""),1.0)</f>
        <v>1</v>
      </c>
    </row>
    <row r="609">
      <c r="A609" s="10" t="str">
        <f>IFERROR(__xludf.DUMMYFUNCTION("""COMPUTED_VALUE"""),"難波英人")</f>
        <v>難波英人</v>
      </c>
      <c r="B609" s="10">
        <f>IFERROR(__xludf.DUMMYFUNCTION("""COMPUTED_VALUE"""),630.0)</f>
        <v>630</v>
      </c>
      <c r="C609" s="10">
        <f>IFERROR(__xludf.DUMMYFUNCTION("""COMPUTED_VALUE"""),7406.0)</f>
        <v>7406</v>
      </c>
      <c r="D609" s="5">
        <f>IFERROR(__xludf.DUMMYFUNCTION("""COMPUTED_VALUE"""),0.26018299881936247)</f>
        <v>0.2601829988</v>
      </c>
      <c r="E609" s="5">
        <f>IFERROR(__xludf.DUMMYFUNCTION("""COMPUTED_VALUE"""),0.1461038961038961)</f>
        <v>0.1461038961</v>
      </c>
      <c r="F609" s="5">
        <f>IFERROR(__xludf.DUMMYFUNCTION("""COMPUTED_VALUE"""),0.2066115702479339)</f>
        <v>0.2066115702</v>
      </c>
      <c r="G609" s="5">
        <f>IFERROR(__xludf.DUMMYFUNCTION("""COMPUTED_VALUE"""),0.19642857142857142)</f>
        <v>0.1964285714</v>
      </c>
      <c r="H609" s="5">
        <f>IFERROR(__xludf.DUMMYFUNCTION("""COMPUTED_VALUE"""),0.5728571428571428)</f>
        <v>0.5728571429</v>
      </c>
      <c r="I609" s="11">
        <f>IFERROR(__xludf.DUMMYFUNCTION("""COMPUTED_VALUE"""),6697.785714285715)</f>
        <v>6697.785714</v>
      </c>
      <c r="J609" s="10">
        <f>IFERROR(__xludf.DUMMYFUNCTION("""COMPUTED_VALUE"""),4.0)</f>
        <v>4</v>
      </c>
      <c r="K609" s="5">
        <f>IFERROR(__xludf.DUMMYFUNCTION("""COMPUTED_VALUE"""),0.006349206349206349)</f>
        <v>0.006349206349</v>
      </c>
      <c r="L609" s="10">
        <f>IFERROR(__xludf.DUMMYFUNCTION("""COMPUTED_VALUE"""),630.0)</f>
        <v>630</v>
      </c>
      <c r="M609" s="5">
        <f>IFERROR(__xludf.DUMMYFUNCTION("""COMPUTED_VALUE"""),1.0)</f>
        <v>1</v>
      </c>
    </row>
    <row r="610">
      <c r="A610" s="10" t="str">
        <f>IFERROR(__xludf.DUMMYFUNCTION("""COMPUTED_VALUE"""),"UNLOOSE")</f>
        <v>UNLOOSE</v>
      </c>
      <c r="B610" s="10">
        <f>IFERROR(__xludf.DUMMYFUNCTION("""COMPUTED_VALUE"""),136.0)</f>
        <v>136</v>
      </c>
      <c r="C610" s="10">
        <f>IFERROR(__xludf.DUMMYFUNCTION("""COMPUTED_VALUE"""),1546.0)</f>
        <v>1546</v>
      </c>
      <c r="D610" s="5">
        <f>IFERROR(__xludf.DUMMYFUNCTION("""COMPUTED_VALUE"""),0.29645390070921984)</f>
        <v>0.2964539007</v>
      </c>
      <c r="E610" s="5">
        <f>IFERROR(__xludf.DUMMYFUNCTION("""COMPUTED_VALUE"""),0.14609929078014183)</f>
        <v>0.1460992908</v>
      </c>
      <c r="F610" s="5">
        <f>IFERROR(__xludf.DUMMYFUNCTION("""COMPUTED_VALUE"""),0.18156028368794327)</f>
        <v>0.1815602837</v>
      </c>
      <c r="G610" s="5">
        <f>IFERROR(__xludf.DUMMYFUNCTION("""COMPUTED_VALUE"""),0.18439716312056736)</f>
        <v>0.1843971631</v>
      </c>
      <c r="H610" s="5">
        <f>IFERROR(__xludf.DUMMYFUNCTION("""COMPUTED_VALUE"""),0.6015625)</f>
        <v>0.6015625</v>
      </c>
      <c r="I610" s="11">
        <f>IFERROR(__xludf.DUMMYFUNCTION("""COMPUTED_VALUE"""),5889.84375)</f>
        <v>5889.84375</v>
      </c>
      <c r="J610" s="10">
        <f>IFERROR(__xludf.DUMMYFUNCTION("""COMPUTED_VALUE"""),0.0)</f>
        <v>0</v>
      </c>
      <c r="K610" s="5">
        <f>IFERROR(__xludf.DUMMYFUNCTION("""COMPUTED_VALUE"""),0.0)</f>
        <v>0</v>
      </c>
      <c r="L610" s="10">
        <f>IFERROR(__xludf.DUMMYFUNCTION("""COMPUTED_VALUE"""),35.0)</f>
        <v>35</v>
      </c>
      <c r="M610" s="5">
        <f>IFERROR(__xludf.DUMMYFUNCTION("""COMPUTED_VALUE"""),0.25735294117647056)</f>
        <v>0.2573529412</v>
      </c>
    </row>
    <row r="611">
      <c r="A611" s="10" t="str">
        <f>IFERROR(__xludf.DUMMYFUNCTION("""COMPUTED_VALUE"""),"がぶり寄り")</f>
        <v>がぶり寄り</v>
      </c>
      <c r="B611" s="10">
        <f>IFERROR(__xludf.DUMMYFUNCTION("""COMPUTED_VALUE"""),117.0)</f>
        <v>117</v>
      </c>
      <c r="C611" s="10">
        <f>IFERROR(__xludf.DUMMYFUNCTION("""COMPUTED_VALUE"""),1404.0)</f>
        <v>1404</v>
      </c>
      <c r="D611" s="5">
        <f>IFERROR(__xludf.DUMMYFUNCTION("""COMPUTED_VALUE"""),0.2937062937062937)</f>
        <v>0.2937062937</v>
      </c>
      <c r="E611" s="5">
        <f>IFERROR(__xludf.DUMMYFUNCTION("""COMPUTED_VALUE"""),0.14607614607614608)</f>
        <v>0.1460761461</v>
      </c>
      <c r="F611" s="5">
        <f>IFERROR(__xludf.DUMMYFUNCTION("""COMPUTED_VALUE"""),0.21367521367521367)</f>
        <v>0.2136752137</v>
      </c>
      <c r="G611" s="5">
        <f>IFERROR(__xludf.DUMMYFUNCTION("""COMPUTED_VALUE"""),0.13986013986013987)</f>
        <v>0.1398601399</v>
      </c>
      <c r="H611" s="5">
        <f>IFERROR(__xludf.DUMMYFUNCTION("""COMPUTED_VALUE"""),0.5345454545454545)</f>
        <v>0.5345454545</v>
      </c>
      <c r="I611" s="11">
        <f>IFERROR(__xludf.DUMMYFUNCTION("""COMPUTED_VALUE"""),5506.181818181818)</f>
        <v>5506.181818</v>
      </c>
      <c r="J611" s="10">
        <f>IFERROR(__xludf.DUMMYFUNCTION("""COMPUTED_VALUE"""),0.0)</f>
        <v>0</v>
      </c>
      <c r="K611" s="5">
        <f>IFERROR(__xludf.DUMMYFUNCTION("""COMPUTED_VALUE"""),0.0)</f>
        <v>0</v>
      </c>
      <c r="L611" s="10">
        <f>IFERROR(__xludf.DUMMYFUNCTION("""COMPUTED_VALUE"""),117.0)</f>
        <v>117</v>
      </c>
      <c r="M611" s="5">
        <f>IFERROR(__xludf.DUMMYFUNCTION("""COMPUTED_VALUE"""),1.0)</f>
        <v>1</v>
      </c>
    </row>
    <row r="612">
      <c r="A612" s="10" t="str">
        <f>IFERROR(__xludf.DUMMYFUNCTION("""COMPUTED_VALUE"""),"shogoo")</f>
        <v>shogoo</v>
      </c>
      <c r="B612" s="10">
        <f>IFERROR(__xludf.DUMMYFUNCTION("""COMPUTED_VALUE"""),2004.0)</f>
        <v>2004</v>
      </c>
      <c r="C612" s="10">
        <f>IFERROR(__xludf.DUMMYFUNCTION("""COMPUTED_VALUE"""),23452.0)</f>
        <v>23452</v>
      </c>
      <c r="D612" s="5">
        <f>IFERROR(__xludf.DUMMYFUNCTION("""COMPUTED_VALUE"""),0.39999067512122344)</f>
        <v>0.3999906751</v>
      </c>
      <c r="E612" s="5">
        <f>IFERROR(__xludf.DUMMYFUNCTION("""COMPUTED_VALUE"""),0.14607422603506154)</f>
        <v>0.146074226</v>
      </c>
      <c r="F612" s="5">
        <f>IFERROR(__xludf.DUMMYFUNCTION("""COMPUTED_VALUE"""),0.2203935098843715)</f>
        <v>0.2203935099</v>
      </c>
      <c r="G612" s="5">
        <f>IFERROR(__xludf.DUMMYFUNCTION("""COMPUTED_VALUE"""),0.17451510630361805)</f>
        <v>0.1745151063</v>
      </c>
      <c r="H612" s="5">
        <f>IFERROR(__xludf.DUMMYFUNCTION("""COMPUTED_VALUE"""),0.5986883858684154)</f>
        <v>0.5986883859</v>
      </c>
      <c r="I612" s="11">
        <f>IFERROR(__xludf.DUMMYFUNCTION("""COMPUTED_VALUE"""),5638.121430082505)</f>
        <v>5638.12143</v>
      </c>
      <c r="J612" s="10">
        <f>IFERROR(__xludf.DUMMYFUNCTION("""COMPUTED_VALUE"""),5.0)</f>
        <v>5</v>
      </c>
      <c r="K612" s="5">
        <f>IFERROR(__xludf.DUMMYFUNCTION("""COMPUTED_VALUE"""),0.00249500998003992)</f>
        <v>0.00249500998</v>
      </c>
      <c r="L612" s="10">
        <f>IFERROR(__xludf.DUMMYFUNCTION("""COMPUTED_VALUE"""),2004.0)</f>
        <v>2004</v>
      </c>
      <c r="M612" s="5">
        <f>IFERROR(__xludf.DUMMYFUNCTION("""COMPUTED_VALUE"""),1.0)</f>
        <v>1</v>
      </c>
    </row>
    <row r="613">
      <c r="A613" s="10" t="str">
        <f>IFERROR(__xludf.DUMMYFUNCTION("""COMPUTED_VALUE"""),"さるきい")</f>
        <v>さるきい</v>
      </c>
      <c r="B613" s="10">
        <f>IFERROR(__xludf.DUMMYFUNCTION("""COMPUTED_VALUE"""),245.0)</f>
        <v>245</v>
      </c>
      <c r="C613" s="10">
        <f>IFERROR(__xludf.DUMMYFUNCTION("""COMPUTED_VALUE"""),2867.0)</f>
        <v>2867</v>
      </c>
      <c r="D613" s="5">
        <f>IFERROR(__xludf.DUMMYFUNCTION("""COMPUTED_VALUE"""),0.3360030511060259)</f>
        <v>0.3360030511</v>
      </c>
      <c r="E613" s="5">
        <f>IFERROR(__xludf.DUMMYFUNCTION("""COMPUTED_VALUE"""),0.14607170099160946)</f>
        <v>0.146071701</v>
      </c>
      <c r="F613" s="5">
        <f>IFERROR(__xludf.DUMMYFUNCTION("""COMPUTED_VALUE"""),0.19603356216628529)</f>
        <v>0.1960335622</v>
      </c>
      <c r="G613" s="5">
        <f>IFERROR(__xludf.DUMMYFUNCTION("""COMPUTED_VALUE"""),0.17848970251716248)</f>
        <v>0.1784897025</v>
      </c>
      <c r="H613" s="5">
        <f>IFERROR(__xludf.DUMMYFUNCTION("""COMPUTED_VALUE"""),0.5894941634241245)</f>
        <v>0.5894941634</v>
      </c>
      <c r="I613" s="11">
        <f>IFERROR(__xludf.DUMMYFUNCTION("""COMPUTED_VALUE"""),5883.463035019456)</f>
        <v>5883.463035</v>
      </c>
      <c r="J613" s="10">
        <f>IFERROR(__xludf.DUMMYFUNCTION("""COMPUTED_VALUE"""),1.0)</f>
        <v>1</v>
      </c>
      <c r="K613" s="5">
        <f>IFERROR(__xludf.DUMMYFUNCTION("""COMPUTED_VALUE"""),0.004081632653061225)</f>
        <v>0.004081632653</v>
      </c>
      <c r="L613" s="10">
        <f>IFERROR(__xludf.DUMMYFUNCTION("""COMPUTED_VALUE"""),245.0)</f>
        <v>245</v>
      </c>
      <c r="M613" s="5">
        <f>IFERROR(__xludf.DUMMYFUNCTION("""COMPUTED_VALUE"""),1.0)</f>
        <v>1</v>
      </c>
    </row>
    <row r="614">
      <c r="A614" s="10" t="str">
        <f>IFERROR(__xludf.DUMMYFUNCTION("""COMPUTED_VALUE"""),"ぶた＠ちゅう")</f>
        <v>ぶた＠ちゅう</v>
      </c>
      <c r="B614" s="10">
        <f>IFERROR(__xludf.DUMMYFUNCTION("""COMPUTED_VALUE"""),222.0)</f>
        <v>222</v>
      </c>
      <c r="C614" s="10">
        <f>IFERROR(__xludf.DUMMYFUNCTION("""COMPUTED_VALUE"""),2632.0)</f>
        <v>2632</v>
      </c>
      <c r="D614" s="5">
        <f>IFERROR(__xludf.DUMMYFUNCTION("""COMPUTED_VALUE"""),0.42614107883817426)</f>
        <v>0.4261410788</v>
      </c>
      <c r="E614" s="5">
        <f>IFERROR(__xludf.DUMMYFUNCTION("""COMPUTED_VALUE"""),0.14605809128630706)</f>
        <v>0.1460580913</v>
      </c>
      <c r="F614" s="5">
        <f>IFERROR(__xludf.DUMMYFUNCTION("""COMPUTED_VALUE"""),0.21161825726141079)</f>
        <v>0.2116182573</v>
      </c>
      <c r="G614" s="5">
        <f>IFERROR(__xludf.DUMMYFUNCTION("""COMPUTED_VALUE"""),0.1755186721991701)</f>
        <v>0.1755186722</v>
      </c>
      <c r="H614" s="5">
        <f>IFERROR(__xludf.DUMMYFUNCTION("""COMPUTED_VALUE"""),0.6294117647058823)</f>
        <v>0.6294117647</v>
      </c>
      <c r="I614" s="11">
        <f>IFERROR(__xludf.DUMMYFUNCTION("""COMPUTED_VALUE"""),5155.490196078431)</f>
        <v>5155.490196</v>
      </c>
      <c r="J614" s="10">
        <f>IFERROR(__xludf.DUMMYFUNCTION("""COMPUTED_VALUE"""),0.0)</f>
        <v>0</v>
      </c>
      <c r="K614" s="5">
        <f>IFERROR(__xludf.DUMMYFUNCTION("""COMPUTED_VALUE"""),0.0)</f>
        <v>0</v>
      </c>
      <c r="L614" s="10">
        <f>IFERROR(__xludf.DUMMYFUNCTION("""COMPUTED_VALUE"""),222.0)</f>
        <v>222</v>
      </c>
      <c r="M614" s="5">
        <f>IFERROR(__xludf.DUMMYFUNCTION("""COMPUTED_VALUE"""),1.0)</f>
        <v>1</v>
      </c>
    </row>
    <row r="615">
      <c r="A615" s="10" t="str">
        <f>IFERROR(__xludf.DUMMYFUNCTION("""COMPUTED_VALUE"""),"T.T.8")</f>
        <v>T.T.8</v>
      </c>
      <c r="B615" s="10">
        <f>IFERROR(__xludf.DUMMYFUNCTION("""COMPUTED_VALUE"""),1067.0)</f>
        <v>1067</v>
      </c>
      <c r="C615" s="10">
        <f>IFERROR(__xludf.DUMMYFUNCTION("""COMPUTED_VALUE"""),12405.0)</f>
        <v>12405</v>
      </c>
      <c r="D615" s="5">
        <f>IFERROR(__xludf.DUMMYFUNCTION("""COMPUTED_VALUE"""),0.2986417357558652)</f>
        <v>0.2986417358</v>
      </c>
      <c r="E615" s="5">
        <f>IFERROR(__xludf.DUMMYFUNCTION("""COMPUTED_VALUE"""),0.1460575057329335)</f>
        <v>0.1460575057</v>
      </c>
      <c r="F615" s="5">
        <f>IFERROR(__xludf.DUMMYFUNCTION("""COMPUTED_VALUE"""),0.2054154171811607)</f>
        <v>0.2054154172</v>
      </c>
      <c r="G615" s="5">
        <f>IFERROR(__xludf.DUMMYFUNCTION("""COMPUTED_VALUE"""),0.16943023460927853)</f>
        <v>0.1694302346</v>
      </c>
      <c r="H615" s="5">
        <f>IFERROR(__xludf.DUMMYFUNCTION("""COMPUTED_VALUE"""),0.579218548733362)</f>
        <v>0.5792185487</v>
      </c>
      <c r="I615" s="11">
        <f>IFERROR(__xludf.DUMMYFUNCTION("""COMPUTED_VALUE"""),5971.446972949764)</f>
        <v>5971.446973</v>
      </c>
      <c r="J615" s="10">
        <f>IFERROR(__xludf.DUMMYFUNCTION("""COMPUTED_VALUE"""),6.0)</f>
        <v>6</v>
      </c>
      <c r="K615" s="5">
        <f>IFERROR(__xludf.DUMMYFUNCTION("""COMPUTED_VALUE"""),0.005623242736644799)</f>
        <v>0.005623242737</v>
      </c>
      <c r="L615" s="10">
        <f>IFERROR(__xludf.DUMMYFUNCTION("""COMPUTED_VALUE"""),1067.0)</f>
        <v>1067</v>
      </c>
      <c r="M615" s="5">
        <f>IFERROR(__xludf.DUMMYFUNCTION("""COMPUTED_VALUE"""),1.0)</f>
        <v>1</v>
      </c>
    </row>
    <row r="616">
      <c r="A616" s="10" t="str">
        <f>IFERROR(__xludf.DUMMYFUNCTION("""COMPUTED_VALUE"""),"ケニア人")</f>
        <v>ケニア人</v>
      </c>
      <c r="B616" s="10">
        <f>IFERROR(__xludf.DUMMYFUNCTION("""COMPUTED_VALUE"""),133.0)</f>
        <v>133</v>
      </c>
      <c r="C616" s="10">
        <f>IFERROR(__xludf.DUMMYFUNCTION("""COMPUTED_VALUE"""),1564.0)</f>
        <v>1564</v>
      </c>
      <c r="D616" s="5">
        <f>IFERROR(__xludf.DUMMYFUNCTION("""COMPUTED_VALUE"""),0.3312368972746331)</f>
        <v>0.3312368973</v>
      </c>
      <c r="E616" s="5">
        <f>IFERROR(__xludf.DUMMYFUNCTION("""COMPUTED_VALUE"""),0.14605171208944795)</f>
        <v>0.1460517121</v>
      </c>
      <c r="F616" s="5">
        <f>IFERROR(__xludf.DUMMYFUNCTION("""COMPUTED_VALUE"""),0.19217330538085256)</f>
        <v>0.1921733054</v>
      </c>
      <c r="G616" s="5">
        <f>IFERROR(__xludf.DUMMYFUNCTION("""COMPUTED_VALUE"""),0.19636617749825297)</f>
        <v>0.1963661775</v>
      </c>
      <c r="H616" s="5">
        <f>IFERROR(__xludf.DUMMYFUNCTION("""COMPUTED_VALUE"""),0.5927272727272728)</f>
        <v>0.5927272727</v>
      </c>
      <c r="I616" s="11">
        <f>IFERROR(__xludf.DUMMYFUNCTION("""COMPUTED_VALUE"""),5864.0)</f>
        <v>5864</v>
      </c>
      <c r="J616" s="10">
        <f>IFERROR(__xludf.DUMMYFUNCTION("""COMPUTED_VALUE"""),0.0)</f>
        <v>0</v>
      </c>
      <c r="K616" s="5">
        <f>IFERROR(__xludf.DUMMYFUNCTION("""COMPUTED_VALUE"""),0.0)</f>
        <v>0</v>
      </c>
      <c r="L616" s="10">
        <f>IFERROR(__xludf.DUMMYFUNCTION("""COMPUTED_VALUE"""),101.0)</f>
        <v>101</v>
      </c>
      <c r="M616" s="5">
        <f>IFERROR(__xludf.DUMMYFUNCTION("""COMPUTED_VALUE"""),0.7593984962406015)</f>
        <v>0.7593984962</v>
      </c>
    </row>
    <row r="617">
      <c r="A617" s="10" t="str">
        <f>IFERROR(__xludf.DUMMYFUNCTION("""COMPUTED_VALUE"""),"お握りちゃい")</f>
        <v>お握りちゃい</v>
      </c>
      <c r="B617" s="10">
        <f>IFERROR(__xludf.DUMMYFUNCTION("""COMPUTED_VALUE"""),267.0)</f>
        <v>267</v>
      </c>
      <c r="C617" s="10">
        <f>IFERROR(__xludf.DUMMYFUNCTION("""COMPUTED_VALUE"""),3136.0)</f>
        <v>3136</v>
      </c>
      <c r="D617" s="5">
        <f>IFERROR(__xludf.DUMMYFUNCTION("""COMPUTED_VALUE"""),0.40257929592192404)</f>
        <v>0.4025792959</v>
      </c>
      <c r="E617" s="5">
        <f>IFERROR(__xludf.DUMMYFUNCTION("""COMPUTED_VALUE"""),0.1460439177413733)</f>
        <v>0.1460439177</v>
      </c>
      <c r="F617" s="5">
        <f>IFERROR(__xludf.DUMMYFUNCTION("""COMPUTED_VALUE"""),0.20634367375392124)</f>
        <v>0.2063436738</v>
      </c>
      <c r="G617" s="5">
        <f>IFERROR(__xludf.DUMMYFUNCTION("""COMPUTED_VALUE"""),0.16939700243987452)</f>
        <v>0.1693970024</v>
      </c>
      <c r="H617" s="5">
        <f>IFERROR(__xludf.DUMMYFUNCTION("""COMPUTED_VALUE"""),0.5996621621621622)</f>
        <v>0.5996621622</v>
      </c>
      <c r="I617" s="11">
        <f>IFERROR(__xludf.DUMMYFUNCTION("""COMPUTED_VALUE"""),6018.4121621621625)</f>
        <v>6018.412162</v>
      </c>
      <c r="J617" s="10">
        <f>IFERROR(__xludf.DUMMYFUNCTION("""COMPUTED_VALUE"""),2.0)</f>
        <v>2</v>
      </c>
      <c r="K617" s="5">
        <f>IFERROR(__xludf.DUMMYFUNCTION("""COMPUTED_VALUE"""),0.00749063670411985)</f>
        <v>0.007490636704</v>
      </c>
      <c r="L617" s="10">
        <f>IFERROR(__xludf.DUMMYFUNCTION("""COMPUTED_VALUE"""),139.0)</f>
        <v>139</v>
      </c>
      <c r="M617" s="5">
        <f>IFERROR(__xludf.DUMMYFUNCTION("""COMPUTED_VALUE"""),0.5205992509363296)</f>
        <v>0.5205992509</v>
      </c>
    </row>
    <row r="618">
      <c r="A618" s="10" t="str">
        <f>IFERROR(__xludf.DUMMYFUNCTION("""COMPUTED_VALUE"""),"basser7")</f>
        <v>basser7</v>
      </c>
      <c r="B618" s="10">
        <f>IFERROR(__xludf.DUMMYFUNCTION("""COMPUTED_VALUE"""),181.0)</f>
        <v>181</v>
      </c>
      <c r="C618" s="10">
        <f>IFERROR(__xludf.DUMMYFUNCTION("""COMPUTED_VALUE"""),2112.0)</f>
        <v>2112</v>
      </c>
      <c r="D618" s="5">
        <f>IFERROR(__xludf.DUMMYFUNCTION("""COMPUTED_VALUE"""),0.23873640600725013)</f>
        <v>0.238736406</v>
      </c>
      <c r="E618" s="5">
        <f>IFERROR(__xludf.DUMMYFUNCTION("""COMPUTED_VALUE"""),0.14603832211289489)</f>
        <v>0.1460383221</v>
      </c>
      <c r="F618" s="5">
        <f>IFERROR(__xludf.DUMMYFUNCTION("""COMPUTED_VALUE"""),0.19575349559813568)</f>
        <v>0.1957534956</v>
      </c>
      <c r="G618" s="5">
        <f>IFERROR(__xludf.DUMMYFUNCTION("""COMPUTED_VALUE"""),0.17607457276022787)</f>
        <v>0.1760745728</v>
      </c>
      <c r="H618" s="5">
        <f>IFERROR(__xludf.DUMMYFUNCTION("""COMPUTED_VALUE"""),0.6084656084656085)</f>
        <v>0.6084656085</v>
      </c>
      <c r="I618" s="11">
        <f>IFERROR(__xludf.DUMMYFUNCTION("""COMPUTED_VALUE"""),6214.285714285715)</f>
        <v>6214.285714</v>
      </c>
      <c r="J618" s="10">
        <f>IFERROR(__xludf.DUMMYFUNCTION("""COMPUTED_VALUE"""),0.0)</f>
        <v>0</v>
      </c>
      <c r="K618" s="5">
        <f>IFERROR(__xludf.DUMMYFUNCTION("""COMPUTED_VALUE"""),0.0)</f>
        <v>0</v>
      </c>
      <c r="L618" s="10">
        <f>IFERROR(__xludf.DUMMYFUNCTION("""COMPUTED_VALUE"""),181.0)</f>
        <v>181</v>
      </c>
      <c r="M618" s="5">
        <f>IFERROR(__xludf.DUMMYFUNCTION("""COMPUTED_VALUE"""),1.0)</f>
        <v>1</v>
      </c>
    </row>
    <row r="619">
      <c r="A619" s="10" t="str">
        <f>IFERROR(__xludf.DUMMYFUNCTION("""COMPUTED_VALUE"""),"胡椒粉")</f>
        <v>胡椒粉</v>
      </c>
      <c r="B619" s="10">
        <f>IFERROR(__xludf.DUMMYFUNCTION("""COMPUTED_VALUE"""),577.0)</f>
        <v>577</v>
      </c>
      <c r="C619" s="10">
        <f>IFERROR(__xludf.DUMMYFUNCTION("""COMPUTED_VALUE"""),6733.0)</f>
        <v>6733</v>
      </c>
      <c r="D619" s="5">
        <f>IFERROR(__xludf.DUMMYFUNCTION("""COMPUTED_VALUE"""),0.3195256660168941)</f>
        <v>0.319525666</v>
      </c>
      <c r="E619" s="5">
        <f>IFERROR(__xludf.DUMMYFUNCTION("""COMPUTED_VALUE"""),0.14603638726445745)</f>
        <v>0.1460363873</v>
      </c>
      <c r="F619" s="5">
        <f>IFERROR(__xludf.DUMMYFUNCTION("""COMPUTED_VALUE"""),0.21215074723846652)</f>
        <v>0.2121507472</v>
      </c>
      <c r="G619" s="5">
        <f>IFERROR(__xludf.DUMMYFUNCTION("""COMPUTED_VALUE"""),0.1806367771280052)</f>
        <v>0.1806367771</v>
      </c>
      <c r="H619" s="5">
        <f>IFERROR(__xludf.DUMMYFUNCTION("""COMPUTED_VALUE"""),0.610260336906585)</f>
        <v>0.6102603369</v>
      </c>
      <c r="I619" s="11">
        <f>IFERROR(__xludf.DUMMYFUNCTION("""COMPUTED_VALUE"""),5842.18989280245)</f>
        <v>5842.189893</v>
      </c>
      <c r="J619" s="10">
        <f>IFERROR(__xludf.DUMMYFUNCTION("""COMPUTED_VALUE"""),1.0)</f>
        <v>1</v>
      </c>
      <c r="K619" s="5">
        <f>IFERROR(__xludf.DUMMYFUNCTION("""COMPUTED_VALUE"""),0.0017331022530329288)</f>
        <v>0.001733102253</v>
      </c>
      <c r="L619" s="10">
        <f>IFERROR(__xludf.DUMMYFUNCTION("""COMPUTED_VALUE"""),569.0)</f>
        <v>569</v>
      </c>
      <c r="M619" s="5">
        <f>IFERROR(__xludf.DUMMYFUNCTION("""COMPUTED_VALUE"""),0.9861351819757366)</f>
        <v>0.986135182</v>
      </c>
    </row>
    <row r="620">
      <c r="A620" s="10" t="str">
        <f>IFERROR(__xludf.DUMMYFUNCTION("""COMPUTED_VALUE"""),"Ｃ３龍門")</f>
        <v>Ｃ３龍門</v>
      </c>
      <c r="B620" s="10">
        <f>IFERROR(__xludf.DUMMYFUNCTION("""COMPUTED_VALUE"""),146.0)</f>
        <v>146</v>
      </c>
      <c r="C620" s="10">
        <f>IFERROR(__xludf.DUMMYFUNCTION("""COMPUTED_VALUE"""),1721.0)</f>
        <v>1721</v>
      </c>
      <c r="D620" s="5">
        <f>IFERROR(__xludf.DUMMYFUNCTION("""COMPUTED_VALUE"""),0.36507936507936506)</f>
        <v>0.3650793651</v>
      </c>
      <c r="E620" s="5">
        <f>IFERROR(__xludf.DUMMYFUNCTION("""COMPUTED_VALUE"""),0.14603174603174604)</f>
        <v>0.146031746</v>
      </c>
      <c r="F620" s="5">
        <f>IFERROR(__xludf.DUMMYFUNCTION("""COMPUTED_VALUE"""),0.2146031746031746)</f>
        <v>0.2146031746</v>
      </c>
      <c r="G620" s="5">
        <f>IFERROR(__xludf.DUMMYFUNCTION("""COMPUTED_VALUE"""),0.15301587301587302)</f>
        <v>0.153015873</v>
      </c>
      <c r="H620" s="5">
        <f>IFERROR(__xludf.DUMMYFUNCTION("""COMPUTED_VALUE"""),0.6301775147928994)</f>
        <v>0.6301775148</v>
      </c>
      <c r="I620" s="11">
        <f>IFERROR(__xludf.DUMMYFUNCTION("""COMPUTED_VALUE"""),4985.798816568047)</f>
        <v>4985.798817</v>
      </c>
      <c r="J620" s="10">
        <f>IFERROR(__xludf.DUMMYFUNCTION("""COMPUTED_VALUE"""),0.0)</f>
        <v>0</v>
      </c>
      <c r="K620" s="5">
        <f>IFERROR(__xludf.DUMMYFUNCTION("""COMPUTED_VALUE"""),0.0)</f>
        <v>0</v>
      </c>
      <c r="L620" s="10">
        <f>IFERROR(__xludf.DUMMYFUNCTION("""COMPUTED_VALUE"""),146.0)</f>
        <v>146</v>
      </c>
      <c r="M620" s="5">
        <f>IFERROR(__xludf.DUMMYFUNCTION("""COMPUTED_VALUE"""),1.0)</f>
        <v>1</v>
      </c>
    </row>
    <row r="621">
      <c r="A621" s="10" t="str">
        <f>IFERROR(__xludf.DUMMYFUNCTION("""COMPUTED_VALUE"""),"池田ねこ")</f>
        <v>池田ねこ</v>
      </c>
      <c r="B621" s="10">
        <f>IFERROR(__xludf.DUMMYFUNCTION("""COMPUTED_VALUE"""),312.0)</f>
        <v>312</v>
      </c>
      <c r="C621" s="10">
        <f>IFERROR(__xludf.DUMMYFUNCTION("""COMPUTED_VALUE"""),3688.0)</f>
        <v>3688</v>
      </c>
      <c r="D621" s="5">
        <f>IFERROR(__xludf.DUMMYFUNCTION("""COMPUTED_VALUE"""),0.3806279620853081)</f>
        <v>0.3806279621</v>
      </c>
      <c r="E621" s="5">
        <f>IFERROR(__xludf.DUMMYFUNCTION("""COMPUTED_VALUE"""),0.14603080568720378)</f>
        <v>0.1460308057</v>
      </c>
      <c r="F621" s="5">
        <f>IFERROR(__xludf.DUMMYFUNCTION("""COMPUTED_VALUE"""),0.2177132701421801)</f>
        <v>0.2177132701</v>
      </c>
      <c r="G621" s="5">
        <f>IFERROR(__xludf.DUMMYFUNCTION("""COMPUTED_VALUE"""),0.1854265402843602)</f>
        <v>0.1854265403</v>
      </c>
      <c r="H621" s="5">
        <f>IFERROR(__xludf.DUMMYFUNCTION("""COMPUTED_VALUE"""),0.5673469387755102)</f>
        <v>0.5673469388</v>
      </c>
      <c r="I621" s="11">
        <f>IFERROR(__xludf.DUMMYFUNCTION("""COMPUTED_VALUE"""),5733.741496598639)</f>
        <v>5733.741497</v>
      </c>
      <c r="J621" s="10">
        <f>IFERROR(__xludf.DUMMYFUNCTION("""COMPUTED_VALUE"""),1.0)</f>
        <v>1</v>
      </c>
      <c r="K621" s="5">
        <f>IFERROR(__xludf.DUMMYFUNCTION("""COMPUTED_VALUE"""),0.003205128205128205)</f>
        <v>0.003205128205</v>
      </c>
      <c r="L621" s="10">
        <f>IFERROR(__xludf.DUMMYFUNCTION("""COMPUTED_VALUE"""),0.0)</f>
        <v>0</v>
      </c>
      <c r="M621" s="5">
        <f>IFERROR(__xludf.DUMMYFUNCTION("""COMPUTED_VALUE"""),0.0)</f>
        <v>0</v>
      </c>
    </row>
    <row r="622">
      <c r="A622" s="10" t="str">
        <f>IFERROR(__xludf.DUMMYFUNCTION("""COMPUTED_VALUE"""),"ViVI")</f>
        <v>ViVI</v>
      </c>
      <c r="B622" s="10">
        <f>IFERROR(__xludf.DUMMYFUNCTION("""COMPUTED_VALUE"""),212.0)</f>
        <v>212</v>
      </c>
      <c r="C622" s="10">
        <f>IFERROR(__xludf.DUMMYFUNCTION("""COMPUTED_VALUE"""),2534.0)</f>
        <v>2534</v>
      </c>
      <c r="D622" s="5">
        <f>IFERROR(__xludf.DUMMYFUNCTION("""COMPUTED_VALUE"""),0.42678725236864773)</f>
        <v>0.4267872524</v>
      </c>
      <c r="E622" s="5">
        <f>IFERROR(__xludf.DUMMYFUNCTION("""COMPUTED_VALUE"""),0.14599483204134367)</f>
        <v>0.145994832</v>
      </c>
      <c r="F622" s="5">
        <f>IFERROR(__xludf.DUMMYFUNCTION("""COMPUTED_VALUE"""),0.21791559000861327)</f>
        <v>0.21791559</v>
      </c>
      <c r="G622" s="5">
        <f>IFERROR(__xludf.DUMMYFUNCTION("""COMPUTED_VALUE"""),0.12833763996554695)</f>
        <v>0.12833764</v>
      </c>
      <c r="H622" s="5">
        <f>IFERROR(__xludf.DUMMYFUNCTION("""COMPUTED_VALUE"""),0.6047430830039525)</f>
        <v>0.604743083</v>
      </c>
      <c r="I622" s="11">
        <f>IFERROR(__xludf.DUMMYFUNCTION("""COMPUTED_VALUE"""),5394.861660079051)</f>
        <v>5394.86166</v>
      </c>
      <c r="J622" s="10">
        <f>IFERROR(__xludf.DUMMYFUNCTION("""COMPUTED_VALUE"""),1.0)</f>
        <v>1</v>
      </c>
      <c r="K622" s="5">
        <f>IFERROR(__xludf.DUMMYFUNCTION("""COMPUTED_VALUE"""),0.0047169811320754715)</f>
        <v>0.004716981132</v>
      </c>
      <c r="L622" s="10">
        <f>IFERROR(__xludf.DUMMYFUNCTION("""COMPUTED_VALUE"""),212.0)</f>
        <v>212</v>
      </c>
      <c r="M622" s="5">
        <f>IFERROR(__xludf.DUMMYFUNCTION("""COMPUTED_VALUE"""),1.0)</f>
        <v>1</v>
      </c>
    </row>
    <row r="623">
      <c r="A623" s="10" t="str">
        <f>IFERROR(__xludf.DUMMYFUNCTION("""COMPUTED_VALUE"""),"万日の稽古")</f>
        <v>万日の稽古</v>
      </c>
      <c r="B623" s="10">
        <f>IFERROR(__xludf.DUMMYFUNCTION("""COMPUTED_VALUE"""),123.0)</f>
        <v>123</v>
      </c>
      <c r="C623" s="10">
        <f>IFERROR(__xludf.DUMMYFUNCTION("""COMPUTED_VALUE"""),1445.0)</f>
        <v>1445</v>
      </c>
      <c r="D623" s="5">
        <f>IFERROR(__xludf.DUMMYFUNCTION("""COMPUTED_VALUE"""),0.3895612708018154)</f>
        <v>0.3895612708</v>
      </c>
      <c r="E623" s="5">
        <f>IFERROR(__xludf.DUMMYFUNCTION("""COMPUTED_VALUE"""),0.1459909228441755)</f>
        <v>0.1459909228</v>
      </c>
      <c r="F623" s="5">
        <f>IFERROR(__xludf.DUMMYFUNCTION("""COMPUTED_VALUE"""),0.2344931921331316)</f>
        <v>0.2344931921</v>
      </c>
      <c r="G623" s="5">
        <f>IFERROR(__xludf.DUMMYFUNCTION("""COMPUTED_VALUE"""),0.18910741301059)</f>
        <v>0.189107413</v>
      </c>
      <c r="H623" s="5">
        <f>IFERROR(__xludf.DUMMYFUNCTION("""COMPUTED_VALUE"""),0.632258064516129)</f>
        <v>0.6322580645</v>
      </c>
      <c r="I623" s="11">
        <f>IFERROR(__xludf.DUMMYFUNCTION("""COMPUTED_VALUE"""),5667.419354838709)</f>
        <v>5667.419355</v>
      </c>
      <c r="J623" s="10">
        <f>IFERROR(__xludf.DUMMYFUNCTION("""COMPUTED_VALUE"""),0.0)</f>
        <v>0</v>
      </c>
      <c r="K623" s="5">
        <f>IFERROR(__xludf.DUMMYFUNCTION("""COMPUTED_VALUE"""),0.0)</f>
        <v>0</v>
      </c>
      <c r="L623" s="10">
        <f>IFERROR(__xludf.DUMMYFUNCTION("""COMPUTED_VALUE"""),123.0)</f>
        <v>123</v>
      </c>
      <c r="M623" s="5">
        <f>IFERROR(__xludf.DUMMYFUNCTION("""COMPUTED_VALUE"""),1.0)</f>
        <v>1</v>
      </c>
    </row>
    <row r="624">
      <c r="A624" s="10" t="str">
        <f>IFERROR(__xludf.DUMMYFUNCTION("""COMPUTED_VALUE"""),"JN☆")</f>
        <v>JN☆</v>
      </c>
      <c r="B624" s="10">
        <f>IFERROR(__xludf.DUMMYFUNCTION("""COMPUTED_VALUE"""),118.0)</f>
        <v>118</v>
      </c>
      <c r="C624" s="10">
        <f>IFERROR(__xludf.DUMMYFUNCTION("""COMPUTED_VALUE"""),1399.0)</f>
        <v>1399</v>
      </c>
      <c r="D624" s="5">
        <f>IFERROR(__xludf.DUMMYFUNCTION("""COMPUTED_VALUE"""),0.43637782982045276)</f>
        <v>0.4363778298</v>
      </c>
      <c r="E624" s="5">
        <f>IFERROR(__xludf.DUMMYFUNCTION("""COMPUTED_VALUE"""),0.14597970335675253)</f>
        <v>0.1459797034</v>
      </c>
      <c r="F624" s="5">
        <f>IFERROR(__xludf.DUMMYFUNCTION("""COMPUTED_VALUE"""),0.21701795472287275)</f>
        <v>0.2170179547</v>
      </c>
      <c r="G624" s="5">
        <f>IFERROR(__xludf.DUMMYFUNCTION("""COMPUTED_VALUE"""),0.13817330210772832)</f>
        <v>0.1381733021</v>
      </c>
      <c r="H624" s="5">
        <f>IFERROR(__xludf.DUMMYFUNCTION("""COMPUTED_VALUE"""),0.6223021582733813)</f>
        <v>0.6223021583</v>
      </c>
      <c r="I624" s="11">
        <f>IFERROR(__xludf.DUMMYFUNCTION("""COMPUTED_VALUE"""),5537.410071942446)</f>
        <v>5537.410072</v>
      </c>
      <c r="J624" s="10">
        <f>IFERROR(__xludf.DUMMYFUNCTION("""COMPUTED_VALUE"""),0.0)</f>
        <v>0</v>
      </c>
      <c r="K624" s="5">
        <f>IFERROR(__xludf.DUMMYFUNCTION("""COMPUTED_VALUE"""),0.0)</f>
        <v>0</v>
      </c>
      <c r="L624" s="10">
        <f>IFERROR(__xludf.DUMMYFUNCTION("""COMPUTED_VALUE"""),118.0)</f>
        <v>118</v>
      </c>
      <c r="M624" s="5">
        <f>IFERROR(__xludf.DUMMYFUNCTION("""COMPUTED_VALUE"""),1.0)</f>
        <v>1</v>
      </c>
    </row>
    <row r="625">
      <c r="A625" s="10" t="str">
        <f>IFERROR(__xludf.DUMMYFUNCTION("""COMPUTED_VALUE"""),"あれふるーど")</f>
        <v>あれふるーど</v>
      </c>
      <c r="B625" s="10">
        <f>IFERROR(__xludf.DUMMYFUNCTION("""COMPUTED_VALUE"""),503.0)</f>
        <v>503</v>
      </c>
      <c r="C625" s="10">
        <f>IFERROR(__xludf.DUMMYFUNCTION("""COMPUTED_VALUE"""),5915.0)</f>
        <v>5915</v>
      </c>
      <c r="D625" s="5">
        <f>IFERROR(__xludf.DUMMYFUNCTION("""COMPUTED_VALUE"""),0.30136733185513676)</f>
        <v>0.3013673319</v>
      </c>
      <c r="E625" s="5">
        <f>IFERROR(__xludf.DUMMYFUNCTION("""COMPUTED_VALUE"""),0.14597191426459719)</f>
        <v>0.1459719143</v>
      </c>
      <c r="F625" s="5">
        <f>IFERROR(__xludf.DUMMYFUNCTION("""COMPUTED_VALUE"""),0.1975240206947524)</f>
        <v>0.1975240207</v>
      </c>
      <c r="G625" s="5">
        <f>IFERROR(__xludf.DUMMYFUNCTION("""COMPUTED_VALUE"""),0.1770140428677014)</f>
        <v>0.1770140429</v>
      </c>
      <c r="H625" s="5">
        <f>IFERROR(__xludf.DUMMYFUNCTION("""COMPUTED_VALUE"""),0.6089803554724041)</f>
        <v>0.6089803555</v>
      </c>
      <c r="I625" s="11">
        <f>IFERROR(__xludf.DUMMYFUNCTION("""COMPUTED_VALUE"""),5906.173994387278)</f>
        <v>5906.173994</v>
      </c>
      <c r="J625" s="10">
        <f>IFERROR(__xludf.DUMMYFUNCTION("""COMPUTED_VALUE"""),0.0)</f>
        <v>0</v>
      </c>
      <c r="K625" s="5">
        <f>IFERROR(__xludf.DUMMYFUNCTION("""COMPUTED_VALUE"""),0.0)</f>
        <v>0</v>
      </c>
      <c r="L625" s="10">
        <f>IFERROR(__xludf.DUMMYFUNCTION("""COMPUTED_VALUE"""),488.0)</f>
        <v>488</v>
      </c>
      <c r="M625" s="5">
        <f>IFERROR(__xludf.DUMMYFUNCTION("""COMPUTED_VALUE"""),0.9701789264413518)</f>
        <v>0.9701789264</v>
      </c>
    </row>
    <row r="626">
      <c r="A626" s="10" t="str">
        <f>IFERROR(__xludf.DUMMYFUNCTION("""COMPUTED_VALUE"""),"こじろーさん")</f>
        <v>こじろーさん</v>
      </c>
      <c r="B626" s="10">
        <f>IFERROR(__xludf.DUMMYFUNCTION("""COMPUTED_VALUE"""),152.0)</f>
        <v>152</v>
      </c>
      <c r="C626" s="10">
        <f>IFERROR(__xludf.DUMMYFUNCTION("""COMPUTED_VALUE"""),1776.0)</f>
        <v>1776</v>
      </c>
      <c r="D626" s="5">
        <f>IFERROR(__xludf.DUMMYFUNCTION("""COMPUTED_VALUE"""),0.31650246305418717)</f>
        <v>0.3165024631</v>
      </c>
      <c r="E626" s="5">
        <f>IFERROR(__xludf.DUMMYFUNCTION("""COMPUTED_VALUE"""),0.145935960591133)</f>
        <v>0.1459359606</v>
      </c>
      <c r="F626" s="5">
        <f>IFERROR(__xludf.DUMMYFUNCTION("""COMPUTED_VALUE"""),0.20935960591133004)</f>
        <v>0.2093596059</v>
      </c>
      <c r="G626" s="5">
        <f>IFERROR(__xludf.DUMMYFUNCTION("""COMPUTED_VALUE"""),0.2025862068965517)</f>
        <v>0.2025862069</v>
      </c>
      <c r="H626" s="5">
        <f>IFERROR(__xludf.DUMMYFUNCTION("""COMPUTED_VALUE"""),0.6058823529411764)</f>
        <v>0.6058823529</v>
      </c>
      <c r="I626" s="11">
        <f>IFERROR(__xludf.DUMMYFUNCTION("""COMPUTED_VALUE"""),5977.64705882353)</f>
        <v>5977.647059</v>
      </c>
      <c r="J626" s="10">
        <f>IFERROR(__xludf.DUMMYFUNCTION("""COMPUTED_VALUE"""),0.0)</f>
        <v>0</v>
      </c>
      <c r="K626" s="5">
        <f>IFERROR(__xludf.DUMMYFUNCTION("""COMPUTED_VALUE"""),0.0)</f>
        <v>0</v>
      </c>
      <c r="L626" s="10">
        <f>IFERROR(__xludf.DUMMYFUNCTION("""COMPUTED_VALUE"""),152.0)</f>
        <v>152</v>
      </c>
      <c r="M626" s="5">
        <f>IFERROR(__xludf.DUMMYFUNCTION("""COMPUTED_VALUE"""),1.0)</f>
        <v>1</v>
      </c>
    </row>
    <row r="627">
      <c r="A627" s="10" t="str">
        <f>IFERROR(__xludf.DUMMYFUNCTION("""COMPUTED_VALUE"""),"xrc52428")</f>
        <v>xrc52428</v>
      </c>
      <c r="B627" s="10">
        <f>IFERROR(__xludf.DUMMYFUNCTION("""COMPUTED_VALUE"""),206.0)</f>
        <v>206</v>
      </c>
      <c r="C627" s="10">
        <f>IFERROR(__xludf.DUMMYFUNCTION("""COMPUTED_VALUE"""),2481.0)</f>
        <v>2481</v>
      </c>
      <c r="D627" s="5">
        <f>IFERROR(__xludf.DUMMYFUNCTION("""COMPUTED_VALUE"""),0.3767032967032967)</f>
        <v>0.3767032967</v>
      </c>
      <c r="E627" s="5">
        <f>IFERROR(__xludf.DUMMYFUNCTION("""COMPUTED_VALUE"""),0.14593406593406594)</f>
        <v>0.1459340659</v>
      </c>
      <c r="F627" s="5">
        <f>IFERROR(__xludf.DUMMYFUNCTION("""COMPUTED_VALUE"""),0.22065934065934065)</f>
        <v>0.2206593407</v>
      </c>
      <c r="G627" s="5">
        <f>IFERROR(__xludf.DUMMYFUNCTION("""COMPUTED_VALUE"""),0.15384615384615385)</f>
        <v>0.1538461538</v>
      </c>
      <c r="H627" s="5">
        <f>IFERROR(__xludf.DUMMYFUNCTION("""COMPUTED_VALUE"""),0.6055776892430279)</f>
        <v>0.6055776892</v>
      </c>
      <c r="I627" s="11">
        <f>IFERROR(__xludf.DUMMYFUNCTION("""COMPUTED_VALUE"""),5324.900398406375)</f>
        <v>5324.900398</v>
      </c>
      <c r="J627" s="10">
        <f>IFERROR(__xludf.DUMMYFUNCTION("""COMPUTED_VALUE"""),2.0)</f>
        <v>2</v>
      </c>
      <c r="K627" s="5">
        <f>IFERROR(__xludf.DUMMYFUNCTION("""COMPUTED_VALUE"""),0.009708737864077669)</f>
        <v>0.009708737864</v>
      </c>
      <c r="L627" s="10">
        <f>IFERROR(__xludf.DUMMYFUNCTION("""COMPUTED_VALUE"""),96.0)</f>
        <v>96</v>
      </c>
      <c r="M627" s="5">
        <f>IFERROR(__xludf.DUMMYFUNCTION("""COMPUTED_VALUE"""),0.46601941747572817)</f>
        <v>0.4660194175</v>
      </c>
    </row>
    <row r="628">
      <c r="A628" s="10" t="str">
        <f>IFERROR(__xludf.DUMMYFUNCTION("""COMPUTED_VALUE"""),"gradline")</f>
        <v>gradline</v>
      </c>
      <c r="B628" s="10">
        <f>IFERROR(__xludf.DUMMYFUNCTION("""COMPUTED_VALUE"""),418.0)</f>
        <v>418</v>
      </c>
      <c r="C628" s="10">
        <f>IFERROR(__xludf.DUMMYFUNCTION("""COMPUTED_VALUE"""),4944.0)</f>
        <v>4944</v>
      </c>
      <c r="D628" s="5">
        <f>IFERROR(__xludf.DUMMYFUNCTION("""COMPUTED_VALUE"""),0.4244365885992046)</f>
        <v>0.4244365886</v>
      </c>
      <c r="E628" s="5">
        <f>IFERROR(__xludf.DUMMYFUNCTION("""COMPUTED_VALUE"""),0.14582412726469288)</f>
        <v>0.1458241273</v>
      </c>
      <c r="F628" s="5">
        <f>IFERROR(__xludf.DUMMYFUNCTION("""COMPUTED_VALUE"""),0.19818824569155988)</f>
        <v>0.1981882457</v>
      </c>
      <c r="G628" s="5">
        <f>IFERROR(__xludf.DUMMYFUNCTION("""COMPUTED_VALUE"""),0.15775519222271323)</f>
        <v>0.1577551922</v>
      </c>
      <c r="H628" s="5">
        <f>IFERROR(__xludf.DUMMYFUNCTION("""COMPUTED_VALUE"""),0.5574136008918618)</f>
        <v>0.5574136009</v>
      </c>
      <c r="I628" s="11">
        <f>IFERROR(__xludf.DUMMYFUNCTION("""COMPUTED_VALUE"""),6024.3032329988855)</f>
        <v>6024.303233</v>
      </c>
      <c r="J628" s="10">
        <f>IFERROR(__xludf.DUMMYFUNCTION("""COMPUTED_VALUE"""),1.0)</f>
        <v>1</v>
      </c>
      <c r="K628" s="5">
        <f>IFERROR(__xludf.DUMMYFUNCTION("""COMPUTED_VALUE"""),0.0023923444976076554)</f>
        <v>0.002392344498</v>
      </c>
      <c r="L628" s="10">
        <f>IFERROR(__xludf.DUMMYFUNCTION("""COMPUTED_VALUE"""),377.0)</f>
        <v>377</v>
      </c>
      <c r="M628" s="5">
        <f>IFERROR(__xludf.DUMMYFUNCTION("""COMPUTED_VALUE"""),0.9019138755980861)</f>
        <v>0.9019138756</v>
      </c>
    </row>
    <row r="629">
      <c r="A629" s="10" t="str">
        <f>IFERROR(__xludf.DUMMYFUNCTION("""COMPUTED_VALUE"""),"高杉晋作")</f>
        <v>高杉晋作</v>
      </c>
      <c r="B629" s="10">
        <f>IFERROR(__xludf.DUMMYFUNCTION("""COMPUTED_VALUE"""),339.0)</f>
        <v>339</v>
      </c>
      <c r="C629" s="10">
        <f>IFERROR(__xludf.DUMMYFUNCTION("""COMPUTED_VALUE"""),4049.0)</f>
        <v>4049</v>
      </c>
      <c r="D629" s="5">
        <f>IFERROR(__xludf.DUMMYFUNCTION("""COMPUTED_VALUE"""),0.2633423180592992)</f>
        <v>0.2633423181</v>
      </c>
      <c r="E629" s="5">
        <f>IFERROR(__xludf.DUMMYFUNCTION("""COMPUTED_VALUE"""),0.145822102425876)</f>
        <v>0.1458221024</v>
      </c>
      <c r="F629" s="5">
        <f>IFERROR(__xludf.DUMMYFUNCTION("""COMPUTED_VALUE"""),0.20296495956873314)</f>
        <v>0.2029649596</v>
      </c>
      <c r="G629" s="5">
        <f>IFERROR(__xludf.DUMMYFUNCTION("""COMPUTED_VALUE"""),0.16711590296495957)</f>
        <v>0.167115903</v>
      </c>
      <c r="H629" s="5">
        <f>IFERROR(__xludf.DUMMYFUNCTION("""COMPUTED_VALUE"""),0.5790172642762285)</f>
        <v>0.5790172643</v>
      </c>
      <c r="I629" s="11">
        <f>IFERROR(__xludf.DUMMYFUNCTION("""COMPUTED_VALUE"""),5820.053120849933)</f>
        <v>5820.053121</v>
      </c>
      <c r="J629" s="10">
        <f>IFERROR(__xludf.DUMMYFUNCTION("""COMPUTED_VALUE"""),0.0)</f>
        <v>0</v>
      </c>
      <c r="K629" s="5">
        <f>IFERROR(__xludf.DUMMYFUNCTION("""COMPUTED_VALUE"""),0.0)</f>
        <v>0</v>
      </c>
      <c r="L629" s="10">
        <f>IFERROR(__xludf.DUMMYFUNCTION("""COMPUTED_VALUE"""),0.0)</f>
        <v>0</v>
      </c>
      <c r="M629" s="5">
        <f>IFERROR(__xludf.DUMMYFUNCTION("""COMPUTED_VALUE"""),0.0)</f>
        <v>0</v>
      </c>
    </row>
    <row r="630">
      <c r="A630" s="10" t="str">
        <f>IFERROR(__xludf.DUMMYFUNCTION("""COMPUTED_VALUE"""),"type-t")</f>
        <v>type-t</v>
      </c>
      <c r="B630" s="10">
        <f>IFERROR(__xludf.DUMMYFUNCTION("""COMPUTED_VALUE"""),343.0)</f>
        <v>343</v>
      </c>
      <c r="C630" s="10">
        <f>IFERROR(__xludf.DUMMYFUNCTION("""COMPUTED_VALUE"""),4005.0)</f>
        <v>4005</v>
      </c>
      <c r="D630" s="5">
        <f>IFERROR(__xludf.DUMMYFUNCTION("""COMPUTED_VALUE"""),0.3711086837793555)</f>
        <v>0.3711086838</v>
      </c>
      <c r="E630" s="5">
        <f>IFERROR(__xludf.DUMMYFUNCTION("""COMPUTED_VALUE"""),0.1458219552157291)</f>
        <v>0.1458219552</v>
      </c>
      <c r="F630" s="5">
        <f>IFERROR(__xludf.DUMMYFUNCTION("""COMPUTED_VALUE"""),0.1900600764609503)</f>
        <v>0.1900600765</v>
      </c>
      <c r="G630" s="5">
        <f>IFERROR(__xludf.DUMMYFUNCTION("""COMPUTED_VALUE"""),0.18104860731840525)</f>
        <v>0.1810486073</v>
      </c>
      <c r="H630" s="5">
        <f>IFERROR(__xludf.DUMMYFUNCTION("""COMPUTED_VALUE"""),0.5890804597701149)</f>
        <v>0.5890804598</v>
      </c>
      <c r="I630" s="11">
        <f>IFERROR(__xludf.DUMMYFUNCTION("""COMPUTED_VALUE"""),5834.33908045977)</f>
        <v>5834.33908</v>
      </c>
      <c r="J630" s="10">
        <f>IFERROR(__xludf.DUMMYFUNCTION("""COMPUTED_VALUE"""),1.0)</f>
        <v>1</v>
      </c>
      <c r="K630" s="5">
        <f>IFERROR(__xludf.DUMMYFUNCTION("""COMPUTED_VALUE"""),0.0029154518950437317)</f>
        <v>0.002915451895</v>
      </c>
      <c r="L630" s="10">
        <f>IFERROR(__xludf.DUMMYFUNCTION("""COMPUTED_VALUE"""),343.0)</f>
        <v>343</v>
      </c>
      <c r="M630" s="5">
        <f>IFERROR(__xludf.DUMMYFUNCTION("""COMPUTED_VALUE"""),1.0)</f>
        <v>1</v>
      </c>
    </row>
    <row r="631">
      <c r="A631" s="10" t="str">
        <f>IFERROR(__xludf.DUMMYFUNCTION("""COMPUTED_VALUE"""),"melon29")</f>
        <v>melon29</v>
      </c>
      <c r="B631" s="10">
        <f>IFERROR(__xludf.DUMMYFUNCTION("""COMPUTED_VALUE"""),101.0)</f>
        <v>101</v>
      </c>
      <c r="C631" s="10">
        <f>IFERROR(__xludf.DUMMYFUNCTION("""COMPUTED_VALUE"""),1164.0)</f>
        <v>1164</v>
      </c>
      <c r="D631" s="5">
        <f>IFERROR(__xludf.DUMMYFUNCTION("""COMPUTED_VALUE"""),0.3527751646284102)</f>
        <v>0.3527751646</v>
      </c>
      <c r="E631" s="5">
        <f>IFERROR(__xludf.DUMMYFUNCTION("""COMPUTED_VALUE"""),0.1458137347130762)</f>
        <v>0.1458137347</v>
      </c>
      <c r="F631" s="5">
        <f>IFERROR(__xludf.DUMMYFUNCTION("""COMPUTED_VALUE"""),0.20884289746001883)</f>
        <v>0.2088428975</v>
      </c>
      <c r="G631" s="5">
        <f>IFERROR(__xludf.DUMMYFUNCTION("""COMPUTED_VALUE"""),0.12041392285983067)</f>
        <v>0.1204139229</v>
      </c>
      <c r="H631" s="5">
        <f>IFERROR(__xludf.DUMMYFUNCTION("""COMPUTED_VALUE"""),0.6396396396396397)</f>
        <v>0.6396396396</v>
      </c>
      <c r="I631" s="11">
        <f>IFERROR(__xludf.DUMMYFUNCTION("""COMPUTED_VALUE"""),5471.621621621622)</f>
        <v>5471.621622</v>
      </c>
      <c r="J631" s="10">
        <f>IFERROR(__xludf.DUMMYFUNCTION("""COMPUTED_VALUE"""),2.0)</f>
        <v>2</v>
      </c>
      <c r="K631" s="5">
        <f>IFERROR(__xludf.DUMMYFUNCTION("""COMPUTED_VALUE"""),0.019801980198019802)</f>
        <v>0.0198019802</v>
      </c>
      <c r="L631" s="10">
        <f>IFERROR(__xludf.DUMMYFUNCTION("""COMPUTED_VALUE"""),101.0)</f>
        <v>101</v>
      </c>
      <c r="M631" s="5">
        <f>IFERROR(__xludf.DUMMYFUNCTION("""COMPUTED_VALUE"""),1.0)</f>
        <v>1</v>
      </c>
    </row>
    <row r="632">
      <c r="A632" s="10" t="str">
        <f>IFERROR(__xludf.DUMMYFUNCTION("""COMPUTED_VALUE"""),"古寺桃花")</f>
        <v>古寺桃花</v>
      </c>
      <c r="B632" s="10">
        <f>IFERROR(__xludf.DUMMYFUNCTION("""COMPUTED_VALUE"""),165.0)</f>
        <v>165</v>
      </c>
      <c r="C632" s="10">
        <f>IFERROR(__xludf.DUMMYFUNCTION("""COMPUTED_VALUE"""),1907.0)</f>
        <v>1907</v>
      </c>
      <c r="D632" s="5">
        <f>IFERROR(__xludf.DUMMYFUNCTION("""COMPUTED_VALUE"""),0.3237657864523536)</f>
        <v>0.3237657865</v>
      </c>
      <c r="E632" s="5">
        <f>IFERROR(__xludf.DUMMYFUNCTION("""COMPUTED_VALUE"""),0.14580941446613088)</f>
        <v>0.1458094145</v>
      </c>
      <c r="F632" s="5">
        <f>IFERROR(__xludf.DUMMYFUNCTION("""COMPUTED_VALUE"""),0.21239954075774972)</f>
        <v>0.2123995408</v>
      </c>
      <c r="G632" s="5">
        <f>IFERROR(__xludf.DUMMYFUNCTION("""COMPUTED_VALUE"""),0.19345579793340986)</f>
        <v>0.1934557979</v>
      </c>
      <c r="H632" s="5">
        <f>IFERROR(__xludf.DUMMYFUNCTION("""COMPUTED_VALUE"""),0.6405405405405405)</f>
        <v>0.6405405405</v>
      </c>
      <c r="I632" s="11">
        <f>IFERROR(__xludf.DUMMYFUNCTION("""COMPUTED_VALUE"""),6150.810810810811)</f>
        <v>6150.810811</v>
      </c>
      <c r="J632" s="10">
        <f>IFERROR(__xludf.DUMMYFUNCTION("""COMPUTED_VALUE"""),1.0)</f>
        <v>1</v>
      </c>
      <c r="K632" s="5">
        <f>IFERROR(__xludf.DUMMYFUNCTION("""COMPUTED_VALUE"""),0.006060606060606061)</f>
        <v>0.006060606061</v>
      </c>
      <c r="L632" s="10">
        <f>IFERROR(__xludf.DUMMYFUNCTION("""COMPUTED_VALUE"""),165.0)</f>
        <v>165</v>
      </c>
      <c r="M632" s="5">
        <f>IFERROR(__xludf.DUMMYFUNCTION("""COMPUTED_VALUE"""),1.0)</f>
        <v>1</v>
      </c>
    </row>
    <row r="633">
      <c r="A633" s="10" t="str">
        <f>IFERROR(__xludf.DUMMYFUNCTION("""COMPUTED_VALUE"""),"すごすご")</f>
        <v>すごすご</v>
      </c>
      <c r="B633" s="10">
        <f>IFERROR(__xludf.DUMMYFUNCTION("""COMPUTED_VALUE"""),139.0)</f>
        <v>139</v>
      </c>
      <c r="C633" s="10">
        <f>IFERROR(__xludf.DUMMYFUNCTION("""COMPUTED_VALUE"""),1593.0)</f>
        <v>1593</v>
      </c>
      <c r="D633" s="5">
        <f>IFERROR(__xludf.DUMMYFUNCTION("""COMPUTED_VALUE"""),0.35488308115543327)</f>
        <v>0.3548830812</v>
      </c>
      <c r="E633" s="5">
        <f>IFERROR(__xludf.DUMMYFUNCTION("""COMPUTED_VALUE"""),0.14580467675378267)</f>
        <v>0.1458046768</v>
      </c>
      <c r="F633" s="5">
        <f>IFERROR(__xludf.DUMMYFUNCTION("""COMPUTED_VALUE"""),0.18363136176066025)</f>
        <v>0.1836313618</v>
      </c>
      <c r="G633" s="5">
        <f>IFERROR(__xludf.DUMMYFUNCTION("""COMPUTED_VALUE"""),0.156121045392022)</f>
        <v>0.1561210454</v>
      </c>
      <c r="H633" s="5">
        <f>IFERROR(__xludf.DUMMYFUNCTION("""COMPUTED_VALUE"""),0.599250936329588)</f>
        <v>0.5992509363</v>
      </c>
      <c r="I633" s="11">
        <f>IFERROR(__xludf.DUMMYFUNCTION("""COMPUTED_VALUE"""),5752.434456928839)</f>
        <v>5752.434457</v>
      </c>
      <c r="J633" s="10">
        <f>IFERROR(__xludf.DUMMYFUNCTION("""COMPUTED_VALUE"""),0.0)</f>
        <v>0</v>
      </c>
      <c r="K633" s="5">
        <f>IFERROR(__xludf.DUMMYFUNCTION("""COMPUTED_VALUE"""),0.0)</f>
        <v>0</v>
      </c>
      <c r="L633" s="10">
        <f>IFERROR(__xludf.DUMMYFUNCTION("""COMPUTED_VALUE"""),139.0)</f>
        <v>139</v>
      </c>
      <c r="M633" s="5">
        <f>IFERROR(__xludf.DUMMYFUNCTION("""COMPUTED_VALUE"""),1.0)</f>
        <v>1</v>
      </c>
    </row>
    <row r="634">
      <c r="A634" s="10" t="str">
        <f>IFERROR(__xludf.DUMMYFUNCTION("""COMPUTED_VALUE"""),"クリスカ")</f>
        <v>クリスカ</v>
      </c>
      <c r="B634" s="10">
        <f>IFERROR(__xludf.DUMMYFUNCTION("""COMPUTED_VALUE"""),123.0)</f>
        <v>123</v>
      </c>
      <c r="C634" s="10">
        <f>IFERROR(__xludf.DUMMYFUNCTION("""COMPUTED_VALUE"""),1433.0)</f>
        <v>1433</v>
      </c>
      <c r="D634" s="5">
        <f>IFERROR(__xludf.DUMMYFUNCTION("""COMPUTED_VALUE"""),0.416793893129771)</f>
        <v>0.4167938931</v>
      </c>
      <c r="E634" s="5">
        <f>IFERROR(__xludf.DUMMYFUNCTION("""COMPUTED_VALUE"""),0.14580152671755725)</f>
        <v>0.1458015267</v>
      </c>
      <c r="F634" s="5">
        <f>IFERROR(__xludf.DUMMYFUNCTION("""COMPUTED_VALUE"""),0.2183206106870229)</f>
        <v>0.2183206107</v>
      </c>
      <c r="G634" s="5">
        <f>IFERROR(__xludf.DUMMYFUNCTION("""COMPUTED_VALUE"""),0.14885496183206107)</f>
        <v>0.1488549618</v>
      </c>
      <c r="H634" s="5">
        <f>IFERROR(__xludf.DUMMYFUNCTION("""COMPUTED_VALUE"""),0.6153846153846154)</f>
        <v>0.6153846154</v>
      </c>
      <c r="I634" s="11">
        <f>IFERROR(__xludf.DUMMYFUNCTION("""COMPUTED_VALUE"""),5511.888111888112)</f>
        <v>5511.888112</v>
      </c>
      <c r="J634" s="10">
        <f>IFERROR(__xludf.DUMMYFUNCTION("""COMPUTED_VALUE"""),0.0)</f>
        <v>0</v>
      </c>
      <c r="K634" s="5">
        <f>IFERROR(__xludf.DUMMYFUNCTION("""COMPUTED_VALUE"""),0.0)</f>
        <v>0</v>
      </c>
      <c r="L634" s="10">
        <f>IFERROR(__xludf.DUMMYFUNCTION("""COMPUTED_VALUE"""),123.0)</f>
        <v>123</v>
      </c>
      <c r="M634" s="5">
        <f>IFERROR(__xludf.DUMMYFUNCTION("""COMPUTED_VALUE"""),1.0)</f>
        <v>1</v>
      </c>
    </row>
    <row r="635">
      <c r="A635" s="10" t="str">
        <f>IFERROR(__xludf.DUMMYFUNCTION("""COMPUTED_VALUE"""),"鈴佳")</f>
        <v>鈴佳</v>
      </c>
      <c r="B635" s="10">
        <f>IFERROR(__xludf.DUMMYFUNCTION("""COMPUTED_VALUE"""),2504.0)</f>
        <v>2504</v>
      </c>
      <c r="C635" s="10">
        <f>IFERROR(__xludf.DUMMYFUNCTION("""COMPUTED_VALUE"""),29166.0)</f>
        <v>29166</v>
      </c>
      <c r="D635" s="5">
        <f>IFERROR(__xludf.DUMMYFUNCTION("""COMPUTED_VALUE"""),0.24720576100817643)</f>
        <v>0.247205761</v>
      </c>
      <c r="E635" s="5">
        <f>IFERROR(__xludf.DUMMYFUNCTION("""COMPUTED_VALUE"""),0.1457880129022579)</f>
        <v>0.1457880129</v>
      </c>
      <c r="F635" s="5">
        <f>IFERROR(__xludf.DUMMYFUNCTION("""COMPUTED_VALUE"""),0.2134873602880504)</f>
        <v>0.2134873603</v>
      </c>
      <c r="G635" s="5">
        <f>IFERROR(__xludf.DUMMYFUNCTION("""COMPUTED_VALUE"""),0.19792213637386544)</f>
        <v>0.1979221364</v>
      </c>
      <c r="H635" s="5">
        <f>IFERROR(__xludf.DUMMYFUNCTION("""COMPUTED_VALUE"""),0.5906535488404778)</f>
        <v>0.5906535488</v>
      </c>
      <c r="I635" s="11">
        <f>IFERROR(__xludf.DUMMYFUNCTION("""COMPUTED_VALUE"""),6061.718200983837)</f>
        <v>6061.718201</v>
      </c>
      <c r="J635" s="10">
        <f>IFERROR(__xludf.DUMMYFUNCTION("""COMPUTED_VALUE"""),7.0)</f>
        <v>7</v>
      </c>
      <c r="K635" s="5">
        <f>IFERROR(__xludf.DUMMYFUNCTION("""COMPUTED_VALUE"""),0.0027955271565495207)</f>
        <v>0.002795527157</v>
      </c>
      <c r="L635" s="10">
        <f>IFERROR(__xludf.DUMMYFUNCTION("""COMPUTED_VALUE"""),2504.0)</f>
        <v>2504</v>
      </c>
      <c r="M635" s="5">
        <f>IFERROR(__xludf.DUMMYFUNCTION("""COMPUTED_VALUE"""),1.0)</f>
        <v>1</v>
      </c>
    </row>
    <row r="636">
      <c r="A636" s="10" t="str">
        <f>IFERROR(__xludf.DUMMYFUNCTION("""COMPUTED_VALUE"""),"白すぴっつ＠半荘")</f>
        <v>白すぴっつ＠半荘</v>
      </c>
      <c r="B636" s="10">
        <f>IFERROR(__xludf.DUMMYFUNCTION("""COMPUTED_VALUE"""),1294.0)</f>
        <v>1294</v>
      </c>
      <c r="C636" s="10">
        <f>IFERROR(__xludf.DUMMYFUNCTION("""COMPUTED_VALUE"""),15154.0)</f>
        <v>15154</v>
      </c>
      <c r="D636" s="5">
        <f>IFERROR(__xludf.DUMMYFUNCTION("""COMPUTED_VALUE"""),0.40180375180375183)</f>
        <v>0.4018037518</v>
      </c>
      <c r="E636" s="5">
        <f>IFERROR(__xludf.DUMMYFUNCTION("""COMPUTED_VALUE"""),0.14574314574314573)</f>
        <v>0.1457431457</v>
      </c>
      <c r="F636" s="5">
        <f>IFERROR(__xludf.DUMMYFUNCTION("""COMPUTED_VALUE"""),0.22561327561327563)</f>
        <v>0.2256132756</v>
      </c>
      <c r="G636" s="5">
        <f>IFERROR(__xludf.DUMMYFUNCTION("""COMPUTED_VALUE"""),0.18181818181818182)</f>
        <v>0.1818181818</v>
      </c>
      <c r="H636" s="5">
        <f>IFERROR(__xludf.DUMMYFUNCTION("""COMPUTED_VALUE"""),0.5970578829549088)</f>
        <v>0.597057883</v>
      </c>
      <c r="I636" s="11">
        <f>IFERROR(__xludf.DUMMYFUNCTION("""COMPUTED_VALUE"""),5498.816757275344)</f>
        <v>5498.816757</v>
      </c>
      <c r="J636" s="10">
        <f>IFERROR(__xludf.DUMMYFUNCTION("""COMPUTED_VALUE"""),1.0)</f>
        <v>1</v>
      </c>
      <c r="K636" s="5">
        <f>IFERROR(__xludf.DUMMYFUNCTION("""COMPUTED_VALUE"""),7.727975270479134E-4)</f>
        <v>0.000772797527</v>
      </c>
      <c r="L636" s="10">
        <f>IFERROR(__xludf.DUMMYFUNCTION("""COMPUTED_VALUE"""),1294.0)</f>
        <v>1294</v>
      </c>
      <c r="M636" s="5">
        <f>IFERROR(__xludf.DUMMYFUNCTION("""COMPUTED_VALUE"""),1.0)</f>
        <v>1</v>
      </c>
    </row>
    <row r="637">
      <c r="A637" s="10" t="str">
        <f>IFERROR(__xludf.DUMMYFUNCTION("""COMPUTED_VALUE"""),"虚月雪")</f>
        <v>虚月雪</v>
      </c>
      <c r="B637" s="10">
        <f>IFERROR(__xludf.DUMMYFUNCTION("""COMPUTED_VALUE"""),407.0)</f>
        <v>407</v>
      </c>
      <c r="C637" s="10">
        <f>IFERROR(__xludf.DUMMYFUNCTION("""COMPUTED_VALUE"""),4716.0)</f>
        <v>4716</v>
      </c>
      <c r="D637" s="5">
        <f>IFERROR(__xludf.DUMMYFUNCTION("""COMPUTED_VALUE"""),0.371547922951961)</f>
        <v>0.371547923</v>
      </c>
      <c r="E637" s="5">
        <f>IFERROR(__xludf.DUMMYFUNCTION("""COMPUTED_VALUE"""),0.1457414713390578)</f>
        <v>0.1457414713</v>
      </c>
      <c r="F637" s="5">
        <f>IFERROR(__xludf.DUMMYFUNCTION("""COMPUTED_VALUE"""),0.21745184497563239)</f>
        <v>0.217451845</v>
      </c>
      <c r="G637" s="5">
        <f>IFERROR(__xludf.DUMMYFUNCTION("""COMPUTED_VALUE"""),0.15177535391042005)</f>
        <v>0.1517753539</v>
      </c>
      <c r="H637" s="5">
        <f>IFERROR(__xludf.DUMMYFUNCTION("""COMPUTED_VALUE"""),0.5891141942369263)</f>
        <v>0.5891141942</v>
      </c>
      <c r="I637" s="11">
        <f>IFERROR(__xludf.DUMMYFUNCTION("""COMPUTED_VALUE"""),5438.527214514408)</f>
        <v>5438.527215</v>
      </c>
      <c r="J637" s="10">
        <f>IFERROR(__xludf.DUMMYFUNCTION("""COMPUTED_VALUE"""),0.0)</f>
        <v>0</v>
      </c>
      <c r="K637" s="5">
        <f>IFERROR(__xludf.DUMMYFUNCTION("""COMPUTED_VALUE"""),0.0)</f>
        <v>0</v>
      </c>
      <c r="L637" s="10">
        <f>IFERROR(__xludf.DUMMYFUNCTION("""COMPUTED_VALUE"""),407.0)</f>
        <v>407</v>
      </c>
      <c r="M637" s="5">
        <f>IFERROR(__xludf.DUMMYFUNCTION("""COMPUTED_VALUE"""),1.0)</f>
        <v>1</v>
      </c>
    </row>
    <row r="638">
      <c r="A638" s="10" t="str">
        <f>IFERROR(__xludf.DUMMYFUNCTION("""COMPUTED_VALUE"""),"スケルトンT")</f>
        <v>スケルトンT</v>
      </c>
      <c r="B638" s="10">
        <f>IFERROR(__xludf.DUMMYFUNCTION("""COMPUTED_VALUE"""),455.0)</f>
        <v>455</v>
      </c>
      <c r="C638" s="10">
        <f>IFERROR(__xludf.DUMMYFUNCTION("""COMPUTED_VALUE"""),5368.0)</f>
        <v>5368</v>
      </c>
      <c r="D638" s="5">
        <f>IFERROR(__xludf.DUMMYFUNCTION("""COMPUTED_VALUE"""),0.3494809688581315)</f>
        <v>0.3494809689</v>
      </c>
      <c r="E638" s="5">
        <f>IFERROR(__xludf.DUMMYFUNCTION("""COMPUTED_VALUE"""),0.1457358029717077)</f>
        <v>0.145735803</v>
      </c>
      <c r="F638" s="5">
        <f>IFERROR(__xludf.DUMMYFUNCTION("""COMPUTED_VALUE"""),0.21717891308772644)</f>
        <v>0.2171789131</v>
      </c>
      <c r="G638" s="5">
        <f>IFERROR(__xludf.DUMMYFUNCTION("""COMPUTED_VALUE"""),0.19316100142479137)</f>
        <v>0.1931610014</v>
      </c>
      <c r="H638" s="5">
        <f>IFERROR(__xludf.DUMMYFUNCTION("""COMPUTED_VALUE"""),0.6073102155576382)</f>
        <v>0.6073102156</v>
      </c>
      <c r="I638" s="11">
        <f>IFERROR(__xludf.DUMMYFUNCTION("""COMPUTED_VALUE"""),5707.216494845361)</f>
        <v>5707.216495</v>
      </c>
      <c r="J638" s="10">
        <f>IFERROR(__xludf.DUMMYFUNCTION("""COMPUTED_VALUE"""),0.0)</f>
        <v>0</v>
      </c>
      <c r="K638" s="5">
        <f>IFERROR(__xludf.DUMMYFUNCTION("""COMPUTED_VALUE"""),0.0)</f>
        <v>0</v>
      </c>
      <c r="L638" s="10">
        <f>IFERROR(__xludf.DUMMYFUNCTION("""COMPUTED_VALUE"""),102.0)</f>
        <v>102</v>
      </c>
      <c r="M638" s="5">
        <f>IFERROR(__xludf.DUMMYFUNCTION("""COMPUTED_VALUE"""),0.22417582417582418)</f>
        <v>0.2241758242</v>
      </c>
    </row>
    <row r="639">
      <c r="A639" s="10" t="str">
        <f>IFERROR(__xludf.DUMMYFUNCTION("""COMPUTED_VALUE"""),"1500")</f>
        <v>1500</v>
      </c>
      <c r="B639" s="10">
        <f>IFERROR(__xludf.DUMMYFUNCTION("""COMPUTED_VALUE"""),339.0)</f>
        <v>339</v>
      </c>
      <c r="C639" s="10">
        <f>IFERROR(__xludf.DUMMYFUNCTION("""COMPUTED_VALUE"""),4024.0)</f>
        <v>4024</v>
      </c>
      <c r="D639" s="5">
        <f>IFERROR(__xludf.DUMMYFUNCTION("""COMPUTED_VALUE"""),0.3932157394843962)</f>
        <v>0.3932157395</v>
      </c>
      <c r="E639" s="5">
        <f>IFERROR(__xludf.DUMMYFUNCTION("""COMPUTED_VALUE"""),0.14572591587516961)</f>
        <v>0.1457259159</v>
      </c>
      <c r="F639" s="5">
        <f>IFERROR(__xludf.DUMMYFUNCTION("""COMPUTED_VALUE"""),0.20732700135685211)</f>
        <v>0.2073270014</v>
      </c>
      <c r="G639" s="5">
        <f>IFERROR(__xludf.DUMMYFUNCTION("""COMPUTED_VALUE"""),0.16119402985074627)</f>
        <v>0.1611940299</v>
      </c>
      <c r="H639" s="5">
        <f>IFERROR(__xludf.DUMMYFUNCTION("""COMPUTED_VALUE"""),0.587696335078534)</f>
        <v>0.5876963351</v>
      </c>
      <c r="I639" s="11">
        <f>IFERROR(__xludf.DUMMYFUNCTION("""COMPUTED_VALUE"""),5399.476439790576)</f>
        <v>5399.47644</v>
      </c>
      <c r="J639" s="10">
        <f>IFERROR(__xludf.DUMMYFUNCTION("""COMPUTED_VALUE"""),0.0)</f>
        <v>0</v>
      </c>
      <c r="K639" s="5">
        <f>IFERROR(__xludf.DUMMYFUNCTION("""COMPUTED_VALUE"""),0.0)</f>
        <v>0</v>
      </c>
      <c r="L639" s="10">
        <f>IFERROR(__xludf.DUMMYFUNCTION("""COMPUTED_VALUE"""),339.0)</f>
        <v>339</v>
      </c>
      <c r="M639" s="5">
        <f>IFERROR(__xludf.DUMMYFUNCTION("""COMPUTED_VALUE"""),1.0)</f>
        <v>1</v>
      </c>
    </row>
    <row r="640">
      <c r="A640" s="10" t="str">
        <f>IFERROR(__xludf.DUMMYFUNCTION("""COMPUTED_VALUE"""),"〇＞＜")</f>
        <v>〇＞＜</v>
      </c>
      <c r="B640" s="10">
        <f>IFERROR(__xludf.DUMMYFUNCTION("""COMPUTED_VALUE"""),331.0)</f>
        <v>331</v>
      </c>
      <c r="C640" s="10">
        <f>IFERROR(__xludf.DUMMYFUNCTION("""COMPUTED_VALUE"""),3927.0)</f>
        <v>3927</v>
      </c>
      <c r="D640" s="5">
        <f>IFERROR(__xludf.DUMMYFUNCTION("""COMPUTED_VALUE"""),0.4135150166852058)</f>
        <v>0.4135150167</v>
      </c>
      <c r="E640" s="5">
        <f>IFERROR(__xludf.DUMMYFUNCTION("""COMPUTED_VALUE"""),0.1457174638487208)</f>
        <v>0.1457174638</v>
      </c>
      <c r="F640" s="5">
        <f>IFERROR(__xludf.DUMMYFUNCTION("""COMPUTED_VALUE"""),0.22413793103448276)</f>
        <v>0.224137931</v>
      </c>
      <c r="G640" s="5">
        <f>IFERROR(__xludf.DUMMYFUNCTION("""COMPUTED_VALUE"""),0.1860400444938821)</f>
        <v>0.1860400445</v>
      </c>
      <c r="H640" s="5">
        <f>IFERROR(__xludf.DUMMYFUNCTION("""COMPUTED_VALUE"""),0.6240694789081885)</f>
        <v>0.6240694789</v>
      </c>
      <c r="I640" s="11">
        <f>IFERROR(__xludf.DUMMYFUNCTION("""COMPUTED_VALUE"""),5098.63523573201)</f>
        <v>5098.635236</v>
      </c>
      <c r="J640" s="10">
        <f>IFERROR(__xludf.DUMMYFUNCTION("""COMPUTED_VALUE"""),0.0)</f>
        <v>0</v>
      </c>
      <c r="K640" s="5">
        <f>IFERROR(__xludf.DUMMYFUNCTION("""COMPUTED_VALUE"""),0.0)</f>
        <v>0</v>
      </c>
      <c r="L640" s="10">
        <f>IFERROR(__xludf.DUMMYFUNCTION("""COMPUTED_VALUE"""),331.0)</f>
        <v>331</v>
      </c>
      <c r="M640" s="5">
        <f>IFERROR(__xludf.DUMMYFUNCTION("""COMPUTED_VALUE"""),1.0)</f>
        <v>1</v>
      </c>
    </row>
    <row r="641">
      <c r="A641" s="10" t="str">
        <f>IFERROR(__xludf.DUMMYFUNCTION("""COMPUTED_VALUE"""),"母穴掘り")</f>
        <v>母穴掘り</v>
      </c>
      <c r="B641" s="10">
        <f>IFERROR(__xludf.DUMMYFUNCTION("""COMPUTED_VALUE"""),184.0)</f>
        <v>184</v>
      </c>
      <c r="C641" s="10">
        <f>IFERROR(__xludf.DUMMYFUNCTION("""COMPUTED_VALUE"""),2155.0)</f>
        <v>2155</v>
      </c>
      <c r="D641" s="5">
        <f>IFERROR(__xludf.DUMMYFUNCTION("""COMPUTED_VALUE"""),0.32166412988330795)</f>
        <v>0.3216641299</v>
      </c>
      <c r="E641" s="5">
        <f>IFERROR(__xludf.DUMMYFUNCTION("""COMPUTED_VALUE"""),0.14561136478944697)</f>
        <v>0.1456113648</v>
      </c>
      <c r="F641" s="5">
        <f>IFERROR(__xludf.DUMMYFUNCTION("""COMPUTED_VALUE"""),0.2207001522070015)</f>
        <v>0.2207001522</v>
      </c>
      <c r="G641" s="5">
        <f>IFERROR(__xludf.DUMMYFUNCTION("""COMPUTED_VALUE"""),0.1993911719939117)</f>
        <v>0.199391172</v>
      </c>
      <c r="H641" s="5">
        <f>IFERROR(__xludf.DUMMYFUNCTION("""COMPUTED_VALUE"""),0.5586206896551724)</f>
        <v>0.5586206897</v>
      </c>
      <c r="I641" s="11">
        <f>IFERROR(__xludf.DUMMYFUNCTION("""COMPUTED_VALUE"""),5580.919540229885)</f>
        <v>5580.91954</v>
      </c>
      <c r="J641" s="10">
        <f>IFERROR(__xludf.DUMMYFUNCTION("""COMPUTED_VALUE"""),0.0)</f>
        <v>0</v>
      </c>
      <c r="K641" s="5">
        <f>IFERROR(__xludf.DUMMYFUNCTION("""COMPUTED_VALUE"""),0.0)</f>
        <v>0</v>
      </c>
      <c r="L641" s="10">
        <f>IFERROR(__xludf.DUMMYFUNCTION("""COMPUTED_VALUE"""),184.0)</f>
        <v>184</v>
      </c>
      <c r="M641" s="5">
        <f>IFERROR(__xludf.DUMMYFUNCTION("""COMPUTED_VALUE"""),1.0)</f>
        <v>1</v>
      </c>
    </row>
    <row r="642">
      <c r="A642" s="10" t="str">
        <f>IFERROR(__xludf.DUMMYFUNCTION("""COMPUTED_VALUE"""),"chxff")</f>
        <v>chxff</v>
      </c>
      <c r="B642" s="10">
        <f>IFERROR(__xludf.DUMMYFUNCTION("""COMPUTED_VALUE"""),132.0)</f>
        <v>132</v>
      </c>
      <c r="C642" s="10">
        <f>IFERROR(__xludf.DUMMYFUNCTION("""COMPUTED_VALUE"""),1485.0)</f>
        <v>1485</v>
      </c>
      <c r="D642" s="5">
        <f>IFERROR(__xludf.DUMMYFUNCTION("""COMPUTED_VALUE"""),0.42572062084257206)</f>
        <v>0.4257206208</v>
      </c>
      <c r="E642" s="5">
        <f>IFERROR(__xludf.DUMMYFUNCTION("""COMPUTED_VALUE"""),0.14560236511456023)</f>
        <v>0.1456023651</v>
      </c>
      <c r="F642" s="5">
        <f>IFERROR(__xludf.DUMMYFUNCTION("""COMPUTED_VALUE"""),0.21212121212121213)</f>
        <v>0.2121212121</v>
      </c>
      <c r="G642" s="5">
        <f>IFERROR(__xludf.DUMMYFUNCTION("""COMPUTED_VALUE"""),0.17812269031781228)</f>
        <v>0.1781226903</v>
      </c>
      <c r="H642" s="5">
        <f>IFERROR(__xludf.DUMMYFUNCTION("""COMPUTED_VALUE"""),0.6062717770034843)</f>
        <v>0.606271777</v>
      </c>
      <c r="I642" s="11">
        <f>IFERROR(__xludf.DUMMYFUNCTION("""COMPUTED_VALUE"""),5885.365853658536)</f>
        <v>5885.365854</v>
      </c>
      <c r="J642" s="10">
        <f>IFERROR(__xludf.DUMMYFUNCTION("""COMPUTED_VALUE"""),0.0)</f>
        <v>0</v>
      </c>
      <c r="K642" s="5">
        <f>IFERROR(__xludf.DUMMYFUNCTION("""COMPUTED_VALUE"""),0.0)</f>
        <v>0</v>
      </c>
      <c r="L642" s="10">
        <f>IFERROR(__xludf.DUMMYFUNCTION("""COMPUTED_VALUE"""),132.0)</f>
        <v>132</v>
      </c>
      <c r="M642" s="5">
        <f>IFERROR(__xludf.DUMMYFUNCTION("""COMPUTED_VALUE"""),1.0)</f>
        <v>1</v>
      </c>
    </row>
    <row r="643">
      <c r="A643" s="10" t="str">
        <f>IFERROR(__xludf.DUMMYFUNCTION("""COMPUTED_VALUE"""),"竜河憩")</f>
        <v>竜河憩</v>
      </c>
      <c r="B643" s="10">
        <f>IFERROR(__xludf.DUMMYFUNCTION("""COMPUTED_VALUE"""),136.0)</f>
        <v>136</v>
      </c>
      <c r="C643" s="10">
        <f>IFERROR(__xludf.DUMMYFUNCTION("""COMPUTED_VALUE"""),1606.0)</f>
        <v>1606</v>
      </c>
      <c r="D643" s="5">
        <f>IFERROR(__xludf.DUMMYFUNCTION("""COMPUTED_VALUE"""),0.3517006802721088)</f>
        <v>0.3517006803</v>
      </c>
      <c r="E643" s="5">
        <f>IFERROR(__xludf.DUMMYFUNCTION("""COMPUTED_VALUE"""),0.145578231292517)</f>
        <v>0.1455782313</v>
      </c>
      <c r="F643" s="5">
        <f>IFERROR(__xludf.DUMMYFUNCTION("""COMPUTED_VALUE"""),0.1945578231292517)</f>
        <v>0.1945578231</v>
      </c>
      <c r="G643" s="5">
        <f>IFERROR(__xludf.DUMMYFUNCTION("""COMPUTED_VALUE"""),0.1469387755102041)</f>
        <v>0.1469387755</v>
      </c>
      <c r="H643" s="5">
        <f>IFERROR(__xludf.DUMMYFUNCTION("""COMPUTED_VALUE"""),0.6083916083916084)</f>
        <v>0.6083916084</v>
      </c>
      <c r="I643" s="11">
        <f>IFERROR(__xludf.DUMMYFUNCTION("""COMPUTED_VALUE"""),5908.041958041958)</f>
        <v>5908.041958</v>
      </c>
      <c r="J643" s="10">
        <f>IFERROR(__xludf.DUMMYFUNCTION("""COMPUTED_VALUE"""),0.0)</f>
        <v>0</v>
      </c>
      <c r="K643" s="5">
        <f>IFERROR(__xludf.DUMMYFUNCTION("""COMPUTED_VALUE"""),0.0)</f>
        <v>0</v>
      </c>
      <c r="L643" s="10">
        <f>IFERROR(__xludf.DUMMYFUNCTION("""COMPUTED_VALUE"""),136.0)</f>
        <v>136</v>
      </c>
      <c r="M643" s="5">
        <f>IFERROR(__xludf.DUMMYFUNCTION("""COMPUTED_VALUE"""),1.0)</f>
        <v>1</v>
      </c>
    </row>
    <row r="644">
      <c r="A644" s="10" t="str">
        <f>IFERROR(__xludf.DUMMYFUNCTION("""COMPUTED_VALUE"""),"銀色自転車")</f>
        <v>銀色自転車</v>
      </c>
      <c r="B644" s="10">
        <f>IFERROR(__xludf.DUMMYFUNCTION("""COMPUTED_VALUE"""),248.0)</f>
        <v>248</v>
      </c>
      <c r="C644" s="10">
        <f>IFERROR(__xludf.DUMMYFUNCTION("""COMPUTED_VALUE"""),2927.0)</f>
        <v>2927</v>
      </c>
      <c r="D644" s="5">
        <f>IFERROR(__xludf.DUMMYFUNCTION("""COMPUTED_VALUE"""),0.3885778275475924)</f>
        <v>0.3885778275</v>
      </c>
      <c r="E644" s="5">
        <f>IFERROR(__xludf.DUMMYFUNCTION("""COMPUTED_VALUE"""),0.1455767077267637)</f>
        <v>0.1455767077</v>
      </c>
      <c r="F644" s="5">
        <f>IFERROR(__xludf.DUMMYFUNCTION("""COMPUTED_VALUE"""),0.18999626726390445)</f>
        <v>0.1899962673</v>
      </c>
      <c r="G644" s="5">
        <f>IFERROR(__xludf.DUMMYFUNCTION("""COMPUTED_VALUE"""),0.17319895483389325)</f>
        <v>0.1731989548</v>
      </c>
      <c r="H644" s="5">
        <f>IFERROR(__xludf.DUMMYFUNCTION("""COMPUTED_VALUE"""),0.6247544204322201)</f>
        <v>0.6247544204</v>
      </c>
      <c r="I644" s="11">
        <f>IFERROR(__xludf.DUMMYFUNCTION("""COMPUTED_VALUE"""),5716.5029469548135)</f>
        <v>5716.502947</v>
      </c>
      <c r="J644" s="10">
        <f>IFERROR(__xludf.DUMMYFUNCTION("""COMPUTED_VALUE"""),1.0)</f>
        <v>1</v>
      </c>
      <c r="K644" s="5">
        <f>IFERROR(__xludf.DUMMYFUNCTION("""COMPUTED_VALUE"""),0.004032258064516129)</f>
        <v>0.004032258065</v>
      </c>
      <c r="L644" s="10">
        <f>IFERROR(__xludf.DUMMYFUNCTION("""COMPUTED_VALUE"""),248.0)</f>
        <v>248</v>
      </c>
      <c r="M644" s="5">
        <f>IFERROR(__xludf.DUMMYFUNCTION("""COMPUTED_VALUE"""),1.0)</f>
        <v>1</v>
      </c>
    </row>
    <row r="645">
      <c r="A645" s="10" t="str">
        <f>IFERROR(__xludf.DUMMYFUNCTION("""COMPUTED_VALUE"""),"南帝南浦")</f>
        <v>南帝南浦</v>
      </c>
      <c r="B645" s="10">
        <f>IFERROR(__xludf.DUMMYFUNCTION("""COMPUTED_VALUE"""),425.0)</f>
        <v>425</v>
      </c>
      <c r="C645" s="10">
        <f>IFERROR(__xludf.DUMMYFUNCTION("""COMPUTED_VALUE"""),4911.0)</f>
        <v>4911</v>
      </c>
      <c r="D645" s="5">
        <f>IFERROR(__xludf.DUMMYFUNCTION("""COMPUTED_VALUE"""),0.34886312973695943)</f>
        <v>0.3488631297</v>
      </c>
      <c r="E645" s="5">
        <f>IFERROR(__xludf.DUMMYFUNCTION("""COMPUTED_VALUE"""),0.14556397681676325)</f>
        <v>0.1455639768</v>
      </c>
      <c r="F645" s="5">
        <f>IFERROR(__xludf.DUMMYFUNCTION("""COMPUTED_VALUE"""),0.19884083816317433)</f>
        <v>0.1988408382</v>
      </c>
      <c r="G645" s="5">
        <f>IFERROR(__xludf.DUMMYFUNCTION("""COMPUTED_VALUE"""),0.19170753455193937)</f>
        <v>0.1917075346</v>
      </c>
      <c r="H645" s="5">
        <f>IFERROR(__xludf.DUMMYFUNCTION("""COMPUTED_VALUE"""),0.5997757847533632)</f>
        <v>0.5997757848</v>
      </c>
      <c r="I645" s="11">
        <f>IFERROR(__xludf.DUMMYFUNCTION("""COMPUTED_VALUE"""),6228.47533632287)</f>
        <v>6228.475336</v>
      </c>
      <c r="J645" s="10">
        <f>IFERROR(__xludf.DUMMYFUNCTION("""COMPUTED_VALUE"""),2.0)</f>
        <v>2</v>
      </c>
      <c r="K645" s="5">
        <f>IFERROR(__xludf.DUMMYFUNCTION("""COMPUTED_VALUE"""),0.004705882352941176)</f>
        <v>0.004705882353</v>
      </c>
      <c r="L645" s="10">
        <f>IFERROR(__xludf.DUMMYFUNCTION("""COMPUTED_VALUE"""),14.0)</f>
        <v>14</v>
      </c>
      <c r="M645" s="5">
        <f>IFERROR(__xludf.DUMMYFUNCTION("""COMPUTED_VALUE"""),0.03294117647058824)</f>
        <v>0.03294117647</v>
      </c>
    </row>
    <row r="646">
      <c r="A646" s="10" t="str">
        <f>IFERROR(__xludf.DUMMYFUNCTION("""COMPUTED_VALUE"""),"Capibara")</f>
        <v>Capibara</v>
      </c>
      <c r="B646" s="10">
        <f>IFERROR(__xludf.DUMMYFUNCTION("""COMPUTED_VALUE"""),100.0)</f>
        <v>100</v>
      </c>
      <c r="C646" s="10">
        <f>IFERROR(__xludf.DUMMYFUNCTION("""COMPUTED_VALUE"""),1172.0)</f>
        <v>1172</v>
      </c>
      <c r="D646" s="5">
        <f>IFERROR(__xludf.DUMMYFUNCTION("""COMPUTED_VALUE"""),0.2667910447761194)</f>
        <v>0.2667910448</v>
      </c>
      <c r="E646" s="5">
        <f>IFERROR(__xludf.DUMMYFUNCTION("""COMPUTED_VALUE"""),0.1455223880597015)</f>
        <v>0.1455223881</v>
      </c>
      <c r="F646" s="5">
        <f>IFERROR(__xludf.DUMMYFUNCTION("""COMPUTED_VALUE"""),0.18003731343283583)</f>
        <v>0.1800373134</v>
      </c>
      <c r="G646" s="5">
        <f>IFERROR(__xludf.DUMMYFUNCTION("""COMPUTED_VALUE"""),0.1669776119402985)</f>
        <v>0.1669776119</v>
      </c>
      <c r="H646" s="5">
        <f>IFERROR(__xludf.DUMMYFUNCTION("""COMPUTED_VALUE"""),0.6062176165803109)</f>
        <v>0.6062176166</v>
      </c>
      <c r="I646" s="11">
        <f>IFERROR(__xludf.DUMMYFUNCTION("""COMPUTED_VALUE"""),6156.99481865285)</f>
        <v>6156.994819</v>
      </c>
      <c r="J646" s="10">
        <f>IFERROR(__xludf.DUMMYFUNCTION("""COMPUTED_VALUE"""),0.0)</f>
        <v>0</v>
      </c>
      <c r="K646" s="5">
        <f>IFERROR(__xludf.DUMMYFUNCTION("""COMPUTED_VALUE"""),0.0)</f>
        <v>0</v>
      </c>
      <c r="L646" s="10">
        <f>IFERROR(__xludf.DUMMYFUNCTION("""COMPUTED_VALUE"""),100.0)</f>
        <v>100</v>
      </c>
      <c r="M646" s="5">
        <f>IFERROR(__xludf.DUMMYFUNCTION("""COMPUTED_VALUE"""),1.0)</f>
        <v>1</v>
      </c>
    </row>
    <row r="647">
      <c r="A647" s="10" t="str">
        <f>IFERROR(__xludf.DUMMYFUNCTION("""COMPUTED_VALUE"""),"カツゲン★★")</f>
        <v>カツゲン★★</v>
      </c>
      <c r="B647" s="10">
        <f>IFERROR(__xludf.DUMMYFUNCTION("""COMPUTED_VALUE"""),107.0)</f>
        <v>107</v>
      </c>
      <c r="C647" s="10">
        <f>IFERROR(__xludf.DUMMYFUNCTION("""COMPUTED_VALUE"""),1289.0)</f>
        <v>1289</v>
      </c>
      <c r="D647" s="5">
        <f>IFERROR(__xludf.DUMMYFUNCTION("""COMPUTED_VALUE"""),0.4010152284263959)</f>
        <v>0.4010152284</v>
      </c>
      <c r="E647" s="5">
        <f>IFERROR(__xludf.DUMMYFUNCTION("""COMPUTED_VALUE"""),0.1455160744500846)</f>
        <v>0.1455160745</v>
      </c>
      <c r="F647" s="5">
        <f>IFERROR(__xludf.DUMMYFUNCTION("""COMPUTED_VALUE"""),0.2098138747884941)</f>
        <v>0.2098138748</v>
      </c>
      <c r="G647" s="5">
        <f>IFERROR(__xludf.DUMMYFUNCTION("""COMPUTED_VALUE"""),0.13705583756345177)</f>
        <v>0.1370558376</v>
      </c>
      <c r="H647" s="5">
        <f>IFERROR(__xludf.DUMMYFUNCTION("""COMPUTED_VALUE"""),0.5725806451612904)</f>
        <v>0.5725806452</v>
      </c>
      <c r="I647" s="11">
        <f>IFERROR(__xludf.DUMMYFUNCTION("""COMPUTED_VALUE"""),5131.048387096775)</f>
        <v>5131.048387</v>
      </c>
      <c r="J647" s="10">
        <f>IFERROR(__xludf.DUMMYFUNCTION("""COMPUTED_VALUE"""),0.0)</f>
        <v>0</v>
      </c>
      <c r="K647" s="5">
        <f>IFERROR(__xludf.DUMMYFUNCTION("""COMPUTED_VALUE"""),0.0)</f>
        <v>0</v>
      </c>
      <c r="L647" s="10">
        <f>IFERROR(__xludf.DUMMYFUNCTION("""COMPUTED_VALUE"""),107.0)</f>
        <v>107</v>
      </c>
      <c r="M647" s="5">
        <f>IFERROR(__xludf.DUMMYFUNCTION("""COMPUTED_VALUE"""),1.0)</f>
        <v>1</v>
      </c>
    </row>
    <row r="648">
      <c r="A648" s="10" t="str">
        <f>IFERROR(__xludf.DUMMYFUNCTION("""COMPUTED_VALUE"""),"ロッキー君")</f>
        <v>ロッキー君</v>
      </c>
      <c r="B648" s="10">
        <f>IFERROR(__xludf.DUMMYFUNCTION("""COMPUTED_VALUE"""),810.0)</f>
        <v>810</v>
      </c>
      <c r="C648" s="10">
        <f>IFERROR(__xludf.DUMMYFUNCTION("""COMPUTED_VALUE"""),9470.0)</f>
        <v>9470</v>
      </c>
      <c r="D648" s="5">
        <f>IFERROR(__xludf.DUMMYFUNCTION("""COMPUTED_VALUE"""),0.3051963048498845)</f>
        <v>0.3051963048</v>
      </c>
      <c r="E648" s="5">
        <f>IFERROR(__xludf.DUMMYFUNCTION("""COMPUTED_VALUE"""),0.14549653579676675)</f>
        <v>0.1454965358</v>
      </c>
      <c r="F648" s="5">
        <f>IFERROR(__xludf.DUMMYFUNCTION("""COMPUTED_VALUE"""),0.21143187066974595)</f>
        <v>0.2114318707</v>
      </c>
      <c r="G648" s="5">
        <f>IFERROR(__xludf.DUMMYFUNCTION("""COMPUTED_VALUE"""),0.16905311778290993)</f>
        <v>0.1690531178</v>
      </c>
      <c r="H648" s="5">
        <f>IFERROR(__xludf.DUMMYFUNCTION("""COMPUTED_VALUE"""),0.600218459858001)</f>
        <v>0.6002184599</v>
      </c>
      <c r="I648" s="11">
        <f>IFERROR(__xludf.DUMMYFUNCTION("""COMPUTED_VALUE"""),5692.244675040961)</f>
        <v>5692.244675</v>
      </c>
      <c r="J648" s="10">
        <f>IFERROR(__xludf.DUMMYFUNCTION("""COMPUTED_VALUE"""),2.0)</f>
        <v>2</v>
      </c>
      <c r="K648" s="5">
        <f>IFERROR(__xludf.DUMMYFUNCTION("""COMPUTED_VALUE"""),0.0024691358024691358)</f>
        <v>0.002469135802</v>
      </c>
      <c r="L648" s="10">
        <f>IFERROR(__xludf.DUMMYFUNCTION("""COMPUTED_VALUE"""),810.0)</f>
        <v>810</v>
      </c>
      <c r="M648" s="5">
        <f>IFERROR(__xludf.DUMMYFUNCTION("""COMPUTED_VALUE"""),1.0)</f>
        <v>1</v>
      </c>
    </row>
    <row r="649">
      <c r="A649" s="10" t="str">
        <f>IFERROR(__xludf.DUMMYFUNCTION("""COMPUTED_VALUE"""),"†梨積港†")</f>
        <v>†梨積港†</v>
      </c>
      <c r="B649" s="10">
        <f>IFERROR(__xludf.DUMMYFUNCTION("""COMPUTED_VALUE"""),116.0)</f>
        <v>116</v>
      </c>
      <c r="C649" s="10">
        <f>IFERROR(__xludf.DUMMYFUNCTION("""COMPUTED_VALUE"""),1374.0)</f>
        <v>1374</v>
      </c>
      <c r="D649" s="5">
        <f>IFERROR(__xludf.DUMMYFUNCTION("""COMPUTED_VALUE"""),0.3068362480127186)</f>
        <v>0.306836248</v>
      </c>
      <c r="E649" s="5">
        <f>IFERROR(__xludf.DUMMYFUNCTION("""COMPUTED_VALUE"""),0.14546899841017488)</f>
        <v>0.1454689984</v>
      </c>
      <c r="F649" s="5">
        <f>IFERROR(__xludf.DUMMYFUNCTION("""COMPUTED_VALUE"""),0.18124006359300476)</f>
        <v>0.1812400636</v>
      </c>
      <c r="G649" s="5">
        <f>IFERROR(__xludf.DUMMYFUNCTION("""COMPUTED_VALUE"""),0.16295707472178061)</f>
        <v>0.1629570747</v>
      </c>
      <c r="H649" s="5">
        <f>IFERROR(__xludf.DUMMYFUNCTION("""COMPUTED_VALUE"""),0.6578947368421053)</f>
        <v>0.6578947368</v>
      </c>
      <c r="I649" s="11">
        <f>IFERROR(__xludf.DUMMYFUNCTION("""COMPUTED_VALUE"""),6458.333333333333)</f>
        <v>6458.333333</v>
      </c>
      <c r="J649" s="10">
        <f>IFERROR(__xludf.DUMMYFUNCTION("""COMPUTED_VALUE"""),0.0)</f>
        <v>0</v>
      </c>
      <c r="K649" s="5">
        <f>IFERROR(__xludf.DUMMYFUNCTION("""COMPUTED_VALUE"""),0.0)</f>
        <v>0</v>
      </c>
      <c r="L649" s="10">
        <f>IFERROR(__xludf.DUMMYFUNCTION("""COMPUTED_VALUE"""),116.0)</f>
        <v>116</v>
      </c>
      <c r="M649" s="5">
        <f>IFERROR(__xludf.DUMMYFUNCTION("""COMPUTED_VALUE"""),1.0)</f>
        <v>1</v>
      </c>
    </row>
    <row r="650">
      <c r="A650" s="10" t="str">
        <f>IFERROR(__xludf.DUMMYFUNCTION("""COMPUTED_VALUE"""),"kanen")</f>
        <v>kanen</v>
      </c>
      <c r="B650" s="10">
        <f>IFERROR(__xludf.DUMMYFUNCTION("""COMPUTED_VALUE"""),324.0)</f>
        <v>324</v>
      </c>
      <c r="C650" s="10">
        <f>IFERROR(__xludf.DUMMYFUNCTION("""COMPUTED_VALUE"""),3748.0)</f>
        <v>3748</v>
      </c>
      <c r="D650" s="5">
        <f>IFERROR(__xludf.DUMMYFUNCTION("""COMPUTED_VALUE"""),0.3574766355140187)</f>
        <v>0.3574766355</v>
      </c>
      <c r="E650" s="5">
        <f>IFERROR(__xludf.DUMMYFUNCTION("""COMPUTED_VALUE"""),0.14544392523364486)</f>
        <v>0.1454439252</v>
      </c>
      <c r="F650" s="5">
        <f>IFERROR(__xludf.DUMMYFUNCTION("""COMPUTED_VALUE"""),0.20619158878504673)</f>
        <v>0.2061915888</v>
      </c>
      <c r="G650" s="5">
        <f>IFERROR(__xludf.DUMMYFUNCTION("""COMPUTED_VALUE"""),0.1328855140186916)</f>
        <v>0.132885514</v>
      </c>
      <c r="H650" s="5">
        <f>IFERROR(__xludf.DUMMYFUNCTION("""COMPUTED_VALUE"""),0.6203966005665722)</f>
        <v>0.6203966006</v>
      </c>
      <c r="I650" s="11">
        <f>IFERROR(__xludf.DUMMYFUNCTION("""COMPUTED_VALUE"""),5434.70254957507)</f>
        <v>5434.70255</v>
      </c>
      <c r="J650" s="10">
        <f>IFERROR(__xludf.DUMMYFUNCTION("""COMPUTED_VALUE"""),1.0)</f>
        <v>1</v>
      </c>
      <c r="K650" s="5">
        <f>IFERROR(__xludf.DUMMYFUNCTION("""COMPUTED_VALUE"""),0.0030864197530864196)</f>
        <v>0.003086419753</v>
      </c>
      <c r="L650" s="10">
        <f>IFERROR(__xludf.DUMMYFUNCTION("""COMPUTED_VALUE"""),324.0)</f>
        <v>324</v>
      </c>
      <c r="M650" s="5">
        <f>IFERROR(__xludf.DUMMYFUNCTION("""COMPUTED_VALUE"""),1.0)</f>
        <v>1</v>
      </c>
    </row>
    <row r="651">
      <c r="A651" s="10" t="str">
        <f>IFERROR(__xludf.DUMMYFUNCTION("""COMPUTED_VALUE"""),"麺打ち職人GX")</f>
        <v>麺打ち職人GX</v>
      </c>
      <c r="B651" s="10">
        <f>IFERROR(__xludf.DUMMYFUNCTION("""COMPUTED_VALUE"""),132.0)</f>
        <v>132</v>
      </c>
      <c r="C651" s="10">
        <f>IFERROR(__xludf.DUMMYFUNCTION("""COMPUTED_VALUE"""),1521.0)</f>
        <v>1521</v>
      </c>
      <c r="D651" s="5">
        <f>IFERROR(__xludf.DUMMYFUNCTION("""COMPUTED_VALUE"""),0.2836573074154068)</f>
        <v>0.2836573074</v>
      </c>
      <c r="E651" s="5">
        <f>IFERROR(__xludf.DUMMYFUNCTION("""COMPUTED_VALUE"""),0.14542836573074155)</f>
        <v>0.1454283657</v>
      </c>
      <c r="F651" s="5">
        <f>IFERROR(__xludf.DUMMYFUNCTION("""COMPUTED_VALUE"""),0.19222462203023757)</f>
        <v>0.192224622</v>
      </c>
      <c r="G651" s="5">
        <f>IFERROR(__xludf.DUMMYFUNCTION("""COMPUTED_VALUE"""),0.18070554355651547)</f>
        <v>0.1807055436</v>
      </c>
      <c r="H651" s="5">
        <f>IFERROR(__xludf.DUMMYFUNCTION("""COMPUTED_VALUE"""),0.5617977528089888)</f>
        <v>0.5617977528</v>
      </c>
      <c r="I651" s="11">
        <f>IFERROR(__xludf.DUMMYFUNCTION("""COMPUTED_VALUE"""),5829.9625468164795)</f>
        <v>5829.962547</v>
      </c>
      <c r="J651" s="10">
        <f>IFERROR(__xludf.DUMMYFUNCTION("""COMPUTED_VALUE"""),0.0)</f>
        <v>0</v>
      </c>
      <c r="K651" s="5">
        <f>IFERROR(__xludf.DUMMYFUNCTION("""COMPUTED_VALUE"""),0.0)</f>
        <v>0</v>
      </c>
      <c r="L651" s="10">
        <f>IFERROR(__xludf.DUMMYFUNCTION("""COMPUTED_VALUE"""),132.0)</f>
        <v>132</v>
      </c>
      <c r="M651" s="5">
        <f>IFERROR(__xludf.DUMMYFUNCTION("""COMPUTED_VALUE"""),1.0)</f>
        <v>1</v>
      </c>
    </row>
    <row r="652">
      <c r="A652" s="10" t="str">
        <f>IFERROR(__xludf.DUMMYFUNCTION("""COMPUTED_VALUE"""),"康彦")</f>
        <v>康彦</v>
      </c>
      <c r="B652" s="10">
        <f>IFERROR(__xludf.DUMMYFUNCTION("""COMPUTED_VALUE"""),250.0)</f>
        <v>250</v>
      </c>
      <c r="C652" s="10">
        <f>IFERROR(__xludf.DUMMYFUNCTION("""COMPUTED_VALUE"""),2919.0)</f>
        <v>2919</v>
      </c>
      <c r="D652" s="5">
        <f>IFERROR(__xludf.DUMMYFUNCTION("""COMPUTED_VALUE"""),0.23904083926564257)</f>
        <v>0.2390408393</v>
      </c>
      <c r="E652" s="5">
        <f>IFERROR(__xludf.DUMMYFUNCTION("""COMPUTED_VALUE"""),0.14537279880104909)</f>
        <v>0.1453727988</v>
      </c>
      <c r="F652" s="5">
        <f>IFERROR(__xludf.DUMMYFUNCTION("""COMPUTED_VALUE"""),0.20494567253653054)</f>
        <v>0.2049456725</v>
      </c>
      <c r="G652" s="5">
        <f>IFERROR(__xludf.DUMMYFUNCTION("""COMPUTED_VALUE"""),0.21955788684900712)</f>
        <v>0.2195578868</v>
      </c>
      <c r="H652" s="5">
        <f>IFERROR(__xludf.DUMMYFUNCTION("""COMPUTED_VALUE"""),0.5996343692870201)</f>
        <v>0.5996343693</v>
      </c>
      <c r="I652" s="11">
        <f>IFERROR(__xludf.DUMMYFUNCTION("""COMPUTED_VALUE"""),6413.345521023766)</f>
        <v>6413.345521</v>
      </c>
      <c r="J652" s="10">
        <f>IFERROR(__xludf.DUMMYFUNCTION("""COMPUTED_VALUE"""),1.0)</f>
        <v>1</v>
      </c>
      <c r="K652" s="5">
        <f>IFERROR(__xludf.DUMMYFUNCTION("""COMPUTED_VALUE"""),0.004)</f>
        <v>0.004</v>
      </c>
      <c r="L652" s="10">
        <f>IFERROR(__xludf.DUMMYFUNCTION("""COMPUTED_VALUE"""),0.0)</f>
        <v>0</v>
      </c>
      <c r="M652" s="5">
        <f>IFERROR(__xludf.DUMMYFUNCTION("""COMPUTED_VALUE"""),0.0)</f>
        <v>0</v>
      </c>
    </row>
    <row r="653">
      <c r="A653" s="10" t="str">
        <f>IFERROR(__xludf.DUMMYFUNCTION("""COMPUTED_VALUE"""),"nekoneko")</f>
        <v>nekoneko</v>
      </c>
      <c r="B653" s="10">
        <f>IFERROR(__xludf.DUMMYFUNCTION("""COMPUTED_VALUE"""),488.0)</f>
        <v>488</v>
      </c>
      <c r="C653" s="10">
        <f>IFERROR(__xludf.DUMMYFUNCTION("""COMPUTED_VALUE"""),5627.0)</f>
        <v>5627</v>
      </c>
      <c r="D653" s="5">
        <f>IFERROR(__xludf.DUMMYFUNCTION("""COMPUTED_VALUE"""),0.3123175715119673)</f>
        <v>0.3123175715</v>
      </c>
      <c r="E653" s="5">
        <f>IFERROR(__xludf.DUMMYFUNCTION("""COMPUTED_VALUE"""),0.14535901926444833)</f>
        <v>0.1453590193</v>
      </c>
      <c r="F653" s="5">
        <f>IFERROR(__xludf.DUMMYFUNCTION("""COMPUTED_VALUE"""),0.21346565479665305)</f>
        <v>0.2134656548</v>
      </c>
      <c r="G653" s="5">
        <f>IFERROR(__xludf.DUMMYFUNCTION("""COMPUTED_VALUE"""),0.1560614905623662)</f>
        <v>0.1560614906</v>
      </c>
      <c r="H653" s="5">
        <f>IFERROR(__xludf.DUMMYFUNCTION("""COMPUTED_VALUE"""),0.6080218778486782)</f>
        <v>0.6080218778</v>
      </c>
      <c r="I653" s="11">
        <f>IFERROR(__xludf.DUMMYFUNCTION("""COMPUTED_VALUE"""),5866.727438468551)</f>
        <v>5866.727438</v>
      </c>
      <c r="J653" s="10">
        <f>IFERROR(__xludf.DUMMYFUNCTION("""COMPUTED_VALUE"""),0.0)</f>
        <v>0</v>
      </c>
      <c r="K653" s="5">
        <f>IFERROR(__xludf.DUMMYFUNCTION("""COMPUTED_VALUE"""),0.0)</f>
        <v>0</v>
      </c>
      <c r="L653" s="10">
        <f>IFERROR(__xludf.DUMMYFUNCTION("""COMPUTED_VALUE"""),488.0)</f>
        <v>488</v>
      </c>
      <c r="M653" s="5">
        <f>IFERROR(__xludf.DUMMYFUNCTION("""COMPUTED_VALUE"""),1.0)</f>
        <v>1</v>
      </c>
    </row>
    <row r="654">
      <c r="A654" s="10" t="str">
        <f>IFERROR(__xludf.DUMMYFUNCTION("""COMPUTED_VALUE"""),"トゥルーデ")</f>
        <v>トゥルーデ</v>
      </c>
      <c r="B654" s="10">
        <f>IFERROR(__xludf.DUMMYFUNCTION("""COMPUTED_VALUE"""),425.0)</f>
        <v>425</v>
      </c>
      <c r="C654" s="10">
        <f>IFERROR(__xludf.DUMMYFUNCTION("""COMPUTED_VALUE"""),4938.0)</f>
        <v>4938</v>
      </c>
      <c r="D654" s="5">
        <f>IFERROR(__xludf.DUMMYFUNCTION("""COMPUTED_VALUE"""),0.4351872368712608)</f>
        <v>0.4351872369</v>
      </c>
      <c r="E654" s="5">
        <f>IFERROR(__xludf.DUMMYFUNCTION("""COMPUTED_VALUE"""),0.1453578550853091)</f>
        <v>0.1453578551</v>
      </c>
      <c r="F654" s="5">
        <f>IFERROR(__xludf.DUMMYFUNCTION("""COMPUTED_VALUE"""),0.23376911145579438)</f>
        <v>0.2337691115</v>
      </c>
      <c r="G654" s="5">
        <f>IFERROR(__xludf.DUMMYFUNCTION("""COMPUTED_VALUE"""),0.18812319964546864)</f>
        <v>0.1881231996</v>
      </c>
      <c r="H654" s="5">
        <f>IFERROR(__xludf.DUMMYFUNCTION("""COMPUTED_VALUE"""),0.5971563981042654)</f>
        <v>0.5971563981</v>
      </c>
      <c r="I654" s="11">
        <f>IFERROR(__xludf.DUMMYFUNCTION("""COMPUTED_VALUE"""),5372.132701421801)</f>
        <v>5372.132701</v>
      </c>
      <c r="J654" s="10">
        <f>IFERROR(__xludf.DUMMYFUNCTION("""COMPUTED_VALUE"""),0.0)</f>
        <v>0</v>
      </c>
      <c r="K654" s="5">
        <f>IFERROR(__xludf.DUMMYFUNCTION("""COMPUTED_VALUE"""),0.0)</f>
        <v>0</v>
      </c>
      <c r="L654" s="10">
        <f>IFERROR(__xludf.DUMMYFUNCTION("""COMPUTED_VALUE"""),0.0)</f>
        <v>0</v>
      </c>
      <c r="M654" s="5">
        <f>IFERROR(__xludf.DUMMYFUNCTION("""COMPUTED_VALUE"""),0.0)</f>
        <v>0</v>
      </c>
    </row>
    <row r="655">
      <c r="A655" s="10" t="str">
        <f>IFERROR(__xludf.DUMMYFUNCTION("""COMPUTED_VALUE"""),"ダレガノン")</f>
        <v>ダレガノン</v>
      </c>
      <c r="B655" s="10">
        <f>IFERROR(__xludf.DUMMYFUNCTION("""COMPUTED_VALUE"""),102.0)</f>
        <v>102</v>
      </c>
      <c r="C655" s="10">
        <f>IFERROR(__xludf.DUMMYFUNCTION("""COMPUTED_VALUE"""),1196.0)</f>
        <v>1196</v>
      </c>
      <c r="D655" s="5">
        <f>IFERROR(__xludf.DUMMYFUNCTION("""COMPUTED_VALUE"""),0.2943327239488117)</f>
        <v>0.2943327239</v>
      </c>
      <c r="E655" s="5">
        <f>IFERROR(__xludf.DUMMYFUNCTION("""COMPUTED_VALUE"""),0.1453382084095064)</f>
        <v>0.1453382084</v>
      </c>
      <c r="F655" s="5">
        <f>IFERROR(__xludf.DUMMYFUNCTION("""COMPUTED_VALUE"""),0.20749542961608775)</f>
        <v>0.2074954296</v>
      </c>
      <c r="G655" s="5">
        <f>IFERROR(__xludf.DUMMYFUNCTION("""COMPUTED_VALUE"""),0.20658135283363802)</f>
        <v>0.2065813528</v>
      </c>
      <c r="H655" s="5">
        <f>IFERROR(__xludf.DUMMYFUNCTION("""COMPUTED_VALUE"""),0.5814977973568282)</f>
        <v>0.5814977974</v>
      </c>
      <c r="I655" s="11">
        <f>IFERROR(__xludf.DUMMYFUNCTION("""COMPUTED_VALUE"""),5818.942731277533)</f>
        <v>5818.942731</v>
      </c>
      <c r="J655" s="10">
        <f>IFERROR(__xludf.DUMMYFUNCTION("""COMPUTED_VALUE"""),0.0)</f>
        <v>0</v>
      </c>
      <c r="K655" s="5">
        <f>IFERROR(__xludf.DUMMYFUNCTION("""COMPUTED_VALUE"""),0.0)</f>
        <v>0</v>
      </c>
      <c r="L655" s="10">
        <f>IFERROR(__xludf.DUMMYFUNCTION("""COMPUTED_VALUE"""),102.0)</f>
        <v>102</v>
      </c>
      <c r="M655" s="5">
        <f>IFERROR(__xludf.DUMMYFUNCTION("""COMPUTED_VALUE"""),1.0)</f>
        <v>1</v>
      </c>
    </row>
    <row r="656">
      <c r="A656" s="10" t="str">
        <f>IFERROR(__xludf.DUMMYFUNCTION("""COMPUTED_VALUE"""),"めるみるん")</f>
        <v>めるみるん</v>
      </c>
      <c r="B656" s="10">
        <f>IFERROR(__xludf.DUMMYFUNCTION("""COMPUTED_VALUE"""),132.0)</f>
        <v>132</v>
      </c>
      <c r="C656" s="10">
        <f>IFERROR(__xludf.DUMMYFUNCTION("""COMPUTED_VALUE"""),1515.0)</f>
        <v>1515</v>
      </c>
      <c r="D656" s="5">
        <f>IFERROR(__xludf.DUMMYFUNCTION("""COMPUTED_VALUE"""),0.33116413593637023)</f>
        <v>0.3311641359</v>
      </c>
      <c r="E656" s="5">
        <f>IFERROR(__xludf.DUMMYFUNCTION("""COMPUTED_VALUE"""),0.14533622559652928)</f>
        <v>0.1453362256</v>
      </c>
      <c r="F656" s="5">
        <f>IFERROR(__xludf.DUMMYFUNCTION("""COMPUTED_VALUE"""),0.2017353579175705)</f>
        <v>0.2017353579</v>
      </c>
      <c r="G656" s="5">
        <f>IFERROR(__xludf.DUMMYFUNCTION("""COMPUTED_VALUE"""),0.16919739696312364)</f>
        <v>0.169197397</v>
      </c>
      <c r="H656" s="5">
        <f>IFERROR(__xludf.DUMMYFUNCTION("""COMPUTED_VALUE"""),0.5913978494623656)</f>
        <v>0.5913978495</v>
      </c>
      <c r="I656" s="11">
        <f>IFERROR(__xludf.DUMMYFUNCTION("""COMPUTED_VALUE"""),5694.982078853047)</f>
        <v>5694.982079</v>
      </c>
      <c r="J656" s="10">
        <f>IFERROR(__xludf.DUMMYFUNCTION("""COMPUTED_VALUE"""),0.0)</f>
        <v>0</v>
      </c>
      <c r="K656" s="5">
        <f>IFERROR(__xludf.DUMMYFUNCTION("""COMPUTED_VALUE"""),0.0)</f>
        <v>0</v>
      </c>
      <c r="L656" s="10">
        <f>IFERROR(__xludf.DUMMYFUNCTION("""COMPUTED_VALUE"""),132.0)</f>
        <v>132</v>
      </c>
      <c r="M656" s="5">
        <f>IFERROR(__xludf.DUMMYFUNCTION("""COMPUTED_VALUE"""),1.0)</f>
        <v>1</v>
      </c>
    </row>
    <row r="657">
      <c r="A657" s="10" t="str">
        <f>IFERROR(__xludf.DUMMYFUNCTION("""COMPUTED_VALUE"""),"とーやん")</f>
        <v>とーやん</v>
      </c>
      <c r="B657" s="10">
        <f>IFERROR(__xludf.DUMMYFUNCTION("""COMPUTED_VALUE"""),1555.0)</f>
        <v>1555</v>
      </c>
      <c r="C657" s="10">
        <f>IFERROR(__xludf.DUMMYFUNCTION("""COMPUTED_VALUE"""),18145.0)</f>
        <v>18145</v>
      </c>
      <c r="D657" s="5">
        <f>IFERROR(__xludf.DUMMYFUNCTION("""COMPUTED_VALUE"""),0.3107293550331525)</f>
        <v>0.310729355</v>
      </c>
      <c r="E657" s="5">
        <f>IFERROR(__xludf.DUMMYFUNCTION("""COMPUTED_VALUE"""),0.14532851115129597)</f>
        <v>0.1453285112</v>
      </c>
      <c r="F657" s="5">
        <f>IFERROR(__xludf.DUMMYFUNCTION("""COMPUTED_VALUE"""),0.22176009644364075)</f>
        <v>0.2217600964</v>
      </c>
      <c r="G657" s="5">
        <f>IFERROR(__xludf.DUMMYFUNCTION("""COMPUTED_VALUE"""),0.15033152501506933)</f>
        <v>0.150331525</v>
      </c>
      <c r="H657" s="5">
        <f>IFERROR(__xludf.DUMMYFUNCTION("""COMPUTED_VALUE"""),0.6034248437075292)</f>
        <v>0.6034248437</v>
      </c>
      <c r="I657" s="11">
        <f>IFERROR(__xludf.DUMMYFUNCTION("""COMPUTED_VALUE"""),5656.047839086708)</f>
        <v>5656.047839</v>
      </c>
      <c r="J657" s="10">
        <f>IFERROR(__xludf.DUMMYFUNCTION("""COMPUTED_VALUE"""),2.0)</f>
        <v>2</v>
      </c>
      <c r="K657" s="5">
        <f>IFERROR(__xludf.DUMMYFUNCTION("""COMPUTED_VALUE"""),0.0012861736334405145)</f>
        <v>0.001286173633</v>
      </c>
      <c r="L657" s="10">
        <f>IFERROR(__xludf.DUMMYFUNCTION("""COMPUTED_VALUE"""),1555.0)</f>
        <v>1555</v>
      </c>
      <c r="M657" s="5">
        <f>IFERROR(__xludf.DUMMYFUNCTION("""COMPUTED_VALUE"""),1.0)</f>
        <v>1</v>
      </c>
    </row>
    <row r="658">
      <c r="A658" s="10" t="str">
        <f>IFERROR(__xludf.DUMMYFUNCTION("""COMPUTED_VALUE"""),"東山奈央@プベ組")</f>
        <v>東山奈央@プベ組</v>
      </c>
      <c r="B658" s="10">
        <f>IFERROR(__xludf.DUMMYFUNCTION("""COMPUTED_VALUE"""),374.0)</f>
        <v>374</v>
      </c>
      <c r="C658" s="10">
        <f>IFERROR(__xludf.DUMMYFUNCTION("""COMPUTED_VALUE"""),4386.0)</f>
        <v>4386</v>
      </c>
      <c r="D658" s="5">
        <f>IFERROR(__xludf.DUMMYFUNCTION("""COMPUTED_VALUE"""),0.30483549351944167)</f>
        <v>0.3048354935</v>
      </c>
      <c r="E658" s="5">
        <f>IFERROR(__xludf.DUMMYFUNCTION("""COMPUTED_VALUE"""),0.14531405782652043)</f>
        <v>0.1453140578</v>
      </c>
      <c r="F658" s="5">
        <f>IFERROR(__xludf.DUMMYFUNCTION("""COMPUTED_VALUE"""),0.19666001994017945)</f>
        <v>0.1966600199</v>
      </c>
      <c r="G658" s="5">
        <f>IFERROR(__xludf.DUMMYFUNCTION("""COMPUTED_VALUE"""),0.19441674975074777)</f>
        <v>0.1944167498</v>
      </c>
      <c r="H658" s="5">
        <f>IFERROR(__xludf.DUMMYFUNCTION("""COMPUTED_VALUE"""),0.6096324461343473)</f>
        <v>0.6096324461</v>
      </c>
      <c r="I658" s="11">
        <f>IFERROR(__xludf.DUMMYFUNCTION("""COMPUTED_VALUE"""),6192.648922686945)</f>
        <v>6192.648923</v>
      </c>
      <c r="J658" s="10">
        <f>IFERROR(__xludf.DUMMYFUNCTION("""COMPUTED_VALUE"""),4.0)</f>
        <v>4</v>
      </c>
      <c r="K658" s="5">
        <f>IFERROR(__xludf.DUMMYFUNCTION("""COMPUTED_VALUE"""),0.0106951871657754)</f>
        <v>0.01069518717</v>
      </c>
      <c r="L658" s="10">
        <f>IFERROR(__xludf.DUMMYFUNCTION("""COMPUTED_VALUE"""),0.0)</f>
        <v>0</v>
      </c>
      <c r="M658" s="5">
        <f>IFERROR(__xludf.DUMMYFUNCTION("""COMPUTED_VALUE"""),0.0)</f>
        <v>0</v>
      </c>
    </row>
    <row r="659">
      <c r="A659" s="10" t="str">
        <f>IFERROR(__xludf.DUMMYFUNCTION("""COMPUTED_VALUE"""),"D13")</f>
        <v>D13</v>
      </c>
      <c r="B659" s="10">
        <f>IFERROR(__xludf.DUMMYFUNCTION("""COMPUTED_VALUE"""),379.0)</f>
        <v>379</v>
      </c>
      <c r="C659" s="10">
        <f>IFERROR(__xludf.DUMMYFUNCTION("""COMPUTED_VALUE"""),4398.0)</f>
        <v>4398</v>
      </c>
      <c r="D659" s="5">
        <f>IFERROR(__xludf.DUMMYFUNCTION("""COMPUTED_VALUE"""),0.3996018910176661)</f>
        <v>0.399601891</v>
      </c>
      <c r="E659" s="5">
        <f>IFERROR(__xludf.DUMMYFUNCTION("""COMPUTED_VALUE"""),0.14530977855187857)</f>
        <v>0.1453097786</v>
      </c>
      <c r="F659" s="5">
        <f>IFERROR(__xludf.DUMMYFUNCTION("""COMPUTED_VALUE"""),0.20676785269967654)</f>
        <v>0.2067678527</v>
      </c>
      <c r="G659" s="5">
        <f>IFERROR(__xludf.DUMMYFUNCTION("""COMPUTED_VALUE"""),0.18387658621547648)</f>
        <v>0.1838765862</v>
      </c>
      <c r="H659" s="5">
        <f>IFERROR(__xludf.DUMMYFUNCTION("""COMPUTED_VALUE"""),0.6209386281588448)</f>
        <v>0.6209386282</v>
      </c>
      <c r="I659" s="11">
        <f>IFERROR(__xludf.DUMMYFUNCTION("""COMPUTED_VALUE"""),5688.92900120337)</f>
        <v>5688.929001</v>
      </c>
      <c r="J659" s="10">
        <f>IFERROR(__xludf.DUMMYFUNCTION("""COMPUTED_VALUE"""),0.0)</f>
        <v>0</v>
      </c>
      <c r="K659" s="5">
        <f>IFERROR(__xludf.DUMMYFUNCTION("""COMPUTED_VALUE"""),0.0)</f>
        <v>0</v>
      </c>
      <c r="L659" s="10">
        <f>IFERROR(__xludf.DUMMYFUNCTION("""COMPUTED_VALUE"""),379.0)</f>
        <v>379</v>
      </c>
      <c r="M659" s="5">
        <f>IFERROR(__xludf.DUMMYFUNCTION("""COMPUTED_VALUE"""),1.0)</f>
        <v>1</v>
      </c>
    </row>
    <row r="660">
      <c r="A660" s="10" t="str">
        <f>IFERROR(__xludf.DUMMYFUNCTION("""COMPUTED_VALUE"""),":Duca:")</f>
        <v>:Duca:</v>
      </c>
      <c r="B660" s="10">
        <f>IFERROR(__xludf.DUMMYFUNCTION("""COMPUTED_VALUE"""),2062.0)</f>
        <v>2062</v>
      </c>
      <c r="C660" s="10">
        <f>IFERROR(__xludf.DUMMYFUNCTION("""COMPUTED_VALUE"""),24013.0)</f>
        <v>24013</v>
      </c>
      <c r="D660" s="5">
        <f>IFERROR(__xludf.DUMMYFUNCTION("""COMPUTED_VALUE"""),0.3695048061591727)</f>
        <v>0.3695048062</v>
      </c>
      <c r="E660" s="5">
        <f>IFERROR(__xludf.DUMMYFUNCTION("""COMPUTED_VALUE"""),0.14527811944786115)</f>
        <v>0.1452781194</v>
      </c>
      <c r="F660" s="5">
        <f>IFERROR(__xludf.DUMMYFUNCTION("""COMPUTED_VALUE"""),0.22094665391098356)</f>
        <v>0.2209466539</v>
      </c>
      <c r="G660" s="5">
        <f>IFERROR(__xludf.DUMMYFUNCTION("""COMPUTED_VALUE"""),0.19543528768621019)</f>
        <v>0.1954352877</v>
      </c>
      <c r="H660" s="5">
        <f>IFERROR(__xludf.DUMMYFUNCTION("""COMPUTED_VALUE"""),0.589278350515464)</f>
        <v>0.5892783505</v>
      </c>
      <c r="I660" s="11">
        <f>IFERROR(__xludf.DUMMYFUNCTION("""COMPUTED_VALUE"""),5463.649484536082)</f>
        <v>5463.649485</v>
      </c>
      <c r="J660" s="10">
        <f>IFERROR(__xludf.DUMMYFUNCTION("""COMPUTED_VALUE"""),8.0)</f>
        <v>8</v>
      </c>
      <c r="K660" s="5">
        <f>IFERROR(__xludf.DUMMYFUNCTION("""COMPUTED_VALUE"""),0.0038797284190106693)</f>
        <v>0.003879728419</v>
      </c>
      <c r="L660" s="10">
        <f>IFERROR(__xludf.DUMMYFUNCTION("""COMPUTED_VALUE"""),1957.0)</f>
        <v>1957</v>
      </c>
      <c r="M660" s="5">
        <f>IFERROR(__xludf.DUMMYFUNCTION("""COMPUTED_VALUE"""),0.949078564500485)</f>
        <v>0.9490785645</v>
      </c>
    </row>
    <row r="661">
      <c r="A661" s="10" t="str">
        <f>IFERROR(__xludf.DUMMYFUNCTION("""COMPUTED_VALUE"""),"兀")</f>
        <v>兀</v>
      </c>
      <c r="B661" s="10">
        <f>IFERROR(__xludf.DUMMYFUNCTION("""COMPUTED_VALUE"""),117.0)</f>
        <v>117</v>
      </c>
      <c r="C661" s="10">
        <f>IFERROR(__xludf.DUMMYFUNCTION("""COMPUTED_VALUE"""),1301.0)</f>
        <v>1301</v>
      </c>
      <c r="D661" s="5">
        <f>IFERROR(__xludf.DUMMYFUNCTION("""COMPUTED_VALUE"""),0.2998310810810811)</f>
        <v>0.2998310811</v>
      </c>
      <c r="E661" s="5">
        <f>IFERROR(__xludf.DUMMYFUNCTION("""COMPUTED_VALUE"""),0.14527027027027026)</f>
        <v>0.1452702703</v>
      </c>
      <c r="F661" s="5">
        <f>IFERROR(__xludf.DUMMYFUNCTION("""COMPUTED_VALUE"""),0.23057432432432431)</f>
        <v>0.2305743243</v>
      </c>
      <c r="G661" s="5">
        <f>IFERROR(__xludf.DUMMYFUNCTION("""COMPUTED_VALUE"""),0.13851351351351351)</f>
        <v>0.1385135135</v>
      </c>
      <c r="H661" s="5">
        <f>IFERROR(__xludf.DUMMYFUNCTION("""COMPUTED_VALUE"""),0.6227106227106227)</f>
        <v>0.6227106227</v>
      </c>
      <c r="I661" s="11">
        <f>IFERROR(__xludf.DUMMYFUNCTION("""COMPUTED_VALUE"""),5158.608058608059)</f>
        <v>5158.608059</v>
      </c>
      <c r="J661" s="10">
        <f>IFERROR(__xludf.DUMMYFUNCTION("""COMPUTED_VALUE"""),0.0)</f>
        <v>0</v>
      </c>
      <c r="K661" s="5">
        <f>IFERROR(__xludf.DUMMYFUNCTION("""COMPUTED_VALUE"""),0.0)</f>
        <v>0</v>
      </c>
      <c r="L661" s="10">
        <f>IFERROR(__xludf.DUMMYFUNCTION("""COMPUTED_VALUE"""),117.0)</f>
        <v>117</v>
      </c>
      <c r="M661" s="5">
        <f>IFERROR(__xludf.DUMMYFUNCTION("""COMPUTED_VALUE"""),1.0)</f>
        <v>1</v>
      </c>
    </row>
    <row r="662">
      <c r="A662" s="10" t="str">
        <f>IFERROR(__xludf.DUMMYFUNCTION("""COMPUTED_VALUE"""),"なごっしー")</f>
        <v>なごっしー</v>
      </c>
      <c r="B662" s="10">
        <f>IFERROR(__xludf.DUMMYFUNCTION("""COMPUTED_VALUE"""),300.0)</f>
        <v>300</v>
      </c>
      <c r="C662" s="10">
        <f>IFERROR(__xludf.DUMMYFUNCTION("""COMPUTED_VALUE"""),3481.0)</f>
        <v>3481</v>
      </c>
      <c r="D662" s="5">
        <f>IFERROR(__xludf.DUMMYFUNCTION("""COMPUTED_VALUE"""),0.3640364665199623)</f>
        <v>0.3640364665</v>
      </c>
      <c r="E662" s="5">
        <f>IFERROR(__xludf.DUMMYFUNCTION("""COMPUTED_VALUE"""),0.1452373467463062)</f>
        <v>0.1452373467</v>
      </c>
      <c r="F662" s="5">
        <f>IFERROR(__xludf.DUMMYFUNCTION("""COMPUTED_VALUE"""),0.2118830556428796)</f>
        <v>0.2118830556</v>
      </c>
      <c r="G662" s="5">
        <f>IFERROR(__xludf.DUMMYFUNCTION("""COMPUTED_VALUE"""),0.16127004086765168)</f>
        <v>0.1612700409</v>
      </c>
      <c r="H662" s="5">
        <f>IFERROR(__xludf.DUMMYFUNCTION("""COMPUTED_VALUE"""),0.6246290801186943)</f>
        <v>0.6246290801</v>
      </c>
      <c r="I662" s="11">
        <f>IFERROR(__xludf.DUMMYFUNCTION("""COMPUTED_VALUE"""),5737.091988130564)</f>
        <v>5737.091988</v>
      </c>
      <c r="J662" s="10">
        <f>IFERROR(__xludf.DUMMYFUNCTION("""COMPUTED_VALUE"""),1.0)</f>
        <v>1</v>
      </c>
      <c r="K662" s="5">
        <f>IFERROR(__xludf.DUMMYFUNCTION("""COMPUTED_VALUE"""),0.0033333333333333335)</f>
        <v>0.003333333333</v>
      </c>
      <c r="L662" s="10">
        <f>IFERROR(__xludf.DUMMYFUNCTION("""COMPUTED_VALUE"""),300.0)</f>
        <v>300</v>
      </c>
      <c r="M662" s="5">
        <f>IFERROR(__xludf.DUMMYFUNCTION("""COMPUTED_VALUE"""),1.0)</f>
        <v>1</v>
      </c>
    </row>
    <row r="663">
      <c r="A663" s="10" t="str">
        <f>IFERROR(__xludf.DUMMYFUNCTION("""COMPUTED_VALUE"""),"NWC")</f>
        <v>NWC</v>
      </c>
      <c r="B663" s="10">
        <f>IFERROR(__xludf.DUMMYFUNCTION("""COMPUTED_VALUE"""),299.0)</f>
        <v>299</v>
      </c>
      <c r="C663" s="10">
        <f>IFERROR(__xludf.DUMMYFUNCTION("""COMPUTED_VALUE"""),3487.0)</f>
        <v>3487</v>
      </c>
      <c r="D663" s="5">
        <f>IFERROR(__xludf.DUMMYFUNCTION("""COMPUTED_VALUE"""),0.33626097867001253)</f>
        <v>0.3362609787</v>
      </c>
      <c r="E663" s="5">
        <f>IFERROR(__xludf.DUMMYFUNCTION("""COMPUTED_VALUE"""),0.14523212045169384)</f>
        <v>0.1452321205</v>
      </c>
      <c r="F663" s="5">
        <f>IFERROR(__xludf.DUMMYFUNCTION("""COMPUTED_VALUE"""),0.20765370138017566)</f>
        <v>0.2076537014</v>
      </c>
      <c r="G663" s="5">
        <f>IFERROR(__xludf.DUMMYFUNCTION("""COMPUTED_VALUE"""),0.17032622333751568)</f>
        <v>0.1703262233</v>
      </c>
      <c r="H663" s="5">
        <f>IFERROR(__xludf.DUMMYFUNCTION("""COMPUTED_VALUE"""),0.6102719033232629)</f>
        <v>0.6102719033</v>
      </c>
      <c r="I663" s="11">
        <f>IFERROR(__xludf.DUMMYFUNCTION("""COMPUTED_VALUE"""),5598.489425981873)</f>
        <v>5598.489426</v>
      </c>
      <c r="J663" s="10">
        <f>IFERROR(__xludf.DUMMYFUNCTION("""COMPUTED_VALUE"""),2.0)</f>
        <v>2</v>
      </c>
      <c r="K663" s="5">
        <f>IFERROR(__xludf.DUMMYFUNCTION("""COMPUTED_VALUE"""),0.006688963210702341)</f>
        <v>0.006688963211</v>
      </c>
      <c r="L663" s="10">
        <f>IFERROR(__xludf.DUMMYFUNCTION("""COMPUTED_VALUE"""),299.0)</f>
        <v>299</v>
      </c>
      <c r="M663" s="5">
        <f>IFERROR(__xludf.DUMMYFUNCTION("""COMPUTED_VALUE"""),1.0)</f>
        <v>1</v>
      </c>
    </row>
    <row r="664">
      <c r="A664" s="10" t="str">
        <f>IFERROR(__xludf.DUMMYFUNCTION("""COMPUTED_VALUE"""),"Nodata")</f>
        <v>Nodata</v>
      </c>
      <c r="B664" s="10">
        <f>IFERROR(__xludf.DUMMYFUNCTION("""COMPUTED_VALUE"""),440.0)</f>
        <v>440</v>
      </c>
      <c r="C664" s="10">
        <f>IFERROR(__xludf.DUMMYFUNCTION("""COMPUTED_VALUE"""),5219.0)</f>
        <v>5219</v>
      </c>
      <c r="D664" s="5">
        <f>IFERROR(__xludf.DUMMYFUNCTION("""COMPUTED_VALUE"""),0.3789495710399665)</f>
        <v>0.378949571</v>
      </c>
      <c r="E664" s="5">
        <f>IFERROR(__xludf.DUMMYFUNCTION("""COMPUTED_VALUE"""),0.1452186649926763)</f>
        <v>0.145218665</v>
      </c>
      <c r="F664" s="5">
        <f>IFERROR(__xludf.DUMMYFUNCTION("""COMPUTED_VALUE"""),0.22117597823812513)</f>
        <v>0.2211759782</v>
      </c>
      <c r="G664" s="5">
        <f>IFERROR(__xludf.DUMMYFUNCTION("""COMPUTED_VALUE"""),0.15589035363046663)</f>
        <v>0.1558903536</v>
      </c>
      <c r="H664" s="5">
        <f>IFERROR(__xludf.DUMMYFUNCTION("""COMPUTED_VALUE"""),0.6461684011352885)</f>
        <v>0.6461684011</v>
      </c>
      <c r="I664" s="11">
        <f>IFERROR(__xludf.DUMMYFUNCTION("""COMPUTED_VALUE"""),5867.076631977294)</f>
        <v>5867.076632</v>
      </c>
      <c r="J664" s="10">
        <f>IFERROR(__xludf.DUMMYFUNCTION("""COMPUTED_VALUE"""),1.0)</f>
        <v>1</v>
      </c>
      <c r="K664" s="5">
        <f>IFERROR(__xludf.DUMMYFUNCTION("""COMPUTED_VALUE"""),0.0022727272727272726)</f>
        <v>0.002272727273</v>
      </c>
      <c r="L664" s="10">
        <f>IFERROR(__xludf.DUMMYFUNCTION("""COMPUTED_VALUE"""),233.0)</f>
        <v>233</v>
      </c>
      <c r="M664" s="5">
        <f>IFERROR(__xludf.DUMMYFUNCTION("""COMPUTED_VALUE"""),0.5295454545454545)</f>
        <v>0.5295454545</v>
      </c>
    </row>
    <row r="665">
      <c r="A665" s="10" t="str">
        <f>IFERROR(__xludf.DUMMYFUNCTION("""COMPUTED_VALUE"""),"ちnK")</f>
        <v>ちnK</v>
      </c>
      <c r="B665" s="10">
        <f>IFERROR(__xludf.DUMMYFUNCTION("""COMPUTED_VALUE"""),113.0)</f>
        <v>113</v>
      </c>
      <c r="C665" s="10">
        <f>IFERROR(__xludf.DUMMYFUNCTION("""COMPUTED_VALUE"""),1325.0)</f>
        <v>1325</v>
      </c>
      <c r="D665" s="5">
        <f>IFERROR(__xludf.DUMMYFUNCTION("""COMPUTED_VALUE"""),0.38366336633663367)</f>
        <v>0.3836633663</v>
      </c>
      <c r="E665" s="5">
        <f>IFERROR(__xludf.DUMMYFUNCTION("""COMPUTED_VALUE"""),0.14521452145214522)</f>
        <v>0.1452145215</v>
      </c>
      <c r="F665" s="5">
        <f>IFERROR(__xludf.DUMMYFUNCTION("""COMPUTED_VALUE"""),0.19966996699669967)</f>
        <v>0.199669967</v>
      </c>
      <c r="G665" s="5">
        <f>IFERROR(__xludf.DUMMYFUNCTION("""COMPUTED_VALUE"""),0.20462046204620463)</f>
        <v>0.204620462</v>
      </c>
      <c r="H665" s="5">
        <f>IFERROR(__xludf.DUMMYFUNCTION("""COMPUTED_VALUE"""),0.5950413223140496)</f>
        <v>0.5950413223</v>
      </c>
      <c r="I665" s="11">
        <f>IFERROR(__xludf.DUMMYFUNCTION("""COMPUTED_VALUE"""),5798.347107438017)</f>
        <v>5798.347107</v>
      </c>
      <c r="J665" s="10">
        <f>IFERROR(__xludf.DUMMYFUNCTION("""COMPUTED_VALUE"""),1.0)</f>
        <v>1</v>
      </c>
      <c r="K665" s="5">
        <f>IFERROR(__xludf.DUMMYFUNCTION("""COMPUTED_VALUE"""),0.008849557522123894)</f>
        <v>0.008849557522</v>
      </c>
      <c r="L665" s="10">
        <f>IFERROR(__xludf.DUMMYFUNCTION("""COMPUTED_VALUE"""),0.0)</f>
        <v>0</v>
      </c>
      <c r="M665" s="5">
        <f>IFERROR(__xludf.DUMMYFUNCTION("""COMPUTED_VALUE"""),0.0)</f>
        <v>0</v>
      </c>
    </row>
    <row r="666">
      <c r="A666" s="10" t="str">
        <f>IFERROR(__xludf.DUMMYFUNCTION("""COMPUTED_VALUE"""),"酸欠少女さユり")</f>
        <v>酸欠少女さユり</v>
      </c>
      <c r="B666" s="10">
        <f>IFERROR(__xludf.DUMMYFUNCTION("""COMPUTED_VALUE"""),291.0)</f>
        <v>291</v>
      </c>
      <c r="C666" s="10">
        <f>IFERROR(__xludf.DUMMYFUNCTION("""COMPUTED_VALUE"""),3383.0)</f>
        <v>3383</v>
      </c>
      <c r="D666" s="5">
        <f>IFERROR(__xludf.DUMMYFUNCTION("""COMPUTED_VALUE"""),0.3670763260025873)</f>
        <v>0.367076326</v>
      </c>
      <c r="E666" s="5">
        <f>IFERROR(__xludf.DUMMYFUNCTION("""COMPUTED_VALUE"""),0.14521345407503233)</f>
        <v>0.1452134541</v>
      </c>
      <c r="F666" s="5">
        <f>IFERROR(__xludf.DUMMYFUNCTION("""COMPUTED_VALUE"""),0.21507115135834412)</f>
        <v>0.2150711514</v>
      </c>
      <c r="G666" s="5">
        <f>IFERROR(__xludf.DUMMYFUNCTION("""COMPUTED_VALUE"""),0.19340232858990944)</f>
        <v>0.1934023286</v>
      </c>
      <c r="H666" s="5">
        <f>IFERROR(__xludf.DUMMYFUNCTION("""COMPUTED_VALUE"""),0.5699248120300752)</f>
        <v>0.569924812</v>
      </c>
      <c r="I666" s="11">
        <f>IFERROR(__xludf.DUMMYFUNCTION("""COMPUTED_VALUE"""),5538.796992481203)</f>
        <v>5538.796992</v>
      </c>
      <c r="J666" s="10">
        <f>IFERROR(__xludf.DUMMYFUNCTION("""COMPUTED_VALUE"""),2.0)</f>
        <v>2</v>
      </c>
      <c r="K666" s="5">
        <f>IFERROR(__xludf.DUMMYFUNCTION("""COMPUTED_VALUE"""),0.006872852233676976)</f>
        <v>0.006872852234</v>
      </c>
      <c r="L666" s="10">
        <f>IFERROR(__xludf.DUMMYFUNCTION("""COMPUTED_VALUE"""),0.0)</f>
        <v>0</v>
      </c>
      <c r="M666" s="5">
        <f>IFERROR(__xludf.DUMMYFUNCTION("""COMPUTED_VALUE"""),0.0)</f>
        <v>0</v>
      </c>
    </row>
    <row r="667">
      <c r="A667" s="10" t="str">
        <f>IFERROR(__xludf.DUMMYFUNCTION("""COMPUTED_VALUE"""),"trietta")</f>
        <v>trietta</v>
      </c>
      <c r="B667" s="10">
        <f>IFERROR(__xludf.DUMMYFUNCTION("""COMPUTED_VALUE"""),1251.0)</f>
        <v>1251</v>
      </c>
      <c r="C667" s="10">
        <f>IFERROR(__xludf.DUMMYFUNCTION("""COMPUTED_VALUE"""),14336.0)</f>
        <v>14336</v>
      </c>
      <c r="D667" s="5">
        <f>IFERROR(__xludf.DUMMYFUNCTION("""COMPUTED_VALUE"""),0.41750095529231945)</f>
        <v>0.4175009553</v>
      </c>
      <c r="E667" s="5">
        <f>IFERROR(__xludf.DUMMYFUNCTION("""COMPUTED_VALUE"""),0.14520443255636226)</f>
        <v>0.1452044326</v>
      </c>
      <c r="F667" s="5">
        <f>IFERROR(__xludf.DUMMYFUNCTION("""COMPUTED_VALUE"""),0.22491402369124952)</f>
        <v>0.2249140237</v>
      </c>
      <c r="G667" s="5">
        <f>IFERROR(__xludf.DUMMYFUNCTION("""COMPUTED_VALUE"""),0.20183416125334352)</f>
        <v>0.2018341613</v>
      </c>
      <c r="H667" s="5">
        <f>IFERROR(__xludf.DUMMYFUNCTION("""COMPUTED_VALUE"""),0.6034658511722731)</f>
        <v>0.6034658512</v>
      </c>
      <c r="I667" s="11">
        <f>IFERROR(__xludf.DUMMYFUNCTION("""COMPUTED_VALUE"""),5703.227998640843)</f>
        <v>5703.227999</v>
      </c>
      <c r="J667" s="10">
        <f>IFERROR(__xludf.DUMMYFUNCTION("""COMPUTED_VALUE"""),1.0)</f>
        <v>1</v>
      </c>
      <c r="K667" s="5">
        <f>IFERROR(__xludf.DUMMYFUNCTION("""COMPUTED_VALUE"""),7.993605115907274E-4)</f>
        <v>0.0007993605116</v>
      </c>
      <c r="L667" s="10">
        <f>IFERROR(__xludf.DUMMYFUNCTION("""COMPUTED_VALUE"""),1251.0)</f>
        <v>1251</v>
      </c>
      <c r="M667" s="5">
        <f>IFERROR(__xludf.DUMMYFUNCTION("""COMPUTED_VALUE"""),1.0)</f>
        <v>1</v>
      </c>
    </row>
    <row r="668">
      <c r="A668" s="10" t="str">
        <f>IFERROR(__xludf.DUMMYFUNCTION("""COMPUTED_VALUE"""),"yjm")</f>
        <v>yjm</v>
      </c>
      <c r="B668" s="10">
        <f>IFERROR(__xludf.DUMMYFUNCTION("""COMPUTED_VALUE"""),105.0)</f>
        <v>105</v>
      </c>
      <c r="C668" s="10">
        <f>IFERROR(__xludf.DUMMYFUNCTION("""COMPUTED_VALUE"""),1262.0)</f>
        <v>1262</v>
      </c>
      <c r="D668" s="5">
        <f>IFERROR(__xludf.DUMMYFUNCTION("""COMPUTED_VALUE"""),0.4140017286084702)</f>
        <v>0.4140017286</v>
      </c>
      <c r="E668" s="5">
        <f>IFERROR(__xludf.DUMMYFUNCTION("""COMPUTED_VALUE"""),0.14520311149524634)</f>
        <v>0.1452031115</v>
      </c>
      <c r="F668" s="5">
        <f>IFERROR(__xludf.DUMMYFUNCTION("""COMPUTED_VALUE"""),0.22990492653414002)</f>
        <v>0.2299049265</v>
      </c>
      <c r="G668" s="5">
        <f>IFERROR(__xludf.DUMMYFUNCTION("""COMPUTED_VALUE"""),0.17199654278305965)</f>
        <v>0.1719965428</v>
      </c>
      <c r="H668" s="5">
        <f>IFERROR(__xludf.DUMMYFUNCTION("""COMPUTED_VALUE"""),0.6203007518796992)</f>
        <v>0.6203007519</v>
      </c>
      <c r="I668" s="11">
        <f>IFERROR(__xludf.DUMMYFUNCTION("""COMPUTED_VALUE"""),5381.203007518797)</f>
        <v>5381.203008</v>
      </c>
      <c r="J668" s="10">
        <f>IFERROR(__xludf.DUMMYFUNCTION("""COMPUTED_VALUE"""),1.0)</f>
        <v>1</v>
      </c>
      <c r="K668" s="5">
        <f>IFERROR(__xludf.DUMMYFUNCTION("""COMPUTED_VALUE"""),0.009523809523809525)</f>
        <v>0.009523809524</v>
      </c>
      <c r="L668" s="10">
        <f>IFERROR(__xludf.DUMMYFUNCTION("""COMPUTED_VALUE"""),0.0)</f>
        <v>0</v>
      </c>
      <c r="M668" s="5">
        <f>IFERROR(__xludf.DUMMYFUNCTION("""COMPUTED_VALUE"""),0.0)</f>
        <v>0</v>
      </c>
    </row>
    <row r="669">
      <c r="A669" s="10" t="str">
        <f>IFERROR(__xludf.DUMMYFUNCTION("""COMPUTED_VALUE"""),"sl01")</f>
        <v>sl01</v>
      </c>
      <c r="B669" s="10">
        <f>IFERROR(__xludf.DUMMYFUNCTION("""COMPUTED_VALUE"""),332.0)</f>
        <v>332</v>
      </c>
      <c r="C669" s="10">
        <f>IFERROR(__xludf.DUMMYFUNCTION("""COMPUTED_VALUE"""),3872.0)</f>
        <v>3872</v>
      </c>
      <c r="D669" s="5">
        <f>IFERROR(__xludf.DUMMYFUNCTION("""COMPUTED_VALUE"""),0.3793785310734463)</f>
        <v>0.3793785311</v>
      </c>
      <c r="E669" s="5">
        <f>IFERROR(__xludf.DUMMYFUNCTION("""COMPUTED_VALUE"""),0.14519774011299436)</f>
        <v>0.1451977401</v>
      </c>
      <c r="F669" s="5">
        <f>IFERROR(__xludf.DUMMYFUNCTION("""COMPUTED_VALUE"""),0.19915254237288135)</f>
        <v>0.1991525424</v>
      </c>
      <c r="G669" s="5">
        <f>IFERROR(__xludf.DUMMYFUNCTION("""COMPUTED_VALUE"""),0.1669491525423729)</f>
        <v>0.1669491525</v>
      </c>
      <c r="H669" s="5">
        <f>IFERROR(__xludf.DUMMYFUNCTION("""COMPUTED_VALUE"""),0.5617021276595745)</f>
        <v>0.5617021277</v>
      </c>
      <c r="I669" s="11">
        <f>IFERROR(__xludf.DUMMYFUNCTION("""COMPUTED_VALUE"""),5901.843971631206)</f>
        <v>5901.843972</v>
      </c>
      <c r="J669" s="10">
        <f>IFERROR(__xludf.DUMMYFUNCTION("""COMPUTED_VALUE"""),1.0)</f>
        <v>1</v>
      </c>
      <c r="K669" s="5">
        <f>IFERROR(__xludf.DUMMYFUNCTION("""COMPUTED_VALUE"""),0.0030120481927710845)</f>
        <v>0.003012048193</v>
      </c>
      <c r="L669" s="10">
        <f>IFERROR(__xludf.DUMMYFUNCTION("""COMPUTED_VALUE"""),332.0)</f>
        <v>332</v>
      </c>
      <c r="M669" s="5">
        <f>IFERROR(__xludf.DUMMYFUNCTION("""COMPUTED_VALUE"""),1.0)</f>
        <v>1</v>
      </c>
    </row>
    <row r="670">
      <c r="A670" s="10" t="str">
        <f>IFERROR(__xludf.DUMMYFUNCTION("""COMPUTED_VALUE"""),"ciscis")</f>
        <v>ciscis</v>
      </c>
      <c r="B670" s="10">
        <f>IFERROR(__xludf.DUMMYFUNCTION("""COMPUTED_VALUE"""),1680.0)</f>
        <v>1680</v>
      </c>
      <c r="C670" s="10">
        <f>IFERROR(__xludf.DUMMYFUNCTION("""COMPUTED_VALUE"""),19677.0)</f>
        <v>19677</v>
      </c>
      <c r="D670" s="5">
        <f>IFERROR(__xludf.DUMMYFUNCTION("""COMPUTED_VALUE"""),0.3230538423070512)</f>
        <v>0.3230538423</v>
      </c>
      <c r="E670" s="5">
        <f>IFERROR(__xludf.DUMMYFUNCTION("""COMPUTED_VALUE"""),0.1451908651441907)</f>
        <v>0.1451908651</v>
      </c>
      <c r="F670" s="5">
        <f>IFERROR(__xludf.DUMMYFUNCTION("""COMPUTED_VALUE"""),0.2279268767016725)</f>
        <v>0.2279268767</v>
      </c>
      <c r="G670" s="5">
        <f>IFERROR(__xludf.DUMMYFUNCTION("""COMPUTED_VALUE"""),0.19086514419069844)</f>
        <v>0.1908651442</v>
      </c>
      <c r="H670" s="5">
        <f>IFERROR(__xludf.DUMMYFUNCTION("""COMPUTED_VALUE"""),0.5936128717698683)</f>
        <v>0.5936128718</v>
      </c>
      <c r="I670" s="11">
        <f>IFERROR(__xludf.DUMMYFUNCTION("""COMPUTED_VALUE"""),5543.734763529986)</f>
        <v>5543.734764</v>
      </c>
      <c r="J670" s="10">
        <f>IFERROR(__xludf.DUMMYFUNCTION("""COMPUTED_VALUE"""),2.0)</f>
        <v>2</v>
      </c>
      <c r="K670" s="5">
        <f>IFERROR(__xludf.DUMMYFUNCTION("""COMPUTED_VALUE"""),0.0011904761904761906)</f>
        <v>0.00119047619</v>
      </c>
      <c r="L670" s="10">
        <f>IFERROR(__xludf.DUMMYFUNCTION("""COMPUTED_VALUE"""),1680.0)</f>
        <v>1680</v>
      </c>
      <c r="M670" s="5">
        <f>IFERROR(__xludf.DUMMYFUNCTION("""COMPUTED_VALUE"""),1.0)</f>
        <v>1</v>
      </c>
    </row>
    <row r="671">
      <c r="A671" s="10" t="str">
        <f>IFERROR(__xludf.DUMMYFUNCTION("""COMPUTED_VALUE"""),"九尾白狐")</f>
        <v>九尾白狐</v>
      </c>
      <c r="B671" s="10">
        <f>IFERROR(__xludf.DUMMYFUNCTION("""COMPUTED_VALUE"""),421.0)</f>
        <v>421</v>
      </c>
      <c r="C671" s="10">
        <f>IFERROR(__xludf.DUMMYFUNCTION("""COMPUTED_VALUE"""),5015.0)</f>
        <v>5015</v>
      </c>
      <c r="D671" s="5">
        <f>IFERROR(__xludf.DUMMYFUNCTION("""COMPUTED_VALUE"""),0.3151937309534175)</f>
        <v>0.315193731</v>
      </c>
      <c r="E671" s="5">
        <f>IFERROR(__xludf.DUMMYFUNCTION("""COMPUTED_VALUE"""),0.14518937744884633)</f>
        <v>0.1451893774</v>
      </c>
      <c r="F671" s="5">
        <f>IFERROR(__xludf.DUMMYFUNCTION("""COMPUTED_VALUE"""),0.21702220287331303)</f>
        <v>0.2170222029</v>
      </c>
      <c r="G671" s="5">
        <f>IFERROR(__xludf.DUMMYFUNCTION("""COMPUTED_VALUE"""),0.152590335219852)</f>
        <v>0.1525903352</v>
      </c>
      <c r="H671" s="5">
        <f>IFERROR(__xludf.DUMMYFUNCTION("""COMPUTED_VALUE"""),0.5867602808425276)</f>
        <v>0.5867602808</v>
      </c>
      <c r="I671" s="11">
        <f>IFERROR(__xludf.DUMMYFUNCTION("""COMPUTED_VALUE"""),5633.299899699097)</f>
        <v>5633.2999</v>
      </c>
      <c r="J671" s="10">
        <f>IFERROR(__xludf.DUMMYFUNCTION("""COMPUTED_VALUE"""),1.0)</f>
        <v>1</v>
      </c>
      <c r="K671" s="5">
        <f>IFERROR(__xludf.DUMMYFUNCTION("""COMPUTED_VALUE"""),0.0023752969121140144)</f>
        <v>0.002375296912</v>
      </c>
      <c r="L671" s="10">
        <f>IFERROR(__xludf.DUMMYFUNCTION("""COMPUTED_VALUE"""),421.0)</f>
        <v>421</v>
      </c>
      <c r="M671" s="5">
        <f>IFERROR(__xludf.DUMMYFUNCTION("""COMPUTED_VALUE"""),1.0)</f>
        <v>1</v>
      </c>
    </row>
    <row r="672">
      <c r="A672" s="10" t="str">
        <f>IFERROR(__xludf.DUMMYFUNCTION("""COMPUTED_VALUE"""),"Jyuzi")</f>
        <v>Jyuzi</v>
      </c>
      <c r="B672" s="10">
        <f>IFERROR(__xludf.DUMMYFUNCTION("""COMPUTED_VALUE"""),420.0)</f>
        <v>420</v>
      </c>
      <c r="C672" s="10">
        <f>IFERROR(__xludf.DUMMYFUNCTION("""COMPUTED_VALUE"""),4925.0)</f>
        <v>4925</v>
      </c>
      <c r="D672" s="5">
        <f>IFERROR(__xludf.DUMMYFUNCTION("""COMPUTED_VALUE"""),0.33518312985571586)</f>
        <v>0.3351831299</v>
      </c>
      <c r="E672" s="5">
        <f>IFERROR(__xludf.DUMMYFUNCTION("""COMPUTED_VALUE"""),0.14517203107658158)</f>
        <v>0.1451720311</v>
      </c>
      <c r="F672" s="5">
        <f>IFERROR(__xludf.DUMMYFUNCTION("""COMPUTED_VALUE"""),0.20776914539400665)</f>
        <v>0.2077691454</v>
      </c>
      <c r="G672" s="5">
        <f>IFERROR(__xludf.DUMMYFUNCTION("""COMPUTED_VALUE"""),0.18312985571587126)</f>
        <v>0.1831298557</v>
      </c>
      <c r="H672" s="5">
        <f>IFERROR(__xludf.DUMMYFUNCTION("""COMPUTED_VALUE"""),0.6132478632478633)</f>
        <v>0.6132478632</v>
      </c>
      <c r="I672" s="11">
        <f>IFERROR(__xludf.DUMMYFUNCTION("""COMPUTED_VALUE"""),6081.944444444444)</f>
        <v>6081.944444</v>
      </c>
      <c r="J672" s="10">
        <f>IFERROR(__xludf.DUMMYFUNCTION("""COMPUTED_VALUE"""),0.0)</f>
        <v>0</v>
      </c>
      <c r="K672" s="5">
        <f>IFERROR(__xludf.DUMMYFUNCTION("""COMPUTED_VALUE"""),0.0)</f>
        <v>0</v>
      </c>
      <c r="L672" s="10">
        <f>IFERROR(__xludf.DUMMYFUNCTION("""COMPUTED_VALUE"""),420.0)</f>
        <v>420</v>
      </c>
      <c r="M672" s="5">
        <f>IFERROR(__xludf.DUMMYFUNCTION("""COMPUTED_VALUE"""),1.0)</f>
        <v>1</v>
      </c>
    </row>
    <row r="673">
      <c r="A673" s="10" t="str">
        <f>IFERROR(__xludf.DUMMYFUNCTION("""COMPUTED_VALUE"""),"桜田ハル")</f>
        <v>桜田ハル</v>
      </c>
      <c r="B673" s="10">
        <f>IFERROR(__xludf.DUMMYFUNCTION("""COMPUTED_VALUE"""),122.0)</f>
        <v>122</v>
      </c>
      <c r="C673" s="10">
        <f>IFERROR(__xludf.DUMMYFUNCTION("""COMPUTED_VALUE"""),1445.0)</f>
        <v>1445</v>
      </c>
      <c r="D673" s="5">
        <f>IFERROR(__xludf.DUMMYFUNCTION("""COMPUTED_VALUE"""),0.3401360544217687)</f>
        <v>0.3401360544</v>
      </c>
      <c r="E673" s="5">
        <f>IFERROR(__xludf.DUMMYFUNCTION("""COMPUTED_VALUE"""),0.14512471655328799)</f>
        <v>0.1451247166</v>
      </c>
      <c r="F673" s="5">
        <f>IFERROR(__xludf.DUMMYFUNCTION("""COMPUTED_VALUE"""),0.20937263794406652)</f>
        <v>0.2093726379</v>
      </c>
      <c r="G673" s="5">
        <f>IFERROR(__xludf.DUMMYFUNCTION("""COMPUTED_VALUE"""),0.16780045351473924)</f>
        <v>0.1678004535</v>
      </c>
      <c r="H673" s="5">
        <f>IFERROR(__xludf.DUMMYFUNCTION("""COMPUTED_VALUE"""),0.592057761732852)</f>
        <v>0.5920577617</v>
      </c>
      <c r="I673" s="11">
        <f>IFERROR(__xludf.DUMMYFUNCTION("""COMPUTED_VALUE"""),5565.342960288809)</f>
        <v>5565.34296</v>
      </c>
      <c r="J673" s="10">
        <f>IFERROR(__xludf.DUMMYFUNCTION("""COMPUTED_VALUE"""),1.0)</f>
        <v>1</v>
      </c>
      <c r="K673" s="5">
        <f>IFERROR(__xludf.DUMMYFUNCTION("""COMPUTED_VALUE"""),0.00819672131147541)</f>
        <v>0.008196721311</v>
      </c>
      <c r="L673" s="10">
        <f>IFERROR(__xludf.DUMMYFUNCTION("""COMPUTED_VALUE"""),0.0)</f>
        <v>0</v>
      </c>
      <c r="M673" s="5">
        <f>IFERROR(__xludf.DUMMYFUNCTION("""COMPUTED_VALUE"""),0.0)</f>
        <v>0</v>
      </c>
    </row>
    <row r="674">
      <c r="A674" s="10" t="str">
        <f>IFERROR(__xludf.DUMMYFUNCTION("""COMPUTED_VALUE"""),"K-c")</f>
        <v>K-c</v>
      </c>
      <c r="B674" s="10">
        <f>IFERROR(__xludf.DUMMYFUNCTION("""COMPUTED_VALUE"""),718.0)</f>
        <v>718</v>
      </c>
      <c r="C674" s="10">
        <f>IFERROR(__xludf.DUMMYFUNCTION("""COMPUTED_VALUE"""),8195.0)</f>
        <v>8195</v>
      </c>
      <c r="D674" s="5">
        <f>IFERROR(__xludf.DUMMYFUNCTION("""COMPUTED_VALUE"""),0.30961615621238464)</f>
        <v>0.3096161562</v>
      </c>
      <c r="E674" s="5">
        <f>IFERROR(__xludf.DUMMYFUNCTION("""COMPUTED_VALUE"""),0.14511167580580447)</f>
        <v>0.1451116758</v>
      </c>
      <c r="F674" s="5">
        <f>IFERROR(__xludf.DUMMYFUNCTION("""COMPUTED_VALUE"""),0.211849672328474)</f>
        <v>0.2118496723</v>
      </c>
      <c r="G674" s="5">
        <f>IFERROR(__xludf.DUMMYFUNCTION("""COMPUTED_VALUE"""),0.21358833756854353)</f>
        <v>0.2135883376</v>
      </c>
      <c r="H674" s="5">
        <f>IFERROR(__xludf.DUMMYFUNCTION("""COMPUTED_VALUE"""),0.5738636363636364)</f>
        <v>0.5738636364</v>
      </c>
      <c r="I674" s="11">
        <f>IFERROR(__xludf.DUMMYFUNCTION("""COMPUTED_VALUE"""),6048.484848484848)</f>
        <v>6048.484848</v>
      </c>
      <c r="J674" s="10">
        <f>IFERROR(__xludf.DUMMYFUNCTION("""COMPUTED_VALUE"""),3.0)</f>
        <v>3</v>
      </c>
      <c r="K674" s="5">
        <f>IFERROR(__xludf.DUMMYFUNCTION("""COMPUTED_VALUE"""),0.004178272980501393)</f>
        <v>0.004178272981</v>
      </c>
      <c r="L674" s="10">
        <f>IFERROR(__xludf.DUMMYFUNCTION("""COMPUTED_VALUE"""),718.0)</f>
        <v>718</v>
      </c>
      <c r="M674" s="5">
        <f>IFERROR(__xludf.DUMMYFUNCTION("""COMPUTED_VALUE"""),1.0)</f>
        <v>1</v>
      </c>
    </row>
    <row r="675">
      <c r="A675" s="10" t="str">
        <f>IFERROR(__xludf.DUMMYFUNCTION("""COMPUTED_VALUE"""),"裏投げ一本")</f>
        <v>裏投げ一本</v>
      </c>
      <c r="B675" s="10">
        <f>IFERROR(__xludf.DUMMYFUNCTION("""COMPUTED_VALUE"""),647.0)</f>
        <v>647</v>
      </c>
      <c r="C675" s="10">
        <f>IFERROR(__xludf.DUMMYFUNCTION("""COMPUTED_VALUE"""),7573.0)</f>
        <v>7573</v>
      </c>
      <c r="D675" s="5">
        <f>IFERROR(__xludf.DUMMYFUNCTION("""COMPUTED_VALUE"""),0.3332370776783136)</f>
        <v>0.3332370777</v>
      </c>
      <c r="E675" s="5">
        <f>IFERROR(__xludf.DUMMYFUNCTION("""COMPUTED_VALUE"""),0.1451053999422466)</f>
        <v>0.1451053999</v>
      </c>
      <c r="F675" s="5">
        <f>IFERROR(__xludf.DUMMYFUNCTION("""COMPUTED_VALUE"""),0.20444701126191164)</f>
        <v>0.2044470113</v>
      </c>
      <c r="G675" s="5">
        <f>IFERROR(__xludf.DUMMYFUNCTION("""COMPUTED_VALUE"""),0.1657522379439792)</f>
        <v>0.1657522379</v>
      </c>
      <c r="H675" s="5">
        <f>IFERROR(__xludf.DUMMYFUNCTION("""COMPUTED_VALUE"""),0.5903954802259888)</f>
        <v>0.5903954802</v>
      </c>
      <c r="I675" s="11">
        <f>IFERROR(__xludf.DUMMYFUNCTION("""COMPUTED_VALUE"""),5833.61581920904)</f>
        <v>5833.615819</v>
      </c>
      <c r="J675" s="10">
        <f>IFERROR(__xludf.DUMMYFUNCTION("""COMPUTED_VALUE"""),2.0)</f>
        <v>2</v>
      </c>
      <c r="K675" s="5">
        <f>IFERROR(__xludf.DUMMYFUNCTION("""COMPUTED_VALUE"""),0.0030911901081916537)</f>
        <v>0.003091190108</v>
      </c>
      <c r="L675" s="10">
        <f>IFERROR(__xludf.DUMMYFUNCTION("""COMPUTED_VALUE"""),647.0)</f>
        <v>647</v>
      </c>
      <c r="M675" s="5">
        <f>IFERROR(__xludf.DUMMYFUNCTION("""COMPUTED_VALUE"""),1.0)</f>
        <v>1</v>
      </c>
    </row>
    <row r="676">
      <c r="A676" s="10" t="str">
        <f>IFERROR(__xludf.DUMMYFUNCTION("""COMPUTED_VALUE"""),"カルビ")</f>
        <v>カルビ</v>
      </c>
      <c r="B676" s="10">
        <f>IFERROR(__xludf.DUMMYFUNCTION("""COMPUTED_VALUE"""),362.0)</f>
        <v>362</v>
      </c>
      <c r="C676" s="10">
        <f>IFERROR(__xludf.DUMMYFUNCTION("""COMPUTED_VALUE"""),4180.0)</f>
        <v>4180</v>
      </c>
      <c r="D676" s="5">
        <f>IFERROR(__xludf.DUMMYFUNCTION("""COMPUTED_VALUE"""),0.2598218962807753)</f>
        <v>0.2598218963</v>
      </c>
      <c r="E676" s="5">
        <f>IFERROR(__xludf.DUMMYFUNCTION("""COMPUTED_VALUE"""),0.14510214772132007)</f>
        <v>0.1451021477</v>
      </c>
      <c r="F676" s="5">
        <f>IFERROR(__xludf.DUMMYFUNCTION("""COMPUTED_VALUE"""),0.213986380303824)</f>
        <v>0.2139863803</v>
      </c>
      <c r="G676" s="5">
        <f>IFERROR(__xludf.DUMMYFUNCTION("""COMPUTED_VALUE"""),0.2532739654269251)</f>
        <v>0.2532739654</v>
      </c>
      <c r="H676" s="5">
        <f>IFERROR(__xludf.DUMMYFUNCTION("""COMPUTED_VALUE"""),0.5924112607099143)</f>
        <v>0.5924112607</v>
      </c>
      <c r="I676" s="11">
        <f>IFERROR(__xludf.DUMMYFUNCTION("""COMPUTED_VALUE"""),5801.958384332926)</f>
        <v>5801.958384</v>
      </c>
      <c r="J676" s="10">
        <f>IFERROR(__xludf.DUMMYFUNCTION("""COMPUTED_VALUE"""),2.0)</f>
        <v>2</v>
      </c>
      <c r="K676" s="5">
        <f>IFERROR(__xludf.DUMMYFUNCTION("""COMPUTED_VALUE"""),0.0055248618784530384)</f>
        <v>0.005524861878</v>
      </c>
      <c r="L676" s="10">
        <f>IFERROR(__xludf.DUMMYFUNCTION("""COMPUTED_VALUE"""),362.0)</f>
        <v>362</v>
      </c>
      <c r="M676" s="5">
        <f>IFERROR(__xludf.DUMMYFUNCTION("""COMPUTED_VALUE"""),1.0)</f>
        <v>1</v>
      </c>
    </row>
    <row r="677">
      <c r="A677" s="10" t="str">
        <f>IFERROR(__xludf.DUMMYFUNCTION("""COMPUTED_VALUE"""),"ZX-RR")</f>
        <v>ZX-RR</v>
      </c>
      <c r="B677" s="10">
        <f>IFERROR(__xludf.DUMMYFUNCTION("""COMPUTED_VALUE"""),651.0)</f>
        <v>651</v>
      </c>
      <c r="C677" s="10">
        <f>IFERROR(__xludf.DUMMYFUNCTION("""COMPUTED_VALUE"""),7571.0)</f>
        <v>7571</v>
      </c>
      <c r="D677" s="5">
        <f>IFERROR(__xludf.DUMMYFUNCTION("""COMPUTED_VALUE"""),0.35361271676300576)</f>
        <v>0.3536127168</v>
      </c>
      <c r="E677" s="5">
        <f>IFERROR(__xludf.DUMMYFUNCTION("""COMPUTED_VALUE"""),0.14508670520231215)</f>
        <v>0.1450867052</v>
      </c>
      <c r="F677" s="5">
        <f>IFERROR(__xludf.DUMMYFUNCTION("""COMPUTED_VALUE"""),0.21271676300578035)</f>
        <v>0.212716763</v>
      </c>
      <c r="G677" s="5">
        <f>IFERROR(__xludf.DUMMYFUNCTION("""COMPUTED_VALUE"""),0.20708092485549132)</f>
        <v>0.2070809249</v>
      </c>
      <c r="H677" s="5">
        <f>IFERROR(__xludf.DUMMYFUNCTION("""COMPUTED_VALUE"""),0.5917119565217391)</f>
        <v>0.5917119565</v>
      </c>
      <c r="I677" s="11">
        <f>IFERROR(__xludf.DUMMYFUNCTION("""COMPUTED_VALUE"""),6052.377717391304)</f>
        <v>6052.377717</v>
      </c>
      <c r="J677" s="10">
        <f>IFERROR(__xludf.DUMMYFUNCTION("""COMPUTED_VALUE"""),0.0)</f>
        <v>0</v>
      </c>
      <c r="K677" s="5">
        <f>IFERROR(__xludf.DUMMYFUNCTION("""COMPUTED_VALUE"""),0.0)</f>
        <v>0</v>
      </c>
      <c r="L677" s="10">
        <f>IFERROR(__xludf.DUMMYFUNCTION("""COMPUTED_VALUE"""),651.0)</f>
        <v>651</v>
      </c>
      <c r="M677" s="5">
        <f>IFERROR(__xludf.DUMMYFUNCTION("""COMPUTED_VALUE"""),1.0)</f>
        <v>1</v>
      </c>
    </row>
    <row r="678">
      <c r="A678" s="10" t="str">
        <f>IFERROR(__xludf.DUMMYFUNCTION("""COMPUTED_VALUE"""),"げんきち")</f>
        <v>げんきち</v>
      </c>
      <c r="B678" s="10">
        <f>IFERROR(__xludf.DUMMYFUNCTION("""COMPUTED_VALUE"""),748.0)</f>
        <v>748</v>
      </c>
      <c r="C678" s="10">
        <f>IFERROR(__xludf.DUMMYFUNCTION("""COMPUTED_VALUE"""),8633.0)</f>
        <v>8633</v>
      </c>
      <c r="D678" s="5">
        <f>IFERROR(__xludf.DUMMYFUNCTION("""COMPUTED_VALUE"""),0.3140139505389981)</f>
        <v>0.3140139505</v>
      </c>
      <c r="E678" s="5">
        <f>IFERROR(__xludf.DUMMYFUNCTION("""COMPUTED_VALUE"""),0.1450856055802156)</f>
        <v>0.1450856056</v>
      </c>
      <c r="F678" s="5">
        <f>IFERROR(__xludf.DUMMYFUNCTION("""COMPUTED_VALUE"""),0.19847812301838935)</f>
        <v>0.198478123</v>
      </c>
      <c r="G678" s="5">
        <f>IFERROR(__xludf.DUMMYFUNCTION("""COMPUTED_VALUE"""),0.1802155992390615)</f>
        <v>0.1802155992</v>
      </c>
      <c r="H678" s="5">
        <f>IFERROR(__xludf.DUMMYFUNCTION("""COMPUTED_VALUE"""),0.5808306709265175)</f>
        <v>0.5808306709</v>
      </c>
      <c r="I678" s="11">
        <f>IFERROR(__xludf.DUMMYFUNCTION("""COMPUTED_VALUE"""),6006.709265175718)</f>
        <v>6006.709265</v>
      </c>
      <c r="J678" s="10">
        <f>IFERROR(__xludf.DUMMYFUNCTION("""COMPUTED_VALUE"""),1.0)</f>
        <v>1</v>
      </c>
      <c r="K678" s="5">
        <f>IFERROR(__xludf.DUMMYFUNCTION("""COMPUTED_VALUE"""),0.001336898395721925)</f>
        <v>0.001336898396</v>
      </c>
      <c r="L678" s="10">
        <f>IFERROR(__xludf.DUMMYFUNCTION("""COMPUTED_VALUE"""),748.0)</f>
        <v>748</v>
      </c>
      <c r="M678" s="5">
        <f>IFERROR(__xludf.DUMMYFUNCTION("""COMPUTED_VALUE"""),1.0)</f>
        <v>1</v>
      </c>
    </row>
    <row r="679">
      <c r="A679" s="10" t="str">
        <f>IFERROR(__xludf.DUMMYFUNCTION("""COMPUTED_VALUE"""),"saltydog")</f>
        <v>saltydog</v>
      </c>
      <c r="B679" s="10">
        <f>IFERROR(__xludf.DUMMYFUNCTION("""COMPUTED_VALUE"""),170.0)</f>
        <v>170</v>
      </c>
      <c r="C679" s="10">
        <f>IFERROR(__xludf.DUMMYFUNCTION("""COMPUTED_VALUE"""),1976.0)</f>
        <v>1976</v>
      </c>
      <c r="D679" s="5">
        <f>IFERROR(__xludf.DUMMYFUNCTION("""COMPUTED_VALUE"""),0.39700996677740863)</f>
        <v>0.3970099668</v>
      </c>
      <c r="E679" s="5">
        <f>IFERROR(__xludf.DUMMYFUNCTION("""COMPUTED_VALUE"""),0.1450719822812846)</f>
        <v>0.1450719823</v>
      </c>
      <c r="F679" s="5">
        <f>IFERROR(__xludf.DUMMYFUNCTION("""COMPUTED_VALUE"""),0.19656699889258028)</f>
        <v>0.1965669989</v>
      </c>
      <c r="G679" s="5">
        <f>IFERROR(__xludf.DUMMYFUNCTION("""COMPUTED_VALUE"""),0.13178294573643412)</f>
        <v>0.1317829457</v>
      </c>
      <c r="H679" s="5">
        <f>IFERROR(__xludf.DUMMYFUNCTION("""COMPUTED_VALUE"""),0.6225352112676056)</f>
        <v>0.6225352113</v>
      </c>
      <c r="I679" s="11">
        <f>IFERROR(__xludf.DUMMYFUNCTION("""COMPUTED_VALUE"""),5343.943661971831)</f>
        <v>5343.943662</v>
      </c>
      <c r="J679" s="10">
        <f>IFERROR(__xludf.DUMMYFUNCTION("""COMPUTED_VALUE"""),0.0)</f>
        <v>0</v>
      </c>
      <c r="K679" s="5">
        <f>IFERROR(__xludf.DUMMYFUNCTION("""COMPUTED_VALUE"""),0.0)</f>
        <v>0</v>
      </c>
      <c r="L679" s="10">
        <f>IFERROR(__xludf.DUMMYFUNCTION("""COMPUTED_VALUE"""),170.0)</f>
        <v>170</v>
      </c>
      <c r="M679" s="5">
        <f>IFERROR(__xludf.DUMMYFUNCTION("""COMPUTED_VALUE"""),1.0)</f>
        <v>1</v>
      </c>
    </row>
    <row r="680">
      <c r="A680" s="10" t="str">
        <f>IFERROR(__xludf.DUMMYFUNCTION("""COMPUTED_VALUE"""),"Samma2")</f>
        <v>Samma2</v>
      </c>
      <c r="B680" s="10">
        <f>IFERROR(__xludf.DUMMYFUNCTION("""COMPUTED_VALUE"""),950.0)</f>
        <v>950</v>
      </c>
      <c r="C680" s="10">
        <f>IFERROR(__xludf.DUMMYFUNCTION("""COMPUTED_VALUE"""),11202.0)</f>
        <v>11202</v>
      </c>
      <c r="D680" s="5">
        <f>IFERROR(__xludf.DUMMYFUNCTION("""COMPUTED_VALUE"""),0.2883339836129536)</f>
        <v>0.2883339836</v>
      </c>
      <c r="E680" s="5">
        <f>IFERROR(__xludf.DUMMYFUNCTION("""COMPUTED_VALUE"""),0.14504486929379634)</f>
        <v>0.1450448693</v>
      </c>
      <c r="F680" s="5">
        <f>IFERROR(__xludf.DUMMYFUNCTION("""COMPUTED_VALUE"""),0.20747171283651972)</f>
        <v>0.2074717128</v>
      </c>
      <c r="G680" s="5">
        <f>IFERROR(__xludf.DUMMYFUNCTION("""COMPUTED_VALUE"""),0.16504096761607492)</f>
        <v>0.1650409676</v>
      </c>
      <c r="H680" s="5">
        <f>IFERROR(__xludf.DUMMYFUNCTION("""COMPUTED_VALUE"""),0.6013164080865068)</f>
        <v>0.6013164081</v>
      </c>
      <c r="I680" s="11">
        <f>IFERROR(__xludf.DUMMYFUNCTION("""COMPUTED_VALUE"""),6008.41560883874)</f>
        <v>6008.415609</v>
      </c>
      <c r="J680" s="10">
        <f>IFERROR(__xludf.DUMMYFUNCTION("""COMPUTED_VALUE"""),4.0)</f>
        <v>4</v>
      </c>
      <c r="K680" s="5">
        <f>IFERROR(__xludf.DUMMYFUNCTION("""COMPUTED_VALUE"""),0.004210526315789474)</f>
        <v>0.004210526316</v>
      </c>
      <c r="L680" s="10">
        <f>IFERROR(__xludf.DUMMYFUNCTION("""COMPUTED_VALUE"""),950.0)</f>
        <v>950</v>
      </c>
      <c r="M680" s="5">
        <f>IFERROR(__xludf.DUMMYFUNCTION("""COMPUTED_VALUE"""),1.0)</f>
        <v>1</v>
      </c>
    </row>
    <row r="681">
      <c r="A681" s="10" t="str">
        <f>IFERROR(__xludf.DUMMYFUNCTION("""COMPUTED_VALUE"""),"★竜虎★")</f>
        <v>★竜虎★</v>
      </c>
      <c r="B681" s="10">
        <f>IFERROR(__xludf.DUMMYFUNCTION("""COMPUTED_VALUE"""),280.0)</f>
        <v>280</v>
      </c>
      <c r="C681" s="10">
        <f>IFERROR(__xludf.DUMMYFUNCTION("""COMPUTED_VALUE"""),3286.0)</f>
        <v>3286</v>
      </c>
      <c r="D681" s="5">
        <f>IFERROR(__xludf.DUMMYFUNCTION("""COMPUTED_VALUE"""),0.25116433799068527)</f>
        <v>0.251164338</v>
      </c>
      <c r="E681" s="5">
        <f>IFERROR(__xludf.DUMMYFUNCTION("""COMPUTED_VALUE"""),0.14504324683965403)</f>
        <v>0.1450432468</v>
      </c>
      <c r="F681" s="5">
        <f>IFERROR(__xludf.DUMMYFUNCTION("""COMPUTED_VALUE"""),0.20359281437125748)</f>
        <v>0.2035928144</v>
      </c>
      <c r="G681" s="5">
        <f>IFERROR(__xludf.DUMMYFUNCTION("""COMPUTED_VALUE"""),0.15701929474384566)</f>
        <v>0.1570192947</v>
      </c>
      <c r="H681" s="5">
        <f>IFERROR(__xludf.DUMMYFUNCTION("""COMPUTED_VALUE"""),0.5718954248366013)</f>
        <v>0.5718954248</v>
      </c>
      <c r="I681" s="11">
        <f>IFERROR(__xludf.DUMMYFUNCTION("""COMPUTED_VALUE"""),5917.483660130719)</f>
        <v>5917.48366</v>
      </c>
      <c r="J681" s="10">
        <f>IFERROR(__xludf.DUMMYFUNCTION("""COMPUTED_VALUE"""),2.0)</f>
        <v>2</v>
      </c>
      <c r="K681" s="5">
        <f>IFERROR(__xludf.DUMMYFUNCTION("""COMPUTED_VALUE"""),0.007142857142857143)</f>
        <v>0.007142857143</v>
      </c>
      <c r="L681" s="10">
        <f>IFERROR(__xludf.DUMMYFUNCTION("""COMPUTED_VALUE"""),280.0)</f>
        <v>280</v>
      </c>
      <c r="M681" s="5">
        <f>IFERROR(__xludf.DUMMYFUNCTION("""COMPUTED_VALUE"""),1.0)</f>
        <v>1</v>
      </c>
    </row>
    <row r="682">
      <c r="A682" s="10" t="str">
        <f>IFERROR(__xludf.DUMMYFUNCTION("""COMPUTED_VALUE"""),"Mbt2")</f>
        <v>Mbt2</v>
      </c>
      <c r="B682" s="10">
        <f>IFERROR(__xludf.DUMMYFUNCTION("""COMPUTED_VALUE"""),222.0)</f>
        <v>222</v>
      </c>
      <c r="C682" s="10">
        <f>IFERROR(__xludf.DUMMYFUNCTION("""COMPUTED_VALUE"""),2587.0)</f>
        <v>2587</v>
      </c>
      <c r="D682" s="5">
        <f>IFERROR(__xludf.DUMMYFUNCTION("""COMPUTED_VALUE"""),0.39027484143763214)</f>
        <v>0.3902748414</v>
      </c>
      <c r="E682" s="5">
        <f>IFERROR(__xludf.DUMMYFUNCTION("""COMPUTED_VALUE"""),0.14503171247357294)</f>
        <v>0.1450317125</v>
      </c>
      <c r="F682" s="5">
        <f>IFERROR(__xludf.DUMMYFUNCTION("""COMPUTED_VALUE"""),0.2029598308668076)</f>
        <v>0.2029598309</v>
      </c>
      <c r="G682" s="5">
        <f>IFERROR(__xludf.DUMMYFUNCTION("""COMPUTED_VALUE"""),0.18731501057082453)</f>
        <v>0.1873150106</v>
      </c>
      <c r="H682" s="5">
        <f>IFERROR(__xludf.DUMMYFUNCTION("""COMPUTED_VALUE"""),0.59375)</f>
        <v>0.59375</v>
      </c>
      <c r="I682" s="11">
        <f>IFERROR(__xludf.DUMMYFUNCTION("""COMPUTED_VALUE"""),5779.166666666667)</f>
        <v>5779.166667</v>
      </c>
      <c r="J682" s="10">
        <f>IFERROR(__xludf.DUMMYFUNCTION("""COMPUTED_VALUE"""),1.0)</f>
        <v>1</v>
      </c>
      <c r="K682" s="5">
        <f>IFERROR(__xludf.DUMMYFUNCTION("""COMPUTED_VALUE"""),0.0045045045045045045)</f>
        <v>0.004504504505</v>
      </c>
      <c r="L682" s="10">
        <f>IFERROR(__xludf.DUMMYFUNCTION("""COMPUTED_VALUE"""),173.0)</f>
        <v>173</v>
      </c>
      <c r="M682" s="5">
        <f>IFERROR(__xludf.DUMMYFUNCTION("""COMPUTED_VALUE"""),0.7792792792792793)</f>
        <v>0.7792792793</v>
      </c>
    </row>
    <row r="683">
      <c r="A683" s="10" t="str">
        <f>IFERROR(__xludf.DUMMYFUNCTION("""COMPUTED_VALUE"""),"ロンちゃん君津店")</f>
        <v>ロンちゃん君津店</v>
      </c>
      <c r="B683" s="10">
        <f>IFERROR(__xludf.DUMMYFUNCTION("""COMPUTED_VALUE"""),207.0)</f>
        <v>207</v>
      </c>
      <c r="C683" s="10">
        <f>IFERROR(__xludf.DUMMYFUNCTION("""COMPUTED_VALUE"""),2448.0)</f>
        <v>2448</v>
      </c>
      <c r="D683" s="5">
        <f>IFERROR(__xludf.DUMMYFUNCTION("""COMPUTED_VALUE"""),0.4395359214636323)</f>
        <v>0.4395359215</v>
      </c>
      <c r="E683" s="5">
        <f>IFERROR(__xludf.DUMMYFUNCTION("""COMPUTED_VALUE"""),0.14502454261490405)</f>
        <v>0.1450245426</v>
      </c>
      <c r="F683" s="5">
        <f>IFERROR(__xludf.DUMMYFUNCTION("""COMPUTED_VALUE"""),0.22445336903168228)</f>
        <v>0.224453369</v>
      </c>
      <c r="G683" s="5">
        <f>IFERROR(__xludf.DUMMYFUNCTION("""COMPUTED_VALUE"""),0.1601963409192325)</f>
        <v>0.1601963409</v>
      </c>
      <c r="H683" s="5">
        <f>IFERROR(__xludf.DUMMYFUNCTION("""COMPUTED_VALUE"""),0.6083499005964215)</f>
        <v>0.6083499006</v>
      </c>
      <c r="I683" s="11">
        <f>IFERROR(__xludf.DUMMYFUNCTION("""COMPUTED_VALUE"""),4863.419483101392)</f>
        <v>4863.419483</v>
      </c>
      <c r="J683" s="10">
        <f>IFERROR(__xludf.DUMMYFUNCTION("""COMPUTED_VALUE"""),0.0)</f>
        <v>0</v>
      </c>
      <c r="K683" s="5">
        <f>IFERROR(__xludf.DUMMYFUNCTION("""COMPUTED_VALUE"""),0.0)</f>
        <v>0</v>
      </c>
      <c r="L683" s="10">
        <f>IFERROR(__xludf.DUMMYFUNCTION("""COMPUTED_VALUE"""),207.0)</f>
        <v>207</v>
      </c>
      <c r="M683" s="5">
        <f>IFERROR(__xludf.DUMMYFUNCTION("""COMPUTED_VALUE"""),1.0)</f>
        <v>1</v>
      </c>
    </row>
    <row r="684">
      <c r="A684" s="10" t="str">
        <f>IFERROR(__xludf.DUMMYFUNCTION("""COMPUTED_VALUE"""),"ちびゆいあず♪♪")</f>
        <v>ちびゆいあず♪♪</v>
      </c>
      <c r="B684" s="10">
        <f>IFERROR(__xludf.DUMMYFUNCTION("""COMPUTED_VALUE"""),191.0)</f>
        <v>191</v>
      </c>
      <c r="C684" s="10">
        <f>IFERROR(__xludf.DUMMYFUNCTION("""COMPUTED_VALUE"""),2260.0)</f>
        <v>2260</v>
      </c>
      <c r="D684" s="5">
        <f>IFERROR(__xludf.DUMMYFUNCTION("""COMPUTED_VALUE"""),0.3919768003866602)</f>
        <v>0.3919768004</v>
      </c>
      <c r="E684" s="5">
        <f>IFERROR(__xludf.DUMMYFUNCTION("""COMPUTED_VALUE"""),0.14499758337361043)</f>
        <v>0.1449975834</v>
      </c>
      <c r="F684" s="5">
        <f>IFERROR(__xludf.DUMMYFUNCTION("""COMPUTED_VALUE"""),0.22522957950700823)</f>
        <v>0.2252295795</v>
      </c>
      <c r="G684" s="5">
        <f>IFERROR(__xludf.DUMMYFUNCTION("""COMPUTED_VALUE"""),0.15369743837602706)</f>
        <v>0.1536974384</v>
      </c>
      <c r="H684" s="5">
        <f>IFERROR(__xludf.DUMMYFUNCTION("""COMPUTED_VALUE"""),0.5815450643776824)</f>
        <v>0.5815450644</v>
      </c>
      <c r="I684" s="11">
        <f>IFERROR(__xludf.DUMMYFUNCTION("""COMPUTED_VALUE"""),5284.12017167382)</f>
        <v>5284.120172</v>
      </c>
      <c r="J684" s="10">
        <f>IFERROR(__xludf.DUMMYFUNCTION("""COMPUTED_VALUE"""),0.0)</f>
        <v>0</v>
      </c>
      <c r="K684" s="5">
        <f>IFERROR(__xludf.DUMMYFUNCTION("""COMPUTED_VALUE"""),0.0)</f>
        <v>0</v>
      </c>
      <c r="L684" s="10">
        <f>IFERROR(__xludf.DUMMYFUNCTION("""COMPUTED_VALUE"""),0.0)</f>
        <v>0</v>
      </c>
      <c r="M684" s="5">
        <f>IFERROR(__xludf.DUMMYFUNCTION("""COMPUTED_VALUE"""),0.0)</f>
        <v>0</v>
      </c>
    </row>
    <row r="685">
      <c r="A685" s="10" t="str">
        <f>IFERROR(__xludf.DUMMYFUNCTION("""COMPUTED_VALUE"""),"しん2")</f>
        <v>しん2</v>
      </c>
      <c r="B685" s="10">
        <f>IFERROR(__xludf.DUMMYFUNCTION("""COMPUTED_VALUE"""),1392.0)</f>
        <v>1392</v>
      </c>
      <c r="C685" s="10">
        <f>IFERROR(__xludf.DUMMYFUNCTION("""COMPUTED_VALUE"""),16036.0)</f>
        <v>16036</v>
      </c>
      <c r="D685" s="5">
        <f>IFERROR(__xludf.DUMMYFUNCTION("""COMPUTED_VALUE"""),0.40316853318765367)</f>
        <v>0.4031685332</v>
      </c>
      <c r="E685" s="5">
        <f>IFERROR(__xludf.DUMMYFUNCTION("""COMPUTED_VALUE"""),0.14497405080579076)</f>
        <v>0.1449740508</v>
      </c>
      <c r="F685" s="5">
        <f>IFERROR(__xludf.DUMMYFUNCTION("""COMPUTED_VALUE"""),0.22350450696531002)</f>
        <v>0.223504507</v>
      </c>
      <c r="G685" s="5">
        <f>IFERROR(__xludf.DUMMYFUNCTION("""COMPUTED_VALUE"""),0.18266866976236001)</f>
        <v>0.1826686698</v>
      </c>
      <c r="H685" s="5">
        <f>IFERROR(__xludf.DUMMYFUNCTION("""COMPUTED_VALUE"""),0.6165597311335167)</f>
        <v>0.6165597311</v>
      </c>
      <c r="I685" s="11">
        <f>IFERROR(__xludf.DUMMYFUNCTION("""COMPUTED_VALUE"""),5831.439046746104)</f>
        <v>5831.439047</v>
      </c>
      <c r="J685" s="10">
        <f>IFERROR(__xludf.DUMMYFUNCTION("""COMPUTED_VALUE"""),1.0)</f>
        <v>1</v>
      </c>
      <c r="K685" s="5">
        <f>IFERROR(__xludf.DUMMYFUNCTION("""COMPUTED_VALUE"""),7.183908045977011E-4)</f>
        <v>0.0007183908046</v>
      </c>
      <c r="L685" s="10">
        <f>IFERROR(__xludf.DUMMYFUNCTION("""COMPUTED_VALUE"""),1392.0)</f>
        <v>1392</v>
      </c>
      <c r="M685" s="5">
        <f>IFERROR(__xludf.DUMMYFUNCTION("""COMPUTED_VALUE"""),1.0)</f>
        <v>1</v>
      </c>
    </row>
    <row r="686">
      <c r="A686" s="10" t="str">
        <f>IFERROR(__xludf.DUMMYFUNCTION("""COMPUTED_VALUE"""),"みやこん９歳")</f>
        <v>みやこん９歳</v>
      </c>
      <c r="B686" s="10">
        <f>IFERROR(__xludf.DUMMYFUNCTION("""COMPUTED_VALUE"""),635.0)</f>
        <v>635</v>
      </c>
      <c r="C686" s="10">
        <f>IFERROR(__xludf.DUMMYFUNCTION("""COMPUTED_VALUE"""),7340.0)</f>
        <v>7340</v>
      </c>
      <c r="D686" s="5">
        <f>IFERROR(__xludf.DUMMYFUNCTION("""COMPUTED_VALUE"""),0.41387024608501116)</f>
        <v>0.4138702461</v>
      </c>
      <c r="E686" s="5">
        <f>IFERROR(__xludf.DUMMYFUNCTION("""COMPUTED_VALUE"""),0.14496644295302014)</f>
        <v>0.144966443</v>
      </c>
      <c r="F686" s="5">
        <f>IFERROR(__xludf.DUMMYFUNCTION("""COMPUTED_VALUE"""),0.22714392244593587)</f>
        <v>0.2271439224</v>
      </c>
      <c r="G686" s="5">
        <f>IFERROR(__xludf.DUMMYFUNCTION("""COMPUTED_VALUE"""),0.16838180462341537)</f>
        <v>0.1683818046</v>
      </c>
      <c r="H686" s="5">
        <f>IFERROR(__xludf.DUMMYFUNCTION("""COMPUTED_VALUE"""),0.5889691398555482)</f>
        <v>0.5889691399</v>
      </c>
      <c r="I686" s="11">
        <f>IFERROR(__xludf.DUMMYFUNCTION("""COMPUTED_VALUE"""),5547.537754432042)</f>
        <v>5547.537754</v>
      </c>
      <c r="J686" s="10">
        <f>IFERROR(__xludf.DUMMYFUNCTION("""COMPUTED_VALUE"""),0.0)</f>
        <v>0</v>
      </c>
      <c r="K686" s="5">
        <f>IFERROR(__xludf.DUMMYFUNCTION("""COMPUTED_VALUE"""),0.0)</f>
        <v>0</v>
      </c>
      <c r="L686" s="10">
        <f>IFERROR(__xludf.DUMMYFUNCTION("""COMPUTED_VALUE"""),0.0)</f>
        <v>0</v>
      </c>
      <c r="M686" s="5">
        <f>IFERROR(__xludf.DUMMYFUNCTION("""COMPUTED_VALUE"""),0.0)</f>
        <v>0</v>
      </c>
    </row>
    <row r="687">
      <c r="A687" s="10" t="str">
        <f>IFERROR(__xludf.DUMMYFUNCTION("""COMPUTED_VALUE"""),"中洲タイガー")</f>
        <v>中洲タイガー</v>
      </c>
      <c r="B687" s="10">
        <f>IFERROR(__xludf.DUMMYFUNCTION("""COMPUTED_VALUE"""),604.0)</f>
        <v>604</v>
      </c>
      <c r="C687" s="10">
        <f>IFERROR(__xludf.DUMMYFUNCTION("""COMPUTED_VALUE"""),7040.0)</f>
        <v>7040</v>
      </c>
      <c r="D687" s="5">
        <f>IFERROR(__xludf.DUMMYFUNCTION("""COMPUTED_VALUE"""),0.3626476072094469)</f>
        <v>0.3626476072</v>
      </c>
      <c r="E687" s="5">
        <f>IFERROR(__xludf.DUMMYFUNCTION("""COMPUTED_VALUE"""),0.1449658172778123)</f>
        <v>0.1449658173</v>
      </c>
      <c r="F687" s="5">
        <f>IFERROR(__xludf.DUMMYFUNCTION("""COMPUTED_VALUE"""),0.21737103791174642)</f>
        <v>0.2173710379</v>
      </c>
      <c r="G687" s="5">
        <f>IFERROR(__xludf.DUMMYFUNCTION("""COMPUTED_VALUE"""),0.1793039154754506)</f>
        <v>0.1793039155</v>
      </c>
      <c r="H687" s="5">
        <f>IFERROR(__xludf.DUMMYFUNCTION("""COMPUTED_VALUE"""),0.6047176554681916)</f>
        <v>0.6047176555</v>
      </c>
      <c r="I687" s="11">
        <f>IFERROR(__xludf.DUMMYFUNCTION("""COMPUTED_VALUE"""),5670.979270907791)</f>
        <v>5670.979271</v>
      </c>
      <c r="J687" s="10">
        <f>IFERROR(__xludf.DUMMYFUNCTION("""COMPUTED_VALUE"""),1.0)</f>
        <v>1</v>
      </c>
      <c r="K687" s="5">
        <f>IFERROR(__xludf.DUMMYFUNCTION("""COMPUTED_VALUE"""),0.0016556291390728477)</f>
        <v>0.001655629139</v>
      </c>
      <c r="L687" s="10">
        <f>IFERROR(__xludf.DUMMYFUNCTION("""COMPUTED_VALUE"""),604.0)</f>
        <v>604</v>
      </c>
      <c r="M687" s="5">
        <f>IFERROR(__xludf.DUMMYFUNCTION("""COMPUTED_VALUE"""),1.0)</f>
        <v>1</v>
      </c>
    </row>
    <row r="688">
      <c r="A688" s="10" t="str">
        <f>IFERROR(__xludf.DUMMYFUNCTION("""COMPUTED_VALUE"""),"黒衣のイナジェイ")</f>
        <v>黒衣のイナジェイ</v>
      </c>
      <c r="B688" s="10">
        <f>IFERROR(__xludf.DUMMYFUNCTION("""COMPUTED_VALUE"""),217.0)</f>
        <v>217</v>
      </c>
      <c r="C688" s="10">
        <f>IFERROR(__xludf.DUMMYFUNCTION("""COMPUTED_VALUE"""),2521.0)</f>
        <v>2521</v>
      </c>
      <c r="D688" s="5">
        <f>IFERROR(__xludf.DUMMYFUNCTION("""COMPUTED_VALUE"""),0.30078125)</f>
        <v>0.30078125</v>
      </c>
      <c r="E688" s="5">
        <f>IFERROR(__xludf.DUMMYFUNCTION("""COMPUTED_VALUE"""),0.1449652777777778)</f>
        <v>0.1449652778</v>
      </c>
      <c r="F688" s="5">
        <f>IFERROR(__xludf.DUMMYFUNCTION("""COMPUTED_VALUE"""),0.19661458333333334)</f>
        <v>0.1966145833</v>
      </c>
      <c r="G688" s="5">
        <f>IFERROR(__xludf.DUMMYFUNCTION("""COMPUTED_VALUE"""),0.1879340277777778)</f>
        <v>0.1879340278</v>
      </c>
      <c r="H688" s="5">
        <f>IFERROR(__xludf.DUMMYFUNCTION("""COMPUTED_VALUE"""),0.5540838852097131)</f>
        <v>0.5540838852</v>
      </c>
      <c r="I688" s="11">
        <f>IFERROR(__xludf.DUMMYFUNCTION("""COMPUTED_VALUE"""),6513.907284768212)</f>
        <v>6513.907285</v>
      </c>
      <c r="J688" s="10">
        <f>IFERROR(__xludf.DUMMYFUNCTION("""COMPUTED_VALUE"""),3.0)</f>
        <v>3</v>
      </c>
      <c r="K688" s="5">
        <f>IFERROR(__xludf.DUMMYFUNCTION("""COMPUTED_VALUE"""),0.013824884792626729)</f>
        <v>0.01382488479</v>
      </c>
      <c r="L688" s="10">
        <f>IFERROR(__xludf.DUMMYFUNCTION("""COMPUTED_VALUE"""),217.0)</f>
        <v>217</v>
      </c>
      <c r="M688" s="5">
        <f>IFERROR(__xludf.DUMMYFUNCTION("""COMPUTED_VALUE"""),1.0)</f>
        <v>1</v>
      </c>
    </row>
    <row r="689">
      <c r="A689" s="10" t="str">
        <f>IFERROR(__xludf.DUMMYFUNCTION("""COMPUTED_VALUE"""),"スェンダー")</f>
        <v>スェンダー</v>
      </c>
      <c r="B689" s="10">
        <f>IFERROR(__xludf.DUMMYFUNCTION("""COMPUTED_VALUE"""),288.0)</f>
        <v>288</v>
      </c>
      <c r="C689" s="10">
        <f>IFERROR(__xludf.DUMMYFUNCTION("""COMPUTED_VALUE"""),3379.0)</f>
        <v>3379</v>
      </c>
      <c r="D689" s="5">
        <f>IFERROR(__xludf.DUMMYFUNCTION("""COMPUTED_VALUE"""),0.30604982206405695)</f>
        <v>0.3060498221</v>
      </c>
      <c r="E689" s="5">
        <f>IFERROR(__xludf.DUMMYFUNCTION("""COMPUTED_VALUE"""),0.14493691362018765)</f>
        <v>0.1449369136</v>
      </c>
      <c r="F689" s="5">
        <f>IFERROR(__xludf.DUMMYFUNCTION("""COMPUTED_VALUE"""),0.20931737301844064)</f>
        <v>0.209317373</v>
      </c>
      <c r="G689" s="5">
        <f>IFERROR(__xludf.DUMMYFUNCTION("""COMPUTED_VALUE"""),0.1769653833710773)</f>
        <v>0.1769653834</v>
      </c>
      <c r="H689" s="5">
        <f>IFERROR(__xludf.DUMMYFUNCTION("""COMPUTED_VALUE"""),0.5533230293663061)</f>
        <v>0.5533230294</v>
      </c>
      <c r="I689" s="11">
        <f>IFERROR(__xludf.DUMMYFUNCTION("""COMPUTED_VALUE"""),5618.238021638331)</f>
        <v>5618.238022</v>
      </c>
      <c r="J689" s="10">
        <f>IFERROR(__xludf.DUMMYFUNCTION("""COMPUTED_VALUE"""),0.0)</f>
        <v>0</v>
      </c>
      <c r="K689" s="5">
        <f>IFERROR(__xludf.DUMMYFUNCTION("""COMPUTED_VALUE"""),0.0)</f>
        <v>0</v>
      </c>
      <c r="L689" s="10">
        <f>IFERROR(__xludf.DUMMYFUNCTION("""COMPUTED_VALUE"""),288.0)</f>
        <v>288</v>
      </c>
      <c r="M689" s="5">
        <f>IFERROR(__xludf.DUMMYFUNCTION("""COMPUTED_VALUE"""),1.0)</f>
        <v>1</v>
      </c>
    </row>
    <row r="690">
      <c r="A690" s="10" t="str">
        <f>IFERROR(__xludf.DUMMYFUNCTION("""COMPUTED_VALUE"""),"アルマジロ１")</f>
        <v>アルマジロ１</v>
      </c>
      <c r="B690" s="10">
        <f>IFERROR(__xludf.DUMMYFUNCTION("""COMPUTED_VALUE"""),318.0)</f>
        <v>318</v>
      </c>
      <c r="C690" s="10">
        <f>IFERROR(__xludf.DUMMYFUNCTION("""COMPUTED_VALUE"""),3623.0)</f>
        <v>3623</v>
      </c>
      <c r="D690" s="5">
        <f>IFERROR(__xludf.DUMMYFUNCTION("""COMPUTED_VALUE"""),0.33373676248108924)</f>
        <v>0.3337367625</v>
      </c>
      <c r="E690" s="5">
        <f>IFERROR(__xludf.DUMMYFUNCTION("""COMPUTED_VALUE"""),0.1449319213313162)</f>
        <v>0.1449319213</v>
      </c>
      <c r="F690" s="5">
        <f>IFERROR(__xludf.DUMMYFUNCTION("""COMPUTED_VALUE"""),0.21936459909228442)</f>
        <v>0.2193645991</v>
      </c>
      <c r="G690" s="5">
        <f>IFERROR(__xludf.DUMMYFUNCTION("""COMPUTED_VALUE"""),0.23055975794251135)</f>
        <v>0.2305597579</v>
      </c>
      <c r="H690" s="5">
        <f>IFERROR(__xludf.DUMMYFUNCTION("""COMPUTED_VALUE"""),0.5875862068965517)</f>
        <v>0.5875862069</v>
      </c>
      <c r="I690" s="11">
        <f>IFERROR(__xludf.DUMMYFUNCTION("""COMPUTED_VALUE"""),6111.310344827586)</f>
        <v>6111.310345</v>
      </c>
      <c r="J690" s="10">
        <f>IFERROR(__xludf.DUMMYFUNCTION("""COMPUTED_VALUE"""),3.0)</f>
        <v>3</v>
      </c>
      <c r="K690" s="5">
        <f>IFERROR(__xludf.DUMMYFUNCTION("""COMPUTED_VALUE"""),0.009433962264150943)</f>
        <v>0.009433962264</v>
      </c>
      <c r="L690" s="10">
        <f>IFERROR(__xludf.DUMMYFUNCTION("""COMPUTED_VALUE"""),318.0)</f>
        <v>318</v>
      </c>
      <c r="M690" s="5">
        <f>IFERROR(__xludf.DUMMYFUNCTION("""COMPUTED_VALUE"""),1.0)</f>
        <v>1</v>
      </c>
    </row>
    <row r="691">
      <c r="A691" s="10" t="str">
        <f>IFERROR(__xludf.DUMMYFUNCTION("""COMPUTED_VALUE"""),"Hurley")</f>
        <v>Hurley</v>
      </c>
      <c r="B691" s="10">
        <f>IFERROR(__xludf.DUMMYFUNCTION("""COMPUTED_VALUE"""),287.0)</f>
        <v>287</v>
      </c>
      <c r="C691" s="10">
        <f>IFERROR(__xludf.DUMMYFUNCTION("""COMPUTED_VALUE"""),3413.0)</f>
        <v>3413</v>
      </c>
      <c r="D691" s="5">
        <f>IFERROR(__xludf.DUMMYFUNCTION("""COMPUTED_VALUE"""),0.362763915547025)</f>
        <v>0.3627639155</v>
      </c>
      <c r="E691" s="5">
        <f>IFERROR(__xludf.DUMMYFUNCTION("""COMPUTED_VALUE"""),0.14491362763915547)</f>
        <v>0.1449136276</v>
      </c>
      <c r="F691" s="5">
        <f>IFERROR(__xludf.DUMMYFUNCTION("""COMPUTED_VALUE"""),0.22808701215611005)</f>
        <v>0.2280870122</v>
      </c>
      <c r="G691" s="5">
        <f>IFERROR(__xludf.DUMMYFUNCTION("""COMPUTED_VALUE"""),0.16826615483045426)</f>
        <v>0.1682661548</v>
      </c>
      <c r="H691" s="5">
        <f>IFERROR(__xludf.DUMMYFUNCTION("""COMPUTED_VALUE"""),0.5904628330995793)</f>
        <v>0.5904628331</v>
      </c>
      <c r="I691" s="11">
        <f>IFERROR(__xludf.DUMMYFUNCTION("""COMPUTED_VALUE"""),5539.971949509117)</f>
        <v>5539.97195</v>
      </c>
      <c r="J691" s="10">
        <f>IFERROR(__xludf.DUMMYFUNCTION("""COMPUTED_VALUE"""),3.0)</f>
        <v>3</v>
      </c>
      <c r="K691" s="5">
        <f>IFERROR(__xludf.DUMMYFUNCTION("""COMPUTED_VALUE"""),0.010452961672473868)</f>
        <v>0.01045296167</v>
      </c>
      <c r="L691" s="10">
        <f>IFERROR(__xludf.DUMMYFUNCTION("""COMPUTED_VALUE"""),287.0)</f>
        <v>287</v>
      </c>
      <c r="M691" s="5">
        <f>IFERROR(__xludf.DUMMYFUNCTION("""COMPUTED_VALUE"""),1.0)</f>
        <v>1</v>
      </c>
    </row>
    <row r="692">
      <c r="A692" s="10" t="str">
        <f>IFERROR(__xludf.DUMMYFUNCTION("""COMPUTED_VALUE"""),"ペッチョリン")</f>
        <v>ペッチョリン</v>
      </c>
      <c r="B692" s="10">
        <f>IFERROR(__xludf.DUMMYFUNCTION("""COMPUTED_VALUE"""),221.0)</f>
        <v>221</v>
      </c>
      <c r="C692" s="10">
        <f>IFERROR(__xludf.DUMMYFUNCTION("""COMPUTED_VALUE"""),2547.0)</f>
        <v>2547</v>
      </c>
      <c r="D692" s="5">
        <f>IFERROR(__xludf.DUMMYFUNCTION("""COMPUTED_VALUE"""),0.3555460017196905)</f>
        <v>0.3555460017</v>
      </c>
      <c r="E692" s="5">
        <f>IFERROR(__xludf.DUMMYFUNCTION("""COMPUTED_VALUE"""),0.14488392089423904)</f>
        <v>0.1448839209</v>
      </c>
      <c r="F692" s="5">
        <f>IFERROR(__xludf.DUMMYFUNCTION("""COMPUTED_VALUE"""),0.21969045571797077)</f>
        <v>0.2196904557</v>
      </c>
      <c r="G692" s="5">
        <f>IFERROR(__xludf.DUMMYFUNCTION("""COMPUTED_VALUE"""),0.177128116938951)</f>
        <v>0.1771281169</v>
      </c>
      <c r="H692" s="5">
        <f>IFERROR(__xludf.DUMMYFUNCTION("""COMPUTED_VALUE"""),0.5929549902152642)</f>
        <v>0.5929549902</v>
      </c>
      <c r="I692" s="11">
        <f>IFERROR(__xludf.DUMMYFUNCTION("""COMPUTED_VALUE"""),5738.747553816047)</f>
        <v>5738.747554</v>
      </c>
      <c r="J692" s="10">
        <f>IFERROR(__xludf.DUMMYFUNCTION("""COMPUTED_VALUE"""),0.0)</f>
        <v>0</v>
      </c>
      <c r="K692" s="5">
        <f>IFERROR(__xludf.DUMMYFUNCTION("""COMPUTED_VALUE"""),0.0)</f>
        <v>0</v>
      </c>
      <c r="L692" s="10">
        <f>IFERROR(__xludf.DUMMYFUNCTION("""COMPUTED_VALUE"""),111.0)</f>
        <v>111</v>
      </c>
      <c r="M692" s="5">
        <f>IFERROR(__xludf.DUMMYFUNCTION("""COMPUTED_VALUE"""),0.502262443438914)</f>
        <v>0.5022624434</v>
      </c>
    </row>
    <row r="693">
      <c r="A693" s="10" t="str">
        <f>IFERROR(__xludf.DUMMYFUNCTION("""COMPUTED_VALUE"""),"HeroC")</f>
        <v>HeroC</v>
      </c>
      <c r="B693" s="10">
        <f>IFERROR(__xludf.DUMMYFUNCTION("""COMPUTED_VALUE"""),145.0)</f>
        <v>145</v>
      </c>
      <c r="C693" s="10">
        <f>IFERROR(__xludf.DUMMYFUNCTION("""COMPUTED_VALUE"""),1698.0)</f>
        <v>1698</v>
      </c>
      <c r="D693" s="5">
        <f>IFERROR(__xludf.DUMMYFUNCTION("""COMPUTED_VALUE"""),0.39987121699935607)</f>
        <v>0.399871217</v>
      </c>
      <c r="E693" s="5">
        <f>IFERROR(__xludf.DUMMYFUNCTION("""COMPUTED_VALUE"""),0.1448808757244044)</f>
        <v>0.1448808757</v>
      </c>
      <c r="F693" s="5">
        <f>IFERROR(__xludf.DUMMYFUNCTION("""COMPUTED_VALUE"""),0.2298776561493883)</f>
        <v>0.2298776561</v>
      </c>
      <c r="G693" s="5">
        <f>IFERROR(__xludf.DUMMYFUNCTION("""COMPUTED_VALUE"""),0.1442369607211848)</f>
        <v>0.1442369607</v>
      </c>
      <c r="H693" s="5">
        <f>IFERROR(__xludf.DUMMYFUNCTION("""COMPUTED_VALUE"""),0.6778711484593838)</f>
        <v>0.6778711485</v>
      </c>
      <c r="I693" s="11">
        <f>IFERROR(__xludf.DUMMYFUNCTION("""COMPUTED_VALUE"""),4870.028011204482)</f>
        <v>4870.028011</v>
      </c>
      <c r="J693" s="10">
        <f>IFERROR(__xludf.DUMMYFUNCTION("""COMPUTED_VALUE"""),0.0)</f>
        <v>0</v>
      </c>
      <c r="K693" s="5">
        <f>IFERROR(__xludf.DUMMYFUNCTION("""COMPUTED_VALUE"""),0.0)</f>
        <v>0</v>
      </c>
      <c r="L693" s="10">
        <f>IFERROR(__xludf.DUMMYFUNCTION("""COMPUTED_VALUE"""),145.0)</f>
        <v>145</v>
      </c>
      <c r="M693" s="5">
        <f>IFERROR(__xludf.DUMMYFUNCTION("""COMPUTED_VALUE"""),1.0)</f>
        <v>1</v>
      </c>
    </row>
    <row r="694">
      <c r="A694" s="10" t="str">
        <f>IFERROR(__xludf.DUMMYFUNCTION("""COMPUTED_VALUE"""),"どいーん")</f>
        <v>どいーん</v>
      </c>
      <c r="B694" s="10">
        <f>IFERROR(__xludf.DUMMYFUNCTION("""COMPUTED_VALUE"""),4166.0)</f>
        <v>4166</v>
      </c>
      <c r="C694" s="10">
        <f>IFERROR(__xludf.DUMMYFUNCTION("""COMPUTED_VALUE"""),48364.0)</f>
        <v>48364</v>
      </c>
      <c r="D694" s="5">
        <f>IFERROR(__xludf.DUMMYFUNCTION("""COMPUTED_VALUE"""),0.29639350196841485)</f>
        <v>0.296393502</v>
      </c>
      <c r="E694" s="5">
        <f>IFERROR(__xludf.DUMMYFUNCTION("""COMPUTED_VALUE"""),0.14487080863387483)</f>
        <v>0.1448708086</v>
      </c>
      <c r="F694" s="5">
        <f>IFERROR(__xludf.DUMMYFUNCTION("""COMPUTED_VALUE"""),0.21797366396669532)</f>
        <v>0.217973664</v>
      </c>
      <c r="G694" s="5">
        <f>IFERROR(__xludf.DUMMYFUNCTION("""COMPUTED_VALUE"""),0.16154577130186887)</f>
        <v>0.1615457713</v>
      </c>
      <c r="H694" s="5">
        <f>IFERROR(__xludf.DUMMYFUNCTION("""COMPUTED_VALUE"""),0.6093003944363712)</f>
        <v>0.6093003944</v>
      </c>
      <c r="I694" s="11">
        <f>IFERROR(__xludf.DUMMYFUNCTION("""COMPUTED_VALUE"""),5644.353331949346)</f>
        <v>5644.353332</v>
      </c>
      <c r="J694" s="10">
        <f>IFERROR(__xludf.DUMMYFUNCTION("""COMPUTED_VALUE"""),12.0)</f>
        <v>12</v>
      </c>
      <c r="K694" s="5">
        <f>IFERROR(__xludf.DUMMYFUNCTION("""COMPUTED_VALUE"""),0.0028804608737397984)</f>
        <v>0.002880460874</v>
      </c>
      <c r="L694" s="10">
        <f>IFERROR(__xludf.DUMMYFUNCTION("""COMPUTED_VALUE"""),4166.0)</f>
        <v>4166</v>
      </c>
      <c r="M694" s="5">
        <f>IFERROR(__xludf.DUMMYFUNCTION("""COMPUTED_VALUE"""),1.0)</f>
        <v>1</v>
      </c>
    </row>
    <row r="695">
      <c r="A695" s="10" t="str">
        <f>IFERROR(__xludf.DUMMYFUNCTION("""COMPUTED_VALUE"""),"神田先生")</f>
        <v>神田先生</v>
      </c>
      <c r="B695" s="10">
        <f>IFERROR(__xludf.DUMMYFUNCTION("""COMPUTED_VALUE"""),185.0)</f>
        <v>185</v>
      </c>
      <c r="C695" s="10">
        <f>IFERROR(__xludf.DUMMYFUNCTION("""COMPUTED_VALUE"""),2180.0)</f>
        <v>2180</v>
      </c>
      <c r="D695" s="5">
        <f>IFERROR(__xludf.DUMMYFUNCTION("""COMPUTED_VALUE"""),0.31528822055137845)</f>
        <v>0.3152882206</v>
      </c>
      <c r="E695" s="5">
        <f>IFERROR(__xludf.DUMMYFUNCTION("""COMPUTED_VALUE"""),0.14486215538847116)</f>
        <v>0.1448621554</v>
      </c>
      <c r="F695" s="5">
        <f>IFERROR(__xludf.DUMMYFUNCTION("""COMPUTED_VALUE"""),0.21253132832080202)</f>
        <v>0.2125313283</v>
      </c>
      <c r="G695" s="5">
        <f>IFERROR(__xludf.DUMMYFUNCTION("""COMPUTED_VALUE"""),0.1774436090225564)</f>
        <v>0.177443609</v>
      </c>
      <c r="H695" s="5">
        <f>IFERROR(__xludf.DUMMYFUNCTION("""COMPUTED_VALUE"""),0.5966981132075472)</f>
        <v>0.5966981132</v>
      </c>
      <c r="I695" s="11">
        <f>IFERROR(__xludf.DUMMYFUNCTION("""COMPUTED_VALUE"""),5450.471698113208)</f>
        <v>5450.471698</v>
      </c>
      <c r="J695" s="10">
        <f>IFERROR(__xludf.DUMMYFUNCTION("""COMPUTED_VALUE"""),1.0)</f>
        <v>1</v>
      </c>
      <c r="K695" s="5">
        <f>IFERROR(__xludf.DUMMYFUNCTION("""COMPUTED_VALUE"""),0.005405405405405406)</f>
        <v>0.005405405405</v>
      </c>
      <c r="L695" s="10">
        <f>IFERROR(__xludf.DUMMYFUNCTION("""COMPUTED_VALUE"""),185.0)</f>
        <v>185</v>
      </c>
      <c r="M695" s="5">
        <f>IFERROR(__xludf.DUMMYFUNCTION("""COMPUTED_VALUE"""),1.0)</f>
        <v>1</v>
      </c>
    </row>
    <row r="696">
      <c r="A696" s="10" t="str">
        <f>IFERROR(__xludf.DUMMYFUNCTION("""COMPUTED_VALUE"""),"大大岡山＠横浜")</f>
        <v>大大岡山＠横浜</v>
      </c>
      <c r="B696" s="10">
        <f>IFERROR(__xludf.DUMMYFUNCTION("""COMPUTED_VALUE"""),257.0)</f>
        <v>257</v>
      </c>
      <c r="C696" s="10">
        <f>IFERROR(__xludf.DUMMYFUNCTION("""COMPUTED_VALUE"""),3046.0)</f>
        <v>3046</v>
      </c>
      <c r="D696" s="5">
        <f>IFERROR(__xludf.DUMMYFUNCTION("""COMPUTED_VALUE"""),0.3556830405163141)</f>
        <v>0.3556830405</v>
      </c>
      <c r="E696" s="5">
        <f>IFERROR(__xludf.DUMMYFUNCTION("""COMPUTED_VALUE"""),0.14485478666188598)</f>
        <v>0.1448547867</v>
      </c>
      <c r="F696" s="5">
        <f>IFERROR(__xludf.DUMMYFUNCTION("""COMPUTED_VALUE"""),0.2093940480458946)</f>
        <v>0.209394048</v>
      </c>
      <c r="G696" s="5">
        <f>IFERROR(__xludf.DUMMYFUNCTION("""COMPUTED_VALUE"""),0.20329867335962712)</f>
        <v>0.2032986734</v>
      </c>
      <c r="H696" s="5">
        <f>IFERROR(__xludf.DUMMYFUNCTION("""COMPUTED_VALUE"""),0.6078767123287672)</f>
        <v>0.6078767123</v>
      </c>
      <c r="I696" s="11">
        <f>IFERROR(__xludf.DUMMYFUNCTION("""COMPUTED_VALUE"""),6178.595890410959)</f>
        <v>6178.59589</v>
      </c>
      <c r="J696" s="10">
        <f>IFERROR(__xludf.DUMMYFUNCTION("""COMPUTED_VALUE"""),1.0)</f>
        <v>1</v>
      </c>
      <c r="K696" s="5">
        <f>IFERROR(__xludf.DUMMYFUNCTION("""COMPUTED_VALUE"""),0.0038910505836575876)</f>
        <v>0.003891050584</v>
      </c>
      <c r="L696" s="10">
        <f>IFERROR(__xludf.DUMMYFUNCTION("""COMPUTED_VALUE"""),257.0)</f>
        <v>257</v>
      </c>
      <c r="M696" s="5">
        <f>IFERROR(__xludf.DUMMYFUNCTION("""COMPUTED_VALUE"""),1.0)</f>
        <v>1</v>
      </c>
    </row>
    <row r="697">
      <c r="A697" s="10" t="str">
        <f>IFERROR(__xludf.DUMMYFUNCTION("""COMPUTED_VALUE"""),"chonji")</f>
        <v>chonji</v>
      </c>
      <c r="B697" s="10">
        <f>IFERROR(__xludf.DUMMYFUNCTION("""COMPUTED_VALUE"""),2210.0)</f>
        <v>2210</v>
      </c>
      <c r="C697" s="10">
        <f>IFERROR(__xludf.DUMMYFUNCTION("""COMPUTED_VALUE"""),25663.0)</f>
        <v>25663</v>
      </c>
      <c r="D697" s="5">
        <f>IFERROR(__xludf.DUMMYFUNCTION("""COMPUTED_VALUE"""),0.34409244019954804)</f>
        <v>0.3440924402</v>
      </c>
      <c r="E697" s="5">
        <f>IFERROR(__xludf.DUMMYFUNCTION("""COMPUTED_VALUE"""),0.1448428772438494)</f>
        <v>0.1448428772</v>
      </c>
      <c r="F697" s="5">
        <f>IFERROR(__xludf.DUMMYFUNCTION("""COMPUTED_VALUE"""),0.216646058073594)</f>
        <v>0.2166460581</v>
      </c>
      <c r="G697" s="5">
        <f>IFERROR(__xludf.DUMMYFUNCTION("""COMPUTED_VALUE"""),0.1831322218905897)</f>
        <v>0.1831322219</v>
      </c>
      <c r="H697" s="5">
        <f>IFERROR(__xludf.DUMMYFUNCTION("""COMPUTED_VALUE"""),0.6166109033654792)</f>
        <v>0.6166109034</v>
      </c>
      <c r="I697" s="11">
        <f>IFERROR(__xludf.DUMMYFUNCTION("""COMPUTED_VALUE"""),5655.126943515056)</f>
        <v>5655.126944</v>
      </c>
      <c r="J697" s="10">
        <f>IFERROR(__xludf.DUMMYFUNCTION("""COMPUTED_VALUE"""),8.0)</f>
        <v>8</v>
      </c>
      <c r="K697" s="5">
        <f>IFERROR(__xludf.DUMMYFUNCTION("""COMPUTED_VALUE"""),0.0036199095022624436)</f>
        <v>0.003619909502</v>
      </c>
      <c r="L697" s="10">
        <f>IFERROR(__xludf.DUMMYFUNCTION("""COMPUTED_VALUE"""),2210.0)</f>
        <v>2210</v>
      </c>
      <c r="M697" s="5">
        <f>IFERROR(__xludf.DUMMYFUNCTION("""COMPUTED_VALUE"""),1.0)</f>
        <v>1</v>
      </c>
    </row>
    <row r="698">
      <c r="A698" s="10" t="str">
        <f>IFERROR(__xludf.DUMMYFUNCTION("""COMPUTED_VALUE"""),"しみっちゃん")</f>
        <v>しみっちゃん</v>
      </c>
      <c r="B698" s="10">
        <f>IFERROR(__xludf.DUMMYFUNCTION("""COMPUTED_VALUE"""),127.0)</f>
        <v>127</v>
      </c>
      <c r="C698" s="10">
        <f>IFERROR(__xludf.DUMMYFUNCTION("""COMPUTED_VALUE"""),1425.0)</f>
        <v>1425</v>
      </c>
      <c r="D698" s="5">
        <f>IFERROR(__xludf.DUMMYFUNCTION("""COMPUTED_VALUE"""),0.20724191063174113)</f>
        <v>0.2072419106</v>
      </c>
      <c r="E698" s="5">
        <f>IFERROR(__xludf.DUMMYFUNCTION("""COMPUTED_VALUE"""),0.1448382126348228)</f>
        <v>0.1448382126</v>
      </c>
      <c r="F698" s="5">
        <f>IFERROR(__xludf.DUMMYFUNCTION("""COMPUTED_VALUE"""),0.1810477657935285)</f>
        <v>0.1810477658</v>
      </c>
      <c r="G698" s="5">
        <f>IFERROR(__xludf.DUMMYFUNCTION("""COMPUTED_VALUE"""),0.174884437596302)</f>
        <v>0.1748844376</v>
      </c>
      <c r="H698" s="5">
        <f>IFERROR(__xludf.DUMMYFUNCTION("""COMPUTED_VALUE"""),0.5787234042553191)</f>
        <v>0.5787234043</v>
      </c>
      <c r="I698" s="11">
        <f>IFERROR(__xludf.DUMMYFUNCTION("""COMPUTED_VALUE"""),6487.234042553191)</f>
        <v>6487.234043</v>
      </c>
      <c r="J698" s="10">
        <f>IFERROR(__xludf.DUMMYFUNCTION("""COMPUTED_VALUE"""),0.0)</f>
        <v>0</v>
      </c>
      <c r="K698" s="5">
        <f>IFERROR(__xludf.DUMMYFUNCTION("""COMPUTED_VALUE"""),0.0)</f>
        <v>0</v>
      </c>
      <c r="L698" s="10">
        <f>IFERROR(__xludf.DUMMYFUNCTION("""COMPUTED_VALUE"""),127.0)</f>
        <v>127</v>
      </c>
      <c r="M698" s="5">
        <f>IFERROR(__xludf.DUMMYFUNCTION("""COMPUTED_VALUE"""),1.0)</f>
        <v>1</v>
      </c>
    </row>
    <row r="699">
      <c r="A699" s="10" t="str">
        <f>IFERROR(__xludf.DUMMYFUNCTION("""COMPUTED_VALUE"""),"怒りのしばやん")</f>
        <v>怒りのしばやん</v>
      </c>
      <c r="B699" s="10">
        <f>IFERROR(__xludf.DUMMYFUNCTION("""COMPUTED_VALUE"""),133.0)</f>
        <v>133</v>
      </c>
      <c r="C699" s="10">
        <f>IFERROR(__xludf.DUMMYFUNCTION("""COMPUTED_VALUE"""),1556.0)</f>
        <v>1556</v>
      </c>
      <c r="D699" s="5">
        <f>IFERROR(__xludf.DUMMYFUNCTION("""COMPUTED_VALUE"""),0.3408292340126493)</f>
        <v>0.340829234</v>
      </c>
      <c r="E699" s="5">
        <f>IFERROR(__xludf.DUMMYFUNCTION("""COMPUTED_VALUE"""),0.14476458186929023)</f>
        <v>0.1447645819</v>
      </c>
      <c r="F699" s="5">
        <f>IFERROR(__xludf.DUMMYFUNCTION("""COMPUTED_VALUE"""),0.2206605762473647)</f>
        <v>0.2206605762</v>
      </c>
      <c r="G699" s="5">
        <f>IFERROR(__xludf.DUMMYFUNCTION("""COMPUTED_VALUE"""),0.17990161630358398)</f>
        <v>0.1799016163</v>
      </c>
      <c r="H699" s="5">
        <f>IFERROR(__xludf.DUMMYFUNCTION("""COMPUTED_VALUE"""),0.5955414012738853)</f>
        <v>0.5955414013</v>
      </c>
      <c r="I699" s="11">
        <f>IFERROR(__xludf.DUMMYFUNCTION("""COMPUTED_VALUE"""),5606.6878980891715)</f>
        <v>5606.687898</v>
      </c>
      <c r="J699" s="10">
        <f>IFERROR(__xludf.DUMMYFUNCTION("""COMPUTED_VALUE"""),0.0)</f>
        <v>0</v>
      </c>
      <c r="K699" s="5">
        <f>IFERROR(__xludf.DUMMYFUNCTION("""COMPUTED_VALUE"""),0.0)</f>
        <v>0</v>
      </c>
      <c r="L699" s="10">
        <f>IFERROR(__xludf.DUMMYFUNCTION("""COMPUTED_VALUE"""),133.0)</f>
        <v>133</v>
      </c>
      <c r="M699" s="5">
        <f>IFERROR(__xludf.DUMMYFUNCTION("""COMPUTED_VALUE"""),1.0)</f>
        <v>1</v>
      </c>
    </row>
    <row r="700">
      <c r="A700" s="10" t="str">
        <f>IFERROR(__xludf.DUMMYFUNCTION("""COMPUTED_VALUE"""),"えびチリ４")</f>
        <v>えびチリ４</v>
      </c>
      <c r="B700" s="10">
        <f>IFERROR(__xludf.DUMMYFUNCTION("""COMPUTED_VALUE"""),156.0)</f>
        <v>156</v>
      </c>
      <c r="C700" s="10">
        <f>IFERROR(__xludf.DUMMYFUNCTION("""COMPUTED_VALUE"""),1807.0)</f>
        <v>1807</v>
      </c>
      <c r="D700" s="5">
        <f>IFERROR(__xludf.DUMMYFUNCTION("""COMPUTED_VALUE"""),0.3349485160508783)</f>
        <v>0.3349485161</v>
      </c>
      <c r="E700" s="5">
        <f>IFERROR(__xludf.DUMMYFUNCTION("""COMPUTED_VALUE"""),0.14476075105996367)</f>
        <v>0.1447607511</v>
      </c>
      <c r="F700" s="5">
        <f>IFERROR(__xludf.DUMMYFUNCTION("""COMPUTED_VALUE"""),0.1956390066626287)</f>
        <v>0.1956390067</v>
      </c>
      <c r="G700" s="5">
        <f>IFERROR(__xludf.DUMMYFUNCTION("""COMPUTED_VALUE"""),0.14960629921259844)</f>
        <v>0.1496062992</v>
      </c>
      <c r="H700" s="5">
        <f>IFERROR(__xludf.DUMMYFUNCTION("""COMPUTED_VALUE"""),0.6439628482972136)</f>
        <v>0.6439628483</v>
      </c>
      <c r="I700" s="11">
        <f>IFERROR(__xludf.DUMMYFUNCTION("""COMPUTED_VALUE"""),5818.575851393189)</f>
        <v>5818.575851</v>
      </c>
      <c r="J700" s="10">
        <f>IFERROR(__xludf.DUMMYFUNCTION("""COMPUTED_VALUE"""),1.0)</f>
        <v>1</v>
      </c>
      <c r="K700" s="5">
        <f>IFERROR(__xludf.DUMMYFUNCTION("""COMPUTED_VALUE"""),0.00641025641025641)</f>
        <v>0.00641025641</v>
      </c>
      <c r="L700" s="10">
        <f>IFERROR(__xludf.DUMMYFUNCTION("""COMPUTED_VALUE"""),156.0)</f>
        <v>156</v>
      </c>
      <c r="M700" s="5">
        <f>IFERROR(__xludf.DUMMYFUNCTION("""COMPUTED_VALUE"""),1.0)</f>
        <v>1</v>
      </c>
    </row>
    <row r="701">
      <c r="A701" s="10" t="str">
        <f>IFERROR(__xludf.DUMMYFUNCTION("""COMPUTED_VALUE"""),"肉☆棒太郎")</f>
        <v>肉☆棒太郎</v>
      </c>
      <c r="B701" s="10">
        <f>IFERROR(__xludf.DUMMYFUNCTION("""COMPUTED_VALUE"""),1225.0)</f>
        <v>1225</v>
      </c>
      <c r="C701" s="10">
        <f>IFERROR(__xludf.DUMMYFUNCTION("""COMPUTED_VALUE"""),14458.0)</f>
        <v>14458</v>
      </c>
      <c r="D701" s="5">
        <f>IFERROR(__xludf.DUMMYFUNCTION("""COMPUTED_VALUE"""),0.3987757878032192)</f>
        <v>0.3987757878</v>
      </c>
      <c r="E701" s="5">
        <f>IFERROR(__xludf.DUMMYFUNCTION("""COMPUTED_VALUE"""),0.1447139726441472)</f>
        <v>0.1447139726</v>
      </c>
      <c r="F701" s="5">
        <f>IFERROR(__xludf.DUMMYFUNCTION("""COMPUTED_VALUE"""),0.21438827174488023)</f>
        <v>0.2143882717</v>
      </c>
      <c r="G701" s="5">
        <f>IFERROR(__xludf.DUMMYFUNCTION("""COMPUTED_VALUE"""),0.14002871608856646)</f>
        <v>0.1400287161</v>
      </c>
      <c r="H701" s="5">
        <f>IFERROR(__xludf.DUMMYFUNCTION("""COMPUTED_VALUE"""),0.6161438138879097)</f>
        <v>0.6161438139</v>
      </c>
      <c r="I701" s="11">
        <f>IFERROR(__xludf.DUMMYFUNCTION("""COMPUTED_VALUE"""),5477.652449770885)</f>
        <v>5477.65245</v>
      </c>
      <c r="J701" s="10">
        <f>IFERROR(__xludf.DUMMYFUNCTION("""COMPUTED_VALUE"""),5.0)</f>
        <v>5</v>
      </c>
      <c r="K701" s="5">
        <f>IFERROR(__xludf.DUMMYFUNCTION("""COMPUTED_VALUE"""),0.004081632653061225)</f>
        <v>0.004081632653</v>
      </c>
      <c r="L701" s="10">
        <f>IFERROR(__xludf.DUMMYFUNCTION("""COMPUTED_VALUE"""),1225.0)</f>
        <v>1225</v>
      </c>
      <c r="M701" s="5">
        <f>IFERROR(__xludf.DUMMYFUNCTION("""COMPUTED_VALUE"""),1.0)</f>
        <v>1</v>
      </c>
    </row>
    <row r="702">
      <c r="A702" s="10" t="str">
        <f>IFERROR(__xludf.DUMMYFUNCTION("""COMPUTED_VALUE"""),"†園城寺怜†")</f>
        <v>†園城寺怜†</v>
      </c>
      <c r="B702" s="10">
        <f>IFERROR(__xludf.DUMMYFUNCTION("""COMPUTED_VALUE"""),436.0)</f>
        <v>436</v>
      </c>
      <c r="C702" s="10">
        <f>IFERROR(__xludf.DUMMYFUNCTION("""COMPUTED_VALUE"""),5094.0)</f>
        <v>5094</v>
      </c>
      <c r="D702" s="5">
        <f>IFERROR(__xludf.DUMMYFUNCTION("""COMPUTED_VALUE"""),0.3920137398024903)</f>
        <v>0.3920137398</v>
      </c>
      <c r="E702" s="5">
        <f>IFERROR(__xludf.DUMMYFUNCTION("""COMPUTED_VALUE"""),0.14469729497638473)</f>
        <v>0.144697295</v>
      </c>
      <c r="F702" s="5">
        <f>IFERROR(__xludf.DUMMYFUNCTION("""COMPUTED_VALUE"""),0.23100042936882784)</f>
        <v>0.2310004294</v>
      </c>
      <c r="G702" s="5">
        <f>IFERROR(__xludf.DUMMYFUNCTION("""COMPUTED_VALUE"""),0.1799055388578789)</f>
        <v>0.1799055389</v>
      </c>
      <c r="H702" s="5">
        <f>IFERROR(__xludf.DUMMYFUNCTION("""COMPUTED_VALUE"""),0.5994423791821561)</f>
        <v>0.5994423792</v>
      </c>
      <c r="I702" s="11">
        <f>IFERROR(__xludf.DUMMYFUNCTION("""COMPUTED_VALUE"""),5288.289962825279)</f>
        <v>5288.289963</v>
      </c>
      <c r="J702" s="10">
        <f>IFERROR(__xludf.DUMMYFUNCTION("""COMPUTED_VALUE"""),1.0)</f>
        <v>1</v>
      </c>
      <c r="K702" s="5">
        <f>IFERROR(__xludf.DUMMYFUNCTION("""COMPUTED_VALUE"""),0.0022935779816513763)</f>
        <v>0.002293577982</v>
      </c>
      <c r="L702" s="10">
        <f>IFERROR(__xludf.DUMMYFUNCTION("""COMPUTED_VALUE"""),343.0)</f>
        <v>343</v>
      </c>
      <c r="M702" s="5">
        <f>IFERROR(__xludf.DUMMYFUNCTION("""COMPUTED_VALUE"""),0.786697247706422)</f>
        <v>0.7866972477</v>
      </c>
    </row>
    <row r="703">
      <c r="A703" s="10" t="str">
        <f>IFERROR(__xludf.DUMMYFUNCTION("""COMPUTED_VALUE"""),"サンマ道楽代表")</f>
        <v>サンマ道楽代表</v>
      </c>
      <c r="B703" s="10">
        <f>IFERROR(__xludf.DUMMYFUNCTION("""COMPUTED_VALUE"""),3296.0)</f>
        <v>3296</v>
      </c>
      <c r="C703" s="10">
        <f>IFERROR(__xludf.DUMMYFUNCTION("""COMPUTED_VALUE"""),38729.0)</f>
        <v>38729</v>
      </c>
      <c r="D703" s="5">
        <f>IFERROR(__xludf.DUMMYFUNCTION("""COMPUTED_VALUE"""),0.32478198289729915)</f>
        <v>0.3247819829</v>
      </c>
      <c r="E703" s="5">
        <f>IFERROR(__xludf.DUMMYFUNCTION("""COMPUTED_VALUE"""),0.14469562272457878)</f>
        <v>0.1446956227</v>
      </c>
      <c r="F703" s="5">
        <f>IFERROR(__xludf.DUMMYFUNCTION("""COMPUTED_VALUE"""),0.2160415431941975)</f>
        <v>0.2160415432</v>
      </c>
      <c r="G703" s="5">
        <f>IFERROR(__xludf.DUMMYFUNCTION("""COMPUTED_VALUE"""),0.1732283464566929)</f>
        <v>0.1732283465</v>
      </c>
      <c r="H703" s="5">
        <f>IFERROR(__xludf.DUMMYFUNCTION("""COMPUTED_VALUE"""),0.6039190071848465)</f>
        <v>0.6039190072</v>
      </c>
      <c r="I703" s="11">
        <f>IFERROR(__xludf.DUMMYFUNCTION("""COMPUTED_VALUE"""),6049.562377531025)</f>
        <v>6049.562378</v>
      </c>
      <c r="J703" s="10">
        <f>IFERROR(__xludf.DUMMYFUNCTION("""COMPUTED_VALUE"""),14.0)</f>
        <v>14</v>
      </c>
      <c r="K703" s="5">
        <f>IFERROR(__xludf.DUMMYFUNCTION("""COMPUTED_VALUE"""),0.00424757281553398)</f>
        <v>0.004247572816</v>
      </c>
      <c r="L703" s="10">
        <f>IFERROR(__xludf.DUMMYFUNCTION("""COMPUTED_VALUE"""),3296.0)</f>
        <v>3296</v>
      </c>
      <c r="M703" s="5">
        <f>IFERROR(__xludf.DUMMYFUNCTION("""COMPUTED_VALUE"""),1.0)</f>
        <v>1</v>
      </c>
    </row>
    <row r="704">
      <c r="A704" s="10" t="str">
        <f>IFERROR(__xludf.DUMMYFUNCTION("""COMPUTED_VALUE"""),"JIVANYAN")</f>
        <v>JIVANYAN</v>
      </c>
      <c r="B704" s="10">
        <f>IFERROR(__xludf.DUMMYFUNCTION("""COMPUTED_VALUE"""),355.0)</f>
        <v>355</v>
      </c>
      <c r="C704" s="10">
        <f>IFERROR(__xludf.DUMMYFUNCTION("""COMPUTED_VALUE"""),4143.0)</f>
        <v>4143</v>
      </c>
      <c r="D704" s="5">
        <f>IFERROR(__xludf.DUMMYFUNCTION("""COMPUTED_VALUE"""),0.31045406546990495)</f>
        <v>0.3104540655</v>
      </c>
      <c r="E704" s="5">
        <f>IFERROR(__xludf.DUMMYFUNCTION("""COMPUTED_VALUE"""),0.1446673706441394)</f>
        <v>0.1446673706</v>
      </c>
      <c r="F704" s="5">
        <f>IFERROR(__xludf.DUMMYFUNCTION("""COMPUTED_VALUE"""),0.20432946145723338)</f>
        <v>0.2043294615</v>
      </c>
      <c r="G704" s="5">
        <f>IFERROR(__xludf.DUMMYFUNCTION("""COMPUTED_VALUE"""),0.16948257655755017)</f>
        <v>0.1694825766</v>
      </c>
      <c r="H704" s="5">
        <f>IFERROR(__xludf.DUMMYFUNCTION("""COMPUTED_VALUE"""),0.5943152454780362)</f>
        <v>0.5943152455</v>
      </c>
      <c r="I704" s="11">
        <f>IFERROR(__xludf.DUMMYFUNCTION("""COMPUTED_VALUE"""),5844.8320413436695)</f>
        <v>5844.832041</v>
      </c>
      <c r="J704" s="10">
        <f>IFERROR(__xludf.DUMMYFUNCTION("""COMPUTED_VALUE"""),4.0)</f>
        <v>4</v>
      </c>
      <c r="K704" s="5">
        <f>IFERROR(__xludf.DUMMYFUNCTION("""COMPUTED_VALUE"""),0.011267605633802818)</f>
        <v>0.01126760563</v>
      </c>
      <c r="L704" s="10">
        <f>IFERROR(__xludf.DUMMYFUNCTION("""COMPUTED_VALUE"""),355.0)</f>
        <v>355</v>
      </c>
      <c r="M704" s="5">
        <f>IFERROR(__xludf.DUMMYFUNCTION("""COMPUTED_VALUE"""),1.0)</f>
        <v>1</v>
      </c>
    </row>
    <row r="705">
      <c r="A705" s="10" t="str">
        <f>IFERROR(__xludf.DUMMYFUNCTION("""COMPUTED_VALUE"""),"新人＠川村軍団")</f>
        <v>新人＠川村軍団</v>
      </c>
      <c r="B705" s="10">
        <f>IFERROR(__xludf.DUMMYFUNCTION("""COMPUTED_VALUE"""),212.0)</f>
        <v>212</v>
      </c>
      <c r="C705" s="10">
        <f>IFERROR(__xludf.DUMMYFUNCTION("""COMPUTED_VALUE"""),2507.0)</f>
        <v>2507</v>
      </c>
      <c r="D705" s="5">
        <f>IFERROR(__xludf.DUMMYFUNCTION("""COMPUTED_VALUE"""),0.32854030501089326)</f>
        <v>0.328540305</v>
      </c>
      <c r="E705" s="5">
        <f>IFERROR(__xludf.DUMMYFUNCTION("""COMPUTED_VALUE"""),0.14466230936819172)</f>
        <v>0.1446623094</v>
      </c>
      <c r="F705" s="5">
        <f>IFERROR(__xludf.DUMMYFUNCTION("""COMPUTED_VALUE"""),0.19782135076252724)</f>
        <v>0.1978213508</v>
      </c>
      <c r="G705" s="5">
        <f>IFERROR(__xludf.DUMMYFUNCTION("""COMPUTED_VALUE"""),0.18736383442265794)</f>
        <v>0.1873638344</v>
      </c>
      <c r="H705" s="5">
        <f>IFERROR(__xludf.DUMMYFUNCTION("""COMPUTED_VALUE"""),0.5616740088105727)</f>
        <v>0.5616740088</v>
      </c>
      <c r="I705" s="11">
        <f>IFERROR(__xludf.DUMMYFUNCTION("""COMPUTED_VALUE"""),5817.84140969163)</f>
        <v>5817.84141</v>
      </c>
      <c r="J705" s="10">
        <f>IFERROR(__xludf.DUMMYFUNCTION("""COMPUTED_VALUE"""),1.0)</f>
        <v>1</v>
      </c>
      <c r="K705" s="5">
        <f>IFERROR(__xludf.DUMMYFUNCTION("""COMPUTED_VALUE"""),0.0047169811320754715)</f>
        <v>0.004716981132</v>
      </c>
      <c r="L705" s="10">
        <f>IFERROR(__xludf.DUMMYFUNCTION("""COMPUTED_VALUE"""),212.0)</f>
        <v>212</v>
      </c>
      <c r="M705" s="5">
        <f>IFERROR(__xludf.DUMMYFUNCTION("""COMPUTED_VALUE"""),1.0)</f>
        <v>1</v>
      </c>
    </row>
    <row r="706">
      <c r="A706" s="10" t="str">
        <f>IFERROR(__xludf.DUMMYFUNCTION("""COMPUTED_VALUE"""),"tryloot")</f>
        <v>tryloot</v>
      </c>
      <c r="B706" s="10">
        <f>IFERROR(__xludf.DUMMYFUNCTION("""COMPUTED_VALUE"""),721.0)</f>
        <v>721</v>
      </c>
      <c r="C706" s="10">
        <f>IFERROR(__xludf.DUMMYFUNCTION("""COMPUTED_VALUE"""),8464.0)</f>
        <v>8464</v>
      </c>
      <c r="D706" s="5">
        <f>IFERROR(__xludf.DUMMYFUNCTION("""COMPUTED_VALUE"""),0.39609970295751)</f>
        <v>0.396099703</v>
      </c>
      <c r="E706" s="5">
        <f>IFERROR(__xludf.DUMMYFUNCTION("""COMPUTED_VALUE"""),0.14464677773472814)</f>
        <v>0.1446467777</v>
      </c>
      <c r="F706" s="5">
        <f>IFERROR(__xludf.DUMMYFUNCTION("""COMPUTED_VALUE"""),0.2103835722588144)</f>
        <v>0.2103835723</v>
      </c>
      <c r="G706" s="5">
        <f>IFERROR(__xludf.DUMMYFUNCTION("""COMPUTED_VALUE"""),0.16195273149941883)</f>
        <v>0.1619527315</v>
      </c>
      <c r="H706" s="5">
        <f>IFERROR(__xludf.DUMMYFUNCTION("""COMPUTED_VALUE"""),0.5997544505831799)</f>
        <v>0.5997544506</v>
      </c>
      <c r="I706" s="11">
        <f>IFERROR(__xludf.DUMMYFUNCTION("""COMPUTED_VALUE"""),5511.909146715777)</f>
        <v>5511.909147</v>
      </c>
      <c r="J706" s="10">
        <f>IFERROR(__xludf.DUMMYFUNCTION("""COMPUTED_VALUE"""),1.0)</f>
        <v>1</v>
      </c>
      <c r="K706" s="5">
        <f>IFERROR(__xludf.DUMMYFUNCTION("""COMPUTED_VALUE"""),0.0013869625520110957)</f>
        <v>0.001386962552</v>
      </c>
      <c r="L706" s="10">
        <f>IFERROR(__xludf.DUMMYFUNCTION("""COMPUTED_VALUE"""),721.0)</f>
        <v>721</v>
      </c>
      <c r="M706" s="5">
        <f>IFERROR(__xludf.DUMMYFUNCTION("""COMPUTED_VALUE"""),1.0)</f>
        <v>1</v>
      </c>
    </row>
    <row r="707">
      <c r="A707" s="10" t="str">
        <f>IFERROR(__xludf.DUMMYFUNCTION("""COMPUTED_VALUE"""),"タコ２５２５")</f>
        <v>タコ２５２５</v>
      </c>
      <c r="B707" s="10">
        <f>IFERROR(__xludf.DUMMYFUNCTION("""COMPUTED_VALUE"""),225.0)</f>
        <v>225</v>
      </c>
      <c r="C707" s="10">
        <f>IFERROR(__xludf.DUMMYFUNCTION("""COMPUTED_VALUE"""),2707.0)</f>
        <v>2707</v>
      </c>
      <c r="D707" s="5">
        <f>IFERROR(__xludf.DUMMYFUNCTION("""COMPUTED_VALUE"""),0.34730056406124094)</f>
        <v>0.3473005641</v>
      </c>
      <c r="E707" s="5">
        <f>IFERROR(__xludf.DUMMYFUNCTION("""COMPUTED_VALUE"""),0.14464141821112006)</f>
        <v>0.1446414182</v>
      </c>
      <c r="F707" s="5">
        <f>IFERROR(__xludf.DUMMYFUNCTION("""COMPUTED_VALUE"""),0.19661563255439163)</f>
        <v>0.1966156326</v>
      </c>
      <c r="G707" s="5">
        <f>IFERROR(__xludf.DUMMYFUNCTION("""COMPUTED_VALUE"""),0.1506849315068493)</f>
        <v>0.1506849315</v>
      </c>
      <c r="H707" s="5">
        <f>IFERROR(__xludf.DUMMYFUNCTION("""COMPUTED_VALUE"""),0.5942622950819673)</f>
        <v>0.5942622951</v>
      </c>
      <c r="I707" s="11">
        <f>IFERROR(__xludf.DUMMYFUNCTION("""COMPUTED_VALUE"""),5290.983606557377)</f>
        <v>5290.983607</v>
      </c>
      <c r="J707" s="10">
        <f>IFERROR(__xludf.DUMMYFUNCTION("""COMPUTED_VALUE"""),1.0)</f>
        <v>1</v>
      </c>
      <c r="K707" s="5">
        <f>IFERROR(__xludf.DUMMYFUNCTION("""COMPUTED_VALUE"""),0.0044444444444444444)</f>
        <v>0.004444444444</v>
      </c>
      <c r="L707" s="10">
        <f>IFERROR(__xludf.DUMMYFUNCTION("""COMPUTED_VALUE"""),225.0)</f>
        <v>225</v>
      </c>
      <c r="M707" s="5">
        <f>IFERROR(__xludf.DUMMYFUNCTION("""COMPUTED_VALUE"""),1.0)</f>
        <v>1</v>
      </c>
    </row>
    <row r="708">
      <c r="A708" s="10" t="str">
        <f>IFERROR(__xludf.DUMMYFUNCTION("""COMPUTED_VALUE"""),"研究学園")</f>
        <v>研究学園</v>
      </c>
      <c r="B708" s="10">
        <f>IFERROR(__xludf.DUMMYFUNCTION("""COMPUTED_VALUE"""),274.0)</f>
        <v>274</v>
      </c>
      <c r="C708" s="10">
        <f>IFERROR(__xludf.DUMMYFUNCTION("""COMPUTED_VALUE"""),3164.0)</f>
        <v>3164</v>
      </c>
      <c r="D708" s="5">
        <f>IFERROR(__xludf.DUMMYFUNCTION("""COMPUTED_VALUE"""),0.3768166089965398)</f>
        <v>0.376816609</v>
      </c>
      <c r="E708" s="5">
        <f>IFERROR(__xludf.DUMMYFUNCTION("""COMPUTED_VALUE"""),0.14463667820069204)</f>
        <v>0.1446366782</v>
      </c>
      <c r="F708" s="5">
        <f>IFERROR(__xludf.DUMMYFUNCTION("""COMPUTED_VALUE"""),0.23217993079584776)</f>
        <v>0.2321799308</v>
      </c>
      <c r="G708" s="5">
        <f>IFERROR(__xludf.DUMMYFUNCTION("""COMPUTED_VALUE"""),0.20069204152249134)</f>
        <v>0.2006920415</v>
      </c>
      <c r="H708" s="5">
        <f>IFERROR(__xludf.DUMMYFUNCTION("""COMPUTED_VALUE"""),0.6289120715350224)</f>
        <v>0.6289120715</v>
      </c>
      <c r="I708" s="11">
        <f>IFERROR(__xludf.DUMMYFUNCTION("""COMPUTED_VALUE"""),5532.488822652757)</f>
        <v>5532.488823</v>
      </c>
      <c r="J708" s="10">
        <f>IFERROR(__xludf.DUMMYFUNCTION("""COMPUTED_VALUE"""),1.0)</f>
        <v>1</v>
      </c>
      <c r="K708" s="5">
        <f>IFERROR(__xludf.DUMMYFUNCTION("""COMPUTED_VALUE"""),0.0036496350364963502)</f>
        <v>0.003649635036</v>
      </c>
      <c r="L708" s="10">
        <f>IFERROR(__xludf.DUMMYFUNCTION("""COMPUTED_VALUE"""),274.0)</f>
        <v>274</v>
      </c>
      <c r="M708" s="5">
        <f>IFERROR(__xludf.DUMMYFUNCTION("""COMPUTED_VALUE"""),1.0)</f>
        <v>1</v>
      </c>
    </row>
    <row r="709">
      <c r="A709" s="10" t="str">
        <f>IFERROR(__xludf.DUMMYFUNCTION("""COMPUTED_VALUE"""),"那奈パパ")</f>
        <v>那奈パパ</v>
      </c>
      <c r="B709" s="10">
        <f>IFERROR(__xludf.DUMMYFUNCTION("""COMPUTED_VALUE"""),127.0)</f>
        <v>127</v>
      </c>
      <c r="C709" s="10">
        <f>IFERROR(__xludf.DUMMYFUNCTION("""COMPUTED_VALUE"""),1503.0)</f>
        <v>1503</v>
      </c>
      <c r="D709" s="5">
        <f>IFERROR(__xludf.DUMMYFUNCTION("""COMPUTED_VALUE"""),0.3321220930232558)</f>
        <v>0.332122093</v>
      </c>
      <c r="E709" s="5">
        <f>IFERROR(__xludf.DUMMYFUNCTION("""COMPUTED_VALUE"""),0.14462209302325582)</f>
        <v>0.144622093</v>
      </c>
      <c r="F709" s="5">
        <f>IFERROR(__xludf.DUMMYFUNCTION("""COMPUTED_VALUE"""),0.20784883720930233)</f>
        <v>0.2078488372</v>
      </c>
      <c r="G709" s="5">
        <f>IFERROR(__xludf.DUMMYFUNCTION("""COMPUTED_VALUE"""),0.1933139534883721)</f>
        <v>0.1933139535</v>
      </c>
      <c r="H709" s="5">
        <f>IFERROR(__xludf.DUMMYFUNCTION("""COMPUTED_VALUE"""),0.534965034965035)</f>
        <v>0.534965035</v>
      </c>
      <c r="I709" s="11">
        <f>IFERROR(__xludf.DUMMYFUNCTION("""COMPUTED_VALUE"""),5704.545454545455)</f>
        <v>5704.545455</v>
      </c>
      <c r="J709" s="10">
        <f>IFERROR(__xludf.DUMMYFUNCTION("""COMPUTED_VALUE"""),1.0)</f>
        <v>1</v>
      </c>
      <c r="K709" s="5">
        <f>IFERROR(__xludf.DUMMYFUNCTION("""COMPUTED_VALUE"""),0.007874015748031496)</f>
        <v>0.007874015748</v>
      </c>
      <c r="L709" s="10">
        <f>IFERROR(__xludf.DUMMYFUNCTION("""COMPUTED_VALUE"""),127.0)</f>
        <v>127</v>
      </c>
      <c r="M709" s="5">
        <f>IFERROR(__xludf.DUMMYFUNCTION("""COMPUTED_VALUE"""),1.0)</f>
        <v>1</v>
      </c>
    </row>
    <row r="710">
      <c r="A710" s="10" t="str">
        <f>IFERROR(__xludf.DUMMYFUNCTION("""COMPUTED_VALUE"""),"不機嫌中飛車")</f>
        <v>不機嫌中飛車</v>
      </c>
      <c r="B710" s="10">
        <f>IFERROR(__xludf.DUMMYFUNCTION("""COMPUTED_VALUE"""),664.0)</f>
        <v>664</v>
      </c>
      <c r="C710" s="10">
        <f>IFERROR(__xludf.DUMMYFUNCTION("""COMPUTED_VALUE"""),7863.0)</f>
        <v>7863</v>
      </c>
      <c r="D710" s="5">
        <f>IFERROR(__xludf.DUMMYFUNCTION("""COMPUTED_VALUE"""),0.33796360605639675)</f>
        <v>0.3379636061</v>
      </c>
      <c r="E710" s="5">
        <f>IFERROR(__xludf.DUMMYFUNCTION("""COMPUTED_VALUE"""),0.14460341714126962)</f>
        <v>0.1446034171</v>
      </c>
      <c r="F710" s="5">
        <f>IFERROR(__xludf.DUMMYFUNCTION("""COMPUTED_VALUE"""),0.2286428670648701)</f>
        <v>0.2286428671</v>
      </c>
      <c r="G710" s="5">
        <f>IFERROR(__xludf.DUMMYFUNCTION("""COMPUTED_VALUE"""),0.1944714543686623)</f>
        <v>0.1944714544</v>
      </c>
      <c r="H710" s="5">
        <f>IFERROR(__xludf.DUMMYFUNCTION("""COMPUTED_VALUE"""),0.6178614823815309)</f>
        <v>0.6178614824</v>
      </c>
      <c r="I710" s="11">
        <f>IFERROR(__xludf.DUMMYFUNCTION("""COMPUTED_VALUE"""),5322.053462940462)</f>
        <v>5322.053463</v>
      </c>
      <c r="J710" s="10">
        <f>IFERROR(__xludf.DUMMYFUNCTION("""COMPUTED_VALUE"""),0.0)</f>
        <v>0</v>
      </c>
      <c r="K710" s="5">
        <f>IFERROR(__xludf.DUMMYFUNCTION("""COMPUTED_VALUE"""),0.0)</f>
        <v>0</v>
      </c>
      <c r="L710" s="10">
        <f>IFERROR(__xludf.DUMMYFUNCTION("""COMPUTED_VALUE"""),664.0)</f>
        <v>664</v>
      </c>
      <c r="M710" s="5">
        <f>IFERROR(__xludf.DUMMYFUNCTION("""COMPUTED_VALUE"""),1.0)</f>
        <v>1</v>
      </c>
    </row>
    <row r="711">
      <c r="A711" s="10" t="str">
        <f>IFERROR(__xludf.DUMMYFUNCTION("""COMPUTED_VALUE"""),"たかしＨスピード")</f>
        <v>たかしＨスピード</v>
      </c>
      <c r="B711" s="10">
        <f>IFERROR(__xludf.DUMMYFUNCTION("""COMPUTED_VALUE"""),269.0)</f>
        <v>269</v>
      </c>
      <c r="C711" s="10">
        <f>IFERROR(__xludf.DUMMYFUNCTION("""COMPUTED_VALUE"""),3139.0)</f>
        <v>3139</v>
      </c>
      <c r="D711" s="5">
        <f>IFERROR(__xludf.DUMMYFUNCTION("""COMPUTED_VALUE"""),0.3344947735191638)</f>
        <v>0.3344947735</v>
      </c>
      <c r="E711" s="5">
        <f>IFERROR(__xludf.DUMMYFUNCTION("""COMPUTED_VALUE"""),0.1445993031358885)</f>
        <v>0.1445993031</v>
      </c>
      <c r="F711" s="5">
        <f>IFERROR(__xludf.DUMMYFUNCTION("""COMPUTED_VALUE"""),0.20801393728222997)</f>
        <v>0.2080139373</v>
      </c>
      <c r="G711" s="5">
        <f>IFERROR(__xludf.DUMMYFUNCTION("""COMPUTED_VALUE"""),0.17491289198606272)</f>
        <v>0.174912892</v>
      </c>
      <c r="H711" s="5">
        <f>IFERROR(__xludf.DUMMYFUNCTION("""COMPUTED_VALUE"""),0.5946398659966499)</f>
        <v>0.594639866</v>
      </c>
      <c r="I711" s="11">
        <f>IFERROR(__xludf.DUMMYFUNCTION("""COMPUTED_VALUE"""),5733.333333333333)</f>
        <v>5733.333333</v>
      </c>
      <c r="J711" s="10">
        <f>IFERROR(__xludf.DUMMYFUNCTION("""COMPUTED_VALUE"""),0.0)</f>
        <v>0</v>
      </c>
      <c r="K711" s="5">
        <f>IFERROR(__xludf.DUMMYFUNCTION("""COMPUTED_VALUE"""),0.0)</f>
        <v>0</v>
      </c>
      <c r="L711" s="10">
        <f>IFERROR(__xludf.DUMMYFUNCTION("""COMPUTED_VALUE"""),269.0)</f>
        <v>269</v>
      </c>
      <c r="M711" s="5">
        <f>IFERROR(__xludf.DUMMYFUNCTION("""COMPUTED_VALUE"""),1.0)</f>
        <v>1</v>
      </c>
    </row>
    <row r="712">
      <c r="A712" s="10" t="str">
        <f>IFERROR(__xludf.DUMMYFUNCTION("""COMPUTED_VALUE"""),"ぼるぞーん")</f>
        <v>ぼるぞーん</v>
      </c>
      <c r="B712" s="10">
        <f>IFERROR(__xludf.DUMMYFUNCTION("""COMPUTED_VALUE"""),215.0)</f>
        <v>215</v>
      </c>
      <c r="C712" s="10">
        <f>IFERROR(__xludf.DUMMYFUNCTION("""COMPUTED_VALUE"""),2546.0)</f>
        <v>2546</v>
      </c>
      <c r="D712" s="5">
        <f>IFERROR(__xludf.DUMMYFUNCTION("""COMPUTED_VALUE"""),0.3564993564993565)</f>
        <v>0.3564993565</v>
      </c>
      <c r="E712" s="5">
        <f>IFERROR(__xludf.DUMMYFUNCTION("""COMPUTED_VALUE"""),0.14457314457314457)</f>
        <v>0.1445731446</v>
      </c>
      <c r="F712" s="5">
        <f>IFERROR(__xludf.DUMMYFUNCTION("""COMPUTED_VALUE"""),0.2059202059202059)</f>
        <v>0.2059202059</v>
      </c>
      <c r="G712" s="5">
        <f>IFERROR(__xludf.DUMMYFUNCTION("""COMPUTED_VALUE"""),0.17503217503217502)</f>
        <v>0.175032175</v>
      </c>
      <c r="H712" s="5">
        <f>IFERROR(__xludf.DUMMYFUNCTION("""COMPUTED_VALUE"""),0.5895833333333333)</f>
        <v>0.5895833333</v>
      </c>
      <c r="I712" s="11">
        <f>IFERROR(__xludf.DUMMYFUNCTION("""COMPUTED_VALUE"""),5546.875)</f>
        <v>5546.875</v>
      </c>
      <c r="J712" s="10">
        <f>IFERROR(__xludf.DUMMYFUNCTION("""COMPUTED_VALUE"""),0.0)</f>
        <v>0</v>
      </c>
      <c r="K712" s="5">
        <f>IFERROR(__xludf.DUMMYFUNCTION("""COMPUTED_VALUE"""),0.0)</f>
        <v>0</v>
      </c>
      <c r="L712" s="10">
        <f>IFERROR(__xludf.DUMMYFUNCTION("""COMPUTED_VALUE"""),215.0)</f>
        <v>215</v>
      </c>
      <c r="M712" s="5">
        <f>IFERROR(__xludf.DUMMYFUNCTION("""COMPUTED_VALUE"""),1.0)</f>
        <v>1</v>
      </c>
    </row>
    <row r="713">
      <c r="A713" s="10" t="str">
        <f>IFERROR(__xludf.DUMMYFUNCTION("""COMPUTED_VALUE"""),"こがねうどん")</f>
        <v>こがねうどん</v>
      </c>
      <c r="B713" s="10">
        <f>IFERROR(__xludf.DUMMYFUNCTION("""COMPUTED_VALUE"""),348.0)</f>
        <v>348</v>
      </c>
      <c r="C713" s="10">
        <f>IFERROR(__xludf.DUMMYFUNCTION("""COMPUTED_VALUE"""),3966.0)</f>
        <v>3966</v>
      </c>
      <c r="D713" s="5">
        <f>IFERROR(__xludf.DUMMYFUNCTION("""COMPUTED_VALUE"""),0.37838584853510226)</f>
        <v>0.3783858485</v>
      </c>
      <c r="E713" s="5">
        <f>IFERROR(__xludf.DUMMYFUNCTION("""COMPUTED_VALUE"""),0.144555002763958)</f>
        <v>0.1445550028</v>
      </c>
      <c r="F713" s="5">
        <f>IFERROR(__xludf.DUMMYFUNCTION("""COMPUTED_VALUE"""),0.21724709784411278)</f>
        <v>0.2172470978</v>
      </c>
      <c r="G713" s="5">
        <f>IFERROR(__xludf.DUMMYFUNCTION("""COMPUTED_VALUE"""),0.18877833056937535)</f>
        <v>0.1887783306</v>
      </c>
      <c r="H713" s="5">
        <f>IFERROR(__xludf.DUMMYFUNCTION("""COMPUTED_VALUE"""),0.6043256997455471)</f>
        <v>0.6043256997</v>
      </c>
      <c r="I713" s="11">
        <f>IFERROR(__xludf.DUMMYFUNCTION("""COMPUTED_VALUE"""),5730.152671755725)</f>
        <v>5730.152672</v>
      </c>
      <c r="J713" s="10">
        <f>IFERROR(__xludf.DUMMYFUNCTION("""COMPUTED_VALUE"""),0.0)</f>
        <v>0</v>
      </c>
      <c r="K713" s="5">
        <f>IFERROR(__xludf.DUMMYFUNCTION("""COMPUTED_VALUE"""),0.0)</f>
        <v>0</v>
      </c>
      <c r="L713" s="10">
        <f>IFERROR(__xludf.DUMMYFUNCTION("""COMPUTED_VALUE"""),229.0)</f>
        <v>229</v>
      </c>
      <c r="M713" s="5">
        <f>IFERROR(__xludf.DUMMYFUNCTION("""COMPUTED_VALUE"""),0.6580459770114943)</f>
        <v>0.658045977</v>
      </c>
    </row>
    <row r="714">
      <c r="A714" s="10" t="str">
        <f>IFERROR(__xludf.DUMMYFUNCTION("""COMPUTED_VALUE"""),"巷のむすめ")</f>
        <v>巷のむすめ</v>
      </c>
      <c r="B714" s="10">
        <f>IFERROR(__xludf.DUMMYFUNCTION("""COMPUTED_VALUE"""),124.0)</f>
        <v>124</v>
      </c>
      <c r="C714" s="10">
        <f>IFERROR(__xludf.DUMMYFUNCTION("""COMPUTED_VALUE"""),1473.0)</f>
        <v>1473</v>
      </c>
      <c r="D714" s="5">
        <f>IFERROR(__xludf.DUMMYFUNCTION("""COMPUTED_VALUE"""),0.3995552260934025)</f>
        <v>0.3995552261</v>
      </c>
      <c r="E714" s="5">
        <f>IFERROR(__xludf.DUMMYFUNCTION("""COMPUTED_VALUE"""),0.14455151964418086)</f>
        <v>0.1445515196</v>
      </c>
      <c r="F714" s="5">
        <f>IFERROR(__xludf.DUMMYFUNCTION("""COMPUTED_VALUE"""),0.20830244625648628)</f>
        <v>0.2083024463</v>
      </c>
      <c r="G714" s="5">
        <f>IFERROR(__xludf.DUMMYFUNCTION("""COMPUTED_VALUE"""),0.1586360266864344)</f>
        <v>0.1586360267</v>
      </c>
      <c r="H714" s="5">
        <f>IFERROR(__xludf.DUMMYFUNCTION("""COMPUTED_VALUE"""),0.5729537366548043)</f>
        <v>0.5729537367</v>
      </c>
      <c r="I714" s="11">
        <f>IFERROR(__xludf.DUMMYFUNCTION("""COMPUTED_VALUE"""),5959.074733096086)</f>
        <v>5959.074733</v>
      </c>
      <c r="J714" s="10">
        <f>IFERROR(__xludf.DUMMYFUNCTION("""COMPUTED_VALUE"""),1.0)</f>
        <v>1</v>
      </c>
      <c r="K714" s="5">
        <f>IFERROR(__xludf.DUMMYFUNCTION("""COMPUTED_VALUE"""),0.008064516129032258)</f>
        <v>0.008064516129</v>
      </c>
      <c r="L714" s="10">
        <f>IFERROR(__xludf.DUMMYFUNCTION("""COMPUTED_VALUE"""),124.0)</f>
        <v>124</v>
      </c>
      <c r="M714" s="5">
        <f>IFERROR(__xludf.DUMMYFUNCTION("""COMPUTED_VALUE"""),1.0)</f>
        <v>1</v>
      </c>
    </row>
    <row r="715">
      <c r="A715" s="10" t="str">
        <f>IFERROR(__xludf.DUMMYFUNCTION("""COMPUTED_VALUE"""),"みゅーる")</f>
        <v>みゅーる</v>
      </c>
      <c r="B715" s="10">
        <f>IFERROR(__xludf.DUMMYFUNCTION("""COMPUTED_VALUE"""),153.0)</f>
        <v>153</v>
      </c>
      <c r="C715" s="10">
        <f>IFERROR(__xludf.DUMMYFUNCTION("""COMPUTED_VALUE"""),1765.0)</f>
        <v>1765</v>
      </c>
      <c r="D715" s="5">
        <f>IFERROR(__xludf.DUMMYFUNCTION("""COMPUTED_VALUE"""),0.3002481389578164)</f>
        <v>0.300248139</v>
      </c>
      <c r="E715" s="5">
        <f>IFERROR(__xludf.DUMMYFUNCTION("""COMPUTED_VALUE"""),0.1445409429280397)</f>
        <v>0.1445409429</v>
      </c>
      <c r="F715" s="5">
        <f>IFERROR(__xludf.DUMMYFUNCTION("""COMPUTED_VALUE"""),0.22704714640198512)</f>
        <v>0.2270471464</v>
      </c>
      <c r="G715" s="5">
        <f>IFERROR(__xludf.DUMMYFUNCTION("""COMPUTED_VALUE"""),0.1761786600496278)</f>
        <v>0.17617866</v>
      </c>
      <c r="H715" s="5">
        <f>IFERROR(__xludf.DUMMYFUNCTION("""COMPUTED_VALUE"""),0.587431693989071)</f>
        <v>0.587431694</v>
      </c>
      <c r="I715" s="11">
        <f>IFERROR(__xludf.DUMMYFUNCTION("""COMPUTED_VALUE"""),5559.836065573771)</f>
        <v>5559.836066</v>
      </c>
      <c r="J715" s="10">
        <f>IFERROR(__xludf.DUMMYFUNCTION("""COMPUTED_VALUE"""),0.0)</f>
        <v>0</v>
      </c>
      <c r="K715" s="5">
        <f>IFERROR(__xludf.DUMMYFUNCTION("""COMPUTED_VALUE"""),0.0)</f>
        <v>0</v>
      </c>
      <c r="L715" s="10">
        <f>IFERROR(__xludf.DUMMYFUNCTION("""COMPUTED_VALUE"""),152.0)</f>
        <v>152</v>
      </c>
      <c r="M715" s="5">
        <f>IFERROR(__xludf.DUMMYFUNCTION("""COMPUTED_VALUE"""),0.9934640522875817)</f>
        <v>0.9934640523</v>
      </c>
    </row>
    <row r="716">
      <c r="A716" s="10" t="str">
        <f>IFERROR(__xludf.DUMMYFUNCTION("""COMPUTED_VALUE"""),"YH07")</f>
        <v>YH07</v>
      </c>
      <c r="B716" s="10">
        <f>IFERROR(__xludf.DUMMYFUNCTION("""COMPUTED_VALUE"""),167.0)</f>
        <v>167</v>
      </c>
      <c r="C716" s="10">
        <f>IFERROR(__xludf.DUMMYFUNCTION("""COMPUTED_VALUE"""),2015.0)</f>
        <v>2015</v>
      </c>
      <c r="D716" s="5">
        <f>IFERROR(__xludf.DUMMYFUNCTION("""COMPUTED_VALUE"""),0.36904761904761907)</f>
        <v>0.369047619</v>
      </c>
      <c r="E716" s="5">
        <f>IFERROR(__xludf.DUMMYFUNCTION("""COMPUTED_VALUE"""),0.1444805194805195)</f>
        <v>0.1444805195</v>
      </c>
      <c r="F716" s="5">
        <f>IFERROR(__xludf.DUMMYFUNCTION("""COMPUTED_VALUE"""),0.20616883116883117)</f>
        <v>0.2061688312</v>
      </c>
      <c r="G716" s="5">
        <f>IFERROR(__xludf.DUMMYFUNCTION("""COMPUTED_VALUE"""),0.17857142857142858)</f>
        <v>0.1785714286</v>
      </c>
      <c r="H716" s="5">
        <f>IFERROR(__xludf.DUMMYFUNCTION("""COMPUTED_VALUE"""),0.6089238845144357)</f>
        <v>0.6089238845</v>
      </c>
      <c r="I716" s="11">
        <f>IFERROR(__xludf.DUMMYFUNCTION("""COMPUTED_VALUE"""),5563.254593175853)</f>
        <v>5563.254593</v>
      </c>
      <c r="J716" s="10">
        <f>IFERROR(__xludf.DUMMYFUNCTION("""COMPUTED_VALUE"""),1.0)</f>
        <v>1</v>
      </c>
      <c r="K716" s="5">
        <f>IFERROR(__xludf.DUMMYFUNCTION("""COMPUTED_VALUE"""),0.005988023952095809)</f>
        <v>0.005988023952</v>
      </c>
      <c r="L716" s="10">
        <f>IFERROR(__xludf.DUMMYFUNCTION("""COMPUTED_VALUE"""),167.0)</f>
        <v>167</v>
      </c>
      <c r="M716" s="5">
        <f>IFERROR(__xludf.DUMMYFUNCTION("""COMPUTED_VALUE"""),1.0)</f>
        <v>1</v>
      </c>
    </row>
    <row r="717">
      <c r="A717" s="10" t="str">
        <f>IFERROR(__xludf.DUMMYFUNCTION("""COMPUTED_VALUE"""),"crazyko")</f>
        <v>crazyko</v>
      </c>
      <c r="B717" s="10">
        <f>IFERROR(__xludf.DUMMYFUNCTION("""COMPUTED_VALUE"""),306.0)</f>
        <v>306</v>
      </c>
      <c r="C717" s="10">
        <f>IFERROR(__xludf.DUMMYFUNCTION("""COMPUTED_VALUE"""),3615.0)</f>
        <v>3615</v>
      </c>
      <c r="D717" s="5">
        <f>IFERROR(__xludf.DUMMYFUNCTION("""COMPUTED_VALUE"""),0.32184950135992746)</f>
        <v>0.3218495014</v>
      </c>
      <c r="E717" s="5">
        <f>IFERROR(__xludf.DUMMYFUNCTION("""COMPUTED_VALUE"""),0.14445451798126321)</f>
        <v>0.144454518</v>
      </c>
      <c r="F717" s="5">
        <f>IFERROR(__xludf.DUMMYFUNCTION("""COMPUTED_VALUE"""),0.21758839528558477)</f>
        <v>0.2175883953</v>
      </c>
      <c r="G717" s="5">
        <f>IFERROR(__xludf.DUMMYFUNCTION("""COMPUTED_VALUE"""),0.20459353278936235)</f>
        <v>0.2045935328</v>
      </c>
      <c r="H717" s="5">
        <f>IFERROR(__xludf.DUMMYFUNCTION("""COMPUTED_VALUE"""),0.6055555555555555)</f>
        <v>0.6055555556</v>
      </c>
      <c r="I717" s="11">
        <f>IFERROR(__xludf.DUMMYFUNCTION("""COMPUTED_VALUE"""),5903.472222222223)</f>
        <v>5903.472222</v>
      </c>
      <c r="J717" s="10">
        <f>IFERROR(__xludf.DUMMYFUNCTION("""COMPUTED_VALUE"""),0.0)</f>
        <v>0</v>
      </c>
      <c r="K717" s="5">
        <f>IFERROR(__xludf.DUMMYFUNCTION("""COMPUTED_VALUE"""),0.0)</f>
        <v>0</v>
      </c>
      <c r="L717" s="10">
        <f>IFERROR(__xludf.DUMMYFUNCTION("""COMPUTED_VALUE"""),306.0)</f>
        <v>306</v>
      </c>
      <c r="M717" s="5">
        <f>IFERROR(__xludf.DUMMYFUNCTION("""COMPUTED_VALUE"""),1.0)</f>
        <v>1</v>
      </c>
    </row>
    <row r="718">
      <c r="A718" s="10" t="str">
        <f>IFERROR(__xludf.DUMMYFUNCTION("""COMPUTED_VALUE"""),"多摩ソージ")</f>
        <v>多摩ソージ</v>
      </c>
      <c r="B718" s="10">
        <f>IFERROR(__xludf.DUMMYFUNCTION("""COMPUTED_VALUE"""),120.0)</f>
        <v>120</v>
      </c>
      <c r="C718" s="10">
        <f>IFERROR(__xludf.DUMMYFUNCTION("""COMPUTED_VALUE"""),1401.0)</f>
        <v>1401</v>
      </c>
      <c r="D718" s="5">
        <f>IFERROR(__xludf.DUMMYFUNCTION("""COMPUTED_VALUE"""),0.34270101483216237)</f>
        <v>0.3427010148</v>
      </c>
      <c r="E718" s="5">
        <f>IFERROR(__xludf.DUMMYFUNCTION("""COMPUTED_VALUE"""),0.1444184231069477)</f>
        <v>0.1444184231</v>
      </c>
      <c r="F718" s="5">
        <f>IFERROR(__xludf.DUMMYFUNCTION("""COMPUTED_VALUE"""),0.2419984387197502)</f>
        <v>0.2419984387</v>
      </c>
      <c r="G718" s="5">
        <f>IFERROR(__xludf.DUMMYFUNCTION("""COMPUTED_VALUE"""),0.21389539422326306)</f>
        <v>0.2138953942</v>
      </c>
      <c r="H718" s="5">
        <f>IFERROR(__xludf.DUMMYFUNCTION("""COMPUTED_VALUE"""),0.6258064516129033)</f>
        <v>0.6258064516</v>
      </c>
      <c r="I718" s="11">
        <f>IFERROR(__xludf.DUMMYFUNCTION("""COMPUTED_VALUE"""),5770.322580645161)</f>
        <v>5770.322581</v>
      </c>
      <c r="J718" s="10">
        <f>IFERROR(__xludf.DUMMYFUNCTION("""COMPUTED_VALUE"""),1.0)</f>
        <v>1</v>
      </c>
      <c r="K718" s="5">
        <f>IFERROR(__xludf.DUMMYFUNCTION("""COMPUTED_VALUE"""),0.008333333333333333)</f>
        <v>0.008333333333</v>
      </c>
      <c r="L718" s="10">
        <f>IFERROR(__xludf.DUMMYFUNCTION("""COMPUTED_VALUE"""),120.0)</f>
        <v>120</v>
      </c>
      <c r="M718" s="5">
        <f>IFERROR(__xludf.DUMMYFUNCTION("""COMPUTED_VALUE"""),1.0)</f>
        <v>1</v>
      </c>
    </row>
    <row r="719">
      <c r="A719" s="10" t="str">
        <f>IFERROR(__xludf.DUMMYFUNCTION("""COMPUTED_VALUE"""),"がみいけ")</f>
        <v>がみいけ</v>
      </c>
      <c r="B719" s="10">
        <f>IFERROR(__xludf.DUMMYFUNCTION("""COMPUTED_VALUE"""),175.0)</f>
        <v>175</v>
      </c>
      <c r="C719" s="10">
        <f>IFERROR(__xludf.DUMMYFUNCTION("""COMPUTED_VALUE"""),2017.0)</f>
        <v>2017</v>
      </c>
      <c r="D719" s="5">
        <f>IFERROR(__xludf.DUMMYFUNCTION("""COMPUTED_VALUE"""),0.32193268186753526)</f>
        <v>0.3219326819</v>
      </c>
      <c r="E719" s="5">
        <f>IFERROR(__xludf.DUMMYFUNCTION("""COMPUTED_VALUE"""),0.1444082519001086)</f>
        <v>0.1444082519</v>
      </c>
      <c r="F719" s="5">
        <f>IFERROR(__xludf.DUMMYFUNCTION("""COMPUTED_VALUE"""),0.20629750271444083)</f>
        <v>0.2062975027</v>
      </c>
      <c r="G719" s="5">
        <f>IFERROR(__xludf.DUMMYFUNCTION("""COMPUTED_VALUE"""),0.16178067318132464)</f>
        <v>0.1617806732</v>
      </c>
      <c r="H719" s="5">
        <f>IFERROR(__xludf.DUMMYFUNCTION("""COMPUTED_VALUE"""),0.5973684210526315)</f>
        <v>0.5973684211</v>
      </c>
      <c r="I719" s="11">
        <f>IFERROR(__xludf.DUMMYFUNCTION("""COMPUTED_VALUE"""),5842.894736842105)</f>
        <v>5842.894737</v>
      </c>
      <c r="J719" s="10">
        <f>IFERROR(__xludf.DUMMYFUNCTION("""COMPUTED_VALUE"""),0.0)</f>
        <v>0</v>
      </c>
      <c r="K719" s="5">
        <f>IFERROR(__xludf.DUMMYFUNCTION("""COMPUTED_VALUE"""),0.0)</f>
        <v>0</v>
      </c>
      <c r="L719" s="10">
        <f>IFERROR(__xludf.DUMMYFUNCTION("""COMPUTED_VALUE"""),175.0)</f>
        <v>175</v>
      </c>
      <c r="M719" s="5">
        <f>IFERROR(__xludf.DUMMYFUNCTION("""COMPUTED_VALUE"""),1.0)</f>
        <v>1</v>
      </c>
    </row>
    <row r="720">
      <c r="A720" s="10" t="str">
        <f>IFERROR(__xludf.DUMMYFUNCTION("""COMPUTED_VALUE"""),"や～べ")</f>
        <v>や～べ</v>
      </c>
      <c r="B720" s="10">
        <f>IFERROR(__xludf.DUMMYFUNCTION("""COMPUTED_VALUE"""),110.0)</f>
        <v>110</v>
      </c>
      <c r="C720" s="10">
        <f>IFERROR(__xludf.DUMMYFUNCTION("""COMPUTED_VALUE"""),1308.0)</f>
        <v>1308</v>
      </c>
      <c r="D720" s="5">
        <f>IFERROR(__xludf.DUMMYFUNCTION("""COMPUTED_VALUE"""),0.3756260434056761)</f>
        <v>0.3756260434</v>
      </c>
      <c r="E720" s="5">
        <f>IFERROR(__xludf.DUMMYFUNCTION("""COMPUTED_VALUE"""),0.14440734557595994)</f>
        <v>0.1444073456</v>
      </c>
      <c r="F720" s="5">
        <f>IFERROR(__xludf.DUMMYFUNCTION("""COMPUTED_VALUE"""),0.21202003338898165)</f>
        <v>0.2120200334</v>
      </c>
      <c r="G720" s="5">
        <f>IFERROR(__xludf.DUMMYFUNCTION("""COMPUTED_VALUE"""),0.17278797996661102)</f>
        <v>0.17278798</v>
      </c>
      <c r="H720" s="5">
        <f>IFERROR(__xludf.DUMMYFUNCTION("""COMPUTED_VALUE"""),0.562992125984252)</f>
        <v>0.562992126</v>
      </c>
      <c r="I720" s="11">
        <f>IFERROR(__xludf.DUMMYFUNCTION("""COMPUTED_VALUE"""),5635.433070866142)</f>
        <v>5635.433071</v>
      </c>
      <c r="J720" s="10">
        <f>IFERROR(__xludf.DUMMYFUNCTION("""COMPUTED_VALUE"""),0.0)</f>
        <v>0</v>
      </c>
      <c r="K720" s="5">
        <f>IFERROR(__xludf.DUMMYFUNCTION("""COMPUTED_VALUE"""),0.0)</f>
        <v>0</v>
      </c>
      <c r="L720" s="10">
        <f>IFERROR(__xludf.DUMMYFUNCTION("""COMPUTED_VALUE"""),44.0)</f>
        <v>44</v>
      </c>
      <c r="M720" s="5">
        <f>IFERROR(__xludf.DUMMYFUNCTION("""COMPUTED_VALUE"""),0.4)</f>
        <v>0.4</v>
      </c>
    </row>
    <row r="721">
      <c r="A721" s="10" t="str">
        <f>IFERROR(__xludf.DUMMYFUNCTION("""COMPUTED_VALUE"""),"xmxmxm")</f>
        <v>xmxmxm</v>
      </c>
      <c r="B721" s="10">
        <f>IFERROR(__xludf.DUMMYFUNCTION("""COMPUTED_VALUE"""),182.0)</f>
        <v>182</v>
      </c>
      <c r="C721" s="10">
        <f>IFERROR(__xludf.DUMMYFUNCTION("""COMPUTED_VALUE"""),2129.0)</f>
        <v>2129</v>
      </c>
      <c r="D721" s="5">
        <f>IFERROR(__xludf.DUMMYFUNCTION("""COMPUTED_VALUE"""),0.34001027221366203)</f>
        <v>0.3400102722</v>
      </c>
      <c r="E721" s="5">
        <f>IFERROR(__xludf.DUMMYFUNCTION("""COMPUTED_VALUE"""),0.1443246019517206)</f>
        <v>0.144324602</v>
      </c>
      <c r="F721" s="5">
        <f>IFERROR(__xludf.DUMMYFUNCTION("""COMPUTED_VALUE"""),0.20749871597329225)</f>
        <v>0.207498716</v>
      </c>
      <c r="G721" s="5">
        <f>IFERROR(__xludf.DUMMYFUNCTION("""COMPUTED_VALUE"""),0.1617873651771957)</f>
        <v>0.1617873652</v>
      </c>
      <c r="H721" s="5">
        <f>IFERROR(__xludf.DUMMYFUNCTION("""COMPUTED_VALUE"""),0.594059405940594)</f>
        <v>0.5940594059</v>
      </c>
      <c r="I721" s="11">
        <f>IFERROR(__xludf.DUMMYFUNCTION("""COMPUTED_VALUE"""),5295.049504950495)</f>
        <v>5295.049505</v>
      </c>
      <c r="J721" s="10">
        <f>IFERROR(__xludf.DUMMYFUNCTION("""COMPUTED_VALUE"""),0.0)</f>
        <v>0</v>
      </c>
      <c r="K721" s="5">
        <f>IFERROR(__xludf.DUMMYFUNCTION("""COMPUTED_VALUE"""),0.0)</f>
        <v>0</v>
      </c>
      <c r="L721" s="10">
        <f>IFERROR(__xludf.DUMMYFUNCTION("""COMPUTED_VALUE"""),182.0)</f>
        <v>182</v>
      </c>
      <c r="M721" s="5">
        <f>IFERROR(__xludf.DUMMYFUNCTION("""COMPUTED_VALUE"""),1.0)</f>
        <v>1</v>
      </c>
    </row>
    <row r="722">
      <c r="A722" s="10" t="str">
        <f>IFERROR(__xludf.DUMMYFUNCTION("""COMPUTED_VALUE"""),"下段チェリー")</f>
        <v>下段チェリー</v>
      </c>
      <c r="B722" s="10">
        <f>IFERROR(__xludf.DUMMYFUNCTION("""COMPUTED_VALUE"""),1114.0)</f>
        <v>1114</v>
      </c>
      <c r="C722" s="10">
        <f>IFERROR(__xludf.DUMMYFUNCTION("""COMPUTED_VALUE"""),12997.0)</f>
        <v>12997</v>
      </c>
      <c r="D722" s="5">
        <f>IFERROR(__xludf.DUMMYFUNCTION("""COMPUTED_VALUE"""),0.35933686779432805)</f>
        <v>0.3593368678</v>
      </c>
      <c r="E722" s="5">
        <f>IFERROR(__xludf.DUMMYFUNCTION("""COMPUTED_VALUE"""),0.14432382395018092)</f>
        <v>0.144323824</v>
      </c>
      <c r="F722" s="5">
        <f>IFERROR(__xludf.DUMMYFUNCTION("""COMPUTED_VALUE"""),0.22334427333165024)</f>
        <v>0.2233442733</v>
      </c>
      <c r="G722" s="5">
        <f>IFERROR(__xludf.DUMMYFUNCTION("""COMPUTED_VALUE"""),0.16401582092064293)</f>
        <v>0.1640158209</v>
      </c>
      <c r="H722" s="5">
        <f>IFERROR(__xludf.DUMMYFUNCTION("""COMPUTED_VALUE"""),0.5908063300678221)</f>
        <v>0.5908063301</v>
      </c>
      <c r="I722" s="11">
        <f>IFERROR(__xludf.DUMMYFUNCTION("""COMPUTED_VALUE"""),5530.406932931424)</f>
        <v>5530.406933</v>
      </c>
      <c r="J722" s="10">
        <f>IFERROR(__xludf.DUMMYFUNCTION("""COMPUTED_VALUE"""),3.0)</f>
        <v>3</v>
      </c>
      <c r="K722" s="5">
        <f>IFERROR(__xludf.DUMMYFUNCTION("""COMPUTED_VALUE"""),0.0026929982046678637)</f>
        <v>0.002692998205</v>
      </c>
      <c r="L722" s="10">
        <f>IFERROR(__xludf.DUMMYFUNCTION("""COMPUTED_VALUE"""),1114.0)</f>
        <v>1114</v>
      </c>
      <c r="M722" s="5">
        <f>IFERROR(__xludf.DUMMYFUNCTION("""COMPUTED_VALUE"""),1.0)</f>
        <v>1</v>
      </c>
    </row>
    <row r="723">
      <c r="A723" s="10" t="str">
        <f>IFERROR(__xludf.DUMMYFUNCTION("""COMPUTED_VALUE"""),"OZKY")</f>
        <v>OZKY</v>
      </c>
      <c r="B723" s="10">
        <f>IFERROR(__xludf.DUMMYFUNCTION("""COMPUTED_VALUE"""),1307.0)</f>
        <v>1307</v>
      </c>
      <c r="C723" s="10">
        <f>IFERROR(__xludf.DUMMYFUNCTION("""COMPUTED_VALUE"""),15264.0)</f>
        <v>15264</v>
      </c>
      <c r="D723" s="5">
        <f>IFERROR(__xludf.DUMMYFUNCTION("""COMPUTED_VALUE"""),0.3340975854409973)</f>
        <v>0.3340975854</v>
      </c>
      <c r="E723" s="5">
        <f>IFERROR(__xludf.DUMMYFUNCTION("""COMPUTED_VALUE"""),0.14430035107831196)</f>
        <v>0.1443003511</v>
      </c>
      <c r="F723" s="5">
        <f>IFERROR(__xludf.DUMMYFUNCTION("""COMPUTED_VALUE"""),0.22547825463924911)</f>
        <v>0.2254782546</v>
      </c>
      <c r="G723" s="5">
        <f>IFERROR(__xludf.DUMMYFUNCTION("""COMPUTED_VALUE"""),0.18714623486422582)</f>
        <v>0.1871462349</v>
      </c>
      <c r="H723" s="5">
        <f>IFERROR(__xludf.DUMMYFUNCTION("""COMPUTED_VALUE"""),0.5888147442008261)</f>
        <v>0.5888147442</v>
      </c>
      <c r="I723" s="11">
        <f>IFERROR(__xludf.DUMMYFUNCTION("""COMPUTED_VALUE"""),5314.9984111852555)</f>
        <v>5314.998411</v>
      </c>
      <c r="J723" s="10">
        <f>IFERROR(__xludf.DUMMYFUNCTION("""COMPUTED_VALUE"""),4.0)</f>
        <v>4</v>
      </c>
      <c r="K723" s="5">
        <f>IFERROR(__xludf.DUMMYFUNCTION("""COMPUTED_VALUE"""),0.00306044376434583)</f>
        <v>0.003060443764</v>
      </c>
      <c r="L723" s="10">
        <f>IFERROR(__xludf.DUMMYFUNCTION("""COMPUTED_VALUE"""),1307.0)</f>
        <v>1307</v>
      </c>
      <c r="M723" s="5">
        <f>IFERROR(__xludf.DUMMYFUNCTION("""COMPUTED_VALUE"""),1.0)</f>
        <v>1</v>
      </c>
    </row>
    <row r="724">
      <c r="A724" s="10" t="str">
        <f>IFERROR(__xludf.DUMMYFUNCTION("""COMPUTED_VALUE"""),"猫先輩")</f>
        <v>猫先輩</v>
      </c>
      <c r="B724" s="10">
        <f>IFERROR(__xludf.DUMMYFUNCTION("""COMPUTED_VALUE"""),456.0)</f>
        <v>456</v>
      </c>
      <c r="C724" s="10">
        <f>IFERROR(__xludf.DUMMYFUNCTION("""COMPUTED_VALUE"""),5467.0)</f>
        <v>5467</v>
      </c>
      <c r="D724" s="5">
        <f>IFERROR(__xludf.DUMMYFUNCTION("""COMPUTED_VALUE"""),0.33426461784075034)</f>
        <v>0.3342646178</v>
      </c>
      <c r="E724" s="5">
        <f>IFERROR(__xludf.DUMMYFUNCTION("""COMPUTED_VALUE"""),0.1442825783276791)</f>
        <v>0.1442825783</v>
      </c>
      <c r="F724" s="5">
        <f>IFERROR(__xludf.DUMMYFUNCTION("""COMPUTED_VALUE"""),0.21552584314508083)</f>
        <v>0.2155258431</v>
      </c>
      <c r="G724" s="5">
        <f>IFERROR(__xludf.DUMMYFUNCTION("""COMPUTED_VALUE"""),0.16783077230093793)</f>
        <v>0.1678307723</v>
      </c>
      <c r="H724" s="5">
        <f>IFERROR(__xludf.DUMMYFUNCTION("""COMPUTED_VALUE"""),0.5962962962962963)</f>
        <v>0.5962962963</v>
      </c>
      <c r="I724" s="11">
        <f>IFERROR(__xludf.DUMMYFUNCTION("""COMPUTED_VALUE"""),5730.833333333333)</f>
        <v>5730.833333</v>
      </c>
      <c r="J724" s="10">
        <f>IFERROR(__xludf.DUMMYFUNCTION("""COMPUTED_VALUE"""),0.0)</f>
        <v>0</v>
      </c>
      <c r="K724" s="5">
        <f>IFERROR(__xludf.DUMMYFUNCTION("""COMPUTED_VALUE"""),0.0)</f>
        <v>0</v>
      </c>
      <c r="L724" s="10">
        <f>IFERROR(__xludf.DUMMYFUNCTION("""COMPUTED_VALUE"""),456.0)</f>
        <v>456</v>
      </c>
      <c r="M724" s="5">
        <f>IFERROR(__xludf.DUMMYFUNCTION("""COMPUTED_VALUE"""),1.0)</f>
        <v>1</v>
      </c>
    </row>
    <row r="725">
      <c r="A725" s="10" t="str">
        <f>IFERROR(__xludf.DUMMYFUNCTION("""COMPUTED_VALUE"""),"う☆こにやさしい")</f>
        <v>う☆こにやさしい</v>
      </c>
      <c r="B725" s="10">
        <f>IFERROR(__xludf.DUMMYFUNCTION("""COMPUTED_VALUE"""),263.0)</f>
        <v>263</v>
      </c>
      <c r="C725" s="10">
        <f>IFERROR(__xludf.DUMMYFUNCTION("""COMPUTED_VALUE"""),3077.0)</f>
        <v>3077</v>
      </c>
      <c r="D725" s="5">
        <f>IFERROR(__xludf.DUMMYFUNCTION("""COMPUTED_VALUE"""),0.37100213219616207)</f>
        <v>0.3710021322</v>
      </c>
      <c r="E725" s="5">
        <f>IFERROR(__xludf.DUMMYFUNCTION("""COMPUTED_VALUE"""),0.14427860696517414)</f>
        <v>0.144278607</v>
      </c>
      <c r="F725" s="5">
        <f>IFERROR(__xludf.DUMMYFUNCTION("""COMPUTED_VALUE"""),0.21215351812366737)</f>
        <v>0.2121535181</v>
      </c>
      <c r="G725" s="5">
        <f>IFERROR(__xludf.DUMMYFUNCTION("""COMPUTED_VALUE"""),0.17199715707178392)</f>
        <v>0.1719971571</v>
      </c>
      <c r="H725" s="5">
        <f>IFERROR(__xludf.DUMMYFUNCTION("""COMPUTED_VALUE"""),0.6130653266331658)</f>
        <v>0.6130653266</v>
      </c>
      <c r="I725" s="11">
        <f>IFERROR(__xludf.DUMMYFUNCTION("""COMPUTED_VALUE"""),5484.757118927973)</f>
        <v>5484.757119</v>
      </c>
      <c r="J725" s="10">
        <f>IFERROR(__xludf.DUMMYFUNCTION("""COMPUTED_VALUE"""),1.0)</f>
        <v>1</v>
      </c>
      <c r="K725" s="5">
        <f>IFERROR(__xludf.DUMMYFUNCTION("""COMPUTED_VALUE"""),0.0038022813688212928)</f>
        <v>0.003802281369</v>
      </c>
      <c r="L725" s="10">
        <f>IFERROR(__xludf.DUMMYFUNCTION("""COMPUTED_VALUE"""),167.0)</f>
        <v>167</v>
      </c>
      <c r="M725" s="5">
        <f>IFERROR(__xludf.DUMMYFUNCTION("""COMPUTED_VALUE"""),0.6349809885931559)</f>
        <v>0.6349809886</v>
      </c>
    </row>
    <row r="726">
      <c r="A726" s="10" t="str">
        <f>IFERROR(__xludf.DUMMYFUNCTION("""COMPUTED_VALUE"""),"福田屋の下駄")</f>
        <v>福田屋の下駄</v>
      </c>
      <c r="B726" s="10">
        <f>IFERROR(__xludf.DUMMYFUNCTION("""COMPUTED_VALUE"""),623.0)</f>
        <v>623</v>
      </c>
      <c r="C726" s="10">
        <f>IFERROR(__xludf.DUMMYFUNCTION("""COMPUTED_VALUE"""),7319.0)</f>
        <v>7319</v>
      </c>
      <c r="D726" s="5">
        <f>IFERROR(__xludf.DUMMYFUNCTION("""COMPUTED_VALUE"""),0.3755973715651135)</f>
        <v>0.3755973716</v>
      </c>
      <c r="E726" s="5">
        <f>IFERROR(__xludf.DUMMYFUNCTION("""COMPUTED_VALUE"""),0.1442652329749104)</f>
        <v>0.144265233</v>
      </c>
      <c r="F726" s="5">
        <f>IFERROR(__xludf.DUMMYFUNCTION("""COMPUTED_VALUE"""),0.22267025089605735)</f>
        <v>0.2226702509</v>
      </c>
      <c r="G726" s="5">
        <f>IFERROR(__xludf.DUMMYFUNCTION("""COMPUTED_VALUE"""),0.18369175627240145)</f>
        <v>0.1836917563</v>
      </c>
      <c r="H726" s="5">
        <f>IFERROR(__xludf.DUMMYFUNCTION("""COMPUTED_VALUE"""),0.5781354795439303)</f>
        <v>0.5781354795</v>
      </c>
      <c r="I726" s="11">
        <f>IFERROR(__xludf.DUMMYFUNCTION("""COMPUTED_VALUE"""),5605.969148222669)</f>
        <v>5605.969148</v>
      </c>
      <c r="J726" s="10">
        <f>IFERROR(__xludf.DUMMYFUNCTION("""COMPUTED_VALUE"""),0.0)</f>
        <v>0</v>
      </c>
      <c r="K726" s="5">
        <f>IFERROR(__xludf.DUMMYFUNCTION("""COMPUTED_VALUE"""),0.0)</f>
        <v>0</v>
      </c>
      <c r="L726" s="10">
        <f>IFERROR(__xludf.DUMMYFUNCTION("""COMPUTED_VALUE"""),623.0)</f>
        <v>623</v>
      </c>
      <c r="M726" s="5">
        <f>IFERROR(__xludf.DUMMYFUNCTION("""COMPUTED_VALUE"""),1.0)</f>
        <v>1</v>
      </c>
    </row>
    <row r="727">
      <c r="A727" s="10" t="str">
        <f>IFERROR(__xludf.DUMMYFUNCTION("""COMPUTED_VALUE"""),"ボロッテ")</f>
        <v>ボロッテ</v>
      </c>
      <c r="B727" s="10">
        <f>IFERROR(__xludf.DUMMYFUNCTION("""COMPUTED_VALUE"""),1512.0)</f>
        <v>1512</v>
      </c>
      <c r="C727" s="10">
        <f>IFERROR(__xludf.DUMMYFUNCTION("""COMPUTED_VALUE"""),17719.0)</f>
        <v>17719</v>
      </c>
      <c r="D727" s="5">
        <f>IFERROR(__xludf.DUMMYFUNCTION("""COMPUTED_VALUE"""),0.38600604676991424)</f>
        <v>0.3860060468</v>
      </c>
      <c r="E727" s="5">
        <f>IFERROR(__xludf.DUMMYFUNCTION("""COMPUTED_VALUE"""),0.14425865366816806)</f>
        <v>0.1442586537</v>
      </c>
      <c r="F727" s="5">
        <f>IFERROR(__xludf.DUMMYFUNCTION("""COMPUTED_VALUE"""),0.1975072499537237)</f>
        <v>0.19750725</v>
      </c>
      <c r="G727" s="5">
        <f>IFERROR(__xludf.DUMMYFUNCTION("""COMPUTED_VALUE"""),0.14876288023693465)</f>
        <v>0.1487628802</v>
      </c>
      <c r="H727" s="5">
        <f>IFERROR(__xludf.DUMMYFUNCTION("""COMPUTED_VALUE"""),0.6248047485160887)</f>
        <v>0.6248047485</v>
      </c>
      <c r="I727" s="11">
        <f>IFERROR(__xludf.DUMMYFUNCTION("""COMPUTED_VALUE"""),6003.530146829116)</f>
        <v>6003.530147</v>
      </c>
      <c r="J727" s="10">
        <f>IFERROR(__xludf.DUMMYFUNCTION("""COMPUTED_VALUE"""),2.0)</f>
        <v>2</v>
      </c>
      <c r="K727" s="5">
        <f>IFERROR(__xludf.DUMMYFUNCTION("""COMPUTED_VALUE"""),0.0013227513227513227)</f>
        <v>0.001322751323</v>
      </c>
      <c r="L727" s="10">
        <f>IFERROR(__xludf.DUMMYFUNCTION("""COMPUTED_VALUE"""),1512.0)</f>
        <v>1512</v>
      </c>
      <c r="M727" s="5">
        <f>IFERROR(__xludf.DUMMYFUNCTION("""COMPUTED_VALUE"""),1.0)</f>
        <v>1</v>
      </c>
    </row>
    <row r="728">
      <c r="A728" s="10" t="str">
        <f>IFERROR(__xludf.DUMMYFUNCTION("""COMPUTED_VALUE"""),"うーぱー")</f>
        <v>うーぱー</v>
      </c>
      <c r="B728" s="10">
        <f>IFERROR(__xludf.DUMMYFUNCTION("""COMPUTED_VALUE"""),592.0)</f>
        <v>592</v>
      </c>
      <c r="C728" s="10">
        <f>IFERROR(__xludf.DUMMYFUNCTION("""COMPUTED_VALUE"""),6839.0)</f>
        <v>6839</v>
      </c>
      <c r="D728" s="5">
        <f>IFERROR(__xludf.DUMMYFUNCTION("""COMPUTED_VALUE"""),0.38146310228909874)</f>
        <v>0.3814631023</v>
      </c>
      <c r="E728" s="5">
        <f>IFERROR(__xludf.DUMMYFUNCTION("""COMPUTED_VALUE"""),0.1442292300304146)</f>
        <v>0.14422923</v>
      </c>
      <c r="F728" s="5">
        <f>IFERROR(__xludf.DUMMYFUNCTION("""COMPUTED_VALUE"""),0.2281094925564271)</f>
        <v>0.2281094926</v>
      </c>
      <c r="G728" s="5">
        <f>IFERROR(__xludf.DUMMYFUNCTION("""COMPUTED_VALUE"""),0.1840883624139587)</f>
        <v>0.1840883624</v>
      </c>
      <c r="H728" s="5">
        <f>IFERROR(__xludf.DUMMYFUNCTION("""COMPUTED_VALUE"""),0.6112280701754386)</f>
        <v>0.6112280702</v>
      </c>
      <c r="I728" s="11">
        <f>IFERROR(__xludf.DUMMYFUNCTION("""COMPUTED_VALUE"""),5716.350877192983)</f>
        <v>5716.350877</v>
      </c>
      <c r="J728" s="10">
        <f>IFERROR(__xludf.DUMMYFUNCTION("""COMPUTED_VALUE"""),0.0)</f>
        <v>0</v>
      </c>
      <c r="K728" s="5">
        <f>IFERROR(__xludf.DUMMYFUNCTION("""COMPUTED_VALUE"""),0.0)</f>
        <v>0</v>
      </c>
      <c r="L728" s="10">
        <f>IFERROR(__xludf.DUMMYFUNCTION("""COMPUTED_VALUE"""),572.0)</f>
        <v>572</v>
      </c>
      <c r="M728" s="5">
        <f>IFERROR(__xludf.DUMMYFUNCTION("""COMPUTED_VALUE"""),0.9662162162162162)</f>
        <v>0.9662162162</v>
      </c>
    </row>
    <row r="729">
      <c r="A729" s="10" t="str">
        <f>IFERROR(__xludf.DUMMYFUNCTION("""COMPUTED_VALUE"""),"黒犬@てんほー")</f>
        <v>黒犬@てんほー</v>
      </c>
      <c r="B729" s="10">
        <f>IFERROR(__xludf.DUMMYFUNCTION("""COMPUTED_VALUE"""),1785.0)</f>
        <v>1785</v>
      </c>
      <c r="C729" s="10">
        <f>IFERROR(__xludf.DUMMYFUNCTION("""COMPUTED_VALUE"""),20638.0)</f>
        <v>20638</v>
      </c>
      <c r="D729" s="5">
        <f>IFERROR(__xludf.DUMMYFUNCTION("""COMPUTED_VALUE"""),0.3218055481886172)</f>
        <v>0.3218055482</v>
      </c>
      <c r="E729" s="5">
        <f>IFERROR(__xludf.DUMMYFUNCTION("""COMPUTED_VALUE"""),0.14422107887338886)</f>
        <v>0.1442210789</v>
      </c>
      <c r="F729" s="5">
        <f>IFERROR(__xludf.DUMMYFUNCTION("""COMPUTED_VALUE"""),0.21874502731660744)</f>
        <v>0.2187450273</v>
      </c>
      <c r="G729" s="5">
        <f>IFERROR(__xludf.DUMMYFUNCTION("""COMPUTED_VALUE"""),0.1812443642921551)</f>
        <v>0.1812443643</v>
      </c>
      <c r="H729" s="5">
        <f>IFERROR(__xludf.DUMMYFUNCTION("""COMPUTED_VALUE"""),0.5991755577109602)</f>
        <v>0.5991755577</v>
      </c>
      <c r="I729" s="11">
        <f>IFERROR(__xludf.DUMMYFUNCTION("""COMPUTED_VALUE"""),5770.392822502425)</f>
        <v>5770.392823</v>
      </c>
      <c r="J729" s="10">
        <f>IFERROR(__xludf.DUMMYFUNCTION("""COMPUTED_VALUE"""),7.0)</f>
        <v>7</v>
      </c>
      <c r="K729" s="5">
        <f>IFERROR(__xludf.DUMMYFUNCTION("""COMPUTED_VALUE"""),0.00392156862745098)</f>
        <v>0.003921568627</v>
      </c>
      <c r="L729" s="10">
        <f>IFERROR(__xludf.DUMMYFUNCTION("""COMPUTED_VALUE"""),3.0)</f>
        <v>3</v>
      </c>
      <c r="M729" s="5">
        <f>IFERROR(__xludf.DUMMYFUNCTION("""COMPUTED_VALUE"""),0.0016806722689075631)</f>
        <v>0.001680672269</v>
      </c>
    </row>
    <row r="730">
      <c r="A730" s="10" t="str">
        <f>IFERROR(__xludf.DUMMYFUNCTION("""COMPUTED_VALUE"""),"わずでん")</f>
        <v>わずでん</v>
      </c>
      <c r="B730" s="10">
        <f>IFERROR(__xludf.DUMMYFUNCTION("""COMPUTED_VALUE"""),142.0)</f>
        <v>142</v>
      </c>
      <c r="C730" s="10">
        <f>IFERROR(__xludf.DUMMYFUNCTION("""COMPUTED_VALUE"""),1626.0)</f>
        <v>1626</v>
      </c>
      <c r="D730" s="5">
        <f>IFERROR(__xludf.DUMMYFUNCTION("""COMPUTED_VALUE"""),0.3834231805929919)</f>
        <v>0.3834231806</v>
      </c>
      <c r="E730" s="5">
        <f>IFERROR(__xludf.DUMMYFUNCTION("""COMPUTED_VALUE"""),0.14420485175202155)</f>
        <v>0.1442048518</v>
      </c>
      <c r="F730" s="5">
        <f>IFERROR(__xludf.DUMMYFUNCTION("""COMPUTED_VALUE"""),0.2210242587601078)</f>
        <v>0.2210242588</v>
      </c>
      <c r="G730" s="5">
        <f>IFERROR(__xludf.DUMMYFUNCTION("""COMPUTED_VALUE"""),0.17183288409703504)</f>
        <v>0.1718328841</v>
      </c>
      <c r="H730" s="5">
        <f>IFERROR(__xludf.DUMMYFUNCTION("""COMPUTED_VALUE"""),0.6067073170731707)</f>
        <v>0.6067073171</v>
      </c>
      <c r="I730" s="11">
        <f>IFERROR(__xludf.DUMMYFUNCTION("""COMPUTED_VALUE"""),5302.4390243902435)</f>
        <v>5302.439024</v>
      </c>
      <c r="J730" s="10">
        <f>IFERROR(__xludf.DUMMYFUNCTION("""COMPUTED_VALUE"""),0.0)</f>
        <v>0</v>
      </c>
      <c r="K730" s="5">
        <f>IFERROR(__xludf.DUMMYFUNCTION("""COMPUTED_VALUE"""),0.0)</f>
        <v>0</v>
      </c>
      <c r="L730" s="10">
        <f>IFERROR(__xludf.DUMMYFUNCTION("""COMPUTED_VALUE"""),0.0)</f>
        <v>0</v>
      </c>
      <c r="M730" s="5">
        <f>IFERROR(__xludf.DUMMYFUNCTION("""COMPUTED_VALUE"""),0.0)</f>
        <v>0</v>
      </c>
    </row>
    <row r="731">
      <c r="A731" s="10" t="str">
        <f>IFERROR(__xludf.DUMMYFUNCTION("""COMPUTED_VALUE"""),"Exceeds")</f>
        <v>Exceeds</v>
      </c>
      <c r="B731" s="10">
        <f>IFERROR(__xludf.DUMMYFUNCTION("""COMPUTED_VALUE"""),647.0)</f>
        <v>647</v>
      </c>
      <c r="C731" s="10">
        <f>IFERROR(__xludf.DUMMYFUNCTION("""COMPUTED_VALUE"""),7555.0)</f>
        <v>7555</v>
      </c>
      <c r="D731" s="5">
        <f>IFERROR(__xludf.DUMMYFUNCTION("""COMPUTED_VALUE"""),0.3744933410538506)</f>
        <v>0.3744933411</v>
      </c>
      <c r="E731" s="5">
        <f>IFERROR(__xludf.DUMMYFUNCTION("""COMPUTED_VALUE"""),0.14418066010422698)</f>
        <v>0.1441806601</v>
      </c>
      <c r="F731" s="5">
        <f>IFERROR(__xludf.DUMMYFUNCTION("""COMPUTED_VALUE"""),0.21656050955414013)</f>
        <v>0.2165605096</v>
      </c>
      <c r="G731" s="5">
        <f>IFERROR(__xludf.DUMMYFUNCTION("""COMPUTED_VALUE"""),0.17704111175448756)</f>
        <v>0.1770411118</v>
      </c>
      <c r="H731" s="5">
        <f>IFERROR(__xludf.DUMMYFUNCTION("""COMPUTED_VALUE"""),0.6049465240641712)</f>
        <v>0.6049465241</v>
      </c>
      <c r="I731" s="11">
        <f>IFERROR(__xludf.DUMMYFUNCTION("""COMPUTED_VALUE"""),5557.687165775401)</f>
        <v>5557.687166</v>
      </c>
      <c r="J731" s="10">
        <f>IFERROR(__xludf.DUMMYFUNCTION("""COMPUTED_VALUE"""),0.0)</f>
        <v>0</v>
      </c>
      <c r="K731" s="5">
        <f>IFERROR(__xludf.DUMMYFUNCTION("""COMPUTED_VALUE"""),0.0)</f>
        <v>0</v>
      </c>
      <c r="L731" s="10">
        <f>IFERROR(__xludf.DUMMYFUNCTION("""COMPUTED_VALUE"""),647.0)</f>
        <v>647</v>
      </c>
      <c r="M731" s="5">
        <f>IFERROR(__xludf.DUMMYFUNCTION("""COMPUTED_VALUE"""),1.0)</f>
        <v>1</v>
      </c>
    </row>
    <row r="732">
      <c r="A732" s="10" t="str">
        <f>IFERROR(__xludf.DUMMYFUNCTION("""COMPUTED_VALUE"""),"ミドガロン")</f>
        <v>ミドガロン</v>
      </c>
      <c r="B732" s="10">
        <f>IFERROR(__xludf.DUMMYFUNCTION("""COMPUTED_VALUE"""),492.0)</f>
        <v>492</v>
      </c>
      <c r="C732" s="10">
        <f>IFERROR(__xludf.DUMMYFUNCTION("""COMPUTED_VALUE"""),5764.0)</f>
        <v>5764</v>
      </c>
      <c r="D732" s="5">
        <f>IFERROR(__xludf.DUMMYFUNCTION("""COMPUTED_VALUE"""),0.3143019726858877)</f>
        <v>0.3143019727</v>
      </c>
      <c r="E732" s="5">
        <f>IFERROR(__xludf.DUMMYFUNCTION("""COMPUTED_VALUE"""),0.1441578148710167)</f>
        <v>0.1441578149</v>
      </c>
      <c r="F732" s="5">
        <f>IFERROR(__xludf.DUMMYFUNCTION("""COMPUTED_VALUE"""),0.210546282245827)</f>
        <v>0.2105462822</v>
      </c>
      <c r="G732" s="5">
        <f>IFERROR(__xludf.DUMMYFUNCTION("""COMPUTED_VALUE"""),0.18455993930197268)</f>
        <v>0.1845599393</v>
      </c>
      <c r="H732" s="5">
        <f>IFERROR(__xludf.DUMMYFUNCTION("""COMPUTED_VALUE"""),0.6189189189189189)</f>
        <v>0.6189189189</v>
      </c>
      <c r="I732" s="11">
        <f>IFERROR(__xludf.DUMMYFUNCTION("""COMPUTED_VALUE"""),5822.882882882883)</f>
        <v>5822.882883</v>
      </c>
      <c r="J732" s="10">
        <f>IFERROR(__xludf.DUMMYFUNCTION("""COMPUTED_VALUE"""),1.0)</f>
        <v>1</v>
      </c>
      <c r="K732" s="5">
        <f>IFERROR(__xludf.DUMMYFUNCTION("""COMPUTED_VALUE"""),0.0020325203252032522)</f>
        <v>0.002032520325</v>
      </c>
      <c r="L732" s="10">
        <f>IFERROR(__xludf.DUMMYFUNCTION("""COMPUTED_VALUE"""),492.0)</f>
        <v>492</v>
      </c>
      <c r="M732" s="5">
        <f>IFERROR(__xludf.DUMMYFUNCTION("""COMPUTED_VALUE"""),1.0)</f>
        <v>1</v>
      </c>
    </row>
    <row r="733">
      <c r="A733" s="10" t="str">
        <f>IFERROR(__xludf.DUMMYFUNCTION("""COMPUTED_VALUE"""),"ミスティコ")</f>
        <v>ミスティコ</v>
      </c>
      <c r="B733" s="10">
        <f>IFERROR(__xludf.DUMMYFUNCTION("""COMPUTED_VALUE"""),2480.0)</f>
        <v>2480</v>
      </c>
      <c r="C733" s="10">
        <f>IFERROR(__xludf.DUMMYFUNCTION("""COMPUTED_VALUE"""),28854.0)</f>
        <v>28854</v>
      </c>
      <c r="D733" s="5">
        <f>IFERROR(__xludf.DUMMYFUNCTION("""COMPUTED_VALUE"""),0.3308561462045954)</f>
        <v>0.3308561462</v>
      </c>
      <c r="E733" s="5">
        <f>IFERROR(__xludf.DUMMYFUNCTION("""COMPUTED_VALUE"""),0.14415712444073708)</f>
        <v>0.1441571244</v>
      </c>
      <c r="F733" s="5">
        <f>IFERROR(__xludf.DUMMYFUNCTION("""COMPUTED_VALUE"""),0.19678471221657692)</f>
        <v>0.1967847122</v>
      </c>
      <c r="G733" s="5">
        <f>IFERROR(__xludf.DUMMYFUNCTION("""COMPUTED_VALUE"""),0.18855691211041176)</f>
        <v>0.1885569121</v>
      </c>
      <c r="H733" s="5">
        <f>IFERROR(__xludf.DUMMYFUNCTION("""COMPUTED_VALUE"""),0.5851637764932562)</f>
        <v>0.5851637765</v>
      </c>
      <c r="I733" s="11">
        <f>IFERROR(__xludf.DUMMYFUNCTION("""COMPUTED_VALUE"""),6405.953757225434)</f>
        <v>6405.953757</v>
      </c>
      <c r="J733" s="10">
        <f>IFERROR(__xludf.DUMMYFUNCTION("""COMPUTED_VALUE"""),7.0)</f>
        <v>7</v>
      </c>
      <c r="K733" s="5">
        <f>IFERROR(__xludf.DUMMYFUNCTION("""COMPUTED_VALUE"""),0.00282258064516129)</f>
        <v>0.002822580645</v>
      </c>
      <c r="L733" s="10">
        <f>IFERROR(__xludf.DUMMYFUNCTION("""COMPUTED_VALUE"""),2480.0)</f>
        <v>2480</v>
      </c>
      <c r="M733" s="5">
        <f>IFERROR(__xludf.DUMMYFUNCTION("""COMPUTED_VALUE"""),1.0)</f>
        <v>1</v>
      </c>
    </row>
    <row r="734">
      <c r="A734" s="10" t="str">
        <f>IFERROR(__xludf.DUMMYFUNCTION("""COMPUTED_VALUE"""),"☆ドナルド教徒☆")</f>
        <v>☆ドナルド教徒☆</v>
      </c>
      <c r="B734" s="10">
        <f>IFERROR(__xludf.DUMMYFUNCTION("""COMPUTED_VALUE"""),812.0)</f>
        <v>812</v>
      </c>
      <c r="C734" s="10">
        <f>IFERROR(__xludf.DUMMYFUNCTION("""COMPUTED_VALUE"""),9359.0)</f>
        <v>9359</v>
      </c>
      <c r="D734" s="5">
        <f>IFERROR(__xludf.DUMMYFUNCTION("""COMPUTED_VALUE"""),0.4045864045864046)</f>
        <v>0.4045864046</v>
      </c>
      <c r="E734" s="5">
        <f>IFERROR(__xludf.DUMMYFUNCTION("""COMPUTED_VALUE"""),0.14414414414414414)</f>
        <v>0.1441441441</v>
      </c>
      <c r="F734" s="5">
        <f>IFERROR(__xludf.DUMMYFUNCTION("""COMPUTED_VALUE"""),0.2194922194922195)</f>
        <v>0.2194922195</v>
      </c>
      <c r="G734" s="5">
        <f>IFERROR(__xludf.DUMMYFUNCTION("""COMPUTED_VALUE"""),0.16356616356616357)</f>
        <v>0.1635661636</v>
      </c>
      <c r="H734" s="5">
        <f>IFERROR(__xludf.DUMMYFUNCTION("""COMPUTED_VALUE"""),0.6279317697228145)</f>
        <v>0.6279317697</v>
      </c>
      <c r="I734" s="11">
        <f>IFERROR(__xludf.DUMMYFUNCTION("""COMPUTED_VALUE"""),5397.388059701492)</f>
        <v>5397.38806</v>
      </c>
      <c r="J734" s="10">
        <f>IFERROR(__xludf.DUMMYFUNCTION("""COMPUTED_VALUE"""),2.0)</f>
        <v>2</v>
      </c>
      <c r="K734" s="5">
        <f>IFERROR(__xludf.DUMMYFUNCTION("""COMPUTED_VALUE"""),0.0024630541871921183)</f>
        <v>0.002463054187</v>
      </c>
      <c r="L734" s="10">
        <f>IFERROR(__xludf.DUMMYFUNCTION("""COMPUTED_VALUE"""),772.0)</f>
        <v>772</v>
      </c>
      <c r="M734" s="5">
        <f>IFERROR(__xludf.DUMMYFUNCTION("""COMPUTED_VALUE"""),0.9507389162561576)</f>
        <v>0.9507389163</v>
      </c>
    </row>
    <row r="735">
      <c r="A735" s="10" t="str">
        <f>IFERROR(__xludf.DUMMYFUNCTION("""COMPUTED_VALUE"""),"king2323")</f>
        <v>king2323</v>
      </c>
      <c r="B735" s="10">
        <f>IFERROR(__xludf.DUMMYFUNCTION("""COMPUTED_VALUE"""),583.0)</f>
        <v>583</v>
      </c>
      <c r="C735" s="10">
        <f>IFERROR(__xludf.DUMMYFUNCTION("""COMPUTED_VALUE"""),6883.0)</f>
        <v>6883</v>
      </c>
      <c r="D735" s="5">
        <f>IFERROR(__xludf.DUMMYFUNCTION("""COMPUTED_VALUE"""),0.3584126984126984)</f>
        <v>0.3584126984</v>
      </c>
      <c r="E735" s="5">
        <f>IFERROR(__xludf.DUMMYFUNCTION("""COMPUTED_VALUE"""),0.14412698412698413)</f>
        <v>0.1441269841</v>
      </c>
      <c r="F735" s="5">
        <f>IFERROR(__xludf.DUMMYFUNCTION("""COMPUTED_VALUE"""),0.22126984126984128)</f>
        <v>0.2212698413</v>
      </c>
      <c r="G735" s="5">
        <f>IFERROR(__xludf.DUMMYFUNCTION("""COMPUTED_VALUE"""),0.18936507936507938)</f>
        <v>0.1893650794</v>
      </c>
      <c r="H735" s="5">
        <f>IFERROR(__xludf.DUMMYFUNCTION("""COMPUTED_VALUE"""),0.6025824964131994)</f>
        <v>0.6025824964</v>
      </c>
      <c r="I735" s="11">
        <f>IFERROR(__xludf.DUMMYFUNCTION("""COMPUTED_VALUE"""),5733.572453371593)</f>
        <v>5733.572453</v>
      </c>
      <c r="J735" s="10">
        <f>IFERROR(__xludf.DUMMYFUNCTION("""COMPUTED_VALUE"""),1.0)</f>
        <v>1</v>
      </c>
      <c r="K735" s="5">
        <f>IFERROR(__xludf.DUMMYFUNCTION("""COMPUTED_VALUE"""),0.0017152658662092624)</f>
        <v>0.001715265866</v>
      </c>
      <c r="L735" s="10">
        <f>IFERROR(__xludf.DUMMYFUNCTION("""COMPUTED_VALUE"""),583.0)</f>
        <v>583</v>
      </c>
      <c r="M735" s="5">
        <f>IFERROR(__xludf.DUMMYFUNCTION("""COMPUTED_VALUE"""),1.0)</f>
        <v>1</v>
      </c>
    </row>
    <row r="736">
      <c r="A736" s="10" t="str">
        <f>IFERROR(__xludf.DUMMYFUNCTION("""COMPUTED_VALUE"""),"リ・シャオラン")</f>
        <v>リ・シャオラン</v>
      </c>
      <c r="B736" s="10">
        <f>IFERROR(__xludf.DUMMYFUNCTION("""COMPUTED_VALUE"""),114.0)</f>
        <v>114</v>
      </c>
      <c r="C736" s="10">
        <f>IFERROR(__xludf.DUMMYFUNCTION("""COMPUTED_VALUE"""),1356.0)</f>
        <v>1356</v>
      </c>
      <c r="D736" s="5">
        <f>IFERROR(__xludf.DUMMYFUNCTION("""COMPUTED_VALUE"""),0.3285024154589372)</f>
        <v>0.3285024155</v>
      </c>
      <c r="E736" s="5">
        <f>IFERROR(__xludf.DUMMYFUNCTION("""COMPUTED_VALUE"""),0.14412238325281804)</f>
        <v>0.1441223833</v>
      </c>
      <c r="F736" s="5">
        <f>IFERROR(__xludf.DUMMYFUNCTION("""COMPUTED_VALUE"""),0.19887278582930756)</f>
        <v>0.1988727858</v>
      </c>
      <c r="G736" s="5">
        <f>IFERROR(__xludf.DUMMYFUNCTION("""COMPUTED_VALUE"""),0.18438003220611915)</f>
        <v>0.1843800322</v>
      </c>
      <c r="H736" s="5">
        <f>IFERROR(__xludf.DUMMYFUNCTION("""COMPUTED_VALUE"""),0.582995951417004)</f>
        <v>0.5829959514</v>
      </c>
      <c r="I736" s="11">
        <f>IFERROR(__xludf.DUMMYFUNCTION("""COMPUTED_VALUE"""),5523.076923076923)</f>
        <v>5523.076923</v>
      </c>
      <c r="J736" s="10">
        <f>IFERROR(__xludf.DUMMYFUNCTION("""COMPUTED_VALUE"""),0.0)</f>
        <v>0</v>
      </c>
      <c r="K736" s="5">
        <f>IFERROR(__xludf.DUMMYFUNCTION("""COMPUTED_VALUE"""),0.0)</f>
        <v>0</v>
      </c>
      <c r="L736" s="10">
        <f>IFERROR(__xludf.DUMMYFUNCTION("""COMPUTED_VALUE"""),8.0)</f>
        <v>8</v>
      </c>
      <c r="M736" s="5">
        <f>IFERROR(__xludf.DUMMYFUNCTION("""COMPUTED_VALUE"""),0.07017543859649122)</f>
        <v>0.0701754386</v>
      </c>
    </row>
    <row r="737">
      <c r="A737" s="10" t="str">
        <f>IFERROR(__xludf.DUMMYFUNCTION("""COMPUTED_VALUE"""),"hazuki89")</f>
        <v>hazuki89</v>
      </c>
      <c r="B737" s="10">
        <f>IFERROR(__xludf.DUMMYFUNCTION("""COMPUTED_VALUE"""),824.0)</f>
        <v>824</v>
      </c>
      <c r="C737" s="10">
        <f>IFERROR(__xludf.DUMMYFUNCTION("""COMPUTED_VALUE"""),9673.0)</f>
        <v>9673</v>
      </c>
      <c r="D737" s="5">
        <f>IFERROR(__xludf.DUMMYFUNCTION("""COMPUTED_VALUE"""),0.31031755000565037)</f>
        <v>0.31031755</v>
      </c>
      <c r="E737" s="5">
        <f>IFERROR(__xludf.DUMMYFUNCTION("""COMPUTED_VALUE"""),0.1440840772968697)</f>
        <v>0.1440840773</v>
      </c>
      <c r="F737" s="5">
        <f>IFERROR(__xludf.DUMMYFUNCTION("""COMPUTED_VALUE"""),0.21324443439936716)</f>
        <v>0.2132444344</v>
      </c>
      <c r="G737" s="5">
        <f>IFERROR(__xludf.DUMMYFUNCTION("""COMPUTED_VALUE"""),0.17267487851734659)</f>
        <v>0.1726748785</v>
      </c>
      <c r="H737" s="5">
        <f>IFERROR(__xludf.DUMMYFUNCTION("""COMPUTED_VALUE"""),0.6210916799152093)</f>
        <v>0.6210916799</v>
      </c>
      <c r="I737" s="11">
        <f>IFERROR(__xludf.DUMMYFUNCTION("""COMPUTED_VALUE"""),6056.756756756757)</f>
        <v>6056.756757</v>
      </c>
      <c r="J737" s="10">
        <f>IFERROR(__xludf.DUMMYFUNCTION("""COMPUTED_VALUE"""),1.0)</f>
        <v>1</v>
      </c>
      <c r="K737" s="5">
        <f>IFERROR(__xludf.DUMMYFUNCTION("""COMPUTED_VALUE"""),0.0012135922330097086)</f>
        <v>0.001213592233</v>
      </c>
      <c r="L737" s="10">
        <f>IFERROR(__xludf.DUMMYFUNCTION("""COMPUTED_VALUE"""),159.0)</f>
        <v>159</v>
      </c>
      <c r="M737" s="5">
        <f>IFERROR(__xludf.DUMMYFUNCTION("""COMPUTED_VALUE"""),0.1929611650485437)</f>
        <v>0.192961165</v>
      </c>
    </row>
    <row r="738">
      <c r="A738" s="10" t="str">
        <f>IFERROR(__xludf.DUMMYFUNCTION("""COMPUTED_VALUE"""),"kiyok")</f>
        <v>kiyok</v>
      </c>
      <c r="B738" s="10">
        <f>IFERROR(__xludf.DUMMYFUNCTION("""COMPUTED_VALUE"""),176.0)</f>
        <v>176</v>
      </c>
      <c r="C738" s="10">
        <f>IFERROR(__xludf.DUMMYFUNCTION("""COMPUTED_VALUE"""),2085.0)</f>
        <v>2085</v>
      </c>
      <c r="D738" s="5">
        <f>IFERROR(__xludf.DUMMYFUNCTION("""COMPUTED_VALUE"""),0.35777894185437403)</f>
        <v>0.3577789419</v>
      </c>
      <c r="E738" s="5">
        <f>IFERROR(__xludf.DUMMYFUNCTION("""COMPUTED_VALUE"""),0.14405447878470404)</f>
        <v>0.1440544788</v>
      </c>
      <c r="F738" s="5">
        <f>IFERROR(__xludf.DUMMYFUNCTION("""COMPUTED_VALUE"""),0.22210581456259823)</f>
        <v>0.2221058146</v>
      </c>
      <c r="G738" s="5">
        <f>IFERROR(__xludf.DUMMYFUNCTION("""COMPUTED_VALUE"""),0.16343635411210058)</f>
        <v>0.1634363541</v>
      </c>
      <c r="H738" s="5">
        <f>IFERROR(__xludf.DUMMYFUNCTION("""COMPUTED_VALUE"""),0.6297169811320755)</f>
        <v>0.6297169811</v>
      </c>
      <c r="I738" s="11">
        <f>IFERROR(__xludf.DUMMYFUNCTION("""COMPUTED_VALUE"""),5430.896226415094)</f>
        <v>5430.896226</v>
      </c>
      <c r="J738" s="10">
        <f>IFERROR(__xludf.DUMMYFUNCTION("""COMPUTED_VALUE"""),0.0)</f>
        <v>0</v>
      </c>
      <c r="K738" s="5">
        <f>IFERROR(__xludf.DUMMYFUNCTION("""COMPUTED_VALUE"""),0.0)</f>
        <v>0</v>
      </c>
      <c r="L738" s="10">
        <f>IFERROR(__xludf.DUMMYFUNCTION("""COMPUTED_VALUE"""),176.0)</f>
        <v>176</v>
      </c>
      <c r="M738" s="5">
        <f>IFERROR(__xludf.DUMMYFUNCTION("""COMPUTED_VALUE"""),1.0)</f>
        <v>1</v>
      </c>
    </row>
    <row r="739">
      <c r="A739" s="10" t="str">
        <f>IFERROR(__xludf.DUMMYFUNCTION("""COMPUTED_VALUE"""),"こううた")</f>
        <v>こううた</v>
      </c>
      <c r="B739" s="10">
        <f>IFERROR(__xludf.DUMMYFUNCTION("""COMPUTED_VALUE"""),211.0)</f>
        <v>211</v>
      </c>
      <c r="C739" s="10">
        <f>IFERROR(__xludf.DUMMYFUNCTION("""COMPUTED_VALUE"""),2495.0)</f>
        <v>2495</v>
      </c>
      <c r="D739" s="5">
        <f>IFERROR(__xludf.DUMMYFUNCTION("""COMPUTED_VALUE"""),0.3690893169877408)</f>
        <v>0.369089317</v>
      </c>
      <c r="E739" s="5">
        <f>IFERROR(__xludf.DUMMYFUNCTION("""COMPUTED_VALUE"""),0.14404553415061297)</f>
        <v>0.1440455342</v>
      </c>
      <c r="F739" s="5">
        <f>IFERROR(__xludf.DUMMYFUNCTION("""COMPUTED_VALUE"""),0.22942206654991243)</f>
        <v>0.2294220665</v>
      </c>
      <c r="G739" s="5">
        <f>IFERROR(__xludf.DUMMYFUNCTION("""COMPUTED_VALUE"""),0.15805604203152365)</f>
        <v>0.158056042</v>
      </c>
      <c r="H739" s="5">
        <f>IFERROR(__xludf.DUMMYFUNCTION("""COMPUTED_VALUE"""),0.6354961832061069)</f>
        <v>0.6354961832</v>
      </c>
      <c r="I739" s="11">
        <f>IFERROR(__xludf.DUMMYFUNCTION("""COMPUTED_VALUE"""),5624.618320610687)</f>
        <v>5624.618321</v>
      </c>
      <c r="J739" s="10">
        <f>IFERROR(__xludf.DUMMYFUNCTION("""COMPUTED_VALUE"""),1.0)</f>
        <v>1</v>
      </c>
      <c r="K739" s="5">
        <f>IFERROR(__xludf.DUMMYFUNCTION("""COMPUTED_VALUE"""),0.004739336492890996)</f>
        <v>0.004739336493</v>
      </c>
      <c r="L739" s="10">
        <f>IFERROR(__xludf.DUMMYFUNCTION("""COMPUTED_VALUE"""),211.0)</f>
        <v>211</v>
      </c>
      <c r="M739" s="5">
        <f>IFERROR(__xludf.DUMMYFUNCTION("""COMPUTED_VALUE"""),1.0)</f>
        <v>1</v>
      </c>
    </row>
    <row r="740">
      <c r="A740" s="10" t="str">
        <f>IFERROR(__xludf.DUMMYFUNCTION("""COMPUTED_VALUE"""),"waru")</f>
        <v>waru</v>
      </c>
      <c r="B740" s="10">
        <f>IFERROR(__xludf.DUMMYFUNCTION("""COMPUTED_VALUE"""),135.0)</f>
        <v>135</v>
      </c>
      <c r="C740" s="10">
        <f>IFERROR(__xludf.DUMMYFUNCTION("""COMPUTED_VALUE"""),1586.0)</f>
        <v>1586</v>
      </c>
      <c r="D740" s="5">
        <f>IFERROR(__xludf.DUMMYFUNCTION("""COMPUTED_VALUE"""),0.35148173673328736)</f>
        <v>0.3514817367</v>
      </c>
      <c r="E740" s="5">
        <f>IFERROR(__xludf.DUMMYFUNCTION("""COMPUTED_VALUE"""),0.14403859407305306)</f>
        <v>0.1440385941</v>
      </c>
      <c r="F740" s="5">
        <f>IFERROR(__xludf.DUMMYFUNCTION("""COMPUTED_VALUE"""),0.21571330117160578)</f>
        <v>0.2157133012</v>
      </c>
      <c r="G740" s="5">
        <f>IFERROR(__xludf.DUMMYFUNCTION("""COMPUTED_VALUE"""),0.18952446588559613)</f>
        <v>0.1895244659</v>
      </c>
      <c r="H740" s="5">
        <f>IFERROR(__xludf.DUMMYFUNCTION("""COMPUTED_VALUE"""),0.6006389776357828)</f>
        <v>0.6006389776</v>
      </c>
      <c r="I740" s="11">
        <f>IFERROR(__xludf.DUMMYFUNCTION("""COMPUTED_VALUE"""),5783.067092651757)</f>
        <v>5783.067093</v>
      </c>
      <c r="J740" s="10">
        <f>IFERROR(__xludf.DUMMYFUNCTION("""COMPUTED_VALUE"""),0.0)</f>
        <v>0</v>
      </c>
      <c r="K740" s="5">
        <f>IFERROR(__xludf.DUMMYFUNCTION("""COMPUTED_VALUE"""),0.0)</f>
        <v>0</v>
      </c>
      <c r="L740" s="10">
        <f>IFERROR(__xludf.DUMMYFUNCTION("""COMPUTED_VALUE"""),135.0)</f>
        <v>135</v>
      </c>
      <c r="M740" s="5">
        <f>IFERROR(__xludf.DUMMYFUNCTION("""COMPUTED_VALUE"""),1.0)</f>
        <v>1</v>
      </c>
    </row>
    <row r="741">
      <c r="A741" s="10" t="str">
        <f>IFERROR(__xludf.DUMMYFUNCTION("""COMPUTED_VALUE"""),"ダブぺー")</f>
        <v>ダブぺー</v>
      </c>
      <c r="B741" s="10">
        <f>IFERROR(__xludf.DUMMYFUNCTION("""COMPUTED_VALUE"""),415.0)</f>
        <v>415</v>
      </c>
      <c r="C741" s="10">
        <f>IFERROR(__xludf.DUMMYFUNCTION("""COMPUTED_VALUE"""),4685.0)</f>
        <v>4685</v>
      </c>
      <c r="D741" s="5">
        <f>IFERROR(__xludf.DUMMYFUNCTION("""COMPUTED_VALUE"""),0.37868852459016394)</f>
        <v>0.3786885246</v>
      </c>
      <c r="E741" s="5">
        <f>IFERROR(__xludf.DUMMYFUNCTION("""COMPUTED_VALUE"""),0.14402810304449648)</f>
        <v>0.144028103</v>
      </c>
      <c r="F741" s="5">
        <f>IFERROR(__xludf.DUMMYFUNCTION("""COMPUTED_VALUE"""),0.20210772833723653)</f>
        <v>0.2021077283</v>
      </c>
      <c r="G741" s="5">
        <f>IFERROR(__xludf.DUMMYFUNCTION("""COMPUTED_VALUE"""),0.1882903981264637)</f>
        <v>0.1882903981</v>
      </c>
      <c r="H741" s="5">
        <f>IFERROR(__xludf.DUMMYFUNCTION("""COMPUTED_VALUE"""),0.5921205098493627)</f>
        <v>0.5921205098</v>
      </c>
      <c r="I741" s="11">
        <f>IFERROR(__xludf.DUMMYFUNCTION("""COMPUTED_VALUE"""),6106.604866743916)</f>
        <v>6106.604867</v>
      </c>
      <c r="J741" s="10">
        <f>IFERROR(__xludf.DUMMYFUNCTION("""COMPUTED_VALUE"""),5.0)</f>
        <v>5</v>
      </c>
      <c r="K741" s="5">
        <f>IFERROR(__xludf.DUMMYFUNCTION("""COMPUTED_VALUE"""),0.012048192771084338)</f>
        <v>0.01204819277</v>
      </c>
      <c r="L741" s="10">
        <f>IFERROR(__xludf.DUMMYFUNCTION("""COMPUTED_VALUE"""),332.0)</f>
        <v>332</v>
      </c>
      <c r="M741" s="5">
        <f>IFERROR(__xludf.DUMMYFUNCTION("""COMPUTED_VALUE"""),0.8)</f>
        <v>0.8</v>
      </c>
    </row>
    <row r="742">
      <c r="A742" s="10" t="str">
        <f>IFERROR(__xludf.DUMMYFUNCTION("""COMPUTED_VALUE"""),"いなしん。")</f>
        <v>いなしん。</v>
      </c>
      <c r="B742" s="10">
        <f>IFERROR(__xludf.DUMMYFUNCTION("""COMPUTED_VALUE"""),3327.0)</f>
        <v>3327</v>
      </c>
      <c r="C742" s="10">
        <f>IFERROR(__xludf.DUMMYFUNCTION("""COMPUTED_VALUE"""),38627.0)</f>
        <v>38627</v>
      </c>
      <c r="D742" s="5">
        <f>IFERROR(__xludf.DUMMYFUNCTION("""COMPUTED_VALUE"""),0.411671388101983)</f>
        <v>0.4116713881</v>
      </c>
      <c r="E742" s="5">
        <f>IFERROR(__xludf.DUMMYFUNCTION("""COMPUTED_VALUE"""),0.14402266288951843)</f>
        <v>0.1440226629</v>
      </c>
      <c r="F742" s="5">
        <f>IFERROR(__xludf.DUMMYFUNCTION("""COMPUTED_VALUE"""),0.22594900849858357)</f>
        <v>0.2259490085</v>
      </c>
      <c r="G742" s="5">
        <f>IFERROR(__xludf.DUMMYFUNCTION("""COMPUTED_VALUE"""),0.1685269121813031)</f>
        <v>0.1685269122</v>
      </c>
      <c r="H742" s="5">
        <f>IFERROR(__xludf.DUMMYFUNCTION("""COMPUTED_VALUE"""),0.5986710130391174)</f>
        <v>0.598671013</v>
      </c>
      <c r="I742" s="11">
        <f>IFERROR(__xludf.DUMMYFUNCTION("""COMPUTED_VALUE"""),5533.663490471415)</f>
        <v>5533.66349</v>
      </c>
      <c r="J742" s="10">
        <f>IFERROR(__xludf.DUMMYFUNCTION("""COMPUTED_VALUE"""),11.0)</f>
        <v>11</v>
      </c>
      <c r="K742" s="5">
        <f>IFERROR(__xludf.DUMMYFUNCTION("""COMPUTED_VALUE"""),0.0033062819356777877)</f>
        <v>0.003306281936</v>
      </c>
      <c r="L742" s="10">
        <f>IFERROR(__xludf.DUMMYFUNCTION("""COMPUTED_VALUE"""),2160.0)</f>
        <v>2160</v>
      </c>
      <c r="M742" s="5">
        <f>IFERROR(__xludf.DUMMYFUNCTION("""COMPUTED_VALUE"""),0.6492335437330928)</f>
        <v>0.6492335437</v>
      </c>
    </row>
    <row r="743">
      <c r="A743" s="10" t="str">
        <f>IFERROR(__xludf.DUMMYFUNCTION("""COMPUTED_VALUE"""),"aruka")</f>
        <v>aruka</v>
      </c>
      <c r="B743" s="10">
        <f>IFERROR(__xludf.DUMMYFUNCTION("""COMPUTED_VALUE"""),1379.0)</f>
        <v>1379</v>
      </c>
      <c r="C743" s="10">
        <f>IFERROR(__xludf.DUMMYFUNCTION("""COMPUTED_VALUE"""),16231.0)</f>
        <v>16231</v>
      </c>
      <c r="D743" s="5">
        <f>IFERROR(__xludf.DUMMYFUNCTION("""COMPUTED_VALUE"""),0.38856719633719367)</f>
        <v>0.3885671963</v>
      </c>
      <c r="E743" s="5">
        <f>IFERROR(__xludf.DUMMYFUNCTION("""COMPUTED_VALUE"""),0.1440210072717479)</f>
        <v>0.1440210073</v>
      </c>
      <c r="F743" s="5">
        <f>IFERROR(__xludf.DUMMYFUNCTION("""COMPUTED_VALUE"""),0.21559385941287368)</f>
        <v>0.2155938594</v>
      </c>
      <c r="G743" s="5">
        <f>IFERROR(__xludf.DUMMYFUNCTION("""COMPUTED_VALUE"""),0.19748182063021816)</f>
        <v>0.1974818206</v>
      </c>
      <c r="H743" s="5">
        <f>IFERROR(__xludf.DUMMYFUNCTION("""COMPUTED_VALUE"""),0.5918176139912554)</f>
        <v>0.591817614</v>
      </c>
      <c r="I743" s="11">
        <f>IFERROR(__xludf.DUMMYFUNCTION("""COMPUTED_VALUE"""),5858.494690818238)</f>
        <v>5858.494691</v>
      </c>
      <c r="J743" s="10">
        <f>IFERROR(__xludf.DUMMYFUNCTION("""COMPUTED_VALUE"""),1.0)</f>
        <v>1</v>
      </c>
      <c r="K743" s="5">
        <f>IFERROR(__xludf.DUMMYFUNCTION("""COMPUTED_VALUE"""),7.251631617113851E-4)</f>
        <v>0.0007251631617</v>
      </c>
      <c r="L743" s="10">
        <f>IFERROR(__xludf.DUMMYFUNCTION("""COMPUTED_VALUE"""),1379.0)</f>
        <v>1379</v>
      </c>
      <c r="M743" s="5">
        <f>IFERROR(__xludf.DUMMYFUNCTION("""COMPUTED_VALUE"""),1.0)</f>
        <v>1</v>
      </c>
    </row>
    <row r="744">
      <c r="A744" s="10" t="str">
        <f>IFERROR(__xludf.DUMMYFUNCTION("""COMPUTED_VALUE"""),"DOCKY")</f>
        <v>DOCKY</v>
      </c>
      <c r="B744" s="10">
        <f>IFERROR(__xludf.DUMMYFUNCTION("""COMPUTED_VALUE"""),182.0)</f>
        <v>182</v>
      </c>
      <c r="C744" s="10">
        <f>IFERROR(__xludf.DUMMYFUNCTION("""COMPUTED_VALUE"""),2147.0)</f>
        <v>2147</v>
      </c>
      <c r="D744" s="5">
        <f>IFERROR(__xludf.DUMMYFUNCTION("""COMPUTED_VALUE"""),0.35063613231552165)</f>
        <v>0.3506361323</v>
      </c>
      <c r="E744" s="5">
        <f>IFERROR(__xludf.DUMMYFUNCTION("""COMPUTED_VALUE"""),0.1440203562340967)</f>
        <v>0.1440203562</v>
      </c>
      <c r="F744" s="5">
        <f>IFERROR(__xludf.DUMMYFUNCTION("""COMPUTED_VALUE"""),0.21424936386768448)</f>
        <v>0.2142493639</v>
      </c>
      <c r="G744" s="5">
        <f>IFERROR(__xludf.DUMMYFUNCTION("""COMPUTED_VALUE"""),0.15877862595419848)</f>
        <v>0.158778626</v>
      </c>
      <c r="H744" s="5">
        <f>IFERROR(__xludf.DUMMYFUNCTION("""COMPUTED_VALUE"""),0.6033254156769596)</f>
        <v>0.6033254157</v>
      </c>
      <c r="I744" s="11">
        <f>IFERROR(__xludf.DUMMYFUNCTION("""COMPUTED_VALUE"""),5350.8313539192395)</f>
        <v>5350.831354</v>
      </c>
      <c r="J744" s="10">
        <f>IFERROR(__xludf.DUMMYFUNCTION("""COMPUTED_VALUE"""),0.0)</f>
        <v>0</v>
      </c>
      <c r="K744" s="5">
        <f>IFERROR(__xludf.DUMMYFUNCTION("""COMPUTED_VALUE"""),0.0)</f>
        <v>0</v>
      </c>
      <c r="L744" s="10">
        <f>IFERROR(__xludf.DUMMYFUNCTION("""COMPUTED_VALUE"""),182.0)</f>
        <v>182</v>
      </c>
      <c r="M744" s="5">
        <f>IFERROR(__xludf.DUMMYFUNCTION("""COMPUTED_VALUE"""),1.0)</f>
        <v>1</v>
      </c>
    </row>
    <row r="745">
      <c r="A745" s="10" t="str">
        <f>IFERROR(__xludf.DUMMYFUNCTION("""COMPUTED_VALUE"""),"ドデカミン♂")</f>
        <v>ドデカミン♂</v>
      </c>
      <c r="B745" s="10">
        <f>IFERROR(__xludf.DUMMYFUNCTION("""COMPUTED_VALUE"""),206.0)</f>
        <v>206</v>
      </c>
      <c r="C745" s="10">
        <f>IFERROR(__xludf.DUMMYFUNCTION("""COMPUTED_VALUE"""),2394.0)</f>
        <v>2394</v>
      </c>
      <c r="D745" s="5">
        <f>IFERROR(__xludf.DUMMYFUNCTION("""COMPUTED_VALUE"""),0.3569469835466179)</f>
        <v>0.3569469835</v>
      </c>
      <c r="E745" s="5">
        <f>IFERROR(__xludf.DUMMYFUNCTION("""COMPUTED_VALUE"""),0.14396709323583182)</f>
        <v>0.1439670932</v>
      </c>
      <c r="F745" s="5">
        <f>IFERROR(__xludf.DUMMYFUNCTION("""COMPUTED_VALUE"""),0.18921389396709323)</f>
        <v>0.189213894</v>
      </c>
      <c r="G745" s="5">
        <f>IFERROR(__xludf.DUMMYFUNCTION("""COMPUTED_VALUE"""),0.1576782449725777)</f>
        <v>0.157678245</v>
      </c>
      <c r="H745" s="5">
        <f>IFERROR(__xludf.DUMMYFUNCTION("""COMPUTED_VALUE"""),0.5917874396135265)</f>
        <v>0.5917874396</v>
      </c>
      <c r="I745" s="11">
        <f>IFERROR(__xludf.DUMMYFUNCTION("""COMPUTED_VALUE"""),5443.961352657005)</f>
        <v>5443.961353</v>
      </c>
      <c r="J745" s="10">
        <f>IFERROR(__xludf.DUMMYFUNCTION("""COMPUTED_VALUE"""),0.0)</f>
        <v>0</v>
      </c>
      <c r="K745" s="5">
        <f>IFERROR(__xludf.DUMMYFUNCTION("""COMPUTED_VALUE"""),0.0)</f>
        <v>0</v>
      </c>
      <c r="L745" s="10">
        <f>IFERROR(__xludf.DUMMYFUNCTION("""COMPUTED_VALUE"""),206.0)</f>
        <v>206</v>
      </c>
      <c r="M745" s="5">
        <f>IFERROR(__xludf.DUMMYFUNCTION("""COMPUTED_VALUE"""),1.0)</f>
        <v>1</v>
      </c>
    </row>
    <row r="746">
      <c r="A746" s="10" t="str">
        <f>IFERROR(__xludf.DUMMYFUNCTION("""COMPUTED_VALUE"""),"霧谷紅")</f>
        <v>霧谷紅</v>
      </c>
      <c r="B746" s="10">
        <f>IFERROR(__xludf.DUMMYFUNCTION("""COMPUTED_VALUE"""),231.0)</f>
        <v>231</v>
      </c>
      <c r="C746" s="10">
        <f>IFERROR(__xludf.DUMMYFUNCTION("""COMPUTED_VALUE"""),2683.0)</f>
        <v>2683</v>
      </c>
      <c r="D746" s="5">
        <f>IFERROR(__xludf.DUMMYFUNCTION("""COMPUTED_VALUE"""),0.37153344208809136)</f>
        <v>0.3715334421</v>
      </c>
      <c r="E746" s="5">
        <f>IFERROR(__xludf.DUMMYFUNCTION("""COMPUTED_VALUE"""),0.14396411092985317)</f>
        <v>0.1439641109</v>
      </c>
      <c r="F746" s="5">
        <f>IFERROR(__xludf.DUMMYFUNCTION("""COMPUTED_VALUE"""),0.2226753670473083)</f>
        <v>0.222675367</v>
      </c>
      <c r="G746" s="5">
        <f>IFERROR(__xludf.DUMMYFUNCTION("""COMPUTED_VALUE"""),0.200652528548124)</f>
        <v>0.2006525285</v>
      </c>
      <c r="H746" s="5">
        <f>IFERROR(__xludf.DUMMYFUNCTION("""COMPUTED_VALUE"""),0.5970695970695971)</f>
        <v>0.5970695971</v>
      </c>
      <c r="I746" s="11">
        <f>IFERROR(__xludf.DUMMYFUNCTION("""COMPUTED_VALUE"""),5789.194139194139)</f>
        <v>5789.194139</v>
      </c>
      <c r="J746" s="10">
        <f>IFERROR(__xludf.DUMMYFUNCTION("""COMPUTED_VALUE"""),0.0)</f>
        <v>0</v>
      </c>
      <c r="K746" s="5">
        <f>IFERROR(__xludf.DUMMYFUNCTION("""COMPUTED_VALUE"""),0.0)</f>
        <v>0</v>
      </c>
      <c r="L746" s="10">
        <f>IFERROR(__xludf.DUMMYFUNCTION("""COMPUTED_VALUE"""),1.0)</f>
        <v>1</v>
      </c>
      <c r="M746" s="5">
        <f>IFERROR(__xludf.DUMMYFUNCTION("""COMPUTED_VALUE"""),0.004329004329004329)</f>
        <v>0.004329004329</v>
      </c>
    </row>
    <row r="747">
      <c r="A747" s="10" t="str">
        <f>IFERROR(__xludf.DUMMYFUNCTION("""COMPUTED_VALUE"""),"虎猫")</f>
        <v>虎猫</v>
      </c>
      <c r="B747" s="10">
        <f>IFERROR(__xludf.DUMMYFUNCTION("""COMPUTED_VALUE"""),234.0)</f>
        <v>234</v>
      </c>
      <c r="C747" s="10">
        <f>IFERROR(__xludf.DUMMYFUNCTION("""COMPUTED_VALUE"""),2756.0)</f>
        <v>2756</v>
      </c>
      <c r="D747" s="5">
        <f>IFERROR(__xludf.DUMMYFUNCTION("""COMPUTED_VALUE"""),0.35051546391752575)</f>
        <v>0.3505154639</v>
      </c>
      <c r="E747" s="5">
        <f>IFERROR(__xludf.DUMMYFUNCTION("""COMPUTED_VALUE"""),0.14393338620142743)</f>
        <v>0.1439333862</v>
      </c>
      <c r="F747" s="5">
        <f>IFERROR(__xludf.DUMMYFUNCTION("""COMPUTED_VALUE"""),0.20816812053925457)</f>
        <v>0.2081681205</v>
      </c>
      <c r="G747" s="5">
        <f>IFERROR(__xludf.DUMMYFUNCTION("""COMPUTED_VALUE"""),0.17842981760507534)</f>
        <v>0.1784298176</v>
      </c>
      <c r="H747" s="5">
        <f>IFERROR(__xludf.DUMMYFUNCTION("""COMPUTED_VALUE"""),0.5504761904761905)</f>
        <v>0.5504761905</v>
      </c>
      <c r="I747" s="11">
        <f>IFERROR(__xludf.DUMMYFUNCTION("""COMPUTED_VALUE"""),5787.809523809524)</f>
        <v>5787.809524</v>
      </c>
      <c r="J747" s="10">
        <f>IFERROR(__xludf.DUMMYFUNCTION("""COMPUTED_VALUE"""),1.0)</f>
        <v>1</v>
      </c>
      <c r="K747" s="5">
        <f>IFERROR(__xludf.DUMMYFUNCTION("""COMPUTED_VALUE"""),0.004273504273504274)</f>
        <v>0.004273504274</v>
      </c>
      <c r="L747" s="10">
        <f>IFERROR(__xludf.DUMMYFUNCTION("""COMPUTED_VALUE"""),208.0)</f>
        <v>208</v>
      </c>
      <c r="M747" s="5">
        <f>IFERROR(__xludf.DUMMYFUNCTION("""COMPUTED_VALUE"""),0.8888888888888888)</f>
        <v>0.8888888889</v>
      </c>
    </row>
    <row r="748">
      <c r="A748" s="10" t="str">
        <f>IFERROR(__xludf.DUMMYFUNCTION("""COMPUTED_VALUE"""),"あいみちゃんFC")</f>
        <v>あいみちゃんFC</v>
      </c>
      <c r="B748" s="10">
        <f>IFERROR(__xludf.DUMMYFUNCTION("""COMPUTED_VALUE"""),302.0)</f>
        <v>302</v>
      </c>
      <c r="C748" s="10">
        <f>IFERROR(__xludf.DUMMYFUNCTION("""COMPUTED_VALUE"""),3498.0)</f>
        <v>3498</v>
      </c>
      <c r="D748" s="5">
        <f>IFERROR(__xludf.DUMMYFUNCTION("""COMPUTED_VALUE"""),0.3216520650813517)</f>
        <v>0.3216520651</v>
      </c>
      <c r="E748" s="5">
        <f>IFERROR(__xludf.DUMMYFUNCTION("""COMPUTED_VALUE"""),0.1439299123904881)</f>
        <v>0.1439299124</v>
      </c>
      <c r="F748" s="5">
        <f>IFERROR(__xludf.DUMMYFUNCTION("""COMPUTED_VALUE"""),0.201188986232791)</f>
        <v>0.2011889862</v>
      </c>
      <c r="G748" s="5">
        <f>IFERROR(__xludf.DUMMYFUNCTION("""COMPUTED_VALUE"""),0.17177722152690864)</f>
        <v>0.1717772215</v>
      </c>
      <c r="H748" s="5">
        <f>IFERROR(__xludf.DUMMYFUNCTION("""COMPUTED_VALUE"""),0.6158631415241057)</f>
        <v>0.6158631415</v>
      </c>
      <c r="I748" s="11">
        <f>IFERROR(__xludf.DUMMYFUNCTION("""COMPUTED_VALUE"""),5971.53965785381)</f>
        <v>5971.539658</v>
      </c>
      <c r="J748" s="10">
        <f>IFERROR(__xludf.DUMMYFUNCTION("""COMPUTED_VALUE"""),1.0)</f>
        <v>1</v>
      </c>
      <c r="K748" s="5">
        <f>IFERROR(__xludf.DUMMYFUNCTION("""COMPUTED_VALUE"""),0.0033112582781456954)</f>
        <v>0.003311258278</v>
      </c>
      <c r="L748" s="10">
        <f>IFERROR(__xludf.DUMMYFUNCTION("""COMPUTED_VALUE"""),302.0)</f>
        <v>302</v>
      </c>
      <c r="M748" s="5">
        <f>IFERROR(__xludf.DUMMYFUNCTION("""COMPUTED_VALUE"""),1.0)</f>
        <v>1</v>
      </c>
    </row>
    <row r="749">
      <c r="A749" s="10" t="str">
        <f>IFERROR(__xludf.DUMMYFUNCTION("""COMPUTED_VALUE"""),"夢幻戦士ヴァリス")</f>
        <v>夢幻戦士ヴァリス</v>
      </c>
      <c r="B749" s="10">
        <f>IFERROR(__xludf.DUMMYFUNCTION("""COMPUTED_VALUE"""),127.0)</f>
        <v>127</v>
      </c>
      <c r="C749" s="10">
        <f>IFERROR(__xludf.DUMMYFUNCTION("""COMPUTED_VALUE"""),1468.0)</f>
        <v>1468</v>
      </c>
      <c r="D749" s="5">
        <f>IFERROR(__xludf.DUMMYFUNCTION("""COMPUTED_VALUE"""),0.3407904548844146)</f>
        <v>0.3407904549</v>
      </c>
      <c r="E749" s="5">
        <f>IFERROR(__xludf.DUMMYFUNCTION("""COMPUTED_VALUE"""),0.14392244593586875)</f>
        <v>0.1439224459</v>
      </c>
      <c r="F749" s="5">
        <f>IFERROR(__xludf.DUMMYFUNCTION("""COMPUTED_VALUE"""),0.17524235645041014)</f>
        <v>0.1752423565</v>
      </c>
      <c r="G749" s="5">
        <f>IFERROR(__xludf.DUMMYFUNCTION("""COMPUTED_VALUE"""),0.1767337807606264)</f>
        <v>0.1767337808</v>
      </c>
      <c r="H749" s="5">
        <f>IFERROR(__xludf.DUMMYFUNCTION("""COMPUTED_VALUE"""),0.5617021276595745)</f>
        <v>0.5617021277</v>
      </c>
      <c r="I749" s="11">
        <f>IFERROR(__xludf.DUMMYFUNCTION("""COMPUTED_VALUE"""),5923.829787234043)</f>
        <v>5923.829787</v>
      </c>
      <c r="J749" s="10">
        <f>IFERROR(__xludf.DUMMYFUNCTION("""COMPUTED_VALUE"""),0.0)</f>
        <v>0</v>
      </c>
      <c r="K749" s="5">
        <f>IFERROR(__xludf.DUMMYFUNCTION("""COMPUTED_VALUE"""),0.0)</f>
        <v>0</v>
      </c>
      <c r="L749" s="10">
        <f>IFERROR(__xludf.DUMMYFUNCTION("""COMPUTED_VALUE"""),127.0)</f>
        <v>127</v>
      </c>
      <c r="M749" s="5">
        <f>IFERROR(__xludf.DUMMYFUNCTION("""COMPUTED_VALUE"""),1.0)</f>
        <v>1</v>
      </c>
    </row>
    <row r="750">
      <c r="A750" s="10" t="str">
        <f>IFERROR(__xludf.DUMMYFUNCTION("""COMPUTED_VALUE"""),"クルミ")</f>
        <v>クルミ</v>
      </c>
      <c r="B750" s="10">
        <f>IFERROR(__xludf.DUMMYFUNCTION("""COMPUTED_VALUE"""),1912.0)</f>
        <v>1912</v>
      </c>
      <c r="C750" s="10">
        <f>IFERROR(__xludf.DUMMYFUNCTION("""COMPUTED_VALUE"""),22008.0)</f>
        <v>22008</v>
      </c>
      <c r="D750" s="5">
        <f>IFERROR(__xludf.DUMMYFUNCTION("""COMPUTED_VALUE"""),0.32797571656050956)</f>
        <v>0.3279757166</v>
      </c>
      <c r="E750" s="5">
        <f>IFERROR(__xludf.DUMMYFUNCTION("""COMPUTED_VALUE"""),0.1439092356687898)</f>
        <v>0.1439092357</v>
      </c>
      <c r="F750" s="5">
        <f>IFERROR(__xludf.DUMMYFUNCTION("""COMPUTED_VALUE"""),0.21541600318471338)</f>
        <v>0.2154160032</v>
      </c>
      <c r="G750" s="5">
        <f>IFERROR(__xludf.DUMMYFUNCTION("""COMPUTED_VALUE"""),0.19685509554140126)</f>
        <v>0.1968550955</v>
      </c>
      <c r="H750" s="5">
        <f>IFERROR(__xludf.DUMMYFUNCTION("""COMPUTED_VALUE"""),0.6089166089166089)</f>
        <v>0.6089166089</v>
      </c>
      <c r="I750" s="11">
        <f>IFERROR(__xludf.DUMMYFUNCTION("""COMPUTED_VALUE"""),6028.736428736429)</f>
        <v>6028.736429</v>
      </c>
      <c r="J750" s="10">
        <f>IFERROR(__xludf.DUMMYFUNCTION("""COMPUTED_VALUE"""),6.0)</f>
        <v>6</v>
      </c>
      <c r="K750" s="5">
        <f>IFERROR(__xludf.DUMMYFUNCTION("""COMPUTED_VALUE"""),0.0031380753138075313)</f>
        <v>0.003138075314</v>
      </c>
      <c r="L750" s="10">
        <f>IFERROR(__xludf.DUMMYFUNCTION("""COMPUTED_VALUE"""),1912.0)</f>
        <v>1912</v>
      </c>
      <c r="M750" s="5">
        <f>IFERROR(__xludf.DUMMYFUNCTION("""COMPUTED_VALUE"""),1.0)</f>
        <v>1</v>
      </c>
    </row>
    <row r="751">
      <c r="A751" s="10" t="str">
        <f>IFERROR(__xludf.DUMMYFUNCTION("""COMPUTED_VALUE"""),"親不孝め!!")</f>
        <v>親不孝め!!</v>
      </c>
      <c r="B751" s="10">
        <f>IFERROR(__xludf.DUMMYFUNCTION("""COMPUTED_VALUE"""),190.0)</f>
        <v>190</v>
      </c>
      <c r="C751" s="10">
        <f>IFERROR(__xludf.DUMMYFUNCTION("""COMPUTED_VALUE"""),2275.0)</f>
        <v>2275</v>
      </c>
      <c r="D751" s="5">
        <f>IFERROR(__xludf.DUMMYFUNCTION("""COMPUTED_VALUE"""),0.3496402877697842)</f>
        <v>0.3496402878</v>
      </c>
      <c r="E751" s="5">
        <f>IFERROR(__xludf.DUMMYFUNCTION("""COMPUTED_VALUE"""),0.14388489208633093)</f>
        <v>0.1438848921</v>
      </c>
      <c r="F751" s="5">
        <f>IFERROR(__xludf.DUMMYFUNCTION("""COMPUTED_VALUE"""),0.21151079136690648)</f>
        <v>0.2115107914</v>
      </c>
      <c r="G751" s="5">
        <f>IFERROR(__xludf.DUMMYFUNCTION("""COMPUTED_VALUE"""),0.15347721822541965)</f>
        <v>0.1534772182</v>
      </c>
      <c r="H751" s="5">
        <f>IFERROR(__xludf.DUMMYFUNCTION("""COMPUTED_VALUE"""),0.6031746031746031)</f>
        <v>0.6031746032</v>
      </c>
      <c r="I751" s="11">
        <f>IFERROR(__xludf.DUMMYFUNCTION("""COMPUTED_VALUE"""),5676.8707482993195)</f>
        <v>5676.870748</v>
      </c>
      <c r="J751" s="10">
        <f>IFERROR(__xludf.DUMMYFUNCTION("""COMPUTED_VALUE"""),0.0)</f>
        <v>0</v>
      </c>
      <c r="K751" s="5">
        <f>IFERROR(__xludf.DUMMYFUNCTION("""COMPUTED_VALUE"""),0.0)</f>
        <v>0</v>
      </c>
      <c r="L751" s="10">
        <f>IFERROR(__xludf.DUMMYFUNCTION("""COMPUTED_VALUE"""),190.0)</f>
        <v>190</v>
      </c>
      <c r="M751" s="5">
        <f>IFERROR(__xludf.DUMMYFUNCTION("""COMPUTED_VALUE"""),1.0)</f>
        <v>1</v>
      </c>
    </row>
    <row r="752">
      <c r="A752" s="10" t="str">
        <f>IFERROR(__xludf.DUMMYFUNCTION("""COMPUTED_VALUE"""),"テトラ")</f>
        <v>テトラ</v>
      </c>
      <c r="B752" s="10">
        <f>IFERROR(__xludf.DUMMYFUNCTION("""COMPUTED_VALUE"""),378.0)</f>
        <v>378</v>
      </c>
      <c r="C752" s="10">
        <f>IFERROR(__xludf.DUMMYFUNCTION("""COMPUTED_VALUE"""),4444.0)</f>
        <v>4444</v>
      </c>
      <c r="D752" s="5">
        <f>IFERROR(__xludf.DUMMYFUNCTION("""COMPUTED_VALUE"""),0.367437284800787)</f>
        <v>0.3674372848</v>
      </c>
      <c r="E752" s="5">
        <f>IFERROR(__xludf.DUMMYFUNCTION("""COMPUTED_VALUE"""),0.1438760452533202)</f>
        <v>0.1438760453</v>
      </c>
      <c r="F752" s="5">
        <f>IFERROR(__xludf.DUMMYFUNCTION("""COMPUTED_VALUE"""),0.2159370388588293)</f>
        <v>0.2159370389</v>
      </c>
      <c r="G752" s="5">
        <f>IFERROR(__xludf.DUMMYFUNCTION("""COMPUTED_VALUE"""),0.15986227250368912)</f>
        <v>0.1598622725</v>
      </c>
      <c r="H752" s="5">
        <f>IFERROR(__xludf.DUMMYFUNCTION("""COMPUTED_VALUE"""),0.6059225512528473)</f>
        <v>0.6059225513</v>
      </c>
      <c r="I752" s="11">
        <f>IFERROR(__xludf.DUMMYFUNCTION("""COMPUTED_VALUE"""),5501.025056947608)</f>
        <v>5501.025057</v>
      </c>
      <c r="J752" s="10">
        <f>IFERROR(__xludf.DUMMYFUNCTION("""COMPUTED_VALUE"""),2.0)</f>
        <v>2</v>
      </c>
      <c r="K752" s="5">
        <f>IFERROR(__xludf.DUMMYFUNCTION("""COMPUTED_VALUE"""),0.005291005291005291)</f>
        <v>0.005291005291</v>
      </c>
      <c r="L752" s="10">
        <f>IFERROR(__xludf.DUMMYFUNCTION("""COMPUTED_VALUE"""),0.0)</f>
        <v>0</v>
      </c>
      <c r="M752" s="5">
        <f>IFERROR(__xludf.DUMMYFUNCTION("""COMPUTED_VALUE"""),0.0)</f>
        <v>0</v>
      </c>
    </row>
    <row r="753">
      <c r="A753" s="10" t="str">
        <f>IFERROR(__xludf.DUMMYFUNCTION("""COMPUTED_VALUE"""),"おはし")</f>
        <v>おはし</v>
      </c>
      <c r="B753" s="10">
        <f>IFERROR(__xludf.DUMMYFUNCTION("""COMPUTED_VALUE"""),368.0)</f>
        <v>368</v>
      </c>
      <c r="C753" s="10">
        <f>IFERROR(__xludf.DUMMYFUNCTION("""COMPUTED_VALUE"""),4184.0)</f>
        <v>4184</v>
      </c>
      <c r="D753" s="5">
        <f>IFERROR(__xludf.DUMMYFUNCTION("""COMPUTED_VALUE"""),0.3729035639412998)</f>
        <v>0.3729035639</v>
      </c>
      <c r="E753" s="5">
        <f>IFERROR(__xludf.DUMMYFUNCTION("""COMPUTED_VALUE"""),0.14386792452830188)</f>
        <v>0.1438679245</v>
      </c>
      <c r="F753" s="5">
        <f>IFERROR(__xludf.DUMMYFUNCTION("""COMPUTED_VALUE"""),0.2219601677148847)</f>
        <v>0.2219601677</v>
      </c>
      <c r="G753" s="5">
        <f>IFERROR(__xludf.DUMMYFUNCTION("""COMPUTED_VALUE"""),0.17426624737945492)</f>
        <v>0.1742662474</v>
      </c>
      <c r="H753" s="5">
        <f>IFERROR(__xludf.DUMMYFUNCTION("""COMPUTED_VALUE"""),0.6115702479338843)</f>
        <v>0.6115702479</v>
      </c>
      <c r="I753" s="11">
        <f>IFERROR(__xludf.DUMMYFUNCTION("""COMPUTED_VALUE"""),5632.467532467533)</f>
        <v>5632.467532</v>
      </c>
      <c r="J753" s="10">
        <f>IFERROR(__xludf.DUMMYFUNCTION("""COMPUTED_VALUE"""),0.0)</f>
        <v>0</v>
      </c>
      <c r="K753" s="5">
        <f>IFERROR(__xludf.DUMMYFUNCTION("""COMPUTED_VALUE"""),0.0)</f>
        <v>0</v>
      </c>
      <c r="L753" s="10">
        <f>IFERROR(__xludf.DUMMYFUNCTION("""COMPUTED_VALUE"""),368.0)</f>
        <v>368</v>
      </c>
      <c r="M753" s="5">
        <f>IFERROR(__xludf.DUMMYFUNCTION("""COMPUTED_VALUE"""),1.0)</f>
        <v>1</v>
      </c>
    </row>
    <row r="754">
      <c r="A754" s="10" t="str">
        <f>IFERROR(__xludf.DUMMYFUNCTION("""COMPUTED_VALUE"""),"igomix")</f>
        <v>igomix</v>
      </c>
      <c r="B754" s="10">
        <f>IFERROR(__xludf.DUMMYFUNCTION("""COMPUTED_VALUE"""),345.0)</f>
        <v>345</v>
      </c>
      <c r="C754" s="10">
        <f>IFERROR(__xludf.DUMMYFUNCTION("""COMPUTED_VALUE"""),4022.0)</f>
        <v>4022</v>
      </c>
      <c r="D754" s="5">
        <f>IFERROR(__xludf.DUMMYFUNCTION("""COMPUTED_VALUE"""),0.29453358716344846)</f>
        <v>0.2945335872</v>
      </c>
      <c r="E754" s="5">
        <f>IFERROR(__xludf.DUMMYFUNCTION("""COMPUTED_VALUE"""),0.14386728311123198)</f>
        <v>0.1438672831</v>
      </c>
      <c r="F754" s="5">
        <f>IFERROR(__xludf.DUMMYFUNCTION("""COMPUTED_VALUE"""),0.20505847158009247)</f>
        <v>0.2050584716</v>
      </c>
      <c r="G754" s="5">
        <f>IFERROR(__xludf.DUMMYFUNCTION("""COMPUTED_VALUE"""),0.15773728583084035)</f>
        <v>0.1577372858</v>
      </c>
      <c r="H754" s="5">
        <f>IFERROR(__xludf.DUMMYFUNCTION("""COMPUTED_VALUE"""),0.5702917771883289)</f>
        <v>0.5702917772</v>
      </c>
      <c r="I754" s="11">
        <f>IFERROR(__xludf.DUMMYFUNCTION("""COMPUTED_VALUE"""),6106.498673740053)</f>
        <v>6106.498674</v>
      </c>
      <c r="J754" s="10">
        <f>IFERROR(__xludf.DUMMYFUNCTION("""COMPUTED_VALUE"""),1.0)</f>
        <v>1</v>
      </c>
      <c r="K754" s="5">
        <f>IFERROR(__xludf.DUMMYFUNCTION("""COMPUTED_VALUE"""),0.002898550724637681)</f>
        <v>0.002898550725</v>
      </c>
      <c r="L754" s="10">
        <f>IFERROR(__xludf.DUMMYFUNCTION("""COMPUTED_VALUE"""),345.0)</f>
        <v>345</v>
      </c>
      <c r="M754" s="5">
        <f>IFERROR(__xludf.DUMMYFUNCTION("""COMPUTED_VALUE"""),1.0)</f>
        <v>1</v>
      </c>
    </row>
    <row r="755">
      <c r="A755" s="10" t="str">
        <f>IFERROR(__xludf.DUMMYFUNCTION("""COMPUTED_VALUE"""),"pinpin6")</f>
        <v>pinpin6</v>
      </c>
      <c r="B755" s="10">
        <f>IFERROR(__xludf.DUMMYFUNCTION("""COMPUTED_VALUE"""),653.0)</f>
        <v>653</v>
      </c>
      <c r="C755" s="10">
        <f>IFERROR(__xludf.DUMMYFUNCTION("""COMPUTED_VALUE"""),7514.0)</f>
        <v>7514</v>
      </c>
      <c r="D755" s="5">
        <f>IFERROR(__xludf.DUMMYFUNCTION("""COMPUTED_VALUE"""),0.35067774376912986)</f>
        <v>0.3506777438</v>
      </c>
      <c r="E755" s="5">
        <f>IFERROR(__xludf.DUMMYFUNCTION("""COMPUTED_VALUE"""),0.14385658067337123)</f>
        <v>0.1438565807</v>
      </c>
      <c r="F755" s="5">
        <f>IFERROR(__xludf.DUMMYFUNCTION("""COMPUTED_VALUE"""),0.22678909779915465)</f>
        <v>0.2267890978</v>
      </c>
      <c r="G755" s="5">
        <f>IFERROR(__xludf.DUMMYFUNCTION("""COMPUTED_VALUE"""),0.19997084973036)</f>
        <v>0.1999708497</v>
      </c>
      <c r="H755" s="5">
        <f>IFERROR(__xludf.DUMMYFUNCTION("""COMPUTED_VALUE"""),0.5931876606683805)</f>
        <v>0.5931876607</v>
      </c>
      <c r="I755" s="11">
        <f>IFERROR(__xludf.DUMMYFUNCTION("""COMPUTED_VALUE"""),5441.5167095115685)</f>
        <v>5441.51671</v>
      </c>
      <c r="J755" s="10">
        <f>IFERROR(__xludf.DUMMYFUNCTION("""COMPUTED_VALUE"""),0.0)</f>
        <v>0</v>
      </c>
      <c r="K755" s="5">
        <f>IFERROR(__xludf.DUMMYFUNCTION("""COMPUTED_VALUE"""),0.0)</f>
        <v>0</v>
      </c>
      <c r="L755" s="10">
        <f>IFERROR(__xludf.DUMMYFUNCTION("""COMPUTED_VALUE"""),653.0)</f>
        <v>653</v>
      </c>
      <c r="M755" s="5">
        <f>IFERROR(__xludf.DUMMYFUNCTION("""COMPUTED_VALUE"""),1.0)</f>
        <v>1</v>
      </c>
    </row>
    <row r="756">
      <c r="A756" s="10" t="str">
        <f>IFERROR(__xludf.DUMMYFUNCTION("""COMPUTED_VALUE"""),"由結最愛")</f>
        <v>由結最愛</v>
      </c>
      <c r="B756" s="10">
        <f>IFERROR(__xludf.DUMMYFUNCTION("""COMPUTED_VALUE"""),178.0)</f>
        <v>178</v>
      </c>
      <c r="C756" s="10">
        <f>IFERROR(__xludf.DUMMYFUNCTION("""COMPUTED_VALUE"""),2048.0)</f>
        <v>2048</v>
      </c>
      <c r="D756" s="5">
        <f>IFERROR(__xludf.DUMMYFUNCTION("""COMPUTED_VALUE"""),0.48770053475935826)</f>
        <v>0.4877005348</v>
      </c>
      <c r="E756" s="5">
        <f>IFERROR(__xludf.DUMMYFUNCTION("""COMPUTED_VALUE"""),0.14385026737967915)</f>
        <v>0.1438502674</v>
      </c>
      <c r="F756" s="5">
        <f>IFERROR(__xludf.DUMMYFUNCTION("""COMPUTED_VALUE"""),0.23315508021390374)</f>
        <v>0.2331550802</v>
      </c>
      <c r="G756" s="5">
        <f>IFERROR(__xludf.DUMMYFUNCTION("""COMPUTED_VALUE"""),0.14705882352941177)</f>
        <v>0.1470588235</v>
      </c>
      <c r="H756" s="5">
        <f>IFERROR(__xludf.DUMMYFUNCTION("""COMPUTED_VALUE"""),0.6330275229357798)</f>
        <v>0.6330275229</v>
      </c>
      <c r="I756" s="11">
        <f>IFERROR(__xludf.DUMMYFUNCTION("""COMPUTED_VALUE"""),5350.0)</f>
        <v>5350</v>
      </c>
      <c r="J756" s="10">
        <f>IFERROR(__xludf.DUMMYFUNCTION("""COMPUTED_VALUE"""),1.0)</f>
        <v>1</v>
      </c>
      <c r="K756" s="5">
        <f>IFERROR(__xludf.DUMMYFUNCTION("""COMPUTED_VALUE"""),0.0056179775280898875)</f>
        <v>0.005617977528</v>
      </c>
      <c r="L756" s="10">
        <f>IFERROR(__xludf.DUMMYFUNCTION("""COMPUTED_VALUE"""),0.0)</f>
        <v>0</v>
      </c>
      <c r="M756" s="5">
        <f>IFERROR(__xludf.DUMMYFUNCTION("""COMPUTED_VALUE"""),0.0)</f>
        <v>0</v>
      </c>
    </row>
    <row r="757">
      <c r="A757" s="10" t="str">
        <f>IFERROR(__xludf.DUMMYFUNCTION("""COMPUTED_VALUE"""),"白色の水")</f>
        <v>白色の水</v>
      </c>
      <c r="B757" s="10">
        <f>IFERROR(__xludf.DUMMYFUNCTION("""COMPUTED_VALUE"""),1377.0)</f>
        <v>1377</v>
      </c>
      <c r="C757" s="10">
        <f>IFERROR(__xludf.DUMMYFUNCTION("""COMPUTED_VALUE"""),16012.0)</f>
        <v>16012</v>
      </c>
      <c r="D757" s="5">
        <f>IFERROR(__xludf.DUMMYFUNCTION("""COMPUTED_VALUE"""),0.34663477963785444)</f>
        <v>0.3466347796</v>
      </c>
      <c r="E757" s="5">
        <f>IFERROR(__xludf.DUMMYFUNCTION("""COMPUTED_VALUE"""),0.14383327639221044)</f>
        <v>0.1438332764</v>
      </c>
      <c r="F757" s="5">
        <f>IFERROR(__xludf.DUMMYFUNCTION("""COMPUTED_VALUE"""),0.2161257259993167)</f>
        <v>0.216125726</v>
      </c>
      <c r="G757" s="5">
        <f>IFERROR(__xludf.DUMMYFUNCTION("""COMPUTED_VALUE"""),0.18510420225486846)</f>
        <v>0.1851042023</v>
      </c>
      <c r="H757" s="5">
        <f>IFERROR(__xludf.DUMMYFUNCTION("""COMPUTED_VALUE"""),0.607650964274423)</f>
        <v>0.6076509643</v>
      </c>
      <c r="I757" s="11">
        <f>IFERROR(__xludf.DUMMYFUNCTION("""COMPUTED_VALUE"""),5764.717040784066)</f>
        <v>5764.717041</v>
      </c>
      <c r="J757" s="10">
        <f>IFERROR(__xludf.DUMMYFUNCTION("""COMPUTED_VALUE"""),6.0)</f>
        <v>6</v>
      </c>
      <c r="K757" s="5">
        <f>IFERROR(__xludf.DUMMYFUNCTION("""COMPUTED_VALUE"""),0.004357298474945534)</f>
        <v>0.004357298475</v>
      </c>
      <c r="L757" s="10">
        <f>IFERROR(__xludf.DUMMYFUNCTION("""COMPUTED_VALUE"""),1345.0)</f>
        <v>1345</v>
      </c>
      <c r="M757" s="5">
        <f>IFERROR(__xludf.DUMMYFUNCTION("""COMPUTED_VALUE"""),0.9767610748002905)</f>
        <v>0.9767610748</v>
      </c>
    </row>
    <row r="758">
      <c r="A758" s="10" t="str">
        <f>IFERROR(__xludf.DUMMYFUNCTION("""COMPUTED_VALUE"""),"しーきゅーぶ")</f>
        <v>しーきゅーぶ</v>
      </c>
      <c r="B758" s="10">
        <f>IFERROR(__xludf.DUMMYFUNCTION("""COMPUTED_VALUE"""),146.0)</f>
        <v>146</v>
      </c>
      <c r="C758" s="10">
        <f>IFERROR(__xludf.DUMMYFUNCTION("""COMPUTED_VALUE"""),1759.0)</f>
        <v>1759</v>
      </c>
      <c r="D758" s="5">
        <f>IFERROR(__xludf.DUMMYFUNCTION("""COMPUTED_VALUE"""),0.3880967141971482)</f>
        <v>0.3880967142</v>
      </c>
      <c r="E758" s="5">
        <f>IFERROR(__xludf.DUMMYFUNCTION("""COMPUTED_VALUE"""),0.14383137011779293)</f>
        <v>0.1438313701</v>
      </c>
      <c r="F758" s="5">
        <f>IFERROR(__xludf.DUMMYFUNCTION("""COMPUTED_VALUE"""),0.20830750154990701)</f>
        <v>0.2083075015</v>
      </c>
      <c r="G758" s="5">
        <f>IFERROR(__xludf.DUMMYFUNCTION("""COMPUTED_VALUE"""),0.17978921264724115)</f>
        <v>0.1797892126</v>
      </c>
      <c r="H758" s="5">
        <f>IFERROR(__xludf.DUMMYFUNCTION("""COMPUTED_VALUE"""),0.5773809523809523)</f>
        <v>0.5773809524</v>
      </c>
      <c r="I758" s="11">
        <f>IFERROR(__xludf.DUMMYFUNCTION("""COMPUTED_VALUE"""),5321.726190476191)</f>
        <v>5321.72619</v>
      </c>
      <c r="J758" s="10">
        <f>IFERROR(__xludf.DUMMYFUNCTION("""COMPUTED_VALUE"""),0.0)</f>
        <v>0</v>
      </c>
      <c r="K758" s="5">
        <f>IFERROR(__xludf.DUMMYFUNCTION("""COMPUTED_VALUE"""),0.0)</f>
        <v>0</v>
      </c>
      <c r="L758" s="10">
        <f>IFERROR(__xludf.DUMMYFUNCTION("""COMPUTED_VALUE"""),146.0)</f>
        <v>146</v>
      </c>
      <c r="M758" s="5">
        <f>IFERROR(__xludf.DUMMYFUNCTION("""COMPUTED_VALUE"""),1.0)</f>
        <v>1</v>
      </c>
    </row>
    <row r="759">
      <c r="A759" s="10" t="str">
        <f>IFERROR(__xludf.DUMMYFUNCTION("""COMPUTED_VALUE"""),"白銀の飛猫")</f>
        <v>白銀の飛猫</v>
      </c>
      <c r="B759" s="10">
        <f>IFERROR(__xludf.DUMMYFUNCTION("""COMPUTED_VALUE"""),342.0)</f>
        <v>342</v>
      </c>
      <c r="C759" s="10">
        <f>IFERROR(__xludf.DUMMYFUNCTION("""COMPUTED_VALUE"""),4027.0)</f>
        <v>4027</v>
      </c>
      <c r="D759" s="5">
        <f>IFERROR(__xludf.DUMMYFUNCTION("""COMPUTED_VALUE"""),0.3478968792401628)</f>
        <v>0.3478968792</v>
      </c>
      <c r="E759" s="5">
        <f>IFERROR(__xludf.DUMMYFUNCTION("""COMPUTED_VALUE"""),0.14382632293080055)</f>
        <v>0.1438263229</v>
      </c>
      <c r="F759" s="5">
        <f>IFERROR(__xludf.DUMMYFUNCTION("""COMPUTED_VALUE"""),0.21763907734056986)</f>
        <v>0.2176390773</v>
      </c>
      <c r="G759" s="5">
        <f>IFERROR(__xludf.DUMMYFUNCTION("""COMPUTED_VALUE"""),0.18100407055630935)</f>
        <v>0.1810040706</v>
      </c>
      <c r="H759" s="5">
        <f>IFERROR(__xludf.DUMMYFUNCTION("""COMPUTED_VALUE"""),0.5997506234413965)</f>
        <v>0.5997506234</v>
      </c>
      <c r="I759" s="11">
        <f>IFERROR(__xludf.DUMMYFUNCTION("""COMPUTED_VALUE"""),5409.226932668329)</f>
        <v>5409.226933</v>
      </c>
      <c r="J759" s="10">
        <f>IFERROR(__xludf.DUMMYFUNCTION("""COMPUTED_VALUE"""),0.0)</f>
        <v>0</v>
      </c>
      <c r="K759" s="5">
        <f>IFERROR(__xludf.DUMMYFUNCTION("""COMPUTED_VALUE"""),0.0)</f>
        <v>0</v>
      </c>
      <c r="L759" s="10">
        <f>IFERROR(__xludf.DUMMYFUNCTION("""COMPUTED_VALUE"""),339.0)</f>
        <v>339</v>
      </c>
      <c r="M759" s="5">
        <f>IFERROR(__xludf.DUMMYFUNCTION("""COMPUTED_VALUE"""),0.9912280701754386)</f>
        <v>0.9912280702</v>
      </c>
    </row>
    <row r="760">
      <c r="A760" s="10" t="str">
        <f>IFERROR(__xludf.DUMMYFUNCTION("""COMPUTED_VALUE"""),"rRfDyUf")</f>
        <v>rRfDyUf</v>
      </c>
      <c r="B760" s="10">
        <f>IFERROR(__xludf.DUMMYFUNCTION("""COMPUTED_VALUE"""),961.0)</f>
        <v>961</v>
      </c>
      <c r="C760" s="10">
        <f>IFERROR(__xludf.DUMMYFUNCTION("""COMPUTED_VALUE"""),11043.0)</f>
        <v>11043</v>
      </c>
      <c r="D760" s="5">
        <f>IFERROR(__xludf.DUMMYFUNCTION("""COMPUTED_VALUE"""),0.3562785161674271)</f>
        <v>0.3562785162</v>
      </c>
      <c r="E760" s="5">
        <f>IFERROR(__xludf.DUMMYFUNCTION("""COMPUTED_VALUE"""),0.14382067050188455)</f>
        <v>0.1438206705</v>
      </c>
      <c r="F760" s="5">
        <f>IFERROR(__xludf.DUMMYFUNCTION("""COMPUTED_VALUE"""),0.22465780599087481)</f>
        <v>0.224657806</v>
      </c>
      <c r="G760" s="5">
        <f>IFERROR(__xludf.DUMMYFUNCTION("""COMPUTED_VALUE"""),0.22822852608609404)</f>
        <v>0.2282285261</v>
      </c>
      <c r="H760" s="5">
        <f>IFERROR(__xludf.DUMMYFUNCTION("""COMPUTED_VALUE"""),0.5788079470198676)</f>
        <v>0.578807947</v>
      </c>
      <c r="I760" s="11">
        <f>IFERROR(__xludf.DUMMYFUNCTION("""COMPUTED_VALUE"""),5627.549668874172)</f>
        <v>5627.549669</v>
      </c>
      <c r="J760" s="10">
        <f>IFERROR(__xludf.DUMMYFUNCTION("""COMPUTED_VALUE"""),1.0)</f>
        <v>1</v>
      </c>
      <c r="K760" s="5">
        <f>IFERROR(__xludf.DUMMYFUNCTION("""COMPUTED_VALUE"""),0.001040582726326743)</f>
        <v>0.001040582726</v>
      </c>
      <c r="L760" s="10">
        <f>IFERROR(__xludf.DUMMYFUNCTION("""COMPUTED_VALUE"""),961.0)</f>
        <v>961</v>
      </c>
      <c r="M760" s="5">
        <f>IFERROR(__xludf.DUMMYFUNCTION("""COMPUTED_VALUE"""),1.0)</f>
        <v>1</v>
      </c>
    </row>
    <row r="761">
      <c r="A761" s="10" t="str">
        <f>IFERROR(__xludf.DUMMYFUNCTION("""COMPUTED_VALUE"""),"こたつにミカン")</f>
        <v>こたつにミカン</v>
      </c>
      <c r="B761" s="10">
        <f>IFERROR(__xludf.DUMMYFUNCTION("""COMPUTED_VALUE"""),144.0)</f>
        <v>144</v>
      </c>
      <c r="C761" s="10">
        <f>IFERROR(__xludf.DUMMYFUNCTION("""COMPUTED_VALUE"""),1660.0)</f>
        <v>1660</v>
      </c>
      <c r="D761" s="5">
        <f>IFERROR(__xludf.DUMMYFUNCTION("""COMPUTED_VALUE"""),0.3786279683377309)</f>
        <v>0.3786279683</v>
      </c>
      <c r="E761" s="5">
        <f>IFERROR(__xludf.DUMMYFUNCTION("""COMPUTED_VALUE"""),0.1437994722955145)</f>
        <v>0.1437994723</v>
      </c>
      <c r="F761" s="5">
        <f>IFERROR(__xludf.DUMMYFUNCTION("""COMPUTED_VALUE"""),0.22427440633245382)</f>
        <v>0.2242744063</v>
      </c>
      <c r="G761" s="5">
        <f>IFERROR(__xludf.DUMMYFUNCTION("""COMPUTED_VALUE"""),0.13852242744063326)</f>
        <v>0.1385224274</v>
      </c>
      <c r="H761" s="5">
        <f>IFERROR(__xludf.DUMMYFUNCTION("""COMPUTED_VALUE"""),0.6588235294117647)</f>
        <v>0.6588235294</v>
      </c>
      <c r="I761" s="11">
        <f>IFERROR(__xludf.DUMMYFUNCTION("""COMPUTED_VALUE"""),4960.882352941177)</f>
        <v>4960.882353</v>
      </c>
      <c r="J761" s="10">
        <f>IFERROR(__xludf.DUMMYFUNCTION("""COMPUTED_VALUE"""),0.0)</f>
        <v>0</v>
      </c>
      <c r="K761" s="5">
        <f>IFERROR(__xludf.DUMMYFUNCTION("""COMPUTED_VALUE"""),0.0)</f>
        <v>0</v>
      </c>
      <c r="L761" s="10">
        <f>IFERROR(__xludf.DUMMYFUNCTION("""COMPUTED_VALUE"""),144.0)</f>
        <v>144</v>
      </c>
      <c r="M761" s="5">
        <f>IFERROR(__xludf.DUMMYFUNCTION("""COMPUTED_VALUE"""),1.0)</f>
        <v>1</v>
      </c>
    </row>
    <row r="762">
      <c r="A762" s="10" t="str">
        <f>IFERROR(__xludf.DUMMYFUNCTION("""COMPUTED_VALUE"""),"t-shinjo")</f>
        <v>t-shinjo</v>
      </c>
      <c r="B762" s="10">
        <f>IFERROR(__xludf.DUMMYFUNCTION("""COMPUTED_VALUE"""),758.0)</f>
        <v>758</v>
      </c>
      <c r="C762" s="10">
        <f>IFERROR(__xludf.DUMMYFUNCTION("""COMPUTED_VALUE"""),8909.0)</f>
        <v>8909</v>
      </c>
      <c r="D762" s="5">
        <f>IFERROR(__xludf.DUMMYFUNCTION("""COMPUTED_VALUE"""),0.337995337995338)</f>
        <v>0.337995338</v>
      </c>
      <c r="E762" s="5">
        <f>IFERROR(__xludf.DUMMYFUNCTION("""COMPUTED_VALUE"""),0.14378603852288063)</f>
        <v>0.1437860385</v>
      </c>
      <c r="F762" s="5">
        <f>IFERROR(__xludf.DUMMYFUNCTION("""COMPUTED_VALUE"""),0.20770457612562876)</f>
        <v>0.2077045761</v>
      </c>
      <c r="G762" s="5">
        <f>IFERROR(__xludf.DUMMYFUNCTION("""COMPUTED_VALUE"""),0.1462397251870936)</f>
        <v>0.1462397252</v>
      </c>
      <c r="H762" s="5">
        <f>IFERROR(__xludf.DUMMYFUNCTION("""COMPUTED_VALUE"""),0.6125221500295334)</f>
        <v>0.61252215</v>
      </c>
      <c r="I762" s="11">
        <f>IFERROR(__xludf.DUMMYFUNCTION("""COMPUTED_VALUE"""),6155.050206733609)</f>
        <v>6155.050207</v>
      </c>
      <c r="J762" s="10">
        <f>IFERROR(__xludf.DUMMYFUNCTION("""COMPUTED_VALUE"""),2.0)</f>
        <v>2</v>
      </c>
      <c r="K762" s="5">
        <f>IFERROR(__xludf.DUMMYFUNCTION("""COMPUTED_VALUE"""),0.002638522427440633)</f>
        <v>0.002638522427</v>
      </c>
      <c r="L762" s="10">
        <f>IFERROR(__xludf.DUMMYFUNCTION("""COMPUTED_VALUE"""),758.0)</f>
        <v>758</v>
      </c>
      <c r="M762" s="5">
        <f>IFERROR(__xludf.DUMMYFUNCTION("""COMPUTED_VALUE"""),1.0)</f>
        <v>1</v>
      </c>
    </row>
    <row r="763">
      <c r="A763" s="10" t="str">
        <f>IFERROR(__xludf.DUMMYFUNCTION("""COMPUTED_VALUE"""),"SILAS")</f>
        <v>SILAS</v>
      </c>
      <c r="B763" s="10">
        <f>IFERROR(__xludf.DUMMYFUNCTION("""COMPUTED_VALUE"""),2958.0)</f>
        <v>2958</v>
      </c>
      <c r="C763" s="10">
        <f>IFERROR(__xludf.DUMMYFUNCTION("""COMPUTED_VALUE"""),34612.0)</f>
        <v>34612</v>
      </c>
      <c r="D763" s="5">
        <f>IFERROR(__xludf.DUMMYFUNCTION("""COMPUTED_VALUE"""),0.336734693877551)</f>
        <v>0.3367346939</v>
      </c>
      <c r="E763" s="5">
        <f>IFERROR(__xludf.DUMMYFUNCTION("""COMPUTED_VALUE"""),0.1437732987932015)</f>
        <v>0.1437732988</v>
      </c>
      <c r="F763" s="5">
        <f>IFERROR(__xludf.DUMMYFUNCTION("""COMPUTED_VALUE"""),0.22332090731029253)</f>
        <v>0.2233209073</v>
      </c>
      <c r="G763" s="5">
        <f>IFERROR(__xludf.DUMMYFUNCTION("""COMPUTED_VALUE"""),0.18054590257155495)</f>
        <v>0.1805459026</v>
      </c>
      <c r="H763" s="5">
        <f>IFERROR(__xludf.DUMMYFUNCTION("""COMPUTED_VALUE"""),0.59782147404159)</f>
        <v>0.597821474</v>
      </c>
      <c r="I763" s="11">
        <f>IFERROR(__xludf.DUMMYFUNCTION("""COMPUTED_VALUE"""),5602.829254491441)</f>
        <v>5602.829254</v>
      </c>
      <c r="J763" s="10">
        <f>IFERROR(__xludf.DUMMYFUNCTION("""COMPUTED_VALUE"""),3.0)</f>
        <v>3</v>
      </c>
      <c r="K763" s="5">
        <f>IFERROR(__xludf.DUMMYFUNCTION("""COMPUTED_VALUE"""),0.0010141987829614604)</f>
        <v>0.001014198783</v>
      </c>
      <c r="L763" s="10">
        <f>IFERROR(__xludf.DUMMYFUNCTION("""COMPUTED_VALUE"""),403.0)</f>
        <v>403</v>
      </c>
      <c r="M763" s="5">
        <f>IFERROR(__xludf.DUMMYFUNCTION("""COMPUTED_VALUE"""),0.13624070317782286)</f>
        <v>0.1362407032</v>
      </c>
    </row>
    <row r="764">
      <c r="A764" s="10" t="str">
        <f>IFERROR(__xludf.DUMMYFUNCTION("""COMPUTED_VALUE"""),"鷹３")</f>
        <v>鷹３</v>
      </c>
      <c r="B764" s="10">
        <f>IFERROR(__xludf.DUMMYFUNCTION("""COMPUTED_VALUE"""),249.0)</f>
        <v>249</v>
      </c>
      <c r="C764" s="10">
        <f>IFERROR(__xludf.DUMMYFUNCTION("""COMPUTED_VALUE"""),2921.0)</f>
        <v>2921</v>
      </c>
      <c r="D764" s="5">
        <f>IFERROR(__xludf.DUMMYFUNCTION("""COMPUTED_VALUE"""),0.34281437125748504)</f>
        <v>0.3428143713</v>
      </c>
      <c r="E764" s="5">
        <f>IFERROR(__xludf.DUMMYFUNCTION("""COMPUTED_VALUE"""),0.1437125748502994)</f>
        <v>0.1437125749</v>
      </c>
      <c r="F764" s="5">
        <f>IFERROR(__xludf.DUMMYFUNCTION("""COMPUTED_VALUE"""),0.20958083832335328)</f>
        <v>0.2095808383</v>
      </c>
      <c r="G764" s="5">
        <f>IFERROR(__xludf.DUMMYFUNCTION("""COMPUTED_VALUE"""),0.18188622754491018)</f>
        <v>0.1818862275</v>
      </c>
      <c r="H764" s="5">
        <f>IFERROR(__xludf.DUMMYFUNCTION("""COMPUTED_VALUE"""),0.5714285714285714)</f>
        <v>0.5714285714</v>
      </c>
      <c r="I764" s="11">
        <f>IFERROR(__xludf.DUMMYFUNCTION("""COMPUTED_VALUE"""),5475.178571428572)</f>
        <v>5475.178571</v>
      </c>
      <c r="J764" s="10">
        <f>IFERROR(__xludf.DUMMYFUNCTION("""COMPUTED_VALUE"""),0.0)</f>
        <v>0</v>
      </c>
      <c r="K764" s="5">
        <f>IFERROR(__xludf.DUMMYFUNCTION("""COMPUTED_VALUE"""),0.0)</f>
        <v>0</v>
      </c>
      <c r="L764" s="10">
        <f>IFERROR(__xludf.DUMMYFUNCTION("""COMPUTED_VALUE"""),249.0)</f>
        <v>249</v>
      </c>
      <c r="M764" s="5">
        <f>IFERROR(__xludf.DUMMYFUNCTION("""COMPUTED_VALUE"""),1.0)</f>
        <v>1</v>
      </c>
    </row>
    <row r="765">
      <c r="A765" s="10" t="str">
        <f>IFERROR(__xludf.DUMMYFUNCTION("""COMPUTED_VALUE"""),"樂朱彌神")</f>
        <v>樂朱彌神</v>
      </c>
      <c r="B765" s="10">
        <f>IFERROR(__xludf.DUMMYFUNCTION("""COMPUTED_VALUE"""),212.0)</f>
        <v>212</v>
      </c>
      <c r="C765" s="10">
        <f>IFERROR(__xludf.DUMMYFUNCTION("""COMPUTED_VALUE"""),2439.0)</f>
        <v>2439</v>
      </c>
      <c r="D765" s="5">
        <f>IFERROR(__xludf.DUMMYFUNCTION("""COMPUTED_VALUE"""),0.367759317467445)</f>
        <v>0.3677593175</v>
      </c>
      <c r="E765" s="5">
        <f>IFERROR(__xludf.DUMMYFUNCTION("""COMPUTED_VALUE"""),0.14369106421194433)</f>
        <v>0.1436910642</v>
      </c>
      <c r="F765" s="5">
        <f>IFERROR(__xludf.DUMMYFUNCTION("""COMPUTED_VALUE"""),0.22272114952851368)</f>
        <v>0.2227211495</v>
      </c>
      <c r="G765" s="5">
        <f>IFERROR(__xludf.DUMMYFUNCTION("""COMPUTED_VALUE"""),0.16524472384373598)</f>
        <v>0.1652447238</v>
      </c>
      <c r="H765" s="5">
        <f>IFERROR(__xludf.DUMMYFUNCTION("""COMPUTED_VALUE"""),0.6149193548387096)</f>
        <v>0.6149193548</v>
      </c>
      <c r="I765" s="11">
        <f>IFERROR(__xludf.DUMMYFUNCTION("""COMPUTED_VALUE"""),5085.685483870968)</f>
        <v>5085.685484</v>
      </c>
      <c r="J765" s="10">
        <f>IFERROR(__xludf.DUMMYFUNCTION("""COMPUTED_VALUE"""),0.0)</f>
        <v>0</v>
      </c>
      <c r="K765" s="5">
        <f>IFERROR(__xludf.DUMMYFUNCTION("""COMPUTED_VALUE"""),0.0)</f>
        <v>0</v>
      </c>
      <c r="L765" s="10">
        <f>IFERROR(__xludf.DUMMYFUNCTION("""COMPUTED_VALUE"""),9.0)</f>
        <v>9</v>
      </c>
      <c r="M765" s="5">
        <f>IFERROR(__xludf.DUMMYFUNCTION("""COMPUTED_VALUE"""),0.04245283018867924)</f>
        <v>0.04245283019</v>
      </c>
    </row>
    <row r="766">
      <c r="A766" s="10" t="str">
        <f>IFERROR(__xludf.DUMMYFUNCTION("""COMPUTED_VALUE"""),"根津将棋名人")</f>
        <v>根津将棋名人</v>
      </c>
      <c r="B766" s="10">
        <f>IFERROR(__xludf.DUMMYFUNCTION("""COMPUTED_VALUE"""),131.0)</f>
        <v>131</v>
      </c>
      <c r="C766" s="10">
        <f>IFERROR(__xludf.DUMMYFUNCTION("""COMPUTED_VALUE"""),1530.0)</f>
        <v>1530</v>
      </c>
      <c r="D766" s="5">
        <f>IFERROR(__xludf.DUMMYFUNCTION("""COMPUTED_VALUE"""),0.363831308077198)</f>
        <v>0.3638313081</v>
      </c>
      <c r="E766" s="5">
        <f>IFERROR(__xludf.DUMMYFUNCTION("""COMPUTED_VALUE"""),0.14367405289492494)</f>
        <v>0.1436740529</v>
      </c>
      <c r="F766" s="5">
        <f>IFERROR(__xludf.DUMMYFUNCTION("""COMPUTED_VALUE"""),0.21157969978556113)</f>
        <v>0.2115796998</v>
      </c>
      <c r="G766" s="5">
        <f>IFERROR(__xludf.DUMMYFUNCTION("""COMPUTED_VALUE"""),0.21015010721944247)</f>
        <v>0.2101501072</v>
      </c>
      <c r="H766" s="5">
        <f>IFERROR(__xludf.DUMMYFUNCTION("""COMPUTED_VALUE"""),0.6418918918918919)</f>
        <v>0.6418918919</v>
      </c>
      <c r="I766" s="11">
        <f>IFERROR(__xludf.DUMMYFUNCTION("""COMPUTED_VALUE"""),5473.986486486487)</f>
        <v>5473.986486</v>
      </c>
      <c r="J766" s="10">
        <f>IFERROR(__xludf.DUMMYFUNCTION("""COMPUTED_VALUE"""),1.0)</f>
        <v>1</v>
      </c>
      <c r="K766" s="5">
        <f>IFERROR(__xludf.DUMMYFUNCTION("""COMPUTED_VALUE"""),0.007633587786259542)</f>
        <v>0.007633587786</v>
      </c>
      <c r="L766" s="10">
        <f>IFERROR(__xludf.DUMMYFUNCTION("""COMPUTED_VALUE"""),131.0)</f>
        <v>131</v>
      </c>
      <c r="M766" s="5">
        <f>IFERROR(__xludf.DUMMYFUNCTION("""COMPUTED_VALUE"""),1.0)</f>
        <v>1</v>
      </c>
    </row>
    <row r="767">
      <c r="A767" s="10" t="str">
        <f>IFERROR(__xludf.DUMMYFUNCTION("""COMPUTED_VALUE"""),"孕み屋本舗")</f>
        <v>孕み屋本舗</v>
      </c>
      <c r="B767" s="10">
        <f>IFERROR(__xludf.DUMMYFUNCTION("""COMPUTED_VALUE"""),460.0)</f>
        <v>460</v>
      </c>
      <c r="C767" s="10">
        <f>IFERROR(__xludf.DUMMYFUNCTION("""COMPUTED_VALUE"""),5284.0)</f>
        <v>5284</v>
      </c>
      <c r="D767" s="5">
        <f>IFERROR(__xludf.DUMMYFUNCTION("""COMPUTED_VALUE"""),0.36836650082918737)</f>
        <v>0.3683665008</v>
      </c>
      <c r="E767" s="5">
        <f>IFERROR(__xludf.DUMMYFUNCTION("""COMPUTED_VALUE"""),0.14365671641791045)</f>
        <v>0.1436567164</v>
      </c>
      <c r="F767" s="5">
        <f>IFERROR(__xludf.DUMMYFUNCTION("""COMPUTED_VALUE"""),0.21724709784411278)</f>
        <v>0.2172470978</v>
      </c>
      <c r="G767" s="5">
        <f>IFERROR(__xludf.DUMMYFUNCTION("""COMPUTED_VALUE"""),0.19713930348258707)</f>
        <v>0.1971393035</v>
      </c>
      <c r="H767" s="5">
        <f>IFERROR(__xludf.DUMMYFUNCTION("""COMPUTED_VALUE"""),0.5925572519083969)</f>
        <v>0.5925572519</v>
      </c>
      <c r="I767" s="11">
        <f>IFERROR(__xludf.DUMMYFUNCTION("""COMPUTED_VALUE"""),5898.187022900764)</f>
        <v>5898.187023</v>
      </c>
      <c r="J767" s="10">
        <f>IFERROR(__xludf.DUMMYFUNCTION("""COMPUTED_VALUE"""),0.0)</f>
        <v>0</v>
      </c>
      <c r="K767" s="5">
        <f>IFERROR(__xludf.DUMMYFUNCTION("""COMPUTED_VALUE"""),0.0)</f>
        <v>0</v>
      </c>
      <c r="L767" s="10">
        <f>IFERROR(__xludf.DUMMYFUNCTION("""COMPUTED_VALUE"""),0.0)</f>
        <v>0</v>
      </c>
      <c r="M767" s="5">
        <f>IFERROR(__xludf.DUMMYFUNCTION("""COMPUTED_VALUE"""),0.0)</f>
        <v>0</v>
      </c>
    </row>
    <row r="768">
      <c r="A768" s="10" t="str">
        <f>IFERROR(__xludf.DUMMYFUNCTION("""COMPUTED_VALUE"""),"迷探偵コカン")</f>
        <v>迷探偵コカン</v>
      </c>
      <c r="B768" s="10">
        <f>IFERROR(__xludf.DUMMYFUNCTION("""COMPUTED_VALUE"""),871.0)</f>
        <v>871</v>
      </c>
      <c r="C768" s="10">
        <f>IFERROR(__xludf.DUMMYFUNCTION("""COMPUTED_VALUE"""),10067.0)</f>
        <v>10067</v>
      </c>
      <c r="D768" s="5">
        <f>IFERROR(__xludf.DUMMYFUNCTION("""COMPUTED_VALUE"""),0.29458460200086994)</f>
        <v>0.294584602</v>
      </c>
      <c r="E768" s="5">
        <f>IFERROR(__xludf.DUMMYFUNCTION("""COMPUTED_VALUE"""),0.14364941278816876)</f>
        <v>0.1436494128</v>
      </c>
      <c r="F768" s="5">
        <f>IFERROR(__xludf.DUMMYFUNCTION("""COMPUTED_VALUE"""),0.22477163984341017)</f>
        <v>0.2247716398</v>
      </c>
      <c r="G768" s="5">
        <f>IFERROR(__xludf.DUMMYFUNCTION("""COMPUTED_VALUE"""),0.21911700739451936)</f>
        <v>0.2191170074</v>
      </c>
      <c r="H768" s="5">
        <f>IFERROR(__xludf.DUMMYFUNCTION("""COMPUTED_VALUE"""),0.5931301402999516)</f>
        <v>0.5931301403</v>
      </c>
      <c r="I768" s="11">
        <f>IFERROR(__xludf.DUMMYFUNCTION("""COMPUTED_VALUE"""),6081.567489114659)</f>
        <v>6081.567489</v>
      </c>
      <c r="J768" s="10">
        <f>IFERROR(__xludf.DUMMYFUNCTION("""COMPUTED_VALUE"""),1.0)</f>
        <v>1</v>
      </c>
      <c r="K768" s="5">
        <f>IFERROR(__xludf.DUMMYFUNCTION("""COMPUTED_VALUE"""),0.001148105625717566)</f>
        <v>0.001148105626</v>
      </c>
      <c r="L768" s="10">
        <f>IFERROR(__xludf.DUMMYFUNCTION("""COMPUTED_VALUE"""),871.0)</f>
        <v>871</v>
      </c>
      <c r="M768" s="5">
        <f>IFERROR(__xludf.DUMMYFUNCTION("""COMPUTED_VALUE"""),1.0)</f>
        <v>1</v>
      </c>
    </row>
    <row r="769">
      <c r="A769" s="10" t="str">
        <f>IFERROR(__xludf.DUMMYFUNCTION("""COMPUTED_VALUE"""),"ひめ・あい")</f>
        <v>ひめ・あい</v>
      </c>
      <c r="B769" s="10">
        <f>IFERROR(__xludf.DUMMYFUNCTION("""COMPUTED_VALUE"""),141.0)</f>
        <v>141</v>
      </c>
      <c r="C769" s="10">
        <f>IFERROR(__xludf.DUMMYFUNCTION("""COMPUTED_VALUE"""),1603.0)</f>
        <v>1603</v>
      </c>
      <c r="D769" s="5">
        <f>IFERROR(__xludf.DUMMYFUNCTION("""COMPUTED_VALUE"""),0.41997264021887826)</f>
        <v>0.4199726402</v>
      </c>
      <c r="E769" s="5">
        <f>IFERROR(__xludf.DUMMYFUNCTION("""COMPUTED_VALUE"""),0.1436388508891929)</f>
        <v>0.1436388509</v>
      </c>
      <c r="F769" s="5">
        <f>IFERROR(__xludf.DUMMYFUNCTION("""COMPUTED_VALUE"""),0.22024623803009577)</f>
        <v>0.220246238</v>
      </c>
      <c r="G769" s="5">
        <f>IFERROR(__xludf.DUMMYFUNCTION("""COMPUTED_VALUE"""),0.1573187414500684)</f>
        <v>0.1573187415</v>
      </c>
      <c r="H769" s="5">
        <f>IFERROR(__xludf.DUMMYFUNCTION("""COMPUTED_VALUE"""),0.6645962732919255)</f>
        <v>0.6645962733</v>
      </c>
      <c r="I769" s="11">
        <f>IFERROR(__xludf.DUMMYFUNCTION("""COMPUTED_VALUE"""),5405.900621118012)</f>
        <v>5405.900621</v>
      </c>
      <c r="J769" s="10">
        <f>IFERROR(__xludf.DUMMYFUNCTION("""COMPUTED_VALUE"""),0.0)</f>
        <v>0</v>
      </c>
      <c r="K769" s="5">
        <f>IFERROR(__xludf.DUMMYFUNCTION("""COMPUTED_VALUE"""),0.0)</f>
        <v>0</v>
      </c>
      <c r="L769" s="10">
        <f>IFERROR(__xludf.DUMMYFUNCTION("""COMPUTED_VALUE"""),0.0)</f>
        <v>0</v>
      </c>
      <c r="M769" s="5">
        <f>IFERROR(__xludf.DUMMYFUNCTION("""COMPUTED_VALUE"""),0.0)</f>
        <v>0</v>
      </c>
    </row>
    <row r="770">
      <c r="A770" s="10" t="str">
        <f>IFERROR(__xludf.DUMMYFUNCTION("""COMPUTED_VALUE"""),"sAgaさん")</f>
        <v>sAgaさん</v>
      </c>
      <c r="B770" s="10">
        <f>IFERROR(__xludf.DUMMYFUNCTION("""COMPUTED_VALUE"""),485.0)</f>
        <v>485</v>
      </c>
      <c r="C770" s="10">
        <f>IFERROR(__xludf.DUMMYFUNCTION("""COMPUTED_VALUE"""),5651.0)</f>
        <v>5651</v>
      </c>
      <c r="D770" s="5">
        <f>IFERROR(__xludf.DUMMYFUNCTION("""COMPUTED_VALUE"""),0.39392179636082075)</f>
        <v>0.3939217964</v>
      </c>
      <c r="E770" s="5">
        <f>IFERROR(__xludf.DUMMYFUNCTION("""COMPUTED_VALUE"""),0.14363143631436315)</f>
        <v>0.1436314363</v>
      </c>
      <c r="F770" s="5">
        <f>IFERROR(__xludf.DUMMYFUNCTION("""COMPUTED_VALUE"""),0.2121564072783585)</f>
        <v>0.2121564073</v>
      </c>
      <c r="G770" s="5">
        <f>IFERROR(__xludf.DUMMYFUNCTION("""COMPUTED_VALUE"""),0.17770034843205576)</f>
        <v>0.1777003484</v>
      </c>
      <c r="H770" s="5">
        <f>IFERROR(__xludf.DUMMYFUNCTION("""COMPUTED_VALUE"""),0.6021897810218978)</f>
        <v>0.602189781</v>
      </c>
      <c r="I770" s="11">
        <f>IFERROR(__xludf.DUMMYFUNCTION("""COMPUTED_VALUE"""),5757.208029197081)</f>
        <v>5757.208029</v>
      </c>
      <c r="J770" s="10">
        <f>IFERROR(__xludf.DUMMYFUNCTION("""COMPUTED_VALUE"""),1.0)</f>
        <v>1</v>
      </c>
      <c r="K770" s="5">
        <f>IFERROR(__xludf.DUMMYFUNCTION("""COMPUTED_VALUE"""),0.002061855670103093)</f>
        <v>0.00206185567</v>
      </c>
      <c r="L770" s="10">
        <f>IFERROR(__xludf.DUMMYFUNCTION("""COMPUTED_VALUE"""),485.0)</f>
        <v>485</v>
      </c>
      <c r="M770" s="5">
        <f>IFERROR(__xludf.DUMMYFUNCTION("""COMPUTED_VALUE"""),1.0)</f>
        <v>1</v>
      </c>
    </row>
    <row r="771">
      <c r="A771" s="10" t="str">
        <f>IFERROR(__xludf.DUMMYFUNCTION("""COMPUTED_VALUE"""),"ケイロン")</f>
        <v>ケイロン</v>
      </c>
      <c r="B771" s="10">
        <f>IFERROR(__xludf.DUMMYFUNCTION("""COMPUTED_VALUE"""),226.0)</f>
        <v>226</v>
      </c>
      <c r="C771" s="10">
        <f>IFERROR(__xludf.DUMMYFUNCTION("""COMPUTED_VALUE"""),2649.0)</f>
        <v>2649</v>
      </c>
      <c r="D771" s="5">
        <f>IFERROR(__xludf.DUMMYFUNCTION("""COMPUTED_VALUE"""),0.4110606685926537)</f>
        <v>0.4110606686</v>
      </c>
      <c r="E771" s="5">
        <f>IFERROR(__xludf.DUMMYFUNCTION("""COMPUTED_VALUE"""),0.14362360709863806)</f>
        <v>0.1436236071</v>
      </c>
      <c r="F771" s="5">
        <f>IFERROR(__xludf.DUMMYFUNCTION("""COMPUTED_VALUE"""),0.21667354519191084)</f>
        <v>0.2166735452</v>
      </c>
      <c r="G771" s="5">
        <f>IFERROR(__xludf.DUMMYFUNCTION("""COMPUTED_VALUE"""),0.16260833677259595)</f>
        <v>0.1626083368</v>
      </c>
      <c r="H771" s="5">
        <f>IFERROR(__xludf.DUMMYFUNCTION("""COMPUTED_VALUE"""),0.5980952380952381)</f>
        <v>0.5980952381</v>
      </c>
      <c r="I771" s="11">
        <f>IFERROR(__xludf.DUMMYFUNCTION("""COMPUTED_VALUE"""),5558.666666666667)</f>
        <v>5558.666667</v>
      </c>
      <c r="J771" s="10">
        <f>IFERROR(__xludf.DUMMYFUNCTION("""COMPUTED_VALUE"""),1.0)</f>
        <v>1</v>
      </c>
      <c r="K771" s="5">
        <f>IFERROR(__xludf.DUMMYFUNCTION("""COMPUTED_VALUE"""),0.004424778761061947)</f>
        <v>0.004424778761</v>
      </c>
      <c r="L771" s="10">
        <f>IFERROR(__xludf.DUMMYFUNCTION("""COMPUTED_VALUE"""),0.0)</f>
        <v>0</v>
      </c>
      <c r="M771" s="5">
        <f>IFERROR(__xludf.DUMMYFUNCTION("""COMPUTED_VALUE"""),0.0)</f>
        <v>0</v>
      </c>
    </row>
    <row r="772">
      <c r="A772" s="10" t="str">
        <f>IFERROR(__xludf.DUMMYFUNCTION("""COMPUTED_VALUE"""),"かしかお")</f>
        <v>かしかお</v>
      </c>
      <c r="B772" s="10">
        <f>IFERROR(__xludf.DUMMYFUNCTION("""COMPUTED_VALUE"""),6991.0)</f>
        <v>6991</v>
      </c>
      <c r="C772" s="10">
        <f>IFERROR(__xludf.DUMMYFUNCTION("""COMPUTED_VALUE"""),81292.0)</f>
        <v>81292</v>
      </c>
      <c r="D772" s="5">
        <f>IFERROR(__xludf.DUMMYFUNCTION("""COMPUTED_VALUE"""),0.36536520369846975)</f>
        <v>0.3653652037</v>
      </c>
      <c r="E772" s="5">
        <f>IFERROR(__xludf.DUMMYFUNCTION("""COMPUTED_VALUE"""),0.14361852464973554)</f>
        <v>0.1436185246</v>
      </c>
      <c r="F772" s="5">
        <f>IFERROR(__xludf.DUMMYFUNCTION("""COMPUTED_VALUE"""),0.22925667218476198)</f>
        <v>0.2292566722</v>
      </c>
      <c r="G772" s="5">
        <f>IFERROR(__xludf.DUMMYFUNCTION("""COMPUTED_VALUE"""),0.17822101990551945)</f>
        <v>0.1782210199</v>
      </c>
      <c r="H772" s="5">
        <f>IFERROR(__xludf.DUMMYFUNCTION("""COMPUTED_VALUE"""),0.6117764471057884)</f>
        <v>0.6117764471</v>
      </c>
      <c r="I772" s="11">
        <f>IFERROR(__xludf.DUMMYFUNCTION("""COMPUTED_VALUE"""),5510.725607608313)</f>
        <v>5510.725608</v>
      </c>
      <c r="J772" s="10">
        <f>IFERROR(__xludf.DUMMYFUNCTION("""COMPUTED_VALUE"""),15.0)</f>
        <v>15</v>
      </c>
      <c r="K772" s="5">
        <f>IFERROR(__xludf.DUMMYFUNCTION("""COMPUTED_VALUE"""),0.002145615791732227)</f>
        <v>0.002145615792</v>
      </c>
      <c r="L772" s="10">
        <f>IFERROR(__xludf.DUMMYFUNCTION("""COMPUTED_VALUE"""),6991.0)</f>
        <v>6991</v>
      </c>
      <c r="M772" s="5">
        <f>IFERROR(__xludf.DUMMYFUNCTION("""COMPUTED_VALUE"""),1.0)</f>
        <v>1</v>
      </c>
    </row>
    <row r="773">
      <c r="A773" s="10" t="str">
        <f>IFERROR(__xludf.DUMMYFUNCTION("""COMPUTED_VALUE"""),"☆日向夏美☆")</f>
        <v>☆日向夏美☆</v>
      </c>
      <c r="B773" s="10">
        <f>IFERROR(__xludf.DUMMYFUNCTION("""COMPUTED_VALUE"""),123.0)</f>
        <v>123</v>
      </c>
      <c r="C773" s="10">
        <f>IFERROR(__xludf.DUMMYFUNCTION("""COMPUTED_VALUE"""),1446.0)</f>
        <v>1446</v>
      </c>
      <c r="D773" s="5">
        <f>IFERROR(__xludf.DUMMYFUNCTION("""COMPUTED_VALUE"""),0.345427059712774)</f>
        <v>0.3454270597</v>
      </c>
      <c r="E773" s="5">
        <f>IFERROR(__xludf.DUMMYFUNCTION("""COMPUTED_VALUE"""),0.1436130007558579)</f>
        <v>0.1436130008</v>
      </c>
      <c r="F773" s="5">
        <f>IFERROR(__xludf.DUMMYFUNCTION("""COMPUTED_VALUE"""),0.20786092214663643)</f>
        <v>0.2078609221</v>
      </c>
      <c r="G773" s="5">
        <f>IFERROR(__xludf.DUMMYFUNCTION("""COMPUTED_VALUE"""),0.18216175359032502)</f>
        <v>0.1821617536</v>
      </c>
      <c r="H773" s="5">
        <f>IFERROR(__xludf.DUMMYFUNCTION("""COMPUTED_VALUE"""),0.6254545454545455)</f>
        <v>0.6254545455</v>
      </c>
      <c r="I773" s="11">
        <f>IFERROR(__xludf.DUMMYFUNCTION("""COMPUTED_VALUE"""),5427.636363636364)</f>
        <v>5427.636364</v>
      </c>
      <c r="J773" s="10">
        <f>IFERROR(__xludf.DUMMYFUNCTION("""COMPUTED_VALUE"""),0.0)</f>
        <v>0</v>
      </c>
      <c r="K773" s="5">
        <f>IFERROR(__xludf.DUMMYFUNCTION("""COMPUTED_VALUE"""),0.0)</f>
        <v>0</v>
      </c>
      <c r="L773" s="10">
        <f>IFERROR(__xludf.DUMMYFUNCTION("""COMPUTED_VALUE"""),0.0)</f>
        <v>0</v>
      </c>
      <c r="M773" s="5">
        <f>IFERROR(__xludf.DUMMYFUNCTION("""COMPUTED_VALUE"""),0.0)</f>
        <v>0</v>
      </c>
    </row>
    <row r="774">
      <c r="A774" s="10" t="str">
        <f>IFERROR(__xludf.DUMMYFUNCTION("""COMPUTED_VALUE"""),"ツン☆ドラキー")</f>
        <v>ツン☆ドラキー</v>
      </c>
      <c r="B774" s="10">
        <f>IFERROR(__xludf.DUMMYFUNCTION("""COMPUTED_VALUE"""),353.0)</f>
        <v>353</v>
      </c>
      <c r="C774" s="10">
        <f>IFERROR(__xludf.DUMMYFUNCTION("""COMPUTED_VALUE"""),4134.0)</f>
        <v>4134</v>
      </c>
      <c r="D774" s="5">
        <f>IFERROR(__xludf.DUMMYFUNCTION("""COMPUTED_VALUE"""),0.3120867495371595)</f>
        <v>0.3120867495</v>
      </c>
      <c r="E774" s="5">
        <f>IFERROR(__xludf.DUMMYFUNCTION("""COMPUTED_VALUE"""),0.14361280084633696)</f>
        <v>0.1436128008</v>
      </c>
      <c r="F774" s="5">
        <f>IFERROR(__xludf.DUMMYFUNCTION("""COMPUTED_VALUE"""),0.19783126157101297)</f>
        <v>0.1978312616</v>
      </c>
      <c r="G774" s="5">
        <f>IFERROR(__xludf.DUMMYFUNCTION("""COMPUTED_VALUE"""),0.13012430573922243)</f>
        <v>0.1301243057</v>
      </c>
      <c r="H774" s="5">
        <f>IFERROR(__xludf.DUMMYFUNCTION("""COMPUTED_VALUE"""),0.5868983957219251)</f>
        <v>0.5868983957</v>
      </c>
      <c r="I774" s="11">
        <f>IFERROR(__xludf.DUMMYFUNCTION("""COMPUTED_VALUE"""),5787.967914438503)</f>
        <v>5787.967914</v>
      </c>
      <c r="J774" s="10">
        <f>IFERROR(__xludf.DUMMYFUNCTION("""COMPUTED_VALUE"""),1.0)</f>
        <v>1</v>
      </c>
      <c r="K774" s="5">
        <f>IFERROR(__xludf.DUMMYFUNCTION("""COMPUTED_VALUE"""),0.0028328611898017)</f>
        <v>0.00283286119</v>
      </c>
      <c r="L774" s="10">
        <f>IFERROR(__xludf.DUMMYFUNCTION("""COMPUTED_VALUE"""),6.0)</f>
        <v>6</v>
      </c>
      <c r="M774" s="5">
        <f>IFERROR(__xludf.DUMMYFUNCTION("""COMPUTED_VALUE"""),0.0169971671388102)</f>
        <v>0.01699716714</v>
      </c>
    </row>
    <row r="775">
      <c r="A775" s="10" t="str">
        <f>IFERROR(__xludf.DUMMYFUNCTION("""COMPUTED_VALUE"""),"佐倉瀬津美")</f>
        <v>佐倉瀬津美</v>
      </c>
      <c r="B775" s="10">
        <f>IFERROR(__xludf.DUMMYFUNCTION("""COMPUTED_VALUE"""),279.0)</f>
        <v>279</v>
      </c>
      <c r="C775" s="10">
        <f>IFERROR(__xludf.DUMMYFUNCTION("""COMPUTED_VALUE"""),3253.0)</f>
        <v>3253</v>
      </c>
      <c r="D775" s="5">
        <f>IFERROR(__xludf.DUMMYFUNCTION("""COMPUTED_VALUE"""),0.39979825151311366)</f>
        <v>0.3997982515</v>
      </c>
      <c r="E775" s="5">
        <f>IFERROR(__xludf.DUMMYFUNCTION("""COMPUTED_VALUE"""),0.14357767316745124)</f>
        <v>0.1435776732</v>
      </c>
      <c r="F775" s="5">
        <f>IFERROR(__xludf.DUMMYFUNCTION("""COMPUTED_VALUE"""),0.22057834566240753)</f>
        <v>0.2205783457</v>
      </c>
      <c r="G775" s="5">
        <f>IFERROR(__xludf.DUMMYFUNCTION("""COMPUTED_VALUE"""),0.1472763954270343)</f>
        <v>0.1472763954</v>
      </c>
      <c r="H775" s="5">
        <f>IFERROR(__xludf.DUMMYFUNCTION("""COMPUTED_VALUE"""),0.5945121951219512)</f>
        <v>0.5945121951</v>
      </c>
      <c r="I775" s="11">
        <f>IFERROR(__xludf.DUMMYFUNCTION("""COMPUTED_VALUE"""),5191.615853658536)</f>
        <v>5191.615854</v>
      </c>
      <c r="J775" s="10">
        <f>IFERROR(__xludf.DUMMYFUNCTION("""COMPUTED_VALUE"""),0.0)</f>
        <v>0</v>
      </c>
      <c r="K775" s="5">
        <f>IFERROR(__xludf.DUMMYFUNCTION("""COMPUTED_VALUE"""),0.0)</f>
        <v>0</v>
      </c>
      <c r="L775" s="10">
        <f>IFERROR(__xludf.DUMMYFUNCTION("""COMPUTED_VALUE"""),4.0)</f>
        <v>4</v>
      </c>
      <c r="M775" s="5">
        <f>IFERROR(__xludf.DUMMYFUNCTION("""COMPUTED_VALUE"""),0.014336917562724014)</f>
        <v>0.01433691756</v>
      </c>
    </row>
    <row r="776">
      <c r="A776" s="10" t="str">
        <f>IFERROR(__xludf.DUMMYFUNCTION("""COMPUTED_VALUE"""),"ぷるお氏")</f>
        <v>ぷるお氏</v>
      </c>
      <c r="B776" s="10">
        <f>IFERROR(__xludf.DUMMYFUNCTION("""COMPUTED_VALUE"""),1050.0)</f>
        <v>1050</v>
      </c>
      <c r="C776" s="10">
        <f>IFERROR(__xludf.DUMMYFUNCTION("""COMPUTED_VALUE"""),12223.0)</f>
        <v>12223</v>
      </c>
      <c r="D776" s="5">
        <f>IFERROR(__xludf.DUMMYFUNCTION("""COMPUTED_VALUE"""),0.3121811509889913)</f>
        <v>0.312181151</v>
      </c>
      <c r="E776" s="5">
        <f>IFERROR(__xludf.DUMMYFUNCTION("""COMPUTED_VALUE"""),0.1435603687460843)</f>
        <v>0.1435603687</v>
      </c>
      <c r="F776" s="5">
        <f>IFERROR(__xludf.DUMMYFUNCTION("""COMPUTED_VALUE"""),0.2184731048062293)</f>
        <v>0.2184731048</v>
      </c>
      <c r="G776" s="5">
        <f>IFERROR(__xludf.DUMMYFUNCTION("""COMPUTED_VALUE"""),0.20075181240490467)</f>
        <v>0.2007518124</v>
      </c>
      <c r="H776" s="5">
        <f>IFERROR(__xludf.DUMMYFUNCTION("""COMPUTED_VALUE"""),0.5878738222040147)</f>
        <v>0.5878738222</v>
      </c>
      <c r="I776" s="11">
        <f>IFERROR(__xludf.DUMMYFUNCTION("""COMPUTED_VALUE"""),5628.349037279803)</f>
        <v>5628.349037</v>
      </c>
      <c r="J776" s="10">
        <f>IFERROR(__xludf.DUMMYFUNCTION("""COMPUTED_VALUE"""),4.0)</f>
        <v>4</v>
      </c>
      <c r="K776" s="5">
        <f>IFERROR(__xludf.DUMMYFUNCTION("""COMPUTED_VALUE"""),0.0038095238095238095)</f>
        <v>0.00380952381</v>
      </c>
      <c r="L776" s="10">
        <f>IFERROR(__xludf.DUMMYFUNCTION("""COMPUTED_VALUE"""),1050.0)</f>
        <v>1050</v>
      </c>
      <c r="M776" s="5">
        <f>IFERROR(__xludf.DUMMYFUNCTION("""COMPUTED_VALUE"""),1.0)</f>
        <v>1</v>
      </c>
    </row>
    <row r="777">
      <c r="A777" s="10" t="str">
        <f>IFERROR(__xludf.DUMMYFUNCTION("""COMPUTED_VALUE"""),"神武ラヒナー")</f>
        <v>神武ラヒナー</v>
      </c>
      <c r="B777" s="10">
        <f>IFERROR(__xludf.DUMMYFUNCTION("""COMPUTED_VALUE"""),752.0)</f>
        <v>752</v>
      </c>
      <c r="C777" s="10">
        <f>IFERROR(__xludf.DUMMYFUNCTION("""COMPUTED_VALUE"""),8770.0)</f>
        <v>8770</v>
      </c>
      <c r="D777" s="5">
        <f>IFERROR(__xludf.DUMMYFUNCTION("""COMPUTED_VALUE"""),0.33100523821401845)</f>
        <v>0.3310052382</v>
      </c>
      <c r="E777" s="5">
        <f>IFERROR(__xludf.DUMMYFUNCTION("""COMPUTED_VALUE"""),0.1435520079820404)</f>
        <v>0.143552008</v>
      </c>
      <c r="F777" s="5">
        <f>IFERROR(__xludf.DUMMYFUNCTION("""COMPUTED_VALUE"""),0.21426789723122974)</f>
        <v>0.2142678972</v>
      </c>
      <c r="G777" s="5">
        <f>IFERROR(__xludf.DUMMYFUNCTION("""COMPUTED_VALUE"""),0.15328011973060612)</f>
        <v>0.1532801197</v>
      </c>
      <c r="H777" s="5">
        <f>IFERROR(__xludf.DUMMYFUNCTION("""COMPUTED_VALUE"""),0.6047729918509895)</f>
        <v>0.6047729919</v>
      </c>
      <c r="I777" s="11">
        <f>IFERROR(__xludf.DUMMYFUNCTION("""COMPUTED_VALUE"""),5533.7019790454015)</f>
        <v>5533.701979</v>
      </c>
      <c r="J777" s="10">
        <f>IFERROR(__xludf.DUMMYFUNCTION("""COMPUTED_VALUE"""),0.0)</f>
        <v>0</v>
      </c>
      <c r="K777" s="5">
        <f>IFERROR(__xludf.DUMMYFUNCTION("""COMPUTED_VALUE"""),0.0)</f>
        <v>0</v>
      </c>
      <c r="L777" s="10">
        <f>IFERROR(__xludf.DUMMYFUNCTION("""COMPUTED_VALUE"""),752.0)</f>
        <v>752</v>
      </c>
      <c r="M777" s="5">
        <f>IFERROR(__xludf.DUMMYFUNCTION("""COMPUTED_VALUE"""),1.0)</f>
        <v>1</v>
      </c>
    </row>
    <row r="778">
      <c r="A778" s="10" t="str">
        <f>IFERROR(__xludf.DUMMYFUNCTION("""COMPUTED_VALUE"""),"-★独眼鉄★-")</f>
        <v>-★独眼鉄★-</v>
      </c>
      <c r="B778" s="10">
        <f>IFERROR(__xludf.DUMMYFUNCTION("""COMPUTED_VALUE"""),239.0)</f>
        <v>239</v>
      </c>
      <c r="C778" s="10">
        <f>IFERROR(__xludf.DUMMYFUNCTION("""COMPUTED_VALUE"""),2782.0)</f>
        <v>2782</v>
      </c>
      <c r="D778" s="5">
        <f>IFERROR(__xludf.DUMMYFUNCTION("""COMPUTED_VALUE"""),0.31301612268973655)</f>
        <v>0.3130161227</v>
      </c>
      <c r="E778" s="5">
        <f>IFERROR(__xludf.DUMMYFUNCTION("""COMPUTED_VALUE"""),0.14353126228863547)</f>
        <v>0.1435312623</v>
      </c>
      <c r="F778" s="5">
        <f>IFERROR(__xludf.DUMMYFUNCTION("""COMPUTED_VALUE"""),0.19976405819897758)</f>
        <v>0.1997640582</v>
      </c>
      <c r="G778" s="5">
        <f>IFERROR(__xludf.DUMMYFUNCTION("""COMPUTED_VALUE"""),0.18049547778214706)</f>
        <v>0.1804954778</v>
      </c>
      <c r="H778" s="5">
        <f>IFERROR(__xludf.DUMMYFUNCTION("""COMPUTED_VALUE"""),0.6062992125984252)</f>
        <v>0.6062992126</v>
      </c>
      <c r="I778" s="11">
        <f>IFERROR(__xludf.DUMMYFUNCTION("""COMPUTED_VALUE"""),5410.433070866142)</f>
        <v>5410.433071</v>
      </c>
      <c r="J778" s="10">
        <f>IFERROR(__xludf.DUMMYFUNCTION("""COMPUTED_VALUE"""),0.0)</f>
        <v>0</v>
      </c>
      <c r="K778" s="5">
        <f>IFERROR(__xludf.DUMMYFUNCTION("""COMPUTED_VALUE"""),0.0)</f>
        <v>0</v>
      </c>
      <c r="L778" s="10">
        <f>IFERROR(__xludf.DUMMYFUNCTION("""COMPUTED_VALUE"""),234.0)</f>
        <v>234</v>
      </c>
      <c r="M778" s="5">
        <f>IFERROR(__xludf.DUMMYFUNCTION("""COMPUTED_VALUE"""),0.9790794979079498)</f>
        <v>0.9790794979</v>
      </c>
    </row>
    <row r="779">
      <c r="A779" s="10" t="str">
        <f>IFERROR(__xludf.DUMMYFUNCTION("""COMPUTED_VALUE"""),"禁煙雀荘")</f>
        <v>禁煙雀荘</v>
      </c>
      <c r="B779" s="10">
        <f>IFERROR(__xludf.DUMMYFUNCTION("""COMPUTED_VALUE"""),979.0)</f>
        <v>979</v>
      </c>
      <c r="C779" s="10">
        <f>IFERROR(__xludf.DUMMYFUNCTION("""COMPUTED_VALUE"""),11367.0)</f>
        <v>11367</v>
      </c>
      <c r="D779" s="5">
        <f>IFERROR(__xludf.DUMMYFUNCTION("""COMPUTED_VALUE"""),0.336734693877551)</f>
        <v>0.3367346939</v>
      </c>
      <c r="E779" s="5">
        <f>IFERROR(__xludf.DUMMYFUNCTION("""COMPUTED_VALUE"""),0.14353099730458221)</f>
        <v>0.1435309973</v>
      </c>
      <c r="F779" s="5">
        <f>IFERROR(__xludf.DUMMYFUNCTION("""COMPUTED_VALUE"""),0.22044666923373124)</f>
        <v>0.2204466692</v>
      </c>
      <c r="G779" s="5">
        <f>IFERROR(__xludf.DUMMYFUNCTION("""COMPUTED_VALUE"""),0.18136311128224875)</f>
        <v>0.1813631113</v>
      </c>
      <c r="H779" s="5">
        <f>IFERROR(__xludf.DUMMYFUNCTION("""COMPUTED_VALUE"""),0.6013100436681222)</f>
        <v>0.6013100437</v>
      </c>
      <c r="I779" s="11">
        <f>IFERROR(__xludf.DUMMYFUNCTION("""COMPUTED_VALUE"""),5685.720524017467)</f>
        <v>5685.720524</v>
      </c>
      <c r="J779" s="10">
        <f>IFERROR(__xludf.DUMMYFUNCTION("""COMPUTED_VALUE"""),2.0)</f>
        <v>2</v>
      </c>
      <c r="K779" s="5">
        <f>IFERROR(__xludf.DUMMYFUNCTION("""COMPUTED_VALUE"""),0.0020429009193054137)</f>
        <v>0.002042900919</v>
      </c>
      <c r="L779" s="10">
        <f>IFERROR(__xludf.DUMMYFUNCTION("""COMPUTED_VALUE"""),944.0)</f>
        <v>944</v>
      </c>
      <c r="M779" s="5">
        <f>IFERROR(__xludf.DUMMYFUNCTION("""COMPUTED_VALUE"""),0.9642492339121552)</f>
        <v>0.9642492339</v>
      </c>
    </row>
    <row r="780">
      <c r="A780" s="10" t="str">
        <f>IFERROR(__xludf.DUMMYFUNCTION("""COMPUTED_VALUE"""),"ジャミラス")</f>
        <v>ジャミラス</v>
      </c>
      <c r="B780" s="10">
        <f>IFERROR(__xludf.DUMMYFUNCTION("""COMPUTED_VALUE"""),296.0)</f>
        <v>296</v>
      </c>
      <c r="C780" s="10">
        <f>IFERROR(__xludf.DUMMYFUNCTION("""COMPUTED_VALUE"""),3502.0)</f>
        <v>3502</v>
      </c>
      <c r="D780" s="5">
        <f>IFERROR(__xludf.DUMMYFUNCTION("""COMPUTED_VALUE"""),0.32938240798502805)</f>
        <v>0.329382408</v>
      </c>
      <c r="E780" s="5">
        <f>IFERROR(__xludf.DUMMYFUNCTION("""COMPUTED_VALUE"""),0.14348097317529632)</f>
        <v>0.1434809732</v>
      </c>
      <c r="F780" s="5">
        <f>IFERROR(__xludf.DUMMYFUNCTION("""COMPUTED_VALUE"""),0.20867124142233312)</f>
        <v>0.2086712414</v>
      </c>
      <c r="G780" s="5">
        <f>IFERROR(__xludf.DUMMYFUNCTION("""COMPUTED_VALUE"""),0.1553337492202121)</f>
        <v>0.1553337492</v>
      </c>
      <c r="H780" s="5">
        <f>IFERROR(__xludf.DUMMYFUNCTION("""COMPUTED_VALUE"""),0.6233183856502242)</f>
        <v>0.6233183857</v>
      </c>
      <c r="I780" s="11">
        <f>IFERROR(__xludf.DUMMYFUNCTION("""COMPUTED_VALUE"""),5444.8430493273545)</f>
        <v>5444.843049</v>
      </c>
      <c r="J780" s="10">
        <f>IFERROR(__xludf.DUMMYFUNCTION("""COMPUTED_VALUE"""),2.0)</f>
        <v>2</v>
      </c>
      <c r="K780" s="5">
        <f>IFERROR(__xludf.DUMMYFUNCTION("""COMPUTED_VALUE"""),0.006756756756756757)</f>
        <v>0.006756756757</v>
      </c>
      <c r="L780" s="10">
        <f>IFERROR(__xludf.DUMMYFUNCTION("""COMPUTED_VALUE"""),296.0)</f>
        <v>296</v>
      </c>
      <c r="M780" s="5">
        <f>IFERROR(__xludf.DUMMYFUNCTION("""COMPUTED_VALUE"""),1.0)</f>
        <v>1</v>
      </c>
    </row>
    <row r="781">
      <c r="A781" s="10" t="str">
        <f>IFERROR(__xludf.DUMMYFUNCTION("""COMPUTED_VALUE"""),"まさに宇宙")</f>
        <v>まさに宇宙</v>
      </c>
      <c r="B781" s="10">
        <f>IFERROR(__xludf.DUMMYFUNCTION("""COMPUTED_VALUE"""),257.0)</f>
        <v>257</v>
      </c>
      <c r="C781" s="10">
        <f>IFERROR(__xludf.DUMMYFUNCTION("""COMPUTED_VALUE"""),3010.0)</f>
        <v>3010</v>
      </c>
      <c r="D781" s="5">
        <f>IFERROR(__xludf.DUMMYFUNCTION("""COMPUTED_VALUE"""),0.40247003269160914)</f>
        <v>0.4024700327</v>
      </c>
      <c r="E781" s="5">
        <f>IFERROR(__xludf.DUMMYFUNCTION("""COMPUTED_VALUE"""),0.14347984017435525)</f>
        <v>0.1434798402</v>
      </c>
      <c r="F781" s="5">
        <f>IFERROR(__xludf.DUMMYFUNCTION("""COMPUTED_VALUE"""),0.21322193970214312)</f>
        <v>0.2132219397</v>
      </c>
      <c r="G781" s="5">
        <f>IFERROR(__xludf.DUMMYFUNCTION("""COMPUTED_VALUE"""),0.18016709044678533)</f>
        <v>0.1801670904</v>
      </c>
      <c r="H781" s="5">
        <f>IFERROR(__xludf.DUMMYFUNCTION("""COMPUTED_VALUE"""),0.6115843270868825)</f>
        <v>0.6115843271</v>
      </c>
      <c r="I781" s="11">
        <f>IFERROR(__xludf.DUMMYFUNCTION("""COMPUTED_VALUE"""),5296.592844974446)</f>
        <v>5296.592845</v>
      </c>
      <c r="J781" s="10">
        <f>IFERROR(__xludf.DUMMYFUNCTION("""COMPUTED_VALUE"""),1.0)</f>
        <v>1</v>
      </c>
      <c r="K781" s="5">
        <f>IFERROR(__xludf.DUMMYFUNCTION("""COMPUTED_VALUE"""),0.0038910505836575876)</f>
        <v>0.003891050584</v>
      </c>
      <c r="L781" s="10">
        <f>IFERROR(__xludf.DUMMYFUNCTION("""COMPUTED_VALUE"""),257.0)</f>
        <v>257</v>
      </c>
      <c r="M781" s="5">
        <f>IFERROR(__xludf.DUMMYFUNCTION("""COMPUTED_VALUE"""),1.0)</f>
        <v>1</v>
      </c>
    </row>
    <row r="782">
      <c r="A782" s="10" t="str">
        <f>IFERROR(__xludf.DUMMYFUNCTION("""COMPUTED_VALUE"""),"PeterPan")</f>
        <v>PeterPan</v>
      </c>
      <c r="B782" s="10">
        <f>IFERROR(__xludf.DUMMYFUNCTION("""COMPUTED_VALUE"""),1017.0)</f>
        <v>1017</v>
      </c>
      <c r="C782" s="10">
        <f>IFERROR(__xludf.DUMMYFUNCTION("""COMPUTED_VALUE"""),11821.0)</f>
        <v>11821</v>
      </c>
      <c r="D782" s="5">
        <f>IFERROR(__xludf.DUMMYFUNCTION("""COMPUTED_VALUE"""),0.3459829692706405)</f>
        <v>0.3459829693</v>
      </c>
      <c r="E782" s="5">
        <f>IFERROR(__xludf.DUMMYFUNCTION("""COMPUTED_VALUE"""),0.14346538319141058)</f>
        <v>0.1434653832</v>
      </c>
      <c r="F782" s="5">
        <f>IFERROR(__xludf.DUMMYFUNCTION("""COMPUTED_VALUE"""),0.22325064790818216)</f>
        <v>0.2232506479</v>
      </c>
      <c r="G782" s="5">
        <f>IFERROR(__xludf.DUMMYFUNCTION("""COMPUTED_VALUE"""),0.1952054794520548)</f>
        <v>0.1952054795</v>
      </c>
      <c r="H782" s="5">
        <f>IFERROR(__xludf.DUMMYFUNCTION("""COMPUTED_VALUE"""),0.5746268656716418)</f>
        <v>0.5746268657</v>
      </c>
      <c r="I782" s="11">
        <f>IFERROR(__xludf.DUMMYFUNCTION("""COMPUTED_VALUE"""),5724.875621890547)</f>
        <v>5724.875622</v>
      </c>
      <c r="J782" s="10">
        <f>IFERROR(__xludf.DUMMYFUNCTION("""COMPUTED_VALUE"""),1.0)</f>
        <v>1</v>
      </c>
      <c r="K782" s="5">
        <f>IFERROR(__xludf.DUMMYFUNCTION("""COMPUTED_VALUE"""),9.832841691248771E-4)</f>
        <v>0.0009832841691</v>
      </c>
      <c r="L782" s="10">
        <f>IFERROR(__xludf.DUMMYFUNCTION("""COMPUTED_VALUE"""),1017.0)</f>
        <v>1017</v>
      </c>
      <c r="M782" s="5">
        <f>IFERROR(__xludf.DUMMYFUNCTION("""COMPUTED_VALUE"""),1.0)</f>
        <v>1</v>
      </c>
    </row>
    <row r="783">
      <c r="A783" s="10" t="str">
        <f>IFERROR(__xludf.DUMMYFUNCTION("""COMPUTED_VALUE"""),"謎の五位力")</f>
        <v>謎の五位力</v>
      </c>
      <c r="B783" s="10">
        <f>IFERROR(__xludf.DUMMYFUNCTION("""COMPUTED_VALUE"""),308.0)</f>
        <v>308</v>
      </c>
      <c r="C783" s="10">
        <f>IFERROR(__xludf.DUMMYFUNCTION("""COMPUTED_VALUE"""),3612.0)</f>
        <v>3612</v>
      </c>
      <c r="D783" s="5">
        <f>IFERROR(__xludf.DUMMYFUNCTION("""COMPUTED_VALUE"""),0.32990314769975787)</f>
        <v>0.3299031477</v>
      </c>
      <c r="E783" s="5">
        <f>IFERROR(__xludf.DUMMYFUNCTION("""COMPUTED_VALUE"""),0.14346246973365617)</f>
        <v>0.1434624697</v>
      </c>
      <c r="F783" s="5">
        <f>IFERROR(__xludf.DUMMYFUNCTION("""COMPUTED_VALUE"""),0.20581113801452786)</f>
        <v>0.205811138</v>
      </c>
      <c r="G783" s="5">
        <f>IFERROR(__xludf.DUMMYFUNCTION("""COMPUTED_VALUE"""),0.1440677966101695)</f>
        <v>0.1440677966</v>
      </c>
      <c r="H783" s="5">
        <f>IFERROR(__xludf.DUMMYFUNCTION("""COMPUTED_VALUE"""),0.5573529411764706)</f>
        <v>0.5573529412</v>
      </c>
      <c r="I783" s="11">
        <f>IFERROR(__xludf.DUMMYFUNCTION("""COMPUTED_VALUE"""),5791.764705882353)</f>
        <v>5791.764706</v>
      </c>
      <c r="J783" s="10">
        <f>IFERROR(__xludf.DUMMYFUNCTION("""COMPUTED_VALUE"""),1.0)</f>
        <v>1</v>
      </c>
      <c r="K783" s="5">
        <f>IFERROR(__xludf.DUMMYFUNCTION("""COMPUTED_VALUE"""),0.003246753246753247)</f>
        <v>0.003246753247</v>
      </c>
      <c r="L783" s="10">
        <f>IFERROR(__xludf.DUMMYFUNCTION("""COMPUTED_VALUE"""),308.0)</f>
        <v>308</v>
      </c>
      <c r="M783" s="5">
        <f>IFERROR(__xludf.DUMMYFUNCTION("""COMPUTED_VALUE"""),1.0)</f>
        <v>1</v>
      </c>
    </row>
    <row r="784">
      <c r="A784" s="10" t="str">
        <f>IFERROR(__xludf.DUMMYFUNCTION("""COMPUTED_VALUE"""),"WDDie")</f>
        <v>WDDie</v>
      </c>
      <c r="B784" s="10">
        <f>IFERROR(__xludf.DUMMYFUNCTION("""COMPUTED_VALUE"""),290.0)</f>
        <v>290</v>
      </c>
      <c r="C784" s="10">
        <f>IFERROR(__xludf.DUMMYFUNCTION("""COMPUTED_VALUE"""),3399.0)</f>
        <v>3399</v>
      </c>
      <c r="D784" s="5">
        <f>IFERROR(__xludf.DUMMYFUNCTION("""COMPUTED_VALUE"""),0.39884207140559663)</f>
        <v>0.3988420714</v>
      </c>
      <c r="E784" s="5">
        <f>IFERROR(__xludf.DUMMYFUNCTION("""COMPUTED_VALUE"""),0.14345448697330332)</f>
        <v>0.143454487</v>
      </c>
      <c r="F784" s="5">
        <f>IFERROR(__xludf.DUMMYFUNCTION("""COMPUTED_VALUE"""),0.21904149244129945)</f>
        <v>0.2190414924</v>
      </c>
      <c r="G784" s="5">
        <f>IFERROR(__xludf.DUMMYFUNCTION("""COMPUTED_VALUE"""),0.15760694757156643)</f>
        <v>0.1576069476</v>
      </c>
      <c r="H784" s="5">
        <f>IFERROR(__xludf.DUMMYFUNCTION("""COMPUTED_VALUE"""),0.5976505139500734)</f>
        <v>0.597650514</v>
      </c>
      <c r="I784" s="11">
        <f>IFERROR(__xludf.DUMMYFUNCTION("""COMPUTED_VALUE"""),5359.177679882526)</f>
        <v>5359.17768</v>
      </c>
      <c r="J784" s="10">
        <f>IFERROR(__xludf.DUMMYFUNCTION("""COMPUTED_VALUE"""),0.0)</f>
        <v>0</v>
      </c>
      <c r="K784" s="5">
        <f>IFERROR(__xludf.DUMMYFUNCTION("""COMPUTED_VALUE"""),0.0)</f>
        <v>0</v>
      </c>
      <c r="L784" s="10">
        <f>IFERROR(__xludf.DUMMYFUNCTION("""COMPUTED_VALUE"""),290.0)</f>
        <v>290</v>
      </c>
      <c r="M784" s="5">
        <f>IFERROR(__xludf.DUMMYFUNCTION("""COMPUTED_VALUE"""),1.0)</f>
        <v>1</v>
      </c>
    </row>
    <row r="785">
      <c r="A785" s="10" t="str">
        <f>IFERROR(__xludf.DUMMYFUNCTION("""COMPUTED_VALUE"""),"湘北⑭三井寿")</f>
        <v>湘北⑭三井寿</v>
      </c>
      <c r="B785" s="10">
        <f>IFERROR(__xludf.DUMMYFUNCTION("""COMPUTED_VALUE"""),3582.0)</f>
        <v>3582</v>
      </c>
      <c r="C785" s="10">
        <f>IFERROR(__xludf.DUMMYFUNCTION("""COMPUTED_VALUE"""),41889.0)</f>
        <v>41889</v>
      </c>
      <c r="D785" s="5">
        <f>IFERROR(__xludf.DUMMYFUNCTION("""COMPUTED_VALUE"""),0.3997441720834312)</f>
        <v>0.3997441721</v>
      </c>
      <c r="E785" s="5">
        <f>IFERROR(__xludf.DUMMYFUNCTION("""COMPUTED_VALUE"""),0.14344636750463363)</f>
        <v>0.1434463675</v>
      </c>
      <c r="F785" s="5">
        <f>IFERROR(__xludf.DUMMYFUNCTION("""COMPUTED_VALUE"""),0.22538961547497846)</f>
        <v>0.2253896155</v>
      </c>
      <c r="G785" s="5">
        <f>IFERROR(__xludf.DUMMYFUNCTION("""COMPUTED_VALUE"""),0.16683634844806433)</f>
        <v>0.1668363484</v>
      </c>
      <c r="H785" s="5">
        <f>IFERROR(__xludf.DUMMYFUNCTION("""COMPUTED_VALUE"""),0.5994903868427148)</f>
        <v>0.5994903868</v>
      </c>
      <c r="I785" s="11">
        <f>IFERROR(__xludf.DUMMYFUNCTION("""COMPUTED_VALUE"""),5639.101227704425)</f>
        <v>5639.101228</v>
      </c>
      <c r="J785" s="10">
        <f>IFERROR(__xludf.DUMMYFUNCTION("""COMPUTED_VALUE"""),6.0)</f>
        <v>6</v>
      </c>
      <c r="K785" s="5">
        <f>IFERROR(__xludf.DUMMYFUNCTION("""COMPUTED_VALUE"""),0.0016750418760469012)</f>
        <v>0.001675041876</v>
      </c>
      <c r="L785" s="10">
        <f>IFERROR(__xludf.DUMMYFUNCTION("""COMPUTED_VALUE"""),3582.0)</f>
        <v>3582</v>
      </c>
      <c r="M785" s="5">
        <f>IFERROR(__xludf.DUMMYFUNCTION("""COMPUTED_VALUE"""),1.0)</f>
        <v>1</v>
      </c>
    </row>
    <row r="786">
      <c r="A786" s="10" t="str">
        <f>IFERROR(__xludf.DUMMYFUNCTION("""COMPUTED_VALUE"""),"ｔak@三日月")</f>
        <v>ｔak@三日月</v>
      </c>
      <c r="B786" s="10">
        <f>IFERROR(__xludf.DUMMYFUNCTION("""COMPUTED_VALUE"""),1969.0)</f>
        <v>1969</v>
      </c>
      <c r="C786" s="10">
        <f>IFERROR(__xludf.DUMMYFUNCTION("""COMPUTED_VALUE"""),22982.0)</f>
        <v>22982</v>
      </c>
      <c r="D786" s="5">
        <f>IFERROR(__xludf.DUMMYFUNCTION("""COMPUTED_VALUE"""),0.4018940655784514)</f>
        <v>0.4018940656</v>
      </c>
      <c r="E786" s="5">
        <f>IFERROR(__xludf.DUMMYFUNCTION("""COMPUTED_VALUE"""),0.14343501641840764)</f>
        <v>0.1434350164</v>
      </c>
      <c r="F786" s="5">
        <f>IFERROR(__xludf.DUMMYFUNCTION("""COMPUTED_VALUE"""),0.21643744348736496)</f>
        <v>0.2164374435</v>
      </c>
      <c r="G786" s="5">
        <f>IFERROR(__xludf.DUMMYFUNCTION("""COMPUTED_VALUE"""),0.1552848236805787)</f>
        <v>0.1552848237</v>
      </c>
      <c r="H786" s="5">
        <f>IFERROR(__xludf.DUMMYFUNCTION("""COMPUTED_VALUE"""),0.6141160949868074)</f>
        <v>0.614116095</v>
      </c>
      <c r="I786" s="11">
        <f>IFERROR(__xludf.DUMMYFUNCTION("""COMPUTED_VALUE"""),5734.146877748461)</f>
        <v>5734.146878</v>
      </c>
      <c r="J786" s="10">
        <f>IFERROR(__xludf.DUMMYFUNCTION("""COMPUTED_VALUE"""),3.0)</f>
        <v>3</v>
      </c>
      <c r="K786" s="5">
        <f>IFERROR(__xludf.DUMMYFUNCTION("""COMPUTED_VALUE"""),0.0015236160487557136)</f>
        <v>0.001523616049</v>
      </c>
      <c r="L786" s="10">
        <f>IFERROR(__xludf.DUMMYFUNCTION("""COMPUTED_VALUE"""),454.0)</f>
        <v>454</v>
      </c>
      <c r="M786" s="5">
        <f>IFERROR(__xludf.DUMMYFUNCTION("""COMPUTED_VALUE"""),0.23057389537836465)</f>
        <v>0.2305738954</v>
      </c>
    </row>
    <row r="787">
      <c r="A787" s="10" t="str">
        <f>IFERROR(__xludf.DUMMYFUNCTION("""COMPUTED_VALUE"""),"ミランガル")</f>
        <v>ミランガル</v>
      </c>
      <c r="B787" s="10">
        <f>IFERROR(__xludf.DUMMYFUNCTION("""COMPUTED_VALUE"""),242.0)</f>
        <v>242</v>
      </c>
      <c r="C787" s="10">
        <f>IFERROR(__xludf.DUMMYFUNCTION("""COMPUTED_VALUE"""),2794.0)</f>
        <v>2794</v>
      </c>
      <c r="D787" s="5">
        <f>IFERROR(__xludf.DUMMYFUNCTION("""COMPUTED_VALUE"""),0.3397335423197492)</f>
        <v>0.3397335423</v>
      </c>
      <c r="E787" s="5">
        <f>IFERROR(__xludf.DUMMYFUNCTION("""COMPUTED_VALUE"""),0.14341692789968652)</f>
        <v>0.1434169279</v>
      </c>
      <c r="F787" s="5">
        <f>IFERROR(__xludf.DUMMYFUNCTION("""COMPUTED_VALUE"""),0.20924764890282133)</f>
        <v>0.2092476489</v>
      </c>
      <c r="G787" s="5">
        <f>IFERROR(__xludf.DUMMYFUNCTION("""COMPUTED_VALUE"""),0.17633228840125392)</f>
        <v>0.1763322884</v>
      </c>
      <c r="H787" s="5">
        <f>IFERROR(__xludf.DUMMYFUNCTION("""COMPUTED_VALUE"""),0.602996254681648)</f>
        <v>0.6029962547</v>
      </c>
      <c r="I787" s="11">
        <f>IFERROR(__xludf.DUMMYFUNCTION("""COMPUTED_VALUE"""),5832.0224719101125)</f>
        <v>5832.022472</v>
      </c>
      <c r="J787" s="10">
        <f>IFERROR(__xludf.DUMMYFUNCTION("""COMPUTED_VALUE"""),0.0)</f>
        <v>0</v>
      </c>
      <c r="K787" s="5">
        <f>IFERROR(__xludf.DUMMYFUNCTION("""COMPUTED_VALUE"""),0.0)</f>
        <v>0</v>
      </c>
      <c r="L787" s="10">
        <f>IFERROR(__xludf.DUMMYFUNCTION("""COMPUTED_VALUE"""),242.0)</f>
        <v>242</v>
      </c>
      <c r="M787" s="5">
        <f>IFERROR(__xludf.DUMMYFUNCTION("""COMPUTED_VALUE"""),1.0)</f>
        <v>1</v>
      </c>
    </row>
    <row r="788">
      <c r="A788" s="10" t="str">
        <f>IFERROR(__xludf.DUMMYFUNCTION("""COMPUTED_VALUE"""),"沈黙のオナニスト")</f>
        <v>沈黙のオナニスト</v>
      </c>
      <c r="B788" s="10">
        <f>IFERROR(__xludf.DUMMYFUNCTION("""COMPUTED_VALUE"""),177.0)</f>
        <v>177</v>
      </c>
      <c r="C788" s="10">
        <f>IFERROR(__xludf.DUMMYFUNCTION("""COMPUTED_VALUE"""),2025.0)</f>
        <v>2025</v>
      </c>
      <c r="D788" s="5">
        <f>IFERROR(__xludf.DUMMYFUNCTION("""COMPUTED_VALUE"""),0.4015151515151515)</f>
        <v>0.4015151515</v>
      </c>
      <c r="E788" s="5">
        <f>IFERROR(__xludf.DUMMYFUNCTION("""COMPUTED_VALUE"""),0.14339826839826839)</f>
        <v>0.1433982684</v>
      </c>
      <c r="F788" s="5">
        <f>IFERROR(__xludf.DUMMYFUNCTION("""COMPUTED_VALUE"""),0.22077922077922077)</f>
        <v>0.2207792208</v>
      </c>
      <c r="G788" s="5">
        <f>IFERROR(__xludf.DUMMYFUNCTION("""COMPUTED_VALUE"""),0.17694805194805194)</f>
        <v>0.1769480519</v>
      </c>
      <c r="H788" s="5">
        <f>IFERROR(__xludf.DUMMYFUNCTION("""COMPUTED_VALUE"""),0.5931372549019608)</f>
        <v>0.5931372549</v>
      </c>
      <c r="I788" s="11">
        <f>IFERROR(__xludf.DUMMYFUNCTION("""COMPUTED_VALUE"""),5571.323529411765)</f>
        <v>5571.323529</v>
      </c>
      <c r="J788" s="10">
        <f>IFERROR(__xludf.DUMMYFUNCTION("""COMPUTED_VALUE"""),2.0)</f>
        <v>2</v>
      </c>
      <c r="K788" s="5">
        <f>IFERROR(__xludf.DUMMYFUNCTION("""COMPUTED_VALUE"""),0.011299435028248588)</f>
        <v>0.01129943503</v>
      </c>
      <c r="L788" s="10">
        <f>IFERROR(__xludf.DUMMYFUNCTION("""COMPUTED_VALUE"""),177.0)</f>
        <v>177</v>
      </c>
      <c r="M788" s="5">
        <f>IFERROR(__xludf.DUMMYFUNCTION("""COMPUTED_VALUE"""),1.0)</f>
        <v>1</v>
      </c>
    </row>
    <row r="789">
      <c r="A789" s="10" t="str">
        <f>IFERROR(__xludf.DUMMYFUNCTION("""COMPUTED_VALUE"""),"ぽんぽんまるZ")</f>
        <v>ぽんぽんまるZ</v>
      </c>
      <c r="B789" s="10">
        <f>IFERROR(__xludf.DUMMYFUNCTION("""COMPUTED_VALUE"""),774.0)</f>
        <v>774</v>
      </c>
      <c r="C789" s="10">
        <f>IFERROR(__xludf.DUMMYFUNCTION("""COMPUTED_VALUE"""),8969.0)</f>
        <v>8969</v>
      </c>
      <c r="D789" s="5">
        <f>IFERROR(__xludf.DUMMYFUNCTION("""COMPUTED_VALUE"""),0.32019524100061014)</f>
        <v>0.320195241</v>
      </c>
      <c r="E789" s="5">
        <f>IFERROR(__xludf.DUMMYFUNCTION("""COMPUTED_VALUE"""),0.14338010982306285)</f>
        <v>0.1433801098</v>
      </c>
      <c r="F789" s="5">
        <f>IFERROR(__xludf.DUMMYFUNCTION("""COMPUTED_VALUE"""),0.22696766320927395)</f>
        <v>0.2269676632</v>
      </c>
      <c r="G789" s="5">
        <f>IFERROR(__xludf.DUMMYFUNCTION("""COMPUTED_VALUE"""),0.20061012812690665)</f>
        <v>0.2006101281</v>
      </c>
      <c r="H789" s="5">
        <f>IFERROR(__xludf.DUMMYFUNCTION("""COMPUTED_VALUE"""),0.603225806451613)</f>
        <v>0.6032258065</v>
      </c>
      <c r="I789" s="11">
        <f>IFERROR(__xludf.DUMMYFUNCTION("""COMPUTED_VALUE"""),5648.709677419355)</f>
        <v>5648.709677</v>
      </c>
      <c r="J789" s="10">
        <f>IFERROR(__xludf.DUMMYFUNCTION("""COMPUTED_VALUE"""),0.0)</f>
        <v>0</v>
      </c>
      <c r="K789" s="5">
        <f>IFERROR(__xludf.DUMMYFUNCTION("""COMPUTED_VALUE"""),0.0)</f>
        <v>0</v>
      </c>
      <c r="L789" s="10">
        <f>IFERROR(__xludf.DUMMYFUNCTION("""COMPUTED_VALUE"""),774.0)</f>
        <v>774</v>
      </c>
      <c r="M789" s="5">
        <f>IFERROR(__xludf.DUMMYFUNCTION("""COMPUTED_VALUE"""),1.0)</f>
        <v>1</v>
      </c>
    </row>
    <row r="790">
      <c r="A790" s="10" t="str">
        <f>IFERROR(__xludf.DUMMYFUNCTION("""COMPUTED_VALUE"""),"ロマネスク")</f>
        <v>ロマネスク</v>
      </c>
      <c r="B790" s="10">
        <f>IFERROR(__xludf.DUMMYFUNCTION("""COMPUTED_VALUE"""),806.0)</f>
        <v>806</v>
      </c>
      <c r="C790" s="10">
        <f>IFERROR(__xludf.DUMMYFUNCTION("""COMPUTED_VALUE"""),9413.0)</f>
        <v>9413</v>
      </c>
      <c r="D790" s="5">
        <f>IFERROR(__xludf.DUMMYFUNCTION("""COMPUTED_VALUE"""),0.42430579760659926)</f>
        <v>0.4243057976</v>
      </c>
      <c r="E790" s="5">
        <f>IFERROR(__xludf.DUMMYFUNCTION("""COMPUTED_VALUE"""),0.14337167421865923)</f>
        <v>0.1433716742</v>
      </c>
      <c r="F790" s="5">
        <f>IFERROR(__xludf.DUMMYFUNCTION("""COMPUTED_VALUE"""),0.2231904263971186)</f>
        <v>0.2231904264</v>
      </c>
      <c r="G790" s="5">
        <f>IFERROR(__xludf.DUMMYFUNCTION("""COMPUTED_VALUE"""),0.1840362495643081)</f>
        <v>0.1840362496</v>
      </c>
      <c r="H790" s="5">
        <f>IFERROR(__xludf.DUMMYFUNCTION("""COMPUTED_VALUE"""),0.6080166579906299)</f>
        <v>0.608016658</v>
      </c>
      <c r="I790" s="11">
        <f>IFERROR(__xludf.DUMMYFUNCTION("""COMPUTED_VALUE"""),5326.28839146278)</f>
        <v>5326.288391</v>
      </c>
      <c r="J790" s="10">
        <f>IFERROR(__xludf.DUMMYFUNCTION("""COMPUTED_VALUE"""),5.0)</f>
        <v>5</v>
      </c>
      <c r="K790" s="5">
        <f>IFERROR(__xludf.DUMMYFUNCTION("""COMPUTED_VALUE"""),0.00620347394540943)</f>
        <v>0.006203473945</v>
      </c>
      <c r="L790" s="10">
        <f>IFERROR(__xludf.DUMMYFUNCTION("""COMPUTED_VALUE"""),806.0)</f>
        <v>806</v>
      </c>
      <c r="M790" s="5">
        <f>IFERROR(__xludf.DUMMYFUNCTION("""COMPUTED_VALUE"""),1.0)</f>
        <v>1</v>
      </c>
    </row>
    <row r="791">
      <c r="A791" s="10" t="str">
        <f>IFERROR(__xludf.DUMMYFUNCTION("""COMPUTED_VALUE"""),"山本勘助")</f>
        <v>山本勘助</v>
      </c>
      <c r="B791" s="10">
        <f>IFERROR(__xludf.DUMMYFUNCTION("""COMPUTED_VALUE"""),235.0)</f>
        <v>235</v>
      </c>
      <c r="C791" s="10">
        <f>IFERROR(__xludf.DUMMYFUNCTION("""COMPUTED_VALUE"""),2746.0)</f>
        <v>2746</v>
      </c>
      <c r="D791" s="5">
        <f>IFERROR(__xludf.DUMMYFUNCTION("""COMPUTED_VALUE"""),0.27797690163281563)</f>
        <v>0.2779769016</v>
      </c>
      <c r="E791" s="5">
        <f>IFERROR(__xludf.DUMMYFUNCTION("""COMPUTED_VALUE"""),0.14336917562724014)</f>
        <v>0.1433691756</v>
      </c>
      <c r="F791" s="5">
        <f>IFERROR(__xludf.DUMMYFUNCTION("""COMPUTED_VALUE"""),0.20987654320987653)</f>
        <v>0.2098765432</v>
      </c>
      <c r="G791" s="5">
        <f>IFERROR(__xludf.DUMMYFUNCTION("""COMPUTED_VALUE"""),0.16885702907208283)</f>
        <v>0.1688570291</v>
      </c>
      <c r="H791" s="5">
        <f>IFERROR(__xludf.DUMMYFUNCTION("""COMPUTED_VALUE"""),0.5996204933586338)</f>
        <v>0.5996204934</v>
      </c>
      <c r="I791" s="11">
        <f>IFERROR(__xludf.DUMMYFUNCTION("""COMPUTED_VALUE"""),5912.903225806452)</f>
        <v>5912.903226</v>
      </c>
      <c r="J791" s="10">
        <f>IFERROR(__xludf.DUMMYFUNCTION("""COMPUTED_VALUE"""),0.0)</f>
        <v>0</v>
      </c>
      <c r="K791" s="5">
        <f>IFERROR(__xludf.DUMMYFUNCTION("""COMPUTED_VALUE"""),0.0)</f>
        <v>0</v>
      </c>
      <c r="L791" s="10">
        <f>IFERROR(__xludf.DUMMYFUNCTION("""COMPUTED_VALUE"""),228.0)</f>
        <v>228</v>
      </c>
      <c r="M791" s="5">
        <f>IFERROR(__xludf.DUMMYFUNCTION("""COMPUTED_VALUE"""),0.9702127659574468)</f>
        <v>0.970212766</v>
      </c>
    </row>
    <row r="792">
      <c r="A792" s="10" t="str">
        <f>IFERROR(__xludf.DUMMYFUNCTION("""COMPUTED_VALUE"""),"yukipin")</f>
        <v>yukipin</v>
      </c>
      <c r="B792" s="10">
        <f>IFERROR(__xludf.DUMMYFUNCTION("""COMPUTED_VALUE"""),143.0)</f>
        <v>143</v>
      </c>
      <c r="C792" s="10">
        <f>IFERROR(__xludf.DUMMYFUNCTION("""COMPUTED_VALUE"""),1657.0)</f>
        <v>1657</v>
      </c>
      <c r="D792" s="5">
        <f>IFERROR(__xludf.DUMMYFUNCTION("""COMPUTED_VALUE"""),0.18692206076618229)</f>
        <v>0.1869220608</v>
      </c>
      <c r="E792" s="5">
        <f>IFERROR(__xludf.DUMMYFUNCTION("""COMPUTED_VALUE"""),0.14332892998678995)</f>
        <v>0.14332893</v>
      </c>
      <c r="F792" s="5">
        <f>IFERROR(__xludf.DUMMYFUNCTION("""COMPUTED_VALUE"""),0.19418758256274768)</f>
        <v>0.1941875826</v>
      </c>
      <c r="G792" s="5">
        <f>IFERROR(__xludf.DUMMYFUNCTION("""COMPUTED_VALUE"""),0.2331571994715984)</f>
        <v>0.2331571995</v>
      </c>
      <c r="H792" s="5">
        <f>IFERROR(__xludf.DUMMYFUNCTION("""COMPUTED_VALUE"""),0.5918367346938775)</f>
        <v>0.5918367347</v>
      </c>
      <c r="I792" s="11">
        <f>IFERROR(__xludf.DUMMYFUNCTION("""COMPUTED_VALUE"""),6294.557823129252)</f>
        <v>6294.557823</v>
      </c>
      <c r="J792" s="10">
        <f>IFERROR(__xludf.DUMMYFUNCTION("""COMPUTED_VALUE"""),0.0)</f>
        <v>0</v>
      </c>
      <c r="K792" s="5">
        <f>IFERROR(__xludf.DUMMYFUNCTION("""COMPUTED_VALUE"""),0.0)</f>
        <v>0</v>
      </c>
      <c r="L792" s="10">
        <f>IFERROR(__xludf.DUMMYFUNCTION("""COMPUTED_VALUE"""),143.0)</f>
        <v>143</v>
      </c>
      <c r="M792" s="5">
        <f>IFERROR(__xludf.DUMMYFUNCTION("""COMPUTED_VALUE"""),1.0)</f>
        <v>1</v>
      </c>
    </row>
    <row r="793">
      <c r="A793" s="10" t="str">
        <f>IFERROR(__xludf.DUMMYFUNCTION("""COMPUTED_VALUE"""),"はやぶさ")</f>
        <v>はやぶさ</v>
      </c>
      <c r="B793" s="10">
        <f>IFERROR(__xludf.DUMMYFUNCTION("""COMPUTED_VALUE"""),631.0)</f>
        <v>631</v>
      </c>
      <c r="C793" s="10">
        <f>IFERROR(__xludf.DUMMYFUNCTION("""COMPUTED_VALUE"""),7294.0)</f>
        <v>7294</v>
      </c>
      <c r="D793" s="5">
        <f>IFERROR(__xludf.DUMMYFUNCTION("""COMPUTED_VALUE"""),0.3595977787783281)</f>
        <v>0.3595977788</v>
      </c>
      <c r="E793" s="5">
        <f>IFERROR(__xludf.DUMMYFUNCTION("""COMPUTED_VALUE"""),0.14332883085697135)</f>
        <v>0.1433288309</v>
      </c>
      <c r="F793" s="5">
        <f>IFERROR(__xludf.DUMMYFUNCTION("""COMPUTED_VALUE"""),0.2134173795587573)</f>
        <v>0.2134173796</v>
      </c>
      <c r="G793" s="5">
        <f>IFERROR(__xludf.DUMMYFUNCTION("""COMPUTED_VALUE"""),0.20816449046975838)</f>
        <v>0.2081644905</v>
      </c>
      <c r="H793" s="5">
        <f>IFERROR(__xludf.DUMMYFUNCTION("""COMPUTED_VALUE"""),0.570323488045007)</f>
        <v>0.570323488</v>
      </c>
      <c r="I793" s="11">
        <f>IFERROR(__xludf.DUMMYFUNCTION("""COMPUTED_VALUE"""),6108.016877637131)</f>
        <v>6108.016878</v>
      </c>
      <c r="J793" s="10">
        <f>IFERROR(__xludf.DUMMYFUNCTION("""COMPUTED_VALUE"""),1.0)</f>
        <v>1</v>
      </c>
      <c r="K793" s="5">
        <f>IFERROR(__xludf.DUMMYFUNCTION("""COMPUTED_VALUE"""),0.001584786053882726)</f>
        <v>0.001584786054</v>
      </c>
      <c r="L793" s="10">
        <f>IFERROR(__xludf.DUMMYFUNCTION("""COMPUTED_VALUE"""),631.0)</f>
        <v>631</v>
      </c>
      <c r="M793" s="5">
        <f>IFERROR(__xludf.DUMMYFUNCTION("""COMPUTED_VALUE"""),1.0)</f>
        <v>1</v>
      </c>
    </row>
    <row r="794">
      <c r="A794" s="10" t="str">
        <f>IFERROR(__xludf.DUMMYFUNCTION("""COMPUTED_VALUE"""),"おじさそ")</f>
        <v>おじさそ</v>
      </c>
      <c r="B794" s="10">
        <f>IFERROR(__xludf.DUMMYFUNCTION("""COMPUTED_VALUE"""),387.0)</f>
        <v>387</v>
      </c>
      <c r="C794" s="10">
        <f>IFERROR(__xludf.DUMMYFUNCTION("""COMPUTED_VALUE"""),4518.0)</f>
        <v>4518</v>
      </c>
      <c r="D794" s="5">
        <f>IFERROR(__xludf.DUMMYFUNCTION("""COMPUTED_VALUE"""),0.3207455821834907)</f>
        <v>0.3207455822</v>
      </c>
      <c r="E794" s="5">
        <f>IFERROR(__xludf.DUMMYFUNCTION("""COMPUTED_VALUE"""),0.14330670539820867)</f>
        <v>0.1433067054</v>
      </c>
      <c r="F794" s="5">
        <f>IFERROR(__xludf.DUMMYFUNCTION("""COMPUTED_VALUE"""),0.2009198741224885)</f>
        <v>0.2009198741</v>
      </c>
      <c r="G794" s="5">
        <f>IFERROR(__xludf.DUMMYFUNCTION("""COMPUTED_VALUE"""),0.1718712176228516)</f>
        <v>0.1718712176</v>
      </c>
      <c r="H794" s="5">
        <f>IFERROR(__xludf.DUMMYFUNCTION("""COMPUTED_VALUE"""),0.6)</f>
        <v>0.6</v>
      </c>
      <c r="I794" s="11">
        <f>IFERROR(__xludf.DUMMYFUNCTION("""COMPUTED_VALUE"""),5852.650602409639)</f>
        <v>5852.650602</v>
      </c>
      <c r="J794" s="10">
        <f>IFERROR(__xludf.DUMMYFUNCTION("""COMPUTED_VALUE"""),0.0)</f>
        <v>0</v>
      </c>
      <c r="K794" s="5">
        <f>IFERROR(__xludf.DUMMYFUNCTION("""COMPUTED_VALUE"""),0.0)</f>
        <v>0</v>
      </c>
      <c r="L794" s="10">
        <f>IFERROR(__xludf.DUMMYFUNCTION("""COMPUTED_VALUE"""),387.0)</f>
        <v>387</v>
      </c>
      <c r="M794" s="5">
        <f>IFERROR(__xludf.DUMMYFUNCTION("""COMPUTED_VALUE"""),1.0)</f>
        <v>1</v>
      </c>
    </row>
    <row r="795">
      <c r="A795" s="10" t="str">
        <f>IFERROR(__xludf.DUMMYFUNCTION("""COMPUTED_VALUE"""),"土御門傑")</f>
        <v>土御門傑</v>
      </c>
      <c r="B795" s="10">
        <f>IFERROR(__xludf.DUMMYFUNCTION("""COMPUTED_VALUE"""),342.0)</f>
        <v>342</v>
      </c>
      <c r="C795" s="10">
        <f>IFERROR(__xludf.DUMMYFUNCTION("""COMPUTED_VALUE"""),3894.0)</f>
        <v>3894</v>
      </c>
      <c r="D795" s="5">
        <f>IFERROR(__xludf.DUMMYFUNCTION("""COMPUTED_VALUE"""),0.3935810810810811)</f>
        <v>0.3935810811</v>
      </c>
      <c r="E795" s="5">
        <f>IFERROR(__xludf.DUMMYFUNCTION("""COMPUTED_VALUE"""),0.14329954954954954)</f>
        <v>0.1432995495</v>
      </c>
      <c r="F795" s="5">
        <f>IFERROR(__xludf.DUMMYFUNCTION("""COMPUTED_VALUE"""),0.21509009009009009)</f>
        <v>0.2150900901</v>
      </c>
      <c r="G795" s="5">
        <f>IFERROR(__xludf.DUMMYFUNCTION("""COMPUTED_VALUE"""),0.17708333333333334)</f>
        <v>0.1770833333</v>
      </c>
      <c r="H795" s="5">
        <f>IFERROR(__xludf.DUMMYFUNCTION("""COMPUTED_VALUE"""),0.5942408376963351)</f>
        <v>0.5942408377</v>
      </c>
      <c r="I795" s="11">
        <f>IFERROR(__xludf.DUMMYFUNCTION("""COMPUTED_VALUE"""),5789.528795811519)</f>
        <v>5789.528796</v>
      </c>
      <c r="J795" s="10">
        <f>IFERROR(__xludf.DUMMYFUNCTION("""COMPUTED_VALUE"""),0.0)</f>
        <v>0</v>
      </c>
      <c r="K795" s="5">
        <f>IFERROR(__xludf.DUMMYFUNCTION("""COMPUTED_VALUE"""),0.0)</f>
        <v>0</v>
      </c>
      <c r="L795" s="10">
        <f>IFERROR(__xludf.DUMMYFUNCTION("""COMPUTED_VALUE"""),342.0)</f>
        <v>342</v>
      </c>
      <c r="M795" s="5">
        <f>IFERROR(__xludf.DUMMYFUNCTION("""COMPUTED_VALUE"""),1.0)</f>
        <v>1</v>
      </c>
    </row>
    <row r="796">
      <c r="A796" s="10" t="str">
        <f>IFERROR(__xludf.DUMMYFUNCTION("""COMPUTED_VALUE"""),"Takeru")</f>
        <v>Takeru</v>
      </c>
      <c r="B796" s="10">
        <f>IFERROR(__xludf.DUMMYFUNCTION("""COMPUTED_VALUE"""),213.0)</f>
        <v>213</v>
      </c>
      <c r="C796" s="10">
        <f>IFERROR(__xludf.DUMMYFUNCTION("""COMPUTED_VALUE"""),2481.0)</f>
        <v>2481</v>
      </c>
      <c r="D796" s="5">
        <f>IFERROR(__xludf.DUMMYFUNCTION("""COMPUTED_VALUE"""),0.41005291005291006)</f>
        <v>0.4100529101</v>
      </c>
      <c r="E796" s="5">
        <f>IFERROR(__xludf.DUMMYFUNCTION("""COMPUTED_VALUE"""),0.14329805996472664)</f>
        <v>0.14329806</v>
      </c>
      <c r="F796" s="5">
        <f>IFERROR(__xludf.DUMMYFUNCTION("""COMPUTED_VALUE"""),0.20634920634920634)</f>
        <v>0.2063492063</v>
      </c>
      <c r="G796" s="5">
        <f>IFERROR(__xludf.DUMMYFUNCTION("""COMPUTED_VALUE"""),0.1900352733686067)</f>
        <v>0.1900352734</v>
      </c>
      <c r="H796" s="5">
        <f>IFERROR(__xludf.DUMMYFUNCTION("""COMPUTED_VALUE"""),0.6025641025641025)</f>
        <v>0.6025641026</v>
      </c>
      <c r="I796" s="11">
        <f>IFERROR(__xludf.DUMMYFUNCTION("""COMPUTED_VALUE"""),5687.820512820513)</f>
        <v>5687.820513</v>
      </c>
      <c r="J796" s="10">
        <f>IFERROR(__xludf.DUMMYFUNCTION("""COMPUTED_VALUE"""),0.0)</f>
        <v>0</v>
      </c>
      <c r="K796" s="5">
        <f>IFERROR(__xludf.DUMMYFUNCTION("""COMPUTED_VALUE"""),0.0)</f>
        <v>0</v>
      </c>
      <c r="L796" s="10">
        <f>IFERROR(__xludf.DUMMYFUNCTION("""COMPUTED_VALUE"""),210.0)</f>
        <v>210</v>
      </c>
      <c r="M796" s="5">
        <f>IFERROR(__xludf.DUMMYFUNCTION("""COMPUTED_VALUE"""),0.9859154929577465)</f>
        <v>0.985915493</v>
      </c>
    </row>
    <row r="797">
      <c r="A797" s="10" t="str">
        <f>IFERROR(__xludf.DUMMYFUNCTION("""COMPUTED_VALUE"""),"ぐそー")</f>
        <v>ぐそー</v>
      </c>
      <c r="B797" s="10">
        <f>IFERROR(__xludf.DUMMYFUNCTION("""COMPUTED_VALUE"""),222.0)</f>
        <v>222</v>
      </c>
      <c r="C797" s="10">
        <f>IFERROR(__xludf.DUMMYFUNCTION("""COMPUTED_VALUE"""),2595.0)</f>
        <v>2595</v>
      </c>
      <c r="D797" s="5">
        <f>IFERROR(__xludf.DUMMYFUNCTION("""COMPUTED_VALUE"""),0.3994943109987358)</f>
        <v>0.399494311</v>
      </c>
      <c r="E797" s="5">
        <f>IFERROR(__xludf.DUMMYFUNCTION("""COMPUTED_VALUE"""),0.14327855035819637)</f>
        <v>0.1432785504</v>
      </c>
      <c r="F797" s="5">
        <f>IFERROR(__xludf.DUMMYFUNCTION("""COMPUTED_VALUE"""),0.22418879056047197)</f>
        <v>0.2241887906</v>
      </c>
      <c r="G797" s="5">
        <f>IFERROR(__xludf.DUMMYFUNCTION("""COMPUTED_VALUE"""),0.15844922039612305)</f>
        <v>0.1584492204</v>
      </c>
      <c r="H797" s="5">
        <f>IFERROR(__xludf.DUMMYFUNCTION("""COMPUTED_VALUE"""),0.6090225563909775)</f>
        <v>0.6090225564</v>
      </c>
      <c r="I797" s="11">
        <f>IFERROR(__xludf.DUMMYFUNCTION("""COMPUTED_VALUE"""),5422.932330827068)</f>
        <v>5422.932331</v>
      </c>
      <c r="J797" s="10">
        <f>IFERROR(__xludf.DUMMYFUNCTION("""COMPUTED_VALUE"""),1.0)</f>
        <v>1</v>
      </c>
      <c r="K797" s="5">
        <f>IFERROR(__xludf.DUMMYFUNCTION("""COMPUTED_VALUE"""),0.0045045045045045045)</f>
        <v>0.004504504505</v>
      </c>
      <c r="L797" s="10">
        <f>IFERROR(__xludf.DUMMYFUNCTION("""COMPUTED_VALUE"""),222.0)</f>
        <v>222</v>
      </c>
      <c r="M797" s="5">
        <f>IFERROR(__xludf.DUMMYFUNCTION("""COMPUTED_VALUE"""),1.0)</f>
        <v>1</v>
      </c>
    </row>
    <row r="798">
      <c r="A798" s="10" t="str">
        <f>IFERROR(__xludf.DUMMYFUNCTION("""COMPUTED_VALUE"""),"(;・∀・)")</f>
        <v>(;・∀・)</v>
      </c>
      <c r="B798" s="10">
        <f>IFERROR(__xludf.DUMMYFUNCTION("""COMPUTED_VALUE"""),335.0)</f>
        <v>335</v>
      </c>
      <c r="C798" s="10">
        <f>IFERROR(__xludf.DUMMYFUNCTION("""COMPUTED_VALUE"""),3776.0)</f>
        <v>3776</v>
      </c>
      <c r="D798" s="5">
        <f>IFERROR(__xludf.DUMMYFUNCTION("""COMPUTED_VALUE"""),0.3295553618134263)</f>
        <v>0.3295553618</v>
      </c>
      <c r="E798" s="5">
        <f>IFERROR(__xludf.DUMMYFUNCTION("""COMPUTED_VALUE"""),0.14327230456262716)</f>
        <v>0.1432723046</v>
      </c>
      <c r="F798" s="5">
        <f>IFERROR(__xludf.DUMMYFUNCTION("""COMPUTED_VALUE"""),0.22784074396977622)</f>
        <v>0.227840744</v>
      </c>
      <c r="G798" s="5">
        <f>IFERROR(__xludf.DUMMYFUNCTION("""COMPUTED_VALUE"""),0.2106945655332752)</f>
        <v>0.2106945655</v>
      </c>
      <c r="H798" s="5">
        <f>IFERROR(__xludf.DUMMYFUNCTION("""COMPUTED_VALUE"""),0.5637755102040817)</f>
        <v>0.5637755102</v>
      </c>
      <c r="I798" s="11">
        <f>IFERROR(__xludf.DUMMYFUNCTION("""COMPUTED_VALUE"""),5905.357142857143)</f>
        <v>5905.357143</v>
      </c>
      <c r="J798" s="10">
        <f>IFERROR(__xludf.DUMMYFUNCTION("""COMPUTED_VALUE"""),1.0)</f>
        <v>1</v>
      </c>
      <c r="K798" s="5">
        <f>IFERROR(__xludf.DUMMYFUNCTION("""COMPUTED_VALUE"""),0.0029850746268656717)</f>
        <v>0.002985074627</v>
      </c>
      <c r="L798" s="10">
        <f>IFERROR(__xludf.DUMMYFUNCTION("""COMPUTED_VALUE"""),335.0)</f>
        <v>335</v>
      </c>
      <c r="M798" s="5">
        <f>IFERROR(__xludf.DUMMYFUNCTION("""COMPUTED_VALUE"""),1.0)</f>
        <v>1</v>
      </c>
    </row>
    <row r="799">
      <c r="A799" s="10" t="str">
        <f>IFERROR(__xludf.DUMMYFUNCTION("""COMPUTED_VALUE"""),"ゴールデンひよこ")</f>
        <v>ゴールデンひよこ</v>
      </c>
      <c r="B799" s="10">
        <f>IFERROR(__xludf.DUMMYFUNCTION("""COMPUTED_VALUE"""),877.0)</f>
        <v>877</v>
      </c>
      <c r="C799" s="10">
        <f>IFERROR(__xludf.DUMMYFUNCTION("""COMPUTED_VALUE"""),10244.0)</f>
        <v>10244</v>
      </c>
      <c r="D799" s="5">
        <f>IFERROR(__xludf.DUMMYFUNCTION("""COMPUTED_VALUE"""),0.4480623465357105)</f>
        <v>0.4480623465</v>
      </c>
      <c r="E799" s="5">
        <f>IFERROR(__xludf.DUMMYFUNCTION("""COMPUTED_VALUE"""),0.14326892281413472)</f>
        <v>0.1432689228</v>
      </c>
      <c r="F799" s="5">
        <f>IFERROR(__xludf.DUMMYFUNCTION("""COMPUTED_VALUE"""),0.22664673855022954)</f>
        <v>0.2266467386</v>
      </c>
      <c r="G799" s="5">
        <f>IFERROR(__xludf.DUMMYFUNCTION("""COMPUTED_VALUE"""),0.14059997864844667)</f>
        <v>0.1405999786</v>
      </c>
      <c r="H799" s="5">
        <f>IFERROR(__xludf.DUMMYFUNCTION("""COMPUTED_VALUE"""),0.616580310880829)</f>
        <v>0.6165803109</v>
      </c>
      <c r="I799" s="11">
        <f>IFERROR(__xludf.DUMMYFUNCTION("""COMPUTED_VALUE"""),5177.626000942063)</f>
        <v>5177.626001</v>
      </c>
      <c r="J799" s="10">
        <f>IFERROR(__xludf.DUMMYFUNCTION("""COMPUTED_VALUE"""),0.0)</f>
        <v>0</v>
      </c>
      <c r="K799" s="5">
        <f>IFERROR(__xludf.DUMMYFUNCTION("""COMPUTED_VALUE"""),0.0)</f>
        <v>0</v>
      </c>
      <c r="L799" s="10">
        <f>IFERROR(__xludf.DUMMYFUNCTION("""COMPUTED_VALUE"""),877.0)</f>
        <v>877</v>
      </c>
      <c r="M799" s="5">
        <f>IFERROR(__xludf.DUMMYFUNCTION("""COMPUTED_VALUE"""),1.0)</f>
        <v>1</v>
      </c>
    </row>
    <row r="800">
      <c r="A800" s="10" t="str">
        <f>IFERROR(__xludf.DUMMYFUNCTION("""COMPUTED_VALUE"""),"ララポポエム")</f>
        <v>ララポポエム</v>
      </c>
      <c r="B800" s="10">
        <f>IFERROR(__xludf.DUMMYFUNCTION("""COMPUTED_VALUE"""),427.0)</f>
        <v>427</v>
      </c>
      <c r="C800" s="10">
        <f>IFERROR(__xludf.DUMMYFUNCTION("""COMPUTED_VALUE"""),4992.0)</f>
        <v>4992</v>
      </c>
      <c r="D800" s="5">
        <f>IFERROR(__xludf.DUMMYFUNCTION("""COMPUTED_VALUE"""),0.3211391018619934)</f>
        <v>0.3211391019</v>
      </c>
      <c r="E800" s="5">
        <f>IFERROR(__xludf.DUMMYFUNCTION("""COMPUTED_VALUE"""),0.14326396495071195)</f>
        <v>0.143263965</v>
      </c>
      <c r="F800" s="5">
        <f>IFERROR(__xludf.DUMMYFUNCTION("""COMPUTED_VALUE"""),0.2059145673603505)</f>
        <v>0.2059145674</v>
      </c>
      <c r="G800" s="5">
        <f>IFERROR(__xludf.DUMMYFUNCTION("""COMPUTED_VALUE"""),0.1846659364731654)</f>
        <v>0.1846659365</v>
      </c>
      <c r="H800" s="5">
        <f>IFERROR(__xludf.DUMMYFUNCTION("""COMPUTED_VALUE"""),0.5648936170212766)</f>
        <v>0.564893617</v>
      </c>
      <c r="I800" s="11">
        <f>IFERROR(__xludf.DUMMYFUNCTION("""COMPUTED_VALUE"""),6251.702127659574)</f>
        <v>6251.702128</v>
      </c>
      <c r="J800" s="10">
        <f>IFERROR(__xludf.DUMMYFUNCTION("""COMPUTED_VALUE"""),1.0)</f>
        <v>1</v>
      </c>
      <c r="K800" s="5">
        <f>IFERROR(__xludf.DUMMYFUNCTION("""COMPUTED_VALUE"""),0.00234192037470726)</f>
        <v>0.002341920375</v>
      </c>
      <c r="L800" s="10">
        <f>IFERROR(__xludf.DUMMYFUNCTION("""COMPUTED_VALUE"""),425.0)</f>
        <v>425</v>
      </c>
      <c r="M800" s="5">
        <f>IFERROR(__xludf.DUMMYFUNCTION("""COMPUTED_VALUE"""),0.9953161592505855)</f>
        <v>0.9953161593</v>
      </c>
    </row>
    <row r="801">
      <c r="A801" s="10" t="str">
        <f>IFERROR(__xludf.DUMMYFUNCTION("""COMPUTED_VALUE"""),"kandorao")</f>
        <v>kandorao</v>
      </c>
      <c r="B801" s="10">
        <f>IFERROR(__xludf.DUMMYFUNCTION("""COMPUTED_VALUE"""),506.0)</f>
        <v>506</v>
      </c>
      <c r="C801" s="10">
        <f>IFERROR(__xludf.DUMMYFUNCTION("""COMPUTED_VALUE"""),5846.0)</f>
        <v>5846</v>
      </c>
      <c r="D801" s="5">
        <f>IFERROR(__xludf.DUMMYFUNCTION("""COMPUTED_VALUE"""),0.3209737827715356)</f>
        <v>0.3209737828</v>
      </c>
      <c r="E801" s="5">
        <f>IFERROR(__xludf.DUMMYFUNCTION("""COMPUTED_VALUE"""),0.14325842696629212)</f>
        <v>0.143258427</v>
      </c>
      <c r="F801" s="5">
        <f>IFERROR(__xludf.DUMMYFUNCTION("""COMPUTED_VALUE"""),0.20280898876404493)</f>
        <v>0.2028089888</v>
      </c>
      <c r="G801" s="5">
        <f>IFERROR(__xludf.DUMMYFUNCTION("""COMPUTED_VALUE"""),0.16853932584269662)</f>
        <v>0.1685393258</v>
      </c>
      <c r="H801" s="5">
        <f>IFERROR(__xludf.DUMMYFUNCTION("""COMPUTED_VALUE"""),0.6011080332409973)</f>
        <v>0.6011080332</v>
      </c>
      <c r="I801" s="11">
        <f>IFERROR(__xludf.DUMMYFUNCTION("""COMPUTED_VALUE"""),6133.42566943675)</f>
        <v>6133.425669</v>
      </c>
      <c r="J801" s="10">
        <f>IFERROR(__xludf.DUMMYFUNCTION("""COMPUTED_VALUE"""),3.0)</f>
        <v>3</v>
      </c>
      <c r="K801" s="5">
        <f>IFERROR(__xludf.DUMMYFUNCTION("""COMPUTED_VALUE"""),0.005928853754940711)</f>
        <v>0.005928853755</v>
      </c>
      <c r="L801" s="10">
        <f>IFERROR(__xludf.DUMMYFUNCTION("""COMPUTED_VALUE"""),506.0)</f>
        <v>506</v>
      </c>
      <c r="M801" s="5">
        <f>IFERROR(__xludf.DUMMYFUNCTION("""COMPUTED_VALUE"""),1.0)</f>
        <v>1</v>
      </c>
    </row>
    <row r="802">
      <c r="A802" s="10" t="str">
        <f>IFERROR(__xludf.DUMMYFUNCTION("""COMPUTED_VALUE"""),"子忍の風助")</f>
        <v>子忍の風助</v>
      </c>
      <c r="B802" s="10">
        <f>IFERROR(__xludf.DUMMYFUNCTION("""COMPUTED_VALUE"""),167.0)</f>
        <v>167</v>
      </c>
      <c r="C802" s="10">
        <f>IFERROR(__xludf.DUMMYFUNCTION("""COMPUTED_VALUE"""),1975.0)</f>
        <v>1975</v>
      </c>
      <c r="D802" s="5">
        <f>IFERROR(__xludf.DUMMYFUNCTION("""COMPUTED_VALUE"""),0.3733407079646018)</f>
        <v>0.373340708</v>
      </c>
      <c r="E802" s="5">
        <f>IFERROR(__xludf.DUMMYFUNCTION("""COMPUTED_VALUE"""),0.14325221238938052)</f>
        <v>0.1432522124</v>
      </c>
      <c r="F802" s="5">
        <f>IFERROR(__xludf.DUMMYFUNCTION("""COMPUTED_VALUE"""),0.19524336283185842)</f>
        <v>0.1952433628</v>
      </c>
      <c r="G802" s="5">
        <f>IFERROR(__xludf.DUMMYFUNCTION("""COMPUTED_VALUE"""),0.17533185840707965)</f>
        <v>0.1753318584</v>
      </c>
      <c r="H802" s="5">
        <f>IFERROR(__xludf.DUMMYFUNCTION("""COMPUTED_VALUE"""),0.6260623229461756)</f>
        <v>0.6260623229</v>
      </c>
      <c r="I802" s="11">
        <f>IFERROR(__xludf.DUMMYFUNCTION("""COMPUTED_VALUE"""),5706.515580736544)</f>
        <v>5706.515581</v>
      </c>
      <c r="J802" s="10">
        <f>IFERROR(__xludf.DUMMYFUNCTION("""COMPUTED_VALUE"""),1.0)</f>
        <v>1</v>
      </c>
      <c r="K802" s="5">
        <f>IFERROR(__xludf.DUMMYFUNCTION("""COMPUTED_VALUE"""),0.005988023952095809)</f>
        <v>0.005988023952</v>
      </c>
      <c r="L802" s="10">
        <f>IFERROR(__xludf.DUMMYFUNCTION("""COMPUTED_VALUE"""),83.0)</f>
        <v>83</v>
      </c>
      <c r="M802" s="5">
        <f>IFERROR(__xludf.DUMMYFUNCTION("""COMPUTED_VALUE"""),0.49700598802395207)</f>
        <v>0.497005988</v>
      </c>
    </row>
    <row r="803">
      <c r="A803" s="10" t="str">
        <f>IFERROR(__xludf.DUMMYFUNCTION("""COMPUTED_VALUE"""),"後藤信康")</f>
        <v>後藤信康</v>
      </c>
      <c r="B803" s="10">
        <f>IFERROR(__xludf.DUMMYFUNCTION("""COMPUTED_VALUE"""),150.0)</f>
        <v>150</v>
      </c>
      <c r="C803" s="10">
        <f>IFERROR(__xludf.DUMMYFUNCTION("""COMPUTED_VALUE"""),1735.0)</f>
        <v>1735</v>
      </c>
      <c r="D803" s="5">
        <f>IFERROR(__xludf.DUMMYFUNCTION("""COMPUTED_VALUE"""),0.21514195583596216)</f>
        <v>0.2151419558</v>
      </c>
      <c r="E803" s="5">
        <f>IFERROR(__xludf.DUMMYFUNCTION("""COMPUTED_VALUE"""),0.14321766561514196)</f>
        <v>0.1432176656</v>
      </c>
      <c r="F803" s="5">
        <f>IFERROR(__xludf.DUMMYFUNCTION("""COMPUTED_VALUE"""),0.1804416403785489)</f>
        <v>0.1804416404</v>
      </c>
      <c r="G803" s="5">
        <f>IFERROR(__xludf.DUMMYFUNCTION("""COMPUTED_VALUE"""),0.16151419558359623)</f>
        <v>0.1615141956</v>
      </c>
      <c r="H803" s="5">
        <f>IFERROR(__xludf.DUMMYFUNCTION("""COMPUTED_VALUE"""),0.6433566433566433)</f>
        <v>0.6433566434</v>
      </c>
      <c r="I803" s="11">
        <f>IFERROR(__xludf.DUMMYFUNCTION("""COMPUTED_VALUE"""),5369.2307692307695)</f>
        <v>5369.230769</v>
      </c>
      <c r="J803" s="10">
        <f>IFERROR(__xludf.DUMMYFUNCTION("""COMPUTED_VALUE"""),0.0)</f>
        <v>0</v>
      </c>
      <c r="K803" s="5">
        <f>IFERROR(__xludf.DUMMYFUNCTION("""COMPUTED_VALUE"""),0.0)</f>
        <v>0</v>
      </c>
      <c r="L803" s="10">
        <f>IFERROR(__xludf.DUMMYFUNCTION("""COMPUTED_VALUE"""),150.0)</f>
        <v>150</v>
      </c>
      <c r="M803" s="5">
        <f>IFERROR(__xludf.DUMMYFUNCTION("""COMPUTED_VALUE"""),1.0)</f>
        <v>1</v>
      </c>
    </row>
    <row r="804">
      <c r="A804" s="10" t="str">
        <f>IFERROR(__xludf.DUMMYFUNCTION("""COMPUTED_VALUE"""),"maple247")</f>
        <v>maple247</v>
      </c>
      <c r="B804" s="10">
        <f>IFERROR(__xludf.DUMMYFUNCTION("""COMPUTED_VALUE"""),112.0)</f>
        <v>112</v>
      </c>
      <c r="C804" s="10">
        <f>IFERROR(__xludf.DUMMYFUNCTION("""COMPUTED_VALUE"""),1313.0)</f>
        <v>1313</v>
      </c>
      <c r="D804" s="5">
        <f>IFERROR(__xludf.DUMMYFUNCTION("""COMPUTED_VALUE"""),0.3871773522064946)</f>
        <v>0.3871773522</v>
      </c>
      <c r="E804" s="5">
        <f>IFERROR(__xludf.DUMMYFUNCTION("""COMPUTED_VALUE"""),0.14321398834304747)</f>
        <v>0.1432139883</v>
      </c>
      <c r="F804" s="5">
        <f>IFERROR(__xludf.DUMMYFUNCTION("""COMPUTED_VALUE"""),0.2231473771856786)</f>
        <v>0.2231473772</v>
      </c>
      <c r="G804" s="5">
        <f>IFERROR(__xludf.DUMMYFUNCTION("""COMPUTED_VALUE"""),0.20399666944213155)</f>
        <v>0.2039966694</v>
      </c>
      <c r="H804" s="5">
        <f>IFERROR(__xludf.DUMMYFUNCTION("""COMPUTED_VALUE"""),0.5597014925373134)</f>
        <v>0.5597014925</v>
      </c>
      <c r="I804" s="11">
        <f>IFERROR(__xludf.DUMMYFUNCTION("""COMPUTED_VALUE"""),5556.3432835820895)</f>
        <v>5556.343284</v>
      </c>
      <c r="J804" s="10">
        <f>IFERROR(__xludf.DUMMYFUNCTION("""COMPUTED_VALUE"""),0.0)</f>
        <v>0</v>
      </c>
      <c r="K804" s="5">
        <f>IFERROR(__xludf.DUMMYFUNCTION("""COMPUTED_VALUE"""),0.0)</f>
        <v>0</v>
      </c>
      <c r="L804" s="10">
        <f>IFERROR(__xludf.DUMMYFUNCTION("""COMPUTED_VALUE"""),112.0)</f>
        <v>112</v>
      </c>
      <c r="M804" s="5">
        <f>IFERROR(__xludf.DUMMYFUNCTION("""COMPUTED_VALUE"""),1.0)</f>
        <v>1</v>
      </c>
    </row>
    <row r="805">
      <c r="A805" s="10" t="str">
        <f>IFERROR(__xludf.DUMMYFUNCTION("""COMPUTED_VALUE"""),"組合竜")</f>
        <v>組合竜</v>
      </c>
      <c r="B805" s="10">
        <f>IFERROR(__xludf.DUMMYFUNCTION("""COMPUTED_VALUE"""),228.0)</f>
        <v>228</v>
      </c>
      <c r="C805" s="10">
        <f>IFERROR(__xludf.DUMMYFUNCTION("""COMPUTED_VALUE"""),2693.0)</f>
        <v>2693</v>
      </c>
      <c r="D805" s="5">
        <f>IFERROR(__xludf.DUMMYFUNCTION("""COMPUTED_VALUE"""),0.3310344827586207)</f>
        <v>0.3310344828</v>
      </c>
      <c r="E805" s="5">
        <f>IFERROR(__xludf.DUMMYFUNCTION("""COMPUTED_VALUE"""),0.14320486815415823)</f>
        <v>0.1432048682</v>
      </c>
      <c r="F805" s="5">
        <f>IFERROR(__xludf.DUMMYFUNCTION("""COMPUTED_VALUE"""),0.2028397565922921)</f>
        <v>0.2028397566</v>
      </c>
      <c r="G805" s="5">
        <f>IFERROR(__xludf.DUMMYFUNCTION("""COMPUTED_VALUE"""),0.16308316430020284)</f>
        <v>0.1630831643</v>
      </c>
      <c r="H805" s="5">
        <f>IFERROR(__xludf.DUMMYFUNCTION("""COMPUTED_VALUE"""),0.638)</f>
        <v>0.638</v>
      </c>
      <c r="I805" s="11">
        <f>IFERROR(__xludf.DUMMYFUNCTION("""COMPUTED_VALUE"""),5455.6)</f>
        <v>5455.6</v>
      </c>
      <c r="J805" s="10">
        <f>IFERROR(__xludf.DUMMYFUNCTION("""COMPUTED_VALUE"""),0.0)</f>
        <v>0</v>
      </c>
      <c r="K805" s="5">
        <f>IFERROR(__xludf.DUMMYFUNCTION("""COMPUTED_VALUE"""),0.0)</f>
        <v>0</v>
      </c>
      <c r="L805" s="10">
        <f>IFERROR(__xludf.DUMMYFUNCTION("""COMPUTED_VALUE"""),228.0)</f>
        <v>228</v>
      </c>
      <c r="M805" s="5">
        <f>IFERROR(__xludf.DUMMYFUNCTION("""COMPUTED_VALUE"""),1.0)</f>
        <v>1</v>
      </c>
    </row>
    <row r="806">
      <c r="A806" s="10" t="str">
        <f>IFERROR(__xludf.DUMMYFUNCTION("""COMPUTED_VALUE"""),"射手矢")</f>
        <v>射手矢</v>
      </c>
      <c r="B806" s="10">
        <f>IFERROR(__xludf.DUMMYFUNCTION("""COMPUTED_VALUE"""),274.0)</f>
        <v>274</v>
      </c>
      <c r="C806" s="10">
        <f>IFERROR(__xludf.DUMMYFUNCTION("""COMPUTED_VALUE"""),3270.0)</f>
        <v>3270</v>
      </c>
      <c r="D806" s="5">
        <f>IFERROR(__xludf.DUMMYFUNCTION("""COMPUTED_VALUE"""),0.3568090787716956)</f>
        <v>0.3568090788</v>
      </c>
      <c r="E806" s="5">
        <f>IFERROR(__xludf.DUMMYFUNCTION("""COMPUTED_VALUE"""),0.1431909212283044)</f>
        <v>0.1431909212</v>
      </c>
      <c r="F806" s="5">
        <f>IFERROR(__xludf.DUMMYFUNCTION("""COMPUTED_VALUE"""),0.2192923898531375)</f>
        <v>0.2192923899</v>
      </c>
      <c r="G806" s="5">
        <f>IFERROR(__xludf.DUMMYFUNCTION("""COMPUTED_VALUE"""),0.18190921228304405)</f>
        <v>0.1819092123</v>
      </c>
      <c r="H806" s="5">
        <f>IFERROR(__xludf.DUMMYFUNCTION("""COMPUTED_VALUE"""),0.5996955859969558)</f>
        <v>0.599695586</v>
      </c>
      <c r="I806" s="11">
        <f>IFERROR(__xludf.DUMMYFUNCTION("""COMPUTED_VALUE"""),5311.263318112633)</f>
        <v>5311.263318</v>
      </c>
      <c r="J806" s="10">
        <f>IFERROR(__xludf.DUMMYFUNCTION("""COMPUTED_VALUE"""),1.0)</f>
        <v>1</v>
      </c>
      <c r="K806" s="5">
        <f>IFERROR(__xludf.DUMMYFUNCTION("""COMPUTED_VALUE"""),0.0036496350364963502)</f>
        <v>0.003649635036</v>
      </c>
      <c r="L806" s="10">
        <f>IFERROR(__xludf.DUMMYFUNCTION("""COMPUTED_VALUE"""),274.0)</f>
        <v>274</v>
      </c>
      <c r="M806" s="5">
        <f>IFERROR(__xludf.DUMMYFUNCTION("""COMPUTED_VALUE"""),1.0)</f>
        <v>1</v>
      </c>
    </row>
    <row r="807">
      <c r="A807" s="10" t="str">
        <f>IFERROR(__xludf.DUMMYFUNCTION("""COMPUTED_VALUE"""),"takutei")</f>
        <v>takutei</v>
      </c>
      <c r="B807" s="10">
        <f>IFERROR(__xludf.DUMMYFUNCTION("""COMPUTED_VALUE"""),202.0)</f>
        <v>202</v>
      </c>
      <c r="C807" s="10">
        <f>IFERROR(__xludf.DUMMYFUNCTION("""COMPUTED_VALUE"""),2353.0)</f>
        <v>2353</v>
      </c>
      <c r="D807" s="5">
        <f>IFERROR(__xludf.DUMMYFUNCTION("""COMPUTED_VALUE"""),0.3082287308228731)</f>
        <v>0.3082287308</v>
      </c>
      <c r="E807" s="5">
        <f>IFERROR(__xludf.DUMMYFUNCTION("""COMPUTED_VALUE"""),0.14318921431892143)</f>
        <v>0.1431892143</v>
      </c>
      <c r="F807" s="5">
        <f>IFERROR(__xludf.DUMMYFUNCTION("""COMPUTED_VALUE"""),0.18688981868898186)</f>
        <v>0.1868898187</v>
      </c>
      <c r="G807" s="5">
        <f>IFERROR(__xludf.DUMMYFUNCTION("""COMPUTED_VALUE"""),0.15946071594607159)</f>
        <v>0.1594607159</v>
      </c>
      <c r="H807" s="5">
        <f>IFERROR(__xludf.DUMMYFUNCTION("""COMPUTED_VALUE"""),0.6044776119402985)</f>
        <v>0.6044776119</v>
      </c>
      <c r="I807" s="11">
        <f>IFERROR(__xludf.DUMMYFUNCTION("""COMPUTED_VALUE"""),5946.517412935324)</f>
        <v>5946.517413</v>
      </c>
      <c r="J807" s="10">
        <f>IFERROR(__xludf.DUMMYFUNCTION("""COMPUTED_VALUE"""),0.0)</f>
        <v>0</v>
      </c>
      <c r="K807" s="5">
        <f>IFERROR(__xludf.DUMMYFUNCTION("""COMPUTED_VALUE"""),0.0)</f>
        <v>0</v>
      </c>
      <c r="L807" s="10">
        <f>IFERROR(__xludf.DUMMYFUNCTION("""COMPUTED_VALUE"""),202.0)</f>
        <v>202</v>
      </c>
      <c r="M807" s="5">
        <f>IFERROR(__xludf.DUMMYFUNCTION("""COMPUTED_VALUE"""),1.0)</f>
        <v>1</v>
      </c>
    </row>
    <row r="808">
      <c r="A808" s="10" t="str">
        <f>IFERROR(__xludf.DUMMYFUNCTION("""COMPUTED_VALUE"""),"けろっちょ")</f>
        <v>けろっちょ</v>
      </c>
      <c r="B808" s="10">
        <f>IFERROR(__xludf.DUMMYFUNCTION("""COMPUTED_VALUE"""),124.0)</f>
        <v>124</v>
      </c>
      <c r="C808" s="10">
        <f>IFERROR(__xludf.DUMMYFUNCTION("""COMPUTED_VALUE"""),1472.0)</f>
        <v>1472</v>
      </c>
      <c r="D808" s="5">
        <f>IFERROR(__xludf.DUMMYFUNCTION("""COMPUTED_VALUE"""),0.29821958456973297)</f>
        <v>0.2982195846</v>
      </c>
      <c r="E808" s="5">
        <f>IFERROR(__xludf.DUMMYFUNCTION("""COMPUTED_VALUE"""),0.14317507418397626)</f>
        <v>0.1431750742</v>
      </c>
      <c r="F808" s="5">
        <f>IFERROR(__xludf.DUMMYFUNCTION("""COMPUTED_VALUE"""),0.20178041543026706)</f>
        <v>0.2017804154</v>
      </c>
      <c r="G808" s="5">
        <f>IFERROR(__xludf.DUMMYFUNCTION("""COMPUTED_VALUE"""),0.16468842729970326)</f>
        <v>0.1646884273</v>
      </c>
      <c r="H808" s="5">
        <f>IFERROR(__xludf.DUMMYFUNCTION("""COMPUTED_VALUE"""),0.6433823529411765)</f>
        <v>0.6433823529</v>
      </c>
      <c r="I808" s="11">
        <f>IFERROR(__xludf.DUMMYFUNCTION("""COMPUTED_VALUE"""),5591.544117647059)</f>
        <v>5591.544118</v>
      </c>
      <c r="J808" s="10">
        <f>IFERROR(__xludf.DUMMYFUNCTION("""COMPUTED_VALUE"""),2.0)</f>
        <v>2</v>
      </c>
      <c r="K808" s="5">
        <f>IFERROR(__xludf.DUMMYFUNCTION("""COMPUTED_VALUE"""),0.016129032258064516)</f>
        <v>0.01612903226</v>
      </c>
      <c r="L808" s="10">
        <f>IFERROR(__xludf.DUMMYFUNCTION("""COMPUTED_VALUE"""),97.0)</f>
        <v>97</v>
      </c>
      <c r="M808" s="5">
        <f>IFERROR(__xludf.DUMMYFUNCTION("""COMPUTED_VALUE"""),0.782258064516129)</f>
        <v>0.7822580645</v>
      </c>
    </row>
    <row r="809">
      <c r="A809" s="10" t="str">
        <f>IFERROR(__xludf.DUMMYFUNCTION("""COMPUTED_VALUE"""),"赤木しげるas")</f>
        <v>赤木しげるas</v>
      </c>
      <c r="B809" s="10">
        <f>IFERROR(__xludf.DUMMYFUNCTION("""COMPUTED_VALUE"""),321.0)</f>
        <v>321</v>
      </c>
      <c r="C809" s="10">
        <f>IFERROR(__xludf.DUMMYFUNCTION("""COMPUTED_VALUE"""),3667.0)</f>
        <v>3667</v>
      </c>
      <c r="D809" s="5">
        <f>IFERROR(__xludf.DUMMYFUNCTION("""COMPUTED_VALUE"""),0.3912133891213389)</f>
        <v>0.3912133891</v>
      </c>
      <c r="E809" s="5">
        <f>IFERROR(__xludf.DUMMYFUNCTION("""COMPUTED_VALUE"""),0.14315600717274357)</f>
        <v>0.1431560072</v>
      </c>
      <c r="F809" s="5">
        <f>IFERROR(__xludf.DUMMYFUNCTION("""COMPUTED_VALUE"""),0.2196652719665272)</f>
        <v>0.219665272</v>
      </c>
      <c r="G809" s="5">
        <f>IFERROR(__xludf.DUMMYFUNCTION("""COMPUTED_VALUE"""),0.19994022713687987)</f>
        <v>0.1999402271</v>
      </c>
      <c r="H809" s="5">
        <f>IFERROR(__xludf.DUMMYFUNCTION("""COMPUTED_VALUE"""),0.5877551020408164)</f>
        <v>0.587755102</v>
      </c>
      <c r="I809" s="11">
        <f>IFERROR(__xludf.DUMMYFUNCTION("""COMPUTED_VALUE"""),5558.775510204082)</f>
        <v>5558.77551</v>
      </c>
      <c r="J809" s="10">
        <f>IFERROR(__xludf.DUMMYFUNCTION("""COMPUTED_VALUE"""),1.0)</f>
        <v>1</v>
      </c>
      <c r="K809" s="5">
        <f>IFERROR(__xludf.DUMMYFUNCTION("""COMPUTED_VALUE"""),0.003115264797507788)</f>
        <v>0.003115264798</v>
      </c>
      <c r="L809" s="10">
        <f>IFERROR(__xludf.DUMMYFUNCTION("""COMPUTED_VALUE"""),228.0)</f>
        <v>228</v>
      </c>
      <c r="M809" s="5">
        <f>IFERROR(__xludf.DUMMYFUNCTION("""COMPUTED_VALUE"""),0.7102803738317757)</f>
        <v>0.7102803738</v>
      </c>
    </row>
    <row r="810">
      <c r="A810" s="10" t="str">
        <f>IFERROR(__xludf.DUMMYFUNCTION("""COMPUTED_VALUE"""),"広角打法")</f>
        <v>広角打法</v>
      </c>
      <c r="B810" s="10">
        <f>IFERROR(__xludf.DUMMYFUNCTION("""COMPUTED_VALUE"""),352.0)</f>
        <v>352</v>
      </c>
      <c r="C810" s="10">
        <f>IFERROR(__xludf.DUMMYFUNCTION("""COMPUTED_VALUE"""),4111.0)</f>
        <v>4111</v>
      </c>
      <c r="D810" s="5">
        <f>IFERROR(__xludf.DUMMYFUNCTION("""COMPUTED_VALUE"""),0.31896781058792234)</f>
        <v>0.3189678106</v>
      </c>
      <c r="E810" s="5">
        <f>IFERROR(__xludf.DUMMYFUNCTION("""COMPUTED_VALUE"""),0.14312317105613195)</f>
        <v>0.1431231711</v>
      </c>
      <c r="F810" s="5">
        <f>IFERROR(__xludf.DUMMYFUNCTION("""COMPUTED_VALUE"""),0.21282255919127427)</f>
        <v>0.2128225592</v>
      </c>
      <c r="G810" s="5">
        <f>IFERROR(__xludf.DUMMYFUNCTION("""COMPUTED_VALUE"""),0.20563979781856878)</f>
        <v>0.2056397978</v>
      </c>
      <c r="H810" s="5">
        <f>IFERROR(__xludf.DUMMYFUNCTION("""COMPUTED_VALUE"""),0.60125)</f>
        <v>0.60125</v>
      </c>
      <c r="I810" s="11">
        <f>IFERROR(__xludf.DUMMYFUNCTION("""COMPUTED_VALUE"""),5559.125)</f>
        <v>5559.125</v>
      </c>
      <c r="J810" s="10">
        <f>IFERROR(__xludf.DUMMYFUNCTION("""COMPUTED_VALUE"""),0.0)</f>
        <v>0</v>
      </c>
      <c r="K810" s="5">
        <f>IFERROR(__xludf.DUMMYFUNCTION("""COMPUTED_VALUE"""),0.0)</f>
        <v>0</v>
      </c>
      <c r="L810" s="10">
        <f>IFERROR(__xludf.DUMMYFUNCTION("""COMPUTED_VALUE"""),352.0)</f>
        <v>352</v>
      </c>
      <c r="M810" s="5">
        <f>IFERROR(__xludf.DUMMYFUNCTION("""COMPUTED_VALUE"""),1.0)</f>
        <v>1</v>
      </c>
    </row>
    <row r="811">
      <c r="A811" s="10" t="str">
        <f>IFERROR(__xludf.DUMMYFUNCTION("""COMPUTED_VALUE"""),"reidock")</f>
        <v>reidock</v>
      </c>
      <c r="B811" s="10">
        <f>IFERROR(__xludf.DUMMYFUNCTION("""COMPUTED_VALUE"""),175.0)</f>
        <v>175</v>
      </c>
      <c r="C811" s="10">
        <f>IFERROR(__xludf.DUMMYFUNCTION("""COMPUTED_VALUE"""),2041.0)</f>
        <v>2041</v>
      </c>
      <c r="D811" s="5">
        <f>IFERROR(__xludf.DUMMYFUNCTION("""COMPUTED_VALUE"""),0.304930332261522)</f>
        <v>0.3049303323</v>
      </c>
      <c r="E811" s="5">
        <f>IFERROR(__xludf.DUMMYFUNCTION("""COMPUTED_VALUE"""),0.14308681672025725)</f>
        <v>0.1430868167</v>
      </c>
      <c r="F811" s="5">
        <f>IFERROR(__xludf.DUMMYFUNCTION("""COMPUTED_VALUE"""),0.21061093247588425)</f>
        <v>0.2106109325</v>
      </c>
      <c r="G811" s="5">
        <f>IFERROR(__xludf.DUMMYFUNCTION("""COMPUTED_VALUE"""),0.16720257234726688)</f>
        <v>0.1672025723</v>
      </c>
      <c r="H811" s="5">
        <f>IFERROR(__xludf.DUMMYFUNCTION("""COMPUTED_VALUE"""),0.5674300254452926)</f>
        <v>0.5674300254</v>
      </c>
      <c r="I811" s="11">
        <f>IFERROR(__xludf.DUMMYFUNCTION("""COMPUTED_VALUE"""),5782.442748091603)</f>
        <v>5782.442748</v>
      </c>
      <c r="J811" s="10">
        <f>IFERROR(__xludf.DUMMYFUNCTION("""COMPUTED_VALUE"""),0.0)</f>
        <v>0</v>
      </c>
      <c r="K811" s="5">
        <f>IFERROR(__xludf.DUMMYFUNCTION("""COMPUTED_VALUE"""),0.0)</f>
        <v>0</v>
      </c>
      <c r="L811" s="10">
        <f>IFERROR(__xludf.DUMMYFUNCTION("""COMPUTED_VALUE"""),175.0)</f>
        <v>175</v>
      </c>
      <c r="M811" s="5">
        <f>IFERROR(__xludf.DUMMYFUNCTION("""COMPUTED_VALUE"""),1.0)</f>
        <v>1</v>
      </c>
    </row>
    <row r="812">
      <c r="A812" s="10" t="str">
        <f>IFERROR(__xludf.DUMMYFUNCTION("""COMPUTED_VALUE"""),"りょーち2011")</f>
        <v>りょーち2011</v>
      </c>
      <c r="B812" s="10">
        <f>IFERROR(__xludf.DUMMYFUNCTION("""COMPUTED_VALUE"""),187.0)</f>
        <v>187</v>
      </c>
      <c r="C812" s="10">
        <f>IFERROR(__xludf.DUMMYFUNCTION("""COMPUTED_VALUE"""),2207.0)</f>
        <v>2207</v>
      </c>
      <c r="D812" s="5">
        <f>IFERROR(__xludf.DUMMYFUNCTION("""COMPUTED_VALUE"""),0.40594059405940597)</f>
        <v>0.4059405941</v>
      </c>
      <c r="E812" s="5">
        <f>IFERROR(__xludf.DUMMYFUNCTION("""COMPUTED_VALUE"""),0.14306930693069306)</f>
        <v>0.1430693069</v>
      </c>
      <c r="F812" s="5">
        <f>IFERROR(__xludf.DUMMYFUNCTION("""COMPUTED_VALUE"""),0.21485148514851485)</f>
        <v>0.2148514851</v>
      </c>
      <c r="G812" s="5">
        <f>IFERROR(__xludf.DUMMYFUNCTION("""COMPUTED_VALUE"""),0.1707920792079208)</f>
        <v>0.1707920792</v>
      </c>
      <c r="H812" s="5">
        <f>IFERROR(__xludf.DUMMYFUNCTION("""COMPUTED_VALUE"""),0.6036866359447005)</f>
        <v>0.6036866359</v>
      </c>
      <c r="I812" s="11">
        <f>IFERROR(__xludf.DUMMYFUNCTION("""COMPUTED_VALUE"""),5095.1612903225805)</f>
        <v>5095.16129</v>
      </c>
      <c r="J812" s="10">
        <f>IFERROR(__xludf.DUMMYFUNCTION("""COMPUTED_VALUE"""),0.0)</f>
        <v>0</v>
      </c>
      <c r="K812" s="5">
        <f>IFERROR(__xludf.DUMMYFUNCTION("""COMPUTED_VALUE"""),0.0)</f>
        <v>0</v>
      </c>
      <c r="L812" s="10">
        <f>IFERROR(__xludf.DUMMYFUNCTION("""COMPUTED_VALUE"""),187.0)</f>
        <v>187</v>
      </c>
      <c r="M812" s="5">
        <f>IFERROR(__xludf.DUMMYFUNCTION("""COMPUTED_VALUE"""),1.0)</f>
        <v>1</v>
      </c>
    </row>
    <row r="813">
      <c r="A813" s="10" t="str">
        <f>IFERROR(__xludf.DUMMYFUNCTION("""COMPUTED_VALUE"""),"★いおりん★")</f>
        <v>★いおりん★</v>
      </c>
      <c r="B813" s="10">
        <f>IFERROR(__xludf.DUMMYFUNCTION("""COMPUTED_VALUE"""),1154.0)</f>
        <v>1154</v>
      </c>
      <c r="C813" s="10">
        <f>IFERROR(__xludf.DUMMYFUNCTION("""COMPUTED_VALUE"""),13485.0)</f>
        <v>13485</v>
      </c>
      <c r="D813" s="5">
        <f>IFERROR(__xludf.DUMMYFUNCTION("""COMPUTED_VALUE"""),0.3819641553807477)</f>
        <v>0.3819641554</v>
      </c>
      <c r="E813" s="5">
        <f>IFERROR(__xludf.DUMMYFUNCTION("""COMPUTED_VALUE"""),0.14305409131457303)</f>
        <v>0.1430540913</v>
      </c>
      <c r="F813" s="5">
        <f>IFERROR(__xludf.DUMMYFUNCTION("""COMPUTED_VALUE"""),0.2162841618684616)</f>
        <v>0.2162841619</v>
      </c>
      <c r="G813" s="5">
        <f>IFERROR(__xludf.DUMMYFUNCTION("""COMPUTED_VALUE"""),0.18611629227151083)</f>
        <v>0.1861162923</v>
      </c>
      <c r="H813" s="5">
        <f>IFERROR(__xludf.DUMMYFUNCTION("""COMPUTED_VALUE"""),0.567679040119985)</f>
        <v>0.5676790401</v>
      </c>
      <c r="I813" s="11">
        <f>IFERROR(__xludf.DUMMYFUNCTION("""COMPUTED_VALUE"""),5858.642669666292)</f>
        <v>5858.64267</v>
      </c>
      <c r="J813" s="10">
        <f>IFERROR(__xludf.DUMMYFUNCTION("""COMPUTED_VALUE"""),1.0)</f>
        <v>1</v>
      </c>
      <c r="K813" s="5">
        <f>IFERROR(__xludf.DUMMYFUNCTION("""COMPUTED_VALUE"""),8.665511265164644E-4)</f>
        <v>0.0008665511265</v>
      </c>
      <c r="L813" s="10">
        <f>IFERROR(__xludf.DUMMYFUNCTION("""COMPUTED_VALUE"""),501.0)</f>
        <v>501</v>
      </c>
      <c r="M813" s="5">
        <f>IFERROR(__xludf.DUMMYFUNCTION("""COMPUTED_VALUE"""),0.4341421143847487)</f>
        <v>0.4341421144</v>
      </c>
    </row>
    <row r="814">
      <c r="A814" s="10" t="str">
        <f>IFERROR(__xludf.DUMMYFUNCTION("""COMPUTED_VALUE"""),".イリアス")</f>
        <v>.イリアス</v>
      </c>
      <c r="B814" s="10">
        <f>IFERROR(__xludf.DUMMYFUNCTION("""COMPUTED_VALUE"""),571.0)</f>
        <v>571</v>
      </c>
      <c r="C814" s="10">
        <f>IFERROR(__xludf.DUMMYFUNCTION("""COMPUTED_VALUE"""),6674.0)</f>
        <v>6674</v>
      </c>
      <c r="D814" s="5">
        <f>IFERROR(__xludf.DUMMYFUNCTION("""COMPUTED_VALUE"""),0.40029493691627066)</f>
        <v>0.4002949369</v>
      </c>
      <c r="E814" s="5">
        <f>IFERROR(__xludf.DUMMYFUNCTION("""COMPUTED_VALUE"""),0.14304440439128296)</f>
        <v>0.1430444044</v>
      </c>
      <c r="F814" s="5">
        <f>IFERROR(__xludf.DUMMYFUNCTION("""COMPUTED_VALUE"""),0.23185318695723414)</f>
        <v>0.231853187</v>
      </c>
      <c r="G814" s="5">
        <f>IFERROR(__xludf.DUMMYFUNCTION("""COMPUTED_VALUE"""),0.15074553498279536)</f>
        <v>0.150745535</v>
      </c>
      <c r="H814" s="5">
        <f>IFERROR(__xludf.DUMMYFUNCTION("""COMPUTED_VALUE"""),0.5851590106007067)</f>
        <v>0.5851590106</v>
      </c>
      <c r="I814" s="11">
        <f>IFERROR(__xludf.DUMMYFUNCTION("""COMPUTED_VALUE"""),5323.3215547703185)</f>
        <v>5323.321555</v>
      </c>
      <c r="J814" s="10">
        <f>IFERROR(__xludf.DUMMYFUNCTION("""COMPUTED_VALUE"""),1.0)</f>
        <v>1</v>
      </c>
      <c r="K814" s="5">
        <f>IFERROR(__xludf.DUMMYFUNCTION("""COMPUTED_VALUE"""),0.0017513134851138354)</f>
        <v>0.001751313485</v>
      </c>
      <c r="L814" s="10">
        <f>IFERROR(__xludf.DUMMYFUNCTION("""COMPUTED_VALUE"""),571.0)</f>
        <v>571</v>
      </c>
      <c r="M814" s="5">
        <f>IFERROR(__xludf.DUMMYFUNCTION("""COMPUTED_VALUE"""),1.0)</f>
        <v>1</v>
      </c>
    </row>
    <row r="815">
      <c r="A815" s="10" t="str">
        <f>IFERROR(__xludf.DUMMYFUNCTION("""COMPUTED_VALUE"""),"しか茶")</f>
        <v>しか茶</v>
      </c>
      <c r="B815" s="10">
        <f>IFERROR(__xludf.DUMMYFUNCTION("""COMPUTED_VALUE"""),1462.0)</f>
        <v>1462</v>
      </c>
      <c r="C815" s="10">
        <f>IFERROR(__xludf.DUMMYFUNCTION("""COMPUTED_VALUE"""),17269.0)</f>
        <v>17269</v>
      </c>
      <c r="D815" s="5">
        <f>IFERROR(__xludf.DUMMYFUNCTION("""COMPUTED_VALUE"""),0.34775732270513066)</f>
        <v>0.3477573227</v>
      </c>
      <c r="E815" s="5">
        <f>IFERROR(__xludf.DUMMYFUNCTION("""COMPUTED_VALUE"""),0.1430378946036566)</f>
        <v>0.1430378946</v>
      </c>
      <c r="F815" s="5">
        <f>IFERROR(__xludf.DUMMYFUNCTION("""COMPUTED_VALUE"""),0.21231100145505155)</f>
        <v>0.2123110015</v>
      </c>
      <c r="G815" s="5">
        <f>IFERROR(__xludf.DUMMYFUNCTION("""COMPUTED_VALUE"""),0.16125767065224267)</f>
        <v>0.1612576707</v>
      </c>
      <c r="H815" s="5">
        <f>IFERROR(__xludf.DUMMYFUNCTION("""COMPUTED_VALUE"""),0.600119189511323)</f>
        <v>0.6001191895</v>
      </c>
      <c r="I815" s="11">
        <f>IFERROR(__xludf.DUMMYFUNCTION("""COMPUTED_VALUE"""),5727.651966626937)</f>
        <v>5727.651967</v>
      </c>
      <c r="J815" s="10">
        <f>IFERROR(__xludf.DUMMYFUNCTION("""COMPUTED_VALUE"""),6.0)</f>
        <v>6</v>
      </c>
      <c r="K815" s="5">
        <f>IFERROR(__xludf.DUMMYFUNCTION("""COMPUTED_VALUE"""),0.004103967168262654)</f>
        <v>0.004103967168</v>
      </c>
      <c r="L815" s="10">
        <f>IFERROR(__xludf.DUMMYFUNCTION("""COMPUTED_VALUE"""),1302.0)</f>
        <v>1302</v>
      </c>
      <c r="M815" s="5">
        <f>IFERROR(__xludf.DUMMYFUNCTION("""COMPUTED_VALUE"""),0.8905608755129959)</f>
        <v>0.8905608755</v>
      </c>
    </row>
    <row r="816">
      <c r="A816" s="10" t="str">
        <f>IFERROR(__xludf.DUMMYFUNCTION("""COMPUTED_VALUE"""),"結玉")</f>
        <v>結玉</v>
      </c>
      <c r="B816" s="10">
        <f>IFERROR(__xludf.DUMMYFUNCTION("""COMPUTED_VALUE"""),222.0)</f>
        <v>222</v>
      </c>
      <c r="C816" s="10">
        <f>IFERROR(__xludf.DUMMYFUNCTION("""COMPUTED_VALUE"""),2635.0)</f>
        <v>2635</v>
      </c>
      <c r="D816" s="5">
        <f>IFERROR(__xludf.DUMMYFUNCTION("""COMPUTED_VALUE"""),0.31496062992125984)</f>
        <v>0.3149606299</v>
      </c>
      <c r="E816" s="5">
        <f>IFERROR(__xludf.DUMMYFUNCTION("""COMPUTED_VALUE"""),0.14297554910899296)</f>
        <v>0.1429755491</v>
      </c>
      <c r="F816" s="5">
        <f>IFERROR(__xludf.DUMMYFUNCTION("""COMPUTED_VALUE"""),0.20430998756734356)</f>
        <v>0.2043099876</v>
      </c>
      <c r="G816" s="5">
        <f>IFERROR(__xludf.DUMMYFUNCTION("""COMPUTED_VALUE"""),0.17447161210111894)</f>
        <v>0.1744716121</v>
      </c>
      <c r="H816" s="5">
        <f>IFERROR(__xludf.DUMMYFUNCTION("""COMPUTED_VALUE"""),0.5476673427991886)</f>
        <v>0.5476673428</v>
      </c>
      <c r="I816" s="11">
        <f>IFERROR(__xludf.DUMMYFUNCTION("""COMPUTED_VALUE"""),6177.89046653144)</f>
        <v>6177.890467</v>
      </c>
      <c r="J816" s="10">
        <f>IFERROR(__xludf.DUMMYFUNCTION("""COMPUTED_VALUE"""),0.0)</f>
        <v>0</v>
      </c>
      <c r="K816" s="5">
        <f>IFERROR(__xludf.DUMMYFUNCTION("""COMPUTED_VALUE"""),0.0)</f>
        <v>0</v>
      </c>
      <c r="L816" s="10">
        <f>IFERROR(__xludf.DUMMYFUNCTION("""COMPUTED_VALUE"""),222.0)</f>
        <v>222</v>
      </c>
      <c r="M816" s="5">
        <f>IFERROR(__xludf.DUMMYFUNCTION("""COMPUTED_VALUE"""),1.0)</f>
        <v>1</v>
      </c>
    </row>
    <row r="817">
      <c r="A817" s="10" t="str">
        <f>IFERROR(__xludf.DUMMYFUNCTION("""COMPUTED_VALUE"""),"kazu-")</f>
        <v>kazu-</v>
      </c>
      <c r="B817" s="10">
        <f>IFERROR(__xludf.DUMMYFUNCTION("""COMPUTED_VALUE"""),1752.0)</f>
        <v>1752</v>
      </c>
      <c r="C817" s="10">
        <f>IFERROR(__xludf.DUMMYFUNCTION("""COMPUTED_VALUE"""),20315.0)</f>
        <v>20315</v>
      </c>
      <c r="D817" s="5">
        <f>IFERROR(__xludf.DUMMYFUNCTION("""COMPUTED_VALUE"""),0.35349889565264236)</f>
        <v>0.3534988957</v>
      </c>
      <c r="E817" s="5">
        <f>IFERROR(__xludf.DUMMYFUNCTION("""COMPUTED_VALUE"""),0.14297257986316866)</f>
        <v>0.1429725799</v>
      </c>
      <c r="F817" s="5">
        <f>IFERROR(__xludf.DUMMYFUNCTION("""COMPUTED_VALUE"""),0.22011528309001777)</f>
        <v>0.2201152831</v>
      </c>
      <c r="G817" s="5">
        <f>IFERROR(__xludf.DUMMYFUNCTION("""COMPUTED_VALUE"""),0.18817001562247482)</f>
        <v>0.1881700156</v>
      </c>
      <c r="H817" s="5">
        <f>IFERROR(__xludf.DUMMYFUNCTION("""COMPUTED_VALUE"""),0.5983847283406755)</f>
        <v>0.5983847283</v>
      </c>
      <c r="I817" s="11">
        <f>IFERROR(__xludf.DUMMYFUNCTION("""COMPUTED_VALUE"""),5813.509544787078)</f>
        <v>5813.509545</v>
      </c>
      <c r="J817" s="10">
        <f>IFERROR(__xludf.DUMMYFUNCTION("""COMPUTED_VALUE"""),3.0)</f>
        <v>3</v>
      </c>
      <c r="K817" s="5">
        <f>IFERROR(__xludf.DUMMYFUNCTION("""COMPUTED_VALUE"""),0.0017123287671232876)</f>
        <v>0.001712328767</v>
      </c>
      <c r="L817" s="10">
        <f>IFERROR(__xludf.DUMMYFUNCTION("""COMPUTED_VALUE"""),1752.0)</f>
        <v>1752</v>
      </c>
      <c r="M817" s="5">
        <f>IFERROR(__xludf.DUMMYFUNCTION("""COMPUTED_VALUE"""),1.0)</f>
        <v>1</v>
      </c>
    </row>
    <row r="818">
      <c r="A818" s="10" t="str">
        <f>IFERROR(__xludf.DUMMYFUNCTION("""COMPUTED_VALUE"""),"the...")</f>
        <v>the...</v>
      </c>
      <c r="B818" s="10">
        <f>IFERROR(__xludf.DUMMYFUNCTION("""COMPUTED_VALUE"""),115.0)</f>
        <v>115</v>
      </c>
      <c r="C818" s="10">
        <f>IFERROR(__xludf.DUMMYFUNCTION("""COMPUTED_VALUE"""),1353.0)</f>
        <v>1353</v>
      </c>
      <c r="D818" s="5">
        <f>IFERROR(__xludf.DUMMYFUNCTION("""COMPUTED_VALUE"""),0.30290791599353795)</f>
        <v>0.302907916</v>
      </c>
      <c r="E818" s="5">
        <f>IFERROR(__xludf.DUMMYFUNCTION("""COMPUTED_VALUE"""),0.1429725363489499)</f>
        <v>0.1429725363</v>
      </c>
      <c r="F818" s="5">
        <f>IFERROR(__xludf.DUMMYFUNCTION("""COMPUTED_VALUE"""),0.20193861066235863)</f>
        <v>0.2019386107</v>
      </c>
      <c r="G818" s="5">
        <f>IFERROR(__xludf.DUMMYFUNCTION("""COMPUTED_VALUE"""),0.17932148626817448)</f>
        <v>0.1793214863</v>
      </c>
      <c r="H818" s="5">
        <f>IFERROR(__xludf.DUMMYFUNCTION("""COMPUTED_VALUE"""),0.6)</f>
        <v>0.6</v>
      </c>
      <c r="I818" s="11">
        <f>IFERROR(__xludf.DUMMYFUNCTION("""COMPUTED_VALUE"""),5401.6)</f>
        <v>5401.6</v>
      </c>
      <c r="J818" s="10">
        <f>IFERROR(__xludf.DUMMYFUNCTION("""COMPUTED_VALUE"""),0.0)</f>
        <v>0</v>
      </c>
      <c r="K818" s="5">
        <f>IFERROR(__xludf.DUMMYFUNCTION("""COMPUTED_VALUE"""),0.0)</f>
        <v>0</v>
      </c>
      <c r="L818" s="10">
        <f>IFERROR(__xludf.DUMMYFUNCTION("""COMPUTED_VALUE"""),115.0)</f>
        <v>115</v>
      </c>
      <c r="M818" s="5">
        <f>IFERROR(__xludf.DUMMYFUNCTION("""COMPUTED_VALUE"""),1.0)</f>
        <v>1</v>
      </c>
    </row>
    <row r="819">
      <c r="A819" s="10" t="str">
        <f>IFERROR(__xludf.DUMMYFUNCTION("""COMPUTED_VALUE"""),"しらいしまい")</f>
        <v>しらいしまい</v>
      </c>
      <c r="B819" s="10">
        <f>IFERROR(__xludf.DUMMYFUNCTION("""COMPUTED_VALUE"""),2193.0)</f>
        <v>2193</v>
      </c>
      <c r="C819" s="10">
        <f>IFERROR(__xludf.DUMMYFUNCTION("""COMPUTED_VALUE"""),25451.0)</f>
        <v>25451</v>
      </c>
      <c r="D819" s="5">
        <f>IFERROR(__xludf.DUMMYFUNCTION("""COMPUTED_VALUE"""),0.3706251612348439)</f>
        <v>0.3706251612</v>
      </c>
      <c r="E819" s="5">
        <f>IFERROR(__xludf.DUMMYFUNCTION("""COMPUTED_VALUE"""),0.14296156161320836)</f>
        <v>0.1429615616</v>
      </c>
      <c r="F819" s="5">
        <f>IFERROR(__xludf.DUMMYFUNCTION("""COMPUTED_VALUE"""),0.22860951070599364)</f>
        <v>0.2286095107</v>
      </c>
      <c r="G819" s="5">
        <f>IFERROR(__xludf.DUMMYFUNCTION("""COMPUTED_VALUE"""),0.18991314816407256)</f>
        <v>0.1899131482</v>
      </c>
      <c r="H819" s="5">
        <f>IFERROR(__xludf.DUMMYFUNCTION("""COMPUTED_VALUE"""),0.5984577769418845)</f>
        <v>0.5984577769</v>
      </c>
      <c r="I819" s="11">
        <f>IFERROR(__xludf.DUMMYFUNCTION("""COMPUTED_VALUE"""),5567.744968967463)</f>
        <v>5567.744969</v>
      </c>
      <c r="J819" s="10">
        <f>IFERROR(__xludf.DUMMYFUNCTION("""COMPUTED_VALUE"""),3.0)</f>
        <v>3</v>
      </c>
      <c r="K819" s="5">
        <f>IFERROR(__xludf.DUMMYFUNCTION("""COMPUTED_VALUE"""),0.0013679890560875513)</f>
        <v>0.001367989056</v>
      </c>
      <c r="L819" s="10">
        <f>IFERROR(__xludf.DUMMYFUNCTION("""COMPUTED_VALUE"""),2193.0)</f>
        <v>2193</v>
      </c>
      <c r="M819" s="5">
        <f>IFERROR(__xludf.DUMMYFUNCTION("""COMPUTED_VALUE"""),1.0)</f>
        <v>1</v>
      </c>
    </row>
    <row r="820">
      <c r="A820" s="10" t="str">
        <f>IFERROR(__xludf.DUMMYFUNCTION("""COMPUTED_VALUE"""),"xルルx")</f>
        <v>xルルx</v>
      </c>
      <c r="B820" s="10">
        <f>IFERROR(__xludf.DUMMYFUNCTION("""COMPUTED_VALUE"""),324.0)</f>
        <v>324</v>
      </c>
      <c r="C820" s="10">
        <f>IFERROR(__xludf.DUMMYFUNCTION("""COMPUTED_VALUE"""),3731.0)</f>
        <v>3731</v>
      </c>
      <c r="D820" s="5">
        <f>IFERROR(__xludf.DUMMYFUNCTION("""COMPUTED_VALUE"""),0.31992955679483415)</f>
        <v>0.3199295568</v>
      </c>
      <c r="E820" s="5">
        <f>IFERROR(__xludf.DUMMYFUNCTION("""COMPUTED_VALUE"""),0.14294100381567362)</f>
        <v>0.1429410038</v>
      </c>
      <c r="F820" s="5">
        <f>IFERROR(__xludf.DUMMYFUNCTION("""COMPUTED_VALUE"""),0.18960962723803934)</f>
        <v>0.1896096272</v>
      </c>
      <c r="G820" s="5">
        <f>IFERROR(__xludf.DUMMYFUNCTION("""COMPUTED_VALUE"""),0.15585559142941005)</f>
        <v>0.1558555914</v>
      </c>
      <c r="H820" s="5">
        <f>IFERROR(__xludf.DUMMYFUNCTION("""COMPUTED_VALUE"""),0.6006191950464397)</f>
        <v>0.600619195</v>
      </c>
      <c r="I820" s="11">
        <f>IFERROR(__xludf.DUMMYFUNCTION("""COMPUTED_VALUE"""),5623.374613003096)</f>
        <v>5623.374613</v>
      </c>
      <c r="J820" s="10">
        <f>IFERROR(__xludf.DUMMYFUNCTION("""COMPUTED_VALUE"""),0.0)</f>
        <v>0</v>
      </c>
      <c r="K820" s="5">
        <f>IFERROR(__xludf.DUMMYFUNCTION("""COMPUTED_VALUE"""),0.0)</f>
        <v>0</v>
      </c>
      <c r="L820" s="10">
        <f>IFERROR(__xludf.DUMMYFUNCTION("""COMPUTED_VALUE"""),324.0)</f>
        <v>324</v>
      </c>
      <c r="M820" s="5">
        <f>IFERROR(__xludf.DUMMYFUNCTION("""COMPUTED_VALUE"""),1.0)</f>
        <v>1</v>
      </c>
    </row>
    <row r="821">
      <c r="A821" s="10" t="str">
        <f>IFERROR(__xludf.DUMMYFUNCTION("""COMPUTED_VALUE"""),"Roland♪")</f>
        <v>Roland♪</v>
      </c>
      <c r="B821" s="10">
        <f>IFERROR(__xludf.DUMMYFUNCTION("""COMPUTED_VALUE"""),199.0)</f>
        <v>199</v>
      </c>
      <c r="C821" s="10">
        <f>IFERROR(__xludf.DUMMYFUNCTION("""COMPUTED_VALUE"""),2333.0)</f>
        <v>2333</v>
      </c>
      <c r="D821" s="5">
        <f>IFERROR(__xludf.DUMMYFUNCTION("""COMPUTED_VALUE"""),0.3683223992502343)</f>
        <v>0.3683223993</v>
      </c>
      <c r="E821" s="5">
        <f>IFERROR(__xludf.DUMMYFUNCTION("""COMPUTED_VALUE"""),0.1429240862230553)</f>
        <v>0.1429240862</v>
      </c>
      <c r="F821" s="5">
        <f>IFERROR(__xludf.DUMMYFUNCTION("""COMPUTED_VALUE"""),0.225398313027179)</f>
        <v>0.225398313</v>
      </c>
      <c r="G821" s="5">
        <f>IFERROR(__xludf.DUMMYFUNCTION("""COMPUTED_VALUE"""),0.17994376757263356)</f>
        <v>0.1799437676</v>
      </c>
      <c r="H821" s="5">
        <f>IFERROR(__xludf.DUMMYFUNCTION("""COMPUTED_VALUE"""),0.5966735966735967)</f>
        <v>0.5966735967</v>
      </c>
      <c r="I821" s="11">
        <f>IFERROR(__xludf.DUMMYFUNCTION("""COMPUTED_VALUE"""),5916.008316008316)</f>
        <v>5916.008316</v>
      </c>
      <c r="J821" s="10">
        <f>IFERROR(__xludf.DUMMYFUNCTION("""COMPUTED_VALUE"""),1.0)</f>
        <v>1</v>
      </c>
      <c r="K821" s="5">
        <f>IFERROR(__xludf.DUMMYFUNCTION("""COMPUTED_VALUE"""),0.005025125628140704)</f>
        <v>0.005025125628</v>
      </c>
      <c r="L821" s="10">
        <f>IFERROR(__xludf.DUMMYFUNCTION("""COMPUTED_VALUE"""),199.0)</f>
        <v>199</v>
      </c>
      <c r="M821" s="5">
        <f>IFERROR(__xludf.DUMMYFUNCTION("""COMPUTED_VALUE"""),1.0)</f>
        <v>1</v>
      </c>
    </row>
    <row r="822">
      <c r="A822" s="10" t="str">
        <f>IFERROR(__xludf.DUMMYFUNCTION("""COMPUTED_VALUE"""),"amiami")</f>
        <v>amiami</v>
      </c>
      <c r="B822" s="10">
        <f>IFERROR(__xludf.DUMMYFUNCTION("""COMPUTED_VALUE"""),237.0)</f>
        <v>237</v>
      </c>
      <c r="C822" s="10">
        <f>IFERROR(__xludf.DUMMYFUNCTION("""COMPUTED_VALUE"""),2700.0)</f>
        <v>2700</v>
      </c>
      <c r="D822" s="5">
        <f>IFERROR(__xludf.DUMMYFUNCTION("""COMPUTED_VALUE"""),0.27608607389362566)</f>
        <v>0.2760860739</v>
      </c>
      <c r="E822" s="5">
        <f>IFERROR(__xludf.DUMMYFUNCTION("""COMPUTED_VALUE"""),0.14291514413317094)</f>
        <v>0.1429151441</v>
      </c>
      <c r="F822" s="5">
        <f>IFERROR(__xludf.DUMMYFUNCTION("""COMPUTED_VALUE"""),0.19204222492894843)</f>
        <v>0.1920422249</v>
      </c>
      <c r="G822" s="5">
        <f>IFERROR(__xludf.DUMMYFUNCTION("""COMPUTED_VALUE"""),0.20259845716605765)</f>
        <v>0.2025984572</v>
      </c>
      <c r="H822" s="5">
        <f>IFERROR(__xludf.DUMMYFUNCTION("""COMPUTED_VALUE"""),0.5602536997885835)</f>
        <v>0.5602536998</v>
      </c>
      <c r="I822" s="11">
        <f>IFERROR(__xludf.DUMMYFUNCTION("""COMPUTED_VALUE"""),5788.16067653277)</f>
        <v>5788.160677</v>
      </c>
      <c r="J822" s="10">
        <f>IFERROR(__xludf.DUMMYFUNCTION("""COMPUTED_VALUE"""),1.0)</f>
        <v>1</v>
      </c>
      <c r="K822" s="5">
        <f>IFERROR(__xludf.DUMMYFUNCTION("""COMPUTED_VALUE"""),0.004219409282700422)</f>
        <v>0.004219409283</v>
      </c>
      <c r="L822" s="10">
        <f>IFERROR(__xludf.DUMMYFUNCTION("""COMPUTED_VALUE"""),237.0)</f>
        <v>237</v>
      </c>
      <c r="M822" s="5">
        <f>IFERROR(__xludf.DUMMYFUNCTION("""COMPUTED_VALUE"""),1.0)</f>
        <v>1</v>
      </c>
    </row>
    <row r="823">
      <c r="A823" s="10" t="str">
        <f>IFERROR(__xludf.DUMMYFUNCTION("""COMPUTED_VALUE"""),"ちょんぼ丸")</f>
        <v>ちょんぼ丸</v>
      </c>
      <c r="B823" s="10">
        <f>IFERROR(__xludf.DUMMYFUNCTION("""COMPUTED_VALUE"""),206.0)</f>
        <v>206</v>
      </c>
      <c r="C823" s="10">
        <f>IFERROR(__xludf.DUMMYFUNCTION("""COMPUTED_VALUE"""),2376.0)</f>
        <v>2376</v>
      </c>
      <c r="D823" s="5">
        <f>IFERROR(__xludf.DUMMYFUNCTION("""COMPUTED_VALUE"""),0.3617511520737327)</f>
        <v>0.3617511521</v>
      </c>
      <c r="E823" s="5">
        <f>IFERROR(__xludf.DUMMYFUNCTION("""COMPUTED_VALUE"""),0.14285714285714285)</f>
        <v>0.1428571429</v>
      </c>
      <c r="F823" s="5">
        <f>IFERROR(__xludf.DUMMYFUNCTION("""COMPUTED_VALUE"""),0.22258064516129034)</f>
        <v>0.2225806452</v>
      </c>
      <c r="G823" s="5">
        <f>IFERROR(__xludf.DUMMYFUNCTION("""COMPUTED_VALUE"""),0.2)</f>
        <v>0.2</v>
      </c>
      <c r="H823" s="5">
        <f>IFERROR(__xludf.DUMMYFUNCTION("""COMPUTED_VALUE"""),0.5341614906832298)</f>
        <v>0.5341614907</v>
      </c>
      <c r="I823" s="11">
        <f>IFERROR(__xludf.DUMMYFUNCTION("""COMPUTED_VALUE"""),5769.565217391304)</f>
        <v>5769.565217</v>
      </c>
      <c r="J823" s="10">
        <f>IFERROR(__xludf.DUMMYFUNCTION("""COMPUTED_VALUE"""),0.0)</f>
        <v>0</v>
      </c>
      <c r="K823" s="5">
        <f>IFERROR(__xludf.DUMMYFUNCTION("""COMPUTED_VALUE"""),0.0)</f>
        <v>0</v>
      </c>
      <c r="L823" s="10">
        <f>IFERROR(__xludf.DUMMYFUNCTION("""COMPUTED_VALUE"""),206.0)</f>
        <v>206</v>
      </c>
      <c r="M823" s="5">
        <f>IFERROR(__xludf.DUMMYFUNCTION("""COMPUTED_VALUE"""),1.0)</f>
        <v>1</v>
      </c>
    </row>
    <row r="824">
      <c r="A824" s="10" t="str">
        <f>IFERROR(__xludf.DUMMYFUNCTION("""COMPUTED_VALUE"""),"Oiのぶ子")</f>
        <v>Oiのぶ子</v>
      </c>
      <c r="B824" s="10">
        <f>IFERROR(__xludf.DUMMYFUNCTION("""COMPUTED_VALUE"""),352.0)</f>
        <v>352</v>
      </c>
      <c r="C824" s="10">
        <f>IFERROR(__xludf.DUMMYFUNCTION("""COMPUTED_VALUE"""),4168.0)</f>
        <v>4168</v>
      </c>
      <c r="D824" s="5">
        <f>IFERROR(__xludf.DUMMYFUNCTION("""COMPUTED_VALUE"""),0.5505765199161425)</f>
        <v>0.5505765199</v>
      </c>
      <c r="E824" s="5">
        <f>IFERROR(__xludf.DUMMYFUNCTION("""COMPUTED_VALUE"""),0.1428197064989518)</f>
        <v>0.1428197065</v>
      </c>
      <c r="F824" s="5">
        <f>IFERROR(__xludf.DUMMYFUNCTION("""COMPUTED_VALUE"""),0.23558700209643607)</f>
        <v>0.2355870021</v>
      </c>
      <c r="G824" s="5">
        <f>IFERROR(__xludf.DUMMYFUNCTION("""COMPUTED_VALUE"""),0.17321802935010483)</f>
        <v>0.1732180294</v>
      </c>
      <c r="H824" s="5">
        <f>IFERROR(__xludf.DUMMYFUNCTION("""COMPUTED_VALUE"""),0.5795328142380423)</f>
        <v>0.5795328142</v>
      </c>
      <c r="I824" s="11">
        <f>IFERROR(__xludf.DUMMYFUNCTION("""COMPUTED_VALUE"""),5075.75083426029)</f>
        <v>5075.750834</v>
      </c>
      <c r="J824" s="10">
        <f>IFERROR(__xludf.DUMMYFUNCTION("""COMPUTED_VALUE"""),0.0)</f>
        <v>0</v>
      </c>
      <c r="K824" s="5">
        <f>IFERROR(__xludf.DUMMYFUNCTION("""COMPUTED_VALUE"""),0.0)</f>
        <v>0</v>
      </c>
      <c r="L824" s="10">
        <f>IFERROR(__xludf.DUMMYFUNCTION("""COMPUTED_VALUE"""),352.0)</f>
        <v>352</v>
      </c>
      <c r="M824" s="5">
        <f>IFERROR(__xludf.DUMMYFUNCTION("""COMPUTED_VALUE"""),1.0)</f>
        <v>1</v>
      </c>
    </row>
    <row r="825">
      <c r="A825" s="10" t="str">
        <f>IFERROR(__xludf.DUMMYFUNCTION("""COMPUTED_VALUE"""),"ＩＤ名考え中")</f>
        <v>ＩＤ名考え中</v>
      </c>
      <c r="B825" s="10">
        <f>IFERROR(__xludf.DUMMYFUNCTION("""COMPUTED_VALUE"""),335.0)</f>
        <v>335</v>
      </c>
      <c r="C825" s="10">
        <f>IFERROR(__xludf.DUMMYFUNCTION("""COMPUTED_VALUE"""),3983.0)</f>
        <v>3983</v>
      </c>
      <c r="D825" s="5">
        <f>IFERROR(__xludf.DUMMYFUNCTION("""COMPUTED_VALUE"""),0.34073464912280704)</f>
        <v>0.3407346491</v>
      </c>
      <c r="E825" s="5">
        <f>IFERROR(__xludf.DUMMYFUNCTION("""COMPUTED_VALUE"""),0.14281798245614036)</f>
        <v>0.1428179825</v>
      </c>
      <c r="F825" s="5">
        <f>IFERROR(__xludf.DUMMYFUNCTION("""COMPUTED_VALUE"""),0.2256030701754386)</f>
        <v>0.2256030702</v>
      </c>
      <c r="G825" s="5">
        <f>IFERROR(__xludf.DUMMYFUNCTION("""COMPUTED_VALUE"""),0.17817982456140352)</f>
        <v>0.1781798246</v>
      </c>
      <c r="H825" s="5">
        <f>IFERROR(__xludf.DUMMYFUNCTION("""COMPUTED_VALUE"""),0.6087484811664642)</f>
        <v>0.6087484812</v>
      </c>
      <c r="I825" s="11">
        <f>IFERROR(__xludf.DUMMYFUNCTION("""COMPUTED_VALUE"""),5814.216281895504)</f>
        <v>5814.216282</v>
      </c>
      <c r="J825" s="10">
        <f>IFERROR(__xludf.DUMMYFUNCTION("""COMPUTED_VALUE"""),0.0)</f>
        <v>0</v>
      </c>
      <c r="K825" s="5">
        <f>IFERROR(__xludf.DUMMYFUNCTION("""COMPUTED_VALUE"""),0.0)</f>
        <v>0</v>
      </c>
      <c r="L825" s="10">
        <f>IFERROR(__xludf.DUMMYFUNCTION("""COMPUTED_VALUE"""),335.0)</f>
        <v>335</v>
      </c>
      <c r="M825" s="5">
        <f>IFERROR(__xludf.DUMMYFUNCTION("""COMPUTED_VALUE"""),1.0)</f>
        <v>1</v>
      </c>
    </row>
    <row r="826">
      <c r="A826" s="10" t="str">
        <f>IFERROR(__xludf.DUMMYFUNCTION("""COMPUTED_VALUE"""),"Raian.")</f>
        <v>Raian.</v>
      </c>
      <c r="B826" s="10">
        <f>IFERROR(__xludf.DUMMYFUNCTION("""COMPUTED_VALUE"""),236.0)</f>
        <v>236</v>
      </c>
      <c r="C826" s="10">
        <f>IFERROR(__xludf.DUMMYFUNCTION("""COMPUTED_VALUE"""),2750.0)</f>
        <v>2750</v>
      </c>
      <c r="D826" s="5">
        <f>IFERROR(__xludf.DUMMYFUNCTION("""COMPUTED_VALUE"""),0.3615751789976134)</f>
        <v>0.361575179</v>
      </c>
      <c r="E826" s="5">
        <f>IFERROR(__xludf.DUMMYFUNCTION("""COMPUTED_VALUE"""),0.1428003182179793)</f>
        <v>0.1428003182</v>
      </c>
      <c r="F826" s="5">
        <f>IFERROR(__xludf.DUMMYFUNCTION("""COMPUTED_VALUE"""),0.19371519490851233)</f>
        <v>0.1937151949</v>
      </c>
      <c r="G826" s="5">
        <f>IFERROR(__xludf.DUMMYFUNCTION("""COMPUTED_VALUE"""),0.17024661893396978)</f>
        <v>0.1702466189</v>
      </c>
      <c r="H826" s="5">
        <f>IFERROR(__xludf.DUMMYFUNCTION("""COMPUTED_VALUE"""),0.5770020533880903)</f>
        <v>0.5770020534</v>
      </c>
      <c r="I826" s="11">
        <f>IFERROR(__xludf.DUMMYFUNCTION("""COMPUTED_VALUE"""),5937.782340862423)</f>
        <v>5937.782341</v>
      </c>
      <c r="J826" s="10">
        <f>IFERROR(__xludf.DUMMYFUNCTION("""COMPUTED_VALUE"""),0.0)</f>
        <v>0</v>
      </c>
      <c r="K826" s="5">
        <f>IFERROR(__xludf.DUMMYFUNCTION("""COMPUTED_VALUE"""),0.0)</f>
        <v>0</v>
      </c>
      <c r="L826" s="10">
        <f>IFERROR(__xludf.DUMMYFUNCTION("""COMPUTED_VALUE"""),236.0)</f>
        <v>236</v>
      </c>
      <c r="M826" s="5">
        <f>IFERROR(__xludf.DUMMYFUNCTION("""COMPUTED_VALUE"""),1.0)</f>
        <v>1</v>
      </c>
    </row>
    <row r="827">
      <c r="A827" s="10" t="str">
        <f>IFERROR(__xludf.DUMMYFUNCTION("""COMPUTED_VALUE"""),"馬杉寧香")</f>
        <v>馬杉寧香</v>
      </c>
      <c r="B827" s="10">
        <f>IFERROR(__xludf.DUMMYFUNCTION("""COMPUTED_VALUE"""),1418.0)</f>
        <v>1418</v>
      </c>
      <c r="C827" s="10">
        <f>IFERROR(__xludf.DUMMYFUNCTION("""COMPUTED_VALUE"""),16376.0)</f>
        <v>16376</v>
      </c>
      <c r="D827" s="5">
        <f>IFERROR(__xludf.DUMMYFUNCTION("""COMPUTED_VALUE"""),0.4131568391496189)</f>
        <v>0.4131568391</v>
      </c>
      <c r="E827" s="5">
        <f>IFERROR(__xludf.DUMMYFUNCTION("""COMPUTED_VALUE"""),0.14279983955074207)</f>
        <v>0.1427998396</v>
      </c>
      <c r="F827" s="5">
        <f>IFERROR(__xludf.DUMMYFUNCTION("""COMPUTED_VALUE"""),0.2275705308196283)</f>
        <v>0.2275705308</v>
      </c>
      <c r="G827" s="5">
        <f>IFERROR(__xludf.DUMMYFUNCTION("""COMPUTED_VALUE"""),0.1917368632170076)</f>
        <v>0.1917368632</v>
      </c>
      <c r="H827" s="5">
        <f>IFERROR(__xludf.DUMMYFUNCTION("""COMPUTED_VALUE"""),0.5919506462984724)</f>
        <v>0.5919506463</v>
      </c>
      <c r="I827" s="11">
        <f>IFERROR(__xludf.DUMMYFUNCTION("""COMPUTED_VALUE"""),5834.48883666275)</f>
        <v>5834.488837</v>
      </c>
      <c r="J827" s="10">
        <f>IFERROR(__xludf.DUMMYFUNCTION("""COMPUTED_VALUE"""),4.0)</f>
        <v>4</v>
      </c>
      <c r="K827" s="5">
        <f>IFERROR(__xludf.DUMMYFUNCTION("""COMPUTED_VALUE"""),0.0028208744710860366)</f>
        <v>0.002820874471</v>
      </c>
      <c r="L827" s="10">
        <f>IFERROR(__xludf.DUMMYFUNCTION("""COMPUTED_VALUE"""),0.0)</f>
        <v>0</v>
      </c>
      <c r="M827" s="5">
        <f>IFERROR(__xludf.DUMMYFUNCTION("""COMPUTED_VALUE"""),0.0)</f>
        <v>0</v>
      </c>
    </row>
    <row r="828">
      <c r="A828" s="10" t="str">
        <f>IFERROR(__xludf.DUMMYFUNCTION("""COMPUTED_VALUE"""),"デュー")</f>
        <v>デュー</v>
      </c>
      <c r="B828" s="10">
        <f>IFERROR(__xludf.DUMMYFUNCTION("""COMPUTED_VALUE"""),618.0)</f>
        <v>618</v>
      </c>
      <c r="C828" s="10">
        <f>IFERROR(__xludf.DUMMYFUNCTION("""COMPUTED_VALUE"""),7125.0)</f>
        <v>7125</v>
      </c>
      <c r="D828" s="5">
        <f>IFERROR(__xludf.DUMMYFUNCTION("""COMPUTED_VALUE"""),0.2919932380513293)</f>
        <v>0.2919932381</v>
      </c>
      <c r="E828" s="5">
        <f>IFERROR(__xludf.DUMMYFUNCTION("""COMPUTED_VALUE"""),0.14276932534193945)</f>
        <v>0.1427693253</v>
      </c>
      <c r="F828" s="5">
        <f>IFERROR(__xludf.DUMMYFUNCTION("""COMPUTED_VALUE"""),0.20193637621023514)</f>
        <v>0.2019363762</v>
      </c>
      <c r="G828" s="5">
        <f>IFERROR(__xludf.DUMMYFUNCTION("""COMPUTED_VALUE"""),0.18672199170124482)</f>
        <v>0.1867219917</v>
      </c>
      <c r="H828" s="5">
        <f>IFERROR(__xludf.DUMMYFUNCTION("""COMPUTED_VALUE"""),0.5776255707762558)</f>
        <v>0.5776255708</v>
      </c>
      <c r="I828" s="11">
        <f>IFERROR(__xludf.DUMMYFUNCTION("""COMPUTED_VALUE"""),6040.030441400304)</f>
        <v>6040.030441</v>
      </c>
      <c r="J828" s="10">
        <f>IFERROR(__xludf.DUMMYFUNCTION("""COMPUTED_VALUE"""),2.0)</f>
        <v>2</v>
      </c>
      <c r="K828" s="5">
        <f>IFERROR(__xludf.DUMMYFUNCTION("""COMPUTED_VALUE"""),0.003236245954692557)</f>
        <v>0.003236245955</v>
      </c>
      <c r="L828" s="10">
        <f>IFERROR(__xludf.DUMMYFUNCTION("""COMPUTED_VALUE"""),618.0)</f>
        <v>618</v>
      </c>
      <c r="M828" s="5">
        <f>IFERROR(__xludf.DUMMYFUNCTION("""COMPUTED_VALUE"""),1.0)</f>
        <v>1</v>
      </c>
    </row>
    <row r="829">
      <c r="A829" s="10" t="str">
        <f>IFERROR(__xludf.DUMMYFUNCTION("""COMPUTED_VALUE"""),"ハイテンボー")</f>
        <v>ハイテンボー</v>
      </c>
      <c r="B829" s="10">
        <f>IFERROR(__xludf.DUMMYFUNCTION("""COMPUTED_VALUE"""),1598.0)</f>
        <v>1598</v>
      </c>
      <c r="C829" s="10">
        <f>IFERROR(__xludf.DUMMYFUNCTION("""COMPUTED_VALUE"""),18682.0)</f>
        <v>18682</v>
      </c>
      <c r="D829" s="5">
        <f>IFERROR(__xludf.DUMMYFUNCTION("""COMPUTED_VALUE"""),0.3059002575509248)</f>
        <v>0.3059002576</v>
      </c>
      <c r="E829" s="5">
        <f>IFERROR(__xludf.DUMMYFUNCTION("""COMPUTED_VALUE"""),0.142765160383985)</f>
        <v>0.1427651604</v>
      </c>
      <c r="F829" s="5">
        <f>IFERROR(__xludf.DUMMYFUNCTION("""COMPUTED_VALUE"""),0.2216693982673847)</f>
        <v>0.2216693983</v>
      </c>
      <c r="G829" s="5">
        <f>IFERROR(__xludf.DUMMYFUNCTION("""COMPUTED_VALUE"""),0.15523296651837978)</f>
        <v>0.1552329665</v>
      </c>
      <c r="H829" s="5">
        <f>IFERROR(__xludf.DUMMYFUNCTION("""COMPUTED_VALUE"""),0.6012674940586216)</f>
        <v>0.6012674941</v>
      </c>
      <c r="I829" s="11">
        <f>IFERROR(__xludf.DUMMYFUNCTION("""COMPUTED_VALUE"""),5567.045154475838)</f>
        <v>5567.045154</v>
      </c>
      <c r="J829" s="10">
        <f>IFERROR(__xludf.DUMMYFUNCTION("""COMPUTED_VALUE"""),5.0)</f>
        <v>5</v>
      </c>
      <c r="K829" s="5">
        <f>IFERROR(__xludf.DUMMYFUNCTION("""COMPUTED_VALUE"""),0.0031289111389236545)</f>
        <v>0.003128911139</v>
      </c>
      <c r="L829" s="10">
        <f>IFERROR(__xludf.DUMMYFUNCTION("""COMPUTED_VALUE"""),1598.0)</f>
        <v>1598</v>
      </c>
      <c r="M829" s="5">
        <f>IFERROR(__xludf.DUMMYFUNCTION("""COMPUTED_VALUE"""),1.0)</f>
        <v>1</v>
      </c>
    </row>
    <row r="830">
      <c r="A830" s="10" t="str">
        <f>IFERROR(__xludf.DUMMYFUNCTION("""COMPUTED_VALUE"""),"銀河鉄道７７７")</f>
        <v>銀河鉄道７７７</v>
      </c>
      <c r="B830" s="10">
        <f>IFERROR(__xludf.DUMMYFUNCTION("""COMPUTED_VALUE"""),964.0)</f>
        <v>964</v>
      </c>
      <c r="C830" s="10">
        <f>IFERROR(__xludf.DUMMYFUNCTION("""COMPUTED_VALUE"""),11254.0)</f>
        <v>11254</v>
      </c>
      <c r="D830" s="5">
        <f>IFERROR(__xludf.DUMMYFUNCTION("""COMPUTED_VALUE"""),0.3444120505344995)</f>
        <v>0.3444120505</v>
      </c>
      <c r="E830" s="5">
        <f>IFERROR(__xludf.DUMMYFUNCTION("""COMPUTED_VALUE"""),0.14275996112730807)</f>
        <v>0.1427599611</v>
      </c>
      <c r="F830" s="5">
        <f>IFERROR(__xludf.DUMMYFUNCTION("""COMPUTED_VALUE"""),0.21554907677356658)</f>
        <v>0.2155490768</v>
      </c>
      <c r="G830" s="5">
        <f>IFERROR(__xludf.DUMMYFUNCTION("""COMPUTED_VALUE"""),0.17881438289601556)</f>
        <v>0.1788143829</v>
      </c>
      <c r="H830" s="5">
        <f>IFERROR(__xludf.DUMMYFUNCTION("""COMPUTED_VALUE"""),0.5770964833183048)</f>
        <v>0.5770964833</v>
      </c>
      <c r="I830" s="11">
        <f>IFERROR(__xludf.DUMMYFUNCTION("""COMPUTED_VALUE"""),5692.696122633003)</f>
        <v>5692.696123</v>
      </c>
      <c r="J830" s="10">
        <f>IFERROR(__xludf.DUMMYFUNCTION("""COMPUTED_VALUE"""),0.0)</f>
        <v>0</v>
      </c>
      <c r="K830" s="5">
        <f>IFERROR(__xludf.DUMMYFUNCTION("""COMPUTED_VALUE"""),0.0)</f>
        <v>0</v>
      </c>
      <c r="L830" s="10">
        <f>IFERROR(__xludf.DUMMYFUNCTION("""COMPUTED_VALUE"""),964.0)</f>
        <v>964</v>
      </c>
      <c r="M830" s="5">
        <f>IFERROR(__xludf.DUMMYFUNCTION("""COMPUTED_VALUE"""),1.0)</f>
        <v>1</v>
      </c>
    </row>
    <row r="831">
      <c r="A831" s="10" t="str">
        <f>IFERROR(__xludf.DUMMYFUNCTION("""COMPUTED_VALUE"""),"腸炎ビブリオ")</f>
        <v>腸炎ビブリオ</v>
      </c>
      <c r="B831" s="10">
        <f>IFERROR(__xludf.DUMMYFUNCTION("""COMPUTED_VALUE"""),256.0)</f>
        <v>256</v>
      </c>
      <c r="C831" s="10">
        <f>IFERROR(__xludf.DUMMYFUNCTION("""COMPUTED_VALUE"""),3023.0)</f>
        <v>3023</v>
      </c>
      <c r="D831" s="5">
        <f>IFERROR(__xludf.DUMMYFUNCTION("""COMPUTED_VALUE"""),0.3223707986989519)</f>
        <v>0.3223707987</v>
      </c>
      <c r="E831" s="5">
        <f>IFERROR(__xludf.DUMMYFUNCTION("""COMPUTED_VALUE"""),0.14275388507408746)</f>
        <v>0.1427538851</v>
      </c>
      <c r="F831" s="5">
        <f>IFERROR(__xludf.DUMMYFUNCTION("""COMPUTED_VALUE"""),0.2106975063245392)</f>
        <v>0.2106975063</v>
      </c>
      <c r="G831" s="5">
        <f>IFERROR(__xludf.DUMMYFUNCTION("""COMPUTED_VALUE"""),0.17672569569931335)</f>
        <v>0.1767256957</v>
      </c>
      <c r="H831" s="5">
        <f>IFERROR(__xludf.DUMMYFUNCTION("""COMPUTED_VALUE"""),0.5643224699828473)</f>
        <v>0.56432247</v>
      </c>
      <c r="I831" s="11">
        <f>IFERROR(__xludf.DUMMYFUNCTION("""COMPUTED_VALUE"""),6003.773584905661)</f>
        <v>6003.773585</v>
      </c>
      <c r="J831" s="10">
        <f>IFERROR(__xludf.DUMMYFUNCTION("""COMPUTED_VALUE"""),0.0)</f>
        <v>0</v>
      </c>
      <c r="K831" s="5">
        <f>IFERROR(__xludf.DUMMYFUNCTION("""COMPUTED_VALUE"""),0.0)</f>
        <v>0</v>
      </c>
      <c r="L831" s="10">
        <f>IFERROR(__xludf.DUMMYFUNCTION("""COMPUTED_VALUE"""),256.0)</f>
        <v>256</v>
      </c>
      <c r="M831" s="5">
        <f>IFERROR(__xludf.DUMMYFUNCTION("""COMPUTED_VALUE"""),1.0)</f>
        <v>1</v>
      </c>
    </row>
    <row r="832">
      <c r="A832" s="10" t="str">
        <f>IFERROR(__xludf.DUMMYFUNCTION("""COMPUTED_VALUE"""),"suporoN")</f>
        <v>suporoN</v>
      </c>
      <c r="B832" s="10">
        <f>IFERROR(__xludf.DUMMYFUNCTION("""COMPUTED_VALUE"""),120.0)</f>
        <v>120</v>
      </c>
      <c r="C832" s="10">
        <f>IFERROR(__xludf.DUMMYFUNCTION("""COMPUTED_VALUE"""),1374.0)</f>
        <v>1374</v>
      </c>
      <c r="D832" s="5">
        <f>IFERROR(__xludf.DUMMYFUNCTION("""COMPUTED_VALUE"""),0.3484848484848485)</f>
        <v>0.3484848485</v>
      </c>
      <c r="E832" s="5">
        <f>IFERROR(__xludf.DUMMYFUNCTION("""COMPUTED_VALUE"""),0.14274322169059012)</f>
        <v>0.1427432217</v>
      </c>
      <c r="F832" s="5">
        <f>IFERROR(__xludf.DUMMYFUNCTION("""COMPUTED_VALUE"""),0.20813397129186603)</f>
        <v>0.2081339713</v>
      </c>
      <c r="G832" s="5">
        <f>IFERROR(__xludf.DUMMYFUNCTION("""COMPUTED_VALUE"""),0.1810207336523126)</f>
        <v>0.1810207337</v>
      </c>
      <c r="H832" s="5">
        <f>IFERROR(__xludf.DUMMYFUNCTION("""COMPUTED_VALUE"""),0.5862068965517241)</f>
        <v>0.5862068966</v>
      </c>
      <c r="I832" s="11">
        <f>IFERROR(__xludf.DUMMYFUNCTION("""COMPUTED_VALUE"""),6085.057471264367)</f>
        <v>6085.057471</v>
      </c>
      <c r="J832" s="10">
        <f>IFERROR(__xludf.DUMMYFUNCTION("""COMPUTED_VALUE"""),0.0)</f>
        <v>0</v>
      </c>
      <c r="K832" s="5">
        <f>IFERROR(__xludf.DUMMYFUNCTION("""COMPUTED_VALUE"""),0.0)</f>
        <v>0</v>
      </c>
      <c r="L832" s="10">
        <f>IFERROR(__xludf.DUMMYFUNCTION("""COMPUTED_VALUE"""),120.0)</f>
        <v>120</v>
      </c>
      <c r="M832" s="5">
        <f>IFERROR(__xludf.DUMMYFUNCTION("""COMPUTED_VALUE"""),1.0)</f>
        <v>1</v>
      </c>
    </row>
    <row r="833">
      <c r="A833" s="10" t="str">
        <f>IFERROR(__xludf.DUMMYFUNCTION("""COMPUTED_VALUE"""),"Ⅸの休日")</f>
        <v>Ⅸの休日</v>
      </c>
      <c r="B833" s="10">
        <f>IFERROR(__xludf.DUMMYFUNCTION("""COMPUTED_VALUE"""),513.0)</f>
        <v>513</v>
      </c>
      <c r="C833" s="10">
        <f>IFERROR(__xludf.DUMMYFUNCTION("""COMPUTED_VALUE"""),6013.0)</f>
        <v>6013</v>
      </c>
      <c r="D833" s="5">
        <f>IFERROR(__xludf.DUMMYFUNCTION("""COMPUTED_VALUE"""),0.3421818181818182)</f>
        <v>0.3421818182</v>
      </c>
      <c r="E833" s="5">
        <f>IFERROR(__xludf.DUMMYFUNCTION("""COMPUTED_VALUE"""),0.14272727272727273)</f>
        <v>0.1427272727</v>
      </c>
      <c r="F833" s="5">
        <f>IFERROR(__xludf.DUMMYFUNCTION("""COMPUTED_VALUE"""),0.21381818181818182)</f>
        <v>0.2138181818</v>
      </c>
      <c r="G833" s="5">
        <f>IFERROR(__xludf.DUMMYFUNCTION("""COMPUTED_VALUE"""),0.18054545454545454)</f>
        <v>0.1805454545</v>
      </c>
      <c r="H833" s="5">
        <f>IFERROR(__xludf.DUMMYFUNCTION("""COMPUTED_VALUE"""),0.5892857142857143)</f>
        <v>0.5892857143</v>
      </c>
      <c r="I833" s="11">
        <f>IFERROR(__xludf.DUMMYFUNCTION("""COMPUTED_VALUE"""),6040.476190476191)</f>
        <v>6040.47619</v>
      </c>
      <c r="J833" s="10">
        <f>IFERROR(__xludf.DUMMYFUNCTION("""COMPUTED_VALUE"""),1.0)</f>
        <v>1</v>
      </c>
      <c r="K833" s="5">
        <f>IFERROR(__xludf.DUMMYFUNCTION("""COMPUTED_VALUE"""),0.001949317738791423)</f>
        <v>0.001949317739</v>
      </c>
      <c r="L833" s="10">
        <f>IFERROR(__xludf.DUMMYFUNCTION("""COMPUTED_VALUE"""),513.0)</f>
        <v>513</v>
      </c>
      <c r="M833" s="5">
        <f>IFERROR(__xludf.DUMMYFUNCTION("""COMPUTED_VALUE"""),1.0)</f>
        <v>1</v>
      </c>
    </row>
    <row r="834">
      <c r="A834" s="10" t="str">
        <f>IFERROR(__xludf.DUMMYFUNCTION("""COMPUTED_VALUE"""),"mae-0127")</f>
        <v>mae-0127</v>
      </c>
      <c r="B834" s="10">
        <f>IFERROR(__xludf.DUMMYFUNCTION("""COMPUTED_VALUE"""),2139.0)</f>
        <v>2139</v>
      </c>
      <c r="C834" s="10">
        <f>IFERROR(__xludf.DUMMYFUNCTION("""COMPUTED_VALUE"""),24799.0)</f>
        <v>24799</v>
      </c>
      <c r="D834" s="5">
        <f>IFERROR(__xludf.DUMMYFUNCTION("""COMPUTED_VALUE"""),0.34249779346866727)</f>
        <v>0.3424977935</v>
      </c>
      <c r="E834" s="5">
        <f>IFERROR(__xludf.DUMMYFUNCTION("""COMPUTED_VALUE"""),0.14271844660194175)</f>
        <v>0.1427184466</v>
      </c>
      <c r="F834" s="5">
        <f>IFERROR(__xludf.DUMMYFUNCTION("""COMPUTED_VALUE"""),0.22069726390114738)</f>
        <v>0.2206972639</v>
      </c>
      <c r="G834" s="5">
        <f>IFERROR(__xludf.DUMMYFUNCTION("""COMPUTED_VALUE"""),0.17440423654015888)</f>
        <v>0.1744042365</v>
      </c>
      <c r="H834" s="5">
        <f>IFERROR(__xludf.DUMMYFUNCTION("""COMPUTED_VALUE"""),0.5960807838432314)</f>
        <v>0.5960807838</v>
      </c>
      <c r="I834" s="11">
        <f>IFERROR(__xludf.DUMMYFUNCTION("""COMPUTED_VALUE"""),5774.465106978604)</f>
        <v>5774.465107</v>
      </c>
      <c r="J834" s="10">
        <f>IFERROR(__xludf.DUMMYFUNCTION("""COMPUTED_VALUE"""),3.0)</f>
        <v>3</v>
      </c>
      <c r="K834" s="5">
        <f>IFERROR(__xludf.DUMMYFUNCTION("""COMPUTED_VALUE"""),0.001402524544179523)</f>
        <v>0.001402524544</v>
      </c>
      <c r="L834" s="10">
        <f>IFERROR(__xludf.DUMMYFUNCTION("""COMPUTED_VALUE"""),2139.0)</f>
        <v>2139</v>
      </c>
      <c r="M834" s="5">
        <f>IFERROR(__xludf.DUMMYFUNCTION("""COMPUTED_VALUE"""),1.0)</f>
        <v>1</v>
      </c>
    </row>
    <row r="835">
      <c r="A835" s="10" t="str">
        <f>IFERROR(__xludf.DUMMYFUNCTION("""COMPUTED_VALUE"""),"(´へεへ`)")</f>
        <v>(´へεへ`)</v>
      </c>
      <c r="B835" s="10">
        <f>IFERROR(__xludf.DUMMYFUNCTION("""COMPUTED_VALUE"""),371.0)</f>
        <v>371</v>
      </c>
      <c r="C835" s="10">
        <f>IFERROR(__xludf.DUMMYFUNCTION("""COMPUTED_VALUE"""),4309.0)</f>
        <v>4309</v>
      </c>
      <c r="D835" s="5">
        <f>IFERROR(__xludf.DUMMYFUNCTION("""COMPUTED_VALUE"""),0.3643981716607415)</f>
        <v>0.3643981717</v>
      </c>
      <c r="E835" s="5">
        <f>IFERROR(__xludf.DUMMYFUNCTION("""COMPUTED_VALUE"""),0.14271203656678516)</f>
        <v>0.1427120366</v>
      </c>
      <c r="F835" s="5">
        <f>IFERROR(__xludf.DUMMYFUNCTION("""COMPUTED_VALUE"""),0.23006602336211274)</f>
        <v>0.2300660234</v>
      </c>
      <c r="G835" s="5">
        <f>IFERROR(__xludf.DUMMYFUNCTION("""COMPUTED_VALUE"""),0.20416455053326563)</f>
        <v>0.2041645505</v>
      </c>
      <c r="H835" s="5">
        <f>IFERROR(__xludf.DUMMYFUNCTION("""COMPUTED_VALUE"""),0.6114790286975718)</f>
        <v>0.6114790287</v>
      </c>
      <c r="I835" s="11">
        <f>IFERROR(__xludf.DUMMYFUNCTION("""COMPUTED_VALUE"""),5734.437086092716)</f>
        <v>5734.437086</v>
      </c>
      <c r="J835" s="10">
        <f>IFERROR(__xludf.DUMMYFUNCTION("""COMPUTED_VALUE"""),2.0)</f>
        <v>2</v>
      </c>
      <c r="K835" s="5">
        <f>IFERROR(__xludf.DUMMYFUNCTION("""COMPUTED_VALUE"""),0.005390835579514825)</f>
        <v>0.00539083558</v>
      </c>
      <c r="L835" s="10">
        <f>IFERROR(__xludf.DUMMYFUNCTION("""COMPUTED_VALUE"""),371.0)</f>
        <v>371</v>
      </c>
      <c r="M835" s="5">
        <f>IFERROR(__xludf.DUMMYFUNCTION("""COMPUTED_VALUE"""),1.0)</f>
        <v>1</v>
      </c>
    </row>
    <row r="836">
      <c r="A836" s="10" t="str">
        <f>IFERROR(__xludf.DUMMYFUNCTION("""COMPUTED_VALUE"""),"MasaMasa")</f>
        <v>MasaMasa</v>
      </c>
      <c r="B836" s="10">
        <f>IFERROR(__xludf.DUMMYFUNCTION("""COMPUTED_VALUE"""),832.0)</f>
        <v>832</v>
      </c>
      <c r="C836" s="10">
        <f>IFERROR(__xludf.DUMMYFUNCTION("""COMPUTED_VALUE"""),9647.0)</f>
        <v>9647</v>
      </c>
      <c r="D836" s="5">
        <f>IFERROR(__xludf.DUMMYFUNCTION("""COMPUTED_VALUE"""),0.3627906976744186)</f>
        <v>0.3627906977</v>
      </c>
      <c r="E836" s="5">
        <f>IFERROR(__xludf.DUMMYFUNCTION("""COMPUTED_VALUE"""),0.14271128757799206)</f>
        <v>0.1427112876</v>
      </c>
      <c r="F836" s="5">
        <f>IFERROR(__xludf.DUMMYFUNCTION("""COMPUTED_VALUE"""),0.21576857629041407)</f>
        <v>0.2157685763</v>
      </c>
      <c r="G836" s="5">
        <f>IFERROR(__xludf.DUMMYFUNCTION("""COMPUTED_VALUE"""),0.18638684061259217)</f>
        <v>0.1863868406</v>
      </c>
      <c r="H836" s="5">
        <f>IFERROR(__xludf.DUMMYFUNCTION("""COMPUTED_VALUE"""),0.5867507886435331)</f>
        <v>0.5867507886</v>
      </c>
      <c r="I836" s="11">
        <f>IFERROR(__xludf.DUMMYFUNCTION("""COMPUTED_VALUE"""),5918.454258675079)</f>
        <v>5918.454259</v>
      </c>
      <c r="J836" s="10">
        <f>IFERROR(__xludf.DUMMYFUNCTION("""COMPUTED_VALUE"""),3.0)</f>
        <v>3</v>
      </c>
      <c r="K836" s="5">
        <f>IFERROR(__xludf.DUMMYFUNCTION("""COMPUTED_VALUE"""),0.003605769230769231)</f>
        <v>0.003605769231</v>
      </c>
      <c r="L836" s="10">
        <f>IFERROR(__xludf.DUMMYFUNCTION("""COMPUTED_VALUE"""),18.0)</f>
        <v>18</v>
      </c>
      <c r="M836" s="5">
        <f>IFERROR(__xludf.DUMMYFUNCTION("""COMPUTED_VALUE"""),0.021634615384615384)</f>
        <v>0.02163461538</v>
      </c>
    </row>
    <row r="837">
      <c r="A837" s="10" t="str">
        <f>IFERROR(__xludf.DUMMYFUNCTION("""COMPUTED_VALUE"""),"樋口一葉")</f>
        <v>樋口一葉</v>
      </c>
      <c r="B837" s="10">
        <f>IFERROR(__xludf.DUMMYFUNCTION("""COMPUTED_VALUE"""),402.0)</f>
        <v>402</v>
      </c>
      <c r="C837" s="10">
        <f>IFERROR(__xludf.DUMMYFUNCTION("""COMPUTED_VALUE"""),4761.0)</f>
        <v>4761</v>
      </c>
      <c r="D837" s="5">
        <f>IFERROR(__xludf.DUMMYFUNCTION("""COMPUTED_VALUE"""),0.3381509520532232)</f>
        <v>0.3381509521</v>
      </c>
      <c r="E837" s="5">
        <f>IFERROR(__xludf.DUMMYFUNCTION("""COMPUTED_VALUE"""),0.1426932782748337)</f>
        <v>0.1426932783</v>
      </c>
      <c r="F837" s="5">
        <f>IFERROR(__xludf.DUMMYFUNCTION("""COMPUTED_VALUE"""),0.19958706125258086)</f>
        <v>0.1995870613</v>
      </c>
      <c r="G837" s="5">
        <f>IFERROR(__xludf.DUMMYFUNCTION("""COMPUTED_VALUE"""),0.17458132599220005)</f>
        <v>0.174581326</v>
      </c>
      <c r="H837" s="5">
        <f>IFERROR(__xludf.DUMMYFUNCTION("""COMPUTED_VALUE"""),0.5873563218390805)</f>
        <v>0.5873563218</v>
      </c>
      <c r="I837" s="11">
        <f>IFERROR(__xludf.DUMMYFUNCTION("""COMPUTED_VALUE"""),5958.16091954023)</f>
        <v>5958.16092</v>
      </c>
      <c r="J837" s="10">
        <f>IFERROR(__xludf.DUMMYFUNCTION("""COMPUTED_VALUE"""),1.0)</f>
        <v>1</v>
      </c>
      <c r="K837" s="5">
        <f>IFERROR(__xludf.DUMMYFUNCTION("""COMPUTED_VALUE"""),0.0024875621890547263)</f>
        <v>0.002487562189</v>
      </c>
      <c r="L837" s="10">
        <f>IFERROR(__xludf.DUMMYFUNCTION("""COMPUTED_VALUE"""),0.0)</f>
        <v>0</v>
      </c>
      <c r="M837" s="5">
        <f>IFERROR(__xludf.DUMMYFUNCTION("""COMPUTED_VALUE"""),0.0)</f>
        <v>0</v>
      </c>
    </row>
    <row r="838">
      <c r="A838" s="10" t="str">
        <f>IFERROR(__xludf.DUMMYFUNCTION("""COMPUTED_VALUE"""),"マトリックス")</f>
        <v>マトリックス</v>
      </c>
      <c r="B838" s="10">
        <f>IFERROR(__xludf.DUMMYFUNCTION("""COMPUTED_VALUE"""),2062.0)</f>
        <v>2062</v>
      </c>
      <c r="C838" s="10">
        <f>IFERROR(__xludf.DUMMYFUNCTION("""COMPUTED_VALUE"""),24285.0)</f>
        <v>24285</v>
      </c>
      <c r="D838" s="5">
        <f>IFERROR(__xludf.DUMMYFUNCTION("""COMPUTED_VALUE"""),0.3421680241191558)</f>
        <v>0.3421680241</v>
      </c>
      <c r="E838" s="5">
        <f>IFERROR(__xludf.DUMMYFUNCTION("""COMPUTED_VALUE"""),0.14269000584979527)</f>
        <v>0.1426900058</v>
      </c>
      <c r="F838" s="5">
        <f>IFERROR(__xludf.DUMMYFUNCTION("""COMPUTED_VALUE"""),0.21059262925797598)</f>
        <v>0.2105926293</v>
      </c>
      <c r="G838" s="5">
        <f>IFERROR(__xludf.DUMMYFUNCTION("""COMPUTED_VALUE"""),0.16055438059667912)</f>
        <v>0.1605543806</v>
      </c>
      <c r="H838" s="5">
        <f>IFERROR(__xludf.DUMMYFUNCTION("""COMPUTED_VALUE"""),0.6017094017094017)</f>
        <v>0.6017094017</v>
      </c>
      <c r="I838" s="11">
        <f>IFERROR(__xludf.DUMMYFUNCTION("""COMPUTED_VALUE"""),5753.098290598291)</f>
        <v>5753.098291</v>
      </c>
      <c r="J838" s="10">
        <f>IFERROR(__xludf.DUMMYFUNCTION("""COMPUTED_VALUE"""),3.0)</f>
        <v>3</v>
      </c>
      <c r="K838" s="5">
        <f>IFERROR(__xludf.DUMMYFUNCTION("""COMPUTED_VALUE"""),0.001454898157129001)</f>
        <v>0.001454898157</v>
      </c>
      <c r="L838" s="10">
        <f>IFERROR(__xludf.DUMMYFUNCTION("""COMPUTED_VALUE"""),2062.0)</f>
        <v>2062</v>
      </c>
      <c r="M838" s="5">
        <f>IFERROR(__xludf.DUMMYFUNCTION("""COMPUTED_VALUE"""),1.0)</f>
        <v>1</v>
      </c>
    </row>
    <row r="839">
      <c r="A839" s="10" t="str">
        <f>IFERROR(__xludf.DUMMYFUNCTION("""COMPUTED_VALUE"""),"立川ひよ子")</f>
        <v>立川ひよ子</v>
      </c>
      <c r="B839" s="10">
        <f>IFERROR(__xludf.DUMMYFUNCTION("""COMPUTED_VALUE"""),1445.0)</f>
        <v>1445</v>
      </c>
      <c r="C839" s="10">
        <f>IFERROR(__xludf.DUMMYFUNCTION("""COMPUTED_VALUE"""),16618.0)</f>
        <v>16618</v>
      </c>
      <c r="D839" s="5">
        <f>IFERROR(__xludf.DUMMYFUNCTION("""COMPUTED_VALUE"""),0.42826072629012063)</f>
        <v>0.4282607263</v>
      </c>
      <c r="E839" s="5">
        <f>IFERROR(__xludf.DUMMYFUNCTION("""COMPUTED_VALUE"""),0.14268766888552034)</f>
        <v>0.1426876689</v>
      </c>
      <c r="F839" s="5">
        <f>IFERROR(__xludf.DUMMYFUNCTION("""COMPUTED_VALUE"""),0.21577802675805707)</f>
        <v>0.2157780268</v>
      </c>
      <c r="G839" s="5">
        <f>IFERROR(__xludf.DUMMYFUNCTION("""COMPUTED_VALUE"""),0.1646345482106373)</f>
        <v>0.1646345482</v>
      </c>
      <c r="H839" s="5">
        <f>IFERROR(__xludf.DUMMYFUNCTION("""COMPUTED_VALUE"""),0.594379963347587)</f>
        <v>0.5943799633</v>
      </c>
      <c r="I839" s="11">
        <f>IFERROR(__xludf.DUMMYFUNCTION("""COMPUTED_VALUE"""),5668.020769700672)</f>
        <v>5668.02077</v>
      </c>
      <c r="J839" s="10">
        <f>IFERROR(__xludf.DUMMYFUNCTION("""COMPUTED_VALUE"""),8.0)</f>
        <v>8</v>
      </c>
      <c r="K839" s="5">
        <f>IFERROR(__xludf.DUMMYFUNCTION("""COMPUTED_VALUE"""),0.005536332179930796)</f>
        <v>0.00553633218</v>
      </c>
      <c r="L839" s="10">
        <f>IFERROR(__xludf.DUMMYFUNCTION("""COMPUTED_VALUE"""),1445.0)</f>
        <v>1445</v>
      </c>
      <c r="M839" s="5">
        <f>IFERROR(__xludf.DUMMYFUNCTION("""COMPUTED_VALUE"""),1.0)</f>
        <v>1</v>
      </c>
    </row>
    <row r="840">
      <c r="A840" s="10" t="str">
        <f>IFERROR(__xludf.DUMMYFUNCTION("""COMPUTED_VALUE"""),"えるえる")</f>
        <v>えるえる</v>
      </c>
      <c r="B840" s="10">
        <f>IFERROR(__xludf.DUMMYFUNCTION("""COMPUTED_VALUE"""),622.0)</f>
        <v>622</v>
      </c>
      <c r="C840" s="10">
        <f>IFERROR(__xludf.DUMMYFUNCTION("""COMPUTED_VALUE"""),7308.0)</f>
        <v>7308</v>
      </c>
      <c r="D840" s="5">
        <f>IFERROR(__xludf.DUMMYFUNCTION("""COMPUTED_VALUE"""),0.37241998205204907)</f>
        <v>0.3724199821</v>
      </c>
      <c r="E840" s="5">
        <f>IFERROR(__xludf.DUMMYFUNCTION("""COMPUTED_VALUE"""),0.14268620999102602)</f>
        <v>0.14268621</v>
      </c>
      <c r="F840" s="5">
        <f>IFERROR(__xludf.DUMMYFUNCTION("""COMPUTED_VALUE"""),0.21836673646425367)</f>
        <v>0.2183667365</v>
      </c>
      <c r="G840" s="5">
        <f>IFERROR(__xludf.DUMMYFUNCTION("""COMPUTED_VALUE"""),0.17005683517798384)</f>
        <v>0.1700568352</v>
      </c>
      <c r="H840" s="5">
        <f>IFERROR(__xludf.DUMMYFUNCTION("""COMPUTED_VALUE"""),0.589041095890411)</f>
        <v>0.5890410959</v>
      </c>
      <c r="I840" s="11">
        <f>IFERROR(__xludf.DUMMYFUNCTION("""COMPUTED_VALUE"""),5985.6164383561645)</f>
        <v>5985.616438</v>
      </c>
      <c r="J840" s="10">
        <f>IFERROR(__xludf.DUMMYFUNCTION("""COMPUTED_VALUE"""),1.0)</f>
        <v>1</v>
      </c>
      <c r="K840" s="5">
        <f>IFERROR(__xludf.DUMMYFUNCTION("""COMPUTED_VALUE"""),0.001607717041800643)</f>
        <v>0.001607717042</v>
      </c>
      <c r="L840" s="10">
        <f>IFERROR(__xludf.DUMMYFUNCTION("""COMPUTED_VALUE"""),622.0)</f>
        <v>622</v>
      </c>
      <c r="M840" s="5">
        <f>IFERROR(__xludf.DUMMYFUNCTION("""COMPUTED_VALUE"""),1.0)</f>
        <v>1</v>
      </c>
    </row>
    <row r="841">
      <c r="A841" s="10" t="str">
        <f>IFERROR(__xludf.DUMMYFUNCTION("""COMPUTED_VALUE"""),"ShiNO")</f>
        <v>ShiNO</v>
      </c>
      <c r="B841" s="10">
        <f>IFERROR(__xludf.DUMMYFUNCTION("""COMPUTED_VALUE"""),578.0)</f>
        <v>578</v>
      </c>
      <c r="C841" s="10">
        <f>IFERROR(__xludf.DUMMYFUNCTION("""COMPUTED_VALUE"""),6690.0)</f>
        <v>6690</v>
      </c>
      <c r="D841" s="5">
        <f>IFERROR(__xludf.DUMMYFUNCTION("""COMPUTED_VALUE"""),0.4088678010471204)</f>
        <v>0.408867801</v>
      </c>
      <c r="E841" s="5">
        <f>IFERROR(__xludf.DUMMYFUNCTION("""COMPUTED_VALUE"""),0.14267015706806283)</f>
        <v>0.1426701571</v>
      </c>
      <c r="F841" s="5">
        <f>IFERROR(__xludf.DUMMYFUNCTION("""COMPUTED_VALUE"""),0.21269633507853403)</f>
        <v>0.2126963351</v>
      </c>
      <c r="G841" s="5">
        <f>IFERROR(__xludf.DUMMYFUNCTION("""COMPUTED_VALUE"""),0.1699934554973822)</f>
        <v>0.1699934555</v>
      </c>
      <c r="H841" s="5">
        <f>IFERROR(__xludf.DUMMYFUNCTION("""COMPUTED_VALUE"""),0.5723076923076923)</f>
        <v>0.5723076923</v>
      </c>
      <c r="I841" s="11">
        <f>IFERROR(__xludf.DUMMYFUNCTION("""COMPUTED_VALUE"""),5424.307692307692)</f>
        <v>5424.307692</v>
      </c>
      <c r="J841" s="10">
        <f>IFERROR(__xludf.DUMMYFUNCTION("""COMPUTED_VALUE"""),0.0)</f>
        <v>0</v>
      </c>
      <c r="K841" s="5">
        <f>IFERROR(__xludf.DUMMYFUNCTION("""COMPUTED_VALUE"""),0.0)</f>
        <v>0</v>
      </c>
      <c r="L841" s="10">
        <f>IFERROR(__xludf.DUMMYFUNCTION("""COMPUTED_VALUE"""),567.0)</f>
        <v>567</v>
      </c>
      <c r="M841" s="5">
        <f>IFERROR(__xludf.DUMMYFUNCTION("""COMPUTED_VALUE"""),0.9809688581314879)</f>
        <v>0.9809688581</v>
      </c>
    </row>
    <row r="842">
      <c r="A842" s="10" t="str">
        <f>IFERROR(__xludf.DUMMYFUNCTION("""COMPUTED_VALUE"""),"上戸彩")</f>
        <v>上戸彩</v>
      </c>
      <c r="B842" s="10">
        <f>IFERROR(__xludf.DUMMYFUNCTION("""COMPUTED_VALUE"""),275.0)</f>
        <v>275</v>
      </c>
      <c r="C842" s="10">
        <f>IFERROR(__xludf.DUMMYFUNCTION("""COMPUTED_VALUE"""),3261.0)</f>
        <v>3261</v>
      </c>
      <c r="D842" s="5">
        <f>IFERROR(__xludf.DUMMYFUNCTION("""COMPUTED_VALUE"""),0.297052913596785)</f>
        <v>0.2970529136</v>
      </c>
      <c r="E842" s="5">
        <f>IFERROR(__xludf.DUMMYFUNCTION("""COMPUTED_VALUE"""),0.14266577361018085)</f>
        <v>0.1426657736</v>
      </c>
      <c r="F842" s="5">
        <f>IFERROR(__xludf.DUMMYFUNCTION("""COMPUTED_VALUE"""),0.21533824514400535)</f>
        <v>0.2153382451</v>
      </c>
      <c r="G842" s="5">
        <f>IFERROR(__xludf.DUMMYFUNCTION("""COMPUTED_VALUE"""),0.22237106496985934)</f>
        <v>0.222371065</v>
      </c>
      <c r="H842" s="5">
        <f>IFERROR(__xludf.DUMMYFUNCTION("""COMPUTED_VALUE"""),0.5474339035769828)</f>
        <v>0.5474339036</v>
      </c>
      <c r="I842" s="11">
        <f>IFERROR(__xludf.DUMMYFUNCTION("""COMPUTED_VALUE"""),5968.7402799377915)</f>
        <v>5968.74028</v>
      </c>
      <c r="J842" s="10">
        <f>IFERROR(__xludf.DUMMYFUNCTION("""COMPUTED_VALUE"""),0.0)</f>
        <v>0</v>
      </c>
      <c r="K842" s="5">
        <f>IFERROR(__xludf.DUMMYFUNCTION("""COMPUTED_VALUE"""),0.0)</f>
        <v>0</v>
      </c>
      <c r="L842" s="10">
        <f>IFERROR(__xludf.DUMMYFUNCTION("""COMPUTED_VALUE"""),275.0)</f>
        <v>275</v>
      </c>
      <c r="M842" s="5">
        <f>IFERROR(__xludf.DUMMYFUNCTION("""COMPUTED_VALUE"""),1.0)</f>
        <v>1</v>
      </c>
    </row>
    <row r="843">
      <c r="A843" s="10" t="str">
        <f>IFERROR(__xludf.DUMMYFUNCTION("""COMPUTED_VALUE"""),"レイノッシュ")</f>
        <v>レイノッシュ</v>
      </c>
      <c r="B843" s="10">
        <f>IFERROR(__xludf.DUMMYFUNCTION("""COMPUTED_VALUE"""),230.0)</f>
        <v>230</v>
      </c>
      <c r="C843" s="10">
        <f>IFERROR(__xludf.DUMMYFUNCTION("""COMPUTED_VALUE"""),2726.0)</f>
        <v>2726</v>
      </c>
      <c r="D843" s="5">
        <f>IFERROR(__xludf.DUMMYFUNCTION("""COMPUTED_VALUE"""),0.40224358974358976)</f>
        <v>0.4022435897</v>
      </c>
      <c r="E843" s="5">
        <f>IFERROR(__xludf.DUMMYFUNCTION("""COMPUTED_VALUE"""),0.14262820512820512)</f>
        <v>0.1426282051</v>
      </c>
      <c r="F843" s="5">
        <f>IFERROR(__xludf.DUMMYFUNCTION("""COMPUTED_VALUE"""),0.19671474358974358)</f>
        <v>0.1967147436</v>
      </c>
      <c r="G843" s="5">
        <f>IFERROR(__xludf.DUMMYFUNCTION("""COMPUTED_VALUE"""),0.15504807692307693)</f>
        <v>0.1550480769</v>
      </c>
      <c r="H843" s="5">
        <f>IFERROR(__xludf.DUMMYFUNCTION("""COMPUTED_VALUE"""),0.6089613034623218)</f>
        <v>0.6089613035</v>
      </c>
      <c r="I843" s="11">
        <f>IFERROR(__xludf.DUMMYFUNCTION("""COMPUTED_VALUE"""),6203.665987780041)</f>
        <v>6203.665988</v>
      </c>
      <c r="J843" s="10">
        <f>IFERROR(__xludf.DUMMYFUNCTION("""COMPUTED_VALUE"""),1.0)</f>
        <v>1</v>
      </c>
      <c r="K843" s="5">
        <f>IFERROR(__xludf.DUMMYFUNCTION("""COMPUTED_VALUE"""),0.004347826086956522)</f>
        <v>0.004347826087</v>
      </c>
      <c r="L843" s="10">
        <f>IFERROR(__xludf.DUMMYFUNCTION("""COMPUTED_VALUE"""),230.0)</f>
        <v>230</v>
      </c>
      <c r="M843" s="5">
        <f>IFERROR(__xludf.DUMMYFUNCTION("""COMPUTED_VALUE"""),1.0)</f>
        <v>1</v>
      </c>
    </row>
    <row r="844">
      <c r="A844" s="10" t="str">
        <f>IFERROR(__xludf.DUMMYFUNCTION("""COMPUTED_VALUE"""),"MJ[Sato]")</f>
        <v>MJ[Sato]</v>
      </c>
      <c r="B844" s="10">
        <f>IFERROR(__xludf.DUMMYFUNCTION("""COMPUTED_VALUE"""),571.0)</f>
        <v>571</v>
      </c>
      <c r="C844" s="10">
        <f>IFERROR(__xludf.DUMMYFUNCTION("""COMPUTED_VALUE"""),6727.0)</f>
        <v>6727</v>
      </c>
      <c r="D844" s="5">
        <f>IFERROR(__xludf.DUMMYFUNCTION("""COMPUTED_VALUE"""),0.3823911630929175)</f>
        <v>0.3823911631</v>
      </c>
      <c r="E844" s="5">
        <f>IFERROR(__xludf.DUMMYFUNCTION("""COMPUTED_VALUE"""),0.14262508122157244)</f>
        <v>0.1426250812</v>
      </c>
      <c r="F844" s="5">
        <f>IFERROR(__xludf.DUMMYFUNCTION("""COMPUTED_VALUE"""),0.2223846653671215)</f>
        <v>0.2223846654</v>
      </c>
      <c r="G844" s="5">
        <f>IFERROR(__xludf.DUMMYFUNCTION("""COMPUTED_VALUE"""),0.16016894087069525)</f>
        <v>0.1601689409</v>
      </c>
      <c r="H844" s="5">
        <f>IFERROR(__xludf.DUMMYFUNCTION("""COMPUTED_VALUE"""),0.591672753834916)</f>
        <v>0.5916727538</v>
      </c>
      <c r="I844" s="11">
        <f>IFERROR(__xludf.DUMMYFUNCTION("""COMPUTED_VALUE"""),5547.918188458729)</f>
        <v>5547.918188</v>
      </c>
      <c r="J844" s="10">
        <f>IFERROR(__xludf.DUMMYFUNCTION("""COMPUTED_VALUE"""),1.0)</f>
        <v>1</v>
      </c>
      <c r="K844" s="5">
        <f>IFERROR(__xludf.DUMMYFUNCTION("""COMPUTED_VALUE"""),0.0017513134851138354)</f>
        <v>0.001751313485</v>
      </c>
      <c r="L844" s="10">
        <f>IFERROR(__xludf.DUMMYFUNCTION("""COMPUTED_VALUE"""),571.0)</f>
        <v>571</v>
      </c>
      <c r="M844" s="5">
        <f>IFERROR(__xludf.DUMMYFUNCTION("""COMPUTED_VALUE"""),1.0)</f>
        <v>1</v>
      </c>
    </row>
    <row r="845">
      <c r="A845" s="10" t="str">
        <f>IFERROR(__xludf.DUMMYFUNCTION("""COMPUTED_VALUE"""),"sabo40")</f>
        <v>sabo40</v>
      </c>
      <c r="B845" s="10">
        <f>IFERROR(__xludf.DUMMYFUNCTION("""COMPUTED_VALUE"""),338.0)</f>
        <v>338</v>
      </c>
      <c r="C845" s="10">
        <f>IFERROR(__xludf.DUMMYFUNCTION("""COMPUTED_VALUE"""),3977.0)</f>
        <v>3977</v>
      </c>
      <c r="D845" s="5">
        <f>IFERROR(__xludf.DUMMYFUNCTION("""COMPUTED_VALUE"""),0.27699917559769166)</f>
        <v>0.2769991756</v>
      </c>
      <c r="E845" s="5">
        <f>IFERROR(__xludf.DUMMYFUNCTION("""COMPUTED_VALUE"""),0.14262159934047816)</f>
        <v>0.1426215993</v>
      </c>
      <c r="F845" s="5">
        <f>IFERROR(__xludf.DUMMYFUNCTION("""COMPUTED_VALUE"""),0.20884858477603738)</f>
        <v>0.2088485848</v>
      </c>
      <c r="G845" s="5">
        <f>IFERROR(__xludf.DUMMYFUNCTION("""COMPUTED_VALUE"""),0.16020884858477605)</f>
        <v>0.1602088486</v>
      </c>
      <c r="H845" s="5">
        <f>IFERROR(__xludf.DUMMYFUNCTION("""COMPUTED_VALUE"""),0.6052631578947368)</f>
        <v>0.6052631579</v>
      </c>
      <c r="I845" s="11">
        <f>IFERROR(__xludf.DUMMYFUNCTION("""COMPUTED_VALUE"""),5617.763157894737)</f>
        <v>5617.763158</v>
      </c>
      <c r="J845" s="10">
        <f>IFERROR(__xludf.DUMMYFUNCTION("""COMPUTED_VALUE"""),2.0)</f>
        <v>2</v>
      </c>
      <c r="K845" s="5">
        <f>IFERROR(__xludf.DUMMYFUNCTION("""COMPUTED_VALUE"""),0.005917159763313609)</f>
        <v>0.005917159763</v>
      </c>
      <c r="L845" s="10">
        <f>IFERROR(__xludf.DUMMYFUNCTION("""COMPUTED_VALUE"""),338.0)</f>
        <v>338</v>
      </c>
      <c r="M845" s="5">
        <f>IFERROR(__xludf.DUMMYFUNCTION("""COMPUTED_VALUE"""),1.0)</f>
        <v>1</v>
      </c>
    </row>
    <row r="846">
      <c r="A846" s="10" t="str">
        <f>IFERROR(__xludf.DUMMYFUNCTION("""COMPUTED_VALUE"""),"江戸前コナン")</f>
        <v>江戸前コナン</v>
      </c>
      <c r="B846" s="10">
        <f>IFERROR(__xludf.DUMMYFUNCTION("""COMPUTED_VALUE"""),109.0)</f>
        <v>109</v>
      </c>
      <c r="C846" s="10">
        <f>IFERROR(__xludf.DUMMYFUNCTION("""COMPUTED_VALUE"""),1238.0)</f>
        <v>1238</v>
      </c>
      <c r="D846" s="5">
        <f>IFERROR(__xludf.DUMMYFUNCTION("""COMPUTED_VALUE"""),0.3808680248007086)</f>
        <v>0.3808680248</v>
      </c>
      <c r="E846" s="5">
        <f>IFERROR(__xludf.DUMMYFUNCTION("""COMPUTED_VALUE"""),0.14260407440212577)</f>
        <v>0.1426040744</v>
      </c>
      <c r="F846" s="5">
        <f>IFERROR(__xludf.DUMMYFUNCTION("""COMPUTED_VALUE"""),0.21169176262178918)</f>
        <v>0.2116917626</v>
      </c>
      <c r="G846" s="5">
        <f>IFERROR(__xludf.DUMMYFUNCTION("""COMPUTED_VALUE"""),0.1744906997342781)</f>
        <v>0.1744906997</v>
      </c>
      <c r="H846" s="5">
        <f>IFERROR(__xludf.DUMMYFUNCTION("""COMPUTED_VALUE"""),0.602510460251046)</f>
        <v>0.6025104603</v>
      </c>
      <c r="I846" s="11">
        <f>IFERROR(__xludf.DUMMYFUNCTION("""COMPUTED_VALUE"""),5571.548117154812)</f>
        <v>5571.548117</v>
      </c>
      <c r="J846" s="10">
        <f>IFERROR(__xludf.DUMMYFUNCTION("""COMPUTED_VALUE"""),0.0)</f>
        <v>0</v>
      </c>
      <c r="K846" s="5">
        <f>IFERROR(__xludf.DUMMYFUNCTION("""COMPUTED_VALUE"""),0.0)</f>
        <v>0</v>
      </c>
      <c r="L846" s="10">
        <f>IFERROR(__xludf.DUMMYFUNCTION("""COMPUTED_VALUE"""),109.0)</f>
        <v>109</v>
      </c>
      <c r="M846" s="5">
        <f>IFERROR(__xludf.DUMMYFUNCTION("""COMPUTED_VALUE"""),1.0)</f>
        <v>1</v>
      </c>
    </row>
    <row r="847">
      <c r="A847" s="10" t="str">
        <f>IFERROR(__xludf.DUMMYFUNCTION("""COMPUTED_VALUE"""),"ヒルベルト")</f>
        <v>ヒルベルト</v>
      </c>
      <c r="B847" s="10">
        <f>IFERROR(__xludf.DUMMYFUNCTION("""COMPUTED_VALUE"""),6194.0)</f>
        <v>6194</v>
      </c>
      <c r="C847" s="10">
        <f>IFERROR(__xludf.DUMMYFUNCTION("""COMPUTED_VALUE"""),72144.0)</f>
        <v>72144</v>
      </c>
      <c r="D847" s="5">
        <f>IFERROR(__xludf.DUMMYFUNCTION("""COMPUTED_VALUE"""),0.3837604245640637)</f>
        <v>0.3837604246</v>
      </c>
      <c r="E847" s="5">
        <f>IFERROR(__xludf.DUMMYFUNCTION("""COMPUTED_VALUE"""),0.1425322213798332)</f>
        <v>0.1425322214</v>
      </c>
      <c r="F847" s="5">
        <f>IFERROR(__xludf.DUMMYFUNCTION("""COMPUTED_VALUE"""),0.21907505686125853)</f>
        <v>0.2190750569</v>
      </c>
      <c r="G847" s="5">
        <f>IFERROR(__xludf.DUMMYFUNCTION("""COMPUTED_VALUE"""),0.16236542835481424)</f>
        <v>0.1623654284</v>
      </c>
      <c r="H847" s="5">
        <f>IFERROR(__xludf.DUMMYFUNCTION("""COMPUTED_VALUE"""),0.6011212624584718)</f>
        <v>0.6011212625</v>
      </c>
      <c r="I847" s="11">
        <f>IFERROR(__xludf.DUMMYFUNCTION("""COMPUTED_VALUE"""),5683.852436323366)</f>
        <v>5683.852436</v>
      </c>
      <c r="J847" s="10">
        <f>IFERROR(__xludf.DUMMYFUNCTION("""COMPUTED_VALUE"""),12.0)</f>
        <v>12</v>
      </c>
      <c r="K847" s="5">
        <f>IFERROR(__xludf.DUMMYFUNCTION("""COMPUTED_VALUE"""),0.0019373587342589602)</f>
        <v>0.001937358734</v>
      </c>
      <c r="L847" s="10">
        <f>IFERROR(__xludf.DUMMYFUNCTION("""COMPUTED_VALUE"""),6194.0)</f>
        <v>6194</v>
      </c>
      <c r="M847" s="5">
        <f>IFERROR(__xludf.DUMMYFUNCTION("""COMPUTED_VALUE"""),1.0)</f>
        <v>1</v>
      </c>
    </row>
    <row r="848">
      <c r="A848" s="10" t="str">
        <f>IFERROR(__xludf.DUMMYFUNCTION("""COMPUTED_VALUE"""),"motoya")</f>
        <v>motoya</v>
      </c>
      <c r="B848" s="10">
        <f>IFERROR(__xludf.DUMMYFUNCTION("""COMPUTED_VALUE"""),559.0)</f>
        <v>559</v>
      </c>
      <c r="C848" s="10">
        <f>IFERROR(__xludf.DUMMYFUNCTION("""COMPUTED_VALUE"""),6621.0)</f>
        <v>6621</v>
      </c>
      <c r="D848" s="5">
        <f>IFERROR(__xludf.DUMMYFUNCTION("""COMPUTED_VALUE"""),0.38056746948201914)</f>
        <v>0.3805674695</v>
      </c>
      <c r="E848" s="5">
        <f>IFERROR(__xludf.DUMMYFUNCTION("""COMPUTED_VALUE"""),0.14252721873968988)</f>
        <v>0.1425272187</v>
      </c>
      <c r="F848" s="5">
        <f>IFERROR(__xludf.DUMMYFUNCTION("""COMPUTED_VALUE"""),0.20422302870339823)</f>
        <v>0.2042230287</v>
      </c>
      <c r="G848" s="5">
        <f>IFERROR(__xludf.DUMMYFUNCTION("""COMPUTED_VALUE"""),0.1859122401847575)</f>
        <v>0.1859122402</v>
      </c>
      <c r="H848" s="5">
        <f>IFERROR(__xludf.DUMMYFUNCTION("""COMPUTED_VALUE"""),0.5953150242326333)</f>
        <v>0.5953150242</v>
      </c>
      <c r="I848" s="11">
        <f>IFERROR(__xludf.DUMMYFUNCTION("""COMPUTED_VALUE"""),5865.589660743134)</f>
        <v>5865.589661</v>
      </c>
      <c r="J848" s="10">
        <f>IFERROR(__xludf.DUMMYFUNCTION("""COMPUTED_VALUE"""),1.0)</f>
        <v>1</v>
      </c>
      <c r="K848" s="5">
        <f>IFERROR(__xludf.DUMMYFUNCTION("""COMPUTED_VALUE"""),0.0017889087656529517)</f>
        <v>0.001788908766</v>
      </c>
      <c r="L848" s="10">
        <f>IFERROR(__xludf.DUMMYFUNCTION("""COMPUTED_VALUE"""),559.0)</f>
        <v>559</v>
      </c>
      <c r="M848" s="5">
        <f>IFERROR(__xludf.DUMMYFUNCTION("""COMPUTED_VALUE"""),1.0)</f>
        <v>1</v>
      </c>
    </row>
    <row r="849">
      <c r="A849" s="10" t="str">
        <f>IFERROR(__xludf.DUMMYFUNCTION("""COMPUTED_VALUE"""),"西村酷使無双＠巨")</f>
        <v>西村酷使無双＠巨</v>
      </c>
      <c r="B849" s="10">
        <f>IFERROR(__xludf.DUMMYFUNCTION("""COMPUTED_VALUE"""),230.0)</f>
        <v>230</v>
      </c>
      <c r="C849" s="10">
        <f>IFERROR(__xludf.DUMMYFUNCTION("""COMPUTED_VALUE"""),2707.0)</f>
        <v>2707</v>
      </c>
      <c r="D849" s="5">
        <f>IFERROR(__xludf.DUMMYFUNCTION("""COMPUTED_VALUE"""),0.320952765442067)</f>
        <v>0.3209527654</v>
      </c>
      <c r="E849" s="5">
        <f>IFERROR(__xludf.DUMMYFUNCTION("""COMPUTED_VALUE"""),0.1425111021396851)</f>
        <v>0.1425111021</v>
      </c>
      <c r="F849" s="5">
        <f>IFERROR(__xludf.DUMMYFUNCTION("""COMPUTED_VALUE"""),0.2204279370205894)</f>
        <v>0.220427937</v>
      </c>
      <c r="G849" s="5">
        <f>IFERROR(__xludf.DUMMYFUNCTION("""COMPUTED_VALUE"""),0.17440452159870812)</f>
        <v>0.1744045216</v>
      </c>
      <c r="H849" s="5">
        <f>IFERROR(__xludf.DUMMYFUNCTION("""COMPUTED_VALUE"""),0.6007326007326007)</f>
        <v>0.6007326007</v>
      </c>
      <c r="I849" s="11">
        <f>IFERROR(__xludf.DUMMYFUNCTION("""COMPUTED_VALUE"""),5464.8351648351645)</f>
        <v>5464.835165</v>
      </c>
      <c r="J849" s="10">
        <f>IFERROR(__xludf.DUMMYFUNCTION("""COMPUTED_VALUE"""),0.0)</f>
        <v>0</v>
      </c>
      <c r="K849" s="5">
        <f>IFERROR(__xludf.DUMMYFUNCTION("""COMPUTED_VALUE"""),0.0)</f>
        <v>0</v>
      </c>
      <c r="L849" s="10">
        <f>IFERROR(__xludf.DUMMYFUNCTION("""COMPUTED_VALUE"""),230.0)</f>
        <v>230</v>
      </c>
      <c r="M849" s="5">
        <f>IFERROR(__xludf.DUMMYFUNCTION("""COMPUTED_VALUE"""),1.0)</f>
        <v>1</v>
      </c>
    </row>
    <row r="850">
      <c r="A850" s="10" t="str">
        <f>IFERROR(__xludf.DUMMYFUNCTION("""COMPUTED_VALUE"""),"ペケット")</f>
        <v>ペケット</v>
      </c>
      <c r="B850" s="10">
        <f>IFERROR(__xludf.DUMMYFUNCTION("""COMPUTED_VALUE"""),184.0)</f>
        <v>184</v>
      </c>
      <c r="C850" s="10">
        <f>IFERROR(__xludf.DUMMYFUNCTION("""COMPUTED_VALUE"""),2198.0)</f>
        <v>2198</v>
      </c>
      <c r="D850" s="5">
        <f>IFERROR(__xludf.DUMMYFUNCTION("""COMPUTED_VALUE"""),0.3570009930486594)</f>
        <v>0.357000993</v>
      </c>
      <c r="E850" s="5">
        <f>IFERROR(__xludf.DUMMYFUNCTION("""COMPUTED_VALUE"""),0.14250248262164847)</f>
        <v>0.1425024826</v>
      </c>
      <c r="F850" s="5">
        <f>IFERROR(__xludf.DUMMYFUNCTION("""COMPUTED_VALUE"""),0.20456802383316783)</f>
        <v>0.2045680238</v>
      </c>
      <c r="G850" s="5">
        <f>IFERROR(__xludf.DUMMYFUNCTION("""COMPUTED_VALUE"""),0.1484607745779543)</f>
        <v>0.1484607746</v>
      </c>
      <c r="H850" s="5">
        <f>IFERROR(__xludf.DUMMYFUNCTION("""COMPUTED_VALUE"""),0.6213592233009708)</f>
        <v>0.6213592233</v>
      </c>
      <c r="I850" s="11">
        <f>IFERROR(__xludf.DUMMYFUNCTION("""COMPUTED_VALUE"""),5522.0873786407765)</f>
        <v>5522.087379</v>
      </c>
      <c r="J850" s="10">
        <f>IFERROR(__xludf.DUMMYFUNCTION("""COMPUTED_VALUE"""),0.0)</f>
        <v>0</v>
      </c>
      <c r="K850" s="5">
        <f>IFERROR(__xludf.DUMMYFUNCTION("""COMPUTED_VALUE"""),0.0)</f>
        <v>0</v>
      </c>
      <c r="L850" s="10">
        <f>IFERROR(__xludf.DUMMYFUNCTION("""COMPUTED_VALUE"""),184.0)</f>
        <v>184</v>
      </c>
      <c r="M850" s="5">
        <f>IFERROR(__xludf.DUMMYFUNCTION("""COMPUTED_VALUE"""),1.0)</f>
        <v>1</v>
      </c>
    </row>
    <row r="851">
      <c r="A851" s="10" t="str">
        <f>IFERROR(__xludf.DUMMYFUNCTION("""COMPUTED_VALUE"""),"キャスバル兄さん")</f>
        <v>キャスバル兄さん</v>
      </c>
      <c r="B851" s="10">
        <f>IFERROR(__xludf.DUMMYFUNCTION("""COMPUTED_VALUE"""),551.0)</f>
        <v>551</v>
      </c>
      <c r="C851" s="10">
        <f>IFERROR(__xludf.DUMMYFUNCTION("""COMPUTED_VALUE"""),6411.0)</f>
        <v>6411</v>
      </c>
      <c r="D851" s="5">
        <f>IFERROR(__xludf.DUMMYFUNCTION("""COMPUTED_VALUE"""),0.3267918088737201)</f>
        <v>0.3267918089</v>
      </c>
      <c r="E851" s="5">
        <f>IFERROR(__xludf.DUMMYFUNCTION("""COMPUTED_VALUE"""),0.14249146757679182)</f>
        <v>0.1424914676</v>
      </c>
      <c r="F851" s="5">
        <f>IFERROR(__xludf.DUMMYFUNCTION("""COMPUTED_VALUE"""),0.210580204778157)</f>
        <v>0.2105802048</v>
      </c>
      <c r="G851" s="5">
        <f>IFERROR(__xludf.DUMMYFUNCTION("""COMPUTED_VALUE"""),0.15204778156996587)</f>
        <v>0.1520477816</v>
      </c>
      <c r="H851" s="5">
        <f>IFERROR(__xludf.DUMMYFUNCTION("""COMPUTED_VALUE"""),0.586709886547812)</f>
        <v>0.5867098865</v>
      </c>
      <c r="I851" s="11">
        <f>IFERROR(__xludf.DUMMYFUNCTION("""COMPUTED_VALUE"""),5821.393841166937)</f>
        <v>5821.393841</v>
      </c>
      <c r="J851" s="10">
        <f>IFERROR(__xludf.DUMMYFUNCTION("""COMPUTED_VALUE"""),2.0)</f>
        <v>2</v>
      </c>
      <c r="K851" s="5">
        <f>IFERROR(__xludf.DUMMYFUNCTION("""COMPUTED_VALUE"""),0.003629764065335753)</f>
        <v>0.003629764065</v>
      </c>
      <c r="L851" s="10">
        <f>IFERROR(__xludf.DUMMYFUNCTION("""COMPUTED_VALUE"""),551.0)</f>
        <v>551</v>
      </c>
      <c r="M851" s="5">
        <f>IFERROR(__xludf.DUMMYFUNCTION("""COMPUTED_VALUE"""),1.0)</f>
        <v>1</v>
      </c>
    </row>
    <row r="852">
      <c r="A852" s="10" t="str">
        <f>IFERROR(__xludf.DUMMYFUNCTION("""COMPUTED_VALUE"""),"野獣と化した先輩")</f>
        <v>野獣と化した先輩</v>
      </c>
      <c r="B852" s="10">
        <f>IFERROR(__xludf.DUMMYFUNCTION("""COMPUTED_VALUE"""),358.0)</f>
        <v>358</v>
      </c>
      <c r="C852" s="10">
        <f>IFERROR(__xludf.DUMMYFUNCTION("""COMPUTED_VALUE"""),4190.0)</f>
        <v>4190</v>
      </c>
      <c r="D852" s="5">
        <f>IFERROR(__xludf.DUMMYFUNCTION("""COMPUTED_VALUE"""),0.27218162839248433)</f>
        <v>0.2721816284</v>
      </c>
      <c r="E852" s="5">
        <f>IFERROR(__xludf.DUMMYFUNCTION("""COMPUTED_VALUE"""),0.14248434237995825)</f>
        <v>0.1424843424</v>
      </c>
      <c r="F852" s="5">
        <f>IFERROR(__xludf.DUMMYFUNCTION("""COMPUTED_VALUE"""),0.20876826722338204)</f>
        <v>0.2087682672</v>
      </c>
      <c r="G852" s="5">
        <f>IFERROR(__xludf.DUMMYFUNCTION("""COMPUTED_VALUE"""),0.19102296450939457)</f>
        <v>0.1910229645</v>
      </c>
      <c r="H852" s="5">
        <f>IFERROR(__xludf.DUMMYFUNCTION("""COMPUTED_VALUE"""),0.57875)</f>
        <v>0.57875</v>
      </c>
      <c r="I852" s="11">
        <f>IFERROR(__xludf.DUMMYFUNCTION("""COMPUTED_VALUE"""),6261.125)</f>
        <v>6261.125</v>
      </c>
      <c r="J852" s="10">
        <f>IFERROR(__xludf.DUMMYFUNCTION("""COMPUTED_VALUE"""),1.0)</f>
        <v>1</v>
      </c>
      <c r="K852" s="5">
        <f>IFERROR(__xludf.DUMMYFUNCTION("""COMPUTED_VALUE"""),0.002793296089385475)</f>
        <v>0.002793296089</v>
      </c>
      <c r="L852" s="10">
        <f>IFERROR(__xludf.DUMMYFUNCTION("""COMPUTED_VALUE"""),0.0)</f>
        <v>0</v>
      </c>
      <c r="M852" s="5">
        <f>IFERROR(__xludf.DUMMYFUNCTION("""COMPUTED_VALUE"""),0.0)</f>
        <v>0</v>
      </c>
    </row>
    <row r="853">
      <c r="A853" s="10" t="str">
        <f>IFERROR(__xludf.DUMMYFUNCTION("""COMPUTED_VALUE"""),"ヨコヨコ")</f>
        <v>ヨコヨコ</v>
      </c>
      <c r="B853" s="10">
        <f>IFERROR(__xludf.DUMMYFUNCTION("""COMPUTED_VALUE"""),4131.0)</f>
        <v>4131</v>
      </c>
      <c r="C853" s="10">
        <f>IFERROR(__xludf.DUMMYFUNCTION("""COMPUTED_VALUE"""),47885.0)</f>
        <v>47885</v>
      </c>
      <c r="D853" s="5">
        <f>IFERROR(__xludf.DUMMYFUNCTION("""COMPUTED_VALUE"""),0.3014124422909905)</f>
        <v>0.3014124423</v>
      </c>
      <c r="E853" s="5">
        <f>IFERROR(__xludf.DUMMYFUNCTION("""COMPUTED_VALUE"""),0.1424784019746766)</f>
        <v>0.142478402</v>
      </c>
      <c r="F853" s="5">
        <f>IFERROR(__xludf.DUMMYFUNCTION("""COMPUTED_VALUE"""),0.21657448461854917)</f>
        <v>0.2165744846</v>
      </c>
      <c r="G853" s="5">
        <f>IFERROR(__xludf.DUMMYFUNCTION("""COMPUTED_VALUE"""),0.21378616812177173)</f>
        <v>0.2137861681</v>
      </c>
      <c r="H853" s="5">
        <f>IFERROR(__xludf.DUMMYFUNCTION("""COMPUTED_VALUE"""),0.5881173490924441)</f>
        <v>0.5881173491</v>
      </c>
      <c r="I853" s="11">
        <f>IFERROR(__xludf.DUMMYFUNCTION("""COMPUTED_VALUE"""),5830.276487969608)</f>
        <v>5830.276488</v>
      </c>
      <c r="J853" s="10">
        <f>IFERROR(__xludf.DUMMYFUNCTION("""COMPUTED_VALUE"""),8.0)</f>
        <v>8</v>
      </c>
      <c r="K853" s="5">
        <f>IFERROR(__xludf.DUMMYFUNCTION("""COMPUTED_VALUE"""),0.0019365770999757927)</f>
        <v>0.0019365771</v>
      </c>
      <c r="L853" s="10">
        <f>IFERROR(__xludf.DUMMYFUNCTION("""COMPUTED_VALUE"""),4131.0)</f>
        <v>4131</v>
      </c>
      <c r="M853" s="5">
        <f>IFERROR(__xludf.DUMMYFUNCTION("""COMPUTED_VALUE"""),1.0)</f>
        <v>1</v>
      </c>
    </row>
    <row r="854">
      <c r="A854" s="10" t="str">
        <f>IFERROR(__xludf.DUMMYFUNCTION("""COMPUTED_VALUE"""),"男子畢生危機一髪")</f>
        <v>男子畢生危機一髪</v>
      </c>
      <c r="B854" s="10">
        <f>IFERROR(__xludf.DUMMYFUNCTION("""COMPUTED_VALUE"""),948.0)</f>
        <v>948</v>
      </c>
      <c r="C854" s="10">
        <f>IFERROR(__xludf.DUMMYFUNCTION("""COMPUTED_VALUE"""),10985.0)</f>
        <v>10985</v>
      </c>
      <c r="D854" s="5">
        <f>IFERROR(__xludf.DUMMYFUNCTION("""COMPUTED_VALUE"""),0.23154328982763775)</f>
        <v>0.2315432898</v>
      </c>
      <c r="E854" s="5">
        <f>IFERROR(__xludf.DUMMYFUNCTION("""COMPUTED_VALUE"""),0.1424728504533227)</f>
        <v>0.1424728505</v>
      </c>
      <c r="F854" s="5">
        <f>IFERROR(__xludf.DUMMYFUNCTION("""COMPUTED_VALUE"""),0.2037461392846468)</f>
        <v>0.2037461393</v>
      </c>
      <c r="G854" s="5">
        <f>IFERROR(__xludf.DUMMYFUNCTION("""COMPUTED_VALUE"""),0.21988642024509317)</f>
        <v>0.2198864202</v>
      </c>
      <c r="H854" s="5">
        <f>IFERROR(__xludf.DUMMYFUNCTION("""COMPUTED_VALUE"""),0.574083129584352)</f>
        <v>0.5740831296</v>
      </c>
      <c r="I854" s="11">
        <f>IFERROR(__xludf.DUMMYFUNCTION("""COMPUTED_VALUE"""),6400.488997555012)</f>
        <v>6400.488998</v>
      </c>
      <c r="J854" s="10">
        <f>IFERROR(__xludf.DUMMYFUNCTION("""COMPUTED_VALUE"""),5.0)</f>
        <v>5</v>
      </c>
      <c r="K854" s="5">
        <f>IFERROR(__xludf.DUMMYFUNCTION("""COMPUTED_VALUE"""),0.005274261603375527)</f>
        <v>0.005274261603</v>
      </c>
      <c r="L854" s="10">
        <f>IFERROR(__xludf.DUMMYFUNCTION("""COMPUTED_VALUE"""),948.0)</f>
        <v>948</v>
      </c>
      <c r="M854" s="5">
        <f>IFERROR(__xludf.DUMMYFUNCTION("""COMPUTED_VALUE"""),1.0)</f>
        <v>1</v>
      </c>
    </row>
    <row r="855">
      <c r="A855" s="10" t="str">
        <f>IFERROR(__xludf.DUMMYFUNCTION("""COMPUTED_VALUE"""),"おおばば")</f>
        <v>おおばば</v>
      </c>
      <c r="B855" s="10">
        <f>IFERROR(__xludf.DUMMYFUNCTION("""COMPUTED_VALUE"""),277.0)</f>
        <v>277</v>
      </c>
      <c r="C855" s="10">
        <f>IFERROR(__xludf.DUMMYFUNCTION("""COMPUTED_VALUE"""),3155.0)</f>
        <v>3155</v>
      </c>
      <c r="D855" s="5">
        <f>IFERROR(__xludf.DUMMYFUNCTION("""COMPUTED_VALUE"""),0.28005559416261294)</f>
        <v>0.2800555942</v>
      </c>
      <c r="E855" s="5">
        <f>IFERROR(__xludf.DUMMYFUNCTION("""COMPUTED_VALUE"""),0.14246004169562196)</f>
        <v>0.1424600417</v>
      </c>
      <c r="F855" s="5">
        <f>IFERROR(__xludf.DUMMYFUNCTION("""COMPUTED_VALUE"""),0.20569840166782488)</f>
        <v>0.2056984017</v>
      </c>
      <c r="G855" s="5">
        <f>IFERROR(__xludf.DUMMYFUNCTION("""COMPUTED_VALUE"""),0.1956219596942321)</f>
        <v>0.1956219597</v>
      </c>
      <c r="H855" s="5">
        <f>IFERROR(__xludf.DUMMYFUNCTION("""COMPUTED_VALUE"""),0.5929054054054054)</f>
        <v>0.5929054054</v>
      </c>
      <c r="I855" s="11">
        <f>IFERROR(__xludf.DUMMYFUNCTION("""COMPUTED_VALUE"""),5768.918918918919)</f>
        <v>5768.918919</v>
      </c>
      <c r="J855" s="10">
        <f>IFERROR(__xludf.DUMMYFUNCTION("""COMPUTED_VALUE"""),0.0)</f>
        <v>0</v>
      </c>
      <c r="K855" s="5">
        <f>IFERROR(__xludf.DUMMYFUNCTION("""COMPUTED_VALUE"""),0.0)</f>
        <v>0</v>
      </c>
      <c r="L855" s="10">
        <f>IFERROR(__xludf.DUMMYFUNCTION("""COMPUTED_VALUE"""),277.0)</f>
        <v>277</v>
      </c>
      <c r="M855" s="5">
        <f>IFERROR(__xludf.DUMMYFUNCTION("""COMPUTED_VALUE"""),1.0)</f>
        <v>1</v>
      </c>
    </row>
    <row r="856">
      <c r="A856" s="10" t="str">
        <f>IFERROR(__xludf.DUMMYFUNCTION("""COMPUTED_VALUE"""),"ひなた影丸")</f>
        <v>ひなた影丸</v>
      </c>
      <c r="B856" s="10">
        <f>IFERROR(__xludf.DUMMYFUNCTION("""COMPUTED_VALUE"""),100.0)</f>
        <v>100</v>
      </c>
      <c r="C856" s="10">
        <f>IFERROR(__xludf.DUMMYFUNCTION("""COMPUTED_VALUE"""),1174.0)</f>
        <v>1174</v>
      </c>
      <c r="D856" s="5">
        <f>IFERROR(__xludf.DUMMYFUNCTION("""COMPUTED_VALUE"""),0.3016759776536313)</f>
        <v>0.3016759777</v>
      </c>
      <c r="E856" s="5">
        <f>IFERROR(__xludf.DUMMYFUNCTION("""COMPUTED_VALUE"""),0.1424581005586592)</f>
        <v>0.1424581006</v>
      </c>
      <c r="F856" s="5">
        <f>IFERROR(__xludf.DUMMYFUNCTION("""COMPUTED_VALUE"""),0.1908752327746741)</f>
        <v>0.1908752328</v>
      </c>
      <c r="G856" s="5">
        <f>IFERROR(__xludf.DUMMYFUNCTION("""COMPUTED_VALUE"""),0.186219739292365)</f>
        <v>0.1862197393</v>
      </c>
      <c r="H856" s="5">
        <f>IFERROR(__xludf.DUMMYFUNCTION("""COMPUTED_VALUE"""),0.624390243902439)</f>
        <v>0.6243902439</v>
      </c>
      <c r="I856" s="11">
        <f>IFERROR(__xludf.DUMMYFUNCTION("""COMPUTED_VALUE"""),5390.243902439024)</f>
        <v>5390.243902</v>
      </c>
      <c r="J856" s="10">
        <f>IFERROR(__xludf.DUMMYFUNCTION("""COMPUTED_VALUE"""),0.0)</f>
        <v>0</v>
      </c>
      <c r="K856" s="5">
        <f>IFERROR(__xludf.DUMMYFUNCTION("""COMPUTED_VALUE"""),0.0)</f>
        <v>0</v>
      </c>
      <c r="L856" s="10">
        <f>IFERROR(__xludf.DUMMYFUNCTION("""COMPUTED_VALUE"""),100.0)</f>
        <v>100</v>
      </c>
      <c r="M856" s="5">
        <f>IFERROR(__xludf.DUMMYFUNCTION("""COMPUTED_VALUE"""),1.0)</f>
        <v>1</v>
      </c>
    </row>
    <row r="857">
      <c r="A857" s="10" t="str">
        <f>IFERROR(__xludf.DUMMYFUNCTION("""COMPUTED_VALUE"""),"ぴーたも")</f>
        <v>ぴーたも</v>
      </c>
      <c r="B857" s="10">
        <f>IFERROR(__xludf.DUMMYFUNCTION("""COMPUTED_VALUE"""),294.0)</f>
        <v>294</v>
      </c>
      <c r="C857" s="10">
        <f>IFERROR(__xludf.DUMMYFUNCTION("""COMPUTED_VALUE"""),3383.0)</f>
        <v>3383</v>
      </c>
      <c r="D857" s="5">
        <f>IFERROR(__xludf.DUMMYFUNCTION("""COMPUTED_VALUE"""),0.40789899643897704)</f>
        <v>0.4078989964</v>
      </c>
      <c r="E857" s="5">
        <f>IFERROR(__xludf.DUMMYFUNCTION("""COMPUTED_VALUE"""),0.1424409193913888)</f>
        <v>0.1424409194</v>
      </c>
      <c r="F857" s="5">
        <f>IFERROR(__xludf.DUMMYFUNCTION("""COMPUTED_VALUE"""),0.24603431531239883)</f>
        <v>0.2460343153</v>
      </c>
      <c r="G857" s="5">
        <f>IFERROR(__xludf.DUMMYFUNCTION("""COMPUTED_VALUE"""),0.20848170929103269)</f>
        <v>0.2084817093</v>
      </c>
      <c r="H857" s="5">
        <f>IFERROR(__xludf.DUMMYFUNCTION("""COMPUTED_VALUE"""),0.625)</f>
        <v>0.625</v>
      </c>
      <c r="I857" s="11">
        <f>IFERROR(__xludf.DUMMYFUNCTION("""COMPUTED_VALUE"""),5319.605263157895)</f>
        <v>5319.605263</v>
      </c>
      <c r="J857" s="10">
        <f>IFERROR(__xludf.DUMMYFUNCTION("""COMPUTED_VALUE"""),0.0)</f>
        <v>0</v>
      </c>
      <c r="K857" s="5">
        <f>IFERROR(__xludf.DUMMYFUNCTION("""COMPUTED_VALUE"""),0.0)</f>
        <v>0</v>
      </c>
      <c r="L857" s="10">
        <f>IFERROR(__xludf.DUMMYFUNCTION("""COMPUTED_VALUE"""),112.0)</f>
        <v>112</v>
      </c>
      <c r="M857" s="5">
        <f>IFERROR(__xludf.DUMMYFUNCTION("""COMPUTED_VALUE"""),0.38095238095238093)</f>
        <v>0.380952381</v>
      </c>
    </row>
    <row r="858">
      <c r="A858" s="10" t="str">
        <f>IFERROR(__xludf.DUMMYFUNCTION("""COMPUTED_VALUE"""),"Bluebird")</f>
        <v>Bluebird</v>
      </c>
      <c r="B858" s="10">
        <f>IFERROR(__xludf.DUMMYFUNCTION("""COMPUTED_VALUE"""),307.0)</f>
        <v>307</v>
      </c>
      <c r="C858" s="10">
        <f>IFERROR(__xludf.DUMMYFUNCTION("""COMPUTED_VALUE"""),3579.0)</f>
        <v>3579</v>
      </c>
      <c r="D858" s="5">
        <f>IFERROR(__xludf.DUMMYFUNCTION("""COMPUTED_VALUE"""),0.30103911980440096)</f>
        <v>0.3010391198</v>
      </c>
      <c r="E858" s="5">
        <f>IFERROR(__xludf.DUMMYFUNCTION("""COMPUTED_VALUE"""),0.14242053789731052)</f>
        <v>0.1424205379</v>
      </c>
      <c r="F858" s="5">
        <f>IFERROR(__xludf.DUMMYFUNCTION("""COMPUTED_VALUE"""),0.1995721271393643)</f>
        <v>0.1995721271</v>
      </c>
      <c r="G858" s="5">
        <f>IFERROR(__xludf.DUMMYFUNCTION("""COMPUTED_VALUE"""),0.2017114914425428)</f>
        <v>0.2017114914</v>
      </c>
      <c r="H858" s="5">
        <f>IFERROR(__xludf.DUMMYFUNCTION("""COMPUTED_VALUE"""),0.5604900459418071)</f>
        <v>0.5604900459</v>
      </c>
      <c r="I858" s="11">
        <f>IFERROR(__xludf.DUMMYFUNCTION("""COMPUTED_VALUE"""),6346.094946401225)</f>
        <v>6346.094946</v>
      </c>
      <c r="J858" s="10">
        <f>IFERROR(__xludf.DUMMYFUNCTION("""COMPUTED_VALUE"""),1.0)</f>
        <v>1</v>
      </c>
      <c r="K858" s="5">
        <f>IFERROR(__xludf.DUMMYFUNCTION("""COMPUTED_VALUE"""),0.003257328990228013)</f>
        <v>0.00325732899</v>
      </c>
      <c r="L858" s="10">
        <f>IFERROR(__xludf.DUMMYFUNCTION("""COMPUTED_VALUE"""),307.0)</f>
        <v>307</v>
      </c>
      <c r="M858" s="5">
        <f>IFERROR(__xludf.DUMMYFUNCTION("""COMPUTED_VALUE"""),1.0)</f>
        <v>1</v>
      </c>
    </row>
    <row r="859">
      <c r="A859" s="10" t="str">
        <f>IFERROR(__xludf.DUMMYFUNCTION("""COMPUTED_VALUE"""),"桜丼章一")</f>
        <v>桜丼章一</v>
      </c>
      <c r="B859" s="10">
        <f>IFERROR(__xludf.DUMMYFUNCTION("""COMPUTED_VALUE"""),367.0)</f>
        <v>367</v>
      </c>
      <c r="C859" s="10">
        <f>IFERROR(__xludf.DUMMYFUNCTION("""COMPUTED_VALUE"""),4222.0)</f>
        <v>4222</v>
      </c>
      <c r="D859" s="5">
        <f>IFERROR(__xludf.DUMMYFUNCTION("""COMPUTED_VALUE"""),0.3680933852140078)</f>
        <v>0.3680933852</v>
      </c>
      <c r="E859" s="5">
        <f>IFERROR(__xludf.DUMMYFUNCTION("""COMPUTED_VALUE"""),0.1424124513618677)</f>
        <v>0.1424124514</v>
      </c>
      <c r="F859" s="5">
        <f>IFERROR(__xludf.DUMMYFUNCTION("""COMPUTED_VALUE"""),0.21504539559014269)</f>
        <v>0.2150453956</v>
      </c>
      <c r="G859" s="5">
        <f>IFERROR(__xludf.DUMMYFUNCTION("""COMPUTED_VALUE"""),0.20103761348897536)</f>
        <v>0.2010376135</v>
      </c>
      <c r="H859" s="5">
        <f>IFERROR(__xludf.DUMMYFUNCTION("""COMPUTED_VALUE"""),0.5657418576598311)</f>
        <v>0.5657418577</v>
      </c>
      <c r="I859" s="11">
        <f>IFERROR(__xludf.DUMMYFUNCTION("""COMPUTED_VALUE"""),6000.361881785284)</f>
        <v>6000.361882</v>
      </c>
      <c r="J859" s="10">
        <f>IFERROR(__xludf.DUMMYFUNCTION("""COMPUTED_VALUE"""),1.0)</f>
        <v>1</v>
      </c>
      <c r="K859" s="5">
        <f>IFERROR(__xludf.DUMMYFUNCTION("""COMPUTED_VALUE"""),0.0027247956403269754)</f>
        <v>0.00272479564</v>
      </c>
      <c r="L859" s="10">
        <f>IFERROR(__xludf.DUMMYFUNCTION("""COMPUTED_VALUE"""),367.0)</f>
        <v>367</v>
      </c>
      <c r="M859" s="5">
        <f>IFERROR(__xludf.DUMMYFUNCTION("""COMPUTED_VALUE"""),1.0)</f>
        <v>1</v>
      </c>
    </row>
    <row r="860">
      <c r="A860" s="10" t="str">
        <f>IFERROR(__xludf.DUMMYFUNCTION("""COMPUTED_VALUE"""),"ボマー")</f>
        <v>ボマー</v>
      </c>
      <c r="B860" s="10">
        <f>IFERROR(__xludf.DUMMYFUNCTION("""COMPUTED_VALUE"""),689.0)</f>
        <v>689</v>
      </c>
      <c r="C860" s="10">
        <f>IFERROR(__xludf.DUMMYFUNCTION("""COMPUTED_VALUE"""),7852.0)</f>
        <v>7852</v>
      </c>
      <c r="D860" s="5">
        <f>IFERROR(__xludf.DUMMYFUNCTION("""COMPUTED_VALUE"""),0.2887058495043976)</f>
        <v>0.2887058495</v>
      </c>
      <c r="E860" s="5">
        <f>IFERROR(__xludf.DUMMYFUNCTION("""COMPUTED_VALUE"""),0.1423984364093257)</f>
        <v>0.1423984364</v>
      </c>
      <c r="F860" s="5">
        <f>IFERROR(__xludf.DUMMYFUNCTION("""COMPUTED_VALUE"""),0.2099678905486528)</f>
        <v>0.2099678905</v>
      </c>
      <c r="G860" s="5">
        <f>IFERROR(__xludf.DUMMYFUNCTION("""COMPUTED_VALUE"""),0.19419237749546278)</f>
        <v>0.1941923775</v>
      </c>
      <c r="H860" s="5">
        <f>IFERROR(__xludf.DUMMYFUNCTION("""COMPUTED_VALUE"""),0.5910904255319149)</f>
        <v>0.5910904255</v>
      </c>
      <c r="I860" s="11">
        <f>IFERROR(__xludf.DUMMYFUNCTION("""COMPUTED_VALUE"""),6371.875)</f>
        <v>6371.875</v>
      </c>
      <c r="J860" s="10">
        <f>IFERROR(__xludf.DUMMYFUNCTION("""COMPUTED_VALUE"""),3.0)</f>
        <v>3</v>
      </c>
      <c r="K860" s="5">
        <f>IFERROR(__xludf.DUMMYFUNCTION("""COMPUTED_VALUE"""),0.0043541364296081275)</f>
        <v>0.00435413643</v>
      </c>
      <c r="L860" s="10">
        <f>IFERROR(__xludf.DUMMYFUNCTION("""COMPUTED_VALUE"""),689.0)</f>
        <v>689</v>
      </c>
      <c r="M860" s="5">
        <f>IFERROR(__xludf.DUMMYFUNCTION("""COMPUTED_VALUE"""),1.0)</f>
        <v>1</v>
      </c>
    </row>
    <row r="861">
      <c r="A861" s="10" t="str">
        <f>IFERROR(__xludf.DUMMYFUNCTION("""COMPUTED_VALUE"""),"ぐるぐる単騎")</f>
        <v>ぐるぐる単騎</v>
      </c>
      <c r="B861" s="10">
        <f>IFERROR(__xludf.DUMMYFUNCTION("""COMPUTED_VALUE"""),192.0)</f>
        <v>192</v>
      </c>
      <c r="C861" s="10">
        <f>IFERROR(__xludf.DUMMYFUNCTION("""COMPUTED_VALUE"""),2285.0)</f>
        <v>2285</v>
      </c>
      <c r="D861" s="5">
        <f>IFERROR(__xludf.DUMMYFUNCTION("""COMPUTED_VALUE"""),0.3516483516483517)</f>
        <v>0.3516483516</v>
      </c>
      <c r="E861" s="5">
        <f>IFERROR(__xludf.DUMMYFUNCTION("""COMPUTED_VALUE"""),0.14237935977066413)</f>
        <v>0.1423793598</v>
      </c>
      <c r="F861" s="5">
        <f>IFERROR(__xludf.DUMMYFUNCTION("""COMPUTED_VALUE"""),0.21165790731008122)</f>
        <v>0.2116579073</v>
      </c>
      <c r="G861" s="5">
        <f>IFERROR(__xludf.DUMMYFUNCTION("""COMPUTED_VALUE"""),0.1939799331103679)</f>
        <v>0.1939799331</v>
      </c>
      <c r="H861" s="5">
        <f>IFERROR(__xludf.DUMMYFUNCTION("""COMPUTED_VALUE"""),0.5959367945823928)</f>
        <v>0.5959367946</v>
      </c>
      <c r="I861" s="11">
        <f>IFERROR(__xludf.DUMMYFUNCTION("""COMPUTED_VALUE"""),5723.702031602709)</f>
        <v>5723.702032</v>
      </c>
      <c r="J861" s="10">
        <f>IFERROR(__xludf.DUMMYFUNCTION("""COMPUTED_VALUE"""),0.0)</f>
        <v>0</v>
      </c>
      <c r="K861" s="5">
        <f>IFERROR(__xludf.DUMMYFUNCTION("""COMPUTED_VALUE"""),0.0)</f>
        <v>0</v>
      </c>
      <c r="L861" s="10">
        <f>IFERROR(__xludf.DUMMYFUNCTION("""COMPUTED_VALUE"""),192.0)</f>
        <v>192</v>
      </c>
      <c r="M861" s="5">
        <f>IFERROR(__xludf.DUMMYFUNCTION("""COMPUTED_VALUE"""),1.0)</f>
        <v>1</v>
      </c>
    </row>
    <row r="862">
      <c r="A862" s="10" t="str">
        <f>IFERROR(__xludf.DUMMYFUNCTION("""COMPUTED_VALUE"""),"yanopan")</f>
        <v>yanopan</v>
      </c>
      <c r="B862" s="10">
        <f>IFERROR(__xludf.DUMMYFUNCTION("""COMPUTED_VALUE"""),212.0)</f>
        <v>212</v>
      </c>
      <c r="C862" s="10">
        <f>IFERROR(__xludf.DUMMYFUNCTION("""COMPUTED_VALUE"""),2523.0)</f>
        <v>2523</v>
      </c>
      <c r="D862" s="5">
        <f>IFERROR(__xludf.DUMMYFUNCTION("""COMPUTED_VALUE"""),0.33448723496321936)</f>
        <v>0.334487235</v>
      </c>
      <c r="E862" s="5">
        <f>IFERROR(__xludf.DUMMYFUNCTION("""COMPUTED_VALUE"""),0.14236261358719168)</f>
        <v>0.1423626136</v>
      </c>
      <c r="F862" s="5">
        <f>IFERROR(__xludf.DUMMYFUNCTION("""COMPUTED_VALUE"""),0.2051060147122458)</f>
        <v>0.2051060147</v>
      </c>
      <c r="G862" s="5">
        <f>IFERROR(__xludf.DUMMYFUNCTION("""COMPUTED_VALUE"""),0.21592384249242752)</f>
        <v>0.2159238425</v>
      </c>
      <c r="H862" s="5">
        <f>IFERROR(__xludf.DUMMYFUNCTION("""COMPUTED_VALUE"""),0.6075949367088608)</f>
        <v>0.6075949367</v>
      </c>
      <c r="I862" s="11">
        <f>IFERROR(__xludf.DUMMYFUNCTION("""COMPUTED_VALUE"""),5841.350210970464)</f>
        <v>5841.350211</v>
      </c>
      <c r="J862" s="10">
        <f>IFERROR(__xludf.DUMMYFUNCTION("""COMPUTED_VALUE"""),1.0)</f>
        <v>1</v>
      </c>
      <c r="K862" s="5">
        <f>IFERROR(__xludf.DUMMYFUNCTION("""COMPUTED_VALUE"""),0.0047169811320754715)</f>
        <v>0.004716981132</v>
      </c>
      <c r="L862" s="10">
        <f>IFERROR(__xludf.DUMMYFUNCTION("""COMPUTED_VALUE"""),212.0)</f>
        <v>212</v>
      </c>
      <c r="M862" s="5">
        <f>IFERROR(__xludf.DUMMYFUNCTION("""COMPUTED_VALUE"""),1.0)</f>
        <v>1</v>
      </c>
    </row>
    <row r="863">
      <c r="A863" s="10" t="str">
        <f>IFERROR(__xludf.DUMMYFUNCTION("""COMPUTED_VALUE"""),"renren")</f>
        <v>renren</v>
      </c>
      <c r="B863" s="10">
        <f>IFERROR(__xludf.DUMMYFUNCTION("""COMPUTED_VALUE"""),131.0)</f>
        <v>131</v>
      </c>
      <c r="C863" s="10">
        <f>IFERROR(__xludf.DUMMYFUNCTION("""COMPUTED_VALUE"""),1564.0)</f>
        <v>1564</v>
      </c>
      <c r="D863" s="5">
        <f>IFERROR(__xludf.DUMMYFUNCTION("""COMPUTED_VALUE"""),0.3335659455687369)</f>
        <v>0.3335659456</v>
      </c>
      <c r="E863" s="5">
        <f>IFERROR(__xludf.DUMMYFUNCTION("""COMPUTED_VALUE"""),0.1423586880669923)</f>
        <v>0.1423586881</v>
      </c>
      <c r="F863" s="5">
        <f>IFERROR(__xludf.DUMMYFUNCTION("""COMPUTED_VALUE"""),0.1870202372644801)</f>
        <v>0.1870202373</v>
      </c>
      <c r="G863" s="5">
        <f>IFERROR(__xludf.DUMMYFUNCTION("""COMPUTED_VALUE"""),0.1898115840893231)</f>
        <v>0.1898115841</v>
      </c>
      <c r="H863" s="5">
        <f>IFERROR(__xludf.DUMMYFUNCTION("""COMPUTED_VALUE"""),0.5559701492537313)</f>
        <v>0.5559701493</v>
      </c>
      <c r="I863" s="11">
        <f>IFERROR(__xludf.DUMMYFUNCTION("""COMPUTED_VALUE"""),6113.805970149254)</f>
        <v>6113.80597</v>
      </c>
      <c r="J863" s="10">
        <f>IFERROR(__xludf.DUMMYFUNCTION("""COMPUTED_VALUE"""),0.0)</f>
        <v>0</v>
      </c>
      <c r="K863" s="5">
        <f>IFERROR(__xludf.DUMMYFUNCTION("""COMPUTED_VALUE"""),0.0)</f>
        <v>0</v>
      </c>
      <c r="L863" s="10">
        <f>IFERROR(__xludf.DUMMYFUNCTION("""COMPUTED_VALUE"""),131.0)</f>
        <v>131</v>
      </c>
      <c r="M863" s="5">
        <f>IFERROR(__xludf.DUMMYFUNCTION("""COMPUTED_VALUE"""),1.0)</f>
        <v>1</v>
      </c>
    </row>
    <row r="864">
      <c r="A864" s="10" t="str">
        <f>IFERROR(__xludf.DUMMYFUNCTION("""COMPUTED_VALUE"""),"まよいマイマイ")</f>
        <v>まよいマイマイ</v>
      </c>
      <c r="B864" s="10">
        <f>IFERROR(__xludf.DUMMYFUNCTION("""COMPUTED_VALUE"""),231.0)</f>
        <v>231</v>
      </c>
      <c r="C864" s="10">
        <f>IFERROR(__xludf.DUMMYFUNCTION("""COMPUTED_VALUE"""),2697.0)</f>
        <v>2697</v>
      </c>
      <c r="D864" s="5">
        <f>IFERROR(__xludf.DUMMYFUNCTION("""COMPUTED_VALUE"""),0.3637469586374696)</f>
        <v>0.3637469586</v>
      </c>
      <c r="E864" s="5">
        <f>IFERROR(__xludf.DUMMYFUNCTION("""COMPUTED_VALUE"""),0.14233576642335766)</f>
        <v>0.1423357664</v>
      </c>
      <c r="F864" s="5">
        <f>IFERROR(__xludf.DUMMYFUNCTION("""COMPUTED_VALUE"""),0.22424979724249797)</f>
        <v>0.2242497972</v>
      </c>
      <c r="G864" s="5">
        <f>IFERROR(__xludf.DUMMYFUNCTION("""COMPUTED_VALUE"""),0.1841038118410381)</f>
        <v>0.1841038118</v>
      </c>
      <c r="H864" s="5">
        <f>IFERROR(__xludf.DUMMYFUNCTION("""COMPUTED_VALUE"""),0.620253164556962)</f>
        <v>0.6202531646</v>
      </c>
      <c r="I864" s="11">
        <f>IFERROR(__xludf.DUMMYFUNCTION("""COMPUTED_VALUE"""),5618.987341772152)</f>
        <v>5618.987342</v>
      </c>
      <c r="J864" s="10">
        <f>IFERROR(__xludf.DUMMYFUNCTION("""COMPUTED_VALUE"""),1.0)</f>
        <v>1</v>
      </c>
      <c r="K864" s="5">
        <f>IFERROR(__xludf.DUMMYFUNCTION("""COMPUTED_VALUE"""),0.004329004329004329)</f>
        <v>0.004329004329</v>
      </c>
      <c r="L864" s="10">
        <f>IFERROR(__xludf.DUMMYFUNCTION("""COMPUTED_VALUE"""),231.0)</f>
        <v>231</v>
      </c>
      <c r="M864" s="5">
        <f>IFERROR(__xludf.DUMMYFUNCTION("""COMPUTED_VALUE"""),1.0)</f>
        <v>1</v>
      </c>
    </row>
    <row r="865">
      <c r="A865" s="10" t="str">
        <f>IFERROR(__xludf.DUMMYFUNCTION("""COMPUTED_VALUE"""),"我道")</f>
        <v>我道</v>
      </c>
      <c r="B865" s="10">
        <f>IFERROR(__xludf.DUMMYFUNCTION("""COMPUTED_VALUE"""),258.0)</f>
        <v>258</v>
      </c>
      <c r="C865" s="10">
        <f>IFERROR(__xludf.DUMMYFUNCTION("""COMPUTED_VALUE"""),2970.0)</f>
        <v>2970</v>
      </c>
      <c r="D865" s="5">
        <f>IFERROR(__xludf.DUMMYFUNCTION("""COMPUTED_VALUE"""),0.3606194690265487)</f>
        <v>0.360619469</v>
      </c>
      <c r="E865" s="5">
        <f>IFERROR(__xludf.DUMMYFUNCTION("""COMPUTED_VALUE"""),0.14233038348082597)</f>
        <v>0.1423303835</v>
      </c>
      <c r="F865" s="5">
        <f>IFERROR(__xludf.DUMMYFUNCTION("""COMPUTED_VALUE"""),0.21865781710914453)</f>
        <v>0.2186578171</v>
      </c>
      <c r="G865" s="5">
        <f>IFERROR(__xludf.DUMMYFUNCTION("""COMPUTED_VALUE"""),0.2016961651917404)</f>
        <v>0.2016961652</v>
      </c>
      <c r="H865" s="5">
        <f>IFERROR(__xludf.DUMMYFUNCTION("""COMPUTED_VALUE"""),0.5733558178752108)</f>
        <v>0.5733558179</v>
      </c>
      <c r="I865" s="11">
        <f>IFERROR(__xludf.DUMMYFUNCTION("""COMPUTED_VALUE"""),5593.591905564924)</f>
        <v>5593.591906</v>
      </c>
      <c r="J865" s="10">
        <f>IFERROR(__xludf.DUMMYFUNCTION("""COMPUTED_VALUE"""),0.0)</f>
        <v>0</v>
      </c>
      <c r="K865" s="5">
        <f>IFERROR(__xludf.DUMMYFUNCTION("""COMPUTED_VALUE"""),0.0)</f>
        <v>0</v>
      </c>
      <c r="L865" s="10">
        <f>IFERROR(__xludf.DUMMYFUNCTION("""COMPUTED_VALUE"""),258.0)</f>
        <v>258</v>
      </c>
      <c r="M865" s="5">
        <f>IFERROR(__xludf.DUMMYFUNCTION("""COMPUTED_VALUE"""),1.0)</f>
        <v>1</v>
      </c>
    </row>
    <row r="866">
      <c r="A866" s="10" t="str">
        <f>IFERROR(__xludf.DUMMYFUNCTION("""COMPUTED_VALUE"""),"えだ☆まめ")</f>
        <v>えだ☆まめ</v>
      </c>
      <c r="B866" s="10">
        <f>IFERROR(__xludf.DUMMYFUNCTION("""COMPUTED_VALUE"""),408.0)</f>
        <v>408</v>
      </c>
      <c r="C866" s="10">
        <f>IFERROR(__xludf.DUMMYFUNCTION("""COMPUTED_VALUE"""),4729.0)</f>
        <v>4729</v>
      </c>
      <c r="D866" s="5">
        <f>IFERROR(__xludf.DUMMYFUNCTION("""COMPUTED_VALUE"""),0.404767414950243)</f>
        <v>0.404767415</v>
      </c>
      <c r="E866" s="5">
        <f>IFERROR(__xludf.DUMMYFUNCTION("""COMPUTED_VALUE"""),0.14232816477667207)</f>
        <v>0.1423281648</v>
      </c>
      <c r="F866" s="5">
        <f>IFERROR(__xludf.DUMMYFUNCTION("""COMPUTED_VALUE"""),0.23027077065494098)</f>
        <v>0.2302707707</v>
      </c>
      <c r="G866" s="5">
        <f>IFERROR(__xludf.DUMMYFUNCTION("""COMPUTED_VALUE"""),0.18143948160148113)</f>
        <v>0.1814394816</v>
      </c>
      <c r="H866" s="5">
        <f>IFERROR(__xludf.DUMMYFUNCTION("""COMPUTED_VALUE"""),0.5979899497487438)</f>
        <v>0.5979899497</v>
      </c>
      <c r="I866" s="11">
        <f>IFERROR(__xludf.DUMMYFUNCTION("""COMPUTED_VALUE"""),5343.115577889447)</f>
        <v>5343.115578</v>
      </c>
      <c r="J866" s="10">
        <f>IFERROR(__xludf.DUMMYFUNCTION("""COMPUTED_VALUE"""),0.0)</f>
        <v>0</v>
      </c>
      <c r="K866" s="5">
        <f>IFERROR(__xludf.DUMMYFUNCTION("""COMPUTED_VALUE"""),0.0)</f>
        <v>0</v>
      </c>
      <c r="L866" s="10">
        <f>IFERROR(__xludf.DUMMYFUNCTION("""COMPUTED_VALUE"""),408.0)</f>
        <v>408</v>
      </c>
      <c r="M866" s="5">
        <f>IFERROR(__xludf.DUMMYFUNCTION("""COMPUTED_VALUE"""),1.0)</f>
        <v>1</v>
      </c>
    </row>
    <row r="867">
      <c r="A867" s="10" t="str">
        <f>IFERROR(__xludf.DUMMYFUNCTION("""COMPUTED_VALUE"""),"thisisit")</f>
        <v>thisisit</v>
      </c>
      <c r="B867" s="10">
        <f>IFERROR(__xludf.DUMMYFUNCTION("""COMPUTED_VALUE"""),352.0)</f>
        <v>352</v>
      </c>
      <c r="C867" s="10">
        <f>IFERROR(__xludf.DUMMYFUNCTION("""COMPUTED_VALUE"""),4097.0)</f>
        <v>4097</v>
      </c>
      <c r="D867" s="5">
        <f>IFERROR(__xludf.DUMMYFUNCTION("""COMPUTED_VALUE"""),0.4248331108144192)</f>
        <v>0.4248331108</v>
      </c>
      <c r="E867" s="5">
        <f>IFERROR(__xludf.DUMMYFUNCTION("""COMPUTED_VALUE"""),0.1423230974632844)</f>
        <v>0.1423230975</v>
      </c>
      <c r="F867" s="5">
        <f>IFERROR(__xludf.DUMMYFUNCTION("""COMPUTED_VALUE"""),0.22963951935914553)</f>
        <v>0.2296395194</v>
      </c>
      <c r="G867" s="5">
        <f>IFERROR(__xludf.DUMMYFUNCTION("""COMPUTED_VALUE"""),0.1986648865153538)</f>
        <v>0.1986648865</v>
      </c>
      <c r="H867" s="5">
        <f>IFERROR(__xludf.DUMMYFUNCTION("""COMPUTED_VALUE"""),0.6186046511627907)</f>
        <v>0.6186046512</v>
      </c>
      <c r="I867" s="11">
        <f>IFERROR(__xludf.DUMMYFUNCTION("""COMPUTED_VALUE"""),5241.279069767442)</f>
        <v>5241.27907</v>
      </c>
      <c r="J867" s="10">
        <f>IFERROR(__xludf.DUMMYFUNCTION("""COMPUTED_VALUE"""),0.0)</f>
        <v>0</v>
      </c>
      <c r="K867" s="5">
        <f>IFERROR(__xludf.DUMMYFUNCTION("""COMPUTED_VALUE"""),0.0)</f>
        <v>0</v>
      </c>
      <c r="L867" s="10">
        <f>IFERROR(__xludf.DUMMYFUNCTION("""COMPUTED_VALUE"""),352.0)</f>
        <v>352</v>
      </c>
      <c r="M867" s="5">
        <f>IFERROR(__xludf.DUMMYFUNCTION("""COMPUTED_VALUE"""),1.0)</f>
        <v>1</v>
      </c>
    </row>
    <row r="868">
      <c r="A868" s="10" t="str">
        <f>IFERROR(__xludf.DUMMYFUNCTION("""COMPUTED_VALUE"""),"つくねのパパ")</f>
        <v>つくねのパパ</v>
      </c>
      <c r="B868" s="10">
        <f>IFERROR(__xludf.DUMMYFUNCTION("""COMPUTED_VALUE"""),220.0)</f>
        <v>220</v>
      </c>
      <c r="C868" s="10">
        <f>IFERROR(__xludf.DUMMYFUNCTION("""COMPUTED_VALUE"""),2623.0)</f>
        <v>2623</v>
      </c>
      <c r="D868" s="5">
        <f>IFERROR(__xludf.DUMMYFUNCTION("""COMPUTED_VALUE"""),0.3116937161880982)</f>
        <v>0.3116937162</v>
      </c>
      <c r="E868" s="5">
        <f>IFERROR(__xludf.DUMMYFUNCTION("""COMPUTED_VALUE"""),0.14232209737827714)</f>
        <v>0.1423220974</v>
      </c>
      <c r="F868" s="5">
        <f>IFERROR(__xludf.DUMMYFUNCTION("""COMPUTED_VALUE"""),0.2034956304619226)</f>
        <v>0.2034956305</v>
      </c>
      <c r="G868" s="5">
        <f>IFERROR(__xludf.DUMMYFUNCTION("""COMPUTED_VALUE"""),0.18976279650436953)</f>
        <v>0.1897627965</v>
      </c>
      <c r="H868" s="5">
        <f>IFERROR(__xludf.DUMMYFUNCTION("""COMPUTED_VALUE"""),0.6196319018404908)</f>
        <v>0.6196319018</v>
      </c>
      <c r="I868" s="11">
        <f>IFERROR(__xludf.DUMMYFUNCTION("""COMPUTED_VALUE"""),5935.173824130879)</f>
        <v>5935.173824</v>
      </c>
      <c r="J868" s="10">
        <f>IFERROR(__xludf.DUMMYFUNCTION("""COMPUTED_VALUE"""),1.0)</f>
        <v>1</v>
      </c>
      <c r="K868" s="5">
        <f>IFERROR(__xludf.DUMMYFUNCTION("""COMPUTED_VALUE"""),0.004545454545454545)</f>
        <v>0.004545454545</v>
      </c>
      <c r="L868" s="10">
        <f>IFERROR(__xludf.DUMMYFUNCTION("""COMPUTED_VALUE"""),220.0)</f>
        <v>220</v>
      </c>
      <c r="M868" s="5">
        <f>IFERROR(__xludf.DUMMYFUNCTION("""COMPUTED_VALUE"""),1.0)</f>
        <v>1</v>
      </c>
    </row>
    <row r="869">
      <c r="A869" s="10" t="str">
        <f>IFERROR(__xludf.DUMMYFUNCTION("""COMPUTED_VALUE"""),"天儀凌")</f>
        <v>天儀凌</v>
      </c>
      <c r="B869" s="10">
        <f>IFERROR(__xludf.DUMMYFUNCTION("""COMPUTED_VALUE"""),1345.0)</f>
        <v>1345</v>
      </c>
      <c r="C869" s="10">
        <f>IFERROR(__xludf.DUMMYFUNCTION("""COMPUTED_VALUE"""),15490.0)</f>
        <v>15490</v>
      </c>
      <c r="D869" s="5">
        <f>IFERROR(__xludf.DUMMYFUNCTION("""COMPUTED_VALUE"""),0.3835277483209615)</f>
        <v>0.3835277483</v>
      </c>
      <c r="E869" s="5">
        <f>IFERROR(__xludf.DUMMYFUNCTION("""COMPUTED_VALUE"""),0.1423117709437964)</f>
        <v>0.1423117709</v>
      </c>
      <c r="F869" s="5">
        <f>IFERROR(__xludf.DUMMYFUNCTION("""COMPUTED_VALUE"""),0.22424885118416402)</f>
        <v>0.2242488512</v>
      </c>
      <c r="G869" s="5">
        <f>IFERROR(__xludf.DUMMYFUNCTION("""COMPUTED_VALUE"""),0.18600212089077411)</f>
        <v>0.1860021209</v>
      </c>
      <c r="H869" s="5">
        <f>IFERROR(__xludf.DUMMYFUNCTION("""COMPUTED_VALUE"""),0.6075031525851198)</f>
        <v>0.6075031526</v>
      </c>
      <c r="I869" s="11">
        <f>IFERROR(__xludf.DUMMYFUNCTION("""COMPUTED_VALUE"""),5996.689785624212)</f>
        <v>5996.689786</v>
      </c>
      <c r="J869" s="10">
        <f>IFERROR(__xludf.DUMMYFUNCTION("""COMPUTED_VALUE"""),4.0)</f>
        <v>4</v>
      </c>
      <c r="K869" s="5">
        <f>IFERROR(__xludf.DUMMYFUNCTION("""COMPUTED_VALUE"""),0.002973977695167286)</f>
        <v>0.002973977695</v>
      </c>
      <c r="L869" s="10">
        <f>IFERROR(__xludf.DUMMYFUNCTION("""COMPUTED_VALUE"""),1345.0)</f>
        <v>1345</v>
      </c>
      <c r="M869" s="5">
        <f>IFERROR(__xludf.DUMMYFUNCTION("""COMPUTED_VALUE"""),1.0)</f>
        <v>1</v>
      </c>
    </row>
    <row r="870">
      <c r="A870" s="10" t="str">
        <f>IFERROR(__xludf.DUMMYFUNCTION("""COMPUTED_VALUE"""),"ありおと")</f>
        <v>ありおと</v>
      </c>
      <c r="B870" s="10">
        <f>IFERROR(__xludf.DUMMYFUNCTION("""COMPUTED_VALUE"""),357.0)</f>
        <v>357</v>
      </c>
      <c r="C870" s="10">
        <f>IFERROR(__xludf.DUMMYFUNCTION("""COMPUTED_VALUE"""),4173.0)</f>
        <v>4173</v>
      </c>
      <c r="D870" s="5">
        <f>IFERROR(__xludf.DUMMYFUNCTION("""COMPUTED_VALUE"""),0.35744234800838576)</f>
        <v>0.357442348</v>
      </c>
      <c r="E870" s="5">
        <f>IFERROR(__xludf.DUMMYFUNCTION("""COMPUTED_VALUE"""),0.14229559748427673)</f>
        <v>0.1422955975</v>
      </c>
      <c r="F870" s="5">
        <f>IFERROR(__xludf.DUMMYFUNCTION("""COMPUTED_VALUE"""),0.20518867924528303)</f>
        <v>0.2051886792</v>
      </c>
      <c r="G870" s="5">
        <f>IFERROR(__xludf.DUMMYFUNCTION("""COMPUTED_VALUE"""),0.16142557651991615)</f>
        <v>0.1614255765</v>
      </c>
      <c r="H870" s="5">
        <f>IFERROR(__xludf.DUMMYFUNCTION("""COMPUTED_VALUE"""),0.578544061302682)</f>
        <v>0.5785440613</v>
      </c>
      <c r="I870" s="11">
        <f>IFERROR(__xludf.DUMMYFUNCTION("""COMPUTED_VALUE"""),5511.494252873563)</f>
        <v>5511.494253</v>
      </c>
      <c r="J870" s="10">
        <f>IFERROR(__xludf.DUMMYFUNCTION("""COMPUTED_VALUE"""),0.0)</f>
        <v>0</v>
      </c>
      <c r="K870" s="5">
        <f>IFERROR(__xludf.DUMMYFUNCTION("""COMPUTED_VALUE"""),0.0)</f>
        <v>0</v>
      </c>
      <c r="L870" s="10">
        <f>IFERROR(__xludf.DUMMYFUNCTION("""COMPUTED_VALUE"""),357.0)</f>
        <v>357</v>
      </c>
      <c r="M870" s="5">
        <f>IFERROR(__xludf.DUMMYFUNCTION("""COMPUTED_VALUE"""),1.0)</f>
        <v>1</v>
      </c>
    </row>
    <row r="871">
      <c r="A871" s="10" t="str">
        <f>IFERROR(__xludf.DUMMYFUNCTION("""COMPUTED_VALUE"""),"sheik")</f>
        <v>sheik</v>
      </c>
      <c r="B871" s="10">
        <f>IFERROR(__xludf.DUMMYFUNCTION("""COMPUTED_VALUE"""),210.0)</f>
        <v>210</v>
      </c>
      <c r="C871" s="10">
        <f>IFERROR(__xludf.DUMMYFUNCTION("""COMPUTED_VALUE"""),2487.0)</f>
        <v>2487</v>
      </c>
      <c r="D871" s="5">
        <f>IFERROR(__xludf.DUMMYFUNCTION("""COMPUTED_VALUE"""),0.3407992973210365)</f>
        <v>0.3407992973</v>
      </c>
      <c r="E871" s="5">
        <f>IFERROR(__xludf.DUMMYFUNCTION("""COMPUTED_VALUE"""),0.1422924901185771)</f>
        <v>0.1422924901</v>
      </c>
      <c r="F871" s="5">
        <f>IFERROR(__xludf.DUMMYFUNCTION("""COMPUTED_VALUE"""),0.2015810276679842)</f>
        <v>0.2015810277</v>
      </c>
      <c r="G871" s="5">
        <f>IFERROR(__xludf.DUMMYFUNCTION("""COMPUTED_VALUE"""),0.13043478260869565)</f>
        <v>0.1304347826</v>
      </c>
      <c r="H871" s="5">
        <f>IFERROR(__xludf.DUMMYFUNCTION("""COMPUTED_VALUE"""),0.5882352941176471)</f>
        <v>0.5882352941</v>
      </c>
      <c r="I871" s="11">
        <f>IFERROR(__xludf.DUMMYFUNCTION("""COMPUTED_VALUE"""),5572.76688453159)</f>
        <v>5572.766885</v>
      </c>
      <c r="J871" s="10">
        <f>IFERROR(__xludf.DUMMYFUNCTION("""COMPUTED_VALUE"""),0.0)</f>
        <v>0</v>
      </c>
      <c r="K871" s="5">
        <f>IFERROR(__xludf.DUMMYFUNCTION("""COMPUTED_VALUE"""),0.0)</f>
        <v>0</v>
      </c>
      <c r="L871" s="10">
        <f>IFERROR(__xludf.DUMMYFUNCTION("""COMPUTED_VALUE"""),0.0)</f>
        <v>0</v>
      </c>
      <c r="M871" s="5">
        <f>IFERROR(__xludf.DUMMYFUNCTION("""COMPUTED_VALUE"""),0.0)</f>
        <v>0</v>
      </c>
    </row>
    <row r="872">
      <c r="A872" s="10" t="str">
        <f>IFERROR(__xludf.DUMMYFUNCTION("""COMPUTED_VALUE"""),"バツ＆テン")</f>
        <v>バツ＆テン</v>
      </c>
      <c r="B872" s="10">
        <f>IFERROR(__xludf.DUMMYFUNCTION("""COMPUTED_VALUE"""),572.0)</f>
        <v>572</v>
      </c>
      <c r="C872" s="10">
        <f>IFERROR(__xludf.DUMMYFUNCTION("""COMPUTED_VALUE"""),6602.0)</f>
        <v>6602</v>
      </c>
      <c r="D872" s="5">
        <f>IFERROR(__xludf.DUMMYFUNCTION("""COMPUTED_VALUE"""),0.4449419568822554)</f>
        <v>0.4449419569</v>
      </c>
      <c r="E872" s="5">
        <f>IFERROR(__xludf.DUMMYFUNCTION("""COMPUTED_VALUE"""),0.14228855721393036)</f>
        <v>0.1422885572</v>
      </c>
      <c r="F872" s="5">
        <f>IFERROR(__xludf.DUMMYFUNCTION("""COMPUTED_VALUE"""),0.23233830845771145)</f>
        <v>0.2323383085</v>
      </c>
      <c r="G872" s="5">
        <f>IFERROR(__xludf.DUMMYFUNCTION("""COMPUTED_VALUE"""),0.17230514096185737)</f>
        <v>0.172305141</v>
      </c>
      <c r="H872" s="5">
        <f>IFERROR(__xludf.DUMMYFUNCTION("""COMPUTED_VALUE"""),0.6181299072091363)</f>
        <v>0.6181299072</v>
      </c>
      <c r="I872" s="11">
        <f>IFERROR(__xludf.DUMMYFUNCTION("""COMPUTED_VALUE"""),5345.396145610278)</f>
        <v>5345.396146</v>
      </c>
      <c r="J872" s="10">
        <f>IFERROR(__xludf.DUMMYFUNCTION("""COMPUTED_VALUE"""),0.0)</f>
        <v>0</v>
      </c>
      <c r="K872" s="5">
        <f>IFERROR(__xludf.DUMMYFUNCTION("""COMPUTED_VALUE"""),0.0)</f>
        <v>0</v>
      </c>
      <c r="L872" s="10">
        <f>IFERROR(__xludf.DUMMYFUNCTION("""COMPUTED_VALUE"""),572.0)</f>
        <v>572</v>
      </c>
      <c r="M872" s="5">
        <f>IFERROR(__xludf.DUMMYFUNCTION("""COMPUTED_VALUE"""),1.0)</f>
        <v>1</v>
      </c>
    </row>
    <row r="873">
      <c r="A873" s="10" t="str">
        <f>IFERROR(__xludf.DUMMYFUNCTION("""COMPUTED_VALUE"""),"michaelz")</f>
        <v>michaelz</v>
      </c>
      <c r="B873" s="10">
        <f>IFERROR(__xludf.DUMMYFUNCTION("""COMPUTED_VALUE"""),166.0)</f>
        <v>166</v>
      </c>
      <c r="C873" s="10">
        <f>IFERROR(__xludf.DUMMYFUNCTION("""COMPUTED_VALUE"""),1923.0)</f>
        <v>1923</v>
      </c>
      <c r="D873" s="5">
        <f>IFERROR(__xludf.DUMMYFUNCTION("""COMPUTED_VALUE"""),0.3232783153101878)</f>
        <v>0.3232783153</v>
      </c>
      <c r="E873" s="5">
        <f>IFERROR(__xludf.DUMMYFUNCTION("""COMPUTED_VALUE"""),0.14228799089356858)</f>
        <v>0.1422879909</v>
      </c>
      <c r="F873" s="5">
        <f>IFERROR(__xludf.DUMMYFUNCTION("""COMPUTED_VALUE"""),0.20318725099601595)</f>
        <v>0.203187251</v>
      </c>
      <c r="G873" s="5">
        <f>IFERROR(__xludf.DUMMYFUNCTION("""COMPUTED_VALUE"""),0.19180421172453044)</f>
        <v>0.1918042117</v>
      </c>
      <c r="H873" s="5">
        <f>IFERROR(__xludf.DUMMYFUNCTION("""COMPUTED_VALUE"""),0.6554621848739496)</f>
        <v>0.6554621849</v>
      </c>
      <c r="I873" s="11">
        <f>IFERROR(__xludf.DUMMYFUNCTION("""COMPUTED_VALUE"""),5654.621848739495)</f>
        <v>5654.621849</v>
      </c>
      <c r="J873" s="10">
        <f>IFERROR(__xludf.DUMMYFUNCTION("""COMPUTED_VALUE"""),1.0)</f>
        <v>1</v>
      </c>
      <c r="K873" s="5">
        <f>IFERROR(__xludf.DUMMYFUNCTION("""COMPUTED_VALUE"""),0.006024096385542169)</f>
        <v>0.006024096386</v>
      </c>
      <c r="L873" s="10">
        <f>IFERROR(__xludf.DUMMYFUNCTION("""COMPUTED_VALUE"""),145.0)</f>
        <v>145</v>
      </c>
      <c r="M873" s="5">
        <f>IFERROR(__xludf.DUMMYFUNCTION("""COMPUTED_VALUE"""),0.8734939759036144)</f>
        <v>0.8734939759</v>
      </c>
    </row>
    <row r="874">
      <c r="A874" s="10" t="str">
        <f>IFERROR(__xludf.DUMMYFUNCTION("""COMPUTED_VALUE"""),"えすたまる")</f>
        <v>えすたまる</v>
      </c>
      <c r="B874" s="10">
        <f>IFERROR(__xludf.DUMMYFUNCTION("""COMPUTED_VALUE"""),423.0)</f>
        <v>423</v>
      </c>
      <c r="C874" s="10">
        <f>IFERROR(__xludf.DUMMYFUNCTION("""COMPUTED_VALUE"""),4865.0)</f>
        <v>4865</v>
      </c>
      <c r="D874" s="5">
        <f>IFERROR(__xludf.DUMMYFUNCTION("""COMPUTED_VALUE"""),0.3135974786132373)</f>
        <v>0.3135974786</v>
      </c>
      <c r="E874" s="5">
        <f>IFERROR(__xludf.DUMMYFUNCTION("""COMPUTED_VALUE"""),0.14227825303917155)</f>
        <v>0.142278253</v>
      </c>
      <c r="F874" s="5">
        <f>IFERROR(__xludf.DUMMYFUNCTION("""COMPUTED_VALUE"""),0.20621341737955876)</f>
        <v>0.2062134174</v>
      </c>
      <c r="G874" s="5">
        <f>IFERROR(__xludf.DUMMYFUNCTION("""COMPUTED_VALUE"""),0.18910400720396217)</f>
        <v>0.1891040072</v>
      </c>
      <c r="H874" s="5">
        <f>IFERROR(__xludf.DUMMYFUNCTION("""COMPUTED_VALUE"""),0.6048034934497817)</f>
        <v>0.6048034934</v>
      </c>
      <c r="I874" s="11">
        <f>IFERROR(__xludf.DUMMYFUNCTION("""COMPUTED_VALUE"""),5749.454148471616)</f>
        <v>5749.454148</v>
      </c>
      <c r="J874" s="10">
        <f>IFERROR(__xludf.DUMMYFUNCTION("""COMPUTED_VALUE"""),0.0)</f>
        <v>0</v>
      </c>
      <c r="K874" s="5">
        <f>IFERROR(__xludf.DUMMYFUNCTION("""COMPUTED_VALUE"""),0.0)</f>
        <v>0</v>
      </c>
      <c r="L874" s="10">
        <f>IFERROR(__xludf.DUMMYFUNCTION("""COMPUTED_VALUE"""),423.0)</f>
        <v>423</v>
      </c>
      <c r="M874" s="5">
        <f>IFERROR(__xludf.DUMMYFUNCTION("""COMPUTED_VALUE"""),1.0)</f>
        <v>1</v>
      </c>
    </row>
    <row r="875">
      <c r="A875" s="10" t="str">
        <f>IFERROR(__xludf.DUMMYFUNCTION("""COMPUTED_VALUE"""),"たいせ")</f>
        <v>たいせ</v>
      </c>
      <c r="B875" s="10">
        <f>IFERROR(__xludf.DUMMYFUNCTION("""COMPUTED_VALUE"""),154.0)</f>
        <v>154</v>
      </c>
      <c r="C875" s="10">
        <f>IFERROR(__xludf.DUMMYFUNCTION("""COMPUTED_VALUE"""),1876.0)</f>
        <v>1876</v>
      </c>
      <c r="D875" s="5">
        <f>IFERROR(__xludf.DUMMYFUNCTION("""COMPUTED_VALUE"""),0.3164924506387921)</f>
        <v>0.3164924506</v>
      </c>
      <c r="E875" s="5">
        <f>IFERROR(__xludf.DUMMYFUNCTION("""COMPUTED_VALUE"""),0.14227642276422764)</f>
        <v>0.1422764228</v>
      </c>
      <c r="F875" s="5">
        <f>IFERROR(__xludf.DUMMYFUNCTION("""COMPUTED_VALUE"""),0.19628339140534262)</f>
        <v>0.1962833914</v>
      </c>
      <c r="G875" s="5">
        <f>IFERROR(__xludf.DUMMYFUNCTION("""COMPUTED_VALUE"""),0.1806039488966318)</f>
        <v>0.1806039489</v>
      </c>
      <c r="H875" s="5">
        <f>IFERROR(__xludf.DUMMYFUNCTION("""COMPUTED_VALUE"""),0.5769230769230769)</f>
        <v>0.5769230769</v>
      </c>
      <c r="I875" s="11">
        <f>IFERROR(__xludf.DUMMYFUNCTION("""COMPUTED_VALUE"""),6162.130177514793)</f>
        <v>6162.130178</v>
      </c>
      <c r="J875" s="10">
        <f>IFERROR(__xludf.DUMMYFUNCTION("""COMPUTED_VALUE"""),0.0)</f>
        <v>0</v>
      </c>
      <c r="K875" s="5">
        <f>IFERROR(__xludf.DUMMYFUNCTION("""COMPUTED_VALUE"""),0.0)</f>
        <v>0</v>
      </c>
      <c r="L875" s="10">
        <f>IFERROR(__xludf.DUMMYFUNCTION("""COMPUTED_VALUE"""),0.0)</f>
        <v>0</v>
      </c>
      <c r="M875" s="5">
        <f>IFERROR(__xludf.DUMMYFUNCTION("""COMPUTED_VALUE"""),0.0)</f>
        <v>0</v>
      </c>
    </row>
    <row r="876">
      <c r="A876" s="10" t="str">
        <f>IFERROR(__xludf.DUMMYFUNCTION("""COMPUTED_VALUE"""),"KS_mj")</f>
        <v>KS_mj</v>
      </c>
      <c r="B876" s="10">
        <f>IFERROR(__xludf.DUMMYFUNCTION("""COMPUTED_VALUE"""),182.0)</f>
        <v>182</v>
      </c>
      <c r="C876" s="10">
        <f>IFERROR(__xludf.DUMMYFUNCTION("""COMPUTED_VALUE"""),2143.0)</f>
        <v>2143</v>
      </c>
      <c r="D876" s="5">
        <f>IFERROR(__xludf.DUMMYFUNCTION("""COMPUTED_VALUE"""),0.323814380418154)</f>
        <v>0.3238143804</v>
      </c>
      <c r="E876" s="5">
        <f>IFERROR(__xludf.DUMMYFUNCTION("""COMPUTED_VALUE"""),0.14227434982151962)</f>
        <v>0.1422743498</v>
      </c>
      <c r="F876" s="5">
        <f>IFERROR(__xludf.DUMMYFUNCTION("""COMPUTED_VALUE"""),0.19275879653238143)</f>
        <v>0.1927587965</v>
      </c>
      <c r="G876" s="5">
        <f>IFERROR(__xludf.DUMMYFUNCTION("""COMPUTED_VALUE"""),0.1942886282508924)</f>
        <v>0.1942886283</v>
      </c>
      <c r="H876" s="5">
        <f>IFERROR(__xludf.DUMMYFUNCTION("""COMPUTED_VALUE"""),0.5767195767195767)</f>
        <v>0.5767195767</v>
      </c>
      <c r="I876" s="11">
        <f>IFERROR(__xludf.DUMMYFUNCTION("""COMPUTED_VALUE"""),5788.359788359789)</f>
        <v>5788.359788</v>
      </c>
      <c r="J876" s="10">
        <f>IFERROR(__xludf.DUMMYFUNCTION("""COMPUTED_VALUE"""),0.0)</f>
        <v>0</v>
      </c>
      <c r="K876" s="5">
        <f>IFERROR(__xludf.DUMMYFUNCTION("""COMPUTED_VALUE"""),0.0)</f>
        <v>0</v>
      </c>
      <c r="L876" s="10">
        <f>IFERROR(__xludf.DUMMYFUNCTION("""COMPUTED_VALUE"""),182.0)</f>
        <v>182</v>
      </c>
      <c r="M876" s="5">
        <f>IFERROR(__xludf.DUMMYFUNCTION("""COMPUTED_VALUE"""),1.0)</f>
        <v>1</v>
      </c>
    </row>
    <row r="877">
      <c r="A877" s="10" t="str">
        <f>IFERROR(__xludf.DUMMYFUNCTION("""COMPUTED_VALUE"""),"たがみ剛")</f>
        <v>たがみ剛</v>
      </c>
      <c r="B877" s="10">
        <f>IFERROR(__xludf.DUMMYFUNCTION("""COMPUTED_VALUE"""),277.0)</f>
        <v>277</v>
      </c>
      <c r="C877" s="10">
        <f>IFERROR(__xludf.DUMMYFUNCTION("""COMPUTED_VALUE"""),3187.0)</f>
        <v>3187</v>
      </c>
      <c r="D877" s="5">
        <f>IFERROR(__xludf.DUMMYFUNCTION("""COMPUTED_VALUE"""),0.2859106529209622)</f>
        <v>0.2859106529</v>
      </c>
      <c r="E877" s="5">
        <f>IFERROR(__xludf.DUMMYFUNCTION("""COMPUTED_VALUE"""),0.1422680412371134)</f>
        <v>0.1422680412</v>
      </c>
      <c r="F877" s="5">
        <f>IFERROR(__xludf.DUMMYFUNCTION("""COMPUTED_VALUE"""),0.2)</f>
        <v>0.2</v>
      </c>
      <c r="G877" s="5">
        <f>IFERROR(__xludf.DUMMYFUNCTION("""COMPUTED_VALUE"""),0.1697594501718213)</f>
        <v>0.1697594502</v>
      </c>
      <c r="H877" s="5">
        <f>IFERROR(__xludf.DUMMYFUNCTION("""COMPUTED_VALUE"""),0.6443298969072165)</f>
        <v>0.6443298969</v>
      </c>
      <c r="I877" s="11">
        <f>IFERROR(__xludf.DUMMYFUNCTION("""COMPUTED_VALUE"""),5575.601374570447)</f>
        <v>5575.601375</v>
      </c>
      <c r="J877" s="10">
        <f>IFERROR(__xludf.DUMMYFUNCTION("""COMPUTED_VALUE"""),1.0)</f>
        <v>1</v>
      </c>
      <c r="K877" s="5">
        <f>IFERROR(__xludf.DUMMYFUNCTION("""COMPUTED_VALUE"""),0.0036101083032490976)</f>
        <v>0.003610108303</v>
      </c>
      <c r="L877" s="10">
        <f>IFERROR(__xludf.DUMMYFUNCTION("""COMPUTED_VALUE"""),277.0)</f>
        <v>277</v>
      </c>
      <c r="M877" s="5">
        <f>IFERROR(__xludf.DUMMYFUNCTION("""COMPUTED_VALUE"""),1.0)</f>
        <v>1</v>
      </c>
    </row>
    <row r="878">
      <c r="A878" s="10" t="str">
        <f>IFERROR(__xludf.DUMMYFUNCTION("""COMPUTED_VALUE"""),"村松【本物】")</f>
        <v>村松【本物】</v>
      </c>
      <c r="B878" s="10">
        <f>IFERROR(__xludf.DUMMYFUNCTION("""COMPUTED_VALUE"""),430.0)</f>
        <v>430</v>
      </c>
      <c r="C878" s="10">
        <f>IFERROR(__xludf.DUMMYFUNCTION("""COMPUTED_VALUE"""),5034.0)</f>
        <v>5034</v>
      </c>
      <c r="D878" s="5">
        <f>IFERROR(__xludf.DUMMYFUNCTION("""COMPUTED_VALUE"""),0.31364031277150306)</f>
        <v>0.3136403128</v>
      </c>
      <c r="E878" s="5">
        <f>IFERROR(__xludf.DUMMYFUNCTION("""COMPUTED_VALUE"""),0.14226759339704606)</f>
        <v>0.1422675934</v>
      </c>
      <c r="F878" s="5">
        <f>IFERROR(__xludf.DUMMYFUNCTION("""COMPUTED_VALUE"""),0.20134665508253693)</f>
        <v>0.2013466551</v>
      </c>
      <c r="G878" s="5">
        <f>IFERROR(__xludf.DUMMYFUNCTION("""COMPUTED_VALUE"""),0.18049522154648132)</f>
        <v>0.1804952215</v>
      </c>
      <c r="H878" s="5">
        <f>IFERROR(__xludf.DUMMYFUNCTION("""COMPUTED_VALUE"""),0.5922330097087378)</f>
        <v>0.5922330097</v>
      </c>
      <c r="I878" s="11">
        <f>IFERROR(__xludf.DUMMYFUNCTION("""COMPUTED_VALUE"""),6011.434735706581)</f>
        <v>6011.434736</v>
      </c>
      <c r="J878" s="10">
        <f>IFERROR(__xludf.DUMMYFUNCTION("""COMPUTED_VALUE"""),3.0)</f>
        <v>3</v>
      </c>
      <c r="K878" s="5">
        <f>IFERROR(__xludf.DUMMYFUNCTION("""COMPUTED_VALUE"""),0.0069767441860465115)</f>
        <v>0.006976744186</v>
      </c>
      <c r="L878" s="10">
        <f>IFERROR(__xludf.DUMMYFUNCTION("""COMPUTED_VALUE"""),430.0)</f>
        <v>430</v>
      </c>
      <c r="M878" s="5">
        <f>IFERROR(__xludf.DUMMYFUNCTION("""COMPUTED_VALUE"""),1.0)</f>
        <v>1</v>
      </c>
    </row>
    <row r="879">
      <c r="A879" s="10" t="str">
        <f>IFERROR(__xludf.DUMMYFUNCTION("""COMPUTED_VALUE"""),"みずまｔ")</f>
        <v>みずまｔ</v>
      </c>
      <c r="B879" s="10">
        <f>IFERROR(__xludf.DUMMYFUNCTION("""COMPUTED_VALUE"""),112.0)</f>
        <v>112</v>
      </c>
      <c r="C879" s="10">
        <f>IFERROR(__xludf.DUMMYFUNCTION("""COMPUTED_VALUE"""),1314.0)</f>
        <v>1314</v>
      </c>
      <c r="D879" s="5">
        <f>IFERROR(__xludf.DUMMYFUNCTION("""COMPUTED_VALUE"""),0.3627287853577371)</f>
        <v>0.3627287854</v>
      </c>
      <c r="E879" s="5">
        <f>IFERROR(__xludf.DUMMYFUNCTION("""COMPUTED_VALUE"""),0.14226289517470883)</f>
        <v>0.1422628952</v>
      </c>
      <c r="F879" s="5">
        <f>IFERROR(__xludf.DUMMYFUNCTION("""COMPUTED_VALUE"""),0.194675540765391)</f>
        <v>0.1946755408</v>
      </c>
      <c r="G879" s="5">
        <f>IFERROR(__xludf.DUMMYFUNCTION("""COMPUTED_VALUE"""),0.16306156405990016)</f>
        <v>0.1630615641</v>
      </c>
      <c r="H879" s="5">
        <f>IFERROR(__xludf.DUMMYFUNCTION("""COMPUTED_VALUE"""),0.5726495726495726)</f>
        <v>0.5726495726</v>
      </c>
      <c r="I879" s="11">
        <f>IFERROR(__xludf.DUMMYFUNCTION("""COMPUTED_VALUE"""),5947.008547008547)</f>
        <v>5947.008547</v>
      </c>
      <c r="J879" s="10">
        <f>IFERROR(__xludf.DUMMYFUNCTION("""COMPUTED_VALUE"""),2.0)</f>
        <v>2</v>
      </c>
      <c r="K879" s="5">
        <f>IFERROR(__xludf.DUMMYFUNCTION("""COMPUTED_VALUE"""),0.017857142857142856)</f>
        <v>0.01785714286</v>
      </c>
      <c r="L879" s="10">
        <f>IFERROR(__xludf.DUMMYFUNCTION("""COMPUTED_VALUE"""),112.0)</f>
        <v>112</v>
      </c>
      <c r="M879" s="5">
        <f>IFERROR(__xludf.DUMMYFUNCTION("""COMPUTED_VALUE"""),1.0)</f>
        <v>1</v>
      </c>
    </row>
    <row r="880">
      <c r="A880" s="10" t="str">
        <f>IFERROR(__xludf.DUMMYFUNCTION("""COMPUTED_VALUE"""),"孤独な女戦士")</f>
        <v>孤独な女戦士</v>
      </c>
      <c r="B880" s="10">
        <f>IFERROR(__xludf.DUMMYFUNCTION("""COMPUTED_VALUE"""),132.0)</f>
        <v>132</v>
      </c>
      <c r="C880" s="10">
        <f>IFERROR(__xludf.DUMMYFUNCTION("""COMPUTED_VALUE"""),1559.0)</f>
        <v>1559</v>
      </c>
      <c r="D880" s="5">
        <f>IFERROR(__xludf.DUMMYFUNCTION("""COMPUTED_VALUE"""),0.365802382620883)</f>
        <v>0.3658023826</v>
      </c>
      <c r="E880" s="5">
        <f>IFERROR(__xludf.DUMMYFUNCTION("""COMPUTED_VALUE"""),0.14225648213034336)</f>
        <v>0.1422564821</v>
      </c>
      <c r="F880" s="5">
        <f>IFERROR(__xludf.DUMMYFUNCTION("""COMPUTED_VALUE"""),0.20812894183601963)</f>
        <v>0.2081289418</v>
      </c>
      <c r="G880" s="5">
        <f>IFERROR(__xludf.DUMMYFUNCTION("""COMPUTED_VALUE"""),0.13384723195515066)</f>
        <v>0.133847232</v>
      </c>
      <c r="H880" s="5">
        <f>IFERROR(__xludf.DUMMYFUNCTION("""COMPUTED_VALUE"""),0.6127946127946128)</f>
        <v>0.6127946128</v>
      </c>
      <c r="I880" s="11">
        <f>IFERROR(__xludf.DUMMYFUNCTION("""COMPUTED_VALUE"""),5545.791245791246)</f>
        <v>5545.791246</v>
      </c>
      <c r="J880" s="10">
        <f>IFERROR(__xludf.DUMMYFUNCTION("""COMPUTED_VALUE"""),1.0)</f>
        <v>1</v>
      </c>
      <c r="K880" s="5">
        <f>IFERROR(__xludf.DUMMYFUNCTION("""COMPUTED_VALUE"""),0.007575757575757576)</f>
        <v>0.007575757576</v>
      </c>
      <c r="L880" s="10">
        <f>IFERROR(__xludf.DUMMYFUNCTION("""COMPUTED_VALUE"""),0.0)</f>
        <v>0</v>
      </c>
      <c r="M880" s="5">
        <f>IFERROR(__xludf.DUMMYFUNCTION("""COMPUTED_VALUE"""),0.0)</f>
        <v>0</v>
      </c>
    </row>
    <row r="881">
      <c r="A881" s="10" t="str">
        <f>IFERROR(__xludf.DUMMYFUNCTION("""COMPUTED_VALUE"""),"ぽぽりろ")</f>
        <v>ぽぽりろ</v>
      </c>
      <c r="B881" s="10">
        <f>IFERROR(__xludf.DUMMYFUNCTION("""COMPUTED_VALUE"""),413.0)</f>
        <v>413</v>
      </c>
      <c r="C881" s="10">
        <f>IFERROR(__xludf.DUMMYFUNCTION("""COMPUTED_VALUE"""),4884.0)</f>
        <v>4884</v>
      </c>
      <c r="D881" s="5">
        <f>IFERROR(__xludf.DUMMYFUNCTION("""COMPUTED_VALUE"""),0.3162603444419593)</f>
        <v>0.3162603444</v>
      </c>
      <c r="E881" s="5">
        <f>IFERROR(__xludf.DUMMYFUNCTION("""COMPUTED_VALUE"""),0.14225005591590248)</f>
        <v>0.1422500559</v>
      </c>
      <c r="F881" s="5">
        <f>IFERROR(__xludf.DUMMYFUNCTION("""COMPUTED_VALUE"""),0.21270409304406174)</f>
        <v>0.212704093</v>
      </c>
      <c r="G881" s="5">
        <f>IFERROR(__xludf.DUMMYFUNCTION("""COMPUTED_VALUE"""),0.16819503466785954)</f>
        <v>0.1681950347</v>
      </c>
      <c r="H881" s="5">
        <f>IFERROR(__xludf.DUMMYFUNCTION("""COMPUTED_VALUE"""),0.6109358569926393)</f>
        <v>0.610935857</v>
      </c>
      <c r="I881" s="11">
        <f>IFERROR(__xludf.DUMMYFUNCTION("""COMPUTED_VALUE"""),5749.31650893796)</f>
        <v>5749.316509</v>
      </c>
      <c r="J881" s="10">
        <f>IFERROR(__xludf.DUMMYFUNCTION("""COMPUTED_VALUE"""),0.0)</f>
        <v>0</v>
      </c>
      <c r="K881" s="5">
        <f>IFERROR(__xludf.DUMMYFUNCTION("""COMPUTED_VALUE"""),0.0)</f>
        <v>0</v>
      </c>
      <c r="L881" s="10">
        <f>IFERROR(__xludf.DUMMYFUNCTION("""COMPUTED_VALUE"""),413.0)</f>
        <v>413</v>
      </c>
      <c r="M881" s="5">
        <f>IFERROR(__xludf.DUMMYFUNCTION("""COMPUTED_VALUE"""),1.0)</f>
        <v>1</v>
      </c>
    </row>
    <row r="882">
      <c r="A882" s="10" t="str">
        <f>IFERROR(__xludf.DUMMYFUNCTION("""COMPUTED_VALUE"""),"rabisuke")</f>
        <v>rabisuke</v>
      </c>
      <c r="B882" s="10">
        <f>IFERROR(__xludf.DUMMYFUNCTION("""COMPUTED_VALUE"""),131.0)</f>
        <v>131</v>
      </c>
      <c r="C882" s="10">
        <f>IFERROR(__xludf.DUMMYFUNCTION("""COMPUTED_VALUE"""),1530.0)</f>
        <v>1530</v>
      </c>
      <c r="D882" s="5">
        <f>IFERROR(__xludf.DUMMYFUNCTION("""COMPUTED_VALUE"""),0.28448892065761255)</f>
        <v>0.2844889207</v>
      </c>
      <c r="E882" s="5">
        <f>IFERROR(__xludf.DUMMYFUNCTION("""COMPUTED_VALUE"""),0.14224446032880628)</f>
        <v>0.1422444603</v>
      </c>
      <c r="F882" s="5">
        <f>IFERROR(__xludf.DUMMYFUNCTION("""COMPUTED_VALUE"""),0.20514653323802717)</f>
        <v>0.2051465332</v>
      </c>
      <c r="G882" s="5">
        <f>IFERROR(__xludf.DUMMYFUNCTION("""COMPUTED_VALUE"""),0.1679771265189421)</f>
        <v>0.1679771265</v>
      </c>
      <c r="H882" s="5">
        <f>IFERROR(__xludf.DUMMYFUNCTION("""COMPUTED_VALUE"""),0.5609756097560976)</f>
        <v>0.5609756098</v>
      </c>
      <c r="I882" s="11">
        <f>IFERROR(__xludf.DUMMYFUNCTION("""COMPUTED_VALUE"""),6055.4006968641115)</f>
        <v>6055.400697</v>
      </c>
      <c r="J882" s="10">
        <f>IFERROR(__xludf.DUMMYFUNCTION("""COMPUTED_VALUE"""),1.0)</f>
        <v>1</v>
      </c>
      <c r="K882" s="5">
        <f>IFERROR(__xludf.DUMMYFUNCTION("""COMPUTED_VALUE"""),0.007633587786259542)</f>
        <v>0.007633587786</v>
      </c>
      <c r="L882" s="10">
        <f>IFERROR(__xludf.DUMMYFUNCTION("""COMPUTED_VALUE"""),131.0)</f>
        <v>131</v>
      </c>
      <c r="M882" s="5">
        <f>IFERROR(__xludf.DUMMYFUNCTION("""COMPUTED_VALUE"""),1.0)</f>
        <v>1</v>
      </c>
    </row>
    <row r="883">
      <c r="A883" s="10" t="str">
        <f>IFERROR(__xludf.DUMMYFUNCTION("""COMPUTED_VALUE"""),"tomnp")</f>
        <v>tomnp</v>
      </c>
      <c r="B883" s="10">
        <f>IFERROR(__xludf.DUMMYFUNCTION("""COMPUTED_VALUE"""),129.0)</f>
        <v>129</v>
      </c>
      <c r="C883" s="10">
        <f>IFERROR(__xludf.DUMMYFUNCTION("""COMPUTED_VALUE"""),1528.0)</f>
        <v>1528</v>
      </c>
      <c r="D883" s="5">
        <f>IFERROR(__xludf.DUMMYFUNCTION("""COMPUTED_VALUE"""),0.42387419585418157)</f>
        <v>0.4238741959</v>
      </c>
      <c r="E883" s="5">
        <f>IFERROR(__xludf.DUMMYFUNCTION("""COMPUTED_VALUE"""),0.14224446032880628)</f>
        <v>0.1422444603</v>
      </c>
      <c r="F883" s="5">
        <f>IFERROR(__xludf.DUMMYFUNCTION("""COMPUTED_VALUE"""),0.2215868477483917)</f>
        <v>0.2215868477</v>
      </c>
      <c r="G883" s="5">
        <f>IFERROR(__xludf.DUMMYFUNCTION("""COMPUTED_VALUE"""),0.14438884917798428)</f>
        <v>0.1443888492</v>
      </c>
      <c r="H883" s="5">
        <f>IFERROR(__xludf.DUMMYFUNCTION("""COMPUTED_VALUE"""),0.6225806451612903)</f>
        <v>0.6225806452</v>
      </c>
      <c r="I883" s="11">
        <f>IFERROR(__xludf.DUMMYFUNCTION("""COMPUTED_VALUE"""),4800.322580645161)</f>
        <v>4800.322581</v>
      </c>
      <c r="J883" s="10">
        <f>IFERROR(__xludf.DUMMYFUNCTION("""COMPUTED_VALUE"""),0.0)</f>
        <v>0</v>
      </c>
      <c r="K883" s="5">
        <f>IFERROR(__xludf.DUMMYFUNCTION("""COMPUTED_VALUE"""),0.0)</f>
        <v>0</v>
      </c>
      <c r="L883" s="10">
        <f>IFERROR(__xludf.DUMMYFUNCTION("""COMPUTED_VALUE"""),126.0)</f>
        <v>126</v>
      </c>
      <c r="M883" s="5">
        <f>IFERROR(__xludf.DUMMYFUNCTION("""COMPUTED_VALUE"""),0.9767441860465116)</f>
        <v>0.976744186</v>
      </c>
    </row>
    <row r="884">
      <c r="A884" s="10" t="str">
        <f>IFERROR(__xludf.DUMMYFUNCTION("""COMPUTED_VALUE"""),"子竜０３０８")</f>
        <v>子竜０３０８</v>
      </c>
      <c r="B884" s="10">
        <f>IFERROR(__xludf.DUMMYFUNCTION("""COMPUTED_VALUE"""),531.0)</f>
        <v>531</v>
      </c>
      <c r="C884" s="10">
        <f>IFERROR(__xludf.DUMMYFUNCTION("""COMPUTED_VALUE"""),6324.0)</f>
        <v>6324</v>
      </c>
      <c r="D884" s="5">
        <f>IFERROR(__xludf.DUMMYFUNCTION("""COMPUTED_VALUE"""),0.29449335404798893)</f>
        <v>0.294493354</v>
      </c>
      <c r="E884" s="5">
        <f>IFERROR(__xludf.DUMMYFUNCTION("""COMPUTED_VALUE"""),0.14224063524943897)</f>
        <v>0.1422406352</v>
      </c>
      <c r="F884" s="5">
        <f>IFERROR(__xludf.DUMMYFUNCTION("""COMPUTED_VALUE"""),0.21146210944243052)</f>
        <v>0.2114621094</v>
      </c>
      <c r="G884" s="5">
        <f>IFERROR(__xludf.DUMMYFUNCTION("""COMPUTED_VALUE"""),0.16658035560158813)</f>
        <v>0.1665803556</v>
      </c>
      <c r="H884" s="5">
        <f>IFERROR(__xludf.DUMMYFUNCTION("""COMPUTED_VALUE"""),0.6195918367346939)</f>
        <v>0.6195918367</v>
      </c>
      <c r="I884" s="11">
        <f>IFERROR(__xludf.DUMMYFUNCTION("""COMPUTED_VALUE"""),6125.714285714285)</f>
        <v>6125.714286</v>
      </c>
      <c r="J884" s="10">
        <f>IFERROR(__xludf.DUMMYFUNCTION("""COMPUTED_VALUE"""),6.0)</f>
        <v>6</v>
      </c>
      <c r="K884" s="5">
        <f>IFERROR(__xludf.DUMMYFUNCTION("""COMPUTED_VALUE"""),0.011299435028248588)</f>
        <v>0.01129943503</v>
      </c>
      <c r="L884" s="10">
        <f>IFERROR(__xludf.DUMMYFUNCTION("""COMPUTED_VALUE"""),531.0)</f>
        <v>531</v>
      </c>
      <c r="M884" s="5">
        <f>IFERROR(__xludf.DUMMYFUNCTION("""COMPUTED_VALUE"""),1.0)</f>
        <v>1</v>
      </c>
    </row>
    <row r="885">
      <c r="A885" s="10" t="str">
        <f>IFERROR(__xludf.DUMMYFUNCTION("""COMPUTED_VALUE"""),"工藤行雄")</f>
        <v>工藤行雄</v>
      </c>
      <c r="B885" s="10">
        <f>IFERROR(__xludf.DUMMYFUNCTION("""COMPUTED_VALUE"""),254.0)</f>
        <v>254</v>
      </c>
      <c r="C885" s="10">
        <f>IFERROR(__xludf.DUMMYFUNCTION("""COMPUTED_VALUE"""),2975.0)</f>
        <v>2975</v>
      </c>
      <c r="D885" s="5">
        <f>IFERROR(__xludf.DUMMYFUNCTION("""COMPUTED_VALUE"""),0.3631018008085263)</f>
        <v>0.3631018008</v>
      </c>
      <c r="E885" s="5">
        <f>IFERROR(__xludf.DUMMYFUNCTION("""COMPUTED_VALUE"""),0.1422271223814774)</f>
        <v>0.1422271224</v>
      </c>
      <c r="F885" s="5">
        <f>IFERROR(__xludf.DUMMYFUNCTION("""COMPUTED_VALUE"""),0.20801176038221242)</f>
        <v>0.2080117604</v>
      </c>
      <c r="G885" s="5">
        <f>IFERROR(__xludf.DUMMYFUNCTION("""COMPUTED_VALUE"""),0.1422271223814774)</f>
        <v>0.1422271224</v>
      </c>
      <c r="H885" s="5">
        <f>IFERROR(__xludf.DUMMYFUNCTION("""COMPUTED_VALUE"""),0.627208480565371)</f>
        <v>0.6272084806</v>
      </c>
      <c r="I885" s="11">
        <f>IFERROR(__xludf.DUMMYFUNCTION("""COMPUTED_VALUE"""),5463.250883392227)</f>
        <v>5463.250883</v>
      </c>
      <c r="J885" s="10">
        <f>IFERROR(__xludf.DUMMYFUNCTION("""COMPUTED_VALUE"""),1.0)</f>
        <v>1</v>
      </c>
      <c r="K885" s="5">
        <f>IFERROR(__xludf.DUMMYFUNCTION("""COMPUTED_VALUE"""),0.003937007874015748)</f>
        <v>0.003937007874</v>
      </c>
      <c r="L885" s="10">
        <f>IFERROR(__xludf.DUMMYFUNCTION("""COMPUTED_VALUE"""),254.0)</f>
        <v>254</v>
      </c>
      <c r="M885" s="5">
        <f>IFERROR(__xludf.DUMMYFUNCTION("""COMPUTED_VALUE"""),1.0)</f>
        <v>1</v>
      </c>
    </row>
    <row r="886">
      <c r="A886" s="10" t="str">
        <f>IFERROR(__xludf.DUMMYFUNCTION("""COMPUTED_VALUE"""),"日本語難しい")</f>
        <v>日本語難しい</v>
      </c>
      <c r="B886" s="10">
        <f>IFERROR(__xludf.DUMMYFUNCTION("""COMPUTED_VALUE"""),1118.0)</f>
        <v>1118</v>
      </c>
      <c r="C886" s="10">
        <f>IFERROR(__xludf.DUMMYFUNCTION("""COMPUTED_VALUE"""),13080.0)</f>
        <v>13080</v>
      </c>
      <c r="D886" s="5">
        <f>IFERROR(__xludf.DUMMYFUNCTION("""COMPUTED_VALUE"""),0.37844841999665607)</f>
        <v>0.37844842</v>
      </c>
      <c r="E886" s="5">
        <f>IFERROR(__xludf.DUMMYFUNCTION("""COMPUTED_VALUE"""),0.1422003009530179)</f>
        <v>0.142200301</v>
      </c>
      <c r="F886" s="5">
        <f>IFERROR(__xludf.DUMMYFUNCTION("""COMPUTED_VALUE"""),0.22646714596221368)</f>
        <v>0.226467146</v>
      </c>
      <c r="G886" s="5">
        <f>IFERROR(__xludf.DUMMYFUNCTION("""COMPUTED_VALUE"""),0.20105333556261495)</f>
        <v>0.2010533356</v>
      </c>
      <c r="H886" s="5">
        <f>IFERROR(__xludf.DUMMYFUNCTION("""COMPUTED_VALUE"""),0.593576965669989)</f>
        <v>0.5935769657</v>
      </c>
      <c r="I886" s="11">
        <f>IFERROR(__xludf.DUMMYFUNCTION("""COMPUTED_VALUE"""),5711.701734957549)</f>
        <v>5711.701735</v>
      </c>
      <c r="J886" s="10">
        <f>IFERROR(__xludf.DUMMYFUNCTION("""COMPUTED_VALUE"""),3.0)</f>
        <v>3</v>
      </c>
      <c r="K886" s="5">
        <f>IFERROR(__xludf.DUMMYFUNCTION("""COMPUTED_VALUE"""),0.0026833631484794273)</f>
        <v>0.002683363148</v>
      </c>
      <c r="L886" s="10">
        <f>IFERROR(__xludf.DUMMYFUNCTION("""COMPUTED_VALUE"""),1118.0)</f>
        <v>1118</v>
      </c>
      <c r="M886" s="5">
        <f>IFERROR(__xludf.DUMMYFUNCTION("""COMPUTED_VALUE"""),1.0)</f>
        <v>1</v>
      </c>
    </row>
    <row r="887">
      <c r="A887" s="10" t="str">
        <f>IFERROR(__xludf.DUMMYFUNCTION("""COMPUTED_VALUE"""),"アフロな侍")</f>
        <v>アフロな侍</v>
      </c>
      <c r="B887" s="10">
        <f>IFERROR(__xludf.DUMMYFUNCTION("""COMPUTED_VALUE"""),159.0)</f>
        <v>159</v>
      </c>
      <c r="C887" s="10">
        <f>IFERROR(__xludf.DUMMYFUNCTION("""COMPUTED_VALUE"""),1896.0)</f>
        <v>1896</v>
      </c>
      <c r="D887" s="5">
        <f>IFERROR(__xludf.DUMMYFUNCTION("""COMPUTED_VALUE"""),0.2849740932642487)</f>
        <v>0.2849740933</v>
      </c>
      <c r="E887" s="5">
        <f>IFERROR(__xludf.DUMMYFUNCTION("""COMPUTED_VALUE"""),0.1421991940126655)</f>
        <v>0.142199194</v>
      </c>
      <c r="F887" s="5">
        <f>IFERROR(__xludf.DUMMYFUNCTION("""COMPUTED_VALUE"""),0.18537708693149108)</f>
        <v>0.1853770869</v>
      </c>
      <c r="G887" s="5">
        <f>IFERROR(__xludf.DUMMYFUNCTION("""COMPUTED_VALUE"""),0.15831894070236038)</f>
        <v>0.1583189407</v>
      </c>
      <c r="H887" s="5">
        <f>IFERROR(__xludf.DUMMYFUNCTION("""COMPUTED_VALUE"""),0.6304347826086957)</f>
        <v>0.6304347826</v>
      </c>
      <c r="I887" s="11">
        <f>IFERROR(__xludf.DUMMYFUNCTION("""COMPUTED_VALUE"""),6038.198757763975)</f>
        <v>6038.198758</v>
      </c>
      <c r="J887" s="10">
        <f>IFERROR(__xludf.DUMMYFUNCTION("""COMPUTED_VALUE"""),1.0)</f>
        <v>1</v>
      </c>
      <c r="K887" s="5">
        <f>IFERROR(__xludf.DUMMYFUNCTION("""COMPUTED_VALUE"""),0.006289308176100629)</f>
        <v>0.006289308176</v>
      </c>
      <c r="L887" s="10">
        <f>IFERROR(__xludf.DUMMYFUNCTION("""COMPUTED_VALUE"""),159.0)</f>
        <v>159</v>
      </c>
      <c r="M887" s="5">
        <f>IFERROR(__xludf.DUMMYFUNCTION("""COMPUTED_VALUE"""),1.0)</f>
        <v>1</v>
      </c>
    </row>
    <row r="888">
      <c r="A888" s="10" t="str">
        <f>IFERROR(__xludf.DUMMYFUNCTION("""COMPUTED_VALUE"""),"大蔵遊星")</f>
        <v>大蔵遊星</v>
      </c>
      <c r="B888" s="10">
        <f>IFERROR(__xludf.DUMMYFUNCTION("""COMPUTED_VALUE"""),1727.0)</f>
        <v>1727</v>
      </c>
      <c r="C888" s="10">
        <f>IFERROR(__xludf.DUMMYFUNCTION("""COMPUTED_VALUE"""),20070.0)</f>
        <v>20070</v>
      </c>
      <c r="D888" s="5">
        <f>IFERROR(__xludf.DUMMYFUNCTION("""COMPUTED_VALUE"""),0.3230660197350488)</f>
        <v>0.3230660197</v>
      </c>
      <c r="E888" s="5">
        <f>IFERROR(__xludf.DUMMYFUNCTION("""COMPUTED_VALUE"""),0.14217957804066947)</f>
        <v>0.142179578</v>
      </c>
      <c r="F888" s="5">
        <f>IFERROR(__xludf.DUMMYFUNCTION("""COMPUTED_VALUE"""),0.22052008940740336)</f>
        <v>0.2205200894</v>
      </c>
      <c r="G888" s="5">
        <f>IFERROR(__xludf.DUMMYFUNCTION("""COMPUTED_VALUE"""),0.20525541078340512)</f>
        <v>0.2052554108</v>
      </c>
      <c r="H888" s="5">
        <f>IFERROR(__xludf.DUMMYFUNCTION("""COMPUTED_VALUE"""),0.5985166872682324)</f>
        <v>0.5985166873</v>
      </c>
      <c r="I888" s="11">
        <f>IFERROR(__xludf.DUMMYFUNCTION("""COMPUTED_VALUE"""),6275.105067985167)</f>
        <v>6275.105068</v>
      </c>
      <c r="J888" s="10">
        <f>IFERROR(__xludf.DUMMYFUNCTION("""COMPUTED_VALUE"""),9.0)</f>
        <v>9</v>
      </c>
      <c r="K888" s="5">
        <f>IFERROR(__xludf.DUMMYFUNCTION("""COMPUTED_VALUE"""),0.0052113491603937466)</f>
        <v>0.00521134916</v>
      </c>
      <c r="L888" s="10">
        <f>IFERROR(__xludf.DUMMYFUNCTION("""COMPUTED_VALUE"""),69.0)</f>
        <v>69</v>
      </c>
      <c r="M888" s="5">
        <f>IFERROR(__xludf.DUMMYFUNCTION("""COMPUTED_VALUE"""),0.039953676896352056)</f>
        <v>0.0399536769</v>
      </c>
    </row>
    <row r="889">
      <c r="A889" s="10" t="str">
        <f>IFERROR(__xludf.DUMMYFUNCTION("""COMPUTED_VALUE"""),"原村ののか")</f>
        <v>原村ののか</v>
      </c>
      <c r="B889" s="10">
        <f>IFERROR(__xludf.DUMMYFUNCTION("""COMPUTED_VALUE"""),287.0)</f>
        <v>287</v>
      </c>
      <c r="C889" s="10">
        <f>IFERROR(__xludf.DUMMYFUNCTION("""COMPUTED_VALUE"""),3403.0)</f>
        <v>3403</v>
      </c>
      <c r="D889" s="5">
        <f>IFERROR(__xludf.DUMMYFUNCTION("""COMPUTED_VALUE"""),0.36392811296534017)</f>
        <v>0.363928113</v>
      </c>
      <c r="E889" s="5">
        <f>IFERROR(__xludf.DUMMYFUNCTION("""COMPUTED_VALUE"""),0.14216944801026957)</f>
        <v>0.142169448</v>
      </c>
      <c r="F889" s="5">
        <f>IFERROR(__xludf.DUMMYFUNCTION("""COMPUTED_VALUE"""),0.2217586649550706)</f>
        <v>0.221758665</v>
      </c>
      <c r="G889" s="5">
        <f>IFERROR(__xludf.DUMMYFUNCTION("""COMPUTED_VALUE"""),0.17105263157894737)</f>
        <v>0.1710526316</v>
      </c>
      <c r="H889" s="5">
        <f>IFERROR(__xludf.DUMMYFUNCTION("""COMPUTED_VALUE"""),0.5774240231548481)</f>
        <v>0.5774240232</v>
      </c>
      <c r="I889" s="11">
        <f>IFERROR(__xludf.DUMMYFUNCTION("""COMPUTED_VALUE"""),5360.057887120116)</f>
        <v>5360.057887</v>
      </c>
      <c r="J889" s="10">
        <f>IFERROR(__xludf.DUMMYFUNCTION("""COMPUTED_VALUE"""),1.0)</f>
        <v>1</v>
      </c>
      <c r="K889" s="5">
        <f>IFERROR(__xludf.DUMMYFUNCTION("""COMPUTED_VALUE"""),0.003484320557491289)</f>
        <v>0.003484320557</v>
      </c>
      <c r="L889" s="10">
        <f>IFERROR(__xludf.DUMMYFUNCTION("""COMPUTED_VALUE"""),0.0)</f>
        <v>0</v>
      </c>
      <c r="M889" s="5">
        <f>IFERROR(__xludf.DUMMYFUNCTION("""COMPUTED_VALUE"""),0.0)</f>
        <v>0</v>
      </c>
    </row>
    <row r="890">
      <c r="A890" s="10" t="str">
        <f>IFERROR(__xludf.DUMMYFUNCTION("""COMPUTED_VALUE"""),"友沢")</f>
        <v>友沢</v>
      </c>
      <c r="B890" s="10">
        <f>IFERROR(__xludf.DUMMYFUNCTION("""COMPUTED_VALUE"""),295.0)</f>
        <v>295</v>
      </c>
      <c r="C890" s="10">
        <f>IFERROR(__xludf.DUMMYFUNCTION("""COMPUTED_VALUE"""),3482.0)</f>
        <v>3482</v>
      </c>
      <c r="D890" s="5">
        <f>IFERROR(__xludf.DUMMYFUNCTION("""COMPUTED_VALUE"""),0.34232820834640726)</f>
        <v>0.3423282083</v>
      </c>
      <c r="E890" s="5">
        <f>IFERROR(__xludf.DUMMYFUNCTION("""COMPUTED_VALUE"""),0.14213994352055223)</f>
        <v>0.1421399435</v>
      </c>
      <c r="F890" s="5">
        <f>IFERROR(__xludf.DUMMYFUNCTION("""COMPUTED_VALUE"""),0.20458111076247254)</f>
        <v>0.2045811108</v>
      </c>
      <c r="G890" s="5">
        <f>IFERROR(__xludf.DUMMYFUNCTION("""COMPUTED_VALUE"""),0.1829306557891434)</f>
        <v>0.1829306558</v>
      </c>
      <c r="H890" s="5">
        <f>IFERROR(__xludf.DUMMYFUNCTION("""COMPUTED_VALUE"""),0.598159509202454)</f>
        <v>0.5981595092</v>
      </c>
      <c r="I890" s="11">
        <f>IFERROR(__xludf.DUMMYFUNCTION("""COMPUTED_VALUE"""),5955.21472392638)</f>
        <v>5955.214724</v>
      </c>
      <c r="J890" s="10">
        <f>IFERROR(__xludf.DUMMYFUNCTION("""COMPUTED_VALUE"""),1.0)</f>
        <v>1</v>
      </c>
      <c r="K890" s="5">
        <f>IFERROR(__xludf.DUMMYFUNCTION("""COMPUTED_VALUE"""),0.003389830508474576)</f>
        <v>0.003389830508</v>
      </c>
      <c r="L890" s="10">
        <f>IFERROR(__xludf.DUMMYFUNCTION("""COMPUTED_VALUE"""),212.0)</f>
        <v>212</v>
      </c>
      <c r="M890" s="5">
        <f>IFERROR(__xludf.DUMMYFUNCTION("""COMPUTED_VALUE"""),0.7186440677966102)</f>
        <v>0.7186440678</v>
      </c>
    </row>
    <row r="891">
      <c r="A891" s="10" t="str">
        <f>IFERROR(__xludf.DUMMYFUNCTION("""COMPUTED_VALUE"""),"乾坤十五擲")</f>
        <v>乾坤十五擲</v>
      </c>
      <c r="B891" s="10">
        <f>IFERROR(__xludf.DUMMYFUNCTION("""COMPUTED_VALUE"""),318.0)</f>
        <v>318</v>
      </c>
      <c r="C891" s="10">
        <f>IFERROR(__xludf.DUMMYFUNCTION("""COMPUTED_VALUE"""),3695.0)</f>
        <v>3695</v>
      </c>
      <c r="D891" s="5">
        <f>IFERROR(__xludf.DUMMYFUNCTION("""COMPUTED_VALUE"""),0.35889843055966836)</f>
        <v>0.3588984306</v>
      </c>
      <c r="E891" s="5">
        <f>IFERROR(__xludf.DUMMYFUNCTION("""COMPUTED_VALUE"""),0.14213799230085875)</f>
        <v>0.1421379923</v>
      </c>
      <c r="F891" s="5">
        <f>IFERROR(__xludf.DUMMYFUNCTION("""COMPUTED_VALUE"""),0.1981048267693219)</f>
        <v>0.1981048268</v>
      </c>
      <c r="G891" s="5">
        <f>IFERROR(__xludf.DUMMYFUNCTION("""COMPUTED_VALUE"""),0.15279834172342316)</f>
        <v>0.1527983417</v>
      </c>
      <c r="H891" s="5">
        <f>IFERROR(__xludf.DUMMYFUNCTION("""COMPUTED_VALUE"""),0.600896860986547)</f>
        <v>0.600896861</v>
      </c>
      <c r="I891" s="11">
        <f>IFERROR(__xludf.DUMMYFUNCTION("""COMPUTED_VALUE"""),5845.440956651719)</f>
        <v>5845.440957</v>
      </c>
      <c r="J891" s="10">
        <f>IFERROR(__xludf.DUMMYFUNCTION("""COMPUTED_VALUE"""),0.0)</f>
        <v>0</v>
      </c>
      <c r="K891" s="5">
        <f>IFERROR(__xludf.DUMMYFUNCTION("""COMPUTED_VALUE"""),0.0)</f>
        <v>0</v>
      </c>
      <c r="L891" s="10">
        <f>IFERROR(__xludf.DUMMYFUNCTION("""COMPUTED_VALUE"""),318.0)</f>
        <v>318</v>
      </c>
      <c r="M891" s="5">
        <f>IFERROR(__xludf.DUMMYFUNCTION("""COMPUTED_VALUE"""),1.0)</f>
        <v>1</v>
      </c>
    </row>
    <row r="892">
      <c r="A892" s="10" t="str">
        <f>IFERROR(__xludf.DUMMYFUNCTION("""COMPUTED_VALUE"""),"ｕｕｕｕｉｉｊｈ")</f>
        <v>ｕｕｕｕｉｉｊｈ</v>
      </c>
      <c r="B892" s="10">
        <f>IFERROR(__xludf.DUMMYFUNCTION("""COMPUTED_VALUE"""),273.0)</f>
        <v>273</v>
      </c>
      <c r="C892" s="10">
        <f>IFERROR(__xludf.DUMMYFUNCTION("""COMPUTED_VALUE"""),3257.0)</f>
        <v>3257</v>
      </c>
      <c r="D892" s="5">
        <f>IFERROR(__xludf.DUMMYFUNCTION("""COMPUTED_VALUE"""),0.43733243967828417)</f>
        <v>0.4373324397</v>
      </c>
      <c r="E892" s="5">
        <f>IFERROR(__xludf.DUMMYFUNCTION("""COMPUTED_VALUE"""),0.14209115281501342)</f>
        <v>0.1420911528</v>
      </c>
      <c r="F892" s="5">
        <f>IFERROR(__xludf.DUMMYFUNCTION("""COMPUTED_VALUE"""),0.22352546916890081)</f>
        <v>0.2235254692</v>
      </c>
      <c r="G892" s="5">
        <f>IFERROR(__xludf.DUMMYFUNCTION("""COMPUTED_VALUE"""),0.17158176943699732)</f>
        <v>0.1715817694</v>
      </c>
      <c r="H892" s="5">
        <f>IFERROR(__xludf.DUMMYFUNCTION("""COMPUTED_VALUE"""),0.5937031484257871)</f>
        <v>0.5937031484</v>
      </c>
      <c r="I892" s="11">
        <f>IFERROR(__xludf.DUMMYFUNCTION("""COMPUTED_VALUE"""),5108.39580209895)</f>
        <v>5108.395802</v>
      </c>
      <c r="J892" s="10">
        <f>IFERROR(__xludf.DUMMYFUNCTION("""COMPUTED_VALUE"""),1.0)</f>
        <v>1</v>
      </c>
      <c r="K892" s="5">
        <f>IFERROR(__xludf.DUMMYFUNCTION("""COMPUTED_VALUE"""),0.003663003663003663)</f>
        <v>0.003663003663</v>
      </c>
      <c r="L892" s="10">
        <f>IFERROR(__xludf.DUMMYFUNCTION("""COMPUTED_VALUE"""),273.0)</f>
        <v>273</v>
      </c>
      <c r="M892" s="5">
        <f>IFERROR(__xludf.DUMMYFUNCTION("""COMPUTED_VALUE"""),1.0)</f>
        <v>1</v>
      </c>
    </row>
    <row r="893">
      <c r="A893" s="10" t="str">
        <f>IFERROR(__xludf.DUMMYFUNCTION("""COMPUTED_VALUE"""),"moboan11")</f>
        <v>moboan11</v>
      </c>
      <c r="B893" s="10">
        <f>IFERROR(__xludf.DUMMYFUNCTION("""COMPUTED_VALUE"""),839.0)</f>
        <v>839</v>
      </c>
      <c r="C893" s="10">
        <f>IFERROR(__xludf.DUMMYFUNCTION("""COMPUTED_VALUE"""),9841.0)</f>
        <v>9841</v>
      </c>
      <c r="D893" s="5">
        <f>IFERROR(__xludf.DUMMYFUNCTION("""COMPUTED_VALUE"""),0.39713397022883806)</f>
        <v>0.3971339702</v>
      </c>
      <c r="E893" s="5">
        <f>IFERROR(__xludf.DUMMYFUNCTION("""COMPUTED_VALUE"""),0.142079537880471)</f>
        <v>0.1420795379</v>
      </c>
      <c r="F893" s="5">
        <f>IFERROR(__xludf.DUMMYFUNCTION("""COMPUTED_VALUE"""),0.2180626527438347)</f>
        <v>0.2180626527</v>
      </c>
      <c r="G893" s="5">
        <f>IFERROR(__xludf.DUMMYFUNCTION("""COMPUTED_VALUE"""),0.15952010664296823)</f>
        <v>0.1595201066</v>
      </c>
      <c r="H893" s="5">
        <f>IFERROR(__xludf.DUMMYFUNCTION("""COMPUTED_VALUE"""),0.6204788588894549)</f>
        <v>0.6204788589</v>
      </c>
      <c r="I893" s="11">
        <f>IFERROR(__xludf.DUMMYFUNCTION("""COMPUTED_VALUE"""),5334.080489047376)</f>
        <v>5334.080489</v>
      </c>
      <c r="J893" s="10">
        <f>IFERROR(__xludf.DUMMYFUNCTION("""COMPUTED_VALUE"""),2.0)</f>
        <v>2</v>
      </c>
      <c r="K893" s="5">
        <f>IFERROR(__xludf.DUMMYFUNCTION("""COMPUTED_VALUE"""),0.0023837902264600714)</f>
        <v>0.002383790226</v>
      </c>
      <c r="L893" s="10">
        <f>IFERROR(__xludf.DUMMYFUNCTION("""COMPUTED_VALUE"""),839.0)</f>
        <v>839</v>
      </c>
      <c r="M893" s="5">
        <f>IFERROR(__xludf.DUMMYFUNCTION("""COMPUTED_VALUE"""),1.0)</f>
        <v>1</v>
      </c>
    </row>
    <row r="894">
      <c r="A894" s="10" t="str">
        <f>IFERROR(__xludf.DUMMYFUNCTION("""COMPUTED_VALUE"""),"マホロバケーショ")</f>
        <v>マホロバケーショ</v>
      </c>
      <c r="B894" s="10">
        <f>IFERROR(__xludf.DUMMYFUNCTION("""COMPUTED_VALUE"""),274.0)</f>
        <v>274</v>
      </c>
      <c r="C894" s="10">
        <f>IFERROR(__xludf.DUMMYFUNCTION("""COMPUTED_VALUE"""),3209.0)</f>
        <v>3209</v>
      </c>
      <c r="D894" s="5">
        <f>IFERROR(__xludf.DUMMYFUNCTION("""COMPUTED_VALUE"""),0.3557069846678024)</f>
        <v>0.3557069847</v>
      </c>
      <c r="E894" s="5">
        <f>IFERROR(__xludf.DUMMYFUNCTION("""COMPUTED_VALUE"""),0.14207836456558773)</f>
        <v>0.1420783646</v>
      </c>
      <c r="F894" s="5">
        <f>IFERROR(__xludf.DUMMYFUNCTION("""COMPUTED_VALUE"""),0.2132879045996593)</f>
        <v>0.2132879046</v>
      </c>
      <c r="G894" s="5">
        <f>IFERROR(__xludf.DUMMYFUNCTION("""COMPUTED_VALUE"""),0.19045996592844974)</f>
        <v>0.1904599659</v>
      </c>
      <c r="H894" s="5">
        <f>IFERROR(__xludf.DUMMYFUNCTION("""COMPUTED_VALUE"""),0.6182108626198083)</f>
        <v>0.6182108626</v>
      </c>
      <c r="I894" s="11">
        <f>IFERROR(__xludf.DUMMYFUNCTION("""COMPUTED_VALUE"""),5501.757188498403)</f>
        <v>5501.757188</v>
      </c>
      <c r="J894" s="10">
        <f>IFERROR(__xludf.DUMMYFUNCTION("""COMPUTED_VALUE"""),2.0)</f>
        <v>2</v>
      </c>
      <c r="K894" s="5">
        <f>IFERROR(__xludf.DUMMYFUNCTION("""COMPUTED_VALUE"""),0.0072992700729927005)</f>
        <v>0.007299270073</v>
      </c>
      <c r="L894" s="10">
        <f>IFERROR(__xludf.DUMMYFUNCTION("""COMPUTED_VALUE"""),274.0)</f>
        <v>274</v>
      </c>
      <c r="M894" s="5">
        <f>IFERROR(__xludf.DUMMYFUNCTION("""COMPUTED_VALUE"""),1.0)</f>
        <v>1</v>
      </c>
    </row>
    <row r="895">
      <c r="A895" s="10" t="str">
        <f>IFERROR(__xludf.DUMMYFUNCTION("""COMPUTED_VALUE"""),"pomi5035")</f>
        <v>pomi5035</v>
      </c>
      <c r="B895" s="10">
        <f>IFERROR(__xludf.DUMMYFUNCTION("""COMPUTED_VALUE"""),637.0)</f>
        <v>637</v>
      </c>
      <c r="C895" s="10">
        <f>IFERROR(__xludf.DUMMYFUNCTION("""COMPUTED_VALUE"""),7528.0)</f>
        <v>7528</v>
      </c>
      <c r="D895" s="5">
        <f>IFERROR(__xludf.DUMMYFUNCTION("""COMPUTED_VALUE"""),0.3077927731824118)</f>
        <v>0.3077927732</v>
      </c>
      <c r="E895" s="5">
        <f>IFERROR(__xludf.DUMMYFUNCTION("""COMPUTED_VALUE"""),0.1420693658395008)</f>
        <v>0.1420693658</v>
      </c>
      <c r="F895" s="5">
        <f>IFERROR(__xludf.DUMMYFUNCTION("""COMPUTED_VALUE"""),0.21535335945436077)</f>
        <v>0.2153533595</v>
      </c>
      <c r="G895" s="5">
        <f>IFERROR(__xludf.DUMMYFUNCTION("""COMPUTED_VALUE"""),0.1813960237991583)</f>
        <v>0.1813960238</v>
      </c>
      <c r="H895" s="5">
        <f>IFERROR(__xludf.DUMMYFUNCTION("""COMPUTED_VALUE"""),0.557277628032345)</f>
        <v>0.557277628</v>
      </c>
      <c r="I895" s="11">
        <f>IFERROR(__xludf.DUMMYFUNCTION("""COMPUTED_VALUE"""),5991.9137466307275)</f>
        <v>5991.913747</v>
      </c>
      <c r="J895" s="10">
        <f>IFERROR(__xludf.DUMMYFUNCTION("""COMPUTED_VALUE"""),0.0)</f>
        <v>0</v>
      </c>
      <c r="K895" s="5">
        <f>IFERROR(__xludf.DUMMYFUNCTION("""COMPUTED_VALUE"""),0.0)</f>
        <v>0</v>
      </c>
      <c r="L895" s="10">
        <f>IFERROR(__xludf.DUMMYFUNCTION("""COMPUTED_VALUE"""),637.0)</f>
        <v>637</v>
      </c>
      <c r="M895" s="5">
        <f>IFERROR(__xludf.DUMMYFUNCTION("""COMPUTED_VALUE"""),1.0)</f>
        <v>1</v>
      </c>
    </row>
    <row r="896">
      <c r="A896" s="10" t="str">
        <f>IFERROR(__xludf.DUMMYFUNCTION("""COMPUTED_VALUE"""),"ppgun")</f>
        <v>ppgun</v>
      </c>
      <c r="B896" s="10">
        <f>IFERROR(__xludf.DUMMYFUNCTION("""COMPUTED_VALUE"""),1760.0)</f>
        <v>1760</v>
      </c>
      <c r="C896" s="10">
        <f>IFERROR(__xludf.DUMMYFUNCTION("""COMPUTED_VALUE"""),20713.0)</f>
        <v>20713</v>
      </c>
      <c r="D896" s="5">
        <f>IFERROR(__xludf.DUMMYFUNCTION("""COMPUTED_VALUE"""),0.36252835962644436)</f>
        <v>0.3625283596</v>
      </c>
      <c r="E896" s="5">
        <f>IFERROR(__xludf.DUMMYFUNCTION("""COMPUTED_VALUE"""),0.14203556165250883)</f>
        <v>0.1420355617</v>
      </c>
      <c r="F896" s="5">
        <f>IFERROR(__xludf.DUMMYFUNCTION("""COMPUTED_VALUE"""),0.207407798237746)</f>
        <v>0.2074077982</v>
      </c>
      <c r="G896" s="5">
        <f>IFERROR(__xludf.DUMMYFUNCTION("""COMPUTED_VALUE"""),0.16873318208199228)</f>
        <v>0.1687331821</v>
      </c>
      <c r="H896" s="5">
        <f>IFERROR(__xludf.DUMMYFUNCTION("""COMPUTED_VALUE"""),0.5932332739760875)</f>
        <v>0.593233274</v>
      </c>
      <c r="I896" s="11">
        <f>IFERROR(__xludf.DUMMYFUNCTION("""COMPUTED_VALUE"""),5787.127957262783)</f>
        <v>5787.127957</v>
      </c>
      <c r="J896" s="10">
        <f>IFERROR(__xludf.DUMMYFUNCTION("""COMPUTED_VALUE"""),0.0)</f>
        <v>0</v>
      </c>
      <c r="K896" s="5">
        <f>IFERROR(__xludf.DUMMYFUNCTION("""COMPUTED_VALUE"""),0.0)</f>
        <v>0</v>
      </c>
      <c r="L896" s="10">
        <f>IFERROR(__xludf.DUMMYFUNCTION("""COMPUTED_VALUE"""),1760.0)</f>
        <v>1760</v>
      </c>
      <c r="M896" s="5">
        <f>IFERROR(__xludf.DUMMYFUNCTION("""COMPUTED_VALUE"""),1.0)</f>
        <v>1</v>
      </c>
    </row>
    <row r="897">
      <c r="A897" s="10" t="str">
        <f>IFERROR(__xludf.DUMMYFUNCTION("""COMPUTED_VALUE"""),"+とどっち+")</f>
        <v>+とどっち+</v>
      </c>
      <c r="B897" s="10">
        <f>IFERROR(__xludf.DUMMYFUNCTION("""COMPUTED_VALUE"""),208.0)</f>
        <v>208</v>
      </c>
      <c r="C897" s="10">
        <f>IFERROR(__xludf.DUMMYFUNCTION("""COMPUTED_VALUE"""),2440.0)</f>
        <v>2440</v>
      </c>
      <c r="D897" s="5">
        <f>IFERROR(__xludf.DUMMYFUNCTION("""COMPUTED_VALUE"""),0.37455197132616486)</f>
        <v>0.3745519713</v>
      </c>
      <c r="E897" s="5">
        <f>IFERROR(__xludf.DUMMYFUNCTION("""COMPUTED_VALUE"""),0.14202508960573476)</f>
        <v>0.1420250896</v>
      </c>
      <c r="F897" s="5">
        <f>IFERROR(__xludf.DUMMYFUNCTION("""COMPUTED_VALUE"""),0.21774193548387097)</f>
        <v>0.2177419355</v>
      </c>
      <c r="G897" s="5">
        <f>IFERROR(__xludf.DUMMYFUNCTION("""COMPUTED_VALUE"""),0.16487455197132617)</f>
        <v>0.164874552</v>
      </c>
      <c r="H897" s="5">
        <f>IFERROR(__xludf.DUMMYFUNCTION("""COMPUTED_VALUE"""),0.5802469135802469)</f>
        <v>0.5802469136</v>
      </c>
      <c r="I897" s="11">
        <f>IFERROR(__xludf.DUMMYFUNCTION("""COMPUTED_VALUE"""),5603.086419753086)</f>
        <v>5603.08642</v>
      </c>
      <c r="J897" s="10">
        <f>IFERROR(__xludf.DUMMYFUNCTION("""COMPUTED_VALUE"""),0.0)</f>
        <v>0</v>
      </c>
      <c r="K897" s="5">
        <f>IFERROR(__xludf.DUMMYFUNCTION("""COMPUTED_VALUE"""),0.0)</f>
        <v>0</v>
      </c>
      <c r="L897" s="10">
        <f>IFERROR(__xludf.DUMMYFUNCTION("""COMPUTED_VALUE"""),208.0)</f>
        <v>208</v>
      </c>
      <c r="M897" s="5">
        <f>IFERROR(__xludf.DUMMYFUNCTION("""COMPUTED_VALUE"""),1.0)</f>
        <v>1</v>
      </c>
    </row>
    <row r="898">
      <c r="A898" s="10" t="str">
        <f>IFERROR(__xludf.DUMMYFUNCTION("""COMPUTED_VALUE"""),"福")</f>
        <v>福</v>
      </c>
      <c r="B898" s="10">
        <f>IFERROR(__xludf.DUMMYFUNCTION("""COMPUTED_VALUE"""),128.0)</f>
        <v>128</v>
      </c>
      <c r="C898" s="10">
        <f>IFERROR(__xludf.DUMMYFUNCTION("""COMPUTED_VALUE"""),1487.0)</f>
        <v>1487</v>
      </c>
      <c r="D898" s="5">
        <f>IFERROR(__xludf.DUMMYFUNCTION("""COMPUTED_VALUE"""),0.3090507726269316)</f>
        <v>0.3090507726</v>
      </c>
      <c r="E898" s="5">
        <f>IFERROR(__xludf.DUMMYFUNCTION("""COMPUTED_VALUE"""),0.14201618837380428)</f>
        <v>0.1420161884</v>
      </c>
      <c r="F898" s="5">
        <f>IFERROR(__xludf.DUMMYFUNCTION("""COMPUTED_VALUE"""),0.20382634289919058)</f>
        <v>0.2038263429</v>
      </c>
      <c r="G898" s="5">
        <f>IFERROR(__xludf.DUMMYFUNCTION("""COMPUTED_VALUE"""),0.18322295805739514)</f>
        <v>0.1832229581</v>
      </c>
      <c r="H898" s="5">
        <f>IFERROR(__xludf.DUMMYFUNCTION("""COMPUTED_VALUE"""),0.5415162454873647)</f>
        <v>0.5415162455</v>
      </c>
      <c r="I898" s="11">
        <f>IFERROR(__xludf.DUMMYFUNCTION("""COMPUTED_VALUE"""),6014.440433212996)</f>
        <v>6014.440433</v>
      </c>
      <c r="J898" s="10">
        <f>IFERROR(__xludf.DUMMYFUNCTION("""COMPUTED_VALUE"""),0.0)</f>
        <v>0</v>
      </c>
      <c r="K898" s="5">
        <f>IFERROR(__xludf.DUMMYFUNCTION("""COMPUTED_VALUE"""),0.0)</f>
        <v>0</v>
      </c>
      <c r="L898" s="10">
        <f>IFERROR(__xludf.DUMMYFUNCTION("""COMPUTED_VALUE"""),128.0)</f>
        <v>128</v>
      </c>
      <c r="M898" s="5">
        <f>IFERROR(__xludf.DUMMYFUNCTION("""COMPUTED_VALUE"""),1.0)</f>
        <v>1</v>
      </c>
    </row>
    <row r="899">
      <c r="A899" s="10" t="str">
        <f>IFERROR(__xludf.DUMMYFUNCTION("""COMPUTED_VALUE"""),"hhhdhhh")</f>
        <v>hhhdhhh</v>
      </c>
      <c r="B899" s="10">
        <f>IFERROR(__xludf.DUMMYFUNCTION("""COMPUTED_VALUE"""),272.0)</f>
        <v>272</v>
      </c>
      <c r="C899" s="10">
        <f>IFERROR(__xludf.DUMMYFUNCTION("""COMPUTED_VALUE"""),3131.0)</f>
        <v>3131</v>
      </c>
      <c r="D899" s="5">
        <f>IFERROR(__xludf.DUMMYFUNCTION("""COMPUTED_VALUE"""),0.24134312696747115)</f>
        <v>0.241343127</v>
      </c>
      <c r="E899" s="5">
        <f>IFERROR(__xludf.DUMMYFUNCTION("""COMPUTED_VALUE"""),0.14200769499825114)</f>
        <v>0.142007695</v>
      </c>
      <c r="F899" s="5">
        <f>IFERROR(__xludf.DUMMYFUNCTION("""COMPUTED_VALUE"""),0.204966771598461)</f>
        <v>0.2049667716</v>
      </c>
      <c r="G899" s="5">
        <f>IFERROR(__xludf.DUMMYFUNCTION("""COMPUTED_VALUE"""),0.16998950682056663)</f>
        <v>0.1699895068</v>
      </c>
      <c r="H899" s="5">
        <f>IFERROR(__xludf.DUMMYFUNCTION("""COMPUTED_VALUE"""),0.590443686006826)</f>
        <v>0.590443686</v>
      </c>
      <c r="I899" s="11">
        <f>IFERROR(__xludf.DUMMYFUNCTION("""COMPUTED_VALUE"""),6028.668941979522)</f>
        <v>6028.668942</v>
      </c>
      <c r="J899" s="10">
        <f>IFERROR(__xludf.DUMMYFUNCTION("""COMPUTED_VALUE"""),0.0)</f>
        <v>0</v>
      </c>
      <c r="K899" s="5">
        <f>IFERROR(__xludf.DUMMYFUNCTION("""COMPUTED_VALUE"""),0.0)</f>
        <v>0</v>
      </c>
      <c r="L899" s="10">
        <f>IFERROR(__xludf.DUMMYFUNCTION("""COMPUTED_VALUE"""),272.0)</f>
        <v>272</v>
      </c>
      <c r="M899" s="5">
        <f>IFERROR(__xludf.DUMMYFUNCTION("""COMPUTED_VALUE"""),1.0)</f>
        <v>1</v>
      </c>
    </row>
    <row r="900">
      <c r="A900" s="10" t="str">
        <f>IFERROR(__xludf.DUMMYFUNCTION("""COMPUTED_VALUE"""),"ＡＫＯ")</f>
        <v>ＡＫＯ</v>
      </c>
      <c r="B900" s="10">
        <f>IFERROR(__xludf.DUMMYFUNCTION("""COMPUTED_VALUE"""),218.0)</f>
        <v>218</v>
      </c>
      <c r="C900" s="10">
        <f>IFERROR(__xludf.DUMMYFUNCTION("""COMPUTED_VALUE"""),2556.0)</f>
        <v>2556</v>
      </c>
      <c r="D900" s="5">
        <f>IFERROR(__xludf.DUMMYFUNCTION("""COMPUTED_VALUE"""),0.36911890504704875)</f>
        <v>0.369118905</v>
      </c>
      <c r="E900" s="5">
        <f>IFERROR(__xludf.DUMMYFUNCTION("""COMPUTED_VALUE"""),0.1420017108639863)</f>
        <v>0.1420017109</v>
      </c>
      <c r="F900" s="5">
        <f>IFERROR(__xludf.DUMMYFUNCTION("""COMPUTED_VALUE"""),0.21171941830624466)</f>
        <v>0.2117194183</v>
      </c>
      <c r="G900" s="5">
        <f>IFERROR(__xludf.DUMMYFUNCTION("""COMPUTED_VALUE"""),0.18733960650128315)</f>
        <v>0.1873396065</v>
      </c>
      <c r="H900" s="5">
        <f>IFERROR(__xludf.DUMMYFUNCTION("""COMPUTED_VALUE"""),0.602020202020202)</f>
        <v>0.602020202</v>
      </c>
      <c r="I900" s="11">
        <f>IFERROR(__xludf.DUMMYFUNCTION("""COMPUTED_VALUE"""),5642.222222222223)</f>
        <v>5642.222222</v>
      </c>
      <c r="J900" s="10">
        <f>IFERROR(__xludf.DUMMYFUNCTION("""COMPUTED_VALUE"""),0.0)</f>
        <v>0</v>
      </c>
      <c r="K900" s="5">
        <f>IFERROR(__xludf.DUMMYFUNCTION("""COMPUTED_VALUE"""),0.0)</f>
        <v>0</v>
      </c>
      <c r="L900" s="10">
        <f>IFERROR(__xludf.DUMMYFUNCTION("""COMPUTED_VALUE"""),0.0)</f>
        <v>0</v>
      </c>
      <c r="M900" s="5">
        <f>IFERROR(__xludf.DUMMYFUNCTION("""COMPUTED_VALUE"""),0.0)</f>
        <v>0</v>
      </c>
    </row>
    <row r="901">
      <c r="A901" s="10" t="str">
        <f>IFERROR(__xludf.DUMMYFUNCTION("""COMPUTED_VALUE"""),"セイバー")</f>
        <v>セイバー</v>
      </c>
      <c r="B901" s="10">
        <f>IFERROR(__xludf.DUMMYFUNCTION("""COMPUTED_VALUE"""),562.0)</f>
        <v>562</v>
      </c>
      <c r="C901" s="10">
        <f>IFERROR(__xludf.DUMMYFUNCTION("""COMPUTED_VALUE"""),6562.0)</f>
        <v>6562</v>
      </c>
      <c r="D901" s="5">
        <f>IFERROR(__xludf.DUMMYFUNCTION("""COMPUTED_VALUE"""),0.3431666666666667)</f>
        <v>0.3431666667</v>
      </c>
      <c r="E901" s="5">
        <f>IFERROR(__xludf.DUMMYFUNCTION("""COMPUTED_VALUE"""),0.142)</f>
        <v>0.142</v>
      </c>
      <c r="F901" s="5">
        <f>IFERROR(__xludf.DUMMYFUNCTION("""COMPUTED_VALUE"""),0.213)</f>
        <v>0.213</v>
      </c>
      <c r="G901" s="5">
        <f>IFERROR(__xludf.DUMMYFUNCTION("""COMPUTED_VALUE"""),0.15933333333333333)</f>
        <v>0.1593333333</v>
      </c>
      <c r="H901" s="5">
        <f>IFERROR(__xludf.DUMMYFUNCTION("""COMPUTED_VALUE"""),0.607981220657277)</f>
        <v>0.6079812207</v>
      </c>
      <c r="I901" s="11">
        <f>IFERROR(__xludf.DUMMYFUNCTION("""COMPUTED_VALUE"""),5626.525821596244)</f>
        <v>5626.525822</v>
      </c>
      <c r="J901" s="10">
        <f>IFERROR(__xludf.DUMMYFUNCTION("""COMPUTED_VALUE"""),3.0)</f>
        <v>3</v>
      </c>
      <c r="K901" s="5">
        <f>IFERROR(__xludf.DUMMYFUNCTION("""COMPUTED_VALUE"""),0.005338078291814947)</f>
        <v>0.005338078292</v>
      </c>
      <c r="L901" s="10">
        <f>IFERROR(__xludf.DUMMYFUNCTION("""COMPUTED_VALUE"""),2.0)</f>
        <v>2</v>
      </c>
      <c r="M901" s="5">
        <f>IFERROR(__xludf.DUMMYFUNCTION("""COMPUTED_VALUE"""),0.0035587188612099642)</f>
        <v>0.003558718861</v>
      </c>
    </row>
    <row r="902">
      <c r="A902" s="10" t="str">
        <f>IFERROR(__xludf.DUMMYFUNCTION("""COMPUTED_VALUE"""),"不在の騎士")</f>
        <v>不在の騎士</v>
      </c>
      <c r="B902" s="10">
        <f>IFERROR(__xludf.DUMMYFUNCTION("""COMPUTED_VALUE"""),171.0)</f>
        <v>171</v>
      </c>
      <c r="C902" s="10">
        <f>IFERROR(__xludf.DUMMYFUNCTION("""COMPUTED_VALUE"""),2002.0)</f>
        <v>2002</v>
      </c>
      <c r="D902" s="5">
        <f>IFERROR(__xludf.DUMMYFUNCTION("""COMPUTED_VALUE"""),0.4281813216821409)</f>
        <v>0.4281813217</v>
      </c>
      <c r="E902" s="5">
        <f>IFERROR(__xludf.DUMMYFUNCTION("""COMPUTED_VALUE"""),0.14199890770071)</f>
        <v>0.1419989077</v>
      </c>
      <c r="F902" s="5">
        <f>IFERROR(__xludf.DUMMYFUNCTION("""COMPUTED_VALUE"""),0.22119060622610595)</f>
        <v>0.2211906062</v>
      </c>
      <c r="G902" s="5">
        <f>IFERROR(__xludf.DUMMYFUNCTION("""COMPUTED_VALUE"""),0.16821409066084106)</f>
        <v>0.1682140907</v>
      </c>
      <c r="H902" s="5">
        <f>IFERROR(__xludf.DUMMYFUNCTION("""COMPUTED_VALUE"""),0.6271604938271605)</f>
        <v>0.6271604938</v>
      </c>
      <c r="I902" s="11">
        <f>IFERROR(__xludf.DUMMYFUNCTION("""COMPUTED_VALUE"""),5159.0123456790125)</f>
        <v>5159.012346</v>
      </c>
      <c r="J902" s="10">
        <f>IFERROR(__xludf.DUMMYFUNCTION("""COMPUTED_VALUE"""),0.0)</f>
        <v>0</v>
      </c>
      <c r="K902" s="5">
        <f>IFERROR(__xludf.DUMMYFUNCTION("""COMPUTED_VALUE"""),0.0)</f>
        <v>0</v>
      </c>
      <c r="L902" s="10">
        <f>IFERROR(__xludf.DUMMYFUNCTION("""COMPUTED_VALUE"""),0.0)</f>
        <v>0</v>
      </c>
      <c r="M902" s="5">
        <f>IFERROR(__xludf.DUMMYFUNCTION("""COMPUTED_VALUE"""),0.0)</f>
        <v>0</v>
      </c>
    </row>
    <row r="903">
      <c r="A903" s="10" t="str">
        <f>IFERROR(__xludf.DUMMYFUNCTION("""COMPUTED_VALUE"""),"BlackCat")</f>
        <v>BlackCat</v>
      </c>
      <c r="B903" s="10">
        <f>IFERROR(__xludf.DUMMYFUNCTION("""COMPUTED_VALUE"""),195.0)</f>
        <v>195</v>
      </c>
      <c r="C903" s="10">
        <f>IFERROR(__xludf.DUMMYFUNCTION("""COMPUTED_VALUE"""),2322.0)</f>
        <v>2322</v>
      </c>
      <c r="D903" s="5">
        <f>IFERROR(__xludf.DUMMYFUNCTION("""COMPUTED_VALUE"""),0.2929007992477668)</f>
        <v>0.2929007992</v>
      </c>
      <c r="E903" s="5">
        <f>IFERROR(__xludf.DUMMYFUNCTION("""COMPUTED_VALUE"""),0.14198401504466385)</f>
        <v>0.141984015</v>
      </c>
      <c r="F903" s="5">
        <f>IFERROR(__xludf.DUMMYFUNCTION("""COMPUTED_VALUE"""),0.17959567465914433)</f>
        <v>0.1795956747</v>
      </c>
      <c r="G903" s="5">
        <f>IFERROR(__xludf.DUMMYFUNCTION("""COMPUTED_VALUE"""),0.151857075693465)</f>
        <v>0.1518570757</v>
      </c>
      <c r="H903" s="5">
        <f>IFERROR(__xludf.DUMMYFUNCTION("""COMPUTED_VALUE"""),0.6256544502617801)</f>
        <v>0.6256544503</v>
      </c>
      <c r="I903" s="11">
        <f>IFERROR(__xludf.DUMMYFUNCTION("""COMPUTED_VALUE"""),5526.178010471204)</f>
        <v>5526.17801</v>
      </c>
      <c r="J903" s="10">
        <f>IFERROR(__xludf.DUMMYFUNCTION("""COMPUTED_VALUE"""),0.0)</f>
        <v>0</v>
      </c>
      <c r="K903" s="5">
        <f>IFERROR(__xludf.DUMMYFUNCTION("""COMPUTED_VALUE"""),0.0)</f>
        <v>0</v>
      </c>
      <c r="L903" s="10">
        <f>IFERROR(__xludf.DUMMYFUNCTION("""COMPUTED_VALUE"""),195.0)</f>
        <v>195</v>
      </c>
      <c r="M903" s="5">
        <f>IFERROR(__xludf.DUMMYFUNCTION("""COMPUTED_VALUE"""),1.0)</f>
        <v>1</v>
      </c>
    </row>
    <row r="904">
      <c r="A904" s="10" t="str">
        <f>IFERROR(__xludf.DUMMYFUNCTION("""COMPUTED_VALUE"""),"ryotaSSS")</f>
        <v>ryotaSSS</v>
      </c>
      <c r="B904" s="10">
        <f>IFERROR(__xludf.DUMMYFUNCTION("""COMPUTED_VALUE"""),129.0)</f>
        <v>129</v>
      </c>
      <c r="C904" s="10">
        <f>IFERROR(__xludf.DUMMYFUNCTION("""COMPUTED_VALUE"""),1573.0)</f>
        <v>1573</v>
      </c>
      <c r="D904" s="5">
        <f>IFERROR(__xludf.DUMMYFUNCTION("""COMPUTED_VALUE"""),0.407202216066482)</f>
        <v>0.4072022161</v>
      </c>
      <c r="E904" s="5">
        <f>IFERROR(__xludf.DUMMYFUNCTION("""COMPUTED_VALUE"""),0.1419667590027701)</f>
        <v>0.141966759</v>
      </c>
      <c r="F904" s="5">
        <f>IFERROR(__xludf.DUMMYFUNCTION("""COMPUTED_VALUE"""),0.19390581717451524)</f>
        <v>0.1939058172</v>
      </c>
      <c r="G904" s="5">
        <f>IFERROR(__xludf.DUMMYFUNCTION("""COMPUTED_VALUE"""),0.18698060941828254)</f>
        <v>0.1869806094</v>
      </c>
      <c r="H904" s="5">
        <f>IFERROR(__xludf.DUMMYFUNCTION("""COMPUTED_VALUE"""),0.625)</f>
        <v>0.625</v>
      </c>
      <c r="I904" s="11">
        <f>IFERROR(__xludf.DUMMYFUNCTION("""COMPUTED_VALUE"""),5224.642857142857)</f>
        <v>5224.642857</v>
      </c>
      <c r="J904" s="10">
        <f>IFERROR(__xludf.DUMMYFUNCTION("""COMPUTED_VALUE"""),0.0)</f>
        <v>0</v>
      </c>
      <c r="K904" s="5">
        <f>IFERROR(__xludf.DUMMYFUNCTION("""COMPUTED_VALUE"""),0.0)</f>
        <v>0</v>
      </c>
      <c r="L904" s="10">
        <f>IFERROR(__xludf.DUMMYFUNCTION("""COMPUTED_VALUE"""),129.0)</f>
        <v>129</v>
      </c>
      <c r="M904" s="5">
        <f>IFERROR(__xludf.DUMMYFUNCTION("""COMPUTED_VALUE"""),1.0)</f>
        <v>1</v>
      </c>
    </row>
    <row r="905">
      <c r="A905" s="10" t="str">
        <f>IFERROR(__xludf.DUMMYFUNCTION("""COMPUTED_VALUE"""),"ueshow")</f>
        <v>ueshow</v>
      </c>
      <c r="B905" s="10">
        <f>IFERROR(__xludf.DUMMYFUNCTION("""COMPUTED_VALUE"""),598.0)</f>
        <v>598</v>
      </c>
      <c r="C905" s="10">
        <f>IFERROR(__xludf.DUMMYFUNCTION("""COMPUTED_VALUE"""),7015.0)</f>
        <v>7015</v>
      </c>
      <c r="D905" s="5">
        <f>IFERROR(__xludf.DUMMYFUNCTION("""COMPUTED_VALUE"""),0.38242169237961665)</f>
        <v>0.3824216924</v>
      </c>
      <c r="E905" s="5">
        <f>IFERROR(__xludf.DUMMYFUNCTION("""COMPUTED_VALUE"""),0.1419666510830606)</f>
        <v>0.1419666511</v>
      </c>
      <c r="F905" s="5">
        <f>IFERROR(__xludf.DUMMYFUNCTION("""COMPUTED_VALUE"""),0.2211313697989715)</f>
        <v>0.2211313698</v>
      </c>
      <c r="G905" s="5">
        <f>IFERROR(__xludf.DUMMYFUNCTION("""COMPUTED_VALUE"""),0.18762661679912732)</f>
        <v>0.1876266168</v>
      </c>
      <c r="H905" s="5">
        <f>IFERROR(__xludf.DUMMYFUNCTION("""COMPUTED_VALUE"""),0.5722339675828048)</f>
        <v>0.5722339676</v>
      </c>
      <c r="I905" s="11">
        <f>IFERROR(__xludf.DUMMYFUNCTION("""COMPUTED_VALUE"""),5892.3185341789995)</f>
        <v>5892.318534</v>
      </c>
      <c r="J905" s="10">
        <f>IFERROR(__xludf.DUMMYFUNCTION("""COMPUTED_VALUE"""),0.0)</f>
        <v>0</v>
      </c>
      <c r="K905" s="5">
        <f>IFERROR(__xludf.DUMMYFUNCTION("""COMPUTED_VALUE"""),0.0)</f>
        <v>0</v>
      </c>
      <c r="L905" s="10">
        <f>IFERROR(__xludf.DUMMYFUNCTION("""COMPUTED_VALUE"""),598.0)</f>
        <v>598</v>
      </c>
      <c r="M905" s="5">
        <f>IFERROR(__xludf.DUMMYFUNCTION("""COMPUTED_VALUE"""),1.0)</f>
        <v>1</v>
      </c>
    </row>
    <row r="906">
      <c r="A906" s="10" t="str">
        <f>IFERROR(__xludf.DUMMYFUNCTION("""COMPUTED_VALUE"""),"fxxkin")</f>
        <v>fxxkin</v>
      </c>
      <c r="B906" s="10">
        <f>IFERROR(__xludf.DUMMYFUNCTION("""COMPUTED_VALUE"""),384.0)</f>
        <v>384</v>
      </c>
      <c r="C906" s="10">
        <f>IFERROR(__xludf.DUMMYFUNCTION("""COMPUTED_VALUE"""),4505.0)</f>
        <v>4505</v>
      </c>
      <c r="D906" s="5">
        <f>IFERROR(__xludf.DUMMYFUNCTION("""COMPUTED_VALUE"""),0.3581654938121815)</f>
        <v>0.3581654938</v>
      </c>
      <c r="E906" s="5">
        <f>IFERROR(__xludf.DUMMYFUNCTION("""COMPUTED_VALUE"""),0.14195583596214512)</f>
        <v>0.141955836</v>
      </c>
      <c r="F906" s="5">
        <f>IFERROR(__xludf.DUMMYFUNCTION("""COMPUTED_VALUE"""),0.21426838146081048)</f>
        <v>0.2142683815</v>
      </c>
      <c r="G906" s="5">
        <f>IFERROR(__xludf.DUMMYFUNCTION("""COMPUTED_VALUE"""),0.17544285367629217)</f>
        <v>0.1754428537</v>
      </c>
      <c r="H906" s="5">
        <f>IFERROR(__xludf.DUMMYFUNCTION("""COMPUTED_VALUE"""),0.5707814269535674)</f>
        <v>0.570781427</v>
      </c>
      <c r="I906" s="11">
        <f>IFERROR(__xludf.DUMMYFUNCTION("""COMPUTED_VALUE"""),5474.1789354473385)</f>
        <v>5474.178935</v>
      </c>
      <c r="J906" s="10">
        <f>IFERROR(__xludf.DUMMYFUNCTION("""COMPUTED_VALUE"""),2.0)</f>
        <v>2</v>
      </c>
      <c r="K906" s="5">
        <f>IFERROR(__xludf.DUMMYFUNCTION("""COMPUTED_VALUE"""),0.005208333333333333)</f>
        <v>0.005208333333</v>
      </c>
      <c r="L906" s="10">
        <f>IFERROR(__xludf.DUMMYFUNCTION("""COMPUTED_VALUE"""),381.0)</f>
        <v>381</v>
      </c>
      <c r="M906" s="5">
        <f>IFERROR(__xludf.DUMMYFUNCTION("""COMPUTED_VALUE"""),0.9921875)</f>
        <v>0.9921875</v>
      </c>
    </row>
    <row r="907">
      <c r="A907" s="10" t="str">
        <f>IFERROR(__xludf.DUMMYFUNCTION("""COMPUTED_VALUE"""),"isd.")</f>
        <v>isd.</v>
      </c>
      <c r="B907" s="10">
        <f>IFERROR(__xludf.DUMMYFUNCTION("""COMPUTED_VALUE"""),105.0)</f>
        <v>105</v>
      </c>
      <c r="C907" s="10">
        <f>IFERROR(__xludf.DUMMYFUNCTION("""COMPUTED_VALUE"""),1204.0)</f>
        <v>1204</v>
      </c>
      <c r="D907" s="5">
        <f>IFERROR(__xludf.DUMMYFUNCTION("""COMPUTED_VALUE"""),0.28389444949954507)</f>
        <v>0.2838944495</v>
      </c>
      <c r="E907" s="5">
        <f>IFERROR(__xludf.DUMMYFUNCTION("""COMPUTED_VALUE"""),0.14194722474977253)</f>
        <v>0.1419472247</v>
      </c>
      <c r="F907" s="5">
        <f>IFERROR(__xludf.DUMMYFUNCTION("""COMPUTED_VALUE"""),0.17743403093721566)</f>
        <v>0.1774340309</v>
      </c>
      <c r="G907" s="5">
        <f>IFERROR(__xludf.DUMMYFUNCTION("""COMPUTED_VALUE"""),0.18835304822565968)</f>
        <v>0.1883530482</v>
      </c>
      <c r="H907" s="5">
        <f>IFERROR(__xludf.DUMMYFUNCTION("""COMPUTED_VALUE"""),0.5435897435897435)</f>
        <v>0.5435897436</v>
      </c>
      <c r="I907" s="11">
        <f>IFERROR(__xludf.DUMMYFUNCTION("""COMPUTED_VALUE"""),6151.282051282052)</f>
        <v>6151.282051</v>
      </c>
      <c r="J907" s="10">
        <f>IFERROR(__xludf.DUMMYFUNCTION("""COMPUTED_VALUE"""),0.0)</f>
        <v>0</v>
      </c>
      <c r="K907" s="5">
        <f>IFERROR(__xludf.DUMMYFUNCTION("""COMPUTED_VALUE"""),0.0)</f>
        <v>0</v>
      </c>
      <c r="L907" s="10">
        <f>IFERROR(__xludf.DUMMYFUNCTION("""COMPUTED_VALUE"""),105.0)</f>
        <v>105</v>
      </c>
      <c r="M907" s="5">
        <f>IFERROR(__xludf.DUMMYFUNCTION("""COMPUTED_VALUE"""),1.0)</f>
        <v>1</v>
      </c>
    </row>
    <row r="908">
      <c r="A908" s="10" t="str">
        <f>IFERROR(__xludf.DUMMYFUNCTION("""COMPUTED_VALUE"""),"おかば")</f>
        <v>おかば</v>
      </c>
      <c r="B908" s="10">
        <f>IFERROR(__xludf.DUMMYFUNCTION("""COMPUTED_VALUE"""),1120.0)</f>
        <v>1120</v>
      </c>
      <c r="C908" s="10">
        <f>IFERROR(__xludf.DUMMYFUNCTION("""COMPUTED_VALUE"""),13063.0)</f>
        <v>13063</v>
      </c>
      <c r="D908" s="5">
        <f>IFERROR(__xludf.DUMMYFUNCTION("""COMPUTED_VALUE"""),0.3866700159089006)</f>
        <v>0.3866700159</v>
      </c>
      <c r="E908" s="5">
        <f>IFERROR(__xludf.DUMMYFUNCTION("""COMPUTED_VALUE"""),0.14192413966340114)</f>
        <v>0.1419241397</v>
      </c>
      <c r="F908" s="5">
        <f>IFERROR(__xludf.DUMMYFUNCTION("""COMPUTED_VALUE"""),0.21602612408942476)</f>
        <v>0.2160261241</v>
      </c>
      <c r="G908" s="5">
        <f>IFERROR(__xludf.DUMMYFUNCTION("""COMPUTED_VALUE"""),0.18320355019676798)</f>
        <v>0.1832035502</v>
      </c>
      <c r="H908" s="5">
        <f>IFERROR(__xludf.DUMMYFUNCTION("""COMPUTED_VALUE"""),0.5930232558139535)</f>
        <v>0.5930232558</v>
      </c>
      <c r="I908" s="11">
        <f>IFERROR(__xludf.DUMMYFUNCTION("""COMPUTED_VALUE"""),5586.7441860465115)</f>
        <v>5586.744186</v>
      </c>
      <c r="J908" s="10">
        <f>IFERROR(__xludf.DUMMYFUNCTION("""COMPUTED_VALUE"""),1.0)</f>
        <v>1</v>
      </c>
      <c r="K908" s="5">
        <f>IFERROR(__xludf.DUMMYFUNCTION("""COMPUTED_VALUE"""),8.928571428571428E-4)</f>
        <v>0.0008928571429</v>
      </c>
      <c r="L908" s="10">
        <f>IFERROR(__xludf.DUMMYFUNCTION("""COMPUTED_VALUE"""),798.0)</f>
        <v>798</v>
      </c>
      <c r="M908" s="5">
        <f>IFERROR(__xludf.DUMMYFUNCTION("""COMPUTED_VALUE"""),0.7125)</f>
        <v>0.7125</v>
      </c>
    </row>
    <row r="909">
      <c r="A909" s="10" t="str">
        <f>IFERROR(__xludf.DUMMYFUNCTION("""COMPUTED_VALUE"""),"白銀くん")</f>
        <v>白銀くん</v>
      </c>
      <c r="B909" s="10">
        <f>IFERROR(__xludf.DUMMYFUNCTION("""COMPUTED_VALUE"""),114.0)</f>
        <v>114</v>
      </c>
      <c r="C909" s="10">
        <f>IFERROR(__xludf.DUMMYFUNCTION("""COMPUTED_VALUE"""),1326.0)</f>
        <v>1326</v>
      </c>
      <c r="D909" s="5">
        <f>IFERROR(__xludf.DUMMYFUNCTION("""COMPUTED_VALUE"""),0.2301980198019802)</f>
        <v>0.2301980198</v>
      </c>
      <c r="E909" s="5">
        <f>IFERROR(__xludf.DUMMYFUNCTION("""COMPUTED_VALUE"""),0.1419141914191419)</f>
        <v>0.1419141914</v>
      </c>
      <c r="F909" s="5">
        <f>IFERROR(__xludf.DUMMYFUNCTION("""COMPUTED_VALUE"""),0.19224422442244224)</f>
        <v>0.1922442244</v>
      </c>
      <c r="G909" s="5">
        <f>IFERROR(__xludf.DUMMYFUNCTION("""COMPUTED_VALUE"""),0.17904290429042904)</f>
        <v>0.1790429043</v>
      </c>
      <c r="H909" s="5">
        <f>IFERROR(__xludf.DUMMYFUNCTION("""COMPUTED_VALUE"""),0.5793991416309013)</f>
        <v>0.5793991416</v>
      </c>
      <c r="I909" s="11">
        <f>IFERROR(__xludf.DUMMYFUNCTION("""COMPUTED_VALUE"""),6298.283261802575)</f>
        <v>6298.283262</v>
      </c>
      <c r="J909" s="10">
        <f>IFERROR(__xludf.DUMMYFUNCTION("""COMPUTED_VALUE"""),1.0)</f>
        <v>1</v>
      </c>
      <c r="K909" s="5">
        <f>IFERROR(__xludf.DUMMYFUNCTION("""COMPUTED_VALUE"""),0.008771929824561403)</f>
        <v>0.008771929825</v>
      </c>
      <c r="L909" s="10">
        <f>IFERROR(__xludf.DUMMYFUNCTION("""COMPUTED_VALUE"""),114.0)</f>
        <v>114</v>
      </c>
      <c r="M909" s="5">
        <f>IFERROR(__xludf.DUMMYFUNCTION("""COMPUTED_VALUE"""),1.0)</f>
        <v>1</v>
      </c>
    </row>
    <row r="910">
      <c r="A910" s="10" t="str">
        <f>IFERROR(__xludf.DUMMYFUNCTION("""COMPUTED_VALUE"""),"らっしー")</f>
        <v>らっしー</v>
      </c>
      <c r="B910" s="10">
        <f>IFERROR(__xludf.DUMMYFUNCTION("""COMPUTED_VALUE"""),223.0)</f>
        <v>223</v>
      </c>
      <c r="C910" s="10">
        <f>IFERROR(__xludf.DUMMYFUNCTION("""COMPUTED_VALUE"""),2626.0)</f>
        <v>2626</v>
      </c>
      <c r="D910" s="5">
        <f>IFERROR(__xludf.DUMMYFUNCTION("""COMPUTED_VALUE"""),0.4706616729088639)</f>
        <v>0.4706616729</v>
      </c>
      <c r="E910" s="5">
        <f>IFERROR(__xludf.DUMMYFUNCTION("""COMPUTED_VALUE"""),0.14190595089471494)</f>
        <v>0.1419059509</v>
      </c>
      <c r="F910" s="5">
        <f>IFERROR(__xludf.DUMMYFUNCTION("""COMPUTED_VALUE"""),0.18934665002080733)</f>
        <v>0.18934665</v>
      </c>
      <c r="G910" s="5">
        <f>IFERROR(__xludf.DUMMYFUNCTION("""COMPUTED_VALUE"""),0.12692467748647523)</f>
        <v>0.1269246775</v>
      </c>
      <c r="H910" s="5">
        <f>IFERROR(__xludf.DUMMYFUNCTION("""COMPUTED_VALUE"""),0.6131868131868132)</f>
        <v>0.6131868132</v>
      </c>
      <c r="I910" s="11">
        <f>IFERROR(__xludf.DUMMYFUNCTION("""COMPUTED_VALUE"""),5582.197802197802)</f>
        <v>5582.197802</v>
      </c>
      <c r="J910" s="10">
        <f>IFERROR(__xludf.DUMMYFUNCTION("""COMPUTED_VALUE"""),0.0)</f>
        <v>0</v>
      </c>
      <c r="K910" s="5">
        <f>IFERROR(__xludf.DUMMYFUNCTION("""COMPUTED_VALUE"""),0.0)</f>
        <v>0</v>
      </c>
      <c r="L910" s="10">
        <f>IFERROR(__xludf.DUMMYFUNCTION("""COMPUTED_VALUE"""),201.0)</f>
        <v>201</v>
      </c>
      <c r="M910" s="5">
        <f>IFERROR(__xludf.DUMMYFUNCTION("""COMPUTED_VALUE"""),0.9013452914798207)</f>
        <v>0.9013452915</v>
      </c>
    </row>
    <row r="911">
      <c r="A911" s="10" t="str">
        <f>IFERROR(__xludf.DUMMYFUNCTION("""COMPUTED_VALUE"""),"jmdtf")</f>
        <v>jmdtf</v>
      </c>
      <c r="B911" s="10">
        <f>IFERROR(__xludf.DUMMYFUNCTION("""COMPUTED_VALUE"""),138.0)</f>
        <v>138</v>
      </c>
      <c r="C911" s="10">
        <f>IFERROR(__xludf.DUMMYFUNCTION("""COMPUTED_VALUE"""),1618.0)</f>
        <v>1618</v>
      </c>
      <c r="D911" s="5">
        <f>IFERROR(__xludf.DUMMYFUNCTION("""COMPUTED_VALUE"""),0.3655405405405405)</f>
        <v>0.3655405405</v>
      </c>
      <c r="E911" s="5">
        <f>IFERROR(__xludf.DUMMYFUNCTION("""COMPUTED_VALUE"""),0.14189189189189189)</f>
        <v>0.1418918919</v>
      </c>
      <c r="F911" s="5">
        <f>IFERROR(__xludf.DUMMYFUNCTION("""COMPUTED_VALUE"""),0.23445945945945945)</f>
        <v>0.2344594595</v>
      </c>
      <c r="G911" s="5">
        <f>IFERROR(__xludf.DUMMYFUNCTION("""COMPUTED_VALUE"""),0.16486486486486487)</f>
        <v>0.1648648649</v>
      </c>
      <c r="H911" s="5">
        <f>IFERROR(__xludf.DUMMYFUNCTION("""COMPUTED_VALUE"""),0.6080691642651297)</f>
        <v>0.6080691643</v>
      </c>
      <c r="I911" s="11">
        <f>IFERROR(__xludf.DUMMYFUNCTION("""COMPUTED_VALUE"""),4993.948126801152)</f>
        <v>4993.948127</v>
      </c>
      <c r="J911" s="10">
        <f>IFERROR(__xludf.DUMMYFUNCTION("""COMPUTED_VALUE"""),0.0)</f>
        <v>0</v>
      </c>
      <c r="K911" s="5">
        <f>IFERROR(__xludf.DUMMYFUNCTION("""COMPUTED_VALUE"""),0.0)</f>
        <v>0</v>
      </c>
      <c r="L911" s="10">
        <f>IFERROR(__xludf.DUMMYFUNCTION("""COMPUTED_VALUE"""),138.0)</f>
        <v>138</v>
      </c>
      <c r="M911" s="5">
        <f>IFERROR(__xludf.DUMMYFUNCTION("""COMPUTED_VALUE"""),1.0)</f>
        <v>1</v>
      </c>
    </row>
    <row r="912">
      <c r="A912" s="10" t="str">
        <f>IFERROR(__xludf.DUMMYFUNCTION("""COMPUTED_VALUE"""),"霧立昇")</f>
        <v>霧立昇</v>
      </c>
      <c r="B912" s="10">
        <f>IFERROR(__xludf.DUMMYFUNCTION("""COMPUTED_VALUE"""),110.0)</f>
        <v>110</v>
      </c>
      <c r="C912" s="10">
        <f>IFERROR(__xludf.DUMMYFUNCTION("""COMPUTED_VALUE"""),1273.0)</f>
        <v>1273</v>
      </c>
      <c r="D912" s="5">
        <f>IFERROR(__xludf.DUMMYFUNCTION("""COMPUTED_VALUE"""),0.2519346517626827)</f>
        <v>0.2519346518</v>
      </c>
      <c r="E912" s="5">
        <f>IFERROR(__xludf.DUMMYFUNCTION("""COMPUTED_VALUE"""),0.1418744625967326)</f>
        <v>0.1418744626</v>
      </c>
      <c r="F912" s="5">
        <f>IFERROR(__xludf.DUMMYFUNCTION("""COMPUTED_VALUE"""),0.19002579535683578)</f>
        <v>0.1900257954</v>
      </c>
      <c r="G912" s="5">
        <f>IFERROR(__xludf.DUMMYFUNCTION("""COMPUTED_VALUE"""),0.2123817712811694)</f>
        <v>0.2123817713</v>
      </c>
      <c r="H912" s="5">
        <f>IFERROR(__xludf.DUMMYFUNCTION("""COMPUTED_VALUE"""),0.583710407239819)</f>
        <v>0.5837104072</v>
      </c>
      <c r="I912" s="11">
        <f>IFERROR(__xludf.DUMMYFUNCTION("""COMPUTED_VALUE"""),5938.461538461538)</f>
        <v>5938.461538</v>
      </c>
      <c r="J912" s="10">
        <f>IFERROR(__xludf.DUMMYFUNCTION("""COMPUTED_VALUE"""),1.0)</f>
        <v>1</v>
      </c>
      <c r="K912" s="5">
        <f>IFERROR(__xludf.DUMMYFUNCTION("""COMPUTED_VALUE"""),0.00909090909090909)</f>
        <v>0.009090909091</v>
      </c>
      <c r="L912" s="10">
        <f>IFERROR(__xludf.DUMMYFUNCTION("""COMPUTED_VALUE"""),110.0)</f>
        <v>110</v>
      </c>
      <c r="M912" s="5">
        <f>IFERROR(__xludf.DUMMYFUNCTION("""COMPUTED_VALUE"""),1.0)</f>
        <v>1</v>
      </c>
    </row>
    <row r="913">
      <c r="A913" s="10" t="str">
        <f>IFERROR(__xludf.DUMMYFUNCTION("""COMPUTED_VALUE"""),"彼方流し")</f>
        <v>彼方流し</v>
      </c>
      <c r="B913" s="10">
        <f>IFERROR(__xludf.DUMMYFUNCTION("""COMPUTED_VALUE"""),311.0)</f>
        <v>311</v>
      </c>
      <c r="C913" s="10">
        <f>IFERROR(__xludf.DUMMYFUNCTION("""COMPUTED_VALUE"""),3709.0)</f>
        <v>3709</v>
      </c>
      <c r="D913" s="5">
        <f>IFERROR(__xludf.DUMMYFUNCTION("""COMPUTED_VALUE"""),0.3263684520306062)</f>
        <v>0.326368452</v>
      </c>
      <c r="E913" s="5">
        <f>IFERROR(__xludf.DUMMYFUNCTION("""COMPUTED_VALUE"""),0.1418481459682166)</f>
        <v>0.141848146</v>
      </c>
      <c r="F913" s="5">
        <f>IFERROR(__xludf.DUMMYFUNCTION("""COMPUTED_VALUE"""),0.2113007651559741)</f>
        <v>0.2113007652</v>
      </c>
      <c r="G913" s="5">
        <f>IFERROR(__xludf.DUMMYFUNCTION("""COMPUTED_VALUE"""),0.17068864037669218)</f>
        <v>0.1706886404</v>
      </c>
      <c r="H913" s="5">
        <f>IFERROR(__xludf.DUMMYFUNCTION("""COMPUTED_VALUE"""),0.5919220055710307)</f>
        <v>0.5919220056</v>
      </c>
      <c r="I913" s="11">
        <f>IFERROR(__xludf.DUMMYFUNCTION("""COMPUTED_VALUE"""),5872.005571030641)</f>
        <v>5872.005571</v>
      </c>
      <c r="J913" s="10">
        <f>IFERROR(__xludf.DUMMYFUNCTION("""COMPUTED_VALUE"""),0.0)</f>
        <v>0</v>
      </c>
      <c r="K913" s="5">
        <f>IFERROR(__xludf.DUMMYFUNCTION("""COMPUTED_VALUE"""),0.0)</f>
        <v>0</v>
      </c>
      <c r="L913" s="10">
        <f>IFERROR(__xludf.DUMMYFUNCTION("""COMPUTED_VALUE"""),311.0)</f>
        <v>311</v>
      </c>
      <c r="M913" s="5">
        <f>IFERROR(__xludf.DUMMYFUNCTION("""COMPUTED_VALUE"""),1.0)</f>
        <v>1</v>
      </c>
    </row>
    <row r="914">
      <c r="A914" s="10" t="str">
        <f>IFERROR(__xludf.DUMMYFUNCTION("""COMPUTED_VALUE"""),"ラッキーＤ")</f>
        <v>ラッキーＤ</v>
      </c>
      <c r="B914" s="10">
        <f>IFERROR(__xludf.DUMMYFUNCTION("""COMPUTED_VALUE"""),264.0)</f>
        <v>264</v>
      </c>
      <c r="C914" s="10">
        <f>IFERROR(__xludf.DUMMYFUNCTION("""COMPUTED_VALUE"""),3077.0)</f>
        <v>3077</v>
      </c>
      <c r="D914" s="5">
        <f>IFERROR(__xludf.DUMMYFUNCTION("""COMPUTED_VALUE"""),0.32456452186277995)</f>
        <v>0.3245645219</v>
      </c>
      <c r="E914" s="5">
        <f>IFERROR(__xludf.DUMMYFUNCTION("""COMPUTED_VALUE"""),0.1418414504088162)</f>
        <v>0.1418414504</v>
      </c>
      <c r="F914" s="5">
        <f>IFERROR(__xludf.DUMMYFUNCTION("""COMPUTED_VALUE"""),0.2065410593672236)</f>
        <v>0.2065410594</v>
      </c>
      <c r="G914" s="5">
        <f>IFERROR(__xludf.DUMMYFUNCTION("""COMPUTED_VALUE"""),0.2147173835762531)</f>
        <v>0.2147173836</v>
      </c>
      <c r="H914" s="5">
        <f>IFERROR(__xludf.DUMMYFUNCTION("""COMPUTED_VALUE"""),0.576592082616179)</f>
        <v>0.5765920826</v>
      </c>
      <c r="I914" s="11">
        <f>IFERROR(__xludf.DUMMYFUNCTION("""COMPUTED_VALUE"""),6070.567986230637)</f>
        <v>6070.567986</v>
      </c>
      <c r="J914" s="10">
        <f>IFERROR(__xludf.DUMMYFUNCTION("""COMPUTED_VALUE"""),0.0)</f>
        <v>0</v>
      </c>
      <c r="K914" s="5">
        <f>IFERROR(__xludf.DUMMYFUNCTION("""COMPUTED_VALUE"""),0.0)</f>
        <v>0</v>
      </c>
      <c r="L914" s="10">
        <f>IFERROR(__xludf.DUMMYFUNCTION("""COMPUTED_VALUE"""),264.0)</f>
        <v>264</v>
      </c>
      <c r="M914" s="5">
        <f>IFERROR(__xludf.DUMMYFUNCTION("""COMPUTED_VALUE"""),1.0)</f>
        <v>1</v>
      </c>
    </row>
    <row r="915">
      <c r="A915" s="10" t="str">
        <f>IFERROR(__xludf.DUMMYFUNCTION("""COMPUTED_VALUE"""),"クラリカ")</f>
        <v>クラリカ</v>
      </c>
      <c r="B915" s="10">
        <f>IFERROR(__xludf.DUMMYFUNCTION("""COMPUTED_VALUE"""),236.0)</f>
        <v>236</v>
      </c>
      <c r="C915" s="10">
        <f>IFERROR(__xludf.DUMMYFUNCTION("""COMPUTED_VALUE"""),2746.0)</f>
        <v>2746</v>
      </c>
      <c r="D915" s="5">
        <f>IFERROR(__xludf.DUMMYFUNCTION("""COMPUTED_VALUE"""),0.4047808764940239)</f>
        <v>0.4047808765</v>
      </c>
      <c r="E915" s="5">
        <f>IFERROR(__xludf.DUMMYFUNCTION("""COMPUTED_VALUE"""),0.14183266932270916)</f>
        <v>0.1418326693</v>
      </c>
      <c r="F915" s="5">
        <f>IFERROR(__xludf.DUMMYFUNCTION("""COMPUTED_VALUE"""),0.2239043824701195)</f>
        <v>0.2239043825</v>
      </c>
      <c r="G915" s="5">
        <f>IFERROR(__xludf.DUMMYFUNCTION("""COMPUTED_VALUE"""),0.18446215139442232)</f>
        <v>0.1844621514</v>
      </c>
      <c r="H915" s="5">
        <f>IFERROR(__xludf.DUMMYFUNCTION("""COMPUTED_VALUE"""),0.5889679715302492)</f>
        <v>0.5889679715</v>
      </c>
      <c r="I915" s="11">
        <f>IFERROR(__xludf.DUMMYFUNCTION("""COMPUTED_VALUE"""),5512.811387900356)</f>
        <v>5512.811388</v>
      </c>
      <c r="J915" s="10">
        <f>IFERROR(__xludf.DUMMYFUNCTION("""COMPUTED_VALUE"""),0.0)</f>
        <v>0</v>
      </c>
      <c r="K915" s="5">
        <f>IFERROR(__xludf.DUMMYFUNCTION("""COMPUTED_VALUE"""),0.0)</f>
        <v>0</v>
      </c>
      <c r="L915" s="10">
        <f>IFERROR(__xludf.DUMMYFUNCTION("""COMPUTED_VALUE"""),0.0)</f>
        <v>0</v>
      </c>
      <c r="M915" s="5">
        <f>IFERROR(__xludf.DUMMYFUNCTION("""COMPUTED_VALUE"""),0.0)</f>
        <v>0</v>
      </c>
    </row>
    <row r="916">
      <c r="A916" s="10" t="str">
        <f>IFERROR(__xludf.DUMMYFUNCTION("""COMPUTED_VALUE"""),":cocua:")</f>
        <v>:cocua:</v>
      </c>
      <c r="B916" s="10">
        <f>IFERROR(__xludf.DUMMYFUNCTION("""COMPUTED_VALUE"""),686.0)</f>
        <v>686</v>
      </c>
      <c r="C916" s="10">
        <f>IFERROR(__xludf.DUMMYFUNCTION("""COMPUTED_VALUE"""),8019.0)</f>
        <v>8019</v>
      </c>
      <c r="D916" s="5">
        <f>IFERROR(__xludf.DUMMYFUNCTION("""COMPUTED_VALUE"""),0.396563480158189)</f>
        <v>0.3965634802</v>
      </c>
      <c r="E916" s="5">
        <f>IFERROR(__xludf.DUMMYFUNCTION("""COMPUTED_VALUE"""),0.14182462839219964)</f>
        <v>0.1418246284</v>
      </c>
      <c r="F916" s="5">
        <f>IFERROR(__xludf.DUMMYFUNCTION("""COMPUTED_VALUE"""),0.21532796945315696)</f>
        <v>0.2153279695</v>
      </c>
      <c r="G916" s="5">
        <f>IFERROR(__xludf.DUMMYFUNCTION("""COMPUTED_VALUE"""),0.18900859129960454)</f>
        <v>0.1890085913</v>
      </c>
      <c r="H916" s="5">
        <f>IFERROR(__xludf.DUMMYFUNCTION("""COMPUTED_VALUE"""),0.5940468651044966)</f>
        <v>0.5940468651</v>
      </c>
      <c r="I916" s="11">
        <f>IFERROR(__xludf.DUMMYFUNCTION("""COMPUTED_VALUE"""),5295.313489550348)</f>
        <v>5295.31349</v>
      </c>
      <c r="J916" s="10">
        <f>IFERROR(__xludf.DUMMYFUNCTION("""COMPUTED_VALUE"""),2.0)</f>
        <v>2</v>
      </c>
      <c r="K916" s="5">
        <f>IFERROR(__xludf.DUMMYFUNCTION("""COMPUTED_VALUE"""),0.0029154518950437317)</f>
        <v>0.002915451895</v>
      </c>
      <c r="L916" s="10">
        <f>IFERROR(__xludf.DUMMYFUNCTION("""COMPUTED_VALUE"""),686.0)</f>
        <v>686</v>
      </c>
      <c r="M916" s="5">
        <f>IFERROR(__xludf.DUMMYFUNCTION("""COMPUTED_VALUE"""),1.0)</f>
        <v>1</v>
      </c>
    </row>
    <row r="917">
      <c r="A917" s="10" t="str">
        <f>IFERROR(__xludf.DUMMYFUNCTION("""COMPUTED_VALUE"""),"2piece")</f>
        <v>2piece</v>
      </c>
      <c r="B917" s="10">
        <f>IFERROR(__xludf.DUMMYFUNCTION("""COMPUTED_VALUE"""),754.0)</f>
        <v>754</v>
      </c>
      <c r="C917" s="10">
        <f>IFERROR(__xludf.DUMMYFUNCTION("""COMPUTED_VALUE"""),8674.0)</f>
        <v>8674</v>
      </c>
      <c r="D917" s="5">
        <f>IFERROR(__xludf.DUMMYFUNCTION("""COMPUTED_VALUE"""),0.3111111111111111)</f>
        <v>0.3111111111</v>
      </c>
      <c r="E917" s="5">
        <f>IFERROR(__xludf.DUMMYFUNCTION("""COMPUTED_VALUE"""),0.1417929292929293)</f>
        <v>0.1417929293</v>
      </c>
      <c r="F917" s="5">
        <f>IFERROR(__xludf.DUMMYFUNCTION("""COMPUTED_VALUE"""),0.20757575757575758)</f>
        <v>0.2075757576</v>
      </c>
      <c r="G917" s="5">
        <f>IFERROR(__xludf.DUMMYFUNCTION("""COMPUTED_VALUE"""),0.15732323232323234)</f>
        <v>0.1573232323</v>
      </c>
      <c r="H917" s="5">
        <f>IFERROR(__xludf.DUMMYFUNCTION("""COMPUTED_VALUE"""),0.5881995133819952)</f>
        <v>0.5881995134</v>
      </c>
      <c r="I917" s="11">
        <f>IFERROR(__xludf.DUMMYFUNCTION("""COMPUTED_VALUE"""),6036.374695863747)</f>
        <v>6036.374696</v>
      </c>
      <c r="J917" s="10">
        <f>IFERROR(__xludf.DUMMYFUNCTION("""COMPUTED_VALUE"""),6.0)</f>
        <v>6</v>
      </c>
      <c r="K917" s="5">
        <f>IFERROR(__xludf.DUMMYFUNCTION("""COMPUTED_VALUE"""),0.007957559681697613)</f>
        <v>0.007957559682</v>
      </c>
      <c r="L917" s="10">
        <f>IFERROR(__xludf.DUMMYFUNCTION("""COMPUTED_VALUE"""),754.0)</f>
        <v>754</v>
      </c>
      <c r="M917" s="5">
        <f>IFERROR(__xludf.DUMMYFUNCTION("""COMPUTED_VALUE"""),1.0)</f>
        <v>1</v>
      </c>
    </row>
    <row r="918">
      <c r="A918" s="10" t="str">
        <f>IFERROR(__xludf.DUMMYFUNCTION("""COMPUTED_VALUE"""),"gororin")</f>
        <v>gororin</v>
      </c>
      <c r="B918" s="10">
        <f>IFERROR(__xludf.DUMMYFUNCTION("""COMPUTED_VALUE"""),219.0)</f>
        <v>219</v>
      </c>
      <c r="C918" s="10">
        <f>IFERROR(__xludf.DUMMYFUNCTION("""COMPUTED_VALUE"""),2490.0)</f>
        <v>2490</v>
      </c>
      <c r="D918" s="5">
        <f>IFERROR(__xludf.DUMMYFUNCTION("""COMPUTED_VALUE"""),0.33157199471598414)</f>
        <v>0.3315719947</v>
      </c>
      <c r="E918" s="5">
        <f>IFERROR(__xludf.DUMMYFUNCTION("""COMPUTED_VALUE"""),0.14178775869660942)</f>
        <v>0.1417877587</v>
      </c>
      <c r="F918" s="5">
        <f>IFERROR(__xludf.DUMMYFUNCTION("""COMPUTED_VALUE"""),0.2073976221928666)</f>
        <v>0.2073976222</v>
      </c>
      <c r="G918" s="5">
        <f>IFERROR(__xludf.DUMMYFUNCTION("""COMPUTED_VALUE"""),0.14002642007926025)</f>
        <v>0.1400264201</v>
      </c>
      <c r="H918" s="5">
        <f>IFERROR(__xludf.DUMMYFUNCTION("""COMPUTED_VALUE"""),0.6072186836518046)</f>
        <v>0.6072186837</v>
      </c>
      <c r="I918" s="11">
        <f>IFERROR(__xludf.DUMMYFUNCTION("""COMPUTED_VALUE"""),5453.503184713376)</f>
        <v>5453.503185</v>
      </c>
      <c r="J918" s="10">
        <f>IFERROR(__xludf.DUMMYFUNCTION("""COMPUTED_VALUE"""),0.0)</f>
        <v>0</v>
      </c>
      <c r="K918" s="5">
        <f>IFERROR(__xludf.DUMMYFUNCTION("""COMPUTED_VALUE"""),0.0)</f>
        <v>0</v>
      </c>
      <c r="L918" s="10">
        <f>IFERROR(__xludf.DUMMYFUNCTION("""COMPUTED_VALUE"""),219.0)</f>
        <v>219</v>
      </c>
      <c r="M918" s="5">
        <f>IFERROR(__xludf.DUMMYFUNCTION("""COMPUTED_VALUE"""),1.0)</f>
        <v>1</v>
      </c>
    </row>
    <row r="919">
      <c r="A919" s="10" t="str">
        <f>IFERROR(__xludf.DUMMYFUNCTION("""COMPUTED_VALUE"""),"たけっち★")</f>
        <v>たけっち★</v>
      </c>
      <c r="B919" s="10">
        <f>IFERROR(__xludf.DUMMYFUNCTION("""COMPUTED_VALUE"""),867.0)</f>
        <v>867</v>
      </c>
      <c r="C919" s="10">
        <f>IFERROR(__xludf.DUMMYFUNCTION("""COMPUTED_VALUE"""),9895.0)</f>
        <v>9895</v>
      </c>
      <c r="D919" s="5">
        <f>IFERROR(__xludf.DUMMYFUNCTION("""COMPUTED_VALUE"""),0.29231280460788656)</f>
        <v>0.2923128046</v>
      </c>
      <c r="E919" s="5">
        <f>IFERROR(__xludf.DUMMYFUNCTION("""COMPUTED_VALUE"""),0.14178112538768275)</f>
        <v>0.1417811254</v>
      </c>
      <c r="F919" s="5">
        <f>IFERROR(__xludf.DUMMYFUNCTION("""COMPUTED_VALUE"""),0.2108994240141781)</f>
        <v>0.210899424</v>
      </c>
      <c r="G919" s="5">
        <f>IFERROR(__xludf.DUMMYFUNCTION("""COMPUTED_VALUE"""),0.17323881258307489)</f>
        <v>0.1732388126</v>
      </c>
      <c r="H919" s="5">
        <f>IFERROR(__xludf.DUMMYFUNCTION("""COMPUTED_VALUE"""),0.5966386554621849)</f>
        <v>0.5966386555</v>
      </c>
      <c r="I919" s="11">
        <f>IFERROR(__xludf.DUMMYFUNCTION("""COMPUTED_VALUE"""),5898.949579831933)</f>
        <v>5898.94958</v>
      </c>
      <c r="J919" s="10">
        <f>IFERROR(__xludf.DUMMYFUNCTION("""COMPUTED_VALUE"""),1.0)</f>
        <v>1</v>
      </c>
      <c r="K919" s="5">
        <f>IFERROR(__xludf.DUMMYFUNCTION("""COMPUTED_VALUE"""),0.0011534025374855825)</f>
        <v>0.001153402537</v>
      </c>
      <c r="L919" s="10">
        <f>IFERROR(__xludf.DUMMYFUNCTION("""COMPUTED_VALUE"""),867.0)</f>
        <v>867</v>
      </c>
      <c r="M919" s="5">
        <f>IFERROR(__xludf.DUMMYFUNCTION("""COMPUTED_VALUE"""),1.0)</f>
        <v>1</v>
      </c>
    </row>
    <row r="920">
      <c r="A920" s="10" t="str">
        <f>IFERROR(__xludf.DUMMYFUNCTION("""COMPUTED_VALUE"""),"俺つえええ～")</f>
        <v>俺つえええ～</v>
      </c>
      <c r="B920" s="10">
        <f>IFERROR(__xludf.DUMMYFUNCTION("""COMPUTED_VALUE"""),379.0)</f>
        <v>379</v>
      </c>
      <c r="C920" s="10">
        <f>IFERROR(__xludf.DUMMYFUNCTION("""COMPUTED_VALUE"""),4477.0)</f>
        <v>4477</v>
      </c>
      <c r="D920" s="5">
        <f>IFERROR(__xludf.DUMMYFUNCTION("""COMPUTED_VALUE"""),0.37359687652513424)</f>
        <v>0.3735968765</v>
      </c>
      <c r="E920" s="5">
        <f>IFERROR(__xludf.DUMMYFUNCTION("""COMPUTED_VALUE"""),0.14177647632991702)</f>
        <v>0.1417764763</v>
      </c>
      <c r="F920" s="5">
        <f>IFERROR(__xludf.DUMMYFUNCTION("""COMPUTED_VALUE"""),0.22132747681795997)</f>
        <v>0.2213274768</v>
      </c>
      <c r="G920" s="5">
        <f>IFERROR(__xludf.DUMMYFUNCTION("""COMPUTED_VALUE"""),0.16349438750610054)</f>
        <v>0.1634943875</v>
      </c>
      <c r="H920" s="5">
        <f>IFERROR(__xludf.DUMMYFUNCTION("""COMPUTED_VALUE"""),0.5997794928335171)</f>
        <v>0.5997794928</v>
      </c>
      <c r="I920" s="11">
        <f>IFERROR(__xludf.DUMMYFUNCTION("""COMPUTED_VALUE"""),5756.449834619625)</f>
        <v>5756.449835</v>
      </c>
      <c r="J920" s="10">
        <f>IFERROR(__xludf.DUMMYFUNCTION("""COMPUTED_VALUE"""),1.0)</f>
        <v>1</v>
      </c>
      <c r="K920" s="5">
        <f>IFERROR(__xludf.DUMMYFUNCTION("""COMPUTED_VALUE"""),0.002638522427440633)</f>
        <v>0.002638522427</v>
      </c>
      <c r="L920" s="10">
        <f>IFERROR(__xludf.DUMMYFUNCTION("""COMPUTED_VALUE"""),379.0)</f>
        <v>379</v>
      </c>
      <c r="M920" s="5">
        <f>IFERROR(__xludf.DUMMYFUNCTION("""COMPUTED_VALUE"""),1.0)</f>
        <v>1</v>
      </c>
    </row>
    <row r="921">
      <c r="A921" s="10" t="str">
        <f>IFERROR(__xludf.DUMMYFUNCTION("""COMPUTED_VALUE"""),"0くーにゃん0")</f>
        <v>0くーにゃん0</v>
      </c>
      <c r="B921" s="10">
        <f>IFERROR(__xludf.DUMMYFUNCTION("""COMPUTED_VALUE"""),1066.0)</f>
        <v>1066</v>
      </c>
      <c r="C921" s="10">
        <f>IFERROR(__xludf.DUMMYFUNCTION("""COMPUTED_VALUE"""),12501.0)</f>
        <v>12501</v>
      </c>
      <c r="D921" s="5">
        <f>IFERROR(__xludf.DUMMYFUNCTION("""COMPUTED_VALUE"""),0.37918670747704414)</f>
        <v>0.3791867075</v>
      </c>
      <c r="E921" s="5">
        <f>IFERROR(__xludf.DUMMYFUNCTION("""COMPUTED_VALUE"""),0.14175776125929165)</f>
        <v>0.1417577613</v>
      </c>
      <c r="F921" s="5">
        <f>IFERROR(__xludf.DUMMYFUNCTION("""COMPUTED_VALUE"""),0.2054219501530389)</f>
        <v>0.2054219502</v>
      </c>
      <c r="G921" s="5">
        <f>IFERROR(__xludf.DUMMYFUNCTION("""COMPUTED_VALUE"""),0.1679930039352864)</f>
        <v>0.1679930039</v>
      </c>
      <c r="H921" s="5">
        <f>IFERROR(__xludf.DUMMYFUNCTION("""COMPUTED_VALUE"""),0.5874840357598978)</f>
        <v>0.5874840358</v>
      </c>
      <c r="I921" s="11">
        <f>IFERROR(__xludf.DUMMYFUNCTION("""COMPUTED_VALUE"""),5944.529587058322)</f>
        <v>5944.529587</v>
      </c>
      <c r="J921" s="10">
        <f>IFERROR(__xludf.DUMMYFUNCTION("""COMPUTED_VALUE"""),1.0)</f>
        <v>1</v>
      </c>
      <c r="K921" s="5">
        <f>IFERROR(__xludf.DUMMYFUNCTION("""COMPUTED_VALUE"""),9.380863039399625E-4)</f>
        <v>0.0009380863039</v>
      </c>
      <c r="L921" s="10">
        <f>IFERROR(__xludf.DUMMYFUNCTION("""COMPUTED_VALUE"""),10.0)</f>
        <v>10</v>
      </c>
      <c r="M921" s="5">
        <f>IFERROR(__xludf.DUMMYFUNCTION("""COMPUTED_VALUE"""),0.009380863039399626)</f>
        <v>0.009380863039</v>
      </c>
    </row>
    <row r="922">
      <c r="A922" s="10" t="str">
        <f>IFERROR(__xludf.DUMMYFUNCTION("""COMPUTED_VALUE"""),"テンパイ少年")</f>
        <v>テンパイ少年</v>
      </c>
      <c r="B922" s="10">
        <f>IFERROR(__xludf.DUMMYFUNCTION("""COMPUTED_VALUE"""),216.0)</f>
        <v>216</v>
      </c>
      <c r="C922" s="10">
        <f>IFERROR(__xludf.DUMMYFUNCTION("""COMPUTED_VALUE"""),2544.0)</f>
        <v>2544</v>
      </c>
      <c r="D922" s="5">
        <f>IFERROR(__xludf.DUMMYFUNCTION("""COMPUTED_VALUE"""),0.32946735395189003)</f>
        <v>0.329467354</v>
      </c>
      <c r="E922" s="5">
        <f>IFERROR(__xludf.DUMMYFUNCTION("""COMPUTED_VALUE"""),0.14175257731958762)</f>
        <v>0.1417525773</v>
      </c>
      <c r="F922" s="5">
        <f>IFERROR(__xludf.DUMMYFUNCTION("""COMPUTED_VALUE"""),0.22551546391752578)</f>
        <v>0.2255154639</v>
      </c>
      <c r="G922" s="5">
        <f>IFERROR(__xludf.DUMMYFUNCTION("""COMPUTED_VALUE"""),0.18900343642611683)</f>
        <v>0.1890034364</v>
      </c>
      <c r="H922" s="5">
        <f>IFERROR(__xludf.DUMMYFUNCTION("""COMPUTED_VALUE"""),0.64)</f>
        <v>0.64</v>
      </c>
      <c r="I922" s="11">
        <f>IFERROR(__xludf.DUMMYFUNCTION("""COMPUTED_VALUE"""),5600.190476190476)</f>
        <v>5600.190476</v>
      </c>
      <c r="J922" s="10">
        <f>IFERROR(__xludf.DUMMYFUNCTION("""COMPUTED_VALUE"""),0.0)</f>
        <v>0</v>
      </c>
      <c r="K922" s="5">
        <f>IFERROR(__xludf.DUMMYFUNCTION("""COMPUTED_VALUE"""),0.0)</f>
        <v>0</v>
      </c>
      <c r="L922" s="10">
        <f>IFERROR(__xludf.DUMMYFUNCTION("""COMPUTED_VALUE"""),216.0)</f>
        <v>216</v>
      </c>
      <c r="M922" s="5">
        <f>IFERROR(__xludf.DUMMYFUNCTION("""COMPUTED_VALUE"""),1.0)</f>
        <v>1</v>
      </c>
    </row>
    <row r="923">
      <c r="A923" s="10" t="str">
        <f>IFERROR(__xludf.DUMMYFUNCTION("""COMPUTED_VALUE"""),"立華奏")</f>
        <v>立華奏</v>
      </c>
      <c r="B923" s="10">
        <f>IFERROR(__xludf.DUMMYFUNCTION("""COMPUTED_VALUE"""),8355.0)</f>
        <v>8355</v>
      </c>
      <c r="C923" s="10">
        <f>IFERROR(__xludf.DUMMYFUNCTION("""COMPUTED_VALUE"""),97542.0)</f>
        <v>97542</v>
      </c>
      <c r="D923" s="5">
        <f>IFERROR(__xludf.DUMMYFUNCTION("""COMPUTED_VALUE"""),0.28164418581183354)</f>
        <v>0.2816441858</v>
      </c>
      <c r="E923" s="5">
        <f>IFERROR(__xludf.DUMMYFUNCTION("""COMPUTED_VALUE"""),0.14174711561101955)</f>
        <v>0.1417471156</v>
      </c>
      <c r="F923" s="5">
        <f>IFERROR(__xludf.DUMMYFUNCTION("""COMPUTED_VALUE"""),0.21821565923284783)</f>
        <v>0.2182156592</v>
      </c>
      <c r="G923" s="5">
        <f>IFERROR(__xludf.DUMMYFUNCTION("""COMPUTED_VALUE"""),0.18374875262089765)</f>
        <v>0.1837487526</v>
      </c>
      <c r="H923" s="5">
        <f>IFERROR(__xludf.DUMMYFUNCTION("""COMPUTED_VALUE"""),0.600195252286507)</f>
        <v>0.6001952523</v>
      </c>
      <c r="I923" s="11">
        <f>IFERROR(__xludf.DUMMYFUNCTION("""COMPUTED_VALUE"""),5809.259068954886)</f>
        <v>5809.259069</v>
      </c>
      <c r="J923" s="10">
        <f>IFERROR(__xludf.DUMMYFUNCTION("""COMPUTED_VALUE"""),25.0)</f>
        <v>25</v>
      </c>
      <c r="K923" s="5">
        <f>IFERROR(__xludf.DUMMYFUNCTION("""COMPUTED_VALUE"""),0.002992220227408737)</f>
        <v>0.002992220227</v>
      </c>
      <c r="L923" s="10">
        <f>IFERROR(__xludf.DUMMYFUNCTION("""COMPUTED_VALUE"""),16.0)</f>
        <v>16</v>
      </c>
      <c r="M923" s="5">
        <f>IFERROR(__xludf.DUMMYFUNCTION("""COMPUTED_VALUE"""),0.0019150209455415918)</f>
        <v>0.001915020946</v>
      </c>
    </row>
    <row r="924">
      <c r="A924" s="10" t="str">
        <f>IFERROR(__xludf.DUMMYFUNCTION("""COMPUTED_VALUE"""),"zakuroro")</f>
        <v>zakuroro</v>
      </c>
      <c r="B924" s="10">
        <f>IFERROR(__xludf.DUMMYFUNCTION("""COMPUTED_VALUE"""),160.0)</f>
        <v>160</v>
      </c>
      <c r="C924" s="10">
        <f>IFERROR(__xludf.DUMMYFUNCTION("""COMPUTED_VALUE"""),1832.0)</f>
        <v>1832</v>
      </c>
      <c r="D924" s="5">
        <f>IFERROR(__xludf.DUMMYFUNCTION("""COMPUTED_VALUE"""),0.3845693779904306)</f>
        <v>0.384569378</v>
      </c>
      <c r="E924" s="5">
        <f>IFERROR(__xludf.DUMMYFUNCTION("""COMPUTED_VALUE"""),0.1417464114832536)</f>
        <v>0.1417464115</v>
      </c>
      <c r="F924" s="5">
        <f>IFERROR(__xludf.DUMMYFUNCTION("""COMPUTED_VALUE"""),0.20454545454545456)</f>
        <v>0.2045454545</v>
      </c>
      <c r="G924" s="5">
        <f>IFERROR(__xludf.DUMMYFUNCTION("""COMPUTED_VALUE"""),0.17105263157894737)</f>
        <v>0.1710526316</v>
      </c>
      <c r="H924" s="5">
        <f>IFERROR(__xludf.DUMMYFUNCTION("""COMPUTED_VALUE"""),0.6140350877192983)</f>
        <v>0.6140350877</v>
      </c>
      <c r="I924" s="11">
        <f>IFERROR(__xludf.DUMMYFUNCTION("""COMPUTED_VALUE"""),5363.1578947368425)</f>
        <v>5363.157895</v>
      </c>
      <c r="J924" s="10">
        <f>IFERROR(__xludf.DUMMYFUNCTION("""COMPUTED_VALUE"""),0.0)</f>
        <v>0</v>
      </c>
      <c r="K924" s="5">
        <f>IFERROR(__xludf.DUMMYFUNCTION("""COMPUTED_VALUE"""),0.0)</f>
        <v>0</v>
      </c>
      <c r="L924" s="10">
        <f>IFERROR(__xludf.DUMMYFUNCTION("""COMPUTED_VALUE"""),160.0)</f>
        <v>160</v>
      </c>
      <c r="M924" s="5">
        <f>IFERROR(__xludf.DUMMYFUNCTION("""COMPUTED_VALUE"""),1.0)</f>
        <v>1</v>
      </c>
    </row>
    <row r="925">
      <c r="A925" s="10" t="str">
        <f>IFERROR(__xludf.DUMMYFUNCTION("""COMPUTED_VALUE"""),"tuji1091")</f>
        <v>tuji1091</v>
      </c>
      <c r="B925" s="10">
        <f>IFERROR(__xludf.DUMMYFUNCTION("""COMPUTED_VALUE"""),783.0)</f>
        <v>783</v>
      </c>
      <c r="C925" s="10">
        <f>IFERROR(__xludf.DUMMYFUNCTION("""COMPUTED_VALUE"""),9202.0)</f>
        <v>9202</v>
      </c>
      <c r="D925" s="5">
        <f>IFERROR(__xludf.DUMMYFUNCTION("""COMPUTED_VALUE"""),0.371303005107495)</f>
        <v>0.3713030051</v>
      </c>
      <c r="E925" s="5">
        <f>IFERROR(__xludf.DUMMYFUNCTION("""COMPUTED_VALUE"""),0.14170329017698063)</f>
        <v>0.1417032902</v>
      </c>
      <c r="F925" s="5">
        <f>IFERROR(__xludf.DUMMYFUNCTION("""COMPUTED_VALUE"""),0.21487112483667895)</f>
        <v>0.2148711248</v>
      </c>
      <c r="G925" s="5">
        <f>IFERROR(__xludf.DUMMYFUNCTION("""COMPUTED_VALUE"""),0.19396602921962228)</f>
        <v>0.1939660292</v>
      </c>
      <c r="H925" s="5">
        <f>IFERROR(__xludf.DUMMYFUNCTION("""COMPUTED_VALUE"""),0.5892758430071863)</f>
        <v>0.589275843</v>
      </c>
      <c r="I925" s="11">
        <f>IFERROR(__xludf.DUMMYFUNCTION("""COMPUTED_VALUE"""),5464.510779436153)</f>
        <v>5464.510779</v>
      </c>
      <c r="J925" s="10">
        <f>IFERROR(__xludf.DUMMYFUNCTION("""COMPUTED_VALUE"""),2.0)</f>
        <v>2</v>
      </c>
      <c r="K925" s="5">
        <f>IFERROR(__xludf.DUMMYFUNCTION("""COMPUTED_VALUE"""),0.002554278416347382)</f>
        <v>0.002554278416</v>
      </c>
      <c r="L925" s="10">
        <f>IFERROR(__xludf.DUMMYFUNCTION("""COMPUTED_VALUE"""),782.0)</f>
        <v>782</v>
      </c>
      <c r="M925" s="5">
        <f>IFERROR(__xludf.DUMMYFUNCTION("""COMPUTED_VALUE"""),0.9987228607918263)</f>
        <v>0.9987228608</v>
      </c>
    </row>
    <row r="926">
      <c r="A926" s="10" t="str">
        <f>IFERROR(__xludf.DUMMYFUNCTION("""COMPUTED_VALUE"""),"narrow19")</f>
        <v>narrow19</v>
      </c>
      <c r="B926" s="10">
        <f>IFERROR(__xludf.DUMMYFUNCTION("""COMPUTED_VALUE"""),263.0)</f>
        <v>263</v>
      </c>
      <c r="C926" s="10">
        <f>IFERROR(__xludf.DUMMYFUNCTION("""COMPUTED_VALUE"""),2980.0)</f>
        <v>2980</v>
      </c>
      <c r="D926" s="5">
        <f>IFERROR(__xludf.DUMMYFUNCTION("""COMPUTED_VALUE"""),0.3507545086492455)</f>
        <v>0.3507545086</v>
      </c>
      <c r="E926" s="5">
        <f>IFERROR(__xludf.DUMMYFUNCTION("""COMPUTED_VALUE"""),0.1417004048582996)</f>
        <v>0.1417004049</v>
      </c>
      <c r="F926" s="5">
        <f>IFERROR(__xludf.DUMMYFUNCTION("""COMPUTED_VALUE"""),0.2193595877806404)</f>
        <v>0.2193595878</v>
      </c>
      <c r="G926" s="5">
        <f>IFERROR(__xludf.DUMMYFUNCTION("""COMPUTED_VALUE"""),0.1785057048214943)</f>
        <v>0.1785057048</v>
      </c>
      <c r="H926" s="5">
        <f>IFERROR(__xludf.DUMMYFUNCTION("""COMPUTED_VALUE"""),0.5637583892617449)</f>
        <v>0.5637583893</v>
      </c>
      <c r="I926" s="11">
        <f>IFERROR(__xludf.DUMMYFUNCTION("""COMPUTED_VALUE"""),5571.644295302013)</f>
        <v>5571.644295</v>
      </c>
      <c r="J926" s="10">
        <f>IFERROR(__xludf.DUMMYFUNCTION("""COMPUTED_VALUE"""),1.0)</f>
        <v>1</v>
      </c>
      <c r="K926" s="5">
        <f>IFERROR(__xludf.DUMMYFUNCTION("""COMPUTED_VALUE"""),0.0038022813688212928)</f>
        <v>0.003802281369</v>
      </c>
      <c r="L926" s="10">
        <f>IFERROR(__xludf.DUMMYFUNCTION("""COMPUTED_VALUE"""),53.0)</f>
        <v>53</v>
      </c>
      <c r="M926" s="5">
        <f>IFERROR(__xludf.DUMMYFUNCTION("""COMPUTED_VALUE"""),0.20152091254752852)</f>
        <v>0.2015209125</v>
      </c>
    </row>
    <row r="927">
      <c r="A927" s="10" t="str">
        <f>IFERROR(__xludf.DUMMYFUNCTION("""COMPUTED_VALUE"""),"ryumiti")</f>
        <v>ryumiti</v>
      </c>
      <c r="B927" s="10">
        <f>IFERROR(__xludf.DUMMYFUNCTION("""COMPUTED_VALUE"""),117.0)</f>
        <v>117</v>
      </c>
      <c r="C927" s="10">
        <f>IFERROR(__xludf.DUMMYFUNCTION("""COMPUTED_VALUE"""),1338.0)</f>
        <v>1338</v>
      </c>
      <c r="D927" s="5">
        <f>IFERROR(__xludf.DUMMYFUNCTION("""COMPUTED_VALUE"""),0.30548730548730546)</f>
        <v>0.3054873055</v>
      </c>
      <c r="E927" s="5">
        <f>IFERROR(__xludf.DUMMYFUNCTION("""COMPUTED_VALUE"""),0.1416871416871417)</f>
        <v>0.1416871417</v>
      </c>
      <c r="F927" s="5">
        <f>IFERROR(__xludf.DUMMYFUNCTION("""COMPUTED_VALUE"""),0.20393120393120392)</f>
        <v>0.2039312039</v>
      </c>
      <c r="G927" s="5">
        <f>IFERROR(__xludf.DUMMYFUNCTION("""COMPUTED_VALUE"""),0.19901719901719903)</f>
        <v>0.199017199</v>
      </c>
      <c r="H927" s="5">
        <f>IFERROR(__xludf.DUMMYFUNCTION("""COMPUTED_VALUE"""),0.6024096385542169)</f>
        <v>0.6024096386</v>
      </c>
      <c r="I927" s="11">
        <f>IFERROR(__xludf.DUMMYFUNCTION("""COMPUTED_VALUE"""),6094.779116465864)</f>
        <v>6094.779116</v>
      </c>
      <c r="J927" s="10">
        <f>IFERROR(__xludf.DUMMYFUNCTION("""COMPUTED_VALUE"""),0.0)</f>
        <v>0</v>
      </c>
      <c r="K927" s="5">
        <f>IFERROR(__xludf.DUMMYFUNCTION("""COMPUTED_VALUE"""),0.0)</f>
        <v>0</v>
      </c>
      <c r="L927" s="10">
        <f>IFERROR(__xludf.DUMMYFUNCTION("""COMPUTED_VALUE"""),117.0)</f>
        <v>117</v>
      </c>
      <c r="M927" s="5">
        <f>IFERROR(__xludf.DUMMYFUNCTION("""COMPUTED_VALUE"""),1.0)</f>
        <v>1</v>
      </c>
    </row>
    <row r="928">
      <c r="A928" s="10" t="str">
        <f>IFERROR(__xludf.DUMMYFUNCTION("""COMPUTED_VALUE"""),"kei0413")</f>
        <v>kei0413</v>
      </c>
      <c r="B928" s="10">
        <f>IFERROR(__xludf.DUMMYFUNCTION("""COMPUTED_VALUE"""),250.0)</f>
        <v>250</v>
      </c>
      <c r="C928" s="10">
        <f>IFERROR(__xludf.DUMMYFUNCTION("""COMPUTED_VALUE"""),2911.0)</f>
        <v>2911</v>
      </c>
      <c r="D928" s="5">
        <f>IFERROR(__xludf.DUMMYFUNCTION("""COMPUTED_VALUE"""),0.45434047350620066)</f>
        <v>0.4543404735</v>
      </c>
      <c r="E928" s="5">
        <f>IFERROR(__xludf.DUMMYFUNCTION("""COMPUTED_VALUE"""),0.1416760616309658)</f>
        <v>0.1416760616</v>
      </c>
      <c r="F928" s="5">
        <f>IFERROR(__xludf.DUMMYFUNCTION("""COMPUTED_VALUE"""),0.21458098459225855)</f>
        <v>0.2145809846</v>
      </c>
      <c r="G928" s="5">
        <f>IFERROR(__xludf.DUMMYFUNCTION("""COMPUTED_VALUE"""),0.17324314167606164)</f>
        <v>0.1732431417</v>
      </c>
      <c r="H928" s="5">
        <f>IFERROR(__xludf.DUMMYFUNCTION("""COMPUTED_VALUE"""),0.5709281961471103)</f>
        <v>0.5709281961</v>
      </c>
      <c r="I928" s="11">
        <f>IFERROR(__xludf.DUMMYFUNCTION("""COMPUTED_VALUE"""),5800.525394045534)</f>
        <v>5800.525394</v>
      </c>
      <c r="J928" s="10">
        <f>IFERROR(__xludf.DUMMYFUNCTION("""COMPUTED_VALUE"""),1.0)</f>
        <v>1</v>
      </c>
      <c r="K928" s="5">
        <f>IFERROR(__xludf.DUMMYFUNCTION("""COMPUTED_VALUE"""),0.004)</f>
        <v>0.004</v>
      </c>
      <c r="L928" s="10">
        <f>IFERROR(__xludf.DUMMYFUNCTION("""COMPUTED_VALUE"""),250.0)</f>
        <v>250</v>
      </c>
      <c r="M928" s="5">
        <f>IFERROR(__xludf.DUMMYFUNCTION("""COMPUTED_VALUE"""),1.0)</f>
        <v>1</v>
      </c>
    </row>
    <row r="929">
      <c r="A929" s="10" t="str">
        <f>IFERROR(__xludf.DUMMYFUNCTION("""COMPUTED_VALUE"""),"プレクラスニー")</f>
        <v>プレクラスニー</v>
      </c>
      <c r="B929" s="10">
        <f>IFERROR(__xludf.DUMMYFUNCTION("""COMPUTED_VALUE"""),187.0)</f>
        <v>187</v>
      </c>
      <c r="C929" s="10">
        <f>IFERROR(__xludf.DUMMYFUNCTION("""COMPUTED_VALUE"""),2213.0)</f>
        <v>2213</v>
      </c>
      <c r="D929" s="5">
        <f>IFERROR(__xludf.DUMMYFUNCTION("""COMPUTED_VALUE"""),0.3637709772951629)</f>
        <v>0.3637709773</v>
      </c>
      <c r="E929" s="5">
        <f>IFERROR(__xludf.DUMMYFUNCTION("""COMPUTED_VALUE"""),0.1416584402764067)</f>
        <v>0.1416584403</v>
      </c>
      <c r="F929" s="5">
        <f>IFERROR(__xludf.DUMMYFUNCTION("""COMPUTED_VALUE"""),0.2048371174728529)</f>
        <v>0.2048371175</v>
      </c>
      <c r="G929" s="5">
        <f>IFERROR(__xludf.DUMMYFUNCTION("""COMPUTED_VALUE"""),0.1688055281342547)</f>
        <v>0.1688055281</v>
      </c>
      <c r="H929" s="5">
        <f>IFERROR(__xludf.DUMMYFUNCTION("""COMPUTED_VALUE"""),0.6457831325301204)</f>
        <v>0.6457831325</v>
      </c>
      <c r="I929" s="11">
        <f>IFERROR(__xludf.DUMMYFUNCTION("""COMPUTED_VALUE"""),5690.120481927711)</f>
        <v>5690.120482</v>
      </c>
      <c r="J929" s="10">
        <f>IFERROR(__xludf.DUMMYFUNCTION("""COMPUTED_VALUE"""),0.0)</f>
        <v>0</v>
      </c>
      <c r="K929" s="5">
        <f>IFERROR(__xludf.DUMMYFUNCTION("""COMPUTED_VALUE"""),0.0)</f>
        <v>0</v>
      </c>
      <c r="L929" s="10">
        <f>IFERROR(__xludf.DUMMYFUNCTION("""COMPUTED_VALUE"""),187.0)</f>
        <v>187</v>
      </c>
      <c r="M929" s="5">
        <f>IFERROR(__xludf.DUMMYFUNCTION("""COMPUTED_VALUE"""),1.0)</f>
        <v>1</v>
      </c>
    </row>
    <row r="930">
      <c r="A930" s="10" t="str">
        <f>IFERROR(__xludf.DUMMYFUNCTION("""COMPUTED_VALUE"""),"平愛梨")</f>
        <v>平愛梨</v>
      </c>
      <c r="B930" s="10">
        <f>IFERROR(__xludf.DUMMYFUNCTION("""COMPUTED_VALUE"""),155.0)</f>
        <v>155</v>
      </c>
      <c r="C930" s="10">
        <f>IFERROR(__xludf.DUMMYFUNCTION("""COMPUTED_VALUE"""),1800.0)</f>
        <v>1800</v>
      </c>
      <c r="D930" s="5">
        <f>IFERROR(__xludf.DUMMYFUNCTION("""COMPUTED_VALUE"""),0.4541033434650456)</f>
        <v>0.4541033435</v>
      </c>
      <c r="E930" s="5">
        <f>IFERROR(__xludf.DUMMYFUNCTION("""COMPUTED_VALUE"""),0.14164133738601822)</f>
        <v>0.1416413374</v>
      </c>
      <c r="F930" s="5">
        <f>IFERROR(__xludf.DUMMYFUNCTION("""COMPUTED_VALUE"""),0.2060790273556231)</f>
        <v>0.2060790274</v>
      </c>
      <c r="G930" s="5">
        <f>IFERROR(__xludf.DUMMYFUNCTION("""COMPUTED_VALUE"""),0.1702127659574468)</f>
        <v>0.170212766</v>
      </c>
      <c r="H930" s="5">
        <f>IFERROR(__xludf.DUMMYFUNCTION("""COMPUTED_VALUE"""),0.6696165191740413)</f>
        <v>0.6696165192</v>
      </c>
      <c r="I930" s="11">
        <f>IFERROR(__xludf.DUMMYFUNCTION("""COMPUTED_VALUE"""),5258.11209439528)</f>
        <v>5258.112094</v>
      </c>
      <c r="J930" s="10">
        <f>IFERROR(__xludf.DUMMYFUNCTION("""COMPUTED_VALUE"""),1.0)</f>
        <v>1</v>
      </c>
      <c r="K930" s="5">
        <f>IFERROR(__xludf.DUMMYFUNCTION("""COMPUTED_VALUE"""),0.0064516129032258064)</f>
        <v>0.006451612903</v>
      </c>
      <c r="L930" s="10">
        <f>IFERROR(__xludf.DUMMYFUNCTION("""COMPUTED_VALUE"""),155.0)</f>
        <v>155</v>
      </c>
      <c r="M930" s="5">
        <f>IFERROR(__xludf.DUMMYFUNCTION("""COMPUTED_VALUE"""),1.0)</f>
        <v>1</v>
      </c>
    </row>
    <row r="931">
      <c r="A931" s="10" t="str">
        <f>IFERROR(__xludf.DUMMYFUNCTION("""COMPUTED_VALUE"""),"naozo")</f>
        <v>naozo</v>
      </c>
      <c r="B931" s="10">
        <f>IFERROR(__xludf.DUMMYFUNCTION("""COMPUTED_VALUE"""),331.0)</f>
        <v>331</v>
      </c>
      <c r="C931" s="10">
        <f>IFERROR(__xludf.DUMMYFUNCTION("""COMPUTED_VALUE"""),3897.0)</f>
        <v>3897</v>
      </c>
      <c r="D931" s="5">
        <f>IFERROR(__xludf.DUMMYFUNCTION("""COMPUTED_VALUE"""),0.3583847448121144)</f>
        <v>0.3583847448</v>
      </c>
      <c r="E931" s="5">
        <f>IFERROR(__xludf.DUMMYFUNCTION("""COMPUTED_VALUE"""),0.1416152551878856)</f>
        <v>0.1416152552</v>
      </c>
      <c r="F931" s="5">
        <f>IFERROR(__xludf.DUMMYFUNCTION("""COMPUTED_VALUE"""),0.2125630959057768)</f>
        <v>0.2125630959</v>
      </c>
      <c r="G931" s="5">
        <f>IFERROR(__xludf.DUMMYFUNCTION("""COMPUTED_VALUE"""),0.19293325855300056)</f>
        <v>0.1929332586</v>
      </c>
      <c r="H931" s="5">
        <f>IFERROR(__xludf.DUMMYFUNCTION("""COMPUTED_VALUE"""),0.5989445910290238)</f>
        <v>0.598944591</v>
      </c>
      <c r="I931" s="11">
        <f>IFERROR(__xludf.DUMMYFUNCTION("""COMPUTED_VALUE"""),5942.480211081795)</f>
        <v>5942.480211</v>
      </c>
      <c r="J931" s="10">
        <f>IFERROR(__xludf.DUMMYFUNCTION("""COMPUTED_VALUE"""),1.0)</f>
        <v>1</v>
      </c>
      <c r="K931" s="5">
        <f>IFERROR(__xludf.DUMMYFUNCTION("""COMPUTED_VALUE"""),0.0030211480362537764)</f>
        <v>0.003021148036</v>
      </c>
      <c r="L931" s="10">
        <f>IFERROR(__xludf.DUMMYFUNCTION("""COMPUTED_VALUE"""),331.0)</f>
        <v>331</v>
      </c>
      <c r="M931" s="5">
        <f>IFERROR(__xludf.DUMMYFUNCTION("""COMPUTED_VALUE"""),1.0)</f>
        <v>1</v>
      </c>
    </row>
    <row r="932">
      <c r="A932" s="10" t="str">
        <f>IFERROR(__xludf.DUMMYFUNCTION("""COMPUTED_VALUE"""),"stz")</f>
        <v>stz</v>
      </c>
      <c r="B932" s="10">
        <f>IFERROR(__xludf.DUMMYFUNCTION("""COMPUTED_VALUE"""),313.0)</f>
        <v>313</v>
      </c>
      <c r="C932" s="10">
        <f>IFERROR(__xludf.DUMMYFUNCTION("""COMPUTED_VALUE"""),3618.0)</f>
        <v>3618</v>
      </c>
      <c r="D932" s="5">
        <f>IFERROR(__xludf.DUMMYFUNCTION("""COMPUTED_VALUE"""),0.35763993948562783)</f>
        <v>0.3576399395</v>
      </c>
      <c r="E932" s="5">
        <f>IFERROR(__xludf.DUMMYFUNCTION("""COMPUTED_VALUE"""),0.1416036308623298)</f>
        <v>0.1416036309</v>
      </c>
      <c r="F932" s="5">
        <f>IFERROR(__xludf.DUMMYFUNCTION("""COMPUTED_VALUE"""),0.18789712556732224)</f>
        <v>0.1878971256</v>
      </c>
      <c r="G932" s="5">
        <f>IFERROR(__xludf.DUMMYFUNCTION("""COMPUTED_VALUE"""),0.16792738275340394)</f>
        <v>0.1679273828</v>
      </c>
      <c r="H932" s="5">
        <f>IFERROR(__xludf.DUMMYFUNCTION("""COMPUTED_VALUE"""),0.6119162640901772)</f>
        <v>0.6119162641</v>
      </c>
      <c r="I932" s="11">
        <f>IFERROR(__xludf.DUMMYFUNCTION("""COMPUTED_VALUE"""),5985.829307568438)</f>
        <v>5985.829308</v>
      </c>
      <c r="J932" s="10">
        <f>IFERROR(__xludf.DUMMYFUNCTION("""COMPUTED_VALUE"""),0.0)</f>
        <v>0</v>
      </c>
      <c r="K932" s="5">
        <f>IFERROR(__xludf.DUMMYFUNCTION("""COMPUTED_VALUE"""),0.0)</f>
        <v>0</v>
      </c>
      <c r="L932" s="10">
        <f>IFERROR(__xludf.DUMMYFUNCTION("""COMPUTED_VALUE"""),313.0)</f>
        <v>313</v>
      </c>
      <c r="M932" s="5">
        <f>IFERROR(__xludf.DUMMYFUNCTION("""COMPUTED_VALUE"""),1.0)</f>
        <v>1</v>
      </c>
    </row>
    <row r="933">
      <c r="A933" s="10" t="str">
        <f>IFERROR(__xludf.DUMMYFUNCTION("""COMPUTED_VALUE"""),"究極AI")</f>
        <v>究極AI</v>
      </c>
      <c r="B933" s="10">
        <f>IFERROR(__xludf.DUMMYFUNCTION("""COMPUTED_VALUE"""),940.0)</f>
        <v>940</v>
      </c>
      <c r="C933" s="10">
        <f>IFERROR(__xludf.DUMMYFUNCTION("""COMPUTED_VALUE"""),11032.0)</f>
        <v>11032</v>
      </c>
      <c r="D933" s="5">
        <f>IFERROR(__xludf.DUMMYFUNCTION("""COMPUTED_VALUE"""),0.35988902100673803)</f>
        <v>0.359889021</v>
      </c>
      <c r="E933" s="5">
        <f>IFERROR(__xludf.DUMMYFUNCTION("""COMPUTED_VALUE"""),0.14159730479587793)</f>
        <v>0.1415973048</v>
      </c>
      <c r="F933" s="5">
        <f>IFERROR(__xludf.DUMMYFUNCTION("""COMPUTED_VALUE"""),0.2316686484344035)</f>
        <v>0.2316686484</v>
      </c>
      <c r="G933" s="5">
        <f>IFERROR(__xludf.DUMMYFUNCTION("""COMPUTED_VALUE"""),0.1904478795085216)</f>
        <v>0.1904478795</v>
      </c>
      <c r="H933" s="5">
        <f>IFERROR(__xludf.DUMMYFUNCTION("""COMPUTED_VALUE"""),0.5898203592814372)</f>
        <v>0.5898203593</v>
      </c>
      <c r="I933" s="11">
        <f>IFERROR(__xludf.DUMMYFUNCTION("""COMPUTED_VALUE"""),5486.484174508127)</f>
        <v>5486.484175</v>
      </c>
      <c r="J933" s="10">
        <f>IFERROR(__xludf.DUMMYFUNCTION("""COMPUTED_VALUE"""),2.0)</f>
        <v>2</v>
      </c>
      <c r="K933" s="5">
        <f>IFERROR(__xludf.DUMMYFUNCTION("""COMPUTED_VALUE"""),0.002127659574468085)</f>
        <v>0.002127659574</v>
      </c>
      <c r="L933" s="10">
        <f>IFERROR(__xludf.DUMMYFUNCTION("""COMPUTED_VALUE"""),940.0)</f>
        <v>940</v>
      </c>
      <c r="M933" s="5">
        <f>IFERROR(__xludf.DUMMYFUNCTION("""COMPUTED_VALUE"""),1.0)</f>
        <v>1</v>
      </c>
    </row>
    <row r="934">
      <c r="A934" s="10" t="str">
        <f>IFERROR(__xludf.DUMMYFUNCTION("""COMPUTED_VALUE"""),"Sinsi")</f>
        <v>Sinsi</v>
      </c>
      <c r="B934" s="10">
        <f>IFERROR(__xludf.DUMMYFUNCTION("""COMPUTED_VALUE"""),282.0)</f>
        <v>282</v>
      </c>
      <c r="C934" s="10">
        <f>IFERROR(__xludf.DUMMYFUNCTION("""COMPUTED_VALUE"""),3298.0)</f>
        <v>3298</v>
      </c>
      <c r="D934" s="5">
        <f>IFERROR(__xludf.DUMMYFUNCTION("""COMPUTED_VALUE"""),0.3968832891246684)</f>
        <v>0.3968832891</v>
      </c>
      <c r="E934" s="5">
        <f>IFERROR(__xludf.DUMMYFUNCTION("""COMPUTED_VALUE"""),0.14157824933687002)</f>
        <v>0.1415782493</v>
      </c>
      <c r="F934" s="5">
        <f>IFERROR(__xludf.DUMMYFUNCTION("""COMPUTED_VALUE"""),0.20590185676392572)</f>
        <v>0.2059018568</v>
      </c>
      <c r="G934" s="5">
        <f>IFERROR(__xludf.DUMMYFUNCTION("""COMPUTED_VALUE"""),0.17075596816976127)</f>
        <v>0.1707559682</v>
      </c>
      <c r="H934" s="5">
        <f>IFERROR(__xludf.DUMMYFUNCTION("""COMPUTED_VALUE"""),0.5893719806763285)</f>
        <v>0.5893719807</v>
      </c>
      <c r="I934" s="11">
        <f>IFERROR(__xludf.DUMMYFUNCTION("""COMPUTED_VALUE"""),5635.104669887279)</f>
        <v>5635.10467</v>
      </c>
      <c r="J934" s="10">
        <f>IFERROR(__xludf.DUMMYFUNCTION("""COMPUTED_VALUE"""),0.0)</f>
        <v>0</v>
      </c>
      <c r="K934" s="5">
        <f>IFERROR(__xludf.DUMMYFUNCTION("""COMPUTED_VALUE"""),0.0)</f>
        <v>0</v>
      </c>
      <c r="L934" s="10">
        <f>IFERROR(__xludf.DUMMYFUNCTION("""COMPUTED_VALUE"""),0.0)</f>
        <v>0</v>
      </c>
      <c r="M934" s="5">
        <f>IFERROR(__xludf.DUMMYFUNCTION("""COMPUTED_VALUE"""),0.0)</f>
        <v>0</v>
      </c>
    </row>
    <row r="935">
      <c r="A935" s="10" t="str">
        <f>IFERROR(__xludf.DUMMYFUNCTION("""COMPUTED_VALUE"""),"りきざいる☆")</f>
        <v>りきざいる☆</v>
      </c>
      <c r="B935" s="10">
        <f>IFERROR(__xludf.DUMMYFUNCTION("""COMPUTED_VALUE"""),171.0)</f>
        <v>171</v>
      </c>
      <c r="C935" s="10">
        <f>IFERROR(__xludf.DUMMYFUNCTION("""COMPUTED_VALUE"""),1951.0)</f>
        <v>1951</v>
      </c>
      <c r="D935" s="5">
        <f>IFERROR(__xludf.DUMMYFUNCTION("""COMPUTED_VALUE"""),0.35898876404494384)</f>
        <v>0.358988764</v>
      </c>
      <c r="E935" s="5">
        <f>IFERROR(__xludf.DUMMYFUNCTION("""COMPUTED_VALUE"""),0.14157303370786517)</f>
        <v>0.1415730337</v>
      </c>
      <c r="F935" s="5">
        <f>IFERROR(__xludf.DUMMYFUNCTION("""COMPUTED_VALUE"""),0.21235955056179776)</f>
        <v>0.2123595506</v>
      </c>
      <c r="G935" s="5">
        <f>IFERROR(__xludf.DUMMYFUNCTION("""COMPUTED_VALUE"""),0.17359550561797754)</f>
        <v>0.1735955056</v>
      </c>
      <c r="H935" s="5">
        <f>IFERROR(__xludf.DUMMYFUNCTION("""COMPUTED_VALUE"""),0.5767195767195767)</f>
        <v>0.5767195767</v>
      </c>
      <c r="I935" s="11">
        <f>IFERROR(__xludf.DUMMYFUNCTION("""COMPUTED_VALUE"""),5255.555555555556)</f>
        <v>5255.555556</v>
      </c>
      <c r="J935" s="10">
        <f>IFERROR(__xludf.DUMMYFUNCTION("""COMPUTED_VALUE"""),1.0)</f>
        <v>1</v>
      </c>
      <c r="K935" s="5">
        <f>IFERROR(__xludf.DUMMYFUNCTION("""COMPUTED_VALUE"""),0.005847953216374269)</f>
        <v>0.005847953216</v>
      </c>
      <c r="L935" s="10">
        <f>IFERROR(__xludf.DUMMYFUNCTION("""COMPUTED_VALUE"""),74.0)</f>
        <v>74</v>
      </c>
      <c r="M935" s="5">
        <f>IFERROR(__xludf.DUMMYFUNCTION("""COMPUTED_VALUE"""),0.4327485380116959)</f>
        <v>0.432748538</v>
      </c>
    </row>
    <row r="936">
      <c r="A936" s="10" t="str">
        <f>IFERROR(__xludf.DUMMYFUNCTION("""COMPUTED_VALUE"""),"pero2")</f>
        <v>pero2</v>
      </c>
      <c r="B936" s="10">
        <f>IFERROR(__xludf.DUMMYFUNCTION("""COMPUTED_VALUE"""),318.0)</f>
        <v>318</v>
      </c>
      <c r="C936" s="10">
        <f>IFERROR(__xludf.DUMMYFUNCTION("""COMPUTED_VALUE"""),3765.0)</f>
        <v>3765</v>
      </c>
      <c r="D936" s="5">
        <f>IFERROR(__xludf.DUMMYFUNCTION("""COMPUTED_VALUE"""),0.37249782419495214)</f>
        <v>0.3724978242</v>
      </c>
      <c r="E936" s="5">
        <f>IFERROR(__xludf.DUMMYFUNCTION("""COMPUTED_VALUE"""),0.14157238178125905)</f>
        <v>0.1415723818</v>
      </c>
      <c r="F936" s="5">
        <f>IFERROR(__xludf.DUMMYFUNCTION("""COMPUTED_VALUE"""),0.2170002901073397)</f>
        <v>0.2170002901</v>
      </c>
      <c r="G936" s="5">
        <f>IFERROR(__xludf.DUMMYFUNCTION("""COMPUTED_VALUE"""),0.16565129097766174)</f>
        <v>0.165651291</v>
      </c>
      <c r="H936" s="5">
        <f>IFERROR(__xludf.DUMMYFUNCTION("""COMPUTED_VALUE"""),0.5855614973262032)</f>
        <v>0.5855614973</v>
      </c>
      <c r="I936" s="11">
        <f>IFERROR(__xludf.DUMMYFUNCTION("""COMPUTED_VALUE"""),5210.96256684492)</f>
        <v>5210.962567</v>
      </c>
      <c r="J936" s="10">
        <f>IFERROR(__xludf.DUMMYFUNCTION("""COMPUTED_VALUE"""),0.0)</f>
        <v>0</v>
      </c>
      <c r="K936" s="5">
        <f>IFERROR(__xludf.DUMMYFUNCTION("""COMPUTED_VALUE"""),0.0)</f>
        <v>0</v>
      </c>
      <c r="L936" s="10">
        <f>IFERROR(__xludf.DUMMYFUNCTION("""COMPUTED_VALUE"""),318.0)</f>
        <v>318</v>
      </c>
      <c r="M936" s="5">
        <f>IFERROR(__xludf.DUMMYFUNCTION("""COMPUTED_VALUE"""),1.0)</f>
        <v>1</v>
      </c>
    </row>
    <row r="937">
      <c r="A937" s="10" t="str">
        <f>IFERROR(__xludf.DUMMYFUNCTION("""COMPUTED_VALUE"""),"-煉獄-")</f>
        <v>-煉獄-</v>
      </c>
      <c r="B937" s="10">
        <f>IFERROR(__xludf.DUMMYFUNCTION("""COMPUTED_VALUE"""),278.0)</f>
        <v>278</v>
      </c>
      <c r="C937" s="10">
        <f>IFERROR(__xludf.DUMMYFUNCTION("""COMPUTED_VALUE"""),3210.0)</f>
        <v>3210</v>
      </c>
      <c r="D937" s="5">
        <f>IFERROR(__xludf.DUMMYFUNCTION("""COMPUTED_VALUE"""),0.31105047748976805)</f>
        <v>0.3110504775</v>
      </c>
      <c r="E937" s="5">
        <f>IFERROR(__xludf.DUMMYFUNCTION("""COMPUTED_VALUE"""),0.14154160982264666)</f>
        <v>0.1415416098</v>
      </c>
      <c r="F937" s="5">
        <f>IFERROR(__xludf.DUMMYFUNCTION("""COMPUTED_VALUE"""),0.20839017735334242)</f>
        <v>0.2083901774</v>
      </c>
      <c r="G937" s="5">
        <f>IFERROR(__xludf.DUMMYFUNCTION("""COMPUTED_VALUE"""),0.20156889495225103)</f>
        <v>0.201568895</v>
      </c>
      <c r="H937" s="5">
        <f>IFERROR(__xludf.DUMMYFUNCTION("""COMPUTED_VALUE"""),0.6088379705400983)</f>
        <v>0.6088379705</v>
      </c>
      <c r="I937" s="11">
        <f>IFERROR(__xludf.DUMMYFUNCTION("""COMPUTED_VALUE"""),5845.990180032733)</f>
        <v>5845.99018</v>
      </c>
      <c r="J937" s="10">
        <f>IFERROR(__xludf.DUMMYFUNCTION("""COMPUTED_VALUE"""),1.0)</f>
        <v>1</v>
      </c>
      <c r="K937" s="5">
        <f>IFERROR(__xludf.DUMMYFUNCTION("""COMPUTED_VALUE"""),0.0035971223021582736)</f>
        <v>0.003597122302</v>
      </c>
      <c r="L937" s="10">
        <f>IFERROR(__xludf.DUMMYFUNCTION("""COMPUTED_VALUE"""),278.0)</f>
        <v>278</v>
      </c>
      <c r="M937" s="5">
        <f>IFERROR(__xludf.DUMMYFUNCTION("""COMPUTED_VALUE"""),1.0)</f>
        <v>1</v>
      </c>
    </row>
    <row r="938">
      <c r="A938" s="10" t="str">
        <f>IFERROR(__xludf.DUMMYFUNCTION("""COMPUTED_VALUE"""),"ぷらちにゃ")</f>
        <v>ぷらちにゃ</v>
      </c>
      <c r="B938" s="10">
        <f>IFERROR(__xludf.DUMMYFUNCTION("""COMPUTED_VALUE"""),163.0)</f>
        <v>163</v>
      </c>
      <c r="C938" s="10">
        <f>IFERROR(__xludf.DUMMYFUNCTION("""COMPUTED_VALUE"""),1958.0)</f>
        <v>1958</v>
      </c>
      <c r="D938" s="5">
        <f>IFERROR(__xludf.DUMMYFUNCTION("""COMPUTED_VALUE"""),0.2908077994428969)</f>
        <v>0.2908077994</v>
      </c>
      <c r="E938" s="5">
        <f>IFERROR(__xludf.DUMMYFUNCTION("""COMPUTED_VALUE"""),0.1415041782729805)</f>
        <v>0.1415041783</v>
      </c>
      <c r="F938" s="5">
        <f>IFERROR(__xludf.DUMMYFUNCTION("""COMPUTED_VALUE"""),0.21002785515320335)</f>
        <v>0.2100278552</v>
      </c>
      <c r="G938" s="5">
        <f>IFERROR(__xludf.DUMMYFUNCTION("""COMPUTED_VALUE"""),0.16434540389972144)</f>
        <v>0.1643454039</v>
      </c>
      <c r="H938" s="5">
        <f>IFERROR(__xludf.DUMMYFUNCTION("""COMPUTED_VALUE"""),0.5702917771883289)</f>
        <v>0.5702917772</v>
      </c>
      <c r="I938" s="11">
        <f>IFERROR(__xludf.DUMMYFUNCTION("""COMPUTED_VALUE"""),5158.885941644562)</f>
        <v>5158.885942</v>
      </c>
      <c r="J938" s="10">
        <f>IFERROR(__xludf.DUMMYFUNCTION("""COMPUTED_VALUE"""),0.0)</f>
        <v>0</v>
      </c>
      <c r="K938" s="5">
        <f>IFERROR(__xludf.DUMMYFUNCTION("""COMPUTED_VALUE"""),0.0)</f>
        <v>0</v>
      </c>
      <c r="L938" s="10">
        <f>IFERROR(__xludf.DUMMYFUNCTION("""COMPUTED_VALUE"""),0.0)</f>
        <v>0</v>
      </c>
      <c r="M938" s="5">
        <f>IFERROR(__xludf.DUMMYFUNCTION("""COMPUTED_VALUE"""),0.0)</f>
        <v>0</v>
      </c>
    </row>
    <row r="939">
      <c r="A939" s="10" t="str">
        <f>IFERROR(__xludf.DUMMYFUNCTION("""COMPUTED_VALUE"""),"森田さん")</f>
        <v>森田さん</v>
      </c>
      <c r="B939" s="10">
        <f>IFERROR(__xludf.DUMMYFUNCTION("""COMPUTED_VALUE"""),321.0)</f>
        <v>321</v>
      </c>
      <c r="C939" s="10">
        <f>IFERROR(__xludf.DUMMYFUNCTION("""COMPUTED_VALUE"""),3805.0)</f>
        <v>3805</v>
      </c>
      <c r="D939" s="5">
        <f>IFERROR(__xludf.DUMMYFUNCTION("""COMPUTED_VALUE"""),0.3831802525832377)</f>
        <v>0.3831802526</v>
      </c>
      <c r="E939" s="5">
        <f>IFERROR(__xludf.DUMMYFUNCTION("""COMPUTED_VALUE"""),0.14150401836969)</f>
        <v>0.1415040184</v>
      </c>
      <c r="F939" s="5">
        <f>IFERROR(__xludf.DUMMYFUNCTION("""COMPUTED_VALUE"""),0.23507462686567165)</f>
        <v>0.2350746269</v>
      </c>
      <c r="G939" s="5">
        <f>IFERROR(__xludf.DUMMYFUNCTION("""COMPUTED_VALUE"""),0.17738231917336394)</f>
        <v>0.1773823192</v>
      </c>
      <c r="H939" s="5">
        <f>IFERROR(__xludf.DUMMYFUNCTION("""COMPUTED_VALUE"""),0.6056166056166056)</f>
        <v>0.6056166056</v>
      </c>
      <c r="I939" s="11">
        <f>IFERROR(__xludf.DUMMYFUNCTION("""COMPUTED_VALUE"""),5163.125763125763)</f>
        <v>5163.125763</v>
      </c>
      <c r="J939" s="10">
        <f>IFERROR(__xludf.DUMMYFUNCTION("""COMPUTED_VALUE"""),0.0)</f>
        <v>0</v>
      </c>
      <c r="K939" s="5">
        <f>IFERROR(__xludf.DUMMYFUNCTION("""COMPUTED_VALUE"""),0.0)</f>
        <v>0</v>
      </c>
      <c r="L939" s="10">
        <f>IFERROR(__xludf.DUMMYFUNCTION("""COMPUTED_VALUE"""),321.0)</f>
        <v>321</v>
      </c>
      <c r="M939" s="5">
        <f>IFERROR(__xludf.DUMMYFUNCTION("""COMPUTED_VALUE"""),1.0)</f>
        <v>1</v>
      </c>
    </row>
    <row r="940">
      <c r="A940" s="10" t="str">
        <f>IFERROR(__xludf.DUMMYFUNCTION("""COMPUTED_VALUE"""),"-mimi-")</f>
        <v>-mimi-</v>
      </c>
      <c r="B940" s="10">
        <f>IFERROR(__xludf.DUMMYFUNCTION("""COMPUTED_VALUE"""),302.0)</f>
        <v>302</v>
      </c>
      <c r="C940" s="10">
        <f>IFERROR(__xludf.DUMMYFUNCTION("""COMPUTED_VALUE"""),3574.0)</f>
        <v>3574</v>
      </c>
      <c r="D940" s="5">
        <f>IFERROR(__xludf.DUMMYFUNCTION("""COMPUTED_VALUE"""),0.29248166259168706)</f>
        <v>0.2924816626</v>
      </c>
      <c r="E940" s="5">
        <f>IFERROR(__xludf.DUMMYFUNCTION("""COMPUTED_VALUE"""),0.1415036674816626)</f>
        <v>0.1415036675</v>
      </c>
      <c r="F940" s="5">
        <f>IFERROR(__xludf.DUMMYFUNCTION("""COMPUTED_VALUE"""),0.19682151589242053)</f>
        <v>0.1968215159</v>
      </c>
      <c r="G940" s="5">
        <f>IFERROR(__xludf.DUMMYFUNCTION("""COMPUTED_VALUE"""),0.1754278728606357)</f>
        <v>0.1754278729</v>
      </c>
      <c r="H940" s="5">
        <f>IFERROR(__xludf.DUMMYFUNCTION("""COMPUTED_VALUE"""),0.5993788819875776)</f>
        <v>0.599378882</v>
      </c>
      <c r="I940" s="11">
        <f>IFERROR(__xludf.DUMMYFUNCTION("""COMPUTED_VALUE"""),6366.304347826087)</f>
        <v>6366.304348</v>
      </c>
      <c r="J940" s="10">
        <f>IFERROR(__xludf.DUMMYFUNCTION("""COMPUTED_VALUE"""),1.0)</f>
        <v>1</v>
      </c>
      <c r="K940" s="5">
        <f>IFERROR(__xludf.DUMMYFUNCTION("""COMPUTED_VALUE"""),0.0033112582781456954)</f>
        <v>0.003311258278</v>
      </c>
      <c r="L940" s="10">
        <f>IFERROR(__xludf.DUMMYFUNCTION("""COMPUTED_VALUE"""),302.0)</f>
        <v>302</v>
      </c>
      <c r="M940" s="5">
        <f>IFERROR(__xludf.DUMMYFUNCTION("""COMPUTED_VALUE"""),1.0)</f>
        <v>1</v>
      </c>
    </row>
    <row r="941">
      <c r="A941" s="10" t="str">
        <f>IFERROR(__xludf.DUMMYFUNCTION("""COMPUTED_VALUE"""),"飛びシャチ")</f>
        <v>飛びシャチ</v>
      </c>
      <c r="B941" s="10">
        <f>IFERROR(__xludf.DUMMYFUNCTION("""COMPUTED_VALUE"""),1887.0)</f>
        <v>1887</v>
      </c>
      <c r="C941" s="10">
        <f>IFERROR(__xludf.DUMMYFUNCTION("""COMPUTED_VALUE"""),22004.0)</f>
        <v>22004</v>
      </c>
      <c r="D941" s="5">
        <f>IFERROR(__xludf.DUMMYFUNCTION("""COMPUTED_VALUE"""),0.3802753889744992)</f>
        <v>0.380275389</v>
      </c>
      <c r="E941" s="5">
        <f>IFERROR(__xludf.DUMMYFUNCTION("""COMPUTED_VALUE"""),0.14147238653874833)</f>
        <v>0.1414723865</v>
      </c>
      <c r="F941" s="5">
        <f>IFERROR(__xludf.DUMMYFUNCTION("""COMPUTED_VALUE"""),0.21499229507381817)</f>
        <v>0.2149922951</v>
      </c>
      <c r="G941" s="5">
        <f>IFERROR(__xludf.DUMMYFUNCTION("""COMPUTED_VALUE"""),0.15315404881443556)</f>
        <v>0.1531540488</v>
      </c>
      <c r="H941" s="5">
        <f>IFERROR(__xludf.DUMMYFUNCTION("""COMPUTED_VALUE"""),0.6073988439306358)</f>
        <v>0.6073988439</v>
      </c>
      <c r="I941" s="11">
        <f>IFERROR(__xludf.DUMMYFUNCTION("""COMPUTED_VALUE"""),5419.398843930636)</f>
        <v>5419.398844</v>
      </c>
      <c r="J941" s="10">
        <f>IFERROR(__xludf.DUMMYFUNCTION("""COMPUTED_VALUE"""),3.0)</f>
        <v>3</v>
      </c>
      <c r="K941" s="5">
        <f>IFERROR(__xludf.DUMMYFUNCTION("""COMPUTED_VALUE"""),0.001589825119236884)</f>
        <v>0.001589825119</v>
      </c>
      <c r="L941" s="10">
        <f>IFERROR(__xludf.DUMMYFUNCTION("""COMPUTED_VALUE"""),98.0)</f>
        <v>98</v>
      </c>
      <c r="M941" s="5">
        <f>IFERROR(__xludf.DUMMYFUNCTION("""COMPUTED_VALUE"""),0.051934287228404874)</f>
        <v>0.05193428723</v>
      </c>
    </row>
    <row r="942">
      <c r="A942" s="10" t="str">
        <f>IFERROR(__xludf.DUMMYFUNCTION("""COMPUTED_VALUE"""),"カボチャタネ")</f>
        <v>カボチャタネ</v>
      </c>
      <c r="B942" s="10">
        <f>IFERROR(__xludf.DUMMYFUNCTION("""COMPUTED_VALUE"""),4295.0)</f>
        <v>4295</v>
      </c>
      <c r="C942" s="10">
        <f>IFERROR(__xludf.DUMMYFUNCTION("""COMPUTED_VALUE"""),50398.0)</f>
        <v>50398</v>
      </c>
      <c r="D942" s="5">
        <f>IFERROR(__xludf.DUMMYFUNCTION("""COMPUTED_VALUE"""),0.38153699325423507)</f>
        <v>0.3815369933</v>
      </c>
      <c r="E942" s="5">
        <f>IFERROR(__xludf.DUMMYFUNCTION("""COMPUTED_VALUE"""),0.14146584820944408)</f>
        <v>0.1414658482</v>
      </c>
      <c r="F942" s="5">
        <f>IFERROR(__xludf.DUMMYFUNCTION("""COMPUTED_VALUE"""),0.21822874867145306)</f>
        <v>0.2182287487</v>
      </c>
      <c r="G942" s="5">
        <f>IFERROR(__xludf.DUMMYFUNCTION("""COMPUTED_VALUE"""),0.1824393206515845)</f>
        <v>0.1824393207</v>
      </c>
      <c r="H942" s="5">
        <f>IFERROR(__xludf.DUMMYFUNCTION("""COMPUTED_VALUE"""),0.5841367657290528)</f>
        <v>0.5841367657</v>
      </c>
      <c r="I942" s="11">
        <f>IFERROR(__xludf.DUMMYFUNCTION("""COMPUTED_VALUE"""),5710.973064307723)</f>
        <v>5710.973064</v>
      </c>
      <c r="J942" s="10">
        <f>IFERROR(__xludf.DUMMYFUNCTION("""COMPUTED_VALUE"""),6.0)</f>
        <v>6</v>
      </c>
      <c r="K942" s="5">
        <f>IFERROR(__xludf.DUMMYFUNCTION("""COMPUTED_VALUE"""),0.0013969732246798604)</f>
        <v>0.001396973225</v>
      </c>
      <c r="L942" s="10">
        <f>IFERROR(__xludf.DUMMYFUNCTION("""COMPUTED_VALUE"""),4028.0)</f>
        <v>4028</v>
      </c>
      <c r="M942" s="5">
        <f>IFERROR(__xludf.DUMMYFUNCTION("""COMPUTED_VALUE"""),0.9378346915017463)</f>
        <v>0.9378346915</v>
      </c>
    </row>
    <row r="943">
      <c r="A943" s="10" t="str">
        <f>IFERROR(__xludf.DUMMYFUNCTION("""COMPUTED_VALUE"""),"ツクヨミ0316")</f>
        <v>ツクヨミ0316</v>
      </c>
      <c r="B943" s="10">
        <f>IFERROR(__xludf.DUMMYFUNCTION("""COMPUTED_VALUE"""),176.0)</f>
        <v>176</v>
      </c>
      <c r="C943" s="10">
        <f>IFERROR(__xludf.DUMMYFUNCTION("""COMPUTED_VALUE"""),2014.0)</f>
        <v>2014</v>
      </c>
      <c r="D943" s="5">
        <f>IFERROR(__xludf.DUMMYFUNCTION("""COMPUTED_VALUE"""),0.36126224156692055)</f>
        <v>0.3612622416</v>
      </c>
      <c r="E943" s="5">
        <f>IFERROR(__xludf.DUMMYFUNCTION("""COMPUTED_VALUE"""),0.14145810663764963)</f>
        <v>0.1414581066</v>
      </c>
      <c r="F943" s="5">
        <f>IFERROR(__xludf.DUMMYFUNCTION("""COMPUTED_VALUE"""),0.19640914036996734)</f>
        <v>0.1964091404</v>
      </c>
      <c r="G943" s="5">
        <f>IFERROR(__xludf.DUMMYFUNCTION("""COMPUTED_VALUE"""),0.15397170837867247)</f>
        <v>0.1539717084</v>
      </c>
      <c r="H943" s="5">
        <f>IFERROR(__xludf.DUMMYFUNCTION("""COMPUTED_VALUE"""),0.6094182825484764)</f>
        <v>0.6094182825</v>
      </c>
      <c r="I943" s="11">
        <f>IFERROR(__xludf.DUMMYFUNCTION("""COMPUTED_VALUE"""),5819.94459833795)</f>
        <v>5819.944598</v>
      </c>
      <c r="J943" s="10">
        <f>IFERROR(__xludf.DUMMYFUNCTION("""COMPUTED_VALUE"""),2.0)</f>
        <v>2</v>
      </c>
      <c r="K943" s="5">
        <f>IFERROR(__xludf.DUMMYFUNCTION("""COMPUTED_VALUE"""),0.011363636363636364)</f>
        <v>0.01136363636</v>
      </c>
      <c r="L943" s="10">
        <f>IFERROR(__xludf.DUMMYFUNCTION("""COMPUTED_VALUE"""),176.0)</f>
        <v>176</v>
      </c>
      <c r="M943" s="5">
        <f>IFERROR(__xludf.DUMMYFUNCTION("""COMPUTED_VALUE"""),1.0)</f>
        <v>1</v>
      </c>
    </row>
    <row r="944">
      <c r="A944" s="10" t="str">
        <f>IFERROR(__xludf.DUMMYFUNCTION("""COMPUTED_VALUE"""),"チーさせろ！")</f>
        <v>チーさせろ！</v>
      </c>
      <c r="B944" s="10">
        <f>IFERROR(__xludf.DUMMYFUNCTION("""COMPUTED_VALUE"""),192.0)</f>
        <v>192</v>
      </c>
      <c r="C944" s="10">
        <f>IFERROR(__xludf.DUMMYFUNCTION("""COMPUTED_VALUE"""),2200.0)</f>
        <v>2200</v>
      </c>
      <c r="D944" s="5">
        <f>IFERROR(__xludf.DUMMYFUNCTION("""COMPUTED_VALUE"""),0.34910358565737054)</f>
        <v>0.3491035857</v>
      </c>
      <c r="E944" s="5">
        <f>IFERROR(__xludf.DUMMYFUNCTION("""COMPUTED_VALUE"""),0.14143426294820718)</f>
        <v>0.1414342629</v>
      </c>
      <c r="F944" s="5">
        <f>IFERROR(__xludf.DUMMYFUNCTION("""COMPUTED_VALUE"""),0.19870517928286852)</f>
        <v>0.1987051793</v>
      </c>
      <c r="G944" s="5">
        <f>IFERROR(__xludf.DUMMYFUNCTION("""COMPUTED_VALUE"""),0.150398406374502)</f>
        <v>0.1503984064</v>
      </c>
      <c r="H944" s="5">
        <f>IFERROR(__xludf.DUMMYFUNCTION("""COMPUTED_VALUE"""),0.5839598997493735)</f>
        <v>0.5839598997</v>
      </c>
      <c r="I944" s="11">
        <f>IFERROR(__xludf.DUMMYFUNCTION("""COMPUTED_VALUE"""),5656.641604010025)</f>
        <v>5656.641604</v>
      </c>
      <c r="J944" s="10">
        <f>IFERROR(__xludf.DUMMYFUNCTION("""COMPUTED_VALUE"""),1.0)</f>
        <v>1</v>
      </c>
      <c r="K944" s="5">
        <f>IFERROR(__xludf.DUMMYFUNCTION("""COMPUTED_VALUE"""),0.005208333333333333)</f>
        <v>0.005208333333</v>
      </c>
      <c r="L944" s="10">
        <f>IFERROR(__xludf.DUMMYFUNCTION("""COMPUTED_VALUE"""),192.0)</f>
        <v>192</v>
      </c>
      <c r="M944" s="5">
        <f>IFERROR(__xludf.DUMMYFUNCTION("""COMPUTED_VALUE"""),1.0)</f>
        <v>1</v>
      </c>
    </row>
    <row r="945">
      <c r="A945" s="10" t="str">
        <f>IFERROR(__xludf.DUMMYFUNCTION("""COMPUTED_VALUE"""),"白暗淵")</f>
        <v>白暗淵</v>
      </c>
      <c r="B945" s="10">
        <f>IFERROR(__xludf.DUMMYFUNCTION("""COMPUTED_VALUE"""),190.0)</f>
        <v>190</v>
      </c>
      <c r="C945" s="10">
        <f>IFERROR(__xludf.DUMMYFUNCTION("""COMPUTED_VALUE"""),2177.0)</f>
        <v>2177</v>
      </c>
      <c r="D945" s="5">
        <f>IFERROR(__xludf.DUMMYFUNCTION("""COMPUTED_VALUE"""),0.3638651233014595)</f>
        <v>0.3638651233</v>
      </c>
      <c r="E945" s="5">
        <f>IFERROR(__xludf.DUMMYFUNCTION("""COMPUTED_VALUE"""),0.14141922496225465)</f>
        <v>0.141419225</v>
      </c>
      <c r="F945" s="5">
        <f>IFERROR(__xludf.DUMMYFUNCTION("""COMPUTED_VALUE"""),0.21841972823351788)</f>
        <v>0.2184197282</v>
      </c>
      <c r="G945" s="5">
        <f>IFERROR(__xludf.DUMMYFUNCTION("""COMPUTED_VALUE"""),0.1831907398087569)</f>
        <v>0.1831907398</v>
      </c>
      <c r="H945" s="5">
        <f>IFERROR(__xludf.DUMMYFUNCTION("""COMPUTED_VALUE"""),0.6267281105990783)</f>
        <v>0.6267281106</v>
      </c>
      <c r="I945" s="11">
        <f>IFERROR(__xludf.DUMMYFUNCTION("""COMPUTED_VALUE"""),5768.894009216589)</f>
        <v>5768.894009</v>
      </c>
      <c r="J945" s="10">
        <f>IFERROR(__xludf.DUMMYFUNCTION("""COMPUTED_VALUE"""),0.0)</f>
        <v>0</v>
      </c>
      <c r="K945" s="5">
        <f>IFERROR(__xludf.DUMMYFUNCTION("""COMPUTED_VALUE"""),0.0)</f>
        <v>0</v>
      </c>
      <c r="L945" s="10">
        <f>IFERROR(__xludf.DUMMYFUNCTION("""COMPUTED_VALUE"""),190.0)</f>
        <v>190</v>
      </c>
      <c r="M945" s="5">
        <f>IFERROR(__xludf.DUMMYFUNCTION("""COMPUTED_VALUE"""),1.0)</f>
        <v>1</v>
      </c>
    </row>
    <row r="946">
      <c r="A946" s="10" t="str">
        <f>IFERROR(__xludf.DUMMYFUNCTION("""COMPUTED_VALUE"""),"在下頭很硬")</f>
        <v>在下頭很硬</v>
      </c>
      <c r="B946" s="10">
        <f>IFERROR(__xludf.DUMMYFUNCTION("""COMPUTED_VALUE"""),356.0)</f>
        <v>356</v>
      </c>
      <c r="C946" s="10">
        <f>IFERROR(__xludf.DUMMYFUNCTION("""COMPUTED_VALUE"""),4182.0)</f>
        <v>4182</v>
      </c>
      <c r="D946" s="5">
        <f>IFERROR(__xludf.DUMMYFUNCTION("""COMPUTED_VALUE"""),0.35912179822268686)</f>
        <v>0.3591217982</v>
      </c>
      <c r="E946" s="5">
        <f>IFERROR(__xludf.DUMMYFUNCTION("""COMPUTED_VALUE"""),0.1414009409304757)</f>
        <v>0.1414009409</v>
      </c>
      <c r="F946" s="5">
        <f>IFERROR(__xludf.DUMMYFUNCTION("""COMPUTED_VALUE"""),0.20360690015682176)</f>
        <v>0.2036069002</v>
      </c>
      <c r="G946" s="5">
        <f>IFERROR(__xludf.DUMMYFUNCTION("""COMPUTED_VALUE"""),0.1706743335075797)</f>
        <v>0.1706743335</v>
      </c>
      <c r="H946" s="5">
        <f>IFERROR(__xludf.DUMMYFUNCTION("""COMPUTED_VALUE"""),0.6020539152759948)</f>
        <v>0.6020539153</v>
      </c>
      <c r="I946" s="11">
        <f>IFERROR(__xludf.DUMMYFUNCTION("""COMPUTED_VALUE"""),5509.499358151476)</f>
        <v>5509.499358</v>
      </c>
      <c r="J946" s="10">
        <f>IFERROR(__xludf.DUMMYFUNCTION("""COMPUTED_VALUE"""),0.0)</f>
        <v>0</v>
      </c>
      <c r="K946" s="5">
        <f>IFERROR(__xludf.DUMMYFUNCTION("""COMPUTED_VALUE"""),0.0)</f>
        <v>0</v>
      </c>
      <c r="L946" s="10">
        <f>IFERROR(__xludf.DUMMYFUNCTION("""COMPUTED_VALUE"""),356.0)</f>
        <v>356</v>
      </c>
      <c r="M946" s="5">
        <f>IFERROR(__xludf.DUMMYFUNCTION("""COMPUTED_VALUE"""),1.0)</f>
        <v>1</v>
      </c>
    </row>
    <row r="947">
      <c r="A947" s="10" t="str">
        <f>IFERROR(__xludf.DUMMYFUNCTION("""COMPUTED_VALUE"""),"ちゃんなお")</f>
        <v>ちゃんなお</v>
      </c>
      <c r="B947" s="10">
        <f>IFERROR(__xludf.DUMMYFUNCTION("""COMPUTED_VALUE"""),155.0)</f>
        <v>155</v>
      </c>
      <c r="C947" s="10">
        <f>IFERROR(__xludf.DUMMYFUNCTION("""COMPUTED_VALUE"""),1810.0)</f>
        <v>1810</v>
      </c>
      <c r="D947" s="5">
        <f>IFERROR(__xludf.DUMMYFUNCTION("""COMPUTED_VALUE"""),0.397583081570997)</f>
        <v>0.3975830816</v>
      </c>
      <c r="E947" s="5">
        <f>IFERROR(__xludf.DUMMYFUNCTION("""COMPUTED_VALUE"""),0.14138972809667674)</f>
        <v>0.1413897281</v>
      </c>
      <c r="F947" s="5">
        <f>IFERROR(__xludf.DUMMYFUNCTION("""COMPUTED_VALUE"""),0.2175226586102719)</f>
        <v>0.2175226586</v>
      </c>
      <c r="G947" s="5">
        <f>IFERROR(__xludf.DUMMYFUNCTION("""COMPUTED_VALUE"""),0.19154078549848944)</f>
        <v>0.1915407855</v>
      </c>
      <c r="H947" s="5">
        <f>IFERROR(__xludf.DUMMYFUNCTION("""COMPUTED_VALUE"""),0.6027777777777777)</f>
        <v>0.6027777778</v>
      </c>
      <c r="I947" s="11">
        <f>IFERROR(__xludf.DUMMYFUNCTION("""COMPUTED_VALUE"""),5618.055555555556)</f>
        <v>5618.055556</v>
      </c>
      <c r="J947" s="10">
        <f>IFERROR(__xludf.DUMMYFUNCTION("""COMPUTED_VALUE"""),0.0)</f>
        <v>0</v>
      </c>
      <c r="K947" s="5">
        <f>IFERROR(__xludf.DUMMYFUNCTION("""COMPUTED_VALUE"""),0.0)</f>
        <v>0</v>
      </c>
      <c r="L947" s="10">
        <f>IFERROR(__xludf.DUMMYFUNCTION("""COMPUTED_VALUE"""),155.0)</f>
        <v>155</v>
      </c>
      <c r="M947" s="5">
        <f>IFERROR(__xludf.DUMMYFUNCTION("""COMPUTED_VALUE"""),1.0)</f>
        <v>1</v>
      </c>
    </row>
    <row r="948">
      <c r="A948" s="10" t="str">
        <f>IFERROR(__xludf.DUMMYFUNCTION("""COMPUTED_VALUE"""),"なんくるないさ")</f>
        <v>なんくるないさ</v>
      </c>
      <c r="B948" s="10">
        <f>IFERROR(__xludf.DUMMYFUNCTION("""COMPUTED_VALUE"""),306.0)</f>
        <v>306</v>
      </c>
      <c r="C948" s="10">
        <f>IFERROR(__xludf.DUMMYFUNCTION("""COMPUTED_VALUE"""),3553.0)</f>
        <v>3553</v>
      </c>
      <c r="D948" s="5">
        <f>IFERROR(__xludf.DUMMYFUNCTION("""COMPUTED_VALUE"""),0.3532491530643671)</f>
        <v>0.3532491531</v>
      </c>
      <c r="E948" s="5">
        <f>IFERROR(__xludf.DUMMYFUNCTION("""COMPUTED_VALUE"""),0.14136125654450263)</f>
        <v>0.1413612565</v>
      </c>
      <c r="F948" s="5">
        <f>IFERROR(__xludf.DUMMYFUNCTION("""COMPUTED_VALUE"""),0.2029565753002772)</f>
        <v>0.2029565753</v>
      </c>
      <c r="G948" s="5">
        <f>IFERROR(__xludf.DUMMYFUNCTION("""COMPUTED_VALUE"""),0.18047428395441947)</f>
        <v>0.180474284</v>
      </c>
      <c r="H948" s="5">
        <f>IFERROR(__xludf.DUMMYFUNCTION("""COMPUTED_VALUE"""),0.5811836115326252)</f>
        <v>0.5811836115</v>
      </c>
      <c r="I948" s="11">
        <f>IFERROR(__xludf.DUMMYFUNCTION("""COMPUTED_VALUE"""),6166.312594840668)</f>
        <v>6166.312595</v>
      </c>
      <c r="J948" s="10">
        <f>IFERROR(__xludf.DUMMYFUNCTION("""COMPUTED_VALUE"""),0.0)</f>
        <v>0</v>
      </c>
      <c r="K948" s="5">
        <f>IFERROR(__xludf.DUMMYFUNCTION("""COMPUTED_VALUE"""),0.0)</f>
        <v>0</v>
      </c>
      <c r="L948" s="10">
        <f>IFERROR(__xludf.DUMMYFUNCTION("""COMPUTED_VALUE"""),0.0)</f>
        <v>0</v>
      </c>
      <c r="M948" s="5">
        <f>IFERROR(__xludf.DUMMYFUNCTION("""COMPUTED_VALUE"""),0.0)</f>
        <v>0</v>
      </c>
    </row>
    <row r="949">
      <c r="A949" s="10" t="str">
        <f>IFERROR(__xludf.DUMMYFUNCTION("""COMPUTED_VALUE"""),"馬車馬2nd")</f>
        <v>馬車馬2nd</v>
      </c>
      <c r="B949" s="10">
        <f>IFERROR(__xludf.DUMMYFUNCTION("""COMPUTED_VALUE"""),861.0)</f>
        <v>861</v>
      </c>
      <c r="C949" s="10">
        <f>IFERROR(__xludf.DUMMYFUNCTION("""COMPUTED_VALUE"""),10165.0)</f>
        <v>10165</v>
      </c>
      <c r="D949" s="5">
        <f>IFERROR(__xludf.DUMMYFUNCTION("""COMPUTED_VALUE"""),0.38198624247635427)</f>
        <v>0.3819862425</v>
      </c>
      <c r="E949" s="5">
        <f>IFERROR(__xludf.DUMMYFUNCTION("""COMPUTED_VALUE"""),0.14133705932932072)</f>
        <v>0.1413370593</v>
      </c>
      <c r="F949" s="5">
        <f>IFERROR(__xludf.DUMMYFUNCTION("""COMPUTED_VALUE"""),0.2254944110060189)</f>
        <v>0.225494411</v>
      </c>
      <c r="G949" s="5">
        <f>IFERROR(__xludf.DUMMYFUNCTION("""COMPUTED_VALUE"""),0.18013757523645743)</f>
        <v>0.1801375752</v>
      </c>
      <c r="H949" s="5">
        <f>IFERROR(__xludf.DUMMYFUNCTION("""COMPUTED_VALUE"""),0.59628217349857)</f>
        <v>0.5962821735</v>
      </c>
      <c r="I949" s="11">
        <f>IFERROR(__xludf.DUMMYFUNCTION("""COMPUTED_VALUE"""),5675.786463298379)</f>
        <v>5675.786463</v>
      </c>
      <c r="J949" s="10">
        <f>IFERROR(__xludf.DUMMYFUNCTION("""COMPUTED_VALUE"""),2.0)</f>
        <v>2</v>
      </c>
      <c r="K949" s="5">
        <f>IFERROR(__xludf.DUMMYFUNCTION("""COMPUTED_VALUE"""),0.0023228803716608595)</f>
        <v>0.002322880372</v>
      </c>
      <c r="L949" s="10">
        <f>IFERROR(__xludf.DUMMYFUNCTION("""COMPUTED_VALUE"""),861.0)</f>
        <v>861</v>
      </c>
      <c r="M949" s="5">
        <f>IFERROR(__xludf.DUMMYFUNCTION("""COMPUTED_VALUE"""),1.0)</f>
        <v>1</v>
      </c>
    </row>
    <row r="950">
      <c r="A950" s="10" t="str">
        <f>IFERROR(__xludf.DUMMYFUNCTION("""COMPUTED_VALUE"""),"衛藤美彩")</f>
        <v>衛藤美彩</v>
      </c>
      <c r="B950" s="10">
        <f>IFERROR(__xludf.DUMMYFUNCTION("""COMPUTED_VALUE"""),4337.0)</f>
        <v>4337</v>
      </c>
      <c r="C950" s="10">
        <f>IFERROR(__xludf.DUMMYFUNCTION("""COMPUTED_VALUE"""),50355.0)</f>
        <v>50355</v>
      </c>
      <c r="D950" s="5">
        <f>IFERROR(__xludf.DUMMYFUNCTION("""COMPUTED_VALUE"""),0.3429310269894389)</f>
        <v>0.342931027</v>
      </c>
      <c r="E950" s="5">
        <f>IFERROR(__xludf.DUMMYFUNCTION("""COMPUTED_VALUE"""),0.1413359989569299)</f>
        <v>0.141335999</v>
      </c>
      <c r="F950" s="5">
        <f>IFERROR(__xludf.DUMMYFUNCTION("""COMPUTED_VALUE"""),0.2180668434091008)</f>
        <v>0.2180668434</v>
      </c>
      <c r="G950" s="5">
        <f>IFERROR(__xludf.DUMMYFUNCTION("""COMPUTED_VALUE"""),0.1871006997261941)</f>
        <v>0.1871006997</v>
      </c>
      <c r="H950" s="5">
        <f>IFERROR(__xludf.DUMMYFUNCTION("""COMPUTED_VALUE"""),0.5897359242650723)</f>
        <v>0.5897359243</v>
      </c>
      <c r="I950" s="11">
        <f>IFERROR(__xludf.DUMMYFUNCTION("""COMPUTED_VALUE"""),5773.393124065769)</f>
        <v>5773.393124</v>
      </c>
      <c r="J950" s="10">
        <f>IFERROR(__xludf.DUMMYFUNCTION("""COMPUTED_VALUE"""),12.0)</f>
        <v>12</v>
      </c>
      <c r="K950" s="5">
        <f>IFERROR(__xludf.DUMMYFUNCTION("""COMPUTED_VALUE"""),0.00276688955499193)</f>
        <v>0.002766889555</v>
      </c>
      <c r="L950" s="10">
        <f>IFERROR(__xludf.DUMMYFUNCTION("""COMPUTED_VALUE"""),4336.0)</f>
        <v>4336</v>
      </c>
      <c r="M950" s="5">
        <f>IFERROR(__xludf.DUMMYFUNCTION("""COMPUTED_VALUE"""),0.9997694258704174)</f>
        <v>0.9997694259</v>
      </c>
    </row>
    <row r="951">
      <c r="A951" s="10" t="str">
        <f>IFERROR(__xludf.DUMMYFUNCTION("""COMPUTED_VALUE"""),"1ta")</f>
        <v>1ta</v>
      </c>
      <c r="B951" s="10">
        <f>IFERROR(__xludf.DUMMYFUNCTION("""COMPUTED_VALUE"""),677.0)</f>
        <v>677</v>
      </c>
      <c r="C951" s="10">
        <f>IFERROR(__xludf.DUMMYFUNCTION("""COMPUTED_VALUE"""),7901.0)</f>
        <v>7901</v>
      </c>
      <c r="D951" s="5">
        <f>IFERROR(__xludf.DUMMYFUNCTION("""COMPUTED_VALUE"""),0.4390919158361019)</f>
        <v>0.4390919158</v>
      </c>
      <c r="E951" s="5">
        <f>IFERROR(__xludf.DUMMYFUNCTION("""COMPUTED_VALUE"""),0.1413344407530454)</f>
        <v>0.1413344408</v>
      </c>
      <c r="F951" s="5">
        <f>IFERROR(__xludf.DUMMYFUNCTION("""COMPUTED_VALUE"""),0.2367109634551495)</f>
        <v>0.2367109635</v>
      </c>
      <c r="G951" s="5">
        <f>IFERROR(__xludf.DUMMYFUNCTION("""COMPUTED_VALUE"""),0.15559246954595793)</f>
        <v>0.1555924695</v>
      </c>
      <c r="H951" s="5">
        <f>IFERROR(__xludf.DUMMYFUNCTION("""COMPUTED_VALUE"""),0.6005847953216374)</f>
        <v>0.6005847953</v>
      </c>
      <c r="I951" s="11">
        <f>IFERROR(__xludf.DUMMYFUNCTION("""COMPUTED_VALUE"""),5048.362573099415)</f>
        <v>5048.362573</v>
      </c>
      <c r="J951" s="10">
        <f>IFERROR(__xludf.DUMMYFUNCTION("""COMPUTED_VALUE"""),5.0)</f>
        <v>5</v>
      </c>
      <c r="K951" s="5">
        <f>IFERROR(__xludf.DUMMYFUNCTION("""COMPUTED_VALUE"""),0.007385524372230428)</f>
        <v>0.007385524372</v>
      </c>
      <c r="L951" s="10">
        <f>IFERROR(__xludf.DUMMYFUNCTION("""COMPUTED_VALUE"""),677.0)</f>
        <v>677</v>
      </c>
      <c r="M951" s="5">
        <f>IFERROR(__xludf.DUMMYFUNCTION("""COMPUTED_VALUE"""),1.0)</f>
        <v>1</v>
      </c>
    </row>
    <row r="952">
      <c r="A952" s="10" t="str">
        <f>IFERROR(__xludf.DUMMYFUNCTION("""COMPUTED_VALUE"""),"草原の涼風")</f>
        <v>草原の涼風</v>
      </c>
      <c r="B952" s="10">
        <f>IFERROR(__xludf.DUMMYFUNCTION("""COMPUTED_VALUE"""),359.0)</f>
        <v>359</v>
      </c>
      <c r="C952" s="10">
        <f>IFERROR(__xludf.DUMMYFUNCTION("""COMPUTED_VALUE"""),4209.0)</f>
        <v>4209</v>
      </c>
      <c r="D952" s="5">
        <f>IFERROR(__xludf.DUMMYFUNCTION("""COMPUTED_VALUE"""),0.37844155844155847)</f>
        <v>0.3784415584</v>
      </c>
      <c r="E952" s="5">
        <f>IFERROR(__xludf.DUMMYFUNCTION("""COMPUTED_VALUE"""),0.1412987012987013)</f>
        <v>0.1412987013</v>
      </c>
      <c r="F952" s="5">
        <f>IFERROR(__xludf.DUMMYFUNCTION("""COMPUTED_VALUE"""),0.23012987012987013)</f>
        <v>0.2301298701</v>
      </c>
      <c r="G952" s="5">
        <f>IFERROR(__xludf.DUMMYFUNCTION("""COMPUTED_VALUE"""),0.19194805194805195)</f>
        <v>0.1919480519</v>
      </c>
      <c r="H952" s="5">
        <f>IFERROR(__xludf.DUMMYFUNCTION("""COMPUTED_VALUE"""),0.6241534988713319)</f>
        <v>0.6241534989</v>
      </c>
      <c r="I952" s="11">
        <f>IFERROR(__xludf.DUMMYFUNCTION("""COMPUTED_VALUE"""),5525.507900677201)</f>
        <v>5525.507901</v>
      </c>
      <c r="J952" s="10">
        <f>IFERROR(__xludf.DUMMYFUNCTION("""COMPUTED_VALUE"""),2.0)</f>
        <v>2</v>
      </c>
      <c r="K952" s="5">
        <f>IFERROR(__xludf.DUMMYFUNCTION("""COMPUTED_VALUE"""),0.005571030640668524)</f>
        <v>0.005571030641</v>
      </c>
      <c r="L952" s="10">
        <f>IFERROR(__xludf.DUMMYFUNCTION("""COMPUTED_VALUE"""),0.0)</f>
        <v>0</v>
      </c>
      <c r="M952" s="5">
        <f>IFERROR(__xludf.DUMMYFUNCTION("""COMPUTED_VALUE"""),0.0)</f>
        <v>0</v>
      </c>
    </row>
    <row r="953">
      <c r="A953" s="10" t="str">
        <f>IFERROR(__xludf.DUMMYFUNCTION("""COMPUTED_VALUE"""),"グルーミー先輩")</f>
        <v>グルーミー先輩</v>
      </c>
      <c r="B953" s="10">
        <f>IFERROR(__xludf.DUMMYFUNCTION("""COMPUTED_VALUE"""),623.0)</f>
        <v>623</v>
      </c>
      <c r="C953" s="10">
        <f>IFERROR(__xludf.DUMMYFUNCTION("""COMPUTED_VALUE"""),7198.0)</f>
        <v>7198</v>
      </c>
      <c r="D953" s="5">
        <f>IFERROR(__xludf.DUMMYFUNCTION("""COMPUTED_VALUE"""),0.33779467680608366)</f>
        <v>0.3377946768</v>
      </c>
      <c r="E953" s="5">
        <f>IFERROR(__xludf.DUMMYFUNCTION("""COMPUTED_VALUE"""),0.14129277566539925)</f>
        <v>0.1412927757</v>
      </c>
      <c r="F953" s="5">
        <f>IFERROR(__xludf.DUMMYFUNCTION("""COMPUTED_VALUE"""),0.20410646387832698)</f>
        <v>0.2041064639</v>
      </c>
      <c r="G953" s="5">
        <f>IFERROR(__xludf.DUMMYFUNCTION("""COMPUTED_VALUE"""),0.20076045627376427)</f>
        <v>0.2007604563</v>
      </c>
      <c r="H953" s="5">
        <f>IFERROR(__xludf.DUMMYFUNCTION("""COMPUTED_VALUE"""),0.5707898658718331)</f>
        <v>0.5707898659</v>
      </c>
      <c r="I953" s="11">
        <f>IFERROR(__xludf.DUMMYFUNCTION("""COMPUTED_VALUE"""),6068.107302533532)</f>
        <v>6068.107303</v>
      </c>
      <c r="J953" s="10">
        <f>IFERROR(__xludf.DUMMYFUNCTION("""COMPUTED_VALUE"""),1.0)</f>
        <v>1</v>
      </c>
      <c r="K953" s="5">
        <f>IFERROR(__xludf.DUMMYFUNCTION("""COMPUTED_VALUE"""),0.0016051364365971107)</f>
        <v>0.001605136437</v>
      </c>
      <c r="L953" s="10">
        <f>IFERROR(__xludf.DUMMYFUNCTION("""COMPUTED_VALUE"""),623.0)</f>
        <v>623</v>
      </c>
      <c r="M953" s="5">
        <f>IFERROR(__xludf.DUMMYFUNCTION("""COMPUTED_VALUE"""),1.0)</f>
        <v>1</v>
      </c>
    </row>
    <row r="954">
      <c r="A954" s="10" t="str">
        <f>IFERROR(__xludf.DUMMYFUNCTION("""COMPUTED_VALUE"""),"gibon")</f>
        <v>gibon</v>
      </c>
      <c r="B954" s="10">
        <f>IFERROR(__xludf.DUMMYFUNCTION("""COMPUTED_VALUE"""),247.0)</f>
        <v>247</v>
      </c>
      <c r="C954" s="10">
        <f>IFERROR(__xludf.DUMMYFUNCTION("""COMPUTED_VALUE"""),2887.0)</f>
        <v>2887</v>
      </c>
      <c r="D954" s="5">
        <f>IFERROR(__xludf.DUMMYFUNCTION("""COMPUTED_VALUE"""),0.3704545454545455)</f>
        <v>0.3704545455</v>
      </c>
      <c r="E954" s="5">
        <f>IFERROR(__xludf.DUMMYFUNCTION("""COMPUTED_VALUE"""),0.1412878787878788)</f>
        <v>0.1412878788</v>
      </c>
      <c r="F954" s="5">
        <f>IFERROR(__xludf.DUMMYFUNCTION("""COMPUTED_VALUE"""),0.20909090909090908)</f>
        <v>0.2090909091</v>
      </c>
      <c r="G954" s="5">
        <f>IFERROR(__xludf.DUMMYFUNCTION("""COMPUTED_VALUE"""),0.16704545454545455)</f>
        <v>0.1670454545</v>
      </c>
      <c r="H954" s="5">
        <f>IFERROR(__xludf.DUMMYFUNCTION("""COMPUTED_VALUE"""),0.5634057971014492)</f>
        <v>0.5634057971</v>
      </c>
      <c r="I954" s="11">
        <f>IFERROR(__xludf.DUMMYFUNCTION("""COMPUTED_VALUE"""),5704.347826086957)</f>
        <v>5704.347826</v>
      </c>
      <c r="J954" s="10">
        <f>IFERROR(__xludf.DUMMYFUNCTION("""COMPUTED_VALUE"""),3.0)</f>
        <v>3</v>
      </c>
      <c r="K954" s="5">
        <f>IFERROR(__xludf.DUMMYFUNCTION("""COMPUTED_VALUE"""),0.012145748987854251)</f>
        <v>0.01214574899</v>
      </c>
      <c r="L954" s="10">
        <f>IFERROR(__xludf.DUMMYFUNCTION("""COMPUTED_VALUE"""),247.0)</f>
        <v>247</v>
      </c>
      <c r="M954" s="5">
        <f>IFERROR(__xludf.DUMMYFUNCTION("""COMPUTED_VALUE"""),1.0)</f>
        <v>1</v>
      </c>
    </row>
    <row r="955">
      <c r="A955" s="10" t="str">
        <f>IFERROR(__xludf.DUMMYFUNCTION("""COMPUTED_VALUE"""),"チョコオアバニラ")</f>
        <v>チョコオアバニラ</v>
      </c>
      <c r="B955" s="10">
        <f>IFERROR(__xludf.DUMMYFUNCTION("""COMPUTED_VALUE"""),231.0)</f>
        <v>231</v>
      </c>
      <c r="C955" s="10">
        <f>IFERROR(__xludf.DUMMYFUNCTION("""COMPUTED_VALUE"""),2765.0)</f>
        <v>2765</v>
      </c>
      <c r="D955" s="5">
        <f>IFERROR(__xludf.DUMMYFUNCTION("""COMPUTED_VALUE"""),0.34767166535122335)</f>
        <v>0.3476716654</v>
      </c>
      <c r="E955" s="5">
        <f>IFERROR(__xludf.DUMMYFUNCTION("""COMPUTED_VALUE"""),0.14127861089187055)</f>
        <v>0.1412786109</v>
      </c>
      <c r="F955" s="5">
        <f>IFERROR(__xludf.DUMMYFUNCTION("""COMPUTED_VALUE"""),0.20007892659826362)</f>
        <v>0.2000789266</v>
      </c>
      <c r="G955" s="5">
        <f>IFERROR(__xludf.DUMMYFUNCTION("""COMPUTED_VALUE"""),0.18232044198895028)</f>
        <v>0.182320442</v>
      </c>
      <c r="H955" s="5">
        <f>IFERROR(__xludf.DUMMYFUNCTION("""COMPUTED_VALUE"""),0.6153846153846154)</f>
        <v>0.6153846154</v>
      </c>
      <c r="I955" s="11">
        <f>IFERROR(__xludf.DUMMYFUNCTION("""COMPUTED_VALUE"""),5415.1873767258385)</f>
        <v>5415.187377</v>
      </c>
      <c r="J955" s="10">
        <f>IFERROR(__xludf.DUMMYFUNCTION("""COMPUTED_VALUE"""),0.0)</f>
        <v>0</v>
      </c>
      <c r="K955" s="5">
        <f>IFERROR(__xludf.DUMMYFUNCTION("""COMPUTED_VALUE"""),0.0)</f>
        <v>0</v>
      </c>
      <c r="L955" s="10">
        <f>IFERROR(__xludf.DUMMYFUNCTION("""COMPUTED_VALUE"""),231.0)</f>
        <v>231</v>
      </c>
      <c r="M955" s="5">
        <f>IFERROR(__xludf.DUMMYFUNCTION("""COMPUTED_VALUE"""),1.0)</f>
        <v>1</v>
      </c>
    </row>
    <row r="956">
      <c r="A956" s="10" t="str">
        <f>IFERROR(__xludf.DUMMYFUNCTION("""COMPUTED_VALUE"""),"ブループラネット")</f>
        <v>ブループラネット</v>
      </c>
      <c r="B956" s="10">
        <f>IFERROR(__xludf.DUMMYFUNCTION("""COMPUTED_VALUE"""),877.0)</f>
        <v>877</v>
      </c>
      <c r="C956" s="10">
        <f>IFERROR(__xludf.DUMMYFUNCTION("""COMPUTED_VALUE"""),10285.0)</f>
        <v>10285</v>
      </c>
      <c r="D956" s="5">
        <f>IFERROR(__xludf.DUMMYFUNCTION("""COMPUTED_VALUE"""),0.306016156462585)</f>
        <v>0.3060161565</v>
      </c>
      <c r="E956" s="5">
        <f>IFERROR(__xludf.DUMMYFUNCTION("""COMPUTED_VALUE"""),0.1412627551020408)</f>
        <v>0.1412627551</v>
      </c>
      <c r="F956" s="5">
        <f>IFERROR(__xludf.DUMMYFUNCTION("""COMPUTED_VALUE"""),0.21152210884353742)</f>
        <v>0.2115221088</v>
      </c>
      <c r="G956" s="5">
        <f>IFERROR(__xludf.DUMMYFUNCTION("""COMPUTED_VALUE"""),0.1682610544217687)</f>
        <v>0.1682610544</v>
      </c>
      <c r="H956" s="5">
        <f>IFERROR(__xludf.DUMMYFUNCTION("""COMPUTED_VALUE"""),0.5919597989949749)</f>
        <v>0.591959799</v>
      </c>
      <c r="I956" s="11">
        <f>IFERROR(__xludf.DUMMYFUNCTION("""COMPUTED_VALUE"""),5947.889447236181)</f>
        <v>5947.889447</v>
      </c>
      <c r="J956" s="10">
        <f>IFERROR(__xludf.DUMMYFUNCTION("""COMPUTED_VALUE"""),5.0)</f>
        <v>5</v>
      </c>
      <c r="K956" s="5">
        <f>IFERROR(__xludf.DUMMYFUNCTION("""COMPUTED_VALUE"""),0.005701254275940707)</f>
        <v>0.005701254276</v>
      </c>
      <c r="L956" s="10">
        <f>IFERROR(__xludf.DUMMYFUNCTION("""COMPUTED_VALUE"""),877.0)</f>
        <v>877</v>
      </c>
      <c r="M956" s="5">
        <f>IFERROR(__xludf.DUMMYFUNCTION("""COMPUTED_VALUE"""),1.0)</f>
        <v>1</v>
      </c>
    </row>
    <row r="957">
      <c r="A957" s="10" t="str">
        <f>IFERROR(__xludf.DUMMYFUNCTION("""COMPUTED_VALUE"""),"因幡帝")</f>
        <v>因幡帝</v>
      </c>
      <c r="B957" s="10">
        <f>IFERROR(__xludf.DUMMYFUNCTION("""COMPUTED_VALUE"""),179.0)</f>
        <v>179</v>
      </c>
      <c r="C957" s="10">
        <f>IFERROR(__xludf.DUMMYFUNCTION("""COMPUTED_VALUE"""),2048.0)</f>
        <v>2048</v>
      </c>
      <c r="D957" s="5">
        <f>IFERROR(__xludf.DUMMYFUNCTION("""COMPUTED_VALUE"""),0.3493846976993044)</f>
        <v>0.3493846977</v>
      </c>
      <c r="E957" s="5">
        <f>IFERROR(__xludf.DUMMYFUNCTION("""COMPUTED_VALUE"""),0.14125200642054575)</f>
        <v>0.1412520064</v>
      </c>
      <c r="F957" s="5">
        <f>IFERROR(__xludf.DUMMYFUNCTION("""COMPUTED_VALUE"""),0.22739432851792402)</f>
        <v>0.2273943285</v>
      </c>
      <c r="G957" s="5">
        <f>IFERROR(__xludf.DUMMYFUNCTION("""COMPUTED_VALUE"""),0.16051364365971107)</f>
        <v>0.1605136437</v>
      </c>
      <c r="H957" s="5">
        <f>IFERROR(__xludf.DUMMYFUNCTION("""COMPUTED_VALUE"""),0.6070588235294118)</f>
        <v>0.6070588235</v>
      </c>
      <c r="I957" s="11">
        <f>IFERROR(__xludf.DUMMYFUNCTION("""COMPUTED_VALUE"""),5528.0)</f>
        <v>5528</v>
      </c>
      <c r="J957" s="10">
        <f>IFERROR(__xludf.DUMMYFUNCTION("""COMPUTED_VALUE"""),0.0)</f>
        <v>0</v>
      </c>
      <c r="K957" s="5">
        <f>IFERROR(__xludf.DUMMYFUNCTION("""COMPUTED_VALUE"""),0.0)</f>
        <v>0</v>
      </c>
      <c r="L957" s="10">
        <f>IFERROR(__xludf.DUMMYFUNCTION("""COMPUTED_VALUE"""),0.0)</f>
        <v>0</v>
      </c>
      <c r="M957" s="5">
        <f>IFERROR(__xludf.DUMMYFUNCTION("""COMPUTED_VALUE"""),0.0)</f>
        <v>0</v>
      </c>
    </row>
    <row r="958">
      <c r="A958" s="10" t="str">
        <f>IFERROR(__xludf.DUMMYFUNCTION("""COMPUTED_VALUE"""),"はたさん")</f>
        <v>はたさん</v>
      </c>
      <c r="B958" s="10">
        <f>IFERROR(__xludf.DUMMYFUNCTION("""COMPUTED_VALUE"""),287.0)</f>
        <v>287</v>
      </c>
      <c r="C958" s="10">
        <f>IFERROR(__xludf.DUMMYFUNCTION("""COMPUTED_VALUE"""),3381.0)</f>
        <v>3381</v>
      </c>
      <c r="D958" s="5">
        <f>IFERROR(__xludf.DUMMYFUNCTION("""COMPUTED_VALUE"""),0.3658694246929541)</f>
        <v>0.3658694247</v>
      </c>
      <c r="E958" s="5">
        <f>IFERROR(__xludf.DUMMYFUNCTION("""COMPUTED_VALUE"""),0.14124111182934712)</f>
        <v>0.1412411118</v>
      </c>
      <c r="F958" s="5">
        <f>IFERROR(__xludf.DUMMYFUNCTION("""COMPUTED_VALUE"""),0.22010342598577892)</f>
        <v>0.220103426</v>
      </c>
      <c r="G958" s="5">
        <f>IFERROR(__xludf.DUMMYFUNCTION("""COMPUTED_VALUE"""),0.17614738202973498)</f>
        <v>0.176147382</v>
      </c>
      <c r="H958" s="5">
        <f>IFERROR(__xludf.DUMMYFUNCTION("""COMPUTED_VALUE"""),0.604992657856094)</f>
        <v>0.6049926579</v>
      </c>
      <c r="I958" s="11">
        <f>IFERROR(__xludf.DUMMYFUNCTION("""COMPUTED_VALUE"""),5532.01174743025)</f>
        <v>5532.011747</v>
      </c>
      <c r="J958" s="10">
        <f>IFERROR(__xludf.DUMMYFUNCTION("""COMPUTED_VALUE"""),1.0)</f>
        <v>1</v>
      </c>
      <c r="K958" s="5">
        <f>IFERROR(__xludf.DUMMYFUNCTION("""COMPUTED_VALUE"""),0.003484320557491289)</f>
        <v>0.003484320557</v>
      </c>
      <c r="L958" s="10">
        <f>IFERROR(__xludf.DUMMYFUNCTION("""COMPUTED_VALUE"""),287.0)</f>
        <v>287</v>
      </c>
      <c r="M958" s="5">
        <f>IFERROR(__xludf.DUMMYFUNCTION("""COMPUTED_VALUE"""),1.0)</f>
        <v>1</v>
      </c>
    </row>
    <row r="959">
      <c r="A959" s="10" t="str">
        <f>IFERROR(__xludf.DUMMYFUNCTION("""COMPUTED_VALUE"""),"木樹")</f>
        <v>木樹</v>
      </c>
      <c r="B959" s="10">
        <f>IFERROR(__xludf.DUMMYFUNCTION("""COMPUTED_VALUE"""),253.0)</f>
        <v>253</v>
      </c>
      <c r="C959" s="10">
        <f>IFERROR(__xludf.DUMMYFUNCTION("""COMPUTED_VALUE"""),2979.0)</f>
        <v>2979</v>
      </c>
      <c r="D959" s="5">
        <f>IFERROR(__xludf.DUMMYFUNCTION("""COMPUTED_VALUE"""),0.2802641232575202)</f>
        <v>0.2802641233</v>
      </c>
      <c r="E959" s="5">
        <f>IFERROR(__xludf.DUMMYFUNCTION("""COMPUTED_VALUE"""),0.14123257520176083)</f>
        <v>0.1412325752</v>
      </c>
      <c r="F959" s="5">
        <f>IFERROR(__xludf.DUMMYFUNCTION("""COMPUTED_VALUE"""),0.19442406456346295)</f>
        <v>0.1944240646</v>
      </c>
      <c r="G959" s="5">
        <f>IFERROR(__xludf.DUMMYFUNCTION("""COMPUTED_VALUE"""),0.17901687454145268)</f>
        <v>0.1790168745</v>
      </c>
      <c r="H959" s="5">
        <f>IFERROR(__xludf.DUMMYFUNCTION("""COMPUTED_VALUE"""),0.5924528301886792)</f>
        <v>0.5924528302</v>
      </c>
      <c r="I959" s="11">
        <f>IFERROR(__xludf.DUMMYFUNCTION("""COMPUTED_VALUE"""),5866.226415094339)</f>
        <v>5866.226415</v>
      </c>
      <c r="J959" s="10">
        <f>IFERROR(__xludf.DUMMYFUNCTION("""COMPUTED_VALUE"""),0.0)</f>
        <v>0</v>
      </c>
      <c r="K959" s="5">
        <f>IFERROR(__xludf.DUMMYFUNCTION("""COMPUTED_VALUE"""),0.0)</f>
        <v>0</v>
      </c>
      <c r="L959" s="10">
        <f>IFERROR(__xludf.DUMMYFUNCTION("""COMPUTED_VALUE"""),253.0)</f>
        <v>253</v>
      </c>
      <c r="M959" s="5">
        <f>IFERROR(__xludf.DUMMYFUNCTION("""COMPUTED_VALUE"""),1.0)</f>
        <v>1</v>
      </c>
    </row>
    <row r="960">
      <c r="A960" s="10" t="str">
        <f>IFERROR(__xludf.DUMMYFUNCTION("""COMPUTED_VALUE"""),"風越男子")</f>
        <v>風越男子</v>
      </c>
      <c r="B960" s="10">
        <f>IFERROR(__xludf.DUMMYFUNCTION("""COMPUTED_VALUE"""),149.0)</f>
        <v>149</v>
      </c>
      <c r="C960" s="10">
        <f>IFERROR(__xludf.DUMMYFUNCTION("""COMPUTED_VALUE"""),1728.0)</f>
        <v>1728</v>
      </c>
      <c r="D960" s="5">
        <f>IFERROR(__xludf.DUMMYFUNCTION("""COMPUTED_VALUE"""),0.3407219759341355)</f>
        <v>0.3407219759</v>
      </c>
      <c r="E960" s="5">
        <f>IFERROR(__xludf.DUMMYFUNCTION("""COMPUTED_VALUE"""),0.14122862571247624)</f>
        <v>0.1412286257</v>
      </c>
      <c r="F960" s="5">
        <f>IFERROR(__xludf.DUMMYFUNCTION("""COMPUTED_VALUE"""),0.21405953134895503)</f>
        <v>0.2140595313</v>
      </c>
      <c r="G960" s="5">
        <f>IFERROR(__xludf.DUMMYFUNCTION("""COMPUTED_VALUE"""),0.1830272324255858)</f>
        <v>0.1830272324</v>
      </c>
      <c r="H960" s="5">
        <f>IFERROR(__xludf.DUMMYFUNCTION("""COMPUTED_VALUE"""),0.6124260355029586)</f>
        <v>0.6124260355</v>
      </c>
      <c r="I960" s="11">
        <f>IFERROR(__xludf.DUMMYFUNCTION("""COMPUTED_VALUE"""),5643.786982248521)</f>
        <v>5643.786982</v>
      </c>
      <c r="J960" s="10">
        <f>IFERROR(__xludf.DUMMYFUNCTION("""COMPUTED_VALUE"""),0.0)</f>
        <v>0</v>
      </c>
      <c r="K960" s="5">
        <f>IFERROR(__xludf.DUMMYFUNCTION("""COMPUTED_VALUE"""),0.0)</f>
        <v>0</v>
      </c>
      <c r="L960" s="10">
        <f>IFERROR(__xludf.DUMMYFUNCTION("""COMPUTED_VALUE"""),149.0)</f>
        <v>149</v>
      </c>
      <c r="M960" s="5">
        <f>IFERROR(__xludf.DUMMYFUNCTION("""COMPUTED_VALUE"""),1.0)</f>
        <v>1</v>
      </c>
    </row>
    <row r="961">
      <c r="A961" s="10" t="str">
        <f>IFERROR(__xludf.DUMMYFUNCTION("""COMPUTED_VALUE"""),"わた坊")</f>
        <v>わた坊</v>
      </c>
      <c r="B961" s="10">
        <f>IFERROR(__xludf.DUMMYFUNCTION("""COMPUTED_VALUE"""),138.0)</f>
        <v>138</v>
      </c>
      <c r="C961" s="10">
        <f>IFERROR(__xludf.DUMMYFUNCTION("""COMPUTED_VALUE"""),1618.0)</f>
        <v>1618</v>
      </c>
      <c r="D961" s="5">
        <f>IFERROR(__xludf.DUMMYFUNCTION("""COMPUTED_VALUE"""),0.31148648648648647)</f>
        <v>0.3114864865</v>
      </c>
      <c r="E961" s="5">
        <f>IFERROR(__xludf.DUMMYFUNCTION("""COMPUTED_VALUE"""),0.14121621621621622)</f>
        <v>0.1412162162</v>
      </c>
      <c r="F961" s="5">
        <f>IFERROR(__xludf.DUMMYFUNCTION("""COMPUTED_VALUE"""),0.20337837837837838)</f>
        <v>0.2033783784</v>
      </c>
      <c r="G961" s="5">
        <f>IFERROR(__xludf.DUMMYFUNCTION("""COMPUTED_VALUE"""),0.1831081081081081)</f>
        <v>0.1831081081</v>
      </c>
      <c r="H961" s="5">
        <f>IFERROR(__xludf.DUMMYFUNCTION("""COMPUTED_VALUE"""),0.5282392026578073)</f>
        <v>0.5282392027</v>
      </c>
      <c r="I961" s="11">
        <f>IFERROR(__xludf.DUMMYFUNCTION("""COMPUTED_VALUE"""),5262.790697674419)</f>
        <v>5262.790698</v>
      </c>
      <c r="J961" s="10">
        <f>IFERROR(__xludf.DUMMYFUNCTION("""COMPUTED_VALUE"""),1.0)</f>
        <v>1</v>
      </c>
      <c r="K961" s="5">
        <f>IFERROR(__xludf.DUMMYFUNCTION("""COMPUTED_VALUE"""),0.007246376811594203)</f>
        <v>0.007246376812</v>
      </c>
      <c r="L961" s="10">
        <f>IFERROR(__xludf.DUMMYFUNCTION("""COMPUTED_VALUE"""),138.0)</f>
        <v>138</v>
      </c>
      <c r="M961" s="5">
        <f>IFERROR(__xludf.DUMMYFUNCTION("""COMPUTED_VALUE"""),1.0)</f>
        <v>1</v>
      </c>
    </row>
    <row r="962">
      <c r="A962" s="10" t="str">
        <f>IFERROR(__xludf.DUMMYFUNCTION("""COMPUTED_VALUE"""),"vfrnori")</f>
        <v>vfrnori</v>
      </c>
      <c r="B962" s="10">
        <f>IFERROR(__xludf.DUMMYFUNCTION("""COMPUTED_VALUE"""),199.0)</f>
        <v>199</v>
      </c>
      <c r="C962" s="10">
        <f>IFERROR(__xludf.DUMMYFUNCTION("""COMPUTED_VALUE"""),2288.0)</f>
        <v>2288</v>
      </c>
      <c r="D962" s="5">
        <f>IFERROR(__xludf.DUMMYFUNCTION("""COMPUTED_VALUE"""),0.31594064145524176)</f>
        <v>0.3159406415</v>
      </c>
      <c r="E962" s="5">
        <f>IFERROR(__xludf.DUMMYFUNCTION("""COMPUTED_VALUE"""),0.14121589277166108)</f>
        <v>0.1412158928</v>
      </c>
      <c r="F962" s="5">
        <f>IFERROR(__xludf.DUMMYFUNCTION("""COMPUTED_VALUE"""),0.20919100047869793)</f>
        <v>0.2091910005</v>
      </c>
      <c r="G962" s="5">
        <f>IFERROR(__xludf.DUMMYFUNCTION("""COMPUTED_VALUE"""),0.17663954044997607)</f>
        <v>0.1766395404</v>
      </c>
      <c r="H962" s="5">
        <f>IFERROR(__xludf.DUMMYFUNCTION("""COMPUTED_VALUE"""),0.6407322654462243)</f>
        <v>0.6407322654</v>
      </c>
      <c r="I962" s="11">
        <f>IFERROR(__xludf.DUMMYFUNCTION("""COMPUTED_VALUE"""),5846.910755148741)</f>
        <v>5846.910755</v>
      </c>
      <c r="J962" s="10">
        <f>IFERROR(__xludf.DUMMYFUNCTION("""COMPUTED_VALUE"""),0.0)</f>
        <v>0</v>
      </c>
      <c r="K962" s="5">
        <f>IFERROR(__xludf.DUMMYFUNCTION("""COMPUTED_VALUE"""),0.0)</f>
        <v>0</v>
      </c>
      <c r="L962" s="10">
        <f>IFERROR(__xludf.DUMMYFUNCTION("""COMPUTED_VALUE"""),199.0)</f>
        <v>199</v>
      </c>
      <c r="M962" s="5">
        <f>IFERROR(__xludf.DUMMYFUNCTION("""COMPUTED_VALUE"""),1.0)</f>
        <v>1</v>
      </c>
    </row>
    <row r="963">
      <c r="A963" s="10" t="str">
        <f>IFERROR(__xludf.DUMMYFUNCTION("""COMPUTED_VALUE"""),"やぶいし")</f>
        <v>やぶいし</v>
      </c>
      <c r="B963" s="10">
        <f>IFERROR(__xludf.DUMMYFUNCTION("""COMPUTED_VALUE"""),494.0)</f>
        <v>494</v>
      </c>
      <c r="C963" s="10">
        <f>IFERROR(__xludf.DUMMYFUNCTION("""COMPUTED_VALUE"""),5784.0)</f>
        <v>5784</v>
      </c>
      <c r="D963" s="5">
        <f>IFERROR(__xludf.DUMMYFUNCTION("""COMPUTED_VALUE"""),0.37126654064272213)</f>
        <v>0.3712665406</v>
      </c>
      <c r="E963" s="5">
        <f>IFERROR(__xludf.DUMMYFUNCTION("""COMPUTED_VALUE"""),0.14120982986767486)</f>
        <v>0.1412098299</v>
      </c>
      <c r="F963" s="5">
        <f>IFERROR(__xludf.DUMMYFUNCTION("""COMPUTED_VALUE"""),0.21739130434782608)</f>
        <v>0.2173913043</v>
      </c>
      <c r="G963" s="5">
        <f>IFERROR(__xludf.DUMMYFUNCTION("""COMPUTED_VALUE"""),0.1659735349716446)</f>
        <v>0.165973535</v>
      </c>
      <c r="H963" s="5">
        <f>IFERROR(__xludf.DUMMYFUNCTION("""COMPUTED_VALUE"""),0.5817391304347826)</f>
        <v>0.5817391304</v>
      </c>
      <c r="I963" s="11">
        <f>IFERROR(__xludf.DUMMYFUNCTION("""COMPUTED_VALUE"""),5521.478260869565)</f>
        <v>5521.478261</v>
      </c>
      <c r="J963" s="10">
        <f>IFERROR(__xludf.DUMMYFUNCTION("""COMPUTED_VALUE"""),1.0)</f>
        <v>1</v>
      </c>
      <c r="K963" s="5">
        <f>IFERROR(__xludf.DUMMYFUNCTION("""COMPUTED_VALUE"""),0.0020242914979757085)</f>
        <v>0.002024291498</v>
      </c>
      <c r="L963" s="10">
        <f>IFERROR(__xludf.DUMMYFUNCTION("""COMPUTED_VALUE"""),494.0)</f>
        <v>494</v>
      </c>
      <c r="M963" s="5">
        <f>IFERROR(__xludf.DUMMYFUNCTION("""COMPUTED_VALUE"""),1.0)</f>
        <v>1</v>
      </c>
    </row>
    <row r="964">
      <c r="A964" s="10" t="str">
        <f>IFERROR(__xludf.DUMMYFUNCTION("""COMPUTED_VALUE"""),"minority")</f>
        <v>minority</v>
      </c>
      <c r="B964" s="10">
        <f>IFERROR(__xludf.DUMMYFUNCTION("""COMPUTED_VALUE"""),239.0)</f>
        <v>239</v>
      </c>
      <c r="C964" s="10">
        <f>IFERROR(__xludf.DUMMYFUNCTION("""COMPUTED_VALUE"""),2753.0)</f>
        <v>2753</v>
      </c>
      <c r="D964" s="5">
        <f>IFERROR(__xludf.DUMMYFUNCTION("""COMPUTED_VALUE"""),0.3118536197295147)</f>
        <v>0.3118536197</v>
      </c>
      <c r="E964" s="5">
        <f>IFERROR(__xludf.DUMMYFUNCTION("""COMPUTED_VALUE"""),0.14120922832140015)</f>
        <v>0.1412092283</v>
      </c>
      <c r="F964" s="5">
        <f>IFERROR(__xludf.DUMMYFUNCTION("""COMPUTED_VALUE"""),0.2052505966587112)</f>
        <v>0.2052505967</v>
      </c>
      <c r="G964" s="5">
        <f>IFERROR(__xludf.DUMMYFUNCTION("""COMPUTED_VALUE"""),0.1718377088305489)</f>
        <v>0.1718377088</v>
      </c>
      <c r="H964" s="5">
        <f>IFERROR(__xludf.DUMMYFUNCTION("""COMPUTED_VALUE"""),0.5949612403100775)</f>
        <v>0.5949612403</v>
      </c>
      <c r="I964" s="11">
        <f>IFERROR(__xludf.DUMMYFUNCTION("""COMPUTED_VALUE"""),5905.038759689923)</f>
        <v>5905.03876</v>
      </c>
      <c r="J964" s="10">
        <f>IFERROR(__xludf.DUMMYFUNCTION("""COMPUTED_VALUE"""),0.0)</f>
        <v>0</v>
      </c>
      <c r="K964" s="5">
        <f>IFERROR(__xludf.DUMMYFUNCTION("""COMPUTED_VALUE"""),0.0)</f>
        <v>0</v>
      </c>
      <c r="L964" s="10">
        <f>IFERROR(__xludf.DUMMYFUNCTION("""COMPUTED_VALUE"""),239.0)</f>
        <v>239</v>
      </c>
      <c r="M964" s="5">
        <f>IFERROR(__xludf.DUMMYFUNCTION("""COMPUTED_VALUE"""),1.0)</f>
        <v>1</v>
      </c>
    </row>
    <row r="965">
      <c r="A965" s="10" t="str">
        <f>IFERROR(__xludf.DUMMYFUNCTION("""COMPUTED_VALUE"""),"whiter")</f>
        <v>whiter</v>
      </c>
      <c r="B965" s="10">
        <f>IFERROR(__xludf.DUMMYFUNCTION("""COMPUTED_VALUE"""),321.0)</f>
        <v>321</v>
      </c>
      <c r="C965" s="10">
        <f>IFERROR(__xludf.DUMMYFUNCTION("""COMPUTED_VALUE"""),3827.0)</f>
        <v>3827</v>
      </c>
      <c r="D965" s="5">
        <f>IFERROR(__xludf.DUMMYFUNCTION("""COMPUTED_VALUE"""),0.3907586993725043)</f>
        <v>0.3907586994</v>
      </c>
      <c r="E965" s="5">
        <f>IFERROR(__xludf.DUMMYFUNCTION("""COMPUTED_VALUE"""),0.14118653736451797)</f>
        <v>0.1411865374</v>
      </c>
      <c r="F965" s="5">
        <f>IFERROR(__xludf.DUMMYFUNCTION("""COMPUTED_VALUE"""),0.22561323445521964)</f>
        <v>0.2256132345</v>
      </c>
      <c r="G965" s="5">
        <f>IFERROR(__xludf.DUMMYFUNCTION("""COMPUTED_VALUE"""),0.1645750142612664)</f>
        <v>0.1645750143</v>
      </c>
      <c r="H965" s="5">
        <f>IFERROR(__xludf.DUMMYFUNCTION("""COMPUTED_VALUE"""),0.5941845764854614)</f>
        <v>0.5941845765</v>
      </c>
      <c r="I965" s="11">
        <f>IFERROR(__xludf.DUMMYFUNCTION("""COMPUTED_VALUE"""),5127.054361567636)</f>
        <v>5127.054362</v>
      </c>
      <c r="J965" s="10">
        <f>IFERROR(__xludf.DUMMYFUNCTION("""COMPUTED_VALUE"""),0.0)</f>
        <v>0</v>
      </c>
      <c r="K965" s="5">
        <f>IFERROR(__xludf.DUMMYFUNCTION("""COMPUTED_VALUE"""),0.0)</f>
        <v>0</v>
      </c>
      <c r="L965" s="10">
        <f>IFERROR(__xludf.DUMMYFUNCTION("""COMPUTED_VALUE"""),320.0)</f>
        <v>320</v>
      </c>
      <c r="M965" s="5">
        <f>IFERROR(__xludf.DUMMYFUNCTION("""COMPUTED_VALUE"""),0.9968847352024922)</f>
        <v>0.9968847352</v>
      </c>
    </row>
    <row r="966">
      <c r="A966" s="10" t="str">
        <f>IFERROR(__xludf.DUMMYFUNCTION("""COMPUTED_VALUE"""),"てつＣ")</f>
        <v>てつＣ</v>
      </c>
      <c r="B966" s="10">
        <f>IFERROR(__xludf.DUMMYFUNCTION("""COMPUTED_VALUE"""),360.0)</f>
        <v>360</v>
      </c>
      <c r="C966" s="10">
        <f>IFERROR(__xludf.DUMMYFUNCTION("""COMPUTED_VALUE"""),4121.0)</f>
        <v>4121</v>
      </c>
      <c r="D966" s="5">
        <f>IFERROR(__xludf.DUMMYFUNCTION("""COMPUTED_VALUE"""),0.36559425684658337)</f>
        <v>0.3655942568</v>
      </c>
      <c r="E966" s="5">
        <f>IFERROR(__xludf.DUMMYFUNCTION("""COMPUTED_VALUE"""),0.1411858548258442)</f>
        <v>0.1411858548</v>
      </c>
      <c r="F966" s="5">
        <f>IFERROR(__xludf.DUMMYFUNCTION("""COMPUTED_VALUE"""),0.22095187450146236)</f>
        <v>0.2209518745</v>
      </c>
      <c r="G966" s="5">
        <f>IFERROR(__xludf.DUMMYFUNCTION("""COMPUTED_VALUE"""),0.15607551183195958)</f>
        <v>0.1560755118</v>
      </c>
      <c r="H966" s="5">
        <f>IFERROR(__xludf.DUMMYFUNCTION("""COMPUTED_VALUE"""),0.6161251504211793)</f>
        <v>0.6161251504</v>
      </c>
      <c r="I966" s="11">
        <f>IFERROR(__xludf.DUMMYFUNCTION("""COMPUTED_VALUE"""),5628.760529482551)</f>
        <v>5628.760529</v>
      </c>
      <c r="J966" s="10">
        <f>IFERROR(__xludf.DUMMYFUNCTION("""COMPUTED_VALUE"""),0.0)</f>
        <v>0</v>
      </c>
      <c r="K966" s="5">
        <f>IFERROR(__xludf.DUMMYFUNCTION("""COMPUTED_VALUE"""),0.0)</f>
        <v>0</v>
      </c>
      <c r="L966" s="10">
        <f>IFERROR(__xludf.DUMMYFUNCTION("""COMPUTED_VALUE"""),360.0)</f>
        <v>360</v>
      </c>
      <c r="M966" s="5">
        <f>IFERROR(__xludf.DUMMYFUNCTION("""COMPUTED_VALUE"""),1.0)</f>
        <v>1</v>
      </c>
    </row>
    <row r="967">
      <c r="A967" s="10" t="str">
        <f>IFERROR(__xludf.DUMMYFUNCTION("""COMPUTED_VALUE"""),"◇至誠塾◇")</f>
        <v>◇至誠塾◇</v>
      </c>
      <c r="B967" s="10">
        <f>IFERROR(__xludf.DUMMYFUNCTION("""COMPUTED_VALUE"""),453.0)</f>
        <v>453</v>
      </c>
      <c r="C967" s="10">
        <f>IFERROR(__xludf.DUMMYFUNCTION("""COMPUTED_VALUE"""),5348.0)</f>
        <v>5348</v>
      </c>
      <c r="D967" s="5">
        <f>IFERROR(__xludf.DUMMYFUNCTION("""COMPUTED_VALUE"""),0.4257405515832482)</f>
        <v>0.4257405516</v>
      </c>
      <c r="E967" s="5">
        <f>IFERROR(__xludf.DUMMYFUNCTION("""COMPUTED_VALUE"""),0.14116445352400409)</f>
        <v>0.1411644535</v>
      </c>
      <c r="F967" s="5">
        <f>IFERROR(__xludf.DUMMYFUNCTION("""COMPUTED_VALUE"""),0.227170582226762)</f>
        <v>0.2271705822</v>
      </c>
      <c r="G967" s="5">
        <f>IFERROR(__xludf.DUMMYFUNCTION("""COMPUTED_VALUE"""),0.1570990806945863)</f>
        <v>0.1570990807</v>
      </c>
      <c r="H967" s="5">
        <f>IFERROR(__xludf.DUMMYFUNCTION("""COMPUTED_VALUE"""),0.6097122302158273)</f>
        <v>0.6097122302</v>
      </c>
      <c r="I967" s="11">
        <f>IFERROR(__xludf.DUMMYFUNCTION("""COMPUTED_VALUE"""),5096.223021582734)</f>
        <v>5096.223022</v>
      </c>
      <c r="J967" s="10">
        <f>IFERROR(__xludf.DUMMYFUNCTION("""COMPUTED_VALUE"""),0.0)</f>
        <v>0</v>
      </c>
      <c r="K967" s="5">
        <f>IFERROR(__xludf.DUMMYFUNCTION("""COMPUTED_VALUE"""),0.0)</f>
        <v>0</v>
      </c>
      <c r="L967" s="10">
        <f>IFERROR(__xludf.DUMMYFUNCTION("""COMPUTED_VALUE"""),453.0)</f>
        <v>453</v>
      </c>
      <c r="M967" s="5">
        <f>IFERROR(__xludf.DUMMYFUNCTION("""COMPUTED_VALUE"""),1.0)</f>
        <v>1</v>
      </c>
    </row>
    <row r="968">
      <c r="A968" s="10" t="str">
        <f>IFERROR(__xludf.DUMMYFUNCTION("""COMPUTED_VALUE"""),"Ryohgo")</f>
        <v>Ryohgo</v>
      </c>
      <c r="B968" s="10">
        <f>IFERROR(__xludf.DUMMYFUNCTION("""COMPUTED_VALUE"""),856.0)</f>
        <v>856</v>
      </c>
      <c r="C968" s="10">
        <f>IFERROR(__xludf.DUMMYFUNCTION("""COMPUTED_VALUE"""),9938.0)</f>
        <v>9938</v>
      </c>
      <c r="D968" s="5">
        <f>IFERROR(__xludf.DUMMYFUNCTION("""COMPUTED_VALUE"""),0.3645672759304118)</f>
        <v>0.3645672759</v>
      </c>
      <c r="E968" s="5">
        <f>IFERROR(__xludf.DUMMYFUNCTION("""COMPUTED_VALUE"""),0.1411583351684651)</f>
        <v>0.1411583352</v>
      </c>
      <c r="F968" s="5">
        <f>IFERROR(__xludf.DUMMYFUNCTION("""COMPUTED_VALUE"""),0.20347940982162518)</f>
        <v>0.2034794098</v>
      </c>
      <c r="G968" s="5">
        <f>IFERROR(__xludf.DUMMYFUNCTION("""COMPUTED_VALUE"""),0.17463113851574544)</f>
        <v>0.1746311385</v>
      </c>
      <c r="H968" s="5">
        <f>IFERROR(__xludf.DUMMYFUNCTION("""COMPUTED_VALUE"""),0.577922077922078)</f>
        <v>0.5779220779</v>
      </c>
      <c r="I968" s="11">
        <f>IFERROR(__xludf.DUMMYFUNCTION("""COMPUTED_VALUE"""),5970.941558441558)</f>
        <v>5970.941558</v>
      </c>
      <c r="J968" s="10">
        <f>IFERROR(__xludf.DUMMYFUNCTION("""COMPUTED_VALUE"""),2.0)</f>
        <v>2</v>
      </c>
      <c r="K968" s="5">
        <f>IFERROR(__xludf.DUMMYFUNCTION("""COMPUTED_VALUE"""),0.002336448598130841)</f>
        <v>0.002336448598</v>
      </c>
      <c r="L968" s="10">
        <f>IFERROR(__xludf.DUMMYFUNCTION("""COMPUTED_VALUE"""),856.0)</f>
        <v>856</v>
      </c>
      <c r="M968" s="5">
        <f>IFERROR(__xludf.DUMMYFUNCTION("""COMPUTED_VALUE"""),1.0)</f>
        <v>1</v>
      </c>
    </row>
    <row r="969">
      <c r="A969" s="10" t="str">
        <f>IFERROR(__xludf.DUMMYFUNCTION("""COMPUTED_VALUE"""),"ひっころ26")</f>
        <v>ひっころ26</v>
      </c>
      <c r="B969" s="10">
        <f>IFERROR(__xludf.DUMMYFUNCTION("""COMPUTED_VALUE"""),207.0)</f>
        <v>207</v>
      </c>
      <c r="C969" s="10">
        <f>IFERROR(__xludf.DUMMYFUNCTION("""COMPUTED_VALUE"""),2375.0)</f>
        <v>2375</v>
      </c>
      <c r="D969" s="5">
        <f>IFERROR(__xludf.DUMMYFUNCTION("""COMPUTED_VALUE"""),0.3459409594095941)</f>
        <v>0.3459409594</v>
      </c>
      <c r="E969" s="5">
        <f>IFERROR(__xludf.DUMMYFUNCTION("""COMPUTED_VALUE"""),0.1411439114391144)</f>
        <v>0.1411439114</v>
      </c>
      <c r="F969" s="5">
        <f>IFERROR(__xludf.DUMMYFUNCTION("""COMPUTED_VALUE"""),0.21678966789667897)</f>
        <v>0.2167896679</v>
      </c>
      <c r="G969" s="5">
        <f>IFERROR(__xludf.DUMMYFUNCTION("""COMPUTED_VALUE"""),0.1609778597785978)</f>
        <v>0.1609778598</v>
      </c>
      <c r="H969" s="5">
        <f>IFERROR(__xludf.DUMMYFUNCTION("""COMPUTED_VALUE"""),0.6361702127659574)</f>
        <v>0.6361702128</v>
      </c>
      <c r="I969" s="11">
        <f>IFERROR(__xludf.DUMMYFUNCTION("""COMPUTED_VALUE"""),5743.191489361702)</f>
        <v>5743.191489</v>
      </c>
      <c r="J969" s="10">
        <f>IFERROR(__xludf.DUMMYFUNCTION("""COMPUTED_VALUE"""),0.0)</f>
        <v>0</v>
      </c>
      <c r="K969" s="5">
        <f>IFERROR(__xludf.DUMMYFUNCTION("""COMPUTED_VALUE"""),0.0)</f>
        <v>0</v>
      </c>
      <c r="L969" s="10">
        <f>IFERROR(__xludf.DUMMYFUNCTION("""COMPUTED_VALUE"""),207.0)</f>
        <v>207</v>
      </c>
      <c r="M969" s="5">
        <f>IFERROR(__xludf.DUMMYFUNCTION("""COMPUTED_VALUE"""),1.0)</f>
        <v>1</v>
      </c>
    </row>
    <row r="970">
      <c r="A970" s="10" t="str">
        <f>IFERROR(__xludf.DUMMYFUNCTION("""COMPUTED_VALUE"""),"俺もうダメだわ")</f>
        <v>俺もうダメだわ</v>
      </c>
      <c r="B970" s="10">
        <f>IFERROR(__xludf.DUMMYFUNCTION("""COMPUTED_VALUE"""),253.0)</f>
        <v>253</v>
      </c>
      <c r="C970" s="10">
        <f>IFERROR(__xludf.DUMMYFUNCTION("""COMPUTED_VALUE"""),2917.0)</f>
        <v>2917</v>
      </c>
      <c r="D970" s="5">
        <f>IFERROR(__xludf.DUMMYFUNCTION("""COMPUTED_VALUE"""),0.29617117117117114)</f>
        <v>0.2961711712</v>
      </c>
      <c r="E970" s="5">
        <f>IFERROR(__xludf.DUMMYFUNCTION("""COMPUTED_VALUE"""),0.14114114114114115)</f>
        <v>0.1411411411</v>
      </c>
      <c r="F970" s="5">
        <f>IFERROR(__xludf.DUMMYFUNCTION("""COMPUTED_VALUE"""),0.21509009009009009)</f>
        <v>0.2150900901</v>
      </c>
      <c r="G970" s="5">
        <f>IFERROR(__xludf.DUMMYFUNCTION("""COMPUTED_VALUE"""),0.1707957957957958)</f>
        <v>0.1707957958</v>
      </c>
      <c r="H970" s="5">
        <f>IFERROR(__xludf.DUMMYFUNCTION("""COMPUTED_VALUE"""),0.6143106457242583)</f>
        <v>0.6143106457</v>
      </c>
      <c r="I970" s="11">
        <f>IFERROR(__xludf.DUMMYFUNCTION("""COMPUTED_VALUE"""),5842.233856893543)</f>
        <v>5842.233857</v>
      </c>
      <c r="J970" s="10">
        <f>IFERROR(__xludf.DUMMYFUNCTION("""COMPUTED_VALUE"""),1.0)</f>
        <v>1</v>
      </c>
      <c r="K970" s="5">
        <f>IFERROR(__xludf.DUMMYFUNCTION("""COMPUTED_VALUE"""),0.003952569169960474)</f>
        <v>0.00395256917</v>
      </c>
      <c r="L970" s="10">
        <f>IFERROR(__xludf.DUMMYFUNCTION("""COMPUTED_VALUE"""),28.0)</f>
        <v>28</v>
      </c>
      <c r="M970" s="5">
        <f>IFERROR(__xludf.DUMMYFUNCTION("""COMPUTED_VALUE"""),0.11067193675889328)</f>
        <v>0.1106719368</v>
      </c>
    </row>
    <row r="971">
      <c r="A971" s="10" t="str">
        <f>IFERROR(__xludf.DUMMYFUNCTION("""COMPUTED_VALUE"""),"逸材")</f>
        <v>逸材</v>
      </c>
      <c r="B971" s="10">
        <f>IFERROR(__xludf.DUMMYFUNCTION("""COMPUTED_VALUE"""),357.0)</f>
        <v>357</v>
      </c>
      <c r="C971" s="10">
        <f>IFERROR(__xludf.DUMMYFUNCTION("""COMPUTED_VALUE"""),4183.0)</f>
        <v>4183</v>
      </c>
      <c r="D971" s="5">
        <f>IFERROR(__xludf.DUMMYFUNCTION("""COMPUTED_VALUE"""),0.349189754312598)</f>
        <v>0.3491897543</v>
      </c>
      <c r="E971" s="5">
        <f>IFERROR(__xludf.DUMMYFUNCTION("""COMPUTED_VALUE"""),0.1411395713538944)</f>
        <v>0.1411395714</v>
      </c>
      <c r="F971" s="5">
        <f>IFERROR(__xludf.DUMMYFUNCTION("""COMPUTED_VALUE"""),0.19994772608468375)</f>
        <v>0.1999477261</v>
      </c>
      <c r="G971" s="5">
        <f>IFERROR(__xludf.DUMMYFUNCTION("""COMPUTED_VALUE"""),0.1748562467328803)</f>
        <v>0.1748562467</v>
      </c>
      <c r="H971" s="5">
        <f>IFERROR(__xludf.DUMMYFUNCTION("""COMPUTED_VALUE"""),0.6509803921568628)</f>
        <v>0.6509803922</v>
      </c>
      <c r="I971" s="11">
        <f>IFERROR(__xludf.DUMMYFUNCTION("""COMPUTED_VALUE"""),5954.509803921569)</f>
        <v>5954.509804</v>
      </c>
      <c r="J971" s="10">
        <f>IFERROR(__xludf.DUMMYFUNCTION("""COMPUTED_VALUE"""),0.0)</f>
        <v>0</v>
      </c>
      <c r="K971" s="5">
        <f>IFERROR(__xludf.DUMMYFUNCTION("""COMPUTED_VALUE"""),0.0)</f>
        <v>0</v>
      </c>
      <c r="L971" s="10">
        <f>IFERROR(__xludf.DUMMYFUNCTION("""COMPUTED_VALUE"""),15.0)</f>
        <v>15</v>
      </c>
      <c r="M971" s="5">
        <f>IFERROR(__xludf.DUMMYFUNCTION("""COMPUTED_VALUE"""),0.04201680672268908)</f>
        <v>0.04201680672</v>
      </c>
    </row>
    <row r="972">
      <c r="A972" s="10" t="str">
        <f>IFERROR(__xludf.DUMMYFUNCTION("""COMPUTED_VALUE"""),"キュゥべえ")</f>
        <v>キュゥべえ</v>
      </c>
      <c r="B972" s="10">
        <f>IFERROR(__xludf.DUMMYFUNCTION("""COMPUTED_VALUE"""),105.0)</f>
        <v>105</v>
      </c>
      <c r="C972" s="10">
        <f>IFERROR(__xludf.DUMMYFUNCTION("""COMPUTED_VALUE"""),1267.0)</f>
        <v>1267</v>
      </c>
      <c r="D972" s="5">
        <f>IFERROR(__xludf.DUMMYFUNCTION("""COMPUTED_VALUE"""),0.34165232358003444)</f>
        <v>0.3416523236</v>
      </c>
      <c r="E972" s="5">
        <f>IFERROR(__xludf.DUMMYFUNCTION("""COMPUTED_VALUE"""),0.14113597246127366)</f>
        <v>0.1411359725</v>
      </c>
      <c r="F972" s="5">
        <f>IFERROR(__xludf.DUMMYFUNCTION("""COMPUTED_VALUE"""),0.21772805507745266)</f>
        <v>0.2177280551</v>
      </c>
      <c r="G972" s="5">
        <f>IFERROR(__xludf.DUMMYFUNCTION("""COMPUTED_VALUE"""),0.193631669535284)</f>
        <v>0.1936316695</v>
      </c>
      <c r="H972" s="5">
        <f>IFERROR(__xludf.DUMMYFUNCTION("""COMPUTED_VALUE"""),0.5612648221343873)</f>
        <v>0.5612648221</v>
      </c>
      <c r="I972" s="11">
        <f>IFERROR(__xludf.DUMMYFUNCTION("""COMPUTED_VALUE"""),5044.268774703557)</f>
        <v>5044.268775</v>
      </c>
      <c r="J972" s="10">
        <f>IFERROR(__xludf.DUMMYFUNCTION("""COMPUTED_VALUE"""),0.0)</f>
        <v>0</v>
      </c>
      <c r="K972" s="5">
        <f>IFERROR(__xludf.DUMMYFUNCTION("""COMPUTED_VALUE"""),0.0)</f>
        <v>0</v>
      </c>
      <c r="L972" s="10">
        <f>IFERROR(__xludf.DUMMYFUNCTION("""COMPUTED_VALUE"""),105.0)</f>
        <v>105</v>
      </c>
      <c r="M972" s="5">
        <f>IFERROR(__xludf.DUMMYFUNCTION("""COMPUTED_VALUE"""),1.0)</f>
        <v>1</v>
      </c>
    </row>
    <row r="973">
      <c r="A973" s="10" t="str">
        <f>IFERROR(__xludf.DUMMYFUNCTION("""COMPUTED_VALUE"""),"新戸緋沙子z")</f>
        <v>新戸緋沙子z</v>
      </c>
      <c r="B973" s="10">
        <f>IFERROR(__xludf.DUMMYFUNCTION("""COMPUTED_VALUE"""),128.0)</f>
        <v>128</v>
      </c>
      <c r="C973" s="10">
        <f>IFERROR(__xludf.DUMMYFUNCTION("""COMPUTED_VALUE"""),1531.0)</f>
        <v>1531</v>
      </c>
      <c r="D973" s="5">
        <f>IFERROR(__xludf.DUMMYFUNCTION("""COMPUTED_VALUE"""),0.39344262295081966)</f>
        <v>0.393442623</v>
      </c>
      <c r="E973" s="5">
        <f>IFERROR(__xludf.DUMMYFUNCTION("""COMPUTED_VALUE"""),0.14112615823235922)</f>
        <v>0.1411261582</v>
      </c>
      <c r="F973" s="5">
        <f>IFERROR(__xludf.DUMMYFUNCTION("""COMPUTED_VALUE"""),0.23022095509622237)</f>
        <v>0.2302209551</v>
      </c>
      <c r="G973" s="5">
        <f>IFERROR(__xludf.DUMMYFUNCTION("""COMPUTED_VALUE"""),0.18602993585174626)</f>
        <v>0.1860299359</v>
      </c>
      <c r="H973" s="5">
        <f>IFERROR(__xludf.DUMMYFUNCTION("""COMPUTED_VALUE"""),0.5975232198142415)</f>
        <v>0.5975232198</v>
      </c>
      <c r="I973" s="11">
        <f>IFERROR(__xludf.DUMMYFUNCTION("""COMPUTED_VALUE"""),5305.572755417957)</f>
        <v>5305.572755</v>
      </c>
      <c r="J973" s="10">
        <f>IFERROR(__xludf.DUMMYFUNCTION("""COMPUTED_VALUE"""),0.0)</f>
        <v>0</v>
      </c>
      <c r="K973" s="5">
        <f>IFERROR(__xludf.DUMMYFUNCTION("""COMPUTED_VALUE"""),0.0)</f>
        <v>0</v>
      </c>
      <c r="L973" s="10">
        <f>IFERROR(__xludf.DUMMYFUNCTION("""COMPUTED_VALUE"""),128.0)</f>
        <v>128</v>
      </c>
      <c r="M973" s="5">
        <f>IFERROR(__xludf.DUMMYFUNCTION("""COMPUTED_VALUE"""),1.0)</f>
        <v>1</v>
      </c>
    </row>
    <row r="974">
      <c r="A974" s="10" t="str">
        <f>IFERROR(__xludf.DUMMYFUNCTION("""COMPUTED_VALUE"""),"欧州三冠")</f>
        <v>欧州三冠</v>
      </c>
      <c r="B974" s="10">
        <f>IFERROR(__xludf.DUMMYFUNCTION("""COMPUTED_VALUE"""),577.0)</f>
        <v>577</v>
      </c>
      <c r="C974" s="10">
        <f>IFERROR(__xludf.DUMMYFUNCTION("""COMPUTED_VALUE"""),6600.0)</f>
        <v>6600</v>
      </c>
      <c r="D974" s="5">
        <f>IFERROR(__xludf.DUMMYFUNCTION("""COMPUTED_VALUE"""),0.3529802424041176)</f>
        <v>0.3529802424</v>
      </c>
      <c r="E974" s="5">
        <f>IFERROR(__xludf.DUMMYFUNCTION("""COMPUTED_VALUE"""),0.1411256848746472)</f>
        <v>0.1411256849</v>
      </c>
      <c r="F974" s="5">
        <f>IFERROR(__xludf.DUMMYFUNCTION("""COMPUTED_VALUE"""),0.2302839116719243)</f>
        <v>0.2302839117</v>
      </c>
      <c r="G974" s="5">
        <f>IFERROR(__xludf.DUMMYFUNCTION("""COMPUTED_VALUE"""),0.1452764403121368)</f>
        <v>0.1452764403</v>
      </c>
      <c r="H974" s="5">
        <f>IFERROR(__xludf.DUMMYFUNCTION("""COMPUTED_VALUE"""),0.6222062004325883)</f>
        <v>0.6222062004</v>
      </c>
      <c r="I974" s="11">
        <f>IFERROR(__xludf.DUMMYFUNCTION("""COMPUTED_VALUE"""),5590.627253064167)</f>
        <v>5590.627253</v>
      </c>
      <c r="J974" s="10">
        <f>IFERROR(__xludf.DUMMYFUNCTION("""COMPUTED_VALUE"""),1.0)</f>
        <v>1</v>
      </c>
      <c r="K974" s="5">
        <f>IFERROR(__xludf.DUMMYFUNCTION("""COMPUTED_VALUE"""),0.0017331022530329288)</f>
        <v>0.001733102253</v>
      </c>
      <c r="L974" s="10">
        <f>IFERROR(__xludf.DUMMYFUNCTION("""COMPUTED_VALUE"""),577.0)</f>
        <v>577</v>
      </c>
      <c r="M974" s="5">
        <f>IFERROR(__xludf.DUMMYFUNCTION("""COMPUTED_VALUE"""),1.0)</f>
        <v>1</v>
      </c>
    </row>
    <row r="975">
      <c r="A975" s="10" t="str">
        <f>IFERROR(__xludf.DUMMYFUNCTION("""COMPUTED_VALUE"""),"遊走")</f>
        <v>遊走</v>
      </c>
      <c r="B975" s="10">
        <f>IFERROR(__xludf.DUMMYFUNCTION("""COMPUTED_VALUE"""),10411.0)</f>
        <v>10411</v>
      </c>
      <c r="C975" s="10">
        <f>IFERROR(__xludf.DUMMYFUNCTION("""COMPUTED_VALUE"""),121702.0)</f>
        <v>121702</v>
      </c>
      <c r="D975" s="5">
        <f>IFERROR(__xludf.DUMMYFUNCTION("""COMPUTED_VALUE"""),0.3831037550206216)</f>
        <v>0.383103755</v>
      </c>
      <c r="E975" s="5">
        <f>IFERROR(__xludf.DUMMYFUNCTION("""COMPUTED_VALUE"""),0.14112551778670332)</f>
        <v>0.1411255178</v>
      </c>
      <c r="F975" s="5">
        <f>IFERROR(__xludf.DUMMYFUNCTION("""COMPUTED_VALUE"""),0.22766441131807605)</f>
        <v>0.2276644113</v>
      </c>
      <c r="G975" s="5">
        <f>IFERROR(__xludf.DUMMYFUNCTION("""COMPUTED_VALUE"""),0.19314230261207105)</f>
        <v>0.1931423026</v>
      </c>
      <c r="H975" s="5">
        <f>IFERROR(__xludf.DUMMYFUNCTION("""COMPUTED_VALUE"""),0.5977424320164186)</f>
        <v>0.597742432</v>
      </c>
      <c r="I975" s="11">
        <f>IFERROR(__xludf.DUMMYFUNCTION("""COMPUTED_VALUE"""),5445.119785294234)</f>
        <v>5445.119785</v>
      </c>
      <c r="J975" s="10">
        <f>IFERROR(__xludf.DUMMYFUNCTION("""COMPUTED_VALUE"""),12.0)</f>
        <v>12</v>
      </c>
      <c r="K975" s="5">
        <f>IFERROR(__xludf.DUMMYFUNCTION("""COMPUTED_VALUE"""),0.0011526270291038324)</f>
        <v>0.001152627029</v>
      </c>
      <c r="L975" s="10">
        <f>IFERROR(__xludf.DUMMYFUNCTION("""COMPUTED_VALUE"""),5071.0)</f>
        <v>5071</v>
      </c>
      <c r="M975" s="5">
        <f>IFERROR(__xludf.DUMMYFUNCTION("""COMPUTED_VALUE"""),0.4870809720487945)</f>
        <v>0.487080972</v>
      </c>
    </row>
    <row r="976">
      <c r="A976" s="10" t="str">
        <f>IFERROR(__xludf.DUMMYFUNCTION("""COMPUTED_VALUE"""),"ひげ剃りリーチ")</f>
        <v>ひげ剃りリーチ</v>
      </c>
      <c r="B976" s="10">
        <f>IFERROR(__xludf.DUMMYFUNCTION("""COMPUTED_VALUE"""),305.0)</f>
        <v>305</v>
      </c>
      <c r="C976" s="10">
        <f>IFERROR(__xludf.DUMMYFUNCTION("""COMPUTED_VALUE"""),3579.0)</f>
        <v>3579</v>
      </c>
      <c r="D976" s="5">
        <f>IFERROR(__xludf.DUMMYFUNCTION("""COMPUTED_VALUE"""),0.31246182040317655)</f>
        <v>0.3124618204</v>
      </c>
      <c r="E976" s="5">
        <f>IFERROR(__xludf.DUMMYFUNCTION("""COMPUTED_VALUE"""),0.14111178985949907)</f>
        <v>0.1411117899</v>
      </c>
      <c r="F976" s="5">
        <f>IFERROR(__xludf.DUMMYFUNCTION("""COMPUTED_VALUE"""),0.2009773976786805)</f>
        <v>0.2009773977</v>
      </c>
      <c r="G976" s="5">
        <f>IFERROR(__xludf.DUMMYFUNCTION("""COMPUTED_VALUE"""),0.1948686621869273)</f>
        <v>0.1948686622</v>
      </c>
      <c r="H976" s="5">
        <f>IFERROR(__xludf.DUMMYFUNCTION("""COMPUTED_VALUE"""),0.6003039513677811)</f>
        <v>0.6003039514</v>
      </c>
      <c r="I976" s="11">
        <f>IFERROR(__xludf.DUMMYFUNCTION("""COMPUTED_VALUE"""),5758.510638297872)</f>
        <v>5758.510638</v>
      </c>
      <c r="J976" s="10">
        <f>IFERROR(__xludf.DUMMYFUNCTION("""COMPUTED_VALUE"""),0.0)</f>
        <v>0</v>
      </c>
      <c r="K976" s="5">
        <f>IFERROR(__xludf.DUMMYFUNCTION("""COMPUTED_VALUE"""),0.0)</f>
        <v>0</v>
      </c>
      <c r="L976" s="10">
        <f>IFERROR(__xludf.DUMMYFUNCTION("""COMPUTED_VALUE"""),305.0)</f>
        <v>305</v>
      </c>
      <c r="M976" s="5">
        <f>IFERROR(__xludf.DUMMYFUNCTION("""COMPUTED_VALUE"""),1.0)</f>
        <v>1</v>
      </c>
    </row>
    <row r="977">
      <c r="A977" s="10" t="str">
        <f>IFERROR(__xludf.DUMMYFUNCTION("""COMPUTED_VALUE"""),"こあかり")</f>
        <v>こあかり</v>
      </c>
      <c r="B977" s="10">
        <f>IFERROR(__xludf.DUMMYFUNCTION("""COMPUTED_VALUE"""),303.0)</f>
        <v>303</v>
      </c>
      <c r="C977" s="10">
        <f>IFERROR(__xludf.DUMMYFUNCTION("""COMPUTED_VALUE"""),3563.0)</f>
        <v>3563</v>
      </c>
      <c r="D977" s="5">
        <f>IFERROR(__xludf.DUMMYFUNCTION("""COMPUTED_VALUE"""),0.3628834355828221)</f>
        <v>0.3628834356</v>
      </c>
      <c r="E977" s="5">
        <f>IFERROR(__xludf.DUMMYFUNCTION("""COMPUTED_VALUE"""),0.1411042944785276)</f>
        <v>0.1411042945</v>
      </c>
      <c r="F977" s="5">
        <f>IFERROR(__xludf.DUMMYFUNCTION("""COMPUTED_VALUE"""),0.21993865030674847)</f>
        <v>0.2199386503</v>
      </c>
      <c r="G977" s="5">
        <f>IFERROR(__xludf.DUMMYFUNCTION("""COMPUTED_VALUE"""),0.16104294478527606)</f>
        <v>0.1610429448</v>
      </c>
      <c r="H977" s="5">
        <f>IFERROR(__xludf.DUMMYFUNCTION("""COMPUTED_VALUE"""),0.6122733612273361)</f>
        <v>0.6122733612</v>
      </c>
      <c r="I977" s="11">
        <f>IFERROR(__xludf.DUMMYFUNCTION("""COMPUTED_VALUE"""),5160.5299860529985)</f>
        <v>5160.529986</v>
      </c>
      <c r="J977" s="10">
        <f>IFERROR(__xludf.DUMMYFUNCTION("""COMPUTED_VALUE"""),1.0)</f>
        <v>1</v>
      </c>
      <c r="K977" s="5">
        <f>IFERROR(__xludf.DUMMYFUNCTION("""COMPUTED_VALUE"""),0.0033003300330033004)</f>
        <v>0.003300330033</v>
      </c>
      <c r="L977" s="10">
        <f>IFERROR(__xludf.DUMMYFUNCTION("""COMPUTED_VALUE"""),303.0)</f>
        <v>303</v>
      </c>
      <c r="M977" s="5">
        <f>IFERROR(__xludf.DUMMYFUNCTION("""COMPUTED_VALUE"""),1.0)</f>
        <v>1</v>
      </c>
    </row>
    <row r="978">
      <c r="A978" s="10" t="str">
        <f>IFERROR(__xludf.DUMMYFUNCTION("""COMPUTED_VALUE"""),"むねお〇")</f>
        <v>むねお〇</v>
      </c>
      <c r="B978" s="10">
        <f>IFERROR(__xludf.DUMMYFUNCTION("""COMPUTED_VALUE"""),146.0)</f>
        <v>146</v>
      </c>
      <c r="C978" s="10">
        <f>IFERROR(__xludf.DUMMYFUNCTION("""COMPUTED_VALUE"""),1755.0)</f>
        <v>1755</v>
      </c>
      <c r="D978" s="5">
        <f>IFERROR(__xludf.DUMMYFUNCTION("""COMPUTED_VALUE"""),0.2591671845866998)</f>
        <v>0.2591671846</v>
      </c>
      <c r="E978" s="5">
        <f>IFERROR(__xludf.DUMMYFUNCTION("""COMPUTED_VALUE"""),0.14108141702921068)</f>
        <v>0.141081417</v>
      </c>
      <c r="F978" s="5">
        <f>IFERROR(__xludf.DUMMYFUNCTION("""COMPUTED_VALUE"""),0.1740211311373524)</f>
        <v>0.1740211311</v>
      </c>
      <c r="G978" s="5">
        <f>IFERROR(__xludf.DUMMYFUNCTION("""COMPUTED_VALUE"""),0.21379738968303294)</f>
        <v>0.2137973897</v>
      </c>
      <c r="H978" s="5">
        <f>IFERROR(__xludf.DUMMYFUNCTION("""COMPUTED_VALUE"""),0.5535714285714286)</f>
        <v>0.5535714286</v>
      </c>
      <c r="I978" s="11">
        <f>IFERROR(__xludf.DUMMYFUNCTION("""COMPUTED_VALUE"""),6569.285714285715)</f>
        <v>6569.285714</v>
      </c>
      <c r="J978" s="10">
        <f>IFERROR(__xludf.DUMMYFUNCTION("""COMPUTED_VALUE"""),1.0)</f>
        <v>1</v>
      </c>
      <c r="K978" s="5">
        <f>IFERROR(__xludf.DUMMYFUNCTION("""COMPUTED_VALUE"""),0.00684931506849315)</f>
        <v>0.006849315068</v>
      </c>
      <c r="L978" s="10">
        <f>IFERROR(__xludf.DUMMYFUNCTION("""COMPUTED_VALUE"""),0.0)</f>
        <v>0</v>
      </c>
      <c r="M978" s="5">
        <f>IFERROR(__xludf.DUMMYFUNCTION("""COMPUTED_VALUE"""),0.0)</f>
        <v>0</v>
      </c>
    </row>
    <row r="979">
      <c r="A979" s="10" t="str">
        <f>IFERROR(__xludf.DUMMYFUNCTION("""COMPUTED_VALUE"""),"オズグループ")</f>
        <v>オズグループ</v>
      </c>
      <c r="B979" s="10">
        <f>IFERROR(__xludf.DUMMYFUNCTION("""COMPUTED_VALUE"""),1261.0)</f>
        <v>1261</v>
      </c>
      <c r="C979" s="10">
        <f>IFERROR(__xludf.DUMMYFUNCTION("""COMPUTED_VALUE"""),14645.0)</f>
        <v>14645</v>
      </c>
      <c r="D979" s="5">
        <f>IFERROR(__xludf.DUMMYFUNCTION("""COMPUTED_VALUE"""),0.3128362223550508)</f>
        <v>0.3128362224</v>
      </c>
      <c r="E979" s="5">
        <f>IFERROR(__xludf.DUMMYFUNCTION("""COMPUTED_VALUE"""),0.14106395696353854)</f>
        <v>0.141063957</v>
      </c>
      <c r="F979" s="5">
        <f>IFERROR(__xludf.DUMMYFUNCTION("""COMPUTED_VALUE"""),0.20741183502689778)</f>
        <v>0.207411835</v>
      </c>
      <c r="G979" s="5">
        <f>IFERROR(__xludf.DUMMYFUNCTION("""COMPUTED_VALUE"""),0.2027047220561865)</f>
        <v>0.2027047221</v>
      </c>
      <c r="H979" s="5">
        <f>IFERROR(__xludf.DUMMYFUNCTION("""COMPUTED_VALUE"""),0.5846541786743515)</f>
        <v>0.5846541787</v>
      </c>
      <c r="I979" s="11">
        <f>IFERROR(__xludf.DUMMYFUNCTION("""COMPUTED_VALUE"""),6409.402017291066)</f>
        <v>6409.402017</v>
      </c>
      <c r="J979" s="10">
        <f>IFERROR(__xludf.DUMMYFUNCTION("""COMPUTED_VALUE"""),5.0)</f>
        <v>5</v>
      </c>
      <c r="K979" s="5">
        <f>IFERROR(__xludf.DUMMYFUNCTION("""COMPUTED_VALUE"""),0.003965107057890563)</f>
        <v>0.003965107058</v>
      </c>
      <c r="L979" s="10">
        <f>IFERROR(__xludf.DUMMYFUNCTION("""COMPUTED_VALUE"""),1261.0)</f>
        <v>1261</v>
      </c>
      <c r="M979" s="5">
        <f>IFERROR(__xludf.DUMMYFUNCTION("""COMPUTED_VALUE"""),1.0)</f>
        <v>1</v>
      </c>
    </row>
    <row r="980">
      <c r="A980" s="10" t="str">
        <f>IFERROR(__xludf.DUMMYFUNCTION("""COMPUTED_VALUE"""),"公務員くん")</f>
        <v>公務員くん</v>
      </c>
      <c r="B980" s="10">
        <f>IFERROR(__xludf.DUMMYFUNCTION("""COMPUTED_VALUE"""),3033.0)</f>
        <v>3033</v>
      </c>
      <c r="C980" s="10">
        <f>IFERROR(__xludf.DUMMYFUNCTION("""COMPUTED_VALUE"""),35304.0)</f>
        <v>35304</v>
      </c>
      <c r="D980" s="5">
        <f>IFERROR(__xludf.DUMMYFUNCTION("""COMPUTED_VALUE"""),0.37578630968981436)</f>
        <v>0.3757863097</v>
      </c>
      <c r="E980" s="5">
        <f>IFERROR(__xludf.DUMMYFUNCTION("""COMPUTED_VALUE"""),0.1410554367698553)</f>
        <v>0.1410554368</v>
      </c>
      <c r="F980" s="5">
        <f>IFERROR(__xludf.DUMMYFUNCTION("""COMPUTED_VALUE"""),0.21595240308636238)</f>
        <v>0.2159524031</v>
      </c>
      <c r="G980" s="5">
        <f>IFERROR(__xludf.DUMMYFUNCTION("""COMPUTED_VALUE"""),0.18180409655728053)</f>
        <v>0.1818040966</v>
      </c>
      <c r="H980" s="5">
        <f>IFERROR(__xludf.DUMMYFUNCTION("""COMPUTED_VALUE"""),0.5966422729229445)</f>
        <v>0.5966422729</v>
      </c>
      <c r="I980" s="11">
        <f>IFERROR(__xludf.DUMMYFUNCTION("""COMPUTED_VALUE"""),5820.863825512986)</f>
        <v>5820.863826</v>
      </c>
      <c r="J980" s="10">
        <f>IFERROR(__xludf.DUMMYFUNCTION("""COMPUTED_VALUE"""),5.0)</f>
        <v>5</v>
      </c>
      <c r="K980" s="5">
        <f>IFERROR(__xludf.DUMMYFUNCTION("""COMPUTED_VALUE"""),0.0016485328058028356)</f>
        <v>0.001648532806</v>
      </c>
      <c r="L980" s="10">
        <f>IFERROR(__xludf.DUMMYFUNCTION("""COMPUTED_VALUE"""),138.0)</f>
        <v>138</v>
      </c>
      <c r="M980" s="5">
        <f>IFERROR(__xludf.DUMMYFUNCTION("""COMPUTED_VALUE"""),0.04549950544015826)</f>
        <v>0.04549950544</v>
      </c>
    </row>
    <row r="981">
      <c r="A981" s="10" t="str">
        <f>IFERROR(__xludf.DUMMYFUNCTION("""COMPUTED_VALUE"""),"瀬良駿")</f>
        <v>瀬良駿</v>
      </c>
      <c r="B981" s="10">
        <f>IFERROR(__xludf.DUMMYFUNCTION("""COMPUTED_VALUE"""),136.0)</f>
        <v>136</v>
      </c>
      <c r="C981" s="10">
        <f>IFERROR(__xludf.DUMMYFUNCTION("""COMPUTED_VALUE"""),1632.0)</f>
        <v>1632</v>
      </c>
      <c r="D981" s="5">
        <f>IFERROR(__xludf.DUMMYFUNCTION("""COMPUTED_VALUE"""),0.32486631016042783)</f>
        <v>0.3248663102</v>
      </c>
      <c r="E981" s="5">
        <f>IFERROR(__xludf.DUMMYFUNCTION("""COMPUTED_VALUE"""),0.1410427807486631)</f>
        <v>0.1410427807</v>
      </c>
      <c r="F981" s="5">
        <f>IFERROR(__xludf.DUMMYFUNCTION("""COMPUTED_VALUE"""),0.20320855614973263)</f>
        <v>0.2032085561</v>
      </c>
      <c r="G981" s="5">
        <f>IFERROR(__xludf.DUMMYFUNCTION("""COMPUTED_VALUE"""),0.16243315508021391)</f>
        <v>0.1624331551</v>
      </c>
      <c r="H981" s="5">
        <f>IFERROR(__xludf.DUMMYFUNCTION("""COMPUTED_VALUE"""),0.6348684210526315)</f>
        <v>0.6348684211</v>
      </c>
      <c r="I981" s="11">
        <f>IFERROR(__xludf.DUMMYFUNCTION("""COMPUTED_VALUE"""),5639.144736842105)</f>
        <v>5639.144737</v>
      </c>
      <c r="J981" s="10">
        <f>IFERROR(__xludf.DUMMYFUNCTION("""COMPUTED_VALUE"""),0.0)</f>
        <v>0</v>
      </c>
      <c r="K981" s="5">
        <f>IFERROR(__xludf.DUMMYFUNCTION("""COMPUTED_VALUE"""),0.0)</f>
        <v>0</v>
      </c>
      <c r="L981" s="10">
        <f>IFERROR(__xludf.DUMMYFUNCTION("""COMPUTED_VALUE"""),136.0)</f>
        <v>136</v>
      </c>
      <c r="M981" s="5">
        <f>IFERROR(__xludf.DUMMYFUNCTION("""COMPUTED_VALUE"""),1.0)</f>
        <v>1</v>
      </c>
    </row>
    <row r="982">
      <c r="A982" s="10" t="str">
        <f>IFERROR(__xludf.DUMMYFUNCTION("""COMPUTED_VALUE"""),"PONZU")</f>
        <v>PONZU</v>
      </c>
      <c r="B982" s="10">
        <f>IFERROR(__xludf.DUMMYFUNCTION("""COMPUTED_VALUE"""),342.0)</f>
        <v>342</v>
      </c>
      <c r="C982" s="10">
        <f>IFERROR(__xludf.DUMMYFUNCTION("""COMPUTED_VALUE"""),4100.0)</f>
        <v>4100</v>
      </c>
      <c r="D982" s="5">
        <f>IFERROR(__xludf.DUMMYFUNCTION("""COMPUTED_VALUE"""),0.40819584885577437)</f>
        <v>0.4081958489</v>
      </c>
      <c r="E982" s="5">
        <f>IFERROR(__xludf.DUMMYFUNCTION("""COMPUTED_VALUE"""),0.1410324640766365)</f>
        <v>0.1410324641</v>
      </c>
      <c r="F982" s="5">
        <f>IFERROR(__xludf.DUMMYFUNCTION("""COMPUTED_VALUE"""),0.23044172432144758)</f>
        <v>0.2304417243</v>
      </c>
      <c r="G982" s="5">
        <f>IFERROR(__xludf.DUMMYFUNCTION("""COMPUTED_VALUE"""),0.15167642362959022)</f>
        <v>0.1516764236</v>
      </c>
      <c r="H982" s="5">
        <f>IFERROR(__xludf.DUMMYFUNCTION("""COMPUTED_VALUE"""),0.6177829099307159)</f>
        <v>0.6177829099</v>
      </c>
      <c r="I982" s="11">
        <f>IFERROR(__xludf.DUMMYFUNCTION("""COMPUTED_VALUE"""),5136.6050808314085)</f>
        <v>5136.605081</v>
      </c>
      <c r="J982" s="10">
        <f>IFERROR(__xludf.DUMMYFUNCTION("""COMPUTED_VALUE"""),1.0)</f>
        <v>1</v>
      </c>
      <c r="K982" s="5">
        <f>IFERROR(__xludf.DUMMYFUNCTION("""COMPUTED_VALUE"""),0.0029239766081871343)</f>
        <v>0.002923976608</v>
      </c>
      <c r="L982" s="10">
        <f>IFERROR(__xludf.DUMMYFUNCTION("""COMPUTED_VALUE"""),342.0)</f>
        <v>342</v>
      </c>
      <c r="M982" s="5">
        <f>IFERROR(__xludf.DUMMYFUNCTION("""COMPUTED_VALUE"""),1.0)</f>
        <v>1</v>
      </c>
    </row>
    <row r="983">
      <c r="A983" s="10" t="str">
        <f>IFERROR(__xludf.DUMMYFUNCTION("""COMPUTED_VALUE"""),"ume107")</f>
        <v>ume107</v>
      </c>
      <c r="B983" s="10">
        <f>IFERROR(__xludf.DUMMYFUNCTION("""COMPUTED_VALUE"""),497.0)</f>
        <v>497</v>
      </c>
      <c r="C983" s="10">
        <f>IFERROR(__xludf.DUMMYFUNCTION("""COMPUTED_VALUE"""),5893.0)</f>
        <v>5893</v>
      </c>
      <c r="D983" s="5">
        <f>IFERROR(__xludf.DUMMYFUNCTION("""COMPUTED_VALUE"""),0.356004447739066)</f>
        <v>0.3560044477</v>
      </c>
      <c r="E983" s="5">
        <f>IFERROR(__xludf.DUMMYFUNCTION("""COMPUTED_VALUE"""),0.1410303928836175)</f>
        <v>0.1410303929</v>
      </c>
      <c r="F983" s="5">
        <f>IFERROR(__xludf.DUMMYFUNCTION("""COMPUTED_VALUE"""),0.20441067457375833)</f>
        <v>0.2044106746</v>
      </c>
      <c r="G983" s="5">
        <f>IFERROR(__xludf.DUMMYFUNCTION("""COMPUTED_VALUE"""),0.15919199406968124)</f>
        <v>0.1591919941</v>
      </c>
      <c r="H983" s="5">
        <f>IFERROR(__xludf.DUMMYFUNCTION("""COMPUTED_VALUE"""),0.6010879419764279)</f>
        <v>0.601087942</v>
      </c>
      <c r="I983" s="11">
        <f>IFERROR(__xludf.DUMMYFUNCTION("""COMPUTED_VALUE"""),5607.978241160471)</f>
        <v>5607.978241</v>
      </c>
      <c r="J983" s="10">
        <f>IFERROR(__xludf.DUMMYFUNCTION("""COMPUTED_VALUE"""),1.0)</f>
        <v>1</v>
      </c>
      <c r="K983" s="5">
        <f>IFERROR(__xludf.DUMMYFUNCTION("""COMPUTED_VALUE"""),0.002012072434607646)</f>
        <v>0.002012072435</v>
      </c>
      <c r="L983" s="10">
        <f>IFERROR(__xludf.DUMMYFUNCTION("""COMPUTED_VALUE"""),497.0)</f>
        <v>497</v>
      </c>
      <c r="M983" s="5">
        <f>IFERROR(__xludf.DUMMYFUNCTION("""COMPUTED_VALUE"""),1.0)</f>
        <v>1</v>
      </c>
    </row>
    <row r="984">
      <c r="A984" s="10" t="str">
        <f>IFERROR(__xludf.DUMMYFUNCTION("""COMPUTED_VALUE"""),"クレム")</f>
        <v>クレム</v>
      </c>
      <c r="B984" s="10">
        <f>IFERROR(__xludf.DUMMYFUNCTION("""COMPUTED_VALUE"""),295.0)</f>
        <v>295</v>
      </c>
      <c r="C984" s="10">
        <f>IFERROR(__xludf.DUMMYFUNCTION("""COMPUTED_VALUE"""),3422.0)</f>
        <v>3422</v>
      </c>
      <c r="D984" s="5">
        <f>IFERROR(__xludf.DUMMYFUNCTION("""COMPUTED_VALUE"""),0.3923888711224816)</f>
        <v>0.3923888711</v>
      </c>
      <c r="E984" s="5">
        <f>IFERROR(__xludf.DUMMYFUNCTION("""COMPUTED_VALUE"""),0.1410297409657819)</f>
        <v>0.141029741</v>
      </c>
      <c r="F984" s="5">
        <f>IFERROR(__xludf.DUMMYFUNCTION("""COMPUTED_VALUE"""),0.19891269587464022)</f>
        <v>0.1989126959</v>
      </c>
      <c r="G984" s="5">
        <f>IFERROR(__xludf.DUMMYFUNCTION("""COMPUTED_VALUE"""),0.17972497601535017)</f>
        <v>0.179724976</v>
      </c>
      <c r="H984" s="5">
        <f>IFERROR(__xludf.DUMMYFUNCTION("""COMPUTED_VALUE"""),0.590032154340836)</f>
        <v>0.5900321543</v>
      </c>
      <c r="I984" s="11">
        <f>IFERROR(__xludf.DUMMYFUNCTION("""COMPUTED_VALUE"""),5341.479099678457)</f>
        <v>5341.4791</v>
      </c>
      <c r="J984" s="10">
        <f>IFERROR(__xludf.DUMMYFUNCTION("""COMPUTED_VALUE"""),0.0)</f>
        <v>0</v>
      </c>
      <c r="K984" s="5">
        <f>IFERROR(__xludf.DUMMYFUNCTION("""COMPUTED_VALUE"""),0.0)</f>
        <v>0</v>
      </c>
      <c r="L984" s="10">
        <f>IFERROR(__xludf.DUMMYFUNCTION("""COMPUTED_VALUE"""),295.0)</f>
        <v>295</v>
      </c>
      <c r="M984" s="5">
        <f>IFERROR(__xludf.DUMMYFUNCTION("""COMPUTED_VALUE"""),1.0)</f>
        <v>1</v>
      </c>
    </row>
    <row r="985">
      <c r="A985" s="10" t="str">
        <f>IFERROR(__xludf.DUMMYFUNCTION("""COMPUTED_VALUE"""),"リリーちゃん")</f>
        <v>リリーちゃん</v>
      </c>
      <c r="B985" s="10">
        <f>IFERROR(__xludf.DUMMYFUNCTION("""COMPUTED_VALUE"""),115.0)</f>
        <v>115</v>
      </c>
      <c r="C985" s="10">
        <f>IFERROR(__xludf.DUMMYFUNCTION("""COMPUTED_VALUE"""),1363.0)</f>
        <v>1363</v>
      </c>
      <c r="D985" s="5">
        <f>IFERROR(__xludf.DUMMYFUNCTION("""COMPUTED_VALUE"""),0.3092948717948718)</f>
        <v>0.3092948718</v>
      </c>
      <c r="E985" s="5">
        <f>IFERROR(__xludf.DUMMYFUNCTION("""COMPUTED_VALUE"""),0.14102564102564102)</f>
        <v>0.141025641</v>
      </c>
      <c r="F985" s="5">
        <f>IFERROR(__xludf.DUMMYFUNCTION("""COMPUTED_VALUE"""),0.21233974358974358)</f>
        <v>0.2123397436</v>
      </c>
      <c r="G985" s="5">
        <f>IFERROR(__xludf.DUMMYFUNCTION("""COMPUTED_VALUE"""),0.1762820512820513)</f>
        <v>0.1762820513</v>
      </c>
      <c r="H985" s="5">
        <f>IFERROR(__xludf.DUMMYFUNCTION("""COMPUTED_VALUE"""),0.5811320754716981)</f>
        <v>0.5811320755</v>
      </c>
      <c r="I985" s="11">
        <f>IFERROR(__xludf.DUMMYFUNCTION("""COMPUTED_VALUE"""),5589.433962264151)</f>
        <v>5589.433962</v>
      </c>
      <c r="J985" s="10">
        <f>IFERROR(__xludf.DUMMYFUNCTION("""COMPUTED_VALUE"""),0.0)</f>
        <v>0</v>
      </c>
      <c r="K985" s="5">
        <f>IFERROR(__xludf.DUMMYFUNCTION("""COMPUTED_VALUE"""),0.0)</f>
        <v>0</v>
      </c>
      <c r="L985" s="10">
        <f>IFERROR(__xludf.DUMMYFUNCTION("""COMPUTED_VALUE"""),115.0)</f>
        <v>115</v>
      </c>
      <c r="M985" s="5">
        <f>IFERROR(__xludf.DUMMYFUNCTION("""COMPUTED_VALUE"""),1.0)</f>
        <v>1</v>
      </c>
    </row>
    <row r="986">
      <c r="A986" s="10" t="str">
        <f>IFERROR(__xludf.DUMMYFUNCTION("""COMPUTED_VALUE"""),"しっちゃん61")</f>
        <v>しっちゃん61</v>
      </c>
      <c r="B986" s="10">
        <f>IFERROR(__xludf.DUMMYFUNCTION("""COMPUTED_VALUE"""),158.0)</f>
        <v>158</v>
      </c>
      <c r="C986" s="10">
        <f>IFERROR(__xludf.DUMMYFUNCTION("""COMPUTED_VALUE"""),1867.0)</f>
        <v>1867</v>
      </c>
      <c r="D986" s="5">
        <f>IFERROR(__xludf.DUMMYFUNCTION("""COMPUTED_VALUE"""),0.3861907548273844)</f>
        <v>0.3861907548</v>
      </c>
      <c r="E986" s="5">
        <f>IFERROR(__xludf.DUMMYFUNCTION("""COMPUTED_VALUE"""),0.14101813926272674)</f>
        <v>0.1410181393</v>
      </c>
      <c r="F986" s="5">
        <f>IFERROR(__xludf.DUMMYFUNCTION("""COMPUTED_VALUE"""),0.192510239906378)</f>
        <v>0.1925102399</v>
      </c>
      <c r="G986" s="5">
        <f>IFERROR(__xludf.DUMMYFUNCTION("""COMPUTED_VALUE"""),0.13165593914569923)</f>
        <v>0.1316559391</v>
      </c>
      <c r="H986" s="5">
        <f>IFERROR(__xludf.DUMMYFUNCTION("""COMPUTED_VALUE"""),0.6170212765957447)</f>
        <v>0.6170212766</v>
      </c>
      <c r="I986" s="11">
        <f>IFERROR(__xludf.DUMMYFUNCTION("""COMPUTED_VALUE"""),5085.410334346505)</f>
        <v>5085.410334</v>
      </c>
      <c r="J986" s="10">
        <f>IFERROR(__xludf.DUMMYFUNCTION("""COMPUTED_VALUE"""),0.0)</f>
        <v>0</v>
      </c>
      <c r="K986" s="5">
        <f>IFERROR(__xludf.DUMMYFUNCTION("""COMPUTED_VALUE"""),0.0)</f>
        <v>0</v>
      </c>
      <c r="L986" s="10">
        <f>IFERROR(__xludf.DUMMYFUNCTION("""COMPUTED_VALUE"""),144.0)</f>
        <v>144</v>
      </c>
      <c r="M986" s="5">
        <f>IFERROR(__xludf.DUMMYFUNCTION("""COMPUTED_VALUE"""),0.9113924050632911)</f>
        <v>0.9113924051</v>
      </c>
    </row>
    <row r="987">
      <c r="A987" s="10" t="str">
        <f>IFERROR(__xludf.DUMMYFUNCTION("""COMPUTED_VALUE"""),"モロヘイヤ")</f>
        <v>モロヘイヤ</v>
      </c>
      <c r="B987" s="10">
        <f>IFERROR(__xludf.DUMMYFUNCTION("""COMPUTED_VALUE"""),4681.0)</f>
        <v>4681</v>
      </c>
      <c r="C987" s="10">
        <f>IFERROR(__xludf.DUMMYFUNCTION("""COMPUTED_VALUE"""),54180.0)</f>
        <v>54180</v>
      </c>
      <c r="D987" s="5">
        <f>IFERROR(__xludf.DUMMYFUNCTION("""COMPUTED_VALUE"""),0.2683690579607669)</f>
        <v>0.268369058</v>
      </c>
      <c r="E987" s="5">
        <f>IFERROR(__xludf.DUMMYFUNCTION("""COMPUTED_VALUE"""),0.14097254489989697)</f>
        <v>0.1409725449</v>
      </c>
      <c r="F987" s="5">
        <f>IFERROR(__xludf.DUMMYFUNCTION("""COMPUTED_VALUE"""),0.22054991009919392)</f>
        <v>0.2205499101</v>
      </c>
      <c r="G987" s="5">
        <f>IFERROR(__xludf.DUMMYFUNCTION("""COMPUTED_VALUE"""),0.20475161114365947)</f>
        <v>0.2047516111</v>
      </c>
      <c r="H987" s="5">
        <f>IFERROR(__xludf.DUMMYFUNCTION("""COMPUTED_VALUE"""),0.5980580745626087)</f>
        <v>0.5980580746</v>
      </c>
      <c r="I987" s="11">
        <f>IFERROR(__xludf.DUMMYFUNCTION("""COMPUTED_VALUE"""),5866.483466153705)</f>
        <v>5866.483466</v>
      </c>
      <c r="J987" s="10">
        <f>IFERROR(__xludf.DUMMYFUNCTION("""COMPUTED_VALUE"""),14.0)</f>
        <v>14</v>
      </c>
      <c r="K987" s="5">
        <f>IFERROR(__xludf.DUMMYFUNCTION("""COMPUTED_VALUE"""),0.002990813928647725)</f>
        <v>0.002990813929</v>
      </c>
      <c r="L987" s="10">
        <f>IFERROR(__xludf.DUMMYFUNCTION("""COMPUTED_VALUE"""),4681.0)</f>
        <v>4681</v>
      </c>
      <c r="M987" s="5">
        <f>IFERROR(__xludf.DUMMYFUNCTION("""COMPUTED_VALUE"""),1.0)</f>
        <v>1</v>
      </c>
    </row>
    <row r="988">
      <c r="A988" s="10" t="str">
        <f>IFERROR(__xludf.DUMMYFUNCTION("""COMPUTED_VALUE"""),"つかんぽくん")</f>
        <v>つかんぽくん</v>
      </c>
      <c r="B988" s="10">
        <f>IFERROR(__xludf.DUMMYFUNCTION("""COMPUTED_VALUE"""),530.0)</f>
        <v>530</v>
      </c>
      <c r="C988" s="10">
        <f>IFERROR(__xludf.DUMMYFUNCTION("""COMPUTED_VALUE"""),6248.0)</f>
        <v>6248</v>
      </c>
      <c r="D988" s="5">
        <f>IFERROR(__xludf.DUMMYFUNCTION("""COMPUTED_VALUE"""),0.37915355019237496)</f>
        <v>0.3791535502</v>
      </c>
      <c r="E988" s="5">
        <f>IFERROR(__xludf.DUMMYFUNCTION("""COMPUTED_VALUE"""),0.14095837705491432)</f>
        <v>0.1409583771</v>
      </c>
      <c r="F988" s="5">
        <f>IFERROR(__xludf.DUMMYFUNCTION("""COMPUTED_VALUE"""),0.20916404337180833)</f>
        <v>0.2091640434</v>
      </c>
      <c r="G988" s="5">
        <f>IFERROR(__xludf.DUMMYFUNCTION("""COMPUTED_VALUE"""),0.14515564882826162)</f>
        <v>0.1451556488</v>
      </c>
      <c r="H988" s="5">
        <f>IFERROR(__xludf.DUMMYFUNCTION("""COMPUTED_VALUE"""),0.6095317725752508)</f>
        <v>0.6095317726</v>
      </c>
      <c r="I988" s="11">
        <f>IFERROR(__xludf.DUMMYFUNCTION("""COMPUTED_VALUE"""),5602.173913043478)</f>
        <v>5602.173913</v>
      </c>
      <c r="J988" s="10">
        <f>IFERROR(__xludf.DUMMYFUNCTION("""COMPUTED_VALUE"""),2.0)</f>
        <v>2</v>
      </c>
      <c r="K988" s="5">
        <f>IFERROR(__xludf.DUMMYFUNCTION("""COMPUTED_VALUE"""),0.0037735849056603774)</f>
        <v>0.003773584906</v>
      </c>
      <c r="L988" s="10">
        <f>IFERROR(__xludf.DUMMYFUNCTION("""COMPUTED_VALUE"""),530.0)</f>
        <v>530</v>
      </c>
      <c r="M988" s="5">
        <f>IFERROR(__xludf.DUMMYFUNCTION("""COMPUTED_VALUE"""),1.0)</f>
        <v>1</v>
      </c>
    </row>
    <row r="989">
      <c r="A989" s="10" t="str">
        <f>IFERROR(__xludf.DUMMYFUNCTION("""COMPUTED_VALUE"""),"Hachinal")</f>
        <v>Hachinal</v>
      </c>
      <c r="B989" s="10">
        <f>IFERROR(__xludf.DUMMYFUNCTION("""COMPUTED_VALUE"""),472.0)</f>
        <v>472</v>
      </c>
      <c r="C989" s="10">
        <f>IFERROR(__xludf.DUMMYFUNCTION("""COMPUTED_VALUE"""),5573.0)</f>
        <v>5573</v>
      </c>
      <c r="D989" s="5">
        <f>IFERROR(__xludf.DUMMYFUNCTION("""COMPUTED_VALUE"""),0.3760047049598118)</f>
        <v>0.376004705</v>
      </c>
      <c r="E989" s="5">
        <f>IFERROR(__xludf.DUMMYFUNCTION("""COMPUTED_VALUE"""),0.14095275436188984)</f>
        <v>0.1409527544</v>
      </c>
      <c r="F989" s="5">
        <f>IFERROR(__xludf.DUMMYFUNCTION("""COMPUTED_VALUE"""),0.21074299157028034)</f>
        <v>0.2107429916</v>
      </c>
      <c r="G989" s="5">
        <f>IFERROR(__xludf.DUMMYFUNCTION("""COMPUTED_VALUE"""),0.19192315232307391)</f>
        <v>0.1919231523</v>
      </c>
      <c r="H989" s="5">
        <f>IFERROR(__xludf.DUMMYFUNCTION("""COMPUTED_VALUE"""),0.575813953488372)</f>
        <v>0.5758139535</v>
      </c>
      <c r="I989" s="11">
        <f>IFERROR(__xludf.DUMMYFUNCTION("""COMPUTED_VALUE"""),5768.372093023256)</f>
        <v>5768.372093</v>
      </c>
      <c r="J989" s="10">
        <f>IFERROR(__xludf.DUMMYFUNCTION("""COMPUTED_VALUE"""),0.0)</f>
        <v>0</v>
      </c>
      <c r="K989" s="5">
        <f>IFERROR(__xludf.DUMMYFUNCTION("""COMPUTED_VALUE"""),0.0)</f>
        <v>0</v>
      </c>
      <c r="L989" s="10">
        <f>IFERROR(__xludf.DUMMYFUNCTION("""COMPUTED_VALUE"""),472.0)</f>
        <v>472</v>
      </c>
      <c r="M989" s="5">
        <f>IFERROR(__xludf.DUMMYFUNCTION("""COMPUTED_VALUE"""),1.0)</f>
        <v>1</v>
      </c>
    </row>
    <row r="990">
      <c r="A990" s="10" t="str">
        <f>IFERROR(__xludf.DUMMYFUNCTION("""COMPUTED_VALUE"""),"Wombat")</f>
        <v>Wombat</v>
      </c>
      <c r="B990" s="10">
        <f>IFERROR(__xludf.DUMMYFUNCTION("""COMPUTED_VALUE"""),596.0)</f>
        <v>596</v>
      </c>
      <c r="C990" s="10">
        <f>IFERROR(__xludf.DUMMYFUNCTION("""COMPUTED_VALUE"""),7010.0)</f>
        <v>7010</v>
      </c>
      <c r="D990" s="5">
        <f>IFERROR(__xludf.DUMMYFUNCTION("""COMPUTED_VALUE"""),0.37511693171188026)</f>
        <v>0.3751169317</v>
      </c>
      <c r="E990" s="5">
        <f>IFERROR(__xludf.DUMMYFUNCTION("""COMPUTED_VALUE"""),0.14094169005300905)</f>
        <v>0.1409416901</v>
      </c>
      <c r="F990" s="5">
        <f>IFERROR(__xludf.DUMMYFUNCTION("""COMPUTED_VALUE"""),0.20159027128157156)</f>
        <v>0.2015902713</v>
      </c>
      <c r="G990" s="5">
        <f>IFERROR(__xludf.DUMMYFUNCTION("""COMPUTED_VALUE"""),0.17648893046460867)</f>
        <v>0.1764889305</v>
      </c>
      <c r="H990" s="5">
        <f>IFERROR(__xludf.DUMMYFUNCTION("""COMPUTED_VALUE"""),0.5738592420726991)</f>
        <v>0.5738592421</v>
      </c>
      <c r="I990" s="11">
        <f>IFERROR(__xludf.DUMMYFUNCTION("""COMPUTED_VALUE"""),5878.2675947409125)</f>
        <v>5878.267595</v>
      </c>
      <c r="J990" s="10">
        <f>IFERROR(__xludf.DUMMYFUNCTION("""COMPUTED_VALUE"""),1.0)</f>
        <v>1</v>
      </c>
      <c r="K990" s="5">
        <f>IFERROR(__xludf.DUMMYFUNCTION("""COMPUTED_VALUE"""),0.0016778523489932886)</f>
        <v>0.001677852349</v>
      </c>
      <c r="L990" s="10">
        <f>IFERROR(__xludf.DUMMYFUNCTION("""COMPUTED_VALUE"""),542.0)</f>
        <v>542</v>
      </c>
      <c r="M990" s="5">
        <f>IFERROR(__xludf.DUMMYFUNCTION("""COMPUTED_VALUE"""),0.9093959731543624)</f>
        <v>0.9093959732</v>
      </c>
    </row>
    <row r="991">
      <c r="A991" s="10" t="str">
        <f>IFERROR(__xludf.DUMMYFUNCTION("""COMPUTED_VALUE"""),"＠うさみん")</f>
        <v>＠うさみん</v>
      </c>
      <c r="B991" s="10">
        <f>IFERROR(__xludf.DUMMYFUNCTION("""COMPUTED_VALUE"""),649.0)</f>
        <v>649</v>
      </c>
      <c r="C991" s="10">
        <f>IFERROR(__xludf.DUMMYFUNCTION("""COMPUTED_VALUE"""),7567.0)</f>
        <v>7567</v>
      </c>
      <c r="D991" s="5">
        <f>IFERROR(__xludf.DUMMYFUNCTION("""COMPUTED_VALUE"""),0.3262503613761203)</f>
        <v>0.3262503614</v>
      </c>
      <c r="E991" s="5">
        <f>IFERROR(__xludf.DUMMYFUNCTION("""COMPUTED_VALUE"""),0.1409366869037294)</f>
        <v>0.1409366869</v>
      </c>
      <c r="F991" s="5">
        <f>IFERROR(__xludf.DUMMYFUNCTION("""COMPUTED_VALUE"""),0.22304134142815843)</f>
        <v>0.2230413414</v>
      </c>
      <c r="G991" s="5">
        <f>IFERROR(__xludf.DUMMYFUNCTION("""COMPUTED_VALUE"""),0.20714079213645561)</f>
        <v>0.2071407921</v>
      </c>
      <c r="H991" s="5">
        <f>IFERROR(__xludf.DUMMYFUNCTION("""COMPUTED_VALUE"""),0.5767984445884641)</f>
        <v>0.5767984446</v>
      </c>
      <c r="I991" s="11">
        <f>IFERROR(__xludf.DUMMYFUNCTION("""COMPUTED_VALUE"""),6225.340246273493)</f>
        <v>6225.340246</v>
      </c>
      <c r="J991" s="10">
        <f>IFERROR(__xludf.DUMMYFUNCTION("""COMPUTED_VALUE"""),2.0)</f>
        <v>2</v>
      </c>
      <c r="K991" s="5">
        <f>IFERROR(__xludf.DUMMYFUNCTION("""COMPUTED_VALUE"""),0.0030816640986132513)</f>
        <v>0.003081664099</v>
      </c>
      <c r="L991" s="10">
        <f>IFERROR(__xludf.DUMMYFUNCTION("""COMPUTED_VALUE"""),641.0)</f>
        <v>641</v>
      </c>
      <c r="M991" s="5">
        <f>IFERROR(__xludf.DUMMYFUNCTION("""COMPUTED_VALUE"""),0.987673343605547)</f>
        <v>0.9876733436</v>
      </c>
    </row>
    <row r="992">
      <c r="A992" s="10" t="str">
        <f>IFERROR(__xludf.DUMMYFUNCTION("""COMPUTED_VALUE"""),"きのじゅーん")</f>
        <v>きのじゅーん</v>
      </c>
      <c r="B992" s="10">
        <f>IFERROR(__xludf.DUMMYFUNCTION("""COMPUTED_VALUE"""),442.0)</f>
        <v>442</v>
      </c>
      <c r="C992" s="10">
        <f>IFERROR(__xludf.DUMMYFUNCTION("""COMPUTED_VALUE"""),5111.0)</f>
        <v>5111</v>
      </c>
      <c r="D992" s="5">
        <f>IFERROR(__xludf.DUMMYFUNCTION("""COMPUTED_VALUE"""),0.32555150995930604)</f>
        <v>0.32555151</v>
      </c>
      <c r="E992" s="5">
        <f>IFERROR(__xludf.DUMMYFUNCTION("""COMPUTED_VALUE"""),0.1409295352323838)</f>
        <v>0.1409295352</v>
      </c>
      <c r="F992" s="5">
        <f>IFERROR(__xludf.DUMMYFUNCTION("""COMPUTED_VALUE"""),0.20775326622403084)</f>
        <v>0.2077532662</v>
      </c>
      <c r="G992" s="5">
        <f>IFERROR(__xludf.DUMMYFUNCTION("""COMPUTED_VALUE"""),0.20925251659884345)</f>
        <v>0.2092525166</v>
      </c>
      <c r="H992" s="5">
        <f>IFERROR(__xludf.DUMMYFUNCTION("""COMPUTED_VALUE"""),0.5845360824742268)</f>
        <v>0.5845360825</v>
      </c>
      <c r="I992" s="11">
        <f>IFERROR(__xludf.DUMMYFUNCTION("""COMPUTED_VALUE"""),6022.371134020618)</f>
        <v>6022.371134</v>
      </c>
      <c r="J992" s="10">
        <f>IFERROR(__xludf.DUMMYFUNCTION("""COMPUTED_VALUE"""),1.0)</f>
        <v>1</v>
      </c>
      <c r="K992" s="5">
        <f>IFERROR(__xludf.DUMMYFUNCTION("""COMPUTED_VALUE"""),0.0022624434389140274)</f>
        <v>0.002262443439</v>
      </c>
      <c r="L992" s="10">
        <f>IFERROR(__xludf.DUMMYFUNCTION("""COMPUTED_VALUE"""),442.0)</f>
        <v>442</v>
      </c>
      <c r="M992" s="5">
        <f>IFERROR(__xludf.DUMMYFUNCTION("""COMPUTED_VALUE"""),1.0)</f>
        <v>1</v>
      </c>
    </row>
    <row r="993">
      <c r="A993" s="10" t="str">
        <f>IFERROR(__xludf.DUMMYFUNCTION("""COMPUTED_VALUE"""),"ポリゴン2")</f>
        <v>ポリゴン2</v>
      </c>
      <c r="B993" s="10">
        <f>IFERROR(__xludf.DUMMYFUNCTION("""COMPUTED_VALUE"""),214.0)</f>
        <v>214</v>
      </c>
      <c r="C993" s="10">
        <f>IFERROR(__xludf.DUMMYFUNCTION("""COMPUTED_VALUE"""),2414.0)</f>
        <v>2414</v>
      </c>
      <c r="D993" s="5">
        <f>IFERROR(__xludf.DUMMYFUNCTION("""COMPUTED_VALUE"""),0.35409090909090907)</f>
        <v>0.3540909091</v>
      </c>
      <c r="E993" s="5">
        <f>IFERROR(__xludf.DUMMYFUNCTION("""COMPUTED_VALUE"""),0.1409090909090909)</f>
        <v>0.1409090909</v>
      </c>
      <c r="F993" s="5">
        <f>IFERROR(__xludf.DUMMYFUNCTION("""COMPUTED_VALUE"""),0.215)</f>
        <v>0.215</v>
      </c>
      <c r="G993" s="5">
        <f>IFERROR(__xludf.DUMMYFUNCTION("""COMPUTED_VALUE"""),0.18181818181818182)</f>
        <v>0.1818181818</v>
      </c>
      <c r="H993" s="5">
        <f>IFERROR(__xludf.DUMMYFUNCTION("""COMPUTED_VALUE"""),0.6405919661733616)</f>
        <v>0.6405919662</v>
      </c>
      <c r="I993" s="11">
        <f>IFERROR(__xludf.DUMMYFUNCTION("""COMPUTED_VALUE"""),5502.748414376321)</f>
        <v>5502.748414</v>
      </c>
      <c r="J993" s="10">
        <f>IFERROR(__xludf.DUMMYFUNCTION("""COMPUTED_VALUE"""),1.0)</f>
        <v>1</v>
      </c>
      <c r="K993" s="5">
        <f>IFERROR(__xludf.DUMMYFUNCTION("""COMPUTED_VALUE"""),0.004672897196261682)</f>
        <v>0.004672897196</v>
      </c>
      <c r="L993" s="10">
        <f>IFERROR(__xludf.DUMMYFUNCTION("""COMPUTED_VALUE"""),0.0)</f>
        <v>0</v>
      </c>
      <c r="M993" s="5">
        <f>IFERROR(__xludf.DUMMYFUNCTION("""COMPUTED_VALUE"""),0.0)</f>
        <v>0</v>
      </c>
    </row>
    <row r="994">
      <c r="A994" s="10" t="str">
        <f>IFERROR(__xludf.DUMMYFUNCTION("""COMPUTED_VALUE"""),"ラスタファーライ")</f>
        <v>ラスタファーライ</v>
      </c>
      <c r="B994" s="10">
        <f>IFERROR(__xludf.DUMMYFUNCTION("""COMPUTED_VALUE"""),285.0)</f>
        <v>285</v>
      </c>
      <c r="C994" s="10">
        <f>IFERROR(__xludf.DUMMYFUNCTION("""COMPUTED_VALUE"""),3287.0)</f>
        <v>3287</v>
      </c>
      <c r="D994" s="5">
        <f>IFERROR(__xludf.DUMMYFUNCTION("""COMPUTED_VALUE"""),0.34710193204530315)</f>
        <v>0.347101932</v>
      </c>
      <c r="E994" s="5">
        <f>IFERROR(__xludf.DUMMYFUNCTION("""COMPUTED_VALUE"""),0.14090606262491673)</f>
        <v>0.1409060626</v>
      </c>
      <c r="F994" s="5">
        <f>IFERROR(__xludf.DUMMYFUNCTION("""COMPUTED_VALUE"""),0.22151898734177214)</f>
        <v>0.2215189873</v>
      </c>
      <c r="G994" s="5">
        <f>IFERROR(__xludf.DUMMYFUNCTION("""COMPUTED_VALUE"""),0.1848767488341106)</f>
        <v>0.1848767488</v>
      </c>
      <c r="H994" s="5">
        <f>IFERROR(__xludf.DUMMYFUNCTION("""COMPUTED_VALUE"""),0.5849624060150376)</f>
        <v>0.584962406</v>
      </c>
      <c r="I994" s="11">
        <f>IFERROR(__xludf.DUMMYFUNCTION("""COMPUTED_VALUE"""),5801.654135338345)</f>
        <v>5801.654135</v>
      </c>
      <c r="J994" s="10">
        <f>IFERROR(__xludf.DUMMYFUNCTION("""COMPUTED_VALUE"""),1.0)</f>
        <v>1</v>
      </c>
      <c r="K994" s="5">
        <f>IFERROR(__xludf.DUMMYFUNCTION("""COMPUTED_VALUE"""),0.0035087719298245615)</f>
        <v>0.00350877193</v>
      </c>
      <c r="L994" s="10">
        <f>IFERROR(__xludf.DUMMYFUNCTION("""COMPUTED_VALUE"""),285.0)</f>
        <v>285</v>
      </c>
      <c r="M994" s="5">
        <f>IFERROR(__xludf.DUMMYFUNCTION("""COMPUTED_VALUE"""),1.0)</f>
        <v>1</v>
      </c>
    </row>
    <row r="995">
      <c r="A995" s="10" t="str">
        <f>IFERROR(__xludf.DUMMYFUNCTION("""COMPUTED_VALUE"""),"shoot兄貴")</f>
        <v>shoot兄貴</v>
      </c>
      <c r="B995" s="10">
        <f>IFERROR(__xludf.DUMMYFUNCTION("""COMPUTED_VALUE"""),214.0)</f>
        <v>214</v>
      </c>
      <c r="C995" s="10">
        <f>IFERROR(__xludf.DUMMYFUNCTION("""COMPUTED_VALUE"""),2542.0)</f>
        <v>2542</v>
      </c>
      <c r="D995" s="5">
        <f>IFERROR(__xludf.DUMMYFUNCTION("""COMPUTED_VALUE"""),0.2925257731958763)</f>
        <v>0.2925257732</v>
      </c>
      <c r="E995" s="5">
        <f>IFERROR(__xludf.DUMMYFUNCTION("""COMPUTED_VALUE"""),0.140893470790378)</f>
        <v>0.1408934708</v>
      </c>
      <c r="F995" s="5">
        <f>IFERROR(__xludf.DUMMYFUNCTION("""COMPUTED_VALUE"""),0.20575601374570446)</f>
        <v>0.2057560137</v>
      </c>
      <c r="G995" s="5">
        <f>IFERROR(__xludf.DUMMYFUNCTION("""COMPUTED_VALUE"""),0.18986254295532645)</f>
        <v>0.189862543</v>
      </c>
      <c r="H995" s="5">
        <f>IFERROR(__xludf.DUMMYFUNCTION("""COMPUTED_VALUE"""),0.5511482254697286)</f>
        <v>0.5511482255</v>
      </c>
      <c r="I995" s="11">
        <f>IFERROR(__xludf.DUMMYFUNCTION("""COMPUTED_VALUE"""),6172.025052192067)</f>
        <v>6172.025052</v>
      </c>
      <c r="J995" s="10">
        <f>IFERROR(__xludf.DUMMYFUNCTION("""COMPUTED_VALUE"""),1.0)</f>
        <v>1</v>
      </c>
      <c r="K995" s="5">
        <f>IFERROR(__xludf.DUMMYFUNCTION("""COMPUTED_VALUE"""),0.004672897196261682)</f>
        <v>0.004672897196</v>
      </c>
      <c r="L995" s="10">
        <f>IFERROR(__xludf.DUMMYFUNCTION("""COMPUTED_VALUE"""),3.0)</f>
        <v>3</v>
      </c>
      <c r="M995" s="5">
        <f>IFERROR(__xludf.DUMMYFUNCTION("""COMPUTED_VALUE"""),0.014018691588785047)</f>
        <v>0.01401869159</v>
      </c>
    </row>
    <row r="996">
      <c r="A996" s="10" t="str">
        <f>IFERROR(__xludf.DUMMYFUNCTION("""COMPUTED_VALUE"""),"lebesgue")</f>
        <v>lebesgue</v>
      </c>
      <c r="B996" s="10">
        <f>IFERROR(__xludf.DUMMYFUNCTION("""COMPUTED_VALUE"""),308.0)</f>
        <v>308</v>
      </c>
      <c r="C996" s="10">
        <f>IFERROR(__xludf.DUMMYFUNCTION("""COMPUTED_VALUE"""),3580.0)</f>
        <v>3580</v>
      </c>
      <c r="D996" s="5">
        <f>IFERROR(__xludf.DUMMYFUNCTION("""COMPUTED_VALUE"""),0.3719437652811736)</f>
        <v>0.3719437653</v>
      </c>
      <c r="E996" s="5">
        <f>IFERROR(__xludf.DUMMYFUNCTION("""COMPUTED_VALUE"""),0.1408924205378973)</f>
        <v>0.1408924205</v>
      </c>
      <c r="F996" s="5">
        <f>IFERROR(__xludf.DUMMYFUNCTION("""COMPUTED_VALUE"""),0.2093520782396088)</f>
        <v>0.2093520782</v>
      </c>
      <c r="G996" s="5">
        <f>IFERROR(__xludf.DUMMYFUNCTION("""COMPUTED_VALUE"""),0.15953545232273839)</f>
        <v>0.1595354523</v>
      </c>
      <c r="H996" s="5">
        <f>IFERROR(__xludf.DUMMYFUNCTION("""COMPUTED_VALUE"""),0.5883211678832116)</f>
        <v>0.5883211679</v>
      </c>
      <c r="I996" s="11">
        <f>IFERROR(__xludf.DUMMYFUNCTION("""COMPUTED_VALUE"""),5693.7226277372265)</f>
        <v>5693.722628</v>
      </c>
      <c r="J996" s="10">
        <f>IFERROR(__xludf.DUMMYFUNCTION("""COMPUTED_VALUE"""),1.0)</f>
        <v>1</v>
      </c>
      <c r="K996" s="5">
        <f>IFERROR(__xludf.DUMMYFUNCTION("""COMPUTED_VALUE"""),0.003246753246753247)</f>
        <v>0.003246753247</v>
      </c>
      <c r="L996" s="10">
        <f>IFERROR(__xludf.DUMMYFUNCTION("""COMPUTED_VALUE"""),308.0)</f>
        <v>308</v>
      </c>
      <c r="M996" s="5">
        <f>IFERROR(__xludf.DUMMYFUNCTION("""COMPUTED_VALUE"""),1.0)</f>
        <v>1</v>
      </c>
    </row>
    <row r="997">
      <c r="A997" s="10" t="str">
        <f>IFERROR(__xludf.DUMMYFUNCTION("""COMPUTED_VALUE"""),"kenken48")</f>
        <v>kenken48</v>
      </c>
      <c r="B997" s="10">
        <f>IFERROR(__xludf.DUMMYFUNCTION("""COMPUTED_VALUE"""),308.0)</f>
        <v>308</v>
      </c>
      <c r="C997" s="10">
        <f>IFERROR(__xludf.DUMMYFUNCTION("""COMPUTED_VALUE"""),3630.0)</f>
        <v>3630</v>
      </c>
      <c r="D997" s="5">
        <f>IFERROR(__xludf.DUMMYFUNCTION("""COMPUTED_VALUE"""),0.3982540638169777)</f>
        <v>0.3982540638</v>
      </c>
      <c r="E997" s="5">
        <f>IFERROR(__xludf.DUMMYFUNCTION("""COMPUTED_VALUE"""),0.14087898856110775)</f>
        <v>0.1408789886</v>
      </c>
      <c r="F997" s="5">
        <f>IFERROR(__xludf.DUMMYFUNCTION("""COMPUTED_VALUE"""),0.20559903672486454)</f>
        <v>0.2055990367</v>
      </c>
      <c r="G997" s="5">
        <f>IFERROR(__xludf.DUMMYFUNCTION("""COMPUTED_VALUE"""),0.14057796508127635)</f>
        <v>0.1405779651</v>
      </c>
      <c r="H997" s="5">
        <f>IFERROR(__xludf.DUMMYFUNCTION("""COMPUTED_VALUE"""),0.6325036603221084)</f>
        <v>0.6325036603</v>
      </c>
      <c r="I997" s="11">
        <f>IFERROR(__xludf.DUMMYFUNCTION("""COMPUTED_VALUE"""),5472.767203513909)</f>
        <v>5472.767204</v>
      </c>
      <c r="J997" s="10">
        <f>IFERROR(__xludf.DUMMYFUNCTION("""COMPUTED_VALUE"""),0.0)</f>
        <v>0</v>
      </c>
      <c r="K997" s="5">
        <f>IFERROR(__xludf.DUMMYFUNCTION("""COMPUTED_VALUE"""),0.0)</f>
        <v>0</v>
      </c>
      <c r="L997" s="10">
        <f>IFERROR(__xludf.DUMMYFUNCTION("""COMPUTED_VALUE"""),308.0)</f>
        <v>308</v>
      </c>
      <c r="M997" s="5">
        <f>IFERROR(__xludf.DUMMYFUNCTION("""COMPUTED_VALUE"""),1.0)</f>
        <v>1</v>
      </c>
    </row>
    <row r="998">
      <c r="A998" s="10" t="str">
        <f>IFERROR(__xludf.DUMMYFUNCTION("""COMPUTED_VALUE"""),"とくピカ")</f>
        <v>とくピカ</v>
      </c>
      <c r="B998" s="10">
        <f>IFERROR(__xludf.DUMMYFUNCTION("""COMPUTED_VALUE"""),148.0)</f>
        <v>148</v>
      </c>
      <c r="C998" s="10">
        <f>IFERROR(__xludf.DUMMYFUNCTION("""COMPUTED_VALUE"""),1788.0)</f>
        <v>1788</v>
      </c>
      <c r="D998" s="5">
        <f>IFERROR(__xludf.DUMMYFUNCTION("""COMPUTED_VALUE"""),0.37317073170731707)</f>
        <v>0.3731707317</v>
      </c>
      <c r="E998" s="5">
        <f>IFERROR(__xludf.DUMMYFUNCTION("""COMPUTED_VALUE"""),0.14085365853658535)</f>
        <v>0.1408536585</v>
      </c>
      <c r="F998" s="5">
        <f>IFERROR(__xludf.DUMMYFUNCTION("""COMPUTED_VALUE"""),0.18048780487804877)</f>
        <v>0.1804878049</v>
      </c>
      <c r="G998" s="5">
        <f>IFERROR(__xludf.DUMMYFUNCTION("""COMPUTED_VALUE"""),0.15670731707317073)</f>
        <v>0.1567073171</v>
      </c>
      <c r="H998" s="5">
        <f>IFERROR(__xludf.DUMMYFUNCTION("""COMPUTED_VALUE"""),0.581081081081081)</f>
        <v>0.5810810811</v>
      </c>
      <c r="I998" s="11">
        <f>IFERROR(__xludf.DUMMYFUNCTION("""COMPUTED_VALUE"""),5804.054054054054)</f>
        <v>5804.054054</v>
      </c>
      <c r="J998" s="10">
        <f>IFERROR(__xludf.DUMMYFUNCTION("""COMPUTED_VALUE"""),0.0)</f>
        <v>0</v>
      </c>
      <c r="K998" s="5">
        <f>IFERROR(__xludf.DUMMYFUNCTION("""COMPUTED_VALUE"""),0.0)</f>
        <v>0</v>
      </c>
      <c r="L998" s="10">
        <f>IFERROR(__xludf.DUMMYFUNCTION("""COMPUTED_VALUE"""),148.0)</f>
        <v>148</v>
      </c>
      <c r="M998" s="5">
        <f>IFERROR(__xludf.DUMMYFUNCTION("""COMPUTED_VALUE"""),1.0)</f>
        <v>1</v>
      </c>
    </row>
    <row r="999">
      <c r="A999" s="10" t="str">
        <f>IFERROR(__xludf.DUMMYFUNCTION("""COMPUTED_VALUE"""),"大塚剛")</f>
        <v>大塚剛</v>
      </c>
      <c r="B999" s="10">
        <f>IFERROR(__xludf.DUMMYFUNCTION("""COMPUTED_VALUE"""),140.0)</f>
        <v>140</v>
      </c>
      <c r="C999" s="10">
        <f>IFERROR(__xludf.DUMMYFUNCTION("""COMPUTED_VALUE"""),1631.0)</f>
        <v>1631</v>
      </c>
      <c r="D999" s="5">
        <f>IFERROR(__xludf.DUMMYFUNCTION("""COMPUTED_VALUE"""),0.33601609657947684)</f>
        <v>0.3360160966</v>
      </c>
      <c r="E999" s="5">
        <f>IFERROR(__xludf.DUMMYFUNCTION("""COMPUTED_VALUE"""),0.14084507042253522)</f>
        <v>0.1408450704</v>
      </c>
      <c r="F999" s="5">
        <f>IFERROR(__xludf.DUMMYFUNCTION("""COMPUTED_VALUE"""),0.19450033534540576)</f>
        <v>0.1945003353</v>
      </c>
      <c r="G999" s="5">
        <f>IFERROR(__xludf.DUMMYFUNCTION("""COMPUTED_VALUE"""),0.12743125419181758)</f>
        <v>0.1274312542</v>
      </c>
      <c r="H999" s="5">
        <f>IFERROR(__xludf.DUMMYFUNCTION("""COMPUTED_VALUE"""),0.6206896551724138)</f>
        <v>0.6206896552</v>
      </c>
      <c r="I999" s="11">
        <f>IFERROR(__xludf.DUMMYFUNCTION("""COMPUTED_VALUE"""),5445.862068965517)</f>
        <v>5445.862069</v>
      </c>
      <c r="J999" s="10">
        <f>IFERROR(__xludf.DUMMYFUNCTION("""COMPUTED_VALUE"""),0.0)</f>
        <v>0</v>
      </c>
      <c r="K999" s="5">
        <f>IFERROR(__xludf.DUMMYFUNCTION("""COMPUTED_VALUE"""),0.0)</f>
        <v>0</v>
      </c>
      <c r="L999" s="10">
        <f>IFERROR(__xludf.DUMMYFUNCTION("""COMPUTED_VALUE"""),0.0)</f>
        <v>0</v>
      </c>
      <c r="M999" s="5">
        <f>IFERROR(__xludf.DUMMYFUNCTION("""COMPUTED_VALUE"""),0.0)</f>
        <v>0</v>
      </c>
    </row>
    <row r="1000">
      <c r="A1000" s="10" t="str">
        <f>IFERROR(__xludf.DUMMYFUNCTION("""COMPUTED_VALUE"""),"きっくん")</f>
        <v>きっくん</v>
      </c>
      <c r="B1000" s="10">
        <f>IFERROR(__xludf.DUMMYFUNCTION("""COMPUTED_VALUE"""),2009.0)</f>
        <v>2009</v>
      </c>
      <c r="C1000" s="10">
        <f>IFERROR(__xludf.DUMMYFUNCTION("""COMPUTED_VALUE"""),23516.0)</f>
        <v>23516</v>
      </c>
      <c r="D1000" s="5">
        <f>IFERROR(__xludf.DUMMYFUNCTION("""COMPUTED_VALUE"""),0.36941460919700564)</f>
        <v>0.3694146092</v>
      </c>
      <c r="E1000" s="5">
        <f>IFERROR(__xludf.DUMMYFUNCTION("""COMPUTED_VALUE"""),0.14083786674106105)</f>
        <v>0.1408378667</v>
      </c>
      <c r="F1000" s="5">
        <f>IFERROR(__xludf.DUMMYFUNCTION("""COMPUTED_VALUE"""),0.21746408146184962)</f>
        <v>0.2174640815</v>
      </c>
      <c r="G1000" s="5">
        <f>IFERROR(__xludf.DUMMYFUNCTION("""COMPUTED_VALUE"""),0.18361463709489934)</f>
        <v>0.1836146371</v>
      </c>
      <c r="H1000" s="5">
        <f>IFERROR(__xludf.DUMMYFUNCTION("""COMPUTED_VALUE"""),0.5875561257216164)</f>
        <v>0.5875561257</v>
      </c>
      <c r="I1000" s="11">
        <f>IFERROR(__xludf.DUMMYFUNCTION("""COMPUTED_VALUE"""),5652.298481932863)</f>
        <v>5652.298482</v>
      </c>
      <c r="J1000" s="10">
        <f>IFERROR(__xludf.DUMMYFUNCTION("""COMPUTED_VALUE"""),3.0)</f>
        <v>3</v>
      </c>
      <c r="K1000" s="5">
        <f>IFERROR(__xludf.DUMMYFUNCTION("""COMPUTED_VALUE"""),0.0014932802389248383)</f>
        <v>0.001493280239</v>
      </c>
      <c r="L1000" s="10">
        <f>IFERROR(__xludf.DUMMYFUNCTION("""COMPUTED_VALUE"""),1154.0)</f>
        <v>1154</v>
      </c>
      <c r="M1000" s="5">
        <f>IFERROR(__xludf.DUMMYFUNCTION("""COMPUTED_VALUE"""),0.5744151319064211)</f>
        <v>0.5744151319</v>
      </c>
    </row>
    <row r="1001">
      <c r="A1001" s="10" t="str">
        <f>IFERROR(__xludf.DUMMYFUNCTION("""COMPUTED_VALUE"""),"雀師よー")</f>
        <v>雀師よー</v>
      </c>
      <c r="B1001" s="10">
        <f>IFERROR(__xludf.DUMMYFUNCTION("""COMPUTED_VALUE"""),286.0)</f>
        <v>286</v>
      </c>
      <c r="C1001" s="10">
        <f>IFERROR(__xludf.DUMMYFUNCTION("""COMPUTED_VALUE"""),3233.0)</f>
        <v>3233</v>
      </c>
      <c r="D1001" s="5">
        <f>IFERROR(__xludf.DUMMYFUNCTION("""COMPUTED_VALUE"""),0.3199864268747879)</f>
        <v>0.3199864269</v>
      </c>
      <c r="E1001" s="5">
        <f>IFERROR(__xludf.DUMMYFUNCTION("""COMPUTED_VALUE"""),0.14082117407533085)</f>
        <v>0.1408211741</v>
      </c>
      <c r="F1001" s="5">
        <f>IFERROR(__xludf.DUMMYFUNCTION("""COMPUTED_VALUE"""),0.20563284696301323)</f>
        <v>0.205632847</v>
      </c>
      <c r="G1001" s="5">
        <f>IFERROR(__xludf.DUMMYFUNCTION("""COMPUTED_VALUE"""),0.18968442483881914)</f>
        <v>0.1896844248</v>
      </c>
      <c r="H1001" s="5">
        <f>IFERROR(__xludf.DUMMYFUNCTION("""COMPUTED_VALUE"""),0.5792079207920792)</f>
        <v>0.5792079208</v>
      </c>
      <c r="I1001" s="11">
        <f>IFERROR(__xludf.DUMMYFUNCTION("""COMPUTED_VALUE"""),5964.191419141915)</f>
        <v>5964.191419</v>
      </c>
      <c r="J1001" s="10">
        <f>IFERROR(__xludf.DUMMYFUNCTION("""COMPUTED_VALUE"""),2.0)</f>
        <v>2</v>
      </c>
      <c r="K1001" s="5">
        <f>IFERROR(__xludf.DUMMYFUNCTION("""COMPUTED_VALUE"""),0.006993006993006993)</f>
        <v>0.006993006993</v>
      </c>
      <c r="L1001" s="10">
        <f>IFERROR(__xludf.DUMMYFUNCTION("""COMPUTED_VALUE"""),286.0)</f>
        <v>286</v>
      </c>
      <c r="M1001" s="5">
        <f>IFERROR(__xludf.DUMMYFUNCTION("""COMPUTED_VALUE"""),1.0)</f>
        <v>1</v>
      </c>
    </row>
    <row r="1002">
      <c r="A1002" s="10" t="str">
        <f>IFERROR(__xludf.DUMMYFUNCTION("""COMPUTED_VALUE"""),"CRchan")</f>
        <v>CRchan</v>
      </c>
      <c r="B1002" s="10">
        <f>IFERROR(__xludf.DUMMYFUNCTION("""COMPUTED_VALUE"""),104.0)</f>
        <v>104</v>
      </c>
      <c r="C1002" s="10">
        <f>IFERROR(__xludf.DUMMYFUNCTION("""COMPUTED_VALUE"""),1226.0)</f>
        <v>1226</v>
      </c>
      <c r="D1002" s="5">
        <f>IFERROR(__xludf.DUMMYFUNCTION("""COMPUTED_VALUE"""),0.37344028520499106)</f>
        <v>0.3734402852</v>
      </c>
      <c r="E1002" s="5">
        <f>IFERROR(__xludf.DUMMYFUNCTION("""COMPUTED_VALUE"""),0.1408199643493761)</f>
        <v>0.1408199643</v>
      </c>
      <c r="F1002" s="5">
        <f>IFERROR(__xludf.DUMMYFUNCTION("""COMPUTED_VALUE"""),0.20499108734402852)</f>
        <v>0.2049910873</v>
      </c>
      <c r="G1002" s="5">
        <f>IFERROR(__xludf.DUMMYFUNCTION("""COMPUTED_VALUE"""),0.14349376114081996)</f>
        <v>0.1434937611</v>
      </c>
      <c r="H1002" s="5">
        <f>IFERROR(__xludf.DUMMYFUNCTION("""COMPUTED_VALUE"""),0.6)</f>
        <v>0.6</v>
      </c>
      <c r="I1002" s="11">
        <f>IFERROR(__xludf.DUMMYFUNCTION("""COMPUTED_VALUE"""),5177.826086956522)</f>
        <v>5177.826087</v>
      </c>
      <c r="J1002" s="10">
        <f>IFERROR(__xludf.DUMMYFUNCTION("""COMPUTED_VALUE"""),0.0)</f>
        <v>0</v>
      </c>
      <c r="K1002" s="5">
        <f>IFERROR(__xludf.DUMMYFUNCTION("""COMPUTED_VALUE"""),0.0)</f>
        <v>0</v>
      </c>
      <c r="L1002" s="10">
        <f>IFERROR(__xludf.DUMMYFUNCTION("""COMPUTED_VALUE"""),104.0)</f>
        <v>104</v>
      </c>
      <c r="M1002" s="5">
        <f>IFERROR(__xludf.DUMMYFUNCTION("""COMPUTED_VALUE"""),1.0)</f>
        <v>1</v>
      </c>
    </row>
    <row r="1003">
      <c r="A1003" s="10" t="str">
        <f>IFERROR(__xludf.DUMMYFUNCTION("""COMPUTED_VALUE"""),"（´；ω；｀）")</f>
        <v>（´；ω；｀）</v>
      </c>
      <c r="B1003" s="10">
        <f>IFERROR(__xludf.DUMMYFUNCTION("""COMPUTED_VALUE"""),983.0)</f>
        <v>983</v>
      </c>
      <c r="C1003" s="10">
        <f>IFERROR(__xludf.DUMMYFUNCTION("""COMPUTED_VALUE"""),11501.0)</f>
        <v>11501</v>
      </c>
      <c r="D1003" s="5">
        <f>IFERROR(__xludf.DUMMYFUNCTION("""COMPUTED_VALUE"""),0.36575394561703745)</f>
        <v>0.3657539456</v>
      </c>
      <c r="E1003" s="5">
        <f>IFERROR(__xludf.DUMMYFUNCTION("""COMPUTED_VALUE"""),0.14080623692717248)</f>
        <v>0.1408062369</v>
      </c>
      <c r="F1003" s="5">
        <f>IFERROR(__xludf.DUMMYFUNCTION("""COMPUTED_VALUE"""),0.2205742536603917)</f>
        <v>0.2205742537</v>
      </c>
      <c r="G1003" s="5">
        <f>IFERROR(__xludf.DUMMYFUNCTION("""COMPUTED_VALUE"""),0.1909108195474425)</f>
        <v>0.1909108195</v>
      </c>
      <c r="H1003" s="5">
        <f>IFERROR(__xludf.DUMMYFUNCTION("""COMPUTED_VALUE"""),0.6051724137931035)</f>
        <v>0.6051724138</v>
      </c>
      <c r="I1003" s="11">
        <f>IFERROR(__xludf.DUMMYFUNCTION("""COMPUTED_VALUE"""),5290.948275862069)</f>
        <v>5290.948276</v>
      </c>
      <c r="J1003" s="10">
        <f>IFERROR(__xludf.DUMMYFUNCTION("""COMPUTED_VALUE"""),5.0)</f>
        <v>5</v>
      </c>
      <c r="K1003" s="5">
        <f>IFERROR(__xludf.DUMMYFUNCTION("""COMPUTED_VALUE"""),0.00508646998982706)</f>
        <v>0.00508646999</v>
      </c>
      <c r="L1003" s="10">
        <f>IFERROR(__xludf.DUMMYFUNCTION("""COMPUTED_VALUE"""),983.0)</f>
        <v>983</v>
      </c>
      <c r="M1003" s="5">
        <f>IFERROR(__xludf.DUMMYFUNCTION("""COMPUTED_VALUE"""),1.0)</f>
        <v>1</v>
      </c>
    </row>
    <row r="1004">
      <c r="A1004" s="10" t="str">
        <f>IFERROR(__xludf.DUMMYFUNCTION("""COMPUTED_VALUE"""),"YOKOYAMA")</f>
        <v>YOKOYAMA</v>
      </c>
      <c r="B1004" s="10">
        <f>IFERROR(__xludf.DUMMYFUNCTION("""COMPUTED_VALUE"""),174.0)</f>
        <v>174</v>
      </c>
      <c r="C1004" s="10">
        <f>IFERROR(__xludf.DUMMYFUNCTION("""COMPUTED_VALUE"""),2085.0)</f>
        <v>2085</v>
      </c>
      <c r="D1004" s="5">
        <f>IFERROR(__xludf.DUMMYFUNCTION("""COMPUTED_VALUE"""),0.33437990580847726)</f>
        <v>0.3343799058</v>
      </c>
      <c r="E1004" s="5">
        <f>IFERROR(__xludf.DUMMYFUNCTION("""COMPUTED_VALUE"""),0.14076399790685504)</f>
        <v>0.1407639979</v>
      </c>
      <c r="F1004" s="5">
        <f>IFERROR(__xludf.DUMMYFUNCTION("""COMPUTED_VALUE"""),0.21978021978021978)</f>
        <v>0.2197802198</v>
      </c>
      <c r="G1004" s="5">
        <f>IFERROR(__xludf.DUMMYFUNCTION("""COMPUTED_VALUE"""),0.17582417582417584)</f>
        <v>0.1758241758</v>
      </c>
      <c r="H1004" s="5">
        <f>IFERROR(__xludf.DUMMYFUNCTION("""COMPUTED_VALUE"""),0.6190476190476191)</f>
        <v>0.619047619</v>
      </c>
      <c r="I1004" s="11">
        <f>IFERROR(__xludf.DUMMYFUNCTION("""COMPUTED_VALUE"""),5560.238095238095)</f>
        <v>5560.238095</v>
      </c>
      <c r="J1004" s="10">
        <f>IFERROR(__xludf.DUMMYFUNCTION("""COMPUTED_VALUE"""),0.0)</f>
        <v>0</v>
      </c>
      <c r="K1004" s="5">
        <f>IFERROR(__xludf.DUMMYFUNCTION("""COMPUTED_VALUE"""),0.0)</f>
        <v>0</v>
      </c>
      <c r="L1004" s="10">
        <f>IFERROR(__xludf.DUMMYFUNCTION("""COMPUTED_VALUE"""),174.0)</f>
        <v>174</v>
      </c>
      <c r="M1004" s="5">
        <f>IFERROR(__xludf.DUMMYFUNCTION("""COMPUTED_VALUE"""),1.0)</f>
        <v>1</v>
      </c>
    </row>
    <row r="1005">
      <c r="A1005" s="10" t="str">
        <f>IFERROR(__xludf.DUMMYFUNCTION("""COMPUTED_VALUE"""),"可燃性高圧ガス")</f>
        <v>可燃性高圧ガス</v>
      </c>
      <c r="B1005" s="10">
        <f>IFERROR(__xludf.DUMMYFUNCTION("""COMPUTED_VALUE"""),1462.0)</f>
        <v>1462</v>
      </c>
      <c r="C1005" s="10">
        <f>IFERROR(__xludf.DUMMYFUNCTION("""COMPUTED_VALUE"""),17182.0)</f>
        <v>17182</v>
      </c>
      <c r="D1005" s="5">
        <f>IFERROR(__xludf.DUMMYFUNCTION("""COMPUTED_VALUE"""),0.33524173027989823)</f>
        <v>0.3352417303</v>
      </c>
      <c r="E1005" s="5">
        <f>IFERROR(__xludf.DUMMYFUNCTION("""COMPUTED_VALUE"""),0.14071246819338423)</f>
        <v>0.1407124682</v>
      </c>
      <c r="F1005" s="5">
        <f>IFERROR(__xludf.DUMMYFUNCTION("""COMPUTED_VALUE"""),0.210941475826972)</f>
        <v>0.2109414758</v>
      </c>
      <c r="G1005" s="5">
        <f>IFERROR(__xludf.DUMMYFUNCTION("""COMPUTED_VALUE"""),0.1576972010178117)</f>
        <v>0.157697201</v>
      </c>
      <c r="H1005" s="5">
        <f>IFERROR(__xludf.DUMMYFUNCTION("""COMPUTED_VALUE"""),0.6094692400482509)</f>
        <v>0.60946924</v>
      </c>
      <c r="I1005" s="11">
        <f>IFERROR(__xludf.DUMMYFUNCTION("""COMPUTED_VALUE"""),5843.214716525935)</f>
        <v>5843.214717</v>
      </c>
      <c r="J1005" s="10">
        <f>IFERROR(__xludf.DUMMYFUNCTION("""COMPUTED_VALUE"""),6.0)</f>
        <v>6</v>
      </c>
      <c r="K1005" s="5">
        <f>IFERROR(__xludf.DUMMYFUNCTION("""COMPUTED_VALUE"""),0.004103967168262654)</f>
        <v>0.004103967168</v>
      </c>
      <c r="L1005" s="10">
        <f>IFERROR(__xludf.DUMMYFUNCTION("""COMPUTED_VALUE"""),1462.0)</f>
        <v>1462</v>
      </c>
      <c r="M1005" s="5">
        <f>IFERROR(__xludf.DUMMYFUNCTION("""COMPUTED_VALUE"""),1.0)</f>
        <v>1</v>
      </c>
    </row>
    <row r="1006">
      <c r="A1006" s="10" t="str">
        <f>IFERROR(__xludf.DUMMYFUNCTION("""COMPUTED_VALUE"""),"T・T・８")</f>
        <v>T・T・８</v>
      </c>
      <c r="B1006" s="10">
        <f>IFERROR(__xludf.DUMMYFUNCTION("""COMPUTED_VALUE"""),1831.0)</f>
        <v>1831</v>
      </c>
      <c r="C1006" s="10">
        <f>IFERROR(__xludf.DUMMYFUNCTION("""COMPUTED_VALUE"""),21396.0)</f>
        <v>21396</v>
      </c>
      <c r="D1006" s="5">
        <f>IFERROR(__xludf.DUMMYFUNCTION("""COMPUTED_VALUE"""),0.29537439304881163)</f>
        <v>0.295374393</v>
      </c>
      <c r="E1006" s="5">
        <f>IFERROR(__xludf.DUMMYFUNCTION("""COMPUTED_VALUE"""),0.14071045233835933)</f>
        <v>0.1407104523</v>
      </c>
      <c r="F1006" s="5">
        <f>IFERROR(__xludf.DUMMYFUNCTION("""COMPUTED_VALUE"""),0.20485560950677228)</f>
        <v>0.2048556095</v>
      </c>
      <c r="G1006" s="5">
        <f>IFERROR(__xludf.DUMMYFUNCTION("""COMPUTED_VALUE"""),0.1851265014055712)</f>
        <v>0.1851265014</v>
      </c>
      <c r="H1006" s="5">
        <f>IFERROR(__xludf.DUMMYFUNCTION("""COMPUTED_VALUE"""),0.5828343313373253)</f>
        <v>0.5828343313</v>
      </c>
      <c r="I1006" s="11">
        <f>IFERROR(__xludf.DUMMYFUNCTION("""COMPUTED_VALUE"""),6103.792415169661)</f>
        <v>6103.792415</v>
      </c>
      <c r="J1006" s="10">
        <f>IFERROR(__xludf.DUMMYFUNCTION("""COMPUTED_VALUE"""),3.0)</f>
        <v>3</v>
      </c>
      <c r="K1006" s="5">
        <f>IFERROR(__xludf.DUMMYFUNCTION("""COMPUTED_VALUE"""),0.0016384489350081922)</f>
        <v>0.001638448935</v>
      </c>
      <c r="L1006" s="10">
        <f>IFERROR(__xludf.DUMMYFUNCTION("""COMPUTED_VALUE"""),1831.0)</f>
        <v>1831</v>
      </c>
      <c r="M1006" s="5">
        <f>IFERROR(__xludf.DUMMYFUNCTION("""COMPUTED_VALUE"""),1.0)</f>
        <v>1</v>
      </c>
    </row>
    <row r="1007">
      <c r="A1007" s="10" t="str">
        <f>IFERROR(__xludf.DUMMYFUNCTION("""COMPUTED_VALUE"""),"dazai")</f>
        <v>dazai</v>
      </c>
      <c r="B1007" s="10">
        <f>IFERROR(__xludf.DUMMYFUNCTION("""COMPUTED_VALUE"""),1713.0)</f>
        <v>1713</v>
      </c>
      <c r="C1007" s="10">
        <f>IFERROR(__xludf.DUMMYFUNCTION("""COMPUTED_VALUE"""),19878.0)</f>
        <v>19878</v>
      </c>
      <c r="D1007" s="5">
        <f>IFERROR(__xludf.DUMMYFUNCTION("""COMPUTED_VALUE"""),0.32859895403248)</f>
        <v>0.328598954</v>
      </c>
      <c r="E1007" s="5">
        <f>IFERROR(__xludf.DUMMYFUNCTION("""COMPUTED_VALUE"""),0.140710156895128)</f>
        <v>0.1407101569</v>
      </c>
      <c r="F1007" s="5">
        <f>IFERROR(__xludf.DUMMYFUNCTION("""COMPUTED_VALUE"""),0.22290118359482522)</f>
        <v>0.2229011836</v>
      </c>
      <c r="G1007" s="5">
        <f>IFERROR(__xludf.DUMMYFUNCTION("""COMPUTED_VALUE"""),0.1622901183594825)</f>
        <v>0.1622901184</v>
      </c>
      <c r="H1007" s="5">
        <f>IFERROR(__xludf.DUMMYFUNCTION("""COMPUTED_VALUE"""),0.6038528031612744)</f>
        <v>0.6038528032</v>
      </c>
      <c r="I1007" s="11">
        <f>IFERROR(__xludf.DUMMYFUNCTION("""COMPUTED_VALUE"""),5730.921215114843)</f>
        <v>5730.921215</v>
      </c>
      <c r="J1007" s="10">
        <f>IFERROR(__xludf.DUMMYFUNCTION("""COMPUTED_VALUE"""),4.0)</f>
        <v>4</v>
      </c>
      <c r="K1007" s="5">
        <f>IFERROR(__xludf.DUMMYFUNCTION("""COMPUTED_VALUE"""),0.002335084646818447)</f>
        <v>0.002335084647</v>
      </c>
      <c r="L1007" s="10">
        <f>IFERROR(__xludf.DUMMYFUNCTION("""COMPUTED_VALUE"""),1420.0)</f>
        <v>1420</v>
      </c>
      <c r="M1007" s="5">
        <f>IFERROR(__xludf.DUMMYFUNCTION("""COMPUTED_VALUE"""),0.8289550496205488)</f>
        <v>0.8289550496</v>
      </c>
    </row>
    <row r="1008">
      <c r="A1008" s="10" t="str">
        <f>IFERROR(__xludf.DUMMYFUNCTION("""COMPUTED_VALUE"""),"きみつアルスター")</f>
        <v>きみつアルスター</v>
      </c>
      <c r="B1008" s="10">
        <f>IFERROR(__xludf.DUMMYFUNCTION("""COMPUTED_VALUE"""),321.0)</f>
        <v>321</v>
      </c>
      <c r="C1008" s="10">
        <f>IFERROR(__xludf.DUMMYFUNCTION("""COMPUTED_VALUE"""),3761.0)</f>
        <v>3761</v>
      </c>
      <c r="D1008" s="5">
        <f>IFERROR(__xludf.DUMMYFUNCTION("""COMPUTED_VALUE"""),0.34505813953488373)</f>
        <v>0.3450581395</v>
      </c>
      <c r="E1008" s="5">
        <f>IFERROR(__xludf.DUMMYFUNCTION("""COMPUTED_VALUE"""),0.14069767441860465)</f>
        <v>0.1406976744</v>
      </c>
      <c r="F1008" s="5">
        <f>IFERROR(__xludf.DUMMYFUNCTION("""COMPUTED_VALUE"""),0.20843023255813953)</f>
        <v>0.2084302326</v>
      </c>
      <c r="G1008" s="5">
        <f>IFERROR(__xludf.DUMMYFUNCTION("""COMPUTED_VALUE"""),0.15784883720930232)</f>
        <v>0.1578488372</v>
      </c>
      <c r="H1008" s="5">
        <f>IFERROR(__xludf.DUMMYFUNCTION("""COMPUTED_VALUE"""),0.6304044630404463)</f>
        <v>0.630404463</v>
      </c>
      <c r="I1008" s="11">
        <f>IFERROR(__xludf.DUMMYFUNCTION("""COMPUTED_VALUE"""),5416.596931659693)</f>
        <v>5416.596932</v>
      </c>
      <c r="J1008" s="10">
        <f>IFERROR(__xludf.DUMMYFUNCTION("""COMPUTED_VALUE"""),0.0)</f>
        <v>0</v>
      </c>
      <c r="K1008" s="5">
        <f>IFERROR(__xludf.DUMMYFUNCTION("""COMPUTED_VALUE"""),0.0)</f>
        <v>0</v>
      </c>
      <c r="L1008" s="10">
        <f>IFERROR(__xludf.DUMMYFUNCTION("""COMPUTED_VALUE"""),314.0)</f>
        <v>314</v>
      </c>
      <c r="M1008" s="5">
        <f>IFERROR(__xludf.DUMMYFUNCTION("""COMPUTED_VALUE"""),0.9781931464174455)</f>
        <v>0.9781931464</v>
      </c>
    </row>
    <row r="1009">
      <c r="A1009" s="10" t="str">
        <f>IFERROR(__xludf.DUMMYFUNCTION("""COMPUTED_VALUE"""),"脳天熊")</f>
        <v>脳天熊</v>
      </c>
      <c r="B1009" s="10">
        <f>IFERROR(__xludf.DUMMYFUNCTION("""COMPUTED_VALUE"""),181.0)</f>
        <v>181</v>
      </c>
      <c r="C1009" s="10">
        <f>IFERROR(__xludf.DUMMYFUNCTION("""COMPUTED_VALUE"""),2143.0)</f>
        <v>2143</v>
      </c>
      <c r="D1009" s="5">
        <f>IFERROR(__xludf.DUMMYFUNCTION("""COMPUTED_VALUE"""),0.34658511722731905)</f>
        <v>0.3465851172</v>
      </c>
      <c r="E1009" s="5">
        <f>IFERROR(__xludf.DUMMYFUNCTION("""COMPUTED_VALUE"""),0.14067278287461774)</f>
        <v>0.1406727829</v>
      </c>
      <c r="F1009" s="5">
        <f>IFERROR(__xludf.DUMMYFUNCTION("""COMPUTED_VALUE"""),0.2074413863404689)</f>
        <v>0.2074413863</v>
      </c>
      <c r="G1009" s="5">
        <f>IFERROR(__xludf.DUMMYFUNCTION("""COMPUTED_VALUE"""),0.18858307849133538)</f>
        <v>0.1885830785</v>
      </c>
      <c r="H1009" s="5">
        <f>IFERROR(__xludf.DUMMYFUNCTION("""COMPUTED_VALUE"""),0.5798525798525799)</f>
        <v>0.5798525799</v>
      </c>
      <c r="I1009" s="11">
        <f>IFERROR(__xludf.DUMMYFUNCTION("""COMPUTED_VALUE"""),6195.823095823096)</f>
        <v>6195.823096</v>
      </c>
      <c r="J1009" s="10">
        <f>IFERROR(__xludf.DUMMYFUNCTION("""COMPUTED_VALUE"""),3.0)</f>
        <v>3</v>
      </c>
      <c r="K1009" s="5">
        <f>IFERROR(__xludf.DUMMYFUNCTION("""COMPUTED_VALUE"""),0.016574585635359115)</f>
        <v>0.01657458564</v>
      </c>
      <c r="L1009" s="10">
        <f>IFERROR(__xludf.DUMMYFUNCTION("""COMPUTED_VALUE"""),181.0)</f>
        <v>181</v>
      </c>
      <c r="M1009" s="5">
        <f>IFERROR(__xludf.DUMMYFUNCTION("""COMPUTED_VALUE"""),1.0)</f>
        <v>1</v>
      </c>
    </row>
    <row r="1010">
      <c r="A1010" s="10" t="str">
        <f>IFERROR(__xludf.DUMMYFUNCTION("""COMPUTED_VALUE"""),"雀日連白波瀬")</f>
        <v>雀日連白波瀬</v>
      </c>
      <c r="B1010" s="10">
        <f>IFERROR(__xludf.DUMMYFUNCTION("""COMPUTED_VALUE"""),650.0)</f>
        <v>650</v>
      </c>
      <c r="C1010" s="10">
        <f>IFERROR(__xludf.DUMMYFUNCTION("""COMPUTED_VALUE"""),7782.0)</f>
        <v>7782</v>
      </c>
      <c r="D1010" s="5">
        <f>IFERROR(__xludf.DUMMYFUNCTION("""COMPUTED_VALUE"""),0.36497476163768927)</f>
        <v>0.3649747616</v>
      </c>
      <c r="E1010" s="5">
        <f>IFERROR(__xludf.DUMMYFUNCTION("""COMPUTED_VALUE"""),0.14063376332024677)</f>
        <v>0.1406337633</v>
      </c>
      <c r="F1010" s="5">
        <f>IFERROR(__xludf.DUMMYFUNCTION("""COMPUTED_VALUE"""),0.22027481772293886)</f>
        <v>0.2202748177</v>
      </c>
      <c r="G1010" s="5">
        <f>IFERROR(__xludf.DUMMYFUNCTION("""COMPUTED_VALUE"""),0.17232192933258553)</f>
        <v>0.1723219293</v>
      </c>
      <c r="H1010" s="5">
        <f>IFERROR(__xludf.DUMMYFUNCTION("""COMPUTED_VALUE"""),0.6021642266072565)</f>
        <v>0.6021642266</v>
      </c>
      <c r="I1010" s="11">
        <f>IFERROR(__xludf.DUMMYFUNCTION("""COMPUTED_VALUE"""),5519.350732017823)</f>
        <v>5519.350732</v>
      </c>
      <c r="J1010" s="10">
        <f>IFERROR(__xludf.DUMMYFUNCTION("""COMPUTED_VALUE"""),0.0)</f>
        <v>0</v>
      </c>
      <c r="K1010" s="5">
        <f>IFERROR(__xludf.DUMMYFUNCTION("""COMPUTED_VALUE"""),0.0)</f>
        <v>0</v>
      </c>
      <c r="L1010" s="10">
        <f>IFERROR(__xludf.DUMMYFUNCTION("""COMPUTED_VALUE"""),650.0)</f>
        <v>650</v>
      </c>
      <c r="M1010" s="5">
        <f>IFERROR(__xludf.DUMMYFUNCTION("""COMPUTED_VALUE"""),1.0)</f>
        <v>1</v>
      </c>
    </row>
    <row r="1011">
      <c r="A1011" s="10" t="str">
        <f>IFERROR(__xludf.DUMMYFUNCTION("""COMPUTED_VALUE"""),"kiremono")</f>
        <v>kiremono</v>
      </c>
      <c r="B1011" s="10">
        <f>IFERROR(__xludf.DUMMYFUNCTION("""COMPUTED_VALUE"""),104.0)</f>
        <v>104</v>
      </c>
      <c r="C1011" s="10">
        <f>IFERROR(__xludf.DUMMYFUNCTION("""COMPUTED_VALUE"""),1192.0)</f>
        <v>1192</v>
      </c>
      <c r="D1011" s="5">
        <f>IFERROR(__xludf.DUMMYFUNCTION("""COMPUTED_VALUE"""),0.34191176470588236)</f>
        <v>0.3419117647</v>
      </c>
      <c r="E1011" s="5">
        <f>IFERROR(__xludf.DUMMYFUNCTION("""COMPUTED_VALUE"""),0.140625)</f>
        <v>0.140625</v>
      </c>
      <c r="F1011" s="5">
        <f>IFERROR(__xludf.DUMMYFUNCTION("""COMPUTED_VALUE"""),0.20772058823529413)</f>
        <v>0.2077205882</v>
      </c>
      <c r="G1011" s="5">
        <f>IFERROR(__xludf.DUMMYFUNCTION("""COMPUTED_VALUE"""),0.18290441176470587)</f>
        <v>0.1829044118</v>
      </c>
      <c r="H1011" s="5">
        <f>IFERROR(__xludf.DUMMYFUNCTION("""COMPUTED_VALUE"""),0.6106194690265486)</f>
        <v>0.610619469</v>
      </c>
      <c r="I1011" s="11">
        <f>IFERROR(__xludf.DUMMYFUNCTION("""COMPUTED_VALUE"""),6058.849557522124)</f>
        <v>6058.849558</v>
      </c>
      <c r="J1011" s="10">
        <f>IFERROR(__xludf.DUMMYFUNCTION("""COMPUTED_VALUE"""),0.0)</f>
        <v>0</v>
      </c>
      <c r="K1011" s="5">
        <f>IFERROR(__xludf.DUMMYFUNCTION("""COMPUTED_VALUE"""),0.0)</f>
        <v>0</v>
      </c>
      <c r="L1011" s="10">
        <f>IFERROR(__xludf.DUMMYFUNCTION("""COMPUTED_VALUE"""),104.0)</f>
        <v>104</v>
      </c>
      <c r="M1011" s="5">
        <f>IFERROR(__xludf.DUMMYFUNCTION("""COMPUTED_VALUE"""),1.0)</f>
        <v>1</v>
      </c>
    </row>
    <row r="1012">
      <c r="A1012" s="10" t="str">
        <f>IFERROR(__xludf.DUMMYFUNCTION("""COMPUTED_VALUE"""),"kowano")</f>
        <v>kowano</v>
      </c>
      <c r="B1012" s="10">
        <f>IFERROR(__xludf.DUMMYFUNCTION("""COMPUTED_VALUE"""),132.0)</f>
        <v>132</v>
      </c>
      <c r="C1012" s="10">
        <f>IFERROR(__xludf.DUMMYFUNCTION("""COMPUTED_VALUE"""),1540.0)</f>
        <v>1540</v>
      </c>
      <c r="D1012" s="5">
        <f>IFERROR(__xludf.DUMMYFUNCTION("""COMPUTED_VALUE"""),0.34801136363636365)</f>
        <v>0.3480113636</v>
      </c>
      <c r="E1012" s="5">
        <f>IFERROR(__xludf.DUMMYFUNCTION("""COMPUTED_VALUE"""),0.140625)</f>
        <v>0.140625</v>
      </c>
      <c r="F1012" s="5">
        <f>IFERROR(__xludf.DUMMYFUNCTION("""COMPUTED_VALUE"""),0.18963068181818182)</f>
        <v>0.1896306818</v>
      </c>
      <c r="G1012" s="5">
        <f>IFERROR(__xludf.DUMMYFUNCTION("""COMPUTED_VALUE"""),0.18039772727272727)</f>
        <v>0.1803977273</v>
      </c>
      <c r="H1012" s="5">
        <f>IFERROR(__xludf.DUMMYFUNCTION("""COMPUTED_VALUE"""),0.6067415730337079)</f>
        <v>0.606741573</v>
      </c>
      <c r="I1012" s="11">
        <f>IFERROR(__xludf.DUMMYFUNCTION("""COMPUTED_VALUE"""),5612.359550561798)</f>
        <v>5612.359551</v>
      </c>
      <c r="J1012" s="10">
        <f>IFERROR(__xludf.DUMMYFUNCTION("""COMPUTED_VALUE"""),0.0)</f>
        <v>0</v>
      </c>
      <c r="K1012" s="5">
        <f>IFERROR(__xludf.DUMMYFUNCTION("""COMPUTED_VALUE"""),0.0)</f>
        <v>0</v>
      </c>
      <c r="L1012" s="10">
        <f>IFERROR(__xludf.DUMMYFUNCTION("""COMPUTED_VALUE"""),132.0)</f>
        <v>132</v>
      </c>
      <c r="M1012" s="5">
        <f>IFERROR(__xludf.DUMMYFUNCTION("""COMPUTED_VALUE"""),1.0)</f>
        <v>1</v>
      </c>
    </row>
    <row r="1013">
      <c r="A1013" s="10" t="str">
        <f>IFERROR(__xludf.DUMMYFUNCTION("""COMPUTED_VALUE"""),"ガトームソン")</f>
        <v>ガトームソン</v>
      </c>
      <c r="B1013" s="10">
        <f>IFERROR(__xludf.DUMMYFUNCTION("""COMPUTED_VALUE"""),173.0)</f>
        <v>173</v>
      </c>
      <c r="C1013" s="10">
        <f>IFERROR(__xludf.DUMMYFUNCTION("""COMPUTED_VALUE"""),2022.0)</f>
        <v>2022</v>
      </c>
      <c r="D1013" s="5">
        <f>IFERROR(__xludf.DUMMYFUNCTION("""COMPUTED_VALUE"""),0.3520822065981612)</f>
        <v>0.3520822066</v>
      </c>
      <c r="E1013" s="5">
        <f>IFERROR(__xludf.DUMMYFUNCTION("""COMPUTED_VALUE"""),0.14061654948620878)</f>
        <v>0.1406165495</v>
      </c>
      <c r="F1013" s="5">
        <f>IFERROR(__xludf.DUMMYFUNCTION("""COMPUTED_VALUE"""),0.23472147106544078)</f>
        <v>0.2347214711</v>
      </c>
      <c r="G1013" s="5">
        <f>IFERROR(__xludf.DUMMYFUNCTION("""COMPUTED_VALUE"""),0.17036235803136832)</f>
        <v>0.170362358</v>
      </c>
      <c r="H1013" s="5">
        <f>IFERROR(__xludf.DUMMYFUNCTION("""COMPUTED_VALUE"""),0.6082949308755761)</f>
        <v>0.6082949309</v>
      </c>
      <c r="I1013" s="11">
        <f>IFERROR(__xludf.DUMMYFUNCTION("""COMPUTED_VALUE"""),5279.493087557604)</f>
        <v>5279.493088</v>
      </c>
      <c r="J1013" s="10">
        <f>IFERROR(__xludf.DUMMYFUNCTION("""COMPUTED_VALUE"""),0.0)</f>
        <v>0</v>
      </c>
      <c r="K1013" s="5">
        <f>IFERROR(__xludf.DUMMYFUNCTION("""COMPUTED_VALUE"""),0.0)</f>
        <v>0</v>
      </c>
      <c r="L1013" s="10">
        <f>IFERROR(__xludf.DUMMYFUNCTION("""COMPUTED_VALUE"""),173.0)</f>
        <v>173</v>
      </c>
      <c r="M1013" s="5">
        <f>IFERROR(__xludf.DUMMYFUNCTION("""COMPUTED_VALUE"""),1.0)</f>
        <v>1</v>
      </c>
    </row>
    <row r="1014">
      <c r="A1014" s="10" t="str">
        <f>IFERROR(__xludf.DUMMYFUNCTION("""COMPUTED_VALUE"""),"まるとー")</f>
        <v>まるとー</v>
      </c>
      <c r="B1014" s="10">
        <f>IFERROR(__xludf.DUMMYFUNCTION("""COMPUTED_VALUE"""),1943.0)</f>
        <v>1943</v>
      </c>
      <c r="C1014" s="10">
        <f>IFERROR(__xludf.DUMMYFUNCTION("""COMPUTED_VALUE"""),22824.0)</f>
        <v>22824</v>
      </c>
      <c r="D1014" s="5">
        <f>IFERROR(__xludf.DUMMYFUNCTION("""COMPUTED_VALUE"""),0.42325559120731765)</f>
        <v>0.4232555912</v>
      </c>
      <c r="E1014" s="5">
        <f>IFERROR(__xludf.DUMMYFUNCTION("""COMPUTED_VALUE"""),0.14060629280206888)</f>
        <v>0.1406062928</v>
      </c>
      <c r="F1014" s="5">
        <f>IFERROR(__xludf.DUMMYFUNCTION("""COMPUTED_VALUE"""),0.22245103203869546)</f>
        <v>0.222451032</v>
      </c>
      <c r="G1014" s="5">
        <f>IFERROR(__xludf.DUMMYFUNCTION("""COMPUTED_VALUE"""),0.14798141851443897)</f>
        <v>0.1479814185</v>
      </c>
      <c r="H1014" s="5">
        <f>IFERROR(__xludf.DUMMYFUNCTION("""COMPUTED_VALUE"""),0.6045209903121637)</f>
        <v>0.6045209903</v>
      </c>
      <c r="I1014" s="11">
        <f>IFERROR(__xludf.DUMMYFUNCTION("""COMPUTED_VALUE"""),5463.466092572658)</f>
        <v>5463.466093</v>
      </c>
      <c r="J1014" s="10">
        <f>IFERROR(__xludf.DUMMYFUNCTION("""COMPUTED_VALUE"""),4.0)</f>
        <v>4</v>
      </c>
      <c r="K1014" s="5">
        <f>IFERROR(__xludf.DUMMYFUNCTION("""COMPUTED_VALUE"""),0.002058672156459084)</f>
        <v>0.002058672156</v>
      </c>
      <c r="L1014" s="10">
        <f>IFERROR(__xludf.DUMMYFUNCTION("""COMPUTED_VALUE"""),1943.0)</f>
        <v>1943</v>
      </c>
      <c r="M1014" s="5">
        <f>IFERROR(__xludf.DUMMYFUNCTION("""COMPUTED_VALUE"""),1.0)</f>
        <v>1</v>
      </c>
    </row>
    <row r="1015">
      <c r="A1015" s="10" t="str">
        <f>IFERROR(__xludf.DUMMYFUNCTION("""COMPUTED_VALUE"""),"Z(｀Д´Z）")</f>
        <v>Z(｀Д´Z）</v>
      </c>
      <c r="B1015" s="10">
        <f>IFERROR(__xludf.DUMMYFUNCTION("""COMPUTED_VALUE"""),408.0)</f>
        <v>408</v>
      </c>
      <c r="C1015" s="10">
        <f>IFERROR(__xludf.DUMMYFUNCTION("""COMPUTED_VALUE"""),4839.0)</f>
        <v>4839</v>
      </c>
      <c r="D1015" s="5">
        <f>IFERROR(__xludf.DUMMYFUNCTION("""COMPUTED_VALUE"""),0.3773414579101783)</f>
        <v>0.3773414579</v>
      </c>
      <c r="E1015" s="5">
        <f>IFERROR(__xludf.DUMMYFUNCTION("""COMPUTED_VALUE"""),0.1406003159557662)</f>
        <v>0.140600316</v>
      </c>
      <c r="F1015" s="5">
        <f>IFERROR(__xludf.DUMMYFUNCTION("""COMPUTED_VALUE"""),0.21372150756037012)</f>
        <v>0.2137215076</v>
      </c>
      <c r="G1015" s="5">
        <f>IFERROR(__xludf.DUMMYFUNCTION("""COMPUTED_VALUE"""),0.17896637327916948)</f>
        <v>0.1789663733</v>
      </c>
      <c r="H1015" s="5">
        <f>IFERROR(__xludf.DUMMYFUNCTION("""COMPUTED_VALUE"""),0.5786694825765576)</f>
        <v>0.5786694826</v>
      </c>
      <c r="I1015" s="11">
        <f>IFERROR(__xludf.DUMMYFUNCTION("""COMPUTED_VALUE"""),5122.069693769799)</f>
        <v>5122.069694</v>
      </c>
      <c r="J1015" s="10">
        <f>IFERROR(__xludf.DUMMYFUNCTION("""COMPUTED_VALUE"""),0.0)</f>
        <v>0</v>
      </c>
      <c r="K1015" s="5">
        <f>IFERROR(__xludf.DUMMYFUNCTION("""COMPUTED_VALUE"""),0.0)</f>
        <v>0</v>
      </c>
      <c r="L1015" s="10">
        <f>IFERROR(__xludf.DUMMYFUNCTION("""COMPUTED_VALUE"""),408.0)</f>
        <v>408</v>
      </c>
      <c r="M1015" s="5">
        <f>IFERROR(__xludf.DUMMYFUNCTION("""COMPUTED_VALUE"""),1.0)</f>
        <v>1</v>
      </c>
    </row>
    <row r="1016">
      <c r="A1016" s="10" t="str">
        <f>IFERROR(__xludf.DUMMYFUNCTION("""COMPUTED_VALUE"""),"テリやきバーガー")</f>
        <v>テリやきバーガー</v>
      </c>
      <c r="B1016" s="10">
        <f>IFERROR(__xludf.DUMMYFUNCTION("""COMPUTED_VALUE"""),601.0)</f>
        <v>601</v>
      </c>
      <c r="C1016" s="10">
        <f>IFERROR(__xludf.DUMMYFUNCTION("""COMPUTED_VALUE"""),7038.0)</f>
        <v>7038</v>
      </c>
      <c r="D1016" s="5">
        <f>IFERROR(__xludf.DUMMYFUNCTION("""COMPUTED_VALUE"""),0.3018486872766817)</f>
        <v>0.3018486873</v>
      </c>
      <c r="E1016" s="5">
        <f>IFERROR(__xludf.DUMMYFUNCTION("""COMPUTED_VALUE"""),0.14059344415100203)</f>
        <v>0.1405934442</v>
      </c>
      <c r="F1016" s="5">
        <f>IFERROR(__xludf.DUMMYFUNCTION("""COMPUTED_VALUE"""),0.19170421003573093)</f>
        <v>0.19170421</v>
      </c>
      <c r="G1016" s="5">
        <f>IFERROR(__xludf.DUMMYFUNCTION("""COMPUTED_VALUE"""),0.14261301848687277)</f>
        <v>0.1426130185</v>
      </c>
      <c r="H1016" s="5">
        <f>IFERROR(__xludf.DUMMYFUNCTION("""COMPUTED_VALUE"""),0.5948136142625607)</f>
        <v>0.5948136143</v>
      </c>
      <c r="I1016" s="11">
        <f>IFERROR(__xludf.DUMMYFUNCTION("""COMPUTED_VALUE"""),5745.137763371151)</f>
        <v>5745.137763</v>
      </c>
      <c r="J1016" s="10">
        <f>IFERROR(__xludf.DUMMYFUNCTION("""COMPUTED_VALUE"""),3.0)</f>
        <v>3</v>
      </c>
      <c r="K1016" s="5">
        <f>IFERROR(__xludf.DUMMYFUNCTION("""COMPUTED_VALUE"""),0.004991680532445923)</f>
        <v>0.004991680532</v>
      </c>
      <c r="L1016" s="10">
        <f>IFERROR(__xludf.DUMMYFUNCTION("""COMPUTED_VALUE"""),601.0)</f>
        <v>601</v>
      </c>
      <c r="M1016" s="5">
        <f>IFERROR(__xludf.DUMMYFUNCTION("""COMPUTED_VALUE"""),1.0)</f>
        <v>1</v>
      </c>
    </row>
    <row r="1017">
      <c r="A1017" s="10" t="str">
        <f>IFERROR(__xludf.DUMMYFUNCTION("""COMPUTED_VALUE"""),"colotite")</f>
        <v>colotite</v>
      </c>
      <c r="B1017" s="10">
        <f>IFERROR(__xludf.DUMMYFUNCTION("""COMPUTED_VALUE"""),186.0)</f>
        <v>186</v>
      </c>
      <c r="C1017" s="10">
        <f>IFERROR(__xludf.DUMMYFUNCTION("""COMPUTED_VALUE"""),2142.0)</f>
        <v>2142</v>
      </c>
      <c r="D1017" s="5">
        <f>IFERROR(__xludf.DUMMYFUNCTION("""COMPUTED_VALUE"""),0.41462167689161555)</f>
        <v>0.4146216769</v>
      </c>
      <c r="E1017" s="5">
        <f>IFERROR(__xludf.DUMMYFUNCTION("""COMPUTED_VALUE"""),0.14059304703476483)</f>
        <v>0.140593047</v>
      </c>
      <c r="F1017" s="5">
        <f>IFERROR(__xludf.DUMMYFUNCTION("""COMPUTED_VALUE"""),0.2116564417177914)</f>
        <v>0.2116564417</v>
      </c>
      <c r="G1017" s="5">
        <f>IFERROR(__xludf.DUMMYFUNCTION("""COMPUTED_VALUE"""),0.15848670756646216)</f>
        <v>0.1584867076</v>
      </c>
      <c r="H1017" s="5">
        <f>IFERROR(__xludf.DUMMYFUNCTION("""COMPUTED_VALUE"""),0.5869565217391305)</f>
        <v>0.5869565217</v>
      </c>
      <c r="I1017" s="11">
        <f>IFERROR(__xludf.DUMMYFUNCTION("""COMPUTED_VALUE"""),5070.531400966183)</f>
        <v>5070.531401</v>
      </c>
      <c r="J1017" s="10">
        <f>IFERROR(__xludf.DUMMYFUNCTION("""COMPUTED_VALUE"""),0.0)</f>
        <v>0</v>
      </c>
      <c r="K1017" s="5">
        <f>IFERROR(__xludf.DUMMYFUNCTION("""COMPUTED_VALUE"""),0.0)</f>
        <v>0</v>
      </c>
      <c r="L1017" s="10">
        <f>IFERROR(__xludf.DUMMYFUNCTION("""COMPUTED_VALUE"""),186.0)</f>
        <v>186</v>
      </c>
      <c r="M1017" s="5">
        <f>IFERROR(__xludf.DUMMYFUNCTION("""COMPUTED_VALUE"""),1.0)</f>
        <v>1</v>
      </c>
    </row>
    <row r="1018">
      <c r="A1018" s="10" t="str">
        <f>IFERROR(__xludf.DUMMYFUNCTION("""COMPUTED_VALUE"""),"輝")</f>
        <v>輝</v>
      </c>
      <c r="B1018" s="10">
        <f>IFERROR(__xludf.DUMMYFUNCTION("""COMPUTED_VALUE"""),455.0)</f>
        <v>455</v>
      </c>
      <c r="C1018" s="10">
        <f>IFERROR(__xludf.DUMMYFUNCTION("""COMPUTED_VALUE"""),5249.0)</f>
        <v>5249</v>
      </c>
      <c r="D1018" s="5">
        <f>IFERROR(__xludf.DUMMYFUNCTION("""COMPUTED_VALUE"""),0.3977889027951606)</f>
        <v>0.3977889028</v>
      </c>
      <c r="E1018" s="5">
        <f>IFERROR(__xludf.DUMMYFUNCTION("""COMPUTED_VALUE"""),0.1405924071756362)</f>
        <v>0.1405924072</v>
      </c>
      <c r="F1018" s="5">
        <f>IFERROR(__xludf.DUMMYFUNCTION("""COMPUTED_VALUE"""),0.21839799749687108)</f>
        <v>0.2183979975</v>
      </c>
      <c r="G1018" s="5">
        <f>IFERROR(__xludf.DUMMYFUNCTION("""COMPUTED_VALUE"""),0.17146433041301626)</f>
        <v>0.1714643304</v>
      </c>
      <c r="H1018" s="5">
        <f>IFERROR(__xludf.DUMMYFUNCTION("""COMPUTED_VALUE"""),0.623686723973257)</f>
        <v>0.623686724</v>
      </c>
      <c r="I1018" s="11">
        <f>IFERROR(__xludf.DUMMYFUNCTION("""COMPUTED_VALUE"""),5454.059216809933)</f>
        <v>5454.059217</v>
      </c>
      <c r="J1018" s="10">
        <f>IFERROR(__xludf.DUMMYFUNCTION("""COMPUTED_VALUE"""),1.0)</f>
        <v>1</v>
      </c>
      <c r="K1018" s="5">
        <f>IFERROR(__xludf.DUMMYFUNCTION("""COMPUTED_VALUE"""),0.002197802197802198)</f>
        <v>0.002197802198</v>
      </c>
      <c r="L1018" s="10">
        <f>IFERROR(__xludf.DUMMYFUNCTION("""COMPUTED_VALUE"""),455.0)</f>
        <v>455</v>
      </c>
      <c r="M1018" s="5">
        <f>IFERROR(__xludf.DUMMYFUNCTION("""COMPUTED_VALUE"""),1.0)</f>
        <v>1</v>
      </c>
    </row>
    <row r="1019">
      <c r="A1019" s="10" t="str">
        <f>IFERROR(__xludf.DUMMYFUNCTION("""COMPUTED_VALUE"""),"クラムボン")</f>
        <v>クラムボン</v>
      </c>
      <c r="B1019" s="10">
        <f>IFERROR(__xludf.DUMMYFUNCTION("""COMPUTED_VALUE"""),336.0)</f>
        <v>336</v>
      </c>
      <c r="C1019" s="10">
        <f>IFERROR(__xludf.DUMMYFUNCTION("""COMPUTED_VALUE"""),3864.0)</f>
        <v>3864</v>
      </c>
      <c r="D1019" s="5">
        <f>IFERROR(__xludf.DUMMYFUNCTION("""COMPUTED_VALUE"""),0.43820861678004536)</f>
        <v>0.4382086168</v>
      </c>
      <c r="E1019" s="5">
        <f>IFERROR(__xludf.DUMMYFUNCTION("""COMPUTED_VALUE"""),0.14058956916099774)</f>
        <v>0.1405895692</v>
      </c>
      <c r="F1019" s="5">
        <f>IFERROR(__xludf.DUMMYFUNCTION("""COMPUTED_VALUE"""),0.2304421768707483)</f>
        <v>0.2304421769</v>
      </c>
      <c r="G1019" s="5">
        <f>IFERROR(__xludf.DUMMYFUNCTION("""COMPUTED_VALUE"""),0.18877551020408162)</f>
        <v>0.1887755102</v>
      </c>
      <c r="H1019" s="5">
        <f>IFERROR(__xludf.DUMMYFUNCTION("""COMPUTED_VALUE"""),0.5744157441574416)</f>
        <v>0.5744157442</v>
      </c>
      <c r="I1019" s="11">
        <f>IFERROR(__xludf.DUMMYFUNCTION("""COMPUTED_VALUE"""),5416.974169741698)</f>
        <v>5416.97417</v>
      </c>
      <c r="J1019" s="10">
        <f>IFERROR(__xludf.DUMMYFUNCTION("""COMPUTED_VALUE"""),0.0)</f>
        <v>0</v>
      </c>
      <c r="K1019" s="5">
        <f>IFERROR(__xludf.DUMMYFUNCTION("""COMPUTED_VALUE"""),0.0)</f>
        <v>0</v>
      </c>
      <c r="L1019" s="10">
        <f>IFERROR(__xludf.DUMMYFUNCTION("""COMPUTED_VALUE"""),336.0)</f>
        <v>336</v>
      </c>
      <c r="M1019" s="5">
        <f>IFERROR(__xludf.DUMMYFUNCTION("""COMPUTED_VALUE"""),1.0)</f>
        <v>1</v>
      </c>
    </row>
    <row r="1020">
      <c r="A1020" s="10" t="str">
        <f>IFERROR(__xludf.DUMMYFUNCTION("""COMPUTED_VALUE"""),"νガンダム")</f>
        <v>νガンダム</v>
      </c>
      <c r="B1020" s="10">
        <f>IFERROR(__xludf.DUMMYFUNCTION("""COMPUTED_VALUE"""),1936.0)</f>
        <v>1936</v>
      </c>
      <c r="C1020" s="10">
        <f>IFERROR(__xludf.DUMMYFUNCTION("""COMPUTED_VALUE"""),22479.0)</f>
        <v>22479</v>
      </c>
      <c r="D1020" s="5">
        <f>IFERROR(__xludf.DUMMYFUNCTION("""COMPUTED_VALUE"""),0.34308523584676043)</f>
        <v>0.3430852358</v>
      </c>
      <c r="E1020" s="5">
        <f>IFERROR(__xludf.DUMMYFUNCTION("""COMPUTED_VALUE"""),0.1405831670155284)</f>
        <v>0.140583167</v>
      </c>
      <c r="F1020" s="5">
        <f>IFERROR(__xludf.DUMMYFUNCTION("""COMPUTED_VALUE"""),0.21136153434259844)</f>
        <v>0.2113615343</v>
      </c>
      <c r="G1020" s="5">
        <f>IFERROR(__xludf.DUMMYFUNCTION("""COMPUTED_VALUE"""),0.19300978435476804)</f>
        <v>0.1930097844</v>
      </c>
      <c r="H1020" s="5">
        <f>IFERROR(__xludf.DUMMYFUNCTION("""COMPUTED_VALUE"""),0.5930446798710272)</f>
        <v>0.5930446799</v>
      </c>
      <c r="I1020" s="11">
        <f>IFERROR(__xludf.DUMMYFUNCTION("""COMPUTED_VALUE"""),6042.031321971442)</f>
        <v>6042.031322</v>
      </c>
      <c r="J1020" s="10">
        <f>IFERROR(__xludf.DUMMYFUNCTION("""COMPUTED_VALUE"""),4.0)</f>
        <v>4</v>
      </c>
      <c r="K1020" s="5">
        <f>IFERROR(__xludf.DUMMYFUNCTION("""COMPUTED_VALUE"""),0.002066115702479339)</f>
        <v>0.002066115702</v>
      </c>
      <c r="L1020" s="10">
        <f>IFERROR(__xludf.DUMMYFUNCTION("""COMPUTED_VALUE"""),1936.0)</f>
        <v>1936</v>
      </c>
      <c r="M1020" s="5">
        <f>IFERROR(__xludf.DUMMYFUNCTION("""COMPUTED_VALUE"""),1.0)</f>
        <v>1</v>
      </c>
    </row>
    <row r="1021">
      <c r="A1021" s="10" t="str">
        <f>IFERROR(__xludf.DUMMYFUNCTION("""COMPUTED_VALUE"""),"ソータニ")</f>
        <v>ソータニ</v>
      </c>
      <c r="B1021" s="10">
        <f>IFERROR(__xludf.DUMMYFUNCTION("""COMPUTED_VALUE"""),165.0)</f>
        <v>165</v>
      </c>
      <c r="C1021" s="10">
        <f>IFERROR(__xludf.DUMMYFUNCTION("""COMPUTED_VALUE"""),1972.0)</f>
        <v>1972</v>
      </c>
      <c r="D1021" s="5">
        <f>IFERROR(__xludf.DUMMYFUNCTION("""COMPUTED_VALUE"""),0.3558384061981184)</f>
        <v>0.3558384062</v>
      </c>
      <c r="E1021" s="5">
        <f>IFERROR(__xludf.DUMMYFUNCTION("""COMPUTED_VALUE"""),0.1405644714997233)</f>
        <v>0.1405644715</v>
      </c>
      <c r="F1021" s="5">
        <f>IFERROR(__xludf.DUMMYFUNCTION("""COMPUTED_VALUE"""),0.20863309352517986)</f>
        <v>0.2086330935</v>
      </c>
      <c r="G1021" s="5">
        <f>IFERROR(__xludf.DUMMYFUNCTION("""COMPUTED_VALUE"""),0.16159380188157166)</f>
        <v>0.1615938019</v>
      </c>
      <c r="H1021" s="5">
        <f>IFERROR(__xludf.DUMMYFUNCTION("""COMPUTED_VALUE"""),0.6127320954907162)</f>
        <v>0.6127320955</v>
      </c>
      <c r="I1021" s="11">
        <f>IFERROR(__xludf.DUMMYFUNCTION("""COMPUTED_VALUE"""),5196.286472148541)</f>
        <v>5196.286472</v>
      </c>
      <c r="J1021" s="10">
        <f>IFERROR(__xludf.DUMMYFUNCTION("""COMPUTED_VALUE"""),0.0)</f>
        <v>0</v>
      </c>
      <c r="K1021" s="5">
        <f>IFERROR(__xludf.DUMMYFUNCTION("""COMPUTED_VALUE"""),0.0)</f>
        <v>0</v>
      </c>
      <c r="L1021" s="10">
        <f>IFERROR(__xludf.DUMMYFUNCTION("""COMPUTED_VALUE"""),165.0)</f>
        <v>165</v>
      </c>
      <c r="M1021" s="5">
        <f>IFERROR(__xludf.DUMMYFUNCTION("""COMPUTED_VALUE"""),1.0)</f>
        <v>1</v>
      </c>
    </row>
    <row r="1022">
      <c r="A1022" s="10" t="str">
        <f>IFERROR(__xludf.DUMMYFUNCTION("""COMPUTED_VALUE"""),"【龍門渕セイラ】")</f>
        <v>【龍門渕セイラ】</v>
      </c>
      <c r="B1022" s="10">
        <f>IFERROR(__xludf.DUMMYFUNCTION("""COMPUTED_VALUE"""),179.0)</f>
        <v>179</v>
      </c>
      <c r="C1022" s="10">
        <f>IFERROR(__xludf.DUMMYFUNCTION("""COMPUTED_VALUE"""),2100.0)</f>
        <v>2100</v>
      </c>
      <c r="D1022" s="5">
        <f>IFERROR(__xludf.DUMMYFUNCTION("""COMPUTED_VALUE"""),0.4403956272774597)</f>
        <v>0.4403956273</v>
      </c>
      <c r="E1022" s="5">
        <f>IFERROR(__xludf.DUMMYFUNCTION("""COMPUTED_VALUE"""),0.14055179593961478)</f>
        <v>0.1405517959</v>
      </c>
      <c r="F1022" s="5">
        <f>IFERROR(__xludf.DUMMYFUNCTION("""COMPUTED_VALUE"""),0.22228006246746487)</f>
        <v>0.2222800625</v>
      </c>
      <c r="G1022" s="5">
        <f>IFERROR(__xludf.DUMMYFUNCTION("""COMPUTED_VALUE"""),0.13066111400312339)</f>
        <v>0.130661114</v>
      </c>
      <c r="H1022" s="5">
        <f>IFERROR(__xludf.DUMMYFUNCTION("""COMPUTED_VALUE"""),0.6042154566744731)</f>
        <v>0.6042154567</v>
      </c>
      <c r="I1022" s="11">
        <f>IFERROR(__xludf.DUMMYFUNCTION("""COMPUTED_VALUE"""),4893.911007025761)</f>
        <v>4893.911007</v>
      </c>
      <c r="J1022" s="10">
        <f>IFERROR(__xludf.DUMMYFUNCTION("""COMPUTED_VALUE"""),1.0)</f>
        <v>1</v>
      </c>
      <c r="K1022" s="5">
        <f>IFERROR(__xludf.DUMMYFUNCTION("""COMPUTED_VALUE"""),0.00558659217877095)</f>
        <v>0.005586592179</v>
      </c>
      <c r="L1022" s="10">
        <f>IFERROR(__xludf.DUMMYFUNCTION("""COMPUTED_VALUE"""),179.0)</f>
        <v>179</v>
      </c>
      <c r="M1022" s="5">
        <f>IFERROR(__xludf.DUMMYFUNCTION("""COMPUTED_VALUE"""),1.0)</f>
        <v>1</v>
      </c>
    </row>
    <row r="1023">
      <c r="A1023" s="10" t="str">
        <f>IFERROR(__xludf.DUMMYFUNCTION("""COMPUTED_VALUE"""),"兎博士")</f>
        <v>兎博士</v>
      </c>
      <c r="B1023" s="10">
        <f>IFERROR(__xludf.DUMMYFUNCTION("""COMPUTED_VALUE"""),506.0)</f>
        <v>506</v>
      </c>
      <c r="C1023" s="10">
        <f>IFERROR(__xludf.DUMMYFUNCTION("""COMPUTED_VALUE"""),5928.0)</f>
        <v>5928</v>
      </c>
      <c r="D1023" s="5">
        <f>IFERROR(__xludf.DUMMYFUNCTION("""COMPUTED_VALUE"""),0.3113242345997787)</f>
        <v>0.3113242346</v>
      </c>
      <c r="E1023" s="5">
        <f>IFERROR(__xludf.DUMMYFUNCTION("""COMPUTED_VALUE"""),0.14053854666174842)</f>
        <v>0.1405385467</v>
      </c>
      <c r="F1023" s="5">
        <f>IFERROR(__xludf.DUMMYFUNCTION("""COMPUTED_VALUE"""),0.2080413131685725)</f>
        <v>0.2080413132</v>
      </c>
      <c r="G1023" s="5">
        <f>IFERROR(__xludf.DUMMYFUNCTION("""COMPUTED_VALUE"""),0.17779417189229066)</f>
        <v>0.1777941719</v>
      </c>
      <c r="H1023" s="5">
        <f>IFERROR(__xludf.DUMMYFUNCTION("""COMPUTED_VALUE"""),0.5718085106382979)</f>
        <v>0.5718085106</v>
      </c>
      <c r="I1023" s="11">
        <f>IFERROR(__xludf.DUMMYFUNCTION("""COMPUTED_VALUE"""),5580.31914893617)</f>
        <v>5580.319149</v>
      </c>
      <c r="J1023" s="10">
        <f>IFERROR(__xludf.DUMMYFUNCTION("""COMPUTED_VALUE"""),1.0)</f>
        <v>1</v>
      </c>
      <c r="K1023" s="5">
        <f>IFERROR(__xludf.DUMMYFUNCTION("""COMPUTED_VALUE"""),0.001976284584980237)</f>
        <v>0.001976284585</v>
      </c>
      <c r="L1023" s="10">
        <f>IFERROR(__xludf.DUMMYFUNCTION("""COMPUTED_VALUE"""),0.0)</f>
        <v>0</v>
      </c>
      <c r="M1023" s="5">
        <f>IFERROR(__xludf.DUMMYFUNCTION("""COMPUTED_VALUE"""),0.0)</f>
        <v>0</v>
      </c>
    </row>
    <row r="1024">
      <c r="A1024" s="10" t="str">
        <f>IFERROR(__xludf.DUMMYFUNCTION("""COMPUTED_VALUE"""),"4majiro")</f>
        <v>4majiro</v>
      </c>
      <c r="B1024" s="10">
        <f>IFERROR(__xludf.DUMMYFUNCTION("""COMPUTED_VALUE"""),391.0)</f>
        <v>391</v>
      </c>
      <c r="C1024" s="10">
        <f>IFERROR(__xludf.DUMMYFUNCTION("""COMPUTED_VALUE"""),4561.0)</f>
        <v>4561</v>
      </c>
      <c r="D1024" s="5">
        <f>IFERROR(__xludf.DUMMYFUNCTION("""COMPUTED_VALUE"""),0.4026378896882494)</f>
        <v>0.4026378897</v>
      </c>
      <c r="E1024" s="5">
        <f>IFERROR(__xludf.DUMMYFUNCTION("""COMPUTED_VALUE"""),0.1405275779376499)</f>
        <v>0.1405275779</v>
      </c>
      <c r="F1024" s="5">
        <f>IFERROR(__xludf.DUMMYFUNCTION("""COMPUTED_VALUE"""),0.2081534772182254)</f>
        <v>0.2081534772</v>
      </c>
      <c r="G1024" s="5">
        <f>IFERROR(__xludf.DUMMYFUNCTION("""COMPUTED_VALUE"""),0.16378896882494004)</f>
        <v>0.1637889688</v>
      </c>
      <c r="H1024" s="5">
        <f>IFERROR(__xludf.DUMMYFUNCTION("""COMPUTED_VALUE"""),0.5956221198156681)</f>
        <v>0.5956221198</v>
      </c>
      <c r="I1024" s="11">
        <f>IFERROR(__xludf.DUMMYFUNCTION("""COMPUTED_VALUE"""),5872.695852534563)</f>
        <v>5872.695853</v>
      </c>
      <c r="J1024" s="10">
        <f>IFERROR(__xludf.DUMMYFUNCTION("""COMPUTED_VALUE"""),0.0)</f>
        <v>0</v>
      </c>
      <c r="K1024" s="5">
        <f>IFERROR(__xludf.DUMMYFUNCTION("""COMPUTED_VALUE"""),0.0)</f>
        <v>0</v>
      </c>
      <c r="L1024" s="10">
        <f>IFERROR(__xludf.DUMMYFUNCTION("""COMPUTED_VALUE"""),391.0)</f>
        <v>391</v>
      </c>
      <c r="M1024" s="5">
        <f>IFERROR(__xludf.DUMMYFUNCTION("""COMPUTED_VALUE"""),1.0)</f>
        <v>1</v>
      </c>
    </row>
    <row r="1025">
      <c r="A1025" s="10" t="str">
        <f>IFERROR(__xludf.DUMMYFUNCTION("""COMPUTED_VALUE"""),"fsecond")</f>
        <v>fsecond</v>
      </c>
      <c r="B1025" s="10">
        <f>IFERROR(__xludf.DUMMYFUNCTION("""COMPUTED_VALUE"""),271.0)</f>
        <v>271</v>
      </c>
      <c r="C1025" s="10">
        <f>IFERROR(__xludf.DUMMYFUNCTION("""COMPUTED_VALUE"""),3225.0)</f>
        <v>3225</v>
      </c>
      <c r="D1025" s="5">
        <f>IFERROR(__xludf.DUMMYFUNCTION("""COMPUTED_VALUE"""),0.45091401489505756)</f>
        <v>0.4509140149</v>
      </c>
      <c r="E1025" s="5">
        <f>IFERROR(__xludf.DUMMYFUNCTION("""COMPUTED_VALUE"""),0.14048747461069735)</f>
        <v>0.1404874746</v>
      </c>
      <c r="F1025" s="5">
        <f>IFERROR(__xludf.DUMMYFUNCTION("""COMPUTED_VALUE"""),0.21022342586323628)</f>
        <v>0.2102234259</v>
      </c>
      <c r="G1025" s="5">
        <f>IFERROR(__xludf.DUMMYFUNCTION("""COMPUTED_VALUE"""),0.12796208530805686)</f>
        <v>0.1279620853</v>
      </c>
      <c r="H1025" s="5">
        <f>IFERROR(__xludf.DUMMYFUNCTION("""COMPUTED_VALUE"""),0.6119162640901772)</f>
        <v>0.6119162641</v>
      </c>
      <c r="I1025" s="11">
        <f>IFERROR(__xludf.DUMMYFUNCTION("""COMPUTED_VALUE"""),5074.396135265701)</f>
        <v>5074.396135</v>
      </c>
      <c r="J1025" s="10">
        <f>IFERROR(__xludf.DUMMYFUNCTION("""COMPUTED_VALUE"""),0.0)</f>
        <v>0</v>
      </c>
      <c r="K1025" s="5">
        <f>IFERROR(__xludf.DUMMYFUNCTION("""COMPUTED_VALUE"""),0.0)</f>
        <v>0</v>
      </c>
      <c r="L1025" s="10">
        <f>IFERROR(__xludf.DUMMYFUNCTION("""COMPUTED_VALUE"""),271.0)</f>
        <v>271</v>
      </c>
      <c r="M1025" s="5">
        <f>IFERROR(__xludf.DUMMYFUNCTION("""COMPUTED_VALUE"""),1.0)</f>
        <v>1</v>
      </c>
    </row>
    <row r="1026">
      <c r="A1026" s="10" t="str">
        <f>IFERROR(__xludf.DUMMYFUNCTION("""COMPUTED_VALUE"""),"犀川萌絵")</f>
        <v>犀川萌絵</v>
      </c>
      <c r="B1026" s="10">
        <f>IFERROR(__xludf.DUMMYFUNCTION("""COMPUTED_VALUE"""),228.0)</f>
        <v>228</v>
      </c>
      <c r="C1026" s="10">
        <f>IFERROR(__xludf.DUMMYFUNCTION("""COMPUTED_VALUE"""),2570.0)</f>
        <v>2570</v>
      </c>
      <c r="D1026" s="5">
        <f>IFERROR(__xludf.DUMMYFUNCTION("""COMPUTED_VALUE"""),0.33603757472245943)</f>
        <v>0.3360375747</v>
      </c>
      <c r="E1026" s="5">
        <f>IFERROR(__xludf.DUMMYFUNCTION("""COMPUTED_VALUE"""),0.14047822374039282)</f>
        <v>0.1404782237</v>
      </c>
      <c r="F1026" s="5">
        <f>IFERROR(__xludf.DUMMYFUNCTION("""COMPUTED_VALUE"""),0.21690862510674638)</f>
        <v>0.2169086251</v>
      </c>
      <c r="G1026" s="5">
        <f>IFERROR(__xludf.DUMMYFUNCTION("""COMPUTED_VALUE"""),0.20922288642186165)</f>
        <v>0.2092228864</v>
      </c>
      <c r="H1026" s="5">
        <f>IFERROR(__xludf.DUMMYFUNCTION("""COMPUTED_VALUE"""),0.5826771653543307)</f>
        <v>0.5826771654</v>
      </c>
      <c r="I1026" s="11">
        <f>IFERROR(__xludf.DUMMYFUNCTION("""COMPUTED_VALUE"""),5701.181102362205)</f>
        <v>5701.181102</v>
      </c>
      <c r="J1026" s="10">
        <f>IFERROR(__xludf.DUMMYFUNCTION("""COMPUTED_VALUE"""),0.0)</f>
        <v>0</v>
      </c>
      <c r="K1026" s="5">
        <f>IFERROR(__xludf.DUMMYFUNCTION("""COMPUTED_VALUE"""),0.0)</f>
        <v>0</v>
      </c>
      <c r="L1026" s="10">
        <f>IFERROR(__xludf.DUMMYFUNCTION("""COMPUTED_VALUE"""),0.0)</f>
        <v>0</v>
      </c>
      <c r="M1026" s="5">
        <f>IFERROR(__xludf.DUMMYFUNCTION("""COMPUTED_VALUE"""),0.0)</f>
        <v>0</v>
      </c>
    </row>
    <row r="1027">
      <c r="A1027" s="10" t="str">
        <f>IFERROR(__xludf.DUMMYFUNCTION("""COMPUTED_VALUE"""),"徳乃神")</f>
        <v>徳乃神</v>
      </c>
      <c r="B1027" s="10">
        <f>IFERROR(__xludf.DUMMYFUNCTION("""COMPUTED_VALUE"""),130.0)</f>
        <v>130</v>
      </c>
      <c r="C1027" s="10">
        <f>IFERROR(__xludf.DUMMYFUNCTION("""COMPUTED_VALUE"""),1511.0)</f>
        <v>1511</v>
      </c>
      <c r="D1027" s="5">
        <f>IFERROR(__xludf.DUMMYFUNCTION("""COMPUTED_VALUE"""),0.33019551049963797)</f>
        <v>0.3301955105</v>
      </c>
      <c r="E1027" s="5">
        <f>IFERROR(__xludf.DUMMYFUNCTION("""COMPUTED_VALUE"""),0.14047791455467054)</f>
        <v>0.1404779146</v>
      </c>
      <c r="F1027" s="5">
        <f>IFERROR(__xludf.DUMMYFUNCTION("""COMPUTED_VALUE"""),0.21216509775524983)</f>
        <v>0.2121650978</v>
      </c>
      <c r="G1027" s="5">
        <f>IFERROR(__xludf.DUMMYFUNCTION("""COMPUTED_VALUE"""),0.1882693700217234)</f>
        <v>0.18826937</v>
      </c>
      <c r="H1027" s="5">
        <f>IFERROR(__xludf.DUMMYFUNCTION("""COMPUTED_VALUE"""),0.5836177474402731)</f>
        <v>0.5836177474</v>
      </c>
      <c r="I1027" s="11">
        <f>IFERROR(__xludf.DUMMYFUNCTION("""COMPUTED_VALUE"""),5723.890784982935)</f>
        <v>5723.890785</v>
      </c>
      <c r="J1027" s="10">
        <f>IFERROR(__xludf.DUMMYFUNCTION("""COMPUTED_VALUE"""),0.0)</f>
        <v>0</v>
      </c>
      <c r="K1027" s="5">
        <f>IFERROR(__xludf.DUMMYFUNCTION("""COMPUTED_VALUE"""),0.0)</f>
        <v>0</v>
      </c>
      <c r="L1027" s="10">
        <f>IFERROR(__xludf.DUMMYFUNCTION("""COMPUTED_VALUE"""),130.0)</f>
        <v>130</v>
      </c>
      <c r="M1027" s="5">
        <f>IFERROR(__xludf.DUMMYFUNCTION("""COMPUTED_VALUE"""),1.0)</f>
        <v>1</v>
      </c>
    </row>
    <row r="1028">
      <c r="A1028" s="10" t="str">
        <f>IFERROR(__xludf.DUMMYFUNCTION("""COMPUTED_VALUE"""),"月長石")</f>
        <v>月長石</v>
      </c>
      <c r="B1028" s="10">
        <f>IFERROR(__xludf.DUMMYFUNCTION("""COMPUTED_VALUE"""),153.0)</f>
        <v>153</v>
      </c>
      <c r="C1028" s="10">
        <f>IFERROR(__xludf.DUMMYFUNCTION("""COMPUTED_VALUE"""),1748.0)</f>
        <v>1748</v>
      </c>
      <c r="D1028" s="5">
        <f>IFERROR(__xludf.DUMMYFUNCTION("""COMPUTED_VALUE"""),0.32351097178683386)</f>
        <v>0.3235109718</v>
      </c>
      <c r="E1028" s="5">
        <f>IFERROR(__xludf.DUMMYFUNCTION("""COMPUTED_VALUE"""),0.14043887147335424)</f>
        <v>0.1404388715</v>
      </c>
      <c r="F1028" s="5">
        <f>IFERROR(__xludf.DUMMYFUNCTION("""COMPUTED_VALUE"""),0.2206896551724138)</f>
        <v>0.2206896552</v>
      </c>
      <c r="G1028" s="5">
        <f>IFERROR(__xludf.DUMMYFUNCTION("""COMPUTED_VALUE"""),0.16677115987460814)</f>
        <v>0.1667711599</v>
      </c>
      <c r="H1028" s="5">
        <f>IFERROR(__xludf.DUMMYFUNCTION("""COMPUTED_VALUE"""),0.5340909090909091)</f>
        <v>0.5340909091</v>
      </c>
      <c r="I1028" s="11">
        <f>IFERROR(__xludf.DUMMYFUNCTION("""COMPUTED_VALUE"""),5868.75)</f>
        <v>5868.75</v>
      </c>
      <c r="J1028" s="10">
        <f>IFERROR(__xludf.DUMMYFUNCTION("""COMPUTED_VALUE"""),0.0)</f>
        <v>0</v>
      </c>
      <c r="K1028" s="5">
        <f>IFERROR(__xludf.DUMMYFUNCTION("""COMPUTED_VALUE"""),0.0)</f>
        <v>0</v>
      </c>
      <c r="L1028" s="10">
        <f>IFERROR(__xludf.DUMMYFUNCTION("""COMPUTED_VALUE"""),153.0)</f>
        <v>153</v>
      </c>
      <c r="M1028" s="5">
        <f>IFERROR(__xludf.DUMMYFUNCTION("""COMPUTED_VALUE"""),1.0)</f>
        <v>1</v>
      </c>
    </row>
    <row r="1029">
      <c r="A1029" s="10" t="str">
        <f>IFERROR(__xludf.DUMMYFUNCTION("""COMPUTED_VALUE"""),"池田賢史")</f>
        <v>池田賢史</v>
      </c>
      <c r="B1029" s="10">
        <f>IFERROR(__xludf.DUMMYFUNCTION("""COMPUTED_VALUE"""),120.0)</f>
        <v>120</v>
      </c>
      <c r="C1029" s="10">
        <f>IFERROR(__xludf.DUMMYFUNCTION("""COMPUTED_VALUE"""),1416.0)</f>
        <v>1416</v>
      </c>
      <c r="D1029" s="5">
        <f>IFERROR(__xludf.DUMMYFUNCTION("""COMPUTED_VALUE"""),0.39197530864197533)</f>
        <v>0.3919753086</v>
      </c>
      <c r="E1029" s="5">
        <f>IFERROR(__xludf.DUMMYFUNCTION("""COMPUTED_VALUE"""),0.1404320987654321)</f>
        <v>0.1404320988</v>
      </c>
      <c r="F1029" s="5">
        <f>IFERROR(__xludf.DUMMYFUNCTION("""COMPUTED_VALUE"""),0.21064814814814814)</f>
        <v>0.2106481481</v>
      </c>
      <c r="G1029" s="5">
        <f>IFERROR(__xludf.DUMMYFUNCTION("""COMPUTED_VALUE"""),0.18055555555555555)</f>
        <v>0.1805555556</v>
      </c>
      <c r="H1029" s="5">
        <f>IFERROR(__xludf.DUMMYFUNCTION("""COMPUTED_VALUE"""),0.6336996336996337)</f>
        <v>0.6336996337</v>
      </c>
      <c r="I1029" s="11">
        <f>IFERROR(__xludf.DUMMYFUNCTION("""COMPUTED_VALUE"""),5869.2307692307695)</f>
        <v>5869.230769</v>
      </c>
      <c r="J1029" s="10">
        <f>IFERROR(__xludf.DUMMYFUNCTION("""COMPUTED_VALUE"""),2.0)</f>
        <v>2</v>
      </c>
      <c r="K1029" s="5">
        <f>IFERROR(__xludf.DUMMYFUNCTION("""COMPUTED_VALUE"""),0.016666666666666666)</f>
        <v>0.01666666667</v>
      </c>
      <c r="L1029" s="10">
        <f>IFERROR(__xludf.DUMMYFUNCTION("""COMPUTED_VALUE"""),120.0)</f>
        <v>120</v>
      </c>
      <c r="M1029" s="5">
        <f>IFERROR(__xludf.DUMMYFUNCTION("""COMPUTED_VALUE"""),1.0)</f>
        <v>1</v>
      </c>
    </row>
    <row r="1030">
      <c r="A1030" s="10" t="str">
        <f>IFERROR(__xludf.DUMMYFUNCTION("""COMPUTED_VALUE"""),"風まかせ月影蘭")</f>
        <v>風まかせ月影蘭</v>
      </c>
      <c r="B1030" s="10">
        <f>IFERROR(__xludf.DUMMYFUNCTION("""COMPUTED_VALUE"""),135.0)</f>
        <v>135</v>
      </c>
      <c r="C1030" s="10">
        <f>IFERROR(__xludf.DUMMYFUNCTION("""COMPUTED_VALUE"""),1545.0)</f>
        <v>1545</v>
      </c>
      <c r="D1030" s="5">
        <f>IFERROR(__xludf.DUMMYFUNCTION("""COMPUTED_VALUE"""),0.37163120567375885)</f>
        <v>0.3716312057</v>
      </c>
      <c r="E1030" s="5">
        <f>IFERROR(__xludf.DUMMYFUNCTION("""COMPUTED_VALUE"""),0.14042553191489363)</f>
        <v>0.1404255319</v>
      </c>
      <c r="F1030" s="5">
        <f>IFERROR(__xludf.DUMMYFUNCTION("""COMPUTED_VALUE"""),0.2226950354609929)</f>
        <v>0.2226950355</v>
      </c>
      <c r="G1030" s="5">
        <f>IFERROR(__xludf.DUMMYFUNCTION("""COMPUTED_VALUE"""),0.19858156028368795)</f>
        <v>0.1985815603</v>
      </c>
      <c r="H1030" s="5">
        <f>IFERROR(__xludf.DUMMYFUNCTION("""COMPUTED_VALUE"""),0.5764331210191083)</f>
        <v>0.576433121</v>
      </c>
      <c r="I1030" s="11">
        <f>IFERROR(__xludf.DUMMYFUNCTION("""COMPUTED_VALUE"""),5627.070063694267)</f>
        <v>5627.070064</v>
      </c>
      <c r="J1030" s="10">
        <f>IFERROR(__xludf.DUMMYFUNCTION("""COMPUTED_VALUE"""),0.0)</f>
        <v>0</v>
      </c>
      <c r="K1030" s="5">
        <f>IFERROR(__xludf.DUMMYFUNCTION("""COMPUTED_VALUE"""),0.0)</f>
        <v>0</v>
      </c>
      <c r="L1030" s="10">
        <f>IFERROR(__xludf.DUMMYFUNCTION("""COMPUTED_VALUE"""),125.0)</f>
        <v>125</v>
      </c>
      <c r="M1030" s="5">
        <f>IFERROR(__xludf.DUMMYFUNCTION("""COMPUTED_VALUE"""),0.9259259259259259)</f>
        <v>0.9259259259</v>
      </c>
    </row>
    <row r="1031">
      <c r="A1031" s="10" t="str">
        <f>IFERROR(__xludf.DUMMYFUNCTION("""COMPUTED_VALUE"""),"岡村")</f>
        <v>岡村</v>
      </c>
      <c r="B1031" s="10">
        <f>IFERROR(__xludf.DUMMYFUNCTION("""COMPUTED_VALUE"""),550.0)</f>
        <v>550</v>
      </c>
      <c r="C1031" s="10">
        <f>IFERROR(__xludf.DUMMYFUNCTION("""COMPUTED_VALUE"""),6526.0)</f>
        <v>6526</v>
      </c>
      <c r="D1031" s="5">
        <f>IFERROR(__xludf.DUMMYFUNCTION("""COMPUTED_VALUE"""),0.36964524765729584)</f>
        <v>0.3696452477</v>
      </c>
      <c r="E1031" s="5">
        <f>IFERROR(__xludf.DUMMYFUNCTION("""COMPUTED_VALUE"""),0.14039491298527443)</f>
        <v>0.140394913</v>
      </c>
      <c r="F1031" s="5">
        <f>IFERROR(__xludf.DUMMYFUNCTION("""COMPUTED_VALUE"""),0.21954484605087016)</f>
        <v>0.2195448461</v>
      </c>
      <c r="G1031" s="5">
        <f>IFERROR(__xludf.DUMMYFUNCTION("""COMPUTED_VALUE"""),0.16900937081659972)</f>
        <v>0.1690093708</v>
      </c>
      <c r="H1031" s="5">
        <f>IFERROR(__xludf.DUMMYFUNCTION("""COMPUTED_VALUE"""),0.6067073170731707)</f>
        <v>0.6067073171</v>
      </c>
      <c r="I1031" s="11">
        <f>IFERROR(__xludf.DUMMYFUNCTION("""COMPUTED_VALUE"""),5398.628048780488)</f>
        <v>5398.628049</v>
      </c>
      <c r="J1031" s="10">
        <f>IFERROR(__xludf.DUMMYFUNCTION("""COMPUTED_VALUE"""),0.0)</f>
        <v>0</v>
      </c>
      <c r="K1031" s="5">
        <f>IFERROR(__xludf.DUMMYFUNCTION("""COMPUTED_VALUE"""),0.0)</f>
        <v>0</v>
      </c>
      <c r="L1031" s="10">
        <f>IFERROR(__xludf.DUMMYFUNCTION("""COMPUTED_VALUE"""),550.0)</f>
        <v>550</v>
      </c>
      <c r="M1031" s="5">
        <f>IFERROR(__xludf.DUMMYFUNCTION("""COMPUTED_VALUE"""),1.0)</f>
        <v>1</v>
      </c>
    </row>
    <row r="1032">
      <c r="A1032" s="10" t="str">
        <f>IFERROR(__xludf.DUMMYFUNCTION("""COMPUTED_VALUE"""),"山形２５歳♂")</f>
        <v>山形２５歳♂</v>
      </c>
      <c r="B1032" s="10">
        <f>IFERROR(__xludf.DUMMYFUNCTION("""COMPUTED_VALUE"""),659.0)</f>
        <v>659</v>
      </c>
      <c r="C1032" s="10">
        <f>IFERROR(__xludf.DUMMYFUNCTION("""COMPUTED_VALUE"""),7711.0)</f>
        <v>7711</v>
      </c>
      <c r="D1032" s="5">
        <f>IFERROR(__xludf.DUMMYFUNCTION("""COMPUTED_VALUE"""),0.3403289846851957)</f>
        <v>0.3403289847</v>
      </c>
      <c r="E1032" s="5">
        <f>IFERROR(__xludf.DUMMYFUNCTION("""COMPUTED_VALUE"""),0.14038570618264323)</f>
        <v>0.1403857062</v>
      </c>
      <c r="F1032" s="5">
        <f>IFERROR(__xludf.DUMMYFUNCTION("""COMPUTED_VALUE"""),0.2131310266591038)</f>
        <v>0.2131310267</v>
      </c>
      <c r="G1032" s="5">
        <f>IFERROR(__xludf.DUMMYFUNCTION("""COMPUTED_VALUE"""),0.16435053885422576)</f>
        <v>0.1643505389</v>
      </c>
      <c r="H1032" s="5">
        <f>IFERROR(__xludf.DUMMYFUNCTION("""COMPUTED_VALUE"""),0.5921490352628077)</f>
        <v>0.5921490353</v>
      </c>
      <c r="I1032" s="11">
        <f>IFERROR(__xludf.DUMMYFUNCTION("""COMPUTED_VALUE"""),5535.329341317365)</f>
        <v>5535.329341</v>
      </c>
      <c r="J1032" s="10">
        <f>IFERROR(__xludf.DUMMYFUNCTION("""COMPUTED_VALUE"""),2.0)</f>
        <v>2</v>
      </c>
      <c r="K1032" s="5">
        <f>IFERROR(__xludf.DUMMYFUNCTION("""COMPUTED_VALUE"""),0.0030349013657056147)</f>
        <v>0.003034901366</v>
      </c>
      <c r="L1032" s="10">
        <f>IFERROR(__xludf.DUMMYFUNCTION("""COMPUTED_VALUE"""),185.0)</f>
        <v>185</v>
      </c>
      <c r="M1032" s="5">
        <f>IFERROR(__xludf.DUMMYFUNCTION("""COMPUTED_VALUE"""),0.28072837632776937)</f>
        <v>0.2807283763</v>
      </c>
    </row>
    <row r="1033">
      <c r="A1033" s="10" t="str">
        <f>IFERROR(__xludf.DUMMYFUNCTION("""COMPUTED_VALUE"""),"赤青色")</f>
        <v>赤青色</v>
      </c>
      <c r="B1033" s="10">
        <f>IFERROR(__xludf.DUMMYFUNCTION("""COMPUTED_VALUE"""),734.0)</f>
        <v>734</v>
      </c>
      <c r="C1033" s="10">
        <f>IFERROR(__xludf.DUMMYFUNCTION("""COMPUTED_VALUE"""),8542.0)</f>
        <v>8542</v>
      </c>
      <c r="D1033" s="5">
        <f>IFERROR(__xludf.DUMMYFUNCTION("""COMPUTED_VALUE"""),0.3885758196721312)</f>
        <v>0.3885758197</v>
      </c>
      <c r="E1033" s="5">
        <f>IFERROR(__xludf.DUMMYFUNCTION("""COMPUTED_VALUE"""),0.1403688524590164)</f>
        <v>0.1403688525</v>
      </c>
      <c r="F1033" s="5">
        <f>IFERROR(__xludf.DUMMYFUNCTION("""COMPUTED_VALUE"""),0.2184938524590164)</f>
        <v>0.2184938525</v>
      </c>
      <c r="G1033" s="5">
        <f>IFERROR(__xludf.DUMMYFUNCTION("""COMPUTED_VALUE"""),0.17430840163934427)</f>
        <v>0.1743084016</v>
      </c>
      <c r="H1033" s="5">
        <f>IFERROR(__xludf.DUMMYFUNCTION("""COMPUTED_VALUE"""),0.5967174677608441)</f>
        <v>0.5967174678</v>
      </c>
      <c r="I1033" s="11">
        <f>IFERROR(__xludf.DUMMYFUNCTION("""COMPUTED_VALUE"""),5440.855803048065)</f>
        <v>5440.855803</v>
      </c>
      <c r="J1033" s="10">
        <f>IFERROR(__xludf.DUMMYFUNCTION("""COMPUTED_VALUE"""),3.0)</f>
        <v>3</v>
      </c>
      <c r="K1033" s="5">
        <f>IFERROR(__xludf.DUMMYFUNCTION("""COMPUTED_VALUE"""),0.004087193460490463)</f>
        <v>0.00408719346</v>
      </c>
      <c r="L1033" s="10">
        <f>IFERROR(__xludf.DUMMYFUNCTION("""COMPUTED_VALUE"""),734.0)</f>
        <v>734</v>
      </c>
      <c r="M1033" s="5">
        <f>IFERROR(__xludf.DUMMYFUNCTION("""COMPUTED_VALUE"""),1.0)</f>
        <v>1</v>
      </c>
    </row>
    <row r="1034">
      <c r="A1034" s="10" t="str">
        <f>IFERROR(__xludf.DUMMYFUNCTION("""COMPUTED_VALUE"""),"近オリ党")</f>
        <v>近オリ党</v>
      </c>
      <c r="B1034" s="10">
        <f>IFERROR(__xludf.DUMMYFUNCTION("""COMPUTED_VALUE"""),658.0)</f>
        <v>658</v>
      </c>
      <c r="C1034" s="10">
        <f>IFERROR(__xludf.DUMMYFUNCTION("""COMPUTED_VALUE"""),7711.0)</f>
        <v>7711</v>
      </c>
      <c r="D1034" s="5">
        <f>IFERROR(__xludf.DUMMYFUNCTION("""COMPUTED_VALUE"""),0.31348362398979157)</f>
        <v>0.313483624</v>
      </c>
      <c r="E1034" s="5">
        <f>IFERROR(__xludf.DUMMYFUNCTION("""COMPUTED_VALUE"""),0.14036580178647384)</f>
        <v>0.1403658018</v>
      </c>
      <c r="F1034" s="5">
        <f>IFERROR(__xludf.DUMMYFUNCTION("""COMPUTED_VALUE"""),0.22415993194385367)</f>
        <v>0.2241599319</v>
      </c>
      <c r="G1034" s="5">
        <f>IFERROR(__xludf.DUMMYFUNCTION("""COMPUTED_VALUE"""),0.17666241315752162)</f>
        <v>0.1766624132</v>
      </c>
      <c r="H1034" s="5">
        <f>IFERROR(__xludf.DUMMYFUNCTION("""COMPUTED_VALUE"""),0.6021505376344086)</f>
        <v>0.6021505376</v>
      </c>
      <c r="I1034" s="11">
        <f>IFERROR(__xludf.DUMMYFUNCTION("""COMPUTED_VALUE"""),5596.900695762176)</f>
        <v>5596.900696</v>
      </c>
      <c r="J1034" s="10">
        <f>IFERROR(__xludf.DUMMYFUNCTION("""COMPUTED_VALUE"""),1.0)</f>
        <v>1</v>
      </c>
      <c r="K1034" s="5">
        <f>IFERROR(__xludf.DUMMYFUNCTION("""COMPUTED_VALUE"""),0.001519756838905775)</f>
        <v>0.001519756839</v>
      </c>
      <c r="L1034" s="10">
        <f>IFERROR(__xludf.DUMMYFUNCTION("""COMPUTED_VALUE"""),658.0)</f>
        <v>658</v>
      </c>
      <c r="M1034" s="5">
        <f>IFERROR(__xludf.DUMMYFUNCTION("""COMPUTED_VALUE"""),1.0)</f>
        <v>1</v>
      </c>
    </row>
    <row r="1035">
      <c r="A1035" s="10" t="str">
        <f>IFERROR(__xludf.DUMMYFUNCTION("""COMPUTED_VALUE"""),"桃やん")</f>
        <v>桃やん</v>
      </c>
      <c r="B1035" s="10">
        <f>IFERROR(__xludf.DUMMYFUNCTION("""COMPUTED_VALUE"""),1969.0)</f>
        <v>1969</v>
      </c>
      <c r="C1035" s="10">
        <f>IFERROR(__xludf.DUMMYFUNCTION("""COMPUTED_VALUE"""),22908.0)</f>
        <v>22908</v>
      </c>
      <c r="D1035" s="5">
        <f>IFERROR(__xludf.DUMMYFUNCTION("""COMPUTED_VALUE"""),0.264195997898658)</f>
        <v>0.2641959979</v>
      </c>
      <c r="E1035" s="5">
        <f>IFERROR(__xludf.DUMMYFUNCTION("""COMPUTED_VALUE"""),0.14036009360523424)</f>
        <v>0.1403600936</v>
      </c>
      <c r="F1035" s="5">
        <f>IFERROR(__xludf.DUMMYFUNCTION("""COMPUTED_VALUE"""),0.20702994412340608)</f>
        <v>0.2070299441</v>
      </c>
      <c r="G1035" s="5">
        <f>IFERROR(__xludf.DUMMYFUNCTION("""COMPUTED_VALUE"""),0.16614929079707721)</f>
        <v>0.1661492908</v>
      </c>
      <c r="H1035" s="5">
        <f>IFERROR(__xludf.DUMMYFUNCTION("""COMPUTED_VALUE"""),0.6267589388696655)</f>
        <v>0.6267589389</v>
      </c>
      <c r="I1035" s="11">
        <f>IFERROR(__xludf.DUMMYFUNCTION("""COMPUTED_VALUE"""),5837.093425605536)</f>
        <v>5837.093426</v>
      </c>
      <c r="J1035" s="10">
        <f>IFERROR(__xludf.DUMMYFUNCTION("""COMPUTED_VALUE"""),3.0)</f>
        <v>3</v>
      </c>
      <c r="K1035" s="5">
        <f>IFERROR(__xludf.DUMMYFUNCTION("""COMPUTED_VALUE"""),0.0015236160487557136)</f>
        <v>0.001523616049</v>
      </c>
      <c r="L1035" s="10">
        <f>IFERROR(__xludf.DUMMYFUNCTION("""COMPUTED_VALUE"""),1969.0)</f>
        <v>1969</v>
      </c>
      <c r="M1035" s="5">
        <f>IFERROR(__xludf.DUMMYFUNCTION("""COMPUTED_VALUE"""),1.0)</f>
        <v>1</v>
      </c>
    </row>
    <row r="1036">
      <c r="A1036" s="10" t="str">
        <f>IFERROR(__xludf.DUMMYFUNCTION("""COMPUTED_VALUE"""),"ハブケイスケ")</f>
        <v>ハブケイスケ</v>
      </c>
      <c r="B1036" s="10">
        <f>IFERROR(__xludf.DUMMYFUNCTION("""COMPUTED_VALUE"""),1919.0)</f>
        <v>1919</v>
      </c>
      <c r="C1036" s="10">
        <f>IFERROR(__xludf.DUMMYFUNCTION("""COMPUTED_VALUE"""),22424.0)</f>
        <v>22424</v>
      </c>
      <c r="D1036" s="5">
        <f>IFERROR(__xludf.DUMMYFUNCTION("""COMPUTED_VALUE"""),0.39248963667398196)</f>
        <v>0.3924896367</v>
      </c>
      <c r="E1036" s="5">
        <f>IFERROR(__xludf.DUMMYFUNCTION("""COMPUTED_VALUE"""),0.14035601072909046)</f>
        <v>0.1403560107</v>
      </c>
      <c r="F1036" s="5">
        <f>IFERROR(__xludf.DUMMYFUNCTION("""COMPUTED_VALUE"""),0.22136064374542794)</f>
        <v>0.2213606437</v>
      </c>
      <c r="G1036" s="5">
        <f>IFERROR(__xludf.DUMMYFUNCTION("""COMPUTED_VALUE"""),0.16688612533528407)</f>
        <v>0.1668861253</v>
      </c>
      <c r="H1036" s="5">
        <f>IFERROR(__xludf.DUMMYFUNCTION("""COMPUTED_VALUE"""),0.5955056179775281)</f>
        <v>0.595505618</v>
      </c>
      <c r="I1036" s="11">
        <f>IFERROR(__xludf.DUMMYFUNCTION("""COMPUTED_VALUE"""),5625.9087904824855)</f>
        <v>5625.90879</v>
      </c>
      <c r="J1036" s="10">
        <f>IFERROR(__xludf.DUMMYFUNCTION("""COMPUTED_VALUE"""),9.0)</f>
        <v>9</v>
      </c>
      <c r="K1036" s="5">
        <f>IFERROR(__xludf.DUMMYFUNCTION("""COMPUTED_VALUE"""),0.004689942678478374)</f>
        <v>0.004689942678</v>
      </c>
      <c r="L1036" s="10">
        <f>IFERROR(__xludf.DUMMYFUNCTION("""COMPUTED_VALUE"""),1919.0)</f>
        <v>1919</v>
      </c>
      <c r="M1036" s="5">
        <f>IFERROR(__xludf.DUMMYFUNCTION("""COMPUTED_VALUE"""),1.0)</f>
        <v>1</v>
      </c>
    </row>
    <row r="1037">
      <c r="A1037" s="10" t="str">
        <f>IFERROR(__xludf.DUMMYFUNCTION("""COMPUTED_VALUE"""),"でっていう@SQ")</f>
        <v>でっていう@SQ</v>
      </c>
      <c r="B1037" s="10">
        <f>IFERROR(__xludf.DUMMYFUNCTION("""COMPUTED_VALUE"""),231.0)</f>
        <v>231</v>
      </c>
      <c r="C1037" s="10">
        <f>IFERROR(__xludf.DUMMYFUNCTION("""COMPUTED_VALUE"""),2682.0)</f>
        <v>2682</v>
      </c>
      <c r="D1037" s="5">
        <f>IFERROR(__xludf.DUMMYFUNCTION("""COMPUTED_VALUE"""),0.34149326805385555)</f>
        <v>0.3414932681</v>
      </c>
      <c r="E1037" s="5">
        <f>IFERROR(__xludf.DUMMYFUNCTION("""COMPUTED_VALUE"""),0.14035087719298245)</f>
        <v>0.1403508772</v>
      </c>
      <c r="F1037" s="5">
        <f>IFERROR(__xludf.DUMMYFUNCTION("""COMPUTED_VALUE"""),0.211750305997552)</f>
        <v>0.211750306</v>
      </c>
      <c r="G1037" s="5">
        <f>IFERROR(__xludf.DUMMYFUNCTION("""COMPUTED_VALUE"""),0.1905344757241942)</f>
        <v>0.1905344757</v>
      </c>
      <c r="H1037" s="5">
        <f>IFERROR(__xludf.DUMMYFUNCTION("""COMPUTED_VALUE"""),0.6146435452793835)</f>
        <v>0.6146435453</v>
      </c>
      <c r="I1037" s="11">
        <f>IFERROR(__xludf.DUMMYFUNCTION("""COMPUTED_VALUE"""),5376.685934489403)</f>
        <v>5376.685934</v>
      </c>
      <c r="J1037" s="10">
        <f>IFERROR(__xludf.DUMMYFUNCTION("""COMPUTED_VALUE"""),1.0)</f>
        <v>1</v>
      </c>
      <c r="K1037" s="5">
        <f>IFERROR(__xludf.DUMMYFUNCTION("""COMPUTED_VALUE"""),0.004329004329004329)</f>
        <v>0.004329004329</v>
      </c>
      <c r="L1037" s="10">
        <f>IFERROR(__xludf.DUMMYFUNCTION("""COMPUTED_VALUE"""),231.0)</f>
        <v>231</v>
      </c>
      <c r="M1037" s="5">
        <f>IFERROR(__xludf.DUMMYFUNCTION("""COMPUTED_VALUE"""),1.0)</f>
        <v>1</v>
      </c>
    </row>
    <row r="1038">
      <c r="A1038" s="10" t="str">
        <f>IFERROR(__xludf.DUMMYFUNCTION("""COMPUTED_VALUE"""),"プッチ神父")</f>
        <v>プッチ神父</v>
      </c>
      <c r="B1038" s="10">
        <f>IFERROR(__xludf.DUMMYFUNCTION("""COMPUTED_VALUE"""),231.0)</f>
        <v>231</v>
      </c>
      <c r="C1038" s="10">
        <f>IFERROR(__xludf.DUMMYFUNCTION("""COMPUTED_VALUE"""),2732.0)</f>
        <v>2732</v>
      </c>
      <c r="D1038" s="5">
        <f>IFERROR(__xludf.DUMMYFUNCTION("""COMPUTED_VALUE"""),0.3014794082367053)</f>
        <v>0.3014794082</v>
      </c>
      <c r="E1038" s="5">
        <f>IFERROR(__xludf.DUMMYFUNCTION("""COMPUTED_VALUE"""),0.14034386245501798)</f>
        <v>0.1403438625</v>
      </c>
      <c r="F1038" s="5">
        <f>IFERROR(__xludf.DUMMYFUNCTION("""COMPUTED_VALUE"""),0.22151139544182327)</f>
        <v>0.2215113954</v>
      </c>
      <c r="G1038" s="5">
        <f>IFERROR(__xludf.DUMMYFUNCTION("""COMPUTED_VALUE"""),0.1767293082766893)</f>
        <v>0.1767293083</v>
      </c>
      <c r="H1038" s="5">
        <f>IFERROR(__xludf.DUMMYFUNCTION("""COMPUTED_VALUE"""),0.6119133574007221)</f>
        <v>0.6119133574</v>
      </c>
      <c r="I1038" s="11">
        <f>IFERROR(__xludf.DUMMYFUNCTION("""COMPUTED_VALUE"""),5537.545126353791)</f>
        <v>5537.545126</v>
      </c>
      <c r="J1038" s="10">
        <f>IFERROR(__xludf.DUMMYFUNCTION("""COMPUTED_VALUE"""),1.0)</f>
        <v>1</v>
      </c>
      <c r="K1038" s="5">
        <f>IFERROR(__xludf.DUMMYFUNCTION("""COMPUTED_VALUE"""),0.004329004329004329)</f>
        <v>0.004329004329</v>
      </c>
      <c r="L1038" s="10">
        <f>IFERROR(__xludf.DUMMYFUNCTION("""COMPUTED_VALUE"""),231.0)</f>
        <v>231</v>
      </c>
      <c r="M1038" s="5">
        <f>IFERROR(__xludf.DUMMYFUNCTION("""COMPUTED_VALUE"""),1.0)</f>
        <v>1</v>
      </c>
    </row>
    <row r="1039">
      <c r="A1039" s="10" t="str">
        <f>IFERROR(__xludf.DUMMYFUNCTION("""COMPUTED_VALUE"""),"体育館野球部員")</f>
        <v>体育館野球部員</v>
      </c>
      <c r="B1039" s="10">
        <f>IFERROR(__xludf.DUMMYFUNCTION("""COMPUTED_VALUE"""),636.0)</f>
        <v>636</v>
      </c>
      <c r="C1039" s="10">
        <f>IFERROR(__xludf.DUMMYFUNCTION("""COMPUTED_VALUE"""),7464.0)</f>
        <v>7464</v>
      </c>
      <c r="D1039" s="5">
        <f>IFERROR(__xludf.DUMMYFUNCTION("""COMPUTED_VALUE"""),0.37521968365553604)</f>
        <v>0.3752196837</v>
      </c>
      <c r="E1039" s="5">
        <f>IFERROR(__xludf.DUMMYFUNCTION("""COMPUTED_VALUE"""),0.14030462800234328)</f>
        <v>0.140304628</v>
      </c>
      <c r="F1039" s="5">
        <f>IFERROR(__xludf.DUMMYFUNCTION("""COMPUTED_VALUE"""),0.21192149970708846)</f>
        <v>0.2119214997</v>
      </c>
      <c r="G1039" s="5">
        <f>IFERROR(__xludf.DUMMYFUNCTION("""COMPUTED_VALUE"""),0.1665202108963093)</f>
        <v>0.1665202109</v>
      </c>
      <c r="H1039" s="5">
        <f>IFERROR(__xludf.DUMMYFUNCTION("""COMPUTED_VALUE"""),0.5977885279889427)</f>
        <v>0.597788528</v>
      </c>
      <c r="I1039" s="11">
        <f>IFERROR(__xludf.DUMMYFUNCTION("""COMPUTED_VALUE"""),5539.184519695923)</f>
        <v>5539.18452</v>
      </c>
      <c r="J1039" s="10">
        <f>IFERROR(__xludf.DUMMYFUNCTION("""COMPUTED_VALUE"""),0.0)</f>
        <v>0</v>
      </c>
      <c r="K1039" s="5">
        <f>IFERROR(__xludf.DUMMYFUNCTION("""COMPUTED_VALUE"""),0.0)</f>
        <v>0</v>
      </c>
      <c r="L1039" s="10">
        <f>IFERROR(__xludf.DUMMYFUNCTION("""COMPUTED_VALUE"""),636.0)</f>
        <v>636</v>
      </c>
      <c r="M1039" s="5">
        <f>IFERROR(__xludf.DUMMYFUNCTION("""COMPUTED_VALUE"""),1.0)</f>
        <v>1</v>
      </c>
    </row>
    <row r="1040">
      <c r="A1040" s="10" t="str">
        <f>IFERROR(__xludf.DUMMYFUNCTION("""COMPUTED_VALUE"""),"やめてけれ２")</f>
        <v>やめてけれ２</v>
      </c>
      <c r="B1040" s="10">
        <f>IFERROR(__xludf.DUMMYFUNCTION("""COMPUTED_VALUE"""),257.0)</f>
        <v>257</v>
      </c>
      <c r="C1040" s="10">
        <f>IFERROR(__xludf.DUMMYFUNCTION("""COMPUTED_VALUE"""),3044.0)</f>
        <v>3044</v>
      </c>
      <c r="D1040" s="5">
        <f>IFERROR(__xludf.DUMMYFUNCTION("""COMPUTED_VALUE"""),0.2870470039468963)</f>
        <v>0.2870470039</v>
      </c>
      <c r="E1040" s="5">
        <f>IFERROR(__xludf.DUMMYFUNCTION("""COMPUTED_VALUE"""),0.14029422317904558)</f>
        <v>0.1402942232</v>
      </c>
      <c r="F1040" s="5">
        <f>IFERROR(__xludf.DUMMYFUNCTION("""COMPUTED_VALUE"""),0.1901686401148188)</f>
        <v>0.1901686401</v>
      </c>
      <c r="G1040" s="5">
        <f>IFERROR(__xludf.DUMMYFUNCTION("""COMPUTED_VALUE"""),0.17509867240760674)</f>
        <v>0.1750986724</v>
      </c>
      <c r="H1040" s="5">
        <f>IFERROR(__xludf.DUMMYFUNCTION("""COMPUTED_VALUE"""),0.6264150943396226)</f>
        <v>0.6264150943</v>
      </c>
      <c r="I1040" s="11">
        <f>IFERROR(__xludf.DUMMYFUNCTION("""COMPUTED_VALUE"""),5759.622641509434)</f>
        <v>5759.622642</v>
      </c>
      <c r="J1040" s="10">
        <f>IFERROR(__xludf.DUMMYFUNCTION("""COMPUTED_VALUE"""),1.0)</f>
        <v>1</v>
      </c>
      <c r="K1040" s="5">
        <f>IFERROR(__xludf.DUMMYFUNCTION("""COMPUTED_VALUE"""),0.0038910505836575876)</f>
        <v>0.003891050584</v>
      </c>
      <c r="L1040" s="10">
        <f>IFERROR(__xludf.DUMMYFUNCTION("""COMPUTED_VALUE"""),0.0)</f>
        <v>0</v>
      </c>
      <c r="M1040" s="5">
        <f>IFERROR(__xludf.DUMMYFUNCTION("""COMPUTED_VALUE"""),0.0)</f>
        <v>0</v>
      </c>
    </row>
    <row r="1041">
      <c r="A1041" s="10" t="str">
        <f>IFERROR(__xludf.DUMMYFUNCTION("""COMPUTED_VALUE"""),"原宿ジェンヌ")</f>
        <v>原宿ジェンヌ</v>
      </c>
      <c r="B1041" s="10">
        <f>IFERROR(__xludf.DUMMYFUNCTION("""COMPUTED_VALUE"""),1218.0)</f>
        <v>1218</v>
      </c>
      <c r="C1041" s="10">
        <f>IFERROR(__xludf.DUMMYFUNCTION("""COMPUTED_VALUE"""),14121.0)</f>
        <v>14121</v>
      </c>
      <c r="D1041" s="5">
        <f>IFERROR(__xludf.DUMMYFUNCTION("""COMPUTED_VALUE"""),0.3154305200341006)</f>
        <v>0.31543052</v>
      </c>
      <c r="E1041" s="5">
        <f>IFERROR(__xludf.DUMMYFUNCTION("""COMPUTED_VALUE"""),0.14027745485545998)</f>
        <v>0.1402774549</v>
      </c>
      <c r="F1041" s="5">
        <f>IFERROR(__xludf.DUMMYFUNCTION("""COMPUTED_VALUE"""),0.21289622568394947)</f>
        <v>0.2128962257</v>
      </c>
      <c r="G1041" s="5">
        <f>IFERROR(__xludf.DUMMYFUNCTION("""COMPUTED_VALUE"""),0.16895295667674184)</f>
        <v>0.1689529567</v>
      </c>
      <c r="H1041" s="5">
        <f>IFERROR(__xludf.DUMMYFUNCTION("""COMPUTED_VALUE"""),0.5879140880961048)</f>
        <v>0.5879140881</v>
      </c>
      <c r="I1041" s="11">
        <f>IFERROR(__xludf.DUMMYFUNCTION("""COMPUTED_VALUE"""),6014.779759737896)</f>
        <v>6014.77976</v>
      </c>
      <c r="J1041" s="10">
        <f>IFERROR(__xludf.DUMMYFUNCTION("""COMPUTED_VALUE"""),11.0)</f>
        <v>11</v>
      </c>
      <c r="K1041" s="5">
        <f>IFERROR(__xludf.DUMMYFUNCTION("""COMPUTED_VALUE"""),0.0090311986863711)</f>
        <v>0.009031198686</v>
      </c>
      <c r="L1041" s="10">
        <f>IFERROR(__xludf.DUMMYFUNCTION("""COMPUTED_VALUE"""),1218.0)</f>
        <v>1218</v>
      </c>
      <c r="M1041" s="5">
        <f>IFERROR(__xludf.DUMMYFUNCTION("""COMPUTED_VALUE"""),1.0)</f>
        <v>1</v>
      </c>
    </row>
    <row r="1042">
      <c r="A1042" s="10" t="str">
        <f>IFERROR(__xludf.DUMMYFUNCTION("""COMPUTED_VALUE"""),"poneisin")</f>
        <v>poneisin</v>
      </c>
      <c r="B1042" s="10">
        <f>IFERROR(__xludf.DUMMYFUNCTION("""COMPUTED_VALUE"""),145.0)</f>
        <v>145</v>
      </c>
      <c r="C1042" s="10">
        <f>IFERROR(__xludf.DUMMYFUNCTION("""COMPUTED_VALUE"""),1692.0)</f>
        <v>1692</v>
      </c>
      <c r="D1042" s="5">
        <f>IFERROR(__xludf.DUMMYFUNCTION("""COMPUTED_VALUE"""),0.29217840982546867)</f>
        <v>0.2921784098</v>
      </c>
      <c r="E1042" s="5">
        <f>IFERROR(__xludf.DUMMYFUNCTION("""COMPUTED_VALUE"""),0.14027149321266968)</f>
        <v>0.1402714932</v>
      </c>
      <c r="F1042" s="5">
        <f>IFERROR(__xludf.DUMMYFUNCTION("""COMPUTED_VALUE"""),0.19392372333548805)</f>
        <v>0.1939237233</v>
      </c>
      <c r="G1042" s="5">
        <f>IFERROR(__xludf.DUMMYFUNCTION("""COMPUTED_VALUE"""),0.178409825468649)</f>
        <v>0.1784098255</v>
      </c>
      <c r="H1042" s="5">
        <f>IFERROR(__xludf.DUMMYFUNCTION("""COMPUTED_VALUE"""),0.57)</f>
        <v>0.57</v>
      </c>
      <c r="I1042" s="11">
        <f>IFERROR(__xludf.DUMMYFUNCTION("""COMPUTED_VALUE"""),6018.666666666667)</f>
        <v>6018.666667</v>
      </c>
      <c r="J1042" s="10">
        <f>IFERROR(__xludf.DUMMYFUNCTION("""COMPUTED_VALUE"""),0.0)</f>
        <v>0</v>
      </c>
      <c r="K1042" s="5">
        <f>IFERROR(__xludf.DUMMYFUNCTION("""COMPUTED_VALUE"""),0.0)</f>
        <v>0</v>
      </c>
      <c r="L1042" s="10">
        <f>IFERROR(__xludf.DUMMYFUNCTION("""COMPUTED_VALUE"""),41.0)</f>
        <v>41</v>
      </c>
      <c r="M1042" s="5">
        <f>IFERROR(__xludf.DUMMYFUNCTION("""COMPUTED_VALUE"""),0.2827586206896552)</f>
        <v>0.2827586207</v>
      </c>
    </row>
    <row r="1043">
      <c r="A1043" s="10" t="str">
        <f>IFERROR(__xludf.DUMMYFUNCTION("""COMPUTED_VALUE"""),"narberal")</f>
        <v>narberal</v>
      </c>
      <c r="B1043" s="10">
        <f>IFERROR(__xludf.DUMMYFUNCTION("""COMPUTED_VALUE"""),103.0)</f>
        <v>103</v>
      </c>
      <c r="C1043" s="10">
        <f>IFERROR(__xludf.DUMMYFUNCTION("""COMPUTED_VALUE"""),1201.0)</f>
        <v>1201</v>
      </c>
      <c r="D1043" s="5">
        <f>IFERROR(__xludf.DUMMYFUNCTION("""COMPUTED_VALUE"""),0.30601092896174864)</f>
        <v>0.306010929</v>
      </c>
      <c r="E1043" s="5">
        <f>IFERROR(__xludf.DUMMYFUNCTION("""COMPUTED_VALUE"""),0.14025500910746813)</f>
        <v>0.1402550091</v>
      </c>
      <c r="F1043" s="5">
        <f>IFERROR(__xludf.DUMMYFUNCTION("""COMPUTED_VALUE"""),0.20673952641165755)</f>
        <v>0.2067395264</v>
      </c>
      <c r="G1043" s="5">
        <f>IFERROR(__xludf.DUMMYFUNCTION("""COMPUTED_VALUE"""),0.11566484517304189)</f>
        <v>0.1156648452</v>
      </c>
      <c r="H1043" s="5">
        <f>IFERROR(__xludf.DUMMYFUNCTION("""COMPUTED_VALUE"""),0.6519823788546255)</f>
        <v>0.6519823789</v>
      </c>
      <c r="I1043" s="11">
        <f>IFERROR(__xludf.DUMMYFUNCTION("""COMPUTED_VALUE"""),5505.726872246696)</f>
        <v>5505.726872</v>
      </c>
      <c r="J1043" s="10">
        <f>IFERROR(__xludf.DUMMYFUNCTION("""COMPUTED_VALUE"""),0.0)</f>
        <v>0</v>
      </c>
      <c r="K1043" s="5">
        <f>IFERROR(__xludf.DUMMYFUNCTION("""COMPUTED_VALUE"""),0.0)</f>
        <v>0</v>
      </c>
      <c r="L1043" s="10">
        <f>IFERROR(__xludf.DUMMYFUNCTION("""COMPUTED_VALUE"""),9.0)</f>
        <v>9</v>
      </c>
      <c r="M1043" s="5">
        <f>IFERROR(__xludf.DUMMYFUNCTION("""COMPUTED_VALUE"""),0.08737864077669903)</f>
        <v>0.08737864078</v>
      </c>
    </row>
    <row r="1044">
      <c r="A1044" s="10" t="str">
        <f>IFERROR(__xludf.DUMMYFUNCTION("""COMPUTED_VALUE"""),"神威ver2")</f>
        <v>神威ver2</v>
      </c>
      <c r="B1044" s="10">
        <f>IFERROR(__xludf.DUMMYFUNCTION("""COMPUTED_VALUE"""),358.0)</f>
        <v>358</v>
      </c>
      <c r="C1044" s="10">
        <f>IFERROR(__xludf.DUMMYFUNCTION("""COMPUTED_VALUE"""),4130.0)</f>
        <v>4130</v>
      </c>
      <c r="D1044" s="5">
        <f>IFERROR(__xludf.DUMMYFUNCTION("""COMPUTED_VALUE"""),0.3597560975609756)</f>
        <v>0.3597560976</v>
      </c>
      <c r="E1044" s="5">
        <f>IFERROR(__xludf.DUMMYFUNCTION("""COMPUTED_VALUE"""),0.1402439024390244)</f>
        <v>0.1402439024</v>
      </c>
      <c r="F1044" s="5">
        <f>IFERROR(__xludf.DUMMYFUNCTION("""COMPUTED_VALUE"""),0.20493107104984093)</f>
        <v>0.204931071</v>
      </c>
      <c r="G1044" s="5">
        <f>IFERROR(__xludf.DUMMYFUNCTION("""COMPUTED_VALUE"""),0.18398727465535525)</f>
        <v>0.1839872747</v>
      </c>
      <c r="H1044" s="5">
        <f>IFERROR(__xludf.DUMMYFUNCTION("""COMPUTED_VALUE"""),0.5795601552393272)</f>
        <v>0.5795601552</v>
      </c>
      <c r="I1044" s="11">
        <f>IFERROR(__xludf.DUMMYFUNCTION("""COMPUTED_VALUE"""),5748.253557567918)</f>
        <v>5748.253558</v>
      </c>
      <c r="J1044" s="10">
        <f>IFERROR(__xludf.DUMMYFUNCTION("""COMPUTED_VALUE"""),1.0)</f>
        <v>1</v>
      </c>
      <c r="K1044" s="5">
        <f>IFERROR(__xludf.DUMMYFUNCTION("""COMPUTED_VALUE"""),0.002793296089385475)</f>
        <v>0.002793296089</v>
      </c>
      <c r="L1044" s="10">
        <f>IFERROR(__xludf.DUMMYFUNCTION("""COMPUTED_VALUE"""),358.0)</f>
        <v>358</v>
      </c>
      <c r="M1044" s="5">
        <f>IFERROR(__xludf.DUMMYFUNCTION("""COMPUTED_VALUE"""),1.0)</f>
        <v>1</v>
      </c>
    </row>
    <row r="1045">
      <c r="A1045" s="10" t="str">
        <f>IFERROR(__xludf.DUMMYFUNCTION("""COMPUTED_VALUE"""),"ATSM")</f>
        <v>ATSM</v>
      </c>
      <c r="B1045" s="10">
        <f>IFERROR(__xludf.DUMMYFUNCTION("""COMPUTED_VALUE"""),1140.0)</f>
        <v>1140</v>
      </c>
      <c r="C1045" s="10">
        <f>IFERROR(__xludf.DUMMYFUNCTION("""COMPUTED_VALUE"""),13049.0)</f>
        <v>13049</v>
      </c>
      <c r="D1045" s="5">
        <f>IFERROR(__xludf.DUMMYFUNCTION("""COMPUTED_VALUE"""),0.38894953396590815)</f>
        <v>0.388949534</v>
      </c>
      <c r="E1045" s="5">
        <f>IFERROR(__xludf.DUMMYFUNCTION("""COMPUTED_VALUE"""),0.14023007809219917)</f>
        <v>0.1402300781</v>
      </c>
      <c r="F1045" s="5">
        <f>IFERROR(__xludf.DUMMYFUNCTION("""COMPUTED_VALUE"""),0.21521538332353682)</f>
        <v>0.2152153833</v>
      </c>
      <c r="G1045" s="5">
        <f>IFERROR(__xludf.DUMMYFUNCTION("""COMPUTED_VALUE"""),0.1949785876228063)</f>
        <v>0.1949785876</v>
      </c>
      <c r="H1045" s="5">
        <f>IFERROR(__xludf.DUMMYFUNCTION("""COMPUTED_VALUE"""),0.593055013655872)</f>
        <v>0.5930550137</v>
      </c>
      <c r="I1045" s="11">
        <f>IFERROR(__xludf.DUMMYFUNCTION("""COMPUTED_VALUE"""),5850.409676160749)</f>
        <v>5850.409676</v>
      </c>
      <c r="J1045" s="10">
        <f>IFERROR(__xludf.DUMMYFUNCTION("""COMPUTED_VALUE"""),0.0)</f>
        <v>0</v>
      </c>
      <c r="K1045" s="5">
        <f>IFERROR(__xludf.DUMMYFUNCTION("""COMPUTED_VALUE"""),0.0)</f>
        <v>0</v>
      </c>
      <c r="L1045" s="10">
        <f>IFERROR(__xludf.DUMMYFUNCTION("""COMPUTED_VALUE"""),1140.0)</f>
        <v>1140</v>
      </c>
      <c r="M1045" s="5">
        <f>IFERROR(__xludf.DUMMYFUNCTION("""COMPUTED_VALUE"""),1.0)</f>
        <v>1</v>
      </c>
    </row>
    <row r="1046">
      <c r="A1046" s="10" t="str">
        <f>IFERROR(__xludf.DUMMYFUNCTION("""COMPUTED_VALUE"""),"しゅみれ")</f>
        <v>しゅみれ</v>
      </c>
      <c r="B1046" s="10">
        <f>IFERROR(__xludf.DUMMYFUNCTION("""COMPUTED_VALUE"""),541.0)</f>
        <v>541</v>
      </c>
      <c r="C1046" s="10">
        <f>IFERROR(__xludf.DUMMYFUNCTION("""COMPUTED_VALUE"""),6232.0)</f>
        <v>6232</v>
      </c>
      <c r="D1046" s="5">
        <f>IFERROR(__xludf.DUMMYFUNCTION("""COMPUTED_VALUE"""),0.3303461606044632)</f>
        <v>0.3303461606</v>
      </c>
      <c r="E1046" s="5">
        <f>IFERROR(__xludf.DUMMYFUNCTION("""COMPUTED_VALUE"""),0.14022140221402213)</f>
        <v>0.1402214022</v>
      </c>
      <c r="F1046" s="5">
        <f>IFERROR(__xludf.DUMMYFUNCTION("""COMPUTED_VALUE"""),0.21454928835002635)</f>
        <v>0.2145492884</v>
      </c>
      <c r="G1046" s="5">
        <f>IFERROR(__xludf.DUMMYFUNCTION("""COMPUTED_VALUE"""),0.1725531541029696)</f>
        <v>0.1725531541</v>
      </c>
      <c r="H1046" s="5">
        <f>IFERROR(__xludf.DUMMYFUNCTION("""COMPUTED_VALUE"""),0.6101556101556102)</f>
        <v>0.6101556102</v>
      </c>
      <c r="I1046" s="11">
        <f>IFERROR(__xludf.DUMMYFUNCTION("""COMPUTED_VALUE"""),5968.140868140868)</f>
        <v>5968.140868</v>
      </c>
      <c r="J1046" s="10">
        <f>IFERROR(__xludf.DUMMYFUNCTION("""COMPUTED_VALUE"""),1.0)</f>
        <v>1</v>
      </c>
      <c r="K1046" s="5">
        <f>IFERROR(__xludf.DUMMYFUNCTION("""COMPUTED_VALUE"""),0.0018484288354898336)</f>
        <v>0.001848428835</v>
      </c>
      <c r="L1046" s="10">
        <f>IFERROR(__xludf.DUMMYFUNCTION("""COMPUTED_VALUE"""),0.0)</f>
        <v>0</v>
      </c>
      <c r="M1046" s="5">
        <f>IFERROR(__xludf.DUMMYFUNCTION("""COMPUTED_VALUE"""),0.0)</f>
        <v>0</v>
      </c>
    </row>
    <row r="1047">
      <c r="A1047" s="10" t="str">
        <f>IFERROR(__xludf.DUMMYFUNCTION("""COMPUTED_VALUE"""),"usk1115")</f>
        <v>usk1115</v>
      </c>
      <c r="B1047" s="10">
        <f>IFERROR(__xludf.DUMMYFUNCTION("""COMPUTED_VALUE"""),2391.0)</f>
        <v>2391</v>
      </c>
      <c r="C1047" s="10">
        <f>IFERROR(__xludf.DUMMYFUNCTION("""COMPUTED_VALUE"""),27972.0)</f>
        <v>27972</v>
      </c>
      <c r="D1047" s="5">
        <f>IFERROR(__xludf.DUMMYFUNCTION("""COMPUTED_VALUE"""),0.39013330206012276)</f>
        <v>0.3901333021</v>
      </c>
      <c r="E1047" s="5">
        <f>IFERROR(__xludf.DUMMYFUNCTION("""COMPUTED_VALUE"""),0.14018216645166334)</f>
        <v>0.1401821665</v>
      </c>
      <c r="F1047" s="5">
        <f>IFERROR(__xludf.DUMMYFUNCTION("""COMPUTED_VALUE"""),0.21824791837692037)</f>
        <v>0.2182479184</v>
      </c>
      <c r="G1047" s="5">
        <f>IFERROR(__xludf.DUMMYFUNCTION("""COMPUTED_VALUE"""),0.1721981157890622)</f>
        <v>0.1721981158</v>
      </c>
      <c r="H1047" s="5">
        <f>IFERROR(__xludf.DUMMYFUNCTION("""COMPUTED_VALUE"""),0.6046928174816407)</f>
        <v>0.6046928175</v>
      </c>
      <c r="I1047" s="11">
        <f>IFERROR(__xludf.DUMMYFUNCTION("""COMPUTED_VALUE"""),5674.082034748343)</f>
        <v>5674.082035</v>
      </c>
      <c r="J1047" s="10">
        <f>IFERROR(__xludf.DUMMYFUNCTION("""COMPUTED_VALUE"""),6.0)</f>
        <v>6</v>
      </c>
      <c r="K1047" s="5">
        <f>IFERROR(__xludf.DUMMYFUNCTION("""COMPUTED_VALUE"""),0.002509410288582183)</f>
        <v>0.002509410289</v>
      </c>
      <c r="L1047" s="10">
        <f>IFERROR(__xludf.DUMMYFUNCTION("""COMPUTED_VALUE"""),2376.0)</f>
        <v>2376</v>
      </c>
      <c r="M1047" s="5">
        <f>IFERROR(__xludf.DUMMYFUNCTION("""COMPUTED_VALUE"""),0.9937264742785445)</f>
        <v>0.9937264743</v>
      </c>
    </row>
    <row r="1048">
      <c r="A1048" s="10" t="str">
        <f>IFERROR(__xludf.DUMMYFUNCTION("""COMPUTED_VALUE"""),"赤神風雲")</f>
        <v>赤神風雲</v>
      </c>
      <c r="B1048" s="10">
        <f>IFERROR(__xludf.DUMMYFUNCTION("""COMPUTED_VALUE"""),600.0)</f>
        <v>600</v>
      </c>
      <c r="C1048" s="10">
        <f>IFERROR(__xludf.DUMMYFUNCTION("""COMPUTED_VALUE"""),7056.0)</f>
        <v>7056</v>
      </c>
      <c r="D1048" s="5">
        <f>IFERROR(__xludf.DUMMYFUNCTION("""COMPUTED_VALUE"""),0.28516109045848825)</f>
        <v>0.2851610905</v>
      </c>
      <c r="E1048" s="5">
        <f>IFERROR(__xludf.DUMMYFUNCTION("""COMPUTED_VALUE"""),0.14017967781908303)</f>
        <v>0.1401796778</v>
      </c>
      <c r="F1048" s="5">
        <f>IFERROR(__xludf.DUMMYFUNCTION("""COMPUTED_VALUE"""),0.19021065675340768)</f>
        <v>0.1902106568</v>
      </c>
      <c r="G1048" s="5">
        <f>IFERROR(__xludf.DUMMYFUNCTION("""COMPUTED_VALUE"""),0.1421933085501859)</f>
        <v>0.1421933086</v>
      </c>
      <c r="H1048" s="5">
        <f>IFERROR(__xludf.DUMMYFUNCTION("""COMPUTED_VALUE"""),0.5822475570032574)</f>
        <v>0.582247557</v>
      </c>
      <c r="I1048" s="11">
        <f>IFERROR(__xludf.DUMMYFUNCTION("""COMPUTED_VALUE"""),6442.345276872964)</f>
        <v>6442.345277</v>
      </c>
      <c r="J1048" s="10">
        <f>IFERROR(__xludf.DUMMYFUNCTION("""COMPUTED_VALUE"""),3.0)</f>
        <v>3</v>
      </c>
      <c r="K1048" s="5">
        <f>IFERROR(__xludf.DUMMYFUNCTION("""COMPUTED_VALUE"""),0.005)</f>
        <v>0.005</v>
      </c>
      <c r="L1048" s="10">
        <f>IFERROR(__xludf.DUMMYFUNCTION("""COMPUTED_VALUE"""),600.0)</f>
        <v>600</v>
      </c>
      <c r="M1048" s="5">
        <f>IFERROR(__xludf.DUMMYFUNCTION("""COMPUTED_VALUE"""),1.0)</f>
        <v>1</v>
      </c>
    </row>
    <row r="1049">
      <c r="A1049" s="10" t="str">
        <f>IFERROR(__xludf.DUMMYFUNCTION("""COMPUTED_VALUE"""),"自滅D")</f>
        <v>自滅D</v>
      </c>
      <c r="B1049" s="10">
        <f>IFERROR(__xludf.DUMMYFUNCTION("""COMPUTED_VALUE"""),1787.0)</f>
        <v>1787</v>
      </c>
      <c r="C1049" s="10">
        <f>IFERROR(__xludf.DUMMYFUNCTION("""COMPUTED_VALUE"""),21027.0)</f>
        <v>21027</v>
      </c>
      <c r="D1049" s="5">
        <f>IFERROR(__xludf.DUMMYFUNCTION("""COMPUTED_VALUE"""),0.39797297297297296)</f>
        <v>0.397972973</v>
      </c>
      <c r="E1049" s="5">
        <f>IFERROR(__xludf.DUMMYFUNCTION("""COMPUTED_VALUE"""),0.14017671517671518)</f>
        <v>0.1401767152</v>
      </c>
      <c r="F1049" s="5">
        <f>IFERROR(__xludf.DUMMYFUNCTION("""COMPUTED_VALUE"""),0.2182952182952183)</f>
        <v>0.2182952183</v>
      </c>
      <c r="G1049" s="5">
        <f>IFERROR(__xludf.DUMMYFUNCTION("""COMPUTED_VALUE"""),0.1673076923076923)</f>
        <v>0.1673076923</v>
      </c>
      <c r="H1049" s="5">
        <f>IFERROR(__xludf.DUMMYFUNCTION("""COMPUTED_VALUE"""),0.6002380952380952)</f>
        <v>0.6002380952</v>
      </c>
      <c r="I1049" s="11">
        <f>IFERROR(__xludf.DUMMYFUNCTION("""COMPUTED_VALUE"""),5558.309523809524)</f>
        <v>5558.309524</v>
      </c>
      <c r="J1049" s="10">
        <f>IFERROR(__xludf.DUMMYFUNCTION("""COMPUTED_VALUE"""),1.0)</f>
        <v>1</v>
      </c>
      <c r="K1049" s="5">
        <f>IFERROR(__xludf.DUMMYFUNCTION("""COMPUTED_VALUE"""),5.595970900951316E-4)</f>
        <v>0.0005595970901</v>
      </c>
      <c r="L1049" s="10">
        <f>IFERROR(__xludf.DUMMYFUNCTION("""COMPUTED_VALUE"""),1787.0)</f>
        <v>1787</v>
      </c>
      <c r="M1049" s="5">
        <f>IFERROR(__xludf.DUMMYFUNCTION("""COMPUTED_VALUE"""),1.0)</f>
        <v>1</v>
      </c>
    </row>
    <row r="1050">
      <c r="A1050" s="10" t="str">
        <f>IFERROR(__xludf.DUMMYFUNCTION("""COMPUTED_VALUE"""),"NAKAHARA")</f>
        <v>NAKAHARA</v>
      </c>
      <c r="B1050" s="10">
        <f>IFERROR(__xludf.DUMMYFUNCTION("""COMPUTED_VALUE"""),1066.0)</f>
        <v>1066</v>
      </c>
      <c r="C1050" s="10">
        <f>IFERROR(__xludf.DUMMYFUNCTION("""COMPUTED_VALUE"""),12359.0)</f>
        <v>12359</v>
      </c>
      <c r="D1050" s="5">
        <f>IFERROR(__xludf.DUMMYFUNCTION("""COMPUTED_VALUE"""),0.34685203223235633)</f>
        <v>0.3468520322</v>
      </c>
      <c r="E1050" s="5">
        <f>IFERROR(__xludf.DUMMYFUNCTION("""COMPUTED_VALUE"""),0.14017532985034978)</f>
        <v>0.1401753299</v>
      </c>
      <c r="F1050" s="5">
        <f>IFERROR(__xludf.DUMMYFUNCTION("""COMPUTED_VALUE"""),0.21402638802798193)</f>
        <v>0.214026388</v>
      </c>
      <c r="G1050" s="5">
        <f>IFERROR(__xludf.DUMMYFUNCTION("""COMPUTED_VALUE"""),0.17763216151598335)</f>
        <v>0.1776321615</v>
      </c>
      <c r="H1050" s="5">
        <f>IFERROR(__xludf.DUMMYFUNCTION("""COMPUTED_VALUE"""),0.5970211005378568)</f>
        <v>0.5970211005</v>
      </c>
      <c r="I1050" s="11">
        <f>IFERROR(__xludf.DUMMYFUNCTION("""COMPUTED_VALUE"""),6083.326437732727)</f>
        <v>6083.326438</v>
      </c>
      <c r="J1050" s="10">
        <f>IFERROR(__xludf.DUMMYFUNCTION("""COMPUTED_VALUE"""),1.0)</f>
        <v>1</v>
      </c>
      <c r="K1050" s="5">
        <f>IFERROR(__xludf.DUMMYFUNCTION("""COMPUTED_VALUE"""),9.380863039399625E-4)</f>
        <v>0.0009380863039</v>
      </c>
      <c r="L1050" s="10">
        <f>IFERROR(__xludf.DUMMYFUNCTION("""COMPUTED_VALUE"""),1066.0)</f>
        <v>1066</v>
      </c>
      <c r="M1050" s="5">
        <f>IFERROR(__xludf.DUMMYFUNCTION("""COMPUTED_VALUE"""),1.0)</f>
        <v>1</v>
      </c>
    </row>
    <row r="1051">
      <c r="A1051" s="10" t="str">
        <f>IFERROR(__xludf.DUMMYFUNCTION("""COMPUTED_VALUE"""),"染手")</f>
        <v>染手</v>
      </c>
      <c r="B1051" s="10">
        <f>IFERROR(__xludf.DUMMYFUNCTION("""COMPUTED_VALUE"""),578.0)</f>
        <v>578</v>
      </c>
      <c r="C1051" s="10">
        <f>IFERROR(__xludf.DUMMYFUNCTION("""COMPUTED_VALUE"""),6821.0)</f>
        <v>6821</v>
      </c>
      <c r="D1051" s="5">
        <f>IFERROR(__xludf.DUMMYFUNCTION("""COMPUTED_VALUE"""),0.38154733301297455)</f>
        <v>0.381547333</v>
      </c>
      <c r="E1051" s="5">
        <f>IFERROR(__xludf.DUMMYFUNCTION("""COMPUTED_VALUE"""),0.14015697581291045)</f>
        <v>0.1401569758</v>
      </c>
      <c r="F1051" s="5">
        <f>IFERROR(__xludf.DUMMYFUNCTION("""COMPUTED_VALUE"""),0.2276149287201666)</f>
        <v>0.2276149287</v>
      </c>
      <c r="G1051" s="5">
        <f>IFERROR(__xludf.DUMMYFUNCTION("""COMPUTED_VALUE"""),0.16770783277270543)</f>
        <v>0.1677078328</v>
      </c>
      <c r="H1051" s="5">
        <f>IFERROR(__xludf.DUMMYFUNCTION("""COMPUTED_VALUE"""),0.5988740323715693)</f>
        <v>0.5988740324</v>
      </c>
      <c r="I1051" s="11">
        <f>IFERROR(__xludf.DUMMYFUNCTION("""COMPUTED_VALUE"""),5003.166783954961)</f>
        <v>5003.166784</v>
      </c>
      <c r="J1051" s="10">
        <f>IFERROR(__xludf.DUMMYFUNCTION("""COMPUTED_VALUE"""),1.0)</f>
        <v>1</v>
      </c>
      <c r="K1051" s="5">
        <f>IFERROR(__xludf.DUMMYFUNCTION("""COMPUTED_VALUE"""),0.0017301038062283738)</f>
        <v>0.001730103806</v>
      </c>
      <c r="L1051" s="10">
        <f>IFERROR(__xludf.DUMMYFUNCTION("""COMPUTED_VALUE"""),578.0)</f>
        <v>578</v>
      </c>
      <c r="M1051" s="5">
        <f>IFERROR(__xludf.DUMMYFUNCTION("""COMPUTED_VALUE"""),1.0)</f>
        <v>1</v>
      </c>
    </row>
    <row r="1052">
      <c r="A1052" s="10" t="str">
        <f>IFERROR(__xludf.DUMMYFUNCTION("""COMPUTED_VALUE"""),"べけん")</f>
        <v>べけん</v>
      </c>
      <c r="B1052" s="10">
        <f>IFERROR(__xludf.DUMMYFUNCTION("""COMPUTED_VALUE"""),512.0)</f>
        <v>512</v>
      </c>
      <c r="C1052" s="10">
        <f>IFERROR(__xludf.DUMMYFUNCTION("""COMPUTED_VALUE"""),5992.0)</f>
        <v>5992</v>
      </c>
      <c r="D1052" s="5">
        <f>IFERROR(__xludf.DUMMYFUNCTION("""COMPUTED_VALUE"""),0.3319343065693431)</f>
        <v>0.3319343066</v>
      </c>
      <c r="E1052" s="5">
        <f>IFERROR(__xludf.DUMMYFUNCTION("""COMPUTED_VALUE"""),0.14014598540145987)</f>
        <v>0.1401459854</v>
      </c>
      <c r="F1052" s="5">
        <f>IFERROR(__xludf.DUMMYFUNCTION("""COMPUTED_VALUE"""),0.21186131386861315)</f>
        <v>0.2118613139</v>
      </c>
      <c r="G1052" s="5">
        <f>IFERROR(__xludf.DUMMYFUNCTION("""COMPUTED_VALUE"""),0.18412408759124088)</f>
        <v>0.1841240876</v>
      </c>
      <c r="H1052" s="5">
        <f>IFERROR(__xludf.DUMMYFUNCTION("""COMPUTED_VALUE"""),0.6055124892334195)</f>
        <v>0.6055124892</v>
      </c>
      <c r="I1052" s="11">
        <f>IFERROR(__xludf.DUMMYFUNCTION("""COMPUTED_VALUE"""),5456.675279931094)</f>
        <v>5456.67528</v>
      </c>
      <c r="J1052" s="10">
        <f>IFERROR(__xludf.DUMMYFUNCTION("""COMPUTED_VALUE"""),0.0)</f>
        <v>0</v>
      </c>
      <c r="K1052" s="5">
        <f>IFERROR(__xludf.DUMMYFUNCTION("""COMPUTED_VALUE"""),0.0)</f>
        <v>0</v>
      </c>
      <c r="L1052" s="10">
        <f>IFERROR(__xludf.DUMMYFUNCTION("""COMPUTED_VALUE"""),512.0)</f>
        <v>512</v>
      </c>
      <c r="M1052" s="5">
        <f>IFERROR(__xludf.DUMMYFUNCTION("""COMPUTED_VALUE"""),1.0)</f>
        <v>1</v>
      </c>
    </row>
    <row r="1053">
      <c r="A1053" s="10" t="str">
        <f>IFERROR(__xludf.DUMMYFUNCTION("""COMPUTED_VALUE"""),"雀シロ子")</f>
        <v>雀シロ子</v>
      </c>
      <c r="B1053" s="10">
        <f>IFERROR(__xludf.DUMMYFUNCTION("""COMPUTED_VALUE"""),352.0)</f>
        <v>352</v>
      </c>
      <c r="C1053" s="10">
        <f>IFERROR(__xludf.DUMMYFUNCTION("""COMPUTED_VALUE"""),4113.0)</f>
        <v>4113</v>
      </c>
      <c r="D1053" s="5">
        <f>IFERROR(__xludf.DUMMYFUNCTION("""COMPUTED_VALUE"""),0.26296197819728795)</f>
        <v>0.2629619782</v>
      </c>
      <c r="E1053" s="5">
        <f>IFERROR(__xludf.DUMMYFUNCTION("""COMPUTED_VALUE"""),0.14012230789683594)</f>
        <v>0.1401223079</v>
      </c>
      <c r="F1053" s="5">
        <f>IFERROR(__xludf.DUMMYFUNCTION("""COMPUTED_VALUE"""),0.18877957989896305)</f>
        <v>0.1887795799</v>
      </c>
      <c r="G1053" s="5">
        <f>IFERROR(__xludf.DUMMYFUNCTION("""COMPUTED_VALUE"""),0.17043339537357086)</f>
        <v>0.1704333954</v>
      </c>
      <c r="H1053" s="5">
        <f>IFERROR(__xludf.DUMMYFUNCTION("""COMPUTED_VALUE"""),0.5887323943661972)</f>
        <v>0.5887323944</v>
      </c>
      <c r="I1053" s="11">
        <f>IFERROR(__xludf.DUMMYFUNCTION("""COMPUTED_VALUE"""),5913.380281690141)</f>
        <v>5913.380282</v>
      </c>
      <c r="J1053" s="10">
        <f>IFERROR(__xludf.DUMMYFUNCTION("""COMPUTED_VALUE"""),1.0)</f>
        <v>1</v>
      </c>
      <c r="K1053" s="5">
        <f>IFERROR(__xludf.DUMMYFUNCTION("""COMPUTED_VALUE"""),0.002840909090909091)</f>
        <v>0.002840909091</v>
      </c>
      <c r="L1053" s="10">
        <f>IFERROR(__xludf.DUMMYFUNCTION("""COMPUTED_VALUE"""),352.0)</f>
        <v>352</v>
      </c>
      <c r="M1053" s="5">
        <f>IFERROR(__xludf.DUMMYFUNCTION("""COMPUTED_VALUE"""),1.0)</f>
        <v>1</v>
      </c>
    </row>
    <row r="1054">
      <c r="A1054" s="10" t="str">
        <f>IFERROR(__xludf.DUMMYFUNCTION("""COMPUTED_VALUE"""),"せぶんついん")</f>
        <v>せぶんついん</v>
      </c>
      <c r="B1054" s="10">
        <f>IFERROR(__xludf.DUMMYFUNCTION("""COMPUTED_VALUE"""),758.0)</f>
        <v>758</v>
      </c>
      <c r="C1054" s="10">
        <f>IFERROR(__xludf.DUMMYFUNCTION("""COMPUTED_VALUE"""),8844.0)</f>
        <v>8844</v>
      </c>
      <c r="D1054" s="5">
        <f>IFERROR(__xludf.DUMMYFUNCTION("""COMPUTED_VALUE"""),0.42035617116002966)</f>
        <v>0.4203561712</v>
      </c>
      <c r="E1054" s="5">
        <f>IFERROR(__xludf.DUMMYFUNCTION("""COMPUTED_VALUE"""),0.14011872372000989)</f>
        <v>0.1401187237</v>
      </c>
      <c r="F1054" s="5">
        <f>IFERROR(__xludf.DUMMYFUNCTION("""COMPUTED_VALUE"""),0.21889685876824141)</f>
        <v>0.2188968588</v>
      </c>
      <c r="G1054" s="5">
        <f>IFERROR(__xludf.DUMMYFUNCTION("""COMPUTED_VALUE"""),0.1625030917635419)</f>
        <v>0.1625030918</v>
      </c>
      <c r="H1054" s="5">
        <f>IFERROR(__xludf.DUMMYFUNCTION("""COMPUTED_VALUE"""),0.6107344632768361)</f>
        <v>0.6107344633</v>
      </c>
      <c r="I1054" s="11">
        <f>IFERROR(__xludf.DUMMYFUNCTION("""COMPUTED_VALUE"""),5351.129943502825)</f>
        <v>5351.129944</v>
      </c>
      <c r="J1054" s="10">
        <f>IFERROR(__xludf.DUMMYFUNCTION("""COMPUTED_VALUE"""),0.0)</f>
        <v>0</v>
      </c>
      <c r="K1054" s="5">
        <f>IFERROR(__xludf.DUMMYFUNCTION("""COMPUTED_VALUE"""),0.0)</f>
        <v>0</v>
      </c>
      <c r="L1054" s="10">
        <f>IFERROR(__xludf.DUMMYFUNCTION("""COMPUTED_VALUE"""),465.0)</f>
        <v>465</v>
      </c>
      <c r="M1054" s="5">
        <f>IFERROR(__xludf.DUMMYFUNCTION("""COMPUTED_VALUE"""),0.6134564643799473)</f>
        <v>0.6134564644</v>
      </c>
    </row>
    <row r="1055">
      <c r="A1055" s="10" t="str">
        <f>IFERROR(__xludf.DUMMYFUNCTION("""COMPUTED_VALUE"""),"梅屋☆理論")</f>
        <v>梅屋☆理論</v>
      </c>
      <c r="B1055" s="10">
        <f>IFERROR(__xludf.DUMMYFUNCTION("""COMPUTED_VALUE"""),108.0)</f>
        <v>108</v>
      </c>
      <c r="C1055" s="10">
        <f>IFERROR(__xludf.DUMMYFUNCTION("""COMPUTED_VALUE"""),1300.0)</f>
        <v>1300</v>
      </c>
      <c r="D1055" s="5">
        <f>IFERROR(__xludf.DUMMYFUNCTION("""COMPUTED_VALUE"""),0.3422818791946309)</f>
        <v>0.3422818792</v>
      </c>
      <c r="E1055" s="5">
        <f>IFERROR(__xludf.DUMMYFUNCTION("""COMPUTED_VALUE"""),0.1401006711409396)</f>
        <v>0.1401006711</v>
      </c>
      <c r="F1055" s="5">
        <f>IFERROR(__xludf.DUMMYFUNCTION("""COMPUTED_VALUE"""),0.19546979865771813)</f>
        <v>0.1954697987</v>
      </c>
      <c r="G1055" s="5">
        <f>IFERROR(__xludf.DUMMYFUNCTION("""COMPUTED_VALUE"""),0.17953020134228187)</f>
        <v>0.1795302013</v>
      </c>
      <c r="H1055" s="5">
        <f>IFERROR(__xludf.DUMMYFUNCTION("""COMPUTED_VALUE"""),0.5793991416309013)</f>
        <v>0.5793991416</v>
      </c>
      <c r="I1055" s="11">
        <f>IFERROR(__xludf.DUMMYFUNCTION("""COMPUTED_VALUE"""),6088.412017167382)</f>
        <v>6088.412017</v>
      </c>
      <c r="J1055" s="10">
        <f>IFERROR(__xludf.DUMMYFUNCTION("""COMPUTED_VALUE"""),1.0)</f>
        <v>1</v>
      </c>
      <c r="K1055" s="5">
        <f>IFERROR(__xludf.DUMMYFUNCTION("""COMPUTED_VALUE"""),0.009259259259259259)</f>
        <v>0.009259259259</v>
      </c>
      <c r="L1055" s="10">
        <f>IFERROR(__xludf.DUMMYFUNCTION("""COMPUTED_VALUE"""),108.0)</f>
        <v>108</v>
      </c>
      <c r="M1055" s="5">
        <f>IFERROR(__xludf.DUMMYFUNCTION("""COMPUTED_VALUE"""),1.0)</f>
        <v>1</v>
      </c>
    </row>
    <row r="1056">
      <c r="A1056" s="10" t="str">
        <f>IFERROR(__xludf.DUMMYFUNCTION("""COMPUTED_VALUE"""),"野中晴")</f>
        <v>野中晴</v>
      </c>
      <c r="B1056" s="10">
        <f>IFERROR(__xludf.DUMMYFUNCTION("""COMPUTED_VALUE"""),1758.0)</f>
        <v>1758</v>
      </c>
      <c r="C1056" s="10">
        <f>IFERROR(__xludf.DUMMYFUNCTION("""COMPUTED_VALUE"""),20181.0)</f>
        <v>20181</v>
      </c>
      <c r="D1056" s="5">
        <f>IFERROR(__xludf.DUMMYFUNCTION("""COMPUTED_VALUE"""),0.338869890897248)</f>
        <v>0.3388698909</v>
      </c>
      <c r="E1056" s="5">
        <f>IFERROR(__xludf.DUMMYFUNCTION("""COMPUTED_VALUE"""),0.14009661835748793)</f>
        <v>0.1400966184</v>
      </c>
      <c r="F1056" s="5">
        <f>IFERROR(__xludf.DUMMYFUNCTION("""COMPUTED_VALUE"""),0.2122889865928459)</f>
        <v>0.2122889866</v>
      </c>
      <c r="G1056" s="5">
        <f>IFERROR(__xludf.DUMMYFUNCTION("""COMPUTED_VALUE"""),0.19090267600282257)</f>
        <v>0.190902676</v>
      </c>
      <c r="H1056" s="5">
        <f>IFERROR(__xludf.DUMMYFUNCTION("""COMPUTED_VALUE"""),0.600869342879059)</f>
        <v>0.6008693429</v>
      </c>
      <c r="I1056" s="11">
        <f>IFERROR(__xludf.DUMMYFUNCTION("""COMPUTED_VALUE"""),5943.92738430069)</f>
        <v>5943.927384</v>
      </c>
      <c r="J1056" s="10">
        <f>IFERROR(__xludf.DUMMYFUNCTION("""COMPUTED_VALUE"""),8.0)</f>
        <v>8</v>
      </c>
      <c r="K1056" s="5">
        <f>IFERROR(__xludf.DUMMYFUNCTION("""COMPUTED_VALUE"""),0.004550625711035267)</f>
        <v>0.004550625711</v>
      </c>
      <c r="L1056" s="10">
        <f>IFERROR(__xludf.DUMMYFUNCTION("""COMPUTED_VALUE"""),0.0)</f>
        <v>0</v>
      </c>
      <c r="M1056" s="5">
        <f>IFERROR(__xludf.DUMMYFUNCTION("""COMPUTED_VALUE"""),0.0)</f>
        <v>0</v>
      </c>
    </row>
    <row r="1057">
      <c r="A1057" s="10" t="str">
        <f>IFERROR(__xludf.DUMMYFUNCTION("""COMPUTED_VALUE"""),"tenguman")</f>
        <v>tenguman</v>
      </c>
      <c r="B1057" s="10">
        <f>IFERROR(__xludf.DUMMYFUNCTION("""COMPUTED_VALUE"""),320.0)</f>
        <v>320</v>
      </c>
      <c r="C1057" s="10">
        <f>IFERROR(__xludf.DUMMYFUNCTION("""COMPUTED_VALUE"""),3704.0)</f>
        <v>3704</v>
      </c>
      <c r="D1057" s="5">
        <f>IFERROR(__xludf.DUMMYFUNCTION("""COMPUTED_VALUE"""),0.3871158392434988)</f>
        <v>0.3871158392</v>
      </c>
      <c r="E1057" s="5">
        <f>IFERROR(__xludf.DUMMYFUNCTION("""COMPUTED_VALUE"""),0.1400709219858156)</f>
        <v>0.140070922</v>
      </c>
      <c r="F1057" s="5">
        <f>IFERROR(__xludf.DUMMYFUNCTION("""COMPUTED_VALUE"""),0.21690307328605202)</f>
        <v>0.2169030733</v>
      </c>
      <c r="G1057" s="5">
        <f>IFERROR(__xludf.DUMMYFUNCTION("""COMPUTED_VALUE"""),0.15307328605200946)</f>
        <v>0.1530732861</v>
      </c>
      <c r="H1057" s="5">
        <f>IFERROR(__xludf.DUMMYFUNCTION("""COMPUTED_VALUE"""),0.5885558583106267)</f>
        <v>0.5885558583</v>
      </c>
      <c r="I1057" s="11">
        <f>IFERROR(__xludf.DUMMYFUNCTION("""COMPUTED_VALUE"""),5776.021798365123)</f>
        <v>5776.021798</v>
      </c>
      <c r="J1057" s="10">
        <f>IFERROR(__xludf.DUMMYFUNCTION("""COMPUTED_VALUE"""),0.0)</f>
        <v>0</v>
      </c>
      <c r="K1057" s="5">
        <f>IFERROR(__xludf.DUMMYFUNCTION("""COMPUTED_VALUE"""),0.0)</f>
        <v>0</v>
      </c>
      <c r="L1057" s="10">
        <f>IFERROR(__xludf.DUMMYFUNCTION("""COMPUTED_VALUE"""),320.0)</f>
        <v>320</v>
      </c>
      <c r="M1057" s="5">
        <f>IFERROR(__xludf.DUMMYFUNCTION("""COMPUTED_VALUE"""),1.0)</f>
        <v>1</v>
      </c>
    </row>
    <row r="1058">
      <c r="A1058" s="10" t="str">
        <f>IFERROR(__xludf.DUMMYFUNCTION("""COMPUTED_VALUE"""),"フォン王子")</f>
        <v>フォン王子</v>
      </c>
      <c r="B1058" s="10">
        <f>IFERROR(__xludf.DUMMYFUNCTION("""COMPUTED_VALUE"""),246.0)</f>
        <v>246</v>
      </c>
      <c r="C1058" s="10">
        <f>IFERROR(__xludf.DUMMYFUNCTION("""COMPUTED_VALUE"""),2838.0)</f>
        <v>2838</v>
      </c>
      <c r="D1058" s="5">
        <f>IFERROR(__xludf.DUMMYFUNCTION("""COMPUTED_VALUE"""),0.3441358024691358)</f>
        <v>0.3441358025</v>
      </c>
      <c r="E1058" s="5">
        <f>IFERROR(__xludf.DUMMYFUNCTION("""COMPUTED_VALUE"""),0.1400462962962963)</f>
        <v>0.1400462963</v>
      </c>
      <c r="F1058" s="5">
        <f>IFERROR(__xludf.DUMMYFUNCTION("""COMPUTED_VALUE"""),0.22646604938271606)</f>
        <v>0.2264660494</v>
      </c>
      <c r="G1058" s="5">
        <f>IFERROR(__xludf.DUMMYFUNCTION("""COMPUTED_VALUE"""),0.14969135802469136)</f>
        <v>0.149691358</v>
      </c>
      <c r="H1058" s="5">
        <f>IFERROR(__xludf.DUMMYFUNCTION("""COMPUTED_VALUE"""),0.6286201022146508)</f>
        <v>0.6286201022</v>
      </c>
      <c r="I1058" s="11">
        <f>IFERROR(__xludf.DUMMYFUNCTION("""COMPUTED_VALUE"""),5368.654173764906)</f>
        <v>5368.654174</v>
      </c>
      <c r="J1058" s="10">
        <f>IFERROR(__xludf.DUMMYFUNCTION("""COMPUTED_VALUE"""),0.0)</f>
        <v>0</v>
      </c>
      <c r="K1058" s="5">
        <f>IFERROR(__xludf.DUMMYFUNCTION("""COMPUTED_VALUE"""),0.0)</f>
        <v>0</v>
      </c>
      <c r="L1058" s="10">
        <f>IFERROR(__xludf.DUMMYFUNCTION("""COMPUTED_VALUE"""),246.0)</f>
        <v>246</v>
      </c>
      <c r="M1058" s="5">
        <f>IFERROR(__xludf.DUMMYFUNCTION("""COMPUTED_VALUE"""),1.0)</f>
        <v>1</v>
      </c>
    </row>
    <row r="1059">
      <c r="A1059" s="10" t="str">
        <f>IFERROR(__xludf.DUMMYFUNCTION("""COMPUTED_VALUE"""),"ハーデス１００G")</f>
        <v>ハーデス１００G</v>
      </c>
      <c r="B1059" s="10">
        <f>IFERROR(__xludf.DUMMYFUNCTION("""COMPUTED_VALUE"""),511.0)</f>
        <v>511</v>
      </c>
      <c r="C1059" s="10">
        <f>IFERROR(__xludf.DUMMYFUNCTION("""COMPUTED_VALUE"""),5895.0)</f>
        <v>5895</v>
      </c>
      <c r="D1059" s="5">
        <f>IFERROR(__xludf.DUMMYFUNCTION("""COMPUTED_VALUE"""),0.312778603268945)</f>
        <v>0.3127786033</v>
      </c>
      <c r="E1059" s="5">
        <f>IFERROR(__xludf.DUMMYFUNCTION("""COMPUTED_VALUE"""),0.1400445765230312)</f>
        <v>0.1400445765</v>
      </c>
      <c r="F1059" s="5">
        <f>IFERROR(__xludf.DUMMYFUNCTION("""COMPUTED_VALUE"""),0.21173848439821694)</f>
        <v>0.2117384844</v>
      </c>
      <c r="G1059" s="5">
        <f>IFERROR(__xludf.DUMMYFUNCTION("""COMPUTED_VALUE"""),0.16716196136701336)</f>
        <v>0.1671619614</v>
      </c>
      <c r="H1059" s="5">
        <f>IFERROR(__xludf.DUMMYFUNCTION("""COMPUTED_VALUE"""),0.6008771929824561)</f>
        <v>0.600877193</v>
      </c>
      <c r="I1059" s="11">
        <f>IFERROR(__xludf.DUMMYFUNCTION("""COMPUTED_VALUE"""),5819.912280701755)</f>
        <v>5819.912281</v>
      </c>
      <c r="J1059" s="10">
        <f>IFERROR(__xludf.DUMMYFUNCTION("""COMPUTED_VALUE"""),1.0)</f>
        <v>1</v>
      </c>
      <c r="K1059" s="5">
        <f>IFERROR(__xludf.DUMMYFUNCTION("""COMPUTED_VALUE"""),0.0019569471624266144)</f>
        <v>0.001956947162</v>
      </c>
      <c r="L1059" s="10">
        <f>IFERROR(__xludf.DUMMYFUNCTION("""COMPUTED_VALUE"""),501.0)</f>
        <v>501</v>
      </c>
      <c r="M1059" s="5">
        <f>IFERROR(__xludf.DUMMYFUNCTION("""COMPUTED_VALUE"""),0.9804305283757339)</f>
        <v>0.9804305284</v>
      </c>
    </row>
    <row r="1060">
      <c r="A1060" s="10" t="str">
        <f>IFERROR(__xludf.DUMMYFUNCTION("""COMPUTED_VALUE"""),"懐く家畜")</f>
        <v>懐く家畜</v>
      </c>
      <c r="B1060" s="10">
        <f>IFERROR(__xludf.DUMMYFUNCTION("""COMPUTED_VALUE"""),1261.0)</f>
        <v>1261</v>
      </c>
      <c r="C1060" s="10">
        <f>IFERROR(__xludf.DUMMYFUNCTION("""COMPUTED_VALUE"""),14597.0)</f>
        <v>14597</v>
      </c>
      <c r="D1060" s="5">
        <f>IFERROR(__xludf.DUMMYFUNCTION("""COMPUTED_VALUE"""),0.3252849430113977)</f>
        <v>0.325284943</v>
      </c>
      <c r="E1060" s="5">
        <f>IFERROR(__xludf.DUMMYFUNCTION("""COMPUTED_VALUE"""),0.13999700059988002)</f>
        <v>0.1399970006</v>
      </c>
      <c r="F1060" s="5">
        <f>IFERROR(__xludf.DUMMYFUNCTION("""COMPUTED_VALUE"""),0.21888122375524896)</f>
        <v>0.2188812238</v>
      </c>
      <c r="G1060" s="5">
        <f>IFERROR(__xludf.DUMMYFUNCTION("""COMPUTED_VALUE"""),0.16391721655668867)</f>
        <v>0.1639172166</v>
      </c>
      <c r="H1060" s="5">
        <f>IFERROR(__xludf.DUMMYFUNCTION("""COMPUTED_VALUE"""),0.6036313806097979)</f>
        <v>0.6036313806</v>
      </c>
      <c r="I1060" s="11">
        <f>IFERROR(__xludf.DUMMYFUNCTION("""COMPUTED_VALUE"""),5616.204179513532)</f>
        <v>5616.20418</v>
      </c>
      <c r="J1060" s="10">
        <f>IFERROR(__xludf.DUMMYFUNCTION("""COMPUTED_VALUE"""),3.0)</f>
        <v>3</v>
      </c>
      <c r="K1060" s="5">
        <f>IFERROR(__xludf.DUMMYFUNCTION("""COMPUTED_VALUE"""),0.0023790642347343376)</f>
        <v>0.002379064235</v>
      </c>
      <c r="L1060" s="10">
        <f>IFERROR(__xludf.DUMMYFUNCTION("""COMPUTED_VALUE"""),1261.0)</f>
        <v>1261</v>
      </c>
      <c r="M1060" s="5">
        <f>IFERROR(__xludf.DUMMYFUNCTION("""COMPUTED_VALUE"""),1.0)</f>
        <v>1</v>
      </c>
    </row>
    <row r="1061">
      <c r="A1061" s="10" t="str">
        <f>IFERROR(__xludf.DUMMYFUNCTION("""COMPUTED_VALUE"""),"大根太")</f>
        <v>大根太</v>
      </c>
      <c r="B1061" s="10">
        <f>IFERROR(__xludf.DUMMYFUNCTION("""COMPUTED_VALUE"""),538.0)</f>
        <v>538</v>
      </c>
      <c r="C1061" s="10">
        <f>IFERROR(__xludf.DUMMYFUNCTION("""COMPUTED_VALUE"""),6189.0)</f>
        <v>6189</v>
      </c>
      <c r="D1061" s="5">
        <f>IFERROR(__xludf.DUMMYFUNCTION("""COMPUTED_VALUE"""),0.3091488232171297)</f>
        <v>0.3091488232</v>
      </c>
      <c r="E1061" s="5">
        <f>IFERROR(__xludf.DUMMYFUNCTION("""COMPUTED_VALUE"""),0.1399752256237834)</f>
        <v>0.1399752256</v>
      </c>
      <c r="F1061" s="5">
        <f>IFERROR(__xludf.DUMMYFUNCTION("""COMPUTED_VALUE"""),0.2132365952928685)</f>
        <v>0.2132365953</v>
      </c>
      <c r="G1061" s="5">
        <f>IFERROR(__xludf.DUMMYFUNCTION("""COMPUTED_VALUE"""),0.21164395682180145)</f>
        <v>0.2116439568</v>
      </c>
      <c r="H1061" s="5">
        <f>IFERROR(__xludf.DUMMYFUNCTION("""COMPUTED_VALUE"""),0.5950207468879668)</f>
        <v>0.5950207469</v>
      </c>
      <c r="I1061" s="11">
        <f>IFERROR(__xludf.DUMMYFUNCTION("""COMPUTED_VALUE"""),6187.219917012448)</f>
        <v>6187.219917</v>
      </c>
      <c r="J1061" s="10">
        <f>IFERROR(__xludf.DUMMYFUNCTION("""COMPUTED_VALUE"""),4.0)</f>
        <v>4</v>
      </c>
      <c r="K1061" s="5">
        <f>IFERROR(__xludf.DUMMYFUNCTION("""COMPUTED_VALUE"""),0.007434944237918215)</f>
        <v>0.007434944238</v>
      </c>
      <c r="L1061" s="10">
        <f>IFERROR(__xludf.DUMMYFUNCTION("""COMPUTED_VALUE"""),538.0)</f>
        <v>538</v>
      </c>
      <c r="M1061" s="5">
        <f>IFERROR(__xludf.DUMMYFUNCTION("""COMPUTED_VALUE"""),1.0)</f>
        <v>1</v>
      </c>
    </row>
    <row r="1062">
      <c r="A1062" s="10" t="str">
        <f>IFERROR(__xludf.DUMMYFUNCTION("""COMPUTED_VALUE"""),"さっこん")</f>
        <v>さっこん</v>
      </c>
      <c r="B1062" s="10">
        <f>IFERROR(__xludf.DUMMYFUNCTION("""COMPUTED_VALUE"""),723.0)</f>
        <v>723</v>
      </c>
      <c r="C1062" s="10">
        <f>IFERROR(__xludf.DUMMYFUNCTION("""COMPUTED_VALUE"""),8439.0)</f>
        <v>8439</v>
      </c>
      <c r="D1062" s="5">
        <f>IFERROR(__xludf.DUMMYFUNCTION("""COMPUTED_VALUE"""),0.35057024364955935)</f>
        <v>0.3505702436</v>
      </c>
      <c r="E1062" s="5">
        <f>IFERROR(__xludf.DUMMYFUNCTION("""COMPUTED_VALUE"""),0.13996889580093314)</f>
        <v>0.1399688958</v>
      </c>
      <c r="F1062" s="5">
        <f>IFERROR(__xludf.DUMMYFUNCTION("""COMPUTED_VALUE"""),0.21682218766200104)</f>
        <v>0.2168221877</v>
      </c>
      <c r="G1062" s="5">
        <f>IFERROR(__xludf.DUMMYFUNCTION("""COMPUTED_VALUE"""),0.17107309486780714)</f>
        <v>0.1710730949</v>
      </c>
      <c r="H1062" s="5">
        <f>IFERROR(__xludf.DUMMYFUNCTION("""COMPUTED_VALUE"""),0.5851763299462044)</f>
        <v>0.5851763299</v>
      </c>
      <c r="I1062" s="11">
        <f>IFERROR(__xludf.DUMMYFUNCTION("""COMPUTED_VALUE"""),5850.388523610281)</f>
        <v>5850.388524</v>
      </c>
      <c r="J1062" s="10">
        <f>IFERROR(__xludf.DUMMYFUNCTION("""COMPUTED_VALUE"""),1.0)</f>
        <v>1</v>
      </c>
      <c r="K1062" s="5">
        <f>IFERROR(__xludf.DUMMYFUNCTION("""COMPUTED_VALUE"""),0.0013831258644536654)</f>
        <v>0.001383125864</v>
      </c>
      <c r="L1062" s="10">
        <f>IFERROR(__xludf.DUMMYFUNCTION("""COMPUTED_VALUE"""),723.0)</f>
        <v>723</v>
      </c>
      <c r="M1062" s="5">
        <f>IFERROR(__xludf.DUMMYFUNCTION("""COMPUTED_VALUE"""),1.0)</f>
        <v>1</v>
      </c>
    </row>
    <row r="1063">
      <c r="A1063" s="10" t="str">
        <f>IFERROR(__xludf.DUMMYFUNCTION("""COMPUTED_VALUE"""),"鳴きの竜")</f>
        <v>鳴きの竜</v>
      </c>
      <c r="B1063" s="10">
        <f>IFERROR(__xludf.DUMMYFUNCTION("""COMPUTED_VALUE"""),110.0)</f>
        <v>110</v>
      </c>
      <c r="C1063" s="10">
        <f>IFERROR(__xludf.DUMMYFUNCTION("""COMPUTED_VALUE"""),1296.0)</f>
        <v>1296</v>
      </c>
      <c r="D1063" s="5">
        <f>IFERROR(__xludf.DUMMYFUNCTION("""COMPUTED_VALUE"""),0.34654300168634067)</f>
        <v>0.3465430017</v>
      </c>
      <c r="E1063" s="5">
        <f>IFERROR(__xludf.DUMMYFUNCTION("""COMPUTED_VALUE"""),0.1399662731871838)</f>
        <v>0.1399662732</v>
      </c>
      <c r="F1063" s="5">
        <f>IFERROR(__xludf.DUMMYFUNCTION("""COMPUTED_VALUE"""),0.20657672849915684)</f>
        <v>0.2065767285</v>
      </c>
      <c r="G1063" s="5">
        <f>IFERROR(__xludf.DUMMYFUNCTION("""COMPUTED_VALUE"""),0.19392917369308602)</f>
        <v>0.1939291737</v>
      </c>
      <c r="H1063" s="5">
        <f>IFERROR(__xludf.DUMMYFUNCTION("""COMPUTED_VALUE"""),0.5469387755102041)</f>
        <v>0.5469387755</v>
      </c>
      <c r="I1063" s="11">
        <f>IFERROR(__xludf.DUMMYFUNCTION("""COMPUTED_VALUE"""),5896.326530612245)</f>
        <v>5896.326531</v>
      </c>
      <c r="J1063" s="10">
        <f>IFERROR(__xludf.DUMMYFUNCTION("""COMPUTED_VALUE"""),2.0)</f>
        <v>2</v>
      </c>
      <c r="K1063" s="5">
        <f>IFERROR(__xludf.DUMMYFUNCTION("""COMPUTED_VALUE"""),0.01818181818181818)</f>
        <v>0.01818181818</v>
      </c>
      <c r="L1063" s="10">
        <f>IFERROR(__xludf.DUMMYFUNCTION("""COMPUTED_VALUE"""),110.0)</f>
        <v>110</v>
      </c>
      <c r="M1063" s="5">
        <f>IFERROR(__xludf.DUMMYFUNCTION("""COMPUTED_VALUE"""),1.0)</f>
        <v>1</v>
      </c>
    </row>
    <row r="1064">
      <c r="A1064" s="10" t="str">
        <f>IFERROR(__xludf.DUMMYFUNCTION("""COMPUTED_VALUE"""),"小南桐絵")</f>
        <v>小南桐絵</v>
      </c>
      <c r="B1064" s="10">
        <f>IFERROR(__xludf.DUMMYFUNCTION("""COMPUTED_VALUE"""),390.0)</f>
        <v>390</v>
      </c>
      <c r="C1064" s="10">
        <f>IFERROR(__xludf.DUMMYFUNCTION("""COMPUTED_VALUE"""),4556.0)</f>
        <v>4556</v>
      </c>
      <c r="D1064" s="5">
        <f>IFERROR(__xludf.DUMMYFUNCTION("""COMPUTED_VALUE"""),0.3017282765242439)</f>
        <v>0.3017282765</v>
      </c>
      <c r="E1064" s="5">
        <f>IFERROR(__xludf.DUMMYFUNCTION("""COMPUTED_VALUE"""),0.1399423907825252)</f>
        <v>0.1399423908</v>
      </c>
      <c r="F1064" s="5">
        <f>IFERROR(__xludf.DUMMYFUNCTION("""COMPUTED_VALUE"""),0.21195391262602017)</f>
        <v>0.2119539126</v>
      </c>
      <c r="G1064" s="5">
        <f>IFERROR(__xludf.DUMMYFUNCTION("""COMPUTED_VALUE"""),0.16082573211713874)</f>
        <v>0.1608257321</v>
      </c>
      <c r="H1064" s="5">
        <f>IFERROR(__xludf.DUMMYFUNCTION("""COMPUTED_VALUE"""),0.6160815402038505)</f>
        <v>0.6160815402</v>
      </c>
      <c r="I1064" s="11">
        <f>IFERROR(__xludf.DUMMYFUNCTION("""COMPUTED_VALUE"""),5554.813137032843)</f>
        <v>5554.813137</v>
      </c>
      <c r="J1064" s="10">
        <f>IFERROR(__xludf.DUMMYFUNCTION("""COMPUTED_VALUE"""),2.0)</f>
        <v>2</v>
      </c>
      <c r="K1064" s="5">
        <f>IFERROR(__xludf.DUMMYFUNCTION("""COMPUTED_VALUE"""),0.005128205128205128)</f>
        <v>0.005128205128</v>
      </c>
      <c r="L1064" s="10">
        <f>IFERROR(__xludf.DUMMYFUNCTION("""COMPUTED_VALUE"""),390.0)</f>
        <v>390</v>
      </c>
      <c r="M1064" s="5">
        <f>IFERROR(__xludf.DUMMYFUNCTION("""COMPUTED_VALUE"""),1.0)</f>
        <v>1</v>
      </c>
    </row>
    <row r="1065">
      <c r="A1065" s="10" t="str">
        <f>IFERROR(__xludf.DUMMYFUNCTION("""COMPUTED_VALUE"""),"麻雀片想い")</f>
        <v>麻雀片想い</v>
      </c>
      <c r="B1065" s="10">
        <f>IFERROR(__xludf.DUMMYFUNCTION("""COMPUTED_VALUE"""),1082.0)</f>
        <v>1082</v>
      </c>
      <c r="C1065" s="10">
        <f>IFERROR(__xludf.DUMMYFUNCTION("""COMPUTED_VALUE"""),12737.0)</f>
        <v>12737</v>
      </c>
      <c r="D1065" s="5">
        <f>IFERROR(__xludf.DUMMYFUNCTION("""COMPUTED_VALUE"""),0.32003432003432003)</f>
        <v>0.32003432</v>
      </c>
      <c r="E1065" s="5">
        <f>IFERROR(__xludf.DUMMYFUNCTION("""COMPUTED_VALUE"""),0.13993993993993994)</f>
        <v>0.1399399399</v>
      </c>
      <c r="F1065" s="5">
        <f>IFERROR(__xludf.DUMMYFUNCTION("""COMPUTED_VALUE"""),0.20626340626340625)</f>
        <v>0.2062634063</v>
      </c>
      <c r="G1065" s="5">
        <f>IFERROR(__xludf.DUMMYFUNCTION("""COMPUTED_VALUE"""),0.16670956670956671)</f>
        <v>0.1667095667</v>
      </c>
      <c r="H1065" s="5">
        <f>IFERROR(__xludf.DUMMYFUNCTION("""COMPUTED_VALUE"""),0.6052412645590682)</f>
        <v>0.6052412646</v>
      </c>
      <c r="I1065" s="11">
        <f>IFERROR(__xludf.DUMMYFUNCTION("""COMPUTED_VALUE"""),5635.274542429284)</f>
        <v>5635.274542</v>
      </c>
      <c r="J1065" s="10">
        <f>IFERROR(__xludf.DUMMYFUNCTION("""COMPUTED_VALUE"""),5.0)</f>
        <v>5</v>
      </c>
      <c r="K1065" s="5">
        <f>IFERROR(__xludf.DUMMYFUNCTION("""COMPUTED_VALUE"""),0.0046210720887245845)</f>
        <v>0.004621072089</v>
      </c>
      <c r="L1065" s="10">
        <f>IFERROR(__xludf.DUMMYFUNCTION("""COMPUTED_VALUE"""),960.0)</f>
        <v>960</v>
      </c>
      <c r="M1065" s="5">
        <f>IFERROR(__xludf.DUMMYFUNCTION("""COMPUTED_VALUE"""),0.8872458410351202)</f>
        <v>0.887245841</v>
      </c>
    </row>
    <row r="1066">
      <c r="A1066" s="10" t="str">
        <f>IFERROR(__xludf.DUMMYFUNCTION("""COMPUTED_VALUE"""),"伝説のひよこ")</f>
        <v>伝説のひよこ</v>
      </c>
      <c r="B1066" s="10">
        <f>IFERROR(__xludf.DUMMYFUNCTION("""COMPUTED_VALUE"""),112.0)</f>
        <v>112</v>
      </c>
      <c r="C1066" s="10">
        <f>IFERROR(__xludf.DUMMYFUNCTION("""COMPUTED_VALUE"""),1334.0)</f>
        <v>1334</v>
      </c>
      <c r="D1066" s="5">
        <f>IFERROR(__xludf.DUMMYFUNCTION("""COMPUTED_VALUE"""),0.32733224222585927)</f>
        <v>0.3273322422</v>
      </c>
      <c r="E1066" s="5">
        <f>IFERROR(__xludf.DUMMYFUNCTION("""COMPUTED_VALUE"""),0.13993453355155483)</f>
        <v>0.1399345336</v>
      </c>
      <c r="F1066" s="5">
        <f>IFERROR(__xludf.DUMMYFUNCTION("""COMPUTED_VALUE"""),0.2078559738134206)</f>
        <v>0.2078559738</v>
      </c>
      <c r="G1066" s="5">
        <f>IFERROR(__xludf.DUMMYFUNCTION("""COMPUTED_VALUE"""),0.1448445171849427)</f>
        <v>0.1448445172</v>
      </c>
      <c r="H1066" s="5">
        <f>IFERROR(__xludf.DUMMYFUNCTION("""COMPUTED_VALUE"""),0.5748031496062992)</f>
        <v>0.5748031496</v>
      </c>
      <c r="I1066" s="11">
        <f>IFERROR(__xludf.DUMMYFUNCTION("""COMPUTED_VALUE"""),5253.543307086614)</f>
        <v>5253.543307</v>
      </c>
      <c r="J1066" s="10">
        <f>IFERROR(__xludf.DUMMYFUNCTION("""COMPUTED_VALUE"""),0.0)</f>
        <v>0</v>
      </c>
      <c r="K1066" s="5">
        <f>IFERROR(__xludf.DUMMYFUNCTION("""COMPUTED_VALUE"""),0.0)</f>
        <v>0</v>
      </c>
      <c r="L1066" s="10">
        <f>IFERROR(__xludf.DUMMYFUNCTION("""COMPUTED_VALUE"""),0.0)</f>
        <v>0</v>
      </c>
      <c r="M1066" s="5">
        <f>IFERROR(__xludf.DUMMYFUNCTION("""COMPUTED_VALUE"""),0.0)</f>
        <v>0</v>
      </c>
    </row>
    <row r="1067">
      <c r="A1067" s="10" t="str">
        <f>IFERROR(__xludf.DUMMYFUNCTION("""COMPUTED_VALUE"""),"☆関七段")</f>
        <v>☆関七段</v>
      </c>
      <c r="B1067" s="10">
        <f>IFERROR(__xludf.DUMMYFUNCTION("""COMPUTED_VALUE"""),326.0)</f>
        <v>326</v>
      </c>
      <c r="C1067" s="10">
        <f>IFERROR(__xludf.DUMMYFUNCTION("""COMPUTED_VALUE"""),3785.0)</f>
        <v>3785</v>
      </c>
      <c r="D1067" s="5">
        <f>IFERROR(__xludf.DUMMYFUNCTION("""COMPUTED_VALUE"""),0.3631107256432495)</f>
        <v>0.3631107256</v>
      </c>
      <c r="E1067" s="5">
        <f>IFERROR(__xludf.DUMMYFUNCTION("""COMPUTED_VALUE"""),0.13992483376698467)</f>
        <v>0.1399248338</v>
      </c>
      <c r="F1067" s="5">
        <f>IFERROR(__xludf.DUMMYFUNCTION("""COMPUTED_VALUE"""),0.212489158716392)</f>
        <v>0.2124891587</v>
      </c>
      <c r="G1067" s="5">
        <f>IFERROR(__xludf.DUMMYFUNCTION("""COMPUTED_VALUE"""),0.2023706273489448)</f>
        <v>0.2023706273</v>
      </c>
      <c r="H1067" s="5">
        <f>IFERROR(__xludf.DUMMYFUNCTION("""COMPUTED_VALUE"""),0.601360544217687)</f>
        <v>0.6013605442</v>
      </c>
      <c r="I1067" s="11">
        <f>IFERROR(__xludf.DUMMYFUNCTION("""COMPUTED_VALUE"""),6004.353741496599)</f>
        <v>6004.353741</v>
      </c>
      <c r="J1067" s="10">
        <f>IFERROR(__xludf.DUMMYFUNCTION("""COMPUTED_VALUE"""),1.0)</f>
        <v>1</v>
      </c>
      <c r="K1067" s="5">
        <f>IFERROR(__xludf.DUMMYFUNCTION("""COMPUTED_VALUE"""),0.003067484662576687)</f>
        <v>0.003067484663</v>
      </c>
      <c r="L1067" s="10">
        <f>IFERROR(__xludf.DUMMYFUNCTION("""COMPUTED_VALUE"""),326.0)</f>
        <v>326</v>
      </c>
      <c r="M1067" s="5">
        <f>IFERROR(__xludf.DUMMYFUNCTION("""COMPUTED_VALUE"""),1.0)</f>
        <v>1</v>
      </c>
    </row>
    <row r="1068">
      <c r="A1068" s="10" t="str">
        <f>IFERROR(__xludf.DUMMYFUNCTION("""COMPUTED_VALUE"""),"やじきた")</f>
        <v>やじきた</v>
      </c>
      <c r="B1068" s="10">
        <f>IFERROR(__xludf.DUMMYFUNCTION("""COMPUTED_VALUE"""),803.0)</f>
        <v>803</v>
      </c>
      <c r="C1068" s="10">
        <f>IFERROR(__xludf.DUMMYFUNCTION("""COMPUTED_VALUE"""),9251.0)</f>
        <v>9251</v>
      </c>
      <c r="D1068" s="5">
        <f>IFERROR(__xludf.DUMMYFUNCTION("""COMPUTED_VALUE"""),0.2663352272727273)</f>
        <v>0.2663352273</v>
      </c>
      <c r="E1068" s="5">
        <f>IFERROR(__xludf.DUMMYFUNCTION("""COMPUTED_VALUE"""),0.13991477272727273)</f>
        <v>0.1399147727</v>
      </c>
      <c r="F1068" s="5">
        <f>IFERROR(__xludf.DUMMYFUNCTION("""COMPUTED_VALUE"""),0.21223958333333334)</f>
        <v>0.2122395833</v>
      </c>
      <c r="G1068" s="5">
        <f>IFERROR(__xludf.DUMMYFUNCTION("""COMPUTED_VALUE"""),0.20075757575757575)</f>
        <v>0.2007575758</v>
      </c>
      <c r="H1068" s="5">
        <f>IFERROR(__xludf.DUMMYFUNCTION("""COMPUTED_VALUE"""),0.5883993307306191)</f>
        <v>0.5883993307</v>
      </c>
      <c r="I1068" s="11">
        <f>IFERROR(__xludf.DUMMYFUNCTION("""COMPUTED_VALUE"""),5626.157278304518)</f>
        <v>5626.157278</v>
      </c>
      <c r="J1068" s="10">
        <f>IFERROR(__xludf.DUMMYFUNCTION("""COMPUTED_VALUE"""),1.0)</f>
        <v>1</v>
      </c>
      <c r="K1068" s="5">
        <f>IFERROR(__xludf.DUMMYFUNCTION("""COMPUTED_VALUE"""),0.0012453300124533001)</f>
        <v>0.001245330012</v>
      </c>
      <c r="L1068" s="10">
        <f>IFERROR(__xludf.DUMMYFUNCTION("""COMPUTED_VALUE"""),243.0)</f>
        <v>243</v>
      </c>
      <c r="M1068" s="5">
        <f>IFERROR(__xludf.DUMMYFUNCTION("""COMPUTED_VALUE"""),0.3026151930261519)</f>
        <v>0.302615193</v>
      </c>
    </row>
    <row r="1069">
      <c r="A1069" s="10" t="str">
        <f>IFERROR(__xludf.DUMMYFUNCTION("""COMPUTED_VALUE"""),"たろたろ.")</f>
        <v>たろたろ.</v>
      </c>
      <c r="B1069" s="10">
        <f>IFERROR(__xludf.DUMMYFUNCTION("""COMPUTED_VALUE"""),1071.0)</f>
        <v>1071</v>
      </c>
      <c r="C1069" s="10">
        <f>IFERROR(__xludf.DUMMYFUNCTION("""COMPUTED_VALUE"""),12417.0)</f>
        <v>12417</v>
      </c>
      <c r="D1069" s="5">
        <f>IFERROR(__xludf.DUMMYFUNCTION("""COMPUTED_VALUE"""),0.36127269522298605)</f>
        <v>0.3612726952</v>
      </c>
      <c r="E1069" s="5">
        <f>IFERROR(__xludf.DUMMYFUNCTION("""COMPUTED_VALUE"""),0.13987308302485457)</f>
        <v>0.139873083</v>
      </c>
      <c r="F1069" s="5">
        <f>IFERROR(__xludf.DUMMYFUNCTION("""COMPUTED_VALUE"""),0.2147893530759739)</f>
        <v>0.2147893531</v>
      </c>
      <c r="G1069" s="5">
        <f>IFERROR(__xludf.DUMMYFUNCTION("""COMPUTED_VALUE"""),0.1590869028732593)</f>
        <v>0.1590869029</v>
      </c>
      <c r="H1069" s="5">
        <f>IFERROR(__xludf.DUMMYFUNCTION("""COMPUTED_VALUE"""),0.616741895773492)</f>
        <v>0.6167418958</v>
      </c>
      <c r="I1069" s="11">
        <f>IFERROR(__xludf.DUMMYFUNCTION("""COMPUTED_VALUE"""),5696.4710709889205)</f>
        <v>5696.471071</v>
      </c>
      <c r="J1069" s="10">
        <f>IFERROR(__xludf.DUMMYFUNCTION("""COMPUTED_VALUE"""),1.0)</f>
        <v>1</v>
      </c>
      <c r="K1069" s="5">
        <f>IFERROR(__xludf.DUMMYFUNCTION("""COMPUTED_VALUE"""),9.337068160597573E-4)</f>
        <v>0.0009337068161</v>
      </c>
      <c r="L1069" s="10">
        <f>IFERROR(__xludf.DUMMYFUNCTION("""COMPUTED_VALUE"""),1071.0)</f>
        <v>1071</v>
      </c>
      <c r="M1069" s="5">
        <f>IFERROR(__xludf.DUMMYFUNCTION("""COMPUTED_VALUE"""),1.0)</f>
        <v>1</v>
      </c>
    </row>
    <row r="1070">
      <c r="A1070" s="10" t="str">
        <f>IFERROR(__xludf.DUMMYFUNCTION("""COMPUTED_VALUE"""),"半オカルト")</f>
        <v>半オカルト</v>
      </c>
      <c r="B1070" s="10">
        <f>IFERROR(__xludf.DUMMYFUNCTION("""COMPUTED_VALUE"""),234.0)</f>
        <v>234</v>
      </c>
      <c r="C1070" s="10">
        <f>IFERROR(__xludf.DUMMYFUNCTION("""COMPUTED_VALUE"""),2765.0)</f>
        <v>2765</v>
      </c>
      <c r="D1070" s="5">
        <f>IFERROR(__xludf.DUMMYFUNCTION("""COMPUTED_VALUE"""),0.37455551165547213)</f>
        <v>0.3745555117</v>
      </c>
      <c r="E1070" s="5">
        <f>IFERROR(__xludf.DUMMYFUNCTION("""COMPUTED_VALUE"""),0.13986566574476492)</f>
        <v>0.1398656657</v>
      </c>
      <c r="F1070" s="5">
        <f>IFERROR(__xludf.DUMMYFUNCTION("""COMPUTED_VALUE"""),0.1999209798498617)</f>
        <v>0.1999209798</v>
      </c>
      <c r="G1070" s="5">
        <f>IFERROR(__xludf.DUMMYFUNCTION("""COMPUTED_VALUE"""),0.12643224022125643)</f>
        <v>0.1264322402</v>
      </c>
      <c r="H1070" s="5">
        <f>IFERROR(__xludf.DUMMYFUNCTION("""COMPUTED_VALUE"""),0.6324110671936759)</f>
        <v>0.6324110672</v>
      </c>
      <c r="I1070" s="11">
        <f>IFERROR(__xludf.DUMMYFUNCTION("""COMPUTED_VALUE"""),5456.719367588933)</f>
        <v>5456.719368</v>
      </c>
      <c r="J1070" s="10">
        <f>IFERROR(__xludf.DUMMYFUNCTION("""COMPUTED_VALUE"""),1.0)</f>
        <v>1</v>
      </c>
      <c r="K1070" s="5">
        <f>IFERROR(__xludf.DUMMYFUNCTION("""COMPUTED_VALUE"""),0.004273504273504274)</f>
        <v>0.004273504274</v>
      </c>
      <c r="L1070" s="10">
        <f>IFERROR(__xludf.DUMMYFUNCTION("""COMPUTED_VALUE"""),234.0)</f>
        <v>234</v>
      </c>
      <c r="M1070" s="5">
        <f>IFERROR(__xludf.DUMMYFUNCTION("""COMPUTED_VALUE"""),1.0)</f>
        <v>1</v>
      </c>
    </row>
    <row r="1071">
      <c r="A1071" s="10" t="str">
        <f>IFERROR(__xludf.DUMMYFUNCTION("""COMPUTED_VALUE"""),"saraba")</f>
        <v>saraba</v>
      </c>
      <c r="B1071" s="10">
        <f>IFERROR(__xludf.DUMMYFUNCTION("""COMPUTED_VALUE"""),1802.0)</f>
        <v>1802</v>
      </c>
      <c r="C1071" s="10">
        <f>IFERROR(__xludf.DUMMYFUNCTION("""COMPUTED_VALUE"""),21057.0)</f>
        <v>21057</v>
      </c>
      <c r="D1071" s="5">
        <f>IFERROR(__xludf.DUMMYFUNCTION("""COMPUTED_VALUE"""),0.36670994546870944)</f>
        <v>0.3667099455</v>
      </c>
      <c r="E1071" s="5">
        <f>IFERROR(__xludf.DUMMYFUNCTION("""COMPUTED_VALUE"""),0.13985977668138147)</f>
        <v>0.1398597767</v>
      </c>
      <c r="F1071" s="5">
        <f>IFERROR(__xludf.DUMMYFUNCTION("""COMPUTED_VALUE"""),0.2188003116073747)</f>
        <v>0.2188003116</v>
      </c>
      <c r="G1071" s="5">
        <f>IFERROR(__xludf.DUMMYFUNCTION("""COMPUTED_VALUE"""),0.18275772526616463)</f>
        <v>0.1827577253</v>
      </c>
      <c r="H1071" s="5">
        <f>IFERROR(__xludf.DUMMYFUNCTION("""COMPUTED_VALUE"""),0.6074056491811061)</f>
        <v>0.6074056492</v>
      </c>
      <c r="I1071" s="11">
        <f>IFERROR(__xludf.DUMMYFUNCTION("""COMPUTED_VALUE"""),5783.812010443864)</f>
        <v>5783.81201</v>
      </c>
      <c r="J1071" s="10">
        <f>IFERROR(__xludf.DUMMYFUNCTION("""COMPUTED_VALUE"""),5.0)</f>
        <v>5</v>
      </c>
      <c r="K1071" s="5">
        <f>IFERROR(__xludf.DUMMYFUNCTION("""COMPUTED_VALUE"""),0.002774694783573807)</f>
        <v>0.002774694784</v>
      </c>
      <c r="L1071" s="10">
        <f>IFERROR(__xludf.DUMMYFUNCTION("""COMPUTED_VALUE"""),1802.0)</f>
        <v>1802</v>
      </c>
      <c r="M1071" s="5">
        <f>IFERROR(__xludf.DUMMYFUNCTION("""COMPUTED_VALUE"""),1.0)</f>
        <v>1</v>
      </c>
    </row>
    <row r="1072">
      <c r="A1072" s="10" t="str">
        <f>IFERROR(__xludf.DUMMYFUNCTION("""COMPUTED_VALUE"""),"湘南ガチ勢")</f>
        <v>湘南ガチ勢</v>
      </c>
      <c r="B1072" s="10">
        <f>IFERROR(__xludf.DUMMYFUNCTION("""COMPUTED_VALUE"""),192.0)</f>
        <v>192</v>
      </c>
      <c r="C1072" s="10">
        <f>IFERROR(__xludf.DUMMYFUNCTION("""COMPUTED_VALUE"""),2287.0)</f>
        <v>2287</v>
      </c>
      <c r="D1072" s="5">
        <f>IFERROR(__xludf.DUMMYFUNCTION("""COMPUTED_VALUE"""),0.3107398568019093)</f>
        <v>0.3107398568</v>
      </c>
      <c r="E1072" s="5">
        <f>IFERROR(__xludf.DUMMYFUNCTION("""COMPUTED_VALUE"""),0.13985680190930788)</f>
        <v>0.1398568019</v>
      </c>
      <c r="F1072" s="5">
        <f>IFERROR(__xludf.DUMMYFUNCTION("""COMPUTED_VALUE"""),0.22052505966587113)</f>
        <v>0.2205250597</v>
      </c>
      <c r="G1072" s="5">
        <f>IFERROR(__xludf.DUMMYFUNCTION("""COMPUTED_VALUE"""),0.18377088305489261)</f>
        <v>0.1837708831</v>
      </c>
      <c r="H1072" s="5">
        <f>IFERROR(__xludf.DUMMYFUNCTION("""COMPUTED_VALUE"""),0.6125541125541125)</f>
        <v>0.6125541126</v>
      </c>
      <c r="I1072" s="11">
        <f>IFERROR(__xludf.DUMMYFUNCTION("""COMPUTED_VALUE"""),5130.735930735931)</f>
        <v>5130.735931</v>
      </c>
      <c r="J1072" s="10">
        <f>IFERROR(__xludf.DUMMYFUNCTION("""COMPUTED_VALUE"""),0.0)</f>
        <v>0</v>
      </c>
      <c r="K1072" s="5">
        <f>IFERROR(__xludf.DUMMYFUNCTION("""COMPUTED_VALUE"""),0.0)</f>
        <v>0</v>
      </c>
      <c r="L1072" s="10">
        <f>IFERROR(__xludf.DUMMYFUNCTION("""COMPUTED_VALUE"""),0.0)</f>
        <v>0</v>
      </c>
      <c r="M1072" s="5">
        <f>IFERROR(__xludf.DUMMYFUNCTION("""COMPUTED_VALUE"""),0.0)</f>
        <v>0</v>
      </c>
    </row>
    <row r="1073">
      <c r="A1073" s="10" t="str">
        <f>IFERROR(__xludf.DUMMYFUNCTION("""COMPUTED_VALUE"""),"hatu_")</f>
        <v>hatu_</v>
      </c>
      <c r="B1073" s="10">
        <f>IFERROR(__xludf.DUMMYFUNCTION("""COMPUTED_VALUE"""),114.0)</f>
        <v>114</v>
      </c>
      <c r="C1073" s="10">
        <f>IFERROR(__xludf.DUMMYFUNCTION("""COMPUTED_VALUE"""),1301.0)</f>
        <v>1301</v>
      </c>
      <c r="D1073" s="5">
        <f>IFERROR(__xludf.DUMMYFUNCTION("""COMPUTED_VALUE"""),0.35804549283909015)</f>
        <v>0.3580454928</v>
      </c>
      <c r="E1073" s="5">
        <f>IFERROR(__xludf.DUMMYFUNCTION("""COMPUTED_VALUE"""),0.13984835720303285)</f>
        <v>0.1398483572</v>
      </c>
      <c r="F1073" s="5">
        <f>IFERROR(__xludf.DUMMYFUNCTION("""COMPUTED_VALUE"""),0.2476832350463353)</f>
        <v>0.247683235</v>
      </c>
      <c r="G1073" s="5">
        <f>IFERROR(__xludf.DUMMYFUNCTION("""COMPUTED_VALUE"""),0.1996630160067397)</f>
        <v>0.199663016</v>
      </c>
      <c r="H1073" s="5">
        <f>IFERROR(__xludf.DUMMYFUNCTION("""COMPUTED_VALUE"""),0.6360544217687075)</f>
        <v>0.6360544218</v>
      </c>
      <c r="I1073" s="11">
        <f>IFERROR(__xludf.DUMMYFUNCTION("""COMPUTED_VALUE"""),5266.666666666667)</f>
        <v>5266.666667</v>
      </c>
      <c r="J1073" s="10">
        <f>IFERROR(__xludf.DUMMYFUNCTION("""COMPUTED_VALUE"""),0.0)</f>
        <v>0</v>
      </c>
      <c r="K1073" s="5">
        <f>IFERROR(__xludf.DUMMYFUNCTION("""COMPUTED_VALUE"""),0.0)</f>
        <v>0</v>
      </c>
      <c r="L1073" s="10">
        <f>IFERROR(__xludf.DUMMYFUNCTION("""COMPUTED_VALUE"""),114.0)</f>
        <v>114</v>
      </c>
      <c r="M1073" s="5">
        <f>IFERROR(__xludf.DUMMYFUNCTION("""COMPUTED_VALUE"""),1.0)</f>
        <v>1</v>
      </c>
    </row>
    <row r="1074">
      <c r="A1074" s="10" t="str">
        <f>IFERROR(__xludf.DUMMYFUNCTION("""COMPUTED_VALUE"""),"稜線行")</f>
        <v>稜線行</v>
      </c>
      <c r="B1074" s="10">
        <f>IFERROR(__xludf.DUMMYFUNCTION("""COMPUTED_VALUE"""),116.0)</f>
        <v>116</v>
      </c>
      <c r="C1074" s="10">
        <f>IFERROR(__xludf.DUMMYFUNCTION("""COMPUTED_VALUE"""),1396.0)</f>
        <v>1396</v>
      </c>
      <c r="D1074" s="5">
        <f>IFERROR(__xludf.DUMMYFUNCTION("""COMPUTED_VALUE"""),0.34921875)</f>
        <v>0.34921875</v>
      </c>
      <c r="E1074" s="5">
        <f>IFERROR(__xludf.DUMMYFUNCTION("""COMPUTED_VALUE"""),0.13984375)</f>
        <v>0.13984375</v>
      </c>
      <c r="F1074" s="5">
        <f>IFERROR(__xludf.DUMMYFUNCTION("""COMPUTED_VALUE"""),0.22265625)</f>
        <v>0.22265625</v>
      </c>
      <c r="G1074" s="5">
        <f>IFERROR(__xludf.DUMMYFUNCTION("""COMPUTED_VALUE"""),0.146875)</f>
        <v>0.146875</v>
      </c>
      <c r="H1074" s="5">
        <f>IFERROR(__xludf.DUMMYFUNCTION("""COMPUTED_VALUE"""),0.6140350877192983)</f>
        <v>0.6140350877</v>
      </c>
      <c r="I1074" s="11">
        <f>IFERROR(__xludf.DUMMYFUNCTION("""COMPUTED_VALUE"""),5495.789473684211)</f>
        <v>5495.789474</v>
      </c>
      <c r="J1074" s="10">
        <f>IFERROR(__xludf.DUMMYFUNCTION("""COMPUTED_VALUE"""),0.0)</f>
        <v>0</v>
      </c>
      <c r="K1074" s="5">
        <f>IFERROR(__xludf.DUMMYFUNCTION("""COMPUTED_VALUE"""),0.0)</f>
        <v>0</v>
      </c>
      <c r="L1074" s="10">
        <f>IFERROR(__xludf.DUMMYFUNCTION("""COMPUTED_VALUE"""),116.0)</f>
        <v>116</v>
      </c>
      <c r="M1074" s="5">
        <f>IFERROR(__xludf.DUMMYFUNCTION("""COMPUTED_VALUE"""),1.0)</f>
        <v>1</v>
      </c>
    </row>
    <row r="1075">
      <c r="A1075" s="10" t="str">
        <f>IFERROR(__xludf.DUMMYFUNCTION("""COMPUTED_VALUE"""),"GOGOペカッ")</f>
        <v>GOGOペカッ</v>
      </c>
      <c r="B1075" s="10">
        <f>IFERROR(__xludf.DUMMYFUNCTION("""COMPUTED_VALUE"""),703.0)</f>
        <v>703</v>
      </c>
      <c r="C1075" s="10">
        <f>IFERROR(__xludf.DUMMYFUNCTION("""COMPUTED_VALUE"""),8169.0)</f>
        <v>8169</v>
      </c>
      <c r="D1075" s="5">
        <f>IFERROR(__xludf.DUMMYFUNCTION("""COMPUTED_VALUE"""),0.31181355478167694)</f>
        <v>0.3118135548</v>
      </c>
      <c r="E1075" s="5">
        <f>IFERROR(__xludf.DUMMYFUNCTION("""COMPUTED_VALUE"""),0.13983391374229842)</f>
        <v>0.1398339137</v>
      </c>
      <c r="F1075" s="5">
        <f>IFERROR(__xludf.DUMMYFUNCTION("""COMPUTED_VALUE"""),0.19019555317439057)</f>
        <v>0.1901955532</v>
      </c>
      <c r="G1075" s="5">
        <f>IFERROR(__xludf.DUMMYFUNCTION("""COMPUTED_VALUE"""),0.15068309670506294)</f>
        <v>0.1506830967</v>
      </c>
      <c r="H1075" s="5">
        <f>IFERROR(__xludf.DUMMYFUNCTION("""COMPUTED_VALUE"""),0.6161971830985915)</f>
        <v>0.6161971831</v>
      </c>
      <c r="I1075" s="11">
        <f>IFERROR(__xludf.DUMMYFUNCTION("""COMPUTED_VALUE"""),6005.492957746479)</f>
        <v>6005.492958</v>
      </c>
      <c r="J1075" s="10">
        <f>IFERROR(__xludf.DUMMYFUNCTION("""COMPUTED_VALUE"""),4.0)</f>
        <v>4</v>
      </c>
      <c r="K1075" s="5">
        <f>IFERROR(__xludf.DUMMYFUNCTION("""COMPUTED_VALUE"""),0.005689900426742532)</f>
        <v>0.005689900427</v>
      </c>
      <c r="L1075" s="10">
        <f>IFERROR(__xludf.DUMMYFUNCTION("""COMPUTED_VALUE"""),703.0)</f>
        <v>703</v>
      </c>
      <c r="M1075" s="5">
        <f>IFERROR(__xludf.DUMMYFUNCTION("""COMPUTED_VALUE"""),1.0)</f>
        <v>1</v>
      </c>
    </row>
    <row r="1076">
      <c r="A1076" s="10" t="str">
        <f>IFERROR(__xludf.DUMMYFUNCTION("""COMPUTED_VALUE"""),"かとれあ♪")</f>
        <v>かとれあ♪</v>
      </c>
      <c r="B1076" s="10">
        <f>IFERROR(__xludf.DUMMYFUNCTION("""COMPUTED_VALUE"""),240.0)</f>
        <v>240</v>
      </c>
      <c r="C1076" s="10">
        <f>IFERROR(__xludf.DUMMYFUNCTION("""COMPUTED_VALUE"""),2779.0)</f>
        <v>2779</v>
      </c>
      <c r="D1076" s="5">
        <f>IFERROR(__xludf.DUMMYFUNCTION("""COMPUTED_VALUE"""),0.335959038991729)</f>
        <v>0.335959039</v>
      </c>
      <c r="E1076" s="5">
        <f>IFERROR(__xludf.DUMMYFUNCTION("""COMPUTED_VALUE"""),0.1398188263095707)</f>
        <v>0.1398188263</v>
      </c>
      <c r="F1076" s="5">
        <f>IFERROR(__xludf.DUMMYFUNCTION("""COMPUTED_VALUE"""),0.20953131153997637)</f>
        <v>0.2095313115</v>
      </c>
      <c r="G1076" s="5">
        <f>IFERROR(__xludf.DUMMYFUNCTION("""COMPUTED_VALUE"""),0.16069318629381646)</f>
        <v>0.1606931863</v>
      </c>
      <c r="H1076" s="5">
        <f>IFERROR(__xludf.DUMMYFUNCTION("""COMPUTED_VALUE"""),0.6146616541353384)</f>
        <v>0.6146616541</v>
      </c>
      <c r="I1076" s="11">
        <f>IFERROR(__xludf.DUMMYFUNCTION("""COMPUTED_VALUE"""),5444.360902255639)</f>
        <v>5444.360902</v>
      </c>
      <c r="J1076" s="10">
        <f>IFERROR(__xludf.DUMMYFUNCTION("""COMPUTED_VALUE"""),1.0)</f>
        <v>1</v>
      </c>
      <c r="K1076" s="5">
        <f>IFERROR(__xludf.DUMMYFUNCTION("""COMPUTED_VALUE"""),0.004166666666666667)</f>
        <v>0.004166666667</v>
      </c>
      <c r="L1076" s="10">
        <f>IFERROR(__xludf.DUMMYFUNCTION("""COMPUTED_VALUE"""),240.0)</f>
        <v>240</v>
      </c>
      <c r="M1076" s="5">
        <f>IFERROR(__xludf.DUMMYFUNCTION("""COMPUTED_VALUE"""),1.0)</f>
        <v>1</v>
      </c>
    </row>
    <row r="1077">
      <c r="A1077" s="10" t="str">
        <f>IFERROR(__xludf.DUMMYFUNCTION("""COMPUTED_VALUE"""),"山田のバナナ")</f>
        <v>山田のバナナ</v>
      </c>
      <c r="B1077" s="10">
        <f>IFERROR(__xludf.DUMMYFUNCTION("""COMPUTED_VALUE"""),754.0)</f>
        <v>754</v>
      </c>
      <c r="C1077" s="10">
        <f>IFERROR(__xludf.DUMMYFUNCTION("""COMPUTED_VALUE"""),8808.0)</f>
        <v>8808</v>
      </c>
      <c r="D1077" s="5">
        <f>IFERROR(__xludf.DUMMYFUNCTION("""COMPUTED_VALUE"""),0.38341196920784704)</f>
        <v>0.3834119692</v>
      </c>
      <c r="E1077" s="5">
        <f>IFERROR(__xludf.DUMMYFUNCTION("""COMPUTED_VALUE"""),0.13980630742488204)</f>
        <v>0.1398063074</v>
      </c>
      <c r="F1077" s="5">
        <f>IFERROR(__xludf.DUMMYFUNCTION("""COMPUTED_VALUE"""),0.216786689843556)</f>
        <v>0.2167866898</v>
      </c>
      <c r="G1077" s="5">
        <f>IFERROR(__xludf.DUMMYFUNCTION("""COMPUTED_VALUE"""),0.17779985100571144)</f>
        <v>0.177799851</v>
      </c>
      <c r="H1077" s="5">
        <f>IFERROR(__xludf.DUMMYFUNCTION("""COMPUTED_VALUE"""),0.6093928980526919)</f>
        <v>0.6093928981</v>
      </c>
      <c r="I1077" s="11">
        <f>IFERROR(__xludf.DUMMYFUNCTION("""COMPUTED_VALUE"""),5444.38717067583)</f>
        <v>5444.387171</v>
      </c>
      <c r="J1077" s="10">
        <f>IFERROR(__xludf.DUMMYFUNCTION("""COMPUTED_VALUE"""),0.0)</f>
        <v>0</v>
      </c>
      <c r="K1077" s="5">
        <f>IFERROR(__xludf.DUMMYFUNCTION("""COMPUTED_VALUE"""),0.0)</f>
        <v>0</v>
      </c>
      <c r="L1077" s="10">
        <f>IFERROR(__xludf.DUMMYFUNCTION("""COMPUTED_VALUE"""),754.0)</f>
        <v>754</v>
      </c>
      <c r="M1077" s="5">
        <f>IFERROR(__xludf.DUMMYFUNCTION("""COMPUTED_VALUE"""),1.0)</f>
        <v>1</v>
      </c>
    </row>
    <row r="1078">
      <c r="A1078" s="10" t="str">
        <f>IFERROR(__xludf.DUMMYFUNCTION("""COMPUTED_VALUE"""),"一郎.")</f>
        <v>一郎.</v>
      </c>
      <c r="B1078" s="10">
        <f>IFERROR(__xludf.DUMMYFUNCTION("""COMPUTED_VALUE"""),391.0)</f>
        <v>391</v>
      </c>
      <c r="C1078" s="10">
        <f>IFERROR(__xludf.DUMMYFUNCTION("""COMPUTED_VALUE"""),4547.0)</f>
        <v>4547</v>
      </c>
      <c r="D1078" s="5">
        <f>IFERROR(__xludf.DUMMYFUNCTION("""COMPUTED_VALUE"""),0.3717516843118383)</f>
        <v>0.3717516843</v>
      </c>
      <c r="E1078" s="5">
        <f>IFERROR(__xludf.DUMMYFUNCTION("""COMPUTED_VALUE"""),0.13979788257940326)</f>
        <v>0.1397978826</v>
      </c>
      <c r="F1078" s="5">
        <f>IFERROR(__xludf.DUMMYFUNCTION("""COMPUTED_VALUE"""),0.21390760346487006)</f>
        <v>0.2139076035</v>
      </c>
      <c r="G1078" s="5">
        <f>IFERROR(__xludf.DUMMYFUNCTION("""COMPUTED_VALUE"""),0.18214629451395573)</f>
        <v>0.1821462945</v>
      </c>
      <c r="H1078" s="5">
        <f>IFERROR(__xludf.DUMMYFUNCTION("""COMPUTED_VALUE"""),0.5860517435320585)</f>
        <v>0.5860517435</v>
      </c>
      <c r="I1078" s="11">
        <f>IFERROR(__xludf.DUMMYFUNCTION("""COMPUTED_VALUE"""),5545.669291338582)</f>
        <v>5545.669291</v>
      </c>
      <c r="J1078" s="10">
        <f>IFERROR(__xludf.DUMMYFUNCTION("""COMPUTED_VALUE"""),0.0)</f>
        <v>0</v>
      </c>
      <c r="K1078" s="5">
        <f>IFERROR(__xludf.DUMMYFUNCTION("""COMPUTED_VALUE"""),0.0)</f>
        <v>0</v>
      </c>
      <c r="L1078" s="10">
        <f>IFERROR(__xludf.DUMMYFUNCTION("""COMPUTED_VALUE"""),1.0)</f>
        <v>1</v>
      </c>
      <c r="M1078" s="5">
        <f>IFERROR(__xludf.DUMMYFUNCTION("""COMPUTED_VALUE"""),0.0025575447570332483)</f>
        <v>0.002557544757</v>
      </c>
    </row>
    <row r="1079">
      <c r="A1079" s="10" t="str">
        <f>IFERROR(__xludf.DUMMYFUNCTION("""COMPUTED_VALUE"""),"kershaw")</f>
        <v>kershaw</v>
      </c>
      <c r="B1079" s="10">
        <f>IFERROR(__xludf.DUMMYFUNCTION("""COMPUTED_VALUE"""),729.0)</f>
        <v>729</v>
      </c>
      <c r="C1079" s="10">
        <f>IFERROR(__xludf.DUMMYFUNCTION("""COMPUTED_VALUE"""),8505.0)</f>
        <v>8505</v>
      </c>
      <c r="D1079" s="5">
        <f>IFERROR(__xludf.DUMMYFUNCTION("""COMPUTED_VALUE"""),0.3809156378600823)</f>
        <v>0.3809156379</v>
      </c>
      <c r="E1079" s="5">
        <f>IFERROR(__xludf.DUMMYFUNCTION("""COMPUTED_VALUE"""),0.13978909465020575)</f>
        <v>0.1397890947</v>
      </c>
      <c r="F1079" s="5">
        <f>IFERROR(__xludf.DUMMYFUNCTION("""COMPUTED_VALUE"""),0.2109053497942387)</f>
        <v>0.2109053498</v>
      </c>
      <c r="G1079" s="5">
        <f>IFERROR(__xludf.DUMMYFUNCTION("""COMPUTED_VALUE"""),0.17258230452674897)</f>
        <v>0.1725823045</v>
      </c>
      <c r="H1079" s="5">
        <f>IFERROR(__xludf.DUMMYFUNCTION("""COMPUTED_VALUE"""),0.5951219512195122)</f>
        <v>0.5951219512</v>
      </c>
      <c r="I1079" s="11">
        <f>IFERROR(__xludf.DUMMYFUNCTION("""COMPUTED_VALUE"""),5599.512195121952)</f>
        <v>5599.512195</v>
      </c>
      <c r="J1079" s="10">
        <f>IFERROR(__xludf.DUMMYFUNCTION("""COMPUTED_VALUE"""),1.0)</f>
        <v>1</v>
      </c>
      <c r="K1079" s="5">
        <f>IFERROR(__xludf.DUMMYFUNCTION("""COMPUTED_VALUE"""),0.0013717421124828531)</f>
        <v>0.001371742112</v>
      </c>
      <c r="L1079" s="10">
        <f>IFERROR(__xludf.DUMMYFUNCTION("""COMPUTED_VALUE"""),729.0)</f>
        <v>729</v>
      </c>
      <c r="M1079" s="5">
        <f>IFERROR(__xludf.DUMMYFUNCTION("""COMPUTED_VALUE"""),1.0)</f>
        <v>1</v>
      </c>
    </row>
    <row r="1080">
      <c r="A1080" s="10" t="str">
        <f>IFERROR(__xludf.DUMMYFUNCTION("""COMPUTED_VALUE"""),"pechorin")</f>
        <v>pechorin</v>
      </c>
      <c r="B1080" s="10">
        <f>IFERROR(__xludf.DUMMYFUNCTION("""COMPUTED_VALUE"""),137.0)</f>
        <v>137</v>
      </c>
      <c r="C1080" s="10">
        <f>IFERROR(__xludf.DUMMYFUNCTION("""COMPUTED_VALUE"""),1575.0)</f>
        <v>1575</v>
      </c>
      <c r="D1080" s="5">
        <f>IFERROR(__xludf.DUMMYFUNCTION("""COMPUTED_VALUE"""),0.33657858136300417)</f>
        <v>0.3365785814</v>
      </c>
      <c r="E1080" s="5">
        <f>IFERROR(__xludf.DUMMYFUNCTION("""COMPUTED_VALUE"""),0.13977746870653684)</f>
        <v>0.1397774687</v>
      </c>
      <c r="F1080" s="5">
        <f>IFERROR(__xludf.DUMMYFUNCTION("""COMPUTED_VALUE"""),0.24756606397774686)</f>
        <v>0.247566064</v>
      </c>
      <c r="G1080" s="5">
        <f>IFERROR(__xludf.DUMMYFUNCTION("""COMPUTED_VALUE"""),0.20445062586926285)</f>
        <v>0.2044506259</v>
      </c>
      <c r="H1080" s="5">
        <f>IFERROR(__xludf.DUMMYFUNCTION("""COMPUTED_VALUE"""),0.5617977528089888)</f>
        <v>0.5617977528</v>
      </c>
      <c r="I1080" s="11">
        <f>IFERROR(__xludf.DUMMYFUNCTION("""COMPUTED_VALUE"""),5722.471910112359)</f>
        <v>5722.47191</v>
      </c>
      <c r="J1080" s="10">
        <f>IFERROR(__xludf.DUMMYFUNCTION("""COMPUTED_VALUE"""),0.0)</f>
        <v>0</v>
      </c>
      <c r="K1080" s="5">
        <f>IFERROR(__xludf.DUMMYFUNCTION("""COMPUTED_VALUE"""),0.0)</f>
        <v>0</v>
      </c>
      <c r="L1080" s="10">
        <f>IFERROR(__xludf.DUMMYFUNCTION("""COMPUTED_VALUE"""),137.0)</f>
        <v>137</v>
      </c>
      <c r="M1080" s="5">
        <f>IFERROR(__xludf.DUMMYFUNCTION("""COMPUTED_VALUE"""),1.0)</f>
        <v>1</v>
      </c>
    </row>
    <row r="1081">
      <c r="A1081" s="10" t="str">
        <f>IFERROR(__xludf.DUMMYFUNCTION("""COMPUTED_VALUE"""),"ガブリン")</f>
        <v>ガブリン</v>
      </c>
      <c r="B1081" s="10">
        <f>IFERROR(__xludf.DUMMYFUNCTION("""COMPUTED_VALUE"""),219.0)</f>
        <v>219</v>
      </c>
      <c r="C1081" s="10">
        <f>IFERROR(__xludf.DUMMYFUNCTION("""COMPUTED_VALUE"""),2630.0)</f>
        <v>2630</v>
      </c>
      <c r="D1081" s="5">
        <f>IFERROR(__xludf.DUMMYFUNCTION("""COMPUTED_VALUE"""),0.37080049771878887)</f>
        <v>0.3708004977</v>
      </c>
      <c r="E1081" s="5">
        <f>IFERROR(__xludf.DUMMYFUNCTION("""COMPUTED_VALUE"""),0.13977602654500207)</f>
        <v>0.1397760265</v>
      </c>
      <c r="F1081" s="5">
        <f>IFERROR(__xludf.DUMMYFUNCTION("""COMPUTED_VALUE"""),0.21153048527581916)</f>
        <v>0.2115304853</v>
      </c>
      <c r="G1081" s="5">
        <f>IFERROR(__xludf.DUMMYFUNCTION("""COMPUTED_VALUE"""),0.19120696806304438)</f>
        <v>0.1912069681</v>
      </c>
      <c r="H1081" s="5">
        <f>IFERROR(__xludf.DUMMYFUNCTION("""COMPUTED_VALUE"""),0.5882352941176471)</f>
        <v>0.5882352941</v>
      </c>
      <c r="I1081" s="11">
        <f>IFERROR(__xludf.DUMMYFUNCTION("""COMPUTED_VALUE"""),5614.313725490196)</f>
        <v>5614.313725</v>
      </c>
      <c r="J1081" s="10">
        <f>IFERROR(__xludf.DUMMYFUNCTION("""COMPUTED_VALUE"""),0.0)</f>
        <v>0</v>
      </c>
      <c r="K1081" s="5">
        <f>IFERROR(__xludf.DUMMYFUNCTION("""COMPUTED_VALUE"""),0.0)</f>
        <v>0</v>
      </c>
      <c r="L1081" s="10">
        <f>IFERROR(__xludf.DUMMYFUNCTION("""COMPUTED_VALUE"""),219.0)</f>
        <v>219</v>
      </c>
      <c r="M1081" s="5">
        <f>IFERROR(__xludf.DUMMYFUNCTION("""COMPUTED_VALUE"""),1.0)</f>
        <v>1</v>
      </c>
    </row>
    <row r="1082">
      <c r="A1082" s="10" t="str">
        <f>IFERROR(__xludf.DUMMYFUNCTION("""COMPUTED_VALUE"""),"愚地☆とっぽ")</f>
        <v>愚地☆とっぽ</v>
      </c>
      <c r="B1082" s="10">
        <f>IFERROR(__xludf.DUMMYFUNCTION("""COMPUTED_VALUE"""),738.0)</f>
        <v>738</v>
      </c>
      <c r="C1082" s="10">
        <f>IFERROR(__xludf.DUMMYFUNCTION("""COMPUTED_VALUE"""),8572.0)</f>
        <v>8572</v>
      </c>
      <c r="D1082" s="5">
        <f>IFERROR(__xludf.DUMMYFUNCTION("""COMPUTED_VALUE"""),0.35818228235894817)</f>
        <v>0.3581822824</v>
      </c>
      <c r="E1082" s="5">
        <f>IFERROR(__xludf.DUMMYFUNCTION("""COMPUTED_VALUE"""),0.13977533826908348)</f>
        <v>0.1397753383</v>
      </c>
      <c r="F1082" s="5">
        <f>IFERROR(__xludf.DUMMYFUNCTION("""COMPUTED_VALUE"""),0.2219811079908093)</f>
        <v>0.221981108</v>
      </c>
      <c r="G1082" s="5">
        <f>IFERROR(__xludf.DUMMYFUNCTION("""COMPUTED_VALUE"""),0.17334694919581312)</f>
        <v>0.1733469492</v>
      </c>
      <c r="H1082" s="5">
        <f>IFERROR(__xludf.DUMMYFUNCTION("""COMPUTED_VALUE"""),0.59401955146636)</f>
        <v>0.5940195515</v>
      </c>
      <c r="I1082" s="11">
        <f>IFERROR(__xludf.DUMMYFUNCTION("""COMPUTED_VALUE"""),5525.531914893617)</f>
        <v>5525.531915</v>
      </c>
      <c r="J1082" s="10">
        <f>IFERROR(__xludf.DUMMYFUNCTION("""COMPUTED_VALUE"""),0.0)</f>
        <v>0</v>
      </c>
      <c r="K1082" s="5">
        <f>IFERROR(__xludf.DUMMYFUNCTION("""COMPUTED_VALUE"""),0.0)</f>
        <v>0</v>
      </c>
      <c r="L1082" s="10">
        <f>IFERROR(__xludf.DUMMYFUNCTION("""COMPUTED_VALUE"""),738.0)</f>
        <v>738</v>
      </c>
      <c r="M1082" s="5">
        <f>IFERROR(__xludf.DUMMYFUNCTION("""COMPUTED_VALUE"""),1.0)</f>
        <v>1</v>
      </c>
    </row>
    <row r="1083">
      <c r="A1083" s="10" t="str">
        <f>IFERROR(__xludf.DUMMYFUNCTION("""COMPUTED_VALUE"""),"メスト・エジル")</f>
        <v>メスト・エジル</v>
      </c>
      <c r="B1083" s="10">
        <f>IFERROR(__xludf.DUMMYFUNCTION("""COMPUTED_VALUE"""),479.0)</f>
        <v>479</v>
      </c>
      <c r="C1083" s="10">
        <f>IFERROR(__xludf.DUMMYFUNCTION("""COMPUTED_VALUE"""),5552.0)</f>
        <v>5552</v>
      </c>
      <c r="D1083" s="5">
        <f>IFERROR(__xludf.DUMMYFUNCTION("""COMPUTED_VALUE"""),0.38379657007687756)</f>
        <v>0.3837965701</v>
      </c>
      <c r="E1083" s="5">
        <f>IFERROR(__xludf.DUMMYFUNCTION("""COMPUTED_VALUE"""),0.13975951113739404)</f>
        <v>0.1397595111</v>
      </c>
      <c r="F1083" s="5">
        <f>IFERROR(__xludf.DUMMYFUNCTION("""COMPUTED_VALUE"""),0.2136802680859452)</f>
        <v>0.2136802681</v>
      </c>
      <c r="G1083" s="5">
        <f>IFERROR(__xludf.DUMMYFUNCTION("""COMPUTED_VALUE"""),0.17228464419475656)</f>
        <v>0.1722846442</v>
      </c>
      <c r="H1083" s="5">
        <f>IFERROR(__xludf.DUMMYFUNCTION("""COMPUTED_VALUE"""),0.5977859778597786)</f>
        <v>0.5977859779</v>
      </c>
      <c r="I1083" s="11">
        <f>IFERROR(__xludf.DUMMYFUNCTION("""COMPUTED_VALUE"""),5323.708487084871)</f>
        <v>5323.708487</v>
      </c>
      <c r="J1083" s="10">
        <f>IFERROR(__xludf.DUMMYFUNCTION("""COMPUTED_VALUE"""),1.0)</f>
        <v>1</v>
      </c>
      <c r="K1083" s="5">
        <f>IFERROR(__xludf.DUMMYFUNCTION("""COMPUTED_VALUE"""),0.0020876826722338203)</f>
        <v>0.002087682672</v>
      </c>
      <c r="L1083" s="10">
        <f>IFERROR(__xludf.DUMMYFUNCTION("""COMPUTED_VALUE"""),479.0)</f>
        <v>479</v>
      </c>
      <c r="M1083" s="5">
        <f>IFERROR(__xludf.DUMMYFUNCTION("""COMPUTED_VALUE"""),1.0)</f>
        <v>1</v>
      </c>
    </row>
    <row r="1084">
      <c r="A1084" s="10" t="str">
        <f>IFERROR(__xludf.DUMMYFUNCTION("""COMPUTED_VALUE"""),"コープランド")</f>
        <v>コープランド</v>
      </c>
      <c r="B1084" s="10">
        <f>IFERROR(__xludf.DUMMYFUNCTION("""COMPUTED_VALUE"""),714.0)</f>
        <v>714</v>
      </c>
      <c r="C1084" s="10">
        <f>IFERROR(__xludf.DUMMYFUNCTION("""COMPUTED_VALUE"""),8213.0)</f>
        <v>8213</v>
      </c>
      <c r="D1084" s="5">
        <f>IFERROR(__xludf.DUMMYFUNCTION("""COMPUTED_VALUE"""),0.34191225496732897)</f>
        <v>0.341912255</v>
      </c>
      <c r="E1084" s="5">
        <f>IFERROR(__xludf.DUMMYFUNCTION("""COMPUTED_VALUE"""),0.13975196692892386)</f>
        <v>0.1397519669</v>
      </c>
      <c r="F1084" s="5">
        <f>IFERROR(__xludf.DUMMYFUNCTION("""COMPUTED_VALUE"""),0.21762901720229363)</f>
        <v>0.2176290172</v>
      </c>
      <c r="G1084" s="5">
        <f>IFERROR(__xludf.DUMMYFUNCTION("""COMPUTED_VALUE"""),0.1813575143352447)</f>
        <v>0.1813575143</v>
      </c>
      <c r="H1084" s="5">
        <f>IFERROR(__xludf.DUMMYFUNCTION("""COMPUTED_VALUE"""),0.5912990196078431)</f>
        <v>0.5912990196</v>
      </c>
      <c r="I1084" s="11">
        <f>IFERROR(__xludf.DUMMYFUNCTION("""COMPUTED_VALUE"""),5527.573529411765)</f>
        <v>5527.573529</v>
      </c>
      <c r="J1084" s="10">
        <f>IFERROR(__xludf.DUMMYFUNCTION("""COMPUTED_VALUE"""),2.0)</f>
        <v>2</v>
      </c>
      <c r="K1084" s="5">
        <f>IFERROR(__xludf.DUMMYFUNCTION("""COMPUTED_VALUE"""),0.0028011204481792717)</f>
        <v>0.002801120448</v>
      </c>
      <c r="L1084" s="10">
        <f>IFERROR(__xludf.DUMMYFUNCTION("""COMPUTED_VALUE"""),714.0)</f>
        <v>714</v>
      </c>
      <c r="M1084" s="5">
        <f>IFERROR(__xludf.DUMMYFUNCTION("""COMPUTED_VALUE"""),1.0)</f>
        <v>1</v>
      </c>
    </row>
    <row r="1085">
      <c r="A1085" s="10" t="str">
        <f>IFERROR(__xludf.DUMMYFUNCTION("""COMPUTED_VALUE"""),"fate4298")</f>
        <v>fate4298</v>
      </c>
      <c r="B1085" s="10">
        <f>IFERROR(__xludf.DUMMYFUNCTION("""COMPUTED_VALUE"""),212.0)</f>
        <v>212</v>
      </c>
      <c r="C1085" s="10">
        <f>IFERROR(__xludf.DUMMYFUNCTION("""COMPUTED_VALUE"""),2459.0)</f>
        <v>2459</v>
      </c>
      <c r="D1085" s="5">
        <f>IFERROR(__xludf.DUMMYFUNCTION("""COMPUTED_VALUE"""),0.3368936359590565)</f>
        <v>0.336893636</v>
      </c>
      <c r="E1085" s="5">
        <f>IFERROR(__xludf.DUMMYFUNCTION("""COMPUTED_VALUE"""),0.13974187805963506)</f>
        <v>0.1397418781</v>
      </c>
      <c r="F1085" s="5">
        <f>IFERROR(__xludf.DUMMYFUNCTION("""COMPUTED_VALUE"""),0.1909212283044059)</f>
        <v>0.1909212283</v>
      </c>
      <c r="G1085" s="5">
        <f>IFERROR(__xludf.DUMMYFUNCTION("""COMPUTED_VALUE"""),0.1838006230529595)</f>
        <v>0.1838006231</v>
      </c>
      <c r="H1085" s="5">
        <f>IFERROR(__xludf.DUMMYFUNCTION("""COMPUTED_VALUE"""),0.5687645687645687)</f>
        <v>0.5687645688</v>
      </c>
      <c r="I1085" s="11">
        <f>IFERROR(__xludf.DUMMYFUNCTION("""COMPUTED_VALUE"""),6388.344988344988)</f>
        <v>6388.344988</v>
      </c>
      <c r="J1085" s="10">
        <f>IFERROR(__xludf.DUMMYFUNCTION("""COMPUTED_VALUE"""),1.0)</f>
        <v>1</v>
      </c>
      <c r="K1085" s="5">
        <f>IFERROR(__xludf.DUMMYFUNCTION("""COMPUTED_VALUE"""),0.0047169811320754715)</f>
        <v>0.004716981132</v>
      </c>
      <c r="L1085" s="10">
        <f>IFERROR(__xludf.DUMMYFUNCTION("""COMPUTED_VALUE"""),212.0)</f>
        <v>212</v>
      </c>
      <c r="M1085" s="5">
        <f>IFERROR(__xludf.DUMMYFUNCTION("""COMPUTED_VALUE"""),1.0)</f>
        <v>1</v>
      </c>
    </row>
    <row r="1086">
      <c r="A1086" s="10" t="str">
        <f>IFERROR(__xludf.DUMMYFUNCTION("""COMPUTED_VALUE"""),"小田扉")</f>
        <v>小田扉</v>
      </c>
      <c r="B1086" s="10">
        <f>IFERROR(__xludf.DUMMYFUNCTION("""COMPUTED_VALUE"""),381.0)</f>
        <v>381</v>
      </c>
      <c r="C1086" s="10">
        <f>IFERROR(__xludf.DUMMYFUNCTION("""COMPUTED_VALUE"""),4425.0)</f>
        <v>4425</v>
      </c>
      <c r="D1086" s="5">
        <f>IFERROR(__xludf.DUMMYFUNCTION("""COMPUTED_VALUE"""),0.32171117705242336)</f>
        <v>0.3217111771</v>
      </c>
      <c r="E1086" s="5">
        <f>IFERROR(__xludf.DUMMYFUNCTION("""COMPUTED_VALUE"""),0.13971315529179032)</f>
        <v>0.1397131553</v>
      </c>
      <c r="F1086" s="5">
        <f>IFERROR(__xludf.DUMMYFUNCTION("""COMPUTED_VALUE"""),0.20870425321463898)</f>
        <v>0.2087042532</v>
      </c>
      <c r="G1086" s="5">
        <f>IFERROR(__xludf.DUMMYFUNCTION("""COMPUTED_VALUE"""),0.17334322453016815)</f>
        <v>0.1733432245</v>
      </c>
      <c r="H1086" s="5">
        <f>IFERROR(__xludf.DUMMYFUNCTION("""COMPUTED_VALUE"""),0.5971563981042654)</f>
        <v>0.5971563981</v>
      </c>
      <c r="I1086" s="11">
        <f>IFERROR(__xludf.DUMMYFUNCTION("""COMPUTED_VALUE"""),5986.4928909952605)</f>
        <v>5986.492891</v>
      </c>
      <c r="J1086" s="10">
        <f>IFERROR(__xludf.DUMMYFUNCTION("""COMPUTED_VALUE"""),1.0)</f>
        <v>1</v>
      </c>
      <c r="K1086" s="5">
        <f>IFERROR(__xludf.DUMMYFUNCTION("""COMPUTED_VALUE"""),0.0026246719160104987)</f>
        <v>0.002624671916</v>
      </c>
      <c r="L1086" s="10">
        <f>IFERROR(__xludf.DUMMYFUNCTION("""COMPUTED_VALUE"""),381.0)</f>
        <v>381</v>
      </c>
      <c r="M1086" s="5">
        <f>IFERROR(__xludf.DUMMYFUNCTION("""COMPUTED_VALUE"""),1.0)</f>
        <v>1</v>
      </c>
    </row>
    <row r="1087">
      <c r="A1087" s="10" t="str">
        <f>IFERROR(__xludf.DUMMYFUNCTION("""COMPUTED_VALUE"""),"hagiwara")</f>
        <v>hagiwara</v>
      </c>
      <c r="B1087" s="10">
        <f>IFERROR(__xludf.DUMMYFUNCTION("""COMPUTED_VALUE"""),153.0)</f>
        <v>153</v>
      </c>
      <c r="C1087" s="10">
        <f>IFERROR(__xludf.DUMMYFUNCTION("""COMPUTED_VALUE"""),1785.0)</f>
        <v>1785</v>
      </c>
      <c r="D1087" s="5">
        <f>IFERROR(__xludf.DUMMYFUNCTION("""COMPUTED_VALUE"""),0.30453431372549017)</f>
        <v>0.3045343137</v>
      </c>
      <c r="E1087" s="5">
        <f>IFERROR(__xludf.DUMMYFUNCTION("""COMPUTED_VALUE"""),0.13970588235294118)</f>
        <v>0.1397058824</v>
      </c>
      <c r="F1087" s="5">
        <f>IFERROR(__xludf.DUMMYFUNCTION("""COMPUTED_VALUE"""),0.19975490196078433)</f>
        <v>0.199754902</v>
      </c>
      <c r="G1087" s="5">
        <f>IFERROR(__xludf.DUMMYFUNCTION("""COMPUTED_VALUE"""),0.17769607843137256)</f>
        <v>0.1776960784</v>
      </c>
      <c r="H1087" s="5">
        <f>IFERROR(__xludf.DUMMYFUNCTION("""COMPUTED_VALUE"""),0.5858895705521472)</f>
        <v>0.5858895706</v>
      </c>
      <c r="I1087" s="11">
        <f>IFERROR(__xludf.DUMMYFUNCTION("""COMPUTED_VALUE"""),5947.546012269939)</f>
        <v>5947.546012</v>
      </c>
      <c r="J1087" s="10">
        <f>IFERROR(__xludf.DUMMYFUNCTION("""COMPUTED_VALUE"""),0.0)</f>
        <v>0</v>
      </c>
      <c r="K1087" s="5">
        <f>IFERROR(__xludf.DUMMYFUNCTION("""COMPUTED_VALUE"""),0.0)</f>
        <v>0</v>
      </c>
      <c r="L1087" s="10">
        <f>IFERROR(__xludf.DUMMYFUNCTION("""COMPUTED_VALUE"""),153.0)</f>
        <v>153</v>
      </c>
      <c r="M1087" s="5">
        <f>IFERROR(__xludf.DUMMYFUNCTION("""COMPUTED_VALUE"""),1.0)</f>
        <v>1</v>
      </c>
    </row>
    <row r="1088">
      <c r="A1088" s="10" t="str">
        <f>IFERROR(__xludf.DUMMYFUNCTION("""COMPUTED_VALUE"""),"spicy")</f>
        <v>spicy</v>
      </c>
      <c r="B1088" s="10">
        <f>IFERROR(__xludf.DUMMYFUNCTION("""COMPUTED_VALUE"""),243.0)</f>
        <v>243</v>
      </c>
      <c r="C1088" s="10">
        <f>IFERROR(__xludf.DUMMYFUNCTION("""COMPUTED_VALUE"""),2820.0)</f>
        <v>2820</v>
      </c>
      <c r="D1088" s="5">
        <f>IFERROR(__xludf.DUMMYFUNCTION("""COMPUTED_VALUE"""),0.32518432285603416)</f>
        <v>0.3251843229</v>
      </c>
      <c r="E1088" s="5">
        <f>IFERROR(__xludf.DUMMYFUNCTION("""COMPUTED_VALUE"""),0.13969732246798602)</f>
        <v>0.1396973225</v>
      </c>
      <c r="F1088" s="5">
        <f>IFERROR(__xludf.DUMMYFUNCTION("""COMPUTED_VALUE"""),0.20100892510671323)</f>
        <v>0.2010089251</v>
      </c>
      <c r="G1088" s="5">
        <f>IFERROR(__xludf.DUMMYFUNCTION("""COMPUTED_VALUE"""),0.1781140861466822)</f>
        <v>0.1781140861</v>
      </c>
      <c r="H1088" s="5">
        <f>IFERROR(__xludf.DUMMYFUNCTION("""COMPUTED_VALUE"""),0.5501930501930502)</f>
        <v>0.5501930502</v>
      </c>
      <c r="I1088" s="11">
        <f>IFERROR(__xludf.DUMMYFUNCTION("""COMPUTED_VALUE"""),5720.46332046332)</f>
        <v>5720.46332</v>
      </c>
      <c r="J1088" s="10">
        <f>IFERROR(__xludf.DUMMYFUNCTION("""COMPUTED_VALUE"""),0.0)</f>
        <v>0</v>
      </c>
      <c r="K1088" s="5">
        <f>IFERROR(__xludf.DUMMYFUNCTION("""COMPUTED_VALUE"""),0.0)</f>
        <v>0</v>
      </c>
      <c r="L1088" s="10">
        <f>IFERROR(__xludf.DUMMYFUNCTION("""COMPUTED_VALUE"""),241.0)</f>
        <v>241</v>
      </c>
      <c r="M1088" s="5">
        <f>IFERROR(__xludf.DUMMYFUNCTION("""COMPUTED_VALUE"""),0.9917695473251029)</f>
        <v>0.9917695473</v>
      </c>
    </row>
    <row r="1089">
      <c r="A1089" s="10" t="str">
        <f>IFERROR(__xludf.DUMMYFUNCTION("""COMPUTED_VALUE"""),"アクスケ")</f>
        <v>アクスケ</v>
      </c>
      <c r="B1089" s="10">
        <f>IFERROR(__xludf.DUMMYFUNCTION("""COMPUTED_VALUE"""),336.0)</f>
        <v>336</v>
      </c>
      <c r="C1089" s="10">
        <f>IFERROR(__xludf.DUMMYFUNCTION("""COMPUTED_VALUE"""),3994.0)</f>
        <v>3994</v>
      </c>
      <c r="D1089" s="5">
        <f>IFERROR(__xludf.DUMMYFUNCTION("""COMPUTED_VALUE"""),0.30043739748496445)</f>
        <v>0.3004373975</v>
      </c>
      <c r="E1089" s="5">
        <f>IFERROR(__xludf.DUMMYFUNCTION("""COMPUTED_VALUE"""),0.1396938217605249)</f>
        <v>0.1396938218</v>
      </c>
      <c r="F1089" s="5">
        <f>IFERROR(__xludf.DUMMYFUNCTION("""COMPUTED_VALUE"""),0.20885729907053036)</f>
        <v>0.2088572991</v>
      </c>
      <c r="G1089" s="5">
        <f>IFERROR(__xludf.DUMMYFUNCTION("""COMPUTED_VALUE"""),0.18944778567523238)</f>
        <v>0.1894477857</v>
      </c>
      <c r="H1089" s="5">
        <f>IFERROR(__xludf.DUMMYFUNCTION("""COMPUTED_VALUE"""),0.5785340314136126)</f>
        <v>0.5785340314</v>
      </c>
      <c r="I1089" s="11">
        <f>IFERROR(__xludf.DUMMYFUNCTION("""COMPUTED_VALUE"""),5668.717277486911)</f>
        <v>5668.717277</v>
      </c>
      <c r="J1089" s="10">
        <f>IFERROR(__xludf.DUMMYFUNCTION("""COMPUTED_VALUE"""),0.0)</f>
        <v>0</v>
      </c>
      <c r="K1089" s="5">
        <f>IFERROR(__xludf.DUMMYFUNCTION("""COMPUTED_VALUE"""),0.0)</f>
        <v>0</v>
      </c>
      <c r="L1089" s="10">
        <f>IFERROR(__xludf.DUMMYFUNCTION("""COMPUTED_VALUE"""),336.0)</f>
        <v>336</v>
      </c>
      <c r="M1089" s="5">
        <f>IFERROR(__xludf.DUMMYFUNCTION("""COMPUTED_VALUE"""),1.0)</f>
        <v>1</v>
      </c>
    </row>
    <row r="1090">
      <c r="A1090" s="10" t="str">
        <f>IFERROR(__xludf.DUMMYFUNCTION("""COMPUTED_VALUE"""),"roco")</f>
        <v>roco</v>
      </c>
      <c r="B1090" s="10">
        <f>IFERROR(__xludf.DUMMYFUNCTION("""COMPUTED_VALUE"""),194.0)</f>
        <v>194</v>
      </c>
      <c r="C1090" s="10">
        <f>IFERROR(__xludf.DUMMYFUNCTION("""COMPUTED_VALUE"""),2313.0)</f>
        <v>2313</v>
      </c>
      <c r="D1090" s="5">
        <f>IFERROR(__xludf.DUMMYFUNCTION("""COMPUTED_VALUE"""),0.3704577630957999)</f>
        <v>0.3704577631</v>
      </c>
      <c r="E1090" s="5">
        <f>IFERROR(__xludf.DUMMYFUNCTION("""COMPUTED_VALUE"""),0.13968853232656914)</f>
        <v>0.1396885323</v>
      </c>
      <c r="F1090" s="5">
        <f>IFERROR(__xludf.DUMMYFUNCTION("""COMPUTED_VALUE"""),0.19395941481831053)</f>
        <v>0.1939594148</v>
      </c>
      <c r="G1090" s="5">
        <f>IFERROR(__xludf.DUMMYFUNCTION("""COMPUTED_VALUE"""),0.16328456819254367)</f>
        <v>0.1632845682</v>
      </c>
      <c r="H1090" s="5">
        <f>IFERROR(__xludf.DUMMYFUNCTION("""COMPUTED_VALUE"""),0.635036496350365)</f>
        <v>0.6350364964</v>
      </c>
      <c r="I1090" s="11">
        <f>IFERROR(__xludf.DUMMYFUNCTION("""COMPUTED_VALUE"""),5414.598540145986)</f>
        <v>5414.59854</v>
      </c>
      <c r="J1090" s="10">
        <f>IFERROR(__xludf.DUMMYFUNCTION("""COMPUTED_VALUE"""),0.0)</f>
        <v>0</v>
      </c>
      <c r="K1090" s="5">
        <f>IFERROR(__xludf.DUMMYFUNCTION("""COMPUTED_VALUE"""),0.0)</f>
        <v>0</v>
      </c>
      <c r="L1090" s="10">
        <f>IFERROR(__xludf.DUMMYFUNCTION("""COMPUTED_VALUE"""),194.0)</f>
        <v>194</v>
      </c>
      <c r="M1090" s="5">
        <f>IFERROR(__xludf.DUMMYFUNCTION("""COMPUTED_VALUE"""),1.0)</f>
        <v>1</v>
      </c>
    </row>
    <row r="1091">
      <c r="A1091" s="10" t="str">
        <f>IFERROR(__xludf.DUMMYFUNCTION("""COMPUTED_VALUE"""),"Ａポケ")</f>
        <v>Ａポケ</v>
      </c>
      <c r="B1091" s="10">
        <f>IFERROR(__xludf.DUMMYFUNCTION("""COMPUTED_VALUE"""),343.0)</f>
        <v>343</v>
      </c>
      <c r="C1091" s="10">
        <f>IFERROR(__xludf.DUMMYFUNCTION("""COMPUTED_VALUE"""),4080.0)</f>
        <v>4080</v>
      </c>
      <c r="D1091" s="5">
        <f>IFERROR(__xludf.DUMMYFUNCTION("""COMPUTED_VALUE"""),0.37864597270537864)</f>
        <v>0.3786459727</v>
      </c>
      <c r="E1091" s="5">
        <f>IFERROR(__xludf.DUMMYFUNCTION("""COMPUTED_VALUE"""),0.13968423869413968)</f>
        <v>0.1396842387</v>
      </c>
      <c r="F1091" s="5">
        <f>IFERROR(__xludf.DUMMYFUNCTION("""COMPUTED_VALUE"""),0.20149852823120148)</f>
        <v>0.2014985282</v>
      </c>
      <c r="G1091" s="5">
        <f>IFERROR(__xludf.DUMMYFUNCTION("""COMPUTED_VALUE"""),0.18544286861118545)</f>
        <v>0.1854428686</v>
      </c>
      <c r="H1091" s="5">
        <f>IFERROR(__xludf.DUMMYFUNCTION("""COMPUTED_VALUE"""),0.5723771580345286)</f>
        <v>0.572377158</v>
      </c>
      <c r="I1091" s="11">
        <f>IFERROR(__xludf.DUMMYFUNCTION("""COMPUTED_VALUE"""),5998.937583001328)</f>
        <v>5998.937583</v>
      </c>
      <c r="J1091" s="10">
        <f>IFERROR(__xludf.DUMMYFUNCTION("""COMPUTED_VALUE"""),2.0)</f>
        <v>2</v>
      </c>
      <c r="K1091" s="5">
        <f>IFERROR(__xludf.DUMMYFUNCTION("""COMPUTED_VALUE"""),0.0058309037900874635)</f>
        <v>0.00583090379</v>
      </c>
      <c r="L1091" s="10">
        <f>IFERROR(__xludf.DUMMYFUNCTION("""COMPUTED_VALUE"""),343.0)</f>
        <v>343</v>
      </c>
      <c r="M1091" s="5">
        <f>IFERROR(__xludf.DUMMYFUNCTION("""COMPUTED_VALUE"""),1.0)</f>
        <v>1</v>
      </c>
    </row>
    <row r="1092">
      <c r="A1092" s="10" t="str">
        <f>IFERROR(__xludf.DUMMYFUNCTION("""COMPUTED_VALUE"""),"麻子打ちます")</f>
        <v>麻子打ちます</v>
      </c>
      <c r="B1092" s="10">
        <f>IFERROR(__xludf.DUMMYFUNCTION("""COMPUTED_VALUE"""),455.0)</f>
        <v>455</v>
      </c>
      <c r="C1092" s="10">
        <f>IFERROR(__xludf.DUMMYFUNCTION("""COMPUTED_VALUE"""),5316.0)</f>
        <v>5316</v>
      </c>
      <c r="D1092" s="5">
        <f>IFERROR(__xludf.DUMMYFUNCTION("""COMPUTED_VALUE"""),0.3414935198518823)</f>
        <v>0.3414935199</v>
      </c>
      <c r="E1092" s="5">
        <f>IFERROR(__xludf.DUMMYFUNCTION("""COMPUTED_VALUE"""),0.13968319275869162)</f>
        <v>0.1396831928</v>
      </c>
      <c r="F1092" s="5">
        <f>IFERROR(__xludf.DUMMYFUNCTION("""COMPUTED_VALUE"""),0.2332853322361654)</f>
        <v>0.2332853322</v>
      </c>
      <c r="G1092" s="5">
        <f>IFERROR(__xludf.DUMMYFUNCTION("""COMPUTED_VALUE"""),0.20674758280189262)</f>
        <v>0.2067475828</v>
      </c>
      <c r="H1092" s="5">
        <f>IFERROR(__xludf.DUMMYFUNCTION("""COMPUTED_VALUE"""),0.572310405643739)</f>
        <v>0.5723104056</v>
      </c>
      <c r="I1092" s="11">
        <f>IFERROR(__xludf.DUMMYFUNCTION("""COMPUTED_VALUE"""),5770.37037037037)</f>
        <v>5770.37037</v>
      </c>
      <c r="J1092" s="10">
        <f>IFERROR(__xludf.DUMMYFUNCTION("""COMPUTED_VALUE"""),0.0)</f>
        <v>0</v>
      </c>
      <c r="K1092" s="5">
        <f>IFERROR(__xludf.DUMMYFUNCTION("""COMPUTED_VALUE"""),0.0)</f>
        <v>0</v>
      </c>
      <c r="L1092" s="10">
        <f>IFERROR(__xludf.DUMMYFUNCTION("""COMPUTED_VALUE"""),455.0)</f>
        <v>455</v>
      </c>
      <c r="M1092" s="5">
        <f>IFERROR(__xludf.DUMMYFUNCTION("""COMPUTED_VALUE"""),1.0)</f>
        <v>1</v>
      </c>
    </row>
    <row r="1093">
      <c r="A1093" s="10" t="str">
        <f>IFERROR(__xludf.DUMMYFUNCTION("""COMPUTED_VALUE"""),"パックスツモ")</f>
        <v>パックスツモ</v>
      </c>
      <c r="B1093" s="10">
        <f>IFERROR(__xludf.DUMMYFUNCTION("""COMPUTED_VALUE"""),271.0)</f>
        <v>271</v>
      </c>
      <c r="C1093" s="10">
        <f>IFERROR(__xludf.DUMMYFUNCTION("""COMPUTED_VALUE"""),3149.0)</f>
        <v>3149</v>
      </c>
      <c r="D1093" s="5">
        <f>IFERROR(__xludf.DUMMYFUNCTION("""COMPUTED_VALUE"""),0.3234885337039611)</f>
        <v>0.3234885337</v>
      </c>
      <c r="E1093" s="5">
        <f>IFERROR(__xludf.DUMMYFUNCTION("""COMPUTED_VALUE"""),0.13968033356497567)</f>
        <v>0.1396803336</v>
      </c>
      <c r="F1093" s="5">
        <f>IFERROR(__xludf.DUMMYFUNCTION("""COMPUTED_VALUE"""),0.1834607366226546)</f>
        <v>0.1834607366</v>
      </c>
      <c r="G1093" s="5">
        <f>IFERROR(__xludf.DUMMYFUNCTION("""COMPUTED_VALUE"""),0.17129951355107714)</f>
        <v>0.1712995136</v>
      </c>
      <c r="H1093" s="5">
        <f>IFERROR(__xludf.DUMMYFUNCTION("""COMPUTED_VALUE"""),0.5833333333333334)</f>
        <v>0.5833333333</v>
      </c>
      <c r="I1093" s="11">
        <f>IFERROR(__xludf.DUMMYFUNCTION("""COMPUTED_VALUE"""),6438.257575757576)</f>
        <v>6438.257576</v>
      </c>
      <c r="J1093" s="10">
        <f>IFERROR(__xludf.DUMMYFUNCTION("""COMPUTED_VALUE"""),0.0)</f>
        <v>0</v>
      </c>
      <c r="K1093" s="5">
        <f>IFERROR(__xludf.DUMMYFUNCTION("""COMPUTED_VALUE"""),0.0)</f>
        <v>0</v>
      </c>
      <c r="L1093" s="10">
        <f>IFERROR(__xludf.DUMMYFUNCTION("""COMPUTED_VALUE"""),271.0)</f>
        <v>271</v>
      </c>
      <c r="M1093" s="5">
        <f>IFERROR(__xludf.DUMMYFUNCTION("""COMPUTED_VALUE"""),1.0)</f>
        <v>1</v>
      </c>
    </row>
    <row r="1094">
      <c r="A1094" s="10" t="str">
        <f>IFERROR(__xludf.DUMMYFUNCTION("""COMPUTED_VALUE"""),"池爽児")</f>
        <v>池爽児</v>
      </c>
      <c r="B1094" s="10">
        <f>IFERROR(__xludf.DUMMYFUNCTION("""COMPUTED_VALUE"""),279.0)</f>
        <v>279</v>
      </c>
      <c r="C1094" s="10">
        <f>IFERROR(__xludf.DUMMYFUNCTION("""COMPUTED_VALUE"""),3279.0)</f>
        <v>3279</v>
      </c>
      <c r="D1094" s="5">
        <f>IFERROR(__xludf.DUMMYFUNCTION("""COMPUTED_VALUE"""),0.3446666666666667)</f>
        <v>0.3446666667</v>
      </c>
      <c r="E1094" s="5">
        <f>IFERROR(__xludf.DUMMYFUNCTION("""COMPUTED_VALUE"""),0.13966666666666666)</f>
        <v>0.1396666667</v>
      </c>
      <c r="F1094" s="5">
        <f>IFERROR(__xludf.DUMMYFUNCTION("""COMPUTED_VALUE"""),0.21366666666666667)</f>
        <v>0.2136666667</v>
      </c>
      <c r="G1094" s="5">
        <f>IFERROR(__xludf.DUMMYFUNCTION("""COMPUTED_VALUE"""),0.18)</f>
        <v>0.18</v>
      </c>
      <c r="H1094" s="5">
        <f>IFERROR(__xludf.DUMMYFUNCTION("""COMPUTED_VALUE"""),0.5725429017160687)</f>
        <v>0.5725429017</v>
      </c>
      <c r="I1094" s="11">
        <f>IFERROR(__xludf.DUMMYFUNCTION("""COMPUTED_VALUE"""),5850.702028081123)</f>
        <v>5850.702028</v>
      </c>
      <c r="J1094" s="10">
        <f>IFERROR(__xludf.DUMMYFUNCTION("""COMPUTED_VALUE"""),2.0)</f>
        <v>2</v>
      </c>
      <c r="K1094" s="5">
        <f>IFERROR(__xludf.DUMMYFUNCTION("""COMPUTED_VALUE"""),0.007168458781362007)</f>
        <v>0.007168458781</v>
      </c>
      <c r="L1094" s="10">
        <f>IFERROR(__xludf.DUMMYFUNCTION("""COMPUTED_VALUE"""),274.0)</f>
        <v>274</v>
      </c>
      <c r="M1094" s="5">
        <f>IFERROR(__xludf.DUMMYFUNCTION("""COMPUTED_VALUE"""),0.982078853046595)</f>
        <v>0.982078853</v>
      </c>
    </row>
    <row r="1095">
      <c r="A1095" s="10" t="str">
        <f>IFERROR(__xludf.DUMMYFUNCTION("""COMPUTED_VALUE"""),"つー！")</f>
        <v>つー！</v>
      </c>
      <c r="B1095" s="10">
        <f>IFERROR(__xludf.DUMMYFUNCTION("""COMPUTED_VALUE"""),219.0)</f>
        <v>219</v>
      </c>
      <c r="C1095" s="10">
        <f>IFERROR(__xludf.DUMMYFUNCTION("""COMPUTED_VALUE"""),2532.0)</f>
        <v>2532</v>
      </c>
      <c r="D1095" s="5">
        <f>IFERROR(__xludf.DUMMYFUNCTION("""COMPUTED_VALUE"""),0.353220925205361)</f>
        <v>0.3532209252</v>
      </c>
      <c r="E1095" s="5">
        <f>IFERROR(__xludf.DUMMYFUNCTION("""COMPUTED_VALUE"""),0.13964548205793342)</f>
        <v>0.1396454821</v>
      </c>
      <c r="F1095" s="5">
        <f>IFERROR(__xludf.DUMMYFUNCTION("""COMPUTED_VALUE"""),0.20795503674881108)</f>
        <v>0.2079550367</v>
      </c>
      <c r="G1095" s="5">
        <f>IFERROR(__xludf.DUMMYFUNCTION("""COMPUTED_VALUE"""),0.16472114137483787)</f>
        <v>0.1647211414</v>
      </c>
      <c r="H1095" s="5">
        <f>IFERROR(__xludf.DUMMYFUNCTION("""COMPUTED_VALUE"""),0.5717255717255717)</f>
        <v>0.5717255717</v>
      </c>
      <c r="I1095" s="11">
        <f>IFERROR(__xludf.DUMMYFUNCTION("""COMPUTED_VALUE"""),5352.390852390852)</f>
        <v>5352.390852</v>
      </c>
      <c r="J1095" s="10">
        <f>IFERROR(__xludf.DUMMYFUNCTION("""COMPUTED_VALUE"""),0.0)</f>
        <v>0</v>
      </c>
      <c r="K1095" s="5">
        <f>IFERROR(__xludf.DUMMYFUNCTION("""COMPUTED_VALUE"""),0.0)</f>
        <v>0</v>
      </c>
      <c r="L1095" s="10">
        <f>IFERROR(__xludf.DUMMYFUNCTION("""COMPUTED_VALUE"""),219.0)</f>
        <v>219</v>
      </c>
      <c r="M1095" s="5">
        <f>IFERROR(__xludf.DUMMYFUNCTION("""COMPUTED_VALUE"""),1.0)</f>
        <v>1</v>
      </c>
    </row>
    <row r="1096">
      <c r="A1096" s="10" t="str">
        <f>IFERROR(__xludf.DUMMYFUNCTION("""COMPUTED_VALUE"""),"ジュタ2")</f>
        <v>ジュタ2</v>
      </c>
      <c r="B1096" s="10">
        <f>IFERROR(__xludf.DUMMYFUNCTION("""COMPUTED_VALUE"""),100.0)</f>
        <v>100</v>
      </c>
      <c r="C1096" s="10">
        <f>IFERROR(__xludf.DUMMYFUNCTION("""COMPUTED_VALUE"""),1210.0)</f>
        <v>1210</v>
      </c>
      <c r="D1096" s="5">
        <f>IFERROR(__xludf.DUMMYFUNCTION("""COMPUTED_VALUE"""),0.3387387387387387)</f>
        <v>0.3387387387</v>
      </c>
      <c r="E1096" s="5">
        <f>IFERROR(__xludf.DUMMYFUNCTION("""COMPUTED_VALUE"""),0.13963963963963963)</f>
        <v>0.1396396396</v>
      </c>
      <c r="F1096" s="5">
        <f>IFERROR(__xludf.DUMMYFUNCTION("""COMPUTED_VALUE"""),0.18828828828828828)</f>
        <v>0.1882882883</v>
      </c>
      <c r="G1096" s="5">
        <f>IFERROR(__xludf.DUMMYFUNCTION("""COMPUTED_VALUE"""),0.15675675675675677)</f>
        <v>0.1567567568</v>
      </c>
      <c r="H1096" s="5">
        <f>IFERROR(__xludf.DUMMYFUNCTION("""COMPUTED_VALUE"""),0.6267942583732058)</f>
        <v>0.6267942584</v>
      </c>
      <c r="I1096" s="11">
        <f>IFERROR(__xludf.DUMMYFUNCTION("""COMPUTED_VALUE"""),5337.32057416268)</f>
        <v>5337.320574</v>
      </c>
      <c r="J1096" s="10">
        <f>IFERROR(__xludf.DUMMYFUNCTION("""COMPUTED_VALUE"""),0.0)</f>
        <v>0</v>
      </c>
      <c r="K1096" s="5">
        <f>IFERROR(__xludf.DUMMYFUNCTION("""COMPUTED_VALUE"""),0.0)</f>
        <v>0</v>
      </c>
      <c r="L1096" s="10">
        <f>IFERROR(__xludf.DUMMYFUNCTION("""COMPUTED_VALUE"""),100.0)</f>
        <v>100</v>
      </c>
      <c r="M1096" s="5">
        <f>IFERROR(__xludf.DUMMYFUNCTION("""COMPUTED_VALUE"""),1.0)</f>
        <v>1</v>
      </c>
    </row>
    <row r="1097">
      <c r="A1097" s="10" t="str">
        <f>IFERROR(__xludf.DUMMYFUNCTION("""COMPUTED_VALUE"""),"りょーち20XX")</f>
        <v>りょーち20XX</v>
      </c>
      <c r="B1097" s="10">
        <f>IFERROR(__xludf.DUMMYFUNCTION("""COMPUTED_VALUE"""),740.0)</f>
        <v>740</v>
      </c>
      <c r="C1097" s="10">
        <f>IFERROR(__xludf.DUMMYFUNCTION("""COMPUTED_VALUE"""),8704.0)</f>
        <v>8704</v>
      </c>
      <c r="D1097" s="5">
        <f>IFERROR(__xludf.DUMMYFUNCTION("""COMPUTED_VALUE"""),0.40971873430436967)</f>
        <v>0.4097187343</v>
      </c>
      <c r="E1097" s="5">
        <f>IFERROR(__xludf.DUMMYFUNCTION("""COMPUTED_VALUE"""),0.13962832747363135)</f>
        <v>0.1396283275</v>
      </c>
      <c r="F1097" s="5">
        <f>IFERROR(__xludf.DUMMYFUNCTION("""COMPUTED_VALUE"""),0.22551481667503767)</f>
        <v>0.2255148167</v>
      </c>
      <c r="G1097" s="5">
        <f>IFERROR(__xludf.DUMMYFUNCTION("""COMPUTED_VALUE"""),0.16411351079859368)</f>
        <v>0.1641135108</v>
      </c>
      <c r="H1097" s="5">
        <f>IFERROR(__xludf.DUMMYFUNCTION("""COMPUTED_VALUE"""),0.6119153674832962)</f>
        <v>0.6119153675</v>
      </c>
      <c r="I1097" s="11">
        <f>IFERROR(__xludf.DUMMYFUNCTION("""COMPUTED_VALUE"""),5345.601336302895)</f>
        <v>5345.601336</v>
      </c>
      <c r="J1097" s="10">
        <f>IFERROR(__xludf.DUMMYFUNCTION("""COMPUTED_VALUE"""),0.0)</f>
        <v>0</v>
      </c>
      <c r="K1097" s="5">
        <f>IFERROR(__xludf.DUMMYFUNCTION("""COMPUTED_VALUE"""),0.0)</f>
        <v>0</v>
      </c>
      <c r="L1097" s="10">
        <f>IFERROR(__xludf.DUMMYFUNCTION("""COMPUTED_VALUE"""),740.0)</f>
        <v>740</v>
      </c>
      <c r="M1097" s="5">
        <f>IFERROR(__xludf.DUMMYFUNCTION("""COMPUTED_VALUE"""),1.0)</f>
        <v>1</v>
      </c>
    </row>
    <row r="1098">
      <c r="A1098" s="10" t="str">
        <f>IFERROR(__xludf.DUMMYFUNCTION("""COMPUTED_VALUE"""),"ニート社長")</f>
        <v>ニート社長</v>
      </c>
      <c r="B1098" s="10">
        <f>IFERROR(__xludf.DUMMYFUNCTION("""COMPUTED_VALUE"""),955.0)</f>
        <v>955</v>
      </c>
      <c r="C1098" s="10">
        <f>IFERROR(__xludf.DUMMYFUNCTION("""COMPUTED_VALUE"""),11111.0)</f>
        <v>11111</v>
      </c>
      <c r="D1098" s="5">
        <f>IFERROR(__xludf.DUMMYFUNCTION("""COMPUTED_VALUE"""),0.4184718393068137)</f>
        <v>0.4184718393</v>
      </c>
      <c r="E1098" s="5">
        <f>IFERROR(__xludf.DUMMYFUNCTION("""COMPUTED_VALUE"""),0.139621898385191)</f>
        <v>0.1396218984</v>
      </c>
      <c r="F1098" s="5">
        <f>IFERROR(__xludf.DUMMYFUNCTION("""COMPUTED_VALUE"""),0.22016541945647894)</f>
        <v>0.2201654195</v>
      </c>
      <c r="G1098" s="5">
        <f>IFERROR(__xludf.DUMMYFUNCTION("""COMPUTED_VALUE"""),0.15252067743205985)</f>
        <v>0.1525206774</v>
      </c>
      <c r="H1098" s="5">
        <f>IFERROR(__xludf.DUMMYFUNCTION("""COMPUTED_VALUE"""),0.6095706618962433)</f>
        <v>0.6095706619</v>
      </c>
      <c r="I1098" s="11">
        <f>IFERROR(__xludf.DUMMYFUNCTION("""COMPUTED_VALUE"""),5278.1305903398925)</f>
        <v>5278.13059</v>
      </c>
      <c r="J1098" s="10">
        <f>IFERROR(__xludf.DUMMYFUNCTION("""COMPUTED_VALUE"""),2.0)</f>
        <v>2</v>
      </c>
      <c r="K1098" s="5">
        <f>IFERROR(__xludf.DUMMYFUNCTION("""COMPUTED_VALUE"""),0.0020942408376963353)</f>
        <v>0.002094240838</v>
      </c>
      <c r="L1098" s="10">
        <f>IFERROR(__xludf.DUMMYFUNCTION("""COMPUTED_VALUE"""),955.0)</f>
        <v>955</v>
      </c>
      <c r="M1098" s="5">
        <f>IFERROR(__xludf.DUMMYFUNCTION("""COMPUTED_VALUE"""),1.0)</f>
        <v>1</v>
      </c>
    </row>
    <row r="1099">
      <c r="A1099" s="10" t="str">
        <f>IFERROR(__xludf.DUMMYFUNCTION("""COMPUTED_VALUE"""),"salvador")</f>
        <v>salvador</v>
      </c>
      <c r="B1099" s="10">
        <f>IFERROR(__xludf.DUMMYFUNCTION("""COMPUTED_VALUE"""),1015.0)</f>
        <v>1015</v>
      </c>
      <c r="C1099" s="10">
        <f>IFERROR(__xludf.DUMMYFUNCTION("""COMPUTED_VALUE"""),11888.0)</f>
        <v>11888</v>
      </c>
      <c r="D1099" s="5">
        <f>IFERROR(__xludf.DUMMYFUNCTION("""COMPUTED_VALUE"""),0.3695392256047089)</f>
        <v>0.3695392256</v>
      </c>
      <c r="E1099" s="5">
        <f>IFERROR(__xludf.DUMMYFUNCTION("""COMPUTED_VALUE"""),0.13961188264508415)</f>
        <v>0.1396118826</v>
      </c>
      <c r="F1099" s="5">
        <f>IFERROR(__xludf.DUMMYFUNCTION("""COMPUTED_VALUE"""),0.22128207486434287)</f>
        <v>0.2212820749</v>
      </c>
      <c r="G1099" s="5">
        <f>IFERROR(__xludf.DUMMYFUNCTION("""COMPUTED_VALUE"""),0.1929550262117171)</f>
        <v>0.1929550262</v>
      </c>
      <c r="H1099" s="5">
        <f>IFERROR(__xludf.DUMMYFUNCTION("""COMPUTED_VALUE"""),0.6005818786367415)</f>
        <v>0.6005818786</v>
      </c>
      <c r="I1099" s="11">
        <f>IFERROR(__xludf.DUMMYFUNCTION("""COMPUTED_VALUE"""),5415.876974231089)</f>
        <v>5415.876974</v>
      </c>
      <c r="J1099" s="10">
        <f>IFERROR(__xludf.DUMMYFUNCTION("""COMPUTED_VALUE"""),2.0)</f>
        <v>2</v>
      </c>
      <c r="K1099" s="5">
        <f>IFERROR(__xludf.DUMMYFUNCTION("""COMPUTED_VALUE"""),0.0019704433497536944)</f>
        <v>0.00197044335</v>
      </c>
      <c r="L1099" s="10">
        <f>IFERROR(__xludf.DUMMYFUNCTION("""COMPUTED_VALUE"""),1015.0)</f>
        <v>1015</v>
      </c>
      <c r="M1099" s="5">
        <f>IFERROR(__xludf.DUMMYFUNCTION("""COMPUTED_VALUE"""),1.0)</f>
        <v>1</v>
      </c>
    </row>
    <row r="1100">
      <c r="A1100" s="10" t="str">
        <f>IFERROR(__xludf.DUMMYFUNCTION("""COMPUTED_VALUE"""),"とびまる")</f>
        <v>とびまる</v>
      </c>
      <c r="B1100" s="10">
        <f>IFERROR(__xludf.DUMMYFUNCTION("""COMPUTED_VALUE"""),442.0)</f>
        <v>442</v>
      </c>
      <c r="C1100" s="10">
        <f>IFERROR(__xludf.DUMMYFUNCTION("""COMPUTED_VALUE"""),5177.0)</f>
        <v>5177</v>
      </c>
      <c r="D1100" s="5">
        <f>IFERROR(__xludf.DUMMYFUNCTION("""COMPUTED_VALUE"""),0.3590285110876452)</f>
        <v>0.3590285111</v>
      </c>
      <c r="E1100" s="5">
        <f>IFERROR(__xludf.DUMMYFUNCTION("""COMPUTED_VALUE"""),0.1395987328405491)</f>
        <v>0.1395987328</v>
      </c>
      <c r="F1100" s="5">
        <f>IFERROR(__xludf.DUMMYFUNCTION("""COMPUTED_VALUE"""),0.2033790918690602)</f>
        <v>0.2033790919</v>
      </c>
      <c r="G1100" s="5">
        <f>IFERROR(__xludf.DUMMYFUNCTION("""COMPUTED_VALUE"""),0.15923970432946147)</f>
        <v>0.1592397043</v>
      </c>
      <c r="H1100" s="5">
        <f>IFERROR(__xludf.DUMMYFUNCTION("""COMPUTED_VALUE"""),0.6012461059190031)</f>
        <v>0.6012461059</v>
      </c>
      <c r="I1100" s="11">
        <f>IFERROR(__xludf.DUMMYFUNCTION("""COMPUTED_VALUE"""),5380.166147455867)</f>
        <v>5380.166147</v>
      </c>
      <c r="J1100" s="10">
        <f>IFERROR(__xludf.DUMMYFUNCTION("""COMPUTED_VALUE"""),0.0)</f>
        <v>0</v>
      </c>
      <c r="K1100" s="5">
        <f>IFERROR(__xludf.DUMMYFUNCTION("""COMPUTED_VALUE"""),0.0)</f>
        <v>0</v>
      </c>
      <c r="L1100" s="10">
        <f>IFERROR(__xludf.DUMMYFUNCTION("""COMPUTED_VALUE"""),442.0)</f>
        <v>442</v>
      </c>
      <c r="M1100" s="5">
        <f>IFERROR(__xludf.DUMMYFUNCTION("""COMPUTED_VALUE"""),1.0)</f>
        <v>1</v>
      </c>
    </row>
    <row r="1101">
      <c r="A1101" s="10" t="str">
        <f>IFERROR(__xludf.DUMMYFUNCTION("""COMPUTED_VALUE"""),"新貴")</f>
        <v>新貴</v>
      </c>
      <c r="B1101" s="10">
        <f>IFERROR(__xludf.DUMMYFUNCTION("""COMPUTED_VALUE"""),219.0)</f>
        <v>219</v>
      </c>
      <c r="C1101" s="10">
        <f>IFERROR(__xludf.DUMMYFUNCTION("""COMPUTED_VALUE"""),2576.0)</f>
        <v>2576</v>
      </c>
      <c r="D1101" s="5">
        <f>IFERROR(__xludf.DUMMYFUNCTION("""COMPUTED_VALUE"""),0.3381417055579126)</f>
        <v>0.3381417056</v>
      </c>
      <c r="E1101" s="5">
        <f>IFERROR(__xludf.DUMMYFUNCTION("""COMPUTED_VALUE"""),0.13958421722528638)</f>
        <v>0.1395842172</v>
      </c>
      <c r="F1101" s="5">
        <f>IFERROR(__xludf.DUMMYFUNCTION("""COMPUTED_VALUE"""),0.21043699618158676)</f>
        <v>0.2104369962</v>
      </c>
      <c r="G1101" s="5">
        <f>IFERROR(__xludf.DUMMYFUNCTION("""COMPUTED_VALUE"""),0.17607127704709377)</f>
        <v>0.176071277</v>
      </c>
      <c r="H1101" s="5">
        <f>IFERROR(__xludf.DUMMYFUNCTION("""COMPUTED_VALUE"""),0.6088709677419355)</f>
        <v>0.6088709677</v>
      </c>
      <c r="I1101" s="11">
        <f>IFERROR(__xludf.DUMMYFUNCTION("""COMPUTED_VALUE"""),5511.895161290323)</f>
        <v>5511.895161</v>
      </c>
      <c r="J1101" s="10">
        <f>IFERROR(__xludf.DUMMYFUNCTION("""COMPUTED_VALUE"""),0.0)</f>
        <v>0</v>
      </c>
      <c r="K1101" s="5">
        <f>IFERROR(__xludf.DUMMYFUNCTION("""COMPUTED_VALUE"""),0.0)</f>
        <v>0</v>
      </c>
      <c r="L1101" s="10">
        <f>IFERROR(__xludf.DUMMYFUNCTION("""COMPUTED_VALUE"""),219.0)</f>
        <v>219</v>
      </c>
      <c r="M1101" s="5">
        <f>IFERROR(__xludf.DUMMYFUNCTION("""COMPUTED_VALUE"""),1.0)</f>
        <v>1</v>
      </c>
    </row>
    <row r="1102">
      <c r="A1102" s="10" t="str">
        <f>IFERROR(__xludf.DUMMYFUNCTION("""COMPUTED_VALUE"""),"ほのパパ")</f>
        <v>ほのパパ</v>
      </c>
      <c r="B1102" s="10">
        <f>IFERROR(__xludf.DUMMYFUNCTION("""COMPUTED_VALUE"""),153.0)</f>
        <v>153</v>
      </c>
      <c r="C1102" s="10">
        <f>IFERROR(__xludf.DUMMYFUNCTION("""COMPUTED_VALUE"""),1808.0)</f>
        <v>1808</v>
      </c>
      <c r="D1102" s="5">
        <f>IFERROR(__xludf.DUMMYFUNCTION("""COMPUTED_VALUE"""),0.33595166163141993)</f>
        <v>0.3359516616</v>
      </c>
      <c r="E1102" s="5">
        <f>IFERROR(__xludf.DUMMYFUNCTION("""COMPUTED_VALUE"""),0.13957703927492446)</f>
        <v>0.1395770393</v>
      </c>
      <c r="F1102" s="5">
        <f>IFERROR(__xludf.DUMMYFUNCTION("""COMPUTED_VALUE"""),0.172809667673716)</f>
        <v>0.1728096677</v>
      </c>
      <c r="G1102" s="5">
        <f>IFERROR(__xludf.DUMMYFUNCTION("""COMPUTED_VALUE"""),0.15347432024169183)</f>
        <v>0.1534743202</v>
      </c>
      <c r="H1102" s="5">
        <f>IFERROR(__xludf.DUMMYFUNCTION("""COMPUTED_VALUE"""),0.541958041958042)</f>
        <v>0.541958042</v>
      </c>
      <c r="I1102" s="11">
        <f>IFERROR(__xludf.DUMMYFUNCTION("""COMPUTED_VALUE"""),5973.076923076923)</f>
        <v>5973.076923</v>
      </c>
      <c r="J1102" s="10">
        <f>IFERROR(__xludf.DUMMYFUNCTION("""COMPUTED_VALUE"""),0.0)</f>
        <v>0</v>
      </c>
      <c r="K1102" s="5">
        <f>IFERROR(__xludf.DUMMYFUNCTION("""COMPUTED_VALUE"""),0.0)</f>
        <v>0</v>
      </c>
      <c r="L1102" s="10">
        <f>IFERROR(__xludf.DUMMYFUNCTION("""COMPUTED_VALUE"""),153.0)</f>
        <v>153</v>
      </c>
      <c r="M1102" s="5">
        <f>IFERROR(__xludf.DUMMYFUNCTION("""COMPUTED_VALUE"""),1.0)</f>
        <v>1</v>
      </c>
    </row>
    <row r="1103">
      <c r="A1103" s="10" t="str">
        <f>IFERROR(__xludf.DUMMYFUNCTION("""COMPUTED_VALUE"""),"碧乃")</f>
        <v>碧乃</v>
      </c>
      <c r="B1103" s="10">
        <f>IFERROR(__xludf.DUMMYFUNCTION("""COMPUTED_VALUE"""),4330.0)</f>
        <v>4330</v>
      </c>
      <c r="C1103" s="10">
        <f>IFERROR(__xludf.DUMMYFUNCTION("""COMPUTED_VALUE"""),50084.0)</f>
        <v>50084</v>
      </c>
      <c r="D1103" s="5">
        <f>IFERROR(__xludf.DUMMYFUNCTION("""COMPUTED_VALUE"""),0.3358394894435459)</f>
        <v>0.3358394894</v>
      </c>
      <c r="E1103" s="5">
        <f>IFERROR(__xludf.DUMMYFUNCTION("""COMPUTED_VALUE"""),0.13957249639375793)</f>
        <v>0.1395724964</v>
      </c>
      <c r="F1103" s="5">
        <f>IFERROR(__xludf.DUMMYFUNCTION("""COMPUTED_VALUE"""),0.213205402806312)</f>
        <v>0.2132054028</v>
      </c>
      <c r="G1103" s="5">
        <f>IFERROR(__xludf.DUMMYFUNCTION("""COMPUTED_VALUE"""),0.19355684748874416)</f>
        <v>0.1935568475</v>
      </c>
      <c r="H1103" s="5">
        <f>IFERROR(__xludf.DUMMYFUNCTION("""COMPUTED_VALUE"""),0.5936442849820605)</f>
        <v>0.593644285</v>
      </c>
      <c r="I1103" s="11">
        <f>IFERROR(__xludf.DUMMYFUNCTION("""COMPUTED_VALUE"""),6170.609943618657)</f>
        <v>6170.609944</v>
      </c>
      <c r="J1103" s="10">
        <f>IFERROR(__xludf.DUMMYFUNCTION("""COMPUTED_VALUE"""),6.0)</f>
        <v>6</v>
      </c>
      <c r="K1103" s="5">
        <f>IFERROR(__xludf.DUMMYFUNCTION("""COMPUTED_VALUE"""),0.0013856812933025404)</f>
        <v>0.001385681293</v>
      </c>
      <c r="L1103" s="10">
        <f>IFERROR(__xludf.DUMMYFUNCTION("""COMPUTED_VALUE"""),1776.0)</f>
        <v>1776</v>
      </c>
      <c r="M1103" s="5">
        <f>IFERROR(__xludf.DUMMYFUNCTION("""COMPUTED_VALUE"""),0.41016166281755195)</f>
        <v>0.4101616628</v>
      </c>
    </row>
    <row r="1104">
      <c r="A1104" s="10" t="str">
        <f>IFERROR(__xludf.DUMMYFUNCTION("""COMPUTED_VALUE"""),"NEOふっくん")</f>
        <v>NEOふっくん</v>
      </c>
      <c r="B1104" s="10">
        <f>IFERROR(__xludf.DUMMYFUNCTION("""COMPUTED_VALUE"""),1419.0)</f>
        <v>1419</v>
      </c>
      <c r="C1104" s="10">
        <f>IFERROR(__xludf.DUMMYFUNCTION("""COMPUTED_VALUE"""),16487.0)</f>
        <v>16487</v>
      </c>
      <c r="D1104" s="5">
        <f>IFERROR(__xludf.DUMMYFUNCTION("""COMPUTED_VALUE"""),0.31736129546057873)</f>
        <v>0.3173612955</v>
      </c>
      <c r="E1104" s="5">
        <f>IFERROR(__xludf.DUMMYFUNCTION("""COMPUTED_VALUE"""),0.13956729492965225)</f>
        <v>0.1395672949</v>
      </c>
      <c r="F1104" s="5">
        <f>IFERROR(__xludf.DUMMYFUNCTION("""COMPUTED_VALUE"""),0.20666312715688878)</f>
        <v>0.2066631272</v>
      </c>
      <c r="G1104" s="5">
        <f>IFERROR(__xludf.DUMMYFUNCTION("""COMPUTED_VALUE"""),0.16478630209715955)</f>
        <v>0.1647863021</v>
      </c>
      <c r="H1104" s="5">
        <f>IFERROR(__xludf.DUMMYFUNCTION("""COMPUTED_VALUE"""),0.590237636480411)</f>
        <v>0.5902376365</v>
      </c>
      <c r="I1104" s="11">
        <f>IFERROR(__xludf.DUMMYFUNCTION("""COMPUTED_VALUE"""),5801.926782273603)</f>
        <v>5801.926782</v>
      </c>
      <c r="J1104" s="10">
        <f>IFERROR(__xludf.DUMMYFUNCTION("""COMPUTED_VALUE"""),5.0)</f>
        <v>5</v>
      </c>
      <c r="K1104" s="5">
        <f>IFERROR(__xludf.DUMMYFUNCTION("""COMPUTED_VALUE"""),0.0035236081747709656)</f>
        <v>0.003523608175</v>
      </c>
      <c r="L1104" s="10">
        <f>IFERROR(__xludf.DUMMYFUNCTION("""COMPUTED_VALUE"""),1419.0)</f>
        <v>1419</v>
      </c>
      <c r="M1104" s="5">
        <f>IFERROR(__xludf.DUMMYFUNCTION("""COMPUTED_VALUE"""),1.0)</f>
        <v>1</v>
      </c>
    </row>
    <row r="1105">
      <c r="A1105" s="10" t="str">
        <f>IFERROR(__xludf.DUMMYFUNCTION("""COMPUTED_VALUE"""),"ほぼ高知")</f>
        <v>ほぼ高知</v>
      </c>
      <c r="B1105" s="10">
        <f>IFERROR(__xludf.DUMMYFUNCTION("""COMPUTED_VALUE"""),253.0)</f>
        <v>253</v>
      </c>
      <c r="C1105" s="10">
        <f>IFERROR(__xludf.DUMMYFUNCTION("""COMPUTED_VALUE"""),2983.0)</f>
        <v>2983</v>
      </c>
      <c r="D1105" s="5">
        <f>IFERROR(__xludf.DUMMYFUNCTION("""COMPUTED_VALUE"""),0.2945054945054945)</f>
        <v>0.2945054945</v>
      </c>
      <c r="E1105" s="5">
        <f>IFERROR(__xludf.DUMMYFUNCTION("""COMPUTED_VALUE"""),0.13956043956043956)</f>
        <v>0.1395604396</v>
      </c>
      <c r="F1105" s="5">
        <f>IFERROR(__xludf.DUMMYFUNCTION("""COMPUTED_VALUE"""),0.20146520146520147)</f>
        <v>0.2014652015</v>
      </c>
      <c r="G1105" s="5">
        <f>IFERROR(__xludf.DUMMYFUNCTION("""COMPUTED_VALUE"""),0.1641025641025641)</f>
        <v>0.1641025641</v>
      </c>
      <c r="H1105" s="5">
        <f>IFERROR(__xludf.DUMMYFUNCTION("""COMPUTED_VALUE"""),0.5690909090909091)</f>
        <v>0.5690909091</v>
      </c>
      <c r="I1105" s="11">
        <f>IFERROR(__xludf.DUMMYFUNCTION("""COMPUTED_VALUE"""),5582.909090909091)</f>
        <v>5582.909091</v>
      </c>
      <c r="J1105" s="10">
        <f>IFERROR(__xludf.DUMMYFUNCTION("""COMPUTED_VALUE"""),0.0)</f>
        <v>0</v>
      </c>
      <c r="K1105" s="5">
        <f>IFERROR(__xludf.DUMMYFUNCTION("""COMPUTED_VALUE"""),0.0)</f>
        <v>0</v>
      </c>
      <c r="L1105" s="10">
        <f>IFERROR(__xludf.DUMMYFUNCTION("""COMPUTED_VALUE"""),1.0)</f>
        <v>1</v>
      </c>
      <c r="M1105" s="5">
        <f>IFERROR(__xludf.DUMMYFUNCTION("""COMPUTED_VALUE"""),0.003952569169960474)</f>
        <v>0.00395256917</v>
      </c>
    </row>
    <row r="1106">
      <c r="A1106" s="10" t="str">
        <f>IFERROR(__xludf.DUMMYFUNCTION("""COMPUTED_VALUE"""),"まさとし")</f>
        <v>まさとし</v>
      </c>
      <c r="B1106" s="10">
        <f>IFERROR(__xludf.DUMMYFUNCTION("""COMPUTED_VALUE"""),316.0)</f>
        <v>316</v>
      </c>
      <c r="C1106" s="10">
        <f>IFERROR(__xludf.DUMMYFUNCTION("""COMPUTED_VALUE"""),3777.0)</f>
        <v>3777</v>
      </c>
      <c r="D1106" s="5">
        <f>IFERROR(__xludf.DUMMYFUNCTION("""COMPUTED_VALUE"""),0.4149089858422421)</f>
        <v>0.4149089858</v>
      </c>
      <c r="E1106" s="5">
        <f>IFERROR(__xludf.DUMMYFUNCTION("""COMPUTED_VALUE"""),0.13955504189540596)</f>
        <v>0.1395550419</v>
      </c>
      <c r="F1106" s="5">
        <f>IFERROR(__xludf.DUMMYFUNCTION("""COMPUTED_VALUE"""),0.21814504478474428)</f>
        <v>0.2181450448</v>
      </c>
      <c r="G1106" s="5">
        <f>IFERROR(__xludf.DUMMYFUNCTION("""COMPUTED_VALUE"""),0.17538283733025137)</f>
        <v>0.1753828373</v>
      </c>
      <c r="H1106" s="5">
        <f>IFERROR(__xludf.DUMMYFUNCTION("""COMPUTED_VALUE"""),0.6132450331125828)</f>
        <v>0.6132450331</v>
      </c>
      <c r="I1106" s="11">
        <f>IFERROR(__xludf.DUMMYFUNCTION("""COMPUTED_VALUE"""),5465.827814569537)</f>
        <v>5465.827815</v>
      </c>
      <c r="J1106" s="10">
        <f>IFERROR(__xludf.DUMMYFUNCTION("""COMPUTED_VALUE"""),1.0)</f>
        <v>1</v>
      </c>
      <c r="K1106" s="5">
        <f>IFERROR(__xludf.DUMMYFUNCTION("""COMPUTED_VALUE"""),0.0031645569620253164)</f>
        <v>0.003164556962</v>
      </c>
      <c r="L1106" s="10">
        <f>IFERROR(__xludf.DUMMYFUNCTION("""COMPUTED_VALUE"""),316.0)</f>
        <v>316</v>
      </c>
      <c r="M1106" s="5">
        <f>IFERROR(__xludf.DUMMYFUNCTION("""COMPUTED_VALUE"""),1.0)</f>
        <v>1</v>
      </c>
    </row>
    <row r="1107">
      <c r="A1107" s="10" t="str">
        <f>IFERROR(__xludf.DUMMYFUNCTION("""COMPUTED_VALUE"""),"兎月胡太郎")</f>
        <v>兎月胡太郎</v>
      </c>
      <c r="B1107" s="10">
        <f>IFERROR(__xludf.DUMMYFUNCTION("""COMPUTED_VALUE"""),194.0)</f>
        <v>194</v>
      </c>
      <c r="C1107" s="10">
        <f>IFERROR(__xludf.DUMMYFUNCTION("""COMPUTED_VALUE"""),2308.0)</f>
        <v>2308</v>
      </c>
      <c r="D1107" s="5">
        <f>IFERROR(__xludf.DUMMYFUNCTION("""COMPUTED_VALUE"""),0.36565752128666035)</f>
        <v>0.3656575213</v>
      </c>
      <c r="E1107" s="5">
        <f>IFERROR(__xludf.DUMMYFUNCTION("""COMPUTED_VALUE"""),0.13954588457899716)</f>
        <v>0.1395458846</v>
      </c>
      <c r="F1107" s="5">
        <f>IFERROR(__xludf.DUMMYFUNCTION("""COMPUTED_VALUE"""),0.21901608325449384)</f>
        <v>0.2190160833</v>
      </c>
      <c r="G1107" s="5">
        <f>IFERROR(__xludf.DUMMYFUNCTION("""COMPUTED_VALUE"""),0.14333017975402082)</f>
        <v>0.1433301798</v>
      </c>
      <c r="H1107" s="5">
        <f>IFERROR(__xludf.DUMMYFUNCTION("""COMPUTED_VALUE"""),0.5788336933045356)</f>
        <v>0.5788336933</v>
      </c>
      <c r="I1107" s="11">
        <f>IFERROR(__xludf.DUMMYFUNCTION("""COMPUTED_VALUE"""),5307.5593952483805)</f>
        <v>5307.559395</v>
      </c>
      <c r="J1107" s="10">
        <f>IFERROR(__xludf.DUMMYFUNCTION("""COMPUTED_VALUE"""),0.0)</f>
        <v>0</v>
      </c>
      <c r="K1107" s="5">
        <f>IFERROR(__xludf.DUMMYFUNCTION("""COMPUTED_VALUE"""),0.0)</f>
        <v>0</v>
      </c>
      <c r="L1107" s="10">
        <f>IFERROR(__xludf.DUMMYFUNCTION("""COMPUTED_VALUE"""),0.0)</f>
        <v>0</v>
      </c>
      <c r="M1107" s="5">
        <f>IFERROR(__xludf.DUMMYFUNCTION("""COMPUTED_VALUE"""),0.0)</f>
        <v>0</v>
      </c>
    </row>
    <row r="1108">
      <c r="A1108" s="10" t="str">
        <f>IFERROR(__xludf.DUMMYFUNCTION("""COMPUTED_VALUE"""),"桐生のおじさん")</f>
        <v>桐生のおじさん</v>
      </c>
      <c r="B1108" s="10">
        <f>IFERROR(__xludf.DUMMYFUNCTION("""COMPUTED_VALUE"""),194.0)</f>
        <v>194</v>
      </c>
      <c r="C1108" s="10">
        <f>IFERROR(__xludf.DUMMYFUNCTION("""COMPUTED_VALUE"""),2301.0)</f>
        <v>2301</v>
      </c>
      <c r="D1108" s="5">
        <f>IFERROR(__xludf.DUMMYFUNCTION("""COMPUTED_VALUE"""),0.3692453725676317)</f>
        <v>0.3692453726</v>
      </c>
      <c r="E1108" s="5">
        <f>IFERROR(__xludf.DUMMYFUNCTION("""COMPUTED_VALUE"""),0.13953488372093023)</f>
        <v>0.1395348837</v>
      </c>
      <c r="F1108" s="5">
        <f>IFERROR(__xludf.DUMMYFUNCTION("""COMPUTED_VALUE"""),0.21689606074988135)</f>
        <v>0.2168960607</v>
      </c>
      <c r="G1108" s="5">
        <f>IFERROR(__xludf.DUMMYFUNCTION("""COMPUTED_VALUE"""),0.18984337921214997)</f>
        <v>0.1898433792</v>
      </c>
      <c r="H1108" s="5">
        <f>IFERROR(__xludf.DUMMYFUNCTION("""COMPUTED_VALUE"""),0.5645514223194749)</f>
        <v>0.5645514223</v>
      </c>
      <c r="I1108" s="11">
        <f>IFERROR(__xludf.DUMMYFUNCTION("""COMPUTED_VALUE"""),5498.249452954048)</f>
        <v>5498.249453</v>
      </c>
      <c r="J1108" s="10">
        <f>IFERROR(__xludf.DUMMYFUNCTION("""COMPUTED_VALUE"""),0.0)</f>
        <v>0</v>
      </c>
      <c r="K1108" s="5">
        <f>IFERROR(__xludf.DUMMYFUNCTION("""COMPUTED_VALUE"""),0.0)</f>
        <v>0</v>
      </c>
      <c r="L1108" s="10">
        <f>IFERROR(__xludf.DUMMYFUNCTION("""COMPUTED_VALUE"""),194.0)</f>
        <v>194</v>
      </c>
      <c r="M1108" s="5">
        <f>IFERROR(__xludf.DUMMYFUNCTION("""COMPUTED_VALUE"""),1.0)</f>
        <v>1</v>
      </c>
    </row>
    <row r="1109">
      <c r="A1109" s="10" t="str">
        <f>IFERROR(__xludf.DUMMYFUNCTION("""COMPUTED_VALUE"""),"黙れオレンジ！")</f>
        <v>黙れオレンジ！</v>
      </c>
      <c r="B1109" s="10">
        <f>IFERROR(__xludf.DUMMYFUNCTION("""COMPUTED_VALUE"""),528.0)</f>
        <v>528</v>
      </c>
      <c r="C1109" s="10">
        <f>IFERROR(__xludf.DUMMYFUNCTION("""COMPUTED_VALUE"""),6197.0)</f>
        <v>6197</v>
      </c>
      <c r="D1109" s="5">
        <f>IFERROR(__xludf.DUMMYFUNCTION("""COMPUTED_VALUE"""),0.36867172340800847)</f>
        <v>0.3686717234</v>
      </c>
      <c r="E1109" s="5">
        <f>IFERROR(__xludf.DUMMYFUNCTION("""COMPUTED_VALUE"""),0.13953078144293526)</f>
        <v>0.1395307814</v>
      </c>
      <c r="F1109" s="5">
        <f>IFERROR(__xludf.DUMMYFUNCTION("""COMPUTED_VALUE"""),0.21538190156994177)</f>
        <v>0.2153819016</v>
      </c>
      <c r="G1109" s="5">
        <f>IFERROR(__xludf.DUMMYFUNCTION("""COMPUTED_VALUE"""),0.17375198447698006)</f>
        <v>0.1737519845</v>
      </c>
      <c r="H1109" s="5">
        <f>IFERROR(__xludf.DUMMYFUNCTION("""COMPUTED_VALUE"""),0.597051597051597)</f>
        <v>0.5970515971</v>
      </c>
      <c r="I1109" s="11">
        <f>IFERROR(__xludf.DUMMYFUNCTION("""COMPUTED_VALUE"""),5724.242424242424)</f>
        <v>5724.242424</v>
      </c>
      <c r="J1109" s="10">
        <f>IFERROR(__xludf.DUMMYFUNCTION("""COMPUTED_VALUE"""),1.0)</f>
        <v>1</v>
      </c>
      <c r="K1109" s="5">
        <f>IFERROR(__xludf.DUMMYFUNCTION("""COMPUTED_VALUE"""),0.001893939393939394)</f>
        <v>0.001893939394</v>
      </c>
      <c r="L1109" s="10">
        <f>IFERROR(__xludf.DUMMYFUNCTION("""COMPUTED_VALUE"""),509.0)</f>
        <v>509</v>
      </c>
      <c r="M1109" s="5">
        <f>IFERROR(__xludf.DUMMYFUNCTION("""COMPUTED_VALUE"""),0.9640151515151515)</f>
        <v>0.9640151515</v>
      </c>
    </row>
    <row r="1110">
      <c r="A1110" s="10" t="str">
        <f>IFERROR(__xludf.DUMMYFUNCTION("""COMPUTED_VALUE"""),"ヒゲロング")</f>
        <v>ヒゲロング</v>
      </c>
      <c r="B1110" s="10">
        <f>IFERROR(__xludf.DUMMYFUNCTION("""COMPUTED_VALUE"""),321.0)</f>
        <v>321</v>
      </c>
      <c r="C1110" s="10">
        <f>IFERROR(__xludf.DUMMYFUNCTION("""COMPUTED_VALUE"""),3697.0)</f>
        <v>3697</v>
      </c>
      <c r="D1110" s="5">
        <f>IFERROR(__xludf.DUMMYFUNCTION("""COMPUTED_VALUE"""),0.32523696682464454)</f>
        <v>0.3252369668</v>
      </c>
      <c r="E1110" s="5">
        <f>IFERROR(__xludf.DUMMYFUNCTION("""COMPUTED_VALUE"""),0.13951421800947866)</f>
        <v>0.139514218</v>
      </c>
      <c r="F1110" s="5">
        <f>IFERROR(__xludf.DUMMYFUNCTION("""COMPUTED_VALUE"""),0.21800947867298578)</f>
        <v>0.2180094787</v>
      </c>
      <c r="G1110" s="5">
        <f>IFERROR(__xludf.DUMMYFUNCTION("""COMPUTED_VALUE"""),0.19727488151658767)</f>
        <v>0.1972748815</v>
      </c>
      <c r="H1110" s="5">
        <f>IFERROR(__xludf.DUMMYFUNCTION("""COMPUTED_VALUE"""),0.5788043478260869)</f>
        <v>0.5788043478</v>
      </c>
      <c r="I1110" s="11">
        <f>IFERROR(__xludf.DUMMYFUNCTION("""COMPUTED_VALUE"""),5701.494565217391)</f>
        <v>5701.494565</v>
      </c>
      <c r="J1110" s="10">
        <f>IFERROR(__xludf.DUMMYFUNCTION("""COMPUTED_VALUE"""),1.0)</f>
        <v>1</v>
      </c>
      <c r="K1110" s="5">
        <f>IFERROR(__xludf.DUMMYFUNCTION("""COMPUTED_VALUE"""),0.003115264797507788)</f>
        <v>0.003115264798</v>
      </c>
      <c r="L1110" s="10">
        <f>IFERROR(__xludf.DUMMYFUNCTION("""COMPUTED_VALUE"""),321.0)</f>
        <v>321</v>
      </c>
      <c r="M1110" s="5">
        <f>IFERROR(__xludf.DUMMYFUNCTION("""COMPUTED_VALUE"""),1.0)</f>
        <v>1</v>
      </c>
    </row>
    <row r="1111">
      <c r="A1111" s="10" t="str">
        <f>IFERROR(__xludf.DUMMYFUNCTION("""COMPUTED_VALUE"""),"みみず")</f>
        <v>みみず</v>
      </c>
      <c r="B1111" s="10">
        <f>IFERROR(__xludf.DUMMYFUNCTION("""COMPUTED_VALUE"""),1601.0)</f>
        <v>1601</v>
      </c>
      <c r="C1111" s="10">
        <f>IFERROR(__xludf.DUMMYFUNCTION("""COMPUTED_VALUE"""),18804.0)</f>
        <v>18804</v>
      </c>
      <c r="D1111" s="5">
        <f>IFERROR(__xludf.DUMMYFUNCTION("""COMPUTED_VALUE"""),0.3992326919723304)</f>
        <v>0.399232692</v>
      </c>
      <c r="E1111" s="5">
        <f>IFERROR(__xludf.DUMMYFUNCTION("""COMPUTED_VALUE"""),0.13951055048538047)</f>
        <v>0.1395105505</v>
      </c>
      <c r="F1111" s="5">
        <f>IFERROR(__xludf.DUMMYFUNCTION("""COMPUTED_VALUE"""),0.23298261931058536)</f>
        <v>0.2329826193</v>
      </c>
      <c r="G1111" s="5">
        <f>IFERROR(__xludf.DUMMYFUNCTION("""COMPUTED_VALUE"""),0.18467709120502238)</f>
        <v>0.1846770912</v>
      </c>
      <c r="H1111" s="5">
        <f>IFERROR(__xludf.DUMMYFUNCTION("""COMPUTED_VALUE"""),0.5870758483033932)</f>
        <v>0.5870758483</v>
      </c>
      <c r="I1111" s="11">
        <f>IFERROR(__xludf.DUMMYFUNCTION("""COMPUTED_VALUE"""),5472.629740518962)</f>
        <v>5472.629741</v>
      </c>
      <c r="J1111" s="10">
        <f>IFERROR(__xludf.DUMMYFUNCTION("""COMPUTED_VALUE"""),5.0)</f>
        <v>5</v>
      </c>
      <c r="K1111" s="5">
        <f>IFERROR(__xludf.DUMMYFUNCTION("""COMPUTED_VALUE"""),0.003123048094940662)</f>
        <v>0.003123048095</v>
      </c>
      <c r="L1111" s="10">
        <f>IFERROR(__xludf.DUMMYFUNCTION("""COMPUTED_VALUE"""),1601.0)</f>
        <v>1601</v>
      </c>
      <c r="M1111" s="5">
        <f>IFERROR(__xludf.DUMMYFUNCTION("""COMPUTED_VALUE"""),1.0)</f>
        <v>1</v>
      </c>
    </row>
    <row r="1112">
      <c r="A1112" s="10" t="str">
        <f>IFERROR(__xludf.DUMMYFUNCTION("""COMPUTED_VALUE"""),"HAREM")</f>
        <v>HAREM</v>
      </c>
      <c r="B1112" s="10">
        <f>IFERROR(__xludf.DUMMYFUNCTION("""COMPUTED_VALUE"""),1037.0)</f>
        <v>1037</v>
      </c>
      <c r="C1112" s="10">
        <f>IFERROR(__xludf.DUMMYFUNCTION("""COMPUTED_VALUE"""),12098.0)</f>
        <v>12098</v>
      </c>
      <c r="D1112" s="5">
        <f>IFERROR(__xludf.DUMMYFUNCTION("""COMPUTED_VALUE"""),0.3741072235783383)</f>
        <v>0.3741072236</v>
      </c>
      <c r="E1112" s="5">
        <f>IFERROR(__xludf.DUMMYFUNCTION("""COMPUTED_VALUE"""),0.13949914112648043)</f>
        <v>0.1394991411</v>
      </c>
      <c r="F1112" s="5">
        <f>IFERROR(__xludf.DUMMYFUNCTION("""COMPUTED_VALUE"""),0.21471837989331888)</f>
        <v>0.2147183799</v>
      </c>
      <c r="G1112" s="5">
        <f>IFERROR(__xludf.DUMMYFUNCTION("""COMPUTED_VALUE"""),0.1831660790163638)</f>
        <v>0.183166079</v>
      </c>
      <c r="H1112" s="5">
        <f>IFERROR(__xludf.DUMMYFUNCTION("""COMPUTED_VALUE"""),0.5966315789473684)</f>
        <v>0.5966315789</v>
      </c>
      <c r="I1112" s="11">
        <f>IFERROR(__xludf.DUMMYFUNCTION("""COMPUTED_VALUE"""),5865.4315789473685)</f>
        <v>5865.431579</v>
      </c>
      <c r="J1112" s="10">
        <f>IFERROR(__xludf.DUMMYFUNCTION("""COMPUTED_VALUE"""),5.0)</f>
        <v>5</v>
      </c>
      <c r="K1112" s="5">
        <f>IFERROR(__xludf.DUMMYFUNCTION("""COMPUTED_VALUE"""),0.0048216007714561235)</f>
        <v>0.004821600771</v>
      </c>
      <c r="L1112" s="10">
        <f>IFERROR(__xludf.DUMMYFUNCTION("""COMPUTED_VALUE"""),1037.0)</f>
        <v>1037</v>
      </c>
      <c r="M1112" s="5">
        <f>IFERROR(__xludf.DUMMYFUNCTION("""COMPUTED_VALUE"""),1.0)</f>
        <v>1</v>
      </c>
    </row>
    <row r="1113">
      <c r="A1113" s="10" t="str">
        <f>IFERROR(__xludf.DUMMYFUNCTION("""COMPUTED_VALUE"""),"Pury")</f>
        <v>Pury</v>
      </c>
      <c r="B1113" s="10">
        <f>IFERROR(__xludf.DUMMYFUNCTION("""COMPUTED_VALUE"""),154.0)</f>
        <v>154</v>
      </c>
      <c r="C1113" s="10">
        <f>IFERROR(__xludf.DUMMYFUNCTION("""COMPUTED_VALUE"""),1767.0)</f>
        <v>1767</v>
      </c>
      <c r="D1113" s="5">
        <f>IFERROR(__xludf.DUMMYFUNCTION("""COMPUTED_VALUE"""),0.2944823310601364)</f>
        <v>0.2944823311</v>
      </c>
      <c r="E1113" s="5">
        <f>IFERROR(__xludf.DUMMYFUNCTION("""COMPUTED_VALUE"""),0.13949163050216987)</f>
        <v>0.1394916305</v>
      </c>
      <c r="F1113" s="5">
        <f>IFERROR(__xludf.DUMMYFUNCTION("""COMPUTED_VALUE"""),0.21140731556106634)</f>
        <v>0.2114073156</v>
      </c>
      <c r="G1113" s="5">
        <f>IFERROR(__xludf.DUMMYFUNCTION("""COMPUTED_VALUE"""),0.1735895846249225)</f>
        <v>0.1735895846</v>
      </c>
      <c r="H1113" s="5">
        <f>IFERROR(__xludf.DUMMYFUNCTION("""COMPUTED_VALUE"""),0.5777126099706745)</f>
        <v>0.57771261</v>
      </c>
      <c r="I1113" s="11">
        <f>IFERROR(__xludf.DUMMYFUNCTION("""COMPUTED_VALUE"""),5640.469208211143)</f>
        <v>5640.469208</v>
      </c>
      <c r="J1113" s="10">
        <f>IFERROR(__xludf.DUMMYFUNCTION("""COMPUTED_VALUE"""),0.0)</f>
        <v>0</v>
      </c>
      <c r="K1113" s="5">
        <f>IFERROR(__xludf.DUMMYFUNCTION("""COMPUTED_VALUE"""),0.0)</f>
        <v>0</v>
      </c>
      <c r="L1113" s="10">
        <f>IFERROR(__xludf.DUMMYFUNCTION("""COMPUTED_VALUE"""),154.0)</f>
        <v>154</v>
      </c>
      <c r="M1113" s="5">
        <f>IFERROR(__xludf.DUMMYFUNCTION("""COMPUTED_VALUE"""),1.0)</f>
        <v>1</v>
      </c>
    </row>
    <row r="1114">
      <c r="A1114" s="10" t="str">
        <f>IFERROR(__xludf.DUMMYFUNCTION("""COMPUTED_VALUE"""),"ひつこいんだ")</f>
        <v>ひつこいんだ</v>
      </c>
      <c r="B1114" s="10">
        <f>IFERROR(__xludf.DUMMYFUNCTION("""COMPUTED_VALUE"""),237.0)</f>
        <v>237</v>
      </c>
      <c r="C1114" s="10">
        <f>IFERROR(__xludf.DUMMYFUNCTION("""COMPUTED_VALUE"""),2739.0)</f>
        <v>2739</v>
      </c>
      <c r="D1114" s="5">
        <f>IFERROR(__xludf.DUMMYFUNCTION("""COMPUTED_VALUE"""),0.35411670663469225)</f>
        <v>0.3541167066</v>
      </c>
      <c r="E1114" s="5">
        <f>IFERROR(__xludf.DUMMYFUNCTION("""COMPUTED_VALUE"""),0.13948840927258194)</f>
        <v>0.1394884093</v>
      </c>
      <c r="F1114" s="5">
        <f>IFERROR(__xludf.DUMMYFUNCTION("""COMPUTED_VALUE"""),0.21422861710631494)</f>
        <v>0.2142286171</v>
      </c>
      <c r="G1114" s="5">
        <f>IFERROR(__xludf.DUMMYFUNCTION("""COMPUTED_VALUE"""),0.20103916866506794)</f>
        <v>0.2010391687</v>
      </c>
      <c r="H1114" s="5">
        <f>IFERROR(__xludf.DUMMYFUNCTION("""COMPUTED_VALUE"""),0.6026119402985075)</f>
        <v>0.6026119403</v>
      </c>
      <c r="I1114" s="11">
        <f>IFERROR(__xludf.DUMMYFUNCTION("""COMPUTED_VALUE"""),5936.007462686567)</f>
        <v>5936.007463</v>
      </c>
      <c r="J1114" s="10">
        <f>IFERROR(__xludf.DUMMYFUNCTION("""COMPUTED_VALUE"""),0.0)</f>
        <v>0</v>
      </c>
      <c r="K1114" s="5">
        <f>IFERROR(__xludf.DUMMYFUNCTION("""COMPUTED_VALUE"""),0.0)</f>
        <v>0</v>
      </c>
      <c r="L1114" s="10">
        <f>IFERROR(__xludf.DUMMYFUNCTION("""COMPUTED_VALUE"""),237.0)</f>
        <v>237</v>
      </c>
      <c r="M1114" s="5">
        <f>IFERROR(__xludf.DUMMYFUNCTION("""COMPUTED_VALUE"""),1.0)</f>
        <v>1</v>
      </c>
    </row>
    <row r="1115">
      <c r="A1115" s="10" t="str">
        <f>IFERROR(__xludf.DUMMYFUNCTION("""COMPUTED_VALUE"""),"EternalS")</f>
        <v>EternalS</v>
      </c>
      <c r="B1115" s="10">
        <f>IFERROR(__xludf.DUMMYFUNCTION("""COMPUTED_VALUE"""),593.0)</f>
        <v>593</v>
      </c>
      <c r="C1115" s="10">
        <f>IFERROR(__xludf.DUMMYFUNCTION("""COMPUTED_VALUE"""),6974.0)</f>
        <v>6974</v>
      </c>
      <c r="D1115" s="5">
        <f>IFERROR(__xludf.DUMMYFUNCTION("""COMPUTED_VALUE"""),0.38301206707412633)</f>
        <v>0.3830120671</v>
      </c>
      <c r="E1115" s="5">
        <f>IFERROR(__xludf.DUMMYFUNCTION("""COMPUTED_VALUE"""),0.13947657107036515)</f>
        <v>0.1394765711</v>
      </c>
      <c r="F1115" s="5">
        <f>IFERROR(__xludf.DUMMYFUNCTION("""COMPUTED_VALUE"""),0.22519981194170194)</f>
        <v>0.2251998119</v>
      </c>
      <c r="G1115" s="5">
        <f>IFERROR(__xludf.DUMMYFUNCTION("""COMPUTED_VALUE"""),0.15937940761636107)</f>
        <v>0.1593794076</v>
      </c>
      <c r="H1115" s="5">
        <f>IFERROR(__xludf.DUMMYFUNCTION("""COMPUTED_VALUE"""),0.6228253305497564)</f>
        <v>0.6228253305</v>
      </c>
      <c r="I1115" s="11">
        <f>IFERROR(__xludf.DUMMYFUNCTION("""COMPUTED_VALUE"""),5289.979123173278)</f>
        <v>5289.979123</v>
      </c>
      <c r="J1115" s="10">
        <f>IFERROR(__xludf.DUMMYFUNCTION("""COMPUTED_VALUE"""),0.0)</f>
        <v>0</v>
      </c>
      <c r="K1115" s="5">
        <f>IFERROR(__xludf.DUMMYFUNCTION("""COMPUTED_VALUE"""),0.0)</f>
        <v>0</v>
      </c>
      <c r="L1115" s="10">
        <f>IFERROR(__xludf.DUMMYFUNCTION("""COMPUTED_VALUE"""),441.0)</f>
        <v>441</v>
      </c>
      <c r="M1115" s="5">
        <f>IFERROR(__xludf.DUMMYFUNCTION("""COMPUTED_VALUE"""),0.7436762225969646)</f>
        <v>0.7436762226</v>
      </c>
    </row>
    <row r="1116">
      <c r="A1116" s="10" t="str">
        <f>IFERROR(__xludf.DUMMYFUNCTION("""COMPUTED_VALUE"""),"amane-")</f>
        <v>amane-</v>
      </c>
      <c r="B1116" s="10">
        <f>IFERROR(__xludf.DUMMYFUNCTION("""COMPUTED_VALUE"""),889.0)</f>
        <v>889</v>
      </c>
      <c r="C1116" s="10">
        <f>IFERROR(__xludf.DUMMYFUNCTION("""COMPUTED_VALUE"""),10432.0)</f>
        <v>10432</v>
      </c>
      <c r="D1116" s="5">
        <f>IFERROR(__xludf.DUMMYFUNCTION("""COMPUTED_VALUE"""),0.3289322016137483)</f>
        <v>0.3289322016</v>
      </c>
      <c r="E1116" s="5">
        <f>IFERROR(__xludf.DUMMYFUNCTION("""COMPUTED_VALUE"""),0.13947395997065912)</f>
        <v>0.13947396</v>
      </c>
      <c r="F1116" s="5">
        <f>IFERROR(__xludf.DUMMYFUNCTION("""COMPUTED_VALUE"""),0.2047574138111705)</f>
        <v>0.2047574138</v>
      </c>
      <c r="G1116" s="5">
        <f>IFERROR(__xludf.DUMMYFUNCTION("""COMPUTED_VALUE"""),0.18998218589542074)</f>
        <v>0.1899821859</v>
      </c>
      <c r="H1116" s="5">
        <f>IFERROR(__xludf.DUMMYFUNCTION("""COMPUTED_VALUE"""),0.586489252814739)</f>
        <v>0.5864892528</v>
      </c>
      <c r="I1116" s="11">
        <f>IFERROR(__xludf.DUMMYFUNCTION("""COMPUTED_VALUE"""),5778.812691914022)</f>
        <v>5778.812692</v>
      </c>
      <c r="J1116" s="10">
        <f>IFERROR(__xludf.DUMMYFUNCTION("""COMPUTED_VALUE"""),2.0)</f>
        <v>2</v>
      </c>
      <c r="K1116" s="5">
        <f>IFERROR(__xludf.DUMMYFUNCTION("""COMPUTED_VALUE"""),0.0022497187851518562)</f>
        <v>0.002249718785</v>
      </c>
      <c r="L1116" s="10">
        <f>IFERROR(__xludf.DUMMYFUNCTION("""COMPUTED_VALUE"""),889.0)</f>
        <v>889</v>
      </c>
      <c r="M1116" s="5">
        <f>IFERROR(__xludf.DUMMYFUNCTION("""COMPUTED_VALUE"""),1.0)</f>
        <v>1</v>
      </c>
    </row>
    <row r="1117">
      <c r="A1117" s="10" t="str">
        <f>IFERROR(__xludf.DUMMYFUNCTION("""COMPUTED_VALUE"""),"プロテイン得盛")</f>
        <v>プロテイン得盛</v>
      </c>
      <c r="B1117" s="10">
        <f>IFERROR(__xludf.DUMMYFUNCTION("""COMPUTED_VALUE"""),5730.0)</f>
        <v>5730</v>
      </c>
      <c r="C1117" s="10">
        <f>IFERROR(__xludf.DUMMYFUNCTION("""COMPUTED_VALUE"""),66695.0)</f>
        <v>66695</v>
      </c>
      <c r="D1117" s="5">
        <f>IFERROR(__xludf.DUMMYFUNCTION("""COMPUTED_VALUE"""),0.39484950381366357)</f>
        <v>0.3948495038</v>
      </c>
      <c r="E1117" s="5">
        <f>IFERROR(__xludf.DUMMYFUNCTION("""COMPUTED_VALUE"""),0.13947346838349872)</f>
        <v>0.1394734684</v>
      </c>
      <c r="F1117" s="5">
        <f>IFERROR(__xludf.DUMMYFUNCTION("""COMPUTED_VALUE"""),0.2293119002706471)</f>
        <v>0.2293119003</v>
      </c>
      <c r="G1117" s="5">
        <f>IFERROR(__xludf.DUMMYFUNCTION("""COMPUTED_VALUE"""),0.18046420077093414)</f>
        <v>0.1804642008</v>
      </c>
      <c r="H1117" s="5">
        <f>IFERROR(__xludf.DUMMYFUNCTION("""COMPUTED_VALUE"""),0.5994992846924178)</f>
        <v>0.5994992847</v>
      </c>
      <c r="I1117" s="11">
        <f>IFERROR(__xludf.DUMMYFUNCTION("""COMPUTED_VALUE"""),5445.736766809729)</f>
        <v>5445.736767</v>
      </c>
      <c r="J1117" s="10">
        <f>IFERROR(__xludf.DUMMYFUNCTION("""COMPUTED_VALUE"""),7.0)</f>
        <v>7</v>
      </c>
      <c r="K1117" s="5">
        <f>IFERROR(__xludf.DUMMYFUNCTION("""COMPUTED_VALUE"""),0.0012216404886561956)</f>
        <v>0.001221640489</v>
      </c>
      <c r="L1117" s="10">
        <f>IFERROR(__xludf.DUMMYFUNCTION("""COMPUTED_VALUE"""),5730.0)</f>
        <v>5730</v>
      </c>
      <c r="M1117" s="5">
        <f>IFERROR(__xludf.DUMMYFUNCTION("""COMPUTED_VALUE"""),1.0)</f>
        <v>1</v>
      </c>
    </row>
    <row r="1118">
      <c r="A1118" s="10" t="str">
        <f>IFERROR(__xludf.DUMMYFUNCTION("""COMPUTED_VALUE"""),"ナツカワ")</f>
        <v>ナツカワ</v>
      </c>
      <c r="B1118" s="10">
        <f>IFERROR(__xludf.DUMMYFUNCTION("""COMPUTED_VALUE"""),148.0)</f>
        <v>148</v>
      </c>
      <c r="C1118" s="10">
        <f>IFERROR(__xludf.DUMMYFUNCTION("""COMPUTED_VALUE"""),1704.0)</f>
        <v>1704</v>
      </c>
      <c r="D1118" s="5">
        <f>IFERROR(__xludf.DUMMYFUNCTION("""COMPUTED_VALUE"""),0.30719794344473006)</f>
        <v>0.3071979434</v>
      </c>
      <c r="E1118" s="5">
        <f>IFERROR(__xludf.DUMMYFUNCTION("""COMPUTED_VALUE"""),0.13946015424164523)</f>
        <v>0.1394601542</v>
      </c>
      <c r="F1118" s="5">
        <f>IFERROR(__xludf.DUMMYFUNCTION("""COMPUTED_VALUE"""),0.20179948586118251)</f>
        <v>0.2017994859</v>
      </c>
      <c r="G1118" s="5">
        <f>IFERROR(__xludf.DUMMYFUNCTION("""COMPUTED_VALUE"""),0.19730077120822623)</f>
        <v>0.1973007712</v>
      </c>
      <c r="H1118" s="5">
        <f>IFERROR(__xludf.DUMMYFUNCTION("""COMPUTED_VALUE"""),0.5573248407643312)</f>
        <v>0.5573248408</v>
      </c>
      <c r="I1118" s="11">
        <f>IFERROR(__xludf.DUMMYFUNCTION("""COMPUTED_VALUE"""),5728.025477707007)</f>
        <v>5728.025478</v>
      </c>
      <c r="J1118" s="10">
        <f>IFERROR(__xludf.DUMMYFUNCTION("""COMPUTED_VALUE"""),0.0)</f>
        <v>0</v>
      </c>
      <c r="K1118" s="5">
        <f>IFERROR(__xludf.DUMMYFUNCTION("""COMPUTED_VALUE"""),0.0)</f>
        <v>0</v>
      </c>
      <c r="L1118" s="10">
        <f>IFERROR(__xludf.DUMMYFUNCTION("""COMPUTED_VALUE"""),0.0)</f>
        <v>0</v>
      </c>
      <c r="M1118" s="5">
        <f>IFERROR(__xludf.DUMMYFUNCTION("""COMPUTED_VALUE"""),0.0)</f>
        <v>0</v>
      </c>
    </row>
    <row r="1119">
      <c r="A1119" s="10" t="str">
        <f>IFERROR(__xludf.DUMMYFUNCTION("""COMPUTED_VALUE"""),"エスター")</f>
        <v>エスター</v>
      </c>
      <c r="B1119" s="10">
        <f>IFERROR(__xludf.DUMMYFUNCTION("""COMPUTED_VALUE"""),407.0)</f>
        <v>407</v>
      </c>
      <c r="C1119" s="10">
        <f>IFERROR(__xludf.DUMMYFUNCTION("""COMPUTED_VALUE"""),4688.0)</f>
        <v>4688</v>
      </c>
      <c r="D1119" s="5">
        <f>IFERROR(__xludf.DUMMYFUNCTION("""COMPUTED_VALUE"""),0.3480495211399206)</f>
        <v>0.3480495211</v>
      </c>
      <c r="E1119" s="5">
        <f>IFERROR(__xludf.DUMMYFUNCTION("""COMPUTED_VALUE"""),0.13945339873861248)</f>
        <v>0.1394533987</v>
      </c>
      <c r="F1119" s="5">
        <f>IFERROR(__xludf.DUMMYFUNCTION("""COMPUTED_VALUE"""),0.2158374211632796)</f>
        <v>0.2158374212</v>
      </c>
      <c r="G1119" s="5">
        <f>IFERROR(__xludf.DUMMYFUNCTION("""COMPUTED_VALUE"""),0.1779957953749124)</f>
        <v>0.1779957954</v>
      </c>
      <c r="H1119" s="5">
        <f>IFERROR(__xludf.DUMMYFUNCTION("""COMPUTED_VALUE"""),0.5909090909090909)</f>
        <v>0.5909090909</v>
      </c>
      <c r="I1119" s="11">
        <f>IFERROR(__xludf.DUMMYFUNCTION("""COMPUTED_VALUE"""),5686.580086580087)</f>
        <v>5686.580087</v>
      </c>
      <c r="J1119" s="10">
        <f>IFERROR(__xludf.DUMMYFUNCTION("""COMPUTED_VALUE"""),0.0)</f>
        <v>0</v>
      </c>
      <c r="K1119" s="5">
        <f>IFERROR(__xludf.DUMMYFUNCTION("""COMPUTED_VALUE"""),0.0)</f>
        <v>0</v>
      </c>
      <c r="L1119" s="10">
        <f>IFERROR(__xludf.DUMMYFUNCTION("""COMPUTED_VALUE"""),407.0)</f>
        <v>407</v>
      </c>
      <c r="M1119" s="5">
        <f>IFERROR(__xludf.DUMMYFUNCTION("""COMPUTED_VALUE"""),1.0)</f>
        <v>1</v>
      </c>
    </row>
    <row r="1120">
      <c r="A1120" s="10" t="str">
        <f>IFERROR(__xludf.DUMMYFUNCTION("""COMPUTED_VALUE"""),"バスター君")</f>
        <v>バスター君</v>
      </c>
      <c r="B1120" s="10">
        <f>IFERROR(__xludf.DUMMYFUNCTION("""COMPUTED_VALUE"""),671.0)</f>
        <v>671</v>
      </c>
      <c r="C1120" s="10">
        <f>IFERROR(__xludf.DUMMYFUNCTION("""COMPUTED_VALUE"""),7835.0)</f>
        <v>7835</v>
      </c>
      <c r="D1120" s="5">
        <f>IFERROR(__xludf.DUMMYFUNCTION("""COMPUTED_VALUE"""),0.3174204355108878)</f>
        <v>0.3174204355</v>
      </c>
      <c r="E1120" s="5">
        <f>IFERROR(__xludf.DUMMYFUNCTION("""COMPUTED_VALUE"""),0.13944723618090452)</f>
        <v>0.1394472362</v>
      </c>
      <c r="F1120" s="5">
        <f>IFERROR(__xludf.DUMMYFUNCTION("""COMPUTED_VALUE"""),0.22082635399218314)</f>
        <v>0.220826354</v>
      </c>
      <c r="G1120" s="5">
        <f>IFERROR(__xludf.DUMMYFUNCTION("""COMPUTED_VALUE"""),0.17587939698492464)</f>
        <v>0.175879397</v>
      </c>
      <c r="H1120" s="5">
        <f>IFERROR(__xludf.DUMMYFUNCTION("""COMPUTED_VALUE"""),0.5916561314791403)</f>
        <v>0.5916561315</v>
      </c>
      <c r="I1120" s="11">
        <f>IFERROR(__xludf.DUMMYFUNCTION("""COMPUTED_VALUE"""),5519.089759797725)</f>
        <v>5519.08976</v>
      </c>
      <c r="J1120" s="10">
        <f>IFERROR(__xludf.DUMMYFUNCTION("""COMPUTED_VALUE"""),1.0)</f>
        <v>1</v>
      </c>
      <c r="K1120" s="5">
        <f>IFERROR(__xludf.DUMMYFUNCTION("""COMPUTED_VALUE"""),0.0014903129657228018)</f>
        <v>0.001490312966</v>
      </c>
      <c r="L1120" s="10">
        <f>IFERROR(__xludf.DUMMYFUNCTION("""COMPUTED_VALUE"""),671.0)</f>
        <v>671</v>
      </c>
      <c r="M1120" s="5">
        <f>IFERROR(__xludf.DUMMYFUNCTION("""COMPUTED_VALUE"""),1.0)</f>
        <v>1</v>
      </c>
    </row>
    <row r="1121">
      <c r="A1121" s="10" t="str">
        <f>IFERROR(__xludf.DUMMYFUNCTION("""COMPUTED_VALUE"""),"5ya")</f>
        <v>5ya</v>
      </c>
      <c r="B1121" s="10">
        <f>IFERROR(__xludf.DUMMYFUNCTION("""COMPUTED_VALUE"""),498.0)</f>
        <v>498</v>
      </c>
      <c r="C1121" s="10">
        <f>IFERROR(__xludf.DUMMYFUNCTION("""COMPUTED_VALUE"""),5755.0)</f>
        <v>5755</v>
      </c>
      <c r="D1121" s="5">
        <f>IFERROR(__xludf.DUMMYFUNCTION("""COMPUTED_VALUE"""),0.38044512079132586)</f>
        <v>0.3804451208</v>
      </c>
      <c r="E1121" s="5">
        <f>IFERROR(__xludf.DUMMYFUNCTION("""COMPUTED_VALUE"""),0.13943313677002092)</f>
        <v>0.1394331368</v>
      </c>
      <c r="F1121" s="5">
        <f>IFERROR(__xludf.DUMMYFUNCTION("""COMPUTED_VALUE"""),0.21723416397184706)</f>
        <v>0.217234164</v>
      </c>
      <c r="G1121" s="5">
        <f>IFERROR(__xludf.DUMMYFUNCTION("""COMPUTED_VALUE"""),0.16796652082937036)</f>
        <v>0.1679665208</v>
      </c>
      <c r="H1121" s="5">
        <f>IFERROR(__xludf.DUMMYFUNCTION("""COMPUTED_VALUE"""),0.6015761821366025)</f>
        <v>0.6015761821</v>
      </c>
      <c r="I1121" s="11">
        <f>IFERROR(__xludf.DUMMYFUNCTION("""COMPUTED_VALUE"""),5222.416812609457)</f>
        <v>5222.416813</v>
      </c>
      <c r="J1121" s="10">
        <f>IFERROR(__xludf.DUMMYFUNCTION("""COMPUTED_VALUE"""),0.0)</f>
        <v>0</v>
      </c>
      <c r="K1121" s="5">
        <f>IFERROR(__xludf.DUMMYFUNCTION("""COMPUTED_VALUE"""),0.0)</f>
        <v>0</v>
      </c>
      <c r="L1121" s="10">
        <f>IFERROR(__xludf.DUMMYFUNCTION("""COMPUTED_VALUE"""),498.0)</f>
        <v>498</v>
      </c>
      <c r="M1121" s="5">
        <f>IFERROR(__xludf.DUMMYFUNCTION("""COMPUTED_VALUE"""),1.0)</f>
        <v>1</v>
      </c>
    </row>
    <row r="1122">
      <c r="A1122" s="10" t="str">
        <f>IFERROR(__xludf.DUMMYFUNCTION("""COMPUTED_VALUE"""),"ごりごりごりら")</f>
        <v>ごりごりごりら</v>
      </c>
      <c r="B1122" s="10">
        <f>IFERROR(__xludf.DUMMYFUNCTION("""COMPUTED_VALUE"""),4840.0)</f>
        <v>4840</v>
      </c>
      <c r="C1122" s="10">
        <f>IFERROR(__xludf.DUMMYFUNCTION("""COMPUTED_VALUE"""),56694.0)</f>
        <v>56694</v>
      </c>
      <c r="D1122" s="5">
        <f>IFERROR(__xludf.DUMMYFUNCTION("""COMPUTED_VALUE"""),0.36217071007058277)</f>
        <v>0.3621707101</v>
      </c>
      <c r="E1122" s="5">
        <f>IFERROR(__xludf.DUMMYFUNCTION("""COMPUTED_VALUE"""),0.1394299379025726)</f>
        <v>0.1394299379</v>
      </c>
      <c r="F1122" s="5">
        <f>IFERROR(__xludf.DUMMYFUNCTION("""COMPUTED_VALUE"""),0.21562463840783738)</f>
        <v>0.2156246384</v>
      </c>
      <c r="G1122" s="5">
        <f>IFERROR(__xludf.DUMMYFUNCTION("""COMPUTED_VALUE"""),0.18675512014502257)</f>
        <v>0.1867551201</v>
      </c>
      <c r="H1122" s="5">
        <f>IFERROR(__xludf.DUMMYFUNCTION("""COMPUTED_VALUE"""),0.6003935247294517)</f>
        <v>0.6003935247</v>
      </c>
      <c r="I1122" s="11">
        <f>IFERROR(__xludf.DUMMYFUNCTION("""COMPUTED_VALUE"""),5803.0855916286555)</f>
        <v>5803.085592</v>
      </c>
      <c r="J1122" s="10">
        <f>IFERROR(__xludf.DUMMYFUNCTION("""COMPUTED_VALUE"""),10.0)</f>
        <v>10</v>
      </c>
      <c r="K1122" s="5">
        <f>IFERROR(__xludf.DUMMYFUNCTION("""COMPUTED_VALUE"""),0.002066115702479339)</f>
        <v>0.002066115702</v>
      </c>
      <c r="L1122" s="10">
        <f>IFERROR(__xludf.DUMMYFUNCTION("""COMPUTED_VALUE"""),4811.0)</f>
        <v>4811</v>
      </c>
      <c r="M1122" s="5">
        <f>IFERROR(__xludf.DUMMYFUNCTION("""COMPUTED_VALUE"""),0.9940082644628099)</f>
        <v>0.9940082645</v>
      </c>
    </row>
    <row r="1123">
      <c r="A1123" s="10" t="str">
        <f>IFERROR(__xludf.DUMMYFUNCTION("""COMPUTED_VALUE"""),"我流X")</f>
        <v>我流X</v>
      </c>
      <c r="B1123" s="10">
        <f>IFERROR(__xludf.DUMMYFUNCTION("""COMPUTED_VALUE"""),252.0)</f>
        <v>252</v>
      </c>
      <c r="C1123" s="10">
        <f>IFERROR(__xludf.DUMMYFUNCTION("""COMPUTED_VALUE"""),2956.0)</f>
        <v>2956</v>
      </c>
      <c r="D1123" s="5">
        <f>IFERROR(__xludf.DUMMYFUNCTION("""COMPUTED_VALUE"""),0.3443047337278107)</f>
        <v>0.3443047337</v>
      </c>
      <c r="E1123" s="5">
        <f>IFERROR(__xludf.DUMMYFUNCTION("""COMPUTED_VALUE"""),0.13942307692307693)</f>
        <v>0.1394230769</v>
      </c>
      <c r="F1123" s="5">
        <f>IFERROR(__xludf.DUMMYFUNCTION("""COMPUTED_VALUE"""),0.22115384615384615)</f>
        <v>0.2211538462</v>
      </c>
      <c r="G1123" s="5">
        <f>IFERROR(__xludf.DUMMYFUNCTION("""COMPUTED_VALUE"""),0.17455621301775148)</f>
        <v>0.174556213</v>
      </c>
      <c r="H1123" s="5">
        <f>IFERROR(__xludf.DUMMYFUNCTION("""COMPUTED_VALUE"""),0.5936454849498328)</f>
        <v>0.5936454849</v>
      </c>
      <c r="I1123" s="11">
        <f>IFERROR(__xludf.DUMMYFUNCTION("""COMPUTED_VALUE"""),5636.454849498327)</f>
        <v>5636.454849</v>
      </c>
      <c r="J1123" s="10">
        <f>IFERROR(__xludf.DUMMYFUNCTION("""COMPUTED_VALUE"""),1.0)</f>
        <v>1</v>
      </c>
      <c r="K1123" s="5">
        <f>IFERROR(__xludf.DUMMYFUNCTION("""COMPUTED_VALUE"""),0.003968253968253968)</f>
        <v>0.003968253968</v>
      </c>
      <c r="L1123" s="10">
        <f>IFERROR(__xludf.DUMMYFUNCTION("""COMPUTED_VALUE"""),252.0)</f>
        <v>252</v>
      </c>
      <c r="M1123" s="5">
        <f>IFERROR(__xludf.DUMMYFUNCTION("""COMPUTED_VALUE"""),1.0)</f>
        <v>1</v>
      </c>
    </row>
    <row r="1124">
      <c r="A1124" s="10" t="str">
        <f>IFERROR(__xludf.DUMMYFUNCTION("""COMPUTED_VALUE"""),"カタリナ")</f>
        <v>カタリナ</v>
      </c>
      <c r="B1124" s="10">
        <f>IFERROR(__xludf.DUMMYFUNCTION("""COMPUTED_VALUE"""),638.0)</f>
        <v>638</v>
      </c>
      <c r="C1124" s="10">
        <f>IFERROR(__xludf.DUMMYFUNCTION("""COMPUTED_VALUE"""),7581.0)</f>
        <v>7581</v>
      </c>
      <c r="D1124" s="5">
        <f>IFERROR(__xludf.DUMMYFUNCTION("""COMPUTED_VALUE"""),0.37044505257093474)</f>
        <v>0.3704450526</v>
      </c>
      <c r="E1124" s="5">
        <f>IFERROR(__xludf.DUMMYFUNCTION("""COMPUTED_VALUE"""),0.13942099956791013)</f>
        <v>0.1394209996</v>
      </c>
      <c r="F1124" s="5">
        <f>IFERROR(__xludf.DUMMYFUNCTION("""COMPUTED_VALUE"""),0.22180613567622065)</f>
        <v>0.2218061357</v>
      </c>
      <c r="G1124" s="5">
        <f>IFERROR(__xludf.DUMMYFUNCTION("""COMPUTED_VALUE"""),0.1773008785827452)</f>
        <v>0.1773008786</v>
      </c>
      <c r="H1124" s="5">
        <f>IFERROR(__xludf.DUMMYFUNCTION("""COMPUTED_VALUE"""),0.624025974025974)</f>
        <v>0.624025974</v>
      </c>
      <c r="I1124" s="11">
        <f>IFERROR(__xludf.DUMMYFUNCTION("""COMPUTED_VALUE"""),5491.233766233766)</f>
        <v>5491.233766</v>
      </c>
      <c r="J1124" s="10">
        <f>IFERROR(__xludf.DUMMYFUNCTION("""COMPUTED_VALUE"""),2.0)</f>
        <v>2</v>
      </c>
      <c r="K1124" s="5">
        <f>IFERROR(__xludf.DUMMYFUNCTION("""COMPUTED_VALUE"""),0.003134796238244514)</f>
        <v>0.003134796238</v>
      </c>
      <c r="L1124" s="10">
        <f>IFERROR(__xludf.DUMMYFUNCTION("""COMPUTED_VALUE"""),638.0)</f>
        <v>638</v>
      </c>
      <c r="M1124" s="5">
        <f>IFERROR(__xludf.DUMMYFUNCTION("""COMPUTED_VALUE"""),1.0)</f>
        <v>1</v>
      </c>
    </row>
    <row r="1125">
      <c r="A1125" s="10" t="str">
        <f>IFERROR(__xludf.DUMMYFUNCTION("""COMPUTED_VALUE"""),"隠地前")</f>
        <v>隠地前</v>
      </c>
      <c r="B1125" s="10">
        <f>IFERROR(__xludf.DUMMYFUNCTION("""COMPUTED_VALUE"""),701.0)</f>
        <v>701</v>
      </c>
      <c r="C1125" s="10">
        <f>IFERROR(__xludf.DUMMYFUNCTION("""COMPUTED_VALUE"""),8140.0)</f>
        <v>8140</v>
      </c>
      <c r="D1125" s="5">
        <f>IFERROR(__xludf.DUMMYFUNCTION("""COMPUTED_VALUE"""),0.3308240354886409)</f>
        <v>0.3308240355</v>
      </c>
      <c r="E1125" s="5">
        <f>IFERROR(__xludf.DUMMYFUNCTION("""COMPUTED_VALUE"""),0.13940045705067886)</f>
        <v>0.1394004571</v>
      </c>
      <c r="F1125" s="5">
        <f>IFERROR(__xludf.DUMMYFUNCTION("""COMPUTED_VALUE"""),0.21965317919075145)</f>
        <v>0.2196531792</v>
      </c>
      <c r="G1125" s="5">
        <f>IFERROR(__xludf.DUMMYFUNCTION("""COMPUTED_VALUE"""),0.18685307164941525)</f>
        <v>0.1868530716</v>
      </c>
      <c r="H1125" s="5">
        <f>IFERROR(__xludf.DUMMYFUNCTION("""COMPUTED_VALUE"""),0.6132190942472461)</f>
        <v>0.6132190942</v>
      </c>
      <c r="I1125" s="11">
        <f>IFERROR(__xludf.DUMMYFUNCTION("""COMPUTED_VALUE"""),5712.056303549572)</f>
        <v>5712.056304</v>
      </c>
      <c r="J1125" s="10">
        <f>IFERROR(__xludf.DUMMYFUNCTION("""COMPUTED_VALUE"""),1.0)</f>
        <v>1</v>
      </c>
      <c r="K1125" s="5">
        <f>IFERROR(__xludf.DUMMYFUNCTION("""COMPUTED_VALUE"""),0.0014265335235378032)</f>
        <v>0.001426533524</v>
      </c>
      <c r="L1125" s="10">
        <f>IFERROR(__xludf.DUMMYFUNCTION("""COMPUTED_VALUE"""),700.0)</f>
        <v>700</v>
      </c>
      <c r="M1125" s="5">
        <f>IFERROR(__xludf.DUMMYFUNCTION("""COMPUTED_VALUE"""),0.9985734664764622)</f>
        <v>0.9985734665</v>
      </c>
    </row>
    <row r="1126">
      <c r="A1126" s="10" t="str">
        <f>IFERROR(__xludf.DUMMYFUNCTION("""COMPUTED_VALUE"""),"CHUGE")</f>
        <v>CHUGE</v>
      </c>
      <c r="B1126" s="10">
        <f>IFERROR(__xludf.DUMMYFUNCTION("""COMPUTED_VALUE"""),210.0)</f>
        <v>210</v>
      </c>
      <c r="C1126" s="10">
        <f>IFERROR(__xludf.DUMMYFUNCTION("""COMPUTED_VALUE"""),2441.0)</f>
        <v>2441</v>
      </c>
      <c r="D1126" s="5">
        <f>IFERROR(__xludf.DUMMYFUNCTION("""COMPUTED_VALUE"""),0.34558493948901836)</f>
        <v>0.3455849395</v>
      </c>
      <c r="E1126" s="5">
        <f>IFERROR(__xludf.DUMMYFUNCTION("""COMPUTED_VALUE"""),0.1393993724787091)</f>
        <v>0.1393993725</v>
      </c>
      <c r="F1126" s="5">
        <f>IFERROR(__xludf.DUMMYFUNCTION("""COMPUTED_VALUE"""),0.22142536978933214)</f>
        <v>0.2214253698</v>
      </c>
      <c r="G1126" s="5">
        <f>IFERROR(__xludf.DUMMYFUNCTION("""COMPUTED_VALUE"""),0.20170327207530256)</f>
        <v>0.2017032721</v>
      </c>
      <c r="H1126" s="5">
        <f>IFERROR(__xludf.DUMMYFUNCTION("""COMPUTED_VALUE"""),0.611336032388664)</f>
        <v>0.6113360324</v>
      </c>
      <c r="I1126" s="11">
        <f>IFERROR(__xludf.DUMMYFUNCTION("""COMPUTED_VALUE"""),5815.384615384615)</f>
        <v>5815.384615</v>
      </c>
      <c r="J1126" s="10">
        <f>IFERROR(__xludf.DUMMYFUNCTION("""COMPUTED_VALUE"""),0.0)</f>
        <v>0</v>
      </c>
      <c r="K1126" s="5">
        <f>IFERROR(__xludf.DUMMYFUNCTION("""COMPUTED_VALUE"""),0.0)</f>
        <v>0</v>
      </c>
      <c r="L1126" s="10">
        <f>IFERROR(__xludf.DUMMYFUNCTION("""COMPUTED_VALUE"""),210.0)</f>
        <v>210</v>
      </c>
      <c r="M1126" s="5">
        <f>IFERROR(__xludf.DUMMYFUNCTION("""COMPUTED_VALUE"""),1.0)</f>
        <v>1</v>
      </c>
    </row>
    <row r="1127">
      <c r="A1127" s="10" t="str">
        <f>IFERROR(__xludf.DUMMYFUNCTION("""COMPUTED_VALUE"""),"みなとぱぱ")</f>
        <v>みなとぱぱ</v>
      </c>
      <c r="B1127" s="10">
        <f>IFERROR(__xludf.DUMMYFUNCTION("""COMPUTED_VALUE"""),255.0)</f>
        <v>255</v>
      </c>
      <c r="C1127" s="10">
        <f>IFERROR(__xludf.DUMMYFUNCTION("""COMPUTED_VALUE"""),2895.0)</f>
        <v>2895</v>
      </c>
      <c r="D1127" s="5">
        <f>IFERROR(__xludf.DUMMYFUNCTION("""COMPUTED_VALUE"""),0.3299242424242424)</f>
        <v>0.3299242424</v>
      </c>
      <c r="E1127" s="5">
        <f>IFERROR(__xludf.DUMMYFUNCTION("""COMPUTED_VALUE"""),0.1393939393939394)</f>
        <v>0.1393939394</v>
      </c>
      <c r="F1127" s="5">
        <f>IFERROR(__xludf.DUMMYFUNCTION("""COMPUTED_VALUE"""),0.22234848484848485)</f>
        <v>0.2223484848</v>
      </c>
      <c r="G1127" s="5">
        <f>IFERROR(__xludf.DUMMYFUNCTION("""COMPUTED_VALUE"""),0.19924242424242425)</f>
        <v>0.1992424242</v>
      </c>
      <c r="H1127" s="5">
        <f>IFERROR(__xludf.DUMMYFUNCTION("""COMPUTED_VALUE"""),0.606473594548552)</f>
        <v>0.6064735945</v>
      </c>
      <c r="I1127" s="11">
        <f>IFERROR(__xludf.DUMMYFUNCTION("""COMPUTED_VALUE"""),5890.800681431005)</f>
        <v>5890.800681</v>
      </c>
      <c r="J1127" s="10">
        <f>IFERROR(__xludf.DUMMYFUNCTION("""COMPUTED_VALUE"""),1.0)</f>
        <v>1</v>
      </c>
      <c r="K1127" s="5">
        <f>IFERROR(__xludf.DUMMYFUNCTION("""COMPUTED_VALUE"""),0.00392156862745098)</f>
        <v>0.003921568627</v>
      </c>
      <c r="L1127" s="10">
        <f>IFERROR(__xludf.DUMMYFUNCTION("""COMPUTED_VALUE"""),255.0)</f>
        <v>255</v>
      </c>
      <c r="M1127" s="5">
        <f>IFERROR(__xludf.DUMMYFUNCTION("""COMPUTED_VALUE"""),1.0)</f>
        <v>1</v>
      </c>
    </row>
    <row r="1128">
      <c r="A1128" s="10" t="str">
        <f>IFERROR(__xludf.DUMMYFUNCTION("""COMPUTED_VALUE"""),"BAR4")</f>
        <v>BAR4</v>
      </c>
      <c r="B1128" s="10">
        <f>IFERROR(__xludf.DUMMYFUNCTION("""COMPUTED_VALUE"""),405.0)</f>
        <v>405</v>
      </c>
      <c r="C1128" s="10">
        <f>IFERROR(__xludf.DUMMYFUNCTION("""COMPUTED_VALUE"""),4559.0)</f>
        <v>4559</v>
      </c>
      <c r="D1128" s="5">
        <f>IFERROR(__xludf.DUMMYFUNCTION("""COMPUTED_VALUE"""),0.33437650457390466)</f>
        <v>0.3343765046</v>
      </c>
      <c r="E1128" s="5">
        <f>IFERROR(__xludf.DUMMYFUNCTION("""COMPUTED_VALUE"""),0.13938372652864708)</f>
        <v>0.1393837265</v>
      </c>
      <c r="F1128" s="5">
        <f>IFERROR(__xludf.DUMMYFUNCTION("""COMPUTED_VALUE"""),0.2065479056331247)</f>
        <v>0.2065479056</v>
      </c>
      <c r="G1128" s="5">
        <f>IFERROR(__xludf.DUMMYFUNCTION("""COMPUTED_VALUE"""),0.20991815117958595)</f>
        <v>0.2099181512</v>
      </c>
      <c r="H1128" s="5">
        <f>IFERROR(__xludf.DUMMYFUNCTION("""COMPUTED_VALUE"""),0.5920745920745921)</f>
        <v>0.5920745921</v>
      </c>
      <c r="I1128" s="11">
        <f>IFERROR(__xludf.DUMMYFUNCTION("""COMPUTED_VALUE"""),6230.652680652681)</f>
        <v>6230.652681</v>
      </c>
      <c r="J1128" s="10">
        <f>IFERROR(__xludf.DUMMYFUNCTION("""COMPUTED_VALUE"""),2.0)</f>
        <v>2</v>
      </c>
      <c r="K1128" s="5">
        <f>IFERROR(__xludf.DUMMYFUNCTION("""COMPUTED_VALUE"""),0.0049382716049382715)</f>
        <v>0.004938271605</v>
      </c>
      <c r="L1128" s="10">
        <f>IFERROR(__xludf.DUMMYFUNCTION("""COMPUTED_VALUE"""),405.0)</f>
        <v>405</v>
      </c>
      <c r="M1128" s="5">
        <f>IFERROR(__xludf.DUMMYFUNCTION("""COMPUTED_VALUE"""),1.0)</f>
        <v>1</v>
      </c>
    </row>
    <row r="1129">
      <c r="A1129" s="10" t="str">
        <f>IFERROR(__xludf.DUMMYFUNCTION("""COMPUTED_VALUE"""),"イルパラッツォ")</f>
        <v>イルパラッツォ</v>
      </c>
      <c r="B1129" s="10">
        <f>IFERROR(__xludf.DUMMYFUNCTION("""COMPUTED_VALUE"""),361.0)</f>
        <v>361</v>
      </c>
      <c r="C1129" s="10">
        <f>IFERROR(__xludf.DUMMYFUNCTION("""COMPUTED_VALUE"""),4350.0)</f>
        <v>4350</v>
      </c>
      <c r="D1129" s="5">
        <f>IFERROR(__xludf.DUMMYFUNCTION("""COMPUTED_VALUE"""),0.3527199799448483)</f>
        <v>0.3527199799</v>
      </c>
      <c r="E1129" s="5">
        <f>IFERROR(__xludf.DUMMYFUNCTION("""COMPUTED_VALUE"""),0.13938330408623714)</f>
        <v>0.1393833041</v>
      </c>
      <c r="F1129" s="5">
        <f>IFERROR(__xludf.DUMMYFUNCTION("""COMPUTED_VALUE"""),0.19077463023314115)</f>
        <v>0.1907746302</v>
      </c>
      <c r="G1129" s="5">
        <f>IFERROR(__xludf.DUMMYFUNCTION("""COMPUTED_VALUE"""),0.1476560541489095)</f>
        <v>0.1476560541</v>
      </c>
      <c r="H1129" s="5">
        <f>IFERROR(__xludf.DUMMYFUNCTION("""COMPUTED_VALUE"""),0.5992115637319316)</f>
        <v>0.5992115637</v>
      </c>
      <c r="I1129" s="11">
        <f>IFERROR(__xludf.DUMMYFUNCTION("""COMPUTED_VALUE"""),5859.789750328515)</f>
        <v>5859.78975</v>
      </c>
      <c r="J1129" s="10">
        <f>IFERROR(__xludf.DUMMYFUNCTION("""COMPUTED_VALUE"""),1.0)</f>
        <v>1</v>
      </c>
      <c r="K1129" s="5">
        <f>IFERROR(__xludf.DUMMYFUNCTION("""COMPUTED_VALUE"""),0.002770083102493075)</f>
        <v>0.002770083102</v>
      </c>
      <c r="L1129" s="10">
        <f>IFERROR(__xludf.DUMMYFUNCTION("""COMPUTED_VALUE"""),361.0)</f>
        <v>361</v>
      </c>
      <c r="M1129" s="5">
        <f>IFERROR(__xludf.DUMMYFUNCTION("""COMPUTED_VALUE"""),1.0)</f>
        <v>1</v>
      </c>
    </row>
    <row r="1130">
      <c r="A1130" s="10" t="str">
        <f>IFERROR(__xludf.DUMMYFUNCTION("""COMPUTED_VALUE"""),"春のかけら")</f>
        <v>春のかけら</v>
      </c>
      <c r="B1130" s="10">
        <f>IFERROR(__xludf.DUMMYFUNCTION("""COMPUTED_VALUE"""),152.0)</f>
        <v>152</v>
      </c>
      <c r="C1130" s="10">
        <f>IFERROR(__xludf.DUMMYFUNCTION("""COMPUTED_VALUE"""),1752.0)</f>
        <v>1752</v>
      </c>
      <c r="D1130" s="5">
        <f>IFERROR(__xludf.DUMMYFUNCTION("""COMPUTED_VALUE"""),0.331875)</f>
        <v>0.331875</v>
      </c>
      <c r="E1130" s="5">
        <f>IFERROR(__xludf.DUMMYFUNCTION("""COMPUTED_VALUE"""),0.139375)</f>
        <v>0.139375</v>
      </c>
      <c r="F1130" s="5">
        <f>IFERROR(__xludf.DUMMYFUNCTION("""COMPUTED_VALUE"""),0.229375)</f>
        <v>0.229375</v>
      </c>
      <c r="G1130" s="5">
        <f>IFERROR(__xludf.DUMMYFUNCTION("""COMPUTED_VALUE"""),0.214375)</f>
        <v>0.214375</v>
      </c>
      <c r="H1130" s="5">
        <f>IFERROR(__xludf.DUMMYFUNCTION("""COMPUTED_VALUE"""),0.6158038147138964)</f>
        <v>0.6158038147</v>
      </c>
      <c r="I1130" s="11">
        <f>IFERROR(__xludf.DUMMYFUNCTION("""COMPUTED_VALUE"""),6095.91280653951)</f>
        <v>6095.912807</v>
      </c>
      <c r="J1130" s="10">
        <f>IFERROR(__xludf.DUMMYFUNCTION("""COMPUTED_VALUE"""),0.0)</f>
        <v>0</v>
      </c>
      <c r="K1130" s="5">
        <f>IFERROR(__xludf.DUMMYFUNCTION("""COMPUTED_VALUE"""),0.0)</f>
        <v>0</v>
      </c>
      <c r="L1130" s="10">
        <f>IFERROR(__xludf.DUMMYFUNCTION("""COMPUTED_VALUE"""),4.0)</f>
        <v>4</v>
      </c>
      <c r="M1130" s="5">
        <f>IFERROR(__xludf.DUMMYFUNCTION("""COMPUTED_VALUE"""),0.02631578947368421)</f>
        <v>0.02631578947</v>
      </c>
    </row>
    <row r="1131">
      <c r="A1131" s="10" t="str">
        <f>IFERROR(__xludf.DUMMYFUNCTION("""COMPUTED_VALUE"""),"比嘉秀仁")</f>
        <v>比嘉秀仁</v>
      </c>
      <c r="B1131" s="10">
        <f>IFERROR(__xludf.DUMMYFUNCTION("""COMPUTED_VALUE"""),7565.0)</f>
        <v>7565</v>
      </c>
      <c r="C1131" s="10">
        <f>IFERROR(__xludf.DUMMYFUNCTION("""COMPUTED_VALUE"""),88039.0)</f>
        <v>88039</v>
      </c>
      <c r="D1131" s="5">
        <f>IFERROR(__xludf.DUMMYFUNCTION("""COMPUTED_VALUE"""),0.3521510052936352)</f>
        <v>0.3521510053</v>
      </c>
      <c r="E1131" s="5">
        <f>IFERROR(__xludf.DUMMYFUNCTION("""COMPUTED_VALUE"""),0.13937420781867435)</f>
        <v>0.1393742078</v>
      </c>
      <c r="F1131" s="5">
        <f>IFERROR(__xludf.DUMMYFUNCTION("""COMPUTED_VALUE"""),0.2183810920297239)</f>
        <v>0.218381092</v>
      </c>
      <c r="G1131" s="5">
        <f>IFERROR(__xludf.DUMMYFUNCTION("""COMPUTED_VALUE"""),0.19469642368963888)</f>
        <v>0.1946964237</v>
      </c>
      <c r="H1131" s="5">
        <f>IFERROR(__xludf.DUMMYFUNCTION("""COMPUTED_VALUE"""),0.5854102651644475)</f>
        <v>0.5854102652</v>
      </c>
      <c r="I1131" s="11">
        <f>IFERROR(__xludf.DUMMYFUNCTION("""COMPUTED_VALUE"""),5760.179811084557)</f>
        <v>5760.179811</v>
      </c>
      <c r="J1131" s="10">
        <f>IFERROR(__xludf.DUMMYFUNCTION("""COMPUTED_VALUE"""),14.0)</f>
        <v>14</v>
      </c>
      <c r="K1131" s="5">
        <f>IFERROR(__xludf.DUMMYFUNCTION("""COMPUTED_VALUE"""),0.0018506278916060807)</f>
        <v>0.001850627892</v>
      </c>
      <c r="L1131" s="10">
        <f>IFERROR(__xludf.DUMMYFUNCTION("""COMPUTED_VALUE"""),7565.0)</f>
        <v>7565</v>
      </c>
      <c r="M1131" s="5">
        <f>IFERROR(__xludf.DUMMYFUNCTION("""COMPUTED_VALUE"""),1.0)</f>
        <v>1</v>
      </c>
    </row>
    <row r="1132">
      <c r="A1132" s="10" t="str">
        <f>IFERROR(__xludf.DUMMYFUNCTION("""COMPUTED_VALUE"""),"nagamo")</f>
        <v>nagamo</v>
      </c>
      <c r="B1132" s="10">
        <f>IFERROR(__xludf.DUMMYFUNCTION("""COMPUTED_VALUE"""),670.0)</f>
        <v>670</v>
      </c>
      <c r="C1132" s="10">
        <f>IFERROR(__xludf.DUMMYFUNCTION("""COMPUTED_VALUE"""),7910.0)</f>
        <v>7910</v>
      </c>
      <c r="D1132" s="5">
        <f>IFERROR(__xludf.DUMMYFUNCTION("""COMPUTED_VALUE"""),0.29875690607734806)</f>
        <v>0.2987569061</v>
      </c>
      <c r="E1132" s="5">
        <f>IFERROR(__xludf.DUMMYFUNCTION("""COMPUTED_VALUE"""),0.1393646408839779)</f>
        <v>0.1393646409</v>
      </c>
      <c r="F1132" s="5">
        <f>IFERROR(__xludf.DUMMYFUNCTION("""COMPUTED_VALUE"""),0.21892265193370167)</f>
        <v>0.2189226519</v>
      </c>
      <c r="G1132" s="5">
        <f>IFERROR(__xludf.DUMMYFUNCTION("""COMPUTED_VALUE"""),0.14502762430939226)</f>
        <v>0.1450276243</v>
      </c>
      <c r="H1132" s="5">
        <f>IFERROR(__xludf.DUMMYFUNCTION("""COMPUTED_VALUE"""),0.6195583596214511)</f>
        <v>0.6195583596</v>
      </c>
      <c r="I1132" s="11">
        <f>IFERROR(__xludf.DUMMYFUNCTION("""COMPUTED_VALUE"""),5483.722397476341)</f>
        <v>5483.722397</v>
      </c>
      <c r="J1132" s="10">
        <f>IFERROR(__xludf.DUMMYFUNCTION("""COMPUTED_VALUE"""),4.0)</f>
        <v>4</v>
      </c>
      <c r="K1132" s="5">
        <f>IFERROR(__xludf.DUMMYFUNCTION("""COMPUTED_VALUE"""),0.005970149253731343)</f>
        <v>0.005970149254</v>
      </c>
      <c r="L1132" s="10">
        <f>IFERROR(__xludf.DUMMYFUNCTION("""COMPUTED_VALUE"""),670.0)</f>
        <v>670</v>
      </c>
      <c r="M1132" s="5">
        <f>IFERROR(__xludf.DUMMYFUNCTION("""COMPUTED_VALUE"""),1.0)</f>
        <v>1</v>
      </c>
    </row>
    <row r="1133">
      <c r="A1133" s="10" t="str">
        <f>IFERROR(__xludf.DUMMYFUNCTION("""COMPUTED_VALUE"""),"リトルインパクト")</f>
        <v>リトルインパクト</v>
      </c>
      <c r="B1133" s="10">
        <f>IFERROR(__xludf.DUMMYFUNCTION("""COMPUTED_VALUE"""),341.0)</f>
        <v>341</v>
      </c>
      <c r="C1133" s="10">
        <f>IFERROR(__xludf.DUMMYFUNCTION("""COMPUTED_VALUE"""),4008.0)</f>
        <v>4008</v>
      </c>
      <c r="D1133" s="5">
        <f>IFERROR(__xludf.DUMMYFUNCTION("""COMPUTED_VALUE"""),0.3817834742296155)</f>
        <v>0.3817834742</v>
      </c>
      <c r="E1133" s="5">
        <f>IFERROR(__xludf.DUMMYFUNCTION("""COMPUTED_VALUE"""),0.13935096809380965)</f>
        <v>0.1393509681</v>
      </c>
      <c r="F1133" s="5">
        <f>IFERROR(__xludf.DUMMYFUNCTION("""COMPUTED_VALUE"""),0.20152713389691845)</f>
        <v>0.2015271339</v>
      </c>
      <c r="G1133" s="5">
        <f>IFERROR(__xludf.DUMMYFUNCTION("""COMPUTED_VALUE"""),0.161985274065994)</f>
        <v>0.1619852741</v>
      </c>
      <c r="H1133" s="5">
        <f>IFERROR(__xludf.DUMMYFUNCTION("""COMPUTED_VALUE"""),0.5548037889039242)</f>
        <v>0.5548037889</v>
      </c>
      <c r="I1133" s="11">
        <f>IFERROR(__xludf.DUMMYFUNCTION("""COMPUTED_VALUE"""),5764.140730717186)</f>
        <v>5764.140731</v>
      </c>
      <c r="J1133" s="10">
        <f>IFERROR(__xludf.DUMMYFUNCTION("""COMPUTED_VALUE"""),0.0)</f>
        <v>0</v>
      </c>
      <c r="K1133" s="5">
        <f>IFERROR(__xludf.DUMMYFUNCTION("""COMPUTED_VALUE"""),0.0)</f>
        <v>0</v>
      </c>
      <c r="L1133" s="10">
        <f>IFERROR(__xludf.DUMMYFUNCTION("""COMPUTED_VALUE"""),341.0)</f>
        <v>341</v>
      </c>
      <c r="M1133" s="5">
        <f>IFERROR(__xludf.DUMMYFUNCTION("""COMPUTED_VALUE"""),1.0)</f>
        <v>1</v>
      </c>
    </row>
    <row r="1134">
      <c r="A1134" s="10" t="str">
        <f>IFERROR(__xludf.DUMMYFUNCTION("""COMPUTED_VALUE"""),"いちかわ♪")</f>
        <v>いちかわ♪</v>
      </c>
      <c r="B1134" s="10">
        <f>IFERROR(__xludf.DUMMYFUNCTION("""COMPUTED_VALUE"""),1069.0)</f>
        <v>1069</v>
      </c>
      <c r="C1134" s="10">
        <f>IFERROR(__xludf.DUMMYFUNCTION("""COMPUTED_VALUE"""),12451.0)</f>
        <v>12451</v>
      </c>
      <c r="D1134" s="5">
        <f>IFERROR(__xludf.DUMMYFUNCTION("""COMPUTED_VALUE"""),0.3822702512739413)</f>
        <v>0.3822702513</v>
      </c>
      <c r="E1134" s="5">
        <f>IFERROR(__xludf.DUMMYFUNCTION("""COMPUTED_VALUE"""),0.13934282199964856)</f>
        <v>0.139342822</v>
      </c>
      <c r="F1134" s="5">
        <f>IFERROR(__xludf.DUMMYFUNCTION("""COMPUTED_VALUE"""),0.21323141802846599)</f>
        <v>0.213231418</v>
      </c>
      <c r="G1134" s="5">
        <f>IFERROR(__xludf.DUMMYFUNCTION("""COMPUTED_VALUE"""),0.19196977684062555)</f>
        <v>0.1919697768</v>
      </c>
      <c r="H1134" s="5">
        <f>IFERROR(__xludf.DUMMYFUNCTION("""COMPUTED_VALUE"""),0.6217552533992583)</f>
        <v>0.6217552534</v>
      </c>
      <c r="I1134" s="11">
        <f>IFERROR(__xludf.DUMMYFUNCTION("""COMPUTED_VALUE"""),5637.865677791512)</f>
        <v>5637.865678</v>
      </c>
      <c r="J1134" s="10">
        <f>IFERROR(__xludf.DUMMYFUNCTION("""COMPUTED_VALUE"""),2.0)</f>
        <v>2</v>
      </c>
      <c r="K1134" s="5">
        <f>IFERROR(__xludf.DUMMYFUNCTION("""COMPUTED_VALUE"""),0.0018709073900841909)</f>
        <v>0.00187090739</v>
      </c>
      <c r="L1134" s="10">
        <f>IFERROR(__xludf.DUMMYFUNCTION("""COMPUTED_VALUE"""),894.0)</f>
        <v>894</v>
      </c>
      <c r="M1134" s="5">
        <f>IFERROR(__xludf.DUMMYFUNCTION("""COMPUTED_VALUE"""),0.8362956033676333)</f>
        <v>0.8362956034</v>
      </c>
    </row>
    <row r="1135">
      <c r="A1135" s="10" t="str">
        <f>IFERROR(__xludf.DUMMYFUNCTION("""COMPUTED_VALUE"""),"赤雪WEL")</f>
        <v>赤雪WEL</v>
      </c>
      <c r="B1135" s="10">
        <f>IFERROR(__xludf.DUMMYFUNCTION("""COMPUTED_VALUE"""),206.0)</f>
        <v>206</v>
      </c>
      <c r="C1135" s="10">
        <f>IFERROR(__xludf.DUMMYFUNCTION("""COMPUTED_VALUE"""),2438.0)</f>
        <v>2438</v>
      </c>
      <c r="D1135" s="5">
        <f>IFERROR(__xludf.DUMMYFUNCTION("""COMPUTED_VALUE"""),0.31227598566308246)</f>
        <v>0.3122759857</v>
      </c>
      <c r="E1135" s="5">
        <f>IFERROR(__xludf.DUMMYFUNCTION("""COMPUTED_VALUE"""),0.139336917562724)</f>
        <v>0.1393369176</v>
      </c>
      <c r="F1135" s="5">
        <f>IFERROR(__xludf.DUMMYFUNCTION("""COMPUTED_VALUE"""),0.22401433691756273)</f>
        <v>0.2240143369</v>
      </c>
      <c r="G1135" s="5">
        <f>IFERROR(__xludf.DUMMYFUNCTION("""COMPUTED_VALUE"""),0.19086021505376344)</f>
        <v>0.1908602151</v>
      </c>
      <c r="H1135" s="5">
        <f>IFERROR(__xludf.DUMMYFUNCTION("""COMPUTED_VALUE"""),0.58)</f>
        <v>0.58</v>
      </c>
      <c r="I1135" s="11">
        <f>IFERROR(__xludf.DUMMYFUNCTION("""COMPUTED_VALUE"""),5834.6)</f>
        <v>5834.6</v>
      </c>
      <c r="J1135" s="10">
        <f>IFERROR(__xludf.DUMMYFUNCTION("""COMPUTED_VALUE"""),1.0)</f>
        <v>1</v>
      </c>
      <c r="K1135" s="5">
        <f>IFERROR(__xludf.DUMMYFUNCTION("""COMPUTED_VALUE"""),0.0048543689320388345)</f>
        <v>0.004854368932</v>
      </c>
      <c r="L1135" s="10">
        <f>IFERROR(__xludf.DUMMYFUNCTION("""COMPUTED_VALUE"""),206.0)</f>
        <v>206</v>
      </c>
      <c r="M1135" s="5">
        <f>IFERROR(__xludf.DUMMYFUNCTION("""COMPUTED_VALUE"""),1.0)</f>
        <v>1</v>
      </c>
    </row>
    <row r="1136">
      <c r="A1136" s="10" t="str">
        <f>IFERROR(__xludf.DUMMYFUNCTION("""COMPUTED_VALUE"""),"ハッピーちゃん")</f>
        <v>ハッピーちゃん</v>
      </c>
      <c r="B1136" s="10">
        <f>IFERROR(__xludf.DUMMYFUNCTION("""COMPUTED_VALUE"""),229.0)</f>
        <v>229</v>
      </c>
      <c r="C1136" s="10">
        <f>IFERROR(__xludf.DUMMYFUNCTION("""COMPUTED_VALUE"""),2655.0)</f>
        <v>2655</v>
      </c>
      <c r="D1136" s="5">
        <f>IFERROR(__xludf.DUMMYFUNCTION("""COMPUTED_VALUE"""),0.34047815333882936)</f>
        <v>0.3404781533</v>
      </c>
      <c r="E1136" s="5">
        <f>IFERROR(__xludf.DUMMYFUNCTION("""COMPUTED_VALUE"""),0.1393239901071723)</f>
        <v>0.1393239901</v>
      </c>
      <c r="F1136" s="5">
        <f>IFERROR(__xludf.DUMMYFUNCTION("""COMPUTED_VALUE"""),0.19455894476504534)</f>
        <v>0.1945589448</v>
      </c>
      <c r="G1136" s="5">
        <f>IFERROR(__xludf.DUMMYFUNCTION("""COMPUTED_VALUE"""),0.12572135201978565)</f>
        <v>0.125721352</v>
      </c>
      <c r="H1136" s="5">
        <f>IFERROR(__xludf.DUMMYFUNCTION("""COMPUTED_VALUE"""),0.6038135593220338)</f>
        <v>0.6038135593</v>
      </c>
      <c r="I1136" s="11">
        <f>IFERROR(__xludf.DUMMYFUNCTION("""COMPUTED_VALUE"""),5602.542372881356)</f>
        <v>5602.542373</v>
      </c>
      <c r="J1136" s="10">
        <f>IFERROR(__xludf.DUMMYFUNCTION("""COMPUTED_VALUE"""),1.0)</f>
        <v>1</v>
      </c>
      <c r="K1136" s="5">
        <f>IFERROR(__xludf.DUMMYFUNCTION("""COMPUTED_VALUE"""),0.004366812227074236)</f>
        <v>0.004366812227</v>
      </c>
      <c r="L1136" s="10">
        <f>IFERROR(__xludf.DUMMYFUNCTION("""COMPUTED_VALUE"""),229.0)</f>
        <v>229</v>
      </c>
      <c r="M1136" s="5">
        <f>IFERROR(__xludf.DUMMYFUNCTION("""COMPUTED_VALUE"""),1.0)</f>
        <v>1</v>
      </c>
    </row>
    <row r="1137">
      <c r="A1137" s="10" t="str">
        <f>IFERROR(__xludf.DUMMYFUNCTION("""COMPUTED_VALUE"""),"はいてんぼー")</f>
        <v>はいてんぼー</v>
      </c>
      <c r="B1137" s="10">
        <f>IFERROR(__xludf.DUMMYFUNCTION("""COMPUTED_VALUE"""),3455.0)</f>
        <v>3455</v>
      </c>
      <c r="C1137" s="10">
        <f>IFERROR(__xludf.DUMMYFUNCTION("""COMPUTED_VALUE"""),40143.0)</f>
        <v>40143</v>
      </c>
      <c r="D1137" s="5">
        <f>IFERROR(__xludf.DUMMYFUNCTION("""COMPUTED_VALUE"""),0.2929295682511993)</f>
        <v>0.2929295683</v>
      </c>
      <c r="E1137" s="5">
        <f>IFERROR(__xludf.DUMMYFUNCTION("""COMPUTED_VALUE"""),0.1393098560837331)</f>
        <v>0.1393098561</v>
      </c>
      <c r="F1137" s="5">
        <f>IFERROR(__xludf.DUMMYFUNCTION("""COMPUTED_VALUE"""),0.2240787178368949)</f>
        <v>0.2240787178</v>
      </c>
      <c r="G1137" s="5">
        <f>IFERROR(__xludf.DUMMYFUNCTION("""COMPUTED_VALUE"""),0.18033144352376798)</f>
        <v>0.1803314435</v>
      </c>
      <c r="H1137" s="5">
        <f>IFERROR(__xludf.DUMMYFUNCTION("""COMPUTED_VALUE"""),0.6046709646028464)</f>
        <v>0.6046709646</v>
      </c>
      <c r="I1137" s="11">
        <f>IFERROR(__xludf.DUMMYFUNCTION("""COMPUTED_VALUE"""),5800.498722783116)</f>
        <v>5800.498723</v>
      </c>
      <c r="J1137" s="10">
        <f>IFERROR(__xludf.DUMMYFUNCTION("""COMPUTED_VALUE"""),8.0)</f>
        <v>8</v>
      </c>
      <c r="K1137" s="5">
        <f>IFERROR(__xludf.DUMMYFUNCTION("""COMPUTED_VALUE"""),0.0023154848046309695)</f>
        <v>0.002315484805</v>
      </c>
      <c r="L1137" s="10">
        <f>IFERROR(__xludf.DUMMYFUNCTION("""COMPUTED_VALUE"""),3455.0)</f>
        <v>3455</v>
      </c>
      <c r="M1137" s="5">
        <f>IFERROR(__xludf.DUMMYFUNCTION("""COMPUTED_VALUE"""),1.0)</f>
        <v>1</v>
      </c>
    </row>
    <row r="1138">
      <c r="A1138" s="10" t="str">
        <f>IFERROR(__xludf.DUMMYFUNCTION("""COMPUTED_VALUE"""),"ドラ次郎")</f>
        <v>ドラ次郎</v>
      </c>
      <c r="B1138" s="10">
        <f>IFERROR(__xludf.DUMMYFUNCTION("""COMPUTED_VALUE"""),843.0)</f>
        <v>843</v>
      </c>
      <c r="C1138" s="10">
        <f>IFERROR(__xludf.DUMMYFUNCTION("""COMPUTED_VALUE"""),9781.0)</f>
        <v>9781</v>
      </c>
      <c r="D1138" s="5">
        <f>IFERROR(__xludf.DUMMYFUNCTION("""COMPUTED_VALUE"""),0.3081226225106288)</f>
        <v>0.3081226225</v>
      </c>
      <c r="E1138" s="5">
        <f>IFERROR(__xludf.DUMMYFUNCTION("""COMPUTED_VALUE"""),0.1392929066905348)</f>
        <v>0.1392929067</v>
      </c>
      <c r="F1138" s="5">
        <f>IFERROR(__xludf.DUMMYFUNCTION("""COMPUTED_VALUE"""),0.2116804654285075)</f>
        <v>0.2116804654</v>
      </c>
      <c r="G1138" s="5">
        <f>IFERROR(__xludf.DUMMYFUNCTION("""COMPUTED_VALUE"""),0.19780711568583575)</f>
        <v>0.1978071157</v>
      </c>
      <c r="H1138" s="5">
        <f>IFERROR(__xludf.DUMMYFUNCTION("""COMPUTED_VALUE"""),0.5761099365750528)</f>
        <v>0.5761099366</v>
      </c>
      <c r="I1138" s="11">
        <f>IFERROR(__xludf.DUMMYFUNCTION("""COMPUTED_VALUE"""),5581.818181818182)</f>
        <v>5581.818182</v>
      </c>
      <c r="J1138" s="10">
        <f>IFERROR(__xludf.DUMMYFUNCTION("""COMPUTED_VALUE"""),1.0)</f>
        <v>1</v>
      </c>
      <c r="K1138" s="5">
        <f>IFERROR(__xludf.DUMMYFUNCTION("""COMPUTED_VALUE"""),0.0011862396204033216)</f>
        <v>0.00118623962</v>
      </c>
      <c r="L1138" s="10">
        <f>IFERROR(__xludf.DUMMYFUNCTION("""COMPUTED_VALUE"""),843.0)</f>
        <v>843</v>
      </c>
      <c r="M1138" s="5">
        <f>IFERROR(__xludf.DUMMYFUNCTION("""COMPUTED_VALUE"""),1.0)</f>
        <v>1</v>
      </c>
    </row>
    <row r="1139">
      <c r="A1139" s="10" t="str">
        <f>IFERROR(__xludf.DUMMYFUNCTION("""COMPUTED_VALUE"""),"目玉焼き")</f>
        <v>目玉焼き</v>
      </c>
      <c r="B1139" s="10">
        <f>IFERROR(__xludf.DUMMYFUNCTION("""COMPUTED_VALUE"""),474.0)</f>
        <v>474</v>
      </c>
      <c r="C1139" s="10">
        <f>IFERROR(__xludf.DUMMYFUNCTION("""COMPUTED_VALUE"""),5471.0)</f>
        <v>5471</v>
      </c>
      <c r="D1139" s="5">
        <f>IFERROR(__xludf.DUMMYFUNCTION("""COMPUTED_VALUE"""),0.37282369421652994)</f>
        <v>0.3728236942</v>
      </c>
      <c r="E1139" s="5">
        <f>IFERROR(__xludf.DUMMYFUNCTION("""COMPUTED_VALUE"""),0.13928357014208526)</f>
        <v>0.1392835701</v>
      </c>
      <c r="F1139" s="5">
        <f>IFERROR(__xludf.DUMMYFUNCTION("""COMPUTED_VALUE"""),0.22313388032819692)</f>
        <v>0.2231338803</v>
      </c>
      <c r="G1139" s="5">
        <f>IFERROR(__xludf.DUMMYFUNCTION("""COMPUTED_VALUE"""),0.19271562937762657)</f>
        <v>0.1927156294</v>
      </c>
      <c r="H1139" s="5">
        <f>IFERROR(__xludf.DUMMYFUNCTION("""COMPUTED_VALUE"""),0.5802690582959641)</f>
        <v>0.5802690583</v>
      </c>
      <c r="I1139" s="11">
        <f>IFERROR(__xludf.DUMMYFUNCTION("""COMPUTED_VALUE"""),5738.116591928251)</f>
        <v>5738.116592</v>
      </c>
      <c r="J1139" s="10">
        <f>IFERROR(__xludf.DUMMYFUNCTION("""COMPUTED_VALUE"""),0.0)</f>
        <v>0</v>
      </c>
      <c r="K1139" s="5">
        <f>IFERROR(__xludf.DUMMYFUNCTION("""COMPUTED_VALUE"""),0.0)</f>
        <v>0</v>
      </c>
      <c r="L1139" s="10">
        <f>IFERROR(__xludf.DUMMYFUNCTION("""COMPUTED_VALUE"""),474.0)</f>
        <v>474</v>
      </c>
      <c r="M1139" s="5">
        <f>IFERROR(__xludf.DUMMYFUNCTION("""COMPUTED_VALUE"""),1.0)</f>
        <v>1</v>
      </c>
    </row>
    <row r="1140">
      <c r="A1140" s="10" t="str">
        <f>IFERROR(__xludf.DUMMYFUNCTION("""COMPUTED_VALUE"""),"吉澤☆瑠偉")</f>
        <v>吉澤☆瑠偉</v>
      </c>
      <c r="B1140" s="10">
        <f>IFERROR(__xludf.DUMMYFUNCTION("""COMPUTED_VALUE"""),317.0)</f>
        <v>317</v>
      </c>
      <c r="C1140" s="10">
        <f>IFERROR(__xludf.DUMMYFUNCTION("""COMPUTED_VALUE"""),3764.0)</f>
        <v>3764</v>
      </c>
      <c r="D1140" s="5">
        <f>IFERROR(__xludf.DUMMYFUNCTION("""COMPUTED_VALUE"""),0.29794023788801854)</f>
        <v>0.2979402379</v>
      </c>
      <c r="E1140" s="5">
        <f>IFERROR(__xludf.DUMMYFUNCTION("""COMPUTED_VALUE"""),0.1392515230635335)</f>
        <v>0.1392515231</v>
      </c>
      <c r="F1140" s="5">
        <f>IFERROR(__xludf.DUMMYFUNCTION("""COMPUTED_VALUE"""),0.19118073687264286)</f>
        <v>0.1911807369</v>
      </c>
      <c r="G1140" s="5">
        <f>IFERROR(__xludf.DUMMYFUNCTION("""COMPUTED_VALUE"""),0.17058311575282856)</f>
        <v>0.1705831158</v>
      </c>
      <c r="H1140" s="5">
        <f>IFERROR(__xludf.DUMMYFUNCTION("""COMPUTED_VALUE"""),0.622154779969651)</f>
        <v>0.62215478</v>
      </c>
      <c r="I1140" s="11">
        <f>IFERROR(__xludf.DUMMYFUNCTION("""COMPUTED_VALUE"""),6183.91502276176)</f>
        <v>6183.915023</v>
      </c>
      <c r="J1140" s="10">
        <f>IFERROR(__xludf.DUMMYFUNCTION("""COMPUTED_VALUE"""),0.0)</f>
        <v>0</v>
      </c>
      <c r="K1140" s="5">
        <f>IFERROR(__xludf.DUMMYFUNCTION("""COMPUTED_VALUE"""),0.0)</f>
        <v>0</v>
      </c>
      <c r="L1140" s="10">
        <f>IFERROR(__xludf.DUMMYFUNCTION("""COMPUTED_VALUE"""),317.0)</f>
        <v>317</v>
      </c>
      <c r="M1140" s="5">
        <f>IFERROR(__xludf.DUMMYFUNCTION("""COMPUTED_VALUE"""),1.0)</f>
        <v>1</v>
      </c>
    </row>
    <row r="1141">
      <c r="A1141" s="10" t="str">
        <f>IFERROR(__xludf.DUMMYFUNCTION("""COMPUTED_VALUE"""),"ふじかつ")</f>
        <v>ふじかつ</v>
      </c>
      <c r="B1141" s="10">
        <f>IFERROR(__xludf.DUMMYFUNCTION("""COMPUTED_VALUE"""),3821.0)</f>
        <v>3821</v>
      </c>
      <c r="C1141" s="10">
        <f>IFERROR(__xludf.DUMMYFUNCTION("""COMPUTED_VALUE"""),44384.0)</f>
        <v>44384</v>
      </c>
      <c r="D1141" s="5">
        <f>IFERROR(__xludf.DUMMYFUNCTION("""COMPUTED_VALUE"""),0.36375514631560785)</f>
        <v>0.3637551463</v>
      </c>
      <c r="E1141" s="5">
        <f>IFERROR(__xludf.DUMMYFUNCTION("""COMPUTED_VALUE"""),0.13924019426571013)</f>
        <v>0.1392401943</v>
      </c>
      <c r="F1141" s="5">
        <f>IFERROR(__xludf.DUMMYFUNCTION("""COMPUTED_VALUE"""),0.20543352316150187)</f>
        <v>0.2054335232</v>
      </c>
      <c r="G1141" s="5">
        <f>IFERROR(__xludf.DUMMYFUNCTION("""COMPUTED_VALUE"""),0.17146167689766537)</f>
        <v>0.1714616769</v>
      </c>
      <c r="H1141" s="5">
        <f>IFERROR(__xludf.DUMMYFUNCTION("""COMPUTED_VALUE"""),0.5997839913596544)</f>
        <v>0.5997839914</v>
      </c>
      <c r="I1141" s="11">
        <f>IFERROR(__xludf.DUMMYFUNCTION("""COMPUTED_VALUE"""),6168.978759150366)</f>
        <v>6168.978759</v>
      </c>
      <c r="J1141" s="10">
        <f>IFERROR(__xludf.DUMMYFUNCTION("""COMPUTED_VALUE"""),9.0)</f>
        <v>9</v>
      </c>
      <c r="K1141" s="5">
        <f>IFERROR(__xludf.DUMMYFUNCTION("""COMPUTED_VALUE"""),0.0023554043444124575)</f>
        <v>0.002355404344</v>
      </c>
      <c r="L1141" s="10">
        <f>IFERROR(__xludf.DUMMYFUNCTION("""COMPUTED_VALUE"""),3821.0)</f>
        <v>3821</v>
      </c>
      <c r="M1141" s="5">
        <f>IFERROR(__xludf.DUMMYFUNCTION("""COMPUTED_VALUE"""),1.0)</f>
        <v>1</v>
      </c>
    </row>
    <row r="1142">
      <c r="A1142" s="10" t="str">
        <f>IFERROR(__xludf.DUMMYFUNCTION("""COMPUTED_VALUE"""),"Ｄｅｓｔｉｎｙ")</f>
        <v>Ｄｅｓｔｉｎｙ</v>
      </c>
      <c r="B1142" s="10">
        <f>IFERROR(__xludf.DUMMYFUNCTION("""COMPUTED_VALUE"""),218.0)</f>
        <v>218</v>
      </c>
      <c r="C1142" s="10">
        <f>IFERROR(__xludf.DUMMYFUNCTION("""COMPUTED_VALUE"""),2502.0)</f>
        <v>2502</v>
      </c>
      <c r="D1142" s="5">
        <f>IFERROR(__xludf.DUMMYFUNCTION("""COMPUTED_VALUE"""),0.2692644483362522)</f>
        <v>0.2692644483</v>
      </c>
      <c r="E1142" s="5">
        <f>IFERROR(__xludf.DUMMYFUNCTION("""COMPUTED_VALUE"""),0.13922942206654992)</f>
        <v>0.1392294221</v>
      </c>
      <c r="F1142" s="5">
        <f>IFERROR(__xludf.DUMMYFUNCTION("""COMPUTED_VALUE"""),0.18957968476357268)</f>
        <v>0.1895796848</v>
      </c>
      <c r="G1142" s="5">
        <f>IFERROR(__xludf.DUMMYFUNCTION("""COMPUTED_VALUE"""),0.16418563922942206)</f>
        <v>0.1641856392</v>
      </c>
      <c r="H1142" s="5">
        <f>IFERROR(__xludf.DUMMYFUNCTION("""COMPUTED_VALUE"""),0.6120092378752887)</f>
        <v>0.6120092379</v>
      </c>
      <c r="I1142" s="11">
        <f>IFERROR(__xludf.DUMMYFUNCTION("""COMPUTED_VALUE"""),5998.845265588914)</f>
        <v>5998.845266</v>
      </c>
      <c r="J1142" s="10">
        <f>IFERROR(__xludf.DUMMYFUNCTION("""COMPUTED_VALUE"""),0.0)</f>
        <v>0</v>
      </c>
      <c r="K1142" s="5">
        <f>IFERROR(__xludf.DUMMYFUNCTION("""COMPUTED_VALUE"""),0.0)</f>
        <v>0</v>
      </c>
      <c r="L1142" s="10">
        <f>IFERROR(__xludf.DUMMYFUNCTION("""COMPUTED_VALUE"""),218.0)</f>
        <v>218</v>
      </c>
      <c r="M1142" s="5">
        <f>IFERROR(__xludf.DUMMYFUNCTION("""COMPUTED_VALUE"""),1.0)</f>
        <v>1</v>
      </c>
    </row>
    <row r="1143">
      <c r="A1143" s="10" t="str">
        <f>IFERROR(__xludf.DUMMYFUNCTION("""COMPUTED_VALUE"""),"ちゃろや")</f>
        <v>ちゃろや</v>
      </c>
      <c r="B1143" s="10">
        <f>IFERROR(__xludf.DUMMYFUNCTION("""COMPUTED_VALUE"""),577.0)</f>
        <v>577</v>
      </c>
      <c r="C1143" s="10">
        <f>IFERROR(__xludf.DUMMYFUNCTION("""COMPUTED_VALUE"""),6726.0)</f>
        <v>6726</v>
      </c>
      <c r="D1143" s="5">
        <f>IFERROR(__xludf.DUMMYFUNCTION("""COMPUTED_VALUE"""),0.39648723369653605)</f>
        <v>0.3964872337</v>
      </c>
      <c r="E1143" s="5">
        <f>IFERROR(__xludf.DUMMYFUNCTION("""COMPUTED_VALUE"""),0.13920962758172062)</f>
        <v>0.1392096276</v>
      </c>
      <c r="F1143" s="5">
        <f>IFERROR(__xludf.DUMMYFUNCTION("""COMPUTED_VALUE"""),0.21288014311270126)</f>
        <v>0.2128801431</v>
      </c>
      <c r="G1143" s="5">
        <f>IFERROR(__xludf.DUMMYFUNCTION("""COMPUTED_VALUE"""),0.16441697837046673)</f>
        <v>0.1644169784</v>
      </c>
      <c r="H1143" s="5">
        <f>IFERROR(__xludf.DUMMYFUNCTION("""COMPUTED_VALUE"""),0.6027501909854851)</f>
        <v>0.602750191</v>
      </c>
      <c r="I1143" s="11">
        <f>IFERROR(__xludf.DUMMYFUNCTION("""COMPUTED_VALUE"""),5387.547746371276)</f>
        <v>5387.547746</v>
      </c>
      <c r="J1143" s="10">
        <f>IFERROR(__xludf.DUMMYFUNCTION("""COMPUTED_VALUE"""),1.0)</f>
        <v>1</v>
      </c>
      <c r="K1143" s="5">
        <f>IFERROR(__xludf.DUMMYFUNCTION("""COMPUTED_VALUE"""),0.0017331022530329288)</f>
        <v>0.001733102253</v>
      </c>
      <c r="L1143" s="10">
        <f>IFERROR(__xludf.DUMMYFUNCTION("""COMPUTED_VALUE"""),577.0)</f>
        <v>577</v>
      </c>
      <c r="M1143" s="5">
        <f>IFERROR(__xludf.DUMMYFUNCTION("""COMPUTED_VALUE"""),1.0)</f>
        <v>1</v>
      </c>
    </row>
    <row r="1144">
      <c r="A1144" s="10" t="str">
        <f>IFERROR(__xludf.DUMMYFUNCTION("""COMPUTED_VALUE"""),"toshimai")</f>
        <v>toshimai</v>
      </c>
      <c r="B1144" s="10">
        <f>IFERROR(__xludf.DUMMYFUNCTION("""COMPUTED_VALUE"""),1146.0)</f>
        <v>1146</v>
      </c>
      <c r="C1144" s="10">
        <f>IFERROR(__xludf.DUMMYFUNCTION("""COMPUTED_VALUE"""),13322.0)</f>
        <v>13322</v>
      </c>
      <c r="D1144" s="5">
        <f>IFERROR(__xludf.DUMMYFUNCTION("""COMPUTED_VALUE"""),0.3492115637319317)</f>
        <v>0.3492115637</v>
      </c>
      <c r="E1144" s="5">
        <f>IFERROR(__xludf.DUMMYFUNCTION("""COMPUTED_VALUE"""),0.13920827858081472)</f>
        <v>0.1392082786</v>
      </c>
      <c r="F1144" s="5">
        <f>IFERROR(__xludf.DUMMYFUNCTION("""COMPUTED_VALUE"""),0.22536136662286466)</f>
        <v>0.2253613666</v>
      </c>
      <c r="G1144" s="5">
        <f>IFERROR(__xludf.DUMMYFUNCTION("""COMPUTED_VALUE"""),0.18503613666228647)</f>
        <v>0.1850361367</v>
      </c>
      <c r="H1144" s="5">
        <f>IFERROR(__xludf.DUMMYFUNCTION("""COMPUTED_VALUE"""),0.6027696793002916)</f>
        <v>0.6027696793</v>
      </c>
      <c r="I1144" s="11">
        <f>IFERROR(__xludf.DUMMYFUNCTION("""COMPUTED_VALUE"""),5719.97084548105)</f>
        <v>5719.970845</v>
      </c>
      <c r="J1144" s="10">
        <f>IFERROR(__xludf.DUMMYFUNCTION("""COMPUTED_VALUE"""),6.0)</f>
        <v>6</v>
      </c>
      <c r="K1144" s="5">
        <f>IFERROR(__xludf.DUMMYFUNCTION("""COMPUTED_VALUE"""),0.005235602094240838)</f>
        <v>0.005235602094</v>
      </c>
      <c r="L1144" s="10">
        <f>IFERROR(__xludf.DUMMYFUNCTION("""COMPUTED_VALUE"""),1146.0)</f>
        <v>1146</v>
      </c>
      <c r="M1144" s="5">
        <f>IFERROR(__xludf.DUMMYFUNCTION("""COMPUTED_VALUE"""),1.0)</f>
        <v>1</v>
      </c>
    </row>
    <row r="1145">
      <c r="A1145" s="10" t="str">
        <f>IFERROR(__xludf.DUMMYFUNCTION("""COMPUTED_VALUE"""),"つっしーま")</f>
        <v>つっしーま</v>
      </c>
      <c r="B1145" s="10">
        <f>IFERROR(__xludf.DUMMYFUNCTION("""COMPUTED_VALUE"""),232.0)</f>
        <v>232</v>
      </c>
      <c r="C1145" s="10">
        <f>IFERROR(__xludf.DUMMYFUNCTION("""COMPUTED_VALUE"""),2696.0)</f>
        <v>2696</v>
      </c>
      <c r="D1145" s="5">
        <f>IFERROR(__xludf.DUMMYFUNCTION("""COMPUTED_VALUE"""),0.3210227272727273)</f>
        <v>0.3210227273</v>
      </c>
      <c r="E1145" s="5">
        <f>IFERROR(__xludf.DUMMYFUNCTION("""COMPUTED_VALUE"""),0.13920454545454544)</f>
        <v>0.1392045455</v>
      </c>
      <c r="F1145" s="5">
        <f>IFERROR(__xludf.DUMMYFUNCTION("""COMPUTED_VALUE"""),0.19358766233766234)</f>
        <v>0.1935876623</v>
      </c>
      <c r="G1145" s="5">
        <f>IFERROR(__xludf.DUMMYFUNCTION("""COMPUTED_VALUE"""),0.16599025974025974)</f>
        <v>0.1659902597</v>
      </c>
      <c r="H1145" s="5">
        <f>IFERROR(__xludf.DUMMYFUNCTION("""COMPUTED_VALUE"""),0.6331236897274634)</f>
        <v>0.6331236897</v>
      </c>
      <c r="I1145" s="11">
        <f>IFERROR(__xludf.DUMMYFUNCTION("""COMPUTED_VALUE"""),6069.811320754717)</f>
        <v>6069.811321</v>
      </c>
      <c r="J1145" s="10">
        <f>IFERROR(__xludf.DUMMYFUNCTION("""COMPUTED_VALUE"""),2.0)</f>
        <v>2</v>
      </c>
      <c r="K1145" s="5">
        <f>IFERROR(__xludf.DUMMYFUNCTION("""COMPUTED_VALUE"""),0.008620689655172414)</f>
        <v>0.008620689655</v>
      </c>
      <c r="L1145" s="10">
        <f>IFERROR(__xludf.DUMMYFUNCTION("""COMPUTED_VALUE"""),232.0)</f>
        <v>232</v>
      </c>
      <c r="M1145" s="5">
        <f>IFERROR(__xludf.DUMMYFUNCTION("""COMPUTED_VALUE"""),1.0)</f>
        <v>1</v>
      </c>
    </row>
    <row r="1146">
      <c r="A1146" s="10" t="str">
        <f>IFERROR(__xludf.DUMMYFUNCTION("""COMPUTED_VALUE"""),"いぬの『ぬ』")</f>
        <v>いぬの『ぬ』</v>
      </c>
      <c r="B1146" s="10">
        <f>IFERROR(__xludf.DUMMYFUNCTION("""COMPUTED_VALUE"""),123.0)</f>
        <v>123</v>
      </c>
      <c r="C1146" s="10">
        <f>IFERROR(__xludf.DUMMYFUNCTION("""COMPUTED_VALUE"""),1452.0)</f>
        <v>1452</v>
      </c>
      <c r="D1146" s="5">
        <f>IFERROR(__xludf.DUMMYFUNCTION("""COMPUTED_VALUE"""),0.3288186606471031)</f>
        <v>0.3288186606</v>
      </c>
      <c r="E1146" s="5">
        <f>IFERROR(__xludf.DUMMYFUNCTION("""COMPUTED_VALUE"""),0.13920240782543267)</f>
        <v>0.1392024078</v>
      </c>
      <c r="F1146" s="5">
        <f>IFERROR(__xludf.DUMMYFUNCTION("""COMPUTED_VALUE"""),0.2016553799849511)</f>
        <v>0.20165538</v>
      </c>
      <c r="G1146" s="5">
        <f>IFERROR(__xludf.DUMMYFUNCTION("""COMPUTED_VALUE"""),0.17757712565838976)</f>
        <v>0.1775771257</v>
      </c>
      <c r="H1146" s="5">
        <f>IFERROR(__xludf.DUMMYFUNCTION("""COMPUTED_VALUE"""),0.585820895522388)</f>
        <v>0.5858208955</v>
      </c>
      <c r="I1146" s="11">
        <f>IFERROR(__xludf.DUMMYFUNCTION("""COMPUTED_VALUE"""),5219.4029850746265)</f>
        <v>5219.402985</v>
      </c>
      <c r="J1146" s="10">
        <f>IFERROR(__xludf.DUMMYFUNCTION("""COMPUTED_VALUE"""),0.0)</f>
        <v>0</v>
      </c>
      <c r="K1146" s="5">
        <f>IFERROR(__xludf.DUMMYFUNCTION("""COMPUTED_VALUE"""),0.0)</f>
        <v>0</v>
      </c>
      <c r="L1146" s="10">
        <f>IFERROR(__xludf.DUMMYFUNCTION("""COMPUTED_VALUE"""),123.0)</f>
        <v>123</v>
      </c>
      <c r="M1146" s="5">
        <f>IFERROR(__xludf.DUMMYFUNCTION("""COMPUTED_VALUE"""),1.0)</f>
        <v>1</v>
      </c>
    </row>
    <row r="1147">
      <c r="A1147" s="10" t="str">
        <f>IFERROR(__xludf.DUMMYFUNCTION("""COMPUTED_VALUE"""),"原人ちゃん")</f>
        <v>原人ちゃん</v>
      </c>
      <c r="B1147" s="10">
        <f>IFERROR(__xludf.DUMMYFUNCTION("""COMPUTED_VALUE"""),1515.0)</f>
        <v>1515</v>
      </c>
      <c r="C1147" s="10">
        <f>IFERROR(__xludf.DUMMYFUNCTION("""COMPUTED_VALUE"""),18002.0)</f>
        <v>18002</v>
      </c>
      <c r="D1147" s="5">
        <f>IFERROR(__xludf.DUMMYFUNCTION("""COMPUTED_VALUE"""),0.41256747740644145)</f>
        <v>0.4125674774</v>
      </c>
      <c r="E1147" s="5">
        <f>IFERROR(__xludf.DUMMYFUNCTION("""COMPUTED_VALUE"""),0.13920058227694548)</f>
        <v>0.1392005823</v>
      </c>
      <c r="F1147" s="5">
        <f>IFERROR(__xludf.DUMMYFUNCTION("""COMPUTED_VALUE"""),0.21956693152180506)</f>
        <v>0.2195669315</v>
      </c>
      <c r="G1147" s="5">
        <f>IFERROR(__xludf.DUMMYFUNCTION("""COMPUTED_VALUE"""),0.15806392915630496)</f>
        <v>0.1580639292</v>
      </c>
      <c r="H1147" s="5">
        <f>IFERROR(__xludf.DUMMYFUNCTION("""COMPUTED_VALUE"""),0.6085635359116022)</f>
        <v>0.6085635359</v>
      </c>
      <c r="I1147" s="11">
        <f>IFERROR(__xludf.DUMMYFUNCTION("""COMPUTED_VALUE"""),5415.386740331492)</f>
        <v>5415.38674</v>
      </c>
      <c r="J1147" s="10">
        <f>IFERROR(__xludf.DUMMYFUNCTION("""COMPUTED_VALUE"""),2.0)</f>
        <v>2</v>
      </c>
      <c r="K1147" s="5">
        <f>IFERROR(__xludf.DUMMYFUNCTION("""COMPUTED_VALUE"""),0.0013201320132013201)</f>
        <v>0.001320132013</v>
      </c>
      <c r="L1147" s="10">
        <f>IFERROR(__xludf.DUMMYFUNCTION("""COMPUTED_VALUE"""),1515.0)</f>
        <v>1515</v>
      </c>
      <c r="M1147" s="5">
        <f>IFERROR(__xludf.DUMMYFUNCTION("""COMPUTED_VALUE"""),1.0)</f>
        <v>1</v>
      </c>
    </row>
    <row r="1148">
      <c r="A1148" s="10" t="str">
        <f>IFERROR(__xludf.DUMMYFUNCTION("""COMPUTED_VALUE"""),"すまた")</f>
        <v>すまた</v>
      </c>
      <c r="B1148" s="10">
        <f>IFERROR(__xludf.DUMMYFUNCTION("""COMPUTED_VALUE"""),572.0)</f>
        <v>572</v>
      </c>
      <c r="C1148" s="10">
        <f>IFERROR(__xludf.DUMMYFUNCTION("""COMPUTED_VALUE"""),6729.0)</f>
        <v>6729</v>
      </c>
      <c r="D1148" s="5">
        <f>IFERROR(__xludf.DUMMYFUNCTION("""COMPUTED_VALUE"""),0.3155757674191977)</f>
        <v>0.3155757674</v>
      </c>
      <c r="E1148" s="5">
        <f>IFERROR(__xludf.DUMMYFUNCTION("""COMPUTED_VALUE"""),0.1391911645281793)</f>
        <v>0.1391911645</v>
      </c>
      <c r="F1148" s="5">
        <f>IFERROR(__xludf.DUMMYFUNCTION("""COMPUTED_VALUE"""),0.22494721455254182)</f>
        <v>0.2249472146</v>
      </c>
      <c r="G1148" s="5">
        <f>IFERROR(__xludf.DUMMYFUNCTION("""COMPUTED_VALUE"""),0.1840181906772779)</f>
        <v>0.1840181907</v>
      </c>
      <c r="H1148" s="5">
        <f>IFERROR(__xludf.DUMMYFUNCTION("""COMPUTED_VALUE"""),0.5949458483754513)</f>
        <v>0.5949458484</v>
      </c>
      <c r="I1148" s="11">
        <f>IFERROR(__xludf.DUMMYFUNCTION("""COMPUTED_VALUE"""),5470.108303249098)</f>
        <v>5470.108303</v>
      </c>
      <c r="J1148" s="10">
        <f>IFERROR(__xludf.DUMMYFUNCTION("""COMPUTED_VALUE"""),1.0)</f>
        <v>1</v>
      </c>
      <c r="K1148" s="5">
        <f>IFERROR(__xludf.DUMMYFUNCTION("""COMPUTED_VALUE"""),0.0017482517482517483)</f>
        <v>0.001748251748</v>
      </c>
      <c r="L1148" s="10">
        <f>IFERROR(__xludf.DUMMYFUNCTION("""COMPUTED_VALUE"""),572.0)</f>
        <v>572</v>
      </c>
      <c r="M1148" s="5">
        <f>IFERROR(__xludf.DUMMYFUNCTION("""COMPUTED_VALUE"""),1.0)</f>
        <v>1</v>
      </c>
    </row>
    <row r="1149">
      <c r="A1149" s="10" t="str">
        <f>IFERROR(__xludf.DUMMYFUNCTION("""COMPUTED_VALUE"""),"青太郎")</f>
        <v>青太郎</v>
      </c>
      <c r="B1149" s="10">
        <f>IFERROR(__xludf.DUMMYFUNCTION("""COMPUTED_VALUE"""),224.0)</f>
        <v>224</v>
      </c>
      <c r="C1149" s="10">
        <f>IFERROR(__xludf.DUMMYFUNCTION("""COMPUTED_VALUE"""),2523.0)</f>
        <v>2523</v>
      </c>
      <c r="D1149" s="5">
        <f>IFERROR(__xludf.DUMMYFUNCTION("""COMPUTED_VALUE"""),0.2614180078294911)</f>
        <v>0.2614180078</v>
      </c>
      <c r="E1149" s="5">
        <f>IFERROR(__xludf.DUMMYFUNCTION("""COMPUTED_VALUE"""),0.13919095258808178)</f>
        <v>0.1391909526</v>
      </c>
      <c r="F1149" s="5">
        <f>IFERROR(__xludf.DUMMYFUNCTION("""COMPUTED_VALUE"""),0.21270117442366246)</f>
        <v>0.2127011744</v>
      </c>
      <c r="G1149" s="5">
        <f>IFERROR(__xludf.DUMMYFUNCTION("""COMPUTED_VALUE"""),0.20617659852109613)</f>
        <v>0.2061765985</v>
      </c>
      <c r="H1149" s="5">
        <f>IFERROR(__xludf.DUMMYFUNCTION("""COMPUTED_VALUE"""),0.5991820040899796)</f>
        <v>0.5991820041</v>
      </c>
      <c r="I1149" s="11">
        <f>IFERROR(__xludf.DUMMYFUNCTION("""COMPUTED_VALUE"""),6181.18609406953)</f>
        <v>6181.186094</v>
      </c>
      <c r="J1149" s="10">
        <f>IFERROR(__xludf.DUMMYFUNCTION("""COMPUTED_VALUE"""),1.0)</f>
        <v>1</v>
      </c>
      <c r="K1149" s="5">
        <f>IFERROR(__xludf.DUMMYFUNCTION("""COMPUTED_VALUE"""),0.004464285714285714)</f>
        <v>0.004464285714</v>
      </c>
      <c r="L1149" s="10">
        <f>IFERROR(__xludf.DUMMYFUNCTION("""COMPUTED_VALUE"""),224.0)</f>
        <v>224</v>
      </c>
      <c r="M1149" s="5">
        <f>IFERROR(__xludf.DUMMYFUNCTION("""COMPUTED_VALUE"""),1.0)</f>
        <v>1</v>
      </c>
    </row>
    <row r="1150">
      <c r="A1150" s="10" t="str">
        <f>IFERROR(__xludf.DUMMYFUNCTION("""COMPUTED_VALUE"""),"DOW！")</f>
        <v>DOW！</v>
      </c>
      <c r="B1150" s="10">
        <f>IFERROR(__xludf.DUMMYFUNCTION("""COMPUTED_VALUE"""),154.0)</f>
        <v>154</v>
      </c>
      <c r="C1150" s="10">
        <f>IFERROR(__xludf.DUMMYFUNCTION("""COMPUTED_VALUE"""),1821.0)</f>
        <v>1821</v>
      </c>
      <c r="D1150" s="5">
        <f>IFERROR(__xludf.DUMMYFUNCTION("""COMPUTED_VALUE"""),0.23095380923815237)</f>
        <v>0.2309538092</v>
      </c>
      <c r="E1150" s="5">
        <f>IFERROR(__xludf.DUMMYFUNCTION("""COMPUTED_VALUE"""),0.13917216556688664)</f>
        <v>0.1391721656</v>
      </c>
      <c r="F1150" s="5">
        <f>IFERROR(__xludf.DUMMYFUNCTION("""COMPUTED_VALUE"""),0.1907618476304739)</f>
        <v>0.1907618476</v>
      </c>
      <c r="G1150" s="5">
        <f>IFERROR(__xludf.DUMMYFUNCTION("""COMPUTED_VALUE"""),0.1883623275344931)</f>
        <v>0.1883623275</v>
      </c>
      <c r="H1150" s="5">
        <f>IFERROR(__xludf.DUMMYFUNCTION("""COMPUTED_VALUE"""),0.6194968553459119)</f>
        <v>0.6194968553</v>
      </c>
      <c r="I1150" s="11">
        <f>IFERROR(__xludf.DUMMYFUNCTION("""COMPUTED_VALUE"""),5823.899371069182)</f>
        <v>5823.899371</v>
      </c>
      <c r="J1150" s="10">
        <f>IFERROR(__xludf.DUMMYFUNCTION("""COMPUTED_VALUE"""),0.0)</f>
        <v>0</v>
      </c>
      <c r="K1150" s="5">
        <f>IFERROR(__xludf.DUMMYFUNCTION("""COMPUTED_VALUE"""),0.0)</f>
        <v>0</v>
      </c>
      <c r="L1150" s="10">
        <f>IFERROR(__xludf.DUMMYFUNCTION("""COMPUTED_VALUE"""),154.0)</f>
        <v>154</v>
      </c>
      <c r="M1150" s="5">
        <f>IFERROR(__xludf.DUMMYFUNCTION("""COMPUTED_VALUE"""),1.0)</f>
        <v>1</v>
      </c>
    </row>
    <row r="1151">
      <c r="A1151" s="10" t="str">
        <f>IFERROR(__xludf.DUMMYFUNCTION("""COMPUTED_VALUE"""),"At_Sushi")</f>
        <v>At_Sushi</v>
      </c>
      <c r="B1151" s="10">
        <f>IFERROR(__xludf.DUMMYFUNCTION("""COMPUTED_VALUE"""),195.0)</f>
        <v>195</v>
      </c>
      <c r="C1151" s="10">
        <f>IFERROR(__xludf.DUMMYFUNCTION("""COMPUTED_VALUE"""),2322.0)</f>
        <v>2322</v>
      </c>
      <c r="D1151" s="5">
        <f>IFERROR(__xludf.DUMMYFUNCTION("""COMPUTED_VALUE"""),0.3135872120357311)</f>
        <v>0.313587212</v>
      </c>
      <c r="E1151" s="5">
        <f>IFERROR(__xludf.DUMMYFUNCTION("""COMPUTED_VALUE"""),0.13916314057357781)</f>
        <v>0.1391631406</v>
      </c>
      <c r="F1151" s="5">
        <f>IFERROR(__xludf.DUMMYFUNCTION("""COMPUTED_VALUE"""),0.22237893747061588)</f>
        <v>0.2223789375</v>
      </c>
      <c r="G1151" s="5">
        <f>IFERROR(__xludf.DUMMYFUNCTION("""COMPUTED_VALUE"""),0.1861777150916784)</f>
        <v>0.1861777151</v>
      </c>
      <c r="H1151" s="5">
        <f>IFERROR(__xludf.DUMMYFUNCTION("""COMPUTED_VALUE"""),0.5919661733615222)</f>
        <v>0.5919661734</v>
      </c>
      <c r="I1151" s="11">
        <f>IFERROR(__xludf.DUMMYFUNCTION("""COMPUTED_VALUE"""),5127.484143763214)</f>
        <v>5127.484144</v>
      </c>
      <c r="J1151" s="10">
        <f>IFERROR(__xludf.DUMMYFUNCTION("""COMPUTED_VALUE"""),0.0)</f>
        <v>0</v>
      </c>
      <c r="K1151" s="5">
        <f>IFERROR(__xludf.DUMMYFUNCTION("""COMPUTED_VALUE"""),0.0)</f>
        <v>0</v>
      </c>
      <c r="L1151" s="10">
        <f>IFERROR(__xludf.DUMMYFUNCTION("""COMPUTED_VALUE"""),195.0)</f>
        <v>195</v>
      </c>
      <c r="M1151" s="5">
        <f>IFERROR(__xludf.DUMMYFUNCTION("""COMPUTED_VALUE"""),1.0)</f>
        <v>1</v>
      </c>
    </row>
    <row r="1152">
      <c r="A1152" s="10" t="str">
        <f>IFERROR(__xludf.DUMMYFUNCTION("""COMPUTED_VALUE"""),"スーパーアニキ")</f>
        <v>スーパーアニキ</v>
      </c>
      <c r="B1152" s="10">
        <f>IFERROR(__xludf.DUMMYFUNCTION("""COMPUTED_VALUE"""),341.0)</f>
        <v>341</v>
      </c>
      <c r="C1152" s="10">
        <f>IFERROR(__xludf.DUMMYFUNCTION("""COMPUTED_VALUE"""),3970.0)</f>
        <v>3970</v>
      </c>
      <c r="D1152" s="5">
        <f>IFERROR(__xludf.DUMMYFUNCTION("""COMPUTED_VALUE"""),0.39239459906310276)</f>
        <v>0.3923945991</v>
      </c>
      <c r="E1152" s="5">
        <f>IFERROR(__xludf.DUMMYFUNCTION("""COMPUTED_VALUE"""),0.13915679250482227)</f>
        <v>0.1391567925</v>
      </c>
      <c r="F1152" s="5">
        <f>IFERROR(__xludf.DUMMYFUNCTION("""COMPUTED_VALUE"""),0.20887296775971342)</f>
        <v>0.2088729678</v>
      </c>
      <c r="G1152" s="5">
        <f>IFERROR(__xludf.DUMMYFUNCTION("""COMPUTED_VALUE"""),0.1576191788371452)</f>
        <v>0.1576191788</v>
      </c>
      <c r="H1152" s="5">
        <f>IFERROR(__xludf.DUMMYFUNCTION("""COMPUTED_VALUE"""),0.604221635883905)</f>
        <v>0.6042216359</v>
      </c>
      <c r="I1152" s="11">
        <f>IFERROR(__xludf.DUMMYFUNCTION("""COMPUTED_VALUE"""),5499.472295514512)</f>
        <v>5499.472296</v>
      </c>
      <c r="J1152" s="10">
        <f>IFERROR(__xludf.DUMMYFUNCTION("""COMPUTED_VALUE"""),1.0)</f>
        <v>1</v>
      </c>
      <c r="K1152" s="5">
        <f>IFERROR(__xludf.DUMMYFUNCTION("""COMPUTED_VALUE"""),0.002932551319648094)</f>
        <v>0.00293255132</v>
      </c>
      <c r="L1152" s="10">
        <f>IFERROR(__xludf.DUMMYFUNCTION("""COMPUTED_VALUE"""),51.0)</f>
        <v>51</v>
      </c>
      <c r="M1152" s="5">
        <f>IFERROR(__xludf.DUMMYFUNCTION("""COMPUTED_VALUE"""),0.1495601173020528)</f>
        <v>0.1495601173</v>
      </c>
    </row>
    <row r="1153">
      <c r="A1153" s="10" t="str">
        <f>IFERROR(__xludf.DUMMYFUNCTION("""COMPUTED_VALUE"""),"ROLLY")</f>
        <v>ROLLY</v>
      </c>
      <c r="B1153" s="10">
        <f>IFERROR(__xludf.DUMMYFUNCTION("""COMPUTED_VALUE"""),2524.0)</f>
        <v>2524</v>
      </c>
      <c r="C1153" s="10">
        <f>IFERROR(__xludf.DUMMYFUNCTION("""COMPUTED_VALUE"""),29587.0)</f>
        <v>29587</v>
      </c>
      <c r="D1153" s="5">
        <f>IFERROR(__xludf.DUMMYFUNCTION("""COMPUTED_VALUE"""),0.4038354949562133)</f>
        <v>0.403835495</v>
      </c>
      <c r="E1153" s="5">
        <f>IFERROR(__xludf.DUMMYFUNCTION("""COMPUTED_VALUE"""),0.13915678232272846)</f>
        <v>0.1391567823</v>
      </c>
      <c r="F1153" s="5">
        <f>IFERROR(__xludf.DUMMYFUNCTION("""COMPUTED_VALUE"""),0.23027750064663932)</f>
        <v>0.2302775006</v>
      </c>
      <c r="G1153" s="5">
        <f>IFERROR(__xludf.DUMMYFUNCTION("""COMPUTED_VALUE"""),0.1608469127591176)</f>
        <v>0.1608469128</v>
      </c>
      <c r="H1153" s="5">
        <f>IFERROR(__xludf.DUMMYFUNCTION("""COMPUTED_VALUE"""),0.6041399229781772)</f>
        <v>0.604139923</v>
      </c>
      <c r="I1153" s="11">
        <f>IFERROR(__xludf.DUMMYFUNCTION("""COMPUTED_VALUE"""),5310.478177150193)</f>
        <v>5310.478177</v>
      </c>
      <c r="J1153" s="10">
        <f>IFERROR(__xludf.DUMMYFUNCTION("""COMPUTED_VALUE"""),11.0)</f>
        <v>11</v>
      </c>
      <c r="K1153" s="5">
        <f>IFERROR(__xludf.DUMMYFUNCTION("""COMPUTED_VALUE"""),0.004358161648177496)</f>
        <v>0.004358161648</v>
      </c>
      <c r="L1153" s="10">
        <f>IFERROR(__xludf.DUMMYFUNCTION("""COMPUTED_VALUE"""),2513.0)</f>
        <v>2513</v>
      </c>
      <c r="M1153" s="5">
        <f>IFERROR(__xludf.DUMMYFUNCTION("""COMPUTED_VALUE"""),0.9956418383518225)</f>
        <v>0.9956418384</v>
      </c>
    </row>
    <row r="1154">
      <c r="A1154" s="10" t="str">
        <f>IFERROR(__xludf.DUMMYFUNCTION("""COMPUTED_VALUE"""),"TDN48")</f>
        <v>TDN48</v>
      </c>
      <c r="B1154" s="10">
        <f>IFERROR(__xludf.DUMMYFUNCTION("""COMPUTED_VALUE"""),405.0)</f>
        <v>405</v>
      </c>
      <c r="C1154" s="10">
        <f>IFERROR(__xludf.DUMMYFUNCTION("""COMPUTED_VALUE"""),4803.0)</f>
        <v>4803</v>
      </c>
      <c r="D1154" s="5">
        <f>IFERROR(__xludf.DUMMYFUNCTION("""COMPUTED_VALUE"""),0.33651659845384263)</f>
        <v>0.3365165985</v>
      </c>
      <c r="E1154" s="5">
        <f>IFERROR(__xludf.DUMMYFUNCTION("""COMPUTED_VALUE"""),0.13915416098226466)</f>
        <v>0.139154161</v>
      </c>
      <c r="F1154" s="5">
        <f>IFERROR(__xludf.DUMMYFUNCTION("""COMPUTED_VALUE"""),0.20441109595270576)</f>
        <v>0.204411096</v>
      </c>
      <c r="G1154" s="5">
        <f>IFERROR(__xludf.DUMMYFUNCTION("""COMPUTED_VALUE"""),0.14984083674397453)</f>
        <v>0.1498408367</v>
      </c>
      <c r="H1154" s="5">
        <f>IFERROR(__xludf.DUMMYFUNCTION("""COMPUTED_VALUE"""),0.5906562847608454)</f>
        <v>0.5906562848</v>
      </c>
      <c r="I1154" s="11">
        <f>IFERROR(__xludf.DUMMYFUNCTION("""COMPUTED_VALUE"""),5926.0289210233595)</f>
        <v>5926.028921</v>
      </c>
      <c r="J1154" s="10">
        <f>IFERROR(__xludf.DUMMYFUNCTION("""COMPUTED_VALUE"""),2.0)</f>
        <v>2</v>
      </c>
      <c r="K1154" s="5">
        <f>IFERROR(__xludf.DUMMYFUNCTION("""COMPUTED_VALUE"""),0.0049382716049382715)</f>
        <v>0.004938271605</v>
      </c>
      <c r="L1154" s="10">
        <f>IFERROR(__xludf.DUMMYFUNCTION("""COMPUTED_VALUE"""),405.0)</f>
        <v>405</v>
      </c>
      <c r="M1154" s="5">
        <f>IFERROR(__xludf.DUMMYFUNCTION("""COMPUTED_VALUE"""),1.0)</f>
        <v>1</v>
      </c>
    </row>
    <row r="1155">
      <c r="A1155" s="10" t="str">
        <f>IFERROR(__xludf.DUMMYFUNCTION("""COMPUTED_VALUE"""),"O3龍門")</f>
        <v>O3龍門</v>
      </c>
      <c r="B1155" s="10">
        <f>IFERROR(__xludf.DUMMYFUNCTION("""COMPUTED_VALUE"""),273.0)</f>
        <v>273</v>
      </c>
      <c r="C1155" s="10">
        <f>IFERROR(__xludf.DUMMYFUNCTION("""COMPUTED_VALUE"""),3191.0)</f>
        <v>3191</v>
      </c>
      <c r="D1155" s="5">
        <f>IFERROR(__xludf.DUMMYFUNCTION("""COMPUTED_VALUE"""),0.36874571624400276)</f>
        <v>0.3687457162</v>
      </c>
      <c r="E1155" s="5">
        <f>IFERROR(__xludf.DUMMYFUNCTION("""COMPUTED_VALUE"""),0.13913639479095272)</f>
        <v>0.1391363948</v>
      </c>
      <c r="F1155" s="5">
        <f>IFERROR(__xludf.DUMMYFUNCTION("""COMPUTED_VALUE"""),0.21213159698423578)</f>
        <v>0.212131597</v>
      </c>
      <c r="G1155" s="5">
        <f>IFERROR(__xludf.DUMMYFUNCTION("""COMPUTED_VALUE"""),0.18985606579849212)</f>
        <v>0.1898560658</v>
      </c>
      <c r="H1155" s="5">
        <f>IFERROR(__xludf.DUMMYFUNCTION("""COMPUTED_VALUE"""),0.6042003231017771)</f>
        <v>0.6042003231</v>
      </c>
      <c r="I1155" s="11">
        <f>IFERROR(__xludf.DUMMYFUNCTION("""COMPUTED_VALUE"""),5046.042003231018)</f>
        <v>5046.042003</v>
      </c>
      <c r="J1155" s="10">
        <f>IFERROR(__xludf.DUMMYFUNCTION("""COMPUTED_VALUE"""),0.0)</f>
        <v>0</v>
      </c>
      <c r="K1155" s="5">
        <f>IFERROR(__xludf.DUMMYFUNCTION("""COMPUTED_VALUE"""),0.0)</f>
        <v>0</v>
      </c>
      <c r="L1155" s="10">
        <f>IFERROR(__xludf.DUMMYFUNCTION("""COMPUTED_VALUE"""),273.0)</f>
        <v>273</v>
      </c>
      <c r="M1155" s="5">
        <f>IFERROR(__xludf.DUMMYFUNCTION("""COMPUTED_VALUE"""),1.0)</f>
        <v>1</v>
      </c>
    </row>
    <row r="1156">
      <c r="A1156" s="10" t="str">
        <f>IFERROR(__xludf.DUMMYFUNCTION("""COMPUTED_VALUE"""),"setsu.15")</f>
        <v>setsu.15</v>
      </c>
      <c r="B1156" s="10">
        <f>IFERROR(__xludf.DUMMYFUNCTION("""COMPUTED_VALUE"""),628.0)</f>
        <v>628</v>
      </c>
      <c r="C1156" s="10">
        <f>IFERROR(__xludf.DUMMYFUNCTION("""COMPUTED_VALUE"""),7334.0)</f>
        <v>7334</v>
      </c>
      <c r="D1156" s="5">
        <f>IFERROR(__xludf.DUMMYFUNCTION("""COMPUTED_VALUE"""),0.3021175067104086)</f>
        <v>0.3021175067</v>
      </c>
      <c r="E1156" s="5">
        <f>IFERROR(__xludf.DUMMYFUNCTION("""COMPUTED_VALUE"""),0.13912913808529676)</f>
        <v>0.1391291381</v>
      </c>
      <c r="F1156" s="5">
        <f>IFERROR(__xludf.DUMMYFUNCTION("""COMPUTED_VALUE"""),0.21428571428571427)</f>
        <v>0.2142857143</v>
      </c>
      <c r="G1156" s="5">
        <f>IFERROR(__xludf.DUMMYFUNCTION("""COMPUTED_VALUE"""),0.18416343572919774)</f>
        <v>0.1841634357</v>
      </c>
      <c r="H1156" s="5">
        <f>IFERROR(__xludf.DUMMYFUNCTION("""COMPUTED_VALUE"""),0.5963813500347948)</f>
        <v>0.59638135</v>
      </c>
      <c r="I1156" s="11">
        <f>IFERROR(__xludf.DUMMYFUNCTION("""COMPUTED_VALUE"""),5565.066109951287)</f>
        <v>5565.06611</v>
      </c>
      <c r="J1156" s="10">
        <f>IFERROR(__xludf.DUMMYFUNCTION("""COMPUTED_VALUE"""),0.0)</f>
        <v>0</v>
      </c>
      <c r="K1156" s="5">
        <f>IFERROR(__xludf.DUMMYFUNCTION("""COMPUTED_VALUE"""),0.0)</f>
        <v>0</v>
      </c>
      <c r="L1156" s="10">
        <f>IFERROR(__xludf.DUMMYFUNCTION("""COMPUTED_VALUE"""),628.0)</f>
        <v>628</v>
      </c>
      <c r="M1156" s="5">
        <f>IFERROR(__xludf.DUMMYFUNCTION("""COMPUTED_VALUE"""),1.0)</f>
        <v>1</v>
      </c>
    </row>
    <row r="1157">
      <c r="A1157" s="10" t="str">
        <f>IFERROR(__xludf.DUMMYFUNCTION("""COMPUTED_VALUE"""),"ワイルド")</f>
        <v>ワイルド</v>
      </c>
      <c r="B1157" s="10">
        <f>IFERROR(__xludf.DUMMYFUNCTION("""COMPUTED_VALUE"""),1279.0)</f>
        <v>1279</v>
      </c>
      <c r="C1157" s="10">
        <f>IFERROR(__xludf.DUMMYFUNCTION("""COMPUTED_VALUE"""),14822.0)</f>
        <v>14822</v>
      </c>
      <c r="D1157" s="5">
        <f>IFERROR(__xludf.DUMMYFUNCTION("""COMPUTED_VALUE"""),0.27852026877353614)</f>
        <v>0.2785202688</v>
      </c>
      <c r="E1157" s="5">
        <f>IFERROR(__xludf.DUMMYFUNCTION("""COMPUTED_VALUE"""),0.1391124566196559)</f>
        <v>0.1391124566</v>
      </c>
      <c r="F1157" s="5">
        <f>IFERROR(__xludf.DUMMYFUNCTION("""COMPUTED_VALUE"""),0.21295134017573655)</f>
        <v>0.2129513402</v>
      </c>
      <c r="G1157" s="5">
        <f>IFERROR(__xludf.DUMMYFUNCTION("""COMPUTED_VALUE"""),0.19995569666986635)</f>
        <v>0.1999556967</v>
      </c>
      <c r="H1157" s="5">
        <f>IFERROR(__xludf.DUMMYFUNCTION("""COMPUTED_VALUE"""),0.5967406380027739)</f>
        <v>0.596740638</v>
      </c>
      <c r="I1157" s="11">
        <f>IFERROR(__xludf.DUMMYFUNCTION("""COMPUTED_VALUE"""),5914.805825242718)</f>
        <v>5914.805825</v>
      </c>
      <c r="J1157" s="10">
        <f>IFERROR(__xludf.DUMMYFUNCTION("""COMPUTED_VALUE"""),2.0)</f>
        <v>2</v>
      </c>
      <c r="K1157" s="5">
        <f>IFERROR(__xludf.DUMMYFUNCTION("""COMPUTED_VALUE"""),0.001563721657544957)</f>
        <v>0.001563721658</v>
      </c>
      <c r="L1157" s="10">
        <f>IFERROR(__xludf.DUMMYFUNCTION("""COMPUTED_VALUE"""),1279.0)</f>
        <v>1279</v>
      </c>
      <c r="M1157" s="5">
        <f>IFERROR(__xludf.DUMMYFUNCTION("""COMPUTED_VALUE"""),1.0)</f>
        <v>1</v>
      </c>
    </row>
    <row r="1158">
      <c r="A1158" s="10" t="str">
        <f>IFERROR(__xludf.DUMMYFUNCTION("""COMPUTED_VALUE"""),"ひょうちゅう")</f>
        <v>ひょうちゅう</v>
      </c>
      <c r="B1158" s="10">
        <f>IFERROR(__xludf.DUMMYFUNCTION("""COMPUTED_VALUE"""),210.0)</f>
        <v>210</v>
      </c>
      <c r="C1158" s="10">
        <f>IFERROR(__xludf.DUMMYFUNCTION("""COMPUTED_VALUE"""),2460.0)</f>
        <v>2460</v>
      </c>
      <c r="D1158" s="5">
        <f>IFERROR(__xludf.DUMMYFUNCTION("""COMPUTED_VALUE"""),0.38133333333333336)</f>
        <v>0.3813333333</v>
      </c>
      <c r="E1158" s="5">
        <f>IFERROR(__xludf.DUMMYFUNCTION("""COMPUTED_VALUE"""),0.1391111111111111)</f>
        <v>0.1391111111</v>
      </c>
      <c r="F1158" s="5">
        <f>IFERROR(__xludf.DUMMYFUNCTION("""COMPUTED_VALUE"""),0.21777777777777776)</f>
        <v>0.2177777778</v>
      </c>
      <c r="G1158" s="5">
        <f>IFERROR(__xludf.DUMMYFUNCTION("""COMPUTED_VALUE"""),0.16177777777777777)</f>
        <v>0.1617777778</v>
      </c>
      <c r="H1158" s="5">
        <f>IFERROR(__xludf.DUMMYFUNCTION("""COMPUTED_VALUE"""),0.610204081632653)</f>
        <v>0.6102040816</v>
      </c>
      <c r="I1158" s="11">
        <f>IFERROR(__xludf.DUMMYFUNCTION("""COMPUTED_VALUE"""),5173.469387755102)</f>
        <v>5173.469388</v>
      </c>
      <c r="J1158" s="10">
        <f>IFERROR(__xludf.DUMMYFUNCTION("""COMPUTED_VALUE"""),0.0)</f>
        <v>0</v>
      </c>
      <c r="K1158" s="5">
        <f>IFERROR(__xludf.DUMMYFUNCTION("""COMPUTED_VALUE"""),0.0)</f>
        <v>0</v>
      </c>
      <c r="L1158" s="10">
        <f>IFERROR(__xludf.DUMMYFUNCTION("""COMPUTED_VALUE"""),210.0)</f>
        <v>210</v>
      </c>
      <c r="M1158" s="5">
        <f>IFERROR(__xludf.DUMMYFUNCTION("""COMPUTED_VALUE"""),1.0)</f>
        <v>1</v>
      </c>
    </row>
    <row r="1159">
      <c r="A1159" s="10" t="str">
        <f>IFERROR(__xludf.DUMMYFUNCTION("""COMPUTED_VALUE"""),"出るピエロ")</f>
        <v>出るピエロ</v>
      </c>
      <c r="B1159" s="10">
        <f>IFERROR(__xludf.DUMMYFUNCTION("""COMPUTED_VALUE"""),249.0)</f>
        <v>249</v>
      </c>
      <c r="C1159" s="10">
        <f>IFERROR(__xludf.DUMMYFUNCTION("""COMPUTED_VALUE"""),2873.0)</f>
        <v>2873</v>
      </c>
      <c r="D1159" s="5">
        <f>IFERROR(__xludf.DUMMYFUNCTION("""COMPUTED_VALUE"""),0.35060975609756095)</f>
        <v>0.3506097561</v>
      </c>
      <c r="E1159" s="5">
        <f>IFERROR(__xludf.DUMMYFUNCTION("""COMPUTED_VALUE"""),0.13910060975609756)</f>
        <v>0.1391006098</v>
      </c>
      <c r="F1159" s="5">
        <f>IFERROR(__xludf.DUMMYFUNCTION("""COMPUTED_VALUE"""),0.21722560975609756)</f>
        <v>0.2172256098</v>
      </c>
      <c r="G1159" s="5">
        <f>IFERROR(__xludf.DUMMYFUNCTION("""COMPUTED_VALUE"""),0.19016768292682926)</f>
        <v>0.1901676829</v>
      </c>
      <c r="H1159" s="5">
        <f>IFERROR(__xludf.DUMMYFUNCTION("""COMPUTED_VALUE"""),0.6140350877192983)</f>
        <v>0.6140350877</v>
      </c>
      <c r="I1159" s="11">
        <f>IFERROR(__xludf.DUMMYFUNCTION("""COMPUTED_VALUE"""),6152.105263157895)</f>
        <v>6152.105263</v>
      </c>
      <c r="J1159" s="10">
        <f>IFERROR(__xludf.DUMMYFUNCTION("""COMPUTED_VALUE"""),2.0)</f>
        <v>2</v>
      </c>
      <c r="K1159" s="5">
        <f>IFERROR(__xludf.DUMMYFUNCTION("""COMPUTED_VALUE"""),0.008032128514056224)</f>
        <v>0.008032128514</v>
      </c>
      <c r="L1159" s="10">
        <f>IFERROR(__xludf.DUMMYFUNCTION("""COMPUTED_VALUE"""),249.0)</f>
        <v>249</v>
      </c>
      <c r="M1159" s="5">
        <f>IFERROR(__xludf.DUMMYFUNCTION("""COMPUTED_VALUE"""),1.0)</f>
        <v>1</v>
      </c>
    </row>
    <row r="1160">
      <c r="A1160" s="10" t="str">
        <f>IFERROR(__xludf.DUMMYFUNCTION("""COMPUTED_VALUE"""),"poruca")</f>
        <v>poruca</v>
      </c>
      <c r="B1160" s="10">
        <f>IFERROR(__xludf.DUMMYFUNCTION("""COMPUTED_VALUE"""),280.0)</f>
        <v>280</v>
      </c>
      <c r="C1160" s="10">
        <f>IFERROR(__xludf.DUMMYFUNCTION("""COMPUTED_VALUE"""),3357.0)</f>
        <v>3357</v>
      </c>
      <c r="D1160" s="5">
        <f>IFERROR(__xludf.DUMMYFUNCTION("""COMPUTED_VALUE"""),0.2983425414364641)</f>
        <v>0.2983425414</v>
      </c>
      <c r="E1160" s="5">
        <f>IFERROR(__xludf.DUMMYFUNCTION("""COMPUTED_VALUE"""),0.13909652258693533)</f>
        <v>0.1390965226</v>
      </c>
      <c r="F1160" s="5">
        <f>IFERROR(__xludf.DUMMYFUNCTION("""COMPUTED_VALUE"""),0.1891452713682158)</f>
        <v>0.1891452714</v>
      </c>
      <c r="G1160" s="5">
        <f>IFERROR(__xludf.DUMMYFUNCTION("""COMPUTED_VALUE"""),0.18882027949301267)</f>
        <v>0.1888202795</v>
      </c>
      <c r="H1160" s="5">
        <f>IFERROR(__xludf.DUMMYFUNCTION("""COMPUTED_VALUE"""),0.5859106529209622)</f>
        <v>0.5859106529</v>
      </c>
      <c r="I1160" s="11">
        <f>IFERROR(__xludf.DUMMYFUNCTION("""COMPUTED_VALUE"""),6357.903780068728)</f>
        <v>6357.90378</v>
      </c>
      <c r="J1160" s="10">
        <f>IFERROR(__xludf.DUMMYFUNCTION("""COMPUTED_VALUE"""),0.0)</f>
        <v>0</v>
      </c>
      <c r="K1160" s="5">
        <f>IFERROR(__xludf.DUMMYFUNCTION("""COMPUTED_VALUE"""),0.0)</f>
        <v>0</v>
      </c>
      <c r="L1160" s="10">
        <f>IFERROR(__xludf.DUMMYFUNCTION("""COMPUTED_VALUE"""),280.0)</f>
        <v>280</v>
      </c>
      <c r="M1160" s="5">
        <f>IFERROR(__xludf.DUMMYFUNCTION("""COMPUTED_VALUE"""),1.0)</f>
        <v>1</v>
      </c>
    </row>
    <row r="1161">
      <c r="A1161" s="10" t="str">
        <f>IFERROR(__xludf.DUMMYFUNCTION("""COMPUTED_VALUE"""),"おd")</f>
        <v>おd</v>
      </c>
      <c r="B1161" s="10">
        <f>IFERROR(__xludf.DUMMYFUNCTION("""COMPUTED_VALUE"""),257.0)</f>
        <v>257</v>
      </c>
      <c r="C1161" s="10">
        <f>IFERROR(__xludf.DUMMYFUNCTION("""COMPUTED_VALUE"""),3069.0)</f>
        <v>3069</v>
      </c>
      <c r="D1161" s="5">
        <f>IFERROR(__xludf.DUMMYFUNCTION("""COMPUTED_VALUE"""),0.317923186344239)</f>
        <v>0.3179231863</v>
      </c>
      <c r="E1161" s="5">
        <f>IFERROR(__xludf.DUMMYFUNCTION("""COMPUTED_VALUE"""),0.13904694167852064)</f>
        <v>0.1390469417</v>
      </c>
      <c r="F1161" s="5">
        <f>IFERROR(__xludf.DUMMYFUNCTION("""COMPUTED_VALUE"""),0.2197724039829303)</f>
        <v>0.219772404</v>
      </c>
      <c r="G1161" s="5">
        <f>IFERROR(__xludf.DUMMYFUNCTION("""COMPUTED_VALUE"""),0.17923186344238975)</f>
        <v>0.1792318634</v>
      </c>
      <c r="H1161" s="5">
        <f>IFERROR(__xludf.DUMMYFUNCTION("""COMPUTED_VALUE"""),0.5970873786407767)</f>
        <v>0.5970873786</v>
      </c>
      <c r="I1161" s="11">
        <f>IFERROR(__xludf.DUMMYFUNCTION("""COMPUTED_VALUE"""),5430.906148867314)</f>
        <v>5430.906149</v>
      </c>
      <c r="J1161" s="10">
        <f>IFERROR(__xludf.DUMMYFUNCTION("""COMPUTED_VALUE"""),2.0)</f>
        <v>2</v>
      </c>
      <c r="K1161" s="5">
        <f>IFERROR(__xludf.DUMMYFUNCTION("""COMPUTED_VALUE"""),0.007782101167315175)</f>
        <v>0.007782101167</v>
      </c>
      <c r="L1161" s="10">
        <f>IFERROR(__xludf.DUMMYFUNCTION("""COMPUTED_VALUE"""),257.0)</f>
        <v>257</v>
      </c>
      <c r="M1161" s="5">
        <f>IFERROR(__xludf.DUMMYFUNCTION("""COMPUTED_VALUE"""),1.0)</f>
        <v>1</v>
      </c>
    </row>
    <row r="1162">
      <c r="A1162" s="10" t="str">
        <f>IFERROR(__xludf.DUMMYFUNCTION("""COMPUTED_VALUE"""),"わーさー・ω・；")</f>
        <v>わーさー・ω・；</v>
      </c>
      <c r="B1162" s="10">
        <f>IFERROR(__xludf.DUMMYFUNCTION("""COMPUTED_VALUE"""),140.0)</f>
        <v>140</v>
      </c>
      <c r="C1162" s="10">
        <f>IFERROR(__xludf.DUMMYFUNCTION("""COMPUTED_VALUE"""),1636.0)</f>
        <v>1636</v>
      </c>
      <c r="D1162" s="5">
        <f>IFERROR(__xludf.DUMMYFUNCTION("""COMPUTED_VALUE"""),0.41310160427807485)</f>
        <v>0.4131016043</v>
      </c>
      <c r="E1162" s="5">
        <f>IFERROR(__xludf.DUMMYFUNCTION("""COMPUTED_VALUE"""),0.13903743315508021)</f>
        <v>0.1390374332</v>
      </c>
      <c r="F1162" s="5">
        <f>IFERROR(__xludf.DUMMYFUNCTION("""COMPUTED_VALUE"""),0.19318181818181818)</f>
        <v>0.1931818182</v>
      </c>
      <c r="G1162" s="5">
        <f>IFERROR(__xludf.DUMMYFUNCTION("""COMPUTED_VALUE"""),0.13368983957219252)</f>
        <v>0.1336898396</v>
      </c>
      <c r="H1162" s="5">
        <f>IFERROR(__xludf.DUMMYFUNCTION("""COMPUTED_VALUE"""),0.5674740484429066)</f>
        <v>0.5674740484</v>
      </c>
      <c r="I1162" s="11">
        <f>IFERROR(__xludf.DUMMYFUNCTION("""COMPUTED_VALUE"""),5248.78892733564)</f>
        <v>5248.788927</v>
      </c>
      <c r="J1162" s="10">
        <f>IFERROR(__xludf.DUMMYFUNCTION("""COMPUTED_VALUE"""),0.0)</f>
        <v>0</v>
      </c>
      <c r="K1162" s="5">
        <f>IFERROR(__xludf.DUMMYFUNCTION("""COMPUTED_VALUE"""),0.0)</f>
        <v>0</v>
      </c>
      <c r="L1162" s="10">
        <f>IFERROR(__xludf.DUMMYFUNCTION("""COMPUTED_VALUE"""),140.0)</f>
        <v>140</v>
      </c>
      <c r="M1162" s="5">
        <f>IFERROR(__xludf.DUMMYFUNCTION("""COMPUTED_VALUE"""),1.0)</f>
        <v>1</v>
      </c>
    </row>
    <row r="1163">
      <c r="A1163" s="10" t="str">
        <f>IFERROR(__xludf.DUMMYFUNCTION("""COMPUTED_VALUE"""),"8606")</f>
        <v>8606</v>
      </c>
      <c r="B1163" s="10">
        <f>IFERROR(__xludf.DUMMYFUNCTION("""COMPUTED_VALUE"""),283.0)</f>
        <v>283</v>
      </c>
      <c r="C1163" s="10">
        <f>IFERROR(__xludf.DUMMYFUNCTION("""COMPUTED_VALUE"""),3311.0)</f>
        <v>3311</v>
      </c>
      <c r="D1163" s="5">
        <f>IFERROR(__xludf.DUMMYFUNCTION("""COMPUTED_VALUE"""),0.285336856010568)</f>
        <v>0.285336856</v>
      </c>
      <c r="E1163" s="5">
        <f>IFERROR(__xludf.DUMMYFUNCTION("""COMPUTED_VALUE"""),0.13903566710700133)</f>
        <v>0.1390356671</v>
      </c>
      <c r="F1163" s="5">
        <f>IFERROR(__xludf.DUMMYFUNCTION("""COMPUTED_VALUE"""),0.2073976221928666)</f>
        <v>0.2073976222</v>
      </c>
      <c r="G1163" s="5">
        <f>IFERROR(__xludf.DUMMYFUNCTION("""COMPUTED_VALUE"""),0.16149273447820345)</f>
        <v>0.1614927345</v>
      </c>
      <c r="H1163" s="5">
        <f>IFERROR(__xludf.DUMMYFUNCTION("""COMPUTED_VALUE"""),0.6178343949044586)</f>
        <v>0.6178343949</v>
      </c>
      <c r="I1163" s="11">
        <f>IFERROR(__xludf.DUMMYFUNCTION("""COMPUTED_VALUE"""),5603.1847133757965)</f>
        <v>5603.184713</v>
      </c>
      <c r="J1163" s="10">
        <f>IFERROR(__xludf.DUMMYFUNCTION("""COMPUTED_VALUE"""),0.0)</f>
        <v>0</v>
      </c>
      <c r="K1163" s="5">
        <f>IFERROR(__xludf.DUMMYFUNCTION("""COMPUTED_VALUE"""),0.0)</f>
        <v>0</v>
      </c>
      <c r="L1163" s="10">
        <f>IFERROR(__xludf.DUMMYFUNCTION("""COMPUTED_VALUE"""),283.0)</f>
        <v>283</v>
      </c>
      <c r="M1163" s="5">
        <f>IFERROR(__xludf.DUMMYFUNCTION("""COMPUTED_VALUE"""),1.0)</f>
        <v>1</v>
      </c>
    </row>
    <row r="1164">
      <c r="A1164" s="10" t="str">
        <f>IFERROR(__xludf.DUMMYFUNCTION("""COMPUTED_VALUE"""),"天江衣＠")</f>
        <v>天江衣＠</v>
      </c>
      <c r="B1164" s="10">
        <f>IFERROR(__xludf.DUMMYFUNCTION("""COMPUTED_VALUE"""),114.0)</f>
        <v>114</v>
      </c>
      <c r="C1164" s="10">
        <f>IFERROR(__xludf.DUMMYFUNCTION("""COMPUTED_VALUE"""),1380.0)</f>
        <v>1380</v>
      </c>
      <c r="D1164" s="5">
        <f>IFERROR(__xludf.DUMMYFUNCTION("""COMPUTED_VALUE"""),0.4178515007898894)</f>
        <v>0.4178515008</v>
      </c>
      <c r="E1164" s="5">
        <f>IFERROR(__xludf.DUMMYFUNCTION("""COMPUTED_VALUE"""),0.13902053712480253)</f>
        <v>0.1390205371</v>
      </c>
      <c r="F1164" s="5">
        <f>IFERROR(__xludf.DUMMYFUNCTION("""COMPUTED_VALUE"""),0.2156398104265403)</f>
        <v>0.2156398104</v>
      </c>
      <c r="G1164" s="5">
        <f>IFERROR(__xludf.DUMMYFUNCTION("""COMPUTED_VALUE"""),0.17851500789889416)</f>
        <v>0.1785150079</v>
      </c>
      <c r="H1164" s="5">
        <f>IFERROR(__xludf.DUMMYFUNCTION("""COMPUTED_VALUE"""),0.5934065934065934)</f>
        <v>0.5934065934</v>
      </c>
      <c r="I1164" s="11">
        <f>IFERROR(__xludf.DUMMYFUNCTION("""COMPUTED_VALUE"""),5676.190476190476)</f>
        <v>5676.190476</v>
      </c>
      <c r="J1164" s="10">
        <f>IFERROR(__xludf.DUMMYFUNCTION("""COMPUTED_VALUE"""),0.0)</f>
        <v>0</v>
      </c>
      <c r="K1164" s="5">
        <f>IFERROR(__xludf.DUMMYFUNCTION("""COMPUTED_VALUE"""),0.0)</f>
        <v>0</v>
      </c>
      <c r="L1164" s="10">
        <f>IFERROR(__xludf.DUMMYFUNCTION("""COMPUTED_VALUE"""),0.0)</f>
        <v>0</v>
      </c>
      <c r="M1164" s="5">
        <f>IFERROR(__xludf.DUMMYFUNCTION("""COMPUTED_VALUE"""),0.0)</f>
        <v>0</v>
      </c>
    </row>
    <row r="1165">
      <c r="A1165" s="10" t="str">
        <f>IFERROR(__xludf.DUMMYFUNCTION("""COMPUTED_VALUE"""),"麻雀で食え!")</f>
        <v>麻雀で食え!</v>
      </c>
      <c r="B1165" s="10">
        <f>IFERROR(__xludf.DUMMYFUNCTION("""COMPUTED_VALUE"""),3397.0)</f>
        <v>3397</v>
      </c>
      <c r="C1165" s="10">
        <f>IFERROR(__xludf.DUMMYFUNCTION("""COMPUTED_VALUE"""),39651.0)</f>
        <v>39651</v>
      </c>
      <c r="D1165" s="5">
        <f>IFERROR(__xludf.DUMMYFUNCTION("""COMPUTED_VALUE"""),0.3979147128592707)</f>
        <v>0.3979147129</v>
      </c>
      <c r="E1165" s="5">
        <f>IFERROR(__xludf.DUMMYFUNCTION("""COMPUTED_VALUE"""),0.1390191427152866)</f>
        <v>0.1390191427</v>
      </c>
      <c r="F1165" s="5">
        <f>IFERROR(__xludf.DUMMYFUNCTION("""COMPUTED_VALUE"""),0.2355050477188724)</f>
        <v>0.2355050477</v>
      </c>
      <c r="G1165" s="5">
        <f>IFERROR(__xludf.DUMMYFUNCTION("""COMPUTED_VALUE"""),0.15352788657803276)</f>
        <v>0.1535278866</v>
      </c>
      <c r="H1165" s="5">
        <f>IFERROR(__xludf.DUMMYFUNCTION("""COMPUTED_VALUE"""),0.6166549543218552)</f>
        <v>0.6166549543</v>
      </c>
      <c r="I1165" s="11">
        <f>IFERROR(__xludf.DUMMYFUNCTION("""COMPUTED_VALUE"""),5438.6858749121575)</f>
        <v>5438.685875</v>
      </c>
      <c r="J1165" s="10">
        <f>IFERROR(__xludf.DUMMYFUNCTION("""COMPUTED_VALUE"""),10.0)</f>
        <v>10</v>
      </c>
      <c r="K1165" s="5">
        <f>IFERROR(__xludf.DUMMYFUNCTION("""COMPUTED_VALUE"""),0.0029437739181630853)</f>
        <v>0.002943773918</v>
      </c>
      <c r="L1165" s="10">
        <f>IFERROR(__xludf.DUMMYFUNCTION("""COMPUTED_VALUE"""),3397.0)</f>
        <v>3397</v>
      </c>
      <c r="M1165" s="5">
        <f>IFERROR(__xludf.DUMMYFUNCTION("""COMPUTED_VALUE"""),1.0)</f>
        <v>1</v>
      </c>
    </row>
    <row r="1166">
      <c r="A1166" s="10" t="str">
        <f>IFERROR(__xludf.DUMMYFUNCTION("""COMPUTED_VALUE"""),"SGYMHRK1")</f>
        <v>SGYMHRK1</v>
      </c>
      <c r="B1166" s="10">
        <f>IFERROR(__xludf.DUMMYFUNCTION("""COMPUTED_VALUE"""),576.0)</f>
        <v>576</v>
      </c>
      <c r="C1166" s="10">
        <f>IFERROR(__xludf.DUMMYFUNCTION("""COMPUTED_VALUE"""),6827.0)</f>
        <v>6827</v>
      </c>
      <c r="D1166" s="5">
        <f>IFERROR(__xludf.DUMMYFUNCTION("""COMPUTED_VALUE"""),0.4101743721004639)</f>
        <v>0.4101743721</v>
      </c>
      <c r="E1166" s="5">
        <f>IFERROR(__xludf.DUMMYFUNCTION("""COMPUTED_VALUE"""),0.1390177571588546)</f>
        <v>0.1390177572</v>
      </c>
      <c r="F1166" s="5">
        <f>IFERROR(__xludf.DUMMYFUNCTION("""COMPUTED_VALUE"""),0.21788513837785956)</f>
        <v>0.2178851384</v>
      </c>
      <c r="G1166" s="5">
        <f>IFERROR(__xludf.DUMMYFUNCTION("""COMPUTED_VALUE"""),0.1418972964325708)</f>
        <v>0.1418972964</v>
      </c>
      <c r="H1166" s="5">
        <f>IFERROR(__xludf.DUMMYFUNCTION("""COMPUTED_VALUE"""),0.6013215859030837)</f>
        <v>0.6013215859</v>
      </c>
      <c r="I1166" s="11">
        <f>IFERROR(__xludf.DUMMYFUNCTION("""COMPUTED_VALUE"""),5450.440528634361)</f>
        <v>5450.440529</v>
      </c>
      <c r="J1166" s="10">
        <f>IFERROR(__xludf.DUMMYFUNCTION("""COMPUTED_VALUE"""),1.0)</f>
        <v>1</v>
      </c>
      <c r="K1166" s="5">
        <f>IFERROR(__xludf.DUMMYFUNCTION("""COMPUTED_VALUE"""),0.001736111111111111)</f>
        <v>0.001736111111</v>
      </c>
      <c r="L1166" s="10">
        <f>IFERROR(__xludf.DUMMYFUNCTION("""COMPUTED_VALUE"""),576.0)</f>
        <v>576</v>
      </c>
      <c r="M1166" s="5">
        <f>IFERROR(__xludf.DUMMYFUNCTION("""COMPUTED_VALUE"""),1.0)</f>
        <v>1</v>
      </c>
    </row>
    <row r="1167">
      <c r="A1167" s="10" t="str">
        <f>IFERROR(__xludf.DUMMYFUNCTION("""COMPUTED_VALUE"""),"ikeetti")</f>
        <v>ikeetti</v>
      </c>
      <c r="B1167" s="10">
        <f>IFERROR(__xludf.DUMMYFUNCTION("""COMPUTED_VALUE"""),554.0)</f>
        <v>554</v>
      </c>
      <c r="C1167" s="10">
        <f>IFERROR(__xludf.DUMMYFUNCTION("""COMPUTED_VALUE"""),6496.0)</f>
        <v>6496</v>
      </c>
      <c r="D1167" s="5">
        <f>IFERROR(__xludf.DUMMYFUNCTION("""COMPUTED_VALUE"""),0.3855604173678896)</f>
        <v>0.3855604174</v>
      </c>
      <c r="E1167" s="5">
        <f>IFERROR(__xludf.DUMMYFUNCTION("""COMPUTED_VALUE"""),0.13901043419724)</f>
        <v>0.1390104342</v>
      </c>
      <c r="F1167" s="5">
        <f>IFERROR(__xludf.DUMMYFUNCTION("""COMPUTED_VALUE"""),0.2182766745203635)</f>
        <v>0.2182766745</v>
      </c>
      <c r="G1167" s="5">
        <f>IFERROR(__xludf.DUMMYFUNCTION("""COMPUTED_VALUE"""),0.17855940760686637)</f>
        <v>0.1785594076</v>
      </c>
      <c r="H1167" s="5">
        <f>IFERROR(__xludf.DUMMYFUNCTION("""COMPUTED_VALUE"""),0.5797995373939862)</f>
        <v>0.5797995374</v>
      </c>
      <c r="I1167" s="11">
        <f>IFERROR(__xludf.DUMMYFUNCTION("""COMPUTED_VALUE"""),5312.259059367771)</f>
        <v>5312.259059</v>
      </c>
      <c r="J1167" s="10">
        <f>IFERROR(__xludf.DUMMYFUNCTION("""COMPUTED_VALUE"""),0.0)</f>
        <v>0</v>
      </c>
      <c r="K1167" s="5">
        <f>IFERROR(__xludf.DUMMYFUNCTION("""COMPUTED_VALUE"""),0.0)</f>
        <v>0</v>
      </c>
      <c r="L1167" s="10">
        <f>IFERROR(__xludf.DUMMYFUNCTION("""COMPUTED_VALUE"""),6.0)</f>
        <v>6</v>
      </c>
      <c r="M1167" s="5">
        <f>IFERROR(__xludf.DUMMYFUNCTION("""COMPUTED_VALUE"""),0.010830324909747292)</f>
        <v>0.01083032491</v>
      </c>
    </row>
    <row r="1168">
      <c r="A1168" s="10" t="str">
        <f>IFERROR(__xludf.DUMMYFUNCTION("""COMPUTED_VALUE"""),"Yoshi102")</f>
        <v>Yoshi102</v>
      </c>
      <c r="B1168" s="10">
        <f>IFERROR(__xludf.DUMMYFUNCTION("""COMPUTED_VALUE"""),1228.0)</f>
        <v>1228</v>
      </c>
      <c r="C1168" s="10">
        <f>IFERROR(__xludf.DUMMYFUNCTION("""COMPUTED_VALUE"""),14199.0)</f>
        <v>14199</v>
      </c>
      <c r="D1168" s="5">
        <f>IFERROR(__xludf.DUMMYFUNCTION("""COMPUTED_VALUE"""),0.3820831084727469)</f>
        <v>0.3820831085</v>
      </c>
      <c r="E1168" s="5">
        <f>IFERROR(__xludf.DUMMYFUNCTION("""COMPUTED_VALUE"""),0.13900238994680442)</f>
        <v>0.1390023899</v>
      </c>
      <c r="F1168" s="5">
        <f>IFERROR(__xludf.DUMMYFUNCTION("""COMPUTED_VALUE"""),0.21339912111633644)</f>
        <v>0.2133991211</v>
      </c>
      <c r="G1168" s="5">
        <f>IFERROR(__xludf.DUMMYFUNCTION("""COMPUTED_VALUE"""),0.15981805566263202)</f>
        <v>0.1598180557</v>
      </c>
      <c r="H1168" s="5">
        <f>IFERROR(__xludf.DUMMYFUNCTION("""COMPUTED_VALUE"""),0.5953757225433526)</f>
        <v>0.5953757225</v>
      </c>
      <c r="I1168" s="11">
        <f>IFERROR(__xludf.DUMMYFUNCTION("""COMPUTED_VALUE"""),5832.9841040462425)</f>
        <v>5832.984104</v>
      </c>
      <c r="J1168" s="10">
        <f>IFERROR(__xludf.DUMMYFUNCTION("""COMPUTED_VALUE"""),6.0)</f>
        <v>6</v>
      </c>
      <c r="K1168" s="5">
        <f>IFERROR(__xludf.DUMMYFUNCTION("""COMPUTED_VALUE"""),0.004885993485342019)</f>
        <v>0.004885993485</v>
      </c>
      <c r="L1168" s="10">
        <f>IFERROR(__xludf.DUMMYFUNCTION("""COMPUTED_VALUE"""),1228.0)</f>
        <v>1228</v>
      </c>
      <c r="M1168" s="5">
        <f>IFERROR(__xludf.DUMMYFUNCTION("""COMPUTED_VALUE"""),1.0)</f>
        <v>1</v>
      </c>
    </row>
    <row r="1169">
      <c r="A1169" s="10" t="str">
        <f>IFERROR(__xludf.DUMMYFUNCTION("""COMPUTED_VALUE"""),"強欲狂戦士")</f>
        <v>強欲狂戦士</v>
      </c>
      <c r="B1169" s="10">
        <f>IFERROR(__xludf.DUMMYFUNCTION("""COMPUTED_VALUE"""),302.0)</f>
        <v>302</v>
      </c>
      <c r="C1169" s="10">
        <f>IFERROR(__xludf.DUMMYFUNCTION("""COMPUTED_VALUE"""),3561.0)</f>
        <v>3561</v>
      </c>
      <c r="D1169" s="5">
        <f>IFERROR(__xludf.DUMMYFUNCTION("""COMPUTED_VALUE"""),0.37925744093280145)</f>
        <v>0.3792574409</v>
      </c>
      <c r="E1169" s="5">
        <f>IFERROR(__xludf.DUMMYFUNCTION("""COMPUTED_VALUE"""),0.13899969315741026)</f>
        <v>0.1389996932</v>
      </c>
      <c r="F1169" s="5">
        <f>IFERROR(__xludf.DUMMYFUNCTION("""COMPUTED_VALUE"""),0.20988033138999693)</f>
        <v>0.2098803314</v>
      </c>
      <c r="G1169" s="5">
        <f>IFERROR(__xludf.DUMMYFUNCTION("""COMPUTED_VALUE"""),0.14697760049094816)</f>
        <v>0.1469776005</v>
      </c>
      <c r="H1169" s="5">
        <f>IFERROR(__xludf.DUMMYFUNCTION("""COMPUTED_VALUE"""),0.5862573099415205)</f>
        <v>0.5862573099</v>
      </c>
      <c r="I1169" s="11">
        <f>IFERROR(__xludf.DUMMYFUNCTION("""COMPUTED_VALUE"""),5586.695906432748)</f>
        <v>5586.695906</v>
      </c>
      <c r="J1169" s="10">
        <f>IFERROR(__xludf.DUMMYFUNCTION("""COMPUTED_VALUE"""),1.0)</f>
        <v>1</v>
      </c>
      <c r="K1169" s="5">
        <f>IFERROR(__xludf.DUMMYFUNCTION("""COMPUTED_VALUE"""),0.0033112582781456954)</f>
        <v>0.003311258278</v>
      </c>
      <c r="L1169" s="10">
        <f>IFERROR(__xludf.DUMMYFUNCTION("""COMPUTED_VALUE"""),302.0)</f>
        <v>302</v>
      </c>
      <c r="M1169" s="5">
        <f>IFERROR(__xludf.DUMMYFUNCTION("""COMPUTED_VALUE"""),1.0)</f>
        <v>1</v>
      </c>
    </row>
    <row r="1170">
      <c r="A1170" s="10" t="str">
        <f>IFERROR(__xludf.DUMMYFUNCTION("""COMPUTED_VALUE"""),"ファンバステン")</f>
        <v>ファンバステン</v>
      </c>
      <c r="B1170" s="10">
        <f>IFERROR(__xludf.DUMMYFUNCTION("""COMPUTED_VALUE"""),699.0)</f>
        <v>699</v>
      </c>
      <c r="C1170" s="10">
        <f>IFERROR(__xludf.DUMMYFUNCTION("""COMPUTED_VALUE"""),8102.0)</f>
        <v>8102</v>
      </c>
      <c r="D1170" s="5">
        <f>IFERROR(__xludf.DUMMYFUNCTION("""COMPUTED_VALUE"""),0.3250033770093205)</f>
        <v>0.325003377</v>
      </c>
      <c r="E1170" s="5">
        <f>IFERROR(__xludf.DUMMYFUNCTION("""COMPUTED_VALUE"""),0.13899770363366204)</f>
        <v>0.1389977036</v>
      </c>
      <c r="F1170" s="5">
        <f>IFERROR(__xludf.DUMMYFUNCTION("""COMPUTED_VALUE"""),0.20883425638254763)</f>
        <v>0.2088342564</v>
      </c>
      <c r="G1170" s="5">
        <f>IFERROR(__xludf.DUMMYFUNCTION("""COMPUTED_VALUE"""),0.21099554234769688)</f>
        <v>0.2109955423</v>
      </c>
      <c r="H1170" s="5">
        <f>IFERROR(__xludf.DUMMYFUNCTION("""COMPUTED_VALUE"""),0.5756791720569211)</f>
        <v>0.5756791721</v>
      </c>
      <c r="I1170" s="11">
        <f>IFERROR(__xludf.DUMMYFUNCTION("""COMPUTED_VALUE"""),5806.597671410091)</f>
        <v>5806.597671</v>
      </c>
      <c r="J1170" s="10">
        <f>IFERROR(__xludf.DUMMYFUNCTION("""COMPUTED_VALUE"""),2.0)</f>
        <v>2</v>
      </c>
      <c r="K1170" s="5">
        <f>IFERROR(__xludf.DUMMYFUNCTION("""COMPUTED_VALUE"""),0.002861230329041488)</f>
        <v>0.002861230329</v>
      </c>
      <c r="L1170" s="10">
        <f>IFERROR(__xludf.DUMMYFUNCTION("""COMPUTED_VALUE"""),699.0)</f>
        <v>699</v>
      </c>
      <c r="M1170" s="5">
        <f>IFERROR(__xludf.DUMMYFUNCTION("""COMPUTED_VALUE"""),1.0)</f>
        <v>1</v>
      </c>
    </row>
    <row r="1171">
      <c r="A1171" s="10" t="str">
        <f>IFERROR(__xludf.DUMMYFUNCTION("""COMPUTED_VALUE"""),"画太郎＠ロン２")</f>
        <v>画太郎＠ロン２</v>
      </c>
      <c r="B1171" s="10">
        <f>IFERROR(__xludf.DUMMYFUNCTION("""COMPUTED_VALUE"""),230.0)</f>
        <v>230</v>
      </c>
      <c r="C1171" s="10">
        <f>IFERROR(__xludf.DUMMYFUNCTION("""COMPUTED_VALUE"""),2669.0)</f>
        <v>2669</v>
      </c>
      <c r="D1171" s="5">
        <f>IFERROR(__xludf.DUMMYFUNCTION("""COMPUTED_VALUE"""),0.3284132841328413)</f>
        <v>0.3284132841</v>
      </c>
      <c r="E1171" s="5">
        <f>IFERROR(__xludf.DUMMYFUNCTION("""COMPUTED_VALUE"""),0.13899138991389914)</f>
        <v>0.1389913899</v>
      </c>
      <c r="F1171" s="5">
        <f>IFERROR(__xludf.DUMMYFUNCTION("""COMPUTED_VALUE"""),0.21935219352193522)</f>
        <v>0.2193521935</v>
      </c>
      <c r="G1171" s="5">
        <f>IFERROR(__xludf.DUMMYFUNCTION("""COMPUTED_VALUE"""),0.16974169741697417)</f>
        <v>0.1697416974</v>
      </c>
      <c r="H1171" s="5">
        <f>IFERROR(__xludf.DUMMYFUNCTION("""COMPUTED_VALUE"""),0.6149532710280374)</f>
        <v>0.614953271</v>
      </c>
      <c r="I1171" s="11">
        <f>IFERROR(__xludf.DUMMYFUNCTION("""COMPUTED_VALUE"""),5475.140186915888)</f>
        <v>5475.140187</v>
      </c>
      <c r="J1171" s="10">
        <f>IFERROR(__xludf.DUMMYFUNCTION("""COMPUTED_VALUE"""),2.0)</f>
        <v>2</v>
      </c>
      <c r="K1171" s="5">
        <f>IFERROR(__xludf.DUMMYFUNCTION("""COMPUTED_VALUE"""),0.008695652173913044)</f>
        <v>0.008695652174</v>
      </c>
      <c r="L1171" s="10">
        <f>IFERROR(__xludf.DUMMYFUNCTION("""COMPUTED_VALUE"""),230.0)</f>
        <v>230</v>
      </c>
      <c r="M1171" s="5">
        <f>IFERROR(__xludf.DUMMYFUNCTION("""COMPUTED_VALUE"""),1.0)</f>
        <v>1</v>
      </c>
    </row>
    <row r="1172">
      <c r="A1172" s="10" t="str">
        <f>IFERROR(__xludf.DUMMYFUNCTION("""COMPUTED_VALUE"""),"woyoujia")</f>
        <v>woyoujia</v>
      </c>
      <c r="B1172" s="10">
        <f>IFERROR(__xludf.DUMMYFUNCTION("""COMPUTED_VALUE"""),127.0)</f>
        <v>127</v>
      </c>
      <c r="C1172" s="10">
        <f>IFERROR(__xludf.DUMMYFUNCTION("""COMPUTED_VALUE"""),1530.0)</f>
        <v>1530</v>
      </c>
      <c r="D1172" s="5">
        <f>IFERROR(__xludf.DUMMYFUNCTION("""COMPUTED_VALUE"""),0.43121881682109764)</f>
        <v>0.4312188168</v>
      </c>
      <c r="E1172" s="5">
        <f>IFERROR(__xludf.DUMMYFUNCTION("""COMPUTED_VALUE"""),0.13898788310762653)</f>
        <v>0.1389878831</v>
      </c>
      <c r="F1172" s="5">
        <f>IFERROR(__xludf.DUMMYFUNCTION("""COMPUTED_VALUE"""),0.18317890235210263)</f>
        <v>0.1831789024</v>
      </c>
      <c r="G1172" s="5">
        <f>IFERROR(__xludf.DUMMYFUNCTION("""COMPUTED_VALUE"""),0.16037063435495366)</f>
        <v>0.1603706344</v>
      </c>
      <c r="H1172" s="5">
        <f>IFERROR(__xludf.DUMMYFUNCTION("""COMPUTED_VALUE"""),0.5214007782101168)</f>
        <v>0.5214007782</v>
      </c>
      <c r="I1172" s="11">
        <f>IFERROR(__xludf.DUMMYFUNCTION("""COMPUTED_VALUE"""),5799.610894941634)</f>
        <v>5799.610895</v>
      </c>
      <c r="J1172" s="10">
        <f>IFERROR(__xludf.DUMMYFUNCTION("""COMPUTED_VALUE"""),0.0)</f>
        <v>0</v>
      </c>
      <c r="K1172" s="5">
        <f>IFERROR(__xludf.DUMMYFUNCTION("""COMPUTED_VALUE"""),0.0)</f>
        <v>0</v>
      </c>
      <c r="L1172" s="10">
        <f>IFERROR(__xludf.DUMMYFUNCTION("""COMPUTED_VALUE"""),127.0)</f>
        <v>127</v>
      </c>
      <c r="M1172" s="5">
        <f>IFERROR(__xludf.DUMMYFUNCTION("""COMPUTED_VALUE"""),1.0)</f>
        <v>1</v>
      </c>
    </row>
    <row r="1173">
      <c r="A1173" s="10" t="str">
        <f>IFERROR(__xludf.DUMMYFUNCTION("""COMPUTED_VALUE"""),"doumokun")</f>
        <v>doumokun</v>
      </c>
      <c r="B1173" s="10">
        <f>IFERROR(__xludf.DUMMYFUNCTION("""COMPUTED_VALUE"""),1779.0)</f>
        <v>1779</v>
      </c>
      <c r="C1173" s="10">
        <f>IFERROR(__xludf.DUMMYFUNCTION("""COMPUTED_VALUE"""),20748.0)</f>
        <v>20748</v>
      </c>
      <c r="D1173" s="5">
        <f>IFERROR(__xludf.DUMMYFUNCTION("""COMPUTED_VALUE"""),0.34498392113448256)</f>
        <v>0.3449839211</v>
      </c>
      <c r="E1173" s="5">
        <f>IFERROR(__xludf.DUMMYFUNCTION("""COMPUTED_VALUE"""),0.13896357214402447)</f>
        <v>0.1389635721</v>
      </c>
      <c r="F1173" s="5">
        <f>IFERROR(__xludf.DUMMYFUNCTION("""COMPUTED_VALUE"""),0.212662765564869)</f>
        <v>0.2126627656</v>
      </c>
      <c r="G1173" s="5">
        <f>IFERROR(__xludf.DUMMYFUNCTION("""COMPUTED_VALUE"""),0.16595497917655122)</f>
        <v>0.1659549792</v>
      </c>
      <c r="H1173" s="5">
        <f>IFERROR(__xludf.DUMMYFUNCTION("""COMPUTED_VALUE"""),0.6065939514129896)</f>
        <v>0.6065939514</v>
      </c>
      <c r="I1173" s="11">
        <f>IFERROR(__xludf.DUMMYFUNCTION("""COMPUTED_VALUE"""),5683.837382250867)</f>
        <v>5683.837382</v>
      </c>
      <c r="J1173" s="10">
        <f>IFERROR(__xludf.DUMMYFUNCTION("""COMPUTED_VALUE"""),4.0)</f>
        <v>4</v>
      </c>
      <c r="K1173" s="5">
        <f>IFERROR(__xludf.DUMMYFUNCTION("""COMPUTED_VALUE"""),0.0022484541877459247)</f>
        <v>0.002248454188</v>
      </c>
      <c r="L1173" s="10">
        <f>IFERROR(__xludf.DUMMYFUNCTION("""COMPUTED_VALUE"""),1779.0)</f>
        <v>1779</v>
      </c>
      <c r="M1173" s="5">
        <f>IFERROR(__xludf.DUMMYFUNCTION("""COMPUTED_VALUE"""),1.0)</f>
        <v>1</v>
      </c>
    </row>
    <row r="1174">
      <c r="A1174" s="10" t="str">
        <f>IFERROR(__xludf.DUMMYFUNCTION("""COMPUTED_VALUE"""),"たかみーみー")</f>
        <v>たかみーみー</v>
      </c>
      <c r="B1174" s="10">
        <f>IFERROR(__xludf.DUMMYFUNCTION("""COMPUTED_VALUE"""),112.0)</f>
        <v>112</v>
      </c>
      <c r="C1174" s="10">
        <f>IFERROR(__xludf.DUMMYFUNCTION("""COMPUTED_VALUE"""),1285.0)</f>
        <v>1285</v>
      </c>
      <c r="D1174" s="5">
        <f>IFERROR(__xludf.DUMMYFUNCTION("""COMPUTED_VALUE"""),0.33844842284739984)</f>
        <v>0.3384484228</v>
      </c>
      <c r="E1174" s="5">
        <f>IFERROR(__xludf.DUMMYFUNCTION("""COMPUTED_VALUE"""),0.13895993179880647)</f>
        <v>0.1389599318</v>
      </c>
      <c r="F1174" s="5">
        <f>IFERROR(__xludf.DUMMYFUNCTION("""COMPUTED_VALUE"""),0.19352088661551578)</f>
        <v>0.1935208866</v>
      </c>
      <c r="G1174" s="5">
        <f>IFERROR(__xludf.DUMMYFUNCTION("""COMPUTED_VALUE"""),0.18840579710144928)</f>
        <v>0.1884057971</v>
      </c>
      <c r="H1174" s="5">
        <f>IFERROR(__xludf.DUMMYFUNCTION("""COMPUTED_VALUE"""),0.5814977973568282)</f>
        <v>0.5814977974</v>
      </c>
      <c r="I1174" s="11">
        <f>IFERROR(__xludf.DUMMYFUNCTION("""COMPUTED_VALUE"""),5903.964757709251)</f>
        <v>5903.964758</v>
      </c>
      <c r="J1174" s="10">
        <f>IFERROR(__xludf.DUMMYFUNCTION("""COMPUTED_VALUE"""),0.0)</f>
        <v>0</v>
      </c>
      <c r="K1174" s="5">
        <f>IFERROR(__xludf.DUMMYFUNCTION("""COMPUTED_VALUE"""),0.0)</f>
        <v>0</v>
      </c>
      <c r="L1174" s="10">
        <f>IFERROR(__xludf.DUMMYFUNCTION("""COMPUTED_VALUE"""),112.0)</f>
        <v>112</v>
      </c>
      <c r="M1174" s="5">
        <f>IFERROR(__xludf.DUMMYFUNCTION("""COMPUTED_VALUE"""),1.0)</f>
        <v>1</v>
      </c>
    </row>
    <row r="1175">
      <c r="A1175" s="10" t="str">
        <f>IFERROR(__xludf.DUMMYFUNCTION("""COMPUTED_VALUE"""),"あんずぺろん")</f>
        <v>あんずぺろん</v>
      </c>
      <c r="B1175" s="10">
        <f>IFERROR(__xludf.DUMMYFUNCTION("""COMPUTED_VALUE"""),144.0)</f>
        <v>144</v>
      </c>
      <c r="C1175" s="10">
        <f>IFERROR(__xludf.DUMMYFUNCTION("""COMPUTED_VALUE"""),1605.0)</f>
        <v>1605</v>
      </c>
      <c r="D1175" s="5">
        <f>IFERROR(__xludf.DUMMYFUNCTION("""COMPUTED_VALUE"""),0.2737850787132101)</f>
        <v>0.2737850787</v>
      </c>
      <c r="E1175" s="5">
        <f>IFERROR(__xludf.DUMMYFUNCTION("""COMPUTED_VALUE"""),0.13894592744695414)</f>
        <v>0.1389459274</v>
      </c>
      <c r="F1175" s="5">
        <f>IFERROR(__xludf.DUMMYFUNCTION("""COMPUTED_VALUE"""),0.20123203285420946)</f>
        <v>0.2012320329</v>
      </c>
      <c r="G1175" s="5">
        <f>IFERROR(__xludf.DUMMYFUNCTION("""COMPUTED_VALUE"""),0.17659137577002054)</f>
        <v>0.1765913758</v>
      </c>
      <c r="H1175" s="5">
        <f>IFERROR(__xludf.DUMMYFUNCTION("""COMPUTED_VALUE"""),0.5578231292517006)</f>
        <v>0.5578231293</v>
      </c>
      <c r="I1175" s="11">
        <f>IFERROR(__xludf.DUMMYFUNCTION("""COMPUTED_VALUE"""),5939.455782312925)</f>
        <v>5939.455782</v>
      </c>
      <c r="J1175" s="10">
        <f>IFERROR(__xludf.DUMMYFUNCTION("""COMPUTED_VALUE"""),0.0)</f>
        <v>0</v>
      </c>
      <c r="K1175" s="5">
        <f>IFERROR(__xludf.DUMMYFUNCTION("""COMPUTED_VALUE"""),0.0)</f>
        <v>0</v>
      </c>
      <c r="L1175" s="10">
        <f>IFERROR(__xludf.DUMMYFUNCTION("""COMPUTED_VALUE"""),144.0)</f>
        <v>144</v>
      </c>
      <c r="M1175" s="5">
        <f>IFERROR(__xludf.DUMMYFUNCTION("""COMPUTED_VALUE"""),1.0)</f>
        <v>1</v>
      </c>
    </row>
    <row r="1176">
      <c r="A1176" s="10" t="str">
        <f>IFERROR(__xludf.DUMMYFUNCTION("""COMPUTED_VALUE"""),"stayb")</f>
        <v>stayb</v>
      </c>
      <c r="B1176" s="10">
        <f>IFERROR(__xludf.DUMMYFUNCTION("""COMPUTED_VALUE"""),408.0)</f>
        <v>408</v>
      </c>
      <c r="C1176" s="10">
        <f>IFERROR(__xludf.DUMMYFUNCTION("""COMPUTED_VALUE"""),4784.0)</f>
        <v>4784</v>
      </c>
      <c r="D1176" s="5">
        <f>IFERROR(__xludf.DUMMYFUNCTION("""COMPUTED_VALUE"""),0.3930530164533821)</f>
        <v>0.3930530165</v>
      </c>
      <c r="E1176" s="5">
        <f>IFERROR(__xludf.DUMMYFUNCTION("""COMPUTED_VALUE"""),0.13893967093235832)</f>
        <v>0.1389396709</v>
      </c>
      <c r="F1176" s="5">
        <f>IFERROR(__xludf.DUMMYFUNCTION("""COMPUTED_VALUE"""),0.2173217550274223)</f>
        <v>0.217321755</v>
      </c>
      <c r="G1176" s="5">
        <f>IFERROR(__xludf.DUMMYFUNCTION("""COMPUTED_VALUE"""),0.16293418647166363)</f>
        <v>0.1629341865</v>
      </c>
      <c r="H1176" s="5">
        <f>IFERROR(__xludf.DUMMYFUNCTION("""COMPUTED_VALUE"""),0.6161934805467929)</f>
        <v>0.6161934805</v>
      </c>
      <c r="I1176" s="11">
        <f>IFERROR(__xludf.DUMMYFUNCTION("""COMPUTED_VALUE"""),5298.738170347003)</f>
        <v>5298.73817</v>
      </c>
      <c r="J1176" s="10">
        <f>IFERROR(__xludf.DUMMYFUNCTION("""COMPUTED_VALUE"""),0.0)</f>
        <v>0</v>
      </c>
      <c r="K1176" s="5">
        <f>IFERROR(__xludf.DUMMYFUNCTION("""COMPUTED_VALUE"""),0.0)</f>
        <v>0</v>
      </c>
      <c r="L1176" s="10">
        <f>IFERROR(__xludf.DUMMYFUNCTION("""COMPUTED_VALUE"""),408.0)</f>
        <v>408</v>
      </c>
      <c r="M1176" s="5">
        <f>IFERROR(__xludf.DUMMYFUNCTION("""COMPUTED_VALUE"""),1.0)</f>
        <v>1</v>
      </c>
    </row>
    <row r="1177">
      <c r="A1177" s="10" t="str">
        <f>IFERROR(__xludf.DUMMYFUNCTION("""COMPUTED_VALUE"""),"まぁ雀")</f>
        <v>まぁ雀</v>
      </c>
      <c r="B1177" s="10">
        <f>IFERROR(__xludf.DUMMYFUNCTION("""COMPUTED_VALUE"""),671.0)</f>
        <v>671</v>
      </c>
      <c r="C1177" s="10">
        <f>IFERROR(__xludf.DUMMYFUNCTION("""COMPUTED_VALUE"""),8020.0)</f>
        <v>8020</v>
      </c>
      <c r="D1177" s="5">
        <f>IFERROR(__xludf.DUMMYFUNCTION("""COMPUTED_VALUE"""),0.33256225336780515)</f>
        <v>0.3325622534</v>
      </c>
      <c r="E1177" s="5">
        <f>IFERROR(__xludf.DUMMYFUNCTION("""COMPUTED_VALUE"""),0.13893046673016737)</f>
        <v>0.1389304667</v>
      </c>
      <c r="F1177" s="5">
        <f>IFERROR(__xludf.DUMMYFUNCTION("""COMPUTED_VALUE"""),0.21227377874540754)</f>
        <v>0.2122737787</v>
      </c>
      <c r="G1177" s="5">
        <f>IFERROR(__xludf.DUMMYFUNCTION("""COMPUTED_VALUE"""),0.18329024357055382)</f>
        <v>0.1832902436</v>
      </c>
      <c r="H1177" s="5">
        <f>IFERROR(__xludf.DUMMYFUNCTION("""COMPUTED_VALUE"""),0.6089743589743589)</f>
        <v>0.608974359</v>
      </c>
      <c r="I1177" s="11">
        <f>IFERROR(__xludf.DUMMYFUNCTION("""COMPUTED_VALUE"""),5655.576923076923)</f>
        <v>5655.576923</v>
      </c>
      <c r="J1177" s="10">
        <f>IFERROR(__xludf.DUMMYFUNCTION("""COMPUTED_VALUE"""),0.0)</f>
        <v>0</v>
      </c>
      <c r="K1177" s="5">
        <f>IFERROR(__xludf.DUMMYFUNCTION("""COMPUTED_VALUE"""),0.0)</f>
        <v>0</v>
      </c>
      <c r="L1177" s="10">
        <f>IFERROR(__xludf.DUMMYFUNCTION("""COMPUTED_VALUE"""),664.0)</f>
        <v>664</v>
      </c>
      <c r="M1177" s="5">
        <f>IFERROR(__xludf.DUMMYFUNCTION("""COMPUTED_VALUE"""),0.9895678092399404)</f>
        <v>0.9895678092</v>
      </c>
    </row>
    <row r="1178">
      <c r="A1178" s="10" t="str">
        <f>IFERROR(__xludf.DUMMYFUNCTION("""COMPUTED_VALUE"""),"DHK")</f>
        <v>DHK</v>
      </c>
      <c r="B1178" s="10">
        <f>IFERROR(__xludf.DUMMYFUNCTION("""COMPUTED_VALUE"""),273.0)</f>
        <v>273</v>
      </c>
      <c r="C1178" s="10">
        <f>IFERROR(__xludf.DUMMYFUNCTION("""COMPUTED_VALUE"""),3145.0)</f>
        <v>3145</v>
      </c>
      <c r="D1178" s="5">
        <f>IFERROR(__xludf.DUMMYFUNCTION("""COMPUTED_VALUE"""),0.42270194986072424)</f>
        <v>0.4227019499</v>
      </c>
      <c r="E1178" s="5">
        <f>IFERROR(__xludf.DUMMYFUNCTION("""COMPUTED_VALUE"""),0.13892757660167132)</f>
        <v>0.1389275766</v>
      </c>
      <c r="F1178" s="5">
        <f>IFERROR(__xludf.DUMMYFUNCTION("""COMPUTED_VALUE"""),0.21901114206128133)</f>
        <v>0.2190111421</v>
      </c>
      <c r="G1178" s="5">
        <f>IFERROR(__xludf.DUMMYFUNCTION("""COMPUTED_VALUE"""),0.1653899721448468)</f>
        <v>0.1653899721</v>
      </c>
      <c r="H1178" s="5">
        <f>IFERROR(__xludf.DUMMYFUNCTION("""COMPUTED_VALUE"""),0.5866454689984102)</f>
        <v>0.586645469</v>
      </c>
      <c r="I1178" s="11">
        <f>IFERROR(__xludf.DUMMYFUNCTION("""COMPUTED_VALUE"""),6005.087440381558)</f>
        <v>6005.08744</v>
      </c>
      <c r="J1178" s="10">
        <f>IFERROR(__xludf.DUMMYFUNCTION("""COMPUTED_VALUE"""),1.0)</f>
        <v>1</v>
      </c>
      <c r="K1178" s="5">
        <f>IFERROR(__xludf.DUMMYFUNCTION("""COMPUTED_VALUE"""),0.003663003663003663)</f>
        <v>0.003663003663</v>
      </c>
      <c r="L1178" s="10">
        <f>IFERROR(__xludf.DUMMYFUNCTION("""COMPUTED_VALUE"""),273.0)</f>
        <v>273</v>
      </c>
      <c r="M1178" s="5">
        <f>IFERROR(__xludf.DUMMYFUNCTION("""COMPUTED_VALUE"""),1.0)</f>
        <v>1</v>
      </c>
    </row>
    <row r="1179">
      <c r="A1179" s="10" t="str">
        <f>IFERROR(__xludf.DUMMYFUNCTION("""COMPUTED_VALUE"""),"まなぶやで")</f>
        <v>まなぶやで</v>
      </c>
      <c r="B1179" s="10">
        <f>IFERROR(__xludf.DUMMYFUNCTION("""COMPUTED_VALUE"""),480.0)</f>
        <v>480</v>
      </c>
      <c r="C1179" s="10">
        <f>IFERROR(__xludf.DUMMYFUNCTION("""COMPUTED_VALUE"""),5592.0)</f>
        <v>5592</v>
      </c>
      <c r="D1179" s="5">
        <f>IFERROR(__xludf.DUMMYFUNCTION("""COMPUTED_VALUE"""),0.3689358372456964)</f>
        <v>0.3689358372</v>
      </c>
      <c r="E1179" s="5">
        <f>IFERROR(__xludf.DUMMYFUNCTION("""COMPUTED_VALUE"""),0.1388888888888889)</f>
        <v>0.1388888889</v>
      </c>
      <c r="F1179" s="5">
        <f>IFERROR(__xludf.DUMMYFUNCTION("""COMPUTED_VALUE"""),0.21381064162754304)</f>
        <v>0.2138106416</v>
      </c>
      <c r="G1179" s="5">
        <f>IFERROR(__xludf.DUMMYFUNCTION("""COMPUTED_VALUE"""),0.15845070422535212)</f>
        <v>0.1584507042</v>
      </c>
      <c r="H1179" s="5">
        <f>IFERROR(__xludf.DUMMYFUNCTION("""COMPUTED_VALUE"""),0.616651418115279)</f>
        <v>0.6166514181</v>
      </c>
      <c r="I1179" s="11">
        <f>IFERROR(__xludf.DUMMYFUNCTION("""COMPUTED_VALUE"""),5719.487648673376)</f>
        <v>5719.487649</v>
      </c>
      <c r="J1179" s="10">
        <f>IFERROR(__xludf.DUMMYFUNCTION("""COMPUTED_VALUE"""),1.0)</f>
        <v>1</v>
      </c>
      <c r="K1179" s="5">
        <f>IFERROR(__xludf.DUMMYFUNCTION("""COMPUTED_VALUE"""),0.0020833333333333333)</f>
        <v>0.002083333333</v>
      </c>
      <c r="L1179" s="10">
        <f>IFERROR(__xludf.DUMMYFUNCTION("""COMPUTED_VALUE"""),480.0)</f>
        <v>480</v>
      </c>
      <c r="M1179" s="5">
        <f>IFERROR(__xludf.DUMMYFUNCTION("""COMPUTED_VALUE"""),1.0)</f>
        <v>1</v>
      </c>
    </row>
    <row r="1180">
      <c r="A1180" s="10" t="str">
        <f>IFERROR(__xludf.DUMMYFUNCTION("""COMPUTED_VALUE"""),"月瀬小夜音")</f>
        <v>月瀬小夜音</v>
      </c>
      <c r="B1180" s="10">
        <f>IFERROR(__xludf.DUMMYFUNCTION("""COMPUTED_VALUE"""),308.0)</f>
        <v>308</v>
      </c>
      <c r="C1180" s="10">
        <f>IFERROR(__xludf.DUMMYFUNCTION("""COMPUTED_VALUE"""),3613.0)</f>
        <v>3613</v>
      </c>
      <c r="D1180" s="5">
        <f>IFERROR(__xludf.DUMMYFUNCTION("""COMPUTED_VALUE"""),0.42511346444780634)</f>
        <v>0.4251134644</v>
      </c>
      <c r="E1180" s="5">
        <f>IFERROR(__xludf.DUMMYFUNCTION("""COMPUTED_VALUE"""),0.1388804841149773)</f>
        <v>0.1388804841</v>
      </c>
      <c r="F1180" s="5">
        <f>IFERROR(__xludf.DUMMYFUNCTION("""COMPUTED_VALUE"""),0.2275340393343419)</f>
        <v>0.2275340393</v>
      </c>
      <c r="G1180" s="5">
        <f>IFERROR(__xludf.DUMMYFUNCTION("""COMPUTED_VALUE"""),0.18063540090771557)</f>
        <v>0.1806354009</v>
      </c>
      <c r="H1180" s="5">
        <f>IFERROR(__xludf.DUMMYFUNCTION("""COMPUTED_VALUE"""),0.5997340425531915)</f>
        <v>0.5997340426</v>
      </c>
      <c r="I1180" s="11">
        <f>IFERROR(__xludf.DUMMYFUNCTION("""COMPUTED_VALUE"""),5385.771276595745)</f>
        <v>5385.771277</v>
      </c>
      <c r="J1180" s="10">
        <f>IFERROR(__xludf.DUMMYFUNCTION("""COMPUTED_VALUE"""),2.0)</f>
        <v>2</v>
      </c>
      <c r="K1180" s="5">
        <f>IFERROR(__xludf.DUMMYFUNCTION("""COMPUTED_VALUE"""),0.006493506493506494)</f>
        <v>0.006493506494</v>
      </c>
      <c r="L1180" s="10">
        <f>IFERROR(__xludf.DUMMYFUNCTION("""COMPUTED_VALUE"""),0.0)</f>
        <v>0</v>
      </c>
      <c r="M1180" s="5">
        <f>IFERROR(__xludf.DUMMYFUNCTION("""COMPUTED_VALUE"""),0.0)</f>
        <v>0</v>
      </c>
    </row>
    <row r="1181">
      <c r="A1181" s="10" t="str">
        <f>IFERROR(__xludf.DUMMYFUNCTION("""COMPUTED_VALUE"""),"Ｑ")</f>
        <v>Ｑ</v>
      </c>
      <c r="B1181" s="10">
        <f>IFERROR(__xludf.DUMMYFUNCTION("""COMPUTED_VALUE"""),272.0)</f>
        <v>272</v>
      </c>
      <c r="C1181" s="10">
        <f>IFERROR(__xludf.DUMMYFUNCTION("""COMPUTED_VALUE"""),3145.0)</f>
        <v>3145</v>
      </c>
      <c r="D1181" s="5">
        <f>IFERROR(__xludf.DUMMYFUNCTION("""COMPUTED_VALUE"""),0.3762617473024713)</f>
        <v>0.3762617473</v>
      </c>
      <c r="E1181" s="5">
        <f>IFERROR(__xludf.DUMMYFUNCTION("""COMPUTED_VALUE"""),0.13887922032718414)</f>
        <v>0.1388792203</v>
      </c>
      <c r="F1181" s="5">
        <f>IFERROR(__xludf.DUMMYFUNCTION("""COMPUTED_VALUE"""),0.20292377305951967)</f>
        <v>0.2029237731</v>
      </c>
      <c r="G1181" s="5">
        <f>IFERROR(__xludf.DUMMYFUNCTION("""COMPUTED_VALUE"""),0.17577445179255133)</f>
        <v>0.1757744518</v>
      </c>
      <c r="H1181" s="5">
        <f>IFERROR(__xludf.DUMMYFUNCTION("""COMPUTED_VALUE"""),0.5900514579759862)</f>
        <v>0.590051458</v>
      </c>
      <c r="I1181" s="11">
        <f>IFERROR(__xludf.DUMMYFUNCTION("""COMPUTED_VALUE"""),6118.0102915951975)</f>
        <v>6118.010292</v>
      </c>
      <c r="J1181" s="10">
        <f>IFERROR(__xludf.DUMMYFUNCTION("""COMPUTED_VALUE"""),1.0)</f>
        <v>1</v>
      </c>
      <c r="K1181" s="5">
        <f>IFERROR(__xludf.DUMMYFUNCTION("""COMPUTED_VALUE"""),0.003676470588235294)</f>
        <v>0.003676470588</v>
      </c>
      <c r="L1181" s="10">
        <f>IFERROR(__xludf.DUMMYFUNCTION("""COMPUTED_VALUE"""),272.0)</f>
        <v>272</v>
      </c>
      <c r="M1181" s="5">
        <f>IFERROR(__xludf.DUMMYFUNCTION("""COMPUTED_VALUE"""),1.0)</f>
        <v>1</v>
      </c>
    </row>
    <row r="1182">
      <c r="A1182" s="10" t="str">
        <f>IFERROR(__xludf.DUMMYFUNCTION("""COMPUTED_VALUE"""),"酔奴人")</f>
        <v>酔奴人</v>
      </c>
      <c r="B1182" s="10">
        <f>IFERROR(__xludf.DUMMYFUNCTION("""COMPUTED_VALUE"""),430.0)</f>
        <v>430</v>
      </c>
      <c r="C1182" s="10">
        <f>IFERROR(__xludf.DUMMYFUNCTION("""COMPUTED_VALUE"""),5046.0)</f>
        <v>5046</v>
      </c>
      <c r="D1182" s="5">
        <f>IFERROR(__xludf.DUMMYFUNCTION("""COMPUTED_VALUE"""),0.3331889081455806)</f>
        <v>0.3331889081</v>
      </c>
      <c r="E1182" s="5">
        <f>IFERROR(__xludf.DUMMYFUNCTION("""COMPUTED_VALUE"""),0.13886481802426343)</f>
        <v>0.138864818</v>
      </c>
      <c r="F1182" s="5">
        <f>IFERROR(__xludf.DUMMYFUNCTION("""COMPUTED_VALUE"""),0.21078856152512998)</f>
        <v>0.2107885615</v>
      </c>
      <c r="G1182" s="5">
        <f>IFERROR(__xludf.DUMMYFUNCTION("""COMPUTED_VALUE"""),0.16767764298093588)</f>
        <v>0.167677643</v>
      </c>
      <c r="H1182" s="5">
        <f>IFERROR(__xludf.DUMMYFUNCTION("""COMPUTED_VALUE"""),0.60431654676259)</f>
        <v>0.6043165468</v>
      </c>
      <c r="I1182" s="11">
        <f>IFERROR(__xludf.DUMMYFUNCTION("""COMPUTED_VALUE"""),6054.881808838643)</f>
        <v>6054.881809</v>
      </c>
      <c r="J1182" s="10">
        <f>IFERROR(__xludf.DUMMYFUNCTION("""COMPUTED_VALUE"""),2.0)</f>
        <v>2</v>
      </c>
      <c r="K1182" s="5">
        <f>IFERROR(__xludf.DUMMYFUNCTION("""COMPUTED_VALUE"""),0.004651162790697674)</f>
        <v>0.004651162791</v>
      </c>
      <c r="L1182" s="10">
        <f>IFERROR(__xludf.DUMMYFUNCTION("""COMPUTED_VALUE"""),430.0)</f>
        <v>430</v>
      </c>
      <c r="M1182" s="5">
        <f>IFERROR(__xludf.DUMMYFUNCTION("""COMPUTED_VALUE"""),1.0)</f>
        <v>1</v>
      </c>
    </row>
    <row r="1183">
      <c r="A1183" s="10" t="str">
        <f>IFERROR(__xludf.DUMMYFUNCTION("""COMPUTED_VALUE"""),"kurimu")</f>
        <v>kurimu</v>
      </c>
      <c r="B1183" s="10">
        <f>IFERROR(__xludf.DUMMYFUNCTION("""COMPUTED_VALUE"""),1476.0)</f>
        <v>1476</v>
      </c>
      <c r="C1183" s="10">
        <f>IFERROR(__xludf.DUMMYFUNCTION("""COMPUTED_VALUE"""),17234.0)</f>
        <v>17234</v>
      </c>
      <c r="D1183" s="5">
        <f>IFERROR(__xludf.DUMMYFUNCTION("""COMPUTED_VALUE"""),0.3141261581418962)</f>
        <v>0.3141261581</v>
      </c>
      <c r="E1183" s="5">
        <f>IFERROR(__xludf.DUMMYFUNCTION("""COMPUTED_VALUE"""),0.13885010788171087)</f>
        <v>0.1388501079</v>
      </c>
      <c r="F1183" s="5">
        <f>IFERROR(__xludf.DUMMYFUNCTION("""COMPUTED_VALUE"""),0.2118923721284427)</f>
        <v>0.2118923721</v>
      </c>
      <c r="G1183" s="5">
        <f>IFERROR(__xludf.DUMMYFUNCTION("""COMPUTED_VALUE"""),0.1435461352963574)</f>
        <v>0.1435461353</v>
      </c>
      <c r="H1183" s="5">
        <f>IFERROR(__xludf.DUMMYFUNCTION("""COMPUTED_VALUE"""),0.5986822401916742)</f>
        <v>0.5986822402</v>
      </c>
      <c r="I1183" s="11">
        <f>IFERROR(__xludf.DUMMYFUNCTION("""COMPUTED_VALUE"""),5767.774782869123)</f>
        <v>5767.774783</v>
      </c>
      <c r="J1183" s="10">
        <f>IFERROR(__xludf.DUMMYFUNCTION("""COMPUTED_VALUE"""),3.0)</f>
        <v>3</v>
      </c>
      <c r="K1183" s="5">
        <f>IFERROR(__xludf.DUMMYFUNCTION("""COMPUTED_VALUE"""),0.0020325203252032522)</f>
        <v>0.002032520325</v>
      </c>
      <c r="L1183" s="10">
        <f>IFERROR(__xludf.DUMMYFUNCTION("""COMPUTED_VALUE"""),1476.0)</f>
        <v>1476</v>
      </c>
      <c r="M1183" s="5">
        <f>IFERROR(__xludf.DUMMYFUNCTION("""COMPUTED_VALUE"""),1.0)</f>
        <v>1</v>
      </c>
    </row>
    <row r="1184">
      <c r="A1184" s="10" t="str">
        <f>IFERROR(__xludf.DUMMYFUNCTION("""COMPUTED_VALUE"""),"suzumeの涙")</f>
        <v>suzumeの涙</v>
      </c>
      <c r="B1184" s="10">
        <f>IFERROR(__xludf.DUMMYFUNCTION("""COMPUTED_VALUE"""),1040.0)</f>
        <v>1040</v>
      </c>
      <c r="C1184" s="10">
        <f>IFERROR(__xludf.DUMMYFUNCTION("""COMPUTED_VALUE"""),12132.0)</f>
        <v>12132</v>
      </c>
      <c r="D1184" s="5">
        <f>IFERROR(__xludf.DUMMYFUNCTION("""COMPUTED_VALUE"""),0.3089614136314461)</f>
        <v>0.3089614136</v>
      </c>
      <c r="E1184" s="5">
        <f>IFERROR(__xludf.DUMMYFUNCTION("""COMPUTED_VALUE"""),0.13883880274071403)</f>
        <v>0.1388388027</v>
      </c>
      <c r="F1184" s="5">
        <f>IFERROR(__xludf.DUMMYFUNCTION("""COMPUTED_VALUE"""),0.19716913090515686)</f>
        <v>0.1971691309</v>
      </c>
      <c r="G1184" s="5">
        <f>IFERROR(__xludf.DUMMYFUNCTION("""COMPUTED_VALUE"""),0.15569780021637217)</f>
        <v>0.1556978002</v>
      </c>
      <c r="H1184" s="5">
        <f>IFERROR(__xludf.DUMMYFUNCTION("""COMPUTED_VALUE"""),0.6154549611339735)</f>
        <v>0.6154549611</v>
      </c>
      <c r="I1184" s="11">
        <f>IFERROR(__xludf.DUMMYFUNCTION("""COMPUTED_VALUE"""),6178.64654778235)</f>
        <v>6178.646548</v>
      </c>
      <c r="J1184" s="10">
        <f>IFERROR(__xludf.DUMMYFUNCTION("""COMPUTED_VALUE"""),9.0)</f>
        <v>9</v>
      </c>
      <c r="K1184" s="5">
        <f>IFERROR(__xludf.DUMMYFUNCTION("""COMPUTED_VALUE"""),0.008653846153846154)</f>
        <v>0.008653846154</v>
      </c>
      <c r="L1184" s="10">
        <f>IFERROR(__xludf.DUMMYFUNCTION("""COMPUTED_VALUE"""),1040.0)</f>
        <v>1040</v>
      </c>
      <c r="M1184" s="5">
        <f>IFERROR(__xludf.DUMMYFUNCTION("""COMPUTED_VALUE"""),1.0)</f>
        <v>1</v>
      </c>
    </row>
    <row r="1185">
      <c r="A1185" s="10" t="str">
        <f>IFERROR(__xludf.DUMMYFUNCTION("""COMPUTED_VALUE"""),"プラ")</f>
        <v>プラ</v>
      </c>
      <c r="B1185" s="10">
        <f>IFERROR(__xludf.DUMMYFUNCTION("""COMPUTED_VALUE"""),512.0)</f>
        <v>512</v>
      </c>
      <c r="C1185" s="10">
        <f>IFERROR(__xludf.DUMMYFUNCTION("""COMPUTED_VALUE"""),6015.0)</f>
        <v>6015</v>
      </c>
      <c r="D1185" s="5">
        <f>IFERROR(__xludf.DUMMYFUNCTION("""COMPUTED_VALUE"""),0.32836634562965655)</f>
        <v>0.3283663456</v>
      </c>
      <c r="E1185" s="5">
        <f>IFERROR(__xludf.DUMMYFUNCTION("""COMPUTED_VALUE"""),0.13883336361984372)</f>
        <v>0.1388333636</v>
      </c>
      <c r="F1185" s="5">
        <f>IFERROR(__xludf.DUMMYFUNCTION("""COMPUTED_VALUE"""),0.2244230419771034)</f>
        <v>0.224423042</v>
      </c>
      <c r="G1185" s="5">
        <f>IFERROR(__xludf.DUMMYFUNCTION("""COMPUTED_VALUE"""),0.18953298200981283)</f>
        <v>0.189532982</v>
      </c>
      <c r="H1185" s="5">
        <f>IFERROR(__xludf.DUMMYFUNCTION("""COMPUTED_VALUE"""),0.6072874493927125)</f>
        <v>0.6072874494</v>
      </c>
      <c r="I1185" s="11">
        <f>IFERROR(__xludf.DUMMYFUNCTION("""COMPUTED_VALUE"""),4975.87044534413)</f>
        <v>4975.870445</v>
      </c>
      <c r="J1185" s="10">
        <f>IFERROR(__xludf.DUMMYFUNCTION("""COMPUTED_VALUE"""),2.0)</f>
        <v>2</v>
      </c>
      <c r="K1185" s="5">
        <f>IFERROR(__xludf.DUMMYFUNCTION("""COMPUTED_VALUE"""),0.00390625)</f>
        <v>0.00390625</v>
      </c>
      <c r="L1185" s="10">
        <f>IFERROR(__xludf.DUMMYFUNCTION("""COMPUTED_VALUE"""),512.0)</f>
        <v>512</v>
      </c>
      <c r="M1185" s="5">
        <f>IFERROR(__xludf.DUMMYFUNCTION("""COMPUTED_VALUE"""),1.0)</f>
        <v>1</v>
      </c>
    </row>
    <row r="1186">
      <c r="A1186" s="10" t="str">
        <f>IFERROR(__xludf.DUMMYFUNCTION("""COMPUTED_VALUE"""),"ごろにゃー")</f>
        <v>ごろにゃー</v>
      </c>
      <c r="B1186" s="10">
        <f>IFERROR(__xludf.DUMMYFUNCTION("""COMPUTED_VALUE"""),851.0)</f>
        <v>851</v>
      </c>
      <c r="C1186" s="10">
        <f>IFERROR(__xludf.DUMMYFUNCTION("""COMPUTED_VALUE"""),9993.0)</f>
        <v>9993</v>
      </c>
      <c r="D1186" s="5">
        <f>IFERROR(__xludf.DUMMYFUNCTION("""COMPUTED_VALUE"""),0.38284839203675347)</f>
        <v>0.382848392</v>
      </c>
      <c r="E1186" s="5">
        <f>IFERROR(__xludf.DUMMYFUNCTION("""COMPUTED_VALUE"""),0.13880988842704003)</f>
        <v>0.1388098884</v>
      </c>
      <c r="F1186" s="5">
        <f>IFERROR(__xludf.DUMMYFUNCTION("""COMPUTED_VALUE"""),0.22314591992999344)</f>
        <v>0.2231459199</v>
      </c>
      <c r="G1186" s="5">
        <f>IFERROR(__xludf.DUMMYFUNCTION("""COMPUTED_VALUE"""),0.15707722598993656)</f>
        <v>0.157077226</v>
      </c>
      <c r="H1186" s="5">
        <f>IFERROR(__xludf.DUMMYFUNCTION("""COMPUTED_VALUE"""),0.5965686274509804)</f>
        <v>0.5965686275</v>
      </c>
      <c r="I1186" s="11">
        <f>IFERROR(__xludf.DUMMYFUNCTION("""COMPUTED_VALUE"""),5443.921568627451)</f>
        <v>5443.921569</v>
      </c>
      <c r="J1186" s="10">
        <f>IFERROR(__xludf.DUMMYFUNCTION("""COMPUTED_VALUE"""),1.0)</f>
        <v>1</v>
      </c>
      <c r="K1186" s="5">
        <f>IFERROR(__xludf.DUMMYFUNCTION("""COMPUTED_VALUE"""),0.0011750881316098707)</f>
        <v>0.001175088132</v>
      </c>
      <c r="L1186" s="10">
        <f>IFERROR(__xludf.DUMMYFUNCTION("""COMPUTED_VALUE"""),851.0)</f>
        <v>851</v>
      </c>
      <c r="M1186" s="5">
        <f>IFERROR(__xludf.DUMMYFUNCTION("""COMPUTED_VALUE"""),1.0)</f>
        <v>1</v>
      </c>
    </row>
    <row r="1187">
      <c r="A1187" s="10" t="str">
        <f>IFERROR(__xludf.DUMMYFUNCTION("""COMPUTED_VALUE"""),"ンドゥバ")</f>
        <v>ンドゥバ</v>
      </c>
      <c r="B1187" s="10">
        <f>IFERROR(__xludf.DUMMYFUNCTION("""COMPUTED_VALUE"""),127.0)</f>
        <v>127</v>
      </c>
      <c r="C1187" s="10">
        <f>IFERROR(__xludf.DUMMYFUNCTION("""COMPUTED_VALUE"""),1503.0)</f>
        <v>1503</v>
      </c>
      <c r="D1187" s="5">
        <f>IFERROR(__xludf.DUMMYFUNCTION("""COMPUTED_VALUE"""),0.3960755813953488)</f>
        <v>0.3960755814</v>
      </c>
      <c r="E1187" s="5">
        <f>IFERROR(__xludf.DUMMYFUNCTION("""COMPUTED_VALUE"""),0.13880813953488372)</f>
        <v>0.1388081395</v>
      </c>
      <c r="F1187" s="5">
        <f>IFERROR(__xludf.DUMMYFUNCTION("""COMPUTED_VALUE"""),0.21002906976744187)</f>
        <v>0.2100290698</v>
      </c>
      <c r="G1187" s="5">
        <f>IFERROR(__xludf.DUMMYFUNCTION("""COMPUTED_VALUE"""),0.15915697674418605)</f>
        <v>0.1591569767</v>
      </c>
      <c r="H1187" s="5">
        <f>IFERROR(__xludf.DUMMYFUNCTION("""COMPUTED_VALUE"""),0.629757785467128)</f>
        <v>0.6297577855</v>
      </c>
      <c r="I1187" s="11">
        <f>IFERROR(__xludf.DUMMYFUNCTION("""COMPUTED_VALUE"""),5535.294117647059)</f>
        <v>5535.294118</v>
      </c>
      <c r="J1187" s="10">
        <f>IFERROR(__xludf.DUMMYFUNCTION("""COMPUTED_VALUE"""),0.0)</f>
        <v>0</v>
      </c>
      <c r="K1187" s="5">
        <f>IFERROR(__xludf.DUMMYFUNCTION("""COMPUTED_VALUE"""),0.0)</f>
        <v>0</v>
      </c>
      <c r="L1187" s="10">
        <f>IFERROR(__xludf.DUMMYFUNCTION("""COMPUTED_VALUE"""),127.0)</f>
        <v>127</v>
      </c>
      <c r="M1187" s="5">
        <f>IFERROR(__xludf.DUMMYFUNCTION("""COMPUTED_VALUE"""),1.0)</f>
        <v>1</v>
      </c>
    </row>
    <row r="1188">
      <c r="A1188" s="10" t="str">
        <f>IFERROR(__xludf.DUMMYFUNCTION("""COMPUTED_VALUE"""),"もぐｒｒｒｒｒ")</f>
        <v>もぐｒｒｒｒｒ</v>
      </c>
      <c r="B1188" s="10">
        <f>IFERROR(__xludf.DUMMYFUNCTION("""COMPUTED_VALUE"""),655.0)</f>
        <v>655</v>
      </c>
      <c r="C1188" s="10">
        <f>IFERROR(__xludf.DUMMYFUNCTION("""COMPUTED_VALUE"""),7600.0)</f>
        <v>7600</v>
      </c>
      <c r="D1188" s="5">
        <f>IFERROR(__xludf.DUMMYFUNCTION("""COMPUTED_VALUE"""),0.3719222462203024)</f>
        <v>0.3719222462</v>
      </c>
      <c r="E1188" s="5">
        <f>IFERROR(__xludf.DUMMYFUNCTION("""COMPUTED_VALUE"""),0.13880489560835133)</f>
        <v>0.1388048956</v>
      </c>
      <c r="F1188" s="5">
        <f>IFERROR(__xludf.DUMMYFUNCTION("""COMPUTED_VALUE"""),0.2240460763138949)</f>
        <v>0.2240460763</v>
      </c>
      <c r="G1188" s="5">
        <f>IFERROR(__xludf.DUMMYFUNCTION("""COMPUTED_VALUE"""),0.16803455723542116)</f>
        <v>0.1680345572</v>
      </c>
      <c r="H1188" s="5">
        <f>IFERROR(__xludf.DUMMYFUNCTION("""COMPUTED_VALUE"""),0.5912596401028277)</f>
        <v>0.5912596401</v>
      </c>
      <c r="I1188" s="11">
        <f>IFERROR(__xludf.DUMMYFUNCTION("""COMPUTED_VALUE"""),5525.321336760925)</f>
        <v>5525.321337</v>
      </c>
      <c r="J1188" s="10">
        <f>IFERROR(__xludf.DUMMYFUNCTION("""COMPUTED_VALUE"""),1.0)</f>
        <v>1</v>
      </c>
      <c r="K1188" s="5">
        <f>IFERROR(__xludf.DUMMYFUNCTION("""COMPUTED_VALUE"""),0.0015267175572519084)</f>
        <v>0.001526717557</v>
      </c>
      <c r="L1188" s="10">
        <f>IFERROR(__xludf.DUMMYFUNCTION("""COMPUTED_VALUE"""),655.0)</f>
        <v>655</v>
      </c>
      <c r="M1188" s="5">
        <f>IFERROR(__xludf.DUMMYFUNCTION("""COMPUTED_VALUE"""),1.0)</f>
        <v>1</v>
      </c>
    </row>
    <row r="1189">
      <c r="A1189" s="10" t="str">
        <f>IFERROR(__xludf.DUMMYFUNCTION("""COMPUTED_VALUE"""),"カンタム.")</f>
        <v>カンタム.</v>
      </c>
      <c r="B1189" s="10">
        <f>IFERROR(__xludf.DUMMYFUNCTION("""COMPUTED_VALUE"""),497.0)</f>
        <v>497</v>
      </c>
      <c r="C1189" s="10">
        <f>IFERROR(__xludf.DUMMYFUNCTION("""COMPUTED_VALUE"""),5843.0)</f>
        <v>5843</v>
      </c>
      <c r="D1189" s="5">
        <f>IFERROR(__xludf.DUMMYFUNCTION("""COMPUTED_VALUE"""),0.32454171343060234)</f>
        <v>0.3245417134</v>
      </c>
      <c r="E1189" s="5">
        <f>IFERROR(__xludf.DUMMYFUNCTION("""COMPUTED_VALUE"""),0.13879536101758325)</f>
        <v>0.138795361</v>
      </c>
      <c r="F1189" s="5">
        <f>IFERROR(__xludf.DUMMYFUNCTION("""COMPUTED_VALUE"""),0.20931537598204264)</f>
        <v>0.209315376</v>
      </c>
      <c r="G1189" s="5">
        <f>IFERROR(__xludf.DUMMYFUNCTION("""COMPUTED_VALUE"""),0.2055742611298167)</f>
        <v>0.2055742611</v>
      </c>
      <c r="H1189" s="5">
        <f>IFERROR(__xludf.DUMMYFUNCTION("""COMPUTED_VALUE"""),0.5915996425379804)</f>
        <v>0.5915996425</v>
      </c>
      <c r="I1189" s="11">
        <f>IFERROR(__xludf.DUMMYFUNCTION("""COMPUTED_VALUE"""),5703.485254691689)</f>
        <v>5703.485255</v>
      </c>
      <c r="J1189" s="10">
        <f>IFERROR(__xludf.DUMMYFUNCTION("""COMPUTED_VALUE"""),0.0)</f>
        <v>0</v>
      </c>
      <c r="K1189" s="5">
        <f>IFERROR(__xludf.DUMMYFUNCTION("""COMPUTED_VALUE"""),0.0)</f>
        <v>0</v>
      </c>
      <c r="L1189" s="10">
        <f>IFERROR(__xludf.DUMMYFUNCTION("""COMPUTED_VALUE"""),497.0)</f>
        <v>497</v>
      </c>
      <c r="M1189" s="5">
        <f>IFERROR(__xludf.DUMMYFUNCTION("""COMPUTED_VALUE"""),1.0)</f>
        <v>1</v>
      </c>
    </row>
    <row r="1190">
      <c r="A1190" s="10" t="str">
        <f>IFERROR(__xludf.DUMMYFUNCTION("""COMPUTED_VALUE"""),"けんちゃむ")</f>
        <v>けんちゃむ</v>
      </c>
      <c r="B1190" s="10">
        <f>IFERROR(__xludf.DUMMYFUNCTION("""COMPUTED_VALUE"""),254.0)</f>
        <v>254</v>
      </c>
      <c r="C1190" s="10">
        <f>IFERROR(__xludf.DUMMYFUNCTION("""COMPUTED_VALUE"""),2927.0)</f>
        <v>2927</v>
      </c>
      <c r="D1190" s="5">
        <f>IFERROR(__xludf.DUMMYFUNCTION("""COMPUTED_VALUE"""),0.36363636363636365)</f>
        <v>0.3636363636</v>
      </c>
      <c r="E1190" s="5">
        <f>IFERROR(__xludf.DUMMYFUNCTION("""COMPUTED_VALUE"""),0.13879536101758325)</f>
        <v>0.138795361</v>
      </c>
      <c r="F1190" s="5">
        <f>IFERROR(__xludf.DUMMYFUNCTION("""COMPUTED_VALUE"""),0.21960344182566405)</f>
        <v>0.2196034418</v>
      </c>
      <c r="G1190" s="5">
        <f>IFERROR(__xludf.DUMMYFUNCTION("""COMPUTED_VALUE"""),0.1526374859708193)</f>
        <v>0.152637486</v>
      </c>
      <c r="H1190" s="5">
        <f>IFERROR(__xludf.DUMMYFUNCTION("""COMPUTED_VALUE"""),0.6490630323679727)</f>
        <v>0.6490630324</v>
      </c>
      <c r="I1190" s="11">
        <f>IFERROR(__xludf.DUMMYFUNCTION("""COMPUTED_VALUE"""),5513.628620102215)</f>
        <v>5513.62862</v>
      </c>
      <c r="J1190" s="10">
        <f>IFERROR(__xludf.DUMMYFUNCTION("""COMPUTED_VALUE"""),0.0)</f>
        <v>0</v>
      </c>
      <c r="K1190" s="5">
        <f>IFERROR(__xludf.DUMMYFUNCTION("""COMPUTED_VALUE"""),0.0)</f>
        <v>0</v>
      </c>
      <c r="L1190" s="10">
        <f>IFERROR(__xludf.DUMMYFUNCTION("""COMPUTED_VALUE"""),254.0)</f>
        <v>254</v>
      </c>
      <c r="M1190" s="5">
        <f>IFERROR(__xludf.DUMMYFUNCTION("""COMPUTED_VALUE"""),1.0)</f>
        <v>1</v>
      </c>
    </row>
    <row r="1191">
      <c r="A1191" s="10" t="str">
        <f>IFERROR(__xludf.DUMMYFUNCTION("""COMPUTED_VALUE"""),"Ｍｉｓｈａｎ")</f>
        <v>Ｍｉｓｈａｎ</v>
      </c>
      <c r="B1191" s="10">
        <f>IFERROR(__xludf.DUMMYFUNCTION("""COMPUTED_VALUE"""),1100.0)</f>
        <v>1100</v>
      </c>
      <c r="C1191" s="10">
        <f>IFERROR(__xludf.DUMMYFUNCTION("""COMPUTED_VALUE"""),12708.0)</f>
        <v>12708</v>
      </c>
      <c r="D1191" s="5">
        <f>IFERROR(__xludf.DUMMYFUNCTION("""COMPUTED_VALUE"""),0.3417470709855272)</f>
        <v>0.341747071</v>
      </c>
      <c r="E1191" s="5">
        <f>IFERROR(__xludf.DUMMYFUNCTION("""COMPUTED_VALUE"""),0.13878359751895245)</f>
        <v>0.1387835975</v>
      </c>
      <c r="F1191" s="5">
        <f>IFERROR(__xludf.DUMMYFUNCTION("""COMPUTED_VALUE"""),0.21941764300482425)</f>
        <v>0.219417643</v>
      </c>
      <c r="G1191" s="5">
        <f>IFERROR(__xludf.DUMMYFUNCTION("""COMPUTED_VALUE"""),0.18366643694004134)</f>
        <v>0.1836664369</v>
      </c>
      <c r="H1191" s="5">
        <f>IFERROR(__xludf.DUMMYFUNCTION("""COMPUTED_VALUE"""),0.6136631330977621)</f>
        <v>0.6136631331</v>
      </c>
      <c r="I1191" s="11">
        <f>IFERROR(__xludf.DUMMYFUNCTION("""COMPUTED_VALUE"""),6063.682764036121)</f>
        <v>6063.682764</v>
      </c>
      <c r="J1191" s="10">
        <f>IFERROR(__xludf.DUMMYFUNCTION("""COMPUTED_VALUE"""),0.0)</f>
        <v>0</v>
      </c>
      <c r="K1191" s="5">
        <f>IFERROR(__xludf.DUMMYFUNCTION("""COMPUTED_VALUE"""),0.0)</f>
        <v>0</v>
      </c>
      <c r="L1191" s="10">
        <f>IFERROR(__xludf.DUMMYFUNCTION("""COMPUTED_VALUE"""),1100.0)</f>
        <v>1100</v>
      </c>
      <c r="M1191" s="5">
        <f>IFERROR(__xludf.DUMMYFUNCTION("""COMPUTED_VALUE"""),1.0)</f>
        <v>1</v>
      </c>
    </row>
    <row r="1192">
      <c r="A1192" s="10" t="str">
        <f>IFERROR(__xludf.DUMMYFUNCTION("""COMPUTED_VALUE"""),"マロとジーノ")</f>
        <v>マロとジーノ</v>
      </c>
      <c r="B1192" s="10">
        <f>IFERROR(__xludf.DUMMYFUNCTION("""COMPUTED_VALUE"""),302.0)</f>
        <v>302</v>
      </c>
      <c r="C1192" s="10">
        <f>IFERROR(__xludf.DUMMYFUNCTION("""COMPUTED_VALUE"""),3466.0)</f>
        <v>3466</v>
      </c>
      <c r="D1192" s="5">
        <f>IFERROR(__xludf.DUMMYFUNCTION("""COMPUTED_VALUE"""),0.356826801517067)</f>
        <v>0.3568268015</v>
      </c>
      <c r="E1192" s="5">
        <f>IFERROR(__xludf.DUMMYFUNCTION("""COMPUTED_VALUE"""),0.13874841972187105)</f>
        <v>0.1387484197</v>
      </c>
      <c r="F1192" s="5">
        <f>IFERROR(__xludf.DUMMYFUNCTION("""COMPUTED_VALUE"""),0.2095448798988622)</f>
        <v>0.2095448799</v>
      </c>
      <c r="G1192" s="5">
        <f>IFERROR(__xludf.DUMMYFUNCTION("""COMPUTED_VALUE"""),0.1893173198482933)</f>
        <v>0.1893173198</v>
      </c>
      <c r="H1192" s="5">
        <f>IFERROR(__xludf.DUMMYFUNCTION("""COMPUTED_VALUE"""),0.5972850678733032)</f>
        <v>0.5972850679</v>
      </c>
      <c r="I1192" s="11">
        <f>IFERROR(__xludf.DUMMYFUNCTION("""COMPUTED_VALUE"""),5630.316742081448)</f>
        <v>5630.316742</v>
      </c>
      <c r="J1192" s="10">
        <f>IFERROR(__xludf.DUMMYFUNCTION("""COMPUTED_VALUE"""),0.0)</f>
        <v>0</v>
      </c>
      <c r="K1192" s="5">
        <f>IFERROR(__xludf.DUMMYFUNCTION("""COMPUTED_VALUE"""),0.0)</f>
        <v>0</v>
      </c>
      <c r="L1192" s="10">
        <f>IFERROR(__xludf.DUMMYFUNCTION("""COMPUTED_VALUE"""),302.0)</f>
        <v>302</v>
      </c>
      <c r="M1192" s="5">
        <f>IFERROR(__xludf.DUMMYFUNCTION("""COMPUTED_VALUE"""),1.0)</f>
        <v>1</v>
      </c>
    </row>
    <row r="1193">
      <c r="A1193" s="10" t="str">
        <f>IFERROR(__xludf.DUMMYFUNCTION("""COMPUTED_VALUE"""),"tanimo@")</f>
        <v>tanimo@</v>
      </c>
      <c r="B1193" s="10">
        <f>IFERROR(__xludf.DUMMYFUNCTION("""COMPUTED_VALUE"""),1400.0)</f>
        <v>1400</v>
      </c>
      <c r="C1193" s="10">
        <f>IFERROR(__xludf.DUMMYFUNCTION("""COMPUTED_VALUE"""),16298.0)</f>
        <v>16298</v>
      </c>
      <c r="D1193" s="5">
        <f>IFERROR(__xludf.DUMMYFUNCTION("""COMPUTED_VALUE"""),0.3649483152100953)</f>
        <v>0.3649483152</v>
      </c>
      <c r="E1193" s="5">
        <f>IFERROR(__xludf.DUMMYFUNCTION("""COMPUTED_VALUE"""),0.1387434554973822)</f>
        <v>0.1387434555</v>
      </c>
      <c r="F1193" s="5">
        <f>IFERROR(__xludf.DUMMYFUNCTION("""COMPUTED_VALUE"""),0.2098268223922674)</f>
        <v>0.2098268224</v>
      </c>
      <c r="G1193" s="5">
        <f>IFERROR(__xludf.DUMMYFUNCTION("""COMPUTED_VALUE"""),0.1657269432138542)</f>
        <v>0.1657269432</v>
      </c>
      <c r="H1193" s="5">
        <f>IFERROR(__xludf.DUMMYFUNCTION("""COMPUTED_VALUE"""),0.5943698016634676)</f>
        <v>0.5943698017</v>
      </c>
      <c r="I1193" s="11">
        <f>IFERROR(__xludf.DUMMYFUNCTION("""COMPUTED_VALUE"""),5712.4440179142675)</f>
        <v>5712.444018</v>
      </c>
      <c r="J1193" s="10">
        <f>IFERROR(__xludf.DUMMYFUNCTION("""COMPUTED_VALUE"""),1.0)</f>
        <v>1</v>
      </c>
      <c r="K1193" s="5">
        <f>IFERROR(__xludf.DUMMYFUNCTION("""COMPUTED_VALUE"""),7.142857142857143E-4)</f>
        <v>0.0007142857143</v>
      </c>
      <c r="L1193" s="10">
        <f>IFERROR(__xludf.DUMMYFUNCTION("""COMPUTED_VALUE"""),1400.0)</f>
        <v>1400</v>
      </c>
      <c r="M1193" s="5">
        <f>IFERROR(__xludf.DUMMYFUNCTION("""COMPUTED_VALUE"""),1.0)</f>
        <v>1</v>
      </c>
    </row>
    <row r="1194">
      <c r="A1194" s="10" t="str">
        <f>IFERROR(__xludf.DUMMYFUNCTION("""COMPUTED_VALUE"""),"べっしー")</f>
        <v>べっしー</v>
      </c>
      <c r="B1194" s="10">
        <f>IFERROR(__xludf.DUMMYFUNCTION("""COMPUTED_VALUE"""),241.0)</f>
        <v>241</v>
      </c>
      <c r="C1194" s="10">
        <f>IFERROR(__xludf.DUMMYFUNCTION("""COMPUTED_VALUE"""),2800.0)</f>
        <v>2800</v>
      </c>
      <c r="D1194" s="5">
        <f>IFERROR(__xludf.DUMMYFUNCTION("""COMPUTED_VALUE"""),0.3149667838999609)</f>
        <v>0.3149667839</v>
      </c>
      <c r="E1194" s="5">
        <f>IFERROR(__xludf.DUMMYFUNCTION("""COMPUTED_VALUE"""),0.13872606486908948)</f>
        <v>0.1387260649</v>
      </c>
      <c r="F1194" s="5">
        <f>IFERROR(__xludf.DUMMYFUNCTION("""COMPUTED_VALUE"""),0.18952715904650255)</f>
        <v>0.189527159</v>
      </c>
      <c r="G1194" s="5">
        <f>IFERROR(__xludf.DUMMYFUNCTION("""COMPUTED_VALUE"""),0.17272372020320437)</f>
        <v>0.1727237202</v>
      </c>
      <c r="H1194" s="5">
        <f>IFERROR(__xludf.DUMMYFUNCTION("""COMPUTED_VALUE"""),0.5855670103092784)</f>
        <v>0.5855670103</v>
      </c>
      <c r="I1194" s="11">
        <f>IFERROR(__xludf.DUMMYFUNCTION("""COMPUTED_VALUE"""),5934.639175257732)</f>
        <v>5934.639175</v>
      </c>
      <c r="J1194" s="10">
        <f>IFERROR(__xludf.DUMMYFUNCTION("""COMPUTED_VALUE"""),2.0)</f>
        <v>2</v>
      </c>
      <c r="K1194" s="5">
        <f>IFERROR(__xludf.DUMMYFUNCTION("""COMPUTED_VALUE"""),0.008298755186721992)</f>
        <v>0.008298755187</v>
      </c>
      <c r="L1194" s="10">
        <f>IFERROR(__xludf.DUMMYFUNCTION("""COMPUTED_VALUE"""),241.0)</f>
        <v>241</v>
      </c>
      <c r="M1194" s="5">
        <f>IFERROR(__xludf.DUMMYFUNCTION("""COMPUTED_VALUE"""),1.0)</f>
        <v>1</v>
      </c>
    </row>
    <row r="1195">
      <c r="A1195" s="10" t="str">
        <f>IFERROR(__xludf.DUMMYFUNCTION("""COMPUTED_VALUE"""),"Mr.マリネズミ")</f>
        <v>Mr.マリネズミ</v>
      </c>
      <c r="B1195" s="10">
        <f>IFERROR(__xludf.DUMMYFUNCTION("""COMPUTED_VALUE"""),126.0)</f>
        <v>126</v>
      </c>
      <c r="C1195" s="10">
        <f>IFERROR(__xludf.DUMMYFUNCTION("""COMPUTED_VALUE"""),1474.0)</f>
        <v>1474</v>
      </c>
      <c r="D1195" s="5">
        <f>IFERROR(__xludf.DUMMYFUNCTION("""COMPUTED_VALUE"""),0.24851632047477745)</f>
        <v>0.2485163205</v>
      </c>
      <c r="E1195" s="5">
        <f>IFERROR(__xludf.DUMMYFUNCTION("""COMPUTED_VALUE"""),0.1387240356083086)</f>
        <v>0.1387240356</v>
      </c>
      <c r="F1195" s="5">
        <f>IFERROR(__xludf.DUMMYFUNCTION("""COMPUTED_VALUE"""),0.19955489614243324)</f>
        <v>0.1995548961</v>
      </c>
      <c r="G1195" s="5">
        <f>IFERROR(__xludf.DUMMYFUNCTION("""COMPUTED_VALUE"""),0.2158753709198813)</f>
        <v>0.2158753709</v>
      </c>
      <c r="H1195" s="5">
        <f>IFERROR(__xludf.DUMMYFUNCTION("""COMPUTED_VALUE"""),0.5278810408921933)</f>
        <v>0.5278810409</v>
      </c>
      <c r="I1195" s="11">
        <f>IFERROR(__xludf.DUMMYFUNCTION("""COMPUTED_VALUE"""),5846.468401486989)</f>
        <v>5846.468401</v>
      </c>
      <c r="J1195" s="10">
        <f>IFERROR(__xludf.DUMMYFUNCTION("""COMPUTED_VALUE"""),0.0)</f>
        <v>0</v>
      </c>
      <c r="K1195" s="5">
        <f>IFERROR(__xludf.DUMMYFUNCTION("""COMPUTED_VALUE"""),0.0)</f>
        <v>0</v>
      </c>
      <c r="L1195" s="10">
        <f>IFERROR(__xludf.DUMMYFUNCTION("""COMPUTED_VALUE"""),126.0)</f>
        <v>126</v>
      </c>
      <c r="M1195" s="5">
        <f>IFERROR(__xludf.DUMMYFUNCTION("""COMPUTED_VALUE"""),1.0)</f>
        <v>1</v>
      </c>
    </row>
    <row r="1196">
      <c r="A1196" s="10" t="str">
        <f>IFERROR(__xludf.DUMMYFUNCTION("""COMPUTED_VALUE"""),"beesono")</f>
        <v>beesono</v>
      </c>
      <c r="B1196" s="10">
        <f>IFERROR(__xludf.DUMMYFUNCTION("""COMPUTED_VALUE"""),620.0)</f>
        <v>620</v>
      </c>
      <c r="C1196" s="10">
        <f>IFERROR(__xludf.DUMMYFUNCTION("""COMPUTED_VALUE"""),7360.0)</f>
        <v>7360</v>
      </c>
      <c r="D1196" s="5">
        <f>IFERROR(__xludf.DUMMYFUNCTION("""COMPUTED_VALUE"""),0.4421364985163205)</f>
        <v>0.4421364985</v>
      </c>
      <c r="E1196" s="5">
        <f>IFERROR(__xludf.DUMMYFUNCTION("""COMPUTED_VALUE"""),0.1387240356083086)</f>
        <v>0.1387240356</v>
      </c>
      <c r="F1196" s="5">
        <f>IFERROR(__xludf.DUMMYFUNCTION("""COMPUTED_VALUE"""),0.22433234421364986)</f>
        <v>0.2243323442</v>
      </c>
      <c r="G1196" s="5">
        <f>IFERROR(__xludf.DUMMYFUNCTION("""COMPUTED_VALUE"""),0.10222551928783383)</f>
        <v>0.1022255193</v>
      </c>
      <c r="H1196" s="5">
        <f>IFERROR(__xludf.DUMMYFUNCTION("""COMPUTED_VALUE"""),0.626984126984127)</f>
        <v>0.626984127</v>
      </c>
      <c r="I1196" s="11">
        <f>IFERROR(__xludf.DUMMYFUNCTION("""COMPUTED_VALUE"""),5096.560846560847)</f>
        <v>5096.560847</v>
      </c>
      <c r="J1196" s="10">
        <f>IFERROR(__xludf.DUMMYFUNCTION("""COMPUTED_VALUE"""),1.0)</f>
        <v>1</v>
      </c>
      <c r="K1196" s="5">
        <f>IFERROR(__xludf.DUMMYFUNCTION("""COMPUTED_VALUE"""),0.0016129032258064516)</f>
        <v>0.001612903226</v>
      </c>
      <c r="L1196" s="10">
        <f>IFERROR(__xludf.DUMMYFUNCTION("""COMPUTED_VALUE"""),620.0)</f>
        <v>620</v>
      </c>
      <c r="M1196" s="5">
        <f>IFERROR(__xludf.DUMMYFUNCTION("""COMPUTED_VALUE"""),1.0)</f>
        <v>1</v>
      </c>
    </row>
    <row r="1197">
      <c r="A1197" s="10" t="str">
        <f>IFERROR(__xludf.DUMMYFUNCTION("""COMPUTED_VALUE"""),"ささみ＠川村軍団")</f>
        <v>ささみ＠川村軍団</v>
      </c>
      <c r="B1197" s="10">
        <f>IFERROR(__xludf.DUMMYFUNCTION("""COMPUTED_VALUE"""),103.0)</f>
        <v>103</v>
      </c>
      <c r="C1197" s="10">
        <f>IFERROR(__xludf.DUMMYFUNCTION("""COMPUTED_VALUE"""),1242.0)</f>
        <v>1242</v>
      </c>
      <c r="D1197" s="5">
        <f>IFERROR(__xludf.DUMMYFUNCTION("""COMPUTED_VALUE"""),0.3476733977172959)</f>
        <v>0.3476733977</v>
      </c>
      <c r="E1197" s="5">
        <f>IFERROR(__xludf.DUMMYFUNCTION("""COMPUTED_VALUE"""),0.13871817383669885)</f>
        <v>0.1387181738</v>
      </c>
      <c r="F1197" s="5">
        <f>IFERROR(__xludf.DUMMYFUNCTION("""COMPUTED_VALUE"""),0.19315188762071994)</f>
        <v>0.1931518876</v>
      </c>
      <c r="G1197" s="5">
        <f>IFERROR(__xludf.DUMMYFUNCTION("""COMPUTED_VALUE"""),0.18964003511852504)</f>
        <v>0.1896400351</v>
      </c>
      <c r="H1197" s="5">
        <f>IFERROR(__xludf.DUMMYFUNCTION("""COMPUTED_VALUE"""),0.6227272727272727)</f>
        <v>0.6227272727</v>
      </c>
      <c r="I1197" s="11">
        <f>IFERROR(__xludf.DUMMYFUNCTION("""COMPUTED_VALUE"""),5619.090909090909)</f>
        <v>5619.090909</v>
      </c>
      <c r="J1197" s="10">
        <f>IFERROR(__xludf.DUMMYFUNCTION("""COMPUTED_VALUE"""),0.0)</f>
        <v>0</v>
      </c>
      <c r="K1197" s="5">
        <f>IFERROR(__xludf.DUMMYFUNCTION("""COMPUTED_VALUE"""),0.0)</f>
        <v>0</v>
      </c>
      <c r="L1197" s="10">
        <f>IFERROR(__xludf.DUMMYFUNCTION("""COMPUTED_VALUE"""),56.0)</f>
        <v>56</v>
      </c>
      <c r="M1197" s="5">
        <f>IFERROR(__xludf.DUMMYFUNCTION("""COMPUTED_VALUE"""),0.5436893203883495)</f>
        <v>0.5436893204</v>
      </c>
    </row>
    <row r="1198">
      <c r="A1198" s="10" t="str">
        <f>IFERROR(__xludf.DUMMYFUNCTION("""COMPUTED_VALUE"""),"USHI!!")</f>
        <v>USHI!!</v>
      </c>
      <c r="B1198" s="10">
        <f>IFERROR(__xludf.DUMMYFUNCTION("""COMPUTED_VALUE"""),551.0)</f>
        <v>551</v>
      </c>
      <c r="C1198" s="10">
        <f>IFERROR(__xludf.DUMMYFUNCTION("""COMPUTED_VALUE"""),6549.0)</f>
        <v>6549</v>
      </c>
      <c r="D1198" s="5">
        <f>IFERROR(__xludf.DUMMYFUNCTION("""COMPUTED_VALUE"""),0.3061020340113371)</f>
        <v>0.306102034</v>
      </c>
      <c r="E1198" s="5">
        <f>IFERROR(__xludf.DUMMYFUNCTION("""COMPUTED_VALUE"""),0.13871290430143382)</f>
        <v>0.1387129043</v>
      </c>
      <c r="F1198" s="5">
        <f>IFERROR(__xludf.DUMMYFUNCTION("""COMPUTED_VALUE"""),0.20906968989663222)</f>
        <v>0.2090696899</v>
      </c>
      <c r="G1198" s="5">
        <f>IFERROR(__xludf.DUMMYFUNCTION("""COMPUTED_VALUE"""),0.19773257752584195)</f>
        <v>0.1977325775</v>
      </c>
      <c r="H1198" s="5">
        <f>IFERROR(__xludf.DUMMYFUNCTION("""COMPUTED_VALUE"""),0.6012759170653907)</f>
        <v>0.6012759171</v>
      </c>
      <c r="I1198" s="11">
        <f>IFERROR(__xludf.DUMMYFUNCTION("""COMPUTED_VALUE"""),5900.558213716108)</f>
        <v>5900.558214</v>
      </c>
      <c r="J1198" s="10">
        <f>IFERROR(__xludf.DUMMYFUNCTION("""COMPUTED_VALUE"""),3.0)</f>
        <v>3</v>
      </c>
      <c r="K1198" s="5">
        <f>IFERROR(__xludf.DUMMYFUNCTION("""COMPUTED_VALUE"""),0.0054446460980036296)</f>
        <v>0.005444646098</v>
      </c>
      <c r="L1198" s="10">
        <f>IFERROR(__xludf.DUMMYFUNCTION("""COMPUTED_VALUE"""),551.0)</f>
        <v>551</v>
      </c>
      <c r="M1198" s="5">
        <f>IFERROR(__xludf.DUMMYFUNCTION("""COMPUTED_VALUE"""),1.0)</f>
        <v>1</v>
      </c>
    </row>
    <row r="1199">
      <c r="A1199" s="10" t="str">
        <f>IFERROR(__xludf.DUMMYFUNCTION("""COMPUTED_VALUE"""),"sibiya")</f>
        <v>sibiya</v>
      </c>
      <c r="B1199" s="10">
        <f>IFERROR(__xludf.DUMMYFUNCTION("""COMPUTED_VALUE"""),725.0)</f>
        <v>725</v>
      </c>
      <c r="C1199" s="10">
        <f>IFERROR(__xludf.DUMMYFUNCTION("""COMPUTED_VALUE"""),8721.0)</f>
        <v>8721</v>
      </c>
      <c r="D1199" s="5">
        <f>IFERROR(__xludf.DUMMYFUNCTION("""COMPUTED_VALUE"""),0.39957478739369684)</f>
        <v>0.3995747874</v>
      </c>
      <c r="E1199" s="5">
        <f>IFERROR(__xludf.DUMMYFUNCTION("""COMPUTED_VALUE"""),0.1386943471735868)</f>
        <v>0.1386943472</v>
      </c>
      <c r="F1199" s="5">
        <f>IFERROR(__xludf.DUMMYFUNCTION("""COMPUTED_VALUE"""),0.21248124062031015)</f>
        <v>0.2124812406</v>
      </c>
      <c r="G1199" s="5">
        <f>IFERROR(__xludf.DUMMYFUNCTION("""COMPUTED_VALUE"""),0.14907453726863432)</f>
        <v>0.1490745373</v>
      </c>
      <c r="H1199" s="5">
        <f>IFERROR(__xludf.DUMMYFUNCTION("""COMPUTED_VALUE"""),0.5927015891701001)</f>
        <v>0.5927015892</v>
      </c>
      <c r="I1199" s="11">
        <f>IFERROR(__xludf.DUMMYFUNCTION("""COMPUTED_VALUE"""),5341.730429664509)</f>
        <v>5341.73043</v>
      </c>
      <c r="J1199" s="10">
        <f>IFERROR(__xludf.DUMMYFUNCTION("""COMPUTED_VALUE"""),1.0)</f>
        <v>1</v>
      </c>
      <c r="K1199" s="5">
        <f>IFERROR(__xludf.DUMMYFUNCTION("""COMPUTED_VALUE"""),0.001379310344827586)</f>
        <v>0.001379310345</v>
      </c>
      <c r="L1199" s="10">
        <f>IFERROR(__xludf.DUMMYFUNCTION("""COMPUTED_VALUE"""),725.0)</f>
        <v>725</v>
      </c>
      <c r="M1199" s="5">
        <f>IFERROR(__xludf.DUMMYFUNCTION("""COMPUTED_VALUE"""),1.0)</f>
        <v>1</v>
      </c>
    </row>
    <row r="1200">
      <c r="A1200" s="10" t="str">
        <f>IFERROR(__xludf.DUMMYFUNCTION("""COMPUTED_VALUE"""),"ぬだ")</f>
        <v>ぬだ</v>
      </c>
      <c r="B1200" s="10">
        <f>IFERROR(__xludf.DUMMYFUNCTION("""COMPUTED_VALUE"""),387.0)</f>
        <v>387</v>
      </c>
      <c r="C1200" s="10">
        <f>IFERROR(__xludf.DUMMYFUNCTION("""COMPUTED_VALUE"""),4497.0)</f>
        <v>4497</v>
      </c>
      <c r="D1200" s="5">
        <f>IFERROR(__xludf.DUMMYFUNCTION("""COMPUTED_VALUE"""),0.3900243309002433)</f>
        <v>0.3900243309</v>
      </c>
      <c r="E1200" s="5">
        <f>IFERROR(__xludf.DUMMYFUNCTION("""COMPUTED_VALUE"""),0.1386861313868613)</f>
        <v>0.1386861314</v>
      </c>
      <c r="F1200" s="5">
        <f>IFERROR(__xludf.DUMMYFUNCTION("""COMPUTED_VALUE"""),0.21119221411192213)</f>
        <v>0.2111922141</v>
      </c>
      <c r="G1200" s="5">
        <f>IFERROR(__xludf.DUMMYFUNCTION("""COMPUTED_VALUE"""),0.1681265206812652)</f>
        <v>0.1681265207</v>
      </c>
      <c r="H1200" s="5">
        <f>IFERROR(__xludf.DUMMYFUNCTION("""COMPUTED_VALUE"""),0.5956221198156681)</f>
        <v>0.5956221198</v>
      </c>
      <c r="I1200" s="11">
        <f>IFERROR(__xludf.DUMMYFUNCTION("""COMPUTED_VALUE"""),5313.709677419355)</f>
        <v>5313.709677</v>
      </c>
      <c r="J1200" s="10">
        <f>IFERROR(__xludf.DUMMYFUNCTION("""COMPUTED_VALUE"""),0.0)</f>
        <v>0</v>
      </c>
      <c r="K1200" s="5">
        <f>IFERROR(__xludf.DUMMYFUNCTION("""COMPUTED_VALUE"""),0.0)</f>
        <v>0</v>
      </c>
      <c r="L1200" s="10">
        <f>IFERROR(__xludf.DUMMYFUNCTION("""COMPUTED_VALUE"""),387.0)</f>
        <v>387</v>
      </c>
      <c r="M1200" s="5">
        <f>IFERROR(__xludf.DUMMYFUNCTION("""COMPUTED_VALUE"""),1.0)</f>
        <v>1</v>
      </c>
    </row>
    <row r="1201">
      <c r="A1201" s="10" t="str">
        <f>IFERROR(__xludf.DUMMYFUNCTION("""COMPUTED_VALUE"""),"ござーるござる")</f>
        <v>ござーるござる</v>
      </c>
      <c r="B1201" s="10">
        <f>IFERROR(__xludf.DUMMYFUNCTION("""COMPUTED_VALUE"""),524.0)</f>
        <v>524</v>
      </c>
      <c r="C1201" s="10">
        <f>IFERROR(__xludf.DUMMYFUNCTION("""COMPUTED_VALUE"""),6062.0)</f>
        <v>6062</v>
      </c>
      <c r="D1201" s="5">
        <f>IFERROR(__xludf.DUMMYFUNCTION("""COMPUTED_VALUE"""),0.3145539906103286)</f>
        <v>0.3145539906</v>
      </c>
      <c r="E1201" s="5">
        <f>IFERROR(__xludf.DUMMYFUNCTION("""COMPUTED_VALUE"""),0.13867822318526543)</f>
        <v>0.1386782232</v>
      </c>
      <c r="F1201" s="5">
        <f>IFERROR(__xludf.DUMMYFUNCTION("""COMPUTED_VALUE"""),0.19826652221018418)</f>
        <v>0.1982665222</v>
      </c>
      <c r="G1201" s="5">
        <f>IFERROR(__xludf.DUMMYFUNCTION("""COMPUTED_VALUE"""),0.16666666666666666)</f>
        <v>0.1666666667</v>
      </c>
      <c r="H1201" s="5">
        <f>IFERROR(__xludf.DUMMYFUNCTION("""COMPUTED_VALUE"""),0.6174863387978142)</f>
        <v>0.6174863388</v>
      </c>
      <c r="I1201" s="11">
        <f>IFERROR(__xludf.DUMMYFUNCTION("""COMPUTED_VALUE"""),6315.027322404371)</f>
        <v>6315.027322</v>
      </c>
      <c r="J1201" s="10">
        <f>IFERROR(__xludf.DUMMYFUNCTION("""COMPUTED_VALUE"""),0.0)</f>
        <v>0</v>
      </c>
      <c r="K1201" s="5">
        <f>IFERROR(__xludf.DUMMYFUNCTION("""COMPUTED_VALUE"""),0.0)</f>
        <v>0</v>
      </c>
      <c r="L1201" s="10">
        <f>IFERROR(__xludf.DUMMYFUNCTION("""COMPUTED_VALUE"""),524.0)</f>
        <v>524</v>
      </c>
      <c r="M1201" s="5">
        <f>IFERROR(__xludf.DUMMYFUNCTION("""COMPUTED_VALUE"""),1.0)</f>
        <v>1</v>
      </c>
    </row>
    <row r="1202">
      <c r="A1202" s="10" t="str">
        <f>IFERROR(__xludf.DUMMYFUNCTION("""COMPUTED_VALUE"""),"メタルうーぱ")</f>
        <v>メタルうーぱ</v>
      </c>
      <c r="B1202" s="10">
        <f>IFERROR(__xludf.DUMMYFUNCTION("""COMPUTED_VALUE"""),1145.0)</f>
        <v>1145</v>
      </c>
      <c r="C1202" s="10">
        <f>IFERROR(__xludf.DUMMYFUNCTION("""COMPUTED_VALUE"""),13347.0)</f>
        <v>13347</v>
      </c>
      <c r="D1202" s="5">
        <f>IFERROR(__xludf.DUMMYFUNCTION("""COMPUTED_VALUE"""),0.359367316833306)</f>
        <v>0.3593673168</v>
      </c>
      <c r="E1202" s="5">
        <f>IFERROR(__xludf.DUMMYFUNCTION("""COMPUTED_VALUE"""),0.13866579249303393)</f>
        <v>0.1386657925</v>
      </c>
      <c r="F1202" s="5">
        <f>IFERROR(__xludf.DUMMYFUNCTION("""COMPUTED_VALUE"""),0.2121783314210785)</f>
        <v>0.2121783314</v>
      </c>
      <c r="G1202" s="5">
        <f>IFERROR(__xludf.DUMMYFUNCTION("""COMPUTED_VALUE"""),0.1735781019504999)</f>
        <v>0.173578102</v>
      </c>
      <c r="H1202" s="5">
        <f>IFERROR(__xludf.DUMMYFUNCTION("""COMPUTED_VALUE"""),0.59675550405562)</f>
        <v>0.5967555041</v>
      </c>
      <c r="I1202" s="11">
        <f>IFERROR(__xludf.DUMMYFUNCTION("""COMPUTED_VALUE"""),5527.964465044419)</f>
        <v>5527.964465</v>
      </c>
      <c r="J1202" s="10">
        <f>IFERROR(__xludf.DUMMYFUNCTION("""COMPUTED_VALUE"""),2.0)</f>
        <v>2</v>
      </c>
      <c r="K1202" s="5">
        <f>IFERROR(__xludf.DUMMYFUNCTION("""COMPUTED_VALUE"""),0.0017467248908296944)</f>
        <v>0.001746724891</v>
      </c>
      <c r="L1202" s="10">
        <f>IFERROR(__xludf.DUMMYFUNCTION("""COMPUTED_VALUE"""),1144.0)</f>
        <v>1144</v>
      </c>
      <c r="M1202" s="5">
        <f>IFERROR(__xludf.DUMMYFUNCTION("""COMPUTED_VALUE"""),0.9991266375545852)</f>
        <v>0.9991266376</v>
      </c>
    </row>
    <row r="1203">
      <c r="A1203" s="10" t="str">
        <f>IFERROR(__xludf.DUMMYFUNCTION("""COMPUTED_VALUE"""),"GFTT")</f>
        <v>GFTT</v>
      </c>
      <c r="B1203" s="10">
        <f>IFERROR(__xludf.DUMMYFUNCTION("""COMPUTED_VALUE"""),188.0)</f>
        <v>188</v>
      </c>
      <c r="C1203" s="10">
        <f>IFERROR(__xludf.DUMMYFUNCTION("""COMPUTED_VALUE"""),2164.0)</f>
        <v>2164</v>
      </c>
      <c r="D1203" s="5">
        <f>IFERROR(__xludf.DUMMYFUNCTION("""COMPUTED_VALUE"""),0.32034412955465585)</f>
        <v>0.3203441296</v>
      </c>
      <c r="E1203" s="5">
        <f>IFERROR(__xludf.DUMMYFUNCTION("""COMPUTED_VALUE"""),0.13866396761133604)</f>
        <v>0.1386639676</v>
      </c>
      <c r="F1203" s="5">
        <f>IFERROR(__xludf.DUMMYFUNCTION("""COMPUTED_VALUE"""),0.21963562753036436)</f>
        <v>0.2196356275</v>
      </c>
      <c r="G1203" s="5">
        <f>IFERROR(__xludf.DUMMYFUNCTION("""COMPUTED_VALUE"""),0.1604251012145749)</f>
        <v>0.1604251012</v>
      </c>
      <c r="H1203" s="5">
        <f>IFERROR(__xludf.DUMMYFUNCTION("""COMPUTED_VALUE"""),0.6290322580645161)</f>
        <v>0.6290322581</v>
      </c>
      <c r="I1203" s="11">
        <f>IFERROR(__xludf.DUMMYFUNCTION("""COMPUTED_VALUE"""),5553.6866359447)</f>
        <v>5553.686636</v>
      </c>
      <c r="J1203" s="10">
        <f>IFERROR(__xludf.DUMMYFUNCTION("""COMPUTED_VALUE"""),1.0)</f>
        <v>1</v>
      </c>
      <c r="K1203" s="5">
        <f>IFERROR(__xludf.DUMMYFUNCTION("""COMPUTED_VALUE"""),0.005319148936170213)</f>
        <v>0.005319148936</v>
      </c>
      <c r="L1203" s="10">
        <f>IFERROR(__xludf.DUMMYFUNCTION("""COMPUTED_VALUE"""),188.0)</f>
        <v>188</v>
      </c>
      <c r="M1203" s="5">
        <f>IFERROR(__xludf.DUMMYFUNCTION("""COMPUTED_VALUE"""),1.0)</f>
        <v>1</v>
      </c>
    </row>
    <row r="1204">
      <c r="A1204" s="10" t="str">
        <f>IFERROR(__xludf.DUMMYFUNCTION("""COMPUTED_VALUE"""),"四風王")</f>
        <v>四風王</v>
      </c>
      <c r="B1204" s="10">
        <f>IFERROR(__xludf.DUMMYFUNCTION("""COMPUTED_VALUE"""),317.0)</f>
        <v>317</v>
      </c>
      <c r="C1204" s="10">
        <f>IFERROR(__xludf.DUMMYFUNCTION("""COMPUTED_VALUE"""),3721.0)</f>
        <v>3721</v>
      </c>
      <c r="D1204" s="5">
        <f>IFERROR(__xludf.DUMMYFUNCTION("""COMPUTED_VALUE"""),0.35311398354876616)</f>
        <v>0.3531139835</v>
      </c>
      <c r="E1204" s="5">
        <f>IFERROR(__xludf.DUMMYFUNCTION("""COMPUTED_VALUE"""),0.13866039952996476)</f>
        <v>0.1386603995</v>
      </c>
      <c r="F1204" s="5">
        <f>IFERROR(__xludf.DUMMYFUNCTION("""COMPUTED_VALUE"""),0.21269095182138661)</f>
        <v>0.2126909518</v>
      </c>
      <c r="G1204" s="5">
        <f>IFERROR(__xludf.DUMMYFUNCTION("""COMPUTED_VALUE"""),0.17831962397179787)</f>
        <v>0.178319624</v>
      </c>
      <c r="H1204" s="5">
        <f>IFERROR(__xludf.DUMMYFUNCTION("""COMPUTED_VALUE"""),0.5538674033149171)</f>
        <v>0.5538674033</v>
      </c>
      <c r="I1204" s="11">
        <f>IFERROR(__xludf.DUMMYFUNCTION("""COMPUTED_VALUE"""),5644.613259668508)</f>
        <v>5644.61326</v>
      </c>
      <c r="J1204" s="10">
        <f>IFERROR(__xludf.DUMMYFUNCTION("""COMPUTED_VALUE"""),0.0)</f>
        <v>0</v>
      </c>
      <c r="K1204" s="5">
        <f>IFERROR(__xludf.DUMMYFUNCTION("""COMPUTED_VALUE"""),0.0)</f>
        <v>0</v>
      </c>
      <c r="L1204" s="10">
        <f>IFERROR(__xludf.DUMMYFUNCTION("""COMPUTED_VALUE"""),317.0)</f>
        <v>317</v>
      </c>
      <c r="M1204" s="5">
        <f>IFERROR(__xludf.DUMMYFUNCTION("""COMPUTED_VALUE"""),1.0)</f>
        <v>1</v>
      </c>
    </row>
    <row r="1205">
      <c r="A1205" s="10" t="str">
        <f>IFERROR(__xludf.DUMMYFUNCTION("""COMPUTED_VALUE"""),"Bigu")</f>
        <v>Bigu</v>
      </c>
      <c r="B1205" s="10">
        <f>IFERROR(__xludf.DUMMYFUNCTION("""COMPUTED_VALUE"""),390.0)</f>
        <v>390</v>
      </c>
      <c r="C1205" s="10">
        <f>IFERROR(__xludf.DUMMYFUNCTION("""COMPUTED_VALUE"""),4609.0)</f>
        <v>4609</v>
      </c>
      <c r="D1205" s="5">
        <f>IFERROR(__xludf.DUMMYFUNCTION("""COMPUTED_VALUE"""),0.3479497511258592)</f>
        <v>0.3479497511</v>
      </c>
      <c r="E1205" s="5">
        <f>IFERROR(__xludf.DUMMYFUNCTION("""COMPUTED_VALUE"""),0.13865844986963735)</f>
        <v>0.1386584499</v>
      </c>
      <c r="F1205" s="5">
        <f>IFERROR(__xludf.DUMMYFUNCTION("""COMPUTED_VALUE"""),0.21640199099312632)</f>
        <v>0.216401991</v>
      </c>
      <c r="G1205" s="5">
        <f>IFERROR(__xludf.DUMMYFUNCTION("""COMPUTED_VALUE"""),0.16947143872955678)</f>
        <v>0.1694714387</v>
      </c>
      <c r="H1205" s="5">
        <f>IFERROR(__xludf.DUMMYFUNCTION("""COMPUTED_VALUE"""),0.6265060240963856)</f>
        <v>0.6265060241</v>
      </c>
      <c r="I1205" s="11">
        <f>IFERROR(__xludf.DUMMYFUNCTION("""COMPUTED_VALUE"""),5746.659364731654)</f>
        <v>5746.659365</v>
      </c>
      <c r="J1205" s="10">
        <f>IFERROR(__xludf.DUMMYFUNCTION("""COMPUTED_VALUE"""),0.0)</f>
        <v>0</v>
      </c>
      <c r="K1205" s="5">
        <f>IFERROR(__xludf.DUMMYFUNCTION("""COMPUTED_VALUE"""),0.0)</f>
        <v>0</v>
      </c>
      <c r="L1205" s="10">
        <f>IFERROR(__xludf.DUMMYFUNCTION("""COMPUTED_VALUE"""),390.0)</f>
        <v>390</v>
      </c>
      <c r="M1205" s="5">
        <f>IFERROR(__xludf.DUMMYFUNCTION("""COMPUTED_VALUE"""),1.0)</f>
        <v>1</v>
      </c>
    </row>
    <row r="1206">
      <c r="A1206" s="10" t="str">
        <f>IFERROR(__xludf.DUMMYFUNCTION("""COMPUTED_VALUE"""),"kinglear")</f>
        <v>kinglear</v>
      </c>
      <c r="B1206" s="10">
        <f>IFERROR(__xludf.DUMMYFUNCTION("""COMPUTED_VALUE"""),178.0)</f>
        <v>178</v>
      </c>
      <c r="C1206" s="10">
        <f>IFERROR(__xludf.DUMMYFUNCTION("""COMPUTED_VALUE"""),2082.0)</f>
        <v>2082</v>
      </c>
      <c r="D1206" s="5">
        <f>IFERROR(__xludf.DUMMYFUNCTION("""COMPUTED_VALUE"""),0.28834033613445376)</f>
        <v>0.2883403361</v>
      </c>
      <c r="E1206" s="5">
        <f>IFERROR(__xludf.DUMMYFUNCTION("""COMPUTED_VALUE"""),0.13865546218487396)</f>
        <v>0.1386554622</v>
      </c>
      <c r="F1206" s="5">
        <f>IFERROR(__xludf.DUMMYFUNCTION("""COMPUTED_VALUE"""),0.19642857142857142)</f>
        <v>0.1964285714</v>
      </c>
      <c r="G1206" s="5">
        <f>IFERROR(__xludf.DUMMYFUNCTION("""COMPUTED_VALUE"""),0.18960084033613445)</f>
        <v>0.1896008403</v>
      </c>
      <c r="H1206" s="5">
        <f>IFERROR(__xludf.DUMMYFUNCTION("""COMPUTED_VALUE"""),0.5828877005347594)</f>
        <v>0.5828877005</v>
      </c>
      <c r="I1206" s="11">
        <f>IFERROR(__xludf.DUMMYFUNCTION("""COMPUTED_VALUE"""),5735.828877005348)</f>
        <v>5735.828877</v>
      </c>
      <c r="J1206" s="10">
        <f>IFERROR(__xludf.DUMMYFUNCTION("""COMPUTED_VALUE"""),0.0)</f>
        <v>0</v>
      </c>
      <c r="K1206" s="5">
        <f>IFERROR(__xludf.DUMMYFUNCTION("""COMPUTED_VALUE"""),0.0)</f>
        <v>0</v>
      </c>
      <c r="L1206" s="10">
        <f>IFERROR(__xludf.DUMMYFUNCTION("""COMPUTED_VALUE"""),178.0)</f>
        <v>178</v>
      </c>
      <c r="M1206" s="5">
        <f>IFERROR(__xludf.DUMMYFUNCTION("""COMPUTED_VALUE"""),1.0)</f>
        <v>1</v>
      </c>
    </row>
    <row r="1207">
      <c r="A1207" s="10" t="str">
        <f>IFERROR(__xludf.DUMMYFUNCTION("""COMPUTED_VALUE"""),"(「￣Д￣)「")</f>
        <v>(「￣Д￣)「</v>
      </c>
      <c r="B1207" s="10">
        <f>IFERROR(__xludf.DUMMYFUNCTION("""COMPUTED_VALUE"""),204.0)</f>
        <v>204</v>
      </c>
      <c r="C1207" s="10">
        <f>IFERROR(__xludf.DUMMYFUNCTION("""COMPUTED_VALUE"""),2375.0)</f>
        <v>2375</v>
      </c>
      <c r="D1207" s="5">
        <f>IFERROR(__xludf.DUMMYFUNCTION("""COMPUTED_VALUE"""),0.36941501612160293)</f>
        <v>0.3694150161</v>
      </c>
      <c r="E1207" s="5">
        <f>IFERROR(__xludf.DUMMYFUNCTION("""COMPUTED_VALUE"""),0.13864578535237218)</f>
        <v>0.1386457854</v>
      </c>
      <c r="F1207" s="5">
        <f>IFERROR(__xludf.DUMMYFUNCTION("""COMPUTED_VALUE"""),0.20497466605251036)</f>
        <v>0.2049746661</v>
      </c>
      <c r="G1207" s="5">
        <f>IFERROR(__xludf.DUMMYFUNCTION("""COMPUTED_VALUE"""),0.13956701980654077)</f>
        <v>0.1395670198</v>
      </c>
      <c r="H1207" s="5">
        <f>IFERROR(__xludf.DUMMYFUNCTION("""COMPUTED_VALUE"""),0.6247191011235955)</f>
        <v>0.6247191011</v>
      </c>
      <c r="I1207" s="11">
        <f>IFERROR(__xludf.DUMMYFUNCTION("""COMPUTED_VALUE"""),5792.5842696629215)</f>
        <v>5792.58427</v>
      </c>
      <c r="J1207" s="10">
        <f>IFERROR(__xludf.DUMMYFUNCTION("""COMPUTED_VALUE"""),0.0)</f>
        <v>0</v>
      </c>
      <c r="K1207" s="5">
        <f>IFERROR(__xludf.DUMMYFUNCTION("""COMPUTED_VALUE"""),0.0)</f>
        <v>0</v>
      </c>
      <c r="L1207" s="10">
        <f>IFERROR(__xludf.DUMMYFUNCTION("""COMPUTED_VALUE"""),0.0)</f>
        <v>0</v>
      </c>
      <c r="M1207" s="5">
        <f>IFERROR(__xludf.DUMMYFUNCTION("""COMPUTED_VALUE"""),0.0)</f>
        <v>0</v>
      </c>
    </row>
    <row r="1208">
      <c r="A1208" s="10" t="str">
        <f>IFERROR(__xludf.DUMMYFUNCTION("""COMPUTED_VALUE"""),"SLB＠")</f>
        <v>SLB＠</v>
      </c>
      <c r="B1208" s="10">
        <f>IFERROR(__xludf.DUMMYFUNCTION("""COMPUTED_VALUE"""),196.0)</f>
        <v>196</v>
      </c>
      <c r="C1208" s="10">
        <f>IFERROR(__xludf.DUMMYFUNCTION("""COMPUTED_VALUE"""),2295.0)</f>
        <v>2295</v>
      </c>
      <c r="D1208" s="5">
        <f>IFERROR(__xludf.DUMMYFUNCTION("""COMPUTED_VALUE"""),0.3468318246784183)</f>
        <v>0.3468318247</v>
      </c>
      <c r="E1208" s="5">
        <f>IFERROR(__xludf.DUMMYFUNCTION("""COMPUTED_VALUE"""),0.13863744640304906)</f>
        <v>0.1386374464</v>
      </c>
      <c r="F1208" s="5">
        <f>IFERROR(__xludf.DUMMYFUNCTION("""COMPUTED_VALUE"""),0.2248689852310624)</f>
        <v>0.2248689852</v>
      </c>
      <c r="G1208" s="5">
        <f>IFERROR(__xludf.DUMMYFUNCTION("""COMPUTED_VALUE"""),0.1391138637446403)</f>
        <v>0.1391138637</v>
      </c>
      <c r="H1208" s="5">
        <f>IFERROR(__xludf.DUMMYFUNCTION("""COMPUTED_VALUE"""),0.559322033898305)</f>
        <v>0.5593220339</v>
      </c>
      <c r="I1208" s="11">
        <f>IFERROR(__xludf.DUMMYFUNCTION("""COMPUTED_VALUE"""),5793.64406779661)</f>
        <v>5793.644068</v>
      </c>
      <c r="J1208" s="10">
        <f>IFERROR(__xludf.DUMMYFUNCTION("""COMPUTED_VALUE"""),0.0)</f>
        <v>0</v>
      </c>
      <c r="K1208" s="5">
        <f>IFERROR(__xludf.DUMMYFUNCTION("""COMPUTED_VALUE"""),0.0)</f>
        <v>0</v>
      </c>
      <c r="L1208" s="10">
        <f>IFERROR(__xludf.DUMMYFUNCTION("""COMPUTED_VALUE"""),5.0)</f>
        <v>5</v>
      </c>
      <c r="M1208" s="5">
        <f>IFERROR(__xludf.DUMMYFUNCTION("""COMPUTED_VALUE"""),0.025510204081632654)</f>
        <v>0.02551020408</v>
      </c>
    </row>
    <row r="1209">
      <c r="A1209" s="10" t="str">
        <f>IFERROR(__xludf.DUMMYFUNCTION("""COMPUTED_VALUE"""),"百式観音")</f>
        <v>百式観音</v>
      </c>
      <c r="B1209" s="10">
        <f>IFERROR(__xludf.DUMMYFUNCTION("""COMPUTED_VALUE"""),137.0)</f>
        <v>137</v>
      </c>
      <c r="C1209" s="10">
        <f>IFERROR(__xludf.DUMMYFUNCTION("""COMPUTED_VALUE"""),1623.0)</f>
        <v>1623</v>
      </c>
      <c r="D1209" s="5">
        <f>IFERROR(__xludf.DUMMYFUNCTION("""COMPUTED_VALUE"""),0.35262449528936746)</f>
        <v>0.3526244953</v>
      </c>
      <c r="E1209" s="5">
        <f>IFERROR(__xludf.DUMMYFUNCTION("""COMPUTED_VALUE"""),0.1386271870794078)</f>
        <v>0.1386271871</v>
      </c>
      <c r="F1209" s="5">
        <f>IFERROR(__xludf.DUMMYFUNCTION("""COMPUTED_VALUE"""),0.2072678331090175)</f>
        <v>0.2072678331</v>
      </c>
      <c r="G1209" s="5">
        <f>IFERROR(__xludf.DUMMYFUNCTION("""COMPUTED_VALUE"""),0.1810228802153432)</f>
        <v>0.1810228802</v>
      </c>
      <c r="H1209" s="5">
        <f>IFERROR(__xludf.DUMMYFUNCTION("""COMPUTED_VALUE"""),0.5324675324675324)</f>
        <v>0.5324675325</v>
      </c>
      <c r="I1209" s="11">
        <f>IFERROR(__xludf.DUMMYFUNCTION("""COMPUTED_VALUE"""),5812.012987012987)</f>
        <v>5812.012987</v>
      </c>
      <c r="J1209" s="10">
        <f>IFERROR(__xludf.DUMMYFUNCTION("""COMPUTED_VALUE"""),0.0)</f>
        <v>0</v>
      </c>
      <c r="K1209" s="5">
        <f>IFERROR(__xludf.DUMMYFUNCTION("""COMPUTED_VALUE"""),0.0)</f>
        <v>0</v>
      </c>
      <c r="L1209" s="10">
        <f>IFERROR(__xludf.DUMMYFUNCTION("""COMPUTED_VALUE"""),137.0)</f>
        <v>137</v>
      </c>
      <c r="M1209" s="5">
        <f>IFERROR(__xludf.DUMMYFUNCTION("""COMPUTED_VALUE"""),1.0)</f>
        <v>1</v>
      </c>
    </row>
    <row r="1210">
      <c r="A1210" s="10" t="str">
        <f>IFERROR(__xludf.DUMMYFUNCTION("""COMPUTED_VALUE"""),"はひゅぅ")</f>
        <v>はひゅぅ</v>
      </c>
      <c r="B1210" s="10">
        <f>IFERROR(__xludf.DUMMYFUNCTION("""COMPUTED_VALUE"""),175.0)</f>
        <v>175</v>
      </c>
      <c r="C1210" s="10">
        <f>IFERROR(__xludf.DUMMYFUNCTION("""COMPUTED_VALUE"""),2029.0)</f>
        <v>2029</v>
      </c>
      <c r="D1210" s="5">
        <f>IFERROR(__xludf.DUMMYFUNCTION("""COMPUTED_VALUE"""),0.24865156418554477)</f>
        <v>0.2486515642</v>
      </c>
      <c r="E1210" s="5">
        <f>IFERROR(__xludf.DUMMYFUNCTION("""COMPUTED_VALUE"""),0.13861920172599784)</f>
        <v>0.1386192017</v>
      </c>
      <c r="F1210" s="5">
        <f>IFERROR(__xludf.DUMMYFUNCTION("""COMPUTED_VALUE"""),0.1941747572815534)</f>
        <v>0.1941747573</v>
      </c>
      <c r="G1210" s="5">
        <f>IFERROR(__xludf.DUMMYFUNCTION("""COMPUTED_VALUE"""),0.20819848975188782)</f>
        <v>0.2081984898</v>
      </c>
      <c r="H1210" s="5">
        <f>IFERROR(__xludf.DUMMYFUNCTION("""COMPUTED_VALUE"""),0.575)</f>
        <v>0.575</v>
      </c>
      <c r="I1210" s="11">
        <f>IFERROR(__xludf.DUMMYFUNCTION("""COMPUTED_VALUE"""),6177.222222222223)</f>
        <v>6177.222222</v>
      </c>
      <c r="J1210" s="10">
        <f>IFERROR(__xludf.DUMMYFUNCTION("""COMPUTED_VALUE"""),0.0)</f>
        <v>0</v>
      </c>
      <c r="K1210" s="5">
        <f>IFERROR(__xludf.DUMMYFUNCTION("""COMPUTED_VALUE"""),0.0)</f>
        <v>0</v>
      </c>
      <c r="L1210" s="10">
        <f>IFERROR(__xludf.DUMMYFUNCTION("""COMPUTED_VALUE"""),175.0)</f>
        <v>175</v>
      </c>
      <c r="M1210" s="5">
        <f>IFERROR(__xludf.DUMMYFUNCTION("""COMPUTED_VALUE"""),1.0)</f>
        <v>1</v>
      </c>
    </row>
    <row r="1211">
      <c r="A1211" s="10" t="str">
        <f>IFERROR(__xludf.DUMMYFUNCTION("""COMPUTED_VALUE"""),"(´・ェ・｀)ノ")</f>
        <v>(´・ェ・｀)ノ</v>
      </c>
      <c r="B1211" s="10">
        <f>IFERROR(__xludf.DUMMYFUNCTION("""COMPUTED_VALUE"""),102.0)</f>
        <v>102</v>
      </c>
      <c r="C1211" s="10">
        <f>IFERROR(__xludf.DUMMYFUNCTION("""COMPUTED_VALUE"""),1213.0)</f>
        <v>1213</v>
      </c>
      <c r="D1211" s="5">
        <f>IFERROR(__xludf.DUMMYFUNCTION("""COMPUTED_VALUE"""),0.37533753375337536)</f>
        <v>0.3753375338</v>
      </c>
      <c r="E1211" s="5">
        <f>IFERROR(__xludf.DUMMYFUNCTION("""COMPUTED_VALUE"""),0.13861386138613863)</f>
        <v>0.1386138614</v>
      </c>
      <c r="F1211" s="5">
        <f>IFERROR(__xludf.DUMMYFUNCTION("""COMPUTED_VALUE"""),0.19441944194419442)</f>
        <v>0.1944194419</v>
      </c>
      <c r="G1211" s="5">
        <f>IFERROR(__xludf.DUMMYFUNCTION("""COMPUTED_VALUE"""),0.1485148514851485)</f>
        <v>0.1485148515</v>
      </c>
      <c r="H1211" s="5">
        <f>IFERROR(__xludf.DUMMYFUNCTION("""COMPUTED_VALUE"""),0.6620370370370371)</f>
        <v>0.662037037</v>
      </c>
      <c r="I1211" s="11">
        <f>IFERROR(__xludf.DUMMYFUNCTION("""COMPUTED_VALUE"""),5276.851851851852)</f>
        <v>5276.851852</v>
      </c>
      <c r="J1211" s="10">
        <f>IFERROR(__xludf.DUMMYFUNCTION("""COMPUTED_VALUE"""),0.0)</f>
        <v>0</v>
      </c>
      <c r="K1211" s="5">
        <f>IFERROR(__xludf.DUMMYFUNCTION("""COMPUTED_VALUE"""),0.0)</f>
        <v>0</v>
      </c>
      <c r="L1211" s="10">
        <f>IFERROR(__xludf.DUMMYFUNCTION("""COMPUTED_VALUE"""),0.0)</f>
        <v>0</v>
      </c>
      <c r="M1211" s="5">
        <f>IFERROR(__xludf.DUMMYFUNCTION("""COMPUTED_VALUE"""),0.0)</f>
        <v>0</v>
      </c>
    </row>
    <row r="1212">
      <c r="A1212" s="10" t="str">
        <f>IFERROR(__xludf.DUMMYFUNCTION("""COMPUTED_VALUE"""),"rmcik")</f>
        <v>rmcik</v>
      </c>
      <c r="B1212" s="10">
        <f>IFERROR(__xludf.DUMMYFUNCTION("""COMPUTED_VALUE"""),572.0)</f>
        <v>572</v>
      </c>
      <c r="C1212" s="10">
        <f>IFERROR(__xludf.DUMMYFUNCTION("""COMPUTED_VALUE"""),6618.0)</f>
        <v>6618</v>
      </c>
      <c r="D1212" s="5">
        <f>IFERROR(__xludf.DUMMYFUNCTION("""COMPUTED_VALUE"""),0.2682765464770096)</f>
        <v>0.2682765465</v>
      </c>
      <c r="E1212" s="5">
        <f>IFERROR(__xludf.DUMMYFUNCTION("""COMPUTED_VALUE"""),0.1386040357260999)</f>
        <v>0.1386040357</v>
      </c>
      <c r="F1212" s="5">
        <f>IFERROR(__xludf.DUMMYFUNCTION("""COMPUTED_VALUE"""),0.19268938140919617)</f>
        <v>0.1926893814</v>
      </c>
      <c r="G1212" s="5">
        <f>IFERROR(__xludf.DUMMYFUNCTION("""COMPUTED_VALUE"""),0.19004300363876944)</f>
        <v>0.1900430036</v>
      </c>
      <c r="H1212" s="5">
        <f>IFERROR(__xludf.DUMMYFUNCTION("""COMPUTED_VALUE"""),0.5879828326180258)</f>
        <v>0.5879828326</v>
      </c>
      <c r="I1212" s="11">
        <f>IFERROR(__xludf.DUMMYFUNCTION("""COMPUTED_VALUE"""),6602.317596566523)</f>
        <v>6602.317597</v>
      </c>
      <c r="J1212" s="10">
        <f>IFERROR(__xludf.DUMMYFUNCTION("""COMPUTED_VALUE"""),1.0)</f>
        <v>1</v>
      </c>
      <c r="K1212" s="5">
        <f>IFERROR(__xludf.DUMMYFUNCTION("""COMPUTED_VALUE"""),0.0017482517482517483)</f>
        <v>0.001748251748</v>
      </c>
      <c r="L1212" s="10">
        <f>IFERROR(__xludf.DUMMYFUNCTION("""COMPUTED_VALUE"""),572.0)</f>
        <v>572</v>
      </c>
      <c r="M1212" s="5">
        <f>IFERROR(__xludf.DUMMYFUNCTION("""COMPUTED_VALUE"""),1.0)</f>
        <v>1</v>
      </c>
    </row>
    <row r="1213">
      <c r="A1213" s="10" t="str">
        <f>IFERROR(__xludf.DUMMYFUNCTION("""COMPUTED_VALUE"""),"ぽみゅ")</f>
        <v>ぽみゅ</v>
      </c>
      <c r="B1213" s="10">
        <f>IFERROR(__xludf.DUMMYFUNCTION("""COMPUTED_VALUE"""),3709.0)</f>
        <v>3709</v>
      </c>
      <c r="C1213" s="10">
        <f>IFERROR(__xludf.DUMMYFUNCTION("""COMPUTED_VALUE"""),43227.0)</f>
        <v>43227</v>
      </c>
      <c r="D1213" s="5">
        <f>IFERROR(__xludf.DUMMYFUNCTION("""COMPUTED_VALUE"""),0.3509033857988765)</f>
        <v>0.3509033858</v>
      </c>
      <c r="E1213" s="5">
        <f>IFERROR(__xludf.DUMMYFUNCTION("""COMPUTED_VALUE"""),0.1385950706007389)</f>
        <v>0.1385950706</v>
      </c>
      <c r="F1213" s="5">
        <f>IFERROR(__xludf.DUMMYFUNCTION("""COMPUTED_VALUE"""),0.22200010121969735)</f>
        <v>0.2220001012</v>
      </c>
      <c r="G1213" s="5">
        <f>IFERROR(__xludf.DUMMYFUNCTION("""COMPUTED_VALUE"""),0.2104357507971051)</f>
        <v>0.2104357508</v>
      </c>
      <c r="H1213" s="5">
        <f>IFERROR(__xludf.DUMMYFUNCTION("""COMPUTED_VALUE"""),0.5880542573805996)</f>
        <v>0.5880542574</v>
      </c>
      <c r="I1213" s="11">
        <f>IFERROR(__xludf.DUMMYFUNCTION("""COMPUTED_VALUE"""),5782.993274820472)</f>
        <v>5782.993275</v>
      </c>
      <c r="J1213" s="10">
        <f>IFERROR(__xludf.DUMMYFUNCTION("""COMPUTED_VALUE"""),7.0)</f>
        <v>7</v>
      </c>
      <c r="K1213" s="5">
        <f>IFERROR(__xludf.DUMMYFUNCTION("""COMPUTED_VALUE"""),0.0018873011593421407)</f>
        <v>0.001887301159</v>
      </c>
      <c r="L1213" s="10">
        <f>IFERROR(__xludf.DUMMYFUNCTION("""COMPUTED_VALUE"""),1.0)</f>
        <v>1</v>
      </c>
      <c r="M1213" s="5">
        <f>IFERROR(__xludf.DUMMYFUNCTION("""COMPUTED_VALUE"""),2.6961445133459155E-4)</f>
        <v>0.0002696144513</v>
      </c>
    </row>
    <row r="1214">
      <c r="A1214" s="10" t="str">
        <f>IFERROR(__xludf.DUMMYFUNCTION("""COMPUTED_VALUE"""),"固ゆで卵")</f>
        <v>固ゆで卵</v>
      </c>
      <c r="B1214" s="10">
        <f>IFERROR(__xludf.DUMMYFUNCTION("""COMPUTED_VALUE"""),428.0)</f>
        <v>428</v>
      </c>
      <c r="C1214" s="10">
        <f>IFERROR(__xludf.DUMMYFUNCTION("""COMPUTED_VALUE"""),4909.0)</f>
        <v>4909</v>
      </c>
      <c r="D1214" s="5">
        <f>IFERROR(__xludf.DUMMYFUNCTION("""COMPUTED_VALUE"""),0.384512385628208)</f>
        <v>0.3845123856</v>
      </c>
      <c r="E1214" s="5">
        <f>IFERROR(__xludf.DUMMYFUNCTION("""COMPUTED_VALUE"""),0.1385851372461504)</f>
        <v>0.1385851372</v>
      </c>
      <c r="F1214" s="5">
        <f>IFERROR(__xludf.DUMMYFUNCTION("""COMPUTED_VALUE"""),0.2182548538272707)</f>
        <v>0.2182548538</v>
      </c>
      <c r="G1214" s="5">
        <f>IFERROR(__xludf.DUMMYFUNCTION("""COMPUTED_VALUE"""),0.18299486721713903)</f>
        <v>0.1829948672</v>
      </c>
      <c r="H1214" s="5">
        <f>IFERROR(__xludf.DUMMYFUNCTION("""COMPUTED_VALUE"""),0.6073619631901841)</f>
        <v>0.6073619632</v>
      </c>
      <c r="I1214" s="11">
        <f>IFERROR(__xludf.DUMMYFUNCTION("""COMPUTED_VALUE"""),5686.503067484663)</f>
        <v>5686.503067</v>
      </c>
      <c r="J1214" s="10">
        <f>IFERROR(__xludf.DUMMYFUNCTION("""COMPUTED_VALUE"""),1.0)</f>
        <v>1</v>
      </c>
      <c r="K1214" s="5">
        <f>IFERROR(__xludf.DUMMYFUNCTION("""COMPUTED_VALUE"""),0.002336448598130841)</f>
        <v>0.002336448598</v>
      </c>
      <c r="L1214" s="10">
        <f>IFERROR(__xludf.DUMMYFUNCTION("""COMPUTED_VALUE"""),428.0)</f>
        <v>428</v>
      </c>
      <c r="M1214" s="5">
        <f>IFERROR(__xludf.DUMMYFUNCTION("""COMPUTED_VALUE"""),1.0)</f>
        <v>1</v>
      </c>
    </row>
    <row r="1215">
      <c r="A1215" s="10" t="str">
        <f>IFERROR(__xludf.DUMMYFUNCTION("""COMPUTED_VALUE"""),"fanstep")</f>
        <v>fanstep</v>
      </c>
      <c r="B1215" s="10">
        <f>IFERROR(__xludf.DUMMYFUNCTION("""COMPUTED_VALUE"""),3889.0)</f>
        <v>3889</v>
      </c>
      <c r="C1215" s="10">
        <f>IFERROR(__xludf.DUMMYFUNCTION("""COMPUTED_VALUE"""),44805.0)</f>
        <v>44805</v>
      </c>
      <c r="D1215" s="5">
        <f>IFERROR(__xludf.DUMMYFUNCTION("""COMPUTED_VALUE"""),0.31430247336005473)</f>
        <v>0.3143024734</v>
      </c>
      <c r="E1215" s="5">
        <f>IFERROR(__xludf.DUMMYFUNCTION("""COMPUTED_VALUE"""),0.13857659595268354)</f>
        <v>0.138576596</v>
      </c>
      <c r="F1215" s="5">
        <f>IFERROR(__xludf.DUMMYFUNCTION("""COMPUTED_VALUE"""),0.21527030990321636)</f>
        <v>0.2152703099</v>
      </c>
      <c r="G1215" s="5">
        <f>IFERROR(__xludf.DUMMYFUNCTION("""COMPUTED_VALUE"""),0.1645077720207254)</f>
        <v>0.164507772</v>
      </c>
      <c r="H1215" s="5">
        <f>IFERROR(__xludf.DUMMYFUNCTION("""COMPUTED_VALUE"""),0.6110354223433242)</f>
        <v>0.6110354223</v>
      </c>
      <c r="I1215" s="11">
        <f>IFERROR(__xludf.DUMMYFUNCTION("""COMPUTED_VALUE"""),6016.41689373297)</f>
        <v>6016.416894</v>
      </c>
      <c r="J1215" s="10">
        <f>IFERROR(__xludf.DUMMYFUNCTION("""COMPUTED_VALUE"""),8.0)</f>
        <v>8</v>
      </c>
      <c r="K1215" s="5">
        <f>IFERROR(__xludf.DUMMYFUNCTION("""COMPUTED_VALUE"""),0.0020570840833119054)</f>
        <v>0.002057084083</v>
      </c>
      <c r="L1215" s="10">
        <f>IFERROR(__xludf.DUMMYFUNCTION("""COMPUTED_VALUE"""),3889.0)</f>
        <v>3889</v>
      </c>
      <c r="M1215" s="5">
        <f>IFERROR(__xludf.DUMMYFUNCTION("""COMPUTED_VALUE"""),1.0)</f>
        <v>1</v>
      </c>
    </row>
    <row r="1216">
      <c r="A1216" s="10" t="str">
        <f>IFERROR(__xludf.DUMMYFUNCTION("""COMPUTED_VALUE"""),"山本店長")</f>
        <v>山本店長</v>
      </c>
      <c r="B1216" s="10">
        <f>IFERROR(__xludf.DUMMYFUNCTION("""COMPUTED_VALUE"""),242.0)</f>
        <v>242</v>
      </c>
      <c r="C1216" s="10">
        <f>IFERROR(__xludf.DUMMYFUNCTION("""COMPUTED_VALUE"""),2775.0)</f>
        <v>2775</v>
      </c>
      <c r="D1216" s="5">
        <f>IFERROR(__xludf.DUMMYFUNCTION("""COMPUTED_VALUE"""),0.40031583103039875)</f>
        <v>0.400315831</v>
      </c>
      <c r="E1216" s="5">
        <f>IFERROR(__xludf.DUMMYFUNCTION("""COMPUTED_VALUE"""),0.13857086458744572)</f>
        <v>0.1385708646</v>
      </c>
      <c r="F1216" s="5">
        <f>IFERROR(__xludf.DUMMYFUNCTION("""COMPUTED_VALUE"""),0.2029214370311883)</f>
        <v>0.202921437</v>
      </c>
      <c r="G1216" s="5">
        <f>IFERROR(__xludf.DUMMYFUNCTION("""COMPUTED_VALUE"""),0.1855507303592578)</f>
        <v>0.1855507304</v>
      </c>
      <c r="H1216" s="5">
        <f>IFERROR(__xludf.DUMMYFUNCTION("""COMPUTED_VALUE"""),0.5622568093385214)</f>
        <v>0.5622568093</v>
      </c>
      <c r="I1216" s="11">
        <f>IFERROR(__xludf.DUMMYFUNCTION("""COMPUTED_VALUE"""),5571.011673151751)</f>
        <v>5571.011673</v>
      </c>
      <c r="J1216" s="10">
        <f>IFERROR(__xludf.DUMMYFUNCTION("""COMPUTED_VALUE"""),1.0)</f>
        <v>1</v>
      </c>
      <c r="K1216" s="5">
        <f>IFERROR(__xludf.DUMMYFUNCTION("""COMPUTED_VALUE"""),0.004132231404958678)</f>
        <v>0.004132231405</v>
      </c>
      <c r="L1216" s="10">
        <f>IFERROR(__xludf.DUMMYFUNCTION("""COMPUTED_VALUE"""),242.0)</f>
        <v>242</v>
      </c>
      <c r="M1216" s="5">
        <f>IFERROR(__xludf.DUMMYFUNCTION("""COMPUTED_VALUE"""),1.0)</f>
        <v>1</v>
      </c>
    </row>
    <row r="1217">
      <c r="A1217" s="10" t="str">
        <f>IFERROR(__xludf.DUMMYFUNCTION("""COMPUTED_VALUE"""),"＠森")</f>
        <v>＠森</v>
      </c>
      <c r="B1217" s="10">
        <f>IFERROR(__xludf.DUMMYFUNCTION("""COMPUTED_VALUE"""),1425.0)</f>
        <v>1425</v>
      </c>
      <c r="C1217" s="10">
        <f>IFERROR(__xludf.DUMMYFUNCTION("""COMPUTED_VALUE"""),16883.0)</f>
        <v>16883</v>
      </c>
      <c r="D1217" s="5">
        <f>IFERROR(__xludf.DUMMYFUNCTION("""COMPUTED_VALUE"""),0.41053176348816145)</f>
        <v>0.4105317635</v>
      </c>
      <c r="E1217" s="5">
        <f>IFERROR(__xludf.DUMMYFUNCTION("""COMPUTED_VALUE"""),0.13856902574718594)</f>
        <v>0.1385690257</v>
      </c>
      <c r="F1217" s="5">
        <f>IFERROR(__xludf.DUMMYFUNCTION("""COMPUTED_VALUE"""),0.22299133134946306)</f>
        <v>0.2229913313</v>
      </c>
      <c r="G1217" s="5">
        <f>IFERROR(__xludf.DUMMYFUNCTION("""COMPUTED_VALUE"""),0.17473153059904256)</f>
        <v>0.1747315306</v>
      </c>
      <c r="H1217" s="5">
        <f>IFERROR(__xludf.DUMMYFUNCTION("""COMPUTED_VALUE"""),0.5984914418334784)</f>
        <v>0.5984914418</v>
      </c>
      <c r="I1217" s="11">
        <f>IFERROR(__xludf.DUMMYFUNCTION("""COMPUTED_VALUE"""),5399.419785320569)</f>
        <v>5399.419785</v>
      </c>
      <c r="J1217" s="10">
        <f>IFERROR(__xludf.DUMMYFUNCTION("""COMPUTED_VALUE"""),6.0)</f>
        <v>6</v>
      </c>
      <c r="K1217" s="5">
        <f>IFERROR(__xludf.DUMMYFUNCTION("""COMPUTED_VALUE"""),0.004210526315789474)</f>
        <v>0.004210526316</v>
      </c>
      <c r="L1217" s="10">
        <f>IFERROR(__xludf.DUMMYFUNCTION("""COMPUTED_VALUE"""),3.0)</f>
        <v>3</v>
      </c>
      <c r="M1217" s="5">
        <f>IFERROR(__xludf.DUMMYFUNCTION("""COMPUTED_VALUE"""),0.002105263157894737)</f>
        <v>0.002105263158</v>
      </c>
    </row>
    <row r="1218">
      <c r="A1218" s="10" t="str">
        <f>IFERROR(__xludf.DUMMYFUNCTION("""COMPUTED_VALUE"""),"watau")</f>
        <v>watau</v>
      </c>
      <c r="B1218" s="10">
        <f>IFERROR(__xludf.DUMMYFUNCTION("""COMPUTED_VALUE"""),175.0)</f>
        <v>175</v>
      </c>
      <c r="C1218" s="10">
        <f>IFERROR(__xludf.DUMMYFUNCTION("""COMPUTED_VALUE"""),2037.0)</f>
        <v>2037</v>
      </c>
      <c r="D1218" s="5">
        <f>IFERROR(__xludf.DUMMYFUNCTION("""COMPUTED_VALUE"""),0.40977443609022557)</f>
        <v>0.4097744361</v>
      </c>
      <c r="E1218" s="5">
        <f>IFERROR(__xludf.DUMMYFUNCTION("""COMPUTED_VALUE"""),0.1385606874328679)</f>
        <v>0.1385606874</v>
      </c>
      <c r="F1218" s="5">
        <f>IFERROR(__xludf.DUMMYFUNCTION("""COMPUTED_VALUE"""),0.21321160042964554)</f>
        <v>0.2132116004</v>
      </c>
      <c r="G1218" s="5">
        <f>IFERROR(__xludf.DUMMYFUNCTION("""COMPUTED_VALUE"""),0.19119226638023631)</f>
        <v>0.1911922664</v>
      </c>
      <c r="H1218" s="5">
        <f>IFERROR(__xludf.DUMMYFUNCTION("""COMPUTED_VALUE"""),0.5843828715365239)</f>
        <v>0.5843828715</v>
      </c>
      <c r="I1218" s="11">
        <f>IFERROR(__xludf.DUMMYFUNCTION("""COMPUTED_VALUE"""),5082.8715365239295)</f>
        <v>5082.871537</v>
      </c>
      <c r="J1218" s="10">
        <f>IFERROR(__xludf.DUMMYFUNCTION("""COMPUTED_VALUE"""),0.0)</f>
        <v>0</v>
      </c>
      <c r="K1218" s="5">
        <f>IFERROR(__xludf.DUMMYFUNCTION("""COMPUTED_VALUE"""),0.0)</f>
        <v>0</v>
      </c>
      <c r="L1218" s="10">
        <f>IFERROR(__xludf.DUMMYFUNCTION("""COMPUTED_VALUE"""),175.0)</f>
        <v>175</v>
      </c>
      <c r="M1218" s="5">
        <f>IFERROR(__xludf.DUMMYFUNCTION("""COMPUTED_VALUE"""),1.0)</f>
        <v>1</v>
      </c>
    </row>
    <row r="1219">
      <c r="A1219" s="10" t="str">
        <f>IFERROR(__xludf.DUMMYFUNCTION("""COMPUTED_VALUE"""),"небо")</f>
        <v>небо</v>
      </c>
      <c r="B1219" s="10">
        <f>IFERROR(__xludf.DUMMYFUNCTION("""COMPUTED_VALUE"""),194.0)</f>
        <v>194</v>
      </c>
      <c r="C1219" s="10">
        <f>IFERROR(__xludf.DUMMYFUNCTION("""COMPUTED_VALUE"""),2222.0)</f>
        <v>2222</v>
      </c>
      <c r="D1219" s="5">
        <f>IFERROR(__xludf.DUMMYFUNCTION("""COMPUTED_VALUE"""),0.35404339250493094)</f>
        <v>0.3540433925</v>
      </c>
      <c r="E1219" s="5">
        <f>IFERROR(__xludf.DUMMYFUNCTION("""COMPUTED_VALUE"""),0.13856015779092704)</f>
        <v>0.1385601578</v>
      </c>
      <c r="F1219" s="5">
        <f>IFERROR(__xludf.DUMMYFUNCTION("""COMPUTED_VALUE"""),0.20216962524654833)</f>
        <v>0.2021696252</v>
      </c>
      <c r="G1219" s="5">
        <f>IFERROR(__xludf.DUMMYFUNCTION("""COMPUTED_VALUE"""),0.16074950690335305)</f>
        <v>0.1607495069</v>
      </c>
      <c r="H1219" s="5">
        <f>IFERROR(__xludf.DUMMYFUNCTION("""COMPUTED_VALUE"""),0.5951219512195122)</f>
        <v>0.5951219512</v>
      </c>
      <c r="I1219" s="11">
        <f>IFERROR(__xludf.DUMMYFUNCTION("""COMPUTED_VALUE"""),5552.682926829269)</f>
        <v>5552.682927</v>
      </c>
      <c r="J1219" s="10">
        <f>IFERROR(__xludf.DUMMYFUNCTION("""COMPUTED_VALUE"""),1.0)</f>
        <v>1</v>
      </c>
      <c r="K1219" s="5">
        <f>IFERROR(__xludf.DUMMYFUNCTION("""COMPUTED_VALUE"""),0.005154639175257732)</f>
        <v>0.005154639175</v>
      </c>
      <c r="L1219" s="10">
        <f>IFERROR(__xludf.DUMMYFUNCTION("""COMPUTED_VALUE"""),2.0)</f>
        <v>2</v>
      </c>
      <c r="M1219" s="5">
        <f>IFERROR(__xludf.DUMMYFUNCTION("""COMPUTED_VALUE"""),0.010309278350515464)</f>
        <v>0.01030927835</v>
      </c>
    </row>
    <row r="1220">
      <c r="A1220" s="10" t="str">
        <f>IFERROR(__xludf.DUMMYFUNCTION("""COMPUTED_VALUE"""),"しゅんつで")</f>
        <v>しゅんつで</v>
      </c>
      <c r="B1220" s="10">
        <f>IFERROR(__xludf.DUMMYFUNCTION("""COMPUTED_VALUE"""),617.0)</f>
        <v>617</v>
      </c>
      <c r="C1220" s="10">
        <f>IFERROR(__xludf.DUMMYFUNCTION("""COMPUTED_VALUE"""),7293.0)</f>
        <v>7293</v>
      </c>
      <c r="D1220" s="5">
        <f>IFERROR(__xludf.DUMMYFUNCTION("""COMPUTED_VALUE"""),0.31321150389454766)</f>
        <v>0.3132115039</v>
      </c>
      <c r="E1220" s="5">
        <f>IFERROR(__xludf.DUMMYFUNCTION("""COMPUTED_VALUE"""),0.1385560215698023)</f>
        <v>0.1385560216</v>
      </c>
      <c r="F1220" s="5">
        <f>IFERROR(__xludf.DUMMYFUNCTION("""COMPUTED_VALUE"""),0.20311563810665068)</f>
        <v>0.2031156381</v>
      </c>
      <c r="G1220" s="5">
        <f>IFERROR(__xludf.DUMMYFUNCTION("""COMPUTED_VALUE"""),0.16057519472738166)</f>
        <v>0.1605751947</v>
      </c>
      <c r="H1220" s="5">
        <f>IFERROR(__xludf.DUMMYFUNCTION("""COMPUTED_VALUE"""),0.5921828908554573)</f>
        <v>0.5921828909</v>
      </c>
      <c r="I1220" s="11">
        <f>IFERROR(__xludf.DUMMYFUNCTION("""COMPUTED_VALUE"""),5960.619469026548)</f>
        <v>5960.619469</v>
      </c>
      <c r="J1220" s="10">
        <f>IFERROR(__xludf.DUMMYFUNCTION("""COMPUTED_VALUE"""),2.0)</f>
        <v>2</v>
      </c>
      <c r="K1220" s="5">
        <f>IFERROR(__xludf.DUMMYFUNCTION("""COMPUTED_VALUE"""),0.0032414910858995136)</f>
        <v>0.003241491086</v>
      </c>
      <c r="L1220" s="10">
        <f>IFERROR(__xludf.DUMMYFUNCTION("""COMPUTED_VALUE"""),617.0)</f>
        <v>617</v>
      </c>
      <c r="M1220" s="5">
        <f>IFERROR(__xludf.DUMMYFUNCTION("""COMPUTED_VALUE"""),1.0)</f>
        <v>1</v>
      </c>
    </row>
    <row r="1221">
      <c r="A1221" s="10" t="str">
        <f>IFERROR(__xludf.DUMMYFUNCTION("""COMPUTED_VALUE"""),"amedio")</f>
        <v>amedio</v>
      </c>
      <c r="B1221" s="10">
        <f>IFERROR(__xludf.DUMMYFUNCTION("""COMPUTED_VALUE"""),5293.0)</f>
        <v>5293</v>
      </c>
      <c r="C1221" s="10">
        <f>IFERROR(__xludf.DUMMYFUNCTION("""COMPUTED_VALUE"""),62151.0)</f>
        <v>62151</v>
      </c>
      <c r="D1221" s="5">
        <f>IFERROR(__xludf.DUMMYFUNCTION("""COMPUTED_VALUE"""),0.3401104505962222)</f>
        <v>0.3401104506</v>
      </c>
      <c r="E1221" s="5">
        <f>IFERROR(__xludf.DUMMYFUNCTION("""COMPUTED_VALUE"""),0.13855570016532415)</f>
        <v>0.1385557002</v>
      </c>
      <c r="F1221" s="5">
        <f>IFERROR(__xludf.DUMMYFUNCTION("""COMPUTED_VALUE"""),0.21462239262724683)</f>
        <v>0.2146223926</v>
      </c>
      <c r="G1221" s="5">
        <f>IFERROR(__xludf.DUMMYFUNCTION("""COMPUTED_VALUE"""),0.1452566041717964)</f>
        <v>0.1452566042</v>
      </c>
      <c r="H1221" s="5">
        <f>IFERROR(__xludf.DUMMYFUNCTION("""COMPUTED_VALUE"""),0.603949848397935)</f>
        <v>0.6039498484</v>
      </c>
      <c r="I1221" s="11">
        <f>IFERROR(__xludf.DUMMYFUNCTION("""COMPUTED_VALUE"""),5739.580431041547)</f>
        <v>5739.580431</v>
      </c>
      <c r="J1221" s="10">
        <f>IFERROR(__xludf.DUMMYFUNCTION("""COMPUTED_VALUE"""),16.0)</f>
        <v>16</v>
      </c>
      <c r="K1221" s="5">
        <f>IFERROR(__xludf.DUMMYFUNCTION("""COMPUTED_VALUE"""),0.0030228603816361234)</f>
        <v>0.003022860382</v>
      </c>
      <c r="L1221" s="10">
        <f>IFERROR(__xludf.DUMMYFUNCTION("""COMPUTED_VALUE"""),5293.0)</f>
        <v>5293</v>
      </c>
      <c r="M1221" s="5">
        <f>IFERROR(__xludf.DUMMYFUNCTION("""COMPUTED_VALUE"""),1.0)</f>
        <v>1</v>
      </c>
    </row>
    <row r="1222">
      <c r="A1222" s="10" t="str">
        <f>IFERROR(__xludf.DUMMYFUNCTION("""COMPUTED_VALUE"""),"ando55")</f>
        <v>ando55</v>
      </c>
      <c r="B1222" s="10">
        <f>IFERROR(__xludf.DUMMYFUNCTION("""COMPUTED_VALUE"""),154.0)</f>
        <v>154</v>
      </c>
      <c r="C1222" s="10">
        <f>IFERROR(__xludf.DUMMYFUNCTION("""COMPUTED_VALUE"""),1800.0)</f>
        <v>1800</v>
      </c>
      <c r="D1222" s="5">
        <f>IFERROR(__xludf.DUMMYFUNCTION("""COMPUTED_VALUE"""),0.2867557715674362)</f>
        <v>0.2867557716</v>
      </c>
      <c r="E1222" s="5">
        <f>IFERROR(__xludf.DUMMYFUNCTION("""COMPUTED_VALUE"""),0.1385176184690158)</f>
        <v>0.1385176185</v>
      </c>
      <c r="F1222" s="5">
        <f>IFERROR(__xludf.DUMMYFUNCTION("""COMPUTED_VALUE"""),0.20048602673147023)</f>
        <v>0.2004860267</v>
      </c>
      <c r="G1222" s="5">
        <f>IFERROR(__xludf.DUMMYFUNCTION("""COMPUTED_VALUE"""),0.2023086269744836)</f>
        <v>0.202308627</v>
      </c>
      <c r="H1222" s="5">
        <f>IFERROR(__xludf.DUMMYFUNCTION("""COMPUTED_VALUE"""),0.5878787878787879)</f>
        <v>0.5878787879</v>
      </c>
      <c r="I1222" s="11">
        <f>IFERROR(__xludf.DUMMYFUNCTION("""COMPUTED_VALUE"""),6026.666666666667)</f>
        <v>6026.666667</v>
      </c>
      <c r="J1222" s="10">
        <f>IFERROR(__xludf.DUMMYFUNCTION("""COMPUTED_VALUE"""),0.0)</f>
        <v>0</v>
      </c>
      <c r="K1222" s="5">
        <f>IFERROR(__xludf.DUMMYFUNCTION("""COMPUTED_VALUE"""),0.0)</f>
        <v>0</v>
      </c>
      <c r="L1222" s="10">
        <f>IFERROR(__xludf.DUMMYFUNCTION("""COMPUTED_VALUE"""),154.0)</f>
        <v>154</v>
      </c>
      <c r="M1222" s="5">
        <f>IFERROR(__xludf.DUMMYFUNCTION("""COMPUTED_VALUE"""),1.0)</f>
        <v>1</v>
      </c>
    </row>
    <row r="1223">
      <c r="A1223" s="10" t="str">
        <f>IFERROR(__xludf.DUMMYFUNCTION("""COMPUTED_VALUE"""),"iq180真剣様")</f>
        <v>iq180真剣様</v>
      </c>
      <c r="B1223" s="10">
        <f>IFERROR(__xludf.DUMMYFUNCTION("""COMPUTED_VALUE"""),2666.0)</f>
        <v>2666</v>
      </c>
      <c r="C1223" s="10">
        <f>IFERROR(__xludf.DUMMYFUNCTION("""COMPUTED_VALUE"""),30853.0)</f>
        <v>30853</v>
      </c>
      <c r="D1223" s="5">
        <f>IFERROR(__xludf.DUMMYFUNCTION("""COMPUTED_VALUE"""),0.4217192322701955)</f>
        <v>0.4217192323</v>
      </c>
      <c r="E1223" s="5">
        <f>IFERROR(__xludf.DUMMYFUNCTION("""COMPUTED_VALUE"""),0.1385035654734452)</f>
        <v>0.1385035655</v>
      </c>
      <c r="F1223" s="5">
        <f>IFERROR(__xludf.DUMMYFUNCTION("""COMPUTED_VALUE"""),0.21967573704189874)</f>
        <v>0.219675737</v>
      </c>
      <c r="G1223" s="5">
        <f>IFERROR(__xludf.DUMMYFUNCTION("""COMPUTED_VALUE"""),0.197892645545819)</f>
        <v>0.1978926455</v>
      </c>
      <c r="H1223" s="5">
        <f>IFERROR(__xludf.DUMMYFUNCTION("""COMPUTED_VALUE"""),0.5968992248062015)</f>
        <v>0.5968992248</v>
      </c>
      <c r="I1223" s="11">
        <f>IFERROR(__xludf.DUMMYFUNCTION("""COMPUTED_VALUE"""),5851.40503875969)</f>
        <v>5851.405039</v>
      </c>
      <c r="J1223" s="10">
        <f>IFERROR(__xludf.DUMMYFUNCTION("""COMPUTED_VALUE"""),8.0)</f>
        <v>8</v>
      </c>
      <c r="K1223" s="5">
        <f>IFERROR(__xludf.DUMMYFUNCTION("""COMPUTED_VALUE"""),0.003000750187546887)</f>
        <v>0.003000750188</v>
      </c>
      <c r="L1223" s="10">
        <f>IFERROR(__xludf.DUMMYFUNCTION("""COMPUTED_VALUE"""),2649.0)</f>
        <v>2649</v>
      </c>
      <c r="M1223" s="5">
        <f>IFERROR(__xludf.DUMMYFUNCTION("""COMPUTED_VALUE"""),0.9936234058514629)</f>
        <v>0.9936234059</v>
      </c>
    </row>
    <row r="1224">
      <c r="A1224" s="10" t="str">
        <f>IFERROR(__xludf.DUMMYFUNCTION("""COMPUTED_VALUE"""),"t.a.k.")</f>
        <v>t.a.k.</v>
      </c>
      <c r="B1224" s="10">
        <f>IFERROR(__xludf.DUMMYFUNCTION("""COMPUTED_VALUE"""),285.0)</f>
        <v>285</v>
      </c>
      <c r="C1224" s="10">
        <f>IFERROR(__xludf.DUMMYFUNCTION("""COMPUTED_VALUE"""),3340.0)</f>
        <v>3340</v>
      </c>
      <c r="D1224" s="5">
        <f>IFERROR(__xludf.DUMMYFUNCTION("""COMPUTED_VALUE"""),0.3253682487725041)</f>
        <v>0.3253682488</v>
      </c>
      <c r="E1224" s="5">
        <f>IFERROR(__xludf.DUMMYFUNCTION("""COMPUTED_VALUE"""),0.13846153846153847)</f>
        <v>0.1384615385</v>
      </c>
      <c r="F1224" s="5">
        <f>IFERROR(__xludf.DUMMYFUNCTION("""COMPUTED_VALUE"""),0.20654664484451718)</f>
        <v>0.2065466448</v>
      </c>
      <c r="G1224" s="5">
        <f>IFERROR(__xludf.DUMMYFUNCTION("""COMPUTED_VALUE"""),0.16006546644844516)</f>
        <v>0.1600654664</v>
      </c>
      <c r="H1224" s="5">
        <f>IFERROR(__xludf.DUMMYFUNCTION("""COMPUTED_VALUE"""),0.589540412044374)</f>
        <v>0.589540412</v>
      </c>
      <c r="I1224" s="11">
        <f>IFERROR(__xludf.DUMMYFUNCTION("""COMPUTED_VALUE"""),5263.8668779714735)</f>
        <v>5263.866878</v>
      </c>
      <c r="J1224" s="10">
        <f>IFERROR(__xludf.DUMMYFUNCTION("""COMPUTED_VALUE"""),1.0)</f>
        <v>1</v>
      </c>
      <c r="K1224" s="5">
        <f>IFERROR(__xludf.DUMMYFUNCTION("""COMPUTED_VALUE"""),0.0035087719298245615)</f>
        <v>0.00350877193</v>
      </c>
      <c r="L1224" s="10">
        <f>IFERROR(__xludf.DUMMYFUNCTION("""COMPUTED_VALUE"""),285.0)</f>
        <v>285</v>
      </c>
      <c r="M1224" s="5">
        <f>IFERROR(__xludf.DUMMYFUNCTION("""COMPUTED_VALUE"""),1.0)</f>
        <v>1</v>
      </c>
    </row>
    <row r="1225">
      <c r="A1225" s="10" t="str">
        <f>IFERROR(__xludf.DUMMYFUNCTION("""COMPUTED_VALUE"""),"Hunter_D")</f>
        <v>Hunter_D</v>
      </c>
      <c r="B1225" s="10">
        <f>IFERROR(__xludf.DUMMYFUNCTION("""COMPUTED_VALUE"""),728.0)</f>
        <v>728</v>
      </c>
      <c r="C1225" s="10">
        <f>IFERROR(__xludf.DUMMYFUNCTION("""COMPUTED_VALUE"""),8514.0)</f>
        <v>8514</v>
      </c>
      <c r="D1225" s="5">
        <f>IFERROR(__xludf.DUMMYFUNCTION("""COMPUTED_VALUE"""),0.36077575134857437)</f>
        <v>0.3607757513</v>
      </c>
      <c r="E1225" s="5">
        <f>IFERROR(__xludf.DUMMYFUNCTION("""COMPUTED_VALUE"""),0.13845363472900077)</f>
        <v>0.1384536347</v>
      </c>
      <c r="F1225" s="5">
        <f>IFERROR(__xludf.DUMMYFUNCTION("""COMPUTED_VALUE"""),0.22373490881068583)</f>
        <v>0.2237349088</v>
      </c>
      <c r="G1225" s="5">
        <f>IFERROR(__xludf.DUMMYFUNCTION("""COMPUTED_VALUE"""),0.182892370922168)</f>
        <v>0.1828923709</v>
      </c>
      <c r="H1225" s="5">
        <f>IFERROR(__xludf.DUMMYFUNCTION("""COMPUTED_VALUE"""),0.5769230769230769)</f>
        <v>0.5769230769</v>
      </c>
      <c r="I1225" s="11">
        <f>IFERROR(__xludf.DUMMYFUNCTION("""COMPUTED_VALUE"""),5511.595866819747)</f>
        <v>5511.595867</v>
      </c>
      <c r="J1225" s="10">
        <f>IFERROR(__xludf.DUMMYFUNCTION("""COMPUTED_VALUE"""),7.0)</f>
        <v>7</v>
      </c>
      <c r="K1225" s="5">
        <f>IFERROR(__xludf.DUMMYFUNCTION("""COMPUTED_VALUE"""),0.009615384615384616)</f>
        <v>0.009615384615</v>
      </c>
      <c r="L1225" s="10">
        <f>IFERROR(__xludf.DUMMYFUNCTION("""COMPUTED_VALUE"""),728.0)</f>
        <v>728</v>
      </c>
      <c r="M1225" s="5">
        <f>IFERROR(__xludf.DUMMYFUNCTION("""COMPUTED_VALUE"""),1.0)</f>
        <v>1</v>
      </c>
    </row>
    <row r="1226">
      <c r="A1226" s="10" t="str">
        <f>IFERROR(__xludf.DUMMYFUNCTION("""COMPUTED_VALUE"""),"vetoo")</f>
        <v>vetoo</v>
      </c>
      <c r="B1226" s="10">
        <f>IFERROR(__xludf.DUMMYFUNCTION("""COMPUTED_VALUE"""),1288.0)</f>
        <v>1288</v>
      </c>
      <c r="C1226" s="10">
        <f>IFERROR(__xludf.DUMMYFUNCTION("""COMPUTED_VALUE"""),15105.0)</f>
        <v>15105</v>
      </c>
      <c r="D1226" s="5">
        <f>IFERROR(__xludf.DUMMYFUNCTION("""COMPUTED_VALUE"""),0.33994354780343056)</f>
        <v>0.3399435478</v>
      </c>
      <c r="E1226" s="5">
        <f>IFERROR(__xludf.DUMMYFUNCTION("""COMPUTED_VALUE"""),0.13845263081710935)</f>
        <v>0.1384526308</v>
      </c>
      <c r="F1226" s="5">
        <f>IFERROR(__xludf.DUMMYFUNCTION("""COMPUTED_VALUE"""),0.20778750814214372)</f>
        <v>0.2077875081</v>
      </c>
      <c r="G1226" s="5">
        <f>IFERROR(__xludf.DUMMYFUNCTION("""COMPUTED_VALUE"""),0.15415792140117246)</f>
        <v>0.1541579214</v>
      </c>
      <c r="H1226" s="5">
        <f>IFERROR(__xludf.DUMMYFUNCTION("""COMPUTED_VALUE"""),0.6078021595262975)</f>
        <v>0.6078021595</v>
      </c>
      <c r="I1226" s="11">
        <f>IFERROR(__xludf.DUMMYFUNCTION("""COMPUTED_VALUE"""),5575.966562173458)</f>
        <v>5575.966562</v>
      </c>
      <c r="J1226" s="10">
        <f>IFERROR(__xludf.DUMMYFUNCTION("""COMPUTED_VALUE"""),5.0)</f>
        <v>5</v>
      </c>
      <c r="K1226" s="5">
        <f>IFERROR(__xludf.DUMMYFUNCTION("""COMPUTED_VALUE"""),0.0038819875776397515)</f>
        <v>0.003881987578</v>
      </c>
      <c r="L1226" s="10">
        <f>IFERROR(__xludf.DUMMYFUNCTION("""COMPUTED_VALUE"""),1288.0)</f>
        <v>1288</v>
      </c>
      <c r="M1226" s="5">
        <f>IFERROR(__xludf.DUMMYFUNCTION("""COMPUTED_VALUE"""),1.0)</f>
        <v>1</v>
      </c>
    </row>
    <row r="1227">
      <c r="A1227" s="10" t="str">
        <f>IFERROR(__xludf.DUMMYFUNCTION("""COMPUTED_VALUE"""),"ocelot")</f>
        <v>ocelot</v>
      </c>
      <c r="B1227" s="10">
        <f>IFERROR(__xludf.DUMMYFUNCTION("""COMPUTED_VALUE"""),244.0)</f>
        <v>244</v>
      </c>
      <c r="C1227" s="10">
        <f>IFERROR(__xludf.DUMMYFUNCTION("""COMPUTED_VALUE"""),2982.0)</f>
        <v>2982</v>
      </c>
      <c r="D1227" s="5">
        <f>IFERROR(__xludf.DUMMYFUNCTION("""COMPUTED_VALUE"""),0.3612125639152666)</f>
        <v>0.3612125639</v>
      </c>
      <c r="E1227" s="5">
        <f>IFERROR(__xludf.DUMMYFUNCTION("""COMPUTED_VALUE"""),0.13842220598977356)</f>
        <v>0.138422206</v>
      </c>
      <c r="F1227" s="5">
        <f>IFERROR(__xludf.DUMMYFUNCTION("""COMPUTED_VALUE"""),0.21256391526661797)</f>
        <v>0.2125639153</v>
      </c>
      <c r="G1227" s="5">
        <f>IFERROR(__xludf.DUMMYFUNCTION("""COMPUTED_VALUE"""),0.16946676406135866)</f>
        <v>0.1694667641</v>
      </c>
      <c r="H1227" s="5">
        <f>IFERROR(__xludf.DUMMYFUNCTION("""COMPUTED_VALUE"""),0.5876288659793815)</f>
        <v>0.587628866</v>
      </c>
      <c r="I1227" s="11">
        <f>IFERROR(__xludf.DUMMYFUNCTION("""COMPUTED_VALUE"""),5290.893470790378)</f>
        <v>5290.893471</v>
      </c>
      <c r="J1227" s="10">
        <f>IFERROR(__xludf.DUMMYFUNCTION("""COMPUTED_VALUE"""),2.0)</f>
        <v>2</v>
      </c>
      <c r="K1227" s="5">
        <f>IFERROR(__xludf.DUMMYFUNCTION("""COMPUTED_VALUE"""),0.00819672131147541)</f>
        <v>0.008196721311</v>
      </c>
      <c r="L1227" s="10">
        <f>IFERROR(__xludf.DUMMYFUNCTION("""COMPUTED_VALUE"""),244.0)</f>
        <v>244</v>
      </c>
      <c r="M1227" s="5">
        <f>IFERROR(__xludf.DUMMYFUNCTION("""COMPUTED_VALUE"""),1.0)</f>
        <v>1</v>
      </c>
    </row>
    <row r="1228">
      <c r="A1228" s="10" t="str">
        <f>IFERROR(__xludf.DUMMYFUNCTION("""COMPUTED_VALUE"""),"仕事しろ。")</f>
        <v>仕事しろ。</v>
      </c>
      <c r="B1228" s="10">
        <f>IFERROR(__xludf.DUMMYFUNCTION("""COMPUTED_VALUE"""),169.0)</f>
        <v>169</v>
      </c>
      <c r="C1228" s="10">
        <f>IFERROR(__xludf.DUMMYFUNCTION("""COMPUTED_VALUE"""),2004.0)</f>
        <v>2004</v>
      </c>
      <c r="D1228" s="5">
        <f>IFERROR(__xludf.DUMMYFUNCTION("""COMPUTED_VALUE"""),0.3564032697547684)</f>
        <v>0.3564032698</v>
      </c>
      <c r="E1228" s="5">
        <f>IFERROR(__xludf.DUMMYFUNCTION("""COMPUTED_VALUE"""),0.13841961852861034)</f>
        <v>0.1384196185</v>
      </c>
      <c r="F1228" s="5">
        <f>IFERROR(__xludf.DUMMYFUNCTION("""COMPUTED_VALUE"""),0.20435967302452315)</f>
        <v>0.204359673</v>
      </c>
      <c r="G1228" s="5">
        <f>IFERROR(__xludf.DUMMYFUNCTION("""COMPUTED_VALUE"""),0.16239782016348775)</f>
        <v>0.1623978202</v>
      </c>
      <c r="H1228" s="5">
        <f>IFERROR(__xludf.DUMMYFUNCTION("""COMPUTED_VALUE"""),0.584)</f>
        <v>0.584</v>
      </c>
      <c r="I1228" s="11">
        <f>IFERROR(__xludf.DUMMYFUNCTION("""COMPUTED_VALUE"""),5618.933333333333)</f>
        <v>5618.933333</v>
      </c>
      <c r="J1228" s="10">
        <f>IFERROR(__xludf.DUMMYFUNCTION("""COMPUTED_VALUE"""),0.0)</f>
        <v>0</v>
      </c>
      <c r="K1228" s="5">
        <f>IFERROR(__xludf.DUMMYFUNCTION("""COMPUTED_VALUE"""),0.0)</f>
        <v>0</v>
      </c>
      <c r="L1228" s="10">
        <f>IFERROR(__xludf.DUMMYFUNCTION("""COMPUTED_VALUE"""),169.0)</f>
        <v>169</v>
      </c>
      <c r="M1228" s="5">
        <f>IFERROR(__xludf.DUMMYFUNCTION("""COMPUTED_VALUE"""),1.0)</f>
        <v>1</v>
      </c>
    </row>
    <row r="1229">
      <c r="A1229" s="10" t="str">
        <f>IFERROR(__xludf.DUMMYFUNCTION("""COMPUTED_VALUE"""),"ロバンソン2")</f>
        <v>ロバンソン2</v>
      </c>
      <c r="B1229" s="10">
        <f>IFERROR(__xludf.DUMMYFUNCTION("""COMPUTED_VALUE"""),154.0)</f>
        <v>154</v>
      </c>
      <c r="C1229" s="10">
        <f>IFERROR(__xludf.DUMMYFUNCTION("""COMPUTED_VALUE"""),1852.0)</f>
        <v>1852</v>
      </c>
      <c r="D1229" s="5">
        <f>IFERROR(__xludf.DUMMYFUNCTION("""COMPUTED_VALUE"""),0.32332155477031804)</f>
        <v>0.3233215548</v>
      </c>
      <c r="E1229" s="5">
        <f>IFERROR(__xludf.DUMMYFUNCTION("""COMPUTED_VALUE"""),0.13839811542991756)</f>
        <v>0.1383981154</v>
      </c>
      <c r="F1229" s="5">
        <f>IFERROR(__xludf.DUMMYFUNCTION("""COMPUTED_VALUE"""),0.20082449941107186)</f>
        <v>0.2008244994</v>
      </c>
      <c r="G1229" s="5">
        <f>IFERROR(__xludf.DUMMYFUNCTION("""COMPUTED_VALUE"""),0.18433451118963487)</f>
        <v>0.1843345112</v>
      </c>
      <c r="H1229" s="5">
        <f>IFERROR(__xludf.DUMMYFUNCTION("""COMPUTED_VALUE"""),0.5718475073313783)</f>
        <v>0.5718475073</v>
      </c>
      <c r="I1229" s="11">
        <f>IFERROR(__xludf.DUMMYFUNCTION("""COMPUTED_VALUE"""),5370.967741935484)</f>
        <v>5370.967742</v>
      </c>
      <c r="J1229" s="10">
        <f>IFERROR(__xludf.DUMMYFUNCTION("""COMPUTED_VALUE"""),0.0)</f>
        <v>0</v>
      </c>
      <c r="K1229" s="5">
        <f>IFERROR(__xludf.DUMMYFUNCTION("""COMPUTED_VALUE"""),0.0)</f>
        <v>0</v>
      </c>
      <c r="L1229" s="10">
        <f>IFERROR(__xludf.DUMMYFUNCTION("""COMPUTED_VALUE"""),154.0)</f>
        <v>154</v>
      </c>
      <c r="M1229" s="5">
        <f>IFERROR(__xludf.DUMMYFUNCTION("""COMPUTED_VALUE"""),1.0)</f>
        <v>1</v>
      </c>
    </row>
    <row r="1230">
      <c r="A1230" s="10" t="str">
        <f>IFERROR(__xludf.DUMMYFUNCTION("""COMPUTED_VALUE"""),"雪№凉")</f>
        <v>雪№凉</v>
      </c>
      <c r="B1230" s="10">
        <f>IFERROR(__xludf.DUMMYFUNCTION("""COMPUTED_VALUE"""),367.0)</f>
        <v>367</v>
      </c>
      <c r="C1230" s="10">
        <f>IFERROR(__xludf.DUMMYFUNCTION("""COMPUTED_VALUE"""),4291.0)</f>
        <v>4291</v>
      </c>
      <c r="D1230" s="5">
        <f>IFERROR(__xludf.DUMMYFUNCTION("""COMPUTED_VALUE"""),0.3934760448521916)</f>
        <v>0.3934760449</v>
      </c>
      <c r="E1230" s="5">
        <f>IFERROR(__xludf.DUMMYFUNCTION("""COMPUTED_VALUE"""),0.13837920489296637)</f>
        <v>0.1383792049</v>
      </c>
      <c r="F1230" s="5">
        <f>IFERROR(__xludf.DUMMYFUNCTION("""COMPUTED_VALUE"""),0.218144750254842)</f>
        <v>0.2181447503</v>
      </c>
      <c r="G1230" s="5">
        <f>IFERROR(__xludf.DUMMYFUNCTION("""COMPUTED_VALUE"""),0.18781855249745158)</f>
        <v>0.1878185525</v>
      </c>
      <c r="H1230" s="5">
        <f>IFERROR(__xludf.DUMMYFUNCTION("""COMPUTED_VALUE"""),0.6074766355140186)</f>
        <v>0.6074766355</v>
      </c>
      <c r="I1230" s="11">
        <f>IFERROR(__xludf.DUMMYFUNCTION("""COMPUTED_VALUE"""),5808.644859813084)</f>
        <v>5808.64486</v>
      </c>
      <c r="J1230" s="10">
        <f>IFERROR(__xludf.DUMMYFUNCTION("""COMPUTED_VALUE"""),1.0)</f>
        <v>1</v>
      </c>
      <c r="K1230" s="5">
        <f>IFERROR(__xludf.DUMMYFUNCTION("""COMPUTED_VALUE"""),0.0027247956403269754)</f>
        <v>0.00272479564</v>
      </c>
      <c r="L1230" s="10">
        <f>IFERROR(__xludf.DUMMYFUNCTION("""COMPUTED_VALUE"""),367.0)</f>
        <v>367</v>
      </c>
      <c r="M1230" s="5">
        <f>IFERROR(__xludf.DUMMYFUNCTION("""COMPUTED_VALUE"""),1.0)</f>
        <v>1</v>
      </c>
    </row>
    <row r="1231">
      <c r="A1231" s="10" t="str">
        <f>IFERROR(__xludf.DUMMYFUNCTION("""COMPUTED_VALUE"""),"☆玉樹桜☆")</f>
        <v>☆玉樹桜☆</v>
      </c>
      <c r="B1231" s="10">
        <f>IFERROR(__xludf.DUMMYFUNCTION("""COMPUTED_VALUE"""),272.0)</f>
        <v>272</v>
      </c>
      <c r="C1231" s="10">
        <f>IFERROR(__xludf.DUMMYFUNCTION("""COMPUTED_VALUE"""),3141.0)</f>
        <v>3141</v>
      </c>
      <c r="D1231" s="5">
        <f>IFERROR(__xludf.DUMMYFUNCTION("""COMPUTED_VALUE"""),0.3014987800627396)</f>
        <v>0.3014987801</v>
      </c>
      <c r="E1231" s="5">
        <f>IFERROR(__xludf.DUMMYFUNCTION("""COMPUTED_VALUE"""),0.1383757406761938)</f>
        <v>0.1383757407</v>
      </c>
      <c r="F1231" s="5">
        <f>IFERROR(__xludf.DUMMYFUNCTION("""COMPUTED_VALUE"""),0.20599512025095854)</f>
        <v>0.2059951203</v>
      </c>
      <c r="G1231" s="5">
        <f>IFERROR(__xludf.DUMMYFUNCTION("""COMPUTED_VALUE"""),0.1896131056117114)</f>
        <v>0.1896131056</v>
      </c>
      <c r="H1231" s="5">
        <f>IFERROR(__xludf.DUMMYFUNCTION("""COMPUTED_VALUE"""),0.5905245346869712)</f>
        <v>0.5905245347</v>
      </c>
      <c r="I1231" s="11">
        <f>IFERROR(__xludf.DUMMYFUNCTION("""COMPUTED_VALUE"""),5934.517766497462)</f>
        <v>5934.517766</v>
      </c>
      <c r="J1231" s="10">
        <f>IFERROR(__xludf.DUMMYFUNCTION("""COMPUTED_VALUE"""),1.0)</f>
        <v>1</v>
      </c>
      <c r="K1231" s="5">
        <f>IFERROR(__xludf.DUMMYFUNCTION("""COMPUTED_VALUE"""),0.003676470588235294)</f>
        <v>0.003676470588</v>
      </c>
      <c r="L1231" s="10">
        <f>IFERROR(__xludf.DUMMYFUNCTION("""COMPUTED_VALUE"""),26.0)</f>
        <v>26</v>
      </c>
      <c r="M1231" s="5">
        <f>IFERROR(__xludf.DUMMYFUNCTION("""COMPUTED_VALUE"""),0.09558823529411764)</f>
        <v>0.09558823529</v>
      </c>
    </row>
    <row r="1232">
      <c r="A1232" s="10" t="str">
        <f>IFERROR(__xludf.DUMMYFUNCTION("""COMPUTED_VALUE"""),"SHINSHIN")</f>
        <v>SHINSHIN</v>
      </c>
      <c r="B1232" s="10">
        <f>IFERROR(__xludf.DUMMYFUNCTION("""COMPUTED_VALUE"""),317.0)</f>
        <v>317</v>
      </c>
      <c r="C1232" s="10">
        <f>IFERROR(__xludf.DUMMYFUNCTION("""COMPUTED_VALUE"""),3757.0)</f>
        <v>3757</v>
      </c>
      <c r="D1232" s="5">
        <f>IFERROR(__xludf.DUMMYFUNCTION("""COMPUTED_VALUE"""),0.3802325581395349)</f>
        <v>0.3802325581</v>
      </c>
      <c r="E1232" s="5">
        <f>IFERROR(__xludf.DUMMYFUNCTION("""COMPUTED_VALUE"""),0.13837209302325582)</f>
        <v>0.138372093</v>
      </c>
      <c r="F1232" s="5">
        <f>IFERROR(__xludf.DUMMYFUNCTION("""COMPUTED_VALUE"""),0.21046511627906977)</f>
        <v>0.2104651163</v>
      </c>
      <c r="G1232" s="5">
        <f>IFERROR(__xludf.DUMMYFUNCTION("""COMPUTED_VALUE"""),0.17267441860465116)</f>
        <v>0.1726744186</v>
      </c>
      <c r="H1232" s="5">
        <f>IFERROR(__xludf.DUMMYFUNCTION("""COMPUTED_VALUE"""),0.5814917127071824)</f>
        <v>0.5814917127</v>
      </c>
      <c r="I1232" s="11">
        <f>IFERROR(__xludf.DUMMYFUNCTION("""COMPUTED_VALUE"""),5590.745856353591)</f>
        <v>5590.745856</v>
      </c>
      <c r="J1232" s="10">
        <f>IFERROR(__xludf.DUMMYFUNCTION("""COMPUTED_VALUE"""),1.0)</f>
        <v>1</v>
      </c>
      <c r="K1232" s="5">
        <f>IFERROR(__xludf.DUMMYFUNCTION("""COMPUTED_VALUE"""),0.0031545741324921135)</f>
        <v>0.003154574132</v>
      </c>
      <c r="L1232" s="10">
        <f>IFERROR(__xludf.DUMMYFUNCTION("""COMPUTED_VALUE"""),317.0)</f>
        <v>317</v>
      </c>
      <c r="M1232" s="5">
        <f>IFERROR(__xludf.DUMMYFUNCTION("""COMPUTED_VALUE"""),1.0)</f>
        <v>1</v>
      </c>
    </row>
    <row r="1233">
      <c r="A1233" s="10" t="str">
        <f>IFERROR(__xludf.DUMMYFUNCTION("""COMPUTED_VALUE"""),"＠すず")</f>
        <v>＠すず</v>
      </c>
      <c r="B1233" s="10">
        <f>IFERROR(__xludf.DUMMYFUNCTION("""COMPUTED_VALUE"""),268.0)</f>
        <v>268</v>
      </c>
      <c r="C1233" s="10">
        <f>IFERROR(__xludf.DUMMYFUNCTION("""COMPUTED_VALUE"""),3188.0)</f>
        <v>3188</v>
      </c>
      <c r="D1233" s="5">
        <f>IFERROR(__xludf.DUMMYFUNCTION("""COMPUTED_VALUE"""),0.3804794520547945)</f>
        <v>0.3804794521</v>
      </c>
      <c r="E1233" s="5">
        <f>IFERROR(__xludf.DUMMYFUNCTION("""COMPUTED_VALUE"""),0.13835616438356163)</f>
        <v>0.1383561644</v>
      </c>
      <c r="F1233" s="5">
        <f>IFERROR(__xludf.DUMMYFUNCTION("""COMPUTED_VALUE"""),0.21438356164383562)</f>
        <v>0.2143835616</v>
      </c>
      <c r="G1233" s="5">
        <f>IFERROR(__xludf.DUMMYFUNCTION("""COMPUTED_VALUE"""),0.17089041095890412)</f>
        <v>0.170890411</v>
      </c>
      <c r="H1233" s="5">
        <f>IFERROR(__xludf.DUMMYFUNCTION("""COMPUTED_VALUE"""),0.549520766773163)</f>
        <v>0.5495207668</v>
      </c>
      <c r="I1233" s="11">
        <f>IFERROR(__xludf.DUMMYFUNCTION("""COMPUTED_VALUE"""),5871.725239616613)</f>
        <v>5871.72524</v>
      </c>
      <c r="J1233" s="10">
        <f>IFERROR(__xludf.DUMMYFUNCTION("""COMPUTED_VALUE"""),0.0)</f>
        <v>0</v>
      </c>
      <c r="K1233" s="5">
        <f>IFERROR(__xludf.DUMMYFUNCTION("""COMPUTED_VALUE"""),0.0)</f>
        <v>0</v>
      </c>
      <c r="L1233" s="10">
        <f>IFERROR(__xludf.DUMMYFUNCTION("""COMPUTED_VALUE"""),268.0)</f>
        <v>268</v>
      </c>
      <c r="M1233" s="5">
        <f>IFERROR(__xludf.DUMMYFUNCTION("""COMPUTED_VALUE"""),1.0)</f>
        <v>1</v>
      </c>
    </row>
    <row r="1234">
      <c r="A1234" s="10" t="str">
        <f>IFERROR(__xludf.DUMMYFUNCTION("""COMPUTED_VALUE"""),"ほでさがぽん")</f>
        <v>ほでさがぽん</v>
      </c>
      <c r="B1234" s="10">
        <f>IFERROR(__xludf.DUMMYFUNCTION("""COMPUTED_VALUE"""),392.0)</f>
        <v>392</v>
      </c>
      <c r="C1234" s="10">
        <f>IFERROR(__xludf.DUMMYFUNCTION("""COMPUTED_VALUE"""),4657.0)</f>
        <v>4657</v>
      </c>
      <c r="D1234" s="5">
        <f>IFERROR(__xludf.DUMMYFUNCTION("""COMPUTED_VALUE"""),0.3378663540445487)</f>
        <v>0.337866354</v>
      </c>
      <c r="E1234" s="5">
        <f>IFERROR(__xludf.DUMMYFUNCTION("""COMPUTED_VALUE"""),0.13833528722157093)</f>
        <v>0.1383352872</v>
      </c>
      <c r="F1234" s="5">
        <f>IFERROR(__xludf.DUMMYFUNCTION("""COMPUTED_VALUE"""),0.2164126611957796)</f>
        <v>0.2164126612</v>
      </c>
      <c r="G1234" s="5">
        <f>IFERROR(__xludf.DUMMYFUNCTION("""COMPUTED_VALUE"""),0.19460726846424384)</f>
        <v>0.1946072685</v>
      </c>
      <c r="H1234" s="5">
        <f>IFERROR(__xludf.DUMMYFUNCTION("""COMPUTED_VALUE"""),0.6045503791982665)</f>
        <v>0.6045503792</v>
      </c>
      <c r="I1234" s="11">
        <f>IFERROR(__xludf.DUMMYFUNCTION("""COMPUTED_VALUE"""),5456.1213434452875)</f>
        <v>5456.121343</v>
      </c>
      <c r="J1234" s="10">
        <f>IFERROR(__xludf.DUMMYFUNCTION("""COMPUTED_VALUE"""),0.0)</f>
        <v>0</v>
      </c>
      <c r="K1234" s="5">
        <f>IFERROR(__xludf.DUMMYFUNCTION("""COMPUTED_VALUE"""),0.0)</f>
        <v>0</v>
      </c>
      <c r="L1234" s="10">
        <f>IFERROR(__xludf.DUMMYFUNCTION("""COMPUTED_VALUE"""),392.0)</f>
        <v>392</v>
      </c>
      <c r="M1234" s="5">
        <f>IFERROR(__xludf.DUMMYFUNCTION("""COMPUTED_VALUE"""),1.0)</f>
        <v>1</v>
      </c>
    </row>
    <row r="1235">
      <c r="A1235" s="10" t="str">
        <f>IFERROR(__xludf.DUMMYFUNCTION("""COMPUTED_VALUE"""),"タリーゲス")</f>
        <v>タリーゲス</v>
      </c>
      <c r="B1235" s="10">
        <f>IFERROR(__xludf.DUMMYFUNCTION("""COMPUTED_VALUE"""),184.0)</f>
        <v>184</v>
      </c>
      <c r="C1235" s="10">
        <f>IFERROR(__xludf.DUMMYFUNCTION("""COMPUTED_VALUE"""),2129.0)</f>
        <v>2129</v>
      </c>
      <c r="D1235" s="5">
        <f>IFERROR(__xludf.DUMMYFUNCTION("""COMPUTED_VALUE"""),0.36966580976863755)</f>
        <v>0.3696658098</v>
      </c>
      <c r="E1235" s="5">
        <f>IFERROR(__xludf.DUMMYFUNCTION("""COMPUTED_VALUE"""),0.13830334190231364)</f>
        <v>0.1383033419</v>
      </c>
      <c r="F1235" s="5">
        <f>IFERROR(__xludf.DUMMYFUNCTION("""COMPUTED_VALUE"""),0.20616966580976864)</f>
        <v>0.2061696658</v>
      </c>
      <c r="G1235" s="5">
        <f>IFERROR(__xludf.DUMMYFUNCTION("""COMPUTED_VALUE"""),0.1922879177377892)</f>
        <v>0.1922879177</v>
      </c>
      <c r="H1235" s="5">
        <f>IFERROR(__xludf.DUMMYFUNCTION("""COMPUTED_VALUE"""),0.5985037406483791)</f>
        <v>0.5985037406</v>
      </c>
      <c r="I1235" s="11">
        <f>IFERROR(__xludf.DUMMYFUNCTION("""COMPUTED_VALUE"""),5665.087281795511)</f>
        <v>5665.087282</v>
      </c>
      <c r="J1235" s="10">
        <f>IFERROR(__xludf.DUMMYFUNCTION("""COMPUTED_VALUE"""),0.0)</f>
        <v>0</v>
      </c>
      <c r="K1235" s="5">
        <f>IFERROR(__xludf.DUMMYFUNCTION("""COMPUTED_VALUE"""),0.0)</f>
        <v>0</v>
      </c>
      <c r="L1235" s="10">
        <f>IFERROR(__xludf.DUMMYFUNCTION("""COMPUTED_VALUE"""),184.0)</f>
        <v>184</v>
      </c>
      <c r="M1235" s="5">
        <f>IFERROR(__xludf.DUMMYFUNCTION("""COMPUTED_VALUE"""),1.0)</f>
        <v>1</v>
      </c>
    </row>
    <row r="1236">
      <c r="A1236" s="10" t="str">
        <f>IFERROR(__xludf.DUMMYFUNCTION("""COMPUTED_VALUE"""),"シーシャ")</f>
        <v>シーシャ</v>
      </c>
      <c r="B1236" s="10">
        <f>IFERROR(__xludf.DUMMYFUNCTION("""COMPUTED_VALUE"""),214.0)</f>
        <v>214</v>
      </c>
      <c r="C1236" s="10">
        <f>IFERROR(__xludf.DUMMYFUNCTION("""COMPUTED_VALUE"""),2470.0)</f>
        <v>2470</v>
      </c>
      <c r="D1236" s="5">
        <f>IFERROR(__xludf.DUMMYFUNCTION("""COMPUTED_VALUE"""),0.3497340425531915)</f>
        <v>0.3497340426</v>
      </c>
      <c r="E1236" s="5">
        <f>IFERROR(__xludf.DUMMYFUNCTION("""COMPUTED_VALUE"""),0.13829787234042554)</f>
        <v>0.1382978723</v>
      </c>
      <c r="F1236" s="5">
        <f>IFERROR(__xludf.DUMMYFUNCTION("""COMPUTED_VALUE"""),0.20390070921985815)</f>
        <v>0.2039007092</v>
      </c>
      <c r="G1236" s="5">
        <f>IFERROR(__xludf.DUMMYFUNCTION("""COMPUTED_VALUE"""),0.17154255319148937)</f>
        <v>0.1715425532</v>
      </c>
      <c r="H1236" s="5">
        <f>IFERROR(__xludf.DUMMYFUNCTION("""COMPUTED_VALUE"""),0.5978260869565217)</f>
        <v>0.597826087</v>
      </c>
      <c r="I1236" s="11">
        <f>IFERROR(__xludf.DUMMYFUNCTION("""COMPUTED_VALUE"""),6201.304347826087)</f>
        <v>6201.304348</v>
      </c>
      <c r="J1236" s="10">
        <f>IFERROR(__xludf.DUMMYFUNCTION("""COMPUTED_VALUE"""),0.0)</f>
        <v>0</v>
      </c>
      <c r="K1236" s="5">
        <f>IFERROR(__xludf.DUMMYFUNCTION("""COMPUTED_VALUE"""),0.0)</f>
        <v>0</v>
      </c>
      <c r="L1236" s="10">
        <f>IFERROR(__xludf.DUMMYFUNCTION("""COMPUTED_VALUE"""),59.0)</f>
        <v>59</v>
      </c>
      <c r="M1236" s="5">
        <f>IFERROR(__xludf.DUMMYFUNCTION("""COMPUTED_VALUE"""),0.2757009345794392)</f>
        <v>0.2757009346</v>
      </c>
    </row>
    <row r="1237">
      <c r="A1237" s="10" t="str">
        <f>IFERROR(__xludf.DUMMYFUNCTION("""COMPUTED_VALUE"""),"白単騎")</f>
        <v>白単騎</v>
      </c>
      <c r="B1237" s="10">
        <f>IFERROR(__xludf.DUMMYFUNCTION("""COMPUTED_VALUE"""),261.0)</f>
        <v>261</v>
      </c>
      <c r="C1237" s="10">
        <f>IFERROR(__xludf.DUMMYFUNCTION("""COMPUTED_VALUE"""),3110.0)</f>
        <v>3110</v>
      </c>
      <c r="D1237" s="5">
        <f>IFERROR(__xludf.DUMMYFUNCTION("""COMPUTED_VALUE"""),0.3225693225693226)</f>
        <v>0.3225693226</v>
      </c>
      <c r="E1237" s="5">
        <f>IFERROR(__xludf.DUMMYFUNCTION("""COMPUTED_VALUE"""),0.1382941382941383)</f>
        <v>0.1382941383</v>
      </c>
      <c r="F1237" s="5">
        <f>IFERROR(__xludf.DUMMYFUNCTION("""COMPUTED_VALUE"""),0.20358020358020357)</f>
        <v>0.2035802036</v>
      </c>
      <c r="G1237" s="5">
        <f>IFERROR(__xludf.DUMMYFUNCTION("""COMPUTED_VALUE"""),0.16812916812916812)</f>
        <v>0.1681291681</v>
      </c>
      <c r="H1237" s="5">
        <f>IFERROR(__xludf.DUMMYFUNCTION("""COMPUTED_VALUE"""),0.6155172413793103)</f>
        <v>0.6155172414</v>
      </c>
      <c r="I1237" s="11">
        <f>IFERROR(__xludf.DUMMYFUNCTION("""COMPUTED_VALUE"""),5316.206896551724)</f>
        <v>5316.206897</v>
      </c>
      <c r="J1237" s="10">
        <f>IFERROR(__xludf.DUMMYFUNCTION("""COMPUTED_VALUE"""),0.0)</f>
        <v>0</v>
      </c>
      <c r="K1237" s="5">
        <f>IFERROR(__xludf.DUMMYFUNCTION("""COMPUTED_VALUE"""),0.0)</f>
        <v>0</v>
      </c>
      <c r="L1237" s="10">
        <f>IFERROR(__xludf.DUMMYFUNCTION("""COMPUTED_VALUE"""),261.0)</f>
        <v>261</v>
      </c>
      <c r="M1237" s="5">
        <f>IFERROR(__xludf.DUMMYFUNCTION("""COMPUTED_VALUE"""),1.0)</f>
        <v>1</v>
      </c>
    </row>
    <row r="1238">
      <c r="A1238" s="10" t="str">
        <f>IFERROR(__xludf.DUMMYFUNCTION("""COMPUTED_VALUE"""),"橋本勇＠全日本麻")</f>
        <v>橋本勇＠全日本麻</v>
      </c>
      <c r="B1238" s="10">
        <f>IFERROR(__xludf.DUMMYFUNCTION("""COMPUTED_VALUE"""),145.0)</f>
        <v>145</v>
      </c>
      <c r="C1238" s="10">
        <f>IFERROR(__xludf.DUMMYFUNCTION("""COMPUTED_VALUE"""),1642.0)</f>
        <v>1642</v>
      </c>
      <c r="D1238" s="5">
        <f>IFERROR(__xludf.DUMMYFUNCTION("""COMPUTED_VALUE"""),0.34802939211756845)</f>
        <v>0.3480293921</v>
      </c>
      <c r="E1238" s="5">
        <f>IFERROR(__xludf.DUMMYFUNCTION("""COMPUTED_VALUE"""),0.13827655310621242)</f>
        <v>0.1382765531</v>
      </c>
      <c r="F1238" s="5">
        <f>IFERROR(__xludf.DUMMYFUNCTION("""COMPUTED_VALUE"""),0.21710086840347362)</f>
        <v>0.2171008684</v>
      </c>
      <c r="G1238" s="5">
        <f>IFERROR(__xludf.DUMMYFUNCTION("""COMPUTED_VALUE"""),0.20507682030728122)</f>
        <v>0.2050768203</v>
      </c>
      <c r="H1238" s="5">
        <f>IFERROR(__xludf.DUMMYFUNCTION("""COMPUTED_VALUE"""),0.6707692307692308)</f>
        <v>0.6707692308</v>
      </c>
      <c r="I1238" s="11">
        <f>IFERROR(__xludf.DUMMYFUNCTION("""COMPUTED_VALUE"""),5630.7692307692305)</f>
        <v>5630.769231</v>
      </c>
      <c r="J1238" s="10">
        <f>IFERROR(__xludf.DUMMYFUNCTION("""COMPUTED_VALUE"""),0.0)</f>
        <v>0</v>
      </c>
      <c r="K1238" s="5">
        <f>IFERROR(__xludf.DUMMYFUNCTION("""COMPUTED_VALUE"""),0.0)</f>
        <v>0</v>
      </c>
      <c r="L1238" s="10">
        <f>IFERROR(__xludf.DUMMYFUNCTION("""COMPUTED_VALUE"""),145.0)</f>
        <v>145</v>
      </c>
      <c r="M1238" s="5">
        <f>IFERROR(__xludf.DUMMYFUNCTION("""COMPUTED_VALUE"""),1.0)</f>
        <v>1</v>
      </c>
    </row>
    <row r="1239">
      <c r="A1239" s="10" t="str">
        <f>IFERROR(__xludf.DUMMYFUNCTION("""COMPUTED_VALUE"""),"n-mizu")</f>
        <v>n-mizu</v>
      </c>
      <c r="B1239" s="10">
        <f>IFERROR(__xludf.DUMMYFUNCTION("""COMPUTED_VALUE"""),1283.0)</f>
        <v>1283</v>
      </c>
      <c r="C1239" s="10">
        <f>IFERROR(__xludf.DUMMYFUNCTION("""COMPUTED_VALUE"""),14765.0)</f>
        <v>14765</v>
      </c>
      <c r="D1239" s="5">
        <f>IFERROR(__xludf.DUMMYFUNCTION("""COMPUTED_VALUE"""),0.31122978786530187)</f>
        <v>0.3112297879</v>
      </c>
      <c r="E1239" s="5">
        <f>IFERROR(__xludf.DUMMYFUNCTION("""COMPUTED_VALUE"""),0.1382584186322504)</f>
        <v>0.1382584186</v>
      </c>
      <c r="F1239" s="5">
        <f>IFERROR(__xludf.DUMMYFUNCTION("""COMPUTED_VALUE"""),0.21465657914256045)</f>
        <v>0.2146565791</v>
      </c>
      <c r="G1239" s="5">
        <f>IFERROR(__xludf.DUMMYFUNCTION("""COMPUTED_VALUE"""),0.18261385551105178)</f>
        <v>0.1826138555</v>
      </c>
      <c r="H1239" s="5">
        <f>IFERROR(__xludf.DUMMYFUNCTION("""COMPUTED_VALUE"""),0.5860400829302004)</f>
        <v>0.5860400829</v>
      </c>
      <c r="I1239" s="11">
        <f>IFERROR(__xludf.DUMMYFUNCTION("""COMPUTED_VALUE"""),5971.7000691085)</f>
        <v>5971.700069</v>
      </c>
      <c r="J1239" s="10">
        <f>IFERROR(__xludf.DUMMYFUNCTION("""COMPUTED_VALUE"""),6.0)</f>
        <v>6</v>
      </c>
      <c r="K1239" s="5">
        <f>IFERROR(__xludf.DUMMYFUNCTION("""COMPUTED_VALUE"""),0.004676539360872954)</f>
        <v>0.004676539361</v>
      </c>
      <c r="L1239" s="10">
        <f>IFERROR(__xludf.DUMMYFUNCTION("""COMPUTED_VALUE"""),1283.0)</f>
        <v>1283</v>
      </c>
      <c r="M1239" s="5">
        <f>IFERROR(__xludf.DUMMYFUNCTION("""COMPUTED_VALUE"""),1.0)</f>
        <v>1</v>
      </c>
    </row>
    <row r="1240">
      <c r="A1240" s="10" t="str">
        <f>IFERROR(__xludf.DUMMYFUNCTION("""COMPUTED_VALUE"""),"tatakuya")</f>
        <v>tatakuya</v>
      </c>
      <c r="B1240" s="10">
        <f>IFERROR(__xludf.DUMMYFUNCTION("""COMPUTED_VALUE"""),1954.0)</f>
        <v>1954</v>
      </c>
      <c r="C1240" s="10">
        <f>IFERROR(__xludf.DUMMYFUNCTION("""COMPUTED_VALUE"""),22785.0)</f>
        <v>22785</v>
      </c>
      <c r="D1240" s="5">
        <f>IFERROR(__xludf.DUMMYFUNCTION("""COMPUTED_VALUE"""),0.3054582113196678)</f>
        <v>0.3054582113</v>
      </c>
      <c r="E1240" s="5">
        <f>IFERROR(__xludf.DUMMYFUNCTION("""COMPUTED_VALUE"""),0.1382554846142768)</f>
        <v>0.1382554846</v>
      </c>
      <c r="F1240" s="5">
        <f>IFERROR(__xludf.DUMMYFUNCTION("""COMPUTED_VALUE"""),0.21045557102395468)</f>
        <v>0.210455571</v>
      </c>
      <c r="G1240" s="5">
        <f>IFERROR(__xludf.DUMMYFUNCTION("""COMPUTED_VALUE"""),0.20503096346790842)</f>
        <v>0.2050309635</v>
      </c>
      <c r="H1240" s="5">
        <f>IFERROR(__xludf.DUMMYFUNCTION("""COMPUTED_VALUE"""),0.572992700729927)</f>
        <v>0.5729927007</v>
      </c>
      <c r="I1240" s="11">
        <f>IFERROR(__xludf.DUMMYFUNCTION("""COMPUTED_VALUE"""),6043.681569343065)</f>
        <v>6043.681569</v>
      </c>
      <c r="J1240" s="10">
        <f>IFERROR(__xludf.DUMMYFUNCTION("""COMPUTED_VALUE"""),3.0)</f>
        <v>3</v>
      </c>
      <c r="K1240" s="5">
        <f>IFERROR(__xludf.DUMMYFUNCTION("""COMPUTED_VALUE"""),0.0015353121801432957)</f>
        <v>0.00153531218</v>
      </c>
      <c r="L1240" s="10">
        <f>IFERROR(__xludf.DUMMYFUNCTION("""COMPUTED_VALUE"""),1954.0)</f>
        <v>1954</v>
      </c>
      <c r="M1240" s="5">
        <f>IFERROR(__xludf.DUMMYFUNCTION("""COMPUTED_VALUE"""),1.0)</f>
        <v>1</v>
      </c>
    </row>
    <row r="1241">
      <c r="A1241" s="10" t="str">
        <f>IFERROR(__xludf.DUMMYFUNCTION("""COMPUTED_VALUE"""),"茨の精霊")</f>
        <v>茨の精霊</v>
      </c>
      <c r="B1241" s="10">
        <f>IFERROR(__xludf.DUMMYFUNCTION("""COMPUTED_VALUE"""),154.0)</f>
        <v>154</v>
      </c>
      <c r="C1241" s="10">
        <f>IFERROR(__xludf.DUMMYFUNCTION("""COMPUTED_VALUE"""),1825.0)</f>
        <v>1825</v>
      </c>
      <c r="D1241" s="5">
        <f>IFERROR(__xludf.DUMMYFUNCTION("""COMPUTED_VALUE"""),0.38300418910831835)</f>
        <v>0.3830041891</v>
      </c>
      <c r="E1241" s="5">
        <f>IFERROR(__xludf.DUMMYFUNCTION("""COMPUTED_VALUE"""),0.13824057450628366)</f>
        <v>0.1382405745</v>
      </c>
      <c r="F1241" s="5">
        <f>IFERROR(__xludf.DUMMYFUNCTION("""COMPUTED_VALUE"""),0.20646319569120286)</f>
        <v>0.2064631957</v>
      </c>
      <c r="G1241" s="5">
        <f>IFERROR(__xludf.DUMMYFUNCTION("""COMPUTED_VALUE"""),0.172950329144225)</f>
        <v>0.1729503291</v>
      </c>
      <c r="H1241" s="5">
        <f>IFERROR(__xludf.DUMMYFUNCTION("""COMPUTED_VALUE"""),0.6057971014492753)</f>
        <v>0.6057971014</v>
      </c>
      <c r="I1241" s="11">
        <f>IFERROR(__xludf.DUMMYFUNCTION("""COMPUTED_VALUE"""),5500.289855072464)</f>
        <v>5500.289855</v>
      </c>
      <c r="J1241" s="10">
        <f>IFERROR(__xludf.DUMMYFUNCTION("""COMPUTED_VALUE"""),1.0)</f>
        <v>1</v>
      </c>
      <c r="K1241" s="5">
        <f>IFERROR(__xludf.DUMMYFUNCTION("""COMPUTED_VALUE"""),0.006493506493506494)</f>
        <v>0.006493506494</v>
      </c>
      <c r="L1241" s="10">
        <f>IFERROR(__xludf.DUMMYFUNCTION("""COMPUTED_VALUE"""),103.0)</f>
        <v>103</v>
      </c>
      <c r="M1241" s="5">
        <f>IFERROR(__xludf.DUMMYFUNCTION("""COMPUTED_VALUE"""),0.6688311688311688)</f>
        <v>0.6688311688</v>
      </c>
    </row>
    <row r="1242">
      <c r="A1242" s="10" t="str">
        <f>IFERROR(__xludf.DUMMYFUNCTION("""COMPUTED_VALUE"""),"pop☆corn")</f>
        <v>pop☆corn</v>
      </c>
      <c r="B1242" s="10">
        <f>IFERROR(__xludf.DUMMYFUNCTION("""COMPUTED_VALUE"""),880.0)</f>
        <v>880</v>
      </c>
      <c r="C1242" s="10">
        <f>IFERROR(__xludf.DUMMYFUNCTION("""COMPUTED_VALUE"""),10255.0)</f>
        <v>10255</v>
      </c>
      <c r="D1242" s="5">
        <f>IFERROR(__xludf.DUMMYFUNCTION("""COMPUTED_VALUE"""),0.4420266666666667)</f>
        <v>0.4420266667</v>
      </c>
      <c r="E1242" s="5">
        <f>IFERROR(__xludf.DUMMYFUNCTION("""COMPUTED_VALUE"""),0.13824)</f>
        <v>0.13824</v>
      </c>
      <c r="F1242" s="5">
        <f>IFERROR(__xludf.DUMMYFUNCTION("""COMPUTED_VALUE"""),0.21461333333333332)</f>
        <v>0.2146133333</v>
      </c>
      <c r="G1242" s="5">
        <f>IFERROR(__xludf.DUMMYFUNCTION("""COMPUTED_VALUE"""),0.14549333333333334)</f>
        <v>0.1454933333</v>
      </c>
      <c r="H1242" s="5">
        <f>IFERROR(__xludf.DUMMYFUNCTION("""COMPUTED_VALUE"""),0.6083499005964215)</f>
        <v>0.6083499006</v>
      </c>
      <c r="I1242" s="11">
        <f>IFERROR(__xludf.DUMMYFUNCTION("""COMPUTED_VALUE"""),5501.143141153081)</f>
        <v>5501.143141</v>
      </c>
      <c r="J1242" s="10">
        <f>IFERROR(__xludf.DUMMYFUNCTION("""COMPUTED_VALUE"""),2.0)</f>
        <v>2</v>
      </c>
      <c r="K1242" s="5">
        <f>IFERROR(__xludf.DUMMYFUNCTION("""COMPUTED_VALUE"""),0.0022727272727272726)</f>
        <v>0.002272727273</v>
      </c>
      <c r="L1242" s="10">
        <f>IFERROR(__xludf.DUMMYFUNCTION("""COMPUTED_VALUE"""),880.0)</f>
        <v>880</v>
      </c>
      <c r="M1242" s="5">
        <f>IFERROR(__xludf.DUMMYFUNCTION("""COMPUTED_VALUE"""),1.0)</f>
        <v>1</v>
      </c>
    </row>
    <row r="1243">
      <c r="A1243" s="10" t="str">
        <f>IFERROR(__xludf.DUMMYFUNCTION("""COMPUTED_VALUE"""),"トップガーデン")</f>
        <v>トップガーデン</v>
      </c>
      <c r="B1243" s="10">
        <f>IFERROR(__xludf.DUMMYFUNCTION("""COMPUTED_VALUE"""),148.0)</f>
        <v>148</v>
      </c>
      <c r="C1243" s="10">
        <f>IFERROR(__xludf.DUMMYFUNCTION("""COMPUTED_VALUE"""),1783.0)</f>
        <v>1783</v>
      </c>
      <c r="D1243" s="5">
        <f>IFERROR(__xludf.DUMMYFUNCTION("""COMPUTED_VALUE"""),0.3217125382262997)</f>
        <v>0.3217125382</v>
      </c>
      <c r="E1243" s="5">
        <f>IFERROR(__xludf.DUMMYFUNCTION("""COMPUTED_VALUE"""),0.1382262996941896)</f>
        <v>0.1382262997</v>
      </c>
      <c r="F1243" s="5">
        <f>IFERROR(__xludf.DUMMYFUNCTION("""COMPUTED_VALUE"""),0.20672782874617737)</f>
        <v>0.2067278287</v>
      </c>
      <c r="G1243" s="5">
        <f>IFERROR(__xludf.DUMMYFUNCTION("""COMPUTED_VALUE"""),0.18226299694189602)</f>
        <v>0.1822629969</v>
      </c>
      <c r="H1243" s="5">
        <f>IFERROR(__xludf.DUMMYFUNCTION("""COMPUTED_VALUE"""),0.5887573964497042)</f>
        <v>0.5887573964</v>
      </c>
      <c r="I1243" s="11">
        <f>IFERROR(__xludf.DUMMYFUNCTION("""COMPUTED_VALUE"""),5724.556213017751)</f>
        <v>5724.556213</v>
      </c>
      <c r="J1243" s="10">
        <f>IFERROR(__xludf.DUMMYFUNCTION("""COMPUTED_VALUE"""),0.0)</f>
        <v>0</v>
      </c>
      <c r="K1243" s="5">
        <f>IFERROR(__xludf.DUMMYFUNCTION("""COMPUTED_VALUE"""),0.0)</f>
        <v>0</v>
      </c>
      <c r="L1243" s="10">
        <f>IFERROR(__xludf.DUMMYFUNCTION("""COMPUTED_VALUE"""),148.0)</f>
        <v>148</v>
      </c>
      <c r="M1243" s="5">
        <f>IFERROR(__xludf.DUMMYFUNCTION("""COMPUTED_VALUE"""),1.0)</f>
        <v>1</v>
      </c>
    </row>
    <row r="1244">
      <c r="A1244" s="10" t="str">
        <f>IFERROR(__xludf.DUMMYFUNCTION("""COMPUTED_VALUE"""),"天国よろしく")</f>
        <v>天国よろしく</v>
      </c>
      <c r="B1244" s="10">
        <f>IFERROR(__xludf.DUMMYFUNCTION("""COMPUTED_VALUE"""),218.0)</f>
        <v>218</v>
      </c>
      <c r="C1244" s="10">
        <f>IFERROR(__xludf.DUMMYFUNCTION("""COMPUTED_VALUE"""),2591.0)</f>
        <v>2591</v>
      </c>
      <c r="D1244" s="5">
        <f>IFERROR(__xludf.DUMMYFUNCTION("""COMPUTED_VALUE"""),0.3973872734934682)</f>
        <v>0.3973872735</v>
      </c>
      <c r="E1244" s="5">
        <f>IFERROR(__xludf.DUMMYFUNCTION("""COMPUTED_VALUE"""),0.13822166034555414)</f>
        <v>0.1382216603</v>
      </c>
      <c r="F1244" s="5">
        <f>IFERROR(__xludf.DUMMYFUNCTION("""COMPUTED_VALUE"""),0.21871049304677623)</f>
        <v>0.218710493</v>
      </c>
      <c r="G1244" s="5">
        <f>IFERROR(__xludf.DUMMYFUNCTION("""COMPUTED_VALUE"""),0.16055625790139064)</f>
        <v>0.1605562579</v>
      </c>
      <c r="H1244" s="5">
        <f>IFERROR(__xludf.DUMMYFUNCTION("""COMPUTED_VALUE"""),0.5876685934489403)</f>
        <v>0.5876685934</v>
      </c>
      <c r="I1244" s="11">
        <f>IFERROR(__xludf.DUMMYFUNCTION("""COMPUTED_VALUE"""),5116.9556840077075)</f>
        <v>5116.955684</v>
      </c>
      <c r="J1244" s="10">
        <f>IFERROR(__xludf.DUMMYFUNCTION("""COMPUTED_VALUE"""),0.0)</f>
        <v>0</v>
      </c>
      <c r="K1244" s="5">
        <f>IFERROR(__xludf.DUMMYFUNCTION("""COMPUTED_VALUE"""),0.0)</f>
        <v>0</v>
      </c>
      <c r="L1244" s="10">
        <f>IFERROR(__xludf.DUMMYFUNCTION("""COMPUTED_VALUE"""),218.0)</f>
        <v>218</v>
      </c>
      <c r="M1244" s="5">
        <f>IFERROR(__xludf.DUMMYFUNCTION("""COMPUTED_VALUE"""),1.0)</f>
        <v>1</v>
      </c>
    </row>
    <row r="1245">
      <c r="A1245" s="10" t="str">
        <f>IFERROR(__xludf.DUMMYFUNCTION("""COMPUTED_VALUE"""),"すまいるライフ")</f>
        <v>すまいるライフ</v>
      </c>
      <c r="B1245" s="10">
        <f>IFERROR(__xludf.DUMMYFUNCTION("""COMPUTED_VALUE"""),295.0)</f>
        <v>295</v>
      </c>
      <c r="C1245" s="10">
        <f>IFERROR(__xludf.DUMMYFUNCTION("""COMPUTED_VALUE"""),3428.0)</f>
        <v>3428</v>
      </c>
      <c r="D1245" s="5">
        <f>IFERROR(__xludf.DUMMYFUNCTION("""COMPUTED_VALUE"""),0.35333546121927867)</f>
        <v>0.3533354612</v>
      </c>
      <c r="E1245" s="5">
        <f>IFERROR(__xludf.DUMMYFUNCTION("""COMPUTED_VALUE"""),0.13820619214810087)</f>
        <v>0.1382061921</v>
      </c>
      <c r="F1245" s="5">
        <f>IFERROR(__xludf.DUMMYFUNCTION("""COMPUTED_VALUE"""),0.22151292690711777)</f>
        <v>0.2215129269</v>
      </c>
      <c r="G1245" s="5">
        <f>IFERROR(__xludf.DUMMYFUNCTION("""COMPUTED_VALUE"""),0.1902330035110118)</f>
        <v>0.1902330035</v>
      </c>
      <c r="H1245" s="5">
        <f>IFERROR(__xludf.DUMMYFUNCTION("""COMPUTED_VALUE"""),0.5547550432276657)</f>
        <v>0.5547550432</v>
      </c>
      <c r="I1245" s="11">
        <f>IFERROR(__xludf.DUMMYFUNCTION("""COMPUTED_VALUE"""),6033.28530259366)</f>
        <v>6033.285303</v>
      </c>
      <c r="J1245" s="10">
        <f>IFERROR(__xludf.DUMMYFUNCTION("""COMPUTED_VALUE"""),0.0)</f>
        <v>0</v>
      </c>
      <c r="K1245" s="5">
        <f>IFERROR(__xludf.DUMMYFUNCTION("""COMPUTED_VALUE"""),0.0)</f>
        <v>0</v>
      </c>
      <c r="L1245" s="10">
        <f>IFERROR(__xludf.DUMMYFUNCTION("""COMPUTED_VALUE"""),295.0)</f>
        <v>295</v>
      </c>
      <c r="M1245" s="5">
        <f>IFERROR(__xludf.DUMMYFUNCTION("""COMPUTED_VALUE"""),1.0)</f>
        <v>1</v>
      </c>
    </row>
    <row r="1246">
      <c r="A1246" s="10" t="str">
        <f>IFERROR(__xludf.DUMMYFUNCTION("""COMPUTED_VALUE"""),"宇喜多万里香")</f>
        <v>宇喜多万里香</v>
      </c>
      <c r="B1246" s="10">
        <f>IFERROR(__xludf.DUMMYFUNCTION("""COMPUTED_VALUE"""),214.0)</f>
        <v>214</v>
      </c>
      <c r="C1246" s="10">
        <f>IFERROR(__xludf.DUMMYFUNCTION("""COMPUTED_VALUE"""),2501.0)</f>
        <v>2501</v>
      </c>
      <c r="D1246" s="5">
        <f>IFERROR(__xludf.DUMMYFUNCTION("""COMPUTED_VALUE"""),0.3909051158723218)</f>
        <v>0.3909051159</v>
      </c>
      <c r="E1246" s="5">
        <f>IFERROR(__xludf.DUMMYFUNCTION("""COMPUTED_VALUE"""),0.13817227809357235)</f>
        <v>0.1381722781</v>
      </c>
      <c r="F1246" s="5">
        <f>IFERROR(__xludf.DUMMYFUNCTION("""COMPUTED_VALUE"""),0.22518583296895497)</f>
        <v>0.225185833</v>
      </c>
      <c r="G1246" s="5">
        <f>IFERROR(__xludf.DUMMYFUNCTION("""COMPUTED_VALUE"""),0.16484477481416704)</f>
        <v>0.1648447748</v>
      </c>
      <c r="H1246" s="5">
        <f>IFERROR(__xludf.DUMMYFUNCTION("""COMPUTED_VALUE"""),0.6)</f>
        <v>0.6</v>
      </c>
      <c r="I1246" s="11">
        <f>IFERROR(__xludf.DUMMYFUNCTION("""COMPUTED_VALUE"""),5812.233009708738)</f>
        <v>5812.23301</v>
      </c>
      <c r="J1246" s="10">
        <f>IFERROR(__xludf.DUMMYFUNCTION("""COMPUTED_VALUE"""),0.0)</f>
        <v>0</v>
      </c>
      <c r="K1246" s="5">
        <f>IFERROR(__xludf.DUMMYFUNCTION("""COMPUTED_VALUE"""),0.0)</f>
        <v>0</v>
      </c>
      <c r="L1246" s="10">
        <f>IFERROR(__xludf.DUMMYFUNCTION("""COMPUTED_VALUE"""),214.0)</f>
        <v>214</v>
      </c>
      <c r="M1246" s="5">
        <f>IFERROR(__xludf.DUMMYFUNCTION("""COMPUTED_VALUE"""),1.0)</f>
        <v>1</v>
      </c>
    </row>
    <row r="1247">
      <c r="A1247" s="10" t="str">
        <f>IFERROR(__xludf.DUMMYFUNCTION("""COMPUTED_VALUE"""),"橘美也")</f>
        <v>橘美也</v>
      </c>
      <c r="B1247" s="10">
        <f>IFERROR(__xludf.DUMMYFUNCTION("""COMPUTED_VALUE"""),209.0)</f>
        <v>209</v>
      </c>
      <c r="C1247" s="10">
        <f>IFERROR(__xludf.DUMMYFUNCTION("""COMPUTED_VALUE"""),2431.0)</f>
        <v>2431</v>
      </c>
      <c r="D1247" s="5">
        <f>IFERROR(__xludf.DUMMYFUNCTION("""COMPUTED_VALUE"""),0.3217821782178218)</f>
        <v>0.3217821782</v>
      </c>
      <c r="E1247" s="5">
        <f>IFERROR(__xludf.DUMMYFUNCTION("""COMPUTED_VALUE"""),0.13816381638163816)</f>
        <v>0.1381638164</v>
      </c>
      <c r="F1247" s="5">
        <f>IFERROR(__xludf.DUMMYFUNCTION("""COMPUTED_VALUE"""),0.20837083708370838)</f>
        <v>0.2083708371</v>
      </c>
      <c r="G1247" s="5">
        <f>IFERROR(__xludf.DUMMYFUNCTION("""COMPUTED_VALUE"""),0.18856885688568856)</f>
        <v>0.1885688569</v>
      </c>
      <c r="H1247" s="5">
        <f>IFERROR(__xludf.DUMMYFUNCTION("""COMPUTED_VALUE"""),0.5961123110151187)</f>
        <v>0.596112311</v>
      </c>
      <c r="I1247" s="11">
        <f>IFERROR(__xludf.DUMMYFUNCTION("""COMPUTED_VALUE"""),5747.732181425486)</f>
        <v>5747.732181</v>
      </c>
      <c r="J1247" s="10">
        <f>IFERROR(__xludf.DUMMYFUNCTION("""COMPUTED_VALUE"""),0.0)</f>
        <v>0</v>
      </c>
      <c r="K1247" s="5">
        <f>IFERROR(__xludf.DUMMYFUNCTION("""COMPUTED_VALUE"""),0.0)</f>
        <v>0</v>
      </c>
      <c r="L1247" s="10">
        <f>IFERROR(__xludf.DUMMYFUNCTION("""COMPUTED_VALUE"""),0.0)</f>
        <v>0</v>
      </c>
      <c r="M1247" s="5">
        <f>IFERROR(__xludf.DUMMYFUNCTION("""COMPUTED_VALUE"""),0.0)</f>
        <v>0</v>
      </c>
    </row>
    <row r="1248">
      <c r="A1248" s="10" t="str">
        <f>IFERROR(__xludf.DUMMYFUNCTION("""COMPUTED_VALUE"""),"十三種十四牌")</f>
        <v>十三種十四牌</v>
      </c>
      <c r="B1248" s="10">
        <f>IFERROR(__xludf.DUMMYFUNCTION("""COMPUTED_VALUE"""),140.0)</f>
        <v>140</v>
      </c>
      <c r="C1248" s="10">
        <f>IFERROR(__xludf.DUMMYFUNCTION("""COMPUTED_VALUE"""),1631.0)</f>
        <v>1631</v>
      </c>
      <c r="D1248" s="5">
        <f>IFERROR(__xludf.DUMMYFUNCTION("""COMPUTED_VALUE"""),0.3702213279678068)</f>
        <v>0.370221328</v>
      </c>
      <c r="E1248" s="5">
        <f>IFERROR(__xludf.DUMMYFUNCTION("""COMPUTED_VALUE"""),0.1381623071763917)</f>
        <v>0.1381623072</v>
      </c>
      <c r="F1248" s="5">
        <f>IFERROR(__xludf.DUMMYFUNCTION("""COMPUTED_VALUE"""),0.21462105969148224)</f>
        <v>0.2146210597</v>
      </c>
      <c r="G1248" s="5">
        <f>IFERROR(__xludf.DUMMYFUNCTION("""COMPUTED_VALUE"""),0.15090543259557343)</f>
        <v>0.1509054326</v>
      </c>
      <c r="H1248" s="5">
        <f>IFERROR(__xludf.DUMMYFUNCTION("""COMPUTED_VALUE"""),0.565625)</f>
        <v>0.565625</v>
      </c>
      <c r="I1248" s="11">
        <f>IFERROR(__xludf.DUMMYFUNCTION("""COMPUTED_VALUE"""),5310.9375)</f>
        <v>5310.9375</v>
      </c>
      <c r="J1248" s="10">
        <f>IFERROR(__xludf.DUMMYFUNCTION("""COMPUTED_VALUE"""),0.0)</f>
        <v>0</v>
      </c>
      <c r="K1248" s="5">
        <f>IFERROR(__xludf.DUMMYFUNCTION("""COMPUTED_VALUE"""),0.0)</f>
        <v>0</v>
      </c>
      <c r="L1248" s="10">
        <f>IFERROR(__xludf.DUMMYFUNCTION("""COMPUTED_VALUE"""),140.0)</f>
        <v>140</v>
      </c>
      <c r="M1248" s="5">
        <f>IFERROR(__xludf.DUMMYFUNCTION("""COMPUTED_VALUE"""),1.0)</f>
        <v>1</v>
      </c>
    </row>
    <row r="1249">
      <c r="A1249" s="10" t="str">
        <f>IFERROR(__xludf.DUMMYFUNCTION("""COMPUTED_VALUE"""),"替玉固麺")</f>
        <v>替玉固麺</v>
      </c>
      <c r="B1249" s="10">
        <f>IFERROR(__xludf.DUMMYFUNCTION("""COMPUTED_VALUE"""),2531.0)</f>
        <v>2531</v>
      </c>
      <c r="C1249" s="10">
        <f>IFERROR(__xludf.DUMMYFUNCTION("""COMPUTED_VALUE"""),29377.0)</f>
        <v>29377</v>
      </c>
      <c r="D1249" s="5">
        <f>IFERROR(__xludf.DUMMYFUNCTION("""COMPUTED_VALUE"""),0.33721969753408326)</f>
        <v>0.3372196975</v>
      </c>
      <c r="E1249" s="5">
        <f>IFERROR(__xludf.DUMMYFUNCTION("""COMPUTED_VALUE"""),0.13815838486180437)</f>
        <v>0.1381583849</v>
      </c>
      <c r="F1249" s="5">
        <f>IFERROR(__xludf.DUMMYFUNCTION("""COMPUTED_VALUE"""),0.21906429263204946)</f>
        <v>0.2190642926</v>
      </c>
      <c r="G1249" s="5">
        <f>IFERROR(__xludf.DUMMYFUNCTION("""COMPUTED_VALUE"""),0.20811294047530357)</f>
        <v>0.2081129405</v>
      </c>
      <c r="H1249" s="5">
        <f>IFERROR(__xludf.DUMMYFUNCTION("""COMPUTED_VALUE"""),0.5922462166298249)</f>
        <v>0.5922462166</v>
      </c>
      <c r="I1249" s="11">
        <f>IFERROR(__xludf.DUMMYFUNCTION("""COMPUTED_VALUE"""),5765.022955279715)</f>
        <v>5765.022955</v>
      </c>
      <c r="J1249" s="10">
        <f>IFERROR(__xludf.DUMMYFUNCTION("""COMPUTED_VALUE"""),2.0)</f>
        <v>2</v>
      </c>
      <c r="K1249" s="5">
        <f>IFERROR(__xludf.DUMMYFUNCTION("""COMPUTED_VALUE"""),7.902015013828526E-4)</f>
        <v>0.0007902015014</v>
      </c>
      <c r="L1249" s="10">
        <f>IFERROR(__xludf.DUMMYFUNCTION("""COMPUTED_VALUE"""),2531.0)</f>
        <v>2531</v>
      </c>
      <c r="M1249" s="5">
        <f>IFERROR(__xludf.DUMMYFUNCTION("""COMPUTED_VALUE"""),1.0)</f>
        <v>1</v>
      </c>
    </row>
    <row r="1250">
      <c r="A1250" s="10" t="str">
        <f>IFERROR(__xludf.DUMMYFUNCTION("""COMPUTED_VALUE"""),"ronaken")</f>
        <v>ronaken</v>
      </c>
      <c r="B1250" s="10">
        <f>IFERROR(__xludf.DUMMYFUNCTION("""COMPUTED_VALUE"""),620.0)</f>
        <v>620</v>
      </c>
      <c r="C1250" s="10">
        <f>IFERROR(__xludf.DUMMYFUNCTION("""COMPUTED_VALUE"""),7214.0)</f>
        <v>7214</v>
      </c>
      <c r="D1250" s="5">
        <f>IFERROR(__xludf.DUMMYFUNCTION("""COMPUTED_VALUE"""),0.36366393691234455)</f>
        <v>0.3636639369</v>
      </c>
      <c r="E1250" s="5">
        <f>IFERROR(__xludf.DUMMYFUNCTION("""COMPUTED_VALUE"""),0.1381558993023961)</f>
        <v>0.1381558993</v>
      </c>
      <c r="F1250" s="5">
        <f>IFERROR(__xludf.DUMMYFUNCTION("""COMPUTED_VALUE"""),0.21929026387625114)</f>
        <v>0.2192902639</v>
      </c>
      <c r="G1250" s="5">
        <f>IFERROR(__xludf.DUMMYFUNCTION("""COMPUTED_VALUE"""),0.20276008492569003)</f>
        <v>0.2027600849</v>
      </c>
      <c r="H1250" s="5">
        <f>IFERROR(__xludf.DUMMYFUNCTION("""COMPUTED_VALUE"""),0.607192254495159)</f>
        <v>0.6071922545</v>
      </c>
      <c r="I1250" s="11">
        <f>IFERROR(__xludf.DUMMYFUNCTION("""COMPUTED_VALUE"""),5700.345781466113)</f>
        <v>5700.345781</v>
      </c>
      <c r="J1250" s="10">
        <f>IFERROR(__xludf.DUMMYFUNCTION("""COMPUTED_VALUE"""),3.0)</f>
        <v>3</v>
      </c>
      <c r="K1250" s="5">
        <f>IFERROR(__xludf.DUMMYFUNCTION("""COMPUTED_VALUE"""),0.004838709677419355)</f>
        <v>0.004838709677</v>
      </c>
      <c r="L1250" s="10">
        <f>IFERROR(__xludf.DUMMYFUNCTION("""COMPUTED_VALUE"""),620.0)</f>
        <v>620</v>
      </c>
      <c r="M1250" s="5">
        <f>IFERROR(__xludf.DUMMYFUNCTION("""COMPUTED_VALUE"""),1.0)</f>
        <v>1</v>
      </c>
    </row>
    <row r="1251">
      <c r="A1251" s="10" t="str">
        <f>IFERROR(__xludf.DUMMYFUNCTION("""COMPUTED_VALUE"""),"ちょっちゅね")</f>
        <v>ちょっちゅね</v>
      </c>
      <c r="B1251" s="10">
        <f>IFERROR(__xludf.DUMMYFUNCTION("""COMPUTED_VALUE"""),204.0)</f>
        <v>204</v>
      </c>
      <c r="C1251" s="10">
        <f>IFERROR(__xludf.DUMMYFUNCTION("""COMPUTED_VALUE"""),2354.0)</f>
        <v>2354</v>
      </c>
      <c r="D1251" s="5">
        <f>IFERROR(__xludf.DUMMYFUNCTION("""COMPUTED_VALUE"""),0.28418604651162793)</f>
        <v>0.2841860465</v>
      </c>
      <c r="E1251" s="5">
        <f>IFERROR(__xludf.DUMMYFUNCTION("""COMPUTED_VALUE"""),0.13813953488372094)</f>
        <v>0.1381395349</v>
      </c>
      <c r="F1251" s="5">
        <f>IFERROR(__xludf.DUMMYFUNCTION("""COMPUTED_VALUE"""),0.2111627906976744)</f>
        <v>0.2111627907</v>
      </c>
      <c r="G1251" s="5">
        <f>IFERROR(__xludf.DUMMYFUNCTION("""COMPUTED_VALUE"""),0.20093023255813955)</f>
        <v>0.2009302326</v>
      </c>
      <c r="H1251" s="5">
        <f>IFERROR(__xludf.DUMMYFUNCTION("""COMPUTED_VALUE"""),0.5947136563876652)</f>
        <v>0.5947136564</v>
      </c>
      <c r="I1251" s="11">
        <f>IFERROR(__xludf.DUMMYFUNCTION("""COMPUTED_VALUE"""),5735.462555066079)</f>
        <v>5735.462555</v>
      </c>
      <c r="J1251" s="10">
        <f>IFERROR(__xludf.DUMMYFUNCTION("""COMPUTED_VALUE"""),2.0)</f>
        <v>2</v>
      </c>
      <c r="K1251" s="5">
        <f>IFERROR(__xludf.DUMMYFUNCTION("""COMPUTED_VALUE"""),0.00980392156862745)</f>
        <v>0.009803921569</v>
      </c>
      <c r="L1251" s="10">
        <f>IFERROR(__xludf.DUMMYFUNCTION("""COMPUTED_VALUE"""),204.0)</f>
        <v>204</v>
      </c>
      <c r="M1251" s="5">
        <f>IFERROR(__xludf.DUMMYFUNCTION("""COMPUTED_VALUE"""),1.0)</f>
        <v>1</v>
      </c>
    </row>
    <row r="1252">
      <c r="A1252" s="10" t="str">
        <f>IFERROR(__xludf.DUMMYFUNCTION("""COMPUTED_VALUE"""),"荒リーチ！☆")</f>
        <v>荒リーチ！☆</v>
      </c>
      <c r="B1252" s="10">
        <f>IFERROR(__xludf.DUMMYFUNCTION("""COMPUTED_VALUE"""),1091.0)</f>
        <v>1091</v>
      </c>
      <c r="C1252" s="10">
        <f>IFERROR(__xludf.DUMMYFUNCTION("""COMPUTED_VALUE"""),12616.0)</f>
        <v>12616</v>
      </c>
      <c r="D1252" s="5">
        <f>IFERROR(__xludf.DUMMYFUNCTION("""COMPUTED_VALUE"""),0.3839479392624729)</f>
        <v>0.3839479393</v>
      </c>
      <c r="E1252" s="5">
        <f>IFERROR(__xludf.DUMMYFUNCTION("""COMPUTED_VALUE"""),0.1381344902386117)</f>
        <v>0.1381344902</v>
      </c>
      <c r="F1252" s="5">
        <f>IFERROR(__xludf.DUMMYFUNCTION("""COMPUTED_VALUE"""),0.21674620390455532)</f>
        <v>0.2167462039</v>
      </c>
      <c r="G1252" s="5">
        <f>IFERROR(__xludf.DUMMYFUNCTION("""COMPUTED_VALUE"""),0.1802169197396963)</f>
        <v>0.1802169197</v>
      </c>
      <c r="H1252" s="5">
        <f>IFERROR(__xludf.DUMMYFUNCTION("""COMPUTED_VALUE"""),0.5904723779023219)</f>
        <v>0.5904723779</v>
      </c>
      <c r="I1252" s="11">
        <f>IFERROR(__xludf.DUMMYFUNCTION("""COMPUTED_VALUE"""),6022.53803042434)</f>
        <v>6022.53803</v>
      </c>
      <c r="J1252" s="10">
        <f>IFERROR(__xludf.DUMMYFUNCTION("""COMPUTED_VALUE"""),2.0)</f>
        <v>2</v>
      </c>
      <c r="K1252" s="5">
        <f>IFERROR(__xludf.DUMMYFUNCTION("""COMPUTED_VALUE"""),0.0018331805682859762)</f>
        <v>0.001833180568</v>
      </c>
      <c r="L1252" s="10">
        <f>IFERROR(__xludf.DUMMYFUNCTION("""COMPUTED_VALUE"""),1091.0)</f>
        <v>1091</v>
      </c>
      <c r="M1252" s="5">
        <f>IFERROR(__xludf.DUMMYFUNCTION("""COMPUTED_VALUE"""),1.0)</f>
        <v>1</v>
      </c>
    </row>
    <row r="1253">
      <c r="A1253" s="10" t="str">
        <f>IFERROR(__xludf.DUMMYFUNCTION("""COMPUTED_VALUE"""),"7/2に生まれて")</f>
        <v>7/2に生まれて</v>
      </c>
      <c r="B1253" s="10">
        <f>IFERROR(__xludf.DUMMYFUNCTION("""COMPUTED_VALUE"""),1678.0)</f>
        <v>1678</v>
      </c>
      <c r="C1253" s="10">
        <f>IFERROR(__xludf.DUMMYFUNCTION("""COMPUTED_VALUE"""),19445.0)</f>
        <v>19445</v>
      </c>
      <c r="D1253" s="5">
        <f>IFERROR(__xludf.DUMMYFUNCTION("""COMPUTED_VALUE"""),0.3644396915630101)</f>
        <v>0.3644396916</v>
      </c>
      <c r="E1253" s="5">
        <f>IFERROR(__xludf.DUMMYFUNCTION("""COMPUTED_VALUE"""),0.1381212359993246)</f>
        <v>0.138121236</v>
      </c>
      <c r="F1253" s="5">
        <f>IFERROR(__xludf.DUMMYFUNCTION("""COMPUTED_VALUE"""),0.22738785388641863)</f>
        <v>0.2273878539</v>
      </c>
      <c r="G1253" s="5">
        <f>IFERROR(__xludf.DUMMYFUNCTION("""COMPUTED_VALUE"""),0.1834862385321101)</f>
        <v>0.1834862385</v>
      </c>
      <c r="H1253" s="5">
        <f>IFERROR(__xludf.DUMMYFUNCTION("""COMPUTED_VALUE"""),0.6074257425742574)</f>
        <v>0.6074257426</v>
      </c>
      <c r="I1253" s="11">
        <f>IFERROR(__xludf.DUMMYFUNCTION("""COMPUTED_VALUE"""),5715.346534653465)</f>
        <v>5715.346535</v>
      </c>
      <c r="J1253" s="10">
        <f>IFERROR(__xludf.DUMMYFUNCTION("""COMPUTED_VALUE"""),5.0)</f>
        <v>5</v>
      </c>
      <c r="K1253" s="5">
        <f>IFERROR(__xludf.DUMMYFUNCTION("""COMPUTED_VALUE"""),0.0029797377830750892)</f>
        <v>0.002979737783</v>
      </c>
      <c r="L1253" s="10">
        <f>IFERROR(__xludf.DUMMYFUNCTION("""COMPUTED_VALUE"""),1678.0)</f>
        <v>1678</v>
      </c>
      <c r="M1253" s="5">
        <f>IFERROR(__xludf.DUMMYFUNCTION("""COMPUTED_VALUE"""),1.0)</f>
        <v>1</v>
      </c>
    </row>
    <row r="1254">
      <c r="A1254" s="10" t="str">
        <f>IFERROR(__xludf.DUMMYFUNCTION("""COMPUTED_VALUE"""),"くーや")</f>
        <v>くーや</v>
      </c>
      <c r="B1254" s="10">
        <f>IFERROR(__xludf.DUMMYFUNCTION("""COMPUTED_VALUE"""),252.0)</f>
        <v>252</v>
      </c>
      <c r="C1254" s="10">
        <f>IFERROR(__xludf.DUMMYFUNCTION("""COMPUTED_VALUE"""),2931.0)</f>
        <v>2931</v>
      </c>
      <c r="D1254" s="5">
        <f>IFERROR(__xludf.DUMMYFUNCTION("""COMPUTED_VALUE"""),0.2971257932064203)</f>
        <v>0.2971257932</v>
      </c>
      <c r="E1254" s="5">
        <f>IFERROR(__xludf.DUMMYFUNCTION("""COMPUTED_VALUE"""),0.13811123553564764)</f>
        <v>0.1381112355</v>
      </c>
      <c r="F1254" s="5">
        <f>IFERROR(__xludf.DUMMYFUNCTION("""COMPUTED_VALUE"""),0.20828667413213886)</f>
        <v>0.2082866741</v>
      </c>
      <c r="G1254" s="5">
        <f>IFERROR(__xludf.DUMMYFUNCTION("""COMPUTED_VALUE"""),0.16461366181410975)</f>
        <v>0.1646136618</v>
      </c>
      <c r="H1254" s="5">
        <f>IFERROR(__xludf.DUMMYFUNCTION("""COMPUTED_VALUE"""),0.5949820788530465)</f>
        <v>0.5949820789</v>
      </c>
      <c r="I1254" s="11">
        <f>IFERROR(__xludf.DUMMYFUNCTION("""COMPUTED_VALUE"""),5595.698924731183)</f>
        <v>5595.698925</v>
      </c>
      <c r="J1254" s="10">
        <f>IFERROR(__xludf.DUMMYFUNCTION("""COMPUTED_VALUE"""),1.0)</f>
        <v>1</v>
      </c>
      <c r="K1254" s="5">
        <f>IFERROR(__xludf.DUMMYFUNCTION("""COMPUTED_VALUE"""),0.003968253968253968)</f>
        <v>0.003968253968</v>
      </c>
      <c r="L1254" s="10">
        <f>IFERROR(__xludf.DUMMYFUNCTION("""COMPUTED_VALUE"""),252.0)</f>
        <v>252</v>
      </c>
      <c r="M1254" s="5">
        <f>IFERROR(__xludf.DUMMYFUNCTION("""COMPUTED_VALUE"""),1.0)</f>
        <v>1</v>
      </c>
    </row>
    <row r="1255">
      <c r="A1255" s="10" t="str">
        <f>IFERROR(__xludf.DUMMYFUNCTION("""COMPUTED_VALUE"""),"やまない雨")</f>
        <v>やまない雨</v>
      </c>
      <c r="B1255" s="10">
        <f>IFERROR(__xludf.DUMMYFUNCTION("""COMPUTED_VALUE"""),306.0)</f>
        <v>306</v>
      </c>
      <c r="C1255" s="10">
        <f>IFERROR(__xludf.DUMMYFUNCTION("""COMPUTED_VALUE"""),3586.0)</f>
        <v>3586</v>
      </c>
      <c r="D1255" s="5">
        <f>IFERROR(__xludf.DUMMYFUNCTION("""COMPUTED_VALUE"""),0.2728658536585366)</f>
        <v>0.2728658537</v>
      </c>
      <c r="E1255" s="5">
        <f>IFERROR(__xludf.DUMMYFUNCTION("""COMPUTED_VALUE"""),0.138109756097561)</f>
        <v>0.1381097561</v>
      </c>
      <c r="F1255" s="5">
        <f>IFERROR(__xludf.DUMMYFUNCTION("""COMPUTED_VALUE"""),0.2003048780487805)</f>
        <v>0.200304878</v>
      </c>
      <c r="G1255" s="5">
        <f>IFERROR(__xludf.DUMMYFUNCTION("""COMPUTED_VALUE"""),0.14420731707317072)</f>
        <v>0.1442073171</v>
      </c>
      <c r="H1255" s="5">
        <f>IFERROR(__xludf.DUMMYFUNCTION("""COMPUTED_VALUE"""),0.6514459665144596)</f>
        <v>0.6514459665</v>
      </c>
      <c r="I1255" s="11">
        <f>IFERROR(__xludf.DUMMYFUNCTION("""COMPUTED_VALUE"""),6085.99695585997)</f>
        <v>6085.996956</v>
      </c>
      <c r="J1255" s="10">
        <f>IFERROR(__xludf.DUMMYFUNCTION("""COMPUTED_VALUE"""),3.0)</f>
        <v>3</v>
      </c>
      <c r="K1255" s="5">
        <f>IFERROR(__xludf.DUMMYFUNCTION("""COMPUTED_VALUE"""),0.00980392156862745)</f>
        <v>0.009803921569</v>
      </c>
      <c r="L1255" s="10">
        <f>IFERROR(__xludf.DUMMYFUNCTION("""COMPUTED_VALUE"""),0.0)</f>
        <v>0</v>
      </c>
      <c r="M1255" s="5">
        <f>IFERROR(__xludf.DUMMYFUNCTION("""COMPUTED_VALUE"""),0.0)</f>
        <v>0</v>
      </c>
    </row>
    <row r="1256">
      <c r="A1256" s="10" t="str">
        <f>IFERROR(__xludf.DUMMYFUNCTION("""COMPUTED_VALUE"""),"Akkiy")</f>
        <v>Akkiy</v>
      </c>
      <c r="B1256" s="10">
        <f>IFERROR(__xludf.DUMMYFUNCTION("""COMPUTED_VALUE"""),1279.0)</f>
        <v>1279</v>
      </c>
      <c r="C1256" s="10">
        <f>IFERROR(__xludf.DUMMYFUNCTION("""COMPUTED_VALUE"""),14857.0)</f>
        <v>14857</v>
      </c>
      <c r="D1256" s="5">
        <f>IFERROR(__xludf.DUMMYFUNCTION("""COMPUTED_VALUE"""),0.2695536897923111)</f>
        <v>0.2695536898</v>
      </c>
      <c r="E1256" s="5">
        <f>IFERROR(__xludf.DUMMYFUNCTION("""COMPUTED_VALUE"""),0.13809102960671674)</f>
        <v>0.1380910296</v>
      </c>
      <c r="F1256" s="5">
        <f>IFERROR(__xludf.DUMMYFUNCTION("""COMPUTED_VALUE"""),0.20032405361614375)</f>
        <v>0.2003240536</v>
      </c>
      <c r="G1256" s="5">
        <f>IFERROR(__xludf.DUMMYFUNCTION("""COMPUTED_VALUE"""),0.14088967447341288)</f>
        <v>0.1408896745</v>
      </c>
      <c r="H1256" s="5">
        <f>IFERROR(__xludf.DUMMYFUNCTION("""COMPUTED_VALUE"""),0.5963235294117647)</f>
        <v>0.5963235294</v>
      </c>
      <c r="I1256" s="11">
        <f>IFERROR(__xludf.DUMMYFUNCTION("""COMPUTED_VALUE"""),5735.77205882353)</f>
        <v>5735.772059</v>
      </c>
      <c r="J1256" s="10">
        <f>IFERROR(__xludf.DUMMYFUNCTION("""COMPUTED_VALUE"""),0.0)</f>
        <v>0</v>
      </c>
      <c r="K1256" s="5">
        <f>IFERROR(__xludf.DUMMYFUNCTION("""COMPUTED_VALUE"""),0.0)</f>
        <v>0</v>
      </c>
      <c r="L1256" s="10">
        <f>IFERROR(__xludf.DUMMYFUNCTION("""COMPUTED_VALUE"""),1279.0)</f>
        <v>1279</v>
      </c>
      <c r="M1256" s="5">
        <f>IFERROR(__xludf.DUMMYFUNCTION("""COMPUTED_VALUE"""),1.0)</f>
        <v>1</v>
      </c>
    </row>
    <row r="1257">
      <c r="A1257" s="10" t="str">
        <f>IFERROR(__xludf.DUMMYFUNCTION("""COMPUTED_VALUE"""),"#74大治郎")</f>
        <v>#74大治郎</v>
      </c>
      <c r="B1257" s="10">
        <f>IFERROR(__xludf.DUMMYFUNCTION("""COMPUTED_VALUE"""),1365.0)</f>
        <v>1365</v>
      </c>
      <c r="C1257" s="10">
        <f>IFERROR(__xludf.DUMMYFUNCTION("""COMPUTED_VALUE"""),16051.0)</f>
        <v>16051</v>
      </c>
      <c r="D1257" s="5">
        <f>IFERROR(__xludf.DUMMYFUNCTION("""COMPUTED_VALUE"""),0.32493531254255753)</f>
        <v>0.3249353125</v>
      </c>
      <c r="E1257" s="5">
        <f>IFERROR(__xludf.DUMMYFUNCTION("""COMPUTED_VALUE"""),0.13809069862454038)</f>
        <v>0.1380906986</v>
      </c>
      <c r="F1257" s="5">
        <f>IFERROR(__xludf.DUMMYFUNCTION("""COMPUTED_VALUE"""),0.22402287893231648)</f>
        <v>0.2240228789</v>
      </c>
      <c r="G1257" s="5">
        <f>IFERROR(__xludf.DUMMYFUNCTION("""COMPUTED_VALUE"""),0.18282718235053794)</f>
        <v>0.1828271824</v>
      </c>
      <c r="H1257" s="5">
        <f>IFERROR(__xludf.DUMMYFUNCTION("""COMPUTED_VALUE"""),0.6045592705167173)</f>
        <v>0.6045592705</v>
      </c>
      <c r="I1257" s="11">
        <f>IFERROR(__xludf.DUMMYFUNCTION("""COMPUTED_VALUE"""),5621.884498480244)</f>
        <v>5621.884498</v>
      </c>
      <c r="J1257" s="10">
        <f>IFERROR(__xludf.DUMMYFUNCTION("""COMPUTED_VALUE"""),3.0)</f>
        <v>3</v>
      </c>
      <c r="K1257" s="5">
        <f>IFERROR(__xludf.DUMMYFUNCTION("""COMPUTED_VALUE"""),0.002197802197802198)</f>
        <v>0.002197802198</v>
      </c>
      <c r="L1257" s="10">
        <f>IFERROR(__xludf.DUMMYFUNCTION("""COMPUTED_VALUE"""),1365.0)</f>
        <v>1365</v>
      </c>
      <c r="M1257" s="5">
        <f>IFERROR(__xludf.DUMMYFUNCTION("""COMPUTED_VALUE"""),1.0)</f>
        <v>1</v>
      </c>
    </row>
    <row r="1258">
      <c r="A1258" s="10" t="str">
        <f>IFERROR(__xludf.DUMMYFUNCTION("""COMPUTED_VALUE"""),"すいこみ")</f>
        <v>すいこみ</v>
      </c>
      <c r="B1258" s="10">
        <f>IFERROR(__xludf.DUMMYFUNCTION("""COMPUTED_VALUE"""),126.0)</f>
        <v>126</v>
      </c>
      <c r="C1258" s="10">
        <f>IFERROR(__xludf.DUMMYFUNCTION("""COMPUTED_VALUE"""),1473.0)</f>
        <v>1473</v>
      </c>
      <c r="D1258" s="5">
        <f>IFERROR(__xludf.DUMMYFUNCTION("""COMPUTED_VALUE"""),0.3585746102449889)</f>
        <v>0.3585746102</v>
      </c>
      <c r="E1258" s="5">
        <f>IFERROR(__xludf.DUMMYFUNCTION("""COMPUTED_VALUE"""),0.13808463251670378)</f>
        <v>0.1380846325</v>
      </c>
      <c r="F1258" s="5">
        <f>IFERROR(__xludf.DUMMYFUNCTION("""COMPUTED_VALUE"""),0.2071269487750557)</f>
        <v>0.2071269488</v>
      </c>
      <c r="G1258" s="5">
        <f>IFERROR(__xludf.DUMMYFUNCTION("""COMPUTED_VALUE"""),0.1492204899777283)</f>
        <v>0.14922049</v>
      </c>
      <c r="H1258" s="5">
        <f>IFERROR(__xludf.DUMMYFUNCTION("""COMPUTED_VALUE"""),0.5663082437275986)</f>
        <v>0.5663082437</v>
      </c>
      <c r="I1258" s="11">
        <f>IFERROR(__xludf.DUMMYFUNCTION("""COMPUTED_VALUE"""),5413.26164874552)</f>
        <v>5413.261649</v>
      </c>
      <c r="J1258" s="10">
        <f>IFERROR(__xludf.DUMMYFUNCTION("""COMPUTED_VALUE"""),0.0)</f>
        <v>0</v>
      </c>
      <c r="K1258" s="5">
        <f>IFERROR(__xludf.DUMMYFUNCTION("""COMPUTED_VALUE"""),0.0)</f>
        <v>0</v>
      </c>
      <c r="L1258" s="10">
        <f>IFERROR(__xludf.DUMMYFUNCTION("""COMPUTED_VALUE"""),0.0)</f>
        <v>0</v>
      </c>
      <c r="M1258" s="5">
        <f>IFERROR(__xludf.DUMMYFUNCTION("""COMPUTED_VALUE"""),0.0)</f>
        <v>0</v>
      </c>
    </row>
    <row r="1259">
      <c r="A1259" s="10" t="str">
        <f>IFERROR(__xludf.DUMMYFUNCTION("""COMPUTED_VALUE"""),"関白失脚")</f>
        <v>関白失脚</v>
      </c>
      <c r="B1259" s="10">
        <f>IFERROR(__xludf.DUMMYFUNCTION("""COMPUTED_VALUE"""),132.0)</f>
        <v>132</v>
      </c>
      <c r="C1259" s="10">
        <f>IFERROR(__xludf.DUMMYFUNCTION("""COMPUTED_VALUE"""),1537.0)</f>
        <v>1537</v>
      </c>
      <c r="D1259" s="5">
        <f>IFERROR(__xludf.DUMMYFUNCTION("""COMPUTED_VALUE"""),0.3693950177935943)</f>
        <v>0.3693950178</v>
      </c>
      <c r="E1259" s="5">
        <f>IFERROR(__xludf.DUMMYFUNCTION("""COMPUTED_VALUE"""),0.13807829181494663)</f>
        <v>0.1380782918</v>
      </c>
      <c r="F1259" s="5">
        <f>IFERROR(__xludf.DUMMYFUNCTION("""COMPUTED_VALUE"""),0.2106761565836299)</f>
        <v>0.2106761566</v>
      </c>
      <c r="G1259" s="5">
        <f>IFERROR(__xludf.DUMMYFUNCTION("""COMPUTED_VALUE"""),0.1480427046263345)</f>
        <v>0.1480427046</v>
      </c>
      <c r="H1259" s="5">
        <f>IFERROR(__xludf.DUMMYFUNCTION("""COMPUTED_VALUE"""),0.6081081081081081)</f>
        <v>0.6081081081</v>
      </c>
      <c r="I1259" s="11">
        <f>IFERROR(__xludf.DUMMYFUNCTION("""COMPUTED_VALUE"""),5527.027027027027)</f>
        <v>5527.027027</v>
      </c>
      <c r="J1259" s="10">
        <f>IFERROR(__xludf.DUMMYFUNCTION("""COMPUTED_VALUE"""),0.0)</f>
        <v>0</v>
      </c>
      <c r="K1259" s="5">
        <f>IFERROR(__xludf.DUMMYFUNCTION("""COMPUTED_VALUE"""),0.0)</f>
        <v>0</v>
      </c>
      <c r="L1259" s="10">
        <f>IFERROR(__xludf.DUMMYFUNCTION("""COMPUTED_VALUE"""),132.0)</f>
        <v>132</v>
      </c>
      <c r="M1259" s="5">
        <f>IFERROR(__xludf.DUMMYFUNCTION("""COMPUTED_VALUE"""),1.0)</f>
        <v>1</v>
      </c>
    </row>
    <row r="1260">
      <c r="A1260" s="10" t="str">
        <f>IFERROR(__xludf.DUMMYFUNCTION("""COMPUTED_VALUE"""),"IGA")</f>
        <v>IGA</v>
      </c>
      <c r="B1260" s="10">
        <f>IFERROR(__xludf.DUMMYFUNCTION("""COMPUTED_VALUE"""),222.0)</f>
        <v>222</v>
      </c>
      <c r="C1260" s="10">
        <f>IFERROR(__xludf.DUMMYFUNCTION("""COMPUTED_VALUE"""),2583.0)</f>
        <v>2583</v>
      </c>
      <c r="D1260" s="5">
        <f>IFERROR(__xludf.DUMMYFUNCTION("""COMPUTED_VALUE"""),0.3583227445997459)</f>
        <v>0.3583227446</v>
      </c>
      <c r="E1260" s="5">
        <f>IFERROR(__xludf.DUMMYFUNCTION("""COMPUTED_VALUE"""),0.13807708598051674)</f>
        <v>0.138077086</v>
      </c>
      <c r="F1260" s="5">
        <f>IFERROR(__xludf.DUMMYFUNCTION("""COMPUTED_VALUE"""),0.2143159678102499)</f>
        <v>0.2143159678</v>
      </c>
      <c r="G1260" s="5">
        <f>IFERROR(__xludf.DUMMYFUNCTION("""COMPUTED_VALUE"""),0.18382041507835664)</f>
        <v>0.1838204151</v>
      </c>
      <c r="H1260" s="5">
        <f>IFERROR(__xludf.DUMMYFUNCTION("""COMPUTED_VALUE"""),0.6225296442687747)</f>
        <v>0.6225296443</v>
      </c>
      <c r="I1260" s="11">
        <f>IFERROR(__xludf.DUMMYFUNCTION("""COMPUTED_VALUE"""),5251.778656126482)</f>
        <v>5251.778656</v>
      </c>
      <c r="J1260" s="10">
        <f>IFERROR(__xludf.DUMMYFUNCTION("""COMPUTED_VALUE"""),0.0)</f>
        <v>0</v>
      </c>
      <c r="K1260" s="5">
        <f>IFERROR(__xludf.DUMMYFUNCTION("""COMPUTED_VALUE"""),0.0)</f>
        <v>0</v>
      </c>
      <c r="L1260" s="10">
        <f>IFERROR(__xludf.DUMMYFUNCTION("""COMPUTED_VALUE"""),222.0)</f>
        <v>222</v>
      </c>
      <c r="M1260" s="5">
        <f>IFERROR(__xludf.DUMMYFUNCTION("""COMPUTED_VALUE"""),1.0)</f>
        <v>1</v>
      </c>
    </row>
    <row r="1261">
      <c r="A1261" s="10" t="str">
        <f>IFERROR(__xludf.DUMMYFUNCTION("""COMPUTED_VALUE"""),"国士無敵")</f>
        <v>国士無敵</v>
      </c>
      <c r="B1261" s="10">
        <f>IFERROR(__xludf.DUMMYFUNCTION("""COMPUTED_VALUE"""),1688.0)</f>
        <v>1688</v>
      </c>
      <c r="C1261" s="10">
        <f>IFERROR(__xludf.DUMMYFUNCTION("""COMPUTED_VALUE"""),19773.0)</f>
        <v>19773</v>
      </c>
      <c r="D1261" s="5">
        <f>IFERROR(__xludf.DUMMYFUNCTION("""COMPUTED_VALUE"""),0.37273983964611557)</f>
        <v>0.3727398396</v>
      </c>
      <c r="E1261" s="5">
        <f>IFERROR(__xludf.DUMMYFUNCTION("""COMPUTED_VALUE"""),0.13807022394249377)</f>
        <v>0.1380702239</v>
      </c>
      <c r="F1261" s="5">
        <f>IFERROR(__xludf.DUMMYFUNCTION("""COMPUTED_VALUE"""),0.2143765551562068)</f>
        <v>0.2143765552</v>
      </c>
      <c r="G1261" s="5">
        <f>IFERROR(__xludf.DUMMYFUNCTION("""COMPUTED_VALUE"""),0.14476085153442078)</f>
        <v>0.1447608515</v>
      </c>
      <c r="H1261" s="5">
        <f>IFERROR(__xludf.DUMMYFUNCTION("""COMPUTED_VALUE"""),0.6007222078927006)</f>
        <v>0.6007222079</v>
      </c>
      <c r="I1261" s="11">
        <f>IFERROR(__xludf.DUMMYFUNCTION("""COMPUTED_VALUE"""),5587.851431519216)</f>
        <v>5587.851432</v>
      </c>
      <c r="J1261" s="10">
        <f>IFERROR(__xludf.DUMMYFUNCTION("""COMPUTED_VALUE"""),6.0)</f>
        <v>6</v>
      </c>
      <c r="K1261" s="5">
        <f>IFERROR(__xludf.DUMMYFUNCTION("""COMPUTED_VALUE"""),0.0035545023696682463)</f>
        <v>0.00355450237</v>
      </c>
      <c r="L1261" s="10">
        <f>IFERROR(__xludf.DUMMYFUNCTION("""COMPUTED_VALUE"""),1688.0)</f>
        <v>1688</v>
      </c>
      <c r="M1261" s="5">
        <f>IFERROR(__xludf.DUMMYFUNCTION("""COMPUTED_VALUE"""),1.0)</f>
        <v>1</v>
      </c>
    </row>
    <row r="1262">
      <c r="A1262" s="10" t="str">
        <f>IFERROR(__xludf.DUMMYFUNCTION("""COMPUTED_VALUE"""),"ガオーさん")</f>
        <v>ガオーさん</v>
      </c>
      <c r="B1262" s="10">
        <f>IFERROR(__xludf.DUMMYFUNCTION("""COMPUTED_VALUE"""),1636.0)</f>
        <v>1636</v>
      </c>
      <c r="C1262" s="10">
        <f>IFERROR(__xludf.DUMMYFUNCTION("""COMPUTED_VALUE"""),18847.0)</f>
        <v>18847</v>
      </c>
      <c r="D1262" s="5">
        <f>IFERROR(__xludf.DUMMYFUNCTION("""COMPUTED_VALUE"""),0.3165417465574342)</f>
        <v>0.3165417466</v>
      </c>
      <c r="E1262" s="5">
        <f>IFERROR(__xludf.DUMMYFUNCTION("""COMPUTED_VALUE"""),0.1380512462959735)</f>
        <v>0.1380512463</v>
      </c>
      <c r="F1262" s="5">
        <f>IFERROR(__xludf.DUMMYFUNCTION("""COMPUTED_VALUE"""),0.21724478531171926)</f>
        <v>0.2172447853</v>
      </c>
      <c r="G1262" s="5">
        <f>IFERROR(__xludf.DUMMYFUNCTION("""COMPUTED_VALUE"""),0.20300970309685668)</f>
        <v>0.2030097031</v>
      </c>
      <c r="H1262" s="5">
        <f>IFERROR(__xludf.DUMMYFUNCTION("""COMPUTED_VALUE"""),0.5916020326290452)</f>
        <v>0.5916020326</v>
      </c>
      <c r="I1262" s="11">
        <f>IFERROR(__xludf.DUMMYFUNCTION("""COMPUTED_VALUE"""),5868.708210751538)</f>
        <v>5868.708211</v>
      </c>
      <c r="J1262" s="10">
        <f>IFERROR(__xludf.DUMMYFUNCTION("""COMPUTED_VALUE"""),3.0)</f>
        <v>3</v>
      </c>
      <c r="K1262" s="5">
        <f>IFERROR(__xludf.DUMMYFUNCTION("""COMPUTED_VALUE"""),0.0018337408312958435)</f>
        <v>0.001833740831</v>
      </c>
      <c r="L1262" s="10">
        <f>IFERROR(__xludf.DUMMYFUNCTION("""COMPUTED_VALUE"""),1636.0)</f>
        <v>1636</v>
      </c>
      <c r="M1262" s="5">
        <f>IFERROR(__xludf.DUMMYFUNCTION("""COMPUTED_VALUE"""),1.0)</f>
        <v>1</v>
      </c>
    </row>
    <row r="1263">
      <c r="A1263" s="10" t="str">
        <f>IFERROR(__xludf.DUMMYFUNCTION("""COMPUTED_VALUE"""),"大家一起打野怪")</f>
        <v>大家一起打野怪</v>
      </c>
      <c r="B1263" s="10">
        <f>IFERROR(__xludf.DUMMYFUNCTION("""COMPUTED_VALUE"""),136.0)</f>
        <v>136</v>
      </c>
      <c r="C1263" s="10">
        <f>IFERROR(__xludf.DUMMYFUNCTION("""COMPUTED_VALUE"""),1592.0)</f>
        <v>1592</v>
      </c>
      <c r="D1263" s="5">
        <f>IFERROR(__xludf.DUMMYFUNCTION("""COMPUTED_VALUE"""),0.38118131868131866)</f>
        <v>0.3811813187</v>
      </c>
      <c r="E1263" s="5">
        <f>IFERROR(__xludf.DUMMYFUNCTION("""COMPUTED_VALUE"""),0.13804945054945056)</f>
        <v>0.1380494505</v>
      </c>
      <c r="F1263" s="5">
        <f>IFERROR(__xludf.DUMMYFUNCTION("""COMPUTED_VALUE"""),0.20192307692307693)</f>
        <v>0.2019230769</v>
      </c>
      <c r="G1263" s="5">
        <f>IFERROR(__xludf.DUMMYFUNCTION("""COMPUTED_VALUE"""),0.18063186813186813)</f>
        <v>0.1806318681</v>
      </c>
      <c r="H1263" s="5">
        <f>IFERROR(__xludf.DUMMYFUNCTION("""COMPUTED_VALUE"""),0.5476190476190477)</f>
        <v>0.5476190476</v>
      </c>
      <c r="I1263" s="11">
        <f>IFERROR(__xludf.DUMMYFUNCTION("""COMPUTED_VALUE"""),5823.809523809524)</f>
        <v>5823.809524</v>
      </c>
      <c r="J1263" s="10">
        <f>IFERROR(__xludf.DUMMYFUNCTION("""COMPUTED_VALUE"""),0.0)</f>
        <v>0</v>
      </c>
      <c r="K1263" s="5">
        <f>IFERROR(__xludf.DUMMYFUNCTION("""COMPUTED_VALUE"""),0.0)</f>
        <v>0</v>
      </c>
      <c r="L1263" s="10">
        <f>IFERROR(__xludf.DUMMYFUNCTION("""COMPUTED_VALUE"""),37.0)</f>
        <v>37</v>
      </c>
      <c r="M1263" s="5">
        <f>IFERROR(__xludf.DUMMYFUNCTION("""COMPUTED_VALUE"""),0.27205882352941174)</f>
        <v>0.2720588235</v>
      </c>
    </row>
    <row r="1264">
      <c r="A1264" s="10" t="str">
        <f>IFERROR(__xludf.DUMMYFUNCTION("""COMPUTED_VALUE"""),"シーラねっと")</f>
        <v>シーラねっと</v>
      </c>
      <c r="B1264" s="10">
        <f>IFERROR(__xludf.DUMMYFUNCTION("""COMPUTED_VALUE"""),181.0)</f>
        <v>181</v>
      </c>
      <c r="C1264" s="10">
        <f>IFERROR(__xludf.DUMMYFUNCTION("""COMPUTED_VALUE"""),2137.0)</f>
        <v>2137</v>
      </c>
      <c r="D1264" s="5">
        <f>IFERROR(__xludf.DUMMYFUNCTION("""COMPUTED_VALUE"""),0.38190184049079756)</f>
        <v>0.3819018405</v>
      </c>
      <c r="E1264" s="5">
        <f>IFERROR(__xludf.DUMMYFUNCTION("""COMPUTED_VALUE"""),0.13803680981595093)</f>
        <v>0.1380368098</v>
      </c>
      <c r="F1264" s="5">
        <f>IFERROR(__xludf.DUMMYFUNCTION("""COMPUTED_VALUE"""),0.19580777096114518)</f>
        <v>0.195807771</v>
      </c>
      <c r="G1264" s="5">
        <f>IFERROR(__xludf.DUMMYFUNCTION("""COMPUTED_VALUE"""),0.1579754601226994)</f>
        <v>0.1579754601</v>
      </c>
      <c r="H1264" s="5">
        <f>IFERROR(__xludf.DUMMYFUNCTION("""COMPUTED_VALUE"""),0.6214099216710183)</f>
        <v>0.6214099217</v>
      </c>
      <c r="I1264" s="11">
        <f>IFERROR(__xludf.DUMMYFUNCTION("""COMPUTED_VALUE"""),5927.415143603133)</f>
        <v>5927.415144</v>
      </c>
      <c r="J1264" s="10">
        <f>IFERROR(__xludf.DUMMYFUNCTION("""COMPUTED_VALUE"""),0.0)</f>
        <v>0</v>
      </c>
      <c r="K1264" s="5">
        <f>IFERROR(__xludf.DUMMYFUNCTION("""COMPUTED_VALUE"""),0.0)</f>
        <v>0</v>
      </c>
      <c r="L1264" s="10">
        <f>IFERROR(__xludf.DUMMYFUNCTION("""COMPUTED_VALUE"""),181.0)</f>
        <v>181</v>
      </c>
      <c r="M1264" s="5">
        <f>IFERROR(__xludf.DUMMYFUNCTION("""COMPUTED_VALUE"""),1.0)</f>
        <v>1</v>
      </c>
    </row>
    <row r="1265">
      <c r="A1265" s="10" t="str">
        <f>IFERROR(__xludf.DUMMYFUNCTION("""COMPUTED_VALUE"""),"椰子753")</f>
        <v>椰子753</v>
      </c>
      <c r="B1265" s="10">
        <f>IFERROR(__xludf.DUMMYFUNCTION("""COMPUTED_VALUE"""),394.0)</f>
        <v>394</v>
      </c>
      <c r="C1265" s="10">
        <f>IFERROR(__xludf.DUMMYFUNCTION("""COMPUTED_VALUE"""),4596.0)</f>
        <v>4596</v>
      </c>
      <c r="D1265" s="5">
        <f>IFERROR(__xludf.DUMMYFUNCTION("""COMPUTED_VALUE"""),0.2865302237029986)</f>
        <v>0.2865302237</v>
      </c>
      <c r="E1265" s="5">
        <f>IFERROR(__xludf.DUMMYFUNCTION("""COMPUTED_VALUE"""),0.13802950975725845)</f>
        <v>0.1380295098</v>
      </c>
      <c r="F1265" s="5">
        <f>IFERROR(__xludf.DUMMYFUNCTION("""COMPUTED_VALUE"""),0.19919086149452642)</f>
        <v>0.1991908615</v>
      </c>
      <c r="G1265" s="5">
        <f>IFERROR(__xludf.DUMMYFUNCTION("""COMPUTED_VALUE"""),0.1734888148500714)</f>
        <v>0.1734888149</v>
      </c>
      <c r="H1265" s="5">
        <f>IFERROR(__xludf.DUMMYFUNCTION("""COMPUTED_VALUE"""),0.5794504181600956)</f>
        <v>0.5794504182</v>
      </c>
      <c r="I1265" s="11">
        <f>IFERROR(__xludf.DUMMYFUNCTION("""COMPUTED_VALUE"""),6294.7431302270015)</f>
        <v>6294.74313</v>
      </c>
      <c r="J1265" s="10">
        <f>IFERROR(__xludf.DUMMYFUNCTION("""COMPUTED_VALUE"""),2.0)</f>
        <v>2</v>
      </c>
      <c r="K1265" s="5">
        <f>IFERROR(__xludf.DUMMYFUNCTION("""COMPUTED_VALUE"""),0.005076142131979695)</f>
        <v>0.005076142132</v>
      </c>
      <c r="L1265" s="10">
        <f>IFERROR(__xludf.DUMMYFUNCTION("""COMPUTED_VALUE"""),394.0)</f>
        <v>394</v>
      </c>
      <c r="M1265" s="5">
        <f>IFERROR(__xludf.DUMMYFUNCTION("""COMPUTED_VALUE"""),1.0)</f>
        <v>1</v>
      </c>
    </row>
    <row r="1266">
      <c r="A1266" s="10" t="str">
        <f>IFERROR(__xludf.DUMMYFUNCTION("""COMPUTED_VALUE"""),"佐藤フリーザ")</f>
        <v>佐藤フリーザ</v>
      </c>
      <c r="B1266" s="10">
        <f>IFERROR(__xludf.DUMMYFUNCTION("""COMPUTED_VALUE"""),1997.0)</f>
        <v>1997</v>
      </c>
      <c r="C1266" s="10">
        <f>IFERROR(__xludf.DUMMYFUNCTION("""COMPUTED_VALUE"""),23420.0)</f>
        <v>23420</v>
      </c>
      <c r="D1266" s="5">
        <f>IFERROR(__xludf.DUMMYFUNCTION("""COMPUTED_VALUE"""),0.3475703682957569)</f>
        <v>0.3475703683</v>
      </c>
      <c r="E1266" s="5">
        <f>IFERROR(__xludf.DUMMYFUNCTION("""COMPUTED_VALUE"""),0.13802922093077533)</f>
        <v>0.1380292209</v>
      </c>
      <c r="F1266" s="5">
        <f>IFERROR(__xludf.DUMMYFUNCTION("""COMPUTED_VALUE"""),0.2118750875227559)</f>
        <v>0.2118750875</v>
      </c>
      <c r="G1266" s="5">
        <f>IFERROR(__xludf.DUMMYFUNCTION("""COMPUTED_VALUE"""),0.17691266395929608)</f>
        <v>0.176912664</v>
      </c>
      <c r="H1266" s="5">
        <f>IFERROR(__xludf.DUMMYFUNCTION("""COMPUTED_VALUE"""),0.5869134170522141)</f>
        <v>0.5869134171</v>
      </c>
      <c r="I1266" s="11">
        <f>IFERROR(__xludf.DUMMYFUNCTION("""COMPUTED_VALUE"""),5518.638466622604)</f>
        <v>5518.638467</v>
      </c>
      <c r="J1266" s="10">
        <f>IFERROR(__xludf.DUMMYFUNCTION("""COMPUTED_VALUE"""),3.0)</f>
        <v>3</v>
      </c>
      <c r="K1266" s="5">
        <f>IFERROR(__xludf.DUMMYFUNCTION("""COMPUTED_VALUE"""),0.0015022533800701052)</f>
        <v>0.00150225338</v>
      </c>
      <c r="L1266" s="10">
        <f>IFERROR(__xludf.DUMMYFUNCTION("""COMPUTED_VALUE"""),15.0)</f>
        <v>15</v>
      </c>
      <c r="M1266" s="5">
        <f>IFERROR(__xludf.DUMMYFUNCTION("""COMPUTED_VALUE"""),0.007511266900350526)</f>
        <v>0.0075112669</v>
      </c>
    </row>
    <row r="1267">
      <c r="A1267" s="10" t="str">
        <f>IFERROR(__xludf.DUMMYFUNCTION("""COMPUTED_VALUE"""),"師匠/雀鬼")</f>
        <v>師匠/雀鬼</v>
      </c>
      <c r="B1267" s="10">
        <f>IFERROR(__xludf.DUMMYFUNCTION("""COMPUTED_VALUE"""),546.0)</f>
        <v>546</v>
      </c>
      <c r="C1267" s="10">
        <f>IFERROR(__xludf.DUMMYFUNCTION("""COMPUTED_VALUE"""),6364.0)</f>
        <v>6364</v>
      </c>
      <c r="D1267" s="5">
        <f>IFERROR(__xludf.DUMMYFUNCTION("""COMPUTED_VALUE"""),0.36919903746992094)</f>
        <v>0.3691990375</v>
      </c>
      <c r="E1267" s="5">
        <f>IFERROR(__xludf.DUMMYFUNCTION("""COMPUTED_VALUE"""),0.13801993812306634)</f>
        <v>0.1380199381</v>
      </c>
      <c r="F1267" s="5">
        <f>IFERROR(__xludf.DUMMYFUNCTION("""COMPUTED_VALUE"""),0.2129597799931248)</f>
        <v>0.21295978</v>
      </c>
      <c r="G1267" s="5">
        <f>IFERROR(__xludf.DUMMYFUNCTION("""COMPUTED_VALUE"""),0.1892402887590237)</f>
        <v>0.1892402888</v>
      </c>
      <c r="H1267" s="5">
        <f>IFERROR(__xludf.DUMMYFUNCTION("""COMPUTED_VALUE"""),0.5867635189669088)</f>
        <v>0.586763519</v>
      </c>
      <c r="I1267" s="11">
        <f>IFERROR(__xludf.DUMMYFUNCTION("""COMPUTED_VALUE"""),5771.670702179177)</f>
        <v>5771.670702</v>
      </c>
      <c r="J1267" s="10">
        <f>IFERROR(__xludf.DUMMYFUNCTION("""COMPUTED_VALUE"""),1.0)</f>
        <v>1</v>
      </c>
      <c r="K1267" s="5">
        <f>IFERROR(__xludf.DUMMYFUNCTION("""COMPUTED_VALUE"""),0.0018315018315018315)</f>
        <v>0.001831501832</v>
      </c>
      <c r="L1267" s="10">
        <f>IFERROR(__xludf.DUMMYFUNCTION("""COMPUTED_VALUE"""),546.0)</f>
        <v>546</v>
      </c>
      <c r="M1267" s="5">
        <f>IFERROR(__xludf.DUMMYFUNCTION("""COMPUTED_VALUE"""),1.0)</f>
        <v>1</v>
      </c>
    </row>
    <row r="1268">
      <c r="A1268" s="10" t="str">
        <f>IFERROR(__xludf.DUMMYFUNCTION("""COMPUTED_VALUE"""),"jbguk")</f>
        <v>jbguk</v>
      </c>
      <c r="B1268" s="10">
        <f>IFERROR(__xludf.DUMMYFUNCTION("""COMPUTED_VALUE"""),111.0)</f>
        <v>111</v>
      </c>
      <c r="C1268" s="10">
        <f>IFERROR(__xludf.DUMMYFUNCTION("""COMPUTED_VALUE"""),1321.0)</f>
        <v>1321</v>
      </c>
      <c r="D1268" s="5">
        <f>IFERROR(__xludf.DUMMYFUNCTION("""COMPUTED_VALUE"""),0.3347107438016529)</f>
        <v>0.3347107438</v>
      </c>
      <c r="E1268" s="5">
        <f>IFERROR(__xludf.DUMMYFUNCTION("""COMPUTED_VALUE"""),0.13801652892561983)</f>
        <v>0.1380165289</v>
      </c>
      <c r="F1268" s="5">
        <f>IFERROR(__xludf.DUMMYFUNCTION("""COMPUTED_VALUE"""),0.2049586776859504)</f>
        <v>0.2049586777</v>
      </c>
      <c r="G1268" s="5">
        <f>IFERROR(__xludf.DUMMYFUNCTION("""COMPUTED_VALUE"""),0.17024793388429751)</f>
        <v>0.1702479339</v>
      </c>
      <c r="H1268" s="5">
        <f>IFERROR(__xludf.DUMMYFUNCTION("""COMPUTED_VALUE"""),0.5645161290322581)</f>
        <v>0.564516129</v>
      </c>
      <c r="I1268" s="11">
        <f>IFERROR(__xludf.DUMMYFUNCTION("""COMPUTED_VALUE"""),5439.112903225807)</f>
        <v>5439.112903</v>
      </c>
      <c r="J1268" s="10">
        <f>IFERROR(__xludf.DUMMYFUNCTION("""COMPUTED_VALUE"""),0.0)</f>
        <v>0</v>
      </c>
      <c r="K1268" s="5">
        <f>IFERROR(__xludf.DUMMYFUNCTION("""COMPUTED_VALUE"""),0.0)</f>
        <v>0</v>
      </c>
      <c r="L1268" s="10">
        <f>IFERROR(__xludf.DUMMYFUNCTION("""COMPUTED_VALUE"""),111.0)</f>
        <v>111</v>
      </c>
      <c r="M1268" s="5">
        <f>IFERROR(__xludf.DUMMYFUNCTION("""COMPUTED_VALUE"""),1.0)</f>
        <v>1</v>
      </c>
    </row>
    <row r="1269">
      <c r="A1269" s="10" t="str">
        <f>IFERROR(__xludf.DUMMYFUNCTION("""COMPUTED_VALUE"""),"Bowie")</f>
        <v>Bowie</v>
      </c>
      <c r="B1269" s="10">
        <f>IFERROR(__xludf.DUMMYFUNCTION("""COMPUTED_VALUE"""),525.0)</f>
        <v>525</v>
      </c>
      <c r="C1269" s="10">
        <f>IFERROR(__xludf.DUMMYFUNCTION("""COMPUTED_VALUE"""),6010.0)</f>
        <v>6010</v>
      </c>
      <c r="D1269" s="5">
        <f>IFERROR(__xludf.DUMMYFUNCTION("""COMPUTED_VALUE"""),0.419690063810392)</f>
        <v>0.4196900638</v>
      </c>
      <c r="E1269" s="5">
        <f>IFERROR(__xludf.DUMMYFUNCTION("""COMPUTED_VALUE"""),0.13801276207839563)</f>
        <v>0.1380127621</v>
      </c>
      <c r="F1269" s="5">
        <f>IFERROR(__xludf.DUMMYFUNCTION("""COMPUTED_VALUE"""),0.21677301731996354)</f>
        <v>0.2167730173</v>
      </c>
      <c r="G1269" s="5">
        <f>IFERROR(__xludf.DUMMYFUNCTION("""COMPUTED_VALUE"""),0.15861440291704648)</f>
        <v>0.1586144029</v>
      </c>
      <c r="H1269" s="5">
        <f>IFERROR(__xludf.DUMMYFUNCTION("""COMPUTED_VALUE"""),0.6181665264928511)</f>
        <v>0.6181665265</v>
      </c>
      <c r="I1269" s="11">
        <f>IFERROR(__xludf.DUMMYFUNCTION("""COMPUTED_VALUE"""),5544.238856181665)</f>
        <v>5544.238856</v>
      </c>
      <c r="J1269" s="10">
        <f>IFERROR(__xludf.DUMMYFUNCTION("""COMPUTED_VALUE"""),1.0)</f>
        <v>1</v>
      </c>
      <c r="K1269" s="5">
        <f>IFERROR(__xludf.DUMMYFUNCTION("""COMPUTED_VALUE"""),0.0019047619047619048)</f>
        <v>0.001904761905</v>
      </c>
      <c r="L1269" s="10">
        <f>IFERROR(__xludf.DUMMYFUNCTION("""COMPUTED_VALUE"""),209.0)</f>
        <v>209</v>
      </c>
      <c r="M1269" s="5">
        <f>IFERROR(__xludf.DUMMYFUNCTION("""COMPUTED_VALUE"""),0.3980952380952381)</f>
        <v>0.3980952381</v>
      </c>
    </row>
    <row r="1270">
      <c r="A1270" s="10" t="str">
        <f>IFERROR(__xludf.DUMMYFUNCTION("""COMPUTED_VALUE"""),"いのけん")</f>
        <v>いのけん</v>
      </c>
      <c r="B1270" s="10">
        <f>IFERROR(__xludf.DUMMYFUNCTION("""COMPUTED_VALUE"""),2347.0)</f>
        <v>2347</v>
      </c>
      <c r="C1270" s="10">
        <f>IFERROR(__xludf.DUMMYFUNCTION("""COMPUTED_VALUE"""),27304.0)</f>
        <v>27304</v>
      </c>
      <c r="D1270" s="5">
        <f>IFERROR(__xludf.DUMMYFUNCTION("""COMPUTED_VALUE"""),0.3270024442040309)</f>
        <v>0.3270024442</v>
      </c>
      <c r="E1270" s="5">
        <f>IFERROR(__xludf.DUMMYFUNCTION("""COMPUTED_VALUE"""),0.13799735545137637)</f>
        <v>0.1379973555</v>
      </c>
      <c r="F1270" s="5">
        <f>IFERROR(__xludf.DUMMYFUNCTION("""COMPUTED_VALUE"""),0.2114036142164523)</f>
        <v>0.2114036142</v>
      </c>
      <c r="G1270" s="5">
        <f>IFERROR(__xludf.DUMMYFUNCTION("""COMPUTED_VALUE"""),0.18243378611211283)</f>
        <v>0.1824337861</v>
      </c>
      <c r="H1270" s="5">
        <f>IFERROR(__xludf.DUMMYFUNCTION("""COMPUTED_VALUE"""),0.5930629264594389)</f>
        <v>0.5930629265</v>
      </c>
      <c r="I1270" s="11">
        <f>IFERROR(__xludf.DUMMYFUNCTION("""COMPUTED_VALUE"""),5970.981804397271)</f>
        <v>5970.981804</v>
      </c>
      <c r="J1270" s="10">
        <f>IFERROR(__xludf.DUMMYFUNCTION("""COMPUTED_VALUE"""),9.0)</f>
        <v>9</v>
      </c>
      <c r="K1270" s="5">
        <f>IFERROR(__xludf.DUMMYFUNCTION("""COMPUTED_VALUE"""),0.0038346825734980826)</f>
        <v>0.003834682573</v>
      </c>
      <c r="L1270" s="10">
        <f>IFERROR(__xludf.DUMMYFUNCTION("""COMPUTED_VALUE"""),0.0)</f>
        <v>0</v>
      </c>
      <c r="M1270" s="5">
        <f>IFERROR(__xludf.DUMMYFUNCTION("""COMPUTED_VALUE"""),0.0)</f>
        <v>0</v>
      </c>
    </row>
    <row r="1271">
      <c r="A1271" s="10" t="str">
        <f>IFERROR(__xludf.DUMMYFUNCTION("""COMPUTED_VALUE"""),"アシュリーー")</f>
        <v>アシュリーー</v>
      </c>
      <c r="B1271" s="10">
        <f>IFERROR(__xludf.DUMMYFUNCTION("""COMPUTED_VALUE"""),160.0)</f>
        <v>160</v>
      </c>
      <c r="C1271" s="10">
        <f>IFERROR(__xludf.DUMMYFUNCTION("""COMPUTED_VALUE"""),1892.0)</f>
        <v>1892</v>
      </c>
      <c r="D1271" s="5">
        <f>IFERROR(__xludf.DUMMYFUNCTION("""COMPUTED_VALUE"""),0.3435334872979215)</f>
        <v>0.3435334873</v>
      </c>
      <c r="E1271" s="5">
        <f>IFERROR(__xludf.DUMMYFUNCTION("""COMPUTED_VALUE"""),0.1379907621247113)</f>
        <v>0.1379907621</v>
      </c>
      <c r="F1271" s="5">
        <f>IFERROR(__xludf.DUMMYFUNCTION("""COMPUTED_VALUE"""),0.22170900692840648)</f>
        <v>0.2217090069</v>
      </c>
      <c r="G1271" s="5">
        <f>IFERROR(__xludf.DUMMYFUNCTION("""COMPUTED_VALUE"""),0.17436489607390301)</f>
        <v>0.1743648961</v>
      </c>
      <c r="H1271" s="5">
        <f>IFERROR(__xludf.DUMMYFUNCTION("""COMPUTED_VALUE"""),0.6041666666666666)</f>
        <v>0.6041666667</v>
      </c>
      <c r="I1271" s="11">
        <f>IFERROR(__xludf.DUMMYFUNCTION("""COMPUTED_VALUE"""),5669.53125)</f>
        <v>5669.53125</v>
      </c>
      <c r="J1271" s="10">
        <f>IFERROR(__xludf.DUMMYFUNCTION("""COMPUTED_VALUE"""),1.0)</f>
        <v>1</v>
      </c>
      <c r="K1271" s="5">
        <f>IFERROR(__xludf.DUMMYFUNCTION("""COMPUTED_VALUE"""),0.00625)</f>
        <v>0.00625</v>
      </c>
      <c r="L1271" s="10">
        <f>IFERROR(__xludf.DUMMYFUNCTION("""COMPUTED_VALUE"""),160.0)</f>
        <v>160</v>
      </c>
      <c r="M1271" s="5">
        <f>IFERROR(__xludf.DUMMYFUNCTION("""COMPUTED_VALUE"""),1.0)</f>
        <v>1</v>
      </c>
    </row>
    <row r="1272">
      <c r="A1272" s="10" t="str">
        <f>IFERROR(__xludf.DUMMYFUNCTION("""COMPUTED_VALUE"""),"竹岡鉱山")</f>
        <v>竹岡鉱山</v>
      </c>
      <c r="B1272" s="10">
        <f>IFERROR(__xludf.DUMMYFUNCTION("""COMPUTED_VALUE"""),591.0)</f>
        <v>591</v>
      </c>
      <c r="C1272" s="10">
        <f>IFERROR(__xludf.DUMMYFUNCTION("""COMPUTED_VALUE"""),6925.0)</f>
        <v>6925</v>
      </c>
      <c r="D1272" s="5">
        <f>IFERROR(__xludf.DUMMYFUNCTION("""COMPUTED_VALUE"""),0.40764130091569306)</f>
        <v>0.4076413009</v>
      </c>
      <c r="E1272" s="5">
        <f>IFERROR(__xludf.DUMMYFUNCTION("""COMPUTED_VALUE"""),0.13798547521313545)</f>
        <v>0.1379854752</v>
      </c>
      <c r="F1272" s="5">
        <f>IFERROR(__xludf.DUMMYFUNCTION("""COMPUTED_VALUE"""),0.22497631828228606)</f>
        <v>0.2249763183</v>
      </c>
      <c r="G1272" s="5">
        <f>IFERROR(__xludf.DUMMYFUNCTION("""COMPUTED_VALUE"""),0.15645721502999685)</f>
        <v>0.156457215</v>
      </c>
      <c r="H1272" s="5">
        <f>IFERROR(__xludf.DUMMYFUNCTION("""COMPUTED_VALUE"""),0.64)</f>
        <v>0.64</v>
      </c>
      <c r="I1272" s="11">
        <f>IFERROR(__xludf.DUMMYFUNCTION("""COMPUTED_VALUE"""),5488.771929824561)</f>
        <v>5488.77193</v>
      </c>
      <c r="J1272" s="10">
        <f>IFERROR(__xludf.DUMMYFUNCTION("""COMPUTED_VALUE"""),0.0)</f>
        <v>0</v>
      </c>
      <c r="K1272" s="5">
        <f>IFERROR(__xludf.DUMMYFUNCTION("""COMPUTED_VALUE"""),0.0)</f>
        <v>0</v>
      </c>
      <c r="L1272" s="10">
        <f>IFERROR(__xludf.DUMMYFUNCTION("""COMPUTED_VALUE"""),591.0)</f>
        <v>591</v>
      </c>
      <c r="M1272" s="5">
        <f>IFERROR(__xludf.DUMMYFUNCTION("""COMPUTED_VALUE"""),1.0)</f>
        <v>1</v>
      </c>
    </row>
    <row r="1273">
      <c r="A1273" s="10" t="str">
        <f>IFERROR(__xludf.DUMMYFUNCTION("""COMPUTED_VALUE"""),"面清のバビィ")</f>
        <v>面清のバビィ</v>
      </c>
      <c r="B1273" s="10">
        <f>IFERROR(__xludf.DUMMYFUNCTION("""COMPUTED_VALUE"""),880.0)</f>
        <v>880</v>
      </c>
      <c r="C1273" s="10">
        <f>IFERROR(__xludf.DUMMYFUNCTION("""COMPUTED_VALUE"""),10345.0)</f>
        <v>10345</v>
      </c>
      <c r="D1273" s="5">
        <f>IFERROR(__xludf.DUMMYFUNCTION("""COMPUTED_VALUE"""),0.2839936608557845)</f>
        <v>0.2839936609</v>
      </c>
      <c r="E1273" s="5">
        <f>IFERROR(__xludf.DUMMYFUNCTION("""COMPUTED_VALUE"""),0.13798203909138934)</f>
        <v>0.1379820391</v>
      </c>
      <c r="F1273" s="5">
        <f>IFERROR(__xludf.DUMMYFUNCTION("""COMPUTED_VALUE"""),0.19862651875330165)</f>
        <v>0.1986265188</v>
      </c>
      <c r="G1273" s="5">
        <f>IFERROR(__xludf.DUMMYFUNCTION("""COMPUTED_VALUE"""),0.16967776016904385)</f>
        <v>0.1696777602</v>
      </c>
      <c r="H1273" s="5">
        <f>IFERROR(__xludf.DUMMYFUNCTION("""COMPUTED_VALUE"""),0.575)</f>
        <v>0.575</v>
      </c>
      <c r="I1273" s="11">
        <f>IFERROR(__xludf.DUMMYFUNCTION("""COMPUTED_VALUE"""),6377.872340425532)</f>
        <v>6377.87234</v>
      </c>
      <c r="J1273" s="10">
        <f>IFERROR(__xludf.DUMMYFUNCTION("""COMPUTED_VALUE"""),1.0)</f>
        <v>1</v>
      </c>
      <c r="K1273" s="5">
        <f>IFERROR(__xludf.DUMMYFUNCTION("""COMPUTED_VALUE"""),0.0011363636363636363)</f>
        <v>0.001136363636</v>
      </c>
      <c r="L1273" s="10">
        <f>IFERROR(__xludf.DUMMYFUNCTION("""COMPUTED_VALUE"""),880.0)</f>
        <v>880</v>
      </c>
      <c r="M1273" s="5">
        <f>IFERROR(__xludf.DUMMYFUNCTION("""COMPUTED_VALUE"""),1.0)</f>
        <v>1</v>
      </c>
    </row>
    <row r="1274">
      <c r="A1274" s="10" t="str">
        <f>IFERROR(__xludf.DUMMYFUNCTION("""COMPUTED_VALUE"""),"washwash")</f>
        <v>washwash</v>
      </c>
      <c r="B1274" s="10">
        <f>IFERROR(__xludf.DUMMYFUNCTION("""COMPUTED_VALUE"""),575.0)</f>
        <v>575</v>
      </c>
      <c r="C1274" s="10">
        <f>IFERROR(__xludf.DUMMYFUNCTION("""COMPUTED_VALUE"""),6750.0)</f>
        <v>6750</v>
      </c>
      <c r="D1274" s="5">
        <f>IFERROR(__xludf.DUMMYFUNCTION("""COMPUTED_VALUE"""),0.30558704453441293)</f>
        <v>0.3055870445</v>
      </c>
      <c r="E1274" s="5">
        <f>IFERROR(__xludf.DUMMYFUNCTION("""COMPUTED_VALUE"""),0.13797570850202429)</f>
        <v>0.1379757085</v>
      </c>
      <c r="F1274" s="5">
        <f>IFERROR(__xludf.DUMMYFUNCTION("""COMPUTED_VALUE"""),0.21068825910931174)</f>
        <v>0.2106882591</v>
      </c>
      <c r="G1274" s="5">
        <f>IFERROR(__xludf.DUMMYFUNCTION("""COMPUTED_VALUE"""),0.18558704453441296)</f>
        <v>0.1855870445</v>
      </c>
      <c r="H1274" s="5">
        <f>IFERROR(__xludf.DUMMYFUNCTION("""COMPUTED_VALUE"""),0.5726364335126826)</f>
        <v>0.5726364335</v>
      </c>
      <c r="I1274" s="11">
        <f>IFERROR(__xludf.DUMMYFUNCTION("""COMPUTED_VALUE"""),6066.794773251345)</f>
        <v>6066.794773</v>
      </c>
      <c r="J1274" s="10">
        <f>IFERROR(__xludf.DUMMYFUNCTION("""COMPUTED_VALUE"""),1.0)</f>
        <v>1</v>
      </c>
      <c r="K1274" s="5">
        <f>IFERROR(__xludf.DUMMYFUNCTION("""COMPUTED_VALUE"""),0.0017391304347826088)</f>
        <v>0.001739130435</v>
      </c>
      <c r="L1274" s="10">
        <f>IFERROR(__xludf.DUMMYFUNCTION("""COMPUTED_VALUE"""),575.0)</f>
        <v>575</v>
      </c>
      <c r="M1274" s="5">
        <f>IFERROR(__xludf.DUMMYFUNCTION("""COMPUTED_VALUE"""),1.0)</f>
        <v>1</v>
      </c>
    </row>
    <row r="1275">
      <c r="A1275" s="10" t="str">
        <f>IFERROR(__xludf.DUMMYFUNCTION("""COMPUTED_VALUE"""),"aeg754")</f>
        <v>aeg754</v>
      </c>
      <c r="B1275" s="10">
        <f>IFERROR(__xludf.DUMMYFUNCTION("""COMPUTED_VALUE"""),1803.0)</f>
        <v>1803</v>
      </c>
      <c r="C1275" s="10">
        <f>IFERROR(__xludf.DUMMYFUNCTION("""COMPUTED_VALUE"""),20843.0)</f>
        <v>20843</v>
      </c>
      <c r="D1275" s="5">
        <f>IFERROR(__xludf.DUMMYFUNCTION("""COMPUTED_VALUE"""),0.3365546218487395)</f>
        <v>0.3365546218</v>
      </c>
      <c r="E1275" s="5">
        <f>IFERROR(__xludf.DUMMYFUNCTION("""COMPUTED_VALUE"""),0.13797268907563026)</f>
        <v>0.1379726891</v>
      </c>
      <c r="F1275" s="5">
        <f>IFERROR(__xludf.DUMMYFUNCTION("""COMPUTED_VALUE"""),0.22211134453781511)</f>
        <v>0.2221113445</v>
      </c>
      <c r="G1275" s="5">
        <f>IFERROR(__xludf.DUMMYFUNCTION("""COMPUTED_VALUE"""),0.19427521008403362)</f>
        <v>0.1942752101</v>
      </c>
      <c r="H1275" s="5">
        <f>IFERROR(__xludf.DUMMYFUNCTION("""COMPUTED_VALUE"""),0.5930480018917001)</f>
        <v>0.5930480019</v>
      </c>
      <c r="I1275" s="11">
        <f>IFERROR(__xludf.DUMMYFUNCTION("""COMPUTED_VALUE"""),5980.208087018208)</f>
        <v>5980.208087</v>
      </c>
      <c r="J1275" s="10">
        <f>IFERROR(__xludf.DUMMYFUNCTION("""COMPUTED_VALUE"""),11.0)</f>
        <v>11</v>
      </c>
      <c r="K1275" s="5">
        <f>IFERROR(__xludf.DUMMYFUNCTION("""COMPUTED_VALUE"""),0.006100942872989462)</f>
        <v>0.006100942873</v>
      </c>
      <c r="L1275" s="10">
        <f>IFERROR(__xludf.DUMMYFUNCTION("""COMPUTED_VALUE"""),1803.0)</f>
        <v>1803</v>
      </c>
      <c r="M1275" s="5">
        <f>IFERROR(__xludf.DUMMYFUNCTION("""COMPUTED_VALUE"""),1.0)</f>
        <v>1</v>
      </c>
    </row>
    <row r="1276">
      <c r="A1276" s="10" t="str">
        <f>IFERROR(__xludf.DUMMYFUNCTION("""COMPUTED_VALUE"""),"ディソール")</f>
        <v>ディソール</v>
      </c>
      <c r="B1276" s="10">
        <f>IFERROR(__xludf.DUMMYFUNCTION("""COMPUTED_VALUE"""),1339.0)</f>
        <v>1339</v>
      </c>
      <c r="C1276" s="10">
        <f>IFERROR(__xludf.DUMMYFUNCTION("""COMPUTED_VALUE"""),15842.0)</f>
        <v>15842</v>
      </c>
      <c r="D1276" s="5">
        <f>IFERROR(__xludf.DUMMYFUNCTION("""COMPUTED_VALUE"""),0.3417913535130663)</f>
        <v>0.3417913535</v>
      </c>
      <c r="E1276" s="5">
        <f>IFERROR(__xludf.DUMMYFUNCTION("""COMPUTED_VALUE"""),0.1379714541818934)</f>
        <v>0.1379714542</v>
      </c>
      <c r="F1276" s="5">
        <f>IFERROR(__xludf.DUMMYFUNCTION("""COMPUTED_VALUE"""),0.21292146452458113)</f>
        <v>0.2129214645</v>
      </c>
      <c r="G1276" s="5">
        <f>IFERROR(__xludf.DUMMYFUNCTION("""COMPUTED_VALUE"""),0.18865062400882576)</f>
        <v>0.188650624</v>
      </c>
      <c r="H1276" s="5">
        <f>IFERROR(__xludf.DUMMYFUNCTION("""COMPUTED_VALUE"""),0.6175518134715026)</f>
        <v>0.6175518135</v>
      </c>
      <c r="I1276" s="11">
        <f>IFERROR(__xludf.DUMMYFUNCTION("""COMPUTED_VALUE"""),5842.551813471503)</f>
        <v>5842.551813</v>
      </c>
      <c r="J1276" s="10">
        <f>IFERROR(__xludf.DUMMYFUNCTION("""COMPUTED_VALUE"""),2.0)</f>
        <v>2</v>
      </c>
      <c r="K1276" s="5">
        <f>IFERROR(__xludf.DUMMYFUNCTION("""COMPUTED_VALUE"""),0.0014936519790888724)</f>
        <v>0.001493651979</v>
      </c>
      <c r="L1276" s="10">
        <f>IFERROR(__xludf.DUMMYFUNCTION("""COMPUTED_VALUE"""),1339.0)</f>
        <v>1339</v>
      </c>
      <c r="M1276" s="5">
        <f>IFERROR(__xludf.DUMMYFUNCTION("""COMPUTED_VALUE"""),1.0)</f>
        <v>1</v>
      </c>
    </row>
    <row r="1277">
      <c r="A1277" s="10" t="str">
        <f>IFERROR(__xludf.DUMMYFUNCTION("""COMPUTED_VALUE"""),"至宝すぎ")</f>
        <v>至宝すぎ</v>
      </c>
      <c r="B1277" s="10">
        <f>IFERROR(__xludf.DUMMYFUNCTION("""COMPUTED_VALUE"""),1417.0)</f>
        <v>1417</v>
      </c>
      <c r="C1277" s="10">
        <f>IFERROR(__xludf.DUMMYFUNCTION("""COMPUTED_VALUE"""),16639.0)</f>
        <v>16639</v>
      </c>
      <c r="D1277" s="5">
        <f>IFERROR(__xludf.DUMMYFUNCTION("""COMPUTED_VALUE"""),0.38746551044540795)</f>
        <v>0.3874655104</v>
      </c>
      <c r="E1277" s="5">
        <f>IFERROR(__xludf.DUMMYFUNCTION("""COMPUTED_VALUE"""),0.13795821836815136)</f>
        <v>0.1379582184</v>
      </c>
      <c r="F1277" s="5">
        <f>IFERROR(__xludf.DUMMYFUNCTION("""COMPUTED_VALUE"""),0.23098147418210485)</f>
        <v>0.2309814742</v>
      </c>
      <c r="G1277" s="5">
        <f>IFERROR(__xludf.DUMMYFUNCTION("""COMPUTED_VALUE"""),0.17895151754040206)</f>
        <v>0.1789515175</v>
      </c>
      <c r="H1277" s="5">
        <f>IFERROR(__xludf.DUMMYFUNCTION("""COMPUTED_VALUE"""),0.5952787258248009)</f>
        <v>0.5952787258</v>
      </c>
      <c r="I1277" s="11">
        <f>IFERROR(__xludf.DUMMYFUNCTION("""COMPUTED_VALUE"""),5384.442548350398)</f>
        <v>5384.442548</v>
      </c>
      <c r="J1277" s="10">
        <f>IFERROR(__xludf.DUMMYFUNCTION("""COMPUTED_VALUE"""),3.0)</f>
        <v>3</v>
      </c>
      <c r="K1277" s="5">
        <f>IFERROR(__xludf.DUMMYFUNCTION("""COMPUTED_VALUE"""),0.002117148906139732)</f>
        <v>0.002117148906</v>
      </c>
      <c r="L1277" s="10">
        <f>IFERROR(__xludf.DUMMYFUNCTION("""COMPUTED_VALUE"""),1417.0)</f>
        <v>1417</v>
      </c>
      <c r="M1277" s="5">
        <f>IFERROR(__xludf.DUMMYFUNCTION("""COMPUTED_VALUE"""),1.0)</f>
        <v>1</v>
      </c>
    </row>
    <row r="1278">
      <c r="A1278" s="10" t="str">
        <f>IFERROR(__xludf.DUMMYFUNCTION("""COMPUTED_VALUE"""),"放浪AI")</f>
        <v>放浪AI</v>
      </c>
      <c r="B1278" s="10">
        <f>IFERROR(__xludf.DUMMYFUNCTION("""COMPUTED_VALUE"""),138.0)</f>
        <v>138</v>
      </c>
      <c r="C1278" s="10">
        <f>IFERROR(__xludf.DUMMYFUNCTION("""COMPUTED_VALUE"""),1653.0)</f>
        <v>1653</v>
      </c>
      <c r="D1278" s="5">
        <f>IFERROR(__xludf.DUMMYFUNCTION("""COMPUTED_VALUE"""),0.2963696369636964)</f>
        <v>0.296369637</v>
      </c>
      <c r="E1278" s="5">
        <f>IFERROR(__xludf.DUMMYFUNCTION("""COMPUTED_VALUE"""),0.13795379537953795)</f>
        <v>0.1379537954</v>
      </c>
      <c r="F1278" s="5">
        <f>IFERROR(__xludf.DUMMYFUNCTION("""COMPUTED_VALUE"""),0.201980198019802)</f>
        <v>0.201980198</v>
      </c>
      <c r="G1278" s="5">
        <f>IFERROR(__xludf.DUMMYFUNCTION("""COMPUTED_VALUE"""),0.2132013201320132)</f>
        <v>0.2132013201</v>
      </c>
      <c r="H1278" s="5">
        <f>IFERROR(__xludf.DUMMYFUNCTION("""COMPUTED_VALUE"""),0.5784313725490197)</f>
        <v>0.5784313725</v>
      </c>
      <c r="I1278" s="11">
        <f>IFERROR(__xludf.DUMMYFUNCTION("""COMPUTED_VALUE"""),5326.470588235294)</f>
        <v>5326.470588</v>
      </c>
      <c r="J1278" s="10">
        <f>IFERROR(__xludf.DUMMYFUNCTION("""COMPUTED_VALUE"""),0.0)</f>
        <v>0</v>
      </c>
      <c r="K1278" s="5">
        <f>IFERROR(__xludf.DUMMYFUNCTION("""COMPUTED_VALUE"""),0.0)</f>
        <v>0</v>
      </c>
      <c r="L1278" s="10">
        <f>IFERROR(__xludf.DUMMYFUNCTION("""COMPUTED_VALUE"""),138.0)</f>
        <v>138</v>
      </c>
      <c r="M1278" s="5">
        <f>IFERROR(__xludf.DUMMYFUNCTION("""COMPUTED_VALUE"""),1.0)</f>
        <v>1</v>
      </c>
    </row>
    <row r="1279">
      <c r="A1279" s="10" t="str">
        <f>IFERROR(__xludf.DUMMYFUNCTION("""COMPUTED_VALUE"""),"TBACN")</f>
        <v>TBACN</v>
      </c>
      <c r="B1279" s="10">
        <f>IFERROR(__xludf.DUMMYFUNCTION("""COMPUTED_VALUE"""),400.0)</f>
        <v>400</v>
      </c>
      <c r="C1279" s="10">
        <f>IFERROR(__xludf.DUMMYFUNCTION("""COMPUTED_VALUE"""),4735.0)</f>
        <v>4735</v>
      </c>
      <c r="D1279" s="5">
        <f>IFERROR(__xludf.DUMMYFUNCTION("""COMPUTED_VALUE"""),0.3527104959630911)</f>
        <v>0.352710496</v>
      </c>
      <c r="E1279" s="5">
        <f>IFERROR(__xludf.DUMMYFUNCTION("""COMPUTED_VALUE"""),0.13794694348327566)</f>
        <v>0.1379469435</v>
      </c>
      <c r="F1279" s="5">
        <f>IFERROR(__xludf.DUMMYFUNCTION("""COMPUTED_VALUE"""),0.2140715109573241)</f>
        <v>0.214071511</v>
      </c>
      <c r="G1279" s="5">
        <f>IFERROR(__xludf.DUMMYFUNCTION("""COMPUTED_VALUE"""),0.15017301038062283)</f>
        <v>0.1501730104</v>
      </c>
      <c r="H1279" s="5">
        <f>IFERROR(__xludf.DUMMYFUNCTION("""COMPUTED_VALUE"""),0.5915948275862069)</f>
        <v>0.5915948276</v>
      </c>
      <c r="I1279" s="11">
        <f>IFERROR(__xludf.DUMMYFUNCTION("""COMPUTED_VALUE"""),5399.568965517241)</f>
        <v>5399.568966</v>
      </c>
      <c r="J1279" s="10">
        <f>IFERROR(__xludf.DUMMYFUNCTION("""COMPUTED_VALUE"""),1.0)</f>
        <v>1</v>
      </c>
      <c r="K1279" s="5">
        <f>IFERROR(__xludf.DUMMYFUNCTION("""COMPUTED_VALUE"""),0.0025)</f>
        <v>0.0025</v>
      </c>
      <c r="L1279" s="10">
        <f>IFERROR(__xludf.DUMMYFUNCTION("""COMPUTED_VALUE"""),400.0)</f>
        <v>400</v>
      </c>
      <c r="M1279" s="5">
        <f>IFERROR(__xludf.DUMMYFUNCTION("""COMPUTED_VALUE"""),1.0)</f>
        <v>1</v>
      </c>
    </row>
    <row r="1280">
      <c r="A1280" s="10" t="str">
        <f>IFERROR(__xludf.DUMMYFUNCTION("""COMPUTED_VALUE"""),"ちゃんうめ")</f>
        <v>ちゃんうめ</v>
      </c>
      <c r="B1280" s="10">
        <f>IFERROR(__xludf.DUMMYFUNCTION("""COMPUTED_VALUE"""),354.0)</f>
        <v>354</v>
      </c>
      <c r="C1280" s="10">
        <f>IFERROR(__xludf.DUMMYFUNCTION("""COMPUTED_VALUE"""),4131.0)</f>
        <v>4131</v>
      </c>
      <c r="D1280" s="5">
        <f>IFERROR(__xludf.DUMMYFUNCTION("""COMPUTED_VALUE"""),0.35451416468096375)</f>
        <v>0.3545141647</v>
      </c>
      <c r="E1280" s="5">
        <f>IFERROR(__xludf.DUMMYFUNCTION("""COMPUTED_VALUE"""),0.13794016415144295)</f>
        <v>0.1379401642</v>
      </c>
      <c r="F1280" s="5">
        <f>IFERROR(__xludf.DUMMYFUNCTION("""COMPUTED_VALUE"""),0.21710352131321153)</f>
        <v>0.2171035213</v>
      </c>
      <c r="G1280" s="5">
        <f>IFERROR(__xludf.DUMMYFUNCTION("""COMPUTED_VALUE"""),0.17235901509134233)</f>
        <v>0.1723590151</v>
      </c>
      <c r="H1280" s="5">
        <f>IFERROR(__xludf.DUMMYFUNCTION("""COMPUTED_VALUE"""),0.5939024390243902)</f>
        <v>0.593902439</v>
      </c>
      <c r="I1280" s="11">
        <f>IFERROR(__xludf.DUMMYFUNCTION("""COMPUTED_VALUE"""),5706.951219512195)</f>
        <v>5706.95122</v>
      </c>
      <c r="J1280" s="10">
        <f>IFERROR(__xludf.DUMMYFUNCTION("""COMPUTED_VALUE"""),1.0)</f>
        <v>1</v>
      </c>
      <c r="K1280" s="5">
        <f>IFERROR(__xludf.DUMMYFUNCTION("""COMPUTED_VALUE"""),0.002824858757062147)</f>
        <v>0.002824858757</v>
      </c>
      <c r="L1280" s="10">
        <f>IFERROR(__xludf.DUMMYFUNCTION("""COMPUTED_VALUE"""),354.0)</f>
        <v>354</v>
      </c>
      <c r="M1280" s="5">
        <f>IFERROR(__xludf.DUMMYFUNCTION("""COMPUTED_VALUE"""),1.0)</f>
        <v>1</v>
      </c>
    </row>
    <row r="1281">
      <c r="A1281" s="10" t="str">
        <f>IFERROR(__xludf.DUMMYFUNCTION("""COMPUTED_VALUE"""),"闘士☆きむりょー")</f>
        <v>闘士☆きむりょー</v>
      </c>
      <c r="B1281" s="10">
        <f>IFERROR(__xludf.DUMMYFUNCTION("""COMPUTED_VALUE"""),354.0)</f>
        <v>354</v>
      </c>
      <c r="C1281" s="10">
        <f>IFERROR(__xludf.DUMMYFUNCTION("""COMPUTED_VALUE"""),4124.0)</f>
        <v>4124</v>
      </c>
      <c r="D1281" s="5">
        <f>IFERROR(__xludf.DUMMYFUNCTION("""COMPUTED_VALUE"""),0.33819628647214856)</f>
        <v>0.3381962865</v>
      </c>
      <c r="E1281" s="5">
        <f>IFERROR(__xludf.DUMMYFUNCTION("""COMPUTED_VALUE"""),0.13793103448275862)</f>
        <v>0.1379310345</v>
      </c>
      <c r="F1281" s="5">
        <f>IFERROR(__xludf.DUMMYFUNCTION("""COMPUTED_VALUE"""),0.20875331564986738)</f>
        <v>0.2087533156</v>
      </c>
      <c r="G1281" s="5">
        <f>IFERROR(__xludf.DUMMYFUNCTION("""COMPUTED_VALUE"""),0.19442970822281166)</f>
        <v>0.1944297082</v>
      </c>
      <c r="H1281" s="5">
        <f>IFERROR(__xludf.DUMMYFUNCTION("""COMPUTED_VALUE"""),0.5832274459974587)</f>
        <v>0.583227446</v>
      </c>
      <c r="I1281" s="11">
        <f>IFERROR(__xludf.DUMMYFUNCTION("""COMPUTED_VALUE"""),5633.5451080050825)</f>
        <v>5633.545108</v>
      </c>
      <c r="J1281" s="10">
        <f>IFERROR(__xludf.DUMMYFUNCTION("""COMPUTED_VALUE"""),0.0)</f>
        <v>0</v>
      </c>
      <c r="K1281" s="5">
        <f>IFERROR(__xludf.DUMMYFUNCTION("""COMPUTED_VALUE"""),0.0)</f>
        <v>0</v>
      </c>
      <c r="L1281" s="10">
        <f>IFERROR(__xludf.DUMMYFUNCTION("""COMPUTED_VALUE"""),260.0)</f>
        <v>260</v>
      </c>
      <c r="M1281" s="5">
        <f>IFERROR(__xludf.DUMMYFUNCTION("""COMPUTED_VALUE"""),0.7344632768361582)</f>
        <v>0.7344632768</v>
      </c>
    </row>
    <row r="1282">
      <c r="A1282" s="10" t="str">
        <f>IFERROR(__xludf.DUMMYFUNCTION("""COMPUTED_VALUE"""),"ギタンマムル。")</f>
        <v>ギタンマムル。</v>
      </c>
      <c r="B1282" s="10">
        <f>IFERROR(__xludf.DUMMYFUNCTION("""COMPUTED_VALUE"""),950.0)</f>
        <v>950</v>
      </c>
      <c r="C1282" s="10">
        <f>IFERROR(__xludf.DUMMYFUNCTION("""COMPUTED_VALUE"""),11289.0)</f>
        <v>11289</v>
      </c>
      <c r="D1282" s="5">
        <f>IFERROR(__xludf.DUMMYFUNCTION("""COMPUTED_VALUE"""),0.3180191507882774)</f>
        <v>0.3180191508</v>
      </c>
      <c r="E1282" s="5">
        <f>IFERROR(__xludf.DUMMYFUNCTION("""COMPUTED_VALUE"""),0.13792436405841957)</f>
        <v>0.1379243641</v>
      </c>
      <c r="F1282" s="5">
        <f>IFERROR(__xludf.DUMMYFUNCTION("""COMPUTED_VALUE"""),0.2291324112583422)</f>
        <v>0.2291324113</v>
      </c>
      <c r="G1282" s="5">
        <f>IFERROR(__xludf.DUMMYFUNCTION("""COMPUTED_VALUE"""),0.18057839249443852)</f>
        <v>0.1805783925</v>
      </c>
      <c r="H1282" s="5">
        <f>IFERROR(__xludf.DUMMYFUNCTION("""COMPUTED_VALUE"""),0.5956099620092866)</f>
        <v>0.595609962</v>
      </c>
      <c r="I1282" s="11">
        <f>IFERROR(__xludf.DUMMYFUNCTION("""COMPUTED_VALUE"""),5641.53651329675)</f>
        <v>5641.536513</v>
      </c>
      <c r="J1282" s="10">
        <f>IFERROR(__xludf.DUMMYFUNCTION("""COMPUTED_VALUE"""),1.0)</f>
        <v>1</v>
      </c>
      <c r="K1282" s="5">
        <f>IFERROR(__xludf.DUMMYFUNCTION("""COMPUTED_VALUE"""),0.0010526315789473684)</f>
        <v>0.001052631579</v>
      </c>
      <c r="L1282" s="10">
        <f>IFERROR(__xludf.DUMMYFUNCTION("""COMPUTED_VALUE"""),950.0)</f>
        <v>950</v>
      </c>
      <c r="M1282" s="5">
        <f>IFERROR(__xludf.DUMMYFUNCTION("""COMPUTED_VALUE"""),1.0)</f>
        <v>1</v>
      </c>
    </row>
    <row r="1283">
      <c r="A1283" s="10" t="str">
        <f>IFERROR(__xludf.DUMMYFUNCTION("""COMPUTED_VALUE"""),"Fed-68")</f>
        <v>Fed-68</v>
      </c>
      <c r="B1283" s="10">
        <f>IFERROR(__xludf.DUMMYFUNCTION("""COMPUTED_VALUE"""),282.0)</f>
        <v>282</v>
      </c>
      <c r="C1283" s="10">
        <f>IFERROR(__xludf.DUMMYFUNCTION("""COMPUTED_VALUE"""),3291.0)</f>
        <v>3291</v>
      </c>
      <c r="D1283" s="5">
        <f>IFERROR(__xludf.DUMMYFUNCTION("""COMPUTED_VALUE"""),0.31106679960119643)</f>
        <v>0.3110667996</v>
      </c>
      <c r="E1283" s="5">
        <f>IFERROR(__xludf.DUMMYFUNCTION("""COMPUTED_VALUE"""),0.13791957460950482)</f>
        <v>0.1379195746</v>
      </c>
      <c r="F1283" s="5">
        <f>IFERROR(__xludf.DUMMYFUNCTION("""COMPUTED_VALUE"""),0.22233300099700898)</f>
        <v>0.222333001</v>
      </c>
      <c r="G1283" s="5">
        <f>IFERROR(__xludf.DUMMYFUNCTION("""COMPUTED_VALUE"""),0.1701561980724493)</f>
        <v>0.1701561981</v>
      </c>
      <c r="H1283" s="5">
        <f>IFERROR(__xludf.DUMMYFUNCTION("""COMPUTED_VALUE"""),0.6068759342301944)</f>
        <v>0.6068759342</v>
      </c>
      <c r="I1283" s="11">
        <f>IFERROR(__xludf.DUMMYFUNCTION("""COMPUTED_VALUE"""),5319.880418535127)</f>
        <v>5319.880419</v>
      </c>
      <c r="J1283" s="10">
        <f>IFERROR(__xludf.DUMMYFUNCTION("""COMPUTED_VALUE"""),1.0)</f>
        <v>1</v>
      </c>
      <c r="K1283" s="5">
        <f>IFERROR(__xludf.DUMMYFUNCTION("""COMPUTED_VALUE"""),0.0035460992907801418)</f>
        <v>0.003546099291</v>
      </c>
      <c r="L1283" s="10">
        <f>IFERROR(__xludf.DUMMYFUNCTION("""COMPUTED_VALUE"""),282.0)</f>
        <v>282</v>
      </c>
      <c r="M1283" s="5">
        <f>IFERROR(__xludf.DUMMYFUNCTION("""COMPUTED_VALUE"""),1.0)</f>
        <v>1</v>
      </c>
    </row>
    <row r="1284">
      <c r="A1284" s="10" t="str">
        <f>IFERROR(__xludf.DUMMYFUNCTION("""COMPUTED_VALUE"""),"ヾ(・∀・；)")</f>
        <v>ヾ(・∀・；)</v>
      </c>
      <c r="B1284" s="10">
        <f>IFERROR(__xludf.DUMMYFUNCTION("""COMPUTED_VALUE"""),743.0)</f>
        <v>743</v>
      </c>
      <c r="C1284" s="10">
        <f>IFERROR(__xludf.DUMMYFUNCTION("""COMPUTED_VALUE"""),8538.0)</f>
        <v>8538</v>
      </c>
      <c r="D1284" s="5">
        <f>IFERROR(__xludf.DUMMYFUNCTION("""COMPUTED_VALUE"""),0.36536241180243745)</f>
        <v>0.3653624118</v>
      </c>
      <c r="E1284" s="5">
        <f>IFERROR(__xludf.DUMMYFUNCTION("""COMPUTED_VALUE"""),0.1379089159717768)</f>
        <v>0.137908916</v>
      </c>
      <c r="F1284" s="5">
        <f>IFERROR(__xludf.DUMMYFUNCTION("""COMPUTED_VALUE"""),0.2144964720974984)</f>
        <v>0.2144964721</v>
      </c>
      <c r="G1284" s="5">
        <f>IFERROR(__xludf.DUMMYFUNCTION("""COMPUTED_VALUE"""),0.19563822963438102)</f>
        <v>0.1956382296</v>
      </c>
      <c r="H1284" s="5">
        <f>IFERROR(__xludf.DUMMYFUNCTION("""COMPUTED_VALUE"""),0.597488038277512)</f>
        <v>0.5974880383</v>
      </c>
      <c r="I1284" s="11">
        <f>IFERROR(__xludf.DUMMYFUNCTION("""COMPUTED_VALUE"""),5681.698564593302)</f>
        <v>5681.698565</v>
      </c>
      <c r="J1284" s="10">
        <f>IFERROR(__xludf.DUMMYFUNCTION("""COMPUTED_VALUE"""),4.0)</f>
        <v>4</v>
      </c>
      <c r="K1284" s="5">
        <f>IFERROR(__xludf.DUMMYFUNCTION("""COMPUTED_VALUE"""),0.005383580080753701)</f>
        <v>0.005383580081</v>
      </c>
      <c r="L1284" s="10">
        <f>IFERROR(__xludf.DUMMYFUNCTION("""COMPUTED_VALUE"""),743.0)</f>
        <v>743</v>
      </c>
      <c r="M1284" s="5">
        <f>IFERROR(__xludf.DUMMYFUNCTION("""COMPUTED_VALUE"""),1.0)</f>
        <v>1</v>
      </c>
    </row>
    <row r="1285">
      <c r="A1285" s="10" t="str">
        <f>IFERROR(__xludf.DUMMYFUNCTION("""COMPUTED_VALUE"""),"＠くろねこどー＠")</f>
        <v>＠くろねこどー＠</v>
      </c>
      <c r="B1285" s="10">
        <f>IFERROR(__xludf.DUMMYFUNCTION("""COMPUTED_VALUE"""),436.0)</f>
        <v>436</v>
      </c>
      <c r="C1285" s="10">
        <f>IFERROR(__xludf.DUMMYFUNCTION("""COMPUTED_VALUE"""),5113.0)</f>
        <v>5113</v>
      </c>
      <c r="D1285" s="5">
        <f>IFERROR(__xludf.DUMMYFUNCTION("""COMPUTED_VALUE"""),0.32884327560401966)</f>
        <v>0.3288432756</v>
      </c>
      <c r="E1285" s="5">
        <f>IFERROR(__xludf.DUMMYFUNCTION("""COMPUTED_VALUE"""),0.1379089159717768)</f>
        <v>0.137908916</v>
      </c>
      <c r="F1285" s="5">
        <f>IFERROR(__xludf.DUMMYFUNCTION("""COMPUTED_VALUE"""),0.2065426555484285)</f>
        <v>0.2065426555</v>
      </c>
      <c r="G1285" s="5">
        <f>IFERROR(__xludf.DUMMYFUNCTION("""COMPUTED_VALUE"""),0.1721188796236904)</f>
        <v>0.1721188796</v>
      </c>
      <c r="H1285" s="5">
        <f>IFERROR(__xludf.DUMMYFUNCTION("""COMPUTED_VALUE"""),0.593167701863354)</f>
        <v>0.5931677019</v>
      </c>
      <c r="I1285" s="11">
        <f>IFERROR(__xludf.DUMMYFUNCTION("""COMPUTED_VALUE"""),6033.333333333333)</f>
        <v>6033.333333</v>
      </c>
      <c r="J1285" s="10">
        <f>IFERROR(__xludf.DUMMYFUNCTION("""COMPUTED_VALUE"""),0.0)</f>
        <v>0</v>
      </c>
      <c r="K1285" s="5">
        <f>IFERROR(__xludf.DUMMYFUNCTION("""COMPUTED_VALUE"""),0.0)</f>
        <v>0</v>
      </c>
      <c r="L1285" s="10">
        <f>IFERROR(__xludf.DUMMYFUNCTION("""COMPUTED_VALUE"""),436.0)</f>
        <v>436</v>
      </c>
      <c r="M1285" s="5">
        <f>IFERROR(__xludf.DUMMYFUNCTION("""COMPUTED_VALUE"""),1.0)</f>
        <v>1</v>
      </c>
    </row>
    <row r="1286">
      <c r="A1286" s="10" t="str">
        <f>IFERROR(__xludf.DUMMYFUNCTION("""COMPUTED_VALUE"""),"久遠悠紀")</f>
        <v>久遠悠紀</v>
      </c>
      <c r="B1286" s="10">
        <f>IFERROR(__xludf.DUMMYFUNCTION("""COMPUTED_VALUE"""),143.0)</f>
        <v>143</v>
      </c>
      <c r="C1286" s="10">
        <f>IFERROR(__xludf.DUMMYFUNCTION("""COMPUTED_VALUE"""),1673.0)</f>
        <v>1673</v>
      </c>
      <c r="D1286" s="5">
        <f>IFERROR(__xludf.DUMMYFUNCTION("""COMPUTED_VALUE"""),0.34509803921568627)</f>
        <v>0.3450980392</v>
      </c>
      <c r="E1286" s="5">
        <f>IFERROR(__xludf.DUMMYFUNCTION("""COMPUTED_VALUE"""),0.13790849673202615)</f>
        <v>0.1379084967</v>
      </c>
      <c r="F1286" s="5">
        <f>IFERROR(__xludf.DUMMYFUNCTION("""COMPUTED_VALUE"""),0.18562091503267975)</f>
        <v>0.185620915</v>
      </c>
      <c r="G1286" s="5">
        <f>IFERROR(__xludf.DUMMYFUNCTION("""COMPUTED_VALUE"""),0.15816993464052287)</f>
        <v>0.1581699346</v>
      </c>
      <c r="H1286" s="5">
        <f>IFERROR(__xludf.DUMMYFUNCTION("""COMPUTED_VALUE"""),0.5704225352112676)</f>
        <v>0.5704225352</v>
      </c>
      <c r="I1286" s="11">
        <f>IFERROR(__xludf.DUMMYFUNCTION("""COMPUTED_VALUE"""),5713.028169014085)</f>
        <v>5713.028169</v>
      </c>
      <c r="J1286" s="10">
        <f>IFERROR(__xludf.DUMMYFUNCTION("""COMPUTED_VALUE"""),0.0)</f>
        <v>0</v>
      </c>
      <c r="K1286" s="5">
        <f>IFERROR(__xludf.DUMMYFUNCTION("""COMPUTED_VALUE"""),0.0)</f>
        <v>0</v>
      </c>
      <c r="L1286" s="10">
        <f>IFERROR(__xludf.DUMMYFUNCTION("""COMPUTED_VALUE"""),143.0)</f>
        <v>143</v>
      </c>
      <c r="M1286" s="5">
        <f>IFERROR(__xludf.DUMMYFUNCTION("""COMPUTED_VALUE"""),1.0)</f>
        <v>1</v>
      </c>
    </row>
    <row r="1287">
      <c r="A1287" s="10" t="str">
        <f>IFERROR(__xludf.DUMMYFUNCTION("""COMPUTED_VALUE"""),"kobutan")</f>
        <v>kobutan</v>
      </c>
      <c r="B1287" s="10">
        <f>IFERROR(__xludf.DUMMYFUNCTION("""COMPUTED_VALUE"""),189.0)</f>
        <v>189</v>
      </c>
      <c r="C1287" s="10">
        <f>IFERROR(__xludf.DUMMYFUNCTION("""COMPUTED_VALUE"""),2205.0)</f>
        <v>2205</v>
      </c>
      <c r="D1287" s="5">
        <f>IFERROR(__xludf.DUMMYFUNCTION("""COMPUTED_VALUE"""),0.3382936507936508)</f>
        <v>0.3382936508</v>
      </c>
      <c r="E1287" s="5">
        <f>IFERROR(__xludf.DUMMYFUNCTION("""COMPUTED_VALUE"""),0.1378968253968254)</f>
        <v>0.1378968254</v>
      </c>
      <c r="F1287" s="5">
        <f>IFERROR(__xludf.DUMMYFUNCTION("""COMPUTED_VALUE"""),0.21577380952380953)</f>
        <v>0.2157738095</v>
      </c>
      <c r="G1287" s="5">
        <f>IFERROR(__xludf.DUMMYFUNCTION("""COMPUTED_VALUE"""),0.19593253968253968)</f>
        <v>0.1959325397</v>
      </c>
      <c r="H1287" s="5">
        <f>IFERROR(__xludf.DUMMYFUNCTION("""COMPUTED_VALUE"""),0.5839080459770115)</f>
        <v>0.583908046</v>
      </c>
      <c r="I1287" s="11">
        <f>IFERROR(__xludf.DUMMYFUNCTION("""COMPUTED_VALUE"""),5801.609195402299)</f>
        <v>5801.609195</v>
      </c>
      <c r="J1287" s="10">
        <f>IFERROR(__xludf.DUMMYFUNCTION("""COMPUTED_VALUE"""),0.0)</f>
        <v>0</v>
      </c>
      <c r="K1287" s="5">
        <f>IFERROR(__xludf.DUMMYFUNCTION("""COMPUTED_VALUE"""),0.0)</f>
        <v>0</v>
      </c>
      <c r="L1287" s="10">
        <f>IFERROR(__xludf.DUMMYFUNCTION("""COMPUTED_VALUE"""),189.0)</f>
        <v>189</v>
      </c>
      <c r="M1287" s="5">
        <f>IFERROR(__xludf.DUMMYFUNCTION("""COMPUTED_VALUE"""),1.0)</f>
        <v>1</v>
      </c>
    </row>
    <row r="1288">
      <c r="A1288" s="10" t="str">
        <f>IFERROR(__xludf.DUMMYFUNCTION("""COMPUTED_VALUE"""),"ツモ")</f>
        <v>ツモ</v>
      </c>
      <c r="B1288" s="10">
        <f>IFERROR(__xludf.DUMMYFUNCTION("""COMPUTED_VALUE"""),171.0)</f>
        <v>171</v>
      </c>
      <c r="C1288" s="10">
        <f>IFERROR(__xludf.DUMMYFUNCTION("""COMPUTED_VALUE"""),1955.0)</f>
        <v>1955</v>
      </c>
      <c r="D1288" s="5">
        <f>IFERROR(__xludf.DUMMYFUNCTION("""COMPUTED_VALUE"""),0.38172645739910316)</f>
        <v>0.3817264574</v>
      </c>
      <c r="E1288" s="5">
        <f>IFERROR(__xludf.DUMMYFUNCTION("""COMPUTED_VALUE"""),0.13789237668161436)</f>
        <v>0.1378923767</v>
      </c>
      <c r="F1288" s="5">
        <f>IFERROR(__xludf.DUMMYFUNCTION("""COMPUTED_VALUE"""),0.20571748878923768)</f>
        <v>0.2057174888</v>
      </c>
      <c r="G1288" s="5">
        <f>IFERROR(__xludf.DUMMYFUNCTION("""COMPUTED_VALUE"""),0.15751121076233185)</f>
        <v>0.1575112108</v>
      </c>
      <c r="H1288" s="5">
        <f>IFERROR(__xludf.DUMMYFUNCTION("""COMPUTED_VALUE"""),0.5967302452316077)</f>
        <v>0.5967302452</v>
      </c>
      <c r="I1288" s="11">
        <f>IFERROR(__xludf.DUMMYFUNCTION("""COMPUTED_VALUE"""),5911.989100817439)</f>
        <v>5911.989101</v>
      </c>
      <c r="J1288" s="10">
        <f>IFERROR(__xludf.DUMMYFUNCTION("""COMPUTED_VALUE"""),2.0)</f>
        <v>2</v>
      </c>
      <c r="K1288" s="5">
        <f>IFERROR(__xludf.DUMMYFUNCTION("""COMPUTED_VALUE"""),0.011695906432748537)</f>
        <v>0.01169590643</v>
      </c>
      <c r="L1288" s="10">
        <f>IFERROR(__xludf.DUMMYFUNCTION("""COMPUTED_VALUE"""),171.0)</f>
        <v>171</v>
      </c>
      <c r="M1288" s="5">
        <f>IFERROR(__xludf.DUMMYFUNCTION("""COMPUTED_VALUE"""),1.0)</f>
        <v>1</v>
      </c>
    </row>
    <row r="1289">
      <c r="A1289" s="10" t="str">
        <f>IFERROR(__xludf.DUMMYFUNCTION("""COMPUTED_VALUE"""),"まるすけ")</f>
        <v>まるすけ</v>
      </c>
      <c r="B1289" s="10">
        <f>IFERROR(__xludf.DUMMYFUNCTION("""COMPUTED_VALUE"""),1537.0)</f>
        <v>1537</v>
      </c>
      <c r="C1289" s="10">
        <f>IFERROR(__xludf.DUMMYFUNCTION("""COMPUTED_VALUE"""),18043.0)</f>
        <v>18043</v>
      </c>
      <c r="D1289" s="5">
        <f>IFERROR(__xludf.DUMMYFUNCTION("""COMPUTED_VALUE"""),0.42487580273839815)</f>
        <v>0.4248758027</v>
      </c>
      <c r="E1289" s="5">
        <f>IFERROR(__xludf.DUMMYFUNCTION("""COMPUTED_VALUE"""),0.13788925239306918)</f>
        <v>0.1378892524</v>
      </c>
      <c r="F1289" s="5">
        <f>IFERROR(__xludf.DUMMYFUNCTION("""COMPUTED_VALUE"""),0.22464558342420937)</f>
        <v>0.2246455834</v>
      </c>
      <c r="G1289" s="5">
        <f>IFERROR(__xludf.DUMMYFUNCTION("""COMPUTED_VALUE"""),0.1883557494244517)</f>
        <v>0.1883557494</v>
      </c>
      <c r="H1289" s="5">
        <f>IFERROR(__xludf.DUMMYFUNCTION("""COMPUTED_VALUE"""),0.6008629989212514)</f>
        <v>0.6008629989</v>
      </c>
      <c r="I1289" s="11">
        <f>IFERROR(__xludf.DUMMYFUNCTION("""COMPUTED_VALUE"""),5512.028047464941)</f>
        <v>5512.028047</v>
      </c>
      <c r="J1289" s="10">
        <f>IFERROR(__xludf.DUMMYFUNCTION("""COMPUTED_VALUE"""),1.0)</f>
        <v>1</v>
      </c>
      <c r="K1289" s="5">
        <f>IFERROR(__xludf.DUMMYFUNCTION("""COMPUTED_VALUE"""),6.506180871828237E-4)</f>
        <v>0.0006506180872</v>
      </c>
      <c r="L1289" s="10">
        <f>IFERROR(__xludf.DUMMYFUNCTION("""COMPUTED_VALUE"""),1537.0)</f>
        <v>1537</v>
      </c>
      <c r="M1289" s="5">
        <f>IFERROR(__xludf.DUMMYFUNCTION("""COMPUTED_VALUE"""),1.0)</f>
        <v>1</v>
      </c>
    </row>
    <row r="1290">
      <c r="A1290" s="10" t="str">
        <f>IFERROR(__xludf.DUMMYFUNCTION("""COMPUTED_VALUE"""),"くぅちゃん＠PE")</f>
        <v>くぅちゃん＠PE</v>
      </c>
      <c r="B1290" s="10">
        <f>IFERROR(__xludf.DUMMYFUNCTION("""COMPUTED_VALUE"""),1950.0)</f>
        <v>1950</v>
      </c>
      <c r="C1290" s="10">
        <f>IFERROR(__xludf.DUMMYFUNCTION("""COMPUTED_VALUE"""),22757.0)</f>
        <v>22757</v>
      </c>
      <c r="D1290" s="5">
        <f>IFERROR(__xludf.DUMMYFUNCTION("""COMPUTED_VALUE"""),0.3493055221800356)</f>
        <v>0.3493055222</v>
      </c>
      <c r="E1290" s="5">
        <f>IFERROR(__xludf.DUMMYFUNCTION("""COMPUTED_VALUE"""),0.1378862882683712)</f>
        <v>0.1378862883</v>
      </c>
      <c r="F1290" s="5">
        <f>IFERROR(__xludf.DUMMYFUNCTION("""COMPUTED_VALUE"""),0.22602970154275004)</f>
        <v>0.2260297015</v>
      </c>
      <c r="G1290" s="5">
        <f>IFERROR(__xludf.DUMMYFUNCTION("""COMPUTED_VALUE"""),0.1839765463545922)</f>
        <v>0.1839765464</v>
      </c>
      <c r="H1290" s="5">
        <f>IFERROR(__xludf.DUMMYFUNCTION("""COMPUTED_VALUE"""),0.6059961726557517)</f>
        <v>0.6059961727</v>
      </c>
      <c r="I1290" s="11">
        <f>IFERROR(__xludf.DUMMYFUNCTION("""COMPUTED_VALUE"""),5623.920901552201)</f>
        <v>5623.920902</v>
      </c>
      <c r="J1290" s="10">
        <f>IFERROR(__xludf.DUMMYFUNCTION("""COMPUTED_VALUE"""),5.0)</f>
        <v>5</v>
      </c>
      <c r="K1290" s="5">
        <f>IFERROR(__xludf.DUMMYFUNCTION("""COMPUTED_VALUE"""),0.002564102564102564)</f>
        <v>0.002564102564</v>
      </c>
      <c r="L1290" s="10">
        <f>IFERROR(__xludf.DUMMYFUNCTION("""COMPUTED_VALUE"""),1950.0)</f>
        <v>1950</v>
      </c>
      <c r="M1290" s="5">
        <f>IFERROR(__xludf.DUMMYFUNCTION("""COMPUTED_VALUE"""),1.0)</f>
        <v>1</v>
      </c>
    </row>
    <row r="1291">
      <c r="A1291" s="10" t="str">
        <f>IFERROR(__xludf.DUMMYFUNCTION("""COMPUTED_VALUE"""),"CURRYMAN")</f>
        <v>CURRYMAN</v>
      </c>
      <c r="B1291" s="10">
        <f>IFERROR(__xludf.DUMMYFUNCTION("""COMPUTED_VALUE"""),681.0)</f>
        <v>681</v>
      </c>
      <c r="C1291" s="10">
        <f>IFERROR(__xludf.DUMMYFUNCTION("""COMPUTED_VALUE"""),7999.0)</f>
        <v>7999</v>
      </c>
      <c r="D1291" s="5">
        <f>IFERROR(__xludf.DUMMYFUNCTION("""COMPUTED_VALUE"""),0.4323585679147308)</f>
        <v>0.4323585679</v>
      </c>
      <c r="E1291" s="5">
        <f>IFERROR(__xludf.DUMMYFUNCTION("""COMPUTED_VALUE"""),0.13787920196775075)</f>
        <v>0.137879202</v>
      </c>
      <c r="F1291" s="5">
        <f>IFERROR(__xludf.DUMMYFUNCTION("""COMPUTED_VALUE"""),0.21631593331511342)</f>
        <v>0.2163159333</v>
      </c>
      <c r="G1291" s="5">
        <f>IFERROR(__xludf.DUMMYFUNCTION("""COMPUTED_VALUE"""),0.1559169171904892)</f>
        <v>0.1559169172</v>
      </c>
      <c r="H1291" s="5">
        <f>IFERROR(__xludf.DUMMYFUNCTION("""COMPUTED_VALUE"""),0.5988629185091598)</f>
        <v>0.5988629185</v>
      </c>
      <c r="I1291" s="11">
        <f>IFERROR(__xludf.DUMMYFUNCTION("""COMPUTED_VALUE"""),5589.639924194567)</f>
        <v>5589.639924</v>
      </c>
      <c r="J1291" s="10">
        <f>IFERROR(__xludf.DUMMYFUNCTION("""COMPUTED_VALUE"""),1.0)</f>
        <v>1</v>
      </c>
      <c r="K1291" s="5">
        <f>IFERROR(__xludf.DUMMYFUNCTION("""COMPUTED_VALUE"""),0.0014684287812041115)</f>
        <v>0.001468428781</v>
      </c>
      <c r="L1291" s="10">
        <f>IFERROR(__xludf.DUMMYFUNCTION("""COMPUTED_VALUE"""),681.0)</f>
        <v>681</v>
      </c>
      <c r="M1291" s="5">
        <f>IFERROR(__xludf.DUMMYFUNCTION("""COMPUTED_VALUE"""),1.0)</f>
        <v>1</v>
      </c>
    </row>
    <row r="1292">
      <c r="A1292" s="10" t="str">
        <f>IFERROR(__xludf.DUMMYFUNCTION("""COMPUTED_VALUE"""),"いちまるくん")</f>
        <v>いちまるくん</v>
      </c>
      <c r="B1292" s="10">
        <f>IFERROR(__xludf.DUMMYFUNCTION("""COMPUTED_VALUE"""),275.0)</f>
        <v>275</v>
      </c>
      <c r="C1292" s="10">
        <f>IFERROR(__xludf.DUMMYFUNCTION("""COMPUTED_VALUE"""),3198.0)</f>
        <v>3198</v>
      </c>
      <c r="D1292" s="5">
        <f>IFERROR(__xludf.DUMMYFUNCTION("""COMPUTED_VALUE"""),0.36264112213479305)</f>
        <v>0.3626411221</v>
      </c>
      <c r="E1292" s="5">
        <f>IFERROR(__xludf.DUMMYFUNCTION("""COMPUTED_VALUE"""),0.13787204926445432)</f>
        <v>0.1378720493</v>
      </c>
      <c r="F1292" s="5">
        <f>IFERROR(__xludf.DUMMYFUNCTION("""COMPUTED_VALUE"""),0.23913787204926445)</f>
        <v>0.239137872</v>
      </c>
      <c r="G1292" s="5">
        <f>IFERROR(__xludf.DUMMYFUNCTION("""COMPUTED_VALUE"""),0.17584673280875812)</f>
        <v>0.1758467328</v>
      </c>
      <c r="H1292" s="5">
        <f>IFERROR(__xludf.DUMMYFUNCTION("""COMPUTED_VALUE"""),0.6208869814020028)</f>
        <v>0.6208869814</v>
      </c>
      <c r="I1292" s="11">
        <f>IFERROR(__xludf.DUMMYFUNCTION("""COMPUTED_VALUE"""),5337.195994277539)</f>
        <v>5337.195994</v>
      </c>
      <c r="J1292" s="10">
        <f>IFERROR(__xludf.DUMMYFUNCTION("""COMPUTED_VALUE"""),0.0)</f>
        <v>0</v>
      </c>
      <c r="K1292" s="5">
        <f>IFERROR(__xludf.DUMMYFUNCTION("""COMPUTED_VALUE"""),0.0)</f>
        <v>0</v>
      </c>
      <c r="L1292" s="10">
        <f>IFERROR(__xludf.DUMMYFUNCTION("""COMPUTED_VALUE"""),275.0)</f>
        <v>275</v>
      </c>
      <c r="M1292" s="5">
        <f>IFERROR(__xludf.DUMMYFUNCTION("""COMPUTED_VALUE"""),1.0)</f>
        <v>1</v>
      </c>
    </row>
    <row r="1293">
      <c r="A1293" s="10" t="str">
        <f>IFERROR(__xludf.DUMMYFUNCTION("""COMPUTED_VALUE"""),"3nssErdA")</f>
        <v>3nssErdA</v>
      </c>
      <c r="B1293" s="10">
        <f>IFERROR(__xludf.DUMMYFUNCTION("""COMPUTED_VALUE"""),186.0)</f>
        <v>186</v>
      </c>
      <c r="C1293" s="10">
        <f>IFERROR(__xludf.DUMMYFUNCTION("""COMPUTED_VALUE"""),2246.0)</f>
        <v>2246</v>
      </c>
      <c r="D1293" s="5">
        <f>IFERROR(__xludf.DUMMYFUNCTION("""COMPUTED_VALUE"""),0.37766990291262137)</f>
        <v>0.3776699029</v>
      </c>
      <c r="E1293" s="5">
        <f>IFERROR(__xludf.DUMMYFUNCTION("""COMPUTED_VALUE"""),0.1378640776699029)</f>
        <v>0.1378640777</v>
      </c>
      <c r="F1293" s="5">
        <f>IFERROR(__xludf.DUMMYFUNCTION("""COMPUTED_VALUE"""),0.18543689320388348)</f>
        <v>0.1854368932</v>
      </c>
      <c r="G1293" s="5">
        <f>IFERROR(__xludf.DUMMYFUNCTION("""COMPUTED_VALUE"""),0.1441747572815534)</f>
        <v>0.1441747573</v>
      </c>
      <c r="H1293" s="5">
        <f>IFERROR(__xludf.DUMMYFUNCTION("""COMPUTED_VALUE"""),0.6073298429319371)</f>
        <v>0.6073298429</v>
      </c>
      <c r="I1293" s="11">
        <f>IFERROR(__xludf.DUMMYFUNCTION("""COMPUTED_VALUE"""),5671.204188481675)</f>
        <v>5671.204188</v>
      </c>
      <c r="J1293" s="10">
        <f>IFERROR(__xludf.DUMMYFUNCTION("""COMPUTED_VALUE"""),0.0)</f>
        <v>0</v>
      </c>
      <c r="K1293" s="5">
        <f>IFERROR(__xludf.DUMMYFUNCTION("""COMPUTED_VALUE"""),0.0)</f>
        <v>0</v>
      </c>
      <c r="L1293" s="10">
        <f>IFERROR(__xludf.DUMMYFUNCTION("""COMPUTED_VALUE"""),186.0)</f>
        <v>186</v>
      </c>
      <c r="M1293" s="5">
        <f>IFERROR(__xludf.DUMMYFUNCTION("""COMPUTED_VALUE"""),1.0)</f>
        <v>1</v>
      </c>
    </row>
    <row r="1294">
      <c r="A1294" s="10" t="str">
        <f>IFERROR(__xludf.DUMMYFUNCTION("""COMPUTED_VALUE"""),"ショーマ")</f>
        <v>ショーマ</v>
      </c>
      <c r="B1294" s="10">
        <f>IFERROR(__xludf.DUMMYFUNCTION("""COMPUTED_VALUE"""),887.0)</f>
        <v>887</v>
      </c>
      <c r="C1294" s="10">
        <f>IFERROR(__xludf.DUMMYFUNCTION("""COMPUTED_VALUE"""),10288.0)</f>
        <v>10288</v>
      </c>
      <c r="D1294" s="5">
        <f>IFERROR(__xludf.DUMMYFUNCTION("""COMPUTED_VALUE"""),0.3136900329752154)</f>
        <v>0.313690033</v>
      </c>
      <c r="E1294" s="5">
        <f>IFERROR(__xludf.DUMMYFUNCTION("""COMPUTED_VALUE"""),0.1378576747154558)</f>
        <v>0.1378576747</v>
      </c>
      <c r="F1294" s="5">
        <f>IFERROR(__xludf.DUMMYFUNCTION("""COMPUTED_VALUE"""),0.2008296989681949)</f>
        <v>0.200829699</v>
      </c>
      <c r="G1294" s="5">
        <f>IFERROR(__xludf.DUMMYFUNCTION("""COMPUTED_VALUE"""),0.17795979151154132)</f>
        <v>0.1779597915</v>
      </c>
      <c r="H1294" s="5">
        <f>IFERROR(__xludf.DUMMYFUNCTION("""COMPUTED_VALUE"""),0.6101694915254238)</f>
        <v>0.6101694915</v>
      </c>
      <c r="I1294" s="11">
        <f>IFERROR(__xludf.DUMMYFUNCTION("""COMPUTED_VALUE"""),6085.063559322034)</f>
        <v>6085.063559</v>
      </c>
      <c r="J1294" s="10">
        <f>IFERROR(__xludf.DUMMYFUNCTION("""COMPUTED_VALUE"""),2.0)</f>
        <v>2</v>
      </c>
      <c r="K1294" s="5">
        <f>IFERROR(__xludf.DUMMYFUNCTION("""COMPUTED_VALUE"""),0.002254791431792559)</f>
        <v>0.002254791432</v>
      </c>
      <c r="L1294" s="10">
        <f>IFERROR(__xludf.DUMMYFUNCTION("""COMPUTED_VALUE"""),887.0)</f>
        <v>887</v>
      </c>
      <c r="M1294" s="5">
        <f>IFERROR(__xludf.DUMMYFUNCTION("""COMPUTED_VALUE"""),1.0)</f>
        <v>1</v>
      </c>
    </row>
    <row r="1295">
      <c r="A1295" s="10" t="str">
        <f>IFERROR(__xludf.DUMMYFUNCTION("""COMPUTED_VALUE"""),"ぽろにあ")</f>
        <v>ぽろにあ</v>
      </c>
      <c r="B1295" s="10">
        <f>IFERROR(__xludf.DUMMYFUNCTION("""COMPUTED_VALUE"""),159.0)</f>
        <v>159</v>
      </c>
      <c r="C1295" s="10">
        <f>IFERROR(__xludf.DUMMYFUNCTION("""COMPUTED_VALUE"""),1813.0)</f>
        <v>1813</v>
      </c>
      <c r="D1295" s="5">
        <f>IFERROR(__xludf.DUMMYFUNCTION("""COMPUTED_VALUE"""),0.26904474002418377)</f>
        <v>0.26904474</v>
      </c>
      <c r="E1295" s="5">
        <f>IFERROR(__xludf.DUMMYFUNCTION("""COMPUTED_VALUE"""),0.13784764207980654)</f>
        <v>0.1378476421</v>
      </c>
      <c r="F1295" s="5">
        <f>IFERROR(__xludf.DUMMYFUNCTION("""COMPUTED_VALUE"""),0.18016928657799275)</f>
        <v>0.1801692866</v>
      </c>
      <c r="G1295" s="5">
        <f>IFERROR(__xludf.DUMMYFUNCTION("""COMPUTED_VALUE"""),0.16807738814993953)</f>
        <v>0.1680773881</v>
      </c>
      <c r="H1295" s="5">
        <f>IFERROR(__xludf.DUMMYFUNCTION("""COMPUTED_VALUE"""),0.6241610738255033)</f>
        <v>0.6241610738</v>
      </c>
      <c r="I1295" s="11">
        <f>IFERROR(__xludf.DUMMYFUNCTION("""COMPUTED_VALUE"""),6021.476510067114)</f>
        <v>6021.47651</v>
      </c>
      <c r="J1295" s="10">
        <f>IFERROR(__xludf.DUMMYFUNCTION("""COMPUTED_VALUE"""),0.0)</f>
        <v>0</v>
      </c>
      <c r="K1295" s="5">
        <f>IFERROR(__xludf.DUMMYFUNCTION("""COMPUTED_VALUE"""),0.0)</f>
        <v>0</v>
      </c>
      <c r="L1295" s="10">
        <f>IFERROR(__xludf.DUMMYFUNCTION("""COMPUTED_VALUE"""),159.0)</f>
        <v>159</v>
      </c>
      <c r="M1295" s="5">
        <f>IFERROR(__xludf.DUMMYFUNCTION("""COMPUTED_VALUE"""),1.0)</f>
        <v>1</v>
      </c>
    </row>
    <row r="1296">
      <c r="A1296" s="10" t="str">
        <f>IFERROR(__xludf.DUMMYFUNCTION("""COMPUTED_VALUE"""),"ジュライ")</f>
        <v>ジュライ</v>
      </c>
      <c r="B1296" s="10">
        <f>IFERROR(__xludf.DUMMYFUNCTION("""COMPUTED_VALUE"""),144.0)</f>
        <v>144</v>
      </c>
      <c r="C1296" s="10">
        <f>IFERROR(__xludf.DUMMYFUNCTION("""COMPUTED_VALUE"""),1682.0)</f>
        <v>1682</v>
      </c>
      <c r="D1296" s="5">
        <f>IFERROR(__xludf.DUMMYFUNCTION("""COMPUTED_VALUE"""),0.3198959687906372)</f>
        <v>0.3198959688</v>
      </c>
      <c r="E1296" s="5">
        <f>IFERROR(__xludf.DUMMYFUNCTION("""COMPUTED_VALUE"""),0.1378413524057217)</f>
        <v>0.1378413524</v>
      </c>
      <c r="F1296" s="5">
        <f>IFERROR(__xludf.DUMMYFUNCTION("""COMPUTED_VALUE"""),0.21391417425227569)</f>
        <v>0.2139141743</v>
      </c>
      <c r="G1296" s="5">
        <f>IFERROR(__xludf.DUMMYFUNCTION("""COMPUTED_VALUE"""),0.1755526657997399)</f>
        <v>0.1755526658</v>
      </c>
      <c r="H1296" s="5">
        <f>IFERROR(__xludf.DUMMYFUNCTION("""COMPUTED_VALUE"""),0.5623100303951368)</f>
        <v>0.5623100304</v>
      </c>
      <c r="I1296" s="11">
        <f>IFERROR(__xludf.DUMMYFUNCTION("""COMPUTED_VALUE"""),5453.191489361702)</f>
        <v>5453.191489</v>
      </c>
      <c r="J1296" s="10">
        <f>IFERROR(__xludf.DUMMYFUNCTION("""COMPUTED_VALUE"""),0.0)</f>
        <v>0</v>
      </c>
      <c r="K1296" s="5">
        <f>IFERROR(__xludf.DUMMYFUNCTION("""COMPUTED_VALUE"""),0.0)</f>
        <v>0</v>
      </c>
      <c r="L1296" s="10">
        <f>IFERROR(__xludf.DUMMYFUNCTION("""COMPUTED_VALUE"""),144.0)</f>
        <v>144</v>
      </c>
      <c r="M1296" s="5">
        <f>IFERROR(__xludf.DUMMYFUNCTION("""COMPUTED_VALUE"""),1.0)</f>
        <v>1</v>
      </c>
    </row>
    <row r="1297">
      <c r="A1297" s="10" t="str">
        <f>IFERROR(__xludf.DUMMYFUNCTION("""COMPUTED_VALUE"""),"ジャスミン王子")</f>
        <v>ジャスミン王子</v>
      </c>
      <c r="B1297" s="10">
        <f>IFERROR(__xludf.DUMMYFUNCTION("""COMPUTED_VALUE"""),1215.0)</f>
        <v>1215</v>
      </c>
      <c r="C1297" s="10">
        <f>IFERROR(__xludf.DUMMYFUNCTION("""COMPUTED_VALUE"""),14281.0)</f>
        <v>14281</v>
      </c>
      <c r="D1297" s="5">
        <f>IFERROR(__xludf.DUMMYFUNCTION("""COMPUTED_VALUE"""),0.38994336445737027)</f>
        <v>0.3899433645</v>
      </c>
      <c r="E1297" s="5">
        <f>IFERROR(__xludf.DUMMYFUNCTION("""COMPUTED_VALUE"""),0.13783866523802235)</f>
        <v>0.1378386652</v>
      </c>
      <c r="F1297" s="5">
        <f>IFERROR(__xludf.DUMMYFUNCTION("""COMPUTED_VALUE"""),0.2193479259145875)</f>
        <v>0.2193479259</v>
      </c>
      <c r="G1297" s="5">
        <f>IFERROR(__xludf.DUMMYFUNCTION("""COMPUTED_VALUE"""),0.17281493953773153)</f>
        <v>0.1728149395</v>
      </c>
      <c r="H1297" s="5">
        <f>IFERROR(__xludf.DUMMYFUNCTION("""COMPUTED_VALUE"""),0.5872295882763433)</f>
        <v>0.5872295883</v>
      </c>
      <c r="I1297" s="11">
        <f>IFERROR(__xludf.DUMMYFUNCTION("""COMPUTED_VALUE"""),5332.972784368458)</f>
        <v>5332.972784</v>
      </c>
      <c r="J1297" s="10">
        <f>IFERROR(__xludf.DUMMYFUNCTION("""COMPUTED_VALUE"""),3.0)</f>
        <v>3</v>
      </c>
      <c r="K1297" s="5">
        <f>IFERROR(__xludf.DUMMYFUNCTION("""COMPUTED_VALUE"""),0.0024691358024691358)</f>
        <v>0.002469135802</v>
      </c>
      <c r="L1297" s="10">
        <f>IFERROR(__xludf.DUMMYFUNCTION("""COMPUTED_VALUE"""),1215.0)</f>
        <v>1215</v>
      </c>
      <c r="M1297" s="5">
        <f>IFERROR(__xludf.DUMMYFUNCTION("""COMPUTED_VALUE"""),1.0)</f>
        <v>1</v>
      </c>
    </row>
    <row r="1298">
      <c r="A1298" s="10" t="str">
        <f>IFERROR(__xludf.DUMMYFUNCTION("""COMPUTED_VALUE"""),"emp9ror")</f>
        <v>emp9ror</v>
      </c>
      <c r="B1298" s="10">
        <f>IFERROR(__xludf.DUMMYFUNCTION("""COMPUTED_VALUE"""),531.0)</f>
        <v>531</v>
      </c>
      <c r="C1298" s="10">
        <f>IFERROR(__xludf.DUMMYFUNCTION("""COMPUTED_VALUE"""),6206.0)</f>
        <v>6206</v>
      </c>
      <c r="D1298" s="5">
        <f>IFERROR(__xludf.DUMMYFUNCTION("""COMPUTED_VALUE"""),0.27559471365638766)</f>
        <v>0.2755947137</v>
      </c>
      <c r="E1298" s="5">
        <f>IFERROR(__xludf.DUMMYFUNCTION("""COMPUTED_VALUE"""),0.13779735682819383)</f>
        <v>0.1377973568</v>
      </c>
      <c r="F1298" s="5">
        <f>IFERROR(__xludf.DUMMYFUNCTION("""COMPUTED_VALUE"""),0.1945374449339207)</f>
        <v>0.1945374449</v>
      </c>
      <c r="G1298" s="5">
        <f>IFERROR(__xludf.DUMMYFUNCTION("""COMPUTED_VALUE"""),0.19964757709251102)</f>
        <v>0.1996475771</v>
      </c>
      <c r="H1298" s="5">
        <f>IFERROR(__xludf.DUMMYFUNCTION("""COMPUTED_VALUE"""),0.5978260869565217)</f>
        <v>0.597826087</v>
      </c>
      <c r="I1298" s="11">
        <f>IFERROR(__xludf.DUMMYFUNCTION("""COMPUTED_VALUE"""),5657.427536231884)</f>
        <v>5657.427536</v>
      </c>
      <c r="J1298" s="10">
        <f>IFERROR(__xludf.DUMMYFUNCTION("""COMPUTED_VALUE"""),2.0)</f>
        <v>2</v>
      </c>
      <c r="K1298" s="5">
        <f>IFERROR(__xludf.DUMMYFUNCTION("""COMPUTED_VALUE"""),0.003766478342749529)</f>
        <v>0.003766478343</v>
      </c>
      <c r="L1298" s="10">
        <f>IFERROR(__xludf.DUMMYFUNCTION("""COMPUTED_VALUE"""),531.0)</f>
        <v>531</v>
      </c>
      <c r="M1298" s="5">
        <f>IFERROR(__xludf.DUMMYFUNCTION("""COMPUTED_VALUE"""),1.0)</f>
        <v>1</v>
      </c>
    </row>
    <row r="1299">
      <c r="A1299" s="10" t="str">
        <f>IFERROR(__xludf.DUMMYFUNCTION("""COMPUTED_VALUE"""),"午前零時")</f>
        <v>午前零時</v>
      </c>
      <c r="B1299" s="10">
        <f>IFERROR(__xludf.DUMMYFUNCTION("""COMPUTED_VALUE"""),208.0)</f>
        <v>208</v>
      </c>
      <c r="C1299" s="10">
        <f>IFERROR(__xludf.DUMMYFUNCTION("""COMPUTED_VALUE"""),2465.0)</f>
        <v>2465</v>
      </c>
      <c r="D1299" s="5">
        <f>IFERROR(__xludf.DUMMYFUNCTION("""COMPUTED_VALUE"""),0.4652193176783341)</f>
        <v>0.4652193177</v>
      </c>
      <c r="E1299" s="5">
        <f>IFERROR(__xludf.DUMMYFUNCTION("""COMPUTED_VALUE"""),0.13779353123615418)</f>
        <v>0.1377935312</v>
      </c>
      <c r="F1299" s="5">
        <f>IFERROR(__xludf.DUMMYFUNCTION("""COMPUTED_VALUE"""),0.2202038103677448)</f>
        <v>0.2202038104</v>
      </c>
      <c r="G1299" s="5">
        <f>IFERROR(__xludf.DUMMYFUNCTION("""COMPUTED_VALUE"""),0.1798848028356225)</f>
        <v>0.1798848028</v>
      </c>
      <c r="H1299" s="5">
        <f>IFERROR(__xludf.DUMMYFUNCTION("""COMPUTED_VALUE"""),0.6237424547283702)</f>
        <v>0.6237424547</v>
      </c>
      <c r="I1299" s="11">
        <f>IFERROR(__xludf.DUMMYFUNCTION("""COMPUTED_VALUE"""),5031.187122736418)</f>
        <v>5031.187123</v>
      </c>
      <c r="J1299" s="10">
        <f>IFERROR(__xludf.DUMMYFUNCTION("""COMPUTED_VALUE"""),0.0)</f>
        <v>0</v>
      </c>
      <c r="K1299" s="5">
        <f>IFERROR(__xludf.DUMMYFUNCTION("""COMPUTED_VALUE"""),0.0)</f>
        <v>0</v>
      </c>
      <c r="L1299" s="10">
        <f>IFERROR(__xludf.DUMMYFUNCTION("""COMPUTED_VALUE"""),132.0)</f>
        <v>132</v>
      </c>
      <c r="M1299" s="5">
        <f>IFERROR(__xludf.DUMMYFUNCTION("""COMPUTED_VALUE"""),0.6346153846153846)</f>
        <v>0.6346153846</v>
      </c>
    </row>
    <row r="1300">
      <c r="A1300" s="10" t="str">
        <f>IFERROR(__xludf.DUMMYFUNCTION("""COMPUTED_VALUE"""),"clutch73")</f>
        <v>clutch73</v>
      </c>
      <c r="B1300" s="10">
        <f>IFERROR(__xludf.DUMMYFUNCTION("""COMPUTED_VALUE"""),4094.0)</f>
        <v>4094</v>
      </c>
      <c r="C1300" s="10">
        <f>IFERROR(__xludf.DUMMYFUNCTION("""COMPUTED_VALUE"""),47660.0)</f>
        <v>47660</v>
      </c>
      <c r="D1300" s="5">
        <f>IFERROR(__xludf.DUMMYFUNCTION("""COMPUTED_VALUE"""),0.3087040352568517)</f>
        <v>0.3087040353</v>
      </c>
      <c r="E1300" s="5">
        <f>IFERROR(__xludf.DUMMYFUNCTION("""COMPUTED_VALUE"""),0.1377679842078685)</f>
        <v>0.1377679842</v>
      </c>
      <c r="F1300" s="5">
        <f>IFERROR(__xludf.DUMMYFUNCTION("""COMPUTED_VALUE"""),0.22028646191984574)</f>
        <v>0.2202864619</v>
      </c>
      <c r="G1300" s="5">
        <f>IFERROR(__xludf.DUMMYFUNCTION("""COMPUTED_VALUE"""),0.18004866180048662)</f>
        <v>0.1800486618</v>
      </c>
      <c r="H1300" s="5">
        <f>IFERROR(__xludf.DUMMYFUNCTION("""COMPUTED_VALUE"""),0.6023757424195061)</f>
        <v>0.6023757424</v>
      </c>
      <c r="I1300" s="11">
        <f>IFERROR(__xludf.DUMMYFUNCTION("""COMPUTED_VALUE"""),5833.343753256226)</f>
        <v>5833.343753</v>
      </c>
      <c r="J1300" s="10">
        <f>IFERROR(__xludf.DUMMYFUNCTION("""COMPUTED_VALUE"""),10.0)</f>
        <v>10</v>
      </c>
      <c r="K1300" s="5">
        <f>IFERROR(__xludf.DUMMYFUNCTION("""COMPUTED_VALUE"""),0.002442598925256473)</f>
        <v>0.002442598925</v>
      </c>
      <c r="L1300" s="10">
        <f>IFERROR(__xludf.DUMMYFUNCTION("""COMPUTED_VALUE"""),4094.0)</f>
        <v>4094</v>
      </c>
      <c r="M1300" s="5">
        <f>IFERROR(__xludf.DUMMYFUNCTION("""COMPUTED_VALUE"""),1.0)</f>
        <v>1</v>
      </c>
    </row>
    <row r="1301">
      <c r="A1301" s="10" t="str">
        <f>IFERROR(__xludf.DUMMYFUNCTION("""COMPUTED_VALUE"""),"もやしもん")</f>
        <v>もやしもん</v>
      </c>
      <c r="B1301" s="10">
        <f>IFERROR(__xludf.DUMMYFUNCTION("""COMPUTED_VALUE"""),2918.0)</f>
        <v>2918</v>
      </c>
      <c r="C1301" s="10">
        <f>IFERROR(__xludf.DUMMYFUNCTION("""COMPUTED_VALUE"""),34393.0)</f>
        <v>34393</v>
      </c>
      <c r="D1301" s="5">
        <f>IFERROR(__xludf.DUMMYFUNCTION("""COMPUTED_VALUE"""),0.4583002382843527)</f>
        <v>0.4583002383</v>
      </c>
      <c r="E1301" s="5">
        <f>IFERROR(__xludf.DUMMYFUNCTION("""COMPUTED_VALUE"""),0.13776012708498808)</f>
        <v>0.1377601271</v>
      </c>
      <c r="F1301" s="5">
        <f>IFERROR(__xludf.DUMMYFUNCTION("""COMPUTED_VALUE"""),0.22868943606036538)</f>
        <v>0.2286894361</v>
      </c>
      <c r="G1301" s="5">
        <f>IFERROR(__xludf.DUMMYFUNCTION("""COMPUTED_VALUE"""),0.17153296266878476)</f>
        <v>0.1715329627</v>
      </c>
      <c r="H1301" s="5">
        <f>IFERROR(__xludf.DUMMYFUNCTION("""COMPUTED_VALUE"""),0.5944706863017505)</f>
        <v>0.5944706863</v>
      </c>
      <c r="I1301" s="11">
        <f>IFERROR(__xludf.DUMMYFUNCTION("""COMPUTED_VALUE"""),5269.811058627396)</f>
        <v>5269.811059</v>
      </c>
      <c r="J1301" s="10">
        <f>IFERROR(__xludf.DUMMYFUNCTION("""COMPUTED_VALUE"""),5.0)</f>
        <v>5</v>
      </c>
      <c r="K1301" s="5">
        <f>IFERROR(__xludf.DUMMYFUNCTION("""COMPUTED_VALUE"""),0.0017135023989033585)</f>
        <v>0.001713502399</v>
      </c>
      <c r="L1301" s="10">
        <f>IFERROR(__xludf.DUMMYFUNCTION("""COMPUTED_VALUE"""),0.0)</f>
        <v>0</v>
      </c>
      <c r="M1301" s="5">
        <f>IFERROR(__xludf.DUMMYFUNCTION("""COMPUTED_VALUE"""),0.0)</f>
        <v>0</v>
      </c>
    </row>
    <row r="1302">
      <c r="A1302" s="10" t="str">
        <f>IFERROR(__xludf.DUMMYFUNCTION("""COMPUTED_VALUE"""),"三代目ヒッグス")</f>
        <v>三代目ヒッグス</v>
      </c>
      <c r="B1302" s="10">
        <f>IFERROR(__xludf.DUMMYFUNCTION("""COMPUTED_VALUE"""),382.0)</f>
        <v>382</v>
      </c>
      <c r="C1302" s="10">
        <f>IFERROR(__xludf.DUMMYFUNCTION("""COMPUTED_VALUE"""),4491.0)</f>
        <v>4491</v>
      </c>
      <c r="D1302" s="5">
        <f>IFERROR(__xludf.DUMMYFUNCTION("""COMPUTED_VALUE"""),0.3521538087125821)</f>
        <v>0.3521538087</v>
      </c>
      <c r="E1302" s="5">
        <f>IFERROR(__xludf.DUMMYFUNCTION("""COMPUTED_VALUE"""),0.13774641031881235)</f>
        <v>0.1377464103</v>
      </c>
      <c r="F1302" s="5">
        <f>IFERROR(__xludf.DUMMYFUNCTION("""COMPUTED_VALUE"""),0.19956193721100024)</f>
        <v>0.1995619372</v>
      </c>
      <c r="G1302" s="5">
        <f>IFERROR(__xludf.DUMMYFUNCTION("""COMPUTED_VALUE"""),0.16622049160379654)</f>
        <v>0.1662204916</v>
      </c>
      <c r="H1302" s="5">
        <f>IFERROR(__xludf.DUMMYFUNCTION("""COMPUTED_VALUE"""),0.6012195121951219)</f>
        <v>0.6012195122</v>
      </c>
      <c r="I1302" s="11">
        <f>IFERROR(__xludf.DUMMYFUNCTION("""COMPUTED_VALUE"""),5716.829268292683)</f>
        <v>5716.829268</v>
      </c>
      <c r="J1302" s="10">
        <f>IFERROR(__xludf.DUMMYFUNCTION("""COMPUTED_VALUE"""),0.0)</f>
        <v>0</v>
      </c>
      <c r="K1302" s="5">
        <f>IFERROR(__xludf.DUMMYFUNCTION("""COMPUTED_VALUE"""),0.0)</f>
        <v>0</v>
      </c>
      <c r="L1302" s="10">
        <f>IFERROR(__xludf.DUMMYFUNCTION("""COMPUTED_VALUE"""),382.0)</f>
        <v>382</v>
      </c>
      <c r="M1302" s="5">
        <f>IFERROR(__xludf.DUMMYFUNCTION("""COMPUTED_VALUE"""),1.0)</f>
        <v>1</v>
      </c>
    </row>
    <row r="1303">
      <c r="A1303" s="10" t="str">
        <f>IFERROR(__xludf.DUMMYFUNCTION("""COMPUTED_VALUE"""),"keiki")</f>
        <v>keiki</v>
      </c>
      <c r="B1303" s="10">
        <f>IFERROR(__xludf.DUMMYFUNCTION("""COMPUTED_VALUE"""),272.0)</f>
        <v>272</v>
      </c>
      <c r="C1303" s="10">
        <f>IFERROR(__xludf.DUMMYFUNCTION("""COMPUTED_VALUE"""),3205.0)</f>
        <v>3205</v>
      </c>
      <c r="D1303" s="5">
        <f>IFERROR(__xludf.DUMMYFUNCTION("""COMPUTED_VALUE"""),0.34299352199113536)</f>
        <v>0.342993522</v>
      </c>
      <c r="E1303" s="5">
        <f>IFERROR(__xludf.DUMMYFUNCTION("""COMPUTED_VALUE"""),0.13774292533242413)</f>
        <v>0.1377429253</v>
      </c>
      <c r="F1303" s="5">
        <f>IFERROR(__xludf.DUMMYFUNCTION("""COMPUTED_VALUE"""),0.20456870098874871)</f>
        <v>0.204568701</v>
      </c>
      <c r="G1303" s="5">
        <f>IFERROR(__xludf.DUMMYFUNCTION("""COMPUTED_VALUE"""),0.15308557790658028)</f>
        <v>0.1530855779</v>
      </c>
      <c r="H1303" s="5">
        <f>IFERROR(__xludf.DUMMYFUNCTION("""COMPUTED_VALUE"""),0.6483333333333333)</f>
        <v>0.6483333333</v>
      </c>
      <c r="I1303" s="11">
        <f>IFERROR(__xludf.DUMMYFUNCTION("""COMPUTED_VALUE"""),5797.666666666667)</f>
        <v>5797.666667</v>
      </c>
      <c r="J1303" s="10">
        <f>IFERROR(__xludf.DUMMYFUNCTION("""COMPUTED_VALUE"""),1.0)</f>
        <v>1</v>
      </c>
      <c r="K1303" s="5">
        <f>IFERROR(__xludf.DUMMYFUNCTION("""COMPUTED_VALUE"""),0.003676470588235294)</f>
        <v>0.003676470588</v>
      </c>
      <c r="L1303" s="10">
        <f>IFERROR(__xludf.DUMMYFUNCTION("""COMPUTED_VALUE"""),272.0)</f>
        <v>272</v>
      </c>
      <c r="M1303" s="5">
        <f>IFERROR(__xludf.DUMMYFUNCTION("""COMPUTED_VALUE"""),1.0)</f>
        <v>1</v>
      </c>
    </row>
    <row r="1304">
      <c r="A1304" s="10" t="str">
        <f>IFERROR(__xludf.DUMMYFUNCTION("""COMPUTED_VALUE"""),"さむお")</f>
        <v>さむお</v>
      </c>
      <c r="B1304" s="10">
        <f>IFERROR(__xludf.DUMMYFUNCTION("""COMPUTED_VALUE"""),156.0)</f>
        <v>156</v>
      </c>
      <c r="C1304" s="10">
        <f>IFERROR(__xludf.DUMMYFUNCTION("""COMPUTED_VALUE"""),1768.0)</f>
        <v>1768</v>
      </c>
      <c r="D1304" s="5">
        <f>IFERROR(__xludf.DUMMYFUNCTION("""COMPUTED_VALUE"""),0.37034739454094295)</f>
        <v>0.3703473945</v>
      </c>
      <c r="E1304" s="5">
        <f>IFERROR(__xludf.DUMMYFUNCTION("""COMPUTED_VALUE"""),0.13771712158808933)</f>
        <v>0.1377171216</v>
      </c>
      <c r="F1304" s="5">
        <f>IFERROR(__xludf.DUMMYFUNCTION("""COMPUTED_VALUE"""),0.2369727047146402)</f>
        <v>0.2369727047</v>
      </c>
      <c r="G1304" s="5">
        <f>IFERROR(__xludf.DUMMYFUNCTION("""COMPUTED_VALUE"""),0.1575682382133995)</f>
        <v>0.1575682382</v>
      </c>
      <c r="H1304" s="5">
        <f>IFERROR(__xludf.DUMMYFUNCTION("""COMPUTED_VALUE"""),0.581151832460733)</f>
        <v>0.5811518325</v>
      </c>
      <c r="I1304" s="11">
        <f>IFERROR(__xludf.DUMMYFUNCTION("""COMPUTED_VALUE"""),5745.811518324607)</f>
        <v>5745.811518</v>
      </c>
      <c r="J1304" s="10">
        <f>IFERROR(__xludf.DUMMYFUNCTION("""COMPUTED_VALUE"""),0.0)</f>
        <v>0</v>
      </c>
      <c r="K1304" s="5">
        <f>IFERROR(__xludf.DUMMYFUNCTION("""COMPUTED_VALUE"""),0.0)</f>
        <v>0</v>
      </c>
      <c r="L1304" s="10">
        <f>IFERROR(__xludf.DUMMYFUNCTION("""COMPUTED_VALUE"""),156.0)</f>
        <v>156</v>
      </c>
      <c r="M1304" s="5">
        <f>IFERROR(__xludf.DUMMYFUNCTION("""COMPUTED_VALUE"""),1.0)</f>
        <v>1</v>
      </c>
    </row>
    <row r="1305">
      <c r="A1305" s="10" t="str">
        <f>IFERROR(__xludf.DUMMYFUNCTION("""COMPUTED_VALUE"""),"myX")</f>
        <v>myX</v>
      </c>
      <c r="B1305" s="10">
        <f>IFERROR(__xludf.DUMMYFUNCTION("""COMPUTED_VALUE"""),379.0)</f>
        <v>379</v>
      </c>
      <c r="C1305" s="10">
        <f>IFERROR(__xludf.DUMMYFUNCTION("""COMPUTED_VALUE"""),4460.0)</f>
        <v>4460</v>
      </c>
      <c r="D1305" s="5">
        <f>IFERROR(__xludf.DUMMYFUNCTION("""COMPUTED_VALUE"""),0.379073756432247)</f>
        <v>0.3790737564</v>
      </c>
      <c r="E1305" s="5">
        <f>IFERROR(__xludf.DUMMYFUNCTION("""COMPUTED_VALUE"""),0.13771134525851508)</f>
        <v>0.1377113453</v>
      </c>
      <c r="F1305" s="5">
        <f>IFERROR(__xludf.DUMMYFUNCTION("""COMPUTED_VALUE"""),0.2210242587601078)</f>
        <v>0.2210242588</v>
      </c>
      <c r="G1305" s="5">
        <f>IFERROR(__xludf.DUMMYFUNCTION("""COMPUTED_VALUE"""),0.1477579024748836)</f>
        <v>0.1477579025</v>
      </c>
      <c r="H1305" s="5">
        <f>IFERROR(__xludf.DUMMYFUNCTION("""COMPUTED_VALUE"""),0.582039911308204)</f>
        <v>0.5820399113</v>
      </c>
      <c r="I1305" s="11">
        <f>IFERROR(__xludf.DUMMYFUNCTION("""COMPUTED_VALUE"""),5366.0753880266075)</f>
        <v>5366.075388</v>
      </c>
      <c r="J1305" s="10">
        <f>IFERROR(__xludf.DUMMYFUNCTION("""COMPUTED_VALUE"""),2.0)</f>
        <v>2</v>
      </c>
      <c r="K1305" s="5">
        <f>IFERROR(__xludf.DUMMYFUNCTION("""COMPUTED_VALUE"""),0.005277044854881266)</f>
        <v>0.005277044855</v>
      </c>
      <c r="L1305" s="10">
        <f>IFERROR(__xludf.DUMMYFUNCTION("""COMPUTED_VALUE"""),379.0)</f>
        <v>379</v>
      </c>
      <c r="M1305" s="5">
        <f>IFERROR(__xludf.DUMMYFUNCTION("""COMPUTED_VALUE"""),1.0)</f>
        <v>1</v>
      </c>
    </row>
    <row r="1306">
      <c r="A1306" s="10" t="str">
        <f>IFERROR(__xludf.DUMMYFUNCTION("""COMPUTED_VALUE"""),"vs超店長")</f>
        <v>vs超店長</v>
      </c>
      <c r="B1306" s="10">
        <f>IFERROR(__xludf.DUMMYFUNCTION("""COMPUTED_VALUE"""),220.0)</f>
        <v>220</v>
      </c>
      <c r="C1306" s="10">
        <f>IFERROR(__xludf.DUMMYFUNCTION("""COMPUTED_VALUE"""),2718.0)</f>
        <v>2718</v>
      </c>
      <c r="D1306" s="5">
        <f>IFERROR(__xludf.DUMMYFUNCTION("""COMPUTED_VALUE"""),0.333466773418735)</f>
        <v>0.3334667734</v>
      </c>
      <c r="E1306" s="5">
        <f>IFERROR(__xludf.DUMMYFUNCTION("""COMPUTED_VALUE"""),0.1377101681345076)</f>
        <v>0.1377101681</v>
      </c>
      <c r="F1306" s="5">
        <f>IFERROR(__xludf.DUMMYFUNCTION("""COMPUTED_VALUE"""),0.2233787029623699)</f>
        <v>0.223378703</v>
      </c>
      <c r="G1306" s="5">
        <f>IFERROR(__xludf.DUMMYFUNCTION("""COMPUTED_VALUE"""),0.188951160928743)</f>
        <v>0.1889511609</v>
      </c>
      <c r="H1306" s="5">
        <f>IFERROR(__xludf.DUMMYFUNCTION("""COMPUTED_VALUE"""),0.6093189964157706)</f>
        <v>0.6093189964</v>
      </c>
      <c r="I1306" s="11">
        <f>IFERROR(__xludf.DUMMYFUNCTION("""COMPUTED_VALUE"""),5740.681003584229)</f>
        <v>5740.681004</v>
      </c>
      <c r="J1306" s="10">
        <f>IFERROR(__xludf.DUMMYFUNCTION("""COMPUTED_VALUE"""),0.0)</f>
        <v>0</v>
      </c>
      <c r="K1306" s="5">
        <f>IFERROR(__xludf.DUMMYFUNCTION("""COMPUTED_VALUE"""),0.0)</f>
        <v>0</v>
      </c>
      <c r="L1306" s="10">
        <f>IFERROR(__xludf.DUMMYFUNCTION("""COMPUTED_VALUE"""),220.0)</f>
        <v>220</v>
      </c>
      <c r="M1306" s="5">
        <f>IFERROR(__xludf.DUMMYFUNCTION("""COMPUTED_VALUE"""),1.0)</f>
        <v>1</v>
      </c>
    </row>
    <row r="1307">
      <c r="A1307" s="10" t="str">
        <f>IFERROR(__xludf.DUMMYFUNCTION("""COMPUTED_VALUE"""),"tomotin")</f>
        <v>tomotin</v>
      </c>
      <c r="B1307" s="10">
        <f>IFERROR(__xludf.DUMMYFUNCTION("""COMPUTED_VALUE"""),167.0)</f>
        <v>167</v>
      </c>
      <c r="C1307" s="10">
        <f>IFERROR(__xludf.DUMMYFUNCTION("""COMPUTED_VALUE"""),1968.0)</f>
        <v>1968</v>
      </c>
      <c r="D1307" s="5">
        <f>IFERROR(__xludf.DUMMYFUNCTION("""COMPUTED_VALUE"""),0.25485841199333703)</f>
        <v>0.254858412</v>
      </c>
      <c r="E1307" s="5">
        <f>IFERROR(__xludf.DUMMYFUNCTION("""COMPUTED_VALUE"""),0.13770127706829538)</f>
        <v>0.1377012771</v>
      </c>
      <c r="F1307" s="5">
        <f>IFERROR(__xludf.DUMMYFUNCTION("""COMPUTED_VALUE"""),0.20433092726263188)</f>
        <v>0.2043309273</v>
      </c>
      <c r="G1307" s="5">
        <f>IFERROR(__xludf.DUMMYFUNCTION("""COMPUTED_VALUE"""),0.17268184342032206)</f>
        <v>0.1726818434</v>
      </c>
      <c r="H1307" s="5">
        <f>IFERROR(__xludf.DUMMYFUNCTION("""COMPUTED_VALUE"""),0.5461956521739131)</f>
        <v>0.5461956522</v>
      </c>
      <c r="I1307" s="11">
        <f>IFERROR(__xludf.DUMMYFUNCTION("""COMPUTED_VALUE"""),5991.847826086957)</f>
        <v>5991.847826</v>
      </c>
      <c r="J1307" s="10">
        <f>IFERROR(__xludf.DUMMYFUNCTION("""COMPUTED_VALUE"""),0.0)</f>
        <v>0</v>
      </c>
      <c r="K1307" s="5">
        <f>IFERROR(__xludf.DUMMYFUNCTION("""COMPUTED_VALUE"""),0.0)</f>
        <v>0</v>
      </c>
      <c r="L1307" s="10">
        <f>IFERROR(__xludf.DUMMYFUNCTION("""COMPUTED_VALUE"""),167.0)</f>
        <v>167</v>
      </c>
      <c r="M1307" s="5">
        <f>IFERROR(__xludf.DUMMYFUNCTION("""COMPUTED_VALUE"""),1.0)</f>
        <v>1</v>
      </c>
    </row>
    <row r="1308">
      <c r="A1308" s="10" t="str">
        <f>IFERROR(__xludf.DUMMYFUNCTION("""COMPUTED_VALUE"""),"momo916")</f>
        <v>momo916</v>
      </c>
      <c r="B1308" s="10">
        <f>IFERROR(__xludf.DUMMYFUNCTION("""COMPUTED_VALUE"""),208.0)</f>
        <v>208</v>
      </c>
      <c r="C1308" s="10">
        <f>IFERROR(__xludf.DUMMYFUNCTION("""COMPUTED_VALUE"""),2423.0)</f>
        <v>2423</v>
      </c>
      <c r="D1308" s="5">
        <f>IFERROR(__xludf.DUMMYFUNCTION("""COMPUTED_VALUE"""),0.344469525959368)</f>
        <v>0.344469526</v>
      </c>
      <c r="E1308" s="5">
        <f>IFERROR(__xludf.DUMMYFUNCTION("""COMPUTED_VALUE"""),0.13769751693002258)</f>
        <v>0.1376975169</v>
      </c>
      <c r="F1308" s="5">
        <f>IFERROR(__xludf.DUMMYFUNCTION("""COMPUTED_VALUE"""),0.2054176072234763)</f>
        <v>0.2054176072</v>
      </c>
      <c r="G1308" s="5">
        <f>IFERROR(__xludf.DUMMYFUNCTION("""COMPUTED_VALUE"""),0.218510158013544)</f>
        <v>0.218510158</v>
      </c>
      <c r="H1308" s="5">
        <f>IFERROR(__xludf.DUMMYFUNCTION("""COMPUTED_VALUE"""),0.5912087912087912)</f>
        <v>0.5912087912</v>
      </c>
      <c r="I1308" s="11">
        <f>IFERROR(__xludf.DUMMYFUNCTION("""COMPUTED_VALUE"""),5639.120879120879)</f>
        <v>5639.120879</v>
      </c>
      <c r="J1308" s="10">
        <f>IFERROR(__xludf.DUMMYFUNCTION("""COMPUTED_VALUE"""),1.0)</f>
        <v>1</v>
      </c>
      <c r="K1308" s="5">
        <f>IFERROR(__xludf.DUMMYFUNCTION("""COMPUTED_VALUE"""),0.004807692307692308)</f>
        <v>0.004807692308</v>
      </c>
      <c r="L1308" s="10">
        <f>IFERROR(__xludf.DUMMYFUNCTION("""COMPUTED_VALUE"""),0.0)</f>
        <v>0</v>
      </c>
      <c r="M1308" s="5">
        <f>IFERROR(__xludf.DUMMYFUNCTION("""COMPUTED_VALUE"""),0.0)</f>
        <v>0</v>
      </c>
    </row>
    <row r="1309">
      <c r="A1309" s="10" t="str">
        <f>IFERROR(__xludf.DUMMYFUNCTION("""COMPUTED_VALUE"""),"兎美")</f>
        <v>兎美</v>
      </c>
      <c r="B1309" s="10">
        <f>IFERROR(__xludf.DUMMYFUNCTION("""COMPUTED_VALUE"""),278.0)</f>
        <v>278</v>
      </c>
      <c r="C1309" s="10">
        <f>IFERROR(__xludf.DUMMYFUNCTION("""COMPUTED_VALUE"""),3263.0)</f>
        <v>3263</v>
      </c>
      <c r="D1309" s="5">
        <f>IFERROR(__xludf.DUMMYFUNCTION("""COMPUTED_VALUE"""),0.2984924623115578)</f>
        <v>0.2984924623</v>
      </c>
      <c r="E1309" s="5">
        <f>IFERROR(__xludf.DUMMYFUNCTION("""COMPUTED_VALUE"""),0.13768844221105528)</f>
        <v>0.1376884422</v>
      </c>
      <c r="F1309" s="5">
        <f>IFERROR(__xludf.DUMMYFUNCTION("""COMPUTED_VALUE"""),0.18425460636515914)</f>
        <v>0.1842546064</v>
      </c>
      <c r="G1309" s="5">
        <f>IFERROR(__xludf.DUMMYFUNCTION("""COMPUTED_VALUE"""),0.18592964824120603)</f>
        <v>0.1859296482</v>
      </c>
      <c r="H1309" s="5">
        <f>IFERROR(__xludf.DUMMYFUNCTION("""COMPUTED_VALUE"""),0.610909090909091)</f>
        <v>0.6109090909</v>
      </c>
      <c r="I1309" s="11">
        <f>IFERROR(__xludf.DUMMYFUNCTION("""COMPUTED_VALUE"""),6377.818181818182)</f>
        <v>6377.818182</v>
      </c>
      <c r="J1309" s="10">
        <f>IFERROR(__xludf.DUMMYFUNCTION("""COMPUTED_VALUE"""),1.0)</f>
        <v>1</v>
      </c>
      <c r="K1309" s="5">
        <f>IFERROR(__xludf.DUMMYFUNCTION("""COMPUTED_VALUE"""),0.0035971223021582736)</f>
        <v>0.003597122302</v>
      </c>
      <c r="L1309" s="10">
        <f>IFERROR(__xludf.DUMMYFUNCTION("""COMPUTED_VALUE"""),0.0)</f>
        <v>0</v>
      </c>
      <c r="M1309" s="5">
        <f>IFERROR(__xludf.DUMMYFUNCTION("""COMPUTED_VALUE"""),0.0)</f>
        <v>0</v>
      </c>
    </row>
    <row r="1310">
      <c r="A1310" s="10" t="str">
        <f>IFERROR(__xludf.DUMMYFUNCTION("""COMPUTED_VALUE"""),"†悔い改めて†")</f>
        <v>†悔い改めて†</v>
      </c>
      <c r="B1310" s="10">
        <f>IFERROR(__xludf.DUMMYFUNCTION("""COMPUTED_VALUE"""),443.0)</f>
        <v>443</v>
      </c>
      <c r="C1310" s="10">
        <f>IFERROR(__xludf.DUMMYFUNCTION("""COMPUTED_VALUE"""),5193.0)</f>
        <v>5193</v>
      </c>
      <c r="D1310" s="5">
        <f>IFERROR(__xludf.DUMMYFUNCTION("""COMPUTED_VALUE"""),0.33389473684210524)</f>
        <v>0.3338947368</v>
      </c>
      <c r="E1310" s="5">
        <f>IFERROR(__xludf.DUMMYFUNCTION("""COMPUTED_VALUE"""),0.1376842105263158)</f>
        <v>0.1376842105</v>
      </c>
      <c r="F1310" s="5">
        <f>IFERROR(__xludf.DUMMYFUNCTION("""COMPUTED_VALUE"""),0.20126315789473684)</f>
        <v>0.2012631579</v>
      </c>
      <c r="G1310" s="5">
        <f>IFERROR(__xludf.DUMMYFUNCTION("""COMPUTED_VALUE"""),0.2016842105263158)</f>
        <v>0.2016842105</v>
      </c>
      <c r="H1310" s="5">
        <f>IFERROR(__xludf.DUMMYFUNCTION("""COMPUTED_VALUE"""),0.6098326359832636)</f>
        <v>0.609832636</v>
      </c>
      <c r="I1310" s="11">
        <f>IFERROR(__xludf.DUMMYFUNCTION("""COMPUTED_VALUE"""),5985.1464435146445)</f>
        <v>5985.146444</v>
      </c>
      <c r="J1310" s="10">
        <f>IFERROR(__xludf.DUMMYFUNCTION("""COMPUTED_VALUE"""),1.0)</f>
        <v>1</v>
      </c>
      <c r="K1310" s="5">
        <f>IFERROR(__xludf.DUMMYFUNCTION("""COMPUTED_VALUE"""),0.002257336343115124)</f>
        <v>0.002257336343</v>
      </c>
      <c r="L1310" s="10">
        <f>IFERROR(__xludf.DUMMYFUNCTION("""COMPUTED_VALUE"""),0.0)</f>
        <v>0</v>
      </c>
      <c r="M1310" s="5">
        <f>IFERROR(__xludf.DUMMYFUNCTION("""COMPUTED_VALUE"""),0.0)</f>
        <v>0</v>
      </c>
    </row>
    <row r="1311">
      <c r="A1311" s="10" t="str">
        <f>IFERROR(__xludf.DUMMYFUNCTION("""COMPUTED_VALUE"""),"tami4949")</f>
        <v>tami4949</v>
      </c>
      <c r="B1311" s="10">
        <f>IFERROR(__xludf.DUMMYFUNCTION("""COMPUTED_VALUE"""),268.0)</f>
        <v>268</v>
      </c>
      <c r="C1311" s="10">
        <f>IFERROR(__xludf.DUMMYFUNCTION("""COMPUTED_VALUE"""),3137.0)</f>
        <v>3137</v>
      </c>
      <c r="D1311" s="5">
        <f>IFERROR(__xludf.DUMMYFUNCTION("""COMPUTED_VALUE"""),0.26490066225165565)</f>
        <v>0.2649006623</v>
      </c>
      <c r="E1311" s="5">
        <f>IFERROR(__xludf.DUMMYFUNCTION("""COMPUTED_VALUE"""),0.1376786336702684)</f>
        <v>0.1376786337</v>
      </c>
      <c r="F1311" s="5">
        <f>IFERROR(__xludf.DUMMYFUNCTION("""COMPUTED_VALUE"""),0.2108748692924364)</f>
        <v>0.2108748693</v>
      </c>
      <c r="G1311" s="5">
        <f>IFERROR(__xludf.DUMMYFUNCTION("""COMPUTED_VALUE"""),0.16835134193098641)</f>
        <v>0.1683513419</v>
      </c>
      <c r="H1311" s="5">
        <f>IFERROR(__xludf.DUMMYFUNCTION("""COMPUTED_VALUE"""),0.628099173553719)</f>
        <v>0.6280991736</v>
      </c>
      <c r="I1311" s="11">
        <f>IFERROR(__xludf.DUMMYFUNCTION("""COMPUTED_VALUE"""),5839.00826446281)</f>
        <v>5839.008264</v>
      </c>
      <c r="J1311" s="10">
        <f>IFERROR(__xludf.DUMMYFUNCTION("""COMPUTED_VALUE"""),0.0)</f>
        <v>0</v>
      </c>
      <c r="K1311" s="5">
        <f>IFERROR(__xludf.DUMMYFUNCTION("""COMPUTED_VALUE"""),0.0)</f>
        <v>0</v>
      </c>
      <c r="L1311" s="10">
        <f>IFERROR(__xludf.DUMMYFUNCTION("""COMPUTED_VALUE"""),268.0)</f>
        <v>268</v>
      </c>
      <c r="M1311" s="5">
        <f>IFERROR(__xludf.DUMMYFUNCTION("""COMPUTED_VALUE"""),1.0)</f>
        <v>1</v>
      </c>
    </row>
    <row r="1312">
      <c r="A1312" s="10" t="str">
        <f>IFERROR(__xludf.DUMMYFUNCTION("""COMPUTED_VALUE"""),"mabooo")</f>
        <v>mabooo</v>
      </c>
      <c r="B1312" s="10">
        <f>IFERROR(__xludf.DUMMYFUNCTION("""COMPUTED_VALUE"""),258.0)</f>
        <v>258</v>
      </c>
      <c r="C1312" s="10">
        <f>IFERROR(__xludf.DUMMYFUNCTION("""COMPUTED_VALUE"""),3040.0)</f>
        <v>3040</v>
      </c>
      <c r="D1312" s="5">
        <f>IFERROR(__xludf.DUMMYFUNCTION("""COMPUTED_VALUE"""),0.2616822429906542)</f>
        <v>0.261682243</v>
      </c>
      <c r="E1312" s="5">
        <f>IFERROR(__xludf.DUMMYFUNCTION("""COMPUTED_VALUE"""),0.1376707404744788)</f>
        <v>0.1376707405</v>
      </c>
      <c r="F1312" s="5">
        <f>IFERROR(__xludf.DUMMYFUNCTION("""COMPUTED_VALUE"""),0.2038102084831057)</f>
        <v>0.2038102085</v>
      </c>
      <c r="G1312" s="5">
        <f>IFERROR(__xludf.DUMMYFUNCTION("""COMPUTED_VALUE"""),0.17541337167505391)</f>
        <v>0.1754133717</v>
      </c>
      <c r="H1312" s="5">
        <f>IFERROR(__xludf.DUMMYFUNCTION("""COMPUTED_VALUE"""),0.5925925925925926)</f>
        <v>0.5925925926</v>
      </c>
      <c r="I1312" s="11">
        <f>IFERROR(__xludf.DUMMYFUNCTION("""COMPUTED_VALUE"""),6003.174603174603)</f>
        <v>6003.174603</v>
      </c>
      <c r="J1312" s="10">
        <f>IFERROR(__xludf.DUMMYFUNCTION("""COMPUTED_VALUE"""),0.0)</f>
        <v>0</v>
      </c>
      <c r="K1312" s="5">
        <f>IFERROR(__xludf.DUMMYFUNCTION("""COMPUTED_VALUE"""),0.0)</f>
        <v>0</v>
      </c>
      <c r="L1312" s="10">
        <f>IFERROR(__xludf.DUMMYFUNCTION("""COMPUTED_VALUE"""),258.0)</f>
        <v>258</v>
      </c>
      <c r="M1312" s="5">
        <f>IFERROR(__xludf.DUMMYFUNCTION("""COMPUTED_VALUE"""),1.0)</f>
        <v>1</v>
      </c>
    </row>
    <row r="1313">
      <c r="A1313" s="10" t="str">
        <f>IFERROR(__xludf.DUMMYFUNCTION("""COMPUTED_VALUE"""),"gxz")</f>
        <v>gxz</v>
      </c>
      <c r="B1313" s="10">
        <f>IFERROR(__xludf.DUMMYFUNCTION("""COMPUTED_VALUE"""),156.0)</f>
        <v>156</v>
      </c>
      <c r="C1313" s="10">
        <f>IFERROR(__xludf.DUMMYFUNCTION("""COMPUTED_VALUE"""),1834.0)</f>
        <v>1834</v>
      </c>
      <c r="D1313" s="5">
        <f>IFERROR(__xludf.DUMMYFUNCTION("""COMPUTED_VALUE"""),0.36889153754469606)</f>
        <v>0.3688915375</v>
      </c>
      <c r="E1313" s="5">
        <f>IFERROR(__xludf.DUMMYFUNCTION("""COMPUTED_VALUE"""),0.13766388557806913)</f>
        <v>0.1376638856</v>
      </c>
      <c r="F1313" s="5">
        <f>IFERROR(__xludf.DUMMYFUNCTION("""COMPUTED_VALUE"""),0.19547079856972585)</f>
        <v>0.1954707986</v>
      </c>
      <c r="G1313" s="5">
        <f>IFERROR(__xludf.DUMMYFUNCTION("""COMPUTED_VALUE"""),0.17580452920143028)</f>
        <v>0.1758045292</v>
      </c>
      <c r="H1313" s="5">
        <f>IFERROR(__xludf.DUMMYFUNCTION("""COMPUTED_VALUE"""),0.6463414634146342)</f>
        <v>0.6463414634</v>
      </c>
      <c r="I1313" s="11">
        <f>IFERROR(__xludf.DUMMYFUNCTION("""COMPUTED_VALUE"""),5701.219512195122)</f>
        <v>5701.219512</v>
      </c>
      <c r="J1313" s="10">
        <f>IFERROR(__xludf.DUMMYFUNCTION("""COMPUTED_VALUE"""),0.0)</f>
        <v>0</v>
      </c>
      <c r="K1313" s="5">
        <f>IFERROR(__xludf.DUMMYFUNCTION("""COMPUTED_VALUE"""),0.0)</f>
        <v>0</v>
      </c>
      <c r="L1313" s="10">
        <f>IFERROR(__xludf.DUMMYFUNCTION("""COMPUTED_VALUE"""),81.0)</f>
        <v>81</v>
      </c>
      <c r="M1313" s="5">
        <f>IFERROR(__xludf.DUMMYFUNCTION("""COMPUTED_VALUE"""),0.5192307692307693)</f>
        <v>0.5192307692</v>
      </c>
    </row>
    <row r="1314">
      <c r="A1314" s="10" t="str">
        <f>IFERROR(__xludf.DUMMYFUNCTION("""COMPUTED_VALUE"""),"花澤パクチー")</f>
        <v>花澤パクチー</v>
      </c>
      <c r="B1314" s="10">
        <f>IFERROR(__xludf.DUMMYFUNCTION("""COMPUTED_VALUE"""),1023.0)</f>
        <v>1023</v>
      </c>
      <c r="C1314" s="10">
        <f>IFERROR(__xludf.DUMMYFUNCTION("""COMPUTED_VALUE"""),11898.0)</f>
        <v>11898</v>
      </c>
      <c r="D1314" s="5">
        <f>IFERROR(__xludf.DUMMYFUNCTION("""COMPUTED_VALUE"""),0.34004597701149425)</f>
        <v>0.340045977</v>
      </c>
      <c r="E1314" s="5">
        <f>IFERROR(__xludf.DUMMYFUNCTION("""COMPUTED_VALUE"""),0.1376551724137931)</f>
        <v>0.1376551724</v>
      </c>
      <c r="F1314" s="5">
        <f>IFERROR(__xludf.DUMMYFUNCTION("""COMPUTED_VALUE"""),0.21848275862068967)</f>
        <v>0.2184827586</v>
      </c>
      <c r="G1314" s="5">
        <f>IFERROR(__xludf.DUMMYFUNCTION("""COMPUTED_VALUE"""),0.1776551724137931)</f>
        <v>0.1776551724</v>
      </c>
      <c r="H1314" s="5">
        <f>IFERROR(__xludf.DUMMYFUNCTION("""COMPUTED_VALUE"""),0.6026936026936027)</f>
        <v>0.6026936027</v>
      </c>
      <c r="I1314" s="11">
        <f>IFERROR(__xludf.DUMMYFUNCTION("""COMPUTED_VALUE"""),5735.816498316498)</f>
        <v>5735.816498</v>
      </c>
      <c r="J1314" s="10">
        <f>IFERROR(__xludf.DUMMYFUNCTION("""COMPUTED_VALUE"""),2.0)</f>
        <v>2</v>
      </c>
      <c r="K1314" s="5">
        <f>IFERROR(__xludf.DUMMYFUNCTION("""COMPUTED_VALUE"""),0.0019550342130987292)</f>
        <v>0.001955034213</v>
      </c>
      <c r="L1314" s="10">
        <f>IFERROR(__xludf.DUMMYFUNCTION("""COMPUTED_VALUE"""),1023.0)</f>
        <v>1023</v>
      </c>
      <c r="M1314" s="5">
        <f>IFERROR(__xludf.DUMMYFUNCTION("""COMPUTED_VALUE"""),1.0)</f>
        <v>1</v>
      </c>
    </row>
    <row r="1315">
      <c r="A1315" s="10" t="str">
        <f>IFERROR(__xludf.DUMMYFUNCTION("""COMPUTED_VALUE"""),"ジャスタウェイ")</f>
        <v>ジャスタウェイ</v>
      </c>
      <c r="B1315" s="10">
        <f>IFERROR(__xludf.DUMMYFUNCTION("""COMPUTED_VALUE"""),2252.0)</f>
        <v>2252</v>
      </c>
      <c r="C1315" s="10">
        <f>IFERROR(__xludf.DUMMYFUNCTION("""COMPUTED_VALUE"""),26596.0)</f>
        <v>26596</v>
      </c>
      <c r="D1315" s="5">
        <f>IFERROR(__xludf.DUMMYFUNCTION("""COMPUTED_VALUE"""),0.38428360170883996)</f>
        <v>0.3842836017</v>
      </c>
      <c r="E1315" s="5">
        <f>IFERROR(__xludf.DUMMYFUNCTION("""COMPUTED_VALUE"""),0.1376519881695695)</f>
        <v>0.1376519882</v>
      </c>
      <c r="F1315" s="5">
        <f>IFERROR(__xludf.DUMMYFUNCTION("""COMPUTED_VALUE"""),0.21430331909300032)</f>
        <v>0.2143033191</v>
      </c>
      <c r="G1315" s="5">
        <f>IFERROR(__xludf.DUMMYFUNCTION("""COMPUTED_VALUE"""),0.149071639829116)</f>
        <v>0.1490716398</v>
      </c>
      <c r="H1315" s="5">
        <f>IFERROR(__xludf.DUMMYFUNCTION("""COMPUTED_VALUE"""),0.6037952846463485)</f>
        <v>0.6037952846</v>
      </c>
      <c r="I1315" s="11">
        <f>IFERROR(__xludf.DUMMYFUNCTION("""COMPUTED_VALUE"""),5441.115583668775)</f>
        <v>5441.115584</v>
      </c>
      <c r="J1315" s="10">
        <f>IFERROR(__xludf.DUMMYFUNCTION("""COMPUTED_VALUE"""),6.0)</f>
        <v>6</v>
      </c>
      <c r="K1315" s="5">
        <f>IFERROR(__xludf.DUMMYFUNCTION("""COMPUTED_VALUE"""),0.0026642984014209592)</f>
        <v>0.002664298401</v>
      </c>
      <c r="L1315" s="10">
        <f>IFERROR(__xludf.DUMMYFUNCTION("""COMPUTED_VALUE"""),2252.0)</f>
        <v>2252</v>
      </c>
      <c r="M1315" s="5">
        <f>IFERROR(__xludf.DUMMYFUNCTION("""COMPUTED_VALUE"""),1.0)</f>
        <v>1</v>
      </c>
    </row>
    <row r="1316">
      <c r="A1316" s="10" t="str">
        <f>IFERROR(__xludf.DUMMYFUNCTION("""COMPUTED_VALUE"""),"青ちむ")</f>
        <v>青ちむ</v>
      </c>
      <c r="B1316" s="10">
        <f>IFERROR(__xludf.DUMMYFUNCTION("""COMPUTED_VALUE"""),895.0)</f>
        <v>895</v>
      </c>
      <c r="C1316" s="10">
        <f>IFERROR(__xludf.DUMMYFUNCTION("""COMPUTED_VALUE"""),10246.0)</f>
        <v>10246</v>
      </c>
      <c r="D1316" s="5">
        <f>IFERROR(__xludf.DUMMYFUNCTION("""COMPUTED_VALUE"""),0.36092396535129934)</f>
        <v>0.3609239654</v>
      </c>
      <c r="E1316" s="5">
        <f>IFERROR(__xludf.DUMMYFUNCTION("""COMPUTED_VALUE"""),0.13763233878729547)</f>
        <v>0.1376323388</v>
      </c>
      <c r="F1316" s="5">
        <f>IFERROR(__xludf.DUMMYFUNCTION("""COMPUTED_VALUE"""),0.21634049834242328)</f>
        <v>0.2163404983</v>
      </c>
      <c r="G1316" s="5">
        <f>IFERROR(__xludf.DUMMYFUNCTION("""COMPUTED_VALUE"""),0.16329804299005454)</f>
        <v>0.163298043</v>
      </c>
      <c r="H1316" s="5">
        <f>IFERROR(__xludf.DUMMYFUNCTION("""COMPUTED_VALUE"""),0.5916955017301038)</f>
        <v>0.5916955017</v>
      </c>
      <c r="I1316" s="11">
        <f>IFERROR(__xludf.DUMMYFUNCTION("""COMPUTED_VALUE"""),5994.908551655956)</f>
        <v>5994.908552</v>
      </c>
      <c r="J1316" s="10">
        <f>IFERROR(__xludf.DUMMYFUNCTION("""COMPUTED_VALUE"""),2.0)</f>
        <v>2</v>
      </c>
      <c r="K1316" s="5">
        <f>IFERROR(__xludf.DUMMYFUNCTION("""COMPUTED_VALUE"""),0.0022346368715083797)</f>
        <v>0.002234636872</v>
      </c>
      <c r="L1316" s="10">
        <f>IFERROR(__xludf.DUMMYFUNCTION("""COMPUTED_VALUE"""),895.0)</f>
        <v>895</v>
      </c>
      <c r="M1316" s="5">
        <f>IFERROR(__xludf.DUMMYFUNCTION("""COMPUTED_VALUE"""),1.0)</f>
        <v>1</v>
      </c>
    </row>
    <row r="1317">
      <c r="A1317" s="10" t="str">
        <f>IFERROR(__xludf.DUMMYFUNCTION("""COMPUTED_VALUE"""),"mukitti")</f>
        <v>mukitti</v>
      </c>
      <c r="B1317" s="10">
        <f>IFERROR(__xludf.DUMMYFUNCTION("""COMPUTED_VALUE"""),3354.0)</f>
        <v>3354</v>
      </c>
      <c r="C1317" s="10">
        <f>IFERROR(__xludf.DUMMYFUNCTION("""COMPUTED_VALUE"""),39349.0)</f>
        <v>39349</v>
      </c>
      <c r="D1317" s="5">
        <f>IFERROR(__xludf.DUMMYFUNCTION("""COMPUTED_VALUE"""),0.3935268787331574)</f>
        <v>0.3935268787</v>
      </c>
      <c r="E1317" s="5">
        <f>IFERROR(__xludf.DUMMYFUNCTION("""COMPUTED_VALUE"""),0.13763022642033615)</f>
        <v>0.1376302264</v>
      </c>
      <c r="F1317" s="5">
        <f>IFERROR(__xludf.DUMMYFUNCTION("""COMPUTED_VALUE"""),0.2317544103347687)</f>
        <v>0.2317544103</v>
      </c>
      <c r="G1317" s="5">
        <f>IFERROR(__xludf.DUMMYFUNCTION("""COMPUTED_VALUE"""),0.18483122655924433)</f>
        <v>0.1848312266</v>
      </c>
      <c r="H1317" s="5">
        <f>IFERROR(__xludf.DUMMYFUNCTION("""COMPUTED_VALUE"""),0.5999760249340685)</f>
        <v>0.5999760249</v>
      </c>
      <c r="I1317" s="11">
        <f>IFERROR(__xludf.DUMMYFUNCTION("""COMPUTED_VALUE"""),5262.538959482138)</f>
        <v>5262.538959</v>
      </c>
      <c r="J1317" s="10">
        <f>IFERROR(__xludf.DUMMYFUNCTION("""COMPUTED_VALUE"""),7.0)</f>
        <v>7</v>
      </c>
      <c r="K1317" s="5">
        <f>IFERROR(__xludf.DUMMYFUNCTION("""COMPUTED_VALUE"""),0.0020870602265951103)</f>
        <v>0.002087060227</v>
      </c>
      <c r="L1317" s="10">
        <f>IFERROR(__xludf.DUMMYFUNCTION("""COMPUTED_VALUE"""),3354.0)</f>
        <v>3354</v>
      </c>
      <c r="M1317" s="5">
        <f>IFERROR(__xludf.DUMMYFUNCTION("""COMPUTED_VALUE"""),1.0)</f>
        <v>1</v>
      </c>
    </row>
    <row r="1318">
      <c r="A1318" s="10" t="str">
        <f>IFERROR(__xludf.DUMMYFUNCTION("""COMPUTED_VALUE"""),"マッキー.")</f>
        <v>マッキー.</v>
      </c>
      <c r="B1318" s="10">
        <f>IFERROR(__xludf.DUMMYFUNCTION("""COMPUTED_VALUE"""),141.0)</f>
        <v>141</v>
      </c>
      <c r="C1318" s="10">
        <f>IFERROR(__xludf.DUMMYFUNCTION("""COMPUTED_VALUE"""),1667.0)</f>
        <v>1667</v>
      </c>
      <c r="D1318" s="5">
        <f>IFERROR(__xludf.DUMMYFUNCTION("""COMPUTED_VALUE"""),0.3702490170380079)</f>
        <v>0.370249017</v>
      </c>
      <c r="E1318" s="5">
        <f>IFERROR(__xludf.DUMMYFUNCTION("""COMPUTED_VALUE"""),0.13761467889908258)</f>
        <v>0.1376146789</v>
      </c>
      <c r="F1318" s="5">
        <f>IFERROR(__xludf.DUMMYFUNCTION("""COMPUTED_VALUE"""),0.20576671035386632)</f>
        <v>0.2057667104</v>
      </c>
      <c r="G1318" s="5">
        <f>IFERROR(__xludf.DUMMYFUNCTION("""COMPUTED_VALUE"""),0.16448230668414154)</f>
        <v>0.1644823067</v>
      </c>
      <c r="H1318" s="5">
        <f>IFERROR(__xludf.DUMMYFUNCTION("""COMPUTED_VALUE"""),0.60828025477707)</f>
        <v>0.6082802548</v>
      </c>
      <c r="I1318" s="11">
        <f>IFERROR(__xludf.DUMMYFUNCTION("""COMPUTED_VALUE"""),5365.605095541401)</f>
        <v>5365.605096</v>
      </c>
      <c r="J1318" s="10">
        <f>IFERROR(__xludf.DUMMYFUNCTION("""COMPUTED_VALUE"""),0.0)</f>
        <v>0</v>
      </c>
      <c r="K1318" s="5">
        <f>IFERROR(__xludf.DUMMYFUNCTION("""COMPUTED_VALUE"""),0.0)</f>
        <v>0</v>
      </c>
      <c r="L1318" s="10">
        <f>IFERROR(__xludf.DUMMYFUNCTION("""COMPUTED_VALUE"""),141.0)</f>
        <v>141</v>
      </c>
      <c r="M1318" s="5">
        <f>IFERROR(__xludf.DUMMYFUNCTION("""COMPUTED_VALUE"""),1.0)</f>
        <v>1</v>
      </c>
    </row>
    <row r="1319">
      <c r="A1319" s="10" t="str">
        <f>IFERROR(__xludf.DUMMYFUNCTION("""COMPUTED_VALUE"""),"かるちゃん")</f>
        <v>かるちゃん</v>
      </c>
      <c r="B1319" s="10">
        <f>IFERROR(__xludf.DUMMYFUNCTION("""COMPUTED_VALUE"""),314.0)</f>
        <v>314</v>
      </c>
      <c r="C1319" s="10">
        <f>IFERROR(__xludf.DUMMYFUNCTION("""COMPUTED_VALUE"""),3664.0)</f>
        <v>3664</v>
      </c>
      <c r="D1319" s="5">
        <f>IFERROR(__xludf.DUMMYFUNCTION("""COMPUTED_VALUE"""),0.2782089552238806)</f>
        <v>0.2782089552</v>
      </c>
      <c r="E1319" s="5">
        <f>IFERROR(__xludf.DUMMYFUNCTION("""COMPUTED_VALUE"""),0.13761194029850746)</f>
        <v>0.1376119403</v>
      </c>
      <c r="F1319" s="5">
        <f>IFERROR(__xludf.DUMMYFUNCTION("""COMPUTED_VALUE"""),0.21522388059701492)</f>
        <v>0.2152238806</v>
      </c>
      <c r="G1319" s="5">
        <f>IFERROR(__xludf.DUMMYFUNCTION("""COMPUTED_VALUE"""),0.19552238805970149)</f>
        <v>0.1955223881</v>
      </c>
      <c r="H1319" s="5">
        <f>IFERROR(__xludf.DUMMYFUNCTION("""COMPUTED_VALUE"""),0.6019417475728155)</f>
        <v>0.6019417476</v>
      </c>
      <c r="I1319" s="11">
        <f>IFERROR(__xludf.DUMMYFUNCTION("""COMPUTED_VALUE"""),5627.877947295423)</f>
        <v>5627.877947</v>
      </c>
      <c r="J1319" s="10">
        <f>IFERROR(__xludf.DUMMYFUNCTION("""COMPUTED_VALUE"""),1.0)</f>
        <v>1</v>
      </c>
      <c r="K1319" s="5">
        <f>IFERROR(__xludf.DUMMYFUNCTION("""COMPUTED_VALUE"""),0.0031847133757961785)</f>
        <v>0.003184713376</v>
      </c>
      <c r="L1319" s="10">
        <f>IFERROR(__xludf.DUMMYFUNCTION("""COMPUTED_VALUE"""),0.0)</f>
        <v>0</v>
      </c>
      <c r="M1319" s="5">
        <f>IFERROR(__xludf.DUMMYFUNCTION("""COMPUTED_VALUE"""),0.0)</f>
        <v>0</v>
      </c>
    </row>
    <row r="1320">
      <c r="A1320" s="10" t="str">
        <f>IFERROR(__xludf.DUMMYFUNCTION("""COMPUTED_VALUE"""),"moka-")</f>
        <v>moka-</v>
      </c>
      <c r="B1320" s="10">
        <f>IFERROR(__xludf.DUMMYFUNCTION("""COMPUTED_VALUE"""),987.0)</f>
        <v>987</v>
      </c>
      <c r="C1320" s="10">
        <f>IFERROR(__xludf.DUMMYFUNCTION("""COMPUTED_VALUE"""),11626.0)</f>
        <v>11626</v>
      </c>
      <c r="D1320" s="5">
        <f>IFERROR(__xludf.DUMMYFUNCTION("""COMPUTED_VALUE"""),0.4260738791239778)</f>
        <v>0.4260738791</v>
      </c>
      <c r="E1320" s="5">
        <f>IFERROR(__xludf.DUMMYFUNCTION("""COMPUTED_VALUE"""),0.13760691794341573)</f>
        <v>0.1376069179</v>
      </c>
      <c r="F1320" s="5">
        <f>IFERROR(__xludf.DUMMYFUNCTION("""COMPUTED_VALUE"""),0.2198514898016731)</f>
        <v>0.2198514898</v>
      </c>
      <c r="G1320" s="5">
        <f>IFERROR(__xludf.DUMMYFUNCTION("""COMPUTED_VALUE"""),0.16251527399191654)</f>
        <v>0.162515274</v>
      </c>
      <c r="H1320" s="5">
        <f>IFERROR(__xludf.DUMMYFUNCTION("""COMPUTED_VALUE"""),0.6173578452330055)</f>
        <v>0.6173578452</v>
      </c>
      <c r="I1320" s="11">
        <f>IFERROR(__xludf.DUMMYFUNCTION("""COMPUTED_VALUE"""),5420.521590423258)</f>
        <v>5420.52159</v>
      </c>
      <c r="J1320" s="10">
        <f>IFERROR(__xludf.DUMMYFUNCTION("""COMPUTED_VALUE"""),4.0)</f>
        <v>4</v>
      </c>
      <c r="K1320" s="5">
        <f>IFERROR(__xludf.DUMMYFUNCTION("""COMPUTED_VALUE"""),0.004052684903748734)</f>
        <v>0.004052684904</v>
      </c>
      <c r="L1320" s="10">
        <f>IFERROR(__xludf.DUMMYFUNCTION("""COMPUTED_VALUE"""),987.0)</f>
        <v>987</v>
      </c>
      <c r="M1320" s="5">
        <f>IFERROR(__xludf.DUMMYFUNCTION("""COMPUTED_VALUE"""),1.0)</f>
        <v>1</v>
      </c>
    </row>
    <row r="1321">
      <c r="A1321" s="10" t="str">
        <f>IFERROR(__xludf.DUMMYFUNCTION("""COMPUTED_VALUE"""),"尼龍")</f>
        <v>尼龍</v>
      </c>
      <c r="B1321" s="10">
        <f>IFERROR(__xludf.DUMMYFUNCTION("""COMPUTED_VALUE"""),193.0)</f>
        <v>193</v>
      </c>
      <c r="C1321" s="10">
        <f>IFERROR(__xludf.DUMMYFUNCTION("""COMPUTED_VALUE"""),2257.0)</f>
        <v>2257</v>
      </c>
      <c r="D1321" s="5">
        <f>IFERROR(__xludf.DUMMYFUNCTION("""COMPUTED_VALUE"""),0.29941860465116277)</f>
        <v>0.2994186047</v>
      </c>
      <c r="E1321" s="5">
        <f>IFERROR(__xludf.DUMMYFUNCTION("""COMPUTED_VALUE"""),0.1375968992248062)</f>
        <v>0.1375968992</v>
      </c>
      <c r="F1321" s="5">
        <f>IFERROR(__xludf.DUMMYFUNCTION("""COMPUTED_VALUE"""),0.18653100775193798)</f>
        <v>0.1865310078</v>
      </c>
      <c r="G1321" s="5">
        <f>IFERROR(__xludf.DUMMYFUNCTION("""COMPUTED_VALUE"""),0.2005813953488372)</f>
        <v>0.2005813953</v>
      </c>
      <c r="H1321" s="5">
        <f>IFERROR(__xludf.DUMMYFUNCTION("""COMPUTED_VALUE"""),0.5636363636363636)</f>
        <v>0.5636363636</v>
      </c>
      <c r="I1321" s="11">
        <f>IFERROR(__xludf.DUMMYFUNCTION("""COMPUTED_VALUE"""),6528.311688311688)</f>
        <v>6528.311688</v>
      </c>
      <c r="J1321" s="10">
        <f>IFERROR(__xludf.DUMMYFUNCTION("""COMPUTED_VALUE"""),0.0)</f>
        <v>0</v>
      </c>
      <c r="K1321" s="5">
        <f>IFERROR(__xludf.DUMMYFUNCTION("""COMPUTED_VALUE"""),0.0)</f>
        <v>0</v>
      </c>
      <c r="L1321" s="10">
        <f>IFERROR(__xludf.DUMMYFUNCTION("""COMPUTED_VALUE"""),193.0)</f>
        <v>193</v>
      </c>
      <c r="M1321" s="5">
        <f>IFERROR(__xludf.DUMMYFUNCTION("""COMPUTED_VALUE"""),1.0)</f>
        <v>1</v>
      </c>
    </row>
    <row r="1322">
      <c r="A1322" s="10" t="str">
        <f>IFERROR(__xludf.DUMMYFUNCTION("""COMPUTED_VALUE"""),"☆タスマニア")</f>
        <v>☆タスマニア</v>
      </c>
      <c r="B1322" s="10">
        <f>IFERROR(__xludf.DUMMYFUNCTION("""COMPUTED_VALUE"""),1961.0)</f>
        <v>1961</v>
      </c>
      <c r="C1322" s="10">
        <f>IFERROR(__xludf.DUMMYFUNCTION("""COMPUTED_VALUE"""),22759.0)</f>
        <v>22759</v>
      </c>
      <c r="D1322" s="5">
        <f>IFERROR(__xludf.DUMMYFUNCTION("""COMPUTED_VALUE"""),0.35099528800846236)</f>
        <v>0.350995288</v>
      </c>
      <c r="E1322" s="5">
        <f>IFERROR(__xludf.DUMMYFUNCTION("""COMPUTED_VALUE"""),0.13756130397153574)</f>
        <v>0.137561304</v>
      </c>
      <c r="F1322" s="5">
        <f>IFERROR(__xludf.DUMMYFUNCTION("""COMPUTED_VALUE"""),0.20237522838734492)</f>
        <v>0.2023752284</v>
      </c>
      <c r="G1322" s="5">
        <f>IFERROR(__xludf.DUMMYFUNCTION("""COMPUTED_VALUE"""),0.19117222809885565)</f>
        <v>0.1911722281</v>
      </c>
      <c r="H1322" s="5">
        <f>IFERROR(__xludf.DUMMYFUNCTION("""COMPUTED_VALUE"""),0.5942028985507246)</f>
        <v>0.5942028986</v>
      </c>
      <c r="I1322" s="11">
        <f>IFERROR(__xludf.DUMMYFUNCTION("""COMPUTED_VALUE"""),5929.056783083868)</f>
        <v>5929.056783</v>
      </c>
      <c r="J1322" s="10">
        <f>IFERROR(__xludf.DUMMYFUNCTION("""COMPUTED_VALUE"""),3.0)</f>
        <v>3</v>
      </c>
      <c r="K1322" s="5">
        <f>IFERROR(__xludf.DUMMYFUNCTION("""COMPUTED_VALUE"""),0.0015298317185109638)</f>
        <v>0.001529831719</v>
      </c>
      <c r="L1322" s="10">
        <f>IFERROR(__xludf.DUMMYFUNCTION("""COMPUTED_VALUE"""),1961.0)</f>
        <v>1961</v>
      </c>
      <c r="M1322" s="5">
        <f>IFERROR(__xludf.DUMMYFUNCTION("""COMPUTED_VALUE"""),1.0)</f>
        <v>1</v>
      </c>
    </row>
    <row r="1323">
      <c r="A1323" s="10" t="str">
        <f>IFERROR(__xludf.DUMMYFUNCTION("""COMPUTED_VALUE"""),"はげまるだしっ")</f>
        <v>はげまるだしっ</v>
      </c>
      <c r="B1323" s="10">
        <f>IFERROR(__xludf.DUMMYFUNCTION("""COMPUTED_VALUE"""),348.0)</f>
        <v>348</v>
      </c>
      <c r="C1323" s="10">
        <f>IFERROR(__xludf.DUMMYFUNCTION("""COMPUTED_VALUE"""),4070.0)</f>
        <v>4070</v>
      </c>
      <c r="D1323" s="5">
        <f>IFERROR(__xludf.DUMMYFUNCTION("""COMPUTED_VALUE"""),0.3831273508866201)</f>
        <v>0.3831273509</v>
      </c>
      <c r="E1323" s="5">
        <f>IFERROR(__xludf.DUMMYFUNCTION("""COMPUTED_VALUE"""),0.13756045137023107)</f>
        <v>0.1375604514</v>
      </c>
      <c r="F1323" s="5">
        <f>IFERROR(__xludf.DUMMYFUNCTION("""COMPUTED_VALUE"""),0.21090811391724879)</f>
        <v>0.2109081139</v>
      </c>
      <c r="G1323" s="5">
        <f>IFERROR(__xludf.DUMMYFUNCTION("""COMPUTED_VALUE"""),0.15206878022568512)</f>
        <v>0.1520687802</v>
      </c>
      <c r="H1323" s="5">
        <f>IFERROR(__xludf.DUMMYFUNCTION("""COMPUTED_VALUE"""),0.6280254777070063)</f>
        <v>0.6280254777</v>
      </c>
      <c r="I1323" s="11">
        <f>IFERROR(__xludf.DUMMYFUNCTION("""COMPUTED_VALUE"""),5261.910828025478)</f>
        <v>5261.910828</v>
      </c>
      <c r="J1323" s="10">
        <f>IFERROR(__xludf.DUMMYFUNCTION("""COMPUTED_VALUE"""),0.0)</f>
        <v>0</v>
      </c>
      <c r="K1323" s="5">
        <f>IFERROR(__xludf.DUMMYFUNCTION("""COMPUTED_VALUE"""),0.0)</f>
        <v>0</v>
      </c>
      <c r="L1323" s="10">
        <f>IFERROR(__xludf.DUMMYFUNCTION("""COMPUTED_VALUE"""),348.0)</f>
        <v>348</v>
      </c>
      <c r="M1323" s="5">
        <f>IFERROR(__xludf.DUMMYFUNCTION("""COMPUTED_VALUE"""),1.0)</f>
        <v>1</v>
      </c>
    </row>
    <row r="1324">
      <c r="A1324" s="10" t="str">
        <f>IFERROR(__xludf.DUMMYFUNCTION("""COMPUTED_VALUE"""),"beatrice")</f>
        <v>beatrice</v>
      </c>
      <c r="B1324" s="10">
        <f>IFERROR(__xludf.DUMMYFUNCTION("""COMPUTED_VALUE"""),414.0)</f>
        <v>414</v>
      </c>
      <c r="C1324" s="10">
        <f>IFERROR(__xludf.DUMMYFUNCTION("""COMPUTED_VALUE"""),4827.0)</f>
        <v>4827</v>
      </c>
      <c r="D1324" s="5">
        <f>IFERROR(__xludf.DUMMYFUNCTION("""COMPUTED_VALUE"""),0.3521414004078858)</f>
        <v>0.3521414004</v>
      </c>
      <c r="E1324" s="5">
        <f>IFERROR(__xludf.DUMMYFUNCTION("""COMPUTED_VALUE"""),0.1375481531837752)</f>
        <v>0.1375481532</v>
      </c>
      <c r="F1324" s="5">
        <f>IFERROR(__xludf.DUMMYFUNCTION("""COMPUTED_VALUE"""),0.20960797643326534)</f>
        <v>0.2096079764</v>
      </c>
      <c r="G1324" s="5">
        <f>IFERROR(__xludf.DUMMYFUNCTION("""COMPUTED_VALUE"""),0.18581463856786767)</f>
        <v>0.1858146386</v>
      </c>
      <c r="H1324" s="5">
        <f>IFERROR(__xludf.DUMMYFUNCTION("""COMPUTED_VALUE"""),0.6075675675675676)</f>
        <v>0.6075675676</v>
      </c>
      <c r="I1324" s="11">
        <f>IFERROR(__xludf.DUMMYFUNCTION("""COMPUTED_VALUE"""),5954.27027027027)</f>
        <v>5954.27027</v>
      </c>
      <c r="J1324" s="10">
        <f>IFERROR(__xludf.DUMMYFUNCTION("""COMPUTED_VALUE"""),1.0)</f>
        <v>1</v>
      </c>
      <c r="K1324" s="5">
        <f>IFERROR(__xludf.DUMMYFUNCTION("""COMPUTED_VALUE"""),0.0024154589371980675)</f>
        <v>0.002415458937</v>
      </c>
      <c r="L1324" s="10">
        <f>IFERROR(__xludf.DUMMYFUNCTION("""COMPUTED_VALUE"""),0.0)</f>
        <v>0</v>
      </c>
      <c r="M1324" s="5">
        <f>IFERROR(__xludf.DUMMYFUNCTION("""COMPUTED_VALUE"""),0.0)</f>
        <v>0</v>
      </c>
    </row>
    <row r="1325">
      <c r="A1325" s="10" t="str">
        <f>IFERROR(__xludf.DUMMYFUNCTION("""COMPUTED_VALUE"""),"BlackBox")</f>
        <v>BlackBox</v>
      </c>
      <c r="B1325" s="10">
        <f>IFERROR(__xludf.DUMMYFUNCTION("""COMPUTED_VALUE"""),547.0)</f>
        <v>547</v>
      </c>
      <c r="C1325" s="10">
        <f>IFERROR(__xludf.DUMMYFUNCTION("""COMPUTED_VALUE"""),6465.0)</f>
        <v>6465</v>
      </c>
      <c r="D1325" s="5">
        <f>IFERROR(__xludf.DUMMYFUNCTION("""COMPUTED_VALUE"""),0.36735383575532277)</f>
        <v>0.3673538358</v>
      </c>
      <c r="E1325" s="5">
        <f>IFERROR(__xludf.DUMMYFUNCTION("""COMPUTED_VALUE"""),0.137546468401487)</f>
        <v>0.1375464684</v>
      </c>
      <c r="F1325" s="5">
        <f>IFERROR(__xludf.DUMMYFUNCTION("""COMPUTED_VALUE"""),0.21358567083474148)</f>
        <v>0.2135856708</v>
      </c>
      <c r="G1325" s="5">
        <f>IFERROR(__xludf.DUMMYFUNCTION("""COMPUTED_VALUE"""),0.14903683676917878)</f>
        <v>0.1490368368</v>
      </c>
      <c r="H1325" s="5">
        <f>IFERROR(__xludf.DUMMYFUNCTION("""COMPUTED_VALUE"""),0.5862341772151899)</f>
        <v>0.5862341772</v>
      </c>
      <c r="I1325" s="11">
        <f>IFERROR(__xludf.DUMMYFUNCTION("""COMPUTED_VALUE"""),5288.765822784811)</f>
        <v>5288.765823</v>
      </c>
      <c r="J1325" s="10">
        <f>IFERROR(__xludf.DUMMYFUNCTION("""COMPUTED_VALUE"""),1.0)</f>
        <v>1</v>
      </c>
      <c r="K1325" s="5">
        <f>IFERROR(__xludf.DUMMYFUNCTION("""COMPUTED_VALUE"""),0.0018281535648994515)</f>
        <v>0.001828153565</v>
      </c>
      <c r="L1325" s="10">
        <f>IFERROR(__xludf.DUMMYFUNCTION("""COMPUTED_VALUE"""),547.0)</f>
        <v>547</v>
      </c>
      <c r="M1325" s="5">
        <f>IFERROR(__xludf.DUMMYFUNCTION("""COMPUTED_VALUE"""),1.0)</f>
        <v>1</v>
      </c>
    </row>
    <row r="1326">
      <c r="A1326" s="10" t="str">
        <f>IFERROR(__xludf.DUMMYFUNCTION("""COMPUTED_VALUE"""),"あやトゥース")</f>
        <v>あやトゥース</v>
      </c>
      <c r="B1326" s="10">
        <f>IFERROR(__xludf.DUMMYFUNCTION("""COMPUTED_VALUE"""),617.0)</f>
        <v>617</v>
      </c>
      <c r="C1326" s="10">
        <f>IFERROR(__xludf.DUMMYFUNCTION("""COMPUTED_VALUE"""),7044.0)</f>
        <v>7044</v>
      </c>
      <c r="D1326" s="5">
        <f>IFERROR(__xludf.DUMMYFUNCTION("""COMPUTED_VALUE"""),0.3139878637000156)</f>
        <v>0.3139878637</v>
      </c>
      <c r="E1326" s="5">
        <f>IFERROR(__xludf.DUMMYFUNCTION("""COMPUTED_VALUE"""),0.13754473315699392)</f>
        <v>0.1375447332</v>
      </c>
      <c r="F1326" s="5">
        <f>IFERROR(__xludf.DUMMYFUNCTION("""COMPUTED_VALUE"""),0.21098490742181422)</f>
        <v>0.2109849074</v>
      </c>
      <c r="G1326" s="5">
        <f>IFERROR(__xludf.DUMMYFUNCTION("""COMPUTED_VALUE"""),0.20180488563871168)</f>
        <v>0.2018048856</v>
      </c>
      <c r="H1326" s="5">
        <f>IFERROR(__xludf.DUMMYFUNCTION("""COMPUTED_VALUE"""),0.5870206489675516)</f>
        <v>0.587020649</v>
      </c>
      <c r="I1326" s="11">
        <f>IFERROR(__xludf.DUMMYFUNCTION("""COMPUTED_VALUE"""),6166.961651917404)</f>
        <v>6166.961652</v>
      </c>
      <c r="J1326" s="10">
        <f>IFERROR(__xludf.DUMMYFUNCTION("""COMPUTED_VALUE"""),3.0)</f>
        <v>3</v>
      </c>
      <c r="K1326" s="5">
        <f>IFERROR(__xludf.DUMMYFUNCTION("""COMPUTED_VALUE"""),0.004862236628849271)</f>
        <v>0.004862236629</v>
      </c>
      <c r="L1326" s="10">
        <f>IFERROR(__xludf.DUMMYFUNCTION("""COMPUTED_VALUE"""),617.0)</f>
        <v>617</v>
      </c>
      <c r="M1326" s="5">
        <f>IFERROR(__xludf.DUMMYFUNCTION("""COMPUTED_VALUE"""),1.0)</f>
        <v>1</v>
      </c>
    </row>
    <row r="1327">
      <c r="A1327" s="10" t="str">
        <f>IFERROR(__xludf.DUMMYFUNCTION("""COMPUTED_VALUE"""),"くりtoりす")</f>
        <v>くりtoりす</v>
      </c>
      <c r="B1327" s="10">
        <f>IFERROR(__xludf.DUMMYFUNCTION("""COMPUTED_VALUE"""),389.0)</f>
        <v>389</v>
      </c>
      <c r="C1327" s="10">
        <f>IFERROR(__xludf.DUMMYFUNCTION("""COMPUTED_VALUE"""),4577.0)</f>
        <v>4577</v>
      </c>
      <c r="D1327" s="5">
        <f>IFERROR(__xludf.DUMMYFUNCTION("""COMPUTED_VALUE"""),0.35291308500477553)</f>
        <v>0.352913085</v>
      </c>
      <c r="E1327" s="5">
        <f>IFERROR(__xludf.DUMMYFUNCTION("""COMPUTED_VALUE"""),0.13753581661891118)</f>
        <v>0.1375358166</v>
      </c>
      <c r="F1327" s="5">
        <f>IFERROR(__xludf.DUMMYFUNCTION("""COMPUTED_VALUE"""),0.2134670487106017)</f>
        <v>0.2134670487</v>
      </c>
      <c r="G1327" s="5">
        <f>IFERROR(__xludf.DUMMYFUNCTION("""COMPUTED_VALUE"""),0.1819484240687679)</f>
        <v>0.1819484241</v>
      </c>
      <c r="H1327" s="5">
        <f>IFERROR(__xludf.DUMMYFUNCTION("""COMPUTED_VALUE"""),0.5850111856823266)</f>
        <v>0.5850111857</v>
      </c>
      <c r="I1327" s="11">
        <f>IFERROR(__xludf.DUMMYFUNCTION("""COMPUTED_VALUE"""),5712.8635346756155)</f>
        <v>5712.863535</v>
      </c>
      <c r="J1327" s="10">
        <f>IFERROR(__xludf.DUMMYFUNCTION("""COMPUTED_VALUE"""),0.0)</f>
        <v>0</v>
      </c>
      <c r="K1327" s="5">
        <f>IFERROR(__xludf.DUMMYFUNCTION("""COMPUTED_VALUE"""),0.0)</f>
        <v>0</v>
      </c>
      <c r="L1327" s="10">
        <f>IFERROR(__xludf.DUMMYFUNCTION("""COMPUTED_VALUE"""),389.0)</f>
        <v>389</v>
      </c>
      <c r="M1327" s="5">
        <f>IFERROR(__xludf.DUMMYFUNCTION("""COMPUTED_VALUE"""),1.0)</f>
        <v>1</v>
      </c>
    </row>
    <row r="1328">
      <c r="A1328" s="10" t="str">
        <f>IFERROR(__xludf.DUMMYFUNCTION("""COMPUTED_VALUE"""),"tenku5")</f>
        <v>tenku5</v>
      </c>
      <c r="B1328" s="10">
        <f>IFERROR(__xludf.DUMMYFUNCTION("""COMPUTED_VALUE"""),140.0)</f>
        <v>140</v>
      </c>
      <c r="C1328" s="10">
        <f>IFERROR(__xludf.DUMMYFUNCTION("""COMPUTED_VALUE"""),1638.0)</f>
        <v>1638</v>
      </c>
      <c r="D1328" s="5">
        <f>IFERROR(__xludf.DUMMYFUNCTION("""COMPUTED_VALUE"""),0.38451268357810414)</f>
        <v>0.3845126836</v>
      </c>
      <c r="E1328" s="5">
        <f>IFERROR(__xludf.DUMMYFUNCTION("""COMPUTED_VALUE"""),0.1375166889185581)</f>
        <v>0.1375166889</v>
      </c>
      <c r="F1328" s="5">
        <f>IFERROR(__xludf.DUMMYFUNCTION("""COMPUTED_VALUE"""),0.19559412550066757)</f>
        <v>0.1955941255</v>
      </c>
      <c r="G1328" s="5">
        <f>IFERROR(__xludf.DUMMYFUNCTION("""COMPUTED_VALUE"""),0.16421895861148197)</f>
        <v>0.1642189586</v>
      </c>
      <c r="H1328" s="5">
        <f>IFERROR(__xludf.DUMMYFUNCTION("""COMPUTED_VALUE"""),0.6279863481228669)</f>
        <v>0.6279863481</v>
      </c>
      <c r="I1328" s="11">
        <f>IFERROR(__xludf.DUMMYFUNCTION("""COMPUTED_VALUE"""),5727.6450511945395)</f>
        <v>5727.645051</v>
      </c>
      <c r="J1328" s="10">
        <f>IFERROR(__xludf.DUMMYFUNCTION("""COMPUTED_VALUE"""),1.0)</f>
        <v>1</v>
      </c>
      <c r="K1328" s="5">
        <f>IFERROR(__xludf.DUMMYFUNCTION("""COMPUTED_VALUE"""),0.007142857142857143)</f>
        <v>0.007142857143</v>
      </c>
      <c r="L1328" s="10">
        <f>IFERROR(__xludf.DUMMYFUNCTION("""COMPUTED_VALUE"""),140.0)</f>
        <v>140</v>
      </c>
      <c r="M1328" s="5">
        <f>IFERROR(__xludf.DUMMYFUNCTION("""COMPUTED_VALUE"""),1.0)</f>
        <v>1</v>
      </c>
    </row>
    <row r="1329">
      <c r="A1329" s="10" t="str">
        <f>IFERROR(__xludf.DUMMYFUNCTION("""COMPUTED_VALUE"""),"ジャッカ～ル")</f>
        <v>ジャッカ～ル</v>
      </c>
      <c r="B1329" s="10">
        <f>IFERROR(__xludf.DUMMYFUNCTION("""COMPUTED_VALUE"""),2095.0)</f>
        <v>2095</v>
      </c>
      <c r="C1329" s="10">
        <f>IFERROR(__xludf.DUMMYFUNCTION("""COMPUTED_VALUE"""),24340.0)</f>
        <v>24340</v>
      </c>
      <c r="D1329" s="5">
        <f>IFERROR(__xludf.DUMMYFUNCTION("""COMPUTED_VALUE"""),0.3905147224095302)</f>
        <v>0.3905147224</v>
      </c>
      <c r="E1329" s="5">
        <f>IFERROR(__xludf.DUMMYFUNCTION("""COMPUTED_VALUE"""),0.13751404810069678)</f>
        <v>0.1375140481</v>
      </c>
      <c r="F1329" s="5">
        <f>IFERROR(__xludf.DUMMYFUNCTION("""COMPUTED_VALUE"""),0.22216228365924928)</f>
        <v>0.2221622837</v>
      </c>
      <c r="G1329" s="5">
        <f>IFERROR(__xludf.DUMMYFUNCTION("""COMPUTED_VALUE"""),0.16250842886041808)</f>
        <v>0.1625084289</v>
      </c>
      <c r="H1329" s="5">
        <f>IFERROR(__xludf.DUMMYFUNCTION("""COMPUTED_VALUE"""),0.6017806556050183)</f>
        <v>0.6017806556</v>
      </c>
      <c r="I1329" s="11">
        <f>IFERROR(__xludf.DUMMYFUNCTION("""COMPUTED_VALUE"""),5580.736543909348)</f>
        <v>5580.736544</v>
      </c>
      <c r="J1329" s="10">
        <f>IFERROR(__xludf.DUMMYFUNCTION("""COMPUTED_VALUE"""),5.0)</f>
        <v>5</v>
      </c>
      <c r="K1329" s="5">
        <f>IFERROR(__xludf.DUMMYFUNCTION("""COMPUTED_VALUE"""),0.002386634844868735)</f>
        <v>0.002386634845</v>
      </c>
      <c r="L1329" s="10">
        <f>IFERROR(__xludf.DUMMYFUNCTION("""COMPUTED_VALUE"""),0.0)</f>
        <v>0</v>
      </c>
      <c r="M1329" s="5">
        <f>IFERROR(__xludf.DUMMYFUNCTION("""COMPUTED_VALUE"""),0.0)</f>
        <v>0</v>
      </c>
    </row>
    <row r="1330">
      <c r="A1330" s="10" t="str">
        <f>IFERROR(__xludf.DUMMYFUNCTION("""COMPUTED_VALUE"""),"ayatoo")</f>
        <v>ayatoo</v>
      </c>
      <c r="B1330" s="10">
        <f>IFERROR(__xludf.DUMMYFUNCTION("""COMPUTED_VALUE"""),202.0)</f>
        <v>202</v>
      </c>
      <c r="C1330" s="10">
        <f>IFERROR(__xludf.DUMMYFUNCTION("""COMPUTED_VALUE"""),2420.0)</f>
        <v>2420</v>
      </c>
      <c r="D1330" s="5">
        <f>IFERROR(__xludf.DUMMYFUNCTION("""COMPUTED_VALUE"""),0.36699729486023447)</f>
        <v>0.3669972949</v>
      </c>
      <c r="E1330" s="5">
        <f>IFERROR(__xludf.DUMMYFUNCTION("""COMPUTED_VALUE"""),0.1375112714156898)</f>
        <v>0.1375112714</v>
      </c>
      <c r="F1330" s="5">
        <f>IFERROR(__xludf.DUMMYFUNCTION("""COMPUTED_VALUE"""),0.2132551848512173)</f>
        <v>0.2132551849</v>
      </c>
      <c r="G1330" s="5">
        <f>IFERROR(__xludf.DUMMYFUNCTION("""COMPUTED_VALUE"""),0.19792605951307485)</f>
        <v>0.1979260595</v>
      </c>
      <c r="H1330" s="5">
        <f>IFERROR(__xludf.DUMMYFUNCTION("""COMPUTED_VALUE"""),0.6088794926004228)</f>
        <v>0.6088794926</v>
      </c>
      <c r="I1330" s="11">
        <f>IFERROR(__xludf.DUMMYFUNCTION("""COMPUTED_VALUE"""),5949.048625792811)</f>
        <v>5949.048626</v>
      </c>
      <c r="J1330" s="10">
        <f>IFERROR(__xludf.DUMMYFUNCTION("""COMPUTED_VALUE"""),0.0)</f>
        <v>0</v>
      </c>
      <c r="K1330" s="5">
        <f>IFERROR(__xludf.DUMMYFUNCTION("""COMPUTED_VALUE"""),0.0)</f>
        <v>0</v>
      </c>
      <c r="L1330" s="10">
        <f>IFERROR(__xludf.DUMMYFUNCTION("""COMPUTED_VALUE"""),202.0)</f>
        <v>202</v>
      </c>
      <c r="M1330" s="5">
        <f>IFERROR(__xludf.DUMMYFUNCTION("""COMPUTED_VALUE"""),1.0)</f>
        <v>1</v>
      </c>
    </row>
    <row r="1331">
      <c r="A1331" s="10" t="str">
        <f>IFERROR(__xludf.DUMMYFUNCTION("""COMPUTED_VALUE"""),"とびまこ")</f>
        <v>とびまこ</v>
      </c>
      <c r="B1331" s="10">
        <f>IFERROR(__xludf.DUMMYFUNCTION("""COMPUTED_VALUE"""),6234.0)</f>
        <v>6234</v>
      </c>
      <c r="C1331" s="10">
        <f>IFERROR(__xludf.DUMMYFUNCTION("""COMPUTED_VALUE"""),72670.0)</f>
        <v>72670</v>
      </c>
      <c r="D1331" s="5">
        <f>IFERROR(__xludf.DUMMYFUNCTION("""COMPUTED_VALUE"""),0.388750075260401)</f>
        <v>0.3887500753</v>
      </c>
      <c r="E1331" s="5">
        <f>IFERROR(__xludf.DUMMYFUNCTION("""COMPUTED_VALUE"""),0.13750075260400987)</f>
        <v>0.1375007526</v>
      </c>
      <c r="F1331" s="5">
        <f>IFERROR(__xludf.DUMMYFUNCTION("""COMPUTED_VALUE"""),0.22185261003070625)</f>
        <v>0.22185261</v>
      </c>
      <c r="G1331" s="5">
        <f>IFERROR(__xludf.DUMMYFUNCTION("""COMPUTED_VALUE"""),0.16671684026732494)</f>
        <v>0.1667168403</v>
      </c>
      <c r="H1331" s="5">
        <f>IFERROR(__xludf.DUMMYFUNCTION("""COMPUTED_VALUE"""),0.5999728611167651)</f>
        <v>0.5999728611</v>
      </c>
      <c r="I1331" s="11">
        <f>IFERROR(__xludf.DUMMYFUNCTION("""COMPUTED_VALUE"""),5670.5746658525)</f>
        <v>5670.574666</v>
      </c>
      <c r="J1331" s="10">
        <f>IFERROR(__xludf.DUMMYFUNCTION("""COMPUTED_VALUE"""),11.0)</f>
        <v>11</v>
      </c>
      <c r="K1331" s="5">
        <f>IFERROR(__xludf.DUMMYFUNCTION("""COMPUTED_VALUE"""),0.0017645171639396856)</f>
        <v>0.001764517164</v>
      </c>
      <c r="L1331" s="10">
        <f>IFERROR(__xludf.DUMMYFUNCTION("""COMPUTED_VALUE"""),6234.0)</f>
        <v>6234</v>
      </c>
      <c r="M1331" s="5">
        <f>IFERROR(__xludf.DUMMYFUNCTION("""COMPUTED_VALUE"""),1.0)</f>
        <v>1</v>
      </c>
    </row>
    <row r="1332">
      <c r="A1332" s="10" t="str">
        <f>IFERROR(__xludf.DUMMYFUNCTION("""COMPUTED_VALUE"""),"bakase")</f>
        <v>bakase</v>
      </c>
      <c r="B1332" s="10">
        <f>IFERROR(__xludf.DUMMYFUNCTION("""COMPUTED_VALUE"""),3199.0)</f>
        <v>3199</v>
      </c>
      <c r="C1332" s="10">
        <f>IFERROR(__xludf.DUMMYFUNCTION("""COMPUTED_VALUE"""),37264.0)</f>
        <v>37264</v>
      </c>
      <c r="D1332" s="5">
        <f>IFERROR(__xludf.DUMMYFUNCTION("""COMPUTED_VALUE"""),0.3367972992807867)</f>
        <v>0.3367972993</v>
      </c>
      <c r="E1332" s="5">
        <f>IFERROR(__xludf.DUMMYFUNCTION("""COMPUTED_VALUE"""),0.13747247908410393)</f>
        <v>0.1374724791</v>
      </c>
      <c r="F1332" s="5">
        <f>IFERROR(__xludf.DUMMYFUNCTION("""COMPUTED_VALUE"""),0.2255100543079407)</f>
        <v>0.2255100543</v>
      </c>
      <c r="G1332" s="5">
        <f>IFERROR(__xludf.DUMMYFUNCTION("""COMPUTED_VALUE"""),0.1841773080874798)</f>
        <v>0.1841773081</v>
      </c>
      <c r="H1332" s="5">
        <f>IFERROR(__xludf.DUMMYFUNCTION("""COMPUTED_VALUE"""),0.5978911741733923)</f>
        <v>0.5978911742</v>
      </c>
      <c r="I1332" s="11">
        <f>IFERROR(__xludf.DUMMYFUNCTION("""COMPUTED_VALUE"""),5535.78495183546)</f>
        <v>5535.784952</v>
      </c>
      <c r="J1332" s="10">
        <f>IFERROR(__xludf.DUMMYFUNCTION("""COMPUTED_VALUE"""),10.0)</f>
        <v>10</v>
      </c>
      <c r="K1332" s="5">
        <f>IFERROR(__xludf.DUMMYFUNCTION("""COMPUTED_VALUE"""),0.0031259768677711786)</f>
        <v>0.003125976868</v>
      </c>
      <c r="L1332" s="10">
        <f>IFERROR(__xludf.DUMMYFUNCTION("""COMPUTED_VALUE"""),3.0)</f>
        <v>3</v>
      </c>
      <c r="M1332" s="5">
        <f>IFERROR(__xludf.DUMMYFUNCTION("""COMPUTED_VALUE"""),9.377930603313535E-4)</f>
        <v>0.0009377930603</v>
      </c>
    </row>
    <row r="1333">
      <c r="A1333" s="10" t="str">
        <f>IFERROR(__xludf.DUMMYFUNCTION("""COMPUTED_VALUE"""),"ヨコヅナ")</f>
        <v>ヨコヅナ</v>
      </c>
      <c r="B1333" s="10">
        <f>IFERROR(__xludf.DUMMYFUNCTION("""COMPUTED_VALUE"""),2585.0)</f>
        <v>2585</v>
      </c>
      <c r="C1333" s="10">
        <f>IFERROR(__xludf.DUMMYFUNCTION("""COMPUTED_VALUE"""),30149.0)</f>
        <v>30149</v>
      </c>
      <c r="D1333" s="5">
        <f>IFERROR(__xludf.DUMMYFUNCTION("""COMPUTED_VALUE"""),0.3313379770715426)</f>
        <v>0.3313379771</v>
      </c>
      <c r="E1333" s="5">
        <f>IFERROR(__xludf.DUMMYFUNCTION("""COMPUTED_VALUE"""),0.13746190683500217)</f>
        <v>0.1374619068</v>
      </c>
      <c r="F1333" s="5">
        <f>IFERROR(__xludf.DUMMYFUNCTION("""COMPUTED_VALUE"""),0.20914961544042954)</f>
        <v>0.2091496154</v>
      </c>
      <c r="G1333" s="5">
        <f>IFERROR(__xludf.DUMMYFUNCTION("""COMPUTED_VALUE"""),0.15081265418662024)</f>
        <v>0.1508126542</v>
      </c>
      <c r="H1333" s="5">
        <f>IFERROR(__xludf.DUMMYFUNCTION("""COMPUTED_VALUE"""),0.6117953165654814)</f>
        <v>0.6117953166</v>
      </c>
      <c r="I1333" s="11">
        <f>IFERROR(__xludf.DUMMYFUNCTION("""COMPUTED_VALUE"""),5677.0338248048565)</f>
        <v>5677.033825</v>
      </c>
      <c r="J1333" s="10">
        <f>IFERROR(__xludf.DUMMYFUNCTION("""COMPUTED_VALUE"""),7.0)</f>
        <v>7</v>
      </c>
      <c r="K1333" s="5">
        <f>IFERROR(__xludf.DUMMYFUNCTION("""COMPUTED_VALUE"""),0.0027079303675048355)</f>
        <v>0.002707930368</v>
      </c>
      <c r="L1333" s="10">
        <f>IFERROR(__xludf.DUMMYFUNCTION("""COMPUTED_VALUE"""),2585.0)</f>
        <v>2585</v>
      </c>
      <c r="M1333" s="5">
        <f>IFERROR(__xludf.DUMMYFUNCTION("""COMPUTED_VALUE"""),1.0)</f>
        <v>1</v>
      </c>
    </row>
    <row r="1334">
      <c r="A1334" s="10" t="str">
        <f>IFERROR(__xludf.DUMMYFUNCTION("""COMPUTED_VALUE"""),"えりんぼP")</f>
        <v>えりんぼP</v>
      </c>
      <c r="B1334" s="10">
        <f>IFERROR(__xludf.DUMMYFUNCTION("""COMPUTED_VALUE"""),3652.0)</f>
        <v>3652</v>
      </c>
      <c r="C1334" s="10">
        <f>IFERROR(__xludf.DUMMYFUNCTION("""COMPUTED_VALUE"""),42254.0)</f>
        <v>42254</v>
      </c>
      <c r="D1334" s="5">
        <f>IFERROR(__xludf.DUMMYFUNCTION("""COMPUTED_VALUE"""),0.3522874462463085)</f>
        <v>0.3522874462</v>
      </c>
      <c r="E1334" s="5">
        <f>IFERROR(__xludf.DUMMYFUNCTION("""COMPUTED_VALUE"""),0.1374540179265323)</f>
        <v>0.1374540179</v>
      </c>
      <c r="F1334" s="5">
        <f>IFERROR(__xludf.DUMMYFUNCTION("""COMPUTED_VALUE"""),0.2278379358582457)</f>
        <v>0.2278379359</v>
      </c>
      <c r="G1334" s="5">
        <f>IFERROR(__xludf.DUMMYFUNCTION("""COMPUTED_VALUE"""),0.18338428060722242)</f>
        <v>0.1833842806</v>
      </c>
      <c r="H1334" s="5">
        <f>IFERROR(__xludf.DUMMYFUNCTION("""COMPUTED_VALUE"""),0.6034110289937464)</f>
        <v>0.603411029</v>
      </c>
      <c r="I1334" s="11">
        <f>IFERROR(__xludf.DUMMYFUNCTION("""COMPUTED_VALUE"""),5825.798749289369)</f>
        <v>5825.798749</v>
      </c>
      <c r="J1334" s="10">
        <f>IFERROR(__xludf.DUMMYFUNCTION("""COMPUTED_VALUE"""),17.0)</f>
        <v>17</v>
      </c>
      <c r="K1334" s="5">
        <f>IFERROR(__xludf.DUMMYFUNCTION("""COMPUTED_VALUE"""),0.004654983570646221)</f>
        <v>0.004654983571</v>
      </c>
      <c r="L1334" s="10">
        <f>IFERROR(__xludf.DUMMYFUNCTION("""COMPUTED_VALUE"""),3652.0)</f>
        <v>3652</v>
      </c>
      <c r="M1334" s="5">
        <f>IFERROR(__xludf.DUMMYFUNCTION("""COMPUTED_VALUE"""),1.0)</f>
        <v>1</v>
      </c>
    </row>
    <row r="1335">
      <c r="A1335" s="10" t="str">
        <f>IFERROR(__xludf.DUMMYFUNCTION("""COMPUTED_VALUE"""),"まこさとver2")</f>
        <v>まこさとver2</v>
      </c>
      <c r="B1335" s="10">
        <f>IFERROR(__xludf.DUMMYFUNCTION("""COMPUTED_VALUE"""),3295.0)</f>
        <v>3295</v>
      </c>
      <c r="C1335" s="10">
        <f>IFERROR(__xludf.DUMMYFUNCTION("""COMPUTED_VALUE"""),38776.0)</f>
        <v>38776</v>
      </c>
      <c r="D1335" s="5">
        <f>IFERROR(__xludf.DUMMYFUNCTION("""COMPUTED_VALUE"""),0.32329979425608074)</f>
        <v>0.3232997943</v>
      </c>
      <c r="E1335" s="5">
        <f>IFERROR(__xludf.DUMMYFUNCTION("""COMPUTED_VALUE"""),0.1374538485386545)</f>
        <v>0.1374538485</v>
      </c>
      <c r="F1335" s="5">
        <f>IFERROR(__xludf.DUMMYFUNCTION("""COMPUTED_VALUE"""),0.21428370113581918)</f>
        <v>0.2142837011</v>
      </c>
      <c r="G1335" s="5">
        <f>IFERROR(__xludf.DUMMYFUNCTION("""COMPUTED_VALUE"""),0.1681463318395761)</f>
        <v>0.1681463318</v>
      </c>
      <c r="H1335" s="5">
        <f>IFERROR(__xludf.DUMMYFUNCTION("""COMPUTED_VALUE"""),0.6027883730106537)</f>
        <v>0.602788373</v>
      </c>
      <c r="I1335" s="11">
        <f>IFERROR(__xludf.DUMMYFUNCTION("""COMPUTED_VALUE"""),5919.124029988163)</f>
        <v>5919.12403</v>
      </c>
      <c r="J1335" s="10">
        <f>IFERROR(__xludf.DUMMYFUNCTION("""COMPUTED_VALUE"""),7.0)</f>
        <v>7</v>
      </c>
      <c r="K1335" s="5">
        <f>IFERROR(__xludf.DUMMYFUNCTION("""COMPUTED_VALUE"""),0.0021244309559939304)</f>
        <v>0.002124430956</v>
      </c>
      <c r="L1335" s="10">
        <f>IFERROR(__xludf.DUMMYFUNCTION("""COMPUTED_VALUE"""),3295.0)</f>
        <v>3295</v>
      </c>
      <c r="M1335" s="5">
        <f>IFERROR(__xludf.DUMMYFUNCTION("""COMPUTED_VALUE"""),1.0)</f>
        <v>1</v>
      </c>
    </row>
    <row r="1336">
      <c r="A1336" s="10" t="str">
        <f>IFERROR(__xludf.DUMMYFUNCTION("""COMPUTED_VALUE"""),"焼鳥名無しさん")</f>
        <v>焼鳥名無しさん</v>
      </c>
      <c r="B1336" s="10">
        <f>IFERROR(__xludf.DUMMYFUNCTION("""COMPUTED_VALUE"""),117.0)</f>
        <v>117</v>
      </c>
      <c r="C1336" s="10">
        <f>IFERROR(__xludf.DUMMYFUNCTION("""COMPUTED_VALUE"""),1412.0)</f>
        <v>1412</v>
      </c>
      <c r="D1336" s="5">
        <f>IFERROR(__xludf.DUMMYFUNCTION("""COMPUTED_VALUE"""),0.36602316602316604)</f>
        <v>0.366023166</v>
      </c>
      <c r="E1336" s="5">
        <f>IFERROR(__xludf.DUMMYFUNCTION("""COMPUTED_VALUE"""),0.13745173745173744)</f>
        <v>0.1374517375</v>
      </c>
      <c r="F1336" s="5">
        <f>IFERROR(__xludf.DUMMYFUNCTION("""COMPUTED_VALUE"""),0.22084942084942086)</f>
        <v>0.2208494208</v>
      </c>
      <c r="G1336" s="5">
        <f>IFERROR(__xludf.DUMMYFUNCTION("""COMPUTED_VALUE"""),0.1637065637065637)</f>
        <v>0.1637065637</v>
      </c>
      <c r="H1336" s="5">
        <f>IFERROR(__xludf.DUMMYFUNCTION("""COMPUTED_VALUE"""),0.6048951048951049)</f>
        <v>0.6048951049</v>
      </c>
      <c r="I1336" s="11">
        <f>IFERROR(__xludf.DUMMYFUNCTION("""COMPUTED_VALUE"""),5206.293706293706)</f>
        <v>5206.293706</v>
      </c>
      <c r="J1336" s="10">
        <f>IFERROR(__xludf.DUMMYFUNCTION("""COMPUTED_VALUE"""),0.0)</f>
        <v>0</v>
      </c>
      <c r="K1336" s="5">
        <f>IFERROR(__xludf.DUMMYFUNCTION("""COMPUTED_VALUE"""),0.0)</f>
        <v>0</v>
      </c>
      <c r="L1336" s="10">
        <f>IFERROR(__xludf.DUMMYFUNCTION("""COMPUTED_VALUE"""),117.0)</f>
        <v>117</v>
      </c>
      <c r="M1336" s="5">
        <f>IFERROR(__xludf.DUMMYFUNCTION("""COMPUTED_VALUE"""),1.0)</f>
        <v>1</v>
      </c>
    </row>
    <row r="1337">
      <c r="A1337" s="10" t="str">
        <f>IFERROR(__xludf.DUMMYFUNCTION("""COMPUTED_VALUE"""),"ぶるはつ")</f>
        <v>ぶるはつ</v>
      </c>
      <c r="B1337" s="10">
        <f>IFERROR(__xludf.DUMMYFUNCTION("""COMPUTED_VALUE"""),548.0)</f>
        <v>548</v>
      </c>
      <c r="C1337" s="10">
        <f>IFERROR(__xludf.DUMMYFUNCTION("""COMPUTED_VALUE"""),6514.0)</f>
        <v>6514</v>
      </c>
      <c r="D1337" s="5">
        <f>IFERROR(__xludf.DUMMYFUNCTION("""COMPUTED_VALUE"""),0.3830036875628562)</f>
        <v>0.3830036876</v>
      </c>
      <c r="E1337" s="5">
        <f>IFERROR(__xludf.DUMMYFUNCTION("""COMPUTED_VALUE"""),0.13744552463962453)</f>
        <v>0.1374455246</v>
      </c>
      <c r="F1337" s="5">
        <f>IFERROR(__xludf.DUMMYFUNCTION("""COMPUTED_VALUE"""),0.20683875293328863)</f>
        <v>0.2068387529</v>
      </c>
      <c r="G1337" s="5">
        <f>IFERROR(__xludf.DUMMYFUNCTION("""COMPUTED_VALUE"""),0.16443178008716058)</f>
        <v>0.1644317801</v>
      </c>
      <c r="H1337" s="5">
        <f>IFERROR(__xludf.DUMMYFUNCTION("""COMPUTED_VALUE"""),0.6012965964343598)</f>
        <v>0.6012965964</v>
      </c>
      <c r="I1337" s="11">
        <f>IFERROR(__xludf.DUMMYFUNCTION("""COMPUTED_VALUE"""),5656.077795786062)</f>
        <v>5656.077796</v>
      </c>
      <c r="J1337" s="10">
        <f>IFERROR(__xludf.DUMMYFUNCTION("""COMPUTED_VALUE"""),0.0)</f>
        <v>0</v>
      </c>
      <c r="K1337" s="5">
        <f>IFERROR(__xludf.DUMMYFUNCTION("""COMPUTED_VALUE"""),0.0)</f>
        <v>0</v>
      </c>
      <c r="L1337" s="10">
        <f>IFERROR(__xludf.DUMMYFUNCTION("""COMPUTED_VALUE"""),548.0)</f>
        <v>548</v>
      </c>
      <c r="M1337" s="5">
        <f>IFERROR(__xludf.DUMMYFUNCTION("""COMPUTED_VALUE"""),1.0)</f>
        <v>1</v>
      </c>
    </row>
    <row r="1338">
      <c r="A1338" s="10" t="str">
        <f>IFERROR(__xludf.DUMMYFUNCTION("""COMPUTED_VALUE"""),"cobehope")</f>
        <v>cobehope</v>
      </c>
      <c r="B1338" s="10">
        <f>IFERROR(__xludf.DUMMYFUNCTION("""COMPUTED_VALUE"""),11289.0)</f>
        <v>11289</v>
      </c>
      <c r="C1338" s="10">
        <f>IFERROR(__xludf.DUMMYFUNCTION("""COMPUTED_VALUE"""),132005.0)</f>
        <v>132005</v>
      </c>
      <c r="D1338" s="5">
        <f>IFERROR(__xludf.DUMMYFUNCTION("""COMPUTED_VALUE"""),0.3659166970409888)</f>
        <v>0.365916697</v>
      </c>
      <c r="E1338" s="5">
        <f>IFERROR(__xludf.DUMMYFUNCTION("""COMPUTED_VALUE"""),0.1374382849000961)</f>
        <v>0.1374382849</v>
      </c>
      <c r="F1338" s="5">
        <f>IFERROR(__xludf.DUMMYFUNCTION("""COMPUTED_VALUE"""),0.21414725471354254)</f>
        <v>0.2141472547</v>
      </c>
      <c r="G1338" s="5">
        <f>IFERROR(__xludf.DUMMYFUNCTION("""COMPUTED_VALUE"""),0.15750190529838629)</f>
        <v>0.1575019053</v>
      </c>
      <c r="H1338" s="5">
        <f>IFERROR(__xludf.DUMMYFUNCTION("""COMPUTED_VALUE"""),0.6123941046768017)</f>
        <v>0.6123941047</v>
      </c>
      <c r="I1338" s="11">
        <f>IFERROR(__xludf.DUMMYFUNCTION("""COMPUTED_VALUE"""),5743.595992418088)</f>
        <v>5743.595992</v>
      </c>
      <c r="J1338" s="10">
        <f>IFERROR(__xludf.DUMMYFUNCTION("""COMPUTED_VALUE"""),34.0)</f>
        <v>34</v>
      </c>
      <c r="K1338" s="5">
        <f>IFERROR(__xludf.DUMMYFUNCTION("""COMPUTED_VALUE"""),0.0030117813801045267)</f>
        <v>0.00301178138</v>
      </c>
      <c r="L1338" s="10">
        <f>IFERROR(__xludf.DUMMYFUNCTION("""COMPUTED_VALUE"""),11289.0)</f>
        <v>11289</v>
      </c>
      <c r="M1338" s="5">
        <f>IFERROR(__xludf.DUMMYFUNCTION("""COMPUTED_VALUE"""),1.0)</f>
        <v>1</v>
      </c>
    </row>
    <row r="1339">
      <c r="A1339" s="10" t="str">
        <f>IFERROR(__xludf.DUMMYFUNCTION("""COMPUTED_VALUE"""),"うどんこ")</f>
        <v>うどんこ</v>
      </c>
      <c r="B1339" s="10">
        <f>IFERROR(__xludf.DUMMYFUNCTION("""COMPUTED_VALUE"""),596.0)</f>
        <v>596</v>
      </c>
      <c r="C1339" s="10">
        <f>IFERROR(__xludf.DUMMYFUNCTION("""COMPUTED_VALUE"""),6970.0)</f>
        <v>6970</v>
      </c>
      <c r="D1339" s="5">
        <f>IFERROR(__xludf.DUMMYFUNCTION("""COMPUTED_VALUE"""),0.3657044242234076)</f>
        <v>0.3657044242</v>
      </c>
      <c r="E1339" s="5">
        <f>IFERROR(__xludf.DUMMYFUNCTION("""COMPUTED_VALUE"""),0.13743332287417634)</f>
        <v>0.1374333229</v>
      </c>
      <c r="F1339" s="5">
        <f>IFERROR(__xludf.DUMMYFUNCTION("""COMPUTED_VALUE"""),0.2106997176027612)</f>
        <v>0.2106997176</v>
      </c>
      <c r="G1339" s="5">
        <f>IFERROR(__xludf.DUMMYFUNCTION("""COMPUTED_VALUE"""),0.1733605271415124)</f>
        <v>0.1733605271</v>
      </c>
      <c r="H1339" s="5">
        <f>IFERROR(__xludf.DUMMYFUNCTION("""COMPUTED_VALUE"""),0.5740878629932986)</f>
        <v>0.574087863</v>
      </c>
      <c r="I1339" s="11">
        <f>IFERROR(__xludf.DUMMYFUNCTION("""COMPUTED_VALUE"""),5585.033507073716)</f>
        <v>5585.033507</v>
      </c>
      <c r="J1339" s="10">
        <f>IFERROR(__xludf.DUMMYFUNCTION("""COMPUTED_VALUE"""),0.0)</f>
        <v>0</v>
      </c>
      <c r="K1339" s="5">
        <f>IFERROR(__xludf.DUMMYFUNCTION("""COMPUTED_VALUE"""),0.0)</f>
        <v>0</v>
      </c>
      <c r="L1339" s="10">
        <f>IFERROR(__xludf.DUMMYFUNCTION("""COMPUTED_VALUE"""),596.0)</f>
        <v>596</v>
      </c>
      <c r="M1339" s="5">
        <f>IFERROR(__xludf.DUMMYFUNCTION("""COMPUTED_VALUE"""),1.0)</f>
        <v>1</v>
      </c>
    </row>
    <row r="1340">
      <c r="A1340" s="10" t="str">
        <f>IFERROR(__xludf.DUMMYFUNCTION("""COMPUTED_VALUE"""),"高町＠なのは")</f>
        <v>高町＠なのは</v>
      </c>
      <c r="B1340" s="10">
        <f>IFERROR(__xludf.DUMMYFUNCTION("""COMPUTED_VALUE"""),1653.0)</f>
        <v>1653</v>
      </c>
      <c r="C1340" s="10">
        <f>IFERROR(__xludf.DUMMYFUNCTION("""COMPUTED_VALUE"""),19468.0)</f>
        <v>19468</v>
      </c>
      <c r="D1340" s="5">
        <f>IFERROR(__xludf.DUMMYFUNCTION("""COMPUTED_VALUE"""),0.39135559921414537)</f>
        <v>0.3913555992</v>
      </c>
      <c r="E1340" s="5">
        <f>IFERROR(__xludf.DUMMYFUNCTION("""COMPUTED_VALUE"""),0.13741229301150715)</f>
        <v>0.137412293</v>
      </c>
      <c r="F1340" s="5">
        <f>IFERROR(__xludf.DUMMYFUNCTION("""COMPUTED_VALUE"""),0.22104967723828234)</f>
        <v>0.2210496772</v>
      </c>
      <c r="G1340" s="5">
        <f>IFERROR(__xludf.DUMMYFUNCTION("""COMPUTED_VALUE"""),0.17591916923940498)</f>
        <v>0.1759191692</v>
      </c>
      <c r="H1340" s="5">
        <f>IFERROR(__xludf.DUMMYFUNCTION("""COMPUTED_VALUE"""),0.6063991874047739)</f>
        <v>0.6063991874</v>
      </c>
      <c r="I1340" s="11">
        <f>IFERROR(__xludf.DUMMYFUNCTION("""COMPUTED_VALUE"""),5602.615540883698)</f>
        <v>5602.615541</v>
      </c>
      <c r="J1340" s="10">
        <f>IFERROR(__xludf.DUMMYFUNCTION("""COMPUTED_VALUE"""),2.0)</f>
        <v>2</v>
      </c>
      <c r="K1340" s="5">
        <f>IFERROR(__xludf.DUMMYFUNCTION("""COMPUTED_VALUE"""),0.0012099213551119178)</f>
        <v>0.001209921355</v>
      </c>
      <c r="L1340" s="10">
        <f>IFERROR(__xludf.DUMMYFUNCTION("""COMPUTED_VALUE"""),0.0)</f>
        <v>0</v>
      </c>
      <c r="M1340" s="5">
        <f>IFERROR(__xludf.DUMMYFUNCTION("""COMPUTED_VALUE"""),0.0)</f>
        <v>0</v>
      </c>
    </row>
    <row r="1341">
      <c r="A1341" s="10" t="str">
        <f>IFERROR(__xludf.DUMMYFUNCTION("""COMPUTED_VALUE"""),"NXGE0")</f>
        <v>NXGE0</v>
      </c>
      <c r="B1341" s="10">
        <f>IFERROR(__xludf.DUMMYFUNCTION("""COMPUTED_VALUE"""),508.0)</f>
        <v>508</v>
      </c>
      <c r="C1341" s="10">
        <f>IFERROR(__xludf.DUMMYFUNCTION("""COMPUTED_VALUE"""),5937.0)</f>
        <v>5937</v>
      </c>
      <c r="D1341" s="5">
        <f>IFERROR(__xludf.DUMMYFUNCTION("""COMPUTED_VALUE"""),0.33965739546877877)</f>
        <v>0.3396573955</v>
      </c>
      <c r="E1341" s="5">
        <f>IFERROR(__xludf.DUMMYFUNCTION("""COMPUTED_VALUE"""),0.13741020445754282)</f>
        <v>0.1374102045</v>
      </c>
      <c r="F1341" s="5">
        <f>IFERROR(__xludf.DUMMYFUNCTION("""COMPUTED_VALUE"""),0.19174801989316634)</f>
        <v>0.1917480199</v>
      </c>
      <c r="G1341" s="5">
        <f>IFERROR(__xludf.DUMMYFUNCTION("""COMPUTED_VALUE"""),0.1574875667710444)</f>
        <v>0.1574875668</v>
      </c>
      <c r="H1341" s="5">
        <f>IFERROR(__xludf.DUMMYFUNCTION("""COMPUTED_VALUE"""),0.5667627281460135)</f>
        <v>0.5667627281</v>
      </c>
      <c r="I1341" s="11">
        <f>IFERROR(__xludf.DUMMYFUNCTION("""COMPUTED_VALUE"""),6145.341018251681)</f>
        <v>6145.341018</v>
      </c>
      <c r="J1341" s="10">
        <f>IFERROR(__xludf.DUMMYFUNCTION("""COMPUTED_VALUE"""),3.0)</f>
        <v>3</v>
      </c>
      <c r="K1341" s="5">
        <f>IFERROR(__xludf.DUMMYFUNCTION("""COMPUTED_VALUE"""),0.005905511811023622)</f>
        <v>0.005905511811</v>
      </c>
      <c r="L1341" s="10">
        <f>IFERROR(__xludf.DUMMYFUNCTION("""COMPUTED_VALUE"""),508.0)</f>
        <v>508</v>
      </c>
      <c r="M1341" s="5">
        <f>IFERROR(__xludf.DUMMYFUNCTION("""COMPUTED_VALUE"""),1.0)</f>
        <v>1</v>
      </c>
    </row>
    <row r="1342">
      <c r="A1342" s="10" t="str">
        <f>IFERROR(__xludf.DUMMYFUNCTION("""COMPUTED_VALUE"""),"汚忍")</f>
        <v>汚忍</v>
      </c>
      <c r="B1342" s="10">
        <f>IFERROR(__xludf.DUMMYFUNCTION("""COMPUTED_VALUE"""),372.0)</f>
        <v>372</v>
      </c>
      <c r="C1342" s="10">
        <f>IFERROR(__xludf.DUMMYFUNCTION("""COMPUTED_VALUE"""),4433.0)</f>
        <v>4433</v>
      </c>
      <c r="D1342" s="5">
        <f>IFERROR(__xludf.DUMMYFUNCTION("""COMPUTED_VALUE"""),0.37429204629401625)</f>
        <v>0.3742920463</v>
      </c>
      <c r="E1342" s="5">
        <f>IFERROR(__xludf.DUMMYFUNCTION("""COMPUTED_VALUE"""),0.13740458015267176)</f>
        <v>0.1374045802</v>
      </c>
      <c r="F1342" s="5">
        <f>IFERROR(__xludf.DUMMYFUNCTION("""COMPUTED_VALUE"""),0.20783058360009848)</f>
        <v>0.2078305836</v>
      </c>
      <c r="G1342" s="5">
        <f>IFERROR(__xludf.DUMMYFUNCTION("""COMPUTED_VALUE"""),0.1649839940901256)</f>
        <v>0.1649839941</v>
      </c>
      <c r="H1342" s="5">
        <f>IFERROR(__xludf.DUMMYFUNCTION("""COMPUTED_VALUE"""),0.5947867298578199)</f>
        <v>0.5947867299</v>
      </c>
      <c r="I1342" s="11">
        <f>IFERROR(__xludf.DUMMYFUNCTION("""COMPUTED_VALUE"""),5653.080568720379)</f>
        <v>5653.080569</v>
      </c>
      <c r="J1342" s="10">
        <f>IFERROR(__xludf.DUMMYFUNCTION("""COMPUTED_VALUE"""),0.0)</f>
        <v>0</v>
      </c>
      <c r="K1342" s="5">
        <f>IFERROR(__xludf.DUMMYFUNCTION("""COMPUTED_VALUE"""),0.0)</f>
        <v>0</v>
      </c>
      <c r="L1342" s="10">
        <f>IFERROR(__xludf.DUMMYFUNCTION("""COMPUTED_VALUE"""),372.0)</f>
        <v>372</v>
      </c>
      <c r="M1342" s="5">
        <f>IFERROR(__xludf.DUMMYFUNCTION("""COMPUTED_VALUE"""),1.0)</f>
        <v>1</v>
      </c>
    </row>
    <row r="1343">
      <c r="A1343" s="10" t="str">
        <f>IFERROR(__xludf.DUMMYFUNCTION("""COMPUTED_VALUE"""),"Amichan")</f>
        <v>Amichan</v>
      </c>
      <c r="B1343" s="10">
        <f>IFERROR(__xludf.DUMMYFUNCTION("""COMPUTED_VALUE"""),1372.0)</f>
        <v>1372</v>
      </c>
      <c r="C1343" s="10">
        <f>IFERROR(__xludf.DUMMYFUNCTION("""COMPUTED_VALUE"""),16184.0)</f>
        <v>16184</v>
      </c>
      <c r="D1343" s="5">
        <f>IFERROR(__xludf.DUMMYFUNCTION("""COMPUTED_VALUE"""),0.3837429111531191)</f>
        <v>0.3837429112</v>
      </c>
      <c r="E1343" s="5">
        <f>IFERROR(__xludf.DUMMYFUNCTION("""COMPUTED_VALUE"""),0.1373886038347286)</f>
        <v>0.1373886038</v>
      </c>
      <c r="F1343" s="5">
        <f>IFERROR(__xludf.DUMMYFUNCTION("""COMPUTED_VALUE"""),0.20753443154199297)</f>
        <v>0.2075344315</v>
      </c>
      <c r="G1343" s="5">
        <f>IFERROR(__xludf.DUMMYFUNCTION("""COMPUTED_VALUE"""),0.15973534971644612)</f>
        <v>0.1597353497</v>
      </c>
      <c r="H1343" s="5">
        <f>IFERROR(__xludf.DUMMYFUNCTION("""COMPUTED_VALUE"""),0.5871828236824984)</f>
        <v>0.5871828237</v>
      </c>
      <c r="I1343" s="11">
        <f>IFERROR(__xludf.DUMMYFUNCTION("""COMPUTED_VALUE"""),5753.903708523097)</f>
        <v>5753.903709</v>
      </c>
      <c r="J1343" s="10">
        <f>IFERROR(__xludf.DUMMYFUNCTION("""COMPUTED_VALUE"""),2.0)</f>
        <v>2</v>
      </c>
      <c r="K1343" s="5">
        <f>IFERROR(__xludf.DUMMYFUNCTION("""COMPUTED_VALUE"""),0.0014577259475218659)</f>
        <v>0.001457725948</v>
      </c>
      <c r="L1343" s="10">
        <f>IFERROR(__xludf.DUMMYFUNCTION("""COMPUTED_VALUE"""),129.0)</f>
        <v>129</v>
      </c>
      <c r="M1343" s="5">
        <f>IFERROR(__xludf.DUMMYFUNCTION("""COMPUTED_VALUE"""),0.09402332361516035)</f>
        <v>0.09402332362</v>
      </c>
    </row>
    <row r="1344">
      <c r="A1344" s="10" t="str">
        <f>IFERROR(__xludf.DUMMYFUNCTION("""COMPUTED_VALUE"""),"ゴールドシップ")</f>
        <v>ゴールドシップ</v>
      </c>
      <c r="B1344" s="10">
        <f>IFERROR(__xludf.DUMMYFUNCTION("""COMPUTED_VALUE"""),1186.0)</f>
        <v>1186</v>
      </c>
      <c r="C1344" s="10">
        <f>IFERROR(__xludf.DUMMYFUNCTION("""COMPUTED_VALUE"""),13964.0)</f>
        <v>13964</v>
      </c>
      <c r="D1344" s="5">
        <f>IFERROR(__xludf.DUMMYFUNCTION("""COMPUTED_VALUE"""),0.3413679762091094)</f>
        <v>0.3413679762</v>
      </c>
      <c r="E1344" s="5">
        <f>IFERROR(__xludf.DUMMYFUNCTION("""COMPUTED_VALUE"""),0.1373454374706527)</f>
        <v>0.1373454375</v>
      </c>
      <c r="F1344" s="5">
        <f>IFERROR(__xludf.DUMMYFUNCTION("""COMPUTED_VALUE"""),0.2123180466426671)</f>
        <v>0.2123180466</v>
      </c>
      <c r="G1344" s="5">
        <f>IFERROR(__xludf.DUMMYFUNCTION("""COMPUTED_VALUE"""),0.1891532321177023)</f>
        <v>0.1891532321</v>
      </c>
      <c r="H1344" s="5">
        <f>IFERROR(__xludf.DUMMYFUNCTION("""COMPUTED_VALUE"""),0.5941761887209731)</f>
        <v>0.5941761887</v>
      </c>
      <c r="I1344" s="11">
        <f>IFERROR(__xludf.DUMMYFUNCTION("""COMPUTED_VALUE"""),5792.480648728345)</f>
        <v>5792.480649</v>
      </c>
      <c r="J1344" s="10">
        <f>IFERROR(__xludf.DUMMYFUNCTION("""COMPUTED_VALUE"""),4.0)</f>
        <v>4</v>
      </c>
      <c r="K1344" s="5">
        <f>IFERROR(__xludf.DUMMYFUNCTION("""COMPUTED_VALUE"""),0.003372681281618887)</f>
        <v>0.003372681282</v>
      </c>
      <c r="L1344" s="10">
        <f>IFERROR(__xludf.DUMMYFUNCTION("""COMPUTED_VALUE"""),1170.0)</f>
        <v>1170</v>
      </c>
      <c r="M1344" s="5">
        <f>IFERROR(__xludf.DUMMYFUNCTION("""COMPUTED_VALUE"""),0.9865092748735245)</f>
        <v>0.9865092749</v>
      </c>
    </row>
    <row r="1345">
      <c r="A1345" s="10" t="str">
        <f>IFERROR(__xludf.DUMMYFUNCTION("""COMPUTED_VALUE"""),"Amethus")</f>
        <v>Amethus</v>
      </c>
      <c r="B1345" s="10">
        <f>IFERROR(__xludf.DUMMYFUNCTION("""COMPUTED_VALUE"""),226.0)</f>
        <v>226</v>
      </c>
      <c r="C1345" s="10">
        <f>IFERROR(__xludf.DUMMYFUNCTION("""COMPUTED_VALUE"""),2556.0)</f>
        <v>2556</v>
      </c>
      <c r="D1345" s="5">
        <f>IFERROR(__xludf.DUMMYFUNCTION("""COMPUTED_VALUE"""),0.4021459227467811)</f>
        <v>0.4021459227</v>
      </c>
      <c r="E1345" s="5">
        <f>IFERROR(__xludf.DUMMYFUNCTION("""COMPUTED_VALUE"""),0.13733905579399142)</f>
        <v>0.1373390558</v>
      </c>
      <c r="F1345" s="5">
        <f>IFERROR(__xludf.DUMMYFUNCTION("""COMPUTED_VALUE"""),0.2111587982832618)</f>
        <v>0.2111587983</v>
      </c>
      <c r="G1345" s="5">
        <f>IFERROR(__xludf.DUMMYFUNCTION("""COMPUTED_VALUE"""),0.16008583690987124)</f>
        <v>0.1600858369</v>
      </c>
      <c r="H1345" s="5">
        <f>IFERROR(__xludf.DUMMYFUNCTION("""COMPUTED_VALUE"""),0.6097560975609756)</f>
        <v>0.6097560976</v>
      </c>
      <c r="I1345" s="11">
        <f>IFERROR(__xludf.DUMMYFUNCTION("""COMPUTED_VALUE"""),5532.113821138211)</f>
        <v>5532.113821</v>
      </c>
      <c r="J1345" s="10">
        <f>IFERROR(__xludf.DUMMYFUNCTION("""COMPUTED_VALUE"""),1.0)</f>
        <v>1</v>
      </c>
      <c r="K1345" s="5">
        <f>IFERROR(__xludf.DUMMYFUNCTION("""COMPUTED_VALUE"""),0.004424778761061947)</f>
        <v>0.004424778761</v>
      </c>
      <c r="L1345" s="10">
        <f>IFERROR(__xludf.DUMMYFUNCTION("""COMPUTED_VALUE"""),226.0)</f>
        <v>226</v>
      </c>
      <c r="M1345" s="5">
        <f>IFERROR(__xludf.DUMMYFUNCTION("""COMPUTED_VALUE"""),1.0)</f>
        <v>1</v>
      </c>
    </row>
    <row r="1346">
      <c r="A1346" s="10" t="str">
        <f>IFERROR(__xludf.DUMMYFUNCTION("""COMPUTED_VALUE"""),"kotapro")</f>
        <v>kotapro</v>
      </c>
      <c r="B1346" s="10">
        <f>IFERROR(__xludf.DUMMYFUNCTION("""COMPUTED_VALUE"""),295.0)</f>
        <v>295</v>
      </c>
      <c r="C1346" s="10">
        <f>IFERROR(__xludf.DUMMYFUNCTION("""COMPUTED_VALUE"""),3426.0)</f>
        <v>3426</v>
      </c>
      <c r="D1346" s="5">
        <f>IFERROR(__xludf.DUMMYFUNCTION("""COMPUTED_VALUE"""),0.26764611945065475)</f>
        <v>0.2676461195</v>
      </c>
      <c r="E1346" s="5">
        <f>IFERROR(__xludf.DUMMYFUNCTION("""COMPUTED_VALUE"""),0.13733631427658896)</f>
        <v>0.1373363143</v>
      </c>
      <c r="F1346" s="5">
        <f>IFERROR(__xludf.DUMMYFUNCTION("""COMPUTED_VALUE"""),0.21207282018524434)</f>
        <v>0.2120728202</v>
      </c>
      <c r="G1346" s="5">
        <f>IFERROR(__xludf.DUMMYFUNCTION("""COMPUTED_VALUE"""),0.16192909613542)</f>
        <v>0.1619290961</v>
      </c>
      <c r="H1346" s="5">
        <f>IFERROR(__xludf.DUMMYFUNCTION("""COMPUTED_VALUE"""),0.5828313253012049)</f>
        <v>0.5828313253</v>
      </c>
      <c r="I1346" s="11">
        <f>IFERROR(__xludf.DUMMYFUNCTION("""COMPUTED_VALUE"""),5626.355421686747)</f>
        <v>5626.355422</v>
      </c>
      <c r="J1346" s="10">
        <f>IFERROR(__xludf.DUMMYFUNCTION("""COMPUTED_VALUE"""),1.0)</f>
        <v>1</v>
      </c>
      <c r="K1346" s="5">
        <f>IFERROR(__xludf.DUMMYFUNCTION("""COMPUTED_VALUE"""),0.003389830508474576)</f>
        <v>0.003389830508</v>
      </c>
      <c r="L1346" s="10">
        <f>IFERROR(__xludf.DUMMYFUNCTION("""COMPUTED_VALUE"""),295.0)</f>
        <v>295</v>
      </c>
      <c r="M1346" s="5">
        <f>IFERROR(__xludf.DUMMYFUNCTION("""COMPUTED_VALUE"""),1.0)</f>
        <v>1</v>
      </c>
    </row>
    <row r="1347">
      <c r="A1347" s="10" t="str">
        <f>IFERROR(__xludf.DUMMYFUNCTION("""COMPUTED_VALUE"""),"たーぬ")</f>
        <v>たーぬ</v>
      </c>
      <c r="B1347" s="10">
        <f>IFERROR(__xludf.DUMMYFUNCTION("""COMPUTED_VALUE"""),729.0)</f>
        <v>729</v>
      </c>
      <c r="C1347" s="10">
        <f>IFERROR(__xludf.DUMMYFUNCTION("""COMPUTED_VALUE"""),8579.0)</f>
        <v>8579</v>
      </c>
      <c r="D1347" s="5">
        <f>IFERROR(__xludf.DUMMYFUNCTION("""COMPUTED_VALUE"""),0.3824203821656051)</f>
        <v>0.3824203822</v>
      </c>
      <c r="E1347" s="5">
        <f>IFERROR(__xludf.DUMMYFUNCTION("""COMPUTED_VALUE"""),0.1373248407643312)</f>
        <v>0.1373248408</v>
      </c>
      <c r="F1347" s="5">
        <f>IFERROR(__xludf.DUMMYFUNCTION("""COMPUTED_VALUE"""),0.2296815286624204)</f>
        <v>0.2296815287</v>
      </c>
      <c r="G1347" s="5">
        <f>IFERROR(__xludf.DUMMYFUNCTION("""COMPUTED_VALUE"""),0.1735031847133758)</f>
        <v>0.1735031847</v>
      </c>
      <c r="H1347" s="5">
        <f>IFERROR(__xludf.DUMMYFUNCTION("""COMPUTED_VALUE"""),0.5801442041042707)</f>
        <v>0.5801442041</v>
      </c>
      <c r="I1347" s="11">
        <f>IFERROR(__xludf.DUMMYFUNCTION("""COMPUTED_VALUE"""),5407.986688851914)</f>
        <v>5407.986689</v>
      </c>
      <c r="J1347" s="10">
        <f>IFERROR(__xludf.DUMMYFUNCTION("""COMPUTED_VALUE"""),0.0)</f>
        <v>0</v>
      </c>
      <c r="K1347" s="5">
        <f>IFERROR(__xludf.DUMMYFUNCTION("""COMPUTED_VALUE"""),0.0)</f>
        <v>0</v>
      </c>
      <c r="L1347" s="10">
        <f>IFERROR(__xludf.DUMMYFUNCTION("""COMPUTED_VALUE"""),729.0)</f>
        <v>729</v>
      </c>
      <c r="M1347" s="5">
        <f>IFERROR(__xludf.DUMMYFUNCTION("""COMPUTED_VALUE"""),1.0)</f>
        <v>1</v>
      </c>
    </row>
    <row r="1348">
      <c r="A1348" s="10" t="str">
        <f>IFERROR(__xludf.DUMMYFUNCTION("""COMPUTED_VALUE"""),"星野源八")</f>
        <v>星野源八</v>
      </c>
      <c r="B1348" s="10">
        <f>IFERROR(__xludf.DUMMYFUNCTION("""COMPUTED_VALUE"""),192.0)</f>
        <v>192</v>
      </c>
      <c r="C1348" s="10">
        <f>IFERROR(__xludf.DUMMYFUNCTION("""COMPUTED_VALUE"""),2231.0)</f>
        <v>2231</v>
      </c>
      <c r="D1348" s="5">
        <f>IFERROR(__xludf.DUMMYFUNCTION("""COMPUTED_VALUE"""),0.35115252574791567)</f>
        <v>0.3511525257</v>
      </c>
      <c r="E1348" s="5">
        <f>IFERROR(__xludf.DUMMYFUNCTION("""COMPUTED_VALUE"""),0.1373222167729279)</f>
        <v>0.1373222168</v>
      </c>
      <c r="F1348" s="5">
        <f>IFERROR(__xludf.DUMMYFUNCTION("""COMPUTED_VALUE"""),0.20009808729769496)</f>
        <v>0.2000980873</v>
      </c>
      <c r="G1348" s="5">
        <f>IFERROR(__xludf.DUMMYFUNCTION("""COMPUTED_VALUE"""),0.1696910250122609)</f>
        <v>0.169691025</v>
      </c>
      <c r="H1348" s="5">
        <f>IFERROR(__xludf.DUMMYFUNCTION("""COMPUTED_VALUE"""),0.5857843137254902)</f>
        <v>0.5857843137</v>
      </c>
      <c r="I1348" s="11">
        <f>IFERROR(__xludf.DUMMYFUNCTION("""COMPUTED_VALUE"""),5630.14705882353)</f>
        <v>5630.147059</v>
      </c>
      <c r="J1348" s="10">
        <f>IFERROR(__xludf.DUMMYFUNCTION("""COMPUTED_VALUE"""),0.0)</f>
        <v>0</v>
      </c>
      <c r="K1348" s="5">
        <f>IFERROR(__xludf.DUMMYFUNCTION("""COMPUTED_VALUE"""),0.0)</f>
        <v>0</v>
      </c>
      <c r="L1348" s="10">
        <f>IFERROR(__xludf.DUMMYFUNCTION("""COMPUTED_VALUE"""),147.0)</f>
        <v>147</v>
      </c>
      <c r="M1348" s="5">
        <f>IFERROR(__xludf.DUMMYFUNCTION("""COMPUTED_VALUE"""),0.765625)</f>
        <v>0.765625</v>
      </c>
    </row>
    <row r="1349">
      <c r="A1349" s="10" t="str">
        <f>IFERROR(__xludf.DUMMYFUNCTION("""COMPUTED_VALUE"""),"ヴァリー")</f>
        <v>ヴァリー</v>
      </c>
      <c r="B1349" s="10">
        <f>IFERROR(__xludf.DUMMYFUNCTION("""COMPUTED_VALUE"""),1991.0)</f>
        <v>1991</v>
      </c>
      <c r="C1349" s="10">
        <f>IFERROR(__xludf.DUMMYFUNCTION("""COMPUTED_VALUE"""),23161.0)</f>
        <v>23161</v>
      </c>
      <c r="D1349" s="5">
        <f>IFERROR(__xludf.DUMMYFUNCTION("""COMPUTED_VALUE"""),0.3059518186112423)</f>
        <v>0.3059518186</v>
      </c>
      <c r="E1349" s="5">
        <f>IFERROR(__xludf.DUMMYFUNCTION("""COMPUTED_VALUE"""),0.13731695795937648)</f>
        <v>0.137316958</v>
      </c>
      <c r="F1349" s="5">
        <f>IFERROR(__xludf.DUMMYFUNCTION("""COMPUTED_VALUE"""),0.20632971185640056)</f>
        <v>0.2063297119</v>
      </c>
      <c r="G1349" s="5">
        <f>IFERROR(__xludf.DUMMYFUNCTION("""COMPUTED_VALUE"""),0.17827113840340103)</f>
        <v>0.1782711384</v>
      </c>
      <c r="H1349" s="5">
        <f>IFERROR(__xludf.DUMMYFUNCTION("""COMPUTED_VALUE"""),0.600503663003663)</f>
        <v>0.600503663</v>
      </c>
      <c r="I1349" s="11">
        <f>IFERROR(__xludf.DUMMYFUNCTION("""COMPUTED_VALUE"""),5914.26282051282)</f>
        <v>5914.262821</v>
      </c>
      <c r="J1349" s="10">
        <f>IFERROR(__xludf.DUMMYFUNCTION("""COMPUTED_VALUE"""),10.0)</f>
        <v>10</v>
      </c>
      <c r="K1349" s="5">
        <f>IFERROR(__xludf.DUMMYFUNCTION("""COMPUTED_VALUE"""),0.005022601707684581)</f>
        <v>0.005022601708</v>
      </c>
      <c r="L1349" s="10">
        <f>IFERROR(__xludf.DUMMYFUNCTION("""COMPUTED_VALUE"""),1991.0)</f>
        <v>1991</v>
      </c>
      <c r="M1349" s="5">
        <f>IFERROR(__xludf.DUMMYFUNCTION("""COMPUTED_VALUE"""),1.0)</f>
        <v>1</v>
      </c>
    </row>
    <row r="1350">
      <c r="A1350" s="10" t="str">
        <f>IFERROR(__xludf.DUMMYFUNCTION("""COMPUTED_VALUE"""),"あいび3")</f>
        <v>あいび3</v>
      </c>
      <c r="B1350" s="10">
        <f>IFERROR(__xludf.DUMMYFUNCTION("""COMPUTED_VALUE"""),1227.0)</f>
        <v>1227</v>
      </c>
      <c r="C1350" s="10">
        <f>IFERROR(__xludf.DUMMYFUNCTION("""COMPUTED_VALUE"""),14310.0)</f>
        <v>14310</v>
      </c>
      <c r="D1350" s="5">
        <f>IFERROR(__xludf.DUMMYFUNCTION("""COMPUTED_VALUE"""),0.34709164564702283)</f>
        <v>0.3470916456</v>
      </c>
      <c r="E1350" s="5">
        <f>IFERROR(__xludf.DUMMYFUNCTION("""COMPUTED_VALUE"""),0.13727738286325766)</f>
        <v>0.1372773829</v>
      </c>
      <c r="F1350" s="5">
        <f>IFERROR(__xludf.DUMMYFUNCTION("""COMPUTED_VALUE"""),0.2103493082626309)</f>
        <v>0.2103493083</v>
      </c>
      <c r="G1350" s="5">
        <f>IFERROR(__xludf.DUMMYFUNCTION("""COMPUTED_VALUE"""),0.17710005350454788)</f>
        <v>0.1771000535</v>
      </c>
      <c r="H1350" s="5">
        <f>IFERROR(__xludf.DUMMYFUNCTION("""COMPUTED_VALUE"""),0.5970203488372093)</f>
        <v>0.5970203488</v>
      </c>
      <c r="I1350" s="11">
        <f>IFERROR(__xludf.DUMMYFUNCTION("""COMPUTED_VALUE"""),5634.956395348837)</f>
        <v>5634.956395</v>
      </c>
      <c r="J1350" s="10">
        <f>IFERROR(__xludf.DUMMYFUNCTION("""COMPUTED_VALUE"""),2.0)</f>
        <v>2</v>
      </c>
      <c r="K1350" s="5">
        <f>IFERROR(__xludf.DUMMYFUNCTION("""COMPUTED_VALUE"""),0.0016299918500407497)</f>
        <v>0.00162999185</v>
      </c>
      <c r="L1350" s="10">
        <f>IFERROR(__xludf.DUMMYFUNCTION("""COMPUTED_VALUE"""),1227.0)</f>
        <v>1227</v>
      </c>
      <c r="M1350" s="5">
        <f>IFERROR(__xludf.DUMMYFUNCTION("""COMPUTED_VALUE"""),1.0)</f>
        <v>1</v>
      </c>
    </row>
    <row r="1351">
      <c r="A1351" s="10" t="str">
        <f>IFERROR(__xludf.DUMMYFUNCTION("""COMPUTED_VALUE"""),"ryo-")</f>
        <v>ryo-</v>
      </c>
      <c r="B1351" s="10">
        <f>IFERROR(__xludf.DUMMYFUNCTION("""COMPUTED_VALUE"""),231.0)</f>
        <v>231</v>
      </c>
      <c r="C1351" s="10">
        <f>IFERROR(__xludf.DUMMYFUNCTION("""COMPUTED_VALUE"""),2708.0)</f>
        <v>2708</v>
      </c>
      <c r="D1351" s="5">
        <f>IFERROR(__xludf.DUMMYFUNCTION("""COMPUTED_VALUE"""),0.32418247880500606)</f>
        <v>0.3241824788</v>
      </c>
      <c r="E1351" s="5">
        <f>IFERROR(__xludf.DUMMYFUNCTION("""COMPUTED_VALUE"""),0.13726281792490916)</f>
        <v>0.1372628179</v>
      </c>
      <c r="F1351" s="5">
        <f>IFERROR(__xludf.DUMMYFUNCTION("""COMPUTED_VALUE"""),0.21033508276140492)</f>
        <v>0.2103350828</v>
      </c>
      <c r="G1351" s="5">
        <f>IFERROR(__xludf.DUMMYFUNCTION("""COMPUTED_VALUE"""),0.1687525232135648)</f>
        <v>0.1687525232</v>
      </c>
      <c r="H1351" s="5">
        <f>IFERROR(__xludf.DUMMYFUNCTION("""COMPUTED_VALUE"""),0.5969289827255279)</f>
        <v>0.5969289827</v>
      </c>
      <c r="I1351" s="11">
        <f>IFERROR(__xludf.DUMMYFUNCTION("""COMPUTED_VALUE"""),5817.274472168906)</f>
        <v>5817.274472</v>
      </c>
      <c r="J1351" s="10">
        <f>IFERROR(__xludf.DUMMYFUNCTION("""COMPUTED_VALUE"""),0.0)</f>
        <v>0</v>
      </c>
      <c r="K1351" s="5">
        <f>IFERROR(__xludf.DUMMYFUNCTION("""COMPUTED_VALUE"""),0.0)</f>
        <v>0</v>
      </c>
      <c r="L1351" s="10">
        <f>IFERROR(__xludf.DUMMYFUNCTION("""COMPUTED_VALUE"""),231.0)</f>
        <v>231</v>
      </c>
      <c r="M1351" s="5">
        <f>IFERROR(__xludf.DUMMYFUNCTION("""COMPUTED_VALUE"""),1.0)</f>
        <v>1</v>
      </c>
    </row>
    <row r="1352">
      <c r="A1352" s="10" t="str">
        <f>IFERROR(__xludf.DUMMYFUNCTION("""COMPUTED_VALUE"""),"迷える子羊")</f>
        <v>迷える子羊</v>
      </c>
      <c r="B1352" s="10">
        <f>IFERROR(__xludf.DUMMYFUNCTION("""COMPUTED_VALUE"""),283.0)</f>
        <v>283</v>
      </c>
      <c r="C1352" s="10">
        <f>IFERROR(__xludf.DUMMYFUNCTION("""COMPUTED_VALUE"""),3270.0)</f>
        <v>3270</v>
      </c>
      <c r="D1352" s="5">
        <f>IFERROR(__xludf.DUMMYFUNCTION("""COMPUTED_VALUE"""),0.3351188483428189)</f>
        <v>0.3351188483</v>
      </c>
      <c r="E1352" s="5">
        <f>IFERROR(__xludf.DUMMYFUNCTION("""COMPUTED_VALUE"""),0.13726146635420153)</f>
        <v>0.1372614664</v>
      </c>
      <c r="F1352" s="5">
        <f>IFERROR(__xludf.DUMMYFUNCTION("""COMPUTED_VALUE"""),0.2222966186809508)</f>
        <v>0.2222966187</v>
      </c>
      <c r="G1352" s="5">
        <f>IFERROR(__xludf.DUMMYFUNCTION("""COMPUTED_VALUE"""),0.18513558754603282)</f>
        <v>0.1851355875</v>
      </c>
      <c r="H1352" s="5">
        <f>IFERROR(__xludf.DUMMYFUNCTION("""COMPUTED_VALUE"""),0.6099397590361446)</f>
        <v>0.609939759</v>
      </c>
      <c r="I1352" s="11">
        <f>IFERROR(__xludf.DUMMYFUNCTION("""COMPUTED_VALUE"""),5463.704819277108)</f>
        <v>5463.704819</v>
      </c>
      <c r="J1352" s="10">
        <f>IFERROR(__xludf.DUMMYFUNCTION("""COMPUTED_VALUE"""),0.0)</f>
        <v>0</v>
      </c>
      <c r="K1352" s="5">
        <f>IFERROR(__xludf.DUMMYFUNCTION("""COMPUTED_VALUE"""),0.0)</f>
        <v>0</v>
      </c>
      <c r="L1352" s="10">
        <f>IFERROR(__xludf.DUMMYFUNCTION("""COMPUTED_VALUE"""),283.0)</f>
        <v>283</v>
      </c>
      <c r="M1352" s="5">
        <f>IFERROR(__xludf.DUMMYFUNCTION("""COMPUTED_VALUE"""),1.0)</f>
        <v>1</v>
      </c>
    </row>
    <row r="1353">
      <c r="A1353" s="10" t="str">
        <f>IFERROR(__xludf.DUMMYFUNCTION("""COMPUTED_VALUE"""),"貿易")</f>
        <v>貿易</v>
      </c>
      <c r="B1353" s="10">
        <f>IFERROR(__xludf.DUMMYFUNCTION("""COMPUTED_VALUE"""),1244.0)</f>
        <v>1244</v>
      </c>
      <c r="C1353" s="10">
        <f>IFERROR(__xludf.DUMMYFUNCTION("""COMPUTED_VALUE"""),14489.0)</f>
        <v>14489</v>
      </c>
      <c r="D1353" s="5">
        <f>IFERROR(__xludf.DUMMYFUNCTION("""COMPUTED_VALUE"""),0.38837297093242734)</f>
        <v>0.3883729709</v>
      </c>
      <c r="E1353" s="5">
        <f>IFERROR(__xludf.DUMMYFUNCTION("""COMPUTED_VALUE"""),0.13725934314835786)</f>
        <v>0.1372593431</v>
      </c>
      <c r="F1353" s="5">
        <f>IFERROR(__xludf.DUMMYFUNCTION("""COMPUTED_VALUE"""),0.21902604756511893)</f>
        <v>0.2190260476</v>
      </c>
      <c r="G1353" s="5">
        <f>IFERROR(__xludf.DUMMYFUNCTION("""COMPUTED_VALUE"""),0.1551528878822197)</f>
        <v>0.1551528879</v>
      </c>
      <c r="H1353" s="5">
        <f>IFERROR(__xludf.DUMMYFUNCTION("""COMPUTED_VALUE"""),0.6039296794208894)</f>
        <v>0.6039296794</v>
      </c>
      <c r="I1353" s="11">
        <f>IFERROR(__xludf.DUMMYFUNCTION("""COMPUTED_VALUE"""),5481.5236125473975)</f>
        <v>5481.523613</v>
      </c>
      <c r="J1353" s="10">
        <f>IFERROR(__xludf.DUMMYFUNCTION("""COMPUTED_VALUE"""),1.0)</f>
        <v>1</v>
      </c>
      <c r="K1353" s="5">
        <f>IFERROR(__xludf.DUMMYFUNCTION("""COMPUTED_VALUE"""),8.038585209003215E-4)</f>
        <v>0.0008038585209</v>
      </c>
      <c r="L1353" s="10">
        <f>IFERROR(__xludf.DUMMYFUNCTION("""COMPUTED_VALUE"""),1244.0)</f>
        <v>1244</v>
      </c>
      <c r="M1353" s="5">
        <f>IFERROR(__xludf.DUMMYFUNCTION("""COMPUTED_VALUE"""),1.0)</f>
        <v>1</v>
      </c>
    </row>
    <row r="1354">
      <c r="A1354" s="10" t="str">
        <f>IFERROR(__xludf.DUMMYFUNCTION("""COMPUTED_VALUE"""),"ソンセキ")</f>
        <v>ソンセキ</v>
      </c>
      <c r="B1354" s="10">
        <f>IFERROR(__xludf.DUMMYFUNCTION("""COMPUTED_VALUE"""),525.0)</f>
        <v>525</v>
      </c>
      <c r="C1354" s="10">
        <f>IFERROR(__xludf.DUMMYFUNCTION("""COMPUTED_VALUE"""),6077.0)</f>
        <v>6077</v>
      </c>
      <c r="D1354" s="5">
        <f>IFERROR(__xludf.DUMMYFUNCTION("""COMPUTED_VALUE"""),0.3697766570605187)</f>
        <v>0.3697766571</v>
      </c>
      <c r="E1354" s="5">
        <f>IFERROR(__xludf.DUMMYFUNCTION("""COMPUTED_VALUE"""),0.1372478386167147)</f>
        <v>0.1372478386</v>
      </c>
      <c r="F1354" s="5">
        <f>IFERROR(__xludf.DUMMYFUNCTION("""COMPUTED_VALUE"""),0.21379682997118155)</f>
        <v>0.21379683</v>
      </c>
      <c r="G1354" s="5">
        <f>IFERROR(__xludf.DUMMYFUNCTION("""COMPUTED_VALUE"""),0.17669308357348704)</f>
        <v>0.1766930836</v>
      </c>
      <c r="H1354" s="5">
        <f>IFERROR(__xludf.DUMMYFUNCTION("""COMPUTED_VALUE"""),0.6015164279696714)</f>
        <v>0.601516428</v>
      </c>
      <c r="I1354" s="11">
        <f>IFERROR(__xludf.DUMMYFUNCTION("""COMPUTED_VALUE"""),5558.635214827295)</f>
        <v>5558.635215</v>
      </c>
      <c r="J1354" s="10">
        <f>IFERROR(__xludf.DUMMYFUNCTION("""COMPUTED_VALUE"""),1.0)</f>
        <v>1</v>
      </c>
      <c r="K1354" s="5">
        <f>IFERROR(__xludf.DUMMYFUNCTION("""COMPUTED_VALUE"""),0.0019047619047619048)</f>
        <v>0.001904761905</v>
      </c>
      <c r="L1354" s="10">
        <f>IFERROR(__xludf.DUMMYFUNCTION("""COMPUTED_VALUE"""),525.0)</f>
        <v>525</v>
      </c>
      <c r="M1354" s="5">
        <f>IFERROR(__xludf.DUMMYFUNCTION("""COMPUTED_VALUE"""),1.0)</f>
        <v>1</v>
      </c>
    </row>
    <row r="1355">
      <c r="A1355" s="10" t="str">
        <f>IFERROR(__xludf.DUMMYFUNCTION("""COMPUTED_VALUE"""),"(＾ω＾)四麻専")</f>
        <v>(＾ω＾)四麻専</v>
      </c>
      <c r="B1355" s="10">
        <f>IFERROR(__xludf.DUMMYFUNCTION("""COMPUTED_VALUE"""),356.0)</f>
        <v>356</v>
      </c>
      <c r="C1355" s="10">
        <f>IFERROR(__xludf.DUMMYFUNCTION("""COMPUTED_VALUE"""),4174.0)</f>
        <v>4174</v>
      </c>
      <c r="D1355" s="5">
        <f>IFERROR(__xludf.DUMMYFUNCTION("""COMPUTED_VALUE"""),0.33473022524882134)</f>
        <v>0.3347302252</v>
      </c>
      <c r="E1355" s="5">
        <f>IFERROR(__xludf.DUMMYFUNCTION("""COMPUTED_VALUE"""),0.13724463069669984)</f>
        <v>0.1372446307</v>
      </c>
      <c r="F1355" s="5">
        <f>IFERROR(__xludf.DUMMYFUNCTION("""COMPUTED_VALUE"""),0.22027239392352016)</f>
        <v>0.2202723939</v>
      </c>
      <c r="G1355" s="5">
        <f>IFERROR(__xludf.DUMMYFUNCTION("""COMPUTED_VALUE"""),0.17077003666841278)</f>
        <v>0.1707700367</v>
      </c>
      <c r="H1355" s="5">
        <f>IFERROR(__xludf.DUMMYFUNCTION("""COMPUTED_VALUE"""),0.5814506539833532)</f>
        <v>0.581450654</v>
      </c>
      <c r="I1355" s="11">
        <f>IFERROR(__xludf.DUMMYFUNCTION("""COMPUTED_VALUE"""),5558.9774078478)</f>
        <v>5558.977408</v>
      </c>
      <c r="J1355" s="10">
        <f>IFERROR(__xludf.DUMMYFUNCTION("""COMPUTED_VALUE"""),1.0)</f>
        <v>1</v>
      </c>
      <c r="K1355" s="5">
        <f>IFERROR(__xludf.DUMMYFUNCTION("""COMPUTED_VALUE"""),0.0028089887640449437)</f>
        <v>0.002808988764</v>
      </c>
      <c r="L1355" s="10">
        <f>IFERROR(__xludf.DUMMYFUNCTION("""COMPUTED_VALUE"""),36.0)</f>
        <v>36</v>
      </c>
      <c r="M1355" s="5">
        <f>IFERROR(__xludf.DUMMYFUNCTION("""COMPUTED_VALUE"""),0.10112359550561797)</f>
        <v>0.1011235955</v>
      </c>
    </row>
    <row r="1356">
      <c r="A1356" s="10" t="str">
        <f>IFERROR(__xludf.DUMMYFUNCTION("""COMPUTED_VALUE"""),"五ェ門")</f>
        <v>五ェ門</v>
      </c>
      <c r="B1356" s="10">
        <f>IFERROR(__xludf.DUMMYFUNCTION("""COMPUTED_VALUE"""),142.0)</f>
        <v>142</v>
      </c>
      <c r="C1356" s="10">
        <f>IFERROR(__xludf.DUMMYFUNCTION("""COMPUTED_VALUE"""),1665.0)</f>
        <v>1665</v>
      </c>
      <c r="D1356" s="5">
        <f>IFERROR(__xludf.DUMMYFUNCTION("""COMPUTED_VALUE"""),0.2862770847012475)</f>
        <v>0.2862770847</v>
      </c>
      <c r="E1356" s="5">
        <f>IFERROR(__xludf.DUMMYFUNCTION("""COMPUTED_VALUE"""),0.1372291529875246)</f>
        <v>0.137229153</v>
      </c>
      <c r="F1356" s="5">
        <f>IFERROR(__xludf.DUMMYFUNCTION("""COMPUTED_VALUE"""),0.19960604070912671)</f>
        <v>0.1996060407</v>
      </c>
      <c r="G1356" s="5">
        <f>IFERROR(__xludf.DUMMYFUNCTION("""COMPUTED_VALUE"""),0.1917268548916612)</f>
        <v>0.1917268549</v>
      </c>
      <c r="H1356" s="5">
        <f>IFERROR(__xludf.DUMMYFUNCTION("""COMPUTED_VALUE"""),0.5953947368421053)</f>
        <v>0.5953947368</v>
      </c>
      <c r="I1356" s="11">
        <f>IFERROR(__xludf.DUMMYFUNCTION("""COMPUTED_VALUE"""),5684.210526315789)</f>
        <v>5684.210526</v>
      </c>
      <c r="J1356" s="10">
        <f>IFERROR(__xludf.DUMMYFUNCTION("""COMPUTED_VALUE"""),0.0)</f>
        <v>0</v>
      </c>
      <c r="K1356" s="5">
        <f>IFERROR(__xludf.DUMMYFUNCTION("""COMPUTED_VALUE"""),0.0)</f>
        <v>0</v>
      </c>
      <c r="L1356" s="10">
        <f>IFERROR(__xludf.DUMMYFUNCTION("""COMPUTED_VALUE"""),142.0)</f>
        <v>142</v>
      </c>
      <c r="M1356" s="5">
        <f>IFERROR(__xludf.DUMMYFUNCTION("""COMPUTED_VALUE"""),1.0)</f>
        <v>1</v>
      </c>
    </row>
    <row r="1357">
      <c r="A1357" s="10" t="str">
        <f>IFERROR(__xludf.DUMMYFUNCTION("""COMPUTED_VALUE"""),"武装商船団")</f>
        <v>武装商船団</v>
      </c>
      <c r="B1357" s="10">
        <f>IFERROR(__xludf.DUMMYFUNCTION("""COMPUTED_VALUE"""),965.0)</f>
        <v>965</v>
      </c>
      <c r="C1357" s="10">
        <f>IFERROR(__xludf.DUMMYFUNCTION("""COMPUTED_VALUE"""),11285.0)</f>
        <v>11285</v>
      </c>
      <c r="D1357" s="5">
        <f>IFERROR(__xludf.DUMMYFUNCTION("""COMPUTED_VALUE"""),0.29583333333333334)</f>
        <v>0.2958333333</v>
      </c>
      <c r="E1357" s="5">
        <f>IFERROR(__xludf.DUMMYFUNCTION("""COMPUTED_VALUE"""),0.1372093023255814)</f>
        <v>0.1372093023</v>
      </c>
      <c r="F1357" s="5">
        <f>IFERROR(__xludf.DUMMYFUNCTION("""COMPUTED_VALUE"""),0.22625968992248063)</f>
        <v>0.2262596899</v>
      </c>
      <c r="G1357" s="5">
        <f>IFERROR(__xludf.DUMMYFUNCTION("""COMPUTED_VALUE"""),0.2255813953488372)</f>
        <v>0.2255813953</v>
      </c>
      <c r="H1357" s="5">
        <f>IFERROR(__xludf.DUMMYFUNCTION("""COMPUTED_VALUE"""),0.5820128479657387)</f>
        <v>0.582012848</v>
      </c>
      <c r="I1357" s="11">
        <f>IFERROR(__xludf.DUMMYFUNCTION("""COMPUTED_VALUE"""),5663.4261241970025)</f>
        <v>5663.426124</v>
      </c>
      <c r="J1357" s="10">
        <f>IFERROR(__xludf.DUMMYFUNCTION("""COMPUTED_VALUE"""),0.0)</f>
        <v>0</v>
      </c>
      <c r="K1357" s="5">
        <f>IFERROR(__xludf.DUMMYFUNCTION("""COMPUTED_VALUE"""),0.0)</f>
        <v>0</v>
      </c>
      <c r="L1357" s="10">
        <f>IFERROR(__xludf.DUMMYFUNCTION("""COMPUTED_VALUE"""),965.0)</f>
        <v>965</v>
      </c>
      <c r="M1357" s="5">
        <f>IFERROR(__xludf.DUMMYFUNCTION("""COMPUTED_VALUE"""),1.0)</f>
        <v>1</v>
      </c>
    </row>
    <row r="1358">
      <c r="A1358" s="10" t="str">
        <f>IFERROR(__xludf.DUMMYFUNCTION("""COMPUTED_VALUE"""),"昼夜")</f>
        <v>昼夜</v>
      </c>
      <c r="B1358" s="10">
        <f>IFERROR(__xludf.DUMMYFUNCTION("""COMPUTED_VALUE"""),1668.0)</f>
        <v>1668</v>
      </c>
      <c r="C1358" s="10">
        <f>IFERROR(__xludf.DUMMYFUNCTION("""COMPUTED_VALUE"""),19597.0)</f>
        <v>19597</v>
      </c>
      <c r="D1358" s="5">
        <f>IFERROR(__xludf.DUMMYFUNCTION("""COMPUTED_VALUE"""),0.3470913045903285)</f>
        <v>0.3470913046</v>
      </c>
      <c r="E1358" s="5">
        <f>IFERROR(__xludf.DUMMYFUNCTION("""COMPUTED_VALUE"""),0.13720787550895197)</f>
        <v>0.1372078755</v>
      </c>
      <c r="F1358" s="5">
        <f>IFERROR(__xludf.DUMMYFUNCTION("""COMPUTED_VALUE"""),0.21523788275977468)</f>
        <v>0.2152378828</v>
      </c>
      <c r="G1358" s="5">
        <f>IFERROR(__xludf.DUMMYFUNCTION("""COMPUTED_VALUE"""),0.18249762953873613)</f>
        <v>0.1824976295</v>
      </c>
      <c r="H1358" s="5">
        <f>IFERROR(__xludf.DUMMYFUNCTION("""COMPUTED_VALUE"""),0.5853848147188391)</f>
        <v>0.5853848147</v>
      </c>
      <c r="I1358" s="11">
        <f>IFERROR(__xludf.DUMMYFUNCTION("""COMPUTED_VALUE"""),5727.856957761078)</f>
        <v>5727.856958</v>
      </c>
      <c r="J1358" s="10">
        <f>IFERROR(__xludf.DUMMYFUNCTION("""COMPUTED_VALUE"""),5.0)</f>
        <v>5</v>
      </c>
      <c r="K1358" s="5">
        <f>IFERROR(__xludf.DUMMYFUNCTION("""COMPUTED_VALUE"""),0.002997601918465228)</f>
        <v>0.002997601918</v>
      </c>
      <c r="L1358" s="10">
        <f>IFERROR(__xludf.DUMMYFUNCTION("""COMPUTED_VALUE"""),1459.0)</f>
        <v>1459</v>
      </c>
      <c r="M1358" s="5">
        <f>IFERROR(__xludf.DUMMYFUNCTION("""COMPUTED_VALUE"""),0.8747002398081535)</f>
        <v>0.8747002398</v>
      </c>
    </row>
    <row r="1359">
      <c r="A1359" s="10" t="str">
        <f>IFERROR(__xludf.DUMMYFUNCTION("""COMPUTED_VALUE"""),"よっけ´")</f>
        <v>よっけ´</v>
      </c>
      <c r="B1359" s="10">
        <f>IFERROR(__xludf.DUMMYFUNCTION("""COMPUTED_VALUE"""),117.0)</f>
        <v>117</v>
      </c>
      <c r="C1359" s="10">
        <f>IFERROR(__xludf.DUMMYFUNCTION("""COMPUTED_VALUE"""),1356.0)</f>
        <v>1356</v>
      </c>
      <c r="D1359" s="5">
        <f>IFERROR(__xludf.DUMMYFUNCTION("""COMPUTED_VALUE"""),0.33736884584342214)</f>
        <v>0.3373688458</v>
      </c>
      <c r="E1359" s="5">
        <f>IFERROR(__xludf.DUMMYFUNCTION("""COMPUTED_VALUE"""),0.13720742534301855)</f>
        <v>0.1372074253</v>
      </c>
      <c r="F1359" s="5">
        <f>IFERROR(__xludf.DUMMYFUNCTION("""COMPUTED_VALUE"""),0.2009685230024213)</f>
        <v>0.200968523</v>
      </c>
      <c r="G1359" s="5">
        <f>IFERROR(__xludf.DUMMYFUNCTION("""COMPUTED_VALUE"""),0.16868442292171107)</f>
        <v>0.1686844229</v>
      </c>
      <c r="H1359" s="5">
        <f>IFERROR(__xludf.DUMMYFUNCTION("""COMPUTED_VALUE"""),0.5983935742971888)</f>
        <v>0.5983935743</v>
      </c>
      <c r="I1359" s="11">
        <f>IFERROR(__xludf.DUMMYFUNCTION("""COMPUTED_VALUE"""),5727.710843373494)</f>
        <v>5727.710843</v>
      </c>
      <c r="J1359" s="10">
        <f>IFERROR(__xludf.DUMMYFUNCTION("""COMPUTED_VALUE"""),0.0)</f>
        <v>0</v>
      </c>
      <c r="K1359" s="5">
        <f>IFERROR(__xludf.DUMMYFUNCTION("""COMPUTED_VALUE"""),0.0)</f>
        <v>0</v>
      </c>
      <c r="L1359" s="10">
        <f>IFERROR(__xludf.DUMMYFUNCTION("""COMPUTED_VALUE"""),117.0)</f>
        <v>117</v>
      </c>
      <c r="M1359" s="5">
        <f>IFERROR(__xludf.DUMMYFUNCTION("""COMPUTED_VALUE"""),1.0)</f>
        <v>1</v>
      </c>
    </row>
    <row r="1360">
      <c r="A1360" s="10" t="str">
        <f>IFERROR(__xludf.DUMMYFUNCTION("""COMPUTED_VALUE"""),"徒手空拳")</f>
        <v>徒手空拳</v>
      </c>
      <c r="B1360" s="10">
        <f>IFERROR(__xludf.DUMMYFUNCTION("""COMPUTED_VALUE"""),251.0)</f>
        <v>251</v>
      </c>
      <c r="C1360" s="10">
        <f>IFERROR(__xludf.DUMMYFUNCTION("""COMPUTED_VALUE"""),2904.0)</f>
        <v>2904</v>
      </c>
      <c r="D1360" s="5">
        <f>IFERROR(__xludf.DUMMYFUNCTION("""COMPUTED_VALUE"""),0.259705993215228)</f>
        <v>0.2597059932</v>
      </c>
      <c r="E1360" s="5">
        <f>IFERROR(__xludf.DUMMYFUNCTION("""COMPUTED_VALUE"""),0.13720316622691292)</f>
        <v>0.1372031662</v>
      </c>
      <c r="F1360" s="5">
        <f>IFERROR(__xludf.DUMMYFUNCTION("""COMPUTED_VALUE"""),0.185073501696193)</f>
        <v>0.1850735017</v>
      </c>
      <c r="G1360" s="5">
        <f>IFERROR(__xludf.DUMMYFUNCTION("""COMPUTED_VALUE"""),0.18921975122502827)</f>
        <v>0.1892197512</v>
      </c>
      <c r="H1360" s="5">
        <f>IFERROR(__xludf.DUMMYFUNCTION("""COMPUTED_VALUE"""),0.5723014256619144)</f>
        <v>0.5723014257</v>
      </c>
      <c r="I1360" s="11">
        <f>IFERROR(__xludf.DUMMYFUNCTION("""COMPUTED_VALUE"""),5941.140529531568)</f>
        <v>5941.14053</v>
      </c>
      <c r="J1360" s="10">
        <f>IFERROR(__xludf.DUMMYFUNCTION("""COMPUTED_VALUE"""),2.0)</f>
        <v>2</v>
      </c>
      <c r="K1360" s="5">
        <f>IFERROR(__xludf.DUMMYFUNCTION("""COMPUTED_VALUE"""),0.00796812749003984)</f>
        <v>0.00796812749</v>
      </c>
      <c r="L1360" s="10">
        <f>IFERROR(__xludf.DUMMYFUNCTION("""COMPUTED_VALUE"""),251.0)</f>
        <v>251</v>
      </c>
      <c r="M1360" s="5">
        <f>IFERROR(__xludf.DUMMYFUNCTION("""COMPUTED_VALUE"""),1.0)</f>
        <v>1</v>
      </c>
    </row>
    <row r="1361">
      <c r="A1361" s="10" t="str">
        <f>IFERROR(__xludf.DUMMYFUNCTION("""COMPUTED_VALUE"""),"pawafu1")</f>
        <v>pawafu1</v>
      </c>
      <c r="B1361" s="10">
        <f>IFERROR(__xludf.DUMMYFUNCTION("""COMPUTED_VALUE"""),119.0)</f>
        <v>119</v>
      </c>
      <c r="C1361" s="10">
        <f>IFERROR(__xludf.DUMMYFUNCTION("""COMPUTED_VALUE"""),1380.0)</f>
        <v>1380</v>
      </c>
      <c r="D1361" s="5">
        <f>IFERROR(__xludf.DUMMYFUNCTION("""COMPUTED_VALUE"""),0.3957176843774782)</f>
        <v>0.3957176844</v>
      </c>
      <c r="E1361" s="5">
        <f>IFERROR(__xludf.DUMMYFUNCTION("""COMPUTED_VALUE"""),0.1371927042030135)</f>
        <v>0.1371927042</v>
      </c>
      <c r="F1361" s="5">
        <f>IFERROR(__xludf.DUMMYFUNCTION("""COMPUTED_VALUE"""),0.21252973830293417)</f>
        <v>0.2125297383</v>
      </c>
      <c r="G1361" s="5">
        <f>IFERROR(__xludf.DUMMYFUNCTION("""COMPUTED_VALUE"""),0.17367168913560665)</f>
        <v>0.1736716891</v>
      </c>
      <c r="H1361" s="5">
        <f>IFERROR(__xludf.DUMMYFUNCTION("""COMPUTED_VALUE"""),0.5746268656716418)</f>
        <v>0.5746268657</v>
      </c>
      <c r="I1361" s="11">
        <f>IFERROR(__xludf.DUMMYFUNCTION("""COMPUTED_VALUE"""),6044.4029850746265)</f>
        <v>6044.402985</v>
      </c>
      <c r="J1361" s="10">
        <f>IFERROR(__xludf.DUMMYFUNCTION("""COMPUTED_VALUE"""),1.0)</f>
        <v>1</v>
      </c>
      <c r="K1361" s="5">
        <f>IFERROR(__xludf.DUMMYFUNCTION("""COMPUTED_VALUE"""),0.008403361344537815)</f>
        <v>0.008403361345</v>
      </c>
      <c r="L1361" s="10">
        <f>IFERROR(__xludf.DUMMYFUNCTION("""COMPUTED_VALUE"""),119.0)</f>
        <v>119</v>
      </c>
      <c r="M1361" s="5">
        <f>IFERROR(__xludf.DUMMYFUNCTION("""COMPUTED_VALUE"""),1.0)</f>
        <v>1</v>
      </c>
    </row>
    <row r="1362">
      <c r="A1362" s="10" t="str">
        <f>IFERROR(__xludf.DUMMYFUNCTION("""COMPUTED_VALUE"""),"ぽふんぽふん")</f>
        <v>ぽふんぽふん</v>
      </c>
      <c r="B1362" s="10">
        <f>IFERROR(__xludf.DUMMYFUNCTION("""COMPUTED_VALUE"""),632.0)</f>
        <v>632</v>
      </c>
      <c r="C1362" s="10">
        <f>IFERROR(__xludf.DUMMYFUNCTION("""COMPUTED_VALUE"""),7287.0)</f>
        <v>7287</v>
      </c>
      <c r="D1362" s="5">
        <f>IFERROR(__xludf.DUMMYFUNCTION("""COMPUTED_VALUE"""),0.36303531179564236)</f>
        <v>0.3630353118</v>
      </c>
      <c r="E1362" s="5">
        <f>IFERROR(__xludf.DUMMYFUNCTION("""COMPUTED_VALUE"""),0.1371900826446281)</f>
        <v>0.1371900826</v>
      </c>
      <c r="F1362" s="5">
        <f>IFERROR(__xludf.DUMMYFUNCTION("""COMPUTED_VALUE"""),0.2066115702479339)</f>
        <v>0.2066115702</v>
      </c>
      <c r="G1362" s="5">
        <f>IFERROR(__xludf.DUMMYFUNCTION("""COMPUTED_VALUE"""),0.16964688204357625)</f>
        <v>0.169646882</v>
      </c>
      <c r="H1362" s="5">
        <f>IFERROR(__xludf.DUMMYFUNCTION("""COMPUTED_VALUE"""),0.6)</f>
        <v>0.6</v>
      </c>
      <c r="I1362" s="11">
        <f>IFERROR(__xludf.DUMMYFUNCTION("""COMPUTED_VALUE"""),5745.381818181818)</f>
        <v>5745.381818</v>
      </c>
      <c r="J1362" s="10">
        <f>IFERROR(__xludf.DUMMYFUNCTION("""COMPUTED_VALUE"""),2.0)</f>
        <v>2</v>
      </c>
      <c r="K1362" s="5">
        <f>IFERROR(__xludf.DUMMYFUNCTION("""COMPUTED_VALUE"""),0.0031645569620253164)</f>
        <v>0.003164556962</v>
      </c>
      <c r="L1362" s="10">
        <f>IFERROR(__xludf.DUMMYFUNCTION("""COMPUTED_VALUE"""),632.0)</f>
        <v>632</v>
      </c>
      <c r="M1362" s="5">
        <f>IFERROR(__xludf.DUMMYFUNCTION("""COMPUTED_VALUE"""),1.0)</f>
        <v>1</v>
      </c>
    </row>
    <row r="1363">
      <c r="A1363" s="10" t="str">
        <f>IFERROR(__xludf.DUMMYFUNCTION("""COMPUTED_VALUE"""),"コーティ")</f>
        <v>コーティ</v>
      </c>
      <c r="B1363" s="10">
        <f>IFERROR(__xludf.DUMMYFUNCTION("""COMPUTED_VALUE"""),198.0)</f>
        <v>198</v>
      </c>
      <c r="C1363" s="10">
        <f>IFERROR(__xludf.DUMMYFUNCTION("""COMPUTED_VALUE"""),2312.0)</f>
        <v>2312</v>
      </c>
      <c r="D1363" s="5">
        <f>IFERROR(__xludf.DUMMYFUNCTION("""COMPUTED_VALUE"""),0.337275307473983)</f>
        <v>0.3372753075</v>
      </c>
      <c r="E1363" s="5">
        <f>IFERROR(__xludf.DUMMYFUNCTION("""COMPUTED_VALUE"""),0.13718070009460737)</f>
        <v>0.1371807001</v>
      </c>
      <c r="F1363" s="5">
        <f>IFERROR(__xludf.DUMMYFUNCTION("""COMPUTED_VALUE"""),0.20387890255439925)</f>
        <v>0.2038789026</v>
      </c>
      <c r="G1363" s="5">
        <f>IFERROR(__xludf.DUMMYFUNCTION("""COMPUTED_VALUE"""),0.15089877010406813)</f>
        <v>0.1508987701</v>
      </c>
      <c r="H1363" s="5">
        <f>IFERROR(__xludf.DUMMYFUNCTION("""COMPUTED_VALUE"""),0.5916473317865429)</f>
        <v>0.5916473318</v>
      </c>
      <c r="I1363" s="11">
        <f>IFERROR(__xludf.DUMMYFUNCTION("""COMPUTED_VALUE"""),5149.651972157772)</f>
        <v>5149.651972</v>
      </c>
      <c r="J1363" s="10">
        <f>IFERROR(__xludf.DUMMYFUNCTION("""COMPUTED_VALUE"""),0.0)</f>
        <v>0</v>
      </c>
      <c r="K1363" s="5">
        <f>IFERROR(__xludf.DUMMYFUNCTION("""COMPUTED_VALUE"""),0.0)</f>
        <v>0</v>
      </c>
      <c r="L1363" s="10">
        <f>IFERROR(__xludf.DUMMYFUNCTION("""COMPUTED_VALUE"""),198.0)</f>
        <v>198</v>
      </c>
      <c r="M1363" s="5">
        <f>IFERROR(__xludf.DUMMYFUNCTION("""COMPUTED_VALUE"""),1.0)</f>
        <v>1</v>
      </c>
    </row>
    <row r="1364">
      <c r="A1364" s="10" t="str">
        <f>IFERROR(__xludf.DUMMYFUNCTION("""COMPUTED_VALUE"""),"まことさん")</f>
        <v>まことさん</v>
      </c>
      <c r="B1364" s="10">
        <f>IFERROR(__xludf.DUMMYFUNCTION("""COMPUTED_VALUE"""),850.0)</f>
        <v>850</v>
      </c>
      <c r="C1364" s="10">
        <f>IFERROR(__xludf.DUMMYFUNCTION("""COMPUTED_VALUE"""),9853.0)</f>
        <v>9853</v>
      </c>
      <c r="D1364" s="5">
        <f>IFERROR(__xludf.DUMMYFUNCTION("""COMPUTED_VALUE"""),0.3471065200488726)</f>
        <v>0.34710652</v>
      </c>
      <c r="E1364" s="5">
        <f>IFERROR(__xludf.DUMMYFUNCTION("""COMPUTED_VALUE"""),0.13717649672331444)</f>
        <v>0.1371764967</v>
      </c>
      <c r="F1364" s="5">
        <f>IFERROR(__xludf.DUMMYFUNCTION("""COMPUTED_VALUE"""),0.21537265355992447)</f>
        <v>0.2153726536</v>
      </c>
      <c r="G1364" s="5">
        <f>IFERROR(__xludf.DUMMYFUNCTION("""COMPUTED_VALUE"""),0.19304676219038097)</f>
        <v>0.1930467622</v>
      </c>
      <c r="H1364" s="5">
        <f>IFERROR(__xludf.DUMMYFUNCTION("""COMPUTED_VALUE"""),0.5889633831872099)</f>
        <v>0.5889633832</v>
      </c>
      <c r="I1364" s="11">
        <f>IFERROR(__xludf.DUMMYFUNCTION("""COMPUTED_VALUE"""),5738.473439917483)</f>
        <v>5738.47344</v>
      </c>
      <c r="J1364" s="10">
        <f>IFERROR(__xludf.DUMMYFUNCTION("""COMPUTED_VALUE"""),0.0)</f>
        <v>0</v>
      </c>
      <c r="K1364" s="5">
        <f>IFERROR(__xludf.DUMMYFUNCTION("""COMPUTED_VALUE"""),0.0)</f>
        <v>0</v>
      </c>
      <c r="L1364" s="10">
        <f>IFERROR(__xludf.DUMMYFUNCTION("""COMPUTED_VALUE"""),850.0)</f>
        <v>850</v>
      </c>
      <c r="M1364" s="5">
        <f>IFERROR(__xludf.DUMMYFUNCTION("""COMPUTED_VALUE"""),1.0)</f>
        <v>1</v>
      </c>
    </row>
    <row r="1365">
      <c r="A1365" s="10" t="str">
        <f>IFERROR(__xludf.DUMMYFUNCTION("""COMPUTED_VALUE"""),"アニオン")</f>
        <v>アニオン</v>
      </c>
      <c r="B1365" s="10">
        <f>IFERROR(__xludf.DUMMYFUNCTION("""COMPUTED_VALUE"""),322.0)</f>
        <v>322</v>
      </c>
      <c r="C1365" s="10">
        <f>IFERROR(__xludf.DUMMYFUNCTION("""COMPUTED_VALUE"""),3763.0)</f>
        <v>3763</v>
      </c>
      <c r="D1365" s="5">
        <f>IFERROR(__xludf.DUMMYFUNCTION("""COMPUTED_VALUE"""),0.36326649229875035)</f>
        <v>0.3632664923</v>
      </c>
      <c r="E1365" s="5">
        <f>IFERROR(__xludf.DUMMYFUNCTION("""COMPUTED_VALUE"""),0.13716942749200814)</f>
        <v>0.1371694275</v>
      </c>
      <c r="F1365" s="5">
        <f>IFERROR(__xludf.DUMMYFUNCTION("""COMPUTED_VALUE"""),0.19035164196454518)</f>
        <v>0.190351642</v>
      </c>
      <c r="G1365" s="5">
        <f>IFERROR(__xludf.DUMMYFUNCTION("""COMPUTED_VALUE"""),0.14850334205172916)</f>
        <v>0.1485033421</v>
      </c>
      <c r="H1365" s="5">
        <f>IFERROR(__xludf.DUMMYFUNCTION("""COMPUTED_VALUE"""),0.6290076335877862)</f>
        <v>0.6290076336</v>
      </c>
      <c r="I1365" s="11">
        <f>IFERROR(__xludf.DUMMYFUNCTION("""COMPUTED_VALUE"""),5577.251908396946)</f>
        <v>5577.251908</v>
      </c>
      <c r="J1365" s="10">
        <f>IFERROR(__xludf.DUMMYFUNCTION("""COMPUTED_VALUE"""),0.0)</f>
        <v>0</v>
      </c>
      <c r="K1365" s="5">
        <f>IFERROR(__xludf.DUMMYFUNCTION("""COMPUTED_VALUE"""),0.0)</f>
        <v>0</v>
      </c>
      <c r="L1365" s="10">
        <f>IFERROR(__xludf.DUMMYFUNCTION("""COMPUTED_VALUE"""),150.0)</f>
        <v>150</v>
      </c>
      <c r="M1365" s="5">
        <f>IFERROR(__xludf.DUMMYFUNCTION("""COMPUTED_VALUE"""),0.4658385093167702)</f>
        <v>0.4658385093</v>
      </c>
    </row>
    <row r="1366">
      <c r="A1366" s="10" t="str">
        <f>IFERROR(__xludf.DUMMYFUNCTION("""COMPUTED_VALUE"""),"卿")</f>
        <v>卿</v>
      </c>
      <c r="B1366" s="10">
        <f>IFERROR(__xludf.DUMMYFUNCTION("""COMPUTED_VALUE"""),109.0)</f>
        <v>109</v>
      </c>
      <c r="C1366" s="10">
        <f>IFERROR(__xludf.DUMMYFUNCTION("""COMPUTED_VALUE"""),1261.0)</f>
        <v>1261</v>
      </c>
      <c r="D1366" s="5">
        <f>IFERROR(__xludf.DUMMYFUNCTION("""COMPUTED_VALUE"""),0.390625)</f>
        <v>0.390625</v>
      </c>
      <c r="E1366" s="5">
        <f>IFERROR(__xludf.DUMMYFUNCTION("""COMPUTED_VALUE"""),0.1371527777777778)</f>
        <v>0.1371527778</v>
      </c>
      <c r="F1366" s="5">
        <f>IFERROR(__xludf.DUMMYFUNCTION("""COMPUTED_VALUE"""),0.21961805555555555)</f>
        <v>0.2196180556</v>
      </c>
      <c r="G1366" s="5">
        <f>IFERROR(__xludf.DUMMYFUNCTION("""COMPUTED_VALUE"""),0.12152777777777778)</f>
        <v>0.1215277778</v>
      </c>
      <c r="H1366" s="5">
        <f>IFERROR(__xludf.DUMMYFUNCTION("""COMPUTED_VALUE"""),0.6205533596837944)</f>
        <v>0.6205533597</v>
      </c>
      <c r="I1366" s="11">
        <f>IFERROR(__xludf.DUMMYFUNCTION("""COMPUTED_VALUE"""),5713.438735177866)</f>
        <v>5713.438735</v>
      </c>
      <c r="J1366" s="10">
        <f>IFERROR(__xludf.DUMMYFUNCTION("""COMPUTED_VALUE"""),0.0)</f>
        <v>0</v>
      </c>
      <c r="K1366" s="5">
        <f>IFERROR(__xludf.DUMMYFUNCTION("""COMPUTED_VALUE"""),0.0)</f>
        <v>0</v>
      </c>
      <c r="L1366" s="10">
        <f>IFERROR(__xludf.DUMMYFUNCTION("""COMPUTED_VALUE"""),109.0)</f>
        <v>109</v>
      </c>
      <c r="M1366" s="5">
        <f>IFERROR(__xludf.DUMMYFUNCTION("""COMPUTED_VALUE"""),1.0)</f>
        <v>1</v>
      </c>
    </row>
    <row r="1367">
      <c r="A1367" s="10" t="str">
        <f>IFERROR(__xludf.DUMMYFUNCTION("""COMPUTED_VALUE"""),"生徒会【序】")</f>
        <v>生徒会【序】</v>
      </c>
      <c r="B1367" s="10">
        <f>IFERROR(__xludf.DUMMYFUNCTION("""COMPUTED_VALUE"""),337.0)</f>
        <v>337</v>
      </c>
      <c r="C1367" s="10">
        <f>IFERROR(__xludf.DUMMYFUNCTION("""COMPUTED_VALUE"""),3866.0)</f>
        <v>3866</v>
      </c>
      <c r="D1367" s="5">
        <f>IFERROR(__xludf.DUMMYFUNCTION("""COMPUTED_VALUE"""),0.3525077925758005)</f>
        <v>0.3525077926</v>
      </c>
      <c r="E1367" s="5">
        <f>IFERROR(__xludf.DUMMYFUNCTION("""COMPUTED_VALUE"""),0.13714933408897706)</f>
        <v>0.1371493341</v>
      </c>
      <c r="F1367" s="5">
        <f>IFERROR(__xludf.DUMMYFUNCTION("""COMPUTED_VALUE"""),0.22385945026919807)</f>
        <v>0.2238594503</v>
      </c>
      <c r="G1367" s="5">
        <f>IFERROR(__xludf.DUMMYFUNCTION("""COMPUTED_VALUE"""),0.17767072825162936)</f>
        <v>0.1776707283</v>
      </c>
      <c r="H1367" s="5">
        <f>IFERROR(__xludf.DUMMYFUNCTION("""COMPUTED_VALUE"""),0.6189873417721519)</f>
        <v>0.6189873418</v>
      </c>
      <c r="I1367" s="11">
        <f>IFERROR(__xludf.DUMMYFUNCTION("""COMPUTED_VALUE"""),5854.177215189873)</f>
        <v>5854.177215</v>
      </c>
      <c r="J1367" s="10">
        <f>IFERROR(__xludf.DUMMYFUNCTION("""COMPUTED_VALUE"""),2.0)</f>
        <v>2</v>
      </c>
      <c r="K1367" s="5">
        <f>IFERROR(__xludf.DUMMYFUNCTION("""COMPUTED_VALUE"""),0.005934718100890208)</f>
        <v>0.005934718101</v>
      </c>
      <c r="L1367" s="10">
        <f>IFERROR(__xludf.DUMMYFUNCTION("""COMPUTED_VALUE"""),337.0)</f>
        <v>337</v>
      </c>
      <c r="M1367" s="5">
        <f>IFERROR(__xludf.DUMMYFUNCTION("""COMPUTED_VALUE"""),1.0)</f>
        <v>1</v>
      </c>
    </row>
    <row r="1368">
      <c r="A1368" s="10" t="str">
        <f>IFERROR(__xludf.DUMMYFUNCTION("""COMPUTED_VALUE"""),".=蓬莱山輝夜=")</f>
        <v>.=蓬莱山輝夜=</v>
      </c>
      <c r="B1368" s="10">
        <f>IFERROR(__xludf.DUMMYFUNCTION("""COMPUTED_VALUE"""),272.0)</f>
        <v>272</v>
      </c>
      <c r="C1368" s="10">
        <f>IFERROR(__xludf.DUMMYFUNCTION("""COMPUTED_VALUE"""),3174.0)</f>
        <v>3174</v>
      </c>
      <c r="D1368" s="5">
        <f>IFERROR(__xludf.DUMMYFUNCTION("""COMPUTED_VALUE"""),0.3680220537560303)</f>
        <v>0.3680220538</v>
      </c>
      <c r="E1368" s="5">
        <f>IFERROR(__xludf.DUMMYFUNCTION("""COMPUTED_VALUE"""),0.13714679531357685)</f>
        <v>0.1371467953</v>
      </c>
      <c r="F1368" s="5">
        <f>IFERROR(__xludf.DUMMYFUNCTION("""COMPUTED_VALUE"""),0.19572708476912473)</f>
        <v>0.1957270848</v>
      </c>
      <c r="G1368" s="5">
        <f>IFERROR(__xludf.DUMMYFUNCTION("""COMPUTED_VALUE"""),0.1726395589248794)</f>
        <v>0.1726395589</v>
      </c>
      <c r="H1368" s="5">
        <f>IFERROR(__xludf.DUMMYFUNCTION("""COMPUTED_VALUE"""),0.6003521126760564)</f>
        <v>0.6003521127</v>
      </c>
      <c r="I1368" s="11">
        <f>IFERROR(__xludf.DUMMYFUNCTION("""COMPUTED_VALUE"""),5596.12676056338)</f>
        <v>5596.126761</v>
      </c>
      <c r="J1368" s="10">
        <f>IFERROR(__xludf.DUMMYFUNCTION("""COMPUTED_VALUE"""),0.0)</f>
        <v>0</v>
      </c>
      <c r="K1368" s="5">
        <f>IFERROR(__xludf.DUMMYFUNCTION("""COMPUTED_VALUE"""),0.0)</f>
        <v>0</v>
      </c>
      <c r="L1368" s="10">
        <f>IFERROR(__xludf.DUMMYFUNCTION("""COMPUTED_VALUE"""),56.0)</f>
        <v>56</v>
      </c>
      <c r="M1368" s="5">
        <f>IFERROR(__xludf.DUMMYFUNCTION("""COMPUTED_VALUE"""),0.20588235294117646)</f>
        <v>0.2058823529</v>
      </c>
    </row>
    <row r="1369">
      <c r="A1369" s="10" t="str">
        <f>IFERROR(__xludf.DUMMYFUNCTION("""COMPUTED_VALUE"""),"赤坊主")</f>
        <v>赤坊主</v>
      </c>
      <c r="B1369" s="10">
        <f>IFERROR(__xludf.DUMMYFUNCTION("""COMPUTED_VALUE"""),422.0)</f>
        <v>422</v>
      </c>
      <c r="C1369" s="10">
        <f>IFERROR(__xludf.DUMMYFUNCTION("""COMPUTED_VALUE"""),4892.0)</f>
        <v>4892</v>
      </c>
      <c r="D1369" s="5">
        <f>IFERROR(__xludf.DUMMYFUNCTION("""COMPUTED_VALUE"""),0.4)</f>
        <v>0.4</v>
      </c>
      <c r="E1369" s="5">
        <f>IFERROR(__xludf.DUMMYFUNCTION("""COMPUTED_VALUE"""),0.13713646532438478)</f>
        <v>0.1371364653</v>
      </c>
      <c r="F1369" s="5">
        <f>IFERROR(__xludf.DUMMYFUNCTION("""COMPUTED_VALUE"""),0.23042505592841164)</f>
        <v>0.2304250559</v>
      </c>
      <c r="G1369" s="5">
        <f>IFERROR(__xludf.DUMMYFUNCTION("""COMPUTED_VALUE"""),0.1599552572706935)</f>
        <v>0.1599552573</v>
      </c>
      <c r="H1369" s="5">
        <f>IFERROR(__xludf.DUMMYFUNCTION("""COMPUTED_VALUE"""),0.6271844660194175)</f>
        <v>0.627184466</v>
      </c>
      <c r="I1369" s="11">
        <f>IFERROR(__xludf.DUMMYFUNCTION("""COMPUTED_VALUE"""),5226.796116504855)</f>
        <v>5226.796117</v>
      </c>
      <c r="J1369" s="10">
        <f>IFERROR(__xludf.DUMMYFUNCTION("""COMPUTED_VALUE"""),0.0)</f>
        <v>0</v>
      </c>
      <c r="K1369" s="5">
        <f>IFERROR(__xludf.DUMMYFUNCTION("""COMPUTED_VALUE"""),0.0)</f>
        <v>0</v>
      </c>
      <c r="L1369" s="10">
        <f>IFERROR(__xludf.DUMMYFUNCTION("""COMPUTED_VALUE"""),422.0)</f>
        <v>422</v>
      </c>
      <c r="M1369" s="5">
        <f>IFERROR(__xludf.DUMMYFUNCTION("""COMPUTED_VALUE"""),1.0)</f>
        <v>1</v>
      </c>
    </row>
    <row r="1370">
      <c r="A1370" s="10" t="str">
        <f>IFERROR(__xludf.DUMMYFUNCTION("""COMPUTED_VALUE"""),"全局参加型雀土")</f>
        <v>全局参加型雀土</v>
      </c>
      <c r="B1370" s="10">
        <f>IFERROR(__xludf.DUMMYFUNCTION("""COMPUTED_VALUE"""),104.0)</f>
        <v>104</v>
      </c>
      <c r="C1370" s="10">
        <f>IFERROR(__xludf.DUMMYFUNCTION("""COMPUTED_VALUE"""),1227.0)</f>
        <v>1227</v>
      </c>
      <c r="D1370" s="5">
        <f>IFERROR(__xludf.DUMMYFUNCTION("""COMPUTED_VALUE"""),0.3659839715048976)</f>
        <v>0.3659839715</v>
      </c>
      <c r="E1370" s="5">
        <f>IFERROR(__xludf.DUMMYFUNCTION("""COMPUTED_VALUE"""),0.1371326803205699)</f>
        <v>0.1371326803</v>
      </c>
      <c r="F1370" s="5">
        <f>IFERROR(__xludf.DUMMYFUNCTION("""COMPUTED_VALUE"""),0.21282279608192342)</f>
        <v>0.2128227961</v>
      </c>
      <c r="G1370" s="5">
        <f>IFERROR(__xludf.DUMMYFUNCTION("""COMPUTED_VALUE"""),0.1745325022261799)</f>
        <v>0.1745325022</v>
      </c>
      <c r="H1370" s="5">
        <f>IFERROR(__xludf.DUMMYFUNCTION("""COMPUTED_VALUE"""),0.6359832635983264)</f>
        <v>0.6359832636</v>
      </c>
      <c r="I1370" s="11">
        <f>IFERROR(__xludf.DUMMYFUNCTION("""COMPUTED_VALUE"""),5152.301255230125)</f>
        <v>5152.301255</v>
      </c>
      <c r="J1370" s="10">
        <f>IFERROR(__xludf.DUMMYFUNCTION("""COMPUTED_VALUE"""),0.0)</f>
        <v>0</v>
      </c>
      <c r="K1370" s="5">
        <f>IFERROR(__xludf.DUMMYFUNCTION("""COMPUTED_VALUE"""),0.0)</f>
        <v>0</v>
      </c>
      <c r="L1370" s="10">
        <f>IFERROR(__xludf.DUMMYFUNCTION("""COMPUTED_VALUE"""),102.0)</f>
        <v>102</v>
      </c>
      <c r="M1370" s="5">
        <f>IFERROR(__xludf.DUMMYFUNCTION("""COMPUTED_VALUE"""),0.9807692307692307)</f>
        <v>0.9807692308</v>
      </c>
    </row>
    <row r="1371">
      <c r="A1371" s="10" t="str">
        <f>IFERROR(__xludf.DUMMYFUNCTION("""COMPUTED_VALUE"""),"宮間夕菜")</f>
        <v>宮間夕菜</v>
      </c>
      <c r="B1371" s="10">
        <f>IFERROR(__xludf.DUMMYFUNCTION("""COMPUTED_VALUE"""),550.0)</f>
        <v>550</v>
      </c>
      <c r="C1371" s="10">
        <f>IFERROR(__xludf.DUMMYFUNCTION("""COMPUTED_VALUE"""),6530.0)</f>
        <v>6530</v>
      </c>
      <c r="D1371" s="5">
        <f>IFERROR(__xludf.DUMMYFUNCTION("""COMPUTED_VALUE"""),0.35167224080267556)</f>
        <v>0.3516722408</v>
      </c>
      <c r="E1371" s="5">
        <f>IFERROR(__xludf.DUMMYFUNCTION("""COMPUTED_VALUE"""),0.13712374581939799)</f>
        <v>0.1371237458</v>
      </c>
      <c r="F1371" s="5">
        <f>IFERROR(__xludf.DUMMYFUNCTION("""COMPUTED_VALUE"""),0.2117056856187291)</f>
        <v>0.2117056856</v>
      </c>
      <c r="G1371" s="5">
        <f>IFERROR(__xludf.DUMMYFUNCTION("""COMPUTED_VALUE"""),0.14381270903010032)</f>
        <v>0.143812709</v>
      </c>
      <c r="H1371" s="5">
        <f>IFERROR(__xludf.DUMMYFUNCTION("""COMPUTED_VALUE"""),0.5932069510268563)</f>
        <v>0.593206951</v>
      </c>
      <c r="I1371" s="11">
        <f>IFERROR(__xludf.DUMMYFUNCTION("""COMPUTED_VALUE"""),5360.031595576619)</f>
        <v>5360.031596</v>
      </c>
      <c r="J1371" s="10">
        <f>IFERROR(__xludf.DUMMYFUNCTION("""COMPUTED_VALUE"""),0.0)</f>
        <v>0</v>
      </c>
      <c r="K1371" s="5">
        <f>IFERROR(__xludf.DUMMYFUNCTION("""COMPUTED_VALUE"""),0.0)</f>
        <v>0</v>
      </c>
      <c r="L1371" s="10">
        <f>IFERROR(__xludf.DUMMYFUNCTION("""COMPUTED_VALUE"""),13.0)</f>
        <v>13</v>
      </c>
      <c r="M1371" s="5">
        <f>IFERROR(__xludf.DUMMYFUNCTION("""COMPUTED_VALUE"""),0.023636363636363636)</f>
        <v>0.02363636364</v>
      </c>
    </row>
    <row r="1372">
      <c r="A1372" s="10" t="str">
        <f>IFERROR(__xludf.DUMMYFUNCTION("""COMPUTED_VALUE"""),"こまち")</f>
        <v>こまち</v>
      </c>
      <c r="B1372" s="10">
        <f>IFERROR(__xludf.DUMMYFUNCTION("""COMPUTED_VALUE"""),244.0)</f>
        <v>244</v>
      </c>
      <c r="C1372" s="10">
        <f>IFERROR(__xludf.DUMMYFUNCTION("""COMPUTED_VALUE"""),2906.0)</f>
        <v>2906</v>
      </c>
      <c r="D1372" s="5">
        <f>IFERROR(__xludf.DUMMYFUNCTION("""COMPUTED_VALUE"""),0.38129226145755074)</f>
        <v>0.3812922615</v>
      </c>
      <c r="E1372" s="5">
        <f>IFERROR(__xludf.DUMMYFUNCTION("""COMPUTED_VALUE"""),0.13711495116453795)</f>
        <v>0.1371149512</v>
      </c>
      <c r="F1372" s="5">
        <f>IFERROR(__xludf.DUMMYFUNCTION("""COMPUTED_VALUE"""),0.2235161532682194)</f>
        <v>0.2235161533</v>
      </c>
      <c r="G1372" s="5">
        <f>IFERROR(__xludf.DUMMYFUNCTION("""COMPUTED_VALUE"""),0.142374154770849)</f>
        <v>0.1423741548</v>
      </c>
      <c r="H1372" s="5">
        <f>IFERROR(__xludf.DUMMYFUNCTION("""COMPUTED_VALUE"""),0.6352941176470588)</f>
        <v>0.6352941176</v>
      </c>
      <c r="I1372" s="11">
        <f>IFERROR(__xludf.DUMMYFUNCTION("""COMPUTED_VALUE"""),5282.18487394958)</f>
        <v>5282.184874</v>
      </c>
      <c r="J1372" s="10">
        <f>IFERROR(__xludf.DUMMYFUNCTION("""COMPUTED_VALUE"""),2.0)</f>
        <v>2</v>
      </c>
      <c r="K1372" s="5">
        <f>IFERROR(__xludf.DUMMYFUNCTION("""COMPUTED_VALUE"""),0.00819672131147541)</f>
        <v>0.008196721311</v>
      </c>
      <c r="L1372" s="10">
        <f>IFERROR(__xludf.DUMMYFUNCTION("""COMPUTED_VALUE"""),244.0)</f>
        <v>244</v>
      </c>
      <c r="M1372" s="5">
        <f>IFERROR(__xludf.DUMMYFUNCTION("""COMPUTED_VALUE"""),1.0)</f>
        <v>1</v>
      </c>
    </row>
    <row r="1373">
      <c r="A1373" s="10" t="str">
        <f>IFERROR(__xludf.DUMMYFUNCTION("""COMPUTED_VALUE"""),"ゴリパラ")</f>
        <v>ゴリパラ</v>
      </c>
      <c r="B1373" s="10">
        <f>IFERROR(__xludf.DUMMYFUNCTION("""COMPUTED_VALUE"""),2053.0)</f>
        <v>2053</v>
      </c>
      <c r="C1373" s="10">
        <f>IFERROR(__xludf.DUMMYFUNCTION("""COMPUTED_VALUE"""),23838.0)</f>
        <v>23838</v>
      </c>
      <c r="D1373" s="5">
        <f>IFERROR(__xludf.DUMMYFUNCTION("""COMPUTED_VALUE"""),0.33440440670185906)</f>
        <v>0.3344044067</v>
      </c>
      <c r="E1373" s="5">
        <f>IFERROR(__xludf.DUMMYFUNCTION("""COMPUTED_VALUE"""),0.13711269221941702)</f>
        <v>0.1371126922</v>
      </c>
      <c r="F1373" s="5">
        <f>IFERROR(__xludf.DUMMYFUNCTION("""COMPUTED_VALUE"""),0.20739040624282765)</f>
        <v>0.2073904062</v>
      </c>
      <c r="G1373" s="5">
        <f>IFERROR(__xludf.DUMMYFUNCTION("""COMPUTED_VALUE"""),0.20913472572871242)</f>
        <v>0.2091347257</v>
      </c>
      <c r="H1373" s="5">
        <f>IFERROR(__xludf.DUMMYFUNCTION("""COMPUTED_VALUE"""),0.5796812749003984)</f>
        <v>0.5796812749</v>
      </c>
      <c r="I1373" s="11">
        <f>IFERROR(__xludf.DUMMYFUNCTION("""COMPUTED_VALUE"""),6040.903054448871)</f>
        <v>6040.903054</v>
      </c>
      <c r="J1373" s="10">
        <f>IFERROR(__xludf.DUMMYFUNCTION("""COMPUTED_VALUE"""),4.0)</f>
        <v>4</v>
      </c>
      <c r="K1373" s="5">
        <f>IFERROR(__xludf.DUMMYFUNCTION("""COMPUTED_VALUE"""),0.001948368241597662)</f>
        <v>0.001948368242</v>
      </c>
      <c r="L1373" s="10">
        <f>IFERROR(__xludf.DUMMYFUNCTION("""COMPUTED_VALUE"""),2046.0)</f>
        <v>2046</v>
      </c>
      <c r="M1373" s="5">
        <f>IFERROR(__xludf.DUMMYFUNCTION("""COMPUTED_VALUE"""),0.9965903555772041)</f>
        <v>0.9965903556</v>
      </c>
    </row>
    <row r="1374">
      <c r="A1374" s="10" t="str">
        <f>IFERROR(__xludf.DUMMYFUNCTION("""COMPUTED_VALUE"""),"いしもり")</f>
        <v>いしもり</v>
      </c>
      <c r="B1374" s="10">
        <f>IFERROR(__xludf.DUMMYFUNCTION("""COMPUTED_VALUE"""),623.0)</f>
        <v>623</v>
      </c>
      <c r="C1374" s="10">
        <f>IFERROR(__xludf.DUMMYFUNCTION("""COMPUTED_VALUE"""),7435.0)</f>
        <v>7435</v>
      </c>
      <c r="D1374" s="5">
        <f>IFERROR(__xludf.DUMMYFUNCTION("""COMPUTED_VALUE"""),0.3763945977686436)</f>
        <v>0.3763945978</v>
      </c>
      <c r="E1374" s="5">
        <f>IFERROR(__xludf.DUMMYFUNCTION("""COMPUTED_VALUE"""),0.13711098062243102)</f>
        <v>0.1371109806</v>
      </c>
      <c r="F1374" s="5">
        <f>IFERROR(__xludf.DUMMYFUNCTION("""COMPUTED_VALUE"""),0.20918966529653552)</f>
        <v>0.2091896653</v>
      </c>
      <c r="G1374" s="5">
        <f>IFERROR(__xludf.DUMMYFUNCTION("""COMPUTED_VALUE"""),0.15736934820904286)</f>
        <v>0.1573693482</v>
      </c>
      <c r="H1374" s="5">
        <f>IFERROR(__xludf.DUMMYFUNCTION("""COMPUTED_VALUE"""),0.5831578947368421)</f>
        <v>0.5831578947</v>
      </c>
      <c r="I1374" s="11">
        <f>IFERROR(__xludf.DUMMYFUNCTION("""COMPUTED_VALUE"""),5341.754385964912)</f>
        <v>5341.754386</v>
      </c>
      <c r="J1374" s="10">
        <f>IFERROR(__xludf.DUMMYFUNCTION("""COMPUTED_VALUE"""),2.0)</f>
        <v>2</v>
      </c>
      <c r="K1374" s="5">
        <f>IFERROR(__xludf.DUMMYFUNCTION("""COMPUTED_VALUE"""),0.0032102728731942215)</f>
        <v>0.003210272873</v>
      </c>
      <c r="L1374" s="10">
        <f>IFERROR(__xludf.DUMMYFUNCTION("""COMPUTED_VALUE"""),623.0)</f>
        <v>623</v>
      </c>
      <c r="M1374" s="5">
        <f>IFERROR(__xludf.DUMMYFUNCTION("""COMPUTED_VALUE"""),1.0)</f>
        <v>1</v>
      </c>
    </row>
    <row r="1375">
      <c r="A1375" s="10" t="str">
        <f>IFERROR(__xludf.DUMMYFUNCTION("""COMPUTED_VALUE"""),"rrrrrk")</f>
        <v>rrrrrk</v>
      </c>
      <c r="B1375" s="10">
        <f>IFERROR(__xludf.DUMMYFUNCTION("""COMPUTED_VALUE"""),376.0)</f>
        <v>376</v>
      </c>
      <c r="C1375" s="10">
        <f>IFERROR(__xludf.DUMMYFUNCTION("""COMPUTED_VALUE"""),4417.0)</f>
        <v>4417</v>
      </c>
      <c r="D1375" s="5">
        <f>IFERROR(__xludf.DUMMYFUNCTION("""COMPUTED_VALUE"""),0.25686711210096513)</f>
        <v>0.2568671121</v>
      </c>
      <c r="E1375" s="5">
        <f>IFERROR(__xludf.DUMMYFUNCTION("""COMPUTED_VALUE"""),0.13709477852016827)</f>
        <v>0.1370947785</v>
      </c>
      <c r="F1375" s="5">
        <f>IFERROR(__xludf.DUMMYFUNCTION("""COMPUTED_VALUE"""),0.20193021529324426)</f>
        <v>0.2019302153</v>
      </c>
      <c r="G1375" s="5">
        <f>IFERROR(__xludf.DUMMYFUNCTION("""COMPUTED_VALUE"""),0.16530561742143035)</f>
        <v>0.1653056174</v>
      </c>
      <c r="H1375" s="5">
        <f>IFERROR(__xludf.DUMMYFUNCTION("""COMPUTED_VALUE"""),0.6139705882352942)</f>
        <v>0.6139705882</v>
      </c>
      <c r="I1375" s="11">
        <f>IFERROR(__xludf.DUMMYFUNCTION("""COMPUTED_VALUE"""),6561.642156862745)</f>
        <v>6561.642157</v>
      </c>
      <c r="J1375" s="10">
        <f>IFERROR(__xludf.DUMMYFUNCTION("""COMPUTED_VALUE"""),2.0)</f>
        <v>2</v>
      </c>
      <c r="K1375" s="5">
        <f>IFERROR(__xludf.DUMMYFUNCTION("""COMPUTED_VALUE"""),0.005319148936170213)</f>
        <v>0.005319148936</v>
      </c>
      <c r="L1375" s="10">
        <f>IFERROR(__xludf.DUMMYFUNCTION("""COMPUTED_VALUE"""),376.0)</f>
        <v>376</v>
      </c>
      <c r="M1375" s="5">
        <f>IFERROR(__xludf.DUMMYFUNCTION("""COMPUTED_VALUE"""),1.0)</f>
        <v>1</v>
      </c>
    </row>
    <row r="1376">
      <c r="A1376" s="10" t="str">
        <f>IFERROR(__xludf.DUMMYFUNCTION("""COMPUTED_VALUE"""),"あｓｄｆくぇｒ")</f>
        <v>あｓｄｆくぇｒ</v>
      </c>
      <c r="B1376" s="10">
        <f>IFERROR(__xludf.DUMMYFUNCTION("""COMPUTED_VALUE"""),1100.0)</f>
        <v>1100</v>
      </c>
      <c r="C1376" s="10">
        <f>IFERROR(__xludf.DUMMYFUNCTION("""COMPUTED_VALUE"""),12750.0)</f>
        <v>12750</v>
      </c>
      <c r="D1376" s="5">
        <f>IFERROR(__xludf.DUMMYFUNCTION("""COMPUTED_VALUE"""),0.3339055793991416)</f>
        <v>0.3339055794</v>
      </c>
      <c r="E1376" s="5">
        <f>IFERROR(__xludf.DUMMYFUNCTION("""COMPUTED_VALUE"""),0.13708154506437767)</f>
        <v>0.1370815451</v>
      </c>
      <c r="F1376" s="5">
        <f>IFERROR(__xludf.DUMMYFUNCTION("""COMPUTED_VALUE"""),0.20746781115879828)</f>
        <v>0.2074678112</v>
      </c>
      <c r="G1376" s="5">
        <f>IFERROR(__xludf.DUMMYFUNCTION("""COMPUTED_VALUE"""),0.1646351931330472)</f>
        <v>0.1646351931</v>
      </c>
      <c r="H1376" s="5">
        <f>IFERROR(__xludf.DUMMYFUNCTION("""COMPUTED_VALUE"""),0.5986760446834919)</f>
        <v>0.5986760447</v>
      </c>
      <c r="I1376" s="11">
        <f>IFERROR(__xludf.DUMMYFUNCTION("""COMPUTED_VALUE"""),5549.441456350848)</f>
        <v>5549.441456</v>
      </c>
      <c r="J1376" s="10">
        <f>IFERROR(__xludf.DUMMYFUNCTION("""COMPUTED_VALUE"""),1.0)</f>
        <v>1</v>
      </c>
      <c r="K1376" s="5">
        <f>IFERROR(__xludf.DUMMYFUNCTION("""COMPUTED_VALUE"""),9.090909090909091E-4)</f>
        <v>0.0009090909091</v>
      </c>
      <c r="L1376" s="10">
        <f>IFERROR(__xludf.DUMMYFUNCTION("""COMPUTED_VALUE"""),1100.0)</f>
        <v>1100</v>
      </c>
      <c r="M1376" s="5">
        <f>IFERROR(__xludf.DUMMYFUNCTION("""COMPUTED_VALUE"""),1.0)</f>
        <v>1</v>
      </c>
    </row>
    <row r="1377">
      <c r="A1377" s="10" t="str">
        <f>IFERROR(__xludf.DUMMYFUNCTION("""COMPUTED_VALUE"""),"タテジワネズミ")</f>
        <v>タテジワネズミ</v>
      </c>
      <c r="B1377" s="10">
        <f>IFERROR(__xludf.DUMMYFUNCTION("""COMPUTED_VALUE"""),598.0)</f>
        <v>598</v>
      </c>
      <c r="C1377" s="10">
        <f>IFERROR(__xludf.DUMMYFUNCTION("""COMPUTED_VALUE"""),6952.0)</f>
        <v>6952</v>
      </c>
      <c r="D1377" s="5">
        <f>IFERROR(__xludf.DUMMYFUNCTION("""COMPUTED_VALUE"""),0.39833175952156125)</f>
        <v>0.3983317595</v>
      </c>
      <c r="E1377" s="5">
        <f>IFERROR(__xludf.DUMMYFUNCTION("""COMPUTED_VALUE"""),0.13707900535096001)</f>
        <v>0.1370790054</v>
      </c>
      <c r="F1377" s="5">
        <f>IFERROR(__xludf.DUMMYFUNCTION("""COMPUTED_VALUE"""),0.22348127163991185)</f>
        <v>0.2234812716</v>
      </c>
      <c r="G1377" s="5">
        <f>IFERROR(__xludf.DUMMYFUNCTION("""COMPUTED_VALUE"""),0.2071136292099465)</f>
        <v>0.2071136292</v>
      </c>
      <c r="H1377" s="5">
        <f>IFERROR(__xludf.DUMMYFUNCTION("""COMPUTED_VALUE"""),0.5823943661971831)</f>
        <v>0.5823943662</v>
      </c>
      <c r="I1377" s="11">
        <f>IFERROR(__xludf.DUMMYFUNCTION("""COMPUTED_VALUE"""),5395.633802816901)</f>
        <v>5395.633803</v>
      </c>
      <c r="J1377" s="10">
        <f>IFERROR(__xludf.DUMMYFUNCTION("""COMPUTED_VALUE"""),0.0)</f>
        <v>0</v>
      </c>
      <c r="K1377" s="5">
        <f>IFERROR(__xludf.DUMMYFUNCTION("""COMPUTED_VALUE"""),0.0)</f>
        <v>0</v>
      </c>
      <c r="L1377" s="10">
        <f>IFERROR(__xludf.DUMMYFUNCTION("""COMPUTED_VALUE"""),598.0)</f>
        <v>598</v>
      </c>
      <c r="M1377" s="5">
        <f>IFERROR(__xludf.DUMMYFUNCTION("""COMPUTED_VALUE"""),1.0)</f>
        <v>1</v>
      </c>
    </row>
    <row r="1378">
      <c r="A1378" s="10" t="str">
        <f>IFERROR(__xludf.DUMMYFUNCTION("""COMPUTED_VALUE"""),"麻生雀子")</f>
        <v>麻生雀子</v>
      </c>
      <c r="B1378" s="10">
        <f>IFERROR(__xludf.DUMMYFUNCTION("""COMPUTED_VALUE"""),4398.0)</f>
        <v>4398</v>
      </c>
      <c r="C1378" s="10">
        <f>IFERROR(__xludf.DUMMYFUNCTION("""COMPUTED_VALUE"""),51802.0)</f>
        <v>51802</v>
      </c>
      <c r="D1378" s="5">
        <f>IFERROR(__xludf.DUMMYFUNCTION("""COMPUTED_VALUE"""),0.3833220825246815)</f>
        <v>0.3833220825</v>
      </c>
      <c r="E1378" s="5">
        <f>IFERROR(__xludf.DUMMYFUNCTION("""COMPUTED_VALUE"""),0.13705594464602144)</f>
        <v>0.1370559446</v>
      </c>
      <c r="F1378" s="5">
        <f>IFERROR(__xludf.DUMMYFUNCTION("""COMPUTED_VALUE"""),0.2180406716732765)</f>
        <v>0.2180406717</v>
      </c>
      <c r="G1378" s="5">
        <f>IFERROR(__xludf.DUMMYFUNCTION("""COMPUTED_VALUE"""),0.15500801620116447)</f>
        <v>0.1550080162</v>
      </c>
      <c r="H1378" s="5">
        <f>IFERROR(__xludf.DUMMYFUNCTION("""COMPUTED_VALUE"""),0.5960719814241486)</f>
        <v>0.5960719814</v>
      </c>
      <c r="I1378" s="11">
        <f>IFERROR(__xludf.DUMMYFUNCTION("""COMPUTED_VALUE"""),5444.99806501548)</f>
        <v>5444.998065</v>
      </c>
      <c r="J1378" s="10">
        <f>IFERROR(__xludf.DUMMYFUNCTION("""COMPUTED_VALUE"""),8.0)</f>
        <v>8</v>
      </c>
      <c r="K1378" s="5">
        <f>IFERROR(__xludf.DUMMYFUNCTION("""COMPUTED_VALUE"""),0.0018190086402910413)</f>
        <v>0.00181900864</v>
      </c>
      <c r="L1378" s="10">
        <f>IFERROR(__xludf.DUMMYFUNCTION("""COMPUTED_VALUE"""),4.0)</f>
        <v>4</v>
      </c>
      <c r="M1378" s="5">
        <f>IFERROR(__xludf.DUMMYFUNCTION("""COMPUTED_VALUE"""),9.095043201455207E-4)</f>
        <v>0.0009095043201</v>
      </c>
    </row>
    <row r="1379">
      <c r="A1379" s="10" t="str">
        <f>IFERROR(__xludf.DUMMYFUNCTION("""COMPUTED_VALUE"""),"HN-Koda")</f>
        <v>HN-Koda</v>
      </c>
      <c r="B1379" s="10">
        <f>IFERROR(__xludf.DUMMYFUNCTION("""COMPUTED_VALUE"""),185.0)</f>
        <v>185</v>
      </c>
      <c r="C1379" s="10">
        <f>IFERROR(__xludf.DUMMYFUNCTION("""COMPUTED_VALUE"""),2228.0)</f>
        <v>2228</v>
      </c>
      <c r="D1379" s="5">
        <f>IFERROR(__xludf.DUMMYFUNCTION("""COMPUTED_VALUE"""),0.3734703866862457)</f>
        <v>0.3734703867</v>
      </c>
      <c r="E1379" s="5">
        <f>IFERROR(__xludf.DUMMYFUNCTION("""COMPUTED_VALUE"""),0.13705335291238374)</f>
        <v>0.1370533529</v>
      </c>
      <c r="F1379" s="5">
        <f>IFERROR(__xludf.DUMMYFUNCTION("""COMPUTED_VALUE"""),0.20460107684777287)</f>
        <v>0.2046010768</v>
      </c>
      <c r="G1379" s="5">
        <f>IFERROR(__xludf.DUMMYFUNCTION("""COMPUTED_VALUE"""),0.15907978463044542)</f>
        <v>0.1590797846</v>
      </c>
      <c r="H1379" s="5">
        <f>IFERROR(__xludf.DUMMYFUNCTION("""COMPUTED_VALUE"""),0.5980861244019139)</f>
        <v>0.5980861244</v>
      </c>
      <c r="I1379" s="11">
        <f>IFERROR(__xludf.DUMMYFUNCTION("""COMPUTED_VALUE"""),5961.004784688996)</f>
        <v>5961.004785</v>
      </c>
      <c r="J1379" s="10">
        <f>IFERROR(__xludf.DUMMYFUNCTION("""COMPUTED_VALUE"""),0.0)</f>
        <v>0</v>
      </c>
      <c r="K1379" s="5">
        <f>IFERROR(__xludf.DUMMYFUNCTION("""COMPUTED_VALUE"""),0.0)</f>
        <v>0</v>
      </c>
      <c r="L1379" s="10">
        <f>IFERROR(__xludf.DUMMYFUNCTION("""COMPUTED_VALUE"""),185.0)</f>
        <v>185</v>
      </c>
      <c r="M1379" s="5">
        <f>IFERROR(__xludf.DUMMYFUNCTION("""COMPUTED_VALUE"""),1.0)</f>
        <v>1</v>
      </c>
    </row>
    <row r="1380">
      <c r="A1380" s="10" t="str">
        <f>IFERROR(__xludf.DUMMYFUNCTION("""COMPUTED_VALUE"""),"ちょりお")</f>
        <v>ちょりお</v>
      </c>
      <c r="B1380" s="10">
        <f>IFERROR(__xludf.DUMMYFUNCTION("""COMPUTED_VALUE"""),5589.0)</f>
        <v>5589</v>
      </c>
      <c r="C1380" s="10">
        <f>IFERROR(__xludf.DUMMYFUNCTION("""COMPUTED_VALUE"""),65370.0)</f>
        <v>65370</v>
      </c>
      <c r="D1380" s="5">
        <f>IFERROR(__xludf.DUMMYFUNCTION("""COMPUTED_VALUE"""),0.3608169819842425)</f>
        <v>0.360816982</v>
      </c>
      <c r="E1380" s="5">
        <f>IFERROR(__xludf.DUMMYFUNCTION("""COMPUTED_VALUE"""),0.13705023335173383)</f>
        <v>0.1370502334</v>
      </c>
      <c r="F1380" s="5">
        <f>IFERROR(__xludf.DUMMYFUNCTION("""COMPUTED_VALUE"""),0.2205382981214767)</f>
        <v>0.2205382981</v>
      </c>
      <c r="G1380" s="5">
        <f>IFERROR(__xludf.DUMMYFUNCTION("""COMPUTED_VALUE"""),0.14601629280206085)</f>
        <v>0.1460162928</v>
      </c>
      <c r="H1380" s="5">
        <f>IFERROR(__xludf.DUMMYFUNCTION("""COMPUTED_VALUE"""),0.6096025485436893)</f>
        <v>0.6096025485</v>
      </c>
      <c r="I1380" s="11">
        <f>IFERROR(__xludf.DUMMYFUNCTION("""COMPUTED_VALUE"""),5578.883495145631)</f>
        <v>5578.883495</v>
      </c>
      <c r="J1380" s="10">
        <f>IFERROR(__xludf.DUMMYFUNCTION("""COMPUTED_VALUE"""),14.0)</f>
        <v>14</v>
      </c>
      <c r="K1380" s="5">
        <f>IFERROR(__xludf.DUMMYFUNCTION("""COMPUTED_VALUE"""),0.0025049203793165147)</f>
        <v>0.002504920379</v>
      </c>
      <c r="L1380" s="10">
        <f>IFERROR(__xludf.DUMMYFUNCTION("""COMPUTED_VALUE"""),5589.0)</f>
        <v>5589</v>
      </c>
      <c r="M1380" s="5">
        <f>IFERROR(__xludf.DUMMYFUNCTION("""COMPUTED_VALUE"""),1.0)</f>
        <v>1</v>
      </c>
    </row>
    <row r="1381">
      <c r="A1381" s="10" t="str">
        <f>IFERROR(__xludf.DUMMYFUNCTION("""COMPUTED_VALUE"""),"しろっぽいの")</f>
        <v>しろっぽいの</v>
      </c>
      <c r="B1381" s="10">
        <f>IFERROR(__xludf.DUMMYFUNCTION("""COMPUTED_VALUE"""),216.0)</f>
        <v>216</v>
      </c>
      <c r="C1381" s="10">
        <f>IFERROR(__xludf.DUMMYFUNCTION("""COMPUTED_VALUE"""),2478.0)</f>
        <v>2478</v>
      </c>
      <c r="D1381" s="5">
        <f>IFERROR(__xludf.DUMMYFUNCTION("""COMPUTED_VALUE"""),0.3364279398762157)</f>
        <v>0.3364279399</v>
      </c>
      <c r="E1381" s="5">
        <f>IFERROR(__xludf.DUMMYFUNCTION("""COMPUTED_VALUE"""),0.13704686118479223)</f>
        <v>0.1370468612</v>
      </c>
      <c r="F1381" s="5">
        <f>IFERROR(__xludf.DUMMYFUNCTION("""COMPUTED_VALUE"""),0.1931918656056587)</f>
        <v>0.1931918656</v>
      </c>
      <c r="G1381" s="5">
        <f>IFERROR(__xludf.DUMMYFUNCTION("""COMPUTED_VALUE"""),0.16268788682581786)</f>
        <v>0.1626878868</v>
      </c>
      <c r="H1381" s="5">
        <f>IFERROR(__xludf.DUMMYFUNCTION("""COMPUTED_VALUE"""),0.6132723112128147)</f>
        <v>0.6132723112</v>
      </c>
      <c r="I1381" s="11">
        <f>IFERROR(__xludf.DUMMYFUNCTION("""COMPUTED_VALUE"""),5870.022883295194)</f>
        <v>5870.022883</v>
      </c>
      <c r="J1381" s="10">
        <f>IFERROR(__xludf.DUMMYFUNCTION("""COMPUTED_VALUE"""),1.0)</f>
        <v>1</v>
      </c>
      <c r="K1381" s="5">
        <f>IFERROR(__xludf.DUMMYFUNCTION("""COMPUTED_VALUE"""),0.004629629629629629)</f>
        <v>0.00462962963</v>
      </c>
      <c r="L1381" s="10">
        <f>IFERROR(__xludf.DUMMYFUNCTION("""COMPUTED_VALUE"""),52.0)</f>
        <v>52</v>
      </c>
      <c r="M1381" s="5">
        <f>IFERROR(__xludf.DUMMYFUNCTION("""COMPUTED_VALUE"""),0.24074074074074073)</f>
        <v>0.2407407407</v>
      </c>
    </row>
    <row r="1382">
      <c r="A1382" s="10" t="str">
        <f>IFERROR(__xludf.DUMMYFUNCTION("""COMPUTED_VALUE"""),"キョウタ")</f>
        <v>キョウタ</v>
      </c>
      <c r="B1382" s="10">
        <f>IFERROR(__xludf.DUMMYFUNCTION("""COMPUTED_VALUE"""),261.0)</f>
        <v>261</v>
      </c>
      <c r="C1382" s="10">
        <f>IFERROR(__xludf.DUMMYFUNCTION("""COMPUTED_VALUE"""),3012.0)</f>
        <v>3012</v>
      </c>
      <c r="D1382" s="5">
        <f>IFERROR(__xludf.DUMMYFUNCTION("""COMPUTED_VALUE"""),0.35914213013449653)</f>
        <v>0.3591421301</v>
      </c>
      <c r="E1382" s="5">
        <f>IFERROR(__xludf.DUMMYFUNCTION("""COMPUTED_VALUE"""),0.1370410759723737)</f>
        <v>0.137041076</v>
      </c>
      <c r="F1382" s="5">
        <f>IFERROR(__xludf.DUMMYFUNCTION("""COMPUTED_VALUE"""),0.2173754998182479)</f>
        <v>0.2173754998</v>
      </c>
      <c r="G1382" s="5">
        <f>IFERROR(__xludf.DUMMYFUNCTION("""COMPUTED_VALUE"""),0.17739003998545982)</f>
        <v>0.17739004</v>
      </c>
      <c r="H1382" s="5">
        <f>IFERROR(__xludf.DUMMYFUNCTION("""COMPUTED_VALUE"""),0.6070234113712375)</f>
        <v>0.6070234114</v>
      </c>
      <c r="I1382" s="11">
        <f>IFERROR(__xludf.DUMMYFUNCTION("""COMPUTED_VALUE"""),5892.47491638796)</f>
        <v>5892.474916</v>
      </c>
      <c r="J1382" s="10">
        <f>IFERROR(__xludf.DUMMYFUNCTION("""COMPUTED_VALUE"""),0.0)</f>
        <v>0</v>
      </c>
      <c r="K1382" s="5">
        <f>IFERROR(__xludf.DUMMYFUNCTION("""COMPUTED_VALUE"""),0.0)</f>
        <v>0</v>
      </c>
      <c r="L1382" s="10">
        <f>IFERROR(__xludf.DUMMYFUNCTION("""COMPUTED_VALUE"""),261.0)</f>
        <v>261</v>
      </c>
      <c r="M1382" s="5">
        <f>IFERROR(__xludf.DUMMYFUNCTION("""COMPUTED_VALUE"""),1.0)</f>
        <v>1</v>
      </c>
    </row>
    <row r="1383">
      <c r="A1383" s="10" t="str">
        <f>IFERROR(__xludf.DUMMYFUNCTION("""COMPUTED_VALUE"""),"やすんやすん")</f>
        <v>やすんやすん</v>
      </c>
      <c r="B1383" s="10">
        <f>IFERROR(__xludf.DUMMYFUNCTION("""COMPUTED_VALUE"""),248.0)</f>
        <v>248</v>
      </c>
      <c r="C1383" s="10">
        <f>IFERROR(__xludf.DUMMYFUNCTION("""COMPUTED_VALUE"""),2795.0)</f>
        <v>2795</v>
      </c>
      <c r="D1383" s="5">
        <f>IFERROR(__xludf.DUMMYFUNCTION("""COMPUTED_VALUE"""),0.3985080486847271)</f>
        <v>0.3985080487</v>
      </c>
      <c r="E1383" s="5">
        <f>IFERROR(__xludf.DUMMYFUNCTION("""COMPUTED_VALUE"""),0.1370239497447978)</f>
        <v>0.1370239497</v>
      </c>
      <c r="F1383" s="5">
        <f>IFERROR(__xludf.DUMMYFUNCTION("""COMPUTED_VALUE"""),0.21476246564585788)</f>
        <v>0.2147624656</v>
      </c>
      <c r="G1383" s="5">
        <f>IFERROR(__xludf.DUMMYFUNCTION("""COMPUTED_VALUE"""),0.1625441696113074)</f>
        <v>0.1625441696</v>
      </c>
      <c r="H1383" s="5">
        <f>IFERROR(__xludf.DUMMYFUNCTION("""COMPUTED_VALUE"""),0.5813528336380256)</f>
        <v>0.5813528336</v>
      </c>
      <c r="I1383" s="11">
        <f>IFERROR(__xludf.DUMMYFUNCTION("""COMPUTED_VALUE"""),5755.210237659963)</f>
        <v>5755.210238</v>
      </c>
      <c r="J1383" s="10">
        <f>IFERROR(__xludf.DUMMYFUNCTION("""COMPUTED_VALUE"""),0.0)</f>
        <v>0</v>
      </c>
      <c r="K1383" s="5">
        <f>IFERROR(__xludf.DUMMYFUNCTION("""COMPUTED_VALUE"""),0.0)</f>
        <v>0</v>
      </c>
      <c r="L1383" s="10">
        <f>IFERROR(__xludf.DUMMYFUNCTION("""COMPUTED_VALUE"""),248.0)</f>
        <v>248</v>
      </c>
      <c r="M1383" s="5">
        <f>IFERROR(__xludf.DUMMYFUNCTION("""COMPUTED_VALUE"""),1.0)</f>
        <v>1</v>
      </c>
    </row>
    <row r="1384">
      <c r="A1384" s="10" t="str">
        <f>IFERROR(__xludf.DUMMYFUNCTION("""COMPUTED_VALUE"""),"Paella")</f>
        <v>Paella</v>
      </c>
      <c r="B1384" s="10">
        <f>IFERROR(__xludf.DUMMYFUNCTION("""COMPUTED_VALUE"""),1555.0)</f>
        <v>1555</v>
      </c>
      <c r="C1384" s="10">
        <f>IFERROR(__xludf.DUMMYFUNCTION("""COMPUTED_VALUE"""),18355.0)</f>
        <v>18355</v>
      </c>
      <c r="D1384" s="5">
        <f>IFERROR(__xludf.DUMMYFUNCTION("""COMPUTED_VALUE"""),0.3993452380952381)</f>
        <v>0.3993452381</v>
      </c>
      <c r="E1384" s="5">
        <f>IFERROR(__xludf.DUMMYFUNCTION("""COMPUTED_VALUE"""),0.13702380952380952)</f>
        <v>0.1370238095</v>
      </c>
      <c r="F1384" s="5">
        <f>IFERROR(__xludf.DUMMYFUNCTION("""COMPUTED_VALUE"""),0.21279761904761904)</f>
        <v>0.212797619</v>
      </c>
      <c r="G1384" s="5">
        <f>IFERROR(__xludf.DUMMYFUNCTION("""COMPUTED_VALUE"""),0.15619047619047619)</f>
        <v>0.1561904762</v>
      </c>
      <c r="H1384" s="5">
        <f>IFERROR(__xludf.DUMMYFUNCTION("""COMPUTED_VALUE"""),0.6125874125874126)</f>
        <v>0.6125874126</v>
      </c>
      <c r="I1384" s="11">
        <f>IFERROR(__xludf.DUMMYFUNCTION("""COMPUTED_VALUE"""),5239.44055944056)</f>
        <v>5239.440559</v>
      </c>
      <c r="J1384" s="10">
        <f>IFERROR(__xludf.DUMMYFUNCTION("""COMPUTED_VALUE"""),2.0)</f>
        <v>2</v>
      </c>
      <c r="K1384" s="5">
        <f>IFERROR(__xludf.DUMMYFUNCTION("""COMPUTED_VALUE"""),0.0012861736334405145)</f>
        <v>0.001286173633</v>
      </c>
      <c r="L1384" s="10">
        <f>IFERROR(__xludf.DUMMYFUNCTION("""COMPUTED_VALUE"""),1552.0)</f>
        <v>1552</v>
      </c>
      <c r="M1384" s="5">
        <f>IFERROR(__xludf.DUMMYFUNCTION("""COMPUTED_VALUE"""),0.9980707395498393)</f>
        <v>0.9980707395</v>
      </c>
    </row>
    <row r="1385">
      <c r="A1385" s="10" t="str">
        <f>IFERROR(__xludf.DUMMYFUNCTION("""COMPUTED_VALUE"""),"tochigi")</f>
        <v>tochigi</v>
      </c>
      <c r="B1385" s="10">
        <f>IFERROR(__xludf.DUMMYFUNCTION("""COMPUTED_VALUE"""),219.0)</f>
        <v>219</v>
      </c>
      <c r="C1385" s="10">
        <f>IFERROR(__xludf.DUMMYFUNCTION("""COMPUTED_VALUE"""),2664.0)</f>
        <v>2664</v>
      </c>
      <c r="D1385" s="5">
        <f>IFERROR(__xludf.DUMMYFUNCTION("""COMPUTED_VALUE"""),0.3554192229038855)</f>
        <v>0.3554192229</v>
      </c>
      <c r="E1385" s="5">
        <f>IFERROR(__xludf.DUMMYFUNCTION("""COMPUTED_VALUE"""),0.13701431492842536)</f>
        <v>0.1370143149</v>
      </c>
      <c r="F1385" s="5">
        <f>IFERROR(__xludf.DUMMYFUNCTION("""COMPUTED_VALUE"""),0.21717791411042944)</f>
        <v>0.2171779141</v>
      </c>
      <c r="G1385" s="5">
        <f>IFERROR(__xludf.DUMMYFUNCTION("""COMPUTED_VALUE"""),0.1591002044989775)</f>
        <v>0.1591002045</v>
      </c>
      <c r="H1385" s="5">
        <f>IFERROR(__xludf.DUMMYFUNCTION("""COMPUTED_VALUE"""),0.5988700564971752)</f>
        <v>0.5988700565</v>
      </c>
      <c r="I1385" s="11">
        <f>IFERROR(__xludf.DUMMYFUNCTION("""COMPUTED_VALUE"""),5131.2617702448215)</f>
        <v>5131.26177</v>
      </c>
      <c r="J1385" s="10">
        <f>IFERROR(__xludf.DUMMYFUNCTION("""COMPUTED_VALUE"""),0.0)</f>
        <v>0</v>
      </c>
      <c r="K1385" s="5">
        <f>IFERROR(__xludf.DUMMYFUNCTION("""COMPUTED_VALUE"""),0.0)</f>
        <v>0</v>
      </c>
      <c r="L1385" s="10">
        <f>IFERROR(__xludf.DUMMYFUNCTION("""COMPUTED_VALUE"""),219.0)</f>
        <v>219</v>
      </c>
      <c r="M1385" s="5">
        <f>IFERROR(__xludf.DUMMYFUNCTION("""COMPUTED_VALUE"""),1.0)</f>
        <v>1</v>
      </c>
    </row>
    <row r="1386">
      <c r="A1386" s="10" t="str">
        <f>IFERROR(__xludf.DUMMYFUNCTION("""COMPUTED_VALUE"""),"Msuzuto")</f>
        <v>Msuzuto</v>
      </c>
      <c r="B1386" s="10">
        <f>IFERROR(__xludf.DUMMYFUNCTION("""COMPUTED_VALUE"""),986.0)</f>
        <v>986</v>
      </c>
      <c r="C1386" s="10">
        <f>IFERROR(__xludf.DUMMYFUNCTION("""COMPUTED_VALUE"""),11321.0)</f>
        <v>11321</v>
      </c>
      <c r="D1386" s="5">
        <f>IFERROR(__xludf.DUMMYFUNCTION("""COMPUTED_VALUE"""),0.35084663763909046)</f>
        <v>0.3508466376</v>
      </c>
      <c r="E1386" s="5">
        <f>IFERROR(__xludf.DUMMYFUNCTION("""COMPUTED_VALUE"""),0.13701015965166907)</f>
        <v>0.1370101597</v>
      </c>
      <c r="F1386" s="5">
        <f>IFERROR(__xludf.DUMMYFUNCTION("""COMPUTED_VALUE"""),0.21828737300435413)</f>
        <v>0.218287373</v>
      </c>
      <c r="G1386" s="5">
        <f>IFERROR(__xludf.DUMMYFUNCTION("""COMPUTED_VALUE"""),0.17455249153362362)</f>
        <v>0.1745524915</v>
      </c>
      <c r="H1386" s="5">
        <f>IFERROR(__xludf.DUMMYFUNCTION("""COMPUTED_VALUE"""),0.5926418439716312)</f>
        <v>0.592641844</v>
      </c>
      <c r="I1386" s="11">
        <f>IFERROR(__xludf.DUMMYFUNCTION("""COMPUTED_VALUE"""),6155.49645390071)</f>
        <v>6155.496454</v>
      </c>
      <c r="J1386" s="10">
        <f>IFERROR(__xludf.DUMMYFUNCTION("""COMPUTED_VALUE"""),3.0)</f>
        <v>3</v>
      </c>
      <c r="K1386" s="5">
        <f>IFERROR(__xludf.DUMMYFUNCTION("""COMPUTED_VALUE"""),0.0030425963488843813)</f>
        <v>0.003042596349</v>
      </c>
      <c r="L1386" s="10">
        <f>IFERROR(__xludf.DUMMYFUNCTION("""COMPUTED_VALUE"""),986.0)</f>
        <v>986</v>
      </c>
      <c r="M1386" s="5">
        <f>IFERROR(__xludf.DUMMYFUNCTION("""COMPUTED_VALUE"""),1.0)</f>
        <v>1</v>
      </c>
    </row>
    <row r="1387">
      <c r="A1387" s="10" t="str">
        <f>IFERROR(__xludf.DUMMYFUNCTION("""COMPUTED_VALUE"""),"qv0o0vp")</f>
        <v>qv0o0vp</v>
      </c>
      <c r="B1387" s="10">
        <f>IFERROR(__xludf.DUMMYFUNCTION("""COMPUTED_VALUE"""),127.0)</f>
        <v>127</v>
      </c>
      <c r="C1387" s="10">
        <f>IFERROR(__xludf.DUMMYFUNCTION("""COMPUTED_VALUE"""),1492.0)</f>
        <v>1492</v>
      </c>
      <c r="D1387" s="5">
        <f>IFERROR(__xludf.DUMMYFUNCTION("""COMPUTED_VALUE"""),0.36996336996337)</f>
        <v>0.36996337</v>
      </c>
      <c r="E1387" s="5">
        <f>IFERROR(__xludf.DUMMYFUNCTION("""COMPUTED_VALUE"""),0.136996336996337)</f>
        <v>0.136996337</v>
      </c>
      <c r="F1387" s="5">
        <f>IFERROR(__xludf.DUMMYFUNCTION("""COMPUTED_VALUE"""),0.19633699633699633)</f>
        <v>0.1963369963</v>
      </c>
      <c r="G1387" s="5">
        <f>IFERROR(__xludf.DUMMYFUNCTION("""COMPUTED_VALUE"""),0.1956043956043956)</f>
        <v>0.1956043956</v>
      </c>
      <c r="H1387" s="5">
        <f>IFERROR(__xludf.DUMMYFUNCTION("""COMPUTED_VALUE"""),0.5671641791044776)</f>
        <v>0.5671641791</v>
      </c>
      <c r="I1387" s="11">
        <f>IFERROR(__xludf.DUMMYFUNCTION("""COMPUTED_VALUE"""),5758.20895522388)</f>
        <v>5758.208955</v>
      </c>
      <c r="J1387" s="10">
        <f>IFERROR(__xludf.DUMMYFUNCTION("""COMPUTED_VALUE"""),0.0)</f>
        <v>0</v>
      </c>
      <c r="K1387" s="5">
        <f>IFERROR(__xludf.DUMMYFUNCTION("""COMPUTED_VALUE"""),0.0)</f>
        <v>0</v>
      </c>
      <c r="L1387" s="10">
        <f>IFERROR(__xludf.DUMMYFUNCTION("""COMPUTED_VALUE"""),127.0)</f>
        <v>127</v>
      </c>
      <c r="M1387" s="5">
        <f>IFERROR(__xludf.DUMMYFUNCTION("""COMPUTED_VALUE"""),1.0)</f>
        <v>1</v>
      </c>
    </row>
    <row r="1388">
      <c r="A1388" s="10" t="str">
        <f>IFERROR(__xludf.DUMMYFUNCTION("""COMPUTED_VALUE"""),"しまだま2")</f>
        <v>しまだま2</v>
      </c>
      <c r="B1388" s="10">
        <f>IFERROR(__xludf.DUMMYFUNCTION("""COMPUTED_VALUE"""),301.0)</f>
        <v>301</v>
      </c>
      <c r="C1388" s="10">
        <f>IFERROR(__xludf.DUMMYFUNCTION("""COMPUTED_VALUE"""),3491.0)</f>
        <v>3491</v>
      </c>
      <c r="D1388" s="5">
        <f>IFERROR(__xludf.DUMMYFUNCTION("""COMPUTED_VALUE"""),0.3156739811912226)</f>
        <v>0.3156739812</v>
      </c>
      <c r="E1388" s="5">
        <f>IFERROR(__xludf.DUMMYFUNCTION("""COMPUTED_VALUE"""),0.13699059561128527)</f>
        <v>0.1369905956</v>
      </c>
      <c r="F1388" s="5">
        <f>IFERROR(__xludf.DUMMYFUNCTION("""COMPUTED_VALUE"""),0.20094043887147336)</f>
        <v>0.2009404389</v>
      </c>
      <c r="G1388" s="5">
        <f>IFERROR(__xludf.DUMMYFUNCTION("""COMPUTED_VALUE"""),0.14858934169278998)</f>
        <v>0.1485893417</v>
      </c>
      <c r="H1388" s="5">
        <f>IFERROR(__xludf.DUMMYFUNCTION("""COMPUTED_VALUE"""),0.6287051482059283)</f>
        <v>0.6287051482</v>
      </c>
      <c r="I1388" s="11">
        <f>IFERROR(__xludf.DUMMYFUNCTION("""COMPUTED_VALUE"""),5905.304212168487)</f>
        <v>5905.304212</v>
      </c>
      <c r="J1388" s="10">
        <f>IFERROR(__xludf.DUMMYFUNCTION("""COMPUTED_VALUE"""),1.0)</f>
        <v>1</v>
      </c>
      <c r="K1388" s="5">
        <f>IFERROR(__xludf.DUMMYFUNCTION("""COMPUTED_VALUE"""),0.0033222591362126247)</f>
        <v>0.003322259136</v>
      </c>
      <c r="L1388" s="10">
        <f>IFERROR(__xludf.DUMMYFUNCTION("""COMPUTED_VALUE"""),301.0)</f>
        <v>301</v>
      </c>
      <c r="M1388" s="5">
        <f>IFERROR(__xludf.DUMMYFUNCTION("""COMPUTED_VALUE"""),1.0)</f>
        <v>1</v>
      </c>
    </row>
    <row r="1389">
      <c r="A1389" s="10" t="str">
        <f>IFERROR(__xludf.DUMMYFUNCTION("""COMPUTED_VALUE"""),"砲の上のあの娘")</f>
        <v>砲の上のあの娘</v>
      </c>
      <c r="B1389" s="10">
        <f>IFERROR(__xludf.DUMMYFUNCTION("""COMPUTED_VALUE"""),6513.0)</f>
        <v>6513</v>
      </c>
      <c r="C1389" s="10">
        <f>IFERROR(__xludf.DUMMYFUNCTION("""COMPUTED_VALUE"""),76308.0)</f>
        <v>76308</v>
      </c>
      <c r="D1389" s="5">
        <f>IFERROR(__xludf.DUMMYFUNCTION("""COMPUTED_VALUE"""),0.3773766029085178)</f>
        <v>0.3773766029</v>
      </c>
      <c r="E1389" s="5">
        <f>IFERROR(__xludf.DUMMYFUNCTION("""COMPUTED_VALUE"""),0.13698689017837953)</f>
        <v>0.1369868902</v>
      </c>
      <c r="F1389" s="5">
        <f>IFERROR(__xludf.DUMMYFUNCTION("""COMPUTED_VALUE"""),0.2200014327673902)</f>
        <v>0.2200014328</v>
      </c>
      <c r="G1389" s="5">
        <f>IFERROR(__xludf.DUMMYFUNCTION("""COMPUTED_VALUE"""),0.18823697972634143)</f>
        <v>0.1882369797</v>
      </c>
      <c r="H1389" s="5">
        <f>IFERROR(__xludf.DUMMYFUNCTION("""COMPUTED_VALUE"""),0.5917942038423966)</f>
        <v>0.5917942038</v>
      </c>
      <c r="I1389" s="11">
        <f>IFERROR(__xludf.DUMMYFUNCTION("""COMPUTED_VALUE"""),5485.496580918268)</f>
        <v>5485.496581</v>
      </c>
      <c r="J1389" s="10">
        <f>IFERROR(__xludf.DUMMYFUNCTION("""COMPUTED_VALUE"""),6.0)</f>
        <v>6</v>
      </c>
      <c r="K1389" s="5">
        <f>IFERROR(__xludf.DUMMYFUNCTION("""COMPUTED_VALUE"""),9.212344541685859E-4)</f>
        <v>0.0009212344542</v>
      </c>
      <c r="L1389" s="10">
        <f>IFERROR(__xludf.DUMMYFUNCTION("""COMPUTED_VALUE"""),25.0)</f>
        <v>25</v>
      </c>
      <c r="M1389" s="5">
        <f>IFERROR(__xludf.DUMMYFUNCTION("""COMPUTED_VALUE"""),0.003838476892369108)</f>
        <v>0.003838476892</v>
      </c>
    </row>
    <row r="1390">
      <c r="A1390" s="10" t="str">
        <f>IFERROR(__xludf.DUMMYFUNCTION("""COMPUTED_VALUE"""),"天尊位")</f>
        <v>天尊位</v>
      </c>
      <c r="B1390" s="10">
        <f>IFERROR(__xludf.DUMMYFUNCTION("""COMPUTED_VALUE"""),253.0)</f>
        <v>253</v>
      </c>
      <c r="C1390" s="10">
        <f>IFERROR(__xludf.DUMMYFUNCTION("""COMPUTED_VALUE"""),2954.0)</f>
        <v>2954</v>
      </c>
      <c r="D1390" s="5">
        <f>IFERROR(__xludf.DUMMYFUNCTION("""COMPUTED_VALUE"""),0.39281747500925585)</f>
        <v>0.392817475</v>
      </c>
      <c r="E1390" s="5">
        <f>IFERROR(__xludf.DUMMYFUNCTION("""COMPUTED_VALUE"""),0.136986301369863)</f>
        <v>0.1369863014</v>
      </c>
      <c r="F1390" s="5">
        <f>IFERROR(__xludf.DUMMYFUNCTION("""COMPUTED_VALUE"""),0.21288411699370605)</f>
        <v>0.212884117</v>
      </c>
      <c r="G1390" s="5">
        <f>IFERROR(__xludf.DUMMYFUNCTION("""COMPUTED_VALUE"""),0.16401332839689003)</f>
        <v>0.1640133284</v>
      </c>
      <c r="H1390" s="5">
        <f>IFERROR(__xludf.DUMMYFUNCTION("""COMPUTED_VALUE"""),0.6347826086956522)</f>
        <v>0.6347826087</v>
      </c>
      <c r="I1390" s="11">
        <f>IFERROR(__xludf.DUMMYFUNCTION("""COMPUTED_VALUE"""),5440.695652173913)</f>
        <v>5440.695652</v>
      </c>
      <c r="J1390" s="10">
        <f>IFERROR(__xludf.DUMMYFUNCTION("""COMPUTED_VALUE"""),0.0)</f>
        <v>0</v>
      </c>
      <c r="K1390" s="5">
        <f>IFERROR(__xludf.DUMMYFUNCTION("""COMPUTED_VALUE"""),0.0)</f>
        <v>0</v>
      </c>
      <c r="L1390" s="10">
        <f>IFERROR(__xludf.DUMMYFUNCTION("""COMPUTED_VALUE"""),0.0)</f>
        <v>0</v>
      </c>
      <c r="M1390" s="5">
        <f>IFERROR(__xludf.DUMMYFUNCTION("""COMPUTED_VALUE"""),0.0)</f>
        <v>0</v>
      </c>
    </row>
    <row r="1391">
      <c r="A1391" s="10" t="str">
        <f>IFERROR(__xludf.DUMMYFUNCTION("""COMPUTED_VALUE"""),"pan0907")</f>
        <v>pan0907</v>
      </c>
      <c r="B1391" s="10">
        <f>IFERROR(__xludf.DUMMYFUNCTION("""COMPUTED_VALUE"""),304.0)</f>
        <v>304</v>
      </c>
      <c r="C1391" s="10">
        <f>IFERROR(__xludf.DUMMYFUNCTION("""COMPUTED_VALUE"""),3560.0)</f>
        <v>3560</v>
      </c>
      <c r="D1391" s="5">
        <f>IFERROR(__xludf.DUMMYFUNCTION("""COMPUTED_VALUE"""),0.37438574938574937)</f>
        <v>0.3743857494</v>
      </c>
      <c r="E1391" s="5">
        <f>IFERROR(__xludf.DUMMYFUNCTION("""COMPUTED_VALUE"""),0.136977886977887)</f>
        <v>0.136977887</v>
      </c>
      <c r="F1391" s="5">
        <f>IFERROR(__xludf.DUMMYFUNCTION("""COMPUTED_VALUE"""),0.21805896805896807)</f>
        <v>0.2180589681</v>
      </c>
      <c r="G1391" s="5">
        <f>IFERROR(__xludf.DUMMYFUNCTION("""COMPUTED_VALUE"""),0.17014742014742015)</f>
        <v>0.1701474201</v>
      </c>
      <c r="H1391" s="5">
        <f>IFERROR(__xludf.DUMMYFUNCTION("""COMPUTED_VALUE"""),0.6014084507042253)</f>
        <v>0.6014084507</v>
      </c>
      <c r="I1391" s="11">
        <f>IFERROR(__xludf.DUMMYFUNCTION("""COMPUTED_VALUE"""),5432.2535211267605)</f>
        <v>5432.253521</v>
      </c>
      <c r="J1391" s="10">
        <f>IFERROR(__xludf.DUMMYFUNCTION("""COMPUTED_VALUE"""),1.0)</f>
        <v>1</v>
      </c>
      <c r="K1391" s="5">
        <f>IFERROR(__xludf.DUMMYFUNCTION("""COMPUTED_VALUE"""),0.003289473684210526)</f>
        <v>0.003289473684</v>
      </c>
      <c r="L1391" s="10">
        <f>IFERROR(__xludf.DUMMYFUNCTION("""COMPUTED_VALUE"""),271.0)</f>
        <v>271</v>
      </c>
      <c r="M1391" s="5">
        <f>IFERROR(__xludf.DUMMYFUNCTION("""COMPUTED_VALUE"""),0.8914473684210527)</f>
        <v>0.8914473684</v>
      </c>
    </row>
    <row r="1392">
      <c r="A1392" s="10" t="str">
        <f>IFERROR(__xludf.DUMMYFUNCTION("""COMPUTED_VALUE"""),"平沢あずさ")</f>
        <v>平沢あずさ</v>
      </c>
      <c r="B1392" s="10">
        <f>IFERROR(__xludf.DUMMYFUNCTION("""COMPUTED_VALUE"""),299.0)</f>
        <v>299</v>
      </c>
      <c r="C1392" s="10">
        <f>IFERROR(__xludf.DUMMYFUNCTION("""COMPUTED_VALUE"""),3409.0)</f>
        <v>3409</v>
      </c>
      <c r="D1392" s="5">
        <f>IFERROR(__xludf.DUMMYFUNCTION("""COMPUTED_VALUE"""),0.3408360128617363)</f>
        <v>0.3408360129</v>
      </c>
      <c r="E1392" s="5">
        <f>IFERROR(__xludf.DUMMYFUNCTION("""COMPUTED_VALUE"""),0.1369774919614148)</f>
        <v>0.136977492</v>
      </c>
      <c r="F1392" s="5">
        <f>IFERROR(__xludf.DUMMYFUNCTION("""COMPUTED_VALUE"""),0.2090032154340836)</f>
        <v>0.2090032154</v>
      </c>
      <c r="G1392" s="5">
        <f>IFERROR(__xludf.DUMMYFUNCTION("""COMPUTED_VALUE"""),0.1617363344051447)</f>
        <v>0.1617363344</v>
      </c>
      <c r="H1392" s="5">
        <f>IFERROR(__xludf.DUMMYFUNCTION("""COMPUTED_VALUE"""),0.5738461538461539)</f>
        <v>0.5738461538</v>
      </c>
      <c r="I1392" s="11">
        <f>IFERROR(__xludf.DUMMYFUNCTION("""COMPUTED_VALUE"""),5804.153846153846)</f>
        <v>5804.153846</v>
      </c>
      <c r="J1392" s="10">
        <f>IFERROR(__xludf.DUMMYFUNCTION("""COMPUTED_VALUE"""),1.0)</f>
        <v>1</v>
      </c>
      <c r="K1392" s="5">
        <f>IFERROR(__xludf.DUMMYFUNCTION("""COMPUTED_VALUE"""),0.0033444816053511705)</f>
        <v>0.003344481605</v>
      </c>
      <c r="L1392" s="10">
        <f>IFERROR(__xludf.DUMMYFUNCTION("""COMPUTED_VALUE"""),299.0)</f>
        <v>299</v>
      </c>
      <c r="M1392" s="5">
        <f>IFERROR(__xludf.DUMMYFUNCTION("""COMPUTED_VALUE"""),1.0)</f>
        <v>1</v>
      </c>
    </row>
    <row r="1393">
      <c r="A1393" s="10" t="str">
        <f>IFERROR(__xludf.DUMMYFUNCTION("""COMPUTED_VALUE"""),"ふなごろー")</f>
        <v>ふなごろー</v>
      </c>
      <c r="B1393" s="10">
        <f>IFERROR(__xludf.DUMMYFUNCTION("""COMPUTED_VALUE"""),426.0)</f>
        <v>426</v>
      </c>
      <c r="C1393" s="10">
        <f>IFERROR(__xludf.DUMMYFUNCTION("""COMPUTED_VALUE"""),4967.0)</f>
        <v>4967</v>
      </c>
      <c r="D1393" s="5">
        <f>IFERROR(__xludf.DUMMYFUNCTION("""COMPUTED_VALUE"""),0.30918299933935256)</f>
        <v>0.3091829993</v>
      </c>
      <c r="E1393" s="5">
        <f>IFERROR(__xludf.DUMMYFUNCTION("""COMPUTED_VALUE"""),0.13697423475005505)</f>
        <v>0.1369742348</v>
      </c>
      <c r="F1393" s="5">
        <f>IFERROR(__xludf.DUMMYFUNCTION("""COMPUTED_VALUE"""),0.21338912133891214)</f>
        <v>0.2133891213</v>
      </c>
      <c r="G1393" s="5">
        <f>IFERROR(__xludf.DUMMYFUNCTION("""COMPUTED_VALUE"""),0.16516185862144903)</f>
        <v>0.1651618586</v>
      </c>
      <c r="H1393" s="5">
        <f>IFERROR(__xludf.DUMMYFUNCTION("""COMPUTED_VALUE"""),0.630546955624355)</f>
        <v>0.6305469556</v>
      </c>
      <c r="I1393" s="11">
        <f>IFERROR(__xludf.DUMMYFUNCTION("""COMPUTED_VALUE"""),5643.550051599587)</f>
        <v>5643.550052</v>
      </c>
      <c r="J1393" s="10">
        <f>IFERROR(__xludf.DUMMYFUNCTION("""COMPUTED_VALUE"""),0.0)</f>
        <v>0</v>
      </c>
      <c r="K1393" s="5">
        <f>IFERROR(__xludf.DUMMYFUNCTION("""COMPUTED_VALUE"""),0.0)</f>
        <v>0</v>
      </c>
      <c r="L1393" s="10">
        <f>IFERROR(__xludf.DUMMYFUNCTION("""COMPUTED_VALUE"""),426.0)</f>
        <v>426</v>
      </c>
      <c r="M1393" s="5">
        <f>IFERROR(__xludf.DUMMYFUNCTION("""COMPUTED_VALUE"""),1.0)</f>
        <v>1</v>
      </c>
    </row>
    <row r="1394">
      <c r="A1394" s="10" t="str">
        <f>IFERROR(__xludf.DUMMYFUNCTION("""COMPUTED_VALUE"""),"toyamask")</f>
        <v>toyamask</v>
      </c>
      <c r="B1394" s="10">
        <f>IFERROR(__xludf.DUMMYFUNCTION("""COMPUTED_VALUE"""),206.0)</f>
        <v>206</v>
      </c>
      <c r="C1394" s="10">
        <f>IFERROR(__xludf.DUMMYFUNCTION("""COMPUTED_VALUE"""),2367.0)</f>
        <v>2367</v>
      </c>
      <c r="D1394" s="5">
        <f>IFERROR(__xludf.DUMMYFUNCTION("""COMPUTED_VALUE"""),0.3262378528459047)</f>
        <v>0.3262378528</v>
      </c>
      <c r="E1394" s="5">
        <f>IFERROR(__xludf.DUMMYFUNCTION("""COMPUTED_VALUE"""),0.13697362332253588)</f>
        <v>0.1369736233</v>
      </c>
      <c r="F1394" s="5">
        <f>IFERROR(__xludf.DUMMYFUNCTION("""COMPUTED_VALUE"""),0.2008329477093938)</f>
        <v>0.2008329477</v>
      </c>
      <c r="G1394" s="5">
        <f>IFERROR(__xludf.DUMMYFUNCTION("""COMPUTED_VALUE"""),0.1841739935215178)</f>
        <v>0.1841739935</v>
      </c>
      <c r="H1394" s="5">
        <f>IFERROR(__xludf.DUMMYFUNCTION("""COMPUTED_VALUE"""),0.6059907834101382)</f>
        <v>0.6059907834</v>
      </c>
      <c r="I1394" s="11">
        <f>IFERROR(__xludf.DUMMYFUNCTION("""COMPUTED_VALUE"""),5877.649769585253)</f>
        <v>5877.64977</v>
      </c>
      <c r="J1394" s="10">
        <f>IFERROR(__xludf.DUMMYFUNCTION("""COMPUTED_VALUE"""),0.0)</f>
        <v>0</v>
      </c>
      <c r="K1394" s="5">
        <f>IFERROR(__xludf.DUMMYFUNCTION("""COMPUTED_VALUE"""),0.0)</f>
        <v>0</v>
      </c>
      <c r="L1394" s="10">
        <f>IFERROR(__xludf.DUMMYFUNCTION("""COMPUTED_VALUE"""),206.0)</f>
        <v>206</v>
      </c>
      <c r="M1394" s="5">
        <f>IFERROR(__xludf.DUMMYFUNCTION("""COMPUTED_VALUE"""),1.0)</f>
        <v>1</v>
      </c>
    </row>
    <row r="1395">
      <c r="A1395" s="10" t="str">
        <f>IFERROR(__xludf.DUMMYFUNCTION("""COMPUTED_VALUE"""),"Zilant")</f>
        <v>Zilant</v>
      </c>
      <c r="B1395" s="10">
        <f>IFERROR(__xludf.DUMMYFUNCTION("""COMPUTED_VALUE"""),343.0)</f>
        <v>343</v>
      </c>
      <c r="C1395" s="10">
        <f>IFERROR(__xludf.DUMMYFUNCTION("""COMPUTED_VALUE"""),3935.0)</f>
        <v>3935</v>
      </c>
      <c r="D1395" s="5">
        <f>IFERROR(__xludf.DUMMYFUNCTION("""COMPUTED_VALUE"""),0.3814031180400891)</f>
        <v>0.381403118</v>
      </c>
      <c r="E1395" s="5">
        <f>IFERROR(__xludf.DUMMYFUNCTION("""COMPUTED_VALUE"""),0.13697104677060135)</f>
        <v>0.1369710468</v>
      </c>
      <c r="F1395" s="5">
        <f>IFERROR(__xludf.DUMMYFUNCTION("""COMPUTED_VALUE"""),0.21575723830734966)</f>
        <v>0.2157572383</v>
      </c>
      <c r="G1395" s="5">
        <f>IFERROR(__xludf.DUMMYFUNCTION("""COMPUTED_VALUE"""),0.17928730512249444)</f>
        <v>0.1792873051</v>
      </c>
      <c r="H1395" s="5">
        <f>IFERROR(__xludf.DUMMYFUNCTION("""COMPUTED_VALUE"""),0.5909677419354838)</f>
        <v>0.5909677419</v>
      </c>
      <c r="I1395" s="11">
        <f>IFERROR(__xludf.DUMMYFUNCTION("""COMPUTED_VALUE"""),5516.5161290322585)</f>
        <v>5516.516129</v>
      </c>
      <c r="J1395" s="10">
        <f>IFERROR(__xludf.DUMMYFUNCTION("""COMPUTED_VALUE"""),0.0)</f>
        <v>0</v>
      </c>
      <c r="K1395" s="5">
        <f>IFERROR(__xludf.DUMMYFUNCTION("""COMPUTED_VALUE"""),0.0)</f>
        <v>0</v>
      </c>
      <c r="L1395" s="10">
        <f>IFERROR(__xludf.DUMMYFUNCTION("""COMPUTED_VALUE"""),343.0)</f>
        <v>343</v>
      </c>
      <c r="M1395" s="5">
        <f>IFERROR(__xludf.DUMMYFUNCTION("""COMPUTED_VALUE"""),1.0)</f>
        <v>1</v>
      </c>
    </row>
    <row r="1396">
      <c r="A1396" s="10" t="str">
        <f>IFERROR(__xludf.DUMMYFUNCTION("""COMPUTED_VALUE"""),"しまじろう2.0")</f>
        <v>しまじろう2.0</v>
      </c>
      <c r="B1396" s="10">
        <f>IFERROR(__xludf.DUMMYFUNCTION("""COMPUTED_VALUE"""),264.0)</f>
        <v>264</v>
      </c>
      <c r="C1396" s="10">
        <f>IFERROR(__xludf.DUMMYFUNCTION("""COMPUTED_VALUE"""),3053.0)</f>
        <v>3053</v>
      </c>
      <c r="D1396" s="5">
        <f>IFERROR(__xludf.DUMMYFUNCTION("""COMPUTED_VALUE"""),0.37002509860164934)</f>
        <v>0.3700250986</v>
      </c>
      <c r="E1396" s="5">
        <f>IFERROR(__xludf.DUMMYFUNCTION("""COMPUTED_VALUE"""),0.1369666547149516)</f>
        <v>0.1369666547</v>
      </c>
      <c r="F1396" s="5">
        <f>IFERROR(__xludf.DUMMYFUNCTION("""COMPUTED_VALUE"""),0.22158479741842954)</f>
        <v>0.2215847974</v>
      </c>
      <c r="G1396" s="5">
        <f>IFERROR(__xludf.DUMMYFUNCTION("""COMPUTED_VALUE"""),0.18572965220509144)</f>
        <v>0.1857296522</v>
      </c>
      <c r="H1396" s="5">
        <f>IFERROR(__xludf.DUMMYFUNCTION("""COMPUTED_VALUE"""),0.5760517799352751)</f>
        <v>0.5760517799</v>
      </c>
      <c r="I1396" s="11">
        <f>IFERROR(__xludf.DUMMYFUNCTION("""COMPUTED_VALUE"""),6054.045307443365)</f>
        <v>6054.045307</v>
      </c>
      <c r="J1396" s="10">
        <f>IFERROR(__xludf.DUMMYFUNCTION("""COMPUTED_VALUE"""),1.0)</f>
        <v>1</v>
      </c>
      <c r="K1396" s="5">
        <f>IFERROR(__xludf.DUMMYFUNCTION("""COMPUTED_VALUE"""),0.003787878787878788)</f>
        <v>0.003787878788</v>
      </c>
      <c r="L1396" s="10">
        <f>IFERROR(__xludf.DUMMYFUNCTION("""COMPUTED_VALUE"""),264.0)</f>
        <v>264</v>
      </c>
      <c r="M1396" s="5">
        <f>IFERROR(__xludf.DUMMYFUNCTION("""COMPUTED_VALUE"""),1.0)</f>
        <v>1</v>
      </c>
    </row>
    <row r="1397">
      <c r="A1397" s="10" t="str">
        <f>IFERROR(__xludf.DUMMYFUNCTION("""COMPUTED_VALUE"""),"-オレンジ-")</f>
        <v>-オレンジ-</v>
      </c>
      <c r="B1397" s="10">
        <f>IFERROR(__xludf.DUMMYFUNCTION("""COMPUTED_VALUE"""),654.0)</f>
        <v>654</v>
      </c>
      <c r="C1397" s="10">
        <f>IFERROR(__xludf.DUMMYFUNCTION("""COMPUTED_VALUE"""),7758.0)</f>
        <v>7758</v>
      </c>
      <c r="D1397" s="5">
        <f>IFERROR(__xludf.DUMMYFUNCTION("""COMPUTED_VALUE"""),0.33319256756756754)</f>
        <v>0.3331925676</v>
      </c>
      <c r="E1397" s="5">
        <f>IFERROR(__xludf.DUMMYFUNCTION("""COMPUTED_VALUE"""),0.13696509009009009)</f>
        <v>0.1369650901</v>
      </c>
      <c r="F1397" s="5">
        <f>IFERROR(__xludf.DUMMYFUNCTION("""COMPUTED_VALUE"""),0.21171171171171171)</f>
        <v>0.2117117117</v>
      </c>
      <c r="G1397" s="5">
        <f>IFERROR(__xludf.DUMMYFUNCTION("""COMPUTED_VALUE"""),0.1710304054054054)</f>
        <v>0.1710304054</v>
      </c>
      <c r="H1397" s="5">
        <f>IFERROR(__xludf.DUMMYFUNCTION("""COMPUTED_VALUE"""),0.59375)</f>
        <v>0.59375</v>
      </c>
      <c r="I1397" s="11">
        <f>IFERROR(__xludf.DUMMYFUNCTION("""COMPUTED_VALUE"""),5757.646276595745)</f>
        <v>5757.646277</v>
      </c>
      <c r="J1397" s="10">
        <f>IFERROR(__xludf.DUMMYFUNCTION("""COMPUTED_VALUE"""),0.0)</f>
        <v>0</v>
      </c>
      <c r="K1397" s="5">
        <f>IFERROR(__xludf.DUMMYFUNCTION("""COMPUTED_VALUE"""),0.0)</f>
        <v>0</v>
      </c>
      <c r="L1397" s="10">
        <f>IFERROR(__xludf.DUMMYFUNCTION("""COMPUTED_VALUE"""),654.0)</f>
        <v>654</v>
      </c>
      <c r="M1397" s="5">
        <f>IFERROR(__xludf.DUMMYFUNCTION("""COMPUTED_VALUE"""),1.0)</f>
        <v>1</v>
      </c>
    </row>
    <row r="1398">
      <c r="A1398" s="10" t="str">
        <f>IFERROR(__xludf.DUMMYFUNCTION("""COMPUTED_VALUE"""),"sakishix")</f>
        <v>sakishix</v>
      </c>
      <c r="B1398" s="10">
        <f>IFERROR(__xludf.DUMMYFUNCTION("""COMPUTED_VALUE"""),190.0)</f>
        <v>190</v>
      </c>
      <c r="C1398" s="10">
        <f>IFERROR(__xludf.DUMMYFUNCTION("""COMPUTED_VALUE"""),2198.0)</f>
        <v>2198</v>
      </c>
      <c r="D1398" s="5">
        <f>IFERROR(__xludf.DUMMYFUNCTION("""COMPUTED_VALUE"""),0.3605577689243028)</f>
        <v>0.3605577689</v>
      </c>
      <c r="E1398" s="5">
        <f>IFERROR(__xludf.DUMMYFUNCTION("""COMPUTED_VALUE"""),0.13695219123505975)</f>
        <v>0.1369521912</v>
      </c>
      <c r="F1398" s="5">
        <f>IFERROR(__xludf.DUMMYFUNCTION("""COMPUTED_VALUE"""),0.18675298804780877)</f>
        <v>0.186752988</v>
      </c>
      <c r="G1398" s="5">
        <f>IFERROR(__xludf.DUMMYFUNCTION("""COMPUTED_VALUE"""),0.1802788844621514)</f>
        <v>0.1802788845</v>
      </c>
      <c r="H1398" s="5">
        <f>IFERROR(__xludf.DUMMYFUNCTION("""COMPUTED_VALUE"""),0.5893333333333334)</f>
        <v>0.5893333333</v>
      </c>
      <c r="I1398" s="11">
        <f>IFERROR(__xludf.DUMMYFUNCTION("""COMPUTED_VALUE"""),5932.533333333334)</f>
        <v>5932.533333</v>
      </c>
      <c r="J1398" s="10">
        <f>IFERROR(__xludf.DUMMYFUNCTION("""COMPUTED_VALUE"""),0.0)</f>
        <v>0</v>
      </c>
      <c r="K1398" s="5">
        <f>IFERROR(__xludf.DUMMYFUNCTION("""COMPUTED_VALUE"""),0.0)</f>
        <v>0</v>
      </c>
      <c r="L1398" s="10">
        <f>IFERROR(__xludf.DUMMYFUNCTION("""COMPUTED_VALUE"""),141.0)</f>
        <v>141</v>
      </c>
      <c r="M1398" s="5">
        <f>IFERROR(__xludf.DUMMYFUNCTION("""COMPUTED_VALUE"""),0.7421052631578947)</f>
        <v>0.7421052632</v>
      </c>
    </row>
    <row r="1399">
      <c r="A1399" s="10" t="str">
        <f>IFERROR(__xludf.DUMMYFUNCTION("""COMPUTED_VALUE"""),"sawly")</f>
        <v>sawly</v>
      </c>
      <c r="B1399" s="10">
        <f>IFERROR(__xludf.DUMMYFUNCTION("""COMPUTED_VALUE"""),1680.0)</f>
        <v>1680</v>
      </c>
      <c r="C1399" s="10">
        <f>IFERROR(__xludf.DUMMYFUNCTION("""COMPUTED_VALUE"""),19694.0)</f>
        <v>19694</v>
      </c>
      <c r="D1399" s="5">
        <f>IFERROR(__xludf.DUMMYFUNCTION("""COMPUTED_VALUE"""),0.24325524591984013)</f>
        <v>0.2432552459</v>
      </c>
      <c r="E1399" s="5">
        <f>IFERROR(__xludf.DUMMYFUNCTION("""COMPUTED_VALUE"""),0.1369490396358388)</f>
        <v>0.1369490396</v>
      </c>
      <c r="F1399" s="5">
        <f>IFERROR(__xludf.DUMMYFUNCTION("""COMPUTED_VALUE"""),0.20545131564338848)</f>
        <v>0.2054513156</v>
      </c>
      <c r="G1399" s="5">
        <f>IFERROR(__xludf.DUMMYFUNCTION("""COMPUTED_VALUE"""),0.19346064172310426)</f>
        <v>0.1934606417</v>
      </c>
      <c r="H1399" s="5">
        <f>IFERROR(__xludf.DUMMYFUNCTION("""COMPUTED_VALUE"""),0.5852472304782491)</f>
        <v>0.5852472305</v>
      </c>
      <c r="I1399" s="11">
        <f>IFERROR(__xludf.DUMMYFUNCTION("""COMPUTED_VALUE"""),6098.838151850851)</f>
        <v>6098.838152</v>
      </c>
      <c r="J1399" s="10">
        <f>IFERROR(__xludf.DUMMYFUNCTION("""COMPUTED_VALUE"""),2.0)</f>
        <v>2</v>
      </c>
      <c r="K1399" s="5">
        <f>IFERROR(__xludf.DUMMYFUNCTION("""COMPUTED_VALUE"""),0.0011904761904761906)</f>
        <v>0.00119047619</v>
      </c>
      <c r="L1399" s="10">
        <f>IFERROR(__xludf.DUMMYFUNCTION("""COMPUTED_VALUE"""),1680.0)</f>
        <v>1680</v>
      </c>
      <c r="M1399" s="5">
        <f>IFERROR(__xludf.DUMMYFUNCTION("""COMPUTED_VALUE"""),1.0)</f>
        <v>1</v>
      </c>
    </row>
    <row r="1400">
      <c r="A1400" s="10" t="str">
        <f>IFERROR(__xludf.DUMMYFUNCTION("""COMPUTED_VALUE"""),"ふぃあ@猫耳")</f>
        <v>ふぃあ@猫耳</v>
      </c>
      <c r="B1400" s="10">
        <f>IFERROR(__xludf.DUMMYFUNCTION("""COMPUTED_VALUE"""),186.0)</f>
        <v>186</v>
      </c>
      <c r="C1400" s="10">
        <f>IFERROR(__xludf.DUMMYFUNCTION("""COMPUTED_VALUE"""),2143.0)</f>
        <v>2143</v>
      </c>
      <c r="D1400" s="5">
        <f>IFERROR(__xludf.DUMMYFUNCTION("""COMPUTED_VALUE"""),0.35155850792028615)</f>
        <v>0.3515585079</v>
      </c>
      <c r="E1400" s="5">
        <f>IFERROR(__xludf.DUMMYFUNCTION("""COMPUTED_VALUE"""),0.1369443025038324)</f>
        <v>0.1369443025</v>
      </c>
      <c r="F1400" s="5">
        <f>IFERROR(__xludf.DUMMYFUNCTION("""COMPUTED_VALUE"""),0.2049054675523761)</f>
        <v>0.2049054676</v>
      </c>
      <c r="G1400" s="5">
        <f>IFERROR(__xludf.DUMMYFUNCTION("""COMPUTED_VALUE"""),0.11701584057230455)</f>
        <v>0.1170158406</v>
      </c>
      <c r="H1400" s="5">
        <f>IFERROR(__xludf.DUMMYFUNCTION("""COMPUTED_VALUE"""),0.600997506234414)</f>
        <v>0.6009975062</v>
      </c>
      <c r="I1400" s="11">
        <f>IFERROR(__xludf.DUMMYFUNCTION("""COMPUTED_VALUE"""),4980.299251870324)</f>
        <v>4980.299252</v>
      </c>
      <c r="J1400" s="10">
        <f>IFERROR(__xludf.DUMMYFUNCTION("""COMPUTED_VALUE"""),0.0)</f>
        <v>0</v>
      </c>
      <c r="K1400" s="5">
        <f>IFERROR(__xludf.DUMMYFUNCTION("""COMPUTED_VALUE"""),0.0)</f>
        <v>0</v>
      </c>
      <c r="L1400" s="10">
        <f>IFERROR(__xludf.DUMMYFUNCTION("""COMPUTED_VALUE"""),4.0)</f>
        <v>4</v>
      </c>
      <c r="M1400" s="5">
        <f>IFERROR(__xludf.DUMMYFUNCTION("""COMPUTED_VALUE"""),0.021505376344086023)</f>
        <v>0.02150537634</v>
      </c>
    </row>
    <row r="1401">
      <c r="A1401" s="10" t="str">
        <f>IFERROR(__xludf.DUMMYFUNCTION("""COMPUTED_VALUE"""),"くらみじあ")</f>
        <v>くらみじあ</v>
      </c>
      <c r="B1401" s="10">
        <f>IFERROR(__xludf.DUMMYFUNCTION("""COMPUTED_VALUE"""),1259.0)</f>
        <v>1259</v>
      </c>
      <c r="C1401" s="10">
        <f>IFERROR(__xludf.DUMMYFUNCTION("""COMPUTED_VALUE"""),14783.0)</f>
        <v>14783</v>
      </c>
      <c r="D1401" s="5">
        <f>IFERROR(__xludf.DUMMYFUNCTION("""COMPUTED_VALUE"""),0.31802721088435376)</f>
        <v>0.3180272109</v>
      </c>
      <c r="E1401" s="5">
        <f>IFERROR(__xludf.DUMMYFUNCTION("""COMPUTED_VALUE"""),0.13694173321502515)</f>
        <v>0.1369417332</v>
      </c>
      <c r="F1401" s="5">
        <f>IFERROR(__xludf.DUMMYFUNCTION("""COMPUTED_VALUE"""),0.209849157054126)</f>
        <v>0.2098491571</v>
      </c>
      <c r="G1401" s="5">
        <f>IFERROR(__xludf.DUMMYFUNCTION("""COMPUTED_VALUE"""),0.17842354333037563)</f>
        <v>0.1784235433</v>
      </c>
      <c r="H1401" s="5">
        <f>IFERROR(__xludf.DUMMYFUNCTION("""COMPUTED_VALUE"""),0.5894996476391825)</f>
        <v>0.5894996476</v>
      </c>
      <c r="I1401" s="11">
        <f>IFERROR(__xludf.DUMMYFUNCTION("""COMPUTED_VALUE"""),5763.883016208598)</f>
        <v>5763.883016</v>
      </c>
      <c r="J1401" s="10">
        <f>IFERROR(__xludf.DUMMYFUNCTION("""COMPUTED_VALUE"""),3.0)</f>
        <v>3</v>
      </c>
      <c r="K1401" s="5">
        <f>IFERROR(__xludf.DUMMYFUNCTION("""COMPUTED_VALUE"""),0.0023828435266084196)</f>
        <v>0.002382843527</v>
      </c>
      <c r="L1401" s="10">
        <f>IFERROR(__xludf.DUMMYFUNCTION("""COMPUTED_VALUE"""),1254.0)</f>
        <v>1254</v>
      </c>
      <c r="M1401" s="5">
        <f>IFERROR(__xludf.DUMMYFUNCTION("""COMPUTED_VALUE"""),0.9960285941223193)</f>
        <v>0.9960285941</v>
      </c>
    </row>
    <row r="1402">
      <c r="A1402" s="10" t="str">
        <f>IFERROR(__xludf.DUMMYFUNCTION("""COMPUTED_VALUE"""),"菱川慎吾")</f>
        <v>菱川慎吾</v>
      </c>
      <c r="B1402" s="10">
        <f>IFERROR(__xludf.DUMMYFUNCTION("""COMPUTED_VALUE"""),484.0)</f>
        <v>484</v>
      </c>
      <c r="C1402" s="10">
        <f>IFERROR(__xludf.DUMMYFUNCTION("""COMPUTED_VALUE"""),5625.0)</f>
        <v>5625</v>
      </c>
      <c r="D1402" s="5">
        <f>IFERROR(__xludf.DUMMYFUNCTION("""COMPUTED_VALUE"""),0.38280490177008364)</f>
        <v>0.3828049018</v>
      </c>
      <c r="E1402" s="5">
        <f>IFERROR(__xludf.DUMMYFUNCTION("""COMPUTED_VALUE"""),0.13693833884458276)</f>
        <v>0.1369383388</v>
      </c>
      <c r="F1402" s="5">
        <f>IFERROR(__xludf.DUMMYFUNCTION("""COMPUTED_VALUE"""),0.20890877261233223)</f>
        <v>0.2089087726</v>
      </c>
      <c r="G1402" s="5">
        <f>IFERROR(__xludf.DUMMYFUNCTION("""COMPUTED_VALUE"""),0.1847889515658432)</f>
        <v>0.1847889516</v>
      </c>
      <c r="H1402" s="5">
        <f>IFERROR(__xludf.DUMMYFUNCTION("""COMPUTED_VALUE"""),0.6061452513966481)</f>
        <v>0.6061452514</v>
      </c>
      <c r="I1402" s="11">
        <f>IFERROR(__xludf.DUMMYFUNCTION("""COMPUTED_VALUE"""),5557.541899441341)</f>
        <v>5557.541899</v>
      </c>
      <c r="J1402" s="10">
        <f>IFERROR(__xludf.DUMMYFUNCTION("""COMPUTED_VALUE"""),1.0)</f>
        <v>1</v>
      </c>
      <c r="K1402" s="5">
        <f>IFERROR(__xludf.DUMMYFUNCTION("""COMPUTED_VALUE"""),0.002066115702479339)</f>
        <v>0.002066115702</v>
      </c>
      <c r="L1402" s="10">
        <f>IFERROR(__xludf.DUMMYFUNCTION("""COMPUTED_VALUE"""),482.0)</f>
        <v>482</v>
      </c>
      <c r="M1402" s="5">
        <f>IFERROR(__xludf.DUMMYFUNCTION("""COMPUTED_VALUE"""),0.9958677685950413)</f>
        <v>0.9958677686</v>
      </c>
    </row>
    <row r="1403">
      <c r="A1403" s="10" t="str">
        <f>IFERROR(__xludf.DUMMYFUNCTION("""COMPUTED_VALUE"""),"ぱおーーん")</f>
        <v>ぱおーーん</v>
      </c>
      <c r="B1403" s="10">
        <f>IFERROR(__xludf.DUMMYFUNCTION("""COMPUTED_VALUE"""),410.0)</f>
        <v>410</v>
      </c>
      <c r="C1403" s="10">
        <f>IFERROR(__xludf.DUMMYFUNCTION("""COMPUTED_VALUE"""),4850.0)</f>
        <v>4850</v>
      </c>
      <c r="D1403" s="5">
        <f>IFERROR(__xludf.DUMMYFUNCTION("""COMPUTED_VALUE"""),0.35653153153153155)</f>
        <v>0.3565315315</v>
      </c>
      <c r="E1403" s="5">
        <f>IFERROR(__xludf.DUMMYFUNCTION("""COMPUTED_VALUE"""),0.13693693693693693)</f>
        <v>0.1369369369</v>
      </c>
      <c r="F1403" s="5">
        <f>IFERROR(__xludf.DUMMYFUNCTION("""COMPUTED_VALUE"""),0.2072072072072072)</f>
        <v>0.2072072072</v>
      </c>
      <c r="G1403" s="5">
        <f>IFERROR(__xludf.DUMMYFUNCTION("""COMPUTED_VALUE"""),0.17004504504504506)</f>
        <v>0.170045045</v>
      </c>
      <c r="H1403" s="5">
        <f>IFERROR(__xludf.DUMMYFUNCTION("""COMPUTED_VALUE"""),0.5869565217391305)</f>
        <v>0.5869565217</v>
      </c>
      <c r="I1403" s="11">
        <f>IFERROR(__xludf.DUMMYFUNCTION("""COMPUTED_VALUE"""),5296.413043478261)</f>
        <v>5296.413043</v>
      </c>
      <c r="J1403" s="10">
        <f>IFERROR(__xludf.DUMMYFUNCTION("""COMPUTED_VALUE"""),1.0)</f>
        <v>1</v>
      </c>
      <c r="K1403" s="5">
        <f>IFERROR(__xludf.DUMMYFUNCTION("""COMPUTED_VALUE"""),0.0024390243902439024)</f>
        <v>0.00243902439</v>
      </c>
      <c r="L1403" s="10">
        <f>IFERROR(__xludf.DUMMYFUNCTION("""COMPUTED_VALUE"""),410.0)</f>
        <v>410</v>
      </c>
      <c r="M1403" s="5">
        <f>IFERROR(__xludf.DUMMYFUNCTION("""COMPUTED_VALUE"""),1.0)</f>
        <v>1</v>
      </c>
    </row>
    <row r="1404">
      <c r="A1404" s="10" t="str">
        <f>IFERROR(__xludf.DUMMYFUNCTION("""COMPUTED_VALUE"""),"kino01")</f>
        <v>kino01</v>
      </c>
      <c r="B1404" s="10">
        <f>IFERROR(__xludf.DUMMYFUNCTION("""COMPUTED_VALUE"""),174.0)</f>
        <v>174</v>
      </c>
      <c r="C1404" s="10">
        <f>IFERROR(__xludf.DUMMYFUNCTION("""COMPUTED_VALUE"""),2080.0)</f>
        <v>2080</v>
      </c>
      <c r="D1404" s="5">
        <f>IFERROR(__xludf.DUMMYFUNCTION("""COMPUTED_VALUE"""),0.3950682056663169)</f>
        <v>0.3950682057</v>
      </c>
      <c r="E1404" s="5">
        <f>IFERROR(__xludf.DUMMYFUNCTION("""COMPUTED_VALUE"""),0.13693599160545644)</f>
        <v>0.1369359916</v>
      </c>
      <c r="F1404" s="5">
        <f>IFERROR(__xludf.DUMMYFUNCTION("""COMPUTED_VALUE"""),0.2193074501573977)</f>
        <v>0.2193074502</v>
      </c>
      <c r="G1404" s="5">
        <f>IFERROR(__xludf.DUMMYFUNCTION("""COMPUTED_VALUE"""),0.18467995802728226)</f>
        <v>0.184679958</v>
      </c>
      <c r="H1404" s="5">
        <f>IFERROR(__xludf.DUMMYFUNCTION("""COMPUTED_VALUE"""),0.6244019138755981)</f>
        <v>0.6244019139</v>
      </c>
      <c r="I1404" s="11">
        <f>IFERROR(__xludf.DUMMYFUNCTION("""COMPUTED_VALUE"""),5625.11961722488)</f>
        <v>5625.119617</v>
      </c>
      <c r="J1404" s="10">
        <f>IFERROR(__xludf.DUMMYFUNCTION("""COMPUTED_VALUE"""),1.0)</f>
        <v>1</v>
      </c>
      <c r="K1404" s="5">
        <f>IFERROR(__xludf.DUMMYFUNCTION("""COMPUTED_VALUE"""),0.005747126436781609)</f>
        <v>0.005747126437</v>
      </c>
      <c r="L1404" s="10">
        <f>IFERROR(__xludf.DUMMYFUNCTION("""COMPUTED_VALUE"""),174.0)</f>
        <v>174</v>
      </c>
      <c r="M1404" s="5">
        <f>IFERROR(__xludf.DUMMYFUNCTION("""COMPUTED_VALUE"""),1.0)</f>
        <v>1</v>
      </c>
    </row>
    <row r="1405">
      <c r="A1405" s="10" t="str">
        <f>IFERROR(__xludf.DUMMYFUNCTION("""COMPUTED_VALUE"""),"ten1982")</f>
        <v>ten1982</v>
      </c>
      <c r="B1405" s="10">
        <f>IFERROR(__xludf.DUMMYFUNCTION("""COMPUTED_VALUE"""),1550.0)</f>
        <v>1550</v>
      </c>
      <c r="C1405" s="10">
        <f>IFERROR(__xludf.DUMMYFUNCTION("""COMPUTED_VALUE"""),18063.0)</f>
        <v>18063</v>
      </c>
      <c r="D1405" s="5">
        <f>IFERROR(__xludf.DUMMYFUNCTION("""COMPUTED_VALUE"""),0.32186761945134135)</f>
        <v>0.3218676195</v>
      </c>
      <c r="E1405" s="5">
        <f>IFERROR(__xludf.DUMMYFUNCTION("""COMPUTED_VALUE"""),0.13692242475625266)</f>
        <v>0.1369224248</v>
      </c>
      <c r="F1405" s="5">
        <f>IFERROR(__xludf.DUMMYFUNCTION("""COMPUTED_VALUE"""),0.21237812632471387)</f>
        <v>0.2123781263</v>
      </c>
      <c r="G1405" s="5">
        <f>IFERROR(__xludf.DUMMYFUNCTION("""COMPUTED_VALUE"""),0.1716223581420699)</f>
        <v>0.1716223581</v>
      </c>
      <c r="H1405" s="5">
        <f>IFERROR(__xludf.DUMMYFUNCTION("""COMPUTED_VALUE"""),0.6065012831479898)</f>
        <v>0.6065012831</v>
      </c>
      <c r="I1405" s="11">
        <f>IFERROR(__xludf.DUMMYFUNCTION("""COMPUTED_VALUE"""),5754.918733960651)</f>
        <v>5754.918734</v>
      </c>
      <c r="J1405" s="10">
        <f>IFERROR(__xludf.DUMMYFUNCTION("""COMPUTED_VALUE"""),3.0)</f>
        <v>3</v>
      </c>
      <c r="K1405" s="5">
        <f>IFERROR(__xludf.DUMMYFUNCTION("""COMPUTED_VALUE"""),0.001935483870967742)</f>
        <v>0.001935483871</v>
      </c>
      <c r="L1405" s="10">
        <f>IFERROR(__xludf.DUMMYFUNCTION("""COMPUTED_VALUE"""),1550.0)</f>
        <v>1550</v>
      </c>
      <c r="M1405" s="5">
        <f>IFERROR(__xludf.DUMMYFUNCTION("""COMPUTED_VALUE"""),1.0)</f>
        <v>1</v>
      </c>
    </row>
    <row r="1406">
      <c r="A1406" s="10" t="str">
        <f>IFERROR(__xludf.DUMMYFUNCTION("""COMPUTED_VALUE"""),"takeda12")</f>
        <v>takeda12</v>
      </c>
      <c r="B1406" s="10">
        <f>IFERROR(__xludf.DUMMYFUNCTION("""COMPUTED_VALUE"""),484.0)</f>
        <v>484</v>
      </c>
      <c r="C1406" s="10">
        <f>IFERROR(__xludf.DUMMYFUNCTION("""COMPUTED_VALUE"""),5670.0)</f>
        <v>5670</v>
      </c>
      <c r="D1406" s="5">
        <f>IFERROR(__xludf.DUMMYFUNCTION("""COMPUTED_VALUE"""),0.34168916313150793)</f>
        <v>0.3416891631</v>
      </c>
      <c r="E1406" s="5">
        <f>IFERROR(__xludf.DUMMYFUNCTION("""COMPUTED_VALUE"""),0.13690705746239876)</f>
        <v>0.1369070575</v>
      </c>
      <c r="F1406" s="5">
        <f>IFERROR(__xludf.DUMMYFUNCTION("""COMPUTED_VALUE"""),0.21384496721943694)</f>
        <v>0.2138449672</v>
      </c>
      <c r="G1406" s="5">
        <f>IFERROR(__xludf.DUMMYFUNCTION("""COMPUTED_VALUE"""),0.17547242576166602)</f>
        <v>0.1754724258</v>
      </c>
      <c r="H1406" s="5">
        <f>IFERROR(__xludf.DUMMYFUNCTION("""COMPUTED_VALUE"""),0.6032461677186655)</f>
        <v>0.6032461677</v>
      </c>
      <c r="I1406" s="11">
        <f>IFERROR(__xludf.DUMMYFUNCTION("""COMPUTED_VALUE"""),5518.034265103697)</f>
        <v>5518.034265</v>
      </c>
      <c r="J1406" s="10">
        <f>IFERROR(__xludf.DUMMYFUNCTION("""COMPUTED_VALUE"""),0.0)</f>
        <v>0</v>
      </c>
      <c r="K1406" s="5">
        <f>IFERROR(__xludf.DUMMYFUNCTION("""COMPUTED_VALUE"""),0.0)</f>
        <v>0</v>
      </c>
      <c r="L1406" s="10">
        <f>IFERROR(__xludf.DUMMYFUNCTION("""COMPUTED_VALUE"""),484.0)</f>
        <v>484</v>
      </c>
      <c r="M1406" s="5">
        <f>IFERROR(__xludf.DUMMYFUNCTION("""COMPUTED_VALUE"""),1.0)</f>
        <v>1</v>
      </c>
    </row>
    <row r="1407">
      <c r="A1407" s="10" t="str">
        <f>IFERROR(__xludf.DUMMYFUNCTION("""COMPUTED_VALUE"""),"HAMATSU")</f>
        <v>HAMATSU</v>
      </c>
      <c r="B1407" s="10">
        <f>IFERROR(__xludf.DUMMYFUNCTION("""COMPUTED_VALUE"""),125.0)</f>
        <v>125</v>
      </c>
      <c r="C1407" s="10">
        <f>IFERROR(__xludf.DUMMYFUNCTION("""COMPUTED_VALUE"""),1462.0)</f>
        <v>1462</v>
      </c>
      <c r="D1407" s="5">
        <f>IFERROR(__xludf.DUMMYFUNCTION("""COMPUTED_VALUE"""),0.39640987284966345)</f>
        <v>0.3964098728</v>
      </c>
      <c r="E1407" s="5">
        <f>IFERROR(__xludf.DUMMYFUNCTION("""COMPUTED_VALUE"""),0.1368735976065819)</f>
        <v>0.1368735976</v>
      </c>
      <c r="F1407" s="5">
        <f>IFERROR(__xludf.DUMMYFUNCTION("""COMPUTED_VALUE"""),0.22662677636499626)</f>
        <v>0.2266267764</v>
      </c>
      <c r="G1407" s="5">
        <f>IFERROR(__xludf.DUMMYFUNCTION("""COMPUTED_VALUE"""),0.11593118922961855)</f>
        <v>0.1159311892</v>
      </c>
      <c r="H1407" s="5">
        <f>IFERROR(__xludf.DUMMYFUNCTION("""COMPUTED_VALUE"""),0.6534653465346535)</f>
        <v>0.6534653465</v>
      </c>
      <c r="I1407" s="11">
        <f>IFERROR(__xludf.DUMMYFUNCTION("""COMPUTED_VALUE"""),5232.6732673267325)</f>
        <v>5232.673267</v>
      </c>
      <c r="J1407" s="10">
        <f>IFERROR(__xludf.DUMMYFUNCTION("""COMPUTED_VALUE"""),0.0)</f>
        <v>0</v>
      </c>
      <c r="K1407" s="5">
        <f>IFERROR(__xludf.DUMMYFUNCTION("""COMPUTED_VALUE"""),0.0)</f>
        <v>0</v>
      </c>
      <c r="L1407" s="10">
        <f>IFERROR(__xludf.DUMMYFUNCTION("""COMPUTED_VALUE"""),125.0)</f>
        <v>125</v>
      </c>
      <c r="M1407" s="5">
        <f>IFERROR(__xludf.DUMMYFUNCTION("""COMPUTED_VALUE"""),1.0)</f>
        <v>1</v>
      </c>
    </row>
    <row r="1408">
      <c r="A1408" s="10" t="str">
        <f>IFERROR(__xludf.DUMMYFUNCTION("""COMPUTED_VALUE"""),"Toruku")</f>
        <v>Toruku</v>
      </c>
      <c r="B1408" s="10">
        <f>IFERROR(__xludf.DUMMYFUNCTION("""COMPUTED_VALUE"""),186.0)</f>
        <v>186</v>
      </c>
      <c r="C1408" s="10">
        <f>IFERROR(__xludf.DUMMYFUNCTION("""COMPUTED_VALUE"""),2210.0)</f>
        <v>2210</v>
      </c>
      <c r="D1408" s="5">
        <f>IFERROR(__xludf.DUMMYFUNCTION("""COMPUTED_VALUE"""),0.39624505928853754)</f>
        <v>0.3962450593</v>
      </c>
      <c r="E1408" s="5">
        <f>IFERROR(__xludf.DUMMYFUNCTION("""COMPUTED_VALUE"""),0.1368577075098814)</f>
        <v>0.1368577075</v>
      </c>
      <c r="F1408" s="5">
        <f>IFERROR(__xludf.DUMMYFUNCTION("""COMPUTED_VALUE"""),0.21047430830039526)</f>
        <v>0.2104743083</v>
      </c>
      <c r="G1408" s="5">
        <f>IFERROR(__xludf.DUMMYFUNCTION("""COMPUTED_VALUE"""),0.18033596837944665)</f>
        <v>0.1803359684</v>
      </c>
      <c r="H1408" s="5">
        <f>IFERROR(__xludf.DUMMYFUNCTION("""COMPUTED_VALUE"""),0.5563380281690141)</f>
        <v>0.5563380282</v>
      </c>
      <c r="I1408" s="11">
        <f>IFERROR(__xludf.DUMMYFUNCTION("""COMPUTED_VALUE"""),5510.56338028169)</f>
        <v>5510.56338</v>
      </c>
      <c r="J1408" s="10">
        <f>IFERROR(__xludf.DUMMYFUNCTION("""COMPUTED_VALUE"""),1.0)</f>
        <v>1</v>
      </c>
      <c r="K1408" s="5">
        <f>IFERROR(__xludf.DUMMYFUNCTION("""COMPUTED_VALUE"""),0.005376344086021506)</f>
        <v>0.005376344086</v>
      </c>
      <c r="L1408" s="10">
        <f>IFERROR(__xludf.DUMMYFUNCTION("""COMPUTED_VALUE"""),186.0)</f>
        <v>186</v>
      </c>
      <c r="M1408" s="5">
        <f>IFERROR(__xludf.DUMMYFUNCTION("""COMPUTED_VALUE"""),1.0)</f>
        <v>1</v>
      </c>
    </row>
    <row r="1409">
      <c r="A1409" s="10" t="str">
        <f>IFERROR(__xludf.DUMMYFUNCTION("""COMPUTED_VALUE"""),"らっきょう")</f>
        <v>らっきょう</v>
      </c>
      <c r="B1409" s="10">
        <f>IFERROR(__xludf.DUMMYFUNCTION("""COMPUTED_VALUE"""),202.0)</f>
        <v>202</v>
      </c>
      <c r="C1409" s="10">
        <f>IFERROR(__xludf.DUMMYFUNCTION("""COMPUTED_VALUE"""),2416.0)</f>
        <v>2416</v>
      </c>
      <c r="D1409" s="5">
        <f>IFERROR(__xludf.DUMMYFUNCTION("""COMPUTED_VALUE"""),0.42140921409214094)</f>
        <v>0.4214092141</v>
      </c>
      <c r="E1409" s="5">
        <f>IFERROR(__xludf.DUMMYFUNCTION("""COMPUTED_VALUE"""),0.13685636856368563)</f>
        <v>0.1368563686</v>
      </c>
      <c r="F1409" s="5">
        <f>IFERROR(__xludf.DUMMYFUNCTION("""COMPUTED_VALUE"""),0.21183378500451672)</f>
        <v>0.211833785</v>
      </c>
      <c r="G1409" s="5">
        <f>IFERROR(__xludf.DUMMYFUNCTION("""COMPUTED_VALUE"""),0.14543812104787715)</f>
        <v>0.145438121</v>
      </c>
      <c r="H1409" s="5">
        <f>IFERROR(__xludf.DUMMYFUNCTION("""COMPUTED_VALUE"""),0.6268656716417911)</f>
        <v>0.6268656716</v>
      </c>
      <c r="I1409" s="11">
        <f>IFERROR(__xludf.DUMMYFUNCTION("""COMPUTED_VALUE"""),5578.464818763327)</f>
        <v>5578.464819</v>
      </c>
      <c r="J1409" s="10">
        <f>IFERROR(__xludf.DUMMYFUNCTION("""COMPUTED_VALUE"""),1.0)</f>
        <v>1</v>
      </c>
      <c r="K1409" s="5">
        <f>IFERROR(__xludf.DUMMYFUNCTION("""COMPUTED_VALUE"""),0.0049504950495049506)</f>
        <v>0.00495049505</v>
      </c>
      <c r="L1409" s="10">
        <f>IFERROR(__xludf.DUMMYFUNCTION("""COMPUTED_VALUE"""),202.0)</f>
        <v>202</v>
      </c>
      <c r="M1409" s="5">
        <f>IFERROR(__xludf.DUMMYFUNCTION("""COMPUTED_VALUE"""),1.0)</f>
        <v>1</v>
      </c>
    </row>
    <row r="1410">
      <c r="A1410" s="10" t="str">
        <f>IFERROR(__xludf.DUMMYFUNCTION("""COMPUTED_VALUE"""),"yuyuyu48")</f>
        <v>yuyuyu48</v>
      </c>
      <c r="B1410" s="10">
        <f>IFERROR(__xludf.DUMMYFUNCTION("""COMPUTED_VALUE"""),253.0)</f>
        <v>253</v>
      </c>
      <c r="C1410" s="10">
        <f>IFERROR(__xludf.DUMMYFUNCTION("""COMPUTED_VALUE"""),2869.0)</f>
        <v>2869</v>
      </c>
      <c r="D1410" s="5">
        <f>IFERROR(__xludf.DUMMYFUNCTION("""COMPUTED_VALUE"""),0.25076452599388377)</f>
        <v>0.250764526</v>
      </c>
      <c r="E1410" s="5">
        <f>IFERROR(__xludf.DUMMYFUNCTION("""COMPUTED_VALUE"""),0.13685015290519878)</f>
        <v>0.1368501529</v>
      </c>
      <c r="F1410" s="5">
        <f>IFERROR(__xludf.DUMMYFUNCTION("""COMPUTED_VALUE"""),0.183868501529052)</f>
        <v>0.1838685015</v>
      </c>
      <c r="G1410" s="5">
        <f>IFERROR(__xludf.DUMMYFUNCTION("""COMPUTED_VALUE"""),0.17698776758409787)</f>
        <v>0.1769877676</v>
      </c>
      <c r="H1410" s="5">
        <f>IFERROR(__xludf.DUMMYFUNCTION("""COMPUTED_VALUE"""),0.5821205821205822)</f>
        <v>0.5821205821</v>
      </c>
      <c r="I1410" s="11">
        <f>IFERROR(__xludf.DUMMYFUNCTION("""COMPUTED_VALUE"""),6468.399168399168)</f>
        <v>6468.399168</v>
      </c>
      <c r="J1410" s="10">
        <f>IFERROR(__xludf.DUMMYFUNCTION("""COMPUTED_VALUE"""),0.0)</f>
        <v>0</v>
      </c>
      <c r="K1410" s="5">
        <f>IFERROR(__xludf.DUMMYFUNCTION("""COMPUTED_VALUE"""),0.0)</f>
        <v>0</v>
      </c>
      <c r="L1410" s="10">
        <f>IFERROR(__xludf.DUMMYFUNCTION("""COMPUTED_VALUE"""),253.0)</f>
        <v>253</v>
      </c>
      <c r="M1410" s="5">
        <f>IFERROR(__xludf.DUMMYFUNCTION("""COMPUTED_VALUE"""),1.0)</f>
        <v>1</v>
      </c>
    </row>
    <row r="1411">
      <c r="A1411" s="10" t="str">
        <f>IFERROR(__xludf.DUMMYFUNCTION("""COMPUTED_VALUE"""),"とりにゃん")</f>
        <v>とりにゃん</v>
      </c>
      <c r="B1411" s="10">
        <f>IFERROR(__xludf.DUMMYFUNCTION("""COMPUTED_VALUE"""),985.0)</f>
        <v>985</v>
      </c>
      <c r="C1411" s="10">
        <f>IFERROR(__xludf.DUMMYFUNCTION("""COMPUTED_VALUE"""),11442.0)</f>
        <v>11442</v>
      </c>
      <c r="D1411" s="5">
        <f>IFERROR(__xludf.DUMMYFUNCTION("""COMPUTED_VALUE"""),0.44926843262886107)</f>
        <v>0.4492684326</v>
      </c>
      <c r="E1411" s="5">
        <f>IFERROR(__xludf.DUMMYFUNCTION("""COMPUTED_VALUE"""),0.13684613177775654)</f>
        <v>0.1368461318</v>
      </c>
      <c r="F1411" s="5">
        <f>IFERROR(__xludf.DUMMYFUNCTION("""COMPUTED_VALUE"""),0.2126805010997418)</f>
        <v>0.2126805011</v>
      </c>
      <c r="G1411" s="5">
        <f>IFERROR(__xludf.DUMMYFUNCTION("""COMPUTED_VALUE"""),0.14201013675050206)</f>
        <v>0.1420101368</v>
      </c>
      <c r="H1411" s="5">
        <f>IFERROR(__xludf.DUMMYFUNCTION("""COMPUTED_VALUE"""),0.5890287769784173)</f>
        <v>0.589028777</v>
      </c>
      <c r="I1411" s="11">
        <f>IFERROR(__xludf.DUMMYFUNCTION("""COMPUTED_VALUE"""),5509.622302158274)</f>
        <v>5509.622302</v>
      </c>
      <c r="J1411" s="10">
        <f>IFERROR(__xludf.DUMMYFUNCTION("""COMPUTED_VALUE"""),1.0)</f>
        <v>1</v>
      </c>
      <c r="K1411" s="5">
        <f>IFERROR(__xludf.DUMMYFUNCTION("""COMPUTED_VALUE"""),0.0010152284263959391)</f>
        <v>0.001015228426</v>
      </c>
      <c r="L1411" s="10">
        <f>IFERROR(__xludf.DUMMYFUNCTION("""COMPUTED_VALUE"""),985.0)</f>
        <v>985</v>
      </c>
      <c r="M1411" s="5">
        <f>IFERROR(__xludf.DUMMYFUNCTION("""COMPUTED_VALUE"""),1.0)</f>
        <v>1</v>
      </c>
    </row>
    <row r="1412">
      <c r="A1412" s="10" t="str">
        <f>IFERROR(__xludf.DUMMYFUNCTION("""COMPUTED_VALUE"""),"evgomes1")</f>
        <v>evgomes1</v>
      </c>
      <c r="B1412" s="10">
        <f>IFERROR(__xludf.DUMMYFUNCTION("""COMPUTED_VALUE"""),522.0)</f>
        <v>522</v>
      </c>
      <c r="C1412" s="10">
        <f>IFERROR(__xludf.DUMMYFUNCTION("""COMPUTED_VALUE"""),5988.0)</f>
        <v>5988</v>
      </c>
      <c r="D1412" s="5">
        <f>IFERROR(__xludf.DUMMYFUNCTION("""COMPUTED_VALUE"""),0.3181485547017929)</f>
        <v>0.3181485547</v>
      </c>
      <c r="E1412" s="5">
        <f>IFERROR(__xludf.DUMMYFUNCTION("""COMPUTED_VALUE"""),0.13684595682400294)</f>
        <v>0.1368459568</v>
      </c>
      <c r="F1412" s="5">
        <f>IFERROR(__xludf.DUMMYFUNCTION("""COMPUTED_VALUE"""),0.20947676545920235)</f>
        <v>0.2094767655</v>
      </c>
      <c r="G1412" s="5">
        <f>IFERROR(__xludf.DUMMYFUNCTION("""COMPUTED_VALUE"""),0.17288693743139408)</f>
        <v>0.1728869374</v>
      </c>
      <c r="H1412" s="5">
        <f>IFERROR(__xludf.DUMMYFUNCTION("""COMPUTED_VALUE"""),0.6096069868995633)</f>
        <v>0.6096069869</v>
      </c>
      <c r="I1412" s="11">
        <f>IFERROR(__xludf.DUMMYFUNCTION("""COMPUTED_VALUE"""),5541.659388646288)</f>
        <v>5541.659389</v>
      </c>
      <c r="J1412" s="10">
        <f>IFERROR(__xludf.DUMMYFUNCTION("""COMPUTED_VALUE"""),0.0)</f>
        <v>0</v>
      </c>
      <c r="K1412" s="5">
        <f>IFERROR(__xludf.DUMMYFUNCTION("""COMPUTED_VALUE"""),0.0)</f>
        <v>0</v>
      </c>
      <c r="L1412" s="10">
        <f>IFERROR(__xludf.DUMMYFUNCTION("""COMPUTED_VALUE"""),521.0)</f>
        <v>521</v>
      </c>
      <c r="M1412" s="5">
        <f>IFERROR(__xludf.DUMMYFUNCTION("""COMPUTED_VALUE"""),0.9980842911877394)</f>
        <v>0.9980842912</v>
      </c>
    </row>
    <row r="1413">
      <c r="A1413" s="10" t="str">
        <f>IFERROR(__xludf.DUMMYFUNCTION("""COMPUTED_VALUE"""),"よく鳴く面前派")</f>
        <v>よく鳴く面前派</v>
      </c>
      <c r="B1413" s="10">
        <f>IFERROR(__xludf.DUMMYFUNCTION("""COMPUTED_VALUE"""),442.0)</f>
        <v>442</v>
      </c>
      <c r="C1413" s="10">
        <f>IFERROR(__xludf.DUMMYFUNCTION("""COMPUTED_VALUE"""),5083.0)</f>
        <v>5083</v>
      </c>
      <c r="D1413" s="5">
        <f>IFERROR(__xludf.DUMMYFUNCTION("""COMPUTED_VALUE"""),0.3094160741219565)</f>
        <v>0.3094160741</v>
      </c>
      <c r="E1413" s="5">
        <f>IFERROR(__xludf.DUMMYFUNCTION("""COMPUTED_VALUE"""),0.13682396035337213)</f>
        <v>0.1368239604</v>
      </c>
      <c r="F1413" s="5">
        <f>IFERROR(__xludf.DUMMYFUNCTION("""COMPUTED_VALUE"""),0.20081878905408318)</f>
        <v>0.2008187891</v>
      </c>
      <c r="G1413" s="5">
        <f>IFERROR(__xludf.DUMMYFUNCTION("""COMPUTED_VALUE"""),0.20124973066149537)</f>
        <v>0.2012497307</v>
      </c>
      <c r="H1413" s="5">
        <f>IFERROR(__xludf.DUMMYFUNCTION("""COMPUTED_VALUE"""),0.6255364806866953)</f>
        <v>0.6255364807</v>
      </c>
      <c r="I1413" s="11">
        <f>IFERROR(__xludf.DUMMYFUNCTION("""COMPUTED_VALUE"""),6039.055793991416)</f>
        <v>6039.055794</v>
      </c>
      <c r="J1413" s="10">
        <f>IFERROR(__xludf.DUMMYFUNCTION("""COMPUTED_VALUE"""),1.0)</f>
        <v>1</v>
      </c>
      <c r="K1413" s="5">
        <f>IFERROR(__xludf.DUMMYFUNCTION("""COMPUTED_VALUE"""),0.0022624434389140274)</f>
        <v>0.002262443439</v>
      </c>
      <c r="L1413" s="10">
        <f>IFERROR(__xludf.DUMMYFUNCTION("""COMPUTED_VALUE"""),442.0)</f>
        <v>442</v>
      </c>
      <c r="M1413" s="5">
        <f>IFERROR(__xludf.DUMMYFUNCTION("""COMPUTED_VALUE"""),1.0)</f>
        <v>1</v>
      </c>
    </row>
    <row r="1414">
      <c r="A1414" s="10" t="str">
        <f>IFERROR(__xludf.DUMMYFUNCTION("""COMPUTED_VALUE"""),"小島よしお")</f>
        <v>小島よしお</v>
      </c>
      <c r="B1414" s="10">
        <f>IFERROR(__xludf.DUMMYFUNCTION("""COMPUTED_VALUE"""),192.0)</f>
        <v>192</v>
      </c>
      <c r="C1414" s="10">
        <f>IFERROR(__xludf.DUMMYFUNCTION("""COMPUTED_VALUE"""),2202.0)</f>
        <v>2202</v>
      </c>
      <c r="D1414" s="5">
        <f>IFERROR(__xludf.DUMMYFUNCTION("""COMPUTED_VALUE"""),0.3253731343283582)</f>
        <v>0.3253731343</v>
      </c>
      <c r="E1414" s="5">
        <f>IFERROR(__xludf.DUMMYFUNCTION("""COMPUTED_VALUE"""),0.13681592039800994)</f>
        <v>0.1368159204</v>
      </c>
      <c r="F1414" s="5">
        <f>IFERROR(__xludf.DUMMYFUNCTION("""COMPUTED_VALUE"""),0.2109452736318408)</f>
        <v>0.2109452736</v>
      </c>
      <c r="G1414" s="5">
        <f>IFERROR(__xludf.DUMMYFUNCTION("""COMPUTED_VALUE"""),0.20497512437810944)</f>
        <v>0.2049751244</v>
      </c>
      <c r="H1414" s="5">
        <f>IFERROR(__xludf.DUMMYFUNCTION("""COMPUTED_VALUE"""),0.6061320754716981)</f>
        <v>0.6061320755</v>
      </c>
      <c r="I1414" s="11">
        <f>IFERROR(__xludf.DUMMYFUNCTION("""COMPUTED_VALUE"""),5744.575471698113)</f>
        <v>5744.575472</v>
      </c>
      <c r="J1414" s="10">
        <f>IFERROR(__xludf.DUMMYFUNCTION("""COMPUTED_VALUE"""),0.0)</f>
        <v>0</v>
      </c>
      <c r="K1414" s="5">
        <f>IFERROR(__xludf.DUMMYFUNCTION("""COMPUTED_VALUE"""),0.0)</f>
        <v>0</v>
      </c>
      <c r="L1414" s="10">
        <f>IFERROR(__xludf.DUMMYFUNCTION("""COMPUTED_VALUE"""),192.0)</f>
        <v>192</v>
      </c>
      <c r="M1414" s="5">
        <f>IFERROR(__xludf.DUMMYFUNCTION("""COMPUTED_VALUE"""),1.0)</f>
        <v>1</v>
      </c>
    </row>
    <row r="1415">
      <c r="A1415" s="10" t="str">
        <f>IFERROR(__xludf.DUMMYFUNCTION("""COMPUTED_VALUE"""),"香織カヲル")</f>
        <v>香織カヲル</v>
      </c>
      <c r="B1415" s="10">
        <f>IFERROR(__xludf.DUMMYFUNCTION("""COMPUTED_VALUE"""),1199.0)</f>
        <v>1199</v>
      </c>
      <c r="C1415" s="10">
        <f>IFERROR(__xludf.DUMMYFUNCTION("""COMPUTED_VALUE"""),14085.0)</f>
        <v>14085</v>
      </c>
      <c r="D1415" s="5">
        <f>IFERROR(__xludf.DUMMYFUNCTION("""COMPUTED_VALUE"""),0.33493714108334627)</f>
        <v>0.3349371411</v>
      </c>
      <c r="E1415" s="5">
        <f>IFERROR(__xludf.DUMMYFUNCTION("""COMPUTED_VALUE"""),0.13681514822287755)</f>
        <v>0.1368151482</v>
      </c>
      <c r="F1415" s="5">
        <f>IFERROR(__xludf.DUMMYFUNCTION("""COMPUTED_VALUE"""),0.21876455067515133)</f>
        <v>0.2187645507</v>
      </c>
      <c r="G1415" s="5">
        <f>IFERROR(__xludf.DUMMYFUNCTION("""COMPUTED_VALUE"""),0.1920689119975167)</f>
        <v>0.192068912</v>
      </c>
      <c r="H1415" s="5">
        <f>IFERROR(__xludf.DUMMYFUNCTION("""COMPUTED_VALUE"""),0.5984391628236964)</f>
        <v>0.5984391628</v>
      </c>
      <c r="I1415" s="11">
        <f>IFERROR(__xludf.DUMMYFUNCTION("""COMPUTED_VALUE"""),5532.600212841433)</f>
        <v>5532.600213</v>
      </c>
      <c r="J1415" s="10">
        <f>IFERROR(__xludf.DUMMYFUNCTION("""COMPUTED_VALUE"""),3.0)</f>
        <v>3</v>
      </c>
      <c r="K1415" s="5">
        <f>IFERROR(__xludf.DUMMYFUNCTION("""COMPUTED_VALUE"""),0.0025020850708924102)</f>
        <v>0.002502085071</v>
      </c>
      <c r="L1415" s="10">
        <f>IFERROR(__xludf.DUMMYFUNCTION("""COMPUTED_VALUE"""),0.0)</f>
        <v>0</v>
      </c>
      <c r="M1415" s="5">
        <f>IFERROR(__xludf.DUMMYFUNCTION("""COMPUTED_VALUE"""),0.0)</f>
        <v>0</v>
      </c>
    </row>
    <row r="1416">
      <c r="A1416" s="10" t="str">
        <f>IFERROR(__xludf.DUMMYFUNCTION("""COMPUTED_VALUE"""),"Notohaaa")</f>
        <v>Notohaaa</v>
      </c>
      <c r="B1416" s="10">
        <f>IFERROR(__xludf.DUMMYFUNCTION("""COMPUTED_VALUE"""),170.0)</f>
        <v>170</v>
      </c>
      <c r="C1416" s="10">
        <f>IFERROR(__xludf.DUMMYFUNCTION("""COMPUTED_VALUE"""),2027.0)</f>
        <v>2027</v>
      </c>
      <c r="D1416" s="5">
        <f>IFERROR(__xludf.DUMMYFUNCTION("""COMPUTED_VALUE"""),0.3387183629509962)</f>
        <v>0.338718363</v>
      </c>
      <c r="E1416" s="5">
        <f>IFERROR(__xludf.DUMMYFUNCTION("""COMPUTED_VALUE"""),0.1367797522886376)</f>
        <v>0.1367797523</v>
      </c>
      <c r="F1416" s="5">
        <f>IFERROR(__xludf.DUMMYFUNCTION("""COMPUTED_VALUE"""),0.20570813139472266)</f>
        <v>0.2057081314</v>
      </c>
      <c r="G1416" s="5">
        <f>IFERROR(__xludf.DUMMYFUNCTION("""COMPUTED_VALUE"""),0.19547657512116318)</f>
        <v>0.1954765751</v>
      </c>
      <c r="H1416" s="5">
        <f>IFERROR(__xludf.DUMMYFUNCTION("""COMPUTED_VALUE"""),0.6047120418848168)</f>
        <v>0.6047120419</v>
      </c>
      <c r="I1416" s="11">
        <f>IFERROR(__xludf.DUMMYFUNCTION("""COMPUTED_VALUE"""),5515.706806282723)</f>
        <v>5515.706806</v>
      </c>
      <c r="J1416" s="10">
        <f>IFERROR(__xludf.DUMMYFUNCTION("""COMPUTED_VALUE"""),0.0)</f>
        <v>0</v>
      </c>
      <c r="K1416" s="5">
        <f>IFERROR(__xludf.DUMMYFUNCTION("""COMPUTED_VALUE"""),0.0)</f>
        <v>0</v>
      </c>
      <c r="L1416" s="10">
        <f>IFERROR(__xludf.DUMMYFUNCTION("""COMPUTED_VALUE"""),170.0)</f>
        <v>170</v>
      </c>
      <c r="M1416" s="5">
        <f>IFERROR(__xludf.DUMMYFUNCTION("""COMPUTED_VALUE"""),1.0)</f>
        <v>1</v>
      </c>
    </row>
    <row r="1417">
      <c r="A1417" s="10" t="str">
        <f>IFERROR(__xludf.DUMMYFUNCTION("""COMPUTED_VALUE"""),"銀羅")</f>
        <v>銀羅</v>
      </c>
      <c r="B1417" s="10">
        <f>IFERROR(__xludf.DUMMYFUNCTION("""COMPUTED_VALUE"""),461.0)</f>
        <v>461</v>
      </c>
      <c r="C1417" s="10">
        <f>IFERROR(__xludf.DUMMYFUNCTION("""COMPUTED_VALUE"""),5345.0)</f>
        <v>5345</v>
      </c>
      <c r="D1417" s="5">
        <f>IFERROR(__xludf.DUMMYFUNCTION("""COMPUTED_VALUE"""),0.36732186732186733)</f>
        <v>0.3673218673</v>
      </c>
      <c r="E1417" s="5">
        <f>IFERROR(__xludf.DUMMYFUNCTION("""COMPUTED_VALUE"""),0.13677313677313677)</f>
        <v>0.1367731368</v>
      </c>
      <c r="F1417" s="5">
        <f>IFERROR(__xludf.DUMMYFUNCTION("""COMPUTED_VALUE"""),0.21478296478296477)</f>
        <v>0.2147829648</v>
      </c>
      <c r="G1417" s="5">
        <f>IFERROR(__xludf.DUMMYFUNCTION("""COMPUTED_VALUE"""),0.15376740376740378)</f>
        <v>0.1537674038</v>
      </c>
      <c r="H1417" s="5">
        <f>IFERROR(__xludf.DUMMYFUNCTION("""COMPUTED_VALUE"""),0.6005719733079123)</f>
        <v>0.6005719733</v>
      </c>
      <c r="I1417" s="11">
        <f>IFERROR(__xludf.DUMMYFUNCTION("""COMPUTED_VALUE"""),5275.309818875119)</f>
        <v>5275.309819</v>
      </c>
      <c r="J1417" s="10">
        <f>IFERROR(__xludf.DUMMYFUNCTION("""COMPUTED_VALUE"""),0.0)</f>
        <v>0</v>
      </c>
      <c r="K1417" s="5">
        <f>IFERROR(__xludf.DUMMYFUNCTION("""COMPUTED_VALUE"""),0.0)</f>
        <v>0</v>
      </c>
      <c r="L1417" s="10">
        <f>IFERROR(__xludf.DUMMYFUNCTION("""COMPUTED_VALUE"""),461.0)</f>
        <v>461</v>
      </c>
      <c r="M1417" s="5">
        <f>IFERROR(__xludf.DUMMYFUNCTION("""COMPUTED_VALUE"""),1.0)</f>
        <v>1</v>
      </c>
    </row>
    <row r="1418">
      <c r="A1418" s="10" t="str">
        <f>IFERROR(__xludf.DUMMYFUNCTION("""COMPUTED_VALUE"""),"ぴれ")</f>
        <v>ぴれ</v>
      </c>
      <c r="B1418" s="10">
        <f>IFERROR(__xludf.DUMMYFUNCTION("""COMPUTED_VALUE"""),2244.0)</f>
        <v>2244</v>
      </c>
      <c r="C1418" s="10">
        <f>IFERROR(__xludf.DUMMYFUNCTION("""COMPUTED_VALUE"""),25912.0)</f>
        <v>25912</v>
      </c>
      <c r="D1418" s="5">
        <f>IFERROR(__xludf.DUMMYFUNCTION("""COMPUTED_VALUE"""),0.399526787223255)</f>
        <v>0.3995267872</v>
      </c>
      <c r="E1418" s="5">
        <f>IFERROR(__xludf.DUMMYFUNCTION("""COMPUTED_VALUE"""),0.1367669427074531)</f>
        <v>0.1367669427</v>
      </c>
      <c r="F1418" s="5">
        <f>IFERROR(__xludf.DUMMYFUNCTION("""COMPUTED_VALUE"""),0.21417103261788067)</f>
        <v>0.2141710326</v>
      </c>
      <c r="G1418" s="5">
        <f>IFERROR(__xludf.DUMMYFUNCTION("""COMPUTED_VALUE"""),0.18996112895048167)</f>
        <v>0.189961129</v>
      </c>
      <c r="H1418" s="5">
        <f>IFERROR(__xludf.DUMMYFUNCTION("""COMPUTED_VALUE"""),0.6046557506411521)</f>
        <v>0.6046557506</v>
      </c>
      <c r="I1418" s="11">
        <f>IFERROR(__xludf.DUMMYFUNCTION("""COMPUTED_VALUE"""),5846.675872953245)</f>
        <v>5846.675873</v>
      </c>
      <c r="J1418" s="10">
        <f>IFERROR(__xludf.DUMMYFUNCTION("""COMPUTED_VALUE"""),0.0)</f>
        <v>0</v>
      </c>
      <c r="K1418" s="5">
        <f>IFERROR(__xludf.DUMMYFUNCTION("""COMPUTED_VALUE"""),0.0)</f>
        <v>0</v>
      </c>
      <c r="L1418" s="10">
        <f>IFERROR(__xludf.DUMMYFUNCTION("""COMPUTED_VALUE"""),2244.0)</f>
        <v>2244</v>
      </c>
      <c r="M1418" s="5">
        <f>IFERROR(__xludf.DUMMYFUNCTION("""COMPUTED_VALUE"""),1.0)</f>
        <v>1</v>
      </c>
    </row>
    <row r="1419">
      <c r="A1419" s="10" t="str">
        <f>IFERROR(__xludf.DUMMYFUNCTION("""COMPUTED_VALUE"""),"ばびろん")</f>
        <v>ばびろん</v>
      </c>
      <c r="B1419" s="10">
        <f>IFERROR(__xludf.DUMMYFUNCTION("""COMPUTED_VALUE"""),150.0)</f>
        <v>150</v>
      </c>
      <c r="C1419" s="10">
        <f>IFERROR(__xludf.DUMMYFUNCTION("""COMPUTED_VALUE"""),1744.0)</f>
        <v>1744</v>
      </c>
      <c r="D1419" s="5">
        <f>IFERROR(__xludf.DUMMYFUNCTION("""COMPUTED_VALUE"""),0.32622333751568383)</f>
        <v>0.3262233375</v>
      </c>
      <c r="E1419" s="5">
        <f>IFERROR(__xludf.DUMMYFUNCTION("""COMPUTED_VALUE"""),0.13676286072772897)</f>
        <v>0.1367628607</v>
      </c>
      <c r="F1419" s="5">
        <f>IFERROR(__xludf.DUMMYFUNCTION("""COMPUTED_VALUE"""),0.20639899623588456)</f>
        <v>0.2063989962</v>
      </c>
      <c r="G1419" s="5">
        <f>IFERROR(__xludf.DUMMYFUNCTION("""COMPUTED_VALUE"""),0.18130489335006272)</f>
        <v>0.1813048934</v>
      </c>
      <c r="H1419" s="5">
        <f>IFERROR(__xludf.DUMMYFUNCTION("""COMPUTED_VALUE"""),0.6048632218844985)</f>
        <v>0.6048632219</v>
      </c>
      <c r="I1419" s="11">
        <f>IFERROR(__xludf.DUMMYFUNCTION("""COMPUTED_VALUE"""),5922.188449848024)</f>
        <v>5922.18845</v>
      </c>
      <c r="J1419" s="10">
        <f>IFERROR(__xludf.DUMMYFUNCTION("""COMPUTED_VALUE"""),1.0)</f>
        <v>1</v>
      </c>
      <c r="K1419" s="5">
        <f>IFERROR(__xludf.DUMMYFUNCTION("""COMPUTED_VALUE"""),0.006666666666666667)</f>
        <v>0.006666666667</v>
      </c>
      <c r="L1419" s="10">
        <f>IFERROR(__xludf.DUMMYFUNCTION("""COMPUTED_VALUE"""),150.0)</f>
        <v>150</v>
      </c>
      <c r="M1419" s="5">
        <f>IFERROR(__xludf.DUMMYFUNCTION("""COMPUTED_VALUE"""),1.0)</f>
        <v>1</v>
      </c>
    </row>
    <row r="1420">
      <c r="A1420" s="10" t="str">
        <f>IFERROR(__xludf.DUMMYFUNCTION("""COMPUTED_VALUE"""),"ドバクチ大野")</f>
        <v>ドバクチ大野</v>
      </c>
      <c r="B1420" s="10">
        <f>IFERROR(__xludf.DUMMYFUNCTION("""COMPUTED_VALUE"""),2357.0)</f>
        <v>2357</v>
      </c>
      <c r="C1420" s="10">
        <f>IFERROR(__xludf.DUMMYFUNCTION("""COMPUTED_VALUE"""),27584.0)</f>
        <v>27584</v>
      </c>
      <c r="D1420" s="5">
        <f>IFERROR(__xludf.DUMMYFUNCTION("""COMPUTED_VALUE"""),0.3690886748325207)</f>
        <v>0.3690886748</v>
      </c>
      <c r="E1420" s="5">
        <f>IFERROR(__xludf.DUMMYFUNCTION("""COMPUTED_VALUE"""),0.13675823522416458)</f>
        <v>0.1367582352</v>
      </c>
      <c r="F1420" s="5">
        <f>IFERROR(__xludf.DUMMYFUNCTION("""COMPUTED_VALUE"""),0.22773219169936973)</f>
        <v>0.2277321917</v>
      </c>
      <c r="G1420" s="5">
        <f>IFERROR(__xludf.DUMMYFUNCTION("""COMPUTED_VALUE"""),0.1675189281325564)</f>
        <v>0.1675189281</v>
      </c>
      <c r="H1420" s="5">
        <f>IFERROR(__xludf.DUMMYFUNCTION("""COMPUTED_VALUE"""),0.6088772845953002)</f>
        <v>0.6088772846</v>
      </c>
      <c r="I1420" s="11">
        <f>IFERROR(__xludf.DUMMYFUNCTION("""COMPUTED_VALUE"""),5355.282854656223)</f>
        <v>5355.282855</v>
      </c>
      <c r="J1420" s="10">
        <f>IFERROR(__xludf.DUMMYFUNCTION("""COMPUTED_VALUE"""),6.0)</f>
        <v>6</v>
      </c>
      <c r="K1420" s="5">
        <f>IFERROR(__xludf.DUMMYFUNCTION("""COMPUTED_VALUE"""),0.002545608824777259)</f>
        <v>0.002545608825</v>
      </c>
      <c r="L1420" s="10">
        <f>IFERROR(__xludf.DUMMYFUNCTION("""COMPUTED_VALUE"""),2348.0)</f>
        <v>2348</v>
      </c>
      <c r="M1420" s="5">
        <f>IFERROR(__xludf.DUMMYFUNCTION("""COMPUTED_VALUE"""),0.9961815867628341)</f>
        <v>0.9961815868</v>
      </c>
    </row>
    <row r="1421">
      <c r="A1421" s="10" t="str">
        <f>IFERROR(__xludf.DUMMYFUNCTION("""COMPUTED_VALUE"""),"獅子怒ん")</f>
        <v>獅子怒ん</v>
      </c>
      <c r="B1421" s="10">
        <f>IFERROR(__xludf.DUMMYFUNCTION("""COMPUTED_VALUE"""),762.0)</f>
        <v>762</v>
      </c>
      <c r="C1421" s="10">
        <f>IFERROR(__xludf.DUMMYFUNCTION("""COMPUTED_VALUE"""),8842.0)</f>
        <v>8842</v>
      </c>
      <c r="D1421" s="5">
        <f>IFERROR(__xludf.DUMMYFUNCTION("""COMPUTED_VALUE"""),0.3688118811881188)</f>
        <v>0.3688118812</v>
      </c>
      <c r="E1421" s="5">
        <f>IFERROR(__xludf.DUMMYFUNCTION("""COMPUTED_VALUE"""),0.13675742574257427)</f>
        <v>0.1367574257</v>
      </c>
      <c r="F1421" s="5">
        <f>IFERROR(__xludf.DUMMYFUNCTION("""COMPUTED_VALUE"""),0.21287128712871287)</f>
        <v>0.2128712871</v>
      </c>
      <c r="G1421" s="5">
        <f>IFERROR(__xludf.DUMMYFUNCTION("""COMPUTED_VALUE"""),0.18688118811881188)</f>
        <v>0.1868811881</v>
      </c>
      <c r="H1421" s="5">
        <f>IFERROR(__xludf.DUMMYFUNCTION("""COMPUTED_VALUE"""),0.5982558139534884)</f>
        <v>0.598255814</v>
      </c>
      <c r="I1421" s="11">
        <f>IFERROR(__xludf.DUMMYFUNCTION("""COMPUTED_VALUE"""),5798.953488372093)</f>
        <v>5798.953488</v>
      </c>
      <c r="J1421" s="10">
        <f>IFERROR(__xludf.DUMMYFUNCTION("""COMPUTED_VALUE"""),3.0)</f>
        <v>3</v>
      </c>
      <c r="K1421" s="5">
        <f>IFERROR(__xludf.DUMMYFUNCTION("""COMPUTED_VALUE"""),0.003937007874015748)</f>
        <v>0.003937007874</v>
      </c>
      <c r="L1421" s="10">
        <f>IFERROR(__xludf.DUMMYFUNCTION("""COMPUTED_VALUE"""),762.0)</f>
        <v>762</v>
      </c>
      <c r="M1421" s="5">
        <f>IFERROR(__xludf.DUMMYFUNCTION("""COMPUTED_VALUE"""),1.0)</f>
        <v>1</v>
      </c>
    </row>
    <row r="1422">
      <c r="A1422" s="10" t="str">
        <f>IFERROR(__xludf.DUMMYFUNCTION("""COMPUTED_VALUE"""),"焚き火")</f>
        <v>焚き火</v>
      </c>
      <c r="B1422" s="10">
        <f>IFERROR(__xludf.DUMMYFUNCTION("""COMPUTED_VALUE"""),2249.0)</f>
        <v>2249</v>
      </c>
      <c r="C1422" s="10">
        <f>IFERROR(__xludf.DUMMYFUNCTION("""COMPUTED_VALUE"""),26109.0)</f>
        <v>26109</v>
      </c>
      <c r="D1422" s="5">
        <f>IFERROR(__xludf.DUMMYFUNCTION("""COMPUTED_VALUE"""),0.2903185247275775)</f>
        <v>0.2903185247</v>
      </c>
      <c r="E1422" s="5">
        <f>IFERROR(__xludf.DUMMYFUNCTION("""COMPUTED_VALUE"""),0.136756077116513)</f>
        <v>0.1367560771</v>
      </c>
      <c r="F1422" s="5">
        <f>IFERROR(__xludf.DUMMYFUNCTION("""COMPUTED_VALUE"""),0.2104777870913663)</f>
        <v>0.2104777871</v>
      </c>
      <c r="G1422" s="5">
        <f>IFERROR(__xludf.DUMMYFUNCTION("""COMPUTED_VALUE"""),0.21676445934618607)</f>
        <v>0.2167644593</v>
      </c>
      <c r="H1422" s="5">
        <f>IFERROR(__xludf.DUMMYFUNCTION("""COMPUTED_VALUE"""),0.5870171246515332)</f>
        <v>0.5870171247</v>
      </c>
      <c r="I1422" s="11">
        <f>IFERROR(__xludf.DUMMYFUNCTION("""COMPUTED_VALUE"""),6122.560732775786)</f>
        <v>6122.560733</v>
      </c>
      <c r="J1422" s="10">
        <f>IFERROR(__xludf.DUMMYFUNCTION("""COMPUTED_VALUE"""),7.0)</f>
        <v>7</v>
      </c>
      <c r="K1422" s="5">
        <f>IFERROR(__xludf.DUMMYFUNCTION("""COMPUTED_VALUE"""),0.0031124944419742106)</f>
        <v>0.003112494442</v>
      </c>
      <c r="L1422" s="10">
        <f>IFERROR(__xludf.DUMMYFUNCTION("""COMPUTED_VALUE"""),2246.0)</f>
        <v>2246</v>
      </c>
      <c r="M1422" s="5">
        <f>IFERROR(__xludf.DUMMYFUNCTION("""COMPUTED_VALUE"""),0.9986660738105825)</f>
        <v>0.9986660738</v>
      </c>
    </row>
    <row r="1423">
      <c r="A1423" s="10" t="str">
        <f>IFERROR(__xludf.DUMMYFUNCTION("""COMPUTED_VALUE"""),"kaekohei")</f>
        <v>kaekohei</v>
      </c>
      <c r="B1423" s="10">
        <f>IFERROR(__xludf.DUMMYFUNCTION("""COMPUTED_VALUE"""),388.0)</f>
        <v>388</v>
      </c>
      <c r="C1423" s="10">
        <f>IFERROR(__xludf.DUMMYFUNCTION("""COMPUTED_VALUE"""),4600.0)</f>
        <v>4600</v>
      </c>
      <c r="D1423" s="5">
        <f>IFERROR(__xludf.DUMMYFUNCTION("""COMPUTED_VALUE"""),0.31861348528015193)</f>
        <v>0.3186134853</v>
      </c>
      <c r="E1423" s="5">
        <f>IFERROR(__xludf.DUMMYFUNCTION("""COMPUTED_VALUE"""),0.13675213675213677)</f>
        <v>0.1367521368</v>
      </c>
      <c r="F1423" s="5">
        <f>IFERROR(__xludf.DUMMYFUNCTION("""COMPUTED_VALUE"""),0.2120132953466287)</f>
        <v>0.2120132953</v>
      </c>
      <c r="G1423" s="5">
        <f>IFERROR(__xludf.DUMMYFUNCTION("""COMPUTED_VALUE"""),0.144349477682811)</f>
        <v>0.1443494777</v>
      </c>
      <c r="H1423" s="5">
        <f>IFERROR(__xludf.DUMMYFUNCTION("""COMPUTED_VALUE"""),0.6248600223964166)</f>
        <v>0.6248600224</v>
      </c>
      <c r="I1423" s="11">
        <f>IFERROR(__xludf.DUMMYFUNCTION("""COMPUTED_VALUE"""),5613.549832026875)</f>
        <v>5613.549832</v>
      </c>
      <c r="J1423" s="10">
        <f>IFERROR(__xludf.DUMMYFUNCTION("""COMPUTED_VALUE"""),1.0)</f>
        <v>1</v>
      </c>
      <c r="K1423" s="5">
        <f>IFERROR(__xludf.DUMMYFUNCTION("""COMPUTED_VALUE"""),0.002577319587628866)</f>
        <v>0.002577319588</v>
      </c>
      <c r="L1423" s="10">
        <f>IFERROR(__xludf.DUMMYFUNCTION("""COMPUTED_VALUE"""),385.0)</f>
        <v>385</v>
      </c>
      <c r="M1423" s="5">
        <f>IFERROR(__xludf.DUMMYFUNCTION("""COMPUTED_VALUE"""),0.9922680412371134)</f>
        <v>0.9922680412</v>
      </c>
    </row>
    <row r="1424">
      <c r="A1424" s="10" t="str">
        <f>IFERROR(__xludf.DUMMYFUNCTION("""COMPUTED_VALUE"""),"子衿雅歌")</f>
        <v>子衿雅歌</v>
      </c>
      <c r="B1424" s="10">
        <f>IFERROR(__xludf.DUMMYFUNCTION("""COMPUTED_VALUE"""),350.0)</f>
        <v>350</v>
      </c>
      <c r="C1424" s="10">
        <f>IFERROR(__xludf.DUMMYFUNCTION("""COMPUTED_VALUE"""),4109.0)</f>
        <v>4109</v>
      </c>
      <c r="D1424" s="5">
        <f>IFERROR(__xludf.DUMMYFUNCTION("""COMPUTED_VALUE"""),0.3899973397180101)</f>
        <v>0.3899973397</v>
      </c>
      <c r="E1424" s="5">
        <f>IFERROR(__xludf.DUMMYFUNCTION("""COMPUTED_VALUE"""),0.13673849428039372)</f>
        <v>0.1367384943</v>
      </c>
      <c r="F1424" s="5">
        <f>IFERROR(__xludf.DUMMYFUNCTION("""COMPUTED_VALUE"""),0.22772013833466348)</f>
        <v>0.2277201383</v>
      </c>
      <c r="G1424" s="5">
        <f>IFERROR(__xludf.DUMMYFUNCTION("""COMPUTED_VALUE"""),0.17956903431763768)</f>
        <v>0.1795690343</v>
      </c>
      <c r="H1424" s="5">
        <f>IFERROR(__xludf.DUMMYFUNCTION("""COMPUTED_VALUE"""),0.5712616822429907)</f>
        <v>0.5712616822</v>
      </c>
      <c r="I1424" s="11">
        <f>IFERROR(__xludf.DUMMYFUNCTION("""COMPUTED_VALUE"""),5566.822429906542)</f>
        <v>5566.82243</v>
      </c>
      <c r="J1424" s="10">
        <f>IFERROR(__xludf.DUMMYFUNCTION("""COMPUTED_VALUE"""),0.0)</f>
        <v>0</v>
      </c>
      <c r="K1424" s="5">
        <f>IFERROR(__xludf.DUMMYFUNCTION("""COMPUTED_VALUE"""),0.0)</f>
        <v>0</v>
      </c>
      <c r="L1424" s="10">
        <f>IFERROR(__xludf.DUMMYFUNCTION("""COMPUTED_VALUE"""),48.0)</f>
        <v>48</v>
      </c>
      <c r="M1424" s="5">
        <f>IFERROR(__xludf.DUMMYFUNCTION("""COMPUTED_VALUE"""),0.13714285714285715)</f>
        <v>0.1371428571</v>
      </c>
    </row>
    <row r="1425">
      <c r="A1425" s="10" t="str">
        <f>IFERROR(__xludf.DUMMYFUNCTION("""COMPUTED_VALUE"""),"XW")</f>
        <v>XW</v>
      </c>
      <c r="B1425" s="10">
        <f>IFERROR(__xludf.DUMMYFUNCTION("""COMPUTED_VALUE"""),161.0)</f>
        <v>161</v>
      </c>
      <c r="C1425" s="10">
        <f>IFERROR(__xludf.DUMMYFUNCTION("""COMPUTED_VALUE"""),1909.0)</f>
        <v>1909</v>
      </c>
      <c r="D1425" s="5">
        <f>IFERROR(__xludf.DUMMYFUNCTION("""COMPUTED_VALUE"""),0.37356979405034324)</f>
        <v>0.3735697941</v>
      </c>
      <c r="E1425" s="5">
        <f>IFERROR(__xludf.DUMMYFUNCTION("""COMPUTED_VALUE"""),0.13672768878718536)</f>
        <v>0.1367276888</v>
      </c>
      <c r="F1425" s="5">
        <f>IFERROR(__xludf.DUMMYFUNCTION("""COMPUTED_VALUE"""),0.21567505720823799)</f>
        <v>0.2156750572</v>
      </c>
      <c r="G1425" s="5">
        <f>IFERROR(__xludf.DUMMYFUNCTION("""COMPUTED_VALUE"""),0.14359267734553777)</f>
        <v>0.1435926773</v>
      </c>
      <c r="H1425" s="5">
        <f>IFERROR(__xludf.DUMMYFUNCTION("""COMPUTED_VALUE"""),0.6021220159151194)</f>
        <v>0.6021220159</v>
      </c>
      <c r="I1425" s="11">
        <f>IFERROR(__xludf.DUMMYFUNCTION("""COMPUTED_VALUE"""),5565.251989389921)</f>
        <v>5565.251989</v>
      </c>
      <c r="J1425" s="10">
        <f>IFERROR(__xludf.DUMMYFUNCTION("""COMPUTED_VALUE"""),0.0)</f>
        <v>0</v>
      </c>
      <c r="K1425" s="5">
        <f>IFERROR(__xludf.DUMMYFUNCTION("""COMPUTED_VALUE"""),0.0)</f>
        <v>0</v>
      </c>
      <c r="L1425" s="10">
        <f>IFERROR(__xludf.DUMMYFUNCTION("""COMPUTED_VALUE"""),158.0)</f>
        <v>158</v>
      </c>
      <c r="M1425" s="5">
        <f>IFERROR(__xludf.DUMMYFUNCTION("""COMPUTED_VALUE"""),0.9813664596273292)</f>
        <v>0.9813664596</v>
      </c>
    </row>
    <row r="1426">
      <c r="A1426" s="10" t="str">
        <f>IFERROR(__xludf.DUMMYFUNCTION("""COMPUTED_VALUE"""),"chuuyaaa")</f>
        <v>chuuyaaa</v>
      </c>
      <c r="B1426" s="10">
        <f>IFERROR(__xludf.DUMMYFUNCTION("""COMPUTED_VALUE"""),659.0)</f>
        <v>659</v>
      </c>
      <c r="C1426" s="10">
        <f>IFERROR(__xludf.DUMMYFUNCTION("""COMPUTED_VALUE"""),7732.0)</f>
        <v>7732</v>
      </c>
      <c r="D1426" s="5">
        <f>IFERROR(__xludf.DUMMYFUNCTION("""COMPUTED_VALUE"""),0.36646401809698853)</f>
        <v>0.3664640181</v>
      </c>
      <c r="E1426" s="5">
        <f>IFERROR(__xludf.DUMMYFUNCTION("""COMPUTED_VALUE"""),0.13671709317121447)</f>
        <v>0.1367170932</v>
      </c>
      <c r="F1426" s="5">
        <f>IFERROR(__xludf.DUMMYFUNCTION("""COMPUTED_VALUE"""),0.22338470238936803)</f>
        <v>0.2233847024</v>
      </c>
      <c r="G1426" s="5">
        <f>IFERROR(__xludf.DUMMYFUNCTION("""COMPUTED_VALUE"""),0.1678212922380885)</f>
        <v>0.1678212922</v>
      </c>
      <c r="H1426" s="5">
        <f>IFERROR(__xludf.DUMMYFUNCTION("""COMPUTED_VALUE"""),0.6126582278481013)</f>
        <v>0.6126582278</v>
      </c>
      <c r="I1426" s="11">
        <f>IFERROR(__xludf.DUMMYFUNCTION("""COMPUTED_VALUE"""),5468.544303797468)</f>
        <v>5468.544304</v>
      </c>
      <c r="J1426" s="10">
        <f>IFERROR(__xludf.DUMMYFUNCTION("""COMPUTED_VALUE"""),2.0)</f>
        <v>2</v>
      </c>
      <c r="K1426" s="5">
        <f>IFERROR(__xludf.DUMMYFUNCTION("""COMPUTED_VALUE"""),0.0030349013657056147)</f>
        <v>0.003034901366</v>
      </c>
      <c r="L1426" s="10">
        <f>IFERROR(__xludf.DUMMYFUNCTION("""COMPUTED_VALUE"""),659.0)</f>
        <v>659</v>
      </c>
      <c r="M1426" s="5">
        <f>IFERROR(__xludf.DUMMYFUNCTION("""COMPUTED_VALUE"""),1.0)</f>
        <v>1</v>
      </c>
    </row>
    <row r="1427">
      <c r="A1427" s="10" t="str">
        <f>IFERROR(__xludf.DUMMYFUNCTION("""COMPUTED_VALUE"""),"天照")</f>
        <v>天照</v>
      </c>
      <c r="B1427" s="10">
        <f>IFERROR(__xludf.DUMMYFUNCTION("""COMPUTED_VALUE"""),829.0)</f>
        <v>829</v>
      </c>
      <c r="C1427" s="10">
        <f>IFERROR(__xludf.DUMMYFUNCTION("""COMPUTED_VALUE"""),9775.0)</f>
        <v>9775</v>
      </c>
      <c r="D1427" s="5">
        <f>IFERROR(__xludf.DUMMYFUNCTION("""COMPUTED_VALUE"""),0.3135479543930248)</f>
        <v>0.3135479544</v>
      </c>
      <c r="E1427" s="5">
        <f>IFERROR(__xludf.DUMMYFUNCTION("""COMPUTED_VALUE"""),0.13670914375139728)</f>
        <v>0.1367091438</v>
      </c>
      <c r="F1427" s="5">
        <f>IFERROR(__xludf.DUMMYFUNCTION("""COMPUTED_VALUE"""),0.21305611446456516)</f>
        <v>0.2130561145</v>
      </c>
      <c r="G1427" s="5">
        <f>IFERROR(__xludf.DUMMYFUNCTION("""COMPUTED_VALUE"""),0.18678739101274314)</f>
        <v>0.186787391</v>
      </c>
      <c r="H1427" s="5">
        <f>IFERROR(__xludf.DUMMYFUNCTION("""COMPUTED_VALUE"""),0.5965372507869885)</f>
        <v>0.5965372508</v>
      </c>
      <c r="I1427" s="11">
        <f>IFERROR(__xludf.DUMMYFUNCTION("""COMPUTED_VALUE"""),6218.887722980063)</f>
        <v>6218.887723</v>
      </c>
      <c r="J1427" s="10">
        <f>IFERROR(__xludf.DUMMYFUNCTION("""COMPUTED_VALUE"""),2.0)</f>
        <v>2</v>
      </c>
      <c r="K1427" s="5">
        <f>IFERROR(__xludf.DUMMYFUNCTION("""COMPUTED_VALUE"""),0.0024125452352231603)</f>
        <v>0.002412545235</v>
      </c>
      <c r="L1427" s="10">
        <f>IFERROR(__xludf.DUMMYFUNCTION("""COMPUTED_VALUE"""),829.0)</f>
        <v>829</v>
      </c>
      <c r="M1427" s="5">
        <f>IFERROR(__xludf.DUMMYFUNCTION("""COMPUTED_VALUE"""),1.0)</f>
        <v>1</v>
      </c>
    </row>
    <row r="1428">
      <c r="A1428" s="10" t="str">
        <f>IFERROR(__xludf.DUMMYFUNCTION("""COMPUTED_VALUE"""),"X猫")</f>
        <v>X猫</v>
      </c>
      <c r="B1428" s="10">
        <f>IFERROR(__xludf.DUMMYFUNCTION("""COMPUTED_VALUE"""),2748.0)</f>
        <v>2748</v>
      </c>
      <c r="C1428" s="10">
        <f>IFERROR(__xludf.DUMMYFUNCTION("""COMPUTED_VALUE"""),32245.0)</f>
        <v>32245</v>
      </c>
      <c r="D1428" s="5">
        <f>IFERROR(__xludf.DUMMYFUNCTION("""COMPUTED_VALUE"""),0.3404414008204224)</f>
        <v>0.3404414008</v>
      </c>
      <c r="E1428" s="5">
        <f>IFERROR(__xludf.DUMMYFUNCTION("""COMPUTED_VALUE"""),0.13669186696952232)</f>
        <v>0.136691867</v>
      </c>
      <c r="F1428" s="5">
        <f>IFERROR(__xludf.DUMMYFUNCTION("""COMPUTED_VALUE"""),0.21097060718039123)</f>
        <v>0.2109706072</v>
      </c>
      <c r="G1428" s="5">
        <f>IFERROR(__xludf.DUMMYFUNCTION("""COMPUTED_VALUE"""),0.14754042784011934)</f>
        <v>0.1475404278</v>
      </c>
      <c r="H1428" s="5">
        <f>IFERROR(__xludf.DUMMYFUNCTION("""COMPUTED_VALUE"""),0.6201189137072152)</f>
        <v>0.6201189137</v>
      </c>
      <c r="I1428" s="11">
        <f>IFERROR(__xludf.DUMMYFUNCTION("""COMPUTED_VALUE"""),5587.289088863892)</f>
        <v>5587.289089</v>
      </c>
      <c r="J1428" s="10">
        <f>IFERROR(__xludf.DUMMYFUNCTION("""COMPUTED_VALUE"""),8.0)</f>
        <v>8</v>
      </c>
      <c r="K1428" s="5">
        <f>IFERROR(__xludf.DUMMYFUNCTION("""COMPUTED_VALUE"""),0.002911208151382824)</f>
        <v>0.002911208151</v>
      </c>
      <c r="L1428" s="10">
        <f>IFERROR(__xludf.DUMMYFUNCTION("""COMPUTED_VALUE"""),2671.0)</f>
        <v>2671</v>
      </c>
      <c r="M1428" s="5">
        <f>IFERROR(__xludf.DUMMYFUNCTION("""COMPUTED_VALUE"""),0.9719796215429404)</f>
        <v>0.9719796215</v>
      </c>
    </row>
    <row r="1429">
      <c r="A1429" s="10" t="str">
        <f>IFERROR(__xludf.DUMMYFUNCTION("""COMPUTED_VALUE"""),"ライディン")</f>
        <v>ライディン</v>
      </c>
      <c r="B1429" s="10">
        <f>IFERROR(__xludf.DUMMYFUNCTION("""COMPUTED_VALUE"""),171.0)</f>
        <v>171</v>
      </c>
      <c r="C1429" s="10">
        <f>IFERROR(__xludf.DUMMYFUNCTION("""COMPUTED_VALUE"""),2066.0)</f>
        <v>2066</v>
      </c>
      <c r="D1429" s="5">
        <f>IFERROR(__xludf.DUMMYFUNCTION("""COMPUTED_VALUE"""),0.39525065963060685)</f>
        <v>0.3952506596</v>
      </c>
      <c r="E1429" s="5">
        <f>IFERROR(__xludf.DUMMYFUNCTION("""COMPUTED_VALUE"""),0.1366754617414248)</f>
        <v>0.1366754617</v>
      </c>
      <c r="F1429" s="5">
        <f>IFERROR(__xludf.DUMMYFUNCTION("""COMPUTED_VALUE"""),0.22321899736147757)</f>
        <v>0.2232189974</v>
      </c>
      <c r="G1429" s="5">
        <f>IFERROR(__xludf.DUMMYFUNCTION("""COMPUTED_VALUE"""),0.16728232189973616)</f>
        <v>0.1672823219</v>
      </c>
      <c r="H1429" s="5">
        <f>IFERROR(__xludf.DUMMYFUNCTION("""COMPUTED_VALUE"""),0.5957446808510638)</f>
        <v>0.5957446809</v>
      </c>
      <c r="I1429" s="11">
        <f>IFERROR(__xludf.DUMMYFUNCTION("""COMPUTED_VALUE"""),5613.475177304965)</f>
        <v>5613.475177</v>
      </c>
      <c r="J1429" s="10">
        <f>IFERROR(__xludf.DUMMYFUNCTION("""COMPUTED_VALUE"""),0.0)</f>
        <v>0</v>
      </c>
      <c r="K1429" s="5">
        <f>IFERROR(__xludf.DUMMYFUNCTION("""COMPUTED_VALUE"""),0.0)</f>
        <v>0</v>
      </c>
      <c r="L1429" s="10">
        <f>IFERROR(__xludf.DUMMYFUNCTION("""COMPUTED_VALUE"""),171.0)</f>
        <v>171</v>
      </c>
      <c r="M1429" s="5">
        <f>IFERROR(__xludf.DUMMYFUNCTION("""COMPUTED_VALUE"""),1.0)</f>
        <v>1</v>
      </c>
    </row>
    <row r="1430">
      <c r="A1430" s="10" t="str">
        <f>IFERROR(__xludf.DUMMYFUNCTION("""COMPUTED_VALUE"""),"時雨桜(真)")</f>
        <v>時雨桜(真)</v>
      </c>
      <c r="B1430" s="10">
        <f>IFERROR(__xludf.DUMMYFUNCTION("""COMPUTED_VALUE"""),273.0)</f>
        <v>273</v>
      </c>
      <c r="C1430" s="10">
        <f>IFERROR(__xludf.DUMMYFUNCTION("""COMPUTED_VALUE"""),3273.0)</f>
        <v>3273</v>
      </c>
      <c r="D1430" s="5">
        <f>IFERROR(__xludf.DUMMYFUNCTION("""COMPUTED_VALUE"""),0.382)</f>
        <v>0.382</v>
      </c>
      <c r="E1430" s="5">
        <f>IFERROR(__xludf.DUMMYFUNCTION("""COMPUTED_VALUE"""),0.13666666666666666)</f>
        <v>0.1366666667</v>
      </c>
      <c r="F1430" s="5">
        <f>IFERROR(__xludf.DUMMYFUNCTION("""COMPUTED_VALUE"""),0.20966666666666667)</f>
        <v>0.2096666667</v>
      </c>
      <c r="G1430" s="5">
        <f>IFERROR(__xludf.DUMMYFUNCTION("""COMPUTED_VALUE"""),0.13133333333333333)</f>
        <v>0.1313333333</v>
      </c>
      <c r="H1430" s="5">
        <f>IFERROR(__xludf.DUMMYFUNCTION("""COMPUTED_VALUE"""),0.5914149443561209)</f>
        <v>0.5914149444</v>
      </c>
      <c r="I1430" s="11">
        <f>IFERROR(__xludf.DUMMYFUNCTION("""COMPUTED_VALUE"""),5397.933227344992)</f>
        <v>5397.933227</v>
      </c>
      <c r="J1430" s="10">
        <f>IFERROR(__xludf.DUMMYFUNCTION("""COMPUTED_VALUE"""),0.0)</f>
        <v>0</v>
      </c>
      <c r="K1430" s="5">
        <f>IFERROR(__xludf.DUMMYFUNCTION("""COMPUTED_VALUE"""),0.0)</f>
        <v>0</v>
      </c>
      <c r="L1430" s="10">
        <f>IFERROR(__xludf.DUMMYFUNCTION("""COMPUTED_VALUE"""),273.0)</f>
        <v>273</v>
      </c>
      <c r="M1430" s="5">
        <f>IFERROR(__xludf.DUMMYFUNCTION("""COMPUTED_VALUE"""),1.0)</f>
        <v>1</v>
      </c>
    </row>
    <row r="1431">
      <c r="A1431" s="10" t="str">
        <f>IFERROR(__xludf.DUMMYFUNCTION("""COMPUTED_VALUE"""),"綾香")</f>
        <v>綾香</v>
      </c>
      <c r="B1431" s="10">
        <f>IFERROR(__xludf.DUMMYFUNCTION("""COMPUTED_VALUE"""),932.0)</f>
        <v>932</v>
      </c>
      <c r="C1431" s="10">
        <f>IFERROR(__xludf.DUMMYFUNCTION("""COMPUTED_VALUE"""),10972.0)</f>
        <v>10972</v>
      </c>
      <c r="D1431" s="5">
        <f>IFERROR(__xludf.DUMMYFUNCTION("""COMPUTED_VALUE"""),0.38247011952191234)</f>
        <v>0.3824701195</v>
      </c>
      <c r="E1431" s="5">
        <f>IFERROR(__xludf.DUMMYFUNCTION("""COMPUTED_VALUE"""),0.13665338645418326)</f>
        <v>0.1366533865</v>
      </c>
      <c r="F1431" s="5">
        <f>IFERROR(__xludf.DUMMYFUNCTION("""COMPUTED_VALUE"""),0.21872509960159361)</f>
        <v>0.2187250996</v>
      </c>
      <c r="G1431" s="5">
        <f>IFERROR(__xludf.DUMMYFUNCTION("""COMPUTED_VALUE"""),0.18804780876494023)</f>
        <v>0.1880478088</v>
      </c>
      <c r="H1431" s="5">
        <f>IFERROR(__xludf.DUMMYFUNCTION("""COMPUTED_VALUE"""),0.5837887067395264)</f>
        <v>0.5837887067</v>
      </c>
      <c r="I1431" s="11">
        <f>IFERROR(__xludf.DUMMYFUNCTION("""COMPUTED_VALUE"""),5520.992714025501)</f>
        <v>5520.992714</v>
      </c>
      <c r="J1431" s="10">
        <f>IFERROR(__xludf.DUMMYFUNCTION("""COMPUTED_VALUE"""),1.0)</f>
        <v>1</v>
      </c>
      <c r="K1431" s="5">
        <f>IFERROR(__xludf.DUMMYFUNCTION("""COMPUTED_VALUE"""),0.001072961373390558)</f>
        <v>0.001072961373</v>
      </c>
      <c r="L1431" s="10">
        <f>IFERROR(__xludf.DUMMYFUNCTION("""COMPUTED_VALUE"""),0.0)</f>
        <v>0</v>
      </c>
      <c r="M1431" s="5">
        <f>IFERROR(__xludf.DUMMYFUNCTION("""COMPUTED_VALUE"""),0.0)</f>
        <v>0</v>
      </c>
    </row>
    <row r="1432">
      <c r="A1432" s="10" t="str">
        <f>IFERROR(__xludf.DUMMYFUNCTION("""COMPUTED_VALUE"""),"トシフーニ")</f>
        <v>トシフーニ</v>
      </c>
      <c r="B1432" s="10">
        <f>IFERROR(__xludf.DUMMYFUNCTION("""COMPUTED_VALUE"""),6388.0)</f>
        <v>6388</v>
      </c>
      <c r="C1432" s="10">
        <f>IFERROR(__xludf.DUMMYFUNCTION("""COMPUTED_VALUE"""),74431.0)</f>
        <v>74431</v>
      </c>
      <c r="D1432" s="5">
        <f>IFERROR(__xludf.DUMMYFUNCTION("""COMPUTED_VALUE"""),0.3659009743838455)</f>
        <v>0.3659009744</v>
      </c>
      <c r="E1432" s="5">
        <f>IFERROR(__xludf.DUMMYFUNCTION("""COMPUTED_VALUE"""),0.1366488837940714)</f>
        <v>0.1366488838</v>
      </c>
      <c r="F1432" s="5">
        <f>IFERROR(__xludf.DUMMYFUNCTION("""COMPUTED_VALUE"""),0.22061049630380788)</f>
        <v>0.2206104963</v>
      </c>
      <c r="G1432" s="5">
        <f>IFERROR(__xludf.DUMMYFUNCTION("""COMPUTED_VALUE"""),0.18276677983040138)</f>
        <v>0.1827667798</v>
      </c>
      <c r="H1432" s="5">
        <f>IFERROR(__xludf.DUMMYFUNCTION("""COMPUTED_VALUE"""),0.5910998601025914)</f>
        <v>0.5910998601</v>
      </c>
      <c r="I1432" s="11">
        <f>IFERROR(__xludf.DUMMYFUNCTION("""COMPUTED_VALUE"""),5736.386649790154)</f>
        <v>5736.38665</v>
      </c>
      <c r="J1432" s="10">
        <f>IFERROR(__xludf.DUMMYFUNCTION("""COMPUTED_VALUE"""),12.0)</f>
        <v>12</v>
      </c>
      <c r="K1432" s="5">
        <f>IFERROR(__xludf.DUMMYFUNCTION("""COMPUTED_VALUE"""),0.001878522229179712)</f>
        <v>0.001878522229</v>
      </c>
      <c r="L1432" s="10">
        <f>IFERROR(__xludf.DUMMYFUNCTION("""COMPUTED_VALUE"""),6388.0)</f>
        <v>6388</v>
      </c>
      <c r="M1432" s="5">
        <f>IFERROR(__xludf.DUMMYFUNCTION("""COMPUTED_VALUE"""),1.0)</f>
        <v>1</v>
      </c>
    </row>
    <row r="1433">
      <c r="A1433" s="10" t="str">
        <f>IFERROR(__xludf.DUMMYFUNCTION("""COMPUTED_VALUE"""),"一手舞")</f>
        <v>一手舞</v>
      </c>
      <c r="B1433" s="10">
        <f>IFERROR(__xludf.DUMMYFUNCTION("""COMPUTED_VALUE"""),434.0)</f>
        <v>434</v>
      </c>
      <c r="C1433" s="10">
        <f>IFERROR(__xludf.DUMMYFUNCTION("""COMPUTED_VALUE"""),5081.0)</f>
        <v>5081</v>
      </c>
      <c r="D1433" s="5">
        <f>IFERROR(__xludf.DUMMYFUNCTION("""COMPUTED_VALUE"""),0.3384979556703249)</f>
        <v>0.3384979557</v>
      </c>
      <c r="E1433" s="5">
        <f>IFERROR(__xludf.DUMMYFUNCTION("""COMPUTED_VALUE"""),0.13664729933290296)</f>
        <v>0.1366472993</v>
      </c>
      <c r="F1433" s="5">
        <f>IFERROR(__xludf.DUMMYFUNCTION("""COMPUTED_VALUE"""),0.21325586399827845)</f>
        <v>0.213255864</v>
      </c>
      <c r="G1433" s="5">
        <f>IFERROR(__xludf.DUMMYFUNCTION("""COMPUTED_VALUE"""),0.15859694426511728)</f>
        <v>0.1585969443</v>
      </c>
      <c r="H1433" s="5">
        <f>IFERROR(__xludf.DUMMYFUNCTION("""COMPUTED_VALUE"""),0.5872855701311807)</f>
        <v>0.5872855701</v>
      </c>
      <c r="I1433" s="11">
        <f>IFERROR(__xludf.DUMMYFUNCTION("""COMPUTED_VALUE"""),5398.486377396569)</f>
        <v>5398.486377</v>
      </c>
      <c r="J1433" s="10">
        <f>IFERROR(__xludf.DUMMYFUNCTION("""COMPUTED_VALUE"""),1.0)</f>
        <v>1</v>
      </c>
      <c r="K1433" s="5">
        <f>IFERROR(__xludf.DUMMYFUNCTION("""COMPUTED_VALUE"""),0.002304147465437788)</f>
        <v>0.002304147465</v>
      </c>
      <c r="L1433" s="10">
        <f>IFERROR(__xludf.DUMMYFUNCTION("""COMPUTED_VALUE"""),434.0)</f>
        <v>434</v>
      </c>
      <c r="M1433" s="5">
        <f>IFERROR(__xludf.DUMMYFUNCTION("""COMPUTED_VALUE"""),1.0)</f>
        <v>1</v>
      </c>
    </row>
    <row r="1434">
      <c r="A1434" s="10" t="str">
        <f>IFERROR(__xludf.DUMMYFUNCTION("""COMPUTED_VALUE"""),"マティーニ")</f>
        <v>マティーニ</v>
      </c>
      <c r="B1434" s="10">
        <f>IFERROR(__xludf.DUMMYFUNCTION("""COMPUTED_VALUE"""),340.0)</f>
        <v>340</v>
      </c>
      <c r="C1434" s="10">
        <f>IFERROR(__xludf.DUMMYFUNCTION("""COMPUTED_VALUE"""),3992.0)</f>
        <v>3992</v>
      </c>
      <c r="D1434" s="5">
        <f>IFERROR(__xludf.DUMMYFUNCTION("""COMPUTED_VALUE"""),0.3302300109529025)</f>
        <v>0.330230011</v>
      </c>
      <c r="E1434" s="5">
        <f>IFERROR(__xludf.DUMMYFUNCTION("""COMPUTED_VALUE"""),0.13663745892661555)</f>
        <v>0.1366374589</v>
      </c>
      <c r="F1434" s="5">
        <f>IFERROR(__xludf.DUMMYFUNCTION("""COMPUTED_VALUE"""),0.21221248630887185)</f>
        <v>0.2122124863</v>
      </c>
      <c r="G1434" s="5">
        <f>IFERROR(__xludf.DUMMYFUNCTION("""COMPUTED_VALUE"""),0.19605695509309967)</f>
        <v>0.1960569551</v>
      </c>
      <c r="H1434" s="5">
        <f>IFERROR(__xludf.DUMMYFUNCTION("""COMPUTED_VALUE"""),0.5909677419354838)</f>
        <v>0.5909677419</v>
      </c>
      <c r="I1434" s="11">
        <f>IFERROR(__xludf.DUMMYFUNCTION("""COMPUTED_VALUE"""),5767.4838709677415)</f>
        <v>5767.483871</v>
      </c>
      <c r="J1434" s="10">
        <f>IFERROR(__xludf.DUMMYFUNCTION("""COMPUTED_VALUE"""),1.0)</f>
        <v>1</v>
      </c>
      <c r="K1434" s="5">
        <f>IFERROR(__xludf.DUMMYFUNCTION("""COMPUTED_VALUE"""),0.0029411764705882353)</f>
        <v>0.002941176471</v>
      </c>
      <c r="L1434" s="10">
        <f>IFERROR(__xludf.DUMMYFUNCTION("""COMPUTED_VALUE"""),340.0)</f>
        <v>340</v>
      </c>
      <c r="M1434" s="5">
        <f>IFERROR(__xludf.DUMMYFUNCTION("""COMPUTED_VALUE"""),1.0)</f>
        <v>1</v>
      </c>
    </row>
    <row r="1435">
      <c r="A1435" s="10" t="str">
        <f>IFERROR(__xludf.DUMMYFUNCTION("""COMPUTED_VALUE"""),"鳳拳")</f>
        <v>鳳拳</v>
      </c>
      <c r="B1435" s="10">
        <f>IFERROR(__xludf.DUMMYFUNCTION("""COMPUTED_VALUE"""),537.0)</f>
        <v>537</v>
      </c>
      <c r="C1435" s="10">
        <f>IFERROR(__xludf.DUMMYFUNCTION("""COMPUTED_VALUE"""),6275.0)</f>
        <v>6275</v>
      </c>
      <c r="D1435" s="5">
        <f>IFERROR(__xludf.DUMMYFUNCTION("""COMPUTED_VALUE"""),0.34994771697455557)</f>
        <v>0.349947717</v>
      </c>
      <c r="E1435" s="5">
        <f>IFERROR(__xludf.DUMMYFUNCTION("""COMPUTED_VALUE"""),0.13663297316138026)</f>
        <v>0.1366329732</v>
      </c>
      <c r="F1435" s="5">
        <f>IFERROR(__xludf.DUMMYFUNCTION("""COMPUTED_VALUE"""),0.22063436737539213)</f>
        <v>0.2206343674</v>
      </c>
      <c r="G1435" s="5">
        <f>IFERROR(__xludf.DUMMYFUNCTION("""COMPUTED_VALUE"""),0.15754618333914255)</f>
        <v>0.1575461833</v>
      </c>
      <c r="H1435" s="5">
        <f>IFERROR(__xludf.DUMMYFUNCTION("""COMPUTED_VALUE"""),0.6034755134281201)</f>
        <v>0.6034755134</v>
      </c>
      <c r="I1435" s="11">
        <f>IFERROR(__xludf.DUMMYFUNCTION("""COMPUTED_VALUE"""),5570.8530805687205)</f>
        <v>5570.853081</v>
      </c>
      <c r="J1435" s="10">
        <f>IFERROR(__xludf.DUMMYFUNCTION("""COMPUTED_VALUE"""),4.0)</f>
        <v>4</v>
      </c>
      <c r="K1435" s="5">
        <f>IFERROR(__xludf.DUMMYFUNCTION("""COMPUTED_VALUE"""),0.0074487895716946)</f>
        <v>0.007448789572</v>
      </c>
      <c r="L1435" s="10">
        <f>IFERROR(__xludf.DUMMYFUNCTION("""COMPUTED_VALUE"""),537.0)</f>
        <v>537</v>
      </c>
      <c r="M1435" s="5">
        <f>IFERROR(__xludf.DUMMYFUNCTION("""COMPUTED_VALUE"""),1.0)</f>
        <v>1</v>
      </c>
    </row>
    <row r="1436">
      <c r="A1436" s="10" t="str">
        <f>IFERROR(__xludf.DUMMYFUNCTION("""COMPUTED_VALUE"""),"安良岡花火")</f>
        <v>安良岡花火</v>
      </c>
      <c r="B1436" s="10">
        <f>IFERROR(__xludf.DUMMYFUNCTION("""COMPUTED_VALUE"""),410.0)</f>
        <v>410</v>
      </c>
      <c r="C1436" s="10">
        <f>IFERROR(__xludf.DUMMYFUNCTION("""COMPUTED_VALUE"""),4743.0)</f>
        <v>4743</v>
      </c>
      <c r="D1436" s="5">
        <f>IFERROR(__xludf.DUMMYFUNCTION("""COMPUTED_VALUE"""),0.31963997230556196)</f>
        <v>0.3196399723</v>
      </c>
      <c r="E1436" s="5">
        <f>IFERROR(__xludf.DUMMYFUNCTION("""COMPUTED_VALUE"""),0.1366258942995615)</f>
        <v>0.1366258943</v>
      </c>
      <c r="F1436" s="5">
        <f>IFERROR(__xludf.DUMMYFUNCTION("""COMPUTED_VALUE"""),0.2102469420724671)</f>
        <v>0.2102469421</v>
      </c>
      <c r="G1436" s="5">
        <f>IFERROR(__xludf.DUMMYFUNCTION("""COMPUTED_VALUE"""),0.20078467574428802)</f>
        <v>0.2007846757</v>
      </c>
      <c r="H1436" s="5">
        <f>IFERROR(__xludf.DUMMYFUNCTION("""COMPUTED_VALUE"""),0.5828759604829857)</f>
        <v>0.5828759605</v>
      </c>
      <c r="I1436" s="11">
        <f>IFERROR(__xludf.DUMMYFUNCTION("""COMPUTED_VALUE"""),6090.5598243688255)</f>
        <v>6090.559824</v>
      </c>
      <c r="J1436" s="10">
        <f>IFERROR(__xludf.DUMMYFUNCTION("""COMPUTED_VALUE"""),0.0)</f>
        <v>0</v>
      </c>
      <c r="K1436" s="5">
        <f>IFERROR(__xludf.DUMMYFUNCTION("""COMPUTED_VALUE"""),0.0)</f>
        <v>0</v>
      </c>
      <c r="L1436" s="10">
        <f>IFERROR(__xludf.DUMMYFUNCTION("""COMPUTED_VALUE"""),410.0)</f>
        <v>410</v>
      </c>
      <c r="M1436" s="5">
        <f>IFERROR(__xludf.DUMMYFUNCTION("""COMPUTED_VALUE"""),1.0)</f>
        <v>1</v>
      </c>
    </row>
    <row r="1437">
      <c r="A1437" s="10" t="str">
        <f>IFERROR(__xludf.DUMMYFUNCTION("""COMPUTED_VALUE"""),"心滅獣身")</f>
        <v>心滅獣身</v>
      </c>
      <c r="B1437" s="10">
        <f>IFERROR(__xludf.DUMMYFUNCTION("""COMPUTED_VALUE"""),1877.0)</f>
        <v>1877</v>
      </c>
      <c r="C1437" s="10">
        <f>IFERROR(__xludf.DUMMYFUNCTION("""COMPUTED_VALUE"""),21874.0)</f>
        <v>21874</v>
      </c>
      <c r="D1437" s="5">
        <f>IFERROR(__xludf.DUMMYFUNCTION("""COMPUTED_VALUE"""),0.31914787218082713)</f>
        <v>0.3191478722</v>
      </c>
      <c r="E1437" s="5">
        <f>IFERROR(__xludf.DUMMYFUNCTION("""COMPUTED_VALUE"""),0.1366204930739611)</f>
        <v>0.1366204931</v>
      </c>
      <c r="F1437" s="5">
        <f>IFERROR(__xludf.DUMMYFUNCTION("""COMPUTED_VALUE"""),0.20753112966945042)</f>
        <v>0.2075311297</v>
      </c>
      <c r="G1437" s="5">
        <f>IFERROR(__xludf.DUMMYFUNCTION("""COMPUTED_VALUE"""),0.16082412361854279)</f>
        <v>0.1608241236</v>
      </c>
      <c r="H1437" s="5">
        <f>IFERROR(__xludf.DUMMYFUNCTION("""COMPUTED_VALUE"""),0.5908433734939759)</f>
        <v>0.5908433735</v>
      </c>
      <c r="I1437" s="11">
        <f>IFERROR(__xludf.DUMMYFUNCTION("""COMPUTED_VALUE"""),5800.409638554217)</f>
        <v>5800.409639</v>
      </c>
      <c r="J1437" s="10">
        <f>IFERROR(__xludf.DUMMYFUNCTION("""COMPUTED_VALUE"""),9.0)</f>
        <v>9</v>
      </c>
      <c r="K1437" s="5">
        <f>IFERROR(__xludf.DUMMYFUNCTION("""COMPUTED_VALUE"""),0.004794885455514118)</f>
        <v>0.004794885456</v>
      </c>
      <c r="L1437" s="10">
        <f>IFERROR(__xludf.DUMMYFUNCTION("""COMPUTED_VALUE"""),1541.0)</f>
        <v>1541</v>
      </c>
      <c r="M1437" s="5">
        <f>IFERROR(__xludf.DUMMYFUNCTION("""COMPUTED_VALUE"""),0.8209909429941395)</f>
        <v>0.820990943</v>
      </c>
    </row>
    <row r="1438">
      <c r="A1438" s="10" t="str">
        <f>IFERROR(__xludf.DUMMYFUNCTION("""COMPUTED_VALUE"""),"奇子")</f>
        <v>奇子</v>
      </c>
      <c r="B1438" s="10">
        <f>IFERROR(__xludf.DUMMYFUNCTION("""COMPUTED_VALUE"""),303.0)</f>
        <v>303</v>
      </c>
      <c r="C1438" s="10">
        <f>IFERROR(__xludf.DUMMYFUNCTION("""COMPUTED_VALUE"""),3502.0)</f>
        <v>3502</v>
      </c>
      <c r="D1438" s="5">
        <f>IFERROR(__xludf.DUMMYFUNCTION("""COMPUTED_VALUE"""),0.2794623319787434)</f>
        <v>0.279462332</v>
      </c>
      <c r="E1438" s="5">
        <f>IFERROR(__xludf.DUMMYFUNCTION("""COMPUTED_VALUE"""),0.1366051891216005)</f>
        <v>0.1366051891</v>
      </c>
      <c r="F1438" s="5">
        <f>IFERROR(__xludf.DUMMYFUNCTION("""COMPUTED_VALUE"""),0.19537355423569866)</f>
        <v>0.1953735542</v>
      </c>
      <c r="G1438" s="5">
        <f>IFERROR(__xludf.DUMMYFUNCTION("""COMPUTED_VALUE"""),0.20600187558612065)</f>
        <v>0.2060018756</v>
      </c>
      <c r="H1438" s="5">
        <f>IFERROR(__xludf.DUMMYFUNCTION("""COMPUTED_VALUE"""),0.6048)</f>
        <v>0.6048</v>
      </c>
      <c r="I1438" s="11">
        <f>IFERROR(__xludf.DUMMYFUNCTION("""COMPUTED_VALUE"""),5810.24)</f>
        <v>5810.24</v>
      </c>
      <c r="J1438" s="10">
        <f>IFERROR(__xludf.DUMMYFUNCTION("""COMPUTED_VALUE"""),1.0)</f>
        <v>1</v>
      </c>
      <c r="K1438" s="5">
        <f>IFERROR(__xludf.DUMMYFUNCTION("""COMPUTED_VALUE"""),0.0033003300330033004)</f>
        <v>0.003300330033</v>
      </c>
      <c r="L1438" s="10">
        <f>IFERROR(__xludf.DUMMYFUNCTION("""COMPUTED_VALUE"""),0.0)</f>
        <v>0</v>
      </c>
      <c r="M1438" s="5">
        <f>IFERROR(__xludf.DUMMYFUNCTION("""COMPUTED_VALUE"""),0.0)</f>
        <v>0</v>
      </c>
    </row>
    <row r="1439">
      <c r="A1439" s="10" t="str">
        <f>IFERROR(__xludf.DUMMYFUNCTION("""COMPUTED_VALUE"""),"ラビット")</f>
        <v>ラビット</v>
      </c>
      <c r="B1439" s="10">
        <f>IFERROR(__xludf.DUMMYFUNCTION("""COMPUTED_VALUE"""),697.0)</f>
        <v>697</v>
      </c>
      <c r="C1439" s="10">
        <f>IFERROR(__xludf.DUMMYFUNCTION("""COMPUTED_VALUE"""),8186.0)</f>
        <v>8186</v>
      </c>
      <c r="D1439" s="5">
        <f>IFERROR(__xludf.DUMMYFUNCTION("""COMPUTED_VALUE"""),0.38696755241020164)</f>
        <v>0.3869675524</v>
      </c>
      <c r="E1439" s="5">
        <f>IFERROR(__xludf.DUMMYFUNCTION("""COMPUTED_VALUE"""),0.13660034717585792)</f>
        <v>0.1366003472</v>
      </c>
      <c r="F1439" s="5">
        <f>IFERROR(__xludf.DUMMYFUNCTION("""COMPUTED_VALUE"""),0.21858726131659767)</f>
        <v>0.2185872613</v>
      </c>
      <c r="G1439" s="5">
        <f>IFERROR(__xludf.DUMMYFUNCTION("""COMPUTED_VALUE"""),0.17078381626385364)</f>
        <v>0.1707838163</v>
      </c>
      <c r="H1439" s="5">
        <f>IFERROR(__xludf.DUMMYFUNCTION("""COMPUTED_VALUE"""),0.5937690897984117)</f>
        <v>0.5937690898</v>
      </c>
      <c r="I1439" s="11">
        <f>IFERROR(__xludf.DUMMYFUNCTION("""COMPUTED_VALUE"""),5183.445326817348)</f>
        <v>5183.445327</v>
      </c>
      <c r="J1439" s="10">
        <f>IFERROR(__xludf.DUMMYFUNCTION("""COMPUTED_VALUE"""),0.0)</f>
        <v>0</v>
      </c>
      <c r="K1439" s="5">
        <f>IFERROR(__xludf.DUMMYFUNCTION("""COMPUTED_VALUE"""),0.0)</f>
        <v>0</v>
      </c>
      <c r="L1439" s="10">
        <f>IFERROR(__xludf.DUMMYFUNCTION("""COMPUTED_VALUE"""),697.0)</f>
        <v>697</v>
      </c>
      <c r="M1439" s="5">
        <f>IFERROR(__xludf.DUMMYFUNCTION("""COMPUTED_VALUE"""),1.0)</f>
        <v>1</v>
      </c>
    </row>
    <row r="1440">
      <c r="A1440" s="10" t="str">
        <f>IFERROR(__xludf.DUMMYFUNCTION("""COMPUTED_VALUE"""),"たかのり茶ん")</f>
        <v>たかのり茶ん</v>
      </c>
      <c r="B1440" s="10">
        <f>IFERROR(__xludf.DUMMYFUNCTION("""COMPUTED_VALUE"""),133.0)</f>
        <v>133</v>
      </c>
      <c r="C1440" s="10">
        <f>IFERROR(__xludf.DUMMYFUNCTION("""COMPUTED_VALUE"""),1502.0)</f>
        <v>1502</v>
      </c>
      <c r="D1440" s="5">
        <f>IFERROR(__xludf.DUMMYFUNCTION("""COMPUTED_VALUE"""),0.2410518626734843)</f>
        <v>0.2410518627</v>
      </c>
      <c r="E1440" s="5">
        <f>IFERROR(__xludf.DUMMYFUNCTION("""COMPUTED_VALUE"""),0.13659605551497445)</f>
        <v>0.1365960555</v>
      </c>
      <c r="F1440" s="5">
        <f>IFERROR(__xludf.DUMMYFUNCTION("""COMPUTED_VALUE"""),0.2089116143170197)</f>
        <v>0.2089116143</v>
      </c>
      <c r="G1440" s="5">
        <f>IFERROR(__xludf.DUMMYFUNCTION("""COMPUTED_VALUE"""),0.20306793279766253)</f>
        <v>0.2030679328</v>
      </c>
      <c r="H1440" s="5">
        <f>IFERROR(__xludf.DUMMYFUNCTION("""COMPUTED_VALUE"""),0.5524475524475524)</f>
        <v>0.5524475524</v>
      </c>
      <c r="I1440" s="11">
        <f>IFERROR(__xludf.DUMMYFUNCTION("""COMPUTED_VALUE"""),5822.027972027972)</f>
        <v>5822.027972</v>
      </c>
      <c r="J1440" s="10">
        <f>IFERROR(__xludf.DUMMYFUNCTION("""COMPUTED_VALUE"""),0.0)</f>
        <v>0</v>
      </c>
      <c r="K1440" s="5">
        <f>IFERROR(__xludf.DUMMYFUNCTION("""COMPUTED_VALUE"""),0.0)</f>
        <v>0</v>
      </c>
      <c r="L1440" s="10">
        <f>IFERROR(__xludf.DUMMYFUNCTION("""COMPUTED_VALUE"""),133.0)</f>
        <v>133</v>
      </c>
      <c r="M1440" s="5">
        <f>IFERROR(__xludf.DUMMYFUNCTION("""COMPUTED_VALUE"""),1.0)</f>
        <v>1</v>
      </c>
    </row>
    <row r="1441">
      <c r="A1441" s="10" t="str">
        <f>IFERROR(__xludf.DUMMYFUNCTION("""COMPUTED_VALUE"""),"今川雷蝶")</f>
        <v>今川雷蝶</v>
      </c>
      <c r="B1441" s="10">
        <f>IFERROR(__xludf.DUMMYFUNCTION("""COMPUTED_VALUE"""),248.0)</f>
        <v>248</v>
      </c>
      <c r="C1441" s="10">
        <f>IFERROR(__xludf.DUMMYFUNCTION("""COMPUTED_VALUE"""),2891.0)</f>
        <v>2891</v>
      </c>
      <c r="D1441" s="5">
        <f>IFERROR(__xludf.DUMMYFUNCTION("""COMPUTED_VALUE"""),0.27014755959137343)</f>
        <v>0.2701475596</v>
      </c>
      <c r="E1441" s="5">
        <f>IFERROR(__xludf.DUMMYFUNCTION("""COMPUTED_VALUE"""),0.13658721150208097)</f>
        <v>0.1365872115</v>
      </c>
      <c r="F1441" s="5">
        <f>IFERROR(__xludf.DUMMYFUNCTION("""COMPUTED_VALUE"""),0.19107075293227394)</f>
        <v>0.1910707529</v>
      </c>
      <c r="G1441" s="5">
        <f>IFERROR(__xludf.DUMMYFUNCTION("""COMPUTED_VALUE"""),0.17669315172152858)</f>
        <v>0.1766931517</v>
      </c>
      <c r="H1441" s="5">
        <f>IFERROR(__xludf.DUMMYFUNCTION("""COMPUTED_VALUE"""),0.5623762376237624)</f>
        <v>0.5623762376</v>
      </c>
      <c r="I1441" s="11">
        <f>IFERROR(__xludf.DUMMYFUNCTION("""COMPUTED_VALUE"""),6171.287128712871)</f>
        <v>6171.287129</v>
      </c>
      <c r="J1441" s="10">
        <f>IFERROR(__xludf.DUMMYFUNCTION("""COMPUTED_VALUE"""),1.0)</f>
        <v>1</v>
      </c>
      <c r="K1441" s="5">
        <f>IFERROR(__xludf.DUMMYFUNCTION("""COMPUTED_VALUE"""),0.004032258064516129)</f>
        <v>0.004032258065</v>
      </c>
      <c r="L1441" s="10">
        <f>IFERROR(__xludf.DUMMYFUNCTION("""COMPUTED_VALUE"""),248.0)</f>
        <v>248</v>
      </c>
      <c r="M1441" s="5">
        <f>IFERROR(__xludf.DUMMYFUNCTION("""COMPUTED_VALUE"""),1.0)</f>
        <v>1</v>
      </c>
    </row>
    <row r="1442">
      <c r="A1442" s="10" t="str">
        <f>IFERROR(__xludf.DUMMYFUNCTION("""COMPUTED_VALUE"""),"もじら")</f>
        <v>もじら</v>
      </c>
      <c r="B1442" s="10">
        <f>IFERROR(__xludf.DUMMYFUNCTION("""COMPUTED_VALUE"""),594.0)</f>
        <v>594</v>
      </c>
      <c r="C1442" s="10">
        <f>IFERROR(__xludf.DUMMYFUNCTION("""COMPUTED_VALUE"""),6905.0)</f>
        <v>6905</v>
      </c>
      <c r="D1442" s="5">
        <f>IFERROR(__xludf.DUMMYFUNCTION("""COMPUTED_VALUE"""),0.39898589763904296)</f>
        <v>0.3989858976</v>
      </c>
      <c r="E1442" s="5">
        <f>IFERROR(__xludf.DUMMYFUNCTION("""COMPUTED_VALUE"""),0.1365869117414039)</f>
        <v>0.1365869117</v>
      </c>
      <c r="F1442" s="5">
        <f>IFERROR(__xludf.DUMMYFUNCTION("""COMPUTED_VALUE"""),0.20551418158770401)</f>
        <v>0.2055141816</v>
      </c>
      <c r="G1442" s="5">
        <f>IFERROR(__xludf.DUMMYFUNCTION("""COMPUTED_VALUE"""),0.15480906353985105)</f>
        <v>0.1548090635</v>
      </c>
      <c r="H1442" s="5">
        <f>IFERROR(__xludf.DUMMYFUNCTION("""COMPUTED_VALUE"""),0.612952968388589)</f>
        <v>0.6129529684</v>
      </c>
      <c r="I1442" s="11">
        <f>IFERROR(__xludf.DUMMYFUNCTION("""COMPUTED_VALUE"""),5592.36700077101)</f>
        <v>5592.367001</v>
      </c>
      <c r="J1442" s="10">
        <f>IFERROR(__xludf.DUMMYFUNCTION("""COMPUTED_VALUE"""),2.0)</f>
        <v>2</v>
      </c>
      <c r="K1442" s="5">
        <f>IFERROR(__xludf.DUMMYFUNCTION("""COMPUTED_VALUE"""),0.003367003367003367)</f>
        <v>0.003367003367</v>
      </c>
      <c r="L1442" s="10">
        <f>IFERROR(__xludf.DUMMYFUNCTION("""COMPUTED_VALUE"""),1.0)</f>
        <v>1</v>
      </c>
      <c r="M1442" s="5">
        <f>IFERROR(__xludf.DUMMYFUNCTION("""COMPUTED_VALUE"""),0.0016835016835016834)</f>
        <v>0.001683501684</v>
      </c>
    </row>
    <row r="1443">
      <c r="A1443" s="10" t="str">
        <f>IFERROR(__xludf.DUMMYFUNCTION("""COMPUTED_VALUE"""),"ASSAMtea")</f>
        <v>ASSAMtea</v>
      </c>
      <c r="B1443" s="10">
        <f>IFERROR(__xludf.DUMMYFUNCTION("""COMPUTED_VALUE"""),271.0)</f>
        <v>271</v>
      </c>
      <c r="C1443" s="10">
        <f>IFERROR(__xludf.DUMMYFUNCTION("""COMPUTED_VALUE"""),3163.0)</f>
        <v>3163</v>
      </c>
      <c r="D1443" s="5">
        <f>IFERROR(__xludf.DUMMYFUNCTION("""COMPUTED_VALUE"""),0.37586445366528354)</f>
        <v>0.3758644537</v>
      </c>
      <c r="E1443" s="5">
        <f>IFERROR(__xludf.DUMMYFUNCTION("""COMPUTED_VALUE"""),0.13658367911479943)</f>
        <v>0.1365836791</v>
      </c>
      <c r="F1443" s="5">
        <f>IFERROR(__xludf.DUMMYFUNCTION("""COMPUTED_VALUE"""),0.20885200553250347)</f>
        <v>0.2088520055</v>
      </c>
      <c r="G1443" s="5">
        <f>IFERROR(__xludf.DUMMYFUNCTION("""COMPUTED_VALUE"""),0.16355463347164592)</f>
        <v>0.1635546335</v>
      </c>
      <c r="H1443" s="5">
        <f>IFERROR(__xludf.DUMMYFUNCTION("""COMPUTED_VALUE"""),0.609271523178808)</f>
        <v>0.6092715232</v>
      </c>
      <c r="I1443" s="11">
        <f>IFERROR(__xludf.DUMMYFUNCTION("""COMPUTED_VALUE"""),5658.278145695364)</f>
        <v>5658.278146</v>
      </c>
      <c r="J1443" s="10">
        <f>IFERROR(__xludf.DUMMYFUNCTION("""COMPUTED_VALUE"""),2.0)</f>
        <v>2</v>
      </c>
      <c r="K1443" s="5">
        <f>IFERROR(__xludf.DUMMYFUNCTION("""COMPUTED_VALUE"""),0.007380073800738007)</f>
        <v>0.007380073801</v>
      </c>
      <c r="L1443" s="10">
        <f>IFERROR(__xludf.DUMMYFUNCTION("""COMPUTED_VALUE"""),271.0)</f>
        <v>271</v>
      </c>
      <c r="M1443" s="5">
        <f>IFERROR(__xludf.DUMMYFUNCTION("""COMPUTED_VALUE"""),1.0)</f>
        <v>1</v>
      </c>
    </row>
    <row r="1444">
      <c r="A1444" s="10" t="str">
        <f>IFERROR(__xludf.DUMMYFUNCTION("""COMPUTED_VALUE"""),"負負犬")</f>
        <v>負負犬</v>
      </c>
      <c r="B1444" s="10">
        <f>IFERROR(__xludf.DUMMYFUNCTION("""COMPUTED_VALUE"""),192.0)</f>
        <v>192</v>
      </c>
      <c r="C1444" s="10">
        <f>IFERROR(__xludf.DUMMYFUNCTION("""COMPUTED_VALUE"""),2264.0)</f>
        <v>2264</v>
      </c>
      <c r="D1444" s="5">
        <f>IFERROR(__xludf.DUMMYFUNCTION("""COMPUTED_VALUE"""),0.32384169884169883)</f>
        <v>0.3238416988</v>
      </c>
      <c r="E1444" s="5">
        <f>IFERROR(__xludf.DUMMYFUNCTION("""COMPUTED_VALUE"""),0.1365830115830116)</f>
        <v>0.1365830116</v>
      </c>
      <c r="F1444" s="5">
        <f>IFERROR(__xludf.DUMMYFUNCTION("""COMPUTED_VALUE"""),0.18725868725868725)</f>
        <v>0.1872586873</v>
      </c>
      <c r="G1444" s="5">
        <f>IFERROR(__xludf.DUMMYFUNCTION("""COMPUTED_VALUE"""),0.16554054054054054)</f>
        <v>0.1655405405</v>
      </c>
      <c r="H1444" s="5">
        <f>IFERROR(__xludf.DUMMYFUNCTION("""COMPUTED_VALUE"""),0.5773195876288659)</f>
        <v>0.5773195876</v>
      </c>
      <c r="I1444" s="11">
        <f>IFERROR(__xludf.DUMMYFUNCTION("""COMPUTED_VALUE"""),5535.051546391753)</f>
        <v>5535.051546</v>
      </c>
      <c r="J1444" s="10">
        <f>IFERROR(__xludf.DUMMYFUNCTION("""COMPUTED_VALUE"""),0.0)</f>
        <v>0</v>
      </c>
      <c r="K1444" s="5">
        <f>IFERROR(__xludf.DUMMYFUNCTION("""COMPUTED_VALUE"""),0.0)</f>
        <v>0</v>
      </c>
      <c r="L1444" s="10">
        <f>IFERROR(__xludf.DUMMYFUNCTION("""COMPUTED_VALUE"""),192.0)</f>
        <v>192</v>
      </c>
      <c r="M1444" s="5">
        <f>IFERROR(__xludf.DUMMYFUNCTION("""COMPUTED_VALUE"""),1.0)</f>
        <v>1</v>
      </c>
    </row>
    <row r="1445">
      <c r="A1445" s="10" t="str">
        <f>IFERROR(__xludf.DUMMYFUNCTION("""COMPUTED_VALUE"""),"むきっち")</f>
        <v>むきっち</v>
      </c>
      <c r="B1445" s="10">
        <f>IFERROR(__xludf.DUMMYFUNCTION("""COMPUTED_VALUE"""),2867.0)</f>
        <v>2867</v>
      </c>
      <c r="C1445" s="10">
        <f>IFERROR(__xludf.DUMMYFUNCTION("""COMPUTED_VALUE"""),33606.0)</f>
        <v>33606</v>
      </c>
      <c r="D1445" s="5">
        <f>IFERROR(__xludf.DUMMYFUNCTION("""COMPUTED_VALUE"""),0.3829987963173818)</f>
        <v>0.3829987963</v>
      </c>
      <c r="E1445" s="5">
        <f>IFERROR(__xludf.DUMMYFUNCTION("""COMPUTED_VALUE"""),0.13656917921858225)</f>
        <v>0.1365691792</v>
      </c>
      <c r="F1445" s="5">
        <f>IFERROR(__xludf.DUMMYFUNCTION("""COMPUTED_VALUE"""),0.23390481147727643)</f>
        <v>0.2339048115</v>
      </c>
      <c r="G1445" s="5">
        <f>IFERROR(__xludf.DUMMYFUNCTION("""COMPUTED_VALUE"""),0.18520446338527605)</f>
        <v>0.1852044634</v>
      </c>
      <c r="H1445" s="5">
        <f>IFERROR(__xludf.DUMMYFUNCTION("""COMPUTED_VALUE"""),0.5994436717663422)</f>
        <v>0.5994436718</v>
      </c>
      <c r="I1445" s="11">
        <f>IFERROR(__xludf.DUMMYFUNCTION("""COMPUTED_VALUE"""),5306.717663421418)</f>
        <v>5306.717663</v>
      </c>
      <c r="J1445" s="10">
        <f>IFERROR(__xludf.DUMMYFUNCTION("""COMPUTED_VALUE"""),2.0)</f>
        <v>2</v>
      </c>
      <c r="K1445" s="5">
        <f>IFERROR(__xludf.DUMMYFUNCTION("""COMPUTED_VALUE"""),6.975933031042902E-4)</f>
        <v>0.0006975933031</v>
      </c>
      <c r="L1445" s="10">
        <f>IFERROR(__xludf.DUMMYFUNCTION("""COMPUTED_VALUE"""),2867.0)</f>
        <v>2867</v>
      </c>
      <c r="M1445" s="5">
        <f>IFERROR(__xludf.DUMMYFUNCTION("""COMPUTED_VALUE"""),1.0)</f>
        <v>1</v>
      </c>
    </row>
    <row r="1446">
      <c r="A1446" s="10" t="str">
        <f>IFERROR(__xludf.DUMMYFUNCTION("""COMPUTED_VALUE"""),"killers9")</f>
        <v>killers9</v>
      </c>
      <c r="B1446" s="10">
        <f>IFERROR(__xludf.DUMMYFUNCTION("""COMPUTED_VALUE"""),473.0)</f>
        <v>473</v>
      </c>
      <c r="C1446" s="10">
        <f>IFERROR(__xludf.DUMMYFUNCTION("""COMPUTED_VALUE"""),5511.0)</f>
        <v>5511</v>
      </c>
      <c r="D1446" s="5">
        <f>IFERROR(__xludf.DUMMYFUNCTION("""COMPUTED_VALUE"""),0.3221516474791584)</f>
        <v>0.3221516475</v>
      </c>
      <c r="E1446" s="5">
        <f>IFERROR(__xludf.DUMMYFUNCTION("""COMPUTED_VALUE"""),0.13656212782850338)</f>
        <v>0.1365621278</v>
      </c>
      <c r="F1446" s="5">
        <f>IFERROR(__xludf.DUMMYFUNCTION("""COMPUTED_VALUE"""),0.21635569670504168)</f>
        <v>0.2163556967</v>
      </c>
      <c r="G1446" s="5">
        <f>IFERROR(__xludf.DUMMYFUNCTION("""COMPUTED_VALUE"""),0.203652242953553)</f>
        <v>0.203652243</v>
      </c>
      <c r="H1446" s="5">
        <f>IFERROR(__xludf.DUMMYFUNCTION("""COMPUTED_VALUE"""),0.5944954128440367)</f>
        <v>0.5944954128</v>
      </c>
      <c r="I1446" s="11">
        <f>IFERROR(__xludf.DUMMYFUNCTION("""COMPUTED_VALUE"""),5937.981651376147)</f>
        <v>5937.981651</v>
      </c>
      <c r="J1446" s="10">
        <f>IFERROR(__xludf.DUMMYFUNCTION("""COMPUTED_VALUE"""),3.0)</f>
        <v>3</v>
      </c>
      <c r="K1446" s="5">
        <f>IFERROR(__xludf.DUMMYFUNCTION("""COMPUTED_VALUE"""),0.006342494714587738)</f>
        <v>0.006342494715</v>
      </c>
      <c r="L1446" s="10">
        <f>IFERROR(__xludf.DUMMYFUNCTION("""COMPUTED_VALUE"""),473.0)</f>
        <v>473</v>
      </c>
      <c r="M1446" s="5">
        <f>IFERROR(__xludf.DUMMYFUNCTION("""COMPUTED_VALUE"""),1.0)</f>
        <v>1</v>
      </c>
    </row>
    <row r="1447">
      <c r="A1447" s="10" t="str">
        <f>IFERROR(__xludf.DUMMYFUNCTION("""COMPUTED_VALUE"""),"マクシムス")</f>
        <v>マクシムス</v>
      </c>
      <c r="B1447" s="10">
        <f>IFERROR(__xludf.DUMMYFUNCTION("""COMPUTED_VALUE"""),131.0)</f>
        <v>131</v>
      </c>
      <c r="C1447" s="10">
        <f>IFERROR(__xludf.DUMMYFUNCTION("""COMPUTED_VALUE"""),1515.0)</f>
        <v>1515</v>
      </c>
      <c r="D1447" s="5">
        <f>IFERROR(__xludf.DUMMYFUNCTION("""COMPUTED_VALUE"""),0.4313583815028902)</f>
        <v>0.4313583815</v>
      </c>
      <c r="E1447" s="5">
        <f>IFERROR(__xludf.DUMMYFUNCTION("""COMPUTED_VALUE"""),0.1365606936416185)</f>
        <v>0.1365606936</v>
      </c>
      <c r="F1447" s="5">
        <f>IFERROR(__xludf.DUMMYFUNCTION("""COMPUTED_VALUE"""),0.21170520231213874)</f>
        <v>0.2117052023</v>
      </c>
      <c r="G1447" s="5">
        <f>IFERROR(__xludf.DUMMYFUNCTION("""COMPUTED_VALUE"""),0.171242774566474)</f>
        <v>0.1712427746</v>
      </c>
      <c r="H1447" s="5">
        <f>IFERROR(__xludf.DUMMYFUNCTION("""COMPUTED_VALUE"""),0.6075085324232082)</f>
        <v>0.6075085324</v>
      </c>
      <c r="I1447" s="11">
        <f>IFERROR(__xludf.DUMMYFUNCTION("""COMPUTED_VALUE"""),5115.699658703072)</f>
        <v>5115.699659</v>
      </c>
      <c r="J1447" s="10">
        <f>IFERROR(__xludf.DUMMYFUNCTION("""COMPUTED_VALUE"""),0.0)</f>
        <v>0</v>
      </c>
      <c r="K1447" s="5">
        <f>IFERROR(__xludf.DUMMYFUNCTION("""COMPUTED_VALUE"""),0.0)</f>
        <v>0</v>
      </c>
      <c r="L1447" s="10">
        <f>IFERROR(__xludf.DUMMYFUNCTION("""COMPUTED_VALUE"""),131.0)</f>
        <v>131</v>
      </c>
      <c r="M1447" s="5">
        <f>IFERROR(__xludf.DUMMYFUNCTION("""COMPUTED_VALUE"""),1.0)</f>
        <v>1</v>
      </c>
    </row>
    <row r="1448">
      <c r="A1448" s="10" t="str">
        <f>IFERROR(__xludf.DUMMYFUNCTION("""COMPUTED_VALUE"""),".=★=")</f>
        <v>.=★=</v>
      </c>
      <c r="B1448" s="10">
        <f>IFERROR(__xludf.DUMMYFUNCTION("""COMPUTED_VALUE"""),409.0)</f>
        <v>409</v>
      </c>
      <c r="C1448" s="10">
        <f>IFERROR(__xludf.DUMMYFUNCTION("""COMPUTED_VALUE"""),4759.0)</f>
        <v>4759</v>
      </c>
      <c r="D1448" s="5">
        <f>IFERROR(__xludf.DUMMYFUNCTION("""COMPUTED_VALUE"""),0.32850574712643676)</f>
        <v>0.3285057471</v>
      </c>
      <c r="E1448" s="5">
        <f>IFERROR(__xludf.DUMMYFUNCTION("""COMPUTED_VALUE"""),0.13655172413793104)</f>
        <v>0.1365517241</v>
      </c>
      <c r="F1448" s="5">
        <f>IFERROR(__xludf.DUMMYFUNCTION("""COMPUTED_VALUE"""),0.20850574712643677)</f>
        <v>0.2085057471</v>
      </c>
      <c r="G1448" s="5">
        <f>IFERROR(__xludf.DUMMYFUNCTION("""COMPUTED_VALUE"""),0.16689655172413792)</f>
        <v>0.1668965517</v>
      </c>
      <c r="H1448" s="5">
        <f>IFERROR(__xludf.DUMMYFUNCTION("""COMPUTED_VALUE"""),0.6152149944873209)</f>
        <v>0.6152149945</v>
      </c>
      <c r="I1448" s="11">
        <f>IFERROR(__xludf.DUMMYFUNCTION("""COMPUTED_VALUE"""),5642.006615214995)</f>
        <v>5642.006615</v>
      </c>
      <c r="J1448" s="10">
        <f>IFERROR(__xludf.DUMMYFUNCTION("""COMPUTED_VALUE"""),0.0)</f>
        <v>0</v>
      </c>
      <c r="K1448" s="5">
        <f>IFERROR(__xludf.DUMMYFUNCTION("""COMPUTED_VALUE"""),0.0)</f>
        <v>0</v>
      </c>
      <c r="L1448" s="10">
        <f>IFERROR(__xludf.DUMMYFUNCTION("""COMPUTED_VALUE"""),3.0)</f>
        <v>3</v>
      </c>
      <c r="M1448" s="5">
        <f>IFERROR(__xludf.DUMMYFUNCTION("""COMPUTED_VALUE"""),0.007334963325183374)</f>
        <v>0.007334963325</v>
      </c>
    </row>
    <row r="1449">
      <c r="A1449" s="10" t="str">
        <f>IFERROR(__xludf.DUMMYFUNCTION("""COMPUTED_VALUE"""),"おじお")</f>
        <v>おじお</v>
      </c>
      <c r="B1449" s="10">
        <f>IFERROR(__xludf.DUMMYFUNCTION("""COMPUTED_VALUE"""),530.0)</f>
        <v>530</v>
      </c>
      <c r="C1449" s="10">
        <f>IFERROR(__xludf.DUMMYFUNCTION("""COMPUTED_VALUE"""),6228.0)</f>
        <v>6228</v>
      </c>
      <c r="D1449" s="5">
        <f>IFERROR(__xludf.DUMMYFUNCTION("""COMPUTED_VALUE"""),0.39241839241839244)</f>
        <v>0.3924183924</v>
      </c>
      <c r="E1449" s="5">
        <f>IFERROR(__xludf.DUMMYFUNCTION("""COMPUTED_VALUE"""),0.13653913653913655)</f>
        <v>0.1365391365</v>
      </c>
      <c r="F1449" s="5">
        <f>IFERROR(__xludf.DUMMYFUNCTION("""COMPUTED_VALUE"""),0.2155142155142155)</f>
        <v>0.2155142155</v>
      </c>
      <c r="G1449" s="5">
        <f>IFERROR(__xludf.DUMMYFUNCTION("""COMPUTED_VALUE"""),0.171990171990172)</f>
        <v>0.171990172</v>
      </c>
      <c r="H1449" s="5">
        <f>IFERROR(__xludf.DUMMYFUNCTION("""COMPUTED_VALUE"""),0.6156351791530945)</f>
        <v>0.6156351792</v>
      </c>
      <c r="I1449" s="11">
        <f>IFERROR(__xludf.DUMMYFUNCTION("""COMPUTED_VALUE"""),5377.035830618893)</f>
        <v>5377.035831</v>
      </c>
      <c r="J1449" s="10">
        <f>IFERROR(__xludf.DUMMYFUNCTION("""COMPUTED_VALUE"""),0.0)</f>
        <v>0</v>
      </c>
      <c r="K1449" s="5">
        <f>IFERROR(__xludf.DUMMYFUNCTION("""COMPUTED_VALUE"""),0.0)</f>
        <v>0</v>
      </c>
      <c r="L1449" s="10">
        <f>IFERROR(__xludf.DUMMYFUNCTION("""COMPUTED_VALUE"""),530.0)</f>
        <v>530</v>
      </c>
      <c r="M1449" s="5">
        <f>IFERROR(__xludf.DUMMYFUNCTION("""COMPUTED_VALUE"""),1.0)</f>
        <v>1</v>
      </c>
    </row>
    <row r="1450">
      <c r="A1450" s="10" t="str">
        <f>IFERROR(__xludf.DUMMYFUNCTION("""COMPUTED_VALUE"""),"夏蔭")</f>
        <v>夏蔭</v>
      </c>
      <c r="B1450" s="10">
        <f>IFERROR(__xludf.DUMMYFUNCTION("""COMPUTED_VALUE"""),611.0)</f>
        <v>611</v>
      </c>
      <c r="C1450" s="10">
        <f>IFERROR(__xludf.DUMMYFUNCTION("""COMPUTED_VALUE"""),7144.0)</f>
        <v>7144</v>
      </c>
      <c r="D1450" s="5">
        <f>IFERROR(__xludf.DUMMYFUNCTION("""COMPUTED_VALUE"""),0.3606306444206337)</f>
        <v>0.3606306444</v>
      </c>
      <c r="E1450" s="5">
        <f>IFERROR(__xludf.DUMMYFUNCTION("""COMPUTED_VALUE"""),0.13653757844788)</f>
        <v>0.1365375784</v>
      </c>
      <c r="F1450" s="5">
        <f>IFERROR(__xludf.DUMMYFUNCTION("""COMPUTED_VALUE"""),0.20878616255931426)</f>
        <v>0.2087861626</v>
      </c>
      <c r="G1450" s="5">
        <f>IFERROR(__xludf.DUMMYFUNCTION("""COMPUTED_VALUE"""),0.1819990815857952)</f>
        <v>0.1819990816</v>
      </c>
      <c r="H1450" s="5">
        <f>IFERROR(__xludf.DUMMYFUNCTION("""COMPUTED_VALUE"""),0.6048387096774194)</f>
        <v>0.6048387097</v>
      </c>
      <c r="I1450" s="11">
        <f>IFERROR(__xludf.DUMMYFUNCTION("""COMPUTED_VALUE"""),5441.055718475073)</f>
        <v>5441.055718</v>
      </c>
      <c r="J1450" s="10">
        <f>IFERROR(__xludf.DUMMYFUNCTION("""COMPUTED_VALUE"""),0.0)</f>
        <v>0</v>
      </c>
      <c r="K1450" s="5">
        <f>IFERROR(__xludf.DUMMYFUNCTION("""COMPUTED_VALUE"""),0.0)</f>
        <v>0</v>
      </c>
      <c r="L1450" s="10">
        <f>IFERROR(__xludf.DUMMYFUNCTION("""COMPUTED_VALUE"""),611.0)</f>
        <v>611</v>
      </c>
      <c r="M1450" s="5">
        <f>IFERROR(__xludf.DUMMYFUNCTION("""COMPUTED_VALUE"""),1.0)</f>
        <v>1</v>
      </c>
    </row>
    <row r="1451">
      <c r="A1451" s="10" t="str">
        <f>IFERROR(__xludf.DUMMYFUNCTION("""COMPUTED_VALUE"""),"Sagimu")</f>
        <v>Sagimu</v>
      </c>
      <c r="B1451" s="10">
        <f>IFERROR(__xludf.DUMMYFUNCTION("""COMPUTED_VALUE"""),219.0)</f>
        <v>219</v>
      </c>
      <c r="C1451" s="10">
        <f>IFERROR(__xludf.DUMMYFUNCTION("""COMPUTED_VALUE"""),2592.0)</f>
        <v>2592</v>
      </c>
      <c r="D1451" s="5">
        <f>IFERROR(__xludf.DUMMYFUNCTION("""COMPUTED_VALUE"""),0.3506110408765276)</f>
        <v>0.3506110409</v>
      </c>
      <c r="E1451" s="5">
        <f>IFERROR(__xludf.DUMMYFUNCTION("""COMPUTED_VALUE"""),0.13653603034134007)</f>
        <v>0.1365360303</v>
      </c>
      <c r="F1451" s="5">
        <f>IFERROR(__xludf.DUMMYFUNCTION("""COMPUTED_VALUE"""),0.21070375052675938)</f>
        <v>0.2107037505</v>
      </c>
      <c r="G1451" s="5">
        <f>IFERROR(__xludf.DUMMYFUNCTION("""COMPUTED_VALUE"""),0.14917825537294563)</f>
        <v>0.1491782554</v>
      </c>
      <c r="H1451" s="5">
        <f>IFERROR(__xludf.DUMMYFUNCTION("""COMPUTED_VALUE"""),0.58)</f>
        <v>0.58</v>
      </c>
      <c r="I1451" s="11">
        <f>IFERROR(__xludf.DUMMYFUNCTION("""COMPUTED_VALUE"""),5233.6)</f>
        <v>5233.6</v>
      </c>
      <c r="J1451" s="10">
        <f>IFERROR(__xludf.DUMMYFUNCTION("""COMPUTED_VALUE"""),0.0)</f>
        <v>0</v>
      </c>
      <c r="K1451" s="5">
        <f>IFERROR(__xludf.DUMMYFUNCTION("""COMPUTED_VALUE"""),0.0)</f>
        <v>0</v>
      </c>
      <c r="L1451" s="10">
        <f>IFERROR(__xludf.DUMMYFUNCTION("""COMPUTED_VALUE"""),219.0)</f>
        <v>219</v>
      </c>
      <c r="M1451" s="5">
        <f>IFERROR(__xludf.DUMMYFUNCTION("""COMPUTED_VALUE"""),1.0)</f>
        <v>1</v>
      </c>
    </row>
    <row r="1452">
      <c r="A1452" s="10" t="str">
        <f>IFERROR(__xludf.DUMMYFUNCTION("""COMPUTED_VALUE"""),"t.s1228")</f>
        <v>t.s1228</v>
      </c>
      <c r="B1452" s="10">
        <f>IFERROR(__xludf.DUMMYFUNCTION("""COMPUTED_VALUE"""),285.0)</f>
        <v>285</v>
      </c>
      <c r="C1452" s="10">
        <f>IFERROR(__xludf.DUMMYFUNCTION("""COMPUTED_VALUE"""),3266.0)</f>
        <v>3266</v>
      </c>
      <c r="D1452" s="5">
        <f>IFERROR(__xludf.DUMMYFUNCTION("""COMPUTED_VALUE"""),0.3217041261321704)</f>
        <v>0.3217041261</v>
      </c>
      <c r="E1452" s="5">
        <f>IFERROR(__xludf.DUMMYFUNCTION("""COMPUTED_VALUE"""),0.13653136531365315)</f>
        <v>0.1365313653</v>
      </c>
      <c r="F1452" s="5">
        <f>IFERROR(__xludf.DUMMYFUNCTION("""COMPUTED_VALUE"""),0.20597115062059712)</f>
        <v>0.2059711506</v>
      </c>
      <c r="G1452" s="5">
        <f>IFERROR(__xludf.DUMMYFUNCTION("""COMPUTED_VALUE"""),0.2133512244213351)</f>
        <v>0.2133512244</v>
      </c>
      <c r="H1452" s="5">
        <f>IFERROR(__xludf.DUMMYFUNCTION("""COMPUTED_VALUE"""),0.5667752442996743)</f>
        <v>0.5667752443</v>
      </c>
      <c r="I1452" s="11">
        <f>IFERROR(__xludf.DUMMYFUNCTION("""COMPUTED_VALUE"""),6050.325732899023)</f>
        <v>6050.325733</v>
      </c>
      <c r="J1452" s="10">
        <f>IFERROR(__xludf.DUMMYFUNCTION("""COMPUTED_VALUE"""),1.0)</f>
        <v>1</v>
      </c>
      <c r="K1452" s="5">
        <f>IFERROR(__xludf.DUMMYFUNCTION("""COMPUTED_VALUE"""),0.0035087719298245615)</f>
        <v>0.00350877193</v>
      </c>
      <c r="L1452" s="10">
        <f>IFERROR(__xludf.DUMMYFUNCTION("""COMPUTED_VALUE"""),91.0)</f>
        <v>91</v>
      </c>
      <c r="M1452" s="5">
        <f>IFERROR(__xludf.DUMMYFUNCTION("""COMPUTED_VALUE"""),0.3192982456140351)</f>
        <v>0.3192982456</v>
      </c>
    </row>
    <row r="1453">
      <c r="A1453" s="10" t="str">
        <f>IFERROR(__xludf.DUMMYFUNCTION("""COMPUTED_VALUE"""),"atuohata")</f>
        <v>atuohata</v>
      </c>
      <c r="B1453" s="10">
        <f>IFERROR(__xludf.DUMMYFUNCTION("""COMPUTED_VALUE"""),283.0)</f>
        <v>283</v>
      </c>
      <c r="C1453" s="10">
        <f>IFERROR(__xludf.DUMMYFUNCTION("""COMPUTED_VALUE"""),3264.0)</f>
        <v>3264</v>
      </c>
      <c r="D1453" s="5">
        <f>IFERROR(__xludf.DUMMYFUNCTION("""COMPUTED_VALUE"""),0.3310969473331097)</f>
        <v>0.3310969473</v>
      </c>
      <c r="E1453" s="5">
        <f>IFERROR(__xludf.DUMMYFUNCTION("""COMPUTED_VALUE"""),0.13653136531365315)</f>
        <v>0.1365313653</v>
      </c>
      <c r="F1453" s="5">
        <f>IFERROR(__xludf.DUMMYFUNCTION("""COMPUTED_VALUE"""),0.2146930560214693)</f>
        <v>0.214693056</v>
      </c>
      <c r="G1453" s="5">
        <f>IFERROR(__xludf.DUMMYFUNCTION("""COMPUTED_VALUE"""),0.172089902717209)</f>
        <v>0.1720899027</v>
      </c>
      <c r="H1453" s="5">
        <f>IFERROR(__xludf.DUMMYFUNCTION("""COMPUTED_VALUE"""),0.6046875)</f>
        <v>0.6046875</v>
      </c>
      <c r="I1453" s="11">
        <f>IFERROR(__xludf.DUMMYFUNCTION("""COMPUTED_VALUE"""),5543.75)</f>
        <v>5543.75</v>
      </c>
      <c r="J1453" s="10">
        <f>IFERROR(__xludf.DUMMYFUNCTION("""COMPUTED_VALUE"""),0.0)</f>
        <v>0</v>
      </c>
      <c r="K1453" s="5">
        <f>IFERROR(__xludf.DUMMYFUNCTION("""COMPUTED_VALUE"""),0.0)</f>
        <v>0</v>
      </c>
      <c r="L1453" s="10">
        <f>IFERROR(__xludf.DUMMYFUNCTION("""COMPUTED_VALUE"""),283.0)</f>
        <v>283</v>
      </c>
      <c r="M1453" s="5">
        <f>IFERROR(__xludf.DUMMYFUNCTION("""COMPUTED_VALUE"""),1.0)</f>
        <v>1</v>
      </c>
    </row>
    <row r="1454">
      <c r="A1454" s="10" t="str">
        <f>IFERROR(__xludf.DUMMYFUNCTION("""COMPUTED_VALUE"""),"Minga")</f>
        <v>Minga</v>
      </c>
      <c r="B1454" s="10">
        <f>IFERROR(__xludf.DUMMYFUNCTION("""COMPUTED_VALUE"""),104.0)</f>
        <v>104</v>
      </c>
      <c r="C1454" s="10">
        <f>IFERROR(__xludf.DUMMYFUNCTION("""COMPUTED_VALUE"""),1232.0)</f>
        <v>1232</v>
      </c>
      <c r="D1454" s="5">
        <f>IFERROR(__xludf.DUMMYFUNCTION("""COMPUTED_VALUE"""),0.34131205673758863)</f>
        <v>0.3413120567</v>
      </c>
      <c r="E1454" s="5">
        <f>IFERROR(__xludf.DUMMYFUNCTION("""COMPUTED_VALUE"""),0.13652482269503546)</f>
        <v>0.1365248227</v>
      </c>
      <c r="F1454" s="5">
        <f>IFERROR(__xludf.DUMMYFUNCTION("""COMPUTED_VALUE"""),0.19060283687943264)</f>
        <v>0.1906028369</v>
      </c>
      <c r="G1454" s="5">
        <f>IFERROR(__xludf.DUMMYFUNCTION("""COMPUTED_VALUE"""),0.18439716312056736)</f>
        <v>0.1843971631</v>
      </c>
      <c r="H1454" s="5">
        <f>IFERROR(__xludf.DUMMYFUNCTION("""COMPUTED_VALUE"""),0.5674418604651162)</f>
        <v>0.5674418605</v>
      </c>
      <c r="I1454" s="11">
        <f>IFERROR(__xludf.DUMMYFUNCTION("""COMPUTED_VALUE"""),5795.813953488372)</f>
        <v>5795.813953</v>
      </c>
      <c r="J1454" s="10">
        <f>IFERROR(__xludf.DUMMYFUNCTION("""COMPUTED_VALUE"""),0.0)</f>
        <v>0</v>
      </c>
      <c r="K1454" s="5">
        <f>IFERROR(__xludf.DUMMYFUNCTION("""COMPUTED_VALUE"""),0.0)</f>
        <v>0</v>
      </c>
      <c r="L1454" s="10">
        <f>IFERROR(__xludf.DUMMYFUNCTION("""COMPUTED_VALUE"""),104.0)</f>
        <v>104</v>
      </c>
      <c r="M1454" s="5">
        <f>IFERROR(__xludf.DUMMYFUNCTION("""COMPUTED_VALUE"""),1.0)</f>
        <v>1</v>
      </c>
    </row>
    <row r="1455">
      <c r="A1455" s="10" t="str">
        <f>IFERROR(__xludf.DUMMYFUNCTION("""COMPUTED_VALUE"""),"サスパズレ")</f>
        <v>サスパズレ</v>
      </c>
      <c r="B1455" s="10">
        <f>IFERROR(__xludf.DUMMYFUNCTION("""COMPUTED_VALUE"""),511.0)</f>
        <v>511</v>
      </c>
      <c r="C1455" s="10">
        <f>IFERROR(__xludf.DUMMYFUNCTION("""COMPUTED_VALUE"""),5990.0)</f>
        <v>5990</v>
      </c>
      <c r="D1455" s="5">
        <f>IFERROR(__xludf.DUMMYFUNCTION("""COMPUTED_VALUE"""),0.2538784449717102)</f>
        <v>0.253878445</v>
      </c>
      <c r="E1455" s="5">
        <f>IFERROR(__xludf.DUMMYFUNCTION("""COMPUTED_VALUE"""),0.13652126300419784)</f>
        <v>0.136521263</v>
      </c>
      <c r="F1455" s="5">
        <f>IFERROR(__xludf.DUMMYFUNCTION("""COMPUTED_VALUE"""),0.1963862018616536)</f>
        <v>0.1963862019</v>
      </c>
      <c r="G1455" s="5">
        <f>IFERROR(__xludf.DUMMYFUNCTION("""COMPUTED_VALUE"""),0.20295674393137433)</f>
        <v>0.2029567439</v>
      </c>
      <c r="H1455" s="5">
        <f>IFERROR(__xludf.DUMMYFUNCTION("""COMPUTED_VALUE"""),0.5697026022304833)</f>
        <v>0.5697026022</v>
      </c>
      <c r="I1455" s="11">
        <f>IFERROR(__xludf.DUMMYFUNCTION("""COMPUTED_VALUE"""),5979.553903345725)</f>
        <v>5979.553903</v>
      </c>
      <c r="J1455" s="10">
        <f>IFERROR(__xludf.DUMMYFUNCTION("""COMPUTED_VALUE"""),1.0)</f>
        <v>1</v>
      </c>
      <c r="K1455" s="5">
        <f>IFERROR(__xludf.DUMMYFUNCTION("""COMPUTED_VALUE"""),0.0019569471624266144)</f>
        <v>0.001956947162</v>
      </c>
      <c r="L1455" s="10">
        <f>IFERROR(__xludf.DUMMYFUNCTION("""COMPUTED_VALUE"""),511.0)</f>
        <v>511</v>
      </c>
      <c r="M1455" s="5">
        <f>IFERROR(__xludf.DUMMYFUNCTION("""COMPUTED_VALUE"""),1.0)</f>
        <v>1</v>
      </c>
    </row>
    <row r="1456">
      <c r="A1456" s="10" t="str">
        <f>IFERROR(__xludf.DUMMYFUNCTION("""COMPUTED_VALUE"""),"ohnoyuki")</f>
        <v>ohnoyuki</v>
      </c>
      <c r="B1456" s="10">
        <f>IFERROR(__xludf.DUMMYFUNCTION("""COMPUTED_VALUE"""),541.0)</f>
        <v>541</v>
      </c>
      <c r="C1456" s="10">
        <f>IFERROR(__xludf.DUMMYFUNCTION("""COMPUTED_VALUE"""),6284.0)</f>
        <v>6284</v>
      </c>
      <c r="D1456" s="5">
        <f>IFERROR(__xludf.DUMMYFUNCTION("""COMPUTED_VALUE"""),0.36827442103430263)</f>
        <v>0.368274421</v>
      </c>
      <c r="E1456" s="5">
        <f>IFERROR(__xludf.DUMMYFUNCTION("""COMPUTED_VALUE"""),0.13651401706425215)</f>
        <v>0.1365140171</v>
      </c>
      <c r="F1456" s="5">
        <f>IFERROR(__xludf.DUMMYFUNCTION("""COMPUTED_VALUE"""),0.21695977711997214)</f>
        <v>0.2169597771</v>
      </c>
      <c r="G1456" s="5">
        <f>IFERROR(__xludf.DUMMYFUNCTION("""COMPUTED_VALUE"""),0.19815427476928435)</f>
        <v>0.1981542748</v>
      </c>
      <c r="H1456" s="5">
        <f>IFERROR(__xludf.DUMMYFUNCTION("""COMPUTED_VALUE"""),0.5882825040128411)</f>
        <v>0.588282504</v>
      </c>
      <c r="I1456" s="11">
        <f>IFERROR(__xludf.DUMMYFUNCTION("""COMPUTED_VALUE"""),5996.789727126806)</f>
        <v>5996.789727</v>
      </c>
      <c r="J1456" s="10">
        <f>IFERROR(__xludf.DUMMYFUNCTION("""COMPUTED_VALUE"""),2.0)</f>
        <v>2</v>
      </c>
      <c r="K1456" s="5">
        <f>IFERROR(__xludf.DUMMYFUNCTION("""COMPUTED_VALUE"""),0.0036968576709796672)</f>
        <v>0.003696857671</v>
      </c>
      <c r="L1456" s="10">
        <f>IFERROR(__xludf.DUMMYFUNCTION("""COMPUTED_VALUE"""),541.0)</f>
        <v>541</v>
      </c>
      <c r="M1456" s="5">
        <f>IFERROR(__xludf.DUMMYFUNCTION("""COMPUTED_VALUE"""),1.0)</f>
        <v>1</v>
      </c>
    </row>
    <row r="1457">
      <c r="A1457" s="10" t="str">
        <f>IFERROR(__xludf.DUMMYFUNCTION("""COMPUTED_VALUE"""),"恋する惑星")</f>
        <v>恋する惑星</v>
      </c>
      <c r="B1457" s="10">
        <f>IFERROR(__xludf.DUMMYFUNCTION("""COMPUTED_VALUE"""),2075.0)</f>
        <v>2075</v>
      </c>
      <c r="C1457" s="10">
        <f>IFERROR(__xludf.DUMMYFUNCTION("""COMPUTED_VALUE"""),24300.0)</f>
        <v>24300</v>
      </c>
      <c r="D1457" s="5">
        <f>IFERROR(__xludf.DUMMYFUNCTION("""COMPUTED_VALUE"""),0.37327334083239594)</f>
        <v>0.3732733408</v>
      </c>
      <c r="E1457" s="5">
        <f>IFERROR(__xludf.DUMMYFUNCTION("""COMPUTED_VALUE"""),0.13651293588301464)</f>
        <v>0.1365129359</v>
      </c>
      <c r="F1457" s="5">
        <f>IFERROR(__xludf.DUMMYFUNCTION("""COMPUTED_VALUE"""),0.21907761529808775)</f>
        <v>0.2190776153</v>
      </c>
      <c r="G1457" s="5">
        <f>IFERROR(__xludf.DUMMYFUNCTION("""COMPUTED_VALUE"""),0.1562204724409449)</f>
        <v>0.1562204724</v>
      </c>
      <c r="H1457" s="5">
        <f>IFERROR(__xludf.DUMMYFUNCTION("""COMPUTED_VALUE"""),0.5982747997535428)</f>
        <v>0.5982747998</v>
      </c>
      <c r="I1457" s="11">
        <f>IFERROR(__xludf.DUMMYFUNCTION("""COMPUTED_VALUE"""),5490.55247484083)</f>
        <v>5490.552475</v>
      </c>
      <c r="J1457" s="10">
        <f>IFERROR(__xludf.DUMMYFUNCTION("""COMPUTED_VALUE"""),2.0)</f>
        <v>2</v>
      </c>
      <c r="K1457" s="5">
        <f>IFERROR(__xludf.DUMMYFUNCTION("""COMPUTED_VALUE"""),9.638554216867469E-4)</f>
        <v>0.0009638554217</v>
      </c>
      <c r="L1457" s="10">
        <f>IFERROR(__xludf.DUMMYFUNCTION("""COMPUTED_VALUE"""),0.0)</f>
        <v>0</v>
      </c>
      <c r="M1457" s="5">
        <f>IFERROR(__xludf.DUMMYFUNCTION("""COMPUTED_VALUE"""),0.0)</f>
        <v>0</v>
      </c>
    </row>
    <row r="1458">
      <c r="A1458" s="10" t="str">
        <f>IFERROR(__xludf.DUMMYFUNCTION("""COMPUTED_VALUE"""),"ペチョーリン")</f>
        <v>ペチョーリン</v>
      </c>
      <c r="B1458" s="10">
        <f>IFERROR(__xludf.DUMMYFUNCTION("""COMPUTED_VALUE"""),2533.0)</f>
        <v>2533</v>
      </c>
      <c r="C1458" s="10">
        <f>IFERROR(__xludf.DUMMYFUNCTION("""COMPUTED_VALUE"""),29806.0)</f>
        <v>29806</v>
      </c>
      <c r="D1458" s="5">
        <f>IFERROR(__xludf.DUMMYFUNCTION("""COMPUTED_VALUE"""),0.338979943533898)</f>
        <v>0.3389799435</v>
      </c>
      <c r="E1458" s="5">
        <f>IFERROR(__xludf.DUMMYFUNCTION("""COMPUTED_VALUE"""),0.13650863491365087)</f>
        <v>0.1365086349</v>
      </c>
      <c r="F1458" s="5">
        <f>IFERROR(__xludf.DUMMYFUNCTION("""COMPUTED_VALUE"""),0.22142778572214278)</f>
        <v>0.2214277857</v>
      </c>
      <c r="G1458" s="5">
        <f>IFERROR(__xludf.DUMMYFUNCTION("""COMPUTED_VALUE"""),0.16958163751695815)</f>
        <v>0.1695816375</v>
      </c>
      <c r="H1458" s="5">
        <f>IFERROR(__xludf.DUMMYFUNCTION("""COMPUTED_VALUE"""),0.5989402218910416)</f>
        <v>0.5989402219</v>
      </c>
      <c r="I1458" s="11">
        <f>IFERROR(__xludf.DUMMYFUNCTION("""COMPUTED_VALUE"""),5436.198046034112)</f>
        <v>5436.198046</v>
      </c>
      <c r="J1458" s="10">
        <f>IFERROR(__xludf.DUMMYFUNCTION("""COMPUTED_VALUE"""),4.0)</f>
        <v>4</v>
      </c>
      <c r="K1458" s="5">
        <f>IFERROR(__xludf.DUMMYFUNCTION("""COMPUTED_VALUE"""),0.0015791551519936833)</f>
        <v>0.001579155152</v>
      </c>
      <c r="L1458" s="10">
        <f>IFERROR(__xludf.DUMMYFUNCTION("""COMPUTED_VALUE"""),2533.0)</f>
        <v>2533</v>
      </c>
      <c r="M1458" s="5">
        <f>IFERROR(__xludf.DUMMYFUNCTION("""COMPUTED_VALUE"""),1.0)</f>
        <v>1</v>
      </c>
    </row>
    <row r="1459">
      <c r="A1459" s="10" t="str">
        <f>IFERROR(__xludf.DUMMYFUNCTION("""COMPUTED_VALUE"""),"TKC108")</f>
        <v>TKC108</v>
      </c>
      <c r="B1459" s="10">
        <f>IFERROR(__xludf.DUMMYFUNCTION("""COMPUTED_VALUE"""),147.0)</f>
        <v>147</v>
      </c>
      <c r="C1459" s="10">
        <f>IFERROR(__xludf.DUMMYFUNCTION("""COMPUTED_VALUE"""),1722.0)</f>
        <v>1722</v>
      </c>
      <c r="D1459" s="5">
        <f>IFERROR(__xludf.DUMMYFUNCTION("""COMPUTED_VALUE"""),0.41523809523809524)</f>
        <v>0.4152380952</v>
      </c>
      <c r="E1459" s="5">
        <f>IFERROR(__xludf.DUMMYFUNCTION("""COMPUTED_VALUE"""),0.1365079365079365)</f>
        <v>0.1365079365</v>
      </c>
      <c r="F1459" s="5">
        <f>IFERROR(__xludf.DUMMYFUNCTION("""COMPUTED_VALUE"""),0.21142857142857144)</f>
        <v>0.2114285714</v>
      </c>
      <c r="G1459" s="5">
        <f>IFERROR(__xludf.DUMMYFUNCTION("""COMPUTED_VALUE"""),0.17142857142857143)</f>
        <v>0.1714285714</v>
      </c>
      <c r="H1459" s="5">
        <f>IFERROR(__xludf.DUMMYFUNCTION("""COMPUTED_VALUE"""),0.5975975975975976)</f>
        <v>0.5975975976</v>
      </c>
      <c r="I1459" s="11">
        <f>IFERROR(__xludf.DUMMYFUNCTION("""COMPUTED_VALUE"""),5083.483483483484)</f>
        <v>5083.483483</v>
      </c>
      <c r="J1459" s="10">
        <f>IFERROR(__xludf.DUMMYFUNCTION("""COMPUTED_VALUE"""),0.0)</f>
        <v>0</v>
      </c>
      <c r="K1459" s="5">
        <f>IFERROR(__xludf.DUMMYFUNCTION("""COMPUTED_VALUE"""),0.0)</f>
        <v>0</v>
      </c>
      <c r="L1459" s="10">
        <f>IFERROR(__xludf.DUMMYFUNCTION("""COMPUTED_VALUE"""),147.0)</f>
        <v>147</v>
      </c>
      <c r="M1459" s="5">
        <f>IFERROR(__xludf.DUMMYFUNCTION("""COMPUTED_VALUE"""),1.0)</f>
        <v>1</v>
      </c>
    </row>
    <row r="1460">
      <c r="A1460" s="10" t="str">
        <f>IFERROR(__xludf.DUMMYFUNCTION("""COMPUTED_VALUE"""),"高坂雪穂")</f>
        <v>高坂雪穂</v>
      </c>
      <c r="B1460" s="10">
        <f>IFERROR(__xludf.DUMMYFUNCTION("""COMPUTED_VALUE"""),1266.0)</f>
        <v>1266</v>
      </c>
      <c r="C1460" s="10">
        <f>IFERROR(__xludf.DUMMYFUNCTION("""COMPUTED_VALUE"""),14812.0)</f>
        <v>14812</v>
      </c>
      <c r="D1460" s="5">
        <f>IFERROR(__xludf.DUMMYFUNCTION("""COMPUTED_VALUE"""),0.35464343717702645)</f>
        <v>0.3546434372</v>
      </c>
      <c r="E1460" s="5">
        <f>IFERROR(__xludf.DUMMYFUNCTION("""COMPUTED_VALUE"""),0.13649785914661156)</f>
        <v>0.1364978591</v>
      </c>
      <c r="F1460" s="5">
        <f>IFERROR(__xludf.DUMMYFUNCTION("""COMPUTED_VALUE"""),0.20766277868005314)</f>
        <v>0.2076627787</v>
      </c>
      <c r="G1460" s="5">
        <f>IFERROR(__xludf.DUMMYFUNCTION("""COMPUTED_VALUE"""),0.16587922633987892)</f>
        <v>0.1658792263</v>
      </c>
      <c r="H1460" s="5">
        <f>IFERROR(__xludf.DUMMYFUNCTION("""COMPUTED_VALUE"""),0.5801635264841806)</f>
        <v>0.5801635265</v>
      </c>
      <c r="I1460" s="11">
        <f>IFERROR(__xludf.DUMMYFUNCTION("""COMPUTED_VALUE"""),5920.867401350871)</f>
        <v>5920.867401</v>
      </c>
      <c r="J1460" s="10">
        <f>IFERROR(__xludf.DUMMYFUNCTION("""COMPUTED_VALUE"""),3.0)</f>
        <v>3</v>
      </c>
      <c r="K1460" s="5">
        <f>IFERROR(__xludf.DUMMYFUNCTION("""COMPUTED_VALUE"""),0.002369668246445498)</f>
        <v>0.002369668246</v>
      </c>
      <c r="L1460" s="10">
        <f>IFERROR(__xludf.DUMMYFUNCTION("""COMPUTED_VALUE"""),27.0)</f>
        <v>27</v>
      </c>
      <c r="M1460" s="5">
        <f>IFERROR(__xludf.DUMMYFUNCTION("""COMPUTED_VALUE"""),0.02132701421800948)</f>
        <v>0.02132701422</v>
      </c>
    </row>
    <row r="1461">
      <c r="A1461" s="10" t="str">
        <f>IFERROR(__xludf.DUMMYFUNCTION("""COMPUTED_VALUE"""),"え－わい")</f>
        <v>え－わい</v>
      </c>
      <c r="B1461" s="10">
        <f>IFERROR(__xludf.DUMMYFUNCTION("""COMPUTED_VALUE"""),670.0)</f>
        <v>670</v>
      </c>
      <c r="C1461" s="10">
        <f>IFERROR(__xludf.DUMMYFUNCTION("""COMPUTED_VALUE"""),7791.0)</f>
        <v>7791</v>
      </c>
      <c r="D1461" s="5">
        <f>IFERROR(__xludf.DUMMYFUNCTION("""COMPUTED_VALUE"""),0.40654402471562984)</f>
        <v>0.4065440247</v>
      </c>
      <c r="E1461" s="5">
        <f>IFERROR(__xludf.DUMMYFUNCTION("""COMPUTED_VALUE"""),0.13649768290970368)</f>
        <v>0.1364976829</v>
      </c>
      <c r="F1461" s="5">
        <f>IFERROR(__xludf.DUMMYFUNCTION("""COMPUTED_VALUE"""),0.21836820671254037)</f>
        <v>0.2183682067</v>
      </c>
      <c r="G1461" s="5">
        <f>IFERROR(__xludf.DUMMYFUNCTION("""COMPUTED_VALUE"""),0.16135374245190282)</f>
        <v>0.1613537425</v>
      </c>
      <c r="H1461" s="5">
        <f>IFERROR(__xludf.DUMMYFUNCTION("""COMPUTED_VALUE"""),0.6090032154340836)</f>
        <v>0.6090032154</v>
      </c>
      <c r="I1461" s="11">
        <f>IFERROR(__xludf.DUMMYFUNCTION("""COMPUTED_VALUE"""),5706.623794212219)</f>
        <v>5706.623794</v>
      </c>
      <c r="J1461" s="10">
        <f>IFERROR(__xludf.DUMMYFUNCTION("""COMPUTED_VALUE"""),2.0)</f>
        <v>2</v>
      </c>
      <c r="K1461" s="5">
        <f>IFERROR(__xludf.DUMMYFUNCTION("""COMPUTED_VALUE"""),0.0029850746268656717)</f>
        <v>0.002985074627</v>
      </c>
      <c r="L1461" s="10">
        <f>IFERROR(__xludf.DUMMYFUNCTION("""COMPUTED_VALUE"""),670.0)</f>
        <v>670</v>
      </c>
      <c r="M1461" s="5">
        <f>IFERROR(__xludf.DUMMYFUNCTION("""COMPUTED_VALUE"""),1.0)</f>
        <v>1</v>
      </c>
    </row>
    <row r="1462">
      <c r="A1462" s="10" t="str">
        <f>IFERROR(__xludf.DUMMYFUNCTION("""COMPUTED_VALUE"""),"TARKOIZU")</f>
        <v>TARKOIZU</v>
      </c>
      <c r="B1462" s="10">
        <f>IFERROR(__xludf.DUMMYFUNCTION("""COMPUTED_VALUE"""),294.0)</f>
        <v>294</v>
      </c>
      <c r="C1462" s="10">
        <f>IFERROR(__xludf.DUMMYFUNCTION("""COMPUTED_VALUE"""),3437.0)</f>
        <v>3437</v>
      </c>
      <c r="D1462" s="5">
        <f>IFERROR(__xludf.DUMMYFUNCTION("""COMPUTED_VALUE"""),0.4037543748011454)</f>
        <v>0.4037543748</v>
      </c>
      <c r="E1462" s="5">
        <f>IFERROR(__xludf.DUMMYFUNCTION("""COMPUTED_VALUE"""),0.13649379573655743)</f>
        <v>0.1364937957</v>
      </c>
      <c r="F1462" s="5">
        <f>IFERROR(__xludf.DUMMYFUNCTION("""COMPUTED_VALUE"""),0.2112631244034362)</f>
        <v>0.2112631244</v>
      </c>
      <c r="G1462" s="5">
        <f>IFERROR(__xludf.DUMMYFUNCTION("""COMPUTED_VALUE"""),0.18612790327712378)</f>
        <v>0.1861279033</v>
      </c>
      <c r="H1462" s="5">
        <f>IFERROR(__xludf.DUMMYFUNCTION("""COMPUTED_VALUE"""),0.5858433734939759)</f>
        <v>0.5858433735</v>
      </c>
      <c r="I1462" s="11">
        <f>IFERROR(__xludf.DUMMYFUNCTION("""COMPUTED_VALUE"""),5526.506024096386)</f>
        <v>5526.506024</v>
      </c>
      <c r="J1462" s="10">
        <f>IFERROR(__xludf.DUMMYFUNCTION("""COMPUTED_VALUE"""),0.0)</f>
        <v>0</v>
      </c>
      <c r="K1462" s="5">
        <f>IFERROR(__xludf.DUMMYFUNCTION("""COMPUTED_VALUE"""),0.0)</f>
        <v>0</v>
      </c>
      <c r="L1462" s="10">
        <f>IFERROR(__xludf.DUMMYFUNCTION("""COMPUTED_VALUE"""),294.0)</f>
        <v>294</v>
      </c>
      <c r="M1462" s="5">
        <f>IFERROR(__xludf.DUMMYFUNCTION("""COMPUTED_VALUE"""),1.0)</f>
        <v>1</v>
      </c>
    </row>
    <row r="1463">
      <c r="A1463" s="10" t="str">
        <f>IFERROR(__xludf.DUMMYFUNCTION("""COMPUTED_VALUE"""),"小早川ゆたか")</f>
        <v>小早川ゆたか</v>
      </c>
      <c r="B1463" s="10">
        <f>IFERROR(__xludf.DUMMYFUNCTION("""COMPUTED_VALUE"""),101.0)</f>
        <v>101</v>
      </c>
      <c r="C1463" s="10">
        <f>IFERROR(__xludf.DUMMYFUNCTION("""COMPUTED_VALUE"""),1200.0)</f>
        <v>1200</v>
      </c>
      <c r="D1463" s="5">
        <f>IFERROR(__xludf.DUMMYFUNCTION("""COMPUTED_VALUE"""),0.34394904458598724)</f>
        <v>0.3439490446</v>
      </c>
      <c r="E1463" s="5">
        <f>IFERROR(__xludf.DUMMYFUNCTION("""COMPUTED_VALUE"""),0.1364877161055505)</f>
        <v>0.1364877161</v>
      </c>
      <c r="F1463" s="5">
        <f>IFERROR(__xludf.DUMMYFUNCTION("""COMPUTED_VALUE"""),0.19472247497725204)</f>
        <v>0.194722475</v>
      </c>
      <c r="G1463" s="5">
        <f>IFERROR(__xludf.DUMMYFUNCTION("""COMPUTED_VALUE"""),0.16469517743403095)</f>
        <v>0.1646951774</v>
      </c>
      <c r="H1463" s="5">
        <f>IFERROR(__xludf.DUMMYFUNCTION("""COMPUTED_VALUE"""),0.5467289719626168)</f>
        <v>0.546728972</v>
      </c>
      <c r="I1463" s="11">
        <f>IFERROR(__xludf.DUMMYFUNCTION("""COMPUTED_VALUE"""),5531.77570093458)</f>
        <v>5531.775701</v>
      </c>
      <c r="J1463" s="10">
        <f>IFERROR(__xludf.DUMMYFUNCTION("""COMPUTED_VALUE"""),0.0)</f>
        <v>0</v>
      </c>
      <c r="K1463" s="5">
        <f>IFERROR(__xludf.DUMMYFUNCTION("""COMPUTED_VALUE"""),0.0)</f>
        <v>0</v>
      </c>
      <c r="L1463" s="10">
        <f>IFERROR(__xludf.DUMMYFUNCTION("""COMPUTED_VALUE"""),0.0)</f>
        <v>0</v>
      </c>
      <c r="M1463" s="5">
        <f>IFERROR(__xludf.DUMMYFUNCTION("""COMPUTED_VALUE"""),0.0)</f>
        <v>0</v>
      </c>
    </row>
    <row r="1464">
      <c r="A1464" s="10" t="str">
        <f>IFERROR(__xludf.DUMMYFUNCTION("""COMPUTED_VALUE"""),"インザーギα")</f>
        <v>インザーギα</v>
      </c>
      <c r="B1464" s="10">
        <f>IFERROR(__xludf.DUMMYFUNCTION("""COMPUTED_VALUE"""),100.0)</f>
        <v>100</v>
      </c>
      <c r="C1464" s="10">
        <f>IFERROR(__xludf.DUMMYFUNCTION("""COMPUTED_VALUE"""),1221.0)</f>
        <v>1221</v>
      </c>
      <c r="D1464" s="5">
        <f>IFERROR(__xludf.DUMMYFUNCTION("""COMPUTED_VALUE"""),0.36306868867082964)</f>
        <v>0.3630686887</v>
      </c>
      <c r="E1464" s="5">
        <f>IFERROR(__xludf.DUMMYFUNCTION("""COMPUTED_VALUE"""),0.13648528099910795)</f>
        <v>0.136485281</v>
      </c>
      <c r="F1464" s="5">
        <f>IFERROR(__xludf.DUMMYFUNCTION("""COMPUTED_VALUE"""),0.2149866190900981)</f>
        <v>0.2149866191</v>
      </c>
      <c r="G1464" s="5">
        <f>IFERROR(__xludf.DUMMYFUNCTION("""COMPUTED_VALUE"""),0.19179304192685104)</f>
        <v>0.1917930419</v>
      </c>
      <c r="H1464" s="5">
        <f>IFERROR(__xludf.DUMMYFUNCTION("""COMPUTED_VALUE"""),0.5643153526970954)</f>
        <v>0.5643153527</v>
      </c>
      <c r="I1464" s="11">
        <f>IFERROR(__xludf.DUMMYFUNCTION("""COMPUTED_VALUE"""),5517.427385892116)</f>
        <v>5517.427386</v>
      </c>
      <c r="J1464" s="10">
        <f>IFERROR(__xludf.DUMMYFUNCTION("""COMPUTED_VALUE"""),0.0)</f>
        <v>0</v>
      </c>
      <c r="K1464" s="5">
        <f>IFERROR(__xludf.DUMMYFUNCTION("""COMPUTED_VALUE"""),0.0)</f>
        <v>0</v>
      </c>
      <c r="L1464" s="10">
        <f>IFERROR(__xludf.DUMMYFUNCTION("""COMPUTED_VALUE"""),100.0)</f>
        <v>100</v>
      </c>
      <c r="M1464" s="5">
        <f>IFERROR(__xludf.DUMMYFUNCTION("""COMPUTED_VALUE"""),1.0)</f>
        <v>1</v>
      </c>
    </row>
    <row r="1465">
      <c r="A1465" s="10" t="str">
        <f>IFERROR(__xludf.DUMMYFUNCTION("""COMPUTED_VALUE"""),"オバケ時計")</f>
        <v>オバケ時計</v>
      </c>
      <c r="B1465" s="10">
        <f>IFERROR(__xludf.DUMMYFUNCTION("""COMPUTED_VALUE"""),553.0)</f>
        <v>553</v>
      </c>
      <c r="C1465" s="10">
        <f>IFERROR(__xludf.DUMMYFUNCTION("""COMPUTED_VALUE"""),6356.0)</f>
        <v>6356</v>
      </c>
      <c r="D1465" s="5">
        <f>IFERROR(__xludf.DUMMYFUNCTION("""COMPUTED_VALUE"""),0.29036705152507325)</f>
        <v>0.2903670515</v>
      </c>
      <c r="E1465" s="5">
        <f>IFERROR(__xludf.DUMMYFUNCTION("""COMPUTED_VALUE"""),0.13648113044976737)</f>
        <v>0.1364811304</v>
      </c>
      <c r="F1465" s="5">
        <f>IFERROR(__xludf.DUMMYFUNCTION("""COMPUTED_VALUE"""),0.2141995519558849)</f>
        <v>0.214199552</v>
      </c>
      <c r="G1465" s="5">
        <f>IFERROR(__xludf.DUMMYFUNCTION("""COMPUTED_VALUE"""),0.19937963122522834)</f>
        <v>0.1993796312</v>
      </c>
      <c r="H1465" s="5">
        <f>IFERROR(__xludf.DUMMYFUNCTION("""COMPUTED_VALUE"""),0.6178600160901045)</f>
        <v>0.6178600161</v>
      </c>
      <c r="I1465" s="11">
        <f>IFERROR(__xludf.DUMMYFUNCTION("""COMPUTED_VALUE"""),5809.090909090909)</f>
        <v>5809.090909</v>
      </c>
      <c r="J1465" s="10">
        <f>IFERROR(__xludf.DUMMYFUNCTION("""COMPUTED_VALUE"""),3.0)</f>
        <v>3</v>
      </c>
      <c r="K1465" s="5">
        <f>IFERROR(__xludf.DUMMYFUNCTION("""COMPUTED_VALUE"""),0.0054249547920434)</f>
        <v>0.005424954792</v>
      </c>
      <c r="L1465" s="10">
        <f>IFERROR(__xludf.DUMMYFUNCTION("""COMPUTED_VALUE"""),553.0)</f>
        <v>553</v>
      </c>
      <c r="M1465" s="5">
        <f>IFERROR(__xludf.DUMMYFUNCTION("""COMPUTED_VALUE"""),1.0)</f>
        <v>1</v>
      </c>
    </row>
    <row r="1466">
      <c r="A1466" s="10" t="str">
        <f>IFERROR(__xludf.DUMMYFUNCTION("""COMPUTED_VALUE"""),"iiichiko")</f>
        <v>iiichiko</v>
      </c>
      <c r="B1466" s="10">
        <f>IFERROR(__xludf.DUMMYFUNCTION("""COMPUTED_VALUE"""),144.0)</f>
        <v>144</v>
      </c>
      <c r="C1466" s="10">
        <f>IFERROR(__xludf.DUMMYFUNCTION("""COMPUTED_VALUE"""),1712.0)</f>
        <v>1712</v>
      </c>
      <c r="D1466" s="5">
        <f>IFERROR(__xludf.DUMMYFUNCTION("""COMPUTED_VALUE"""),0.4075255102040816)</f>
        <v>0.4075255102</v>
      </c>
      <c r="E1466" s="5">
        <f>IFERROR(__xludf.DUMMYFUNCTION("""COMPUTED_VALUE"""),0.1364795918367347)</f>
        <v>0.1364795918</v>
      </c>
      <c r="F1466" s="5">
        <f>IFERROR(__xludf.DUMMYFUNCTION("""COMPUTED_VALUE"""),0.21173469387755103)</f>
        <v>0.2117346939</v>
      </c>
      <c r="G1466" s="5">
        <f>IFERROR(__xludf.DUMMYFUNCTION("""COMPUTED_VALUE"""),0.14923469387755103)</f>
        <v>0.1492346939</v>
      </c>
      <c r="H1466" s="5">
        <f>IFERROR(__xludf.DUMMYFUNCTION("""COMPUTED_VALUE"""),0.6054216867469879)</f>
        <v>0.6054216867</v>
      </c>
      <c r="I1466" s="11">
        <f>IFERROR(__xludf.DUMMYFUNCTION("""COMPUTED_VALUE"""),5333.734939759036)</f>
        <v>5333.73494</v>
      </c>
      <c r="J1466" s="10">
        <f>IFERROR(__xludf.DUMMYFUNCTION("""COMPUTED_VALUE"""),0.0)</f>
        <v>0</v>
      </c>
      <c r="K1466" s="5">
        <f>IFERROR(__xludf.DUMMYFUNCTION("""COMPUTED_VALUE"""),0.0)</f>
        <v>0</v>
      </c>
      <c r="L1466" s="10">
        <f>IFERROR(__xludf.DUMMYFUNCTION("""COMPUTED_VALUE"""),144.0)</f>
        <v>144</v>
      </c>
      <c r="M1466" s="5">
        <f>IFERROR(__xludf.DUMMYFUNCTION("""COMPUTED_VALUE"""),1.0)</f>
        <v>1</v>
      </c>
    </row>
    <row r="1467">
      <c r="A1467" s="10" t="str">
        <f>IFERROR(__xludf.DUMMYFUNCTION("""COMPUTED_VALUE"""),"モッッッッッコス")</f>
        <v>モッッッッッコス</v>
      </c>
      <c r="B1467" s="10">
        <f>IFERROR(__xludf.DUMMYFUNCTION("""COMPUTED_VALUE"""),186.0)</f>
        <v>186</v>
      </c>
      <c r="C1467" s="10">
        <f>IFERROR(__xludf.DUMMYFUNCTION("""COMPUTED_VALUE"""),2157.0)</f>
        <v>2157</v>
      </c>
      <c r="D1467" s="5">
        <f>IFERROR(__xludf.DUMMYFUNCTION("""COMPUTED_VALUE"""),0.33840690005073565)</f>
        <v>0.3384069001</v>
      </c>
      <c r="E1467" s="5">
        <f>IFERROR(__xludf.DUMMYFUNCTION("""COMPUTED_VALUE"""),0.13647894469812277)</f>
        <v>0.1364789447</v>
      </c>
      <c r="F1467" s="5">
        <f>IFERROR(__xludf.DUMMYFUNCTION("""COMPUTED_VALUE"""),0.19989852866565194)</f>
        <v>0.1998985287</v>
      </c>
      <c r="G1467" s="5">
        <f>IFERROR(__xludf.DUMMYFUNCTION("""COMPUTED_VALUE"""),0.18011161846778284)</f>
        <v>0.1801116185</v>
      </c>
      <c r="H1467" s="5">
        <f>IFERROR(__xludf.DUMMYFUNCTION("""COMPUTED_VALUE"""),0.583756345177665)</f>
        <v>0.5837563452</v>
      </c>
      <c r="I1467" s="11">
        <f>IFERROR(__xludf.DUMMYFUNCTION("""COMPUTED_VALUE"""),5542.63959390863)</f>
        <v>5542.639594</v>
      </c>
      <c r="J1467" s="10">
        <f>IFERROR(__xludf.DUMMYFUNCTION("""COMPUTED_VALUE"""),0.0)</f>
        <v>0</v>
      </c>
      <c r="K1467" s="5">
        <f>IFERROR(__xludf.DUMMYFUNCTION("""COMPUTED_VALUE"""),0.0)</f>
        <v>0</v>
      </c>
      <c r="L1467" s="10">
        <f>IFERROR(__xludf.DUMMYFUNCTION("""COMPUTED_VALUE"""),186.0)</f>
        <v>186</v>
      </c>
      <c r="M1467" s="5">
        <f>IFERROR(__xludf.DUMMYFUNCTION("""COMPUTED_VALUE"""),1.0)</f>
        <v>1</v>
      </c>
    </row>
    <row r="1468">
      <c r="A1468" s="10" t="str">
        <f>IFERROR(__xludf.DUMMYFUNCTION("""COMPUTED_VALUE"""),"おーたけ")</f>
        <v>おーたけ</v>
      </c>
      <c r="B1468" s="10">
        <f>IFERROR(__xludf.DUMMYFUNCTION("""COMPUTED_VALUE"""),167.0)</f>
        <v>167</v>
      </c>
      <c r="C1468" s="10">
        <f>IFERROR(__xludf.DUMMYFUNCTION("""COMPUTED_VALUE"""),1933.0)</f>
        <v>1933</v>
      </c>
      <c r="D1468" s="5">
        <f>IFERROR(__xludf.DUMMYFUNCTION("""COMPUTED_VALUE"""),0.33069082672706684)</f>
        <v>0.3306908267</v>
      </c>
      <c r="E1468" s="5">
        <f>IFERROR(__xludf.DUMMYFUNCTION("""COMPUTED_VALUE"""),0.1364665911664779)</f>
        <v>0.1364665912</v>
      </c>
      <c r="F1468" s="5">
        <f>IFERROR(__xludf.DUMMYFUNCTION("""COMPUTED_VALUE"""),0.2146092865232163)</f>
        <v>0.2146092865</v>
      </c>
      <c r="G1468" s="5">
        <f>IFERROR(__xludf.DUMMYFUNCTION("""COMPUTED_VALUE"""),0.17497168742921856)</f>
        <v>0.1749716874</v>
      </c>
      <c r="H1468" s="5">
        <f>IFERROR(__xludf.DUMMYFUNCTION("""COMPUTED_VALUE"""),0.6147757255936676)</f>
        <v>0.6147757256</v>
      </c>
      <c r="I1468" s="11">
        <f>IFERROR(__xludf.DUMMYFUNCTION("""COMPUTED_VALUE"""),5640.633245382585)</f>
        <v>5640.633245</v>
      </c>
      <c r="J1468" s="10">
        <f>IFERROR(__xludf.DUMMYFUNCTION("""COMPUTED_VALUE"""),0.0)</f>
        <v>0</v>
      </c>
      <c r="K1468" s="5">
        <f>IFERROR(__xludf.DUMMYFUNCTION("""COMPUTED_VALUE"""),0.0)</f>
        <v>0</v>
      </c>
      <c r="L1468" s="10">
        <f>IFERROR(__xludf.DUMMYFUNCTION("""COMPUTED_VALUE"""),167.0)</f>
        <v>167</v>
      </c>
      <c r="M1468" s="5">
        <f>IFERROR(__xludf.DUMMYFUNCTION("""COMPUTED_VALUE"""),1.0)</f>
        <v>1</v>
      </c>
    </row>
    <row r="1469">
      <c r="A1469" s="10" t="str">
        <f>IFERROR(__xludf.DUMMYFUNCTION("""COMPUTED_VALUE"""),"JuneRain")</f>
        <v>JuneRain</v>
      </c>
      <c r="B1469" s="10">
        <f>IFERROR(__xludf.DUMMYFUNCTION("""COMPUTED_VALUE"""),170.0)</f>
        <v>170</v>
      </c>
      <c r="C1469" s="10">
        <f>IFERROR(__xludf.DUMMYFUNCTION("""COMPUTED_VALUE"""),1980.0)</f>
        <v>1980</v>
      </c>
      <c r="D1469" s="5">
        <f>IFERROR(__xludf.DUMMYFUNCTION("""COMPUTED_VALUE"""),0.3552486187845304)</f>
        <v>0.3552486188</v>
      </c>
      <c r="E1469" s="5">
        <f>IFERROR(__xludf.DUMMYFUNCTION("""COMPUTED_VALUE"""),0.13646408839779006)</f>
        <v>0.1364640884</v>
      </c>
      <c r="F1469" s="5">
        <f>IFERROR(__xludf.DUMMYFUNCTION("""COMPUTED_VALUE"""),0.212707182320442)</f>
        <v>0.2127071823</v>
      </c>
      <c r="G1469" s="5">
        <f>IFERROR(__xludf.DUMMYFUNCTION("""COMPUTED_VALUE"""),0.19558011049723756)</f>
        <v>0.1955801105</v>
      </c>
      <c r="H1469" s="5">
        <f>IFERROR(__xludf.DUMMYFUNCTION("""COMPUTED_VALUE"""),0.5844155844155844)</f>
        <v>0.5844155844</v>
      </c>
      <c r="I1469" s="11">
        <f>IFERROR(__xludf.DUMMYFUNCTION("""COMPUTED_VALUE"""),5988.311688311688)</f>
        <v>5988.311688</v>
      </c>
      <c r="J1469" s="10">
        <f>IFERROR(__xludf.DUMMYFUNCTION("""COMPUTED_VALUE"""),0.0)</f>
        <v>0</v>
      </c>
      <c r="K1469" s="5">
        <f>IFERROR(__xludf.DUMMYFUNCTION("""COMPUTED_VALUE"""),0.0)</f>
        <v>0</v>
      </c>
      <c r="L1469" s="10">
        <f>IFERROR(__xludf.DUMMYFUNCTION("""COMPUTED_VALUE"""),170.0)</f>
        <v>170</v>
      </c>
      <c r="M1469" s="5">
        <f>IFERROR(__xludf.DUMMYFUNCTION("""COMPUTED_VALUE"""),1.0)</f>
        <v>1</v>
      </c>
    </row>
    <row r="1470">
      <c r="A1470" s="10" t="str">
        <f>IFERROR(__xludf.DUMMYFUNCTION("""COMPUTED_VALUE"""),"（∪＾ω＾）お！")</f>
        <v>（∪＾ω＾）お！</v>
      </c>
      <c r="B1470" s="10">
        <f>IFERROR(__xludf.DUMMYFUNCTION("""COMPUTED_VALUE"""),344.0)</f>
        <v>344</v>
      </c>
      <c r="C1470" s="10">
        <f>IFERROR(__xludf.DUMMYFUNCTION("""COMPUTED_VALUE"""),4045.0)</f>
        <v>4045</v>
      </c>
      <c r="D1470" s="5">
        <f>IFERROR(__xludf.DUMMYFUNCTION("""COMPUTED_VALUE"""),0.29721696838692246)</f>
        <v>0.2972169684</v>
      </c>
      <c r="E1470" s="5">
        <f>IFERROR(__xludf.DUMMYFUNCTION("""COMPUTED_VALUE"""),0.1364496082139962)</f>
        <v>0.1364496082</v>
      </c>
      <c r="F1470" s="5">
        <f>IFERROR(__xludf.DUMMYFUNCTION("""COMPUTED_VALUE"""),0.1813023507160227)</f>
        <v>0.1813023507</v>
      </c>
      <c r="G1470" s="5">
        <f>IFERROR(__xludf.DUMMYFUNCTION("""COMPUTED_VALUE"""),0.12537152121048364)</f>
        <v>0.1253715212</v>
      </c>
      <c r="H1470" s="5">
        <f>IFERROR(__xludf.DUMMYFUNCTION("""COMPUTED_VALUE"""),0.5991058122205664)</f>
        <v>0.5991058122</v>
      </c>
      <c r="I1470" s="11">
        <f>IFERROR(__xludf.DUMMYFUNCTION("""COMPUTED_VALUE"""),6222.20566318927)</f>
        <v>6222.205663</v>
      </c>
      <c r="J1470" s="10">
        <f>IFERROR(__xludf.DUMMYFUNCTION("""COMPUTED_VALUE"""),2.0)</f>
        <v>2</v>
      </c>
      <c r="K1470" s="5">
        <f>IFERROR(__xludf.DUMMYFUNCTION("""COMPUTED_VALUE"""),0.005813953488372093)</f>
        <v>0.005813953488</v>
      </c>
      <c r="L1470" s="10">
        <f>IFERROR(__xludf.DUMMYFUNCTION("""COMPUTED_VALUE"""),344.0)</f>
        <v>344</v>
      </c>
      <c r="M1470" s="5">
        <f>IFERROR(__xludf.DUMMYFUNCTION("""COMPUTED_VALUE"""),1.0)</f>
        <v>1</v>
      </c>
    </row>
    <row r="1471">
      <c r="A1471" s="10" t="str">
        <f>IFERROR(__xludf.DUMMYFUNCTION("""COMPUTED_VALUE"""),"Yoshirin")</f>
        <v>Yoshirin</v>
      </c>
      <c r="B1471" s="10">
        <f>IFERROR(__xludf.DUMMYFUNCTION("""COMPUTED_VALUE"""),401.0)</f>
        <v>401</v>
      </c>
      <c r="C1471" s="10">
        <f>IFERROR(__xludf.DUMMYFUNCTION("""COMPUTED_VALUE"""),4659.0)</f>
        <v>4659</v>
      </c>
      <c r="D1471" s="5">
        <f>IFERROR(__xludf.DUMMYFUNCTION("""COMPUTED_VALUE"""),0.39596054485674026)</f>
        <v>0.3959605449</v>
      </c>
      <c r="E1471" s="5">
        <f>IFERROR(__xludf.DUMMYFUNCTION("""COMPUTED_VALUE"""),0.13644903710662282)</f>
        <v>0.1364490371</v>
      </c>
      <c r="F1471" s="5">
        <f>IFERROR(__xludf.DUMMYFUNCTION("""COMPUTED_VALUE"""),0.21629873179896666)</f>
        <v>0.2162987318</v>
      </c>
      <c r="G1471" s="5">
        <f>IFERROR(__xludf.DUMMYFUNCTION("""COMPUTED_VALUE"""),0.17449506810709253)</f>
        <v>0.1744950681</v>
      </c>
      <c r="H1471" s="5">
        <f>IFERROR(__xludf.DUMMYFUNCTION("""COMPUTED_VALUE"""),0.6004343105320304)</f>
        <v>0.6004343105</v>
      </c>
      <c r="I1471" s="11">
        <f>IFERROR(__xludf.DUMMYFUNCTION("""COMPUTED_VALUE"""),5538.979370249728)</f>
        <v>5538.97937</v>
      </c>
      <c r="J1471" s="10">
        <f>IFERROR(__xludf.DUMMYFUNCTION("""COMPUTED_VALUE"""),0.0)</f>
        <v>0</v>
      </c>
      <c r="K1471" s="5">
        <f>IFERROR(__xludf.DUMMYFUNCTION("""COMPUTED_VALUE"""),0.0)</f>
        <v>0</v>
      </c>
      <c r="L1471" s="10">
        <f>IFERROR(__xludf.DUMMYFUNCTION("""COMPUTED_VALUE"""),401.0)</f>
        <v>401</v>
      </c>
      <c r="M1471" s="5">
        <f>IFERROR(__xludf.DUMMYFUNCTION("""COMPUTED_VALUE"""),1.0)</f>
        <v>1</v>
      </c>
    </row>
    <row r="1472">
      <c r="A1472" s="10" t="str">
        <f>IFERROR(__xludf.DUMMYFUNCTION("""COMPUTED_VALUE"""),"ザオリク忍")</f>
        <v>ザオリク忍</v>
      </c>
      <c r="B1472" s="10">
        <f>IFERROR(__xludf.DUMMYFUNCTION("""COMPUTED_VALUE"""),106.0)</f>
        <v>106</v>
      </c>
      <c r="C1472" s="10">
        <f>IFERROR(__xludf.DUMMYFUNCTION("""COMPUTED_VALUE"""),1220.0)</f>
        <v>1220</v>
      </c>
      <c r="D1472" s="5">
        <f>IFERROR(__xludf.DUMMYFUNCTION("""COMPUTED_VALUE"""),0.39587073608617596)</f>
        <v>0.3958707361</v>
      </c>
      <c r="E1472" s="5">
        <f>IFERROR(__xludf.DUMMYFUNCTION("""COMPUTED_VALUE"""),0.13644524236983843)</f>
        <v>0.1364452424</v>
      </c>
      <c r="F1472" s="5">
        <f>IFERROR(__xludf.DUMMYFUNCTION("""COMPUTED_VALUE"""),0.20107719928186715)</f>
        <v>0.2010771993</v>
      </c>
      <c r="G1472" s="5">
        <f>IFERROR(__xludf.DUMMYFUNCTION("""COMPUTED_VALUE"""),0.15170556552962297)</f>
        <v>0.1517055655</v>
      </c>
      <c r="H1472" s="5">
        <f>IFERROR(__xludf.DUMMYFUNCTION("""COMPUTED_VALUE"""),0.5625)</f>
        <v>0.5625</v>
      </c>
      <c r="I1472" s="11">
        <f>IFERROR(__xludf.DUMMYFUNCTION("""COMPUTED_VALUE"""),5599.553571428572)</f>
        <v>5599.553571</v>
      </c>
      <c r="J1472" s="10">
        <f>IFERROR(__xludf.DUMMYFUNCTION("""COMPUTED_VALUE"""),0.0)</f>
        <v>0</v>
      </c>
      <c r="K1472" s="5">
        <f>IFERROR(__xludf.DUMMYFUNCTION("""COMPUTED_VALUE"""),0.0)</f>
        <v>0</v>
      </c>
      <c r="L1472" s="10">
        <f>IFERROR(__xludf.DUMMYFUNCTION("""COMPUTED_VALUE"""),105.0)</f>
        <v>105</v>
      </c>
      <c r="M1472" s="5">
        <f>IFERROR(__xludf.DUMMYFUNCTION("""COMPUTED_VALUE"""),0.9905660377358491)</f>
        <v>0.9905660377</v>
      </c>
    </row>
    <row r="1473">
      <c r="A1473" s="10" t="str">
        <f>IFERROR(__xludf.DUMMYFUNCTION("""COMPUTED_VALUE"""),"pawa@224")</f>
        <v>pawa@224</v>
      </c>
      <c r="B1473" s="10">
        <f>IFERROR(__xludf.DUMMYFUNCTION("""COMPUTED_VALUE"""),1886.0)</f>
        <v>1886</v>
      </c>
      <c r="C1473" s="10">
        <f>IFERROR(__xludf.DUMMYFUNCTION("""COMPUTED_VALUE"""),21953.0)</f>
        <v>21953</v>
      </c>
      <c r="D1473" s="5">
        <f>IFERROR(__xludf.DUMMYFUNCTION("""COMPUTED_VALUE"""),0.3632331688842378)</f>
        <v>0.3632331689</v>
      </c>
      <c r="E1473" s="5">
        <f>IFERROR(__xludf.DUMMYFUNCTION("""COMPUTED_VALUE"""),0.1364429162306274)</f>
        <v>0.1364429162</v>
      </c>
      <c r="F1473" s="5">
        <f>IFERROR(__xludf.DUMMYFUNCTION("""COMPUTED_VALUE"""),0.22245477649872925)</f>
        <v>0.2224547765</v>
      </c>
      <c r="G1473" s="5">
        <f>IFERROR(__xludf.DUMMYFUNCTION("""COMPUTED_VALUE"""),0.21821896646235112)</f>
        <v>0.2182189665</v>
      </c>
      <c r="H1473" s="5">
        <f>IFERROR(__xludf.DUMMYFUNCTION("""COMPUTED_VALUE"""),0.5893817204301075)</f>
        <v>0.5893817204</v>
      </c>
      <c r="I1473" s="11">
        <f>IFERROR(__xludf.DUMMYFUNCTION("""COMPUTED_VALUE"""),5895.1612903225805)</f>
        <v>5895.16129</v>
      </c>
      <c r="J1473" s="10">
        <f>IFERROR(__xludf.DUMMYFUNCTION("""COMPUTED_VALUE"""),1.0)</f>
        <v>1</v>
      </c>
      <c r="K1473" s="5">
        <f>IFERROR(__xludf.DUMMYFUNCTION("""COMPUTED_VALUE"""),5.302226935312832E-4)</f>
        <v>0.0005302226935</v>
      </c>
      <c r="L1473" s="10">
        <f>IFERROR(__xludf.DUMMYFUNCTION("""COMPUTED_VALUE"""),1886.0)</f>
        <v>1886</v>
      </c>
      <c r="M1473" s="5">
        <f>IFERROR(__xludf.DUMMYFUNCTION("""COMPUTED_VALUE"""),1.0)</f>
        <v>1</v>
      </c>
    </row>
    <row r="1474">
      <c r="A1474" s="10" t="str">
        <f>IFERROR(__xludf.DUMMYFUNCTION("""COMPUTED_VALUE"""),"NANOHA")</f>
        <v>NANOHA</v>
      </c>
      <c r="B1474" s="10">
        <f>IFERROR(__xludf.DUMMYFUNCTION("""COMPUTED_VALUE"""),119.0)</f>
        <v>119</v>
      </c>
      <c r="C1474" s="10">
        <f>IFERROR(__xludf.DUMMYFUNCTION("""COMPUTED_VALUE"""),1365.0)</f>
        <v>1365</v>
      </c>
      <c r="D1474" s="5">
        <f>IFERROR(__xludf.DUMMYFUNCTION("""COMPUTED_VALUE"""),0.3812199036918138)</f>
        <v>0.3812199037</v>
      </c>
      <c r="E1474" s="5">
        <f>IFERROR(__xludf.DUMMYFUNCTION("""COMPUTED_VALUE"""),0.13643659711075443)</f>
        <v>0.1364365971</v>
      </c>
      <c r="F1474" s="5">
        <f>IFERROR(__xludf.DUMMYFUNCTION("""COMPUTED_VALUE"""),0.2014446227929374)</f>
        <v>0.2014446228</v>
      </c>
      <c r="G1474" s="5">
        <f>IFERROR(__xludf.DUMMYFUNCTION("""COMPUTED_VALUE"""),0.17656500802568217)</f>
        <v>0.176565008</v>
      </c>
      <c r="H1474" s="5">
        <f>IFERROR(__xludf.DUMMYFUNCTION("""COMPUTED_VALUE"""),0.6334661354581673)</f>
        <v>0.6334661355</v>
      </c>
      <c r="I1474" s="11">
        <f>IFERROR(__xludf.DUMMYFUNCTION("""COMPUTED_VALUE"""),5540.239043824701)</f>
        <v>5540.239044</v>
      </c>
      <c r="J1474" s="10">
        <f>IFERROR(__xludf.DUMMYFUNCTION("""COMPUTED_VALUE"""),1.0)</f>
        <v>1</v>
      </c>
      <c r="K1474" s="5">
        <f>IFERROR(__xludf.DUMMYFUNCTION("""COMPUTED_VALUE"""),0.008403361344537815)</f>
        <v>0.008403361345</v>
      </c>
      <c r="L1474" s="10">
        <f>IFERROR(__xludf.DUMMYFUNCTION("""COMPUTED_VALUE"""),119.0)</f>
        <v>119</v>
      </c>
      <c r="M1474" s="5">
        <f>IFERROR(__xludf.DUMMYFUNCTION("""COMPUTED_VALUE"""),1.0)</f>
        <v>1</v>
      </c>
    </row>
    <row r="1475">
      <c r="A1475" s="10" t="str">
        <f>IFERROR(__xludf.DUMMYFUNCTION("""COMPUTED_VALUE"""),"生しらす")</f>
        <v>生しらす</v>
      </c>
      <c r="B1475" s="10">
        <f>IFERROR(__xludf.DUMMYFUNCTION("""COMPUTED_VALUE"""),308.0)</f>
        <v>308</v>
      </c>
      <c r="C1475" s="10">
        <f>IFERROR(__xludf.DUMMYFUNCTION("""COMPUTED_VALUE"""),3666.0)</f>
        <v>3666</v>
      </c>
      <c r="D1475" s="5">
        <f>IFERROR(__xludf.DUMMYFUNCTION("""COMPUTED_VALUE"""),0.3561643835616438)</f>
        <v>0.3561643836</v>
      </c>
      <c r="E1475" s="5">
        <f>IFERROR(__xludf.DUMMYFUNCTION("""COMPUTED_VALUE"""),0.13639070875521145)</f>
        <v>0.1363907088</v>
      </c>
      <c r="F1475" s="5">
        <f>IFERROR(__xludf.DUMMYFUNCTION("""COMPUTED_VALUE"""),0.18910065515187613)</f>
        <v>0.1891006552</v>
      </c>
      <c r="G1475" s="5">
        <f>IFERROR(__xludf.DUMMYFUNCTION("""COMPUTED_VALUE"""),0.17450863609291245)</f>
        <v>0.1745086361</v>
      </c>
      <c r="H1475" s="5">
        <f>IFERROR(__xludf.DUMMYFUNCTION("""COMPUTED_VALUE"""),0.5637795275590551)</f>
        <v>0.5637795276</v>
      </c>
      <c r="I1475" s="11">
        <f>IFERROR(__xludf.DUMMYFUNCTION("""COMPUTED_VALUE"""),6200.472440944882)</f>
        <v>6200.472441</v>
      </c>
      <c r="J1475" s="10">
        <f>IFERROR(__xludf.DUMMYFUNCTION("""COMPUTED_VALUE"""),0.0)</f>
        <v>0</v>
      </c>
      <c r="K1475" s="5">
        <f>IFERROR(__xludf.DUMMYFUNCTION("""COMPUTED_VALUE"""),0.0)</f>
        <v>0</v>
      </c>
      <c r="L1475" s="10">
        <f>IFERROR(__xludf.DUMMYFUNCTION("""COMPUTED_VALUE"""),308.0)</f>
        <v>308</v>
      </c>
      <c r="M1475" s="5">
        <f>IFERROR(__xludf.DUMMYFUNCTION("""COMPUTED_VALUE"""),1.0)</f>
        <v>1</v>
      </c>
    </row>
    <row r="1476">
      <c r="A1476" s="10" t="str">
        <f>IFERROR(__xludf.DUMMYFUNCTION("""COMPUTED_VALUE"""),"miyaya")</f>
        <v>miyaya</v>
      </c>
      <c r="B1476" s="10">
        <f>IFERROR(__xludf.DUMMYFUNCTION("""COMPUTED_VALUE"""),160.0)</f>
        <v>160</v>
      </c>
      <c r="C1476" s="10">
        <f>IFERROR(__xludf.DUMMYFUNCTION("""COMPUTED_VALUE"""),1883.0)</f>
        <v>1883</v>
      </c>
      <c r="D1476" s="5">
        <f>IFERROR(__xludf.DUMMYFUNCTION("""COMPUTED_VALUE"""),0.4805571677307023)</f>
        <v>0.4805571677</v>
      </c>
      <c r="E1476" s="5">
        <f>IFERROR(__xludf.DUMMYFUNCTION("""COMPUTED_VALUE"""),0.1363900174114916)</f>
        <v>0.1363900174</v>
      </c>
      <c r="F1476" s="5">
        <f>IFERROR(__xludf.DUMMYFUNCTION("""COMPUTED_VALUE"""),0.23563551944283226)</f>
        <v>0.2356355194</v>
      </c>
      <c r="G1476" s="5">
        <f>IFERROR(__xludf.DUMMYFUNCTION("""COMPUTED_VALUE"""),0.13987231572838074)</f>
        <v>0.1398723157</v>
      </c>
      <c r="H1476" s="5">
        <f>IFERROR(__xludf.DUMMYFUNCTION("""COMPUTED_VALUE"""),0.625615763546798)</f>
        <v>0.6256157635</v>
      </c>
      <c r="I1476" s="11">
        <f>IFERROR(__xludf.DUMMYFUNCTION("""COMPUTED_VALUE"""),4631.773399014778)</f>
        <v>4631.773399</v>
      </c>
      <c r="J1476" s="10">
        <f>IFERROR(__xludf.DUMMYFUNCTION("""COMPUTED_VALUE"""),0.0)</f>
        <v>0</v>
      </c>
      <c r="K1476" s="5">
        <f>IFERROR(__xludf.DUMMYFUNCTION("""COMPUTED_VALUE"""),0.0)</f>
        <v>0</v>
      </c>
      <c r="L1476" s="10">
        <f>IFERROR(__xludf.DUMMYFUNCTION("""COMPUTED_VALUE"""),0.0)</f>
        <v>0</v>
      </c>
      <c r="M1476" s="5">
        <f>IFERROR(__xludf.DUMMYFUNCTION("""COMPUTED_VALUE"""),0.0)</f>
        <v>0</v>
      </c>
    </row>
    <row r="1477">
      <c r="A1477" s="10" t="str">
        <f>IFERROR(__xludf.DUMMYFUNCTION("""COMPUTED_VALUE"""),"ダボ")</f>
        <v>ダボ</v>
      </c>
      <c r="B1477" s="10">
        <f>IFERROR(__xludf.DUMMYFUNCTION("""COMPUTED_VALUE"""),2964.0)</f>
        <v>2964</v>
      </c>
      <c r="C1477" s="10">
        <f>IFERROR(__xludf.DUMMYFUNCTION("""COMPUTED_VALUE"""),34580.0)</f>
        <v>34580</v>
      </c>
      <c r="D1477" s="5">
        <f>IFERROR(__xludf.DUMMYFUNCTION("""COMPUTED_VALUE"""),0.269040991902834)</f>
        <v>0.2690409919</v>
      </c>
      <c r="E1477" s="5">
        <f>IFERROR(__xludf.DUMMYFUNCTION("""COMPUTED_VALUE"""),0.13638663967611336)</f>
        <v>0.1363866397</v>
      </c>
      <c r="F1477" s="5">
        <f>IFERROR(__xludf.DUMMYFUNCTION("""COMPUTED_VALUE"""),0.213626012145749)</f>
        <v>0.2136260121</v>
      </c>
      <c r="G1477" s="5">
        <f>IFERROR(__xludf.DUMMYFUNCTION("""COMPUTED_VALUE"""),0.17994053643724697)</f>
        <v>0.1799405364</v>
      </c>
      <c r="H1477" s="5">
        <f>IFERROR(__xludf.DUMMYFUNCTION("""COMPUTED_VALUE"""),0.5978679301154871)</f>
        <v>0.5978679301</v>
      </c>
      <c r="I1477" s="11">
        <f>IFERROR(__xludf.DUMMYFUNCTION("""COMPUTED_VALUE"""),5958.439443292864)</f>
        <v>5958.439443</v>
      </c>
      <c r="J1477" s="10">
        <f>IFERROR(__xludf.DUMMYFUNCTION("""COMPUTED_VALUE"""),11.0)</f>
        <v>11</v>
      </c>
      <c r="K1477" s="5">
        <f>IFERROR(__xludf.DUMMYFUNCTION("""COMPUTED_VALUE"""),0.003711201079622132)</f>
        <v>0.00371120108</v>
      </c>
      <c r="L1477" s="10">
        <f>IFERROR(__xludf.DUMMYFUNCTION("""COMPUTED_VALUE"""),2964.0)</f>
        <v>2964</v>
      </c>
      <c r="M1477" s="5">
        <f>IFERROR(__xludf.DUMMYFUNCTION("""COMPUTED_VALUE"""),1.0)</f>
        <v>1</v>
      </c>
    </row>
    <row r="1478">
      <c r="A1478" s="10" t="str">
        <f>IFERROR(__xludf.DUMMYFUNCTION("""COMPUTED_VALUE"""),"リチャ!!")</f>
        <v>リチャ!!</v>
      </c>
      <c r="B1478" s="10">
        <f>IFERROR(__xludf.DUMMYFUNCTION("""COMPUTED_VALUE"""),5179.0)</f>
        <v>5179</v>
      </c>
      <c r="C1478" s="10">
        <f>IFERROR(__xludf.DUMMYFUNCTION("""COMPUTED_VALUE"""),60313.0)</f>
        <v>60313</v>
      </c>
      <c r="D1478" s="5">
        <f>IFERROR(__xludf.DUMMYFUNCTION("""COMPUTED_VALUE"""),0.3858780425871513)</f>
        <v>0.3858780426</v>
      </c>
      <c r="E1478" s="5">
        <f>IFERROR(__xludf.DUMMYFUNCTION("""COMPUTED_VALUE"""),0.1363768273660536)</f>
        <v>0.1363768274</v>
      </c>
      <c r="F1478" s="5">
        <f>IFERROR(__xludf.DUMMYFUNCTION("""COMPUTED_VALUE"""),0.21873979758406792)</f>
        <v>0.2187397976</v>
      </c>
      <c r="G1478" s="5">
        <f>IFERROR(__xludf.DUMMYFUNCTION("""COMPUTED_VALUE"""),0.19209562157652266)</f>
        <v>0.1920956216</v>
      </c>
      <c r="H1478" s="5">
        <f>IFERROR(__xludf.DUMMYFUNCTION("""COMPUTED_VALUE"""),0.5970149253731343)</f>
        <v>0.5970149254</v>
      </c>
      <c r="I1478" s="11">
        <f>IFERROR(__xludf.DUMMYFUNCTION("""COMPUTED_VALUE"""),5638.341625207297)</f>
        <v>5638.341625</v>
      </c>
      <c r="J1478" s="10">
        <f>IFERROR(__xludf.DUMMYFUNCTION("""COMPUTED_VALUE"""),6.0)</f>
        <v>6</v>
      </c>
      <c r="K1478" s="5">
        <f>IFERROR(__xludf.DUMMYFUNCTION("""COMPUTED_VALUE"""),0.0011585248117397182)</f>
        <v>0.001158524812</v>
      </c>
      <c r="L1478" s="10">
        <f>IFERROR(__xludf.DUMMYFUNCTION("""COMPUTED_VALUE"""),5179.0)</f>
        <v>5179</v>
      </c>
      <c r="M1478" s="5">
        <f>IFERROR(__xludf.DUMMYFUNCTION("""COMPUTED_VALUE"""),1.0)</f>
        <v>1</v>
      </c>
    </row>
    <row r="1479">
      <c r="A1479" s="10" t="str">
        <f>IFERROR(__xludf.DUMMYFUNCTION("""COMPUTED_VALUE"""),"Tanpaach")</f>
        <v>Tanpaach</v>
      </c>
      <c r="B1479" s="10">
        <f>IFERROR(__xludf.DUMMYFUNCTION("""COMPUTED_VALUE"""),250.0)</f>
        <v>250</v>
      </c>
      <c r="C1479" s="10">
        <f>IFERROR(__xludf.DUMMYFUNCTION("""COMPUTED_VALUE"""),3000.0)</f>
        <v>3000</v>
      </c>
      <c r="D1479" s="5">
        <f>IFERROR(__xludf.DUMMYFUNCTION("""COMPUTED_VALUE"""),0.30472727272727274)</f>
        <v>0.3047272727</v>
      </c>
      <c r="E1479" s="5">
        <f>IFERROR(__xludf.DUMMYFUNCTION("""COMPUTED_VALUE"""),0.13636363636363635)</f>
        <v>0.1363636364</v>
      </c>
      <c r="F1479" s="5">
        <f>IFERROR(__xludf.DUMMYFUNCTION("""COMPUTED_VALUE"""),0.19272727272727272)</f>
        <v>0.1927272727</v>
      </c>
      <c r="G1479" s="5">
        <f>IFERROR(__xludf.DUMMYFUNCTION("""COMPUTED_VALUE"""),0.17781818181818182)</f>
        <v>0.1778181818</v>
      </c>
      <c r="H1479" s="5">
        <f>IFERROR(__xludf.DUMMYFUNCTION("""COMPUTED_VALUE"""),0.5754716981132075)</f>
        <v>0.5754716981</v>
      </c>
      <c r="I1479" s="11">
        <f>IFERROR(__xludf.DUMMYFUNCTION("""COMPUTED_VALUE"""),5402.264150943396)</f>
        <v>5402.264151</v>
      </c>
      <c r="J1479" s="10">
        <f>IFERROR(__xludf.DUMMYFUNCTION("""COMPUTED_VALUE"""),0.0)</f>
        <v>0</v>
      </c>
      <c r="K1479" s="5">
        <f>IFERROR(__xludf.DUMMYFUNCTION("""COMPUTED_VALUE"""),0.0)</f>
        <v>0</v>
      </c>
      <c r="L1479" s="10">
        <f>IFERROR(__xludf.DUMMYFUNCTION("""COMPUTED_VALUE"""),250.0)</f>
        <v>250</v>
      </c>
      <c r="M1479" s="5">
        <f>IFERROR(__xludf.DUMMYFUNCTION("""COMPUTED_VALUE"""),1.0)</f>
        <v>1</v>
      </c>
    </row>
    <row r="1480">
      <c r="A1480" s="10" t="str">
        <f>IFERROR(__xludf.DUMMYFUNCTION("""COMPUTED_VALUE"""),"walk")</f>
        <v>walk</v>
      </c>
      <c r="B1480" s="10">
        <f>IFERROR(__xludf.DUMMYFUNCTION("""COMPUTED_VALUE"""),351.0)</f>
        <v>351</v>
      </c>
      <c r="C1480" s="10">
        <f>IFERROR(__xludf.DUMMYFUNCTION("""COMPUTED_VALUE"""),4091.0)</f>
        <v>4091</v>
      </c>
      <c r="D1480" s="5">
        <f>IFERROR(__xludf.DUMMYFUNCTION("""COMPUTED_VALUE"""),0.42272727272727273)</f>
        <v>0.4227272727</v>
      </c>
      <c r="E1480" s="5">
        <f>IFERROR(__xludf.DUMMYFUNCTION("""COMPUTED_VALUE"""),0.13636363636363635)</f>
        <v>0.1363636364</v>
      </c>
      <c r="F1480" s="5">
        <f>IFERROR(__xludf.DUMMYFUNCTION("""COMPUTED_VALUE"""),0.20748663101604278)</f>
        <v>0.207486631</v>
      </c>
      <c r="G1480" s="5">
        <f>IFERROR(__xludf.DUMMYFUNCTION("""COMPUTED_VALUE"""),0.17406417112299466)</f>
        <v>0.1740641711</v>
      </c>
      <c r="H1480" s="5">
        <f>IFERROR(__xludf.DUMMYFUNCTION("""COMPUTED_VALUE"""),0.6185567010309279)</f>
        <v>0.618556701</v>
      </c>
      <c r="I1480" s="11">
        <f>IFERROR(__xludf.DUMMYFUNCTION("""COMPUTED_VALUE"""),5462.371134020618)</f>
        <v>5462.371134</v>
      </c>
      <c r="J1480" s="10">
        <f>IFERROR(__xludf.DUMMYFUNCTION("""COMPUTED_VALUE"""),0.0)</f>
        <v>0</v>
      </c>
      <c r="K1480" s="5">
        <f>IFERROR(__xludf.DUMMYFUNCTION("""COMPUTED_VALUE"""),0.0)</f>
        <v>0</v>
      </c>
      <c r="L1480" s="10">
        <f>IFERROR(__xludf.DUMMYFUNCTION("""COMPUTED_VALUE"""),351.0)</f>
        <v>351</v>
      </c>
      <c r="M1480" s="5">
        <f>IFERROR(__xludf.DUMMYFUNCTION("""COMPUTED_VALUE"""),1.0)</f>
        <v>1</v>
      </c>
    </row>
    <row r="1481">
      <c r="A1481" s="10" t="str">
        <f>IFERROR(__xludf.DUMMYFUNCTION("""COMPUTED_VALUE"""),"ぬらりヒョン")</f>
        <v>ぬらりヒョン</v>
      </c>
      <c r="B1481" s="10">
        <f>IFERROR(__xludf.DUMMYFUNCTION("""COMPUTED_VALUE"""),174.0)</f>
        <v>174</v>
      </c>
      <c r="C1481" s="10">
        <f>IFERROR(__xludf.DUMMYFUNCTION("""COMPUTED_VALUE"""),2022.0)</f>
        <v>2022</v>
      </c>
      <c r="D1481" s="5">
        <f>IFERROR(__xludf.DUMMYFUNCTION("""COMPUTED_VALUE"""),0.32575757575757575)</f>
        <v>0.3257575758</v>
      </c>
      <c r="E1481" s="5">
        <f>IFERROR(__xludf.DUMMYFUNCTION("""COMPUTED_VALUE"""),0.13636363636363635)</f>
        <v>0.1363636364</v>
      </c>
      <c r="F1481" s="5">
        <f>IFERROR(__xludf.DUMMYFUNCTION("""COMPUTED_VALUE"""),0.21266233766233766)</f>
        <v>0.2126623377</v>
      </c>
      <c r="G1481" s="5">
        <f>IFERROR(__xludf.DUMMYFUNCTION("""COMPUTED_VALUE"""),0.1634199134199134)</f>
        <v>0.1634199134</v>
      </c>
      <c r="H1481" s="5">
        <f>IFERROR(__xludf.DUMMYFUNCTION("""COMPUTED_VALUE"""),0.5877862595419847)</f>
        <v>0.5877862595</v>
      </c>
      <c r="I1481" s="11">
        <f>IFERROR(__xludf.DUMMYFUNCTION("""COMPUTED_VALUE"""),5383.969465648855)</f>
        <v>5383.969466</v>
      </c>
      <c r="J1481" s="10">
        <f>IFERROR(__xludf.DUMMYFUNCTION("""COMPUTED_VALUE"""),0.0)</f>
        <v>0</v>
      </c>
      <c r="K1481" s="5">
        <f>IFERROR(__xludf.DUMMYFUNCTION("""COMPUTED_VALUE"""),0.0)</f>
        <v>0</v>
      </c>
      <c r="L1481" s="10">
        <f>IFERROR(__xludf.DUMMYFUNCTION("""COMPUTED_VALUE"""),174.0)</f>
        <v>174</v>
      </c>
      <c r="M1481" s="5">
        <f>IFERROR(__xludf.DUMMYFUNCTION("""COMPUTED_VALUE"""),1.0)</f>
        <v>1</v>
      </c>
    </row>
    <row r="1482">
      <c r="A1482" s="10" t="str">
        <f>IFERROR(__xludf.DUMMYFUNCTION("""COMPUTED_VALUE"""),"@らいおん")</f>
        <v>@らいおん</v>
      </c>
      <c r="B1482" s="10">
        <f>IFERROR(__xludf.DUMMYFUNCTION("""COMPUTED_VALUE"""),221.0)</f>
        <v>221</v>
      </c>
      <c r="C1482" s="10">
        <f>IFERROR(__xludf.DUMMYFUNCTION("""COMPUTED_VALUE"""),2612.0)</f>
        <v>2612</v>
      </c>
      <c r="D1482" s="5">
        <f>IFERROR(__xludf.DUMMYFUNCTION("""COMPUTED_VALUE"""),0.27645336679213717)</f>
        <v>0.2764533668</v>
      </c>
      <c r="E1482" s="5">
        <f>IFERROR(__xludf.DUMMYFUNCTION("""COMPUTED_VALUE"""),0.13634462567963196)</f>
        <v>0.1363446257</v>
      </c>
      <c r="F1482" s="5">
        <f>IFERROR(__xludf.DUMMYFUNCTION("""COMPUTED_VALUE"""),0.20200752823086573)</f>
        <v>0.2020075282</v>
      </c>
      <c r="G1482" s="5">
        <f>IFERROR(__xludf.DUMMYFUNCTION("""COMPUTED_VALUE"""),0.21539104976997073)</f>
        <v>0.2153910498</v>
      </c>
      <c r="H1482" s="5">
        <f>IFERROR(__xludf.DUMMYFUNCTION("""COMPUTED_VALUE"""),0.5403726708074534)</f>
        <v>0.5403726708</v>
      </c>
      <c r="I1482" s="11">
        <f>IFERROR(__xludf.DUMMYFUNCTION("""COMPUTED_VALUE"""),5797.722567287785)</f>
        <v>5797.722567</v>
      </c>
      <c r="J1482" s="10">
        <f>IFERROR(__xludf.DUMMYFUNCTION("""COMPUTED_VALUE"""),1.0)</f>
        <v>1</v>
      </c>
      <c r="K1482" s="5">
        <f>IFERROR(__xludf.DUMMYFUNCTION("""COMPUTED_VALUE"""),0.004524886877828055)</f>
        <v>0.004524886878</v>
      </c>
      <c r="L1482" s="10">
        <f>IFERROR(__xludf.DUMMYFUNCTION("""COMPUTED_VALUE"""),221.0)</f>
        <v>221</v>
      </c>
      <c r="M1482" s="5">
        <f>IFERROR(__xludf.DUMMYFUNCTION("""COMPUTED_VALUE"""),1.0)</f>
        <v>1</v>
      </c>
    </row>
    <row r="1483">
      <c r="A1483" s="10" t="str">
        <f>IFERROR(__xludf.DUMMYFUNCTION("""COMPUTED_VALUE"""),"アナトリアの傭兵")</f>
        <v>アナトリアの傭兵</v>
      </c>
      <c r="B1483" s="10">
        <f>IFERROR(__xludf.DUMMYFUNCTION("""COMPUTED_VALUE"""),178.0)</f>
        <v>178</v>
      </c>
      <c r="C1483" s="10">
        <f>IFERROR(__xludf.DUMMYFUNCTION("""COMPUTED_VALUE"""),2085.0)</f>
        <v>2085</v>
      </c>
      <c r="D1483" s="5">
        <f>IFERROR(__xludf.DUMMYFUNCTION("""COMPUTED_VALUE"""),0.36287362349239644)</f>
        <v>0.3628736235</v>
      </c>
      <c r="E1483" s="5">
        <f>IFERROR(__xludf.DUMMYFUNCTION("""COMPUTED_VALUE"""),0.1363398007341374)</f>
        <v>0.1363398007</v>
      </c>
      <c r="F1483" s="5">
        <f>IFERROR(__xludf.DUMMYFUNCTION("""COMPUTED_VALUE"""),0.20188778185631884)</f>
        <v>0.2018877819</v>
      </c>
      <c r="G1483" s="5">
        <f>IFERROR(__xludf.DUMMYFUNCTION("""COMPUTED_VALUE"""),0.18353434714210803)</f>
        <v>0.1835343471</v>
      </c>
      <c r="H1483" s="5">
        <f>IFERROR(__xludf.DUMMYFUNCTION("""COMPUTED_VALUE"""),0.587012987012987)</f>
        <v>0.587012987</v>
      </c>
      <c r="I1483" s="11">
        <f>IFERROR(__xludf.DUMMYFUNCTION("""COMPUTED_VALUE"""),5271.428571428572)</f>
        <v>5271.428571</v>
      </c>
      <c r="J1483" s="10">
        <f>IFERROR(__xludf.DUMMYFUNCTION("""COMPUTED_VALUE"""),0.0)</f>
        <v>0</v>
      </c>
      <c r="K1483" s="5">
        <f>IFERROR(__xludf.DUMMYFUNCTION("""COMPUTED_VALUE"""),0.0)</f>
        <v>0</v>
      </c>
      <c r="L1483" s="10">
        <f>IFERROR(__xludf.DUMMYFUNCTION("""COMPUTED_VALUE"""),178.0)</f>
        <v>178</v>
      </c>
      <c r="M1483" s="5">
        <f>IFERROR(__xludf.DUMMYFUNCTION("""COMPUTED_VALUE"""),1.0)</f>
        <v>1</v>
      </c>
    </row>
    <row r="1484">
      <c r="A1484" s="10" t="str">
        <f>IFERROR(__xludf.DUMMYFUNCTION("""COMPUTED_VALUE"""),"塩コバ")</f>
        <v>塩コバ</v>
      </c>
      <c r="B1484" s="10">
        <f>IFERROR(__xludf.DUMMYFUNCTION("""COMPUTED_VALUE"""),165.0)</f>
        <v>165</v>
      </c>
      <c r="C1484" s="10">
        <f>IFERROR(__xludf.DUMMYFUNCTION("""COMPUTED_VALUE"""),1940.0)</f>
        <v>1940</v>
      </c>
      <c r="D1484" s="5">
        <f>IFERROR(__xludf.DUMMYFUNCTION("""COMPUTED_VALUE"""),0.27887323943661974)</f>
        <v>0.2788732394</v>
      </c>
      <c r="E1484" s="5">
        <f>IFERROR(__xludf.DUMMYFUNCTION("""COMPUTED_VALUE"""),0.13633802816901408)</f>
        <v>0.1363380282</v>
      </c>
      <c r="F1484" s="5">
        <f>IFERROR(__xludf.DUMMYFUNCTION("""COMPUTED_VALUE"""),0.1780281690140845)</f>
        <v>0.178028169</v>
      </c>
      <c r="G1484" s="5">
        <f>IFERROR(__xludf.DUMMYFUNCTION("""COMPUTED_VALUE"""),0.16225352112676056)</f>
        <v>0.1622535211</v>
      </c>
      <c r="H1484" s="5">
        <f>IFERROR(__xludf.DUMMYFUNCTION("""COMPUTED_VALUE"""),0.5569620253164557)</f>
        <v>0.5569620253</v>
      </c>
      <c r="I1484" s="11">
        <f>IFERROR(__xludf.DUMMYFUNCTION("""COMPUTED_VALUE"""),5827.53164556962)</f>
        <v>5827.531646</v>
      </c>
      <c r="J1484" s="10">
        <f>IFERROR(__xludf.DUMMYFUNCTION("""COMPUTED_VALUE"""),1.0)</f>
        <v>1</v>
      </c>
      <c r="K1484" s="5">
        <f>IFERROR(__xludf.DUMMYFUNCTION("""COMPUTED_VALUE"""),0.006060606060606061)</f>
        <v>0.006060606061</v>
      </c>
      <c r="L1484" s="10">
        <f>IFERROR(__xludf.DUMMYFUNCTION("""COMPUTED_VALUE"""),165.0)</f>
        <v>165</v>
      </c>
      <c r="M1484" s="5">
        <f>IFERROR(__xludf.DUMMYFUNCTION("""COMPUTED_VALUE"""),1.0)</f>
        <v>1</v>
      </c>
    </row>
    <row r="1485">
      <c r="A1485" s="10" t="str">
        <f>IFERROR(__xludf.DUMMYFUNCTION("""COMPUTED_VALUE"""),"kurantan")</f>
        <v>kurantan</v>
      </c>
      <c r="B1485" s="10">
        <f>IFERROR(__xludf.DUMMYFUNCTION("""COMPUTED_VALUE"""),157.0)</f>
        <v>157</v>
      </c>
      <c r="C1485" s="10">
        <f>IFERROR(__xludf.DUMMYFUNCTION("""COMPUTED_VALUE"""),1844.0)</f>
        <v>1844</v>
      </c>
      <c r="D1485" s="5">
        <f>IFERROR(__xludf.DUMMYFUNCTION("""COMPUTED_VALUE"""),0.3924125666864256)</f>
        <v>0.3924125667</v>
      </c>
      <c r="E1485" s="5">
        <f>IFERROR(__xludf.DUMMYFUNCTION("""COMPUTED_VALUE"""),0.13633669235328985)</f>
        <v>0.1363366924</v>
      </c>
      <c r="F1485" s="5">
        <f>IFERROR(__xludf.DUMMYFUNCTION("""COMPUTED_VALUE"""),0.2033195020746888)</f>
        <v>0.2033195021</v>
      </c>
      <c r="G1485" s="5">
        <f>IFERROR(__xludf.DUMMYFUNCTION("""COMPUTED_VALUE"""),0.15649081209247184)</f>
        <v>0.1564908121</v>
      </c>
      <c r="H1485" s="5">
        <f>IFERROR(__xludf.DUMMYFUNCTION("""COMPUTED_VALUE"""),0.6064139941690962)</f>
        <v>0.6064139942</v>
      </c>
      <c r="I1485" s="11">
        <f>IFERROR(__xludf.DUMMYFUNCTION("""COMPUTED_VALUE"""),5434.985422740525)</f>
        <v>5434.985423</v>
      </c>
      <c r="J1485" s="10">
        <f>IFERROR(__xludf.DUMMYFUNCTION("""COMPUTED_VALUE"""),0.0)</f>
        <v>0</v>
      </c>
      <c r="K1485" s="5">
        <f>IFERROR(__xludf.DUMMYFUNCTION("""COMPUTED_VALUE"""),0.0)</f>
        <v>0</v>
      </c>
      <c r="L1485" s="10">
        <f>IFERROR(__xludf.DUMMYFUNCTION("""COMPUTED_VALUE"""),61.0)</f>
        <v>61</v>
      </c>
      <c r="M1485" s="5">
        <f>IFERROR(__xludf.DUMMYFUNCTION("""COMPUTED_VALUE"""),0.3885350318471338)</f>
        <v>0.3885350318</v>
      </c>
    </row>
    <row r="1486">
      <c r="A1486" s="10" t="str">
        <f>IFERROR(__xludf.DUMMYFUNCTION("""COMPUTED_VALUE"""),"of")</f>
        <v>of</v>
      </c>
      <c r="B1486" s="10">
        <f>IFERROR(__xludf.DUMMYFUNCTION("""COMPUTED_VALUE"""),2819.0)</f>
        <v>2819</v>
      </c>
      <c r="C1486" s="10">
        <f>IFERROR(__xludf.DUMMYFUNCTION("""COMPUTED_VALUE"""),32921.0)</f>
        <v>32921</v>
      </c>
      <c r="D1486" s="5">
        <f>IFERROR(__xludf.DUMMYFUNCTION("""COMPUTED_VALUE"""),0.37851305561092286)</f>
        <v>0.3785130556</v>
      </c>
      <c r="E1486" s="5">
        <f>IFERROR(__xludf.DUMMYFUNCTION("""COMPUTED_VALUE"""),0.13633645604943193)</f>
        <v>0.136336456</v>
      </c>
      <c r="F1486" s="5">
        <f>IFERROR(__xludf.DUMMYFUNCTION("""COMPUTED_VALUE"""),0.2196863995747791)</f>
        <v>0.2196863996</v>
      </c>
      <c r="G1486" s="5">
        <f>IFERROR(__xludf.DUMMYFUNCTION("""COMPUTED_VALUE"""),0.1904856820144841)</f>
        <v>0.190485682</v>
      </c>
      <c r="H1486" s="5">
        <f>IFERROR(__xludf.DUMMYFUNCTION("""COMPUTED_VALUE"""),0.5959473763798578)</f>
        <v>0.5959473764</v>
      </c>
      <c r="I1486" s="11">
        <f>IFERROR(__xludf.DUMMYFUNCTION("""COMPUTED_VALUE"""),5755.602600937547)</f>
        <v>5755.602601</v>
      </c>
      <c r="J1486" s="10">
        <f>IFERROR(__xludf.DUMMYFUNCTION("""COMPUTED_VALUE"""),4.0)</f>
        <v>4</v>
      </c>
      <c r="K1486" s="5">
        <f>IFERROR(__xludf.DUMMYFUNCTION("""COMPUTED_VALUE"""),0.001418942887548776)</f>
        <v>0.001418942888</v>
      </c>
      <c r="L1486" s="10">
        <f>IFERROR(__xludf.DUMMYFUNCTION("""COMPUTED_VALUE"""),2819.0)</f>
        <v>2819</v>
      </c>
      <c r="M1486" s="5">
        <f>IFERROR(__xludf.DUMMYFUNCTION("""COMPUTED_VALUE"""),1.0)</f>
        <v>1</v>
      </c>
    </row>
    <row r="1487">
      <c r="A1487" s="10" t="str">
        <f>IFERROR(__xludf.DUMMYFUNCTION("""COMPUTED_VALUE"""),"センゴク")</f>
        <v>センゴク</v>
      </c>
      <c r="B1487" s="10">
        <f>IFERROR(__xludf.DUMMYFUNCTION("""COMPUTED_VALUE"""),453.0)</f>
        <v>453</v>
      </c>
      <c r="C1487" s="10">
        <f>IFERROR(__xludf.DUMMYFUNCTION("""COMPUTED_VALUE"""),5294.0)</f>
        <v>5294</v>
      </c>
      <c r="D1487" s="5">
        <f>IFERROR(__xludf.DUMMYFUNCTION("""COMPUTED_VALUE"""),0.4052881636025615)</f>
        <v>0.4052881636</v>
      </c>
      <c r="E1487" s="5">
        <f>IFERROR(__xludf.DUMMYFUNCTION("""COMPUTED_VALUE"""),0.13633546787853748)</f>
        <v>0.1363354679</v>
      </c>
      <c r="F1487" s="5">
        <f>IFERROR(__xludf.DUMMYFUNCTION("""COMPUTED_VALUE"""),0.20532947738070648)</f>
        <v>0.2053294774</v>
      </c>
      <c r="G1487" s="5">
        <f>IFERROR(__xludf.DUMMYFUNCTION("""COMPUTED_VALUE"""),0.15575294360669284)</f>
        <v>0.1557529436</v>
      </c>
      <c r="H1487" s="5">
        <f>IFERROR(__xludf.DUMMYFUNCTION("""COMPUTED_VALUE"""),0.5895372233400402)</f>
        <v>0.5895372233</v>
      </c>
      <c r="I1487" s="11">
        <f>IFERROR(__xludf.DUMMYFUNCTION("""COMPUTED_VALUE"""),5512.877263581489)</f>
        <v>5512.877264</v>
      </c>
      <c r="J1487" s="10">
        <f>IFERROR(__xludf.DUMMYFUNCTION("""COMPUTED_VALUE"""),0.0)</f>
        <v>0</v>
      </c>
      <c r="K1487" s="5">
        <f>IFERROR(__xludf.DUMMYFUNCTION("""COMPUTED_VALUE"""),0.0)</f>
        <v>0</v>
      </c>
      <c r="L1487" s="10">
        <f>IFERROR(__xludf.DUMMYFUNCTION("""COMPUTED_VALUE"""),453.0)</f>
        <v>453</v>
      </c>
      <c r="M1487" s="5">
        <f>IFERROR(__xludf.DUMMYFUNCTION("""COMPUTED_VALUE"""),1.0)</f>
        <v>1</v>
      </c>
    </row>
    <row r="1488">
      <c r="A1488" s="10" t="str">
        <f>IFERROR(__xludf.DUMMYFUNCTION("""COMPUTED_VALUE"""),"fool_key")</f>
        <v>fool_key</v>
      </c>
      <c r="B1488" s="10">
        <f>IFERROR(__xludf.DUMMYFUNCTION("""COMPUTED_VALUE"""),1109.0)</f>
        <v>1109</v>
      </c>
      <c r="C1488" s="10">
        <f>IFERROR(__xludf.DUMMYFUNCTION("""COMPUTED_VALUE"""),12882.0)</f>
        <v>12882</v>
      </c>
      <c r="D1488" s="5">
        <f>IFERROR(__xludf.DUMMYFUNCTION("""COMPUTED_VALUE"""),0.36218465981483056)</f>
        <v>0.3621846598</v>
      </c>
      <c r="E1488" s="5">
        <f>IFERROR(__xludf.DUMMYFUNCTION("""COMPUTED_VALUE"""),0.13632888813386562)</f>
        <v>0.1363288881</v>
      </c>
      <c r="F1488" s="5">
        <f>IFERROR(__xludf.DUMMYFUNCTION("""COMPUTED_VALUE"""),0.21039667034740508)</f>
        <v>0.2103966703</v>
      </c>
      <c r="G1488" s="5">
        <f>IFERROR(__xludf.DUMMYFUNCTION("""COMPUTED_VALUE"""),0.1730230187717659)</f>
        <v>0.1730230188</v>
      </c>
      <c r="H1488" s="5">
        <f>IFERROR(__xludf.DUMMYFUNCTION("""COMPUTED_VALUE"""),0.5910375454178441)</f>
        <v>0.5910375454</v>
      </c>
      <c r="I1488" s="11">
        <f>IFERROR(__xludf.DUMMYFUNCTION("""COMPUTED_VALUE"""),5611.828825191764)</f>
        <v>5611.828825</v>
      </c>
      <c r="J1488" s="10">
        <f>IFERROR(__xludf.DUMMYFUNCTION("""COMPUTED_VALUE"""),2.0)</f>
        <v>2</v>
      </c>
      <c r="K1488" s="5">
        <f>IFERROR(__xludf.DUMMYFUNCTION("""COMPUTED_VALUE"""),0.0018034265103697023)</f>
        <v>0.00180342651</v>
      </c>
      <c r="L1488" s="10">
        <f>IFERROR(__xludf.DUMMYFUNCTION("""COMPUTED_VALUE"""),1109.0)</f>
        <v>1109</v>
      </c>
      <c r="M1488" s="5">
        <f>IFERROR(__xludf.DUMMYFUNCTION("""COMPUTED_VALUE"""),1.0)</f>
        <v>1</v>
      </c>
    </row>
    <row r="1489">
      <c r="A1489" s="10" t="str">
        <f>IFERROR(__xludf.DUMMYFUNCTION("""COMPUTED_VALUE"""),"生涯オリックス")</f>
        <v>生涯オリックス</v>
      </c>
      <c r="B1489" s="10">
        <f>IFERROR(__xludf.DUMMYFUNCTION("""COMPUTED_VALUE"""),892.0)</f>
        <v>892</v>
      </c>
      <c r="C1489" s="10">
        <f>IFERROR(__xludf.DUMMYFUNCTION("""COMPUTED_VALUE"""),10502.0)</f>
        <v>10502</v>
      </c>
      <c r="D1489" s="5">
        <f>IFERROR(__xludf.DUMMYFUNCTION("""COMPUTED_VALUE"""),0.4263267429760666)</f>
        <v>0.426326743</v>
      </c>
      <c r="E1489" s="5">
        <f>IFERROR(__xludf.DUMMYFUNCTION("""COMPUTED_VALUE"""),0.13631633714880334)</f>
        <v>0.1363163371</v>
      </c>
      <c r="F1489" s="5">
        <f>IFERROR(__xludf.DUMMYFUNCTION("""COMPUTED_VALUE"""),0.2190426638917794)</f>
        <v>0.2190426639</v>
      </c>
      <c r="G1489" s="5">
        <f>IFERROR(__xludf.DUMMYFUNCTION("""COMPUTED_VALUE"""),0.1529656607700312)</f>
        <v>0.1529656608</v>
      </c>
      <c r="H1489" s="5">
        <f>IFERROR(__xludf.DUMMYFUNCTION("""COMPUTED_VALUE"""),0.6190023752969122)</f>
        <v>0.6190023753</v>
      </c>
      <c r="I1489" s="11">
        <f>IFERROR(__xludf.DUMMYFUNCTION("""COMPUTED_VALUE"""),5423.75296912114)</f>
        <v>5423.752969</v>
      </c>
      <c r="J1489" s="10">
        <f>IFERROR(__xludf.DUMMYFUNCTION("""COMPUTED_VALUE"""),2.0)</f>
        <v>2</v>
      </c>
      <c r="K1489" s="5">
        <f>IFERROR(__xludf.DUMMYFUNCTION("""COMPUTED_VALUE"""),0.002242152466367713)</f>
        <v>0.002242152466</v>
      </c>
      <c r="L1489" s="10">
        <f>IFERROR(__xludf.DUMMYFUNCTION("""COMPUTED_VALUE"""),892.0)</f>
        <v>892</v>
      </c>
      <c r="M1489" s="5">
        <f>IFERROR(__xludf.DUMMYFUNCTION("""COMPUTED_VALUE"""),1.0)</f>
        <v>1</v>
      </c>
    </row>
    <row r="1490">
      <c r="A1490" s="10" t="str">
        <f>IFERROR(__xludf.DUMMYFUNCTION("""COMPUTED_VALUE"""),"小松")</f>
        <v>小松</v>
      </c>
      <c r="B1490" s="10">
        <f>IFERROR(__xludf.DUMMYFUNCTION("""COMPUTED_VALUE"""),913.0)</f>
        <v>913</v>
      </c>
      <c r="C1490" s="10">
        <f>IFERROR(__xludf.DUMMYFUNCTION("""COMPUTED_VALUE"""),10553.0)</f>
        <v>10553</v>
      </c>
      <c r="D1490" s="5">
        <f>IFERROR(__xludf.DUMMYFUNCTION("""COMPUTED_VALUE"""),0.34429460580912863)</f>
        <v>0.3442946058</v>
      </c>
      <c r="E1490" s="5">
        <f>IFERROR(__xludf.DUMMYFUNCTION("""COMPUTED_VALUE"""),0.1363070539419087)</f>
        <v>0.1363070539</v>
      </c>
      <c r="F1490" s="5">
        <f>IFERROR(__xludf.DUMMYFUNCTION("""COMPUTED_VALUE"""),0.2237551867219917)</f>
        <v>0.2237551867</v>
      </c>
      <c r="G1490" s="5">
        <f>IFERROR(__xludf.DUMMYFUNCTION("""COMPUTED_VALUE"""),0.1937759336099585)</f>
        <v>0.1937759336</v>
      </c>
      <c r="H1490" s="5">
        <f>IFERROR(__xludf.DUMMYFUNCTION("""COMPUTED_VALUE"""),0.6082522021325916)</f>
        <v>0.6082522021</v>
      </c>
      <c r="I1490" s="11">
        <f>IFERROR(__xludf.DUMMYFUNCTION("""COMPUTED_VALUE"""),5505.7950857672695)</f>
        <v>5505.795086</v>
      </c>
      <c r="J1490" s="10">
        <f>IFERROR(__xludf.DUMMYFUNCTION("""COMPUTED_VALUE"""),0.0)</f>
        <v>0</v>
      </c>
      <c r="K1490" s="5">
        <f>IFERROR(__xludf.DUMMYFUNCTION("""COMPUTED_VALUE"""),0.0)</f>
        <v>0</v>
      </c>
      <c r="L1490" s="10">
        <f>IFERROR(__xludf.DUMMYFUNCTION("""COMPUTED_VALUE"""),913.0)</f>
        <v>913</v>
      </c>
      <c r="M1490" s="5">
        <f>IFERROR(__xludf.DUMMYFUNCTION("""COMPUTED_VALUE"""),1.0)</f>
        <v>1</v>
      </c>
    </row>
    <row r="1491">
      <c r="A1491" s="10" t="str">
        <f>IFERROR(__xludf.DUMMYFUNCTION("""COMPUTED_VALUE"""),"八色")</f>
        <v>八色</v>
      </c>
      <c r="B1491" s="10">
        <f>IFERROR(__xludf.DUMMYFUNCTION("""COMPUTED_VALUE"""),403.0)</f>
        <v>403</v>
      </c>
      <c r="C1491" s="10">
        <f>IFERROR(__xludf.DUMMYFUNCTION("""COMPUTED_VALUE"""),4717.0)</f>
        <v>4717</v>
      </c>
      <c r="D1491" s="5">
        <f>IFERROR(__xludf.DUMMYFUNCTION("""COMPUTED_VALUE"""),0.325452016689847)</f>
        <v>0.3254520167</v>
      </c>
      <c r="E1491" s="5">
        <f>IFERROR(__xludf.DUMMYFUNCTION("""COMPUTED_VALUE"""),0.13630041724617525)</f>
        <v>0.1363004172</v>
      </c>
      <c r="F1491" s="5">
        <f>IFERROR(__xludf.DUMMYFUNCTION("""COMPUTED_VALUE"""),0.2076958738989337)</f>
        <v>0.2076958739</v>
      </c>
      <c r="G1491" s="5">
        <f>IFERROR(__xludf.DUMMYFUNCTION("""COMPUTED_VALUE"""),0.16110338433008808)</f>
        <v>0.1611033843</v>
      </c>
      <c r="H1491" s="5">
        <f>IFERROR(__xludf.DUMMYFUNCTION("""COMPUTED_VALUE"""),0.59375)</f>
        <v>0.59375</v>
      </c>
      <c r="I1491" s="11">
        <f>IFERROR(__xludf.DUMMYFUNCTION("""COMPUTED_VALUE"""),5884.933035714285)</f>
        <v>5884.933036</v>
      </c>
      <c r="J1491" s="10">
        <f>IFERROR(__xludf.DUMMYFUNCTION("""COMPUTED_VALUE"""),2.0)</f>
        <v>2</v>
      </c>
      <c r="K1491" s="5">
        <f>IFERROR(__xludf.DUMMYFUNCTION("""COMPUTED_VALUE"""),0.004962779156327543)</f>
        <v>0.004962779156</v>
      </c>
      <c r="L1491" s="10">
        <f>IFERROR(__xludf.DUMMYFUNCTION("""COMPUTED_VALUE"""),403.0)</f>
        <v>403</v>
      </c>
      <c r="M1491" s="5">
        <f>IFERROR(__xludf.DUMMYFUNCTION("""COMPUTED_VALUE"""),1.0)</f>
        <v>1</v>
      </c>
    </row>
    <row r="1492">
      <c r="A1492" s="10" t="str">
        <f>IFERROR(__xludf.DUMMYFUNCTION("""COMPUTED_VALUE"""),"どきんちゃん")</f>
        <v>どきんちゃん</v>
      </c>
      <c r="B1492" s="10">
        <f>IFERROR(__xludf.DUMMYFUNCTION("""COMPUTED_VALUE"""),393.0)</f>
        <v>393</v>
      </c>
      <c r="C1492" s="10">
        <f>IFERROR(__xludf.DUMMYFUNCTION("""COMPUTED_VALUE"""),4575.0)</f>
        <v>4575</v>
      </c>
      <c r="D1492" s="5">
        <f>IFERROR(__xludf.DUMMYFUNCTION("""COMPUTED_VALUE"""),0.35413677666188426)</f>
        <v>0.3541367767</v>
      </c>
      <c r="E1492" s="5">
        <f>IFERROR(__xludf.DUMMYFUNCTION("""COMPUTED_VALUE"""),0.13629842180774748)</f>
        <v>0.1362984218</v>
      </c>
      <c r="F1492" s="5">
        <f>IFERROR(__xludf.DUMMYFUNCTION("""COMPUTED_VALUE"""),0.2025346724055476)</f>
        <v>0.2025346724</v>
      </c>
      <c r="G1492" s="5">
        <f>IFERROR(__xludf.DUMMYFUNCTION("""COMPUTED_VALUE"""),0.16116690578670492)</f>
        <v>0.1611669058</v>
      </c>
      <c r="H1492" s="5">
        <f>IFERROR(__xludf.DUMMYFUNCTION("""COMPUTED_VALUE"""),0.5761511216056671)</f>
        <v>0.5761511216</v>
      </c>
      <c r="I1492" s="11">
        <f>IFERROR(__xludf.DUMMYFUNCTION("""COMPUTED_VALUE"""),5668.004722550177)</f>
        <v>5668.004723</v>
      </c>
      <c r="J1492" s="10">
        <f>IFERROR(__xludf.DUMMYFUNCTION("""COMPUTED_VALUE"""),1.0)</f>
        <v>1</v>
      </c>
      <c r="K1492" s="5">
        <f>IFERROR(__xludf.DUMMYFUNCTION("""COMPUTED_VALUE"""),0.002544529262086514)</f>
        <v>0.002544529262</v>
      </c>
      <c r="L1492" s="10">
        <f>IFERROR(__xludf.DUMMYFUNCTION("""COMPUTED_VALUE"""),40.0)</f>
        <v>40</v>
      </c>
      <c r="M1492" s="5">
        <f>IFERROR(__xludf.DUMMYFUNCTION("""COMPUTED_VALUE"""),0.10178117048346055)</f>
        <v>0.1017811705</v>
      </c>
    </row>
    <row r="1493">
      <c r="A1493" s="10" t="str">
        <f>IFERROR(__xludf.DUMMYFUNCTION("""COMPUTED_VALUE"""),"マメポコ")</f>
        <v>マメポコ</v>
      </c>
      <c r="B1493" s="10">
        <f>IFERROR(__xludf.DUMMYFUNCTION("""COMPUTED_VALUE"""),610.0)</f>
        <v>610</v>
      </c>
      <c r="C1493" s="10">
        <f>IFERROR(__xludf.DUMMYFUNCTION("""COMPUTED_VALUE"""),7228.0)</f>
        <v>7228</v>
      </c>
      <c r="D1493" s="5">
        <f>IFERROR(__xludf.DUMMYFUNCTION("""COMPUTED_VALUE"""),0.34209731036566937)</f>
        <v>0.3420973104</v>
      </c>
      <c r="E1493" s="5">
        <f>IFERROR(__xludf.DUMMYFUNCTION("""COMPUTED_VALUE"""),0.1362949531580538)</f>
        <v>0.1362949532</v>
      </c>
      <c r="F1493" s="5">
        <f>IFERROR(__xludf.DUMMYFUNCTION("""COMPUTED_VALUE"""),0.22212148685403446)</f>
        <v>0.2221214869</v>
      </c>
      <c r="G1493" s="5">
        <f>IFERROR(__xludf.DUMMYFUNCTION("""COMPUTED_VALUE"""),0.17467512843759445)</f>
        <v>0.1746751284</v>
      </c>
      <c r="H1493" s="5">
        <f>IFERROR(__xludf.DUMMYFUNCTION("""COMPUTED_VALUE"""),0.6061224489795919)</f>
        <v>0.606122449</v>
      </c>
      <c r="I1493" s="11">
        <f>IFERROR(__xludf.DUMMYFUNCTION("""COMPUTED_VALUE"""),5269.047619047619)</f>
        <v>5269.047619</v>
      </c>
      <c r="J1493" s="10">
        <f>IFERROR(__xludf.DUMMYFUNCTION("""COMPUTED_VALUE"""),2.0)</f>
        <v>2</v>
      </c>
      <c r="K1493" s="5">
        <f>IFERROR(__xludf.DUMMYFUNCTION("""COMPUTED_VALUE"""),0.003278688524590164)</f>
        <v>0.003278688525</v>
      </c>
      <c r="L1493" s="10">
        <f>IFERROR(__xludf.DUMMYFUNCTION("""COMPUTED_VALUE"""),610.0)</f>
        <v>610</v>
      </c>
      <c r="M1493" s="5">
        <f>IFERROR(__xludf.DUMMYFUNCTION("""COMPUTED_VALUE"""),1.0)</f>
        <v>1</v>
      </c>
    </row>
    <row r="1494">
      <c r="A1494" s="10" t="str">
        <f>IFERROR(__xludf.DUMMYFUNCTION("""COMPUTED_VALUE"""),"ゆうぴ")</f>
        <v>ゆうぴ</v>
      </c>
      <c r="B1494" s="10">
        <f>IFERROR(__xludf.DUMMYFUNCTION("""COMPUTED_VALUE"""),1912.0)</f>
        <v>1912</v>
      </c>
      <c r="C1494" s="10">
        <f>IFERROR(__xludf.DUMMYFUNCTION("""COMPUTED_VALUE"""),22428.0)</f>
        <v>22428</v>
      </c>
      <c r="D1494" s="5">
        <f>IFERROR(__xludf.DUMMYFUNCTION("""COMPUTED_VALUE"""),0.3542600896860987)</f>
        <v>0.3542600897</v>
      </c>
      <c r="E1494" s="5">
        <f>IFERROR(__xludf.DUMMYFUNCTION("""COMPUTED_VALUE"""),0.13628387599922012)</f>
        <v>0.136283876</v>
      </c>
      <c r="F1494" s="5">
        <f>IFERROR(__xludf.DUMMYFUNCTION("""COMPUTED_VALUE"""),0.21305322674985377)</f>
        <v>0.2130532267</v>
      </c>
      <c r="G1494" s="5">
        <f>IFERROR(__xludf.DUMMYFUNCTION("""COMPUTED_VALUE"""),0.1488106843439267)</f>
        <v>0.1488106843</v>
      </c>
      <c r="H1494" s="5">
        <f>IFERROR(__xludf.DUMMYFUNCTION("""COMPUTED_VALUE"""),0.6021505376344086)</f>
        <v>0.6021505376</v>
      </c>
      <c r="I1494" s="11">
        <f>IFERROR(__xludf.DUMMYFUNCTION("""COMPUTED_VALUE"""),5513.109128345916)</f>
        <v>5513.109128</v>
      </c>
      <c r="J1494" s="10">
        <f>IFERROR(__xludf.DUMMYFUNCTION("""COMPUTED_VALUE"""),5.0)</f>
        <v>5</v>
      </c>
      <c r="K1494" s="5">
        <f>IFERROR(__xludf.DUMMYFUNCTION("""COMPUTED_VALUE"""),0.002615062761506276)</f>
        <v>0.002615062762</v>
      </c>
      <c r="L1494" s="10">
        <f>IFERROR(__xludf.DUMMYFUNCTION("""COMPUTED_VALUE"""),1912.0)</f>
        <v>1912</v>
      </c>
      <c r="M1494" s="5">
        <f>IFERROR(__xludf.DUMMYFUNCTION("""COMPUTED_VALUE"""),1.0)</f>
        <v>1</v>
      </c>
    </row>
    <row r="1495">
      <c r="A1495" s="10" t="str">
        <f>IFERROR(__xludf.DUMMYFUNCTION("""COMPUTED_VALUE"""),"ぎん★ぎん")</f>
        <v>ぎん★ぎん</v>
      </c>
      <c r="B1495" s="10">
        <f>IFERROR(__xludf.DUMMYFUNCTION("""COMPUTED_VALUE"""),184.0)</f>
        <v>184</v>
      </c>
      <c r="C1495" s="10">
        <f>IFERROR(__xludf.DUMMYFUNCTION("""COMPUTED_VALUE"""),2107.0)</f>
        <v>2107</v>
      </c>
      <c r="D1495" s="5">
        <f>IFERROR(__xludf.DUMMYFUNCTION("""COMPUTED_VALUE"""),0.3764950598023921)</f>
        <v>0.3764950598</v>
      </c>
      <c r="E1495" s="5">
        <f>IFERROR(__xludf.DUMMYFUNCTION("""COMPUTED_VALUE"""),0.13624544981799272)</f>
        <v>0.1362454498</v>
      </c>
      <c r="F1495" s="5">
        <f>IFERROR(__xludf.DUMMYFUNCTION("""COMPUTED_VALUE"""),0.2064482579303172)</f>
        <v>0.2064482579</v>
      </c>
      <c r="G1495" s="5">
        <f>IFERROR(__xludf.DUMMYFUNCTION("""COMPUTED_VALUE"""),0.16172646905876234)</f>
        <v>0.1617264691</v>
      </c>
      <c r="H1495" s="5">
        <f>IFERROR(__xludf.DUMMYFUNCTION("""COMPUTED_VALUE"""),0.6297229219143576)</f>
        <v>0.6297229219</v>
      </c>
      <c r="I1495" s="11">
        <f>IFERROR(__xludf.DUMMYFUNCTION("""COMPUTED_VALUE"""),5350.629722921914)</f>
        <v>5350.629723</v>
      </c>
      <c r="J1495" s="10">
        <f>IFERROR(__xludf.DUMMYFUNCTION("""COMPUTED_VALUE"""),1.0)</f>
        <v>1</v>
      </c>
      <c r="K1495" s="5">
        <f>IFERROR(__xludf.DUMMYFUNCTION("""COMPUTED_VALUE"""),0.005434782608695652)</f>
        <v>0.005434782609</v>
      </c>
      <c r="L1495" s="10">
        <f>IFERROR(__xludf.DUMMYFUNCTION("""COMPUTED_VALUE"""),184.0)</f>
        <v>184</v>
      </c>
      <c r="M1495" s="5">
        <f>IFERROR(__xludf.DUMMYFUNCTION("""COMPUTED_VALUE"""),1.0)</f>
        <v>1</v>
      </c>
    </row>
    <row r="1496">
      <c r="A1496" s="10" t="str">
        <f>IFERROR(__xludf.DUMMYFUNCTION("""COMPUTED_VALUE"""),"ZOOH")</f>
        <v>ZOOH</v>
      </c>
      <c r="B1496" s="10">
        <f>IFERROR(__xludf.DUMMYFUNCTION("""COMPUTED_VALUE"""),171.0)</f>
        <v>171</v>
      </c>
      <c r="C1496" s="10">
        <f>IFERROR(__xludf.DUMMYFUNCTION("""COMPUTED_VALUE"""),1984.0)</f>
        <v>1984</v>
      </c>
      <c r="D1496" s="5">
        <f>IFERROR(__xludf.DUMMYFUNCTION("""COMPUTED_VALUE"""),0.3221180364037507)</f>
        <v>0.3221180364</v>
      </c>
      <c r="E1496" s="5">
        <f>IFERROR(__xludf.DUMMYFUNCTION("""COMPUTED_VALUE"""),0.13623827909542197)</f>
        <v>0.1362382791</v>
      </c>
      <c r="F1496" s="5">
        <f>IFERROR(__xludf.DUMMYFUNCTION("""COMPUTED_VALUE"""),0.21235521235521235)</f>
        <v>0.2123552124</v>
      </c>
      <c r="G1496" s="5">
        <f>IFERROR(__xludf.DUMMYFUNCTION("""COMPUTED_VALUE"""),0.16271373414230558)</f>
        <v>0.1627137341</v>
      </c>
      <c r="H1496" s="5">
        <f>IFERROR(__xludf.DUMMYFUNCTION("""COMPUTED_VALUE"""),0.5714285714285714)</f>
        <v>0.5714285714</v>
      </c>
      <c r="I1496" s="11">
        <f>IFERROR(__xludf.DUMMYFUNCTION("""COMPUTED_VALUE"""),5430.649350649351)</f>
        <v>5430.649351</v>
      </c>
      <c r="J1496" s="10">
        <f>IFERROR(__xludf.DUMMYFUNCTION("""COMPUTED_VALUE"""),1.0)</f>
        <v>1</v>
      </c>
      <c r="K1496" s="5">
        <f>IFERROR(__xludf.DUMMYFUNCTION("""COMPUTED_VALUE"""),0.005847953216374269)</f>
        <v>0.005847953216</v>
      </c>
      <c r="L1496" s="10">
        <f>IFERROR(__xludf.DUMMYFUNCTION("""COMPUTED_VALUE"""),171.0)</f>
        <v>171</v>
      </c>
      <c r="M1496" s="5">
        <f>IFERROR(__xludf.DUMMYFUNCTION("""COMPUTED_VALUE"""),1.0)</f>
        <v>1</v>
      </c>
    </row>
    <row r="1497">
      <c r="A1497" s="10" t="str">
        <f>IFERROR(__xludf.DUMMYFUNCTION("""COMPUTED_VALUE"""),"@トロロ")</f>
        <v>@トロロ</v>
      </c>
      <c r="B1497" s="10">
        <f>IFERROR(__xludf.DUMMYFUNCTION("""COMPUTED_VALUE"""),678.0)</f>
        <v>678</v>
      </c>
      <c r="C1497" s="10">
        <f>IFERROR(__xludf.DUMMYFUNCTION("""COMPUTED_VALUE"""),7835.0)</f>
        <v>7835</v>
      </c>
      <c r="D1497" s="5">
        <f>IFERROR(__xludf.DUMMYFUNCTION("""COMPUTED_VALUE"""),0.32960737739276236)</f>
        <v>0.3296073774</v>
      </c>
      <c r="E1497" s="5">
        <f>IFERROR(__xludf.DUMMYFUNCTION("""COMPUTED_VALUE"""),0.1362302640771273)</f>
        <v>0.1362302641</v>
      </c>
      <c r="F1497" s="5">
        <f>IFERROR(__xludf.DUMMYFUNCTION("""COMPUTED_VALUE"""),0.21223976526477575)</f>
        <v>0.2122397653</v>
      </c>
      <c r="G1497" s="5">
        <f>IFERROR(__xludf.DUMMYFUNCTION("""COMPUTED_VALUE"""),0.2094452983093475)</f>
        <v>0.2094452983</v>
      </c>
      <c r="H1497" s="5">
        <f>IFERROR(__xludf.DUMMYFUNCTION("""COMPUTED_VALUE"""),0.5957867017774852)</f>
        <v>0.5957867018</v>
      </c>
      <c r="I1497" s="11">
        <f>IFERROR(__xludf.DUMMYFUNCTION("""COMPUTED_VALUE"""),6001.382488479263)</f>
        <v>6001.382488</v>
      </c>
      <c r="J1497" s="10">
        <f>IFERROR(__xludf.DUMMYFUNCTION("""COMPUTED_VALUE"""),0.0)</f>
        <v>0</v>
      </c>
      <c r="K1497" s="5">
        <f>IFERROR(__xludf.DUMMYFUNCTION("""COMPUTED_VALUE"""),0.0)</f>
        <v>0</v>
      </c>
      <c r="L1497" s="10">
        <f>IFERROR(__xludf.DUMMYFUNCTION("""COMPUTED_VALUE"""),678.0)</f>
        <v>678</v>
      </c>
      <c r="M1497" s="5">
        <f>IFERROR(__xludf.DUMMYFUNCTION("""COMPUTED_VALUE"""),1.0)</f>
        <v>1</v>
      </c>
    </row>
    <row r="1498">
      <c r="A1498" s="10" t="str">
        <f>IFERROR(__xludf.DUMMYFUNCTION("""COMPUTED_VALUE"""),"矢田くん")</f>
        <v>矢田くん</v>
      </c>
      <c r="B1498" s="10">
        <f>IFERROR(__xludf.DUMMYFUNCTION("""COMPUTED_VALUE"""),504.0)</f>
        <v>504</v>
      </c>
      <c r="C1498" s="10">
        <f>IFERROR(__xludf.DUMMYFUNCTION("""COMPUTED_VALUE"""),5936.0)</f>
        <v>5936</v>
      </c>
      <c r="D1498" s="5">
        <f>IFERROR(__xludf.DUMMYFUNCTION("""COMPUTED_VALUE"""),0.3952503681885125)</f>
        <v>0.3952503682</v>
      </c>
      <c r="E1498" s="5">
        <f>IFERROR(__xludf.DUMMYFUNCTION("""COMPUTED_VALUE"""),0.13622974963181148)</f>
        <v>0.1362297496</v>
      </c>
      <c r="F1498" s="5">
        <f>IFERROR(__xludf.DUMMYFUNCTION("""COMPUTED_VALUE"""),0.22128129602356406)</f>
        <v>0.221281296</v>
      </c>
      <c r="G1498" s="5">
        <f>IFERROR(__xludf.DUMMYFUNCTION("""COMPUTED_VALUE"""),0.18556701030927836)</f>
        <v>0.1855670103</v>
      </c>
      <c r="H1498" s="5">
        <f>IFERROR(__xludf.DUMMYFUNCTION("""COMPUTED_VALUE"""),0.5831946755407654)</f>
        <v>0.5831946755</v>
      </c>
      <c r="I1498" s="11">
        <f>IFERROR(__xludf.DUMMYFUNCTION("""COMPUTED_VALUE"""),5339.018302828619)</f>
        <v>5339.018303</v>
      </c>
      <c r="J1498" s="10">
        <f>IFERROR(__xludf.DUMMYFUNCTION("""COMPUTED_VALUE"""),2.0)</f>
        <v>2</v>
      </c>
      <c r="K1498" s="5">
        <f>IFERROR(__xludf.DUMMYFUNCTION("""COMPUTED_VALUE"""),0.003968253968253968)</f>
        <v>0.003968253968</v>
      </c>
      <c r="L1498" s="10">
        <f>IFERROR(__xludf.DUMMYFUNCTION("""COMPUTED_VALUE"""),504.0)</f>
        <v>504</v>
      </c>
      <c r="M1498" s="5">
        <f>IFERROR(__xludf.DUMMYFUNCTION("""COMPUTED_VALUE"""),1.0)</f>
        <v>1</v>
      </c>
    </row>
    <row r="1499">
      <c r="A1499" s="10" t="str">
        <f>IFERROR(__xludf.DUMMYFUNCTION("""COMPUTED_VALUE"""),"Relm")</f>
        <v>Relm</v>
      </c>
      <c r="B1499" s="10">
        <f>IFERROR(__xludf.DUMMYFUNCTION("""COMPUTED_VALUE"""),768.0)</f>
        <v>768</v>
      </c>
      <c r="C1499" s="10">
        <f>IFERROR(__xludf.DUMMYFUNCTION("""COMPUTED_VALUE"""),9042.0)</f>
        <v>9042</v>
      </c>
      <c r="D1499" s="5">
        <f>IFERROR(__xludf.DUMMYFUNCTION("""COMPUTED_VALUE"""),0.31774232535653857)</f>
        <v>0.3177423254</v>
      </c>
      <c r="E1499" s="5">
        <f>IFERROR(__xludf.DUMMYFUNCTION("""COMPUTED_VALUE"""),0.1362098138747885)</f>
        <v>0.1362098139</v>
      </c>
      <c r="F1499" s="5">
        <f>IFERROR(__xludf.DUMMYFUNCTION("""COMPUTED_VALUE"""),0.1942228668116993)</f>
        <v>0.1942228668</v>
      </c>
      <c r="G1499" s="5">
        <f>IFERROR(__xludf.DUMMYFUNCTION("""COMPUTED_VALUE"""),0.16255740875030214)</f>
        <v>0.1625574088</v>
      </c>
      <c r="H1499" s="5">
        <f>IFERROR(__xludf.DUMMYFUNCTION("""COMPUTED_VALUE"""),0.5936527691350342)</f>
        <v>0.5936527691</v>
      </c>
      <c r="I1499" s="11">
        <f>IFERROR(__xludf.DUMMYFUNCTION("""COMPUTED_VALUE"""),6009.334163036714)</f>
        <v>6009.334163</v>
      </c>
      <c r="J1499" s="10">
        <f>IFERROR(__xludf.DUMMYFUNCTION("""COMPUTED_VALUE"""),1.0)</f>
        <v>1</v>
      </c>
      <c r="K1499" s="5">
        <f>IFERROR(__xludf.DUMMYFUNCTION("""COMPUTED_VALUE"""),0.0013020833333333333)</f>
        <v>0.001302083333</v>
      </c>
      <c r="L1499" s="10">
        <f>IFERROR(__xludf.DUMMYFUNCTION("""COMPUTED_VALUE"""),0.0)</f>
        <v>0</v>
      </c>
      <c r="M1499" s="5">
        <f>IFERROR(__xludf.DUMMYFUNCTION("""COMPUTED_VALUE"""),0.0)</f>
        <v>0</v>
      </c>
    </row>
    <row r="1500">
      <c r="A1500" s="10" t="str">
        <f>IFERROR(__xludf.DUMMYFUNCTION("""COMPUTED_VALUE"""),"霞ヶ丘詩雨")</f>
        <v>霞ヶ丘詩雨</v>
      </c>
      <c r="B1500" s="10">
        <f>IFERROR(__xludf.DUMMYFUNCTION("""COMPUTED_VALUE"""),270.0)</f>
        <v>270</v>
      </c>
      <c r="C1500" s="10">
        <f>IFERROR(__xludf.DUMMYFUNCTION("""COMPUTED_VALUE"""),3170.0)</f>
        <v>3170</v>
      </c>
      <c r="D1500" s="5">
        <f>IFERROR(__xludf.DUMMYFUNCTION("""COMPUTED_VALUE"""),0.33793103448275863)</f>
        <v>0.3379310345</v>
      </c>
      <c r="E1500" s="5">
        <f>IFERROR(__xludf.DUMMYFUNCTION("""COMPUTED_VALUE"""),0.13620689655172413)</f>
        <v>0.1362068966</v>
      </c>
      <c r="F1500" s="5">
        <f>IFERROR(__xludf.DUMMYFUNCTION("""COMPUTED_VALUE"""),0.20275862068965517)</f>
        <v>0.2027586207</v>
      </c>
      <c r="G1500" s="5">
        <f>IFERROR(__xludf.DUMMYFUNCTION("""COMPUTED_VALUE"""),0.14448275862068966)</f>
        <v>0.1444827586</v>
      </c>
      <c r="H1500" s="5">
        <f>IFERROR(__xludf.DUMMYFUNCTION("""COMPUTED_VALUE"""),0.6224489795918368)</f>
        <v>0.6224489796</v>
      </c>
      <c r="I1500" s="11">
        <f>IFERROR(__xludf.DUMMYFUNCTION("""COMPUTED_VALUE"""),5500.170068027211)</f>
        <v>5500.170068</v>
      </c>
      <c r="J1500" s="10">
        <f>IFERROR(__xludf.DUMMYFUNCTION("""COMPUTED_VALUE"""),3.0)</f>
        <v>3</v>
      </c>
      <c r="K1500" s="5">
        <f>IFERROR(__xludf.DUMMYFUNCTION("""COMPUTED_VALUE"""),0.011111111111111112)</f>
        <v>0.01111111111</v>
      </c>
      <c r="L1500" s="10">
        <f>IFERROR(__xludf.DUMMYFUNCTION("""COMPUTED_VALUE"""),63.0)</f>
        <v>63</v>
      </c>
      <c r="M1500" s="5">
        <f>IFERROR(__xludf.DUMMYFUNCTION("""COMPUTED_VALUE"""),0.23333333333333334)</f>
        <v>0.2333333333</v>
      </c>
    </row>
    <row r="1501">
      <c r="A1501" s="10" t="str">
        <f>IFERROR(__xludf.DUMMYFUNCTION("""COMPUTED_VALUE"""),"あずきキャラメル")</f>
        <v>あずきキャラメル</v>
      </c>
      <c r="B1501" s="10">
        <f>IFERROR(__xludf.DUMMYFUNCTION("""COMPUTED_VALUE"""),170.0)</f>
        <v>170</v>
      </c>
      <c r="C1501" s="10">
        <f>IFERROR(__xludf.DUMMYFUNCTION("""COMPUTED_VALUE"""),2013.0)</f>
        <v>2013</v>
      </c>
      <c r="D1501" s="5">
        <f>IFERROR(__xludf.DUMMYFUNCTION("""COMPUTED_VALUE"""),0.39717851329354315)</f>
        <v>0.3971785133</v>
      </c>
      <c r="E1501" s="5">
        <f>IFERROR(__xludf.DUMMYFUNCTION("""COMPUTED_VALUE"""),0.13619099294628323)</f>
        <v>0.1361909929</v>
      </c>
      <c r="F1501" s="5">
        <f>IFERROR(__xludf.DUMMYFUNCTION("""COMPUTED_VALUE"""),0.20293000542593598)</f>
        <v>0.2029300054</v>
      </c>
      <c r="G1501" s="5">
        <f>IFERROR(__xludf.DUMMYFUNCTION("""COMPUTED_VALUE"""),0.15138361367335865)</f>
        <v>0.1513836137</v>
      </c>
      <c r="H1501" s="5">
        <f>IFERROR(__xludf.DUMMYFUNCTION("""COMPUTED_VALUE"""),0.6149732620320856)</f>
        <v>0.614973262</v>
      </c>
      <c r="I1501" s="11">
        <f>IFERROR(__xludf.DUMMYFUNCTION("""COMPUTED_VALUE"""),5765.775401069519)</f>
        <v>5765.775401</v>
      </c>
      <c r="J1501" s="10">
        <f>IFERROR(__xludf.DUMMYFUNCTION("""COMPUTED_VALUE"""),1.0)</f>
        <v>1</v>
      </c>
      <c r="K1501" s="5">
        <f>IFERROR(__xludf.DUMMYFUNCTION("""COMPUTED_VALUE"""),0.0058823529411764705)</f>
        <v>0.005882352941</v>
      </c>
      <c r="L1501" s="10">
        <f>IFERROR(__xludf.DUMMYFUNCTION("""COMPUTED_VALUE"""),170.0)</f>
        <v>170</v>
      </c>
      <c r="M1501" s="5">
        <f>IFERROR(__xludf.DUMMYFUNCTION("""COMPUTED_VALUE"""),1.0)</f>
        <v>1</v>
      </c>
    </row>
    <row r="1502">
      <c r="A1502" s="10" t="str">
        <f>IFERROR(__xludf.DUMMYFUNCTION("""COMPUTED_VALUE"""),"芝村矜侍")</f>
        <v>芝村矜侍</v>
      </c>
      <c r="B1502" s="10">
        <f>IFERROR(__xludf.DUMMYFUNCTION("""COMPUTED_VALUE"""),166.0)</f>
        <v>166</v>
      </c>
      <c r="C1502" s="10">
        <f>IFERROR(__xludf.DUMMYFUNCTION("""COMPUTED_VALUE"""),1987.0)</f>
        <v>1987</v>
      </c>
      <c r="D1502" s="5">
        <f>IFERROR(__xludf.DUMMYFUNCTION("""COMPUTED_VALUE"""),0.32674354750137286)</f>
        <v>0.3267435475</v>
      </c>
      <c r="E1502" s="5">
        <f>IFERROR(__xludf.DUMMYFUNCTION("""COMPUTED_VALUE"""),0.13618890719384955)</f>
        <v>0.1361889072</v>
      </c>
      <c r="F1502" s="5">
        <f>IFERROR(__xludf.DUMMYFUNCTION("""COMPUTED_VALUE"""),0.2158154859967051)</f>
        <v>0.215815486</v>
      </c>
      <c r="G1502" s="5">
        <f>IFERROR(__xludf.DUMMYFUNCTION("""COMPUTED_VALUE"""),0.17078528281164196)</f>
        <v>0.1707852828</v>
      </c>
      <c r="H1502" s="5">
        <f>IFERROR(__xludf.DUMMYFUNCTION("""COMPUTED_VALUE"""),0.6005089058524173)</f>
        <v>0.6005089059</v>
      </c>
      <c r="I1502" s="11">
        <f>IFERROR(__xludf.DUMMYFUNCTION("""COMPUTED_VALUE"""),5096.4376590330785)</f>
        <v>5096.437659</v>
      </c>
      <c r="J1502" s="10">
        <f>IFERROR(__xludf.DUMMYFUNCTION("""COMPUTED_VALUE"""),0.0)</f>
        <v>0</v>
      </c>
      <c r="K1502" s="5">
        <f>IFERROR(__xludf.DUMMYFUNCTION("""COMPUTED_VALUE"""),0.0)</f>
        <v>0</v>
      </c>
      <c r="L1502" s="10">
        <f>IFERROR(__xludf.DUMMYFUNCTION("""COMPUTED_VALUE"""),166.0)</f>
        <v>166</v>
      </c>
      <c r="M1502" s="5">
        <f>IFERROR(__xludf.DUMMYFUNCTION("""COMPUTED_VALUE"""),1.0)</f>
        <v>1</v>
      </c>
    </row>
    <row r="1503">
      <c r="A1503" s="10" t="str">
        <f>IFERROR(__xludf.DUMMYFUNCTION("""COMPUTED_VALUE"""),"sabixi")</f>
        <v>sabixi</v>
      </c>
      <c r="B1503" s="10">
        <f>IFERROR(__xludf.DUMMYFUNCTION("""COMPUTED_VALUE"""),229.0)</f>
        <v>229</v>
      </c>
      <c r="C1503" s="10">
        <f>IFERROR(__xludf.DUMMYFUNCTION("""COMPUTED_VALUE"""),2733.0)</f>
        <v>2733</v>
      </c>
      <c r="D1503" s="5">
        <f>IFERROR(__xludf.DUMMYFUNCTION("""COMPUTED_VALUE"""),0.34145367412140576)</f>
        <v>0.3414536741</v>
      </c>
      <c r="E1503" s="5">
        <f>IFERROR(__xludf.DUMMYFUNCTION("""COMPUTED_VALUE"""),0.1361821086261981)</f>
        <v>0.1361821086</v>
      </c>
      <c r="F1503" s="5">
        <f>IFERROR(__xludf.DUMMYFUNCTION("""COMPUTED_VALUE"""),0.2128594249201278)</f>
        <v>0.2128594249</v>
      </c>
      <c r="G1503" s="5">
        <f>IFERROR(__xludf.DUMMYFUNCTION("""COMPUTED_VALUE"""),0.16573482428115016)</f>
        <v>0.1657348243</v>
      </c>
      <c r="H1503" s="5">
        <f>IFERROR(__xludf.DUMMYFUNCTION("""COMPUTED_VALUE"""),0.6285178236397748)</f>
        <v>0.6285178236</v>
      </c>
      <c r="I1503" s="11">
        <f>IFERROR(__xludf.DUMMYFUNCTION("""COMPUTED_VALUE"""),5251.031894934334)</f>
        <v>5251.031895</v>
      </c>
      <c r="J1503" s="10">
        <f>IFERROR(__xludf.DUMMYFUNCTION("""COMPUTED_VALUE"""),1.0)</f>
        <v>1</v>
      </c>
      <c r="K1503" s="5">
        <f>IFERROR(__xludf.DUMMYFUNCTION("""COMPUTED_VALUE"""),0.004366812227074236)</f>
        <v>0.004366812227</v>
      </c>
      <c r="L1503" s="10">
        <f>IFERROR(__xludf.DUMMYFUNCTION("""COMPUTED_VALUE"""),229.0)</f>
        <v>229</v>
      </c>
      <c r="M1503" s="5">
        <f>IFERROR(__xludf.DUMMYFUNCTION("""COMPUTED_VALUE"""),1.0)</f>
        <v>1</v>
      </c>
    </row>
    <row r="1504">
      <c r="A1504" s="10" t="str">
        <f>IFERROR(__xludf.DUMMYFUNCTION("""COMPUTED_VALUE"""),"きらめくパンジー")</f>
        <v>きらめくパンジー</v>
      </c>
      <c r="B1504" s="10">
        <f>IFERROR(__xludf.DUMMYFUNCTION("""COMPUTED_VALUE"""),443.0)</f>
        <v>443</v>
      </c>
      <c r="C1504" s="10">
        <f>IFERROR(__xludf.DUMMYFUNCTION("""COMPUTED_VALUE"""),5209.0)</f>
        <v>5209</v>
      </c>
      <c r="D1504" s="5">
        <f>IFERROR(__xludf.DUMMYFUNCTION("""COMPUTED_VALUE"""),0.3499790180444817)</f>
        <v>0.349979018</v>
      </c>
      <c r="E1504" s="5">
        <f>IFERROR(__xludf.DUMMYFUNCTION("""COMPUTED_VALUE"""),0.1361728913134704)</f>
        <v>0.1361728913</v>
      </c>
      <c r="F1504" s="5">
        <f>IFERROR(__xludf.DUMMYFUNCTION("""COMPUTED_VALUE"""),0.2190516156105749)</f>
        <v>0.2190516156</v>
      </c>
      <c r="G1504" s="5">
        <f>IFERROR(__xludf.DUMMYFUNCTION("""COMPUTED_VALUE"""),0.19827947964750314)</f>
        <v>0.1982794796</v>
      </c>
      <c r="H1504" s="5">
        <f>IFERROR(__xludf.DUMMYFUNCTION("""COMPUTED_VALUE"""),0.603448275862069)</f>
        <v>0.6034482759</v>
      </c>
      <c r="I1504" s="11">
        <f>IFERROR(__xludf.DUMMYFUNCTION("""COMPUTED_VALUE"""),5634.482758620689)</f>
        <v>5634.482759</v>
      </c>
      <c r="J1504" s="10">
        <f>IFERROR(__xludf.DUMMYFUNCTION("""COMPUTED_VALUE"""),0.0)</f>
        <v>0</v>
      </c>
      <c r="K1504" s="5">
        <f>IFERROR(__xludf.DUMMYFUNCTION("""COMPUTED_VALUE"""),0.0)</f>
        <v>0</v>
      </c>
      <c r="L1504" s="10">
        <f>IFERROR(__xludf.DUMMYFUNCTION("""COMPUTED_VALUE"""),443.0)</f>
        <v>443</v>
      </c>
      <c r="M1504" s="5">
        <f>IFERROR(__xludf.DUMMYFUNCTION("""COMPUTED_VALUE"""),1.0)</f>
        <v>1</v>
      </c>
    </row>
    <row r="1505">
      <c r="A1505" s="10" t="str">
        <f>IFERROR(__xludf.DUMMYFUNCTION("""COMPUTED_VALUE"""),"なすび姫")</f>
        <v>なすび姫</v>
      </c>
      <c r="B1505" s="10">
        <f>IFERROR(__xludf.DUMMYFUNCTION("""COMPUTED_VALUE"""),929.0)</f>
        <v>929</v>
      </c>
      <c r="C1505" s="10">
        <f>IFERROR(__xludf.DUMMYFUNCTION("""COMPUTED_VALUE"""),10674.0)</f>
        <v>10674</v>
      </c>
      <c r="D1505" s="5">
        <f>IFERROR(__xludf.DUMMYFUNCTION("""COMPUTED_VALUE"""),0.3776295536172396)</f>
        <v>0.3776295536</v>
      </c>
      <c r="E1505" s="5">
        <f>IFERROR(__xludf.DUMMYFUNCTION("""COMPUTED_VALUE"""),0.1361723961005644)</f>
        <v>0.1361723961</v>
      </c>
      <c r="F1505" s="5">
        <f>IFERROR(__xludf.DUMMYFUNCTION("""COMPUTED_VALUE"""),0.20831195484864032)</f>
        <v>0.2083119548</v>
      </c>
      <c r="G1505" s="5">
        <f>IFERROR(__xludf.DUMMYFUNCTION("""COMPUTED_VALUE"""),0.16798358132375577)</f>
        <v>0.1679835813</v>
      </c>
      <c r="H1505" s="5">
        <f>IFERROR(__xludf.DUMMYFUNCTION("""COMPUTED_VALUE"""),0.5960591133004927)</f>
        <v>0.5960591133</v>
      </c>
      <c r="I1505" s="11">
        <f>IFERROR(__xludf.DUMMYFUNCTION("""COMPUTED_VALUE"""),5676.896551724138)</f>
        <v>5676.896552</v>
      </c>
      <c r="J1505" s="10">
        <f>IFERROR(__xludf.DUMMYFUNCTION("""COMPUTED_VALUE"""),1.0)</f>
        <v>1</v>
      </c>
      <c r="K1505" s="5">
        <f>IFERROR(__xludf.DUMMYFUNCTION("""COMPUTED_VALUE"""),0.001076426264800861)</f>
        <v>0.001076426265</v>
      </c>
      <c r="L1505" s="10">
        <f>IFERROR(__xludf.DUMMYFUNCTION("""COMPUTED_VALUE"""),929.0)</f>
        <v>929</v>
      </c>
      <c r="M1505" s="5">
        <f>IFERROR(__xludf.DUMMYFUNCTION("""COMPUTED_VALUE"""),1.0)</f>
        <v>1</v>
      </c>
    </row>
    <row r="1506">
      <c r="A1506" s="10" t="str">
        <f>IFERROR(__xludf.DUMMYFUNCTION("""COMPUTED_VALUE"""),"キーボードまぐろ")</f>
        <v>キーボードまぐろ</v>
      </c>
      <c r="B1506" s="10">
        <f>IFERROR(__xludf.DUMMYFUNCTION("""COMPUTED_VALUE"""),145.0)</f>
        <v>145</v>
      </c>
      <c r="C1506" s="10">
        <f>IFERROR(__xludf.DUMMYFUNCTION("""COMPUTED_VALUE"""),1746.0)</f>
        <v>1746</v>
      </c>
      <c r="D1506" s="5">
        <f>IFERROR(__xludf.DUMMYFUNCTION("""COMPUTED_VALUE"""),0.27420362273579013)</f>
        <v>0.2742036227</v>
      </c>
      <c r="E1506" s="5">
        <f>IFERROR(__xludf.DUMMYFUNCTION("""COMPUTED_VALUE"""),0.13616489693941286)</f>
        <v>0.1361648969</v>
      </c>
      <c r="F1506" s="5">
        <f>IFERROR(__xludf.DUMMYFUNCTION("""COMPUTED_VALUE"""),0.19987507807620236)</f>
        <v>0.1998750781</v>
      </c>
      <c r="G1506" s="5">
        <f>IFERROR(__xludf.DUMMYFUNCTION("""COMPUTED_VALUE"""),0.17988757026858213)</f>
        <v>0.1798875703</v>
      </c>
      <c r="H1506" s="5">
        <f>IFERROR(__xludf.DUMMYFUNCTION("""COMPUTED_VALUE"""),0.6125)</f>
        <v>0.6125</v>
      </c>
      <c r="I1506" s="11">
        <f>IFERROR(__xludf.DUMMYFUNCTION("""COMPUTED_VALUE"""),5601.875)</f>
        <v>5601.875</v>
      </c>
      <c r="J1506" s="10">
        <f>IFERROR(__xludf.DUMMYFUNCTION("""COMPUTED_VALUE"""),0.0)</f>
        <v>0</v>
      </c>
      <c r="K1506" s="5">
        <f>IFERROR(__xludf.DUMMYFUNCTION("""COMPUTED_VALUE"""),0.0)</f>
        <v>0</v>
      </c>
      <c r="L1506" s="10">
        <f>IFERROR(__xludf.DUMMYFUNCTION("""COMPUTED_VALUE"""),145.0)</f>
        <v>145</v>
      </c>
      <c r="M1506" s="5">
        <f>IFERROR(__xludf.DUMMYFUNCTION("""COMPUTED_VALUE"""),1.0)</f>
        <v>1</v>
      </c>
    </row>
    <row r="1507">
      <c r="A1507" s="10" t="str">
        <f>IFERROR(__xludf.DUMMYFUNCTION("""COMPUTED_VALUE"""),"minarchy")</f>
        <v>minarchy</v>
      </c>
      <c r="B1507" s="10">
        <f>IFERROR(__xludf.DUMMYFUNCTION("""COMPUTED_VALUE"""),400.0)</f>
        <v>400</v>
      </c>
      <c r="C1507" s="10">
        <f>IFERROR(__xludf.DUMMYFUNCTION("""COMPUTED_VALUE"""),4770.0)</f>
        <v>4770</v>
      </c>
      <c r="D1507" s="5">
        <f>IFERROR(__xludf.DUMMYFUNCTION("""COMPUTED_VALUE"""),0.42013729977116704)</f>
        <v>0.4201372998</v>
      </c>
      <c r="E1507" s="5">
        <f>IFERROR(__xludf.DUMMYFUNCTION("""COMPUTED_VALUE"""),0.13615560640732266)</f>
        <v>0.1361556064</v>
      </c>
      <c r="F1507" s="5">
        <f>IFERROR(__xludf.DUMMYFUNCTION("""COMPUTED_VALUE"""),0.21739130434782608)</f>
        <v>0.2173913043</v>
      </c>
      <c r="G1507" s="5">
        <f>IFERROR(__xludf.DUMMYFUNCTION("""COMPUTED_VALUE"""),0.1951945080091533)</f>
        <v>0.195194508</v>
      </c>
      <c r="H1507" s="5">
        <f>IFERROR(__xludf.DUMMYFUNCTION("""COMPUTED_VALUE"""),0.5894736842105263)</f>
        <v>0.5894736842</v>
      </c>
      <c r="I1507" s="11">
        <f>IFERROR(__xludf.DUMMYFUNCTION("""COMPUTED_VALUE"""),5443.894736842105)</f>
        <v>5443.894737</v>
      </c>
      <c r="J1507" s="10">
        <f>IFERROR(__xludf.DUMMYFUNCTION("""COMPUTED_VALUE"""),0.0)</f>
        <v>0</v>
      </c>
      <c r="K1507" s="5">
        <f>IFERROR(__xludf.DUMMYFUNCTION("""COMPUTED_VALUE"""),0.0)</f>
        <v>0</v>
      </c>
      <c r="L1507" s="10">
        <f>IFERROR(__xludf.DUMMYFUNCTION("""COMPUTED_VALUE"""),400.0)</f>
        <v>400</v>
      </c>
      <c r="M1507" s="5">
        <f>IFERROR(__xludf.DUMMYFUNCTION("""COMPUTED_VALUE"""),1.0)</f>
        <v>1</v>
      </c>
    </row>
    <row r="1508">
      <c r="A1508" s="10" t="str">
        <f>IFERROR(__xludf.DUMMYFUNCTION("""COMPUTED_VALUE"""),"ウヒョ助")</f>
        <v>ウヒョ助</v>
      </c>
      <c r="B1508" s="10">
        <f>IFERROR(__xludf.DUMMYFUNCTION("""COMPUTED_VALUE"""),1367.0)</f>
        <v>1367</v>
      </c>
      <c r="C1508" s="10">
        <f>IFERROR(__xludf.DUMMYFUNCTION("""COMPUTED_VALUE"""),16137.0)</f>
        <v>16137</v>
      </c>
      <c r="D1508" s="5">
        <f>IFERROR(__xludf.DUMMYFUNCTION("""COMPUTED_VALUE"""),0.3804333107650643)</f>
        <v>0.3804333108</v>
      </c>
      <c r="E1508" s="5">
        <f>IFERROR(__xludf.DUMMYFUNCTION("""COMPUTED_VALUE"""),0.13615436696005417)</f>
        <v>0.136154367</v>
      </c>
      <c r="F1508" s="5">
        <f>IFERROR(__xludf.DUMMYFUNCTION("""COMPUTED_VALUE"""),0.2201760324983074)</f>
        <v>0.2201760325</v>
      </c>
      <c r="G1508" s="5">
        <f>IFERROR(__xludf.DUMMYFUNCTION("""COMPUTED_VALUE"""),0.16120514556533513)</f>
        <v>0.1612051456</v>
      </c>
      <c r="H1508" s="5">
        <f>IFERROR(__xludf.DUMMYFUNCTION("""COMPUTED_VALUE"""),0.6113161131611317)</f>
        <v>0.6113161132</v>
      </c>
      <c r="I1508" s="11">
        <f>IFERROR(__xludf.DUMMYFUNCTION("""COMPUTED_VALUE"""),5314.421894218942)</f>
        <v>5314.421894</v>
      </c>
      <c r="J1508" s="10">
        <f>IFERROR(__xludf.DUMMYFUNCTION("""COMPUTED_VALUE"""),2.0)</f>
        <v>2</v>
      </c>
      <c r="K1508" s="5">
        <f>IFERROR(__xludf.DUMMYFUNCTION("""COMPUTED_VALUE"""),0.001463057790782736)</f>
        <v>0.001463057791</v>
      </c>
      <c r="L1508" s="10">
        <f>IFERROR(__xludf.DUMMYFUNCTION("""COMPUTED_VALUE"""),1367.0)</f>
        <v>1367</v>
      </c>
      <c r="M1508" s="5">
        <f>IFERROR(__xludf.DUMMYFUNCTION("""COMPUTED_VALUE"""),1.0)</f>
        <v>1</v>
      </c>
    </row>
    <row r="1509">
      <c r="A1509" s="10" t="str">
        <f>IFERROR(__xludf.DUMMYFUNCTION("""COMPUTED_VALUE"""),"灼ちゃんきゃわわ")</f>
        <v>灼ちゃんきゃわわ</v>
      </c>
      <c r="B1509" s="10">
        <f>IFERROR(__xludf.DUMMYFUNCTION("""COMPUTED_VALUE"""),291.0)</f>
        <v>291</v>
      </c>
      <c r="C1509" s="10">
        <f>IFERROR(__xludf.DUMMYFUNCTION("""COMPUTED_VALUE"""),3442.0)</f>
        <v>3442</v>
      </c>
      <c r="D1509" s="5">
        <f>IFERROR(__xludf.DUMMYFUNCTION("""COMPUTED_VALUE"""),0.2957791177403999)</f>
        <v>0.2957791177</v>
      </c>
      <c r="E1509" s="5">
        <f>IFERROR(__xludf.DUMMYFUNCTION("""COMPUTED_VALUE"""),0.13614725483973342)</f>
        <v>0.1361472548</v>
      </c>
      <c r="F1509" s="5">
        <f>IFERROR(__xludf.DUMMYFUNCTION("""COMPUTED_VALUE"""),0.2100920342748334)</f>
        <v>0.2100920343</v>
      </c>
      <c r="G1509" s="5">
        <f>IFERROR(__xludf.DUMMYFUNCTION("""COMPUTED_VALUE"""),0.1612186607426214)</f>
        <v>0.1612186607</v>
      </c>
      <c r="H1509" s="5">
        <f>IFERROR(__xludf.DUMMYFUNCTION("""COMPUTED_VALUE"""),0.5830815709969789)</f>
        <v>0.583081571</v>
      </c>
      <c r="I1509" s="11">
        <f>IFERROR(__xludf.DUMMYFUNCTION("""COMPUTED_VALUE"""),5848.187311178248)</f>
        <v>5848.187311</v>
      </c>
      <c r="J1509" s="10">
        <f>IFERROR(__xludf.DUMMYFUNCTION("""COMPUTED_VALUE"""),1.0)</f>
        <v>1</v>
      </c>
      <c r="K1509" s="5">
        <f>IFERROR(__xludf.DUMMYFUNCTION("""COMPUTED_VALUE"""),0.003436426116838488)</f>
        <v>0.003436426117</v>
      </c>
      <c r="L1509" s="10">
        <f>IFERROR(__xludf.DUMMYFUNCTION("""COMPUTED_VALUE"""),291.0)</f>
        <v>291</v>
      </c>
      <c r="M1509" s="5">
        <f>IFERROR(__xludf.DUMMYFUNCTION("""COMPUTED_VALUE"""),1.0)</f>
        <v>1</v>
      </c>
    </row>
    <row r="1510">
      <c r="A1510" s="10" t="str">
        <f>IFERROR(__xludf.DUMMYFUNCTION("""COMPUTED_VALUE"""),"炭酸＠ラス回避")</f>
        <v>炭酸＠ラス回避</v>
      </c>
      <c r="B1510" s="10">
        <f>IFERROR(__xludf.DUMMYFUNCTION("""COMPUTED_VALUE"""),168.0)</f>
        <v>168</v>
      </c>
      <c r="C1510" s="10">
        <f>IFERROR(__xludf.DUMMYFUNCTION("""COMPUTED_VALUE"""),1953.0)</f>
        <v>1953</v>
      </c>
      <c r="D1510" s="5">
        <f>IFERROR(__xludf.DUMMYFUNCTION("""COMPUTED_VALUE"""),0.35182072829131655)</f>
        <v>0.3518207283</v>
      </c>
      <c r="E1510" s="5">
        <f>IFERROR(__xludf.DUMMYFUNCTION("""COMPUTED_VALUE"""),0.1361344537815126)</f>
        <v>0.1361344538</v>
      </c>
      <c r="F1510" s="5">
        <f>IFERROR(__xludf.DUMMYFUNCTION("""COMPUTED_VALUE"""),0.20560224089635853)</f>
        <v>0.2056022409</v>
      </c>
      <c r="G1510" s="5">
        <f>IFERROR(__xludf.DUMMYFUNCTION("""COMPUTED_VALUE"""),0.15966386554621848)</f>
        <v>0.1596638655</v>
      </c>
      <c r="H1510" s="5">
        <f>IFERROR(__xludf.DUMMYFUNCTION("""COMPUTED_VALUE"""),0.6212534059945504)</f>
        <v>0.621253406</v>
      </c>
      <c r="I1510" s="11">
        <f>IFERROR(__xludf.DUMMYFUNCTION("""COMPUTED_VALUE"""),5393.188010899183)</f>
        <v>5393.188011</v>
      </c>
      <c r="J1510" s="10">
        <f>IFERROR(__xludf.DUMMYFUNCTION("""COMPUTED_VALUE"""),1.0)</f>
        <v>1</v>
      </c>
      <c r="K1510" s="5">
        <f>IFERROR(__xludf.DUMMYFUNCTION("""COMPUTED_VALUE"""),0.005952380952380952)</f>
        <v>0.005952380952</v>
      </c>
      <c r="L1510" s="10">
        <f>IFERROR(__xludf.DUMMYFUNCTION("""COMPUTED_VALUE"""),168.0)</f>
        <v>168</v>
      </c>
      <c r="M1510" s="5">
        <f>IFERROR(__xludf.DUMMYFUNCTION("""COMPUTED_VALUE"""),1.0)</f>
        <v>1</v>
      </c>
    </row>
    <row r="1511">
      <c r="A1511" s="10" t="str">
        <f>IFERROR(__xludf.DUMMYFUNCTION("""COMPUTED_VALUE"""),"みすちょ")</f>
        <v>みすちょ</v>
      </c>
      <c r="B1511" s="10">
        <f>IFERROR(__xludf.DUMMYFUNCTION("""COMPUTED_VALUE"""),413.0)</f>
        <v>413</v>
      </c>
      <c r="C1511" s="10">
        <f>IFERROR(__xludf.DUMMYFUNCTION("""COMPUTED_VALUE"""),4865.0)</f>
        <v>4865</v>
      </c>
      <c r="D1511" s="5">
        <f>IFERROR(__xludf.DUMMYFUNCTION("""COMPUTED_VALUE"""),0.34591194968553457)</f>
        <v>0.3459119497</v>
      </c>
      <c r="E1511" s="5">
        <f>IFERROR(__xludf.DUMMYFUNCTION("""COMPUTED_VALUE"""),0.13611859838274934)</f>
        <v>0.1361185984</v>
      </c>
      <c r="F1511" s="5">
        <f>IFERROR(__xludf.DUMMYFUNCTION("""COMPUTED_VALUE"""),0.18418688230008984)</f>
        <v>0.1841868823</v>
      </c>
      <c r="G1511" s="5">
        <f>IFERROR(__xludf.DUMMYFUNCTION("""COMPUTED_VALUE"""),0.16217430368373764)</f>
        <v>0.1621743037</v>
      </c>
      <c r="H1511" s="5">
        <f>IFERROR(__xludf.DUMMYFUNCTION("""COMPUTED_VALUE"""),0.5792682926829268)</f>
        <v>0.5792682927</v>
      </c>
      <c r="I1511" s="11">
        <f>IFERROR(__xludf.DUMMYFUNCTION("""COMPUTED_VALUE"""),5518.658536585366)</f>
        <v>5518.658537</v>
      </c>
      <c r="J1511" s="10">
        <f>IFERROR(__xludf.DUMMYFUNCTION("""COMPUTED_VALUE"""),0.0)</f>
        <v>0</v>
      </c>
      <c r="K1511" s="5">
        <f>IFERROR(__xludf.DUMMYFUNCTION("""COMPUTED_VALUE"""),0.0)</f>
        <v>0</v>
      </c>
      <c r="L1511" s="10">
        <f>IFERROR(__xludf.DUMMYFUNCTION("""COMPUTED_VALUE"""),413.0)</f>
        <v>413</v>
      </c>
      <c r="M1511" s="5">
        <f>IFERROR(__xludf.DUMMYFUNCTION("""COMPUTED_VALUE"""),1.0)</f>
        <v>1</v>
      </c>
    </row>
    <row r="1512">
      <c r="A1512" s="10" t="str">
        <f>IFERROR(__xludf.DUMMYFUNCTION("""COMPUTED_VALUE"""),"〇〇おーじ")</f>
        <v>〇〇おーじ</v>
      </c>
      <c r="B1512" s="10">
        <f>IFERROR(__xludf.DUMMYFUNCTION("""COMPUTED_VALUE"""),513.0)</f>
        <v>513</v>
      </c>
      <c r="C1512" s="10">
        <f>IFERROR(__xludf.DUMMYFUNCTION("""COMPUTED_VALUE"""),6067.0)</f>
        <v>6067</v>
      </c>
      <c r="D1512" s="5">
        <f>IFERROR(__xludf.DUMMYFUNCTION("""COMPUTED_VALUE"""),0.3622614332012964)</f>
        <v>0.3622614332</v>
      </c>
      <c r="E1512" s="5">
        <f>IFERROR(__xludf.DUMMYFUNCTION("""COMPUTED_VALUE"""),0.13611811307166005)</f>
        <v>0.1361181131</v>
      </c>
      <c r="F1512" s="5">
        <f>IFERROR(__xludf.DUMMYFUNCTION("""COMPUTED_VALUE"""),0.20471732084983796)</f>
        <v>0.2047173208</v>
      </c>
      <c r="G1512" s="5">
        <f>IFERROR(__xludf.DUMMYFUNCTION("""COMPUTED_VALUE"""),0.16420597767374864)</f>
        <v>0.1642059777</v>
      </c>
      <c r="H1512" s="5">
        <f>IFERROR(__xludf.DUMMYFUNCTION("""COMPUTED_VALUE"""),0.5839929639401935)</f>
        <v>0.5839929639</v>
      </c>
      <c r="I1512" s="11">
        <f>IFERROR(__xludf.DUMMYFUNCTION("""COMPUTED_VALUE"""),5454.8812664907655)</f>
        <v>5454.881266</v>
      </c>
      <c r="J1512" s="10">
        <f>IFERROR(__xludf.DUMMYFUNCTION("""COMPUTED_VALUE"""),1.0)</f>
        <v>1</v>
      </c>
      <c r="K1512" s="5">
        <f>IFERROR(__xludf.DUMMYFUNCTION("""COMPUTED_VALUE"""),0.001949317738791423)</f>
        <v>0.001949317739</v>
      </c>
      <c r="L1512" s="10">
        <f>IFERROR(__xludf.DUMMYFUNCTION("""COMPUTED_VALUE"""),346.0)</f>
        <v>346</v>
      </c>
      <c r="M1512" s="5">
        <f>IFERROR(__xludf.DUMMYFUNCTION("""COMPUTED_VALUE"""),0.6744639376218323)</f>
        <v>0.6744639376</v>
      </c>
    </row>
    <row r="1513">
      <c r="A1513" s="10" t="str">
        <f>IFERROR(__xludf.DUMMYFUNCTION("""COMPUTED_VALUE"""),"雀βοу")</f>
        <v>雀βοу</v>
      </c>
      <c r="B1513" s="10">
        <f>IFERROR(__xludf.DUMMYFUNCTION("""COMPUTED_VALUE"""),1383.0)</f>
        <v>1383</v>
      </c>
      <c r="C1513" s="10">
        <f>IFERROR(__xludf.DUMMYFUNCTION("""COMPUTED_VALUE"""),16077.0)</f>
        <v>16077</v>
      </c>
      <c r="D1513" s="5">
        <f>IFERROR(__xludf.DUMMYFUNCTION("""COMPUTED_VALUE"""),0.4294269769974139)</f>
        <v>0.429426977</v>
      </c>
      <c r="E1513" s="5">
        <f>IFERROR(__xludf.DUMMYFUNCTION("""COMPUTED_VALUE"""),0.13610997686130394)</f>
        <v>0.1361099769</v>
      </c>
      <c r="F1513" s="5">
        <f>IFERROR(__xludf.DUMMYFUNCTION("""COMPUTED_VALUE"""),0.21859262283925412)</f>
        <v>0.2185926228</v>
      </c>
      <c r="G1513" s="5">
        <f>IFERROR(__xludf.DUMMYFUNCTION("""COMPUTED_VALUE"""),0.15080985436232475)</f>
        <v>0.1508098544</v>
      </c>
      <c r="H1513" s="5">
        <f>IFERROR(__xludf.DUMMYFUNCTION("""COMPUTED_VALUE"""),0.586239103362391)</f>
        <v>0.5862391034</v>
      </c>
      <c r="I1513" s="11">
        <f>IFERROR(__xludf.DUMMYFUNCTION("""COMPUTED_VALUE"""),5643.586550435865)</f>
        <v>5643.58655</v>
      </c>
      <c r="J1513" s="10">
        <f>IFERROR(__xludf.DUMMYFUNCTION("""COMPUTED_VALUE"""),4.0)</f>
        <v>4</v>
      </c>
      <c r="K1513" s="5">
        <f>IFERROR(__xludf.DUMMYFUNCTION("""COMPUTED_VALUE"""),0.0028922631959508315)</f>
        <v>0.002892263196</v>
      </c>
      <c r="L1513" s="10">
        <f>IFERROR(__xludf.DUMMYFUNCTION("""COMPUTED_VALUE"""),1383.0)</f>
        <v>1383</v>
      </c>
      <c r="M1513" s="5">
        <f>IFERROR(__xludf.DUMMYFUNCTION("""COMPUTED_VALUE"""),1.0)</f>
        <v>1</v>
      </c>
    </row>
    <row r="1514">
      <c r="A1514" s="10" t="str">
        <f>IFERROR(__xludf.DUMMYFUNCTION("""COMPUTED_VALUE"""),"kumapi")</f>
        <v>kumapi</v>
      </c>
      <c r="B1514" s="10">
        <f>IFERROR(__xludf.DUMMYFUNCTION("""COMPUTED_VALUE"""),669.0)</f>
        <v>669</v>
      </c>
      <c r="C1514" s="10">
        <f>IFERROR(__xludf.DUMMYFUNCTION("""COMPUTED_VALUE"""),7759.0)</f>
        <v>7759</v>
      </c>
      <c r="D1514" s="5">
        <f>IFERROR(__xludf.DUMMYFUNCTION("""COMPUTED_VALUE"""),0.37136812411847675)</f>
        <v>0.3713681241</v>
      </c>
      <c r="E1514" s="5">
        <f>IFERROR(__xludf.DUMMYFUNCTION("""COMPUTED_VALUE"""),0.13610719322990128)</f>
        <v>0.1361071932</v>
      </c>
      <c r="F1514" s="5">
        <f>IFERROR(__xludf.DUMMYFUNCTION("""COMPUTED_VALUE"""),0.21184767277856134)</f>
        <v>0.2118476728</v>
      </c>
      <c r="G1514" s="5">
        <f>IFERROR(__xludf.DUMMYFUNCTION("""COMPUTED_VALUE"""),0.18956276445698167)</f>
        <v>0.1895627645</v>
      </c>
      <c r="H1514" s="5">
        <f>IFERROR(__xludf.DUMMYFUNCTION("""COMPUTED_VALUE"""),0.5699067909454061)</f>
        <v>0.5699067909</v>
      </c>
      <c r="I1514" s="11">
        <f>IFERROR(__xludf.DUMMYFUNCTION("""COMPUTED_VALUE"""),5916.577896138482)</f>
        <v>5916.577896</v>
      </c>
      <c r="J1514" s="10">
        <f>IFERROR(__xludf.DUMMYFUNCTION("""COMPUTED_VALUE"""),2.0)</f>
        <v>2</v>
      </c>
      <c r="K1514" s="5">
        <f>IFERROR(__xludf.DUMMYFUNCTION("""COMPUTED_VALUE"""),0.0029895366218236174)</f>
        <v>0.002989536622</v>
      </c>
      <c r="L1514" s="10">
        <f>IFERROR(__xludf.DUMMYFUNCTION("""COMPUTED_VALUE"""),669.0)</f>
        <v>669</v>
      </c>
      <c r="M1514" s="5">
        <f>IFERROR(__xludf.DUMMYFUNCTION("""COMPUTED_VALUE"""),1.0)</f>
        <v>1</v>
      </c>
    </row>
    <row r="1515">
      <c r="A1515" s="10" t="str">
        <f>IFERROR(__xludf.DUMMYFUNCTION("""COMPUTED_VALUE"""),"カメック")</f>
        <v>カメック</v>
      </c>
      <c r="B1515" s="10">
        <f>IFERROR(__xludf.DUMMYFUNCTION("""COMPUTED_VALUE"""),183.0)</f>
        <v>183</v>
      </c>
      <c r="C1515" s="10">
        <f>IFERROR(__xludf.DUMMYFUNCTION("""COMPUTED_VALUE"""),2086.0)</f>
        <v>2086</v>
      </c>
      <c r="D1515" s="5">
        <f>IFERROR(__xludf.DUMMYFUNCTION("""COMPUTED_VALUE"""),0.38413032054650553)</f>
        <v>0.3841303205</v>
      </c>
      <c r="E1515" s="5">
        <f>IFERROR(__xludf.DUMMYFUNCTION("""COMPUTED_VALUE"""),0.13610089332632685)</f>
        <v>0.1361008933</v>
      </c>
      <c r="F1515" s="5">
        <f>IFERROR(__xludf.DUMMYFUNCTION("""COMPUTED_VALUE"""),0.2275354703100368)</f>
        <v>0.2275354703</v>
      </c>
      <c r="G1515" s="5">
        <f>IFERROR(__xludf.DUMMYFUNCTION("""COMPUTED_VALUE"""),0.1534419337887546)</f>
        <v>0.1534419338</v>
      </c>
      <c r="H1515" s="5">
        <f>IFERROR(__xludf.DUMMYFUNCTION("""COMPUTED_VALUE"""),0.6720554272517321)</f>
        <v>0.6720554273</v>
      </c>
      <c r="I1515" s="11">
        <f>IFERROR(__xludf.DUMMYFUNCTION("""COMPUTED_VALUE"""),5494.45727482679)</f>
        <v>5494.457275</v>
      </c>
      <c r="J1515" s="10">
        <f>IFERROR(__xludf.DUMMYFUNCTION("""COMPUTED_VALUE"""),1.0)</f>
        <v>1</v>
      </c>
      <c r="K1515" s="5">
        <f>IFERROR(__xludf.DUMMYFUNCTION("""COMPUTED_VALUE"""),0.00546448087431694)</f>
        <v>0.005464480874</v>
      </c>
      <c r="L1515" s="10">
        <f>IFERROR(__xludf.DUMMYFUNCTION("""COMPUTED_VALUE"""),183.0)</f>
        <v>183</v>
      </c>
      <c r="M1515" s="5">
        <f>IFERROR(__xludf.DUMMYFUNCTION("""COMPUTED_VALUE"""),1.0)</f>
        <v>1</v>
      </c>
    </row>
    <row r="1516">
      <c r="A1516" s="10" t="str">
        <f>IFERROR(__xludf.DUMMYFUNCTION("""COMPUTED_VALUE"""),"まぁがりん")</f>
        <v>まぁがりん</v>
      </c>
      <c r="B1516" s="10">
        <f>IFERROR(__xludf.DUMMYFUNCTION("""COMPUTED_VALUE"""),1569.0)</f>
        <v>1569</v>
      </c>
      <c r="C1516" s="10">
        <f>IFERROR(__xludf.DUMMYFUNCTION("""COMPUTED_VALUE"""),18323.0)</f>
        <v>18323</v>
      </c>
      <c r="D1516" s="5">
        <f>IFERROR(__xludf.DUMMYFUNCTION("""COMPUTED_VALUE"""),0.3476184791691536)</f>
        <v>0.3476184792</v>
      </c>
      <c r="E1516" s="5">
        <f>IFERROR(__xludf.DUMMYFUNCTION("""COMPUTED_VALUE"""),0.13608690461979228)</f>
        <v>0.1360869046</v>
      </c>
      <c r="F1516" s="5">
        <f>IFERROR(__xludf.DUMMYFUNCTION("""COMPUTED_VALUE"""),0.2102184552942581)</f>
        <v>0.2102184553</v>
      </c>
      <c r="G1516" s="5">
        <f>IFERROR(__xludf.DUMMYFUNCTION("""COMPUTED_VALUE"""),0.18861167482392263)</f>
        <v>0.1886116748</v>
      </c>
      <c r="H1516" s="5">
        <f>IFERROR(__xludf.DUMMYFUNCTION("""COMPUTED_VALUE"""),0.5988074957410562)</f>
        <v>0.5988074957</v>
      </c>
      <c r="I1516" s="11">
        <f>IFERROR(__xludf.DUMMYFUNCTION("""COMPUTED_VALUE"""),6062.947189097104)</f>
        <v>6062.947189</v>
      </c>
      <c r="J1516" s="10">
        <f>IFERROR(__xludf.DUMMYFUNCTION("""COMPUTED_VALUE"""),2.0)</f>
        <v>2</v>
      </c>
      <c r="K1516" s="5">
        <f>IFERROR(__xludf.DUMMYFUNCTION("""COMPUTED_VALUE"""),0.0012746972594008922)</f>
        <v>0.001274697259</v>
      </c>
      <c r="L1516" s="10">
        <f>IFERROR(__xludf.DUMMYFUNCTION("""COMPUTED_VALUE"""),1569.0)</f>
        <v>1569</v>
      </c>
      <c r="M1516" s="5">
        <f>IFERROR(__xludf.DUMMYFUNCTION("""COMPUTED_VALUE"""),1.0)</f>
        <v>1</v>
      </c>
    </row>
    <row r="1517">
      <c r="A1517" s="10" t="str">
        <f>IFERROR(__xludf.DUMMYFUNCTION("""COMPUTED_VALUE"""),"中島浩太")</f>
        <v>中島浩太</v>
      </c>
      <c r="B1517" s="10">
        <f>IFERROR(__xludf.DUMMYFUNCTION("""COMPUTED_VALUE"""),286.0)</f>
        <v>286</v>
      </c>
      <c r="C1517" s="10">
        <f>IFERROR(__xludf.DUMMYFUNCTION("""COMPUTED_VALUE"""),3270.0)</f>
        <v>3270</v>
      </c>
      <c r="D1517" s="5">
        <f>IFERROR(__xludf.DUMMYFUNCTION("""COMPUTED_VALUE"""),0.3378016085790885)</f>
        <v>0.3378016086</v>
      </c>
      <c r="E1517" s="5">
        <f>IFERROR(__xludf.DUMMYFUNCTION("""COMPUTED_VALUE"""),0.13605898123324398)</f>
        <v>0.1360589812</v>
      </c>
      <c r="F1517" s="5">
        <f>IFERROR(__xludf.DUMMYFUNCTION("""COMPUTED_VALUE"""),0.19470509383378015)</f>
        <v>0.1947050938</v>
      </c>
      <c r="G1517" s="5">
        <f>IFERROR(__xludf.DUMMYFUNCTION("""COMPUTED_VALUE"""),0.1980563002680965)</f>
        <v>0.1980563003</v>
      </c>
      <c r="H1517" s="5">
        <f>IFERROR(__xludf.DUMMYFUNCTION("""COMPUTED_VALUE"""),0.5955249569707401)</f>
        <v>0.595524957</v>
      </c>
      <c r="I1517" s="11">
        <f>IFERROR(__xludf.DUMMYFUNCTION("""COMPUTED_VALUE"""),6361.44578313253)</f>
        <v>6361.445783</v>
      </c>
      <c r="J1517" s="10">
        <f>IFERROR(__xludf.DUMMYFUNCTION("""COMPUTED_VALUE"""),2.0)</f>
        <v>2</v>
      </c>
      <c r="K1517" s="5">
        <f>IFERROR(__xludf.DUMMYFUNCTION("""COMPUTED_VALUE"""),0.006993006993006993)</f>
        <v>0.006993006993</v>
      </c>
      <c r="L1517" s="10">
        <f>IFERROR(__xludf.DUMMYFUNCTION("""COMPUTED_VALUE"""),286.0)</f>
        <v>286</v>
      </c>
      <c r="M1517" s="5">
        <f>IFERROR(__xludf.DUMMYFUNCTION("""COMPUTED_VALUE"""),1.0)</f>
        <v>1</v>
      </c>
    </row>
    <row r="1518">
      <c r="A1518" s="10" t="str">
        <f>IFERROR(__xludf.DUMMYFUNCTION("""COMPUTED_VALUE"""),"真エトペン")</f>
        <v>真エトペン</v>
      </c>
      <c r="B1518" s="10">
        <f>IFERROR(__xludf.DUMMYFUNCTION("""COMPUTED_VALUE"""),575.0)</f>
        <v>575</v>
      </c>
      <c r="C1518" s="10">
        <f>IFERROR(__xludf.DUMMYFUNCTION("""COMPUTED_VALUE"""),6624.0)</f>
        <v>6624</v>
      </c>
      <c r="D1518" s="5">
        <f>IFERROR(__xludf.DUMMYFUNCTION("""COMPUTED_VALUE"""),0.33922962473136054)</f>
        <v>0.3392296247</v>
      </c>
      <c r="E1518" s="5">
        <f>IFERROR(__xludf.DUMMYFUNCTION("""COMPUTED_VALUE"""),0.13605554637130104)</f>
        <v>0.1360555464</v>
      </c>
      <c r="F1518" s="5">
        <f>IFERROR(__xludf.DUMMYFUNCTION("""COMPUTED_VALUE"""),0.21987105306662258)</f>
        <v>0.2198710531</v>
      </c>
      <c r="G1518" s="5">
        <f>IFERROR(__xludf.DUMMYFUNCTION("""COMPUTED_VALUE"""),0.18581583732848406)</f>
        <v>0.1858158373</v>
      </c>
      <c r="H1518" s="5">
        <f>IFERROR(__xludf.DUMMYFUNCTION("""COMPUTED_VALUE"""),0.6007518796992481)</f>
        <v>0.6007518797</v>
      </c>
      <c r="I1518" s="11">
        <f>IFERROR(__xludf.DUMMYFUNCTION("""COMPUTED_VALUE"""),6130.751879699248)</f>
        <v>6130.75188</v>
      </c>
      <c r="J1518" s="10">
        <f>IFERROR(__xludf.DUMMYFUNCTION("""COMPUTED_VALUE"""),2.0)</f>
        <v>2</v>
      </c>
      <c r="K1518" s="5">
        <f>IFERROR(__xludf.DUMMYFUNCTION("""COMPUTED_VALUE"""),0.0034782608695652175)</f>
        <v>0.00347826087</v>
      </c>
      <c r="L1518" s="10">
        <f>IFERROR(__xludf.DUMMYFUNCTION("""COMPUTED_VALUE"""),575.0)</f>
        <v>575</v>
      </c>
      <c r="M1518" s="5">
        <f>IFERROR(__xludf.DUMMYFUNCTION("""COMPUTED_VALUE"""),1.0)</f>
        <v>1</v>
      </c>
    </row>
    <row r="1519">
      <c r="A1519" s="10" t="str">
        <f>IFERROR(__xludf.DUMMYFUNCTION("""COMPUTED_VALUE"""),"けいすけ＠ＫＵ")</f>
        <v>けいすけ＠ＫＵ</v>
      </c>
      <c r="B1519" s="10">
        <f>IFERROR(__xludf.DUMMYFUNCTION("""COMPUTED_VALUE"""),571.0)</f>
        <v>571</v>
      </c>
      <c r="C1519" s="10">
        <f>IFERROR(__xludf.DUMMYFUNCTION("""COMPUTED_VALUE"""),6767.0)</f>
        <v>6767</v>
      </c>
      <c r="D1519" s="5">
        <f>IFERROR(__xludf.DUMMYFUNCTION("""COMPUTED_VALUE"""),0.3607165913492576)</f>
        <v>0.3607165913</v>
      </c>
      <c r="E1519" s="5">
        <f>IFERROR(__xludf.DUMMYFUNCTION("""COMPUTED_VALUE"""),0.13605551969012267)</f>
        <v>0.1360555197</v>
      </c>
      <c r="F1519" s="5">
        <f>IFERROR(__xludf.DUMMYFUNCTION("""COMPUTED_VALUE"""),0.21352485474499677)</f>
        <v>0.2135248547</v>
      </c>
      <c r="G1519" s="5">
        <f>IFERROR(__xludf.DUMMYFUNCTION("""COMPUTED_VALUE"""),0.15074241446094255)</f>
        <v>0.1507424145</v>
      </c>
      <c r="H1519" s="5">
        <f>IFERROR(__xludf.DUMMYFUNCTION("""COMPUTED_VALUE"""),0.5925925925925926)</f>
        <v>0.5925925926</v>
      </c>
      <c r="I1519" s="11">
        <f>IFERROR(__xludf.DUMMYFUNCTION("""COMPUTED_VALUE"""),5420.332577475435)</f>
        <v>5420.332577</v>
      </c>
      <c r="J1519" s="10">
        <f>IFERROR(__xludf.DUMMYFUNCTION("""COMPUTED_VALUE"""),1.0)</f>
        <v>1</v>
      </c>
      <c r="K1519" s="5">
        <f>IFERROR(__xludf.DUMMYFUNCTION("""COMPUTED_VALUE"""),0.0017513134851138354)</f>
        <v>0.001751313485</v>
      </c>
      <c r="L1519" s="10">
        <f>IFERROR(__xludf.DUMMYFUNCTION("""COMPUTED_VALUE"""),571.0)</f>
        <v>571</v>
      </c>
      <c r="M1519" s="5">
        <f>IFERROR(__xludf.DUMMYFUNCTION("""COMPUTED_VALUE"""),1.0)</f>
        <v>1</v>
      </c>
    </row>
    <row r="1520">
      <c r="A1520" s="10" t="str">
        <f>IFERROR(__xludf.DUMMYFUNCTION("""COMPUTED_VALUE"""),"‐はずきんぐ‐")</f>
        <v>‐はずきんぐ‐</v>
      </c>
      <c r="B1520" s="10">
        <f>IFERROR(__xludf.DUMMYFUNCTION("""COMPUTED_VALUE"""),1601.0)</f>
        <v>1601</v>
      </c>
      <c r="C1520" s="10">
        <f>IFERROR(__xludf.DUMMYFUNCTION("""COMPUTED_VALUE"""),18698.0)</f>
        <v>18698</v>
      </c>
      <c r="D1520" s="5">
        <f>IFERROR(__xludf.DUMMYFUNCTION("""COMPUTED_VALUE"""),0.3300579048955957)</f>
        <v>0.3300579049</v>
      </c>
      <c r="E1520" s="5">
        <f>IFERROR(__xludf.DUMMYFUNCTION("""COMPUTED_VALUE"""),0.13604725975317308)</f>
        <v>0.1360472598</v>
      </c>
      <c r="F1520" s="5">
        <f>IFERROR(__xludf.DUMMYFUNCTION("""COMPUTED_VALUE"""),0.21091419547288998)</f>
        <v>0.2109141955</v>
      </c>
      <c r="G1520" s="5">
        <f>IFERROR(__xludf.DUMMYFUNCTION("""COMPUTED_VALUE"""),0.18260513540387202)</f>
        <v>0.1826051354</v>
      </c>
      <c r="H1520" s="5">
        <f>IFERROR(__xludf.DUMMYFUNCTION("""COMPUTED_VALUE"""),0.6014975041597338)</f>
        <v>0.6014975042</v>
      </c>
      <c r="I1520" s="11">
        <f>IFERROR(__xludf.DUMMYFUNCTION("""COMPUTED_VALUE"""),5968.829728230727)</f>
        <v>5968.829728</v>
      </c>
      <c r="J1520" s="10">
        <f>IFERROR(__xludf.DUMMYFUNCTION("""COMPUTED_VALUE"""),3.0)</f>
        <v>3</v>
      </c>
      <c r="K1520" s="5">
        <f>IFERROR(__xludf.DUMMYFUNCTION("""COMPUTED_VALUE"""),0.0018738288569643974)</f>
        <v>0.001873828857</v>
      </c>
      <c r="L1520" s="10">
        <f>IFERROR(__xludf.DUMMYFUNCTION("""COMPUTED_VALUE"""),0.0)</f>
        <v>0</v>
      </c>
      <c r="M1520" s="5">
        <f>IFERROR(__xludf.DUMMYFUNCTION("""COMPUTED_VALUE"""),0.0)</f>
        <v>0</v>
      </c>
    </row>
    <row r="1521">
      <c r="A1521" s="10" t="str">
        <f>IFERROR(__xludf.DUMMYFUNCTION("""COMPUTED_VALUE"""),"富猫トーマス")</f>
        <v>富猫トーマス</v>
      </c>
      <c r="B1521" s="10">
        <f>IFERROR(__xludf.DUMMYFUNCTION("""COMPUTED_VALUE"""),476.0)</f>
        <v>476</v>
      </c>
      <c r="C1521" s="10">
        <f>IFERROR(__xludf.DUMMYFUNCTION("""COMPUTED_VALUE"""),5570.0)</f>
        <v>5570</v>
      </c>
      <c r="D1521" s="5">
        <f>IFERROR(__xludf.DUMMYFUNCTION("""COMPUTED_VALUE"""),0.2669807616804083)</f>
        <v>0.2669807617</v>
      </c>
      <c r="E1521" s="5">
        <f>IFERROR(__xludf.DUMMYFUNCTION("""COMPUTED_VALUE"""),0.13604240282685512)</f>
        <v>0.1360424028</v>
      </c>
      <c r="F1521" s="5">
        <f>IFERROR(__xludf.DUMMYFUNCTION("""COMPUTED_VALUE"""),0.2149587750294464)</f>
        <v>0.214958775</v>
      </c>
      <c r="G1521" s="5">
        <f>IFERROR(__xludf.DUMMYFUNCTION("""COMPUTED_VALUE"""),0.1525323910482921)</f>
        <v>0.152532391</v>
      </c>
      <c r="H1521" s="5">
        <f>IFERROR(__xludf.DUMMYFUNCTION("""COMPUTED_VALUE"""),0.5753424657534246)</f>
        <v>0.5753424658</v>
      </c>
      <c r="I1521" s="11">
        <f>IFERROR(__xludf.DUMMYFUNCTION("""COMPUTED_VALUE"""),5537.7168949771685)</f>
        <v>5537.716895</v>
      </c>
      <c r="J1521" s="10">
        <f>IFERROR(__xludf.DUMMYFUNCTION("""COMPUTED_VALUE"""),2.0)</f>
        <v>2</v>
      </c>
      <c r="K1521" s="5">
        <f>IFERROR(__xludf.DUMMYFUNCTION("""COMPUTED_VALUE"""),0.004201680672268907)</f>
        <v>0.004201680672</v>
      </c>
      <c r="L1521" s="10">
        <f>IFERROR(__xludf.DUMMYFUNCTION("""COMPUTED_VALUE"""),476.0)</f>
        <v>476</v>
      </c>
      <c r="M1521" s="5">
        <f>IFERROR(__xludf.DUMMYFUNCTION("""COMPUTED_VALUE"""),1.0)</f>
        <v>1</v>
      </c>
    </row>
    <row r="1522">
      <c r="A1522" s="10" t="str">
        <f>IFERROR(__xludf.DUMMYFUNCTION("""COMPUTED_VALUE"""),"カンチャン")</f>
        <v>カンチャン</v>
      </c>
      <c r="B1522" s="10">
        <f>IFERROR(__xludf.DUMMYFUNCTION("""COMPUTED_VALUE"""),565.0)</f>
        <v>565</v>
      </c>
      <c r="C1522" s="10">
        <f>IFERROR(__xludf.DUMMYFUNCTION("""COMPUTED_VALUE"""),6644.0)</f>
        <v>6644</v>
      </c>
      <c r="D1522" s="5">
        <f>IFERROR(__xludf.DUMMYFUNCTION("""COMPUTED_VALUE"""),0.3396940286231288)</f>
        <v>0.3396940286</v>
      </c>
      <c r="E1522" s="5">
        <f>IFERROR(__xludf.DUMMYFUNCTION("""COMPUTED_VALUE"""),0.13604211218950485)</f>
        <v>0.1360421122</v>
      </c>
      <c r="F1522" s="5">
        <f>IFERROR(__xludf.DUMMYFUNCTION("""COMPUTED_VALUE"""),0.19789439052475735)</f>
        <v>0.1978943905</v>
      </c>
      <c r="G1522" s="5">
        <f>IFERROR(__xludf.DUMMYFUNCTION("""COMPUTED_VALUE"""),0.17453528540878435)</f>
        <v>0.1745352854</v>
      </c>
      <c r="H1522" s="5">
        <f>IFERROR(__xludf.DUMMYFUNCTION("""COMPUTED_VALUE"""),0.5901911886949294)</f>
        <v>0.5901911887</v>
      </c>
      <c r="I1522" s="11">
        <f>IFERROR(__xludf.DUMMYFUNCTION("""COMPUTED_VALUE"""),6106.068162926018)</f>
        <v>6106.068163</v>
      </c>
      <c r="J1522" s="10">
        <f>IFERROR(__xludf.DUMMYFUNCTION("""COMPUTED_VALUE"""),1.0)</f>
        <v>1</v>
      </c>
      <c r="K1522" s="5">
        <f>IFERROR(__xludf.DUMMYFUNCTION("""COMPUTED_VALUE"""),0.0017699115044247787)</f>
        <v>0.001769911504</v>
      </c>
      <c r="L1522" s="10">
        <f>IFERROR(__xludf.DUMMYFUNCTION("""COMPUTED_VALUE"""),565.0)</f>
        <v>565</v>
      </c>
      <c r="M1522" s="5">
        <f>IFERROR(__xludf.DUMMYFUNCTION("""COMPUTED_VALUE"""),1.0)</f>
        <v>1</v>
      </c>
    </row>
    <row r="1523">
      <c r="A1523" s="10" t="str">
        <f>IFERROR(__xludf.DUMMYFUNCTION("""COMPUTED_VALUE"""),"なかじ")</f>
        <v>なかじ</v>
      </c>
      <c r="B1523" s="10">
        <f>IFERROR(__xludf.DUMMYFUNCTION("""COMPUTED_VALUE"""),158.0)</f>
        <v>158</v>
      </c>
      <c r="C1523" s="10">
        <f>IFERROR(__xludf.DUMMYFUNCTION("""COMPUTED_VALUE"""),1812.0)</f>
        <v>1812</v>
      </c>
      <c r="D1523" s="5">
        <f>IFERROR(__xludf.DUMMYFUNCTION("""COMPUTED_VALUE"""),0.35308343409915355)</f>
        <v>0.3530834341</v>
      </c>
      <c r="E1523" s="5">
        <f>IFERROR(__xludf.DUMMYFUNCTION("""COMPUTED_VALUE"""),0.13603385731559856)</f>
        <v>0.1360338573</v>
      </c>
      <c r="F1523" s="5">
        <f>IFERROR(__xludf.DUMMYFUNCTION("""COMPUTED_VALUE"""),0.18561064087061668)</f>
        <v>0.1856106409</v>
      </c>
      <c r="G1523" s="5">
        <f>IFERROR(__xludf.DUMMYFUNCTION("""COMPUTED_VALUE"""),0.17533252720677148)</f>
        <v>0.1753325272</v>
      </c>
      <c r="H1523" s="5">
        <f>IFERROR(__xludf.DUMMYFUNCTION("""COMPUTED_VALUE"""),0.5993485342019544)</f>
        <v>0.5993485342</v>
      </c>
      <c r="I1523" s="11">
        <f>IFERROR(__xludf.DUMMYFUNCTION("""COMPUTED_VALUE"""),5830.618892508143)</f>
        <v>5830.618893</v>
      </c>
      <c r="J1523" s="10">
        <f>IFERROR(__xludf.DUMMYFUNCTION("""COMPUTED_VALUE"""),0.0)</f>
        <v>0</v>
      </c>
      <c r="K1523" s="5">
        <f>IFERROR(__xludf.DUMMYFUNCTION("""COMPUTED_VALUE"""),0.0)</f>
        <v>0</v>
      </c>
      <c r="L1523" s="10">
        <f>IFERROR(__xludf.DUMMYFUNCTION("""COMPUTED_VALUE"""),157.0)</f>
        <v>157</v>
      </c>
      <c r="M1523" s="5">
        <f>IFERROR(__xludf.DUMMYFUNCTION("""COMPUTED_VALUE"""),0.9936708860759493)</f>
        <v>0.9936708861</v>
      </c>
    </row>
    <row r="1524">
      <c r="A1524" s="10" t="str">
        <f>IFERROR(__xludf.DUMMYFUNCTION("""COMPUTED_VALUE"""),"tenpane")</f>
        <v>tenpane</v>
      </c>
      <c r="B1524" s="10">
        <f>IFERROR(__xludf.DUMMYFUNCTION("""COMPUTED_VALUE"""),435.0)</f>
        <v>435</v>
      </c>
      <c r="C1524" s="10">
        <f>IFERROR(__xludf.DUMMYFUNCTION("""COMPUTED_VALUE"""),5162.0)</f>
        <v>5162</v>
      </c>
      <c r="D1524" s="5">
        <f>IFERROR(__xludf.DUMMYFUNCTION("""COMPUTED_VALUE"""),0.28813200761582397)</f>
        <v>0.2881320076</v>
      </c>
      <c r="E1524" s="5">
        <f>IFERROR(__xludf.DUMMYFUNCTION("""COMPUTED_VALUE"""),0.13602707848529724)</f>
        <v>0.1360270785</v>
      </c>
      <c r="F1524" s="5">
        <f>IFERROR(__xludf.DUMMYFUNCTION("""COMPUTED_VALUE"""),0.18214512375713984)</f>
        <v>0.1821451238</v>
      </c>
      <c r="G1524" s="5">
        <f>IFERROR(__xludf.DUMMYFUNCTION("""COMPUTED_VALUE"""),0.1652210704463719)</f>
        <v>0.1652210704</v>
      </c>
      <c r="H1524" s="5">
        <f>IFERROR(__xludf.DUMMYFUNCTION("""COMPUTED_VALUE"""),0.586527293844367)</f>
        <v>0.5865272938</v>
      </c>
      <c r="I1524" s="11">
        <f>IFERROR(__xludf.DUMMYFUNCTION("""COMPUTED_VALUE"""),5870.499419279907)</f>
        <v>5870.499419</v>
      </c>
      <c r="J1524" s="10">
        <f>IFERROR(__xludf.DUMMYFUNCTION("""COMPUTED_VALUE"""),1.0)</f>
        <v>1</v>
      </c>
      <c r="K1524" s="5">
        <f>IFERROR(__xludf.DUMMYFUNCTION("""COMPUTED_VALUE"""),0.0022988505747126436)</f>
        <v>0.002298850575</v>
      </c>
      <c r="L1524" s="10">
        <f>IFERROR(__xludf.DUMMYFUNCTION("""COMPUTED_VALUE"""),435.0)</f>
        <v>435</v>
      </c>
      <c r="M1524" s="5">
        <f>IFERROR(__xludf.DUMMYFUNCTION("""COMPUTED_VALUE"""),1.0)</f>
        <v>1</v>
      </c>
    </row>
    <row r="1525">
      <c r="A1525" s="10" t="str">
        <f>IFERROR(__xludf.DUMMYFUNCTION("""COMPUTED_VALUE"""),"ホ・ジュン")</f>
        <v>ホ・ジュン</v>
      </c>
      <c r="B1525" s="10">
        <f>IFERROR(__xludf.DUMMYFUNCTION("""COMPUTED_VALUE"""),1120.0)</f>
        <v>1120</v>
      </c>
      <c r="C1525" s="10">
        <f>IFERROR(__xludf.DUMMYFUNCTION("""COMPUTED_VALUE"""),13015.0)</f>
        <v>13015</v>
      </c>
      <c r="D1525" s="5">
        <f>IFERROR(__xludf.DUMMYFUNCTION("""COMPUTED_VALUE"""),0.3901639344262295)</f>
        <v>0.3901639344</v>
      </c>
      <c r="E1525" s="5">
        <f>IFERROR(__xludf.DUMMYFUNCTION("""COMPUTED_VALUE"""),0.13602353930222782)</f>
        <v>0.1360235393</v>
      </c>
      <c r="F1525" s="5">
        <f>IFERROR(__xludf.DUMMYFUNCTION("""COMPUTED_VALUE"""),0.23547709121479612)</f>
        <v>0.2354770912</v>
      </c>
      <c r="G1525" s="5">
        <f>IFERROR(__xludf.DUMMYFUNCTION("""COMPUTED_VALUE"""),0.1880622110130307)</f>
        <v>0.188062211</v>
      </c>
      <c r="H1525" s="5">
        <f>IFERROR(__xludf.DUMMYFUNCTION("""COMPUTED_VALUE"""),0.602998928953945)</f>
        <v>0.602998929</v>
      </c>
      <c r="I1525" s="11">
        <f>IFERROR(__xludf.DUMMYFUNCTION("""COMPUTED_VALUE"""),5555.4087825776505)</f>
        <v>5555.408783</v>
      </c>
      <c r="J1525" s="10">
        <f>IFERROR(__xludf.DUMMYFUNCTION("""COMPUTED_VALUE"""),6.0)</f>
        <v>6</v>
      </c>
      <c r="K1525" s="5">
        <f>IFERROR(__xludf.DUMMYFUNCTION("""COMPUTED_VALUE"""),0.005357142857142857)</f>
        <v>0.005357142857</v>
      </c>
      <c r="L1525" s="10">
        <f>IFERROR(__xludf.DUMMYFUNCTION("""COMPUTED_VALUE"""),1120.0)</f>
        <v>1120</v>
      </c>
      <c r="M1525" s="5">
        <f>IFERROR(__xludf.DUMMYFUNCTION("""COMPUTED_VALUE"""),1.0)</f>
        <v>1</v>
      </c>
    </row>
    <row r="1526">
      <c r="A1526" s="10" t="str">
        <f>IFERROR(__xludf.DUMMYFUNCTION("""COMPUTED_VALUE"""),"(・∀・)")</f>
        <v>(・∀・)</v>
      </c>
      <c r="B1526" s="10">
        <f>IFERROR(__xludf.DUMMYFUNCTION("""COMPUTED_VALUE"""),651.0)</f>
        <v>651</v>
      </c>
      <c r="C1526" s="10">
        <f>IFERROR(__xludf.DUMMYFUNCTION("""COMPUTED_VALUE"""),7591.0)</f>
        <v>7591</v>
      </c>
      <c r="D1526" s="5">
        <f>IFERROR(__xludf.DUMMYFUNCTION("""COMPUTED_VALUE"""),0.3221902017291066)</f>
        <v>0.3221902017</v>
      </c>
      <c r="E1526" s="5">
        <f>IFERROR(__xludf.DUMMYFUNCTION("""COMPUTED_VALUE"""),0.13602305475504323)</f>
        <v>0.1360230548</v>
      </c>
      <c r="F1526" s="5">
        <f>IFERROR(__xludf.DUMMYFUNCTION("""COMPUTED_VALUE"""),0.2021613832853026)</f>
        <v>0.2021613833</v>
      </c>
      <c r="G1526" s="5">
        <f>IFERROR(__xludf.DUMMYFUNCTION("""COMPUTED_VALUE"""),0.18386167146974064)</f>
        <v>0.1838616715</v>
      </c>
      <c r="H1526" s="5">
        <f>IFERROR(__xludf.DUMMYFUNCTION("""COMPUTED_VALUE"""),0.5901639344262295)</f>
        <v>0.5901639344</v>
      </c>
      <c r="I1526" s="11">
        <f>IFERROR(__xludf.DUMMYFUNCTION("""COMPUTED_VALUE"""),5949.394155381326)</f>
        <v>5949.394155</v>
      </c>
      <c r="J1526" s="10">
        <f>IFERROR(__xludf.DUMMYFUNCTION("""COMPUTED_VALUE"""),3.0)</f>
        <v>3</v>
      </c>
      <c r="K1526" s="5">
        <f>IFERROR(__xludf.DUMMYFUNCTION("""COMPUTED_VALUE"""),0.004608294930875576)</f>
        <v>0.004608294931</v>
      </c>
      <c r="L1526" s="10">
        <f>IFERROR(__xludf.DUMMYFUNCTION("""COMPUTED_VALUE"""),651.0)</f>
        <v>651</v>
      </c>
      <c r="M1526" s="5">
        <f>IFERROR(__xludf.DUMMYFUNCTION("""COMPUTED_VALUE"""),1.0)</f>
        <v>1</v>
      </c>
    </row>
    <row r="1527">
      <c r="A1527" s="10" t="str">
        <f>IFERROR(__xludf.DUMMYFUNCTION("""COMPUTED_VALUE"""),"ブルーカミカゼ")</f>
        <v>ブルーカミカゼ</v>
      </c>
      <c r="B1527" s="10">
        <f>IFERROR(__xludf.DUMMYFUNCTION("""COMPUTED_VALUE"""),537.0)</f>
        <v>537</v>
      </c>
      <c r="C1527" s="10">
        <f>IFERROR(__xludf.DUMMYFUNCTION("""COMPUTED_VALUE"""),6220.0)</f>
        <v>6220</v>
      </c>
      <c r="D1527" s="5">
        <f>IFERROR(__xludf.DUMMYFUNCTION("""COMPUTED_VALUE"""),0.3584374450114376)</f>
        <v>0.358437445</v>
      </c>
      <c r="E1527" s="5">
        <f>IFERROR(__xludf.DUMMYFUNCTION("""COMPUTED_VALUE"""),0.13601970790075665)</f>
        <v>0.1360197079</v>
      </c>
      <c r="F1527" s="5">
        <f>IFERROR(__xludf.DUMMYFUNCTION("""COMPUTED_VALUE"""),0.2247052613056484)</f>
        <v>0.2247052613</v>
      </c>
      <c r="G1527" s="5">
        <f>IFERROR(__xludf.DUMMYFUNCTION("""COMPUTED_VALUE"""),0.14921696287172267)</f>
        <v>0.1492169629</v>
      </c>
      <c r="H1527" s="5">
        <f>IFERROR(__xludf.DUMMYFUNCTION("""COMPUTED_VALUE"""),0.610806577916993)</f>
        <v>0.6108065779</v>
      </c>
      <c r="I1527" s="11">
        <f>IFERROR(__xludf.DUMMYFUNCTION("""COMPUTED_VALUE"""),5462.1769772905245)</f>
        <v>5462.176977</v>
      </c>
      <c r="J1527" s="10">
        <f>IFERROR(__xludf.DUMMYFUNCTION("""COMPUTED_VALUE"""),5.0)</f>
        <v>5</v>
      </c>
      <c r="K1527" s="5">
        <f>IFERROR(__xludf.DUMMYFUNCTION("""COMPUTED_VALUE"""),0.00931098696461825)</f>
        <v>0.009310986965</v>
      </c>
      <c r="L1527" s="10">
        <f>IFERROR(__xludf.DUMMYFUNCTION("""COMPUTED_VALUE"""),537.0)</f>
        <v>537</v>
      </c>
      <c r="M1527" s="5">
        <f>IFERROR(__xludf.DUMMYFUNCTION("""COMPUTED_VALUE"""),1.0)</f>
        <v>1</v>
      </c>
    </row>
    <row r="1528">
      <c r="A1528" s="10" t="str">
        <f>IFERROR(__xludf.DUMMYFUNCTION("""COMPUTED_VALUE"""),"びっくる")</f>
        <v>びっくる</v>
      </c>
      <c r="B1528" s="10">
        <f>IFERROR(__xludf.DUMMYFUNCTION("""COMPUTED_VALUE"""),189.0)</f>
        <v>189</v>
      </c>
      <c r="C1528" s="10">
        <f>IFERROR(__xludf.DUMMYFUNCTION("""COMPUTED_VALUE"""),2255.0)</f>
        <v>2255</v>
      </c>
      <c r="D1528" s="5">
        <f>IFERROR(__xludf.DUMMYFUNCTION("""COMPUTED_VALUE"""),0.2947725072604066)</f>
        <v>0.2947725073</v>
      </c>
      <c r="E1528" s="5">
        <f>IFERROR(__xludf.DUMMYFUNCTION("""COMPUTED_VALUE"""),0.13601161665053244)</f>
        <v>0.1360116167</v>
      </c>
      <c r="F1528" s="5">
        <f>IFERROR(__xludf.DUMMYFUNCTION("""COMPUTED_VALUE"""),0.20764762826718297)</f>
        <v>0.2076476283</v>
      </c>
      <c r="G1528" s="5">
        <f>IFERROR(__xludf.DUMMYFUNCTION("""COMPUTED_VALUE"""),0.1510164569215876)</f>
        <v>0.1510164569</v>
      </c>
      <c r="H1528" s="5">
        <f>IFERROR(__xludf.DUMMYFUNCTION("""COMPUTED_VALUE"""),0.634032634032634)</f>
        <v>0.634032634</v>
      </c>
      <c r="I1528" s="11">
        <f>IFERROR(__xludf.DUMMYFUNCTION("""COMPUTED_VALUE"""),5681.118881118881)</f>
        <v>5681.118881</v>
      </c>
      <c r="J1528" s="10">
        <f>IFERROR(__xludf.DUMMYFUNCTION("""COMPUTED_VALUE"""),0.0)</f>
        <v>0</v>
      </c>
      <c r="K1528" s="5">
        <f>IFERROR(__xludf.DUMMYFUNCTION("""COMPUTED_VALUE"""),0.0)</f>
        <v>0</v>
      </c>
      <c r="L1528" s="10">
        <f>IFERROR(__xludf.DUMMYFUNCTION("""COMPUTED_VALUE"""),0.0)</f>
        <v>0</v>
      </c>
      <c r="M1528" s="5">
        <f>IFERROR(__xludf.DUMMYFUNCTION("""COMPUTED_VALUE"""),0.0)</f>
        <v>0</v>
      </c>
    </row>
    <row r="1529">
      <c r="A1529" s="10" t="str">
        <f>IFERROR(__xludf.DUMMYFUNCTION("""COMPUTED_VALUE"""),"ラグラージ")</f>
        <v>ラグラージ</v>
      </c>
      <c r="B1529" s="10">
        <f>IFERROR(__xludf.DUMMYFUNCTION("""COMPUTED_VALUE"""),285.0)</f>
        <v>285</v>
      </c>
      <c r="C1529" s="10">
        <f>IFERROR(__xludf.DUMMYFUNCTION("""COMPUTED_VALUE"""),3373.0)</f>
        <v>3373</v>
      </c>
      <c r="D1529" s="5">
        <f>IFERROR(__xludf.DUMMYFUNCTION("""COMPUTED_VALUE"""),0.38115284974093266)</f>
        <v>0.3811528497</v>
      </c>
      <c r="E1529" s="5">
        <f>IFERROR(__xludf.DUMMYFUNCTION("""COMPUTED_VALUE"""),0.13601036269430053)</f>
        <v>0.1360103627</v>
      </c>
      <c r="F1529" s="5">
        <f>IFERROR(__xludf.DUMMYFUNCTION("""COMPUTED_VALUE"""),0.20919689119170984)</f>
        <v>0.2091968912</v>
      </c>
      <c r="G1529" s="5">
        <f>IFERROR(__xludf.DUMMYFUNCTION("""COMPUTED_VALUE"""),0.18167098445595856)</f>
        <v>0.1816709845</v>
      </c>
      <c r="H1529" s="5">
        <f>IFERROR(__xludf.DUMMYFUNCTION("""COMPUTED_VALUE"""),0.6021671826625387)</f>
        <v>0.6021671827</v>
      </c>
      <c r="I1529" s="11">
        <f>IFERROR(__xludf.DUMMYFUNCTION("""COMPUTED_VALUE"""),5252.167182662539)</f>
        <v>5252.167183</v>
      </c>
      <c r="J1529" s="10">
        <f>IFERROR(__xludf.DUMMYFUNCTION("""COMPUTED_VALUE"""),0.0)</f>
        <v>0</v>
      </c>
      <c r="K1529" s="5">
        <f>IFERROR(__xludf.DUMMYFUNCTION("""COMPUTED_VALUE"""),0.0)</f>
        <v>0</v>
      </c>
      <c r="L1529" s="10">
        <f>IFERROR(__xludf.DUMMYFUNCTION("""COMPUTED_VALUE"""),3.0)</f>
        <v>3</v>
      </c>
      <c r="M1529" s="5">
        <f>IFERROR(__xludf.DUMMYFUNCTION("""COMPUTED_VALUE"""),0.010526315789473684)</f>
        <v>0.01052631579</v>
      </c>
    </row>
    <row r="1530">
      <c r="A1530" s="10" t="str">
        <f>IFERROR(__xludf.DUMMYFUNCTION("""COMPUTED_VALUE"""),"大楠公")</f>
        <v>大楠公</v>
      </c>
      <c r="B1530" s="10">
        <f>IFERROR(__xludf.DUMMYFUNCTION("""COMPUTED_VALUE"""),2835.0)</f>
        <v>2835</v>
      </c>
      <c r="C1530" s="10">
        <f>IFERROR(__xludf.DUMMYFUNCTION("""COMPUTED_VALUE"""),32886.0)</f>
        <v>32886</v>
      </c>
      <c r="D1530" s="5">
        <f>IFERROR(__xludf.DUMMYFUNCTION("""COMPUTED_VALUE"""),0.28741140061894777)</f>
        <v>0.2874114006</v>
      </c>
      <c r="E1530" s="5">
        <f>IFERROR(__xludf.DUMMYFUNCTION("""COMPUTED_VALUE"""),0.13600212971282152)</f>
        <v>0.1360021297</v>
      </c>
      <c r="F1530" s="5">
        <f>IFERROR(__xludf.DUMMYFUNCTION("""COMPUTED_VALUE"""),0.21293800539083557)</f>
        <v>0.2129380054</v>
      </c>
      <c r="G1530" s="5">
        <f>IFERROR(__xludf.DUMMYFUNCTION("""COMPUTED_VALUE"""),0.19250607300921765)</f>
        <v>0.192506073</v>
      </c>
      <c r="H1530" s="5">
        <f>IFERROR(__xludf.DUMMYFUNCTION("""COMPUTED_VALUE"""),0.6015002344116268)</f>
        <v>0.6015002344</v>
      </c>
      <c r="I1530" s="11">
        <f>IFERROR(__xludf.DUMMYFUNCTION("""COMPUTED_VALUE"""),5965.197687138615)</f>
        <v>5965.197687</v>
      </c>
      <c r="J1530" s="10">
        <f>IFERROR(__xludf.DUMMYFUNCTION("""COMPUTED_VALUE"""),5.0)</f>
        <v>5</v>
      </c>
      <c r="K1530" s="5">
        <f>IFERROR(__xludf.DUMMYFUNCTION("""COMPUTED_VALUE"""),0.001763668430335097)</f>
        <v>0.00176366843</v>
      </c>
      <c r="L1530" s="10">
        <f>IFERROR(__xludf.DUMMYFUNCTION("""COMPUTED_VALUE"""),2835.0)</f>
        <v>2835</v>
      </c>
      <c r="M1530" s="5">
        <f>IFERROR(__xludf.DUMMYFUNCTION("""COMPUTED_VALUE"""),1.0)</f>
        <v>1</v>
      </c>
    </row>
    <row r="1531">
      <c r="A1531" s="10" t="str">
        <f>IFERROR(__xludf.DUMMYFUNCTION("""COMPUTED_VALUE"""),"kiichi")</f>
        <v>kiichi</v>
      </c>
      <c r="B1531" s="10">
        <f>IFERROR(__xludf.DUMMYFUNCTION("""COMPUTED_VALUE"""),600.0)</f>
        <v>600</v>
      </c>
      <c r="C1531" s="10">
        <f>IFERROR(__xludf.DUMMYFUNCTION("""COMPUTED_VALUE"""),7056.0)</f>
        <v>7056</v>
      </c>
      <c r="D1531" s="5">
        <f>IFERROR(__xludf.DUMMYFUNCTION("""COMPUTED_VALUE"""),0.30018587360594795)</f>
        <v>0.3001858736</v>
      </c>
      <c r="E1531" s="5">
        <f>IFERROR(__xludf.DUMMYFUNCTION("""COMPUTED_VALUE"""),0.13599752168525403)</f>
        <v>0.1359975217</v>
      </c>
      <c r="F1531" s="5">
        <f>IFERROR(__xludf.DUMMYFUNCTION("""COMPUTED_VALUE"""),0.20337670384138787)</f>
        <v>0.2033767038</v>
      </c>
      <c r="G1531" s="5">
        <f>IFERROR(__xludf.DUMMYFUNCTION("""COMPUTED_VALUE"""),0.1976456009913259)</f>
        <v>0.197645601</v>
      </c>
      <c r="H1531" s="5">
        <f>IFERROR(__xludf.DUMMYFUNCTION("""COMPUTED_VALUE"""),0.5932977913175933)</f>
        <v>0.5932977913</v>
      </c>
      <c r="I1531" s="11">
        <f>IFERROR(__xludf.DUMMYFUNCTION("""COMPUTED_VALUE"""),6274.562071591775)</f>
        <v>6274.562072</v>
      </c>
      <c r="J1531" s="10">
        <f>IFERROR(__xludf.DUMMYFUNCTION("""COMPUTED_VALUE"""),3.0)</f>
        <v>3</v>
      </c>
      <c r="K1531" s="5">
        <f>IFERROR(__xludf.DUMMYFUNCTION("""COMPUTED_VALUE"""),0.005)</f>
        <v>0.005</v>
      </c>
      <c r="L1531" s="10">
        <f>IFERROR(__xludf.DUMMYFUNCTION("""COMPUTED_VALUE"""),600.0)</f>
        <v>600</v>
      </c>
      <c r="M1531" s="5">
        <f>IFERROR(__xludf.DUMMYFUNCTION("""COMPUTED_VALUE"""),1.0)</f>
        <v>1</v>
      </c>
    </row>
    <row r="1532">
      <c r="A1532" s="10" t="str">
        <f>IFERROR(__xludf.DUMMYFUNCTION("""COMPUTED_VALUE"""),"法政大学３年")</f>
        <v>法政大学３年</v>
      </c>
      <c r="B1532" s="10">
        <f>IFERROR(__xludf.DUMMYFUNCTION("""COMPUTED_VALUE"""),220.0)</f>
        <v>220</v>
      </c>
      <c r="C1532" s="10">
        <f>IFERROR(__xludf.DUMMYFUNCTION("""COMPUTED_VALUE"""),2573.0)</f>
        <v>2573</v>
      </c>
      <c r="D1532" s="5">
        <f>IFERROR(__xludf.DUMMYFUNCTION("""COMPUTED_VALUE"""),0.4717382065448364)</f>
        <v>0.4717382065</v>
      </c>
      <c r="E1532" s="5">
        <f>IFERROR(__xludf.DUMMYFUNCTION("""COMPUTED_VALUE"""),0.13599660008499787)</f>
        <v>0.1359966001</v>
      </c>
      <c r="F1532" s="5">
        <f>IFERROR(__xludf.DUMMYFUNCTION("""COMPUTED_VALUE"""),0.2154696132596685)</f>
        <v>0.2154696133</v>
      </c>
      <c r="G1532" s="5">
        <f>IFERROR(__xludf.DUMMYFUNCTION("""COMPUTED_VALUE"""),0.15002124946876327)</f>
        <v>0.1500212495</v>
      </c>
      <c r="H1532" s="5">
        <f>IFERROR(__xludf.DUMMYFUNCTION("""COMPUTED_VALUE"""),0.5877712031558185)</f>
        <v>0.5877712032</v>
      </c>
      <c r="I1532" s="11">
        <f>IFERROR(__xludf.DUMMYFUNCTION("""COMPUTED_VALUE"""),4916.173570019724)</f>
        <v>4916.17357</v>
      </c>
      <c r="J1532" s="10">
        <f>IFERROR(__xludf.DUMMYFUNCTION("""COMPUTED_VALUE"""),0.0)</f>
        <v>0</v>
      </c>
      <c r="K1532" s="5">
        <f>IFERROR(__xludf.DUMMYFUNCTION("""COMPUTED_VALUE"""),0.0)</f>
        <v>0</v>
      </c>
      <c r="L1532" s="10">
        <f>IFERROR(__xludf.DUMMYFUNCTION("""COMPUTED_VALUE"""),220.0)</f>
        <v>220</v>
      </c>
      <c r="M1532" s="5">
        <f>IFERROR(__xludf.DUMMYFUNCTION("""COMPUTED_VALUE"""),1.0)</f>
        <v>1</v>
      </c>
    </row>
    <row r="1533">
      <c r="A1533" s="10" t="str">
        <f>IFERROR(__xludf.DUMMYFUNCTION("""COMPUTED_VALUE"""),"成川姫")</f>
        <v>成川姫</v>
      </c>
      <c r="B1533" s="10">
        <f>IFERROR(__xludf.DUMMYFUNCTION("""COMPUTED_VALUE"""),140.0)</f>
        <v>140</v>
      </c>
      <c r="C1533" s="10">
        <f>IFERROR(__xludf.DUMMYFUNCTION("""COMPUTED_VALUE"""),1618.0)</f>
        <v>1618</v>
      </c>
      <c r="D1533" s="5">
        <f>IFERROR(__xludf.DUMMYFUNCTION("""COMPUTED_VALUE"""),0.35385656292286877)</f>
        <v>0.3538565629</v>
      </c>
      <c r="E1533" s="5">
        <f>IFERROR(__xludf.DUMMYFUNCTION("""COMPUTED_VALUE"""),0.13599458728010824)</f>
        <v>0.1359945873</v>
      </c>
      <c r="F1533" s="5">
        <f>IFERROR(__xludf.DUMMYFUNCTION("""COMPUTED_VALUE"""),0.2009472259810555)</f>
        <v>0.200947226</v>
      </c>
      <c r="G1533" s="5">
        <f>IFERROR(__xludf.DUMMYFUNCTION("""COMPUTED_VALUE"""),0.15290933694181327)</f>
        <v>0.1529093369</v>
      </c>
      <c r="H1533" s="5">
        <f>IFERROR(__xludf.DUMMYFUNCTION("""COMPUTED_VALUE"""),0.6464646464646465)</f>
        <v>0.6464646465</v>
      </c>
      <c r="I1533" s="11">
        <f>IFERROR(__xludf.DUMMYFUNCTION("""COMPUTED_VALUE"""),5145.454545454545)</f>
        <v>5145.454545</v>
      </c>
      <c r="J1533" s="10">
        <f>IFERROR(__xludf.DUMMYFUNCTION("""COMPUTED_VALUE"""),0.0)</f>
        <v>0</v>
      </c>
      <c r="K1533" s="5">
        <f>IFERROR(__xludf.DUMMYFUNCTION("""COMPUTED_VALUE"""),0.0)</f>
        <v>0</v>
      </c>
      <c r="L1533" s="10">
        <f>IFERROR(__xludf.DUMMYFUNCTION("""COMPUTED_VALUE"""),0.0)</f>
        <v>0</v>
      </c>
      <c r="M1533" s="5">
        <f>IFERROR(__xludf.DUMMYFUNCTION("""COMPUTED_VALUE"""),0.0)</f>
        <v>0</v>
      </c>
    </row>
    <row r="1534">
      <c r="A1534" s="10" t="str">
        <f>IFERROR(__xludf.DUMMYFUNCTION("""COMPUTED_VALUE"""),"Xi")</f>
        <v>Xi</v>
      </c>
      <c r="B1534" s="10">
        <f>IFERROR(__xludf.DUMMYFUNCTION("""COMPUTED_VALUE"""),803.0)</f>
        <v>803</v>
      </c>
      <c r="C1534" s="10">
        <f>IFERROR(__xludf.DUMMYFUNCTION("""COMPUTED_VALUE"""),9546.0)</f>
        <v>9546</v>
      </c>
      <c r="D1534" s="5">
        <f>IFERROR(__xludf.DUMMYFUNCTION("""COMPUTED_VALUE"""),0.3520530710282512)</f>
        <v>0.352053071</v>
      </c>
      <c r="E1534" s="5">
        <f>IFERROR(__xludf.DUMMYFUNCTION("""COMPUTED_VALUE"""),0.13599450989362918)</f>
        <v>0.1359945099</v>
      </c>
      <c r="F1534" s="5">
        <f>IFERROR(__xludf.DUMMYFUNCTION("""COMPUTED_VALUE"""),0.20702276106599565)</f>
        <v>0.2070227611</v>
      </c>
      <c r="G1534" s="5">
        <f>IFERROR(__xludf.DUMMYFUNCTION("""COMPUTED_VALUE"""),0.16619009493308934)</f>
        <v>0.1661900949</v>
      </c>
      <c r="H1534" s="5">
        <f>IFERROR(__xludf.DUMMYFUNCTION("""COMPUTED_VALUE"""),0.5977900552486188)</f>
        <v>0.5977900552</v>
      </c>
      <c r="I1534" s="11">
        <f>IFERROR(__xludf.DUMMYFUNCTION("""COMPUTED_VALUE"""),5740.110497237569)</f>
        <v>5740.110497</v>
      </c>
      <c r="J1534" s="10">
        <f>IFERROR(__xludf.DUMMYFUNCTION("""COMPUTED_VALUE"""),5.0)</f>
        <v>5</v>
      </c>
      <c r="K1534" s="5">
        <f>IFERROR(__xludf.DUMMYFUNCTION("""COMPUTED_VALUE"""),0.0062266500622665)</f>
        <v>0.006226650062</v>
      </c>
      <c r="L1534" s="10">
        <f>IFERROR(__xludf.DUMMYFUNCTION("""COMPUTED_VALUE"""),803.0)</f>
        <v>803</v>
      </c>
      <c r="M1534" s="5">
        <f>IFERROR(__xludf.DUMMYFUNCTION("""COMPUTED_VALUE"""),1.0)</f>
        <v>1</v>
      </c>
    </row>
    <row r="1535">
      <c r="A1535" s="10" t="str">
        <f>IFERROR(__xludf.DUMMYFUNCTION("""COMPUTED_VALUE"""),"moeyashi")</f>
        <v>moeyashi</v>
      </c>
      <c r="B1535" s="10">
        <f>IFERROR(__xludf.DUMMYFUNCTION("""COMPUTED_VALUE"""),451.0)</f>
        <v>451</v>
      </c>
      <c r="C1535" s="10">
        <f>IFERROR(__xludf.DUMMYFUNCTION("""COMPUTED_VALUE"""),5216.0)</f>
        <v>5216</v>
      </c>
      <c r="D1535" s="5">
        <f>IFERROR(__xludf.DUMMYFUNCTION("""COMPUTED_VALUE"""),0.3731374606505771)</f>
        <v>0.3731374607</v>
      </c>
      <c r="E1535" s="5">
        <f>IFERROR(__xludf.DUMMYFUNCTION("""COMPUTED_VALUE"""),0.1359916054564533)</f>
        <v>0.1359916055</v>
      </c>
      <c r="F1535" s="5">
        <f>IFERROR(__xludf.DUMMYFUNCTION("""COMPUTED_VALUE"""),0.20146904512067157)</f>
        <v>0.2014690451</v>
      </c>
      <c r="G1535" s="5">
        <f>IFERROR(__xludf.DUMMYFUNCTION("""COMPUTED_VALUE"""),0.18908709338929697)</f>
        <v>0.1890870934</v>
      </c>
      <c r="H1535" s="5">
        <f>IFERROR(__xludf.DUMMYFUNCTION("""COMPUTED_VALUE"""),0.5760416666666667)</f>
        <v>0.5760416667</v>
      </c>
      <c r="I1535" s="11">
        <f>IFERROR(__xludf.DUMMYFUNCTION("""COMPUTED_VALUE"""),5988.645833333333)</f>
        <v>5988.645833</v>
      </c>
      <c r="J1535" s="10">
        <f>IFERROR(__xludf.DUMMYFUNCTION("""COMPUTED_VALUE"""),0.0)</f>
        <v>0</v>
      </c>
      <c r="K1535" s="5">
        <f>IFERROR(__xludf.DUMMYFUNCTION("""COMPUTED_VALUE"""),0.0)</f>
        <v>0</v>
      </c>
      <c r="L1535" s="10">
        <f>IFERROR(__xludf.DUMMYFUNCTION("""COMPUTED_VALUE"""),451.0)</f>
        <v>451</v>
      </c>
      <c r="M1535" s="5">
        <f>IFERROR(__xludf.DUMMYFUNCTION("""COMPUTED_VALUE"""),1.0)</f>
        <v>1</v>
      </c>
    </row>
    <row r="1536">
      <c r="A1536" s="10" t="str">
        <f>IFERROR(__xludf.DUMMYFUNCTION("""COMPUTED_VALUE"""),"せさみん♪")</f>
        <v>せさみん♪</v>
      </c>
      <c r="B1536" s="10">
        <f>IFERROR(__xludf.DUMMYFUNCTION("""COMPUTED_VALUE"""),1676.0)</f>
        <v>1676</v>
      </c>
      <c r="C1536" s="10">
        <f>IFERROR(__xludf.DUMMYFUNCTION("""COMPUTED_VALUE"""),19430.0)</f>
        <v>19430</v>
      </c>
      <c r="D1536" s="5">
        <f>IFERROR(__xludf.DUMMYFUNCTION("""COMPUTED_VALUE"""),0.35546919004168076)</f>
        <v>0.35546919</v>
      </c>
      <c r="E1536" s="5">
        <f>IFERROR(__xludf.DUMMYFUNCTION("""COMPUTED_VALUE"""),0.13596935901768614)</f>
        <v>0.135969359</v>
      </c>
      <c r="F1536" s="5">
        <f>IFERROR(__xludf.DUMMYFUNCTION("""COMPUTED_VALUE"""),0.2155570575644925)</f>
        <v>0.2155570576</v>
      </c>
      <c r="G1536" s="5">
        <f>IFERROR(__xludf.DUMMYFUNCTION("""COMPUTED_VALUE"""),0.18159288047763883)</f>
        <v>0.1815928805</v>
      </c>
      <c r="H1536" s="5">
        <f>IFERROR(__xludf.DUMMYFUNCTION("""COMPUTED_VALUE"""),0.5952443166971518)</f>
        <v>0.5952443167</v>
      </c>
      <c r="I1536" s="11">
        <f>IFERROR(__xludf.DUMMYFUNCTION("""COMPUTED_VALUE"""),5743.558923438725)</f>
        <v>5743.558923</v>
      </c>
      <c r="J1536" s="10">
        <f>IFERROR(__xludf.DUMMYFUNCTION("""COMPUTED_VALUE"""),1.0)</f>
        <v>1</v>
      </c>
      <c r="K1536" s="5">
        <f>IFERROR(__xludf.DUMMYFUNCTION("""COMPUTED_VALUE"""),5.966587112171838E-4)</f>
        <v>0.0005966587112</v>
      </c>
      <c r="L1536" s="10">
        <f>IFERROR(__xludf.DUMMYFUNCTION("""COMPUTED_VALUE"""),0.0)</f>
        <v>0</v>
      </c>
      <c r="M1536" s="5">
        <f>IFERROR(__xludf.DUMMYFUNCTION("""COMPUTED_VALUE"""),0.0)</f>
        <v>0</v>
      </c>
    </row>
    <row r="1537">
      <c r="A1537" s="10" t="str">
        <f>IFERROR(__xludf.DUMMYFUNCTION("""COMPUTED_VALUE"""),"卓哉")</f>
        <v>卓哉</v>
      </c>
      <c r="B1537" s="10">
        <f>IFERROR(__xludf.DUMMYFUNCTION("""COMPUTED_VALUE"""),388.0)</f>
        <v>388</v>
      </c>
      <c r="C1537" s="10">
        <f>IFERROR(__xludf.DUMMYFUNCTION("""COMPUTED_VALUE"""),4492.0)</f>
        <v>4492</v>
      </c>
      <c r="D1537" s="5">
        <f>IFERROR(__xludf.DUMMYFUNCTION("""COMPUTED_VALUE"""),0.4108187134502924)</f>
        <v>0.4108187135</v>
      </c>
      <c r="E1537" s="5">
        <f>IFERROR(__xludf.DUMMYFUNCTION("""COMPUTED_VALUE"""),0.13596491228070176)</f>
        <v>0.1359649123</v>
      </c>
      <c r="F1537" s="5">
        <f>IFERROR(__xludf.DUMMYFUNCTION("""COMPUTED_VALUE"""),0.2124756335282651)</f>
        <v>0.2124756335</v>
      </c>
      <c r="G1537" s="5">
        <f>IFERROR(__xludf.DUMMYFUNCTION("""COMPUTED_VALUE"""),0.13840155945419103)</f>
        <v>0.1384015595</v>
      </c>
      <c r="H1537" s="5">
        <f>IFERROR(__xludf.DUMMYFUNCTION("""COMPUTED_VALUE"""),0.6754587155963303)</f>
        <v>0.6754587156</v>
      </c>
      <c r="I1537" s="11">
        <f>IFERROR(__xludf.DUMMYFUNCTION("""COMPUTED_VALUE"""),5104.357798165138)</f>
        <v>5104.357798</v>
      </c>
      <c r="J1537" s="10">
        <f>IFERROR(__xludf.DUMMYFUNCTION("""COMPUTED_VALUE"""),1.0)</f>
        <v>1</v>
      </c>
      <c r="K1537" s="5">
        <f>IFERROR(__xludf.DUMMYFUNCTION("""COMPUTED_VALUE"""),0.002577319587628866)</f>
        <v>0.002577319588</v>
      </c>
      <c r="L1537" s="10">
        <f>IFERROR(__xludf.DUMMYFUNCTION("""COMPUTED_VALUE"""),388.0)</f>
        <v>388</v>
      </c>
      <c r="M1537" s="5">
        <f>IFERROR(__xludf.DUMMYFUNCTION("""COMPUTED_VALUE"""),1.0)</f>
        <v>1</v>
      </c>
    </row>
    <row r="1538">
      <c r="A1538" s="10" t="str">
        <f>IFERROR(__xludf.DUMMYFUNCTION("""COMPUTED_VALUE"""),"KSMC")</f>
        <v>KSMC</v>
      </c>
      <c r="B1538" s="10">
        <f>IFERROR(__xludf.DUMMYFUNCTION("""COMPUTED_VALUE"""),690.0)</f>
        <v>690</v>
      </c>
      <c r="C1538" s="10">
        <f>IFERROR(__xludf.DUMMYFUNCTION("""COMPUTED_VALUE"""),7994.0)</f>
        <v>7994</v>
      </c>
      <c r="D1538" s="5">
        <f>IFERROR(__xludf.DUMMYFUNCTION("""COMPUTED_VALUE"""),0.35309419496166483)</f>
        <v>0.353094195</v>
      </c>
      <c r="E1538" s="5">
        <f>IFERROR(__xludf.DUMMYFUNCTION("""COMPUTED_VALUE"""),0.13595290251916758)</f>
        <v>0.1359529025</v>
      </c>
      <c r="F1538" s="5">
        <f>IFERROR(__xludf.DUMMYFUNCTION("""COMPUTED_VALUE"""),0.21673055859802848)</f>
        <v>0.2167305586</v>
      </c>
      <c r="G1538" s="5">
        <f>IFERROR(__xludf.DUMMYFUNCTION("""COMPUTED_VALUE"""),0.17086527929901424)</f>
        <v>0.1708652793</v>
      </c>
      <c r="H1538" s="5">
        <f>IFERROR(__xludf.DUMMYFUNCTION("""COMPUTED_VALUE"""),0.6051800379027164)</f>
        <v>0.6051800379</v>
      </c>
      <c r="I1538" s="11">
        <f>IFERROR(__xludf.DUMMYFUNCTION("""COMPUTED_VALUE"""),5389.260897030954)</f>
        <v>5389.260897</v>
      </c>
      <c r="J1538" s="10">
        <f>IFERROR(__xludf.DUMMYFUNCTION("""COMPUTED_VALUE"""),2.0)</f>
        <v>2</v>
      </c>
      <c r="K1538" s="5">
        <f>IFERROR(__xludf.DUMMYFUNCTION("""COMPUTED_VALUE"""),0.002898550724637681)</f>
        <v>0.002898550725</v>
      </c>
      <c r="L1538" s="10">
        <f>IFERROR(__xludf.DUMMYFUNCTION("""COMPUTED_VALUE"""),690.0)</f>
        <v>690</v>
      </c>
      <c r="M1538" s="5">
        <f>IFERROR(__xludf.DUMMYFUNCTION("""COMPUTED_VALUE"""),1.0)</f>
        <v>1</v>
      </c>
    </row>
    <row r="1539">
      <c r="A1539" s="10" t="str">
        <f>IFERROR(__xludf.DUMMYFUNCTION("""COMPUTED_VALUE"""),"若松町の暴れ馬")</f>
        <v>若松町の暴れ馬</v>
      </c>
      <c r="B1539" s="10">
        <f>IFERROR(__xludf.DUMMYFUNCTION("""COMPUTED_VALUE"""),412.0)</f>
        <v>412</v>
      </c>
      <c r="C1539" s="10">
        <f>IFERROR(__xludf.DUMMYFUNCTION("""COMPUTED_VALUE"""),4921.0)</f>
        <v>4921</v>
      </c>
      <c r="D1539" s="5">
        <f>IFERROR(__xludf.DUMMYFUNCTION("""COMPUTED_VALUE"""),0.3748059436682191)</f>
        <v>0.3748059437</v>
      </c>
      <c r="E1539" s="5">
        <f>IFERROR(__xludf.DUMMYFUNCTION("""COMPUTED_VALUE"""),0.1359503215790641)</f>
        <v>0.1359503216</v>
      </c>
      <c r="F1539" s="5">
        <f>IFERROR(__xludf.DUMMYFUNCTION("""COMPUTED_VALUE"""),0.2162341982701264)</f>
        <v>0.2162341983</v>
      </c>
      <c r="G1539" s="5">
        <f>IFERROR(__xludf.DUMMYFUNCTION("""COMPUTED_VALUE"""),0.1780882679086272)</f>
        <v>0.1780882679</v>
      </c>
      <c r="H1539" s="5">
        <f>IFERROR(__xludf.DUMMYFUNCTION("""COMPUTED_VALUE"""),0.5835897435897436)</f>
        <v>0.5835897436</v>
      </c>
      <c r="I1539" s="11">
        <f>IFERROR(__xludf.DUMMYFUNCTION("""COMPUTED_VALUE"""),5329.641025641025)</f>
        <v>5329.641026</v>
      </c>
      <c r="J1539" s="10">
        <f>IFERROR(__xludf.DUMMYFUNCTION("""COMPUTED_VALUE"""),2.0)</f>
        <v>2</v>
      </c>
      <c r="K1539" s="5">
        <f>IFERROR(__xludf.DUMMYFUNCTION("""COMPUTED_VALUE"""),0.0048543689320388345)</f>
        <v>0.004854368932</v>
      </c>
      <c r="L1539" s="10">
        <f>IFERROR(__xludf.DUMMYFUNCTION("""COMPUTED_VALUE"""),412.0)</f>
        <v>412</v>
      </c>
      <c r="M1539" s="5">
        <f>IFERROR(__xludf.DUMMYFUNCTION("""COMPUTED_VALUE"""),1.0)</f>
        <v>1</v>
      </c>
    </row>
    <row r="1540">
      <c r="A1540" s="10" t="str">
        <f>IFERROR(__xludf.DUMMYFUNCTION("""COMPUTED_VALUE"""),"しゃるぼん")</f>
        <v>しゃるぼん</v>
      </c>
      <c r="B1540" s="10">
        <f>IFERROR(__xludf.DUMMYFUNCTION("""COMPUTED_VALUE"""),827.0)</f>
        <v>827</v>
      </c>
      <c r="C1540" s="10">
        <f>IFERROR(__xludf.DUMMYFUNCTION("""COMPUTED_VALUE"""),9588.0)</f>
        <v>9588</v>
      </c>
      <c r="D1540" s="5">
        <f>IFERROR(__xludf.DUMMYFUNCTION("""COMPUTED_VALUE"""),0.35098733021344597)</f>
        <v>0.3509873302</v>
      </c>
      <c r="E1540" s="5">
        <f>IFERROR(__xludf.DUMMYFUNCTION("""COMPUTED_VALUE"""),0.13594338545828102)</f>
        <v>0.1359433855</v>
      </c>
      <c r="F1540" s="5">
        <f>IFERROR(__xludf.DUMMYFUNCTION("""COMPUTED_VALUE"""),0.2260015979910969)</f>
        <v>0.226001598</v>
      </c>
      <c r="G1540" s="5">
        <f>IFERROR(__xludf.DUMMYFUNCTION("""COMPUTED_VALUE"""),0.16253852299965757)</f>
        <v>0.162538523</v>
      </c>
      <c r="H1540" s="5">
        <f>IFERROR(__xludf.DUMMYFUNCTION("""COMPUTED_VALUE"""),0.591919191919192)</f>
        <v>0.5919191919</v>
      </c>
      <c r="I1540" s="11">
        <f>IFERROR(__xludf.DUMMYFUNCTION("""COMPUTED_VALUE"""),5773.888888888889)</f>
        <v>5773.888889</v>
      </c>
      <c r="J1540" s="10">
        <f>IFERROR(__xludf.DUMMYFUNCTION("""COMPUTED_VALUE"""),4.0)</f>
        <v>4</v>
      </c>
      <c r="K1540" s="5">
        <f>IFERROR(__xludf.DUMMYFUNCTION("""COMPUTED_VALUE"""),0.0048367593712212815)</f>
        <v>0.004836759371</v>
      </c>
      <c r="L1540" s="10">
        <f>IFERROR(__xludf.DUMMYFUNCTION("""COMPUTED_VALUE"""),827.0)</f>
        <v>827</v>
      </c>
      <c r="M1540" s="5">
        <f>IFERROR(__xludf.DUMMYFUNCTION("""COMPUTED_VALUE"""),1.0)</f>
        <v>1</v>
      </c>
    </row>
    <row r="1541">
      <c r="A1541" s="10" t="str">
        <f>IFERROR(__xludf.DUMMYFUNCTION("""COMPUTED_VALUE"""),"kyonko11")</f>
        <v>kyonko11</v>
      </c>
      <c r="B1541" s="10">
        <f>IFERROR(__xludf.DUMMYFUNCTION("""COMPUTED_VALUE"""),982.0)</f>
        <v>982</v>
      </c>
      <c r="C1541" s="10">
        <f>IFERROR(__xludf.DUMMYFUNCTION("""COMPUTED_VALUE"""),11554.0)</f>
        <v>11554</v>
      </c>
      <c r="D1541" s="5">
        <f>IFERROR(__xludf.DUMMYFUNCTION("""COMPUTED_VALUE"""),0.3251040484298146)</f>
        <v>0.3251040484</v>
      </c>
      <c r="E1541" s="5">
        <f>IFERROR(__xludf.DUMMYFUNCTION("""COMPUTED_VALUE"""),0.13592508513053347)</f>
        <v>0.1359250851</v>
      </c>
      <c r="F1541" s="5">
        <f>IFERROR(__xludf.DUMMYFUNCTION("""COMPUTED_VALUE"""),0.21547483919788119)</f>
        <v>0.2154748392</v>
      </c>
      <c r="G1541" s="5">
        <f>IFERROR(__xludf.DUMMYFUNCTION("""COMPUTED_VALUE"""),0.1952326901248581)</f>
        <v>0.1952326901</v>
      </c>
      <c r="H1541" s="5">
        <f>IFERROR(__xludf.DUMMYFUNCTION("""COMPUTED_VALUE"""),0.6088674275680421)</f>
        <v>0.6088674276</v>
      </c>
      <c r="I1541" s="11">
        <f>IFERROR(__xludf.DUMMYFUNCTION("""COMPUTED_VALUE"""),5988.147497805092)</f>
        <v>5988.147498</v>
      </c>
      <c r="J1541" s="10">
        <f>IFERROR(__xludf.DUMMYFUNCTION("""COMPUTED_VALUE"""),5.0)</f>
        <v>5</v>
      </c>
      <c r="K1541" s="5">
        <f>IFERROR(__xludf.DUMMYFUNCTION("""COMPUTED_VALUE"""),0.0050916496945010185)</f>
        <v>0.005091649695</v>
      </c>
      <c r="L1541" s="10">
        <f>IFERROR(__xludf.DUMMYFUNCTION("""COMPUTED_VALUE"""),982.0)</f>
        <v>982</v>
      </c>
      <c r="M1541" s="5">
        <f>IFERROR(__xludf.DUMMYFUNCTION("""COMPUTED_VALUE"""),1.0)</f>
        <v>1</v>
      </c>
    </row>
    <row r="1542">
      <c r="A1542" s="10" t="str">
        <f>IFERROR(__xludf.DUMMYFUNCTION("""COMPUTED_VALUE"""),"ヒルナミン")</f>
        <v>ヒルナミン</v>
      </c>
      <c r="B1542" s="10">
        <f>IFERROR(__xludf.DUMMYFUNCTION("""COMPUTED_VALUE"""),602.0)</f>
        <v>602</v>
      </c>
      <c r="C1542" s="10">
        <f>IFERROR(__xludf.DUMMYFUNCTION("""COMPUTED_VALUE"""),7025.0)</f>
        <v>7025</v>
      </c>
      <c r="D1542" s="5">
        <f>IFERROR(__xludf.DUMMYFUNCTION("""COMPUTED_VALUE"""),0.30297368830764443)</f>
        <v>0.3029736883</v>
      </c>
      <c r="E1542" s="5">
        <f>IFERROR(__xludf.DUMMYFUNCTION("""COMPUTED_VALUE"""),0.13591779542269966)</f>
        <v>0.1359177954</v>
      </c>
      <c r="F1542" s="5">
        <f>IFERROR(__xludf.DUMMYFUNCTION("""COMPUTED_VALUE"""),0.20302039545383777)</f>
        <v>0.2030203955</v>
      </c>
      <c r="G1542" s="5">
        <f>IFERROR(__xludf.DUMMYFUNCTION("""COMPUTED_VALUE"""),0.17110384555503658)</f>
        <v>0.1711038456</v>
      </c>
      <c r="H1542" s="5">
        <f>IFERROR(__xludf.DUMMYFUNCTION("""COMPUTED_VALUE"""),0.5927914110429447)</f>
        <v>0.592791411</v>
      </c>
      <c r="I1542" s="11">
        <f>IFERROR(__xludf.DUMMYFUNCTION("""COMPUTED_VALUE"""),6306.441717791411)</f>
        <v>6306.441718</v>
      </c>
      <c r="J1542" s="10">
        <f>IFERROR(__xludf.DUMMYFUNCTION("""COMPUTED_VALUE"""),3.0)</f>
        <v>3</v>
      </c>
      <c r="K1542" s="5">
        <f>IFERROR(__xludf.DUMMYFUNCTION("""COMPUTED_VALUE"""),0.0049833887043189366)</f>
        <v>0.004983388704</v>
      </c>
      <c r="L1542" s="10">
        <f>IFERROR(__xludf.DUMMYFUNCTION("""COMPUTED_VALUE"""),0.0)</f>
        <v>0</v>
      </c>
      <c r="M1542" s="5">
        <f>IFERROR(__xludf.DUMMYFUNCTION("""COMPUTED_VALUE"""),0.0)</f>
        <v>0</v>
      </c>
    </row>
    <row r="1543">
      <c r="A1543" s="10" t="str">
        <f>IFERROR(__xludf.DUMMYFUNCTION("""COMPUTED_VALUE"""),"はじめっち")</f>
        <v>はじめっち</v>
      </c>
      <c r="B1543" s="10">
        <f>IFERROR(__xludf.DUMMYFUNCTION("""COMPUTED_VALUE"""),1227.0)</f>
        <v>1227</v>
      </c>
      <c r="C1543" s="10">
        <f>IFERROR(__xludf.DUMMYFUNCTION("""COMPUTED_VALUE"""),14464.0)</f>
        <v>14464</v>
      </c>
      <c r="D1543" s="5">
        <f>IFERROR(__xludf.DUMMYFUNCTION("""COMPUTED_VALUE"""),0.33209941829719725)</f>
        <v>0.3320994183</v>
      </c>
      <c r="E1543" s="5">
        <f>IFERROR(__xludf.DUMMYFUNCTION("""COMPUTED_VALUE"""),0.13590692755156003)</f>
        <v>0.1359069276</v>
      </c>
      <c r="F1543" s="5">
        <f>IFERROR(__xludf.DUMMYFUNCTION("""COMPUTED_VALUE"""),0.20827982171186823)</f>
        <v>0.2082798217</v>
      </c>
      <c r="G1543" s="5">
        <f>IFERROR(__xludf.DUMMYFUNCTION("""COMPUTED_VALUE"""),0.1799501397597643)</f>
        <v>0.1799501398</v>
      </c>
      <c r="H1543" s="5">
        <f>IFERROR(__xludf.DUMMYFUNCTION("""COMPUTED_VALUE"""),0.5752629669931084)</f>
        <v>0.575262967</v>
      </c>
      <c r="I1543" s="11">
        <f>IFERROR(__xludf.DUMMYFUNCTION("""COMPUTED_VALUE"""),5723.721436343852)</f>
        <v>5723.721436</v>
      </c>
      <c r="J1543" s="10">
        <f>IFERROR(__xludf.DUMMYFUNCTION("""COMPUTED_VALUE"""),4.0)</f>
        <v>4</v>
      </c>
      <c r="K1543" s="5">
        <f>IFERROR(__xludf.DUMMYFUNCTION("""COMPUTED_VALUE"""),0.0032599837000814994)</f>
        <v>0.0032599837</v>
      </c>
      <c r="L1543" s="10">
        <f>IFERROR(__xludf.DUMMYFUNCTION("""COMPUTED_VALUE"""),0.0)</f>
        <v>0</v>
      </c>
      <c r="M1543" s="5">
        <f>IFERROR(__xludf.DUMMYFUNCTION("""COMPUTED_VALUE"""),0.0)</f>
        <v>0</v>
      </c>
    </row>
    <row r="1544">
      <c r="A1544" s="10" t="str">
        <f>IFERROR(__xludf.DUMMYFUNCTION("""COMPUTED_VALUE"""),"がんりき")</f>
        <v>がんりき</v>
      </c>
      <c r="B1544" s="10">
        <f>IFERROR(__xludf.DUMMYFUNCTION("""COMPUTED_VALUE"""),236.0)</f>
        <v>236</v>
      </c>
      <c r="C1544" s="10">
        <f>IFERROR(__xludf.DUMMYFUNCTION("""COMPUTED_VALUE"""),2753.0)</f>
        <v>2753</v>
      </c>
      <c r="D1544" s="5">
        <f>IFERROR(__xludf.DUMMYFUNCTION("""COMPUTED_VALUE"""),0.40564163686928884)</f>
        <v>0.4056416369</v>
      </c>
      <c r="E1544" s="5">
        <f>IFERROR(__xludf.DUMMYFUNCTION("""COMPUTED_VALUE"""),0.13587604290822408)</f>
        <v>0.1358760429</v>
      </c>
      <c r="F1544" s="5">
        <f>IFERROR(__xludf.DUMMYFUNCTION("""COMPUTED_VALUE"""),0.21573301549463647)</f>
        <v>0.2157330155</v>
      </c>
      <c r="G1544" s="5">
        <f>IFERROR(__xludf.DUMMYFUNCTION("""COMPUTED_VALUE"""),0.14382201032975764)</f>
        <v>0.1438220103</v>
      </c>
      <c r="H1544" s="5">
        <f>IFERROR(__xludf.DUMMYFUNCTION("""COMPUTED_VALUE"""),0.6372007366482505)</f>
        <v>0.6372007366</v>
      </c>
      <c r="I1544" s="11">
        <f>IFERROR(__xludf.DUMMYFUNCTION("""COMPUTED_VALUE"""),5478.821362799264)</f>
        <v>5478.821363</v>
      </c>
      <c r="J1544" s="10">
        <f>IFERROR(__xludf.DUMMYFUNCTION("""COMPUTED_VALUE"""),0.0)</f>
        <v>0</v>
      </c>
      <c r="K1544" s="5">
        <f>IFERROR(__xludf.DUMMYFUNCTION("""COMPUTED_VALUE"""),0.0)</f>
        <v>0</v>
      </c>
      <c r="L1544" s="10">
        <f>IFERROR(__xludf.DUMMYFUNCTION("""COMPUTED_VALUE"""),236.0)</f>
        <v>236</v>
      </c>
      <c r="M1544" s="5">
        <f>IFERROR(__xludf.DUMMYFUNCTION("""COMPUTED_VALUE"""),1.0)</f>
        <v>1</v>
      </c>
    </row>
    <row r="1545">
      <c r="A1545" s="10" t="str">
        <f>IFERROR(__xludf.DUMMYFUNCTION("""COMPUTED_VALUE"""),"きつーね")</f>
        <v>きつーね</v>
      </c>
      <c r="B1545" s="10">
        <f>IFERROR(__xludf.DUMMYFUNCTION("""COMPUTED_VALUE"""),786.0)</f>
        <v>786</v>
      </c>
      <c r="C1545" s="10">
        <f>IFERROR(__xludf.DUMMYFUNCTION("""COMPUTED_VALUE"""),9029.0)</f>
        <v>9029</v>
      </c>
      <c r="D1545" s="5">
        <f>IFERROR(__xludf.DUMMYFUNCTION("""COMPUTED_VALUE"""),0.37668324639087714)</f>
        <v>0.3766832464</v>
      </c>
      <c r="E1545" s="5">
        <f>IFERROR(__xludf.DUMMYFUNCTION("""COMPUTED_VALUE"""),0.13587286182215214)</f>
        <v>0.1358728618</v>
      </c>
      <c r="F1545" s="5">
        <f>IFERROR(__xludf.DUMMYFUNCTION("""COMPUTED_VALUE"""),0.2166686885842533)</f>
        <v>0.2166686886</v>
      </c>
      <c r="G1545" s="5">
        <f>IFERROR(__xludf.DUMMYFUNCTION("""COMPUTED_VALUE"""),0.16450321484896277)</f>
        <v>0.1645032148</v>
      </c>
      <c r="H1545" s="5">
        <f>IFERROR(__xludf.DUMMYFUNCTION("""COMPUTED_VALUE"""),0.5862262038073908)</f>
        <v>0.5862262038</v>
      </c>
      <c r="I1545" s="11">
        <f>IFERROR(__xludf.DUMMYFUNCTION("""COMPUTED_VALUE"""),5423.068309070549)</f>
        <v>5423.068309</v>
      </c>
      <c r="J1545" s="10">
        <f>IFERROR(__xludf.DUMMYFUNCTION("""COMPUTED_VALUE"""),0.0)</f>
        <v>0</v>
      </c>
      <c r="K1545" s="5">
        <f>IFERROR(__xludf.DUMMYFUNCTION("""COMPUTED_VALUE"""),0.0)</f>
        <v>0</v>
      </c>
      <c r="L1545" s="10">
        <f>IFERROR(__xludf.DUMMYFUNCTION("""COMPUTED_VALUE"""),786.0)</f>
        <v>786</v>
      </c>
      <c r="M1545" s="5">
        <f>IFERROR(__xludf.DUMMYFUNCTION("""COMPUTED_VALUE"""),1.0)</f>
        <v>1</v>
      </c>
    </row>
    <row r="1546">
      <c r="A1546" s="10" t="str">
        <f>IFERROR(__xludf.DUMMYFUNCTION("""COMPUTED_VALUE"""),"MUKABUKI")</f>
        <v>MUKABUKI</v>
      </c>
      <c r="B1546" s="10">
        <f>IFERROR(__xludf.DUMMYFUNCTION("""COMPUTED_VALUE"""),125.0)</f>
        <v>125</v>
      </c>
      <c r="C1546" s="10">
        <f>IFERROR(__xludf.DUMMYFUNCTION("""COMPUTED_VALUE"""),1472.0)</f>
        <v>1472</v>
      </c>
      <c r="D1546" s="5">
        <f>IFERROR(__xludf.DUMMYFUNCTION("""COMPUTED_VALUE"""),0.38084632516703787)</f>
        <v>0.3808463252</v>
      </c>
      <c r="E1546" s="5">
        <f>IFERROR(__xludf.DUMMYFUNCTION("""COMPUTED_VALUE"""),0.1358574610244989)</f>
        <v>0.135857461</v>
      </c>
      <c r="F1546" s="5">
        <f>IFERROR(__xludf.DUMMYFUNCTION("""COMPUTED_VALUE"""),0.20786933927245732)</f>
        <v>0.2078693393</v>
      </c>
      <c r="G1546" s="5">
        <f>IFERROR(__xludf.DUMMYFUNCTION("""COMPUTED_VALUE"""),0.155902004454343)</f>
        <v>0.1559020045</v>
      </c>
      <c r="H1546" s="5">
        <f>IFERROR(__xludf.DUMMYFUNCTION("""COMPUTED_VALUE"""),0.575)</f>
        <v>0.575</v>
      </c>
      <c r="I1546" s="11">
        <f>IFERROR(__xludf.DUMMYFUNCTION("""COMPUTED_VALUE"""),5628.571428571428)</f>
        <v>5628.571429</v>
      </c>
      <c r="J1546" s="10">
        <f>IFERROR(__xludf.DUMMYFUNCTION("""COMPUTED_VALUE"""),0.0)</f>
        <v>0</v>
      </c>
      <c r="K1546" s="5">
        <f>IFERROR(__xludf.DUMMYFUNCTION("""COMPUTED_VALUE"""),0.0)</f>
        <v>0</v>
      </c>
      <c r="L1546" s="10">
        <f>IFERROR(__xludf.DUMMYFUNCTION("""COMPUTED_VALUE"""),125.0)</f>
        <v>125</v>
      </c>
      <c r="M1546" s="5">
        <f>IFERROR(__xludf.DUMMYFUNCTION("""COMPUTED_VALUE"""),1.0)</f>
        <v>1</v>
      </c>
    </row>
    <row r="1547">
      <c r="A1547" s="10" t="str">
        <f>IFERROR(__xludf.DUMMYFUNCTION("""COMPUTED_VALUE"""),"オキヒカル")</f>
        <v>オキヒカル</v>
      </c>
      <c r="B1547" s="10">
        <f>IFERROR(__xludf.DUMMYFUNCTION("""COMPUTED_VALUE"""),301.0)</f>
        <v>301</v>
      </c>
      <c r="C1547" s="10">
        <f>IFERROR(__xludf.DUMMYFUNCTION("""COMPUTED_VALUE"""),3584.0)</f>
        <v>3584</v>
      </c>
      <c r="D1547" s="5">
        <f>IFERROR(__xludf.DUMMYFUNCTION("""COMPUTED_VALUE"""),0.2890648796832166)</f>
        <v>0.2890648797</v>
      </c>
      <c r="E1547" s="5">
        <f>IFERROR(__xludf.DUMMYFUNCTION("""COMPUTED_VALUE"""),0.13585135546756016)</f>
        <v>0.1358513555</v>
      </c>
      <c r="F1547" s="5">
        <f>IFERROR(__xludf.DUMMYFUNCTION("""COMPUTED_VALUE"""),0.1955528480048736)</f>
        <v>0.195552848</v>
      </c>
      <c r="G1547" s="5">
        <f>IFERROR(__xludf.DUMMYFUNCTION("""COMPUTED_VALUE"""),0.18306427048431312)</f>
        <v>0.1830642705</v>
      </c>
      <c r="H1547" s="5">
        <f>IFERROR(__xludf.DUMMYFUNCTION("""COMPUTED_VALUE"""),0.5763239875389408)</f>
        <v>0.5763239875</v>
      </c>
      <c r="I1547" s="11">
        <f>IFERROR(__xludf.DUMMYFUNCTION("""COMPUTED_VALUE"""),5553.271028037383)</f>
        <v>5553.271028</v>
      </c>
      <c r="J1547" s="10">
        <f>IFERROR(__xludf.DUMMYFUNCTION("""COMPUTED_VALUE"""),0.0)</f>
        <v>0</v>
      </c>
      <c r="K1547" s="5">
        <f>IFERROR(__xludf.DUMMYFUNCTION("""COMPUTED_VALUE"""),0.0)</f>
        <v>0</v>
      </c>
      <c r="L1547" s="10">
        <f>IFERROR(__xludf.DUMMYFUNCTION("""COMPUTED_VALUE"""),0.0)</f>
        <v>0</v>
      </c>
      <c r="M1547" s="5">
        <f>IFERROR(__xludf.DUMMYFUNCTION("""COMPUTED_VALUE"""),0.0)</f>
        <v>0</v>
      </c>
    </row>
    <row r="1548">
      <c r="A1548" s="10" t="str">
        <f>IFERROR(__xludf.DUMMYFUNCTION("""COMPUTED_VALUE"""),"オス♂班長")</f>
        <v>オス♂班長</v>
      </c>
      <c r="B1548" s="10">
        <f>IFERROR(__xludf.DUMMYFUNCTION("""COMPUTED_VALUE"""),459.0)</f>
        <v>459</v>
      </c>
      <c r="C1548" s="10">
        <f>IFERROR(__xludf.DUMMYFUNCTION("""COMPUTED_VALUE"""),5310.0)</f>
        <v>5310</v>
      </c>
      <c r="D1548" s="5">
        <f>IFERROR(__xludf.DUMMYFUNCTION("""COMPUTED_VALUE"""),0.33127190270047413)</f>
        <v>0.3312719027</v>
      </c>
      <c r="E1548" s="5">
        <f>IFERROR(__xludf.DUMMYFUNCTION("""COMPUTED_VALUE"""),0.13584827870542157)</f>
        <v>0.1358482787</v>
      </c>
      <c r="F1548" s="5">
        <f>IFERROR(__xludf.DUMMYFUNCTION("""COMPUTED_VALUE"""),0.21583178726035868)</f>
        <v>0.2158317873</v>
      </c>
      <c r="G1548" s="5">
        <f>IFERROR(__xludf.DUMMYFUNCTION("""COMPUTED_VALUE"""),0.209853638425067)</f>
        <v>0.2098536384</v>
      </c>
      <c r="H1548" s="5">
        <f>IFERROR(__xludf.DUMMYFUNCTION("""COMPUTED_VALUE"""),0.5883476599808978)</f>
        <v>0.58834766</v>
      </c>
      <c r="I1548" s="11">
        <f>IFERROR(__xludf.DUMMYFUNCTION("""COMPUTED_VALUE"""),5963.514804202483)</f>
        <v>5963.514804</v>
      </c>
      <c r="J1548" s="10">
        <f>IFERROR(__xludf.DUMMYFUNCTION("""COMPUTED_VALUE"""),2.0)</f>
        <v>2</v>
      </c>
      <c r="K1548" s="5">
        <f>IFERROR(__xludf.DUMMYFUNCTION("""COMPUTED_VALUE"""),0.004357298474945534)</f>
        <v>0.004357298475</v>
      </c>
      <c r="L1548" s="10">
        <f>IFERROR(__xludf.DUMMYFUNCTION("""COMPUTED_VALUE"""),459.0)</f>
        <v>459</v>
      </c>
      <c r="M1548" s="5">
        <f>IFERROR(__xludf.DUMMYFUNCTION("""COMPUTED_VALUE"""),1.0)</f>
        <v>1</v>
      </c>
    </row>
    <row r="1549">
      <c r="A1549" s="10" t="str">
        <f>IFERROR(__xludf.DUMMYFUNCTION("""COMPUTED_VALUE"""),"ネヲげろっピ")</f>
        <v>ネヲげろっピ</v>
      </c>
      <c r="B1549" s="10">
        <f>IFERROR(__xludf.DUMMYFUNCTION("""COMPUTED_VALUE"""),308.0)</f>
        <v>308</v>
      </c>
      <c r="C1549" s="10">
        <f>IFERROR(__xludf.DUMMYFUNCTION("""COMPUTED_VALUE"""),3628.0)</f>
        <v>3628</v>
      </c>
      <c r="D1549" s="5">
        <f>IFERROR(__xludf.DUMMYFUNCTION("""COMPUTED_VALUE"""),0.3430722891566265)</f>
        <v>0.3430722892</v>
      </c>
      <c r="E1549" s="5">
        <f>IFERROR(__xludf.DUMMYFUNCTION("""COMPUTED_VALUE"""),0.1358433734939759)</f>
        <v>0.1358433735</v>
      </c>
      <c r="F1549" s="5">
        <f>IFERROR(__xludf.DUMMYFUNCTION("""COMPUTED_VALUE"""),0.20180722891566266)</f>
        <v>0.2018072289</v>
      </c>
      <c r="G1549" s="5">
        <f>IFERROR(__xludf.DUMMYFUNCTION("""COMPUTED_VALUE"""),0.19487951807228915)</f>
        <v>0.1948795181</v>
      </c>
      <c r="H1549" s="5">
        <f>IFERROR(__xludf.DUMMYFUNCTION("""COMPUTED_VALUE"""),0.5761194029850746)</f>
        <v>0.576119403</v>
      </c>
      <c r="I1549" s="11">
        <f>IFERROR(__xludf.DUMMYFUNCTION("""COMPUTED_VALUE"""),5393.432835820896)</f>
        <v>5393.432836</v>
      </c>
      <c r="J1549" s="10">
        <f>IFERROR(__xludf.DUMMYFUNCTION("""COMPUTED_VALUE"""),0.0)</f>
        <v>0</v>
      </c>
      <c r="K1549" s="5">
        <f>IFERROR(__xludf.DUMMYFUNCTION("""COMPUTED_VALUE"""),0.0)</f>
        <v>0</v>
      </c>
      <c r="L1549" s="10">
        <f>IFERROR(__xludf.DUMMYFUNCTION("""COMPUTED_VALUE"""),303.0)</f>
        <v>303</v>
      </c>
      <c r="M1549" s="5">
        <f>IFERROR(__xludf.DUMMYFUNCTION("""COMPUTED_VALUE"""),0.9837662337662337)</f>
        <v>0.9837662338</v>
      </c>
    </row>
    <row r="1550">
      <c r="A1550" s="10" t="str">
        <f>IFERROR(__xludf.DUMMYFUNCTION("""COMPUTED_VALUE"""),"つよがり")</f>
        <v>つよがり</v>
      </c>
      <c r="B1550" s="10">
        <f>IFERROR(__xludf.DUMMYFUNCTION("""COMPUTED_VALUE"""),492.0)</f>
        <v>492</v>
      </c>
      <c r="C1550" s="10">
        <f>IFERROR(__xludf.DUMMYFUNCTION("""COMPUTED_VALUE"""),5785.0)</f>
        <v>5785</v>
      </c>
      <c r="D1550" s="5">
        <f>IFERROR(__xludf.DUMMYFUNCTION("""COMPUTED_VALUE"""),0.3328924995276781)</f>
        <v>0.3328924995</v>
      </c>
      <c r="E1550" s="5">
        <f>IFERROR(__xludf.DUMMYFUNCTION("""COMPUTED_VALUE"""),0.1358397883997733)</f>
        <v>0.1358397884</v>
      </c>
      <c r="F1550" s="5">
        <f>IFERROR(__xludf.DUMMYFUNCTION("""COMPUTED_VALUE"""),0.2102777252975628)</f>
        <v>0.2102777253</v>
      </c>
      <c r="G1550" s="5">
        <f>IFERROR(__xludf.DUMMYFUNCTION("""COMPUTED_VALUE"""),0.18156055167201965)</f>
        <v>0.1815605517</v>
      </c>
      <c r="H1550" s="5">
        <f>IFERROR(__xludf.DUMMYFUNCTION("""COMPUTED_VALUE"""),0.6037735849056604)</f>
        <v>0.6037735849</v>
      </c>
      <c r="I1550" s="11">
        <f>IFERROR(__xludf.DUMMYFUNCTION("""COMPUTED_VALUE"""),5836.747529200359)</f>
        <v>5836.747529</v>
      </c>
      <c r="J1550" s="10">
        <f>IFERROR(__xludf.DUMMYFUNCTION("""COMPUTED_VALUE"""),1.0)</f>
        <v>1</v>
      </c>
      <c r="K1550" s="5">
        <f>IFERROR(__xludf.DUMMYFUNCTION("""COMPUTED_VALUE"""),0.0020325203252032522)</f>
        <v>0.002032520325</v>
      </c>
      <c r="L1550" s="10">
        <f>IFERROR(__xludf.DUMMYFUNCTION("""COMPUTED_VALUE"""),492.0)</f>
        <v>492</v>
      </c>
      <c r="M1550" s="5">
        <f>IFERROR(__xludf.DUMMYFUNCTION("""COMPUTED_VALUE"""),1.0)</f>
        <v>1</v>
      </c>
    </row>
    <row r="1551">
      <c r="A1551" s="10" t="str">
        <f>IFERROR(__xludf.DUMMYFUNCTION("""COMPUTED_VALUE"""),"チャイジ")</f>
        <v>チャイジ</v>
      </c>
      <c r="B1551" s="10">
        <f>IFERROR(__xludf.DUMMYFUNCTION("""COMPUTED_VALUE"""),265.0)</f>
        <v>265</v>
      </c>
      <c r="C1551" s="10">
        <f>IFERROR(__xludf.DUMMYFUNCTION("""COMPUTED_VALUE"""),3173.0)</f>
        <v>3173</v>
      </c>
      <c r="D1551" s="5">
        <f>IFERROR(__xludf.DUMMYFUNCTION("""COMPUTED_VALUE"""),0.34559834938101786)</f>
        <v>0.3455983494</v>
      </c>
      <c r="E1551" s="5">
        <f>IFERROR(__xludf.DUMMYFUNCTION("""COMPUTED_VALUE"""),0.1358321870701513)</f>
        <v>0.1358321871</v>
      </c>
      <c r="F1551" s="5">
        <f>IFERROR(__xludf.DUMMYFUNCTION("""COMPUTED_VALUE"""),0.20907840440165062)</f>
        <v>0.2090784044</v>
      </c>
      <c r="G1551" s="5">
        <f>IFERROR(__xludf.DUMMYFUNCTION("""COMPUTED_VALUE"""),0.15096286107290233)</f>
        <v>0.1509628611</v>
      </c>
      <c r="H1551" s="5">
        <f>IFERROR(__xludf.DUMMYFUNCTION("""COMPUTED_VALUE"""),0.5888157894736842)</f>
        <v>0.5888157895</v>
      </c>
      <c r="I1551" s="11">
        <f>IFERROR(__xludf.DUMMYFUNCTION("""COMPUTED_VALUE"""),5657.565789473684)</f>
        <v>5657.565789</v>
      </c>
      <c r="J1551" s="10">
        <f>IFERROR(__xludf.DUMMYFUNCTION("""COMPUTED_VALUE"""),0.0)</f>
        <v>0</v>
      </c>
      <c r="K1551" s="5">
        <f>IFERROR(__xludf.DUMMYFUNCTION("""COMPUTED_VALUE"""),0.0)</f>
        <v>0</v>
      </c>
      <c r="L1551" s="10">
        <f>IFERROR(__xludf.DUMMYFUNCTION("""COMPUTED_VALUE"""),244.0)</f>
        <v>244</v>
      </c>
      <c r="M1551" s="5">
        <f>IFERROR(__xludf.DUMMYFUNCTION("""COMPUTED_VALUE"""),0.9207547169811321)</f>
        <v>0.920754717</v>
      </c>
    </row>
    <row r="1552">
      <c r="A1552" s="10" t="str">
        <f>IFERROR(__xludf.DUMMYFUNCTION("""COMPUTED_VALUE"""),"HEAD")</f>
        <v>HEAD</v>
      </c>
      <c r="B1552" s="10">
        <f>IFERROR(__xludf.DUMMYFUNCTION("""COMPUTED_VALUE"""),827.0)</f>
        <v>827</v>
      </c>
      <c r="C1552" s="10">
        <f>IFERROR(__xludf.DUMMYFUNCTION("""COMPUTED_VALUE"""),9691.0)</f>
        <v>9691</v>
      </c>
      <c r="D1552" s="5">
        <f>IFERROR(__xludf.DUMMYFUNCTION("""COMPUTED_VALUE"""),0.304264440433213)</f>
        <v>0.3042644404</v>
      </c>
      <c r="E1552" s="5">
        <f>IFERROR(__xludf.DUMMYFUNCTION("""COMPUTED_VALUE"""),0.13583032490974728)</f>
        <v>0.1358303249</v>
      </c>
      <c r="F1552" s="5">
        <f>IFERROR(__xludf.DUMMYFUNCTION("""COMPUTED_VALUE"""),0.20171480144404333)</f>
        <v>0.2017148014</v>
      </c>
      <c r="G1552" s="5">
        <f>IFERROR(__xludf.DUMMYFUNCTION("""COMPUTED_VALUE"""),0.16403429602888087)</f>
        <v>0.164034296</v>
      </c>
      <c r="H1552" s="5">
        <f>IFERROR(__xludf.DUMMYFUNCTION("""COMPUTED_VALUE"""),0.604586129753915)</f>
        <v>0.6045861298</v>
      </c>
      <c r="I1552" s="11">
        <f>IFERROR(__xludf.DUMMYFUNCTION("""COMPUTED_VALUE"""),5887.248322147651)</f>
        <v>5887.248322</v>
      </c>
      <c r="J1552" s="10">
        <f>IFERROR(__xludf.DUMMYFUNCTION("""COMPUTED_VALUE"""),1.0)</f>
        <v>1</v>
      </c>
      <c r="K1552" s="5">
        <f>IFERROR(__xludf.DUMMYFUNCTION("""COMPUTED_VALUE"""),0.0012091898428053204)</f>
        <v>0.001209189843</v>
      </c>
      <c r="L1552" s="10">
        <f>IFERROR(__xludf.DUMMYFUNCTION("""COMPUTED_VALUE"""),827.0)</f>
        <v>827</v>
      </c>
      <c r="M1552" s="5">
        <f>IFERROR(__xludf.DUMMYFUNCTION("""COMPUTED_VALUE"""),1.0)</f>
        <v>1</v>
      </c>
    </row>
    <row r="1553">
      <c r="A1553" s="10" t="str">
        <f>IFERROR(__xludf.DUMMYFUNCTION("""COMPUTED_VALUE"""),"yyooss")</f>
        <v>yyooss</v>
      </c>
      <c r="B1553" s="10">
        <f>IFERROR(__xludf.DUMMYFUNCTION("""COMPUTED_VALUE"""),2373.0)</f>
        <v>2373</v>
      </c>
      <c r="C1553" s="10">
        <f>IFERROR(__xludf.DUMMYFUNCTION("""COMPUTED_VALUE"""),27671.0)</f>
        <v>27671</v>
      </c>
      <c r="D1553" s="5">
        <f>IFERROR(__xludf.DUMMYFUNCTION("""COMPUTED_VALUE"""),0.27029804727646456)</f>
        <v>0.2702980473</v>
      </c>
      <c r="E1553" s="5">
        <f>IFERROR(__xludf.DUMMYFUNCTION("""COMPUTED_VALUE"""),0.13582101351885525)</f>
        <v>0.1358210135</v>
      </c>
      <c r="F1553" s="5">
        <f>IFERROR(__xludf.DUMMYFUNCTION("""COMPUTED_VALUE"""),0.19914617756344374)</f>
        <v>0.1991461776</v>
      </c>
      <c r="G1553" s="5">
        <f>IFERROR(__xludf.DUMMYFUNCTION("""COMPUTED_VALUE"""),0.19728832318760375)</f>
        <v>0.1972883232</v>
      </c>
      <c r="H1553" s="5">
        <f>IFERROR(__xludf.DUMMYFUNCTION("""COMPUTED_VALUE"""),0.5986502580389044)</f>
        <v>0.598650258</v>
      </c>
      <c r="I1553" s="11">
        <f>IFERROR(__xludf.DUMMYFUNCTION("""COMPUTED_VALUE"""),6119.829297340214)</f>
        <v>6119.829297</v>
      </c>
      <c r="J1553" s="10">
        <f>IFERROR(__xludf.DUMMYFUNCTION("""COMPUTED_VALUE"""),2.0)</f>
        <v>2</v>
      </c>
      <c r="K1553" s="5">
        <f>IFERROR(__xludf.DUMMYFUNCTION("""COMPUTED_VALUE"""),8.428150021070375E-4)</f>
        <v>0.0008428150021</v>
      </c>
      <c r="L1553" s="10">
        <f>IFERROR(__xludf.DUMMYFUNCTION("""COMPUTED_VALUE"""),2373.0)</f>
        <v>2373</v>
      </c>
      <c r="M1553" s="5">
        <f>IFERROR(__xludf.DUMMYFUNCTION("""COMPUTED_VALUE"""),1.0)</f>
        <v>1</v>
      </c>
    </row>
    <row r="1554">
      <c r="A1554" s="10" t="str">
        <f>IFERROR(__xludf.DUMMYFUNCTION("""COMPUTED_VALUE"""),"いちのせほなみ")</f>
        <v>いちのせほなみ</v>
      </c>
      <c r="B1554" s="10">
        <f>IFERROR(__xludf.DUMMYFUNCTION("""COMPUTED_VALUE"""),154.0)</f>
        <v>154</v>
      </c>
      <c r="C1554" s="10">
        <f>IFERROR(__xludf.DUMMYFUNCTION("""COMPUTED_VALUE"""),1818.0)</f>
        <v>1818</v>
      </c>
      <c r="D1554" s="5">
        <f>IFERROR(__xludf.DUMMYFUNCTION("""COMPUTED_VALUE"""),0.35757211538461536)</f>
        <v>0.3575721154</v>
      </c>
      <c r="E1554" s="5">
        <f>IFERROR(__xludf.DUMMYFUNCTION("""COMPUTED_VALUE"""),0.13581730769230768)</f>
        <v>0.1358173077</v>
      </c>
      <c r="F1554" s="5">
        <f>IFERROR(__xludf.DUMMYFUNCTION("""COMPUTED_VALUE"""),0.22415865384615385)</f>
        <v>0.2241586538</v>
      </c>
      <c r="G1554" s="5">
        <f>IFERROR(__xludf.DUMMYFUNCTION("""COMPUTED_VALUE"""),0.17908653846153846)</f>
        <v>0.1790865385</v>
      </c>
      <c r="H1554" s="5">
        <f>IFERROR(__xludf.DUMMYFUNCTION("""COMPUTED_VALUE"""),0.5603217158176944)</f>
        <v>0.5603217158</v>
      </c>
      <c r="I1554" s="11">
        <f>IFERROR(__xludf.DUMMYFUNCTION("""COMPUTED_VALUE"""),5371.581769436997)</f>
        <v>5371.581769</v>
      </c>
      <c r="J1554" s="10">
        <f>IFERROR(__xludf.DUMMYFUNCTION("""COMPUTED_VALUE"""),0.0)</f>
        <v>0</v>
      </c>
      <c r="K1554" s="5">
        <f>IFERROR(__xludf.DUMMYFUNCTION("""COMPUTED_VALUE"""),0.0)</f>
        <v>0</v>
      </c>
      <c r="L1554" s="10">
        <f>IFERROR(__xludf.DUMMYFUNCTION("""COMPUTED_VALUE"""),154.0)</f>
        <v>154</v>
      </c>
      <c r="M1554" s="5">
        <f>IFERROR(__xludf.DUMMYFUNCTION("""COMPUTED_VALUE"""),1.0)</f>
        <v>1</v>
      </c>
    </row>
    <row r="1555">
      <c r="A1555" s="10" t="str">
        <f>IFERROR(__xludf.DUMMYFUNCTION("""COMPUTED_VALUE"""),"ねりゴマ")</f>
        <v>ねりゴマ</v>
      </c>
      <c r="B1555" s="10">
        <f>IFERROR(__xludf.DUMMYFUNCTION("""COMPUTED_VALUE"""),2590.0)</f>
        <v>2590</v>
      </c>
      <c r="C1555" s="10">
        <f>IFERROR(__xludf.DUMMYFUNCTION("""COMPUTED_VALUE"""),30512.0)</f>
        <v>30512</v>
      </c>
      <c r="D1555" s="5">
        <f>IFERROR(__xludf.DUMMYFUNCTION("""COMPUTED_VALUE"""),0.3934173769787265)</f>
        <v>0.393417377</v>
      </c>
      <c r="E1555" s="5">
        <f>IFERROR(__xludf.DUMMYFUNCTION("""COMPUTED_VALUE"""),0.13580689062388082)</f>
        <v>0.1358068906</v>
      </c>
      <c r="F1555" s="5">
        <f>IFERROR(__xludf.DUMMYFUNCTION("""COMPUTED_VALUE"""),0.20747081154645083)</f>
        <v>0.2074708115</v>
      </c>
      <c r="G1555" s="5">
        <f>IFERROR(__xludf.DUMMYFUNCTION("""COMPUTED_VALUE"""),0.1415729532268462)</f>
        <v>0.1415729532</v>
      </c>
      <c r="H1555" s="5">
        <f>IFERROR(__xludf.DUMMYFUNCTION("""COMPUTED_VALUE"""),0.6078025202831003)</f>
        <v>0.6078025203</v>
      </c>
      <c r="I1555" s="11">
        <f>IFERROR(__xludf.DUMMYFUNCTION("""COMPUTED_VALUE"""),5474.29656481961)</f>
        <v>5474.296565</v>
      </c>
      <c r="J1555" s="10">
        <f>IFERROR(__xludf.DUMMYFUNCTION("""COMPUTED_VALUE"""),6.0)</f>
        <v>6</v>
      </c>
      <c r="K1555" s="5">
        <f>IFERROR(__xludf.DUMMYFUNCTION("""COMPUTED_VALUE"""),0.0023166023166023165)</f>
        <v>0.002316602317</v>
      </c>
      <c r="L1555" s="10">
        <f>IFERROR(__xludf.DUMMYFUNCTION("""COMPUTED_VALUE"""),2590.0)</f>
        <v>2590</v>
      </c>
      <c r="M1555" s="5">
        <f>IFERROR(__xludf.DUMMYFUNCTION("""COMPUTED_VALUE"""),1.0)</f>
        <v>1</v>
      </c>
    </row>
    <row r="1556">
      <c r="A1556" s="10" t="str">
        <f>IFERROR(__xludf.DUMMYFUNCTION("""COMPUTED_VALUE"""),"jik5351k")</f>
        <v>jik5351k</v>
      </c>
      <c r="B1556" s="10">
        <f>IFERROR(__xludf.DUMMYFUNCTION("""COMPUTED_VALUE"""),632.0)</f>
        <v>632</v>
      </c>
      <c r="C1556" s="10">
        <f>IFERROR(__xludf.DUMMYFUNCTION("""COMPUTED_VALUE"""),7237.0)</f>
        <v>7237</v>
      </c>
      <c r="D1556" s="5">
        <f>IFERROR(__xludf.DUMMYFUNCTION("""COMPUTED_VALUE"""),0.36654049962149887)</f>
        <v>0.3665404996</v>
      </c>
      <c r="E1556" s="5">
        <f>IFERROR(__xludf.DUMMYFUNCTION("""COMPUTED_VALUE"""),0.13580620741862226)</f>
        <v>0.1358062074</v>
      </c>
      <c r="F1556" s="5">
        <f>IFERROR(__xludf.DUMMYFUNCTION("""COMPUTED_VALUE"""),0.21180923542770627)</f>
        <v>0.2118092354</v>
      </c>
      <c r="G1556" s="5">
        <f>IFERROR(__xludf.DUMMYFUNCTION("""COMPUTED_VALUE"""),0.17017411052233156)</f>
        <v>0.1701741105</v>
      </c>
      <c r="H1556" s="5">
        <f>IFERROR(__xludf.DUMMYFUNCTION("""COMPUTED_VALUE"""),0.6075768406004288)</f>
        <v>0.6075768406</v>
      </c>
      <c r="I1556" s="11">
        <f>IFERROR(__xludf.DUMMYFUNCTION("""COMPUTED_VALUE"""),5587.205146533238)</f>
        <v>5587.205147</v>
      </c>
      <c r="J1556" s="10">
        <f>IFERROR(__xludf.DUMMYFUNCTION("""COMPUTED_VALUE"""),0.0)</f>
        <v>0</v>
      </c>
      <c r="K1556" s="5">
        <f>IFERROR(__xludf.DUMMYFUNCTION("""COMPUTED_VALUE"""),0.0)</f>
        <v>0</v>
      </c>
      <c r="L1556" s="10">
        <f>IFERROR(__xludf.DUMMYFUNCTION("""COMPUTED_VALUE"""),632.0)</f>
        <v>632</v>
      </c>
      <c r="M1556" s="5">
        <f>IFERROR(__xludf.DUMMYFUNCTION("""COMPUTED_VALUE"""),1.0)</f>
        <v>1</v>
      </c>
    </row>
    <row r="1557">
      <c r="A1557" s="10" t="str">
        <f>IFERROR(__xludf.DUMMYFUNCTION("""COMPUTED_VALUE"""),"maka-pu")</f>
        <v>maka-pu</v>
      </c>
      <c r="B1557" s="10">
        <f>IFERROR(__xludf.DUMMYFUNCTION("""COMPUTED_VALUE"""),471.0)</f>
        <v>471</v>
      </c>
      <c r="C1557" s="10">
        <f>IFERROR(__xludf.DUMMYFUNCTION("""COMPUTED_VALUE"""),5545.0)</f>
        <v>5545</v>
      </c>
      <c r="D1557" s="5">
        <f>IFERROR(__xludf.DUMMYFUNCTION("""COMPUTED_VALUE"""),0.40480882932597556)</f>
        <v>0.4048088293</v>
      </c>
      <c r="E1557" s="5">
        <f>IFERROR(__xludf.DUMMYFUNCTION("""COMPUTED_VALUE"""),0.1357903035080804)</f>
        <v>0.1357903035</v>
      </c>
      <c r="F1557" s="5">
        <f>IFERROR(__xludf.DUMMYFUNCTION("""COMPUTED_VALUE"""),0.21895940086716595)</f>
        <v>0.2189594009</v>
      </c>
      <c r="G1557" s="5">
        <f>IFERROR(__xludf.DUMMYFUNCTION("""COMPUTED_VALUE"""),0.18742609381158848)</f>
        <v>0.1874260938</v>
      </c>
      <c r="H1557" s="5">
        <f>IFERROR(__xludf.DUMMYFUNCTION("""COMPUTED_VALUE"""),0.6048604860486049)</f>
        <v>0.604860486</v>
      </c>
      <c r="I1557" s="11">
        <f>IFERROR(__xludf.DUMMYFUNCTION("""COMPUTED_VALUE"""),5535.103510351035)</f>
        <v>5535.10351</v>
      </c>
      <c r="J1557" s="10">
        <f>IFERROR(__xludf.DUMMYFUNCTION("""COMPUTED_VALUE"""),3.0)</f>
        <v>3</v>
      </c>
      <c r="K1557" s="5">
        <f>IFERROR(__xludf.DUMMYFUNCTION("""COMPUTED_VALUE"""),0.006369426751592357)</f>
        <v>0.006369426752</v>
      </c>
      <c r="L1557" s="10">
        <f>IFERROR(__xludf.DUMMYFUNCTION("""COMPUTED_VALUE"""),471.0)</f>
        <v>471</v>
      </c>
      <c r="M1557" s="5">
        <f>IFERROR(__xludf.DUMMYFUNCTION("""COMPUTED_VALUE"""),1.0)</f>
        <v>1</v>
      </c>
    </row>
    <row r="1558">
      <c r="A1558" s="10" t="str">
        <f>IFERROR(__xludf.DUMMYFUNCTION("""COMPUTED_VALUE"""),"石井クンツ昌子")</f>
        <v>石井クンツ昌子</v>
      </c>
      <c r="B1558" s="10">
        <f>IFERROR(__xludf.DUMMYFUNCTION("""COMPUTED_VALUE"""),412.0)</f>
        <v>412</v>
      </c>
      <c r="C1558" s="10">
        <f>IFERROR(__xludf.DUMMYFUNCTION("""COMPUTED_VALUE"""),4853.0)</f>
        <v>4853</v>
      </c>
      <c r="D1558" s="5">
        <f>IFERROR(__xludf.DUMMYFUNCTION("""COMPUTED_VALUE"""),0.37378968700743076)</f>
        <v>0.373789687</v>
      </c>
      <c r="E1558" s="5">
        <f>IFERROR(__xludf.DUMMYFUNCTION("""COMPUTED_VALUE"""),0.13578022967800046)</f>
        <v>0.1357802297</v>
      </c>
      <c r="F1558" s="5">
        <f>IFERROR(__xludf.DUMMYFUNCTION("""COMPUTED_VALUE"""),0.20963746903850483)</f>
        <v>0.209637469</v>
      </c>
      <c r="G1558" s="5">
        <f>IFERROR(__xludf.DUMMYFUNCTION("""COMPUTED_VALUE"""),0.18666966899346993)</f>
        <v>0.186669669</v>
      </c>
      <c r="H1558" s="5">
        <f>IFERROR(__xludf.DUMMYFUNCTION("""COMPUTED_VALUE"""),0.5735767991407089)</f>
        <v>0.5735767991</v>
      </c>
      <c r="I1558" s="11">
        <f>IFERROR(__xludf.DUMMYFUNCTION("""COMPUTED_VALUE"""),5677.65843179377)</f>
        <v>5677.658432</v>
      </c>
      <c r="J1558" s="10">
        <f>IFERROR(__xludf.DUMMYFUNCTION("""COMPUTED_VALUE"""),1.0)</f>
        <v>1</v>
      </c>
      <c r="K1558" s="5">
        <f>IFERROR(__xludf.DUMMYFUNCTION("""COMPUTED_VALUE"""),0.0024271844660194173)</f>
        <v>0.002427184466</v>
      </c>
      <c r="L1558" s="10">
        <f>IFERROR(__xludf.DUMMYFUNCTION("""COMPUTED_VALUE"""),412.0)</f>
        <v>412</v>
      </c>
      <c r="M1558" s="5">
        <f>IFERROR(__xludf.DUMMYFUNCTION("""COMPUTED_VALUE"""),1.0)</f>
        <v>1</v>
      </c>
    </row>
    <row r="1559">
      <c r="A1559" s="10" t="str">
        <f>IFERROR(__xludf.DUMMYFUNCTION("""COMPUTED_VALUE"""),"ebi11")</f>
        <v>ebi11</v>
      </c>
      <c r="B1559" s="10">
        <f>IFERROR(__xludf.DUMMYFUNCTION("""COMPUTED_VALUE"""),865.0)</f>
        <v>865</v>
      </c>
      <c r="C1559" s="10">
        <f>IFERROR(__xludf.DUMMYFUNCTION("""COMPUTED_VALUE"""),10035.0)</f>
        <v>10035</v>
      </c>
      <c r="D1559" s="5">
        <f>IFERROR(__xludf.DUMMYFUNCTION("""COMPUTED_VALUE"""),0.3739367502726281)</f>
        <v>0.3739367503</v>
      </c>
      <c r="E1559" s="5">
        <f>IFERROR(__xludf.DUMMYFUNCTION("""COMPUTED_VALUE"""),0.13576881134133043)</f>
        <v>0.1357688113</v>
      </c>
      <c r="F1559" s="5">
        <f>IFERROR(__xludf.DUMMYFUNCTION("""COMPUTED_VALUE"""),0.22802617230098146)</f>
        <v>0.2280261723</v>
      </c>
      <c r="G1559" s="5">
        <f>IFERROR(__xludf.DUMMYFUNCTION("""COMPUTED_VALUE"""),0.1841875681570338)</f>
        <v>0.1841875682</v>
      </c>
      <c r="H1559" s="5">
        <f>IFERROR(__xludf.DUMMYFUNCTION("""COMPUTED_VALUE"""),0.5738880918220947)</f>
        <v>0.5738880918</v>
      </c>
      <c r="I1559" s="11">
        <f>IFERROR(__xludf.DUMMYFUNCTION("""COMPUTED_VALUE"""),5746.197991391678)</f>
        <v>5746.197991</v>
      </c>
      <c r="J1559" s="10">
        <f>IFERROR(__xludf.DUMMYFUNCTION("""COMPUTED_VALUE"""),2.0)</f>
        <v>2</v>
      </c>
      <c r="K1559" s="5">
        <f>IFERROR(__xludf.DUMMYFUNCTION("""COMPUTED_VALUE"""),0.0023121387283236996)</f>
        <v>0.002312138728</v>
      </c>
      <c r="L1559" s="10">
        <f>IFERROR(__xludf.DUMMYFUNCTION("""COMPUTED_VALUE"""),865.0)</f>
        <v>865</v>
      </c>
      <c r="M1559" s="5">
        <f>IFERROR(__xludf.DUMMYFUNCTION("""COMPUTED_VALUE"""),1.0)</f>
        <v>1</v>
      </c>
    </row>
    <row r="1560">
      <c r="A1560" s="10" t="str">
        <f>IFERROR(__xludf.DUMMYFUNCTION("""COMPUTED_VALUE"""),"澤村珍念")</f>
        <v>澤村珍念</v>
      </c>
      <c r="B1560" s="10">
        <f>IFERROR(__xludf.DUMMYFUNCTION("""COMPUTED_VALUE"""),103.0)</f>
        <v>103</v>
      </c>
      <c r="C1560" s="10">
        <f>IFERROR(__xludf.DUMMYFUNCTION("""COMPUTED_VALUE"""),1208.0)</f>
        <v>1208</v>
      </c>
      <c r="D1560" s="5">
        <f>IFERROR(__xludf.DUMMYFUNCTION("""COMPUTED_VALUE"""),0.27058823529411763)</f>
        <v>0.2705882353</v>
      </c>
      <c r="E1560" s="5">
        <f>IFERROR(__xludf.DUMMYFUNCTION("""COMPUTED_VALUE"""),0.13574660633484162)</f>
        <v>0.1357466063</v>
      </c>
      <c r="F1560" s="5">
        <f>IFERROR(__xludf.DUMMYFUNCTION("""COMPUTED_VALUE"""),0.21357466063348415)</f>
        <v>0.2135746606</v>
      </c>
      <c r="G1560" s="5">
        <f>IFERROR(__xludf.DUMMYFUNCTION("""COMPUTED_VALUE"""),0.18552036199095023)</f>
        <v>0.185520362</v>
      </c>
      <c r="H1560" s="5">
        <f>IFERROR(__xludf.DUMMYFUNCTION("""COMPUTED_VALUE"""),0.6186440677966102)</f>
        <v>0.6186440678</v>
      </c>
      <c r="I1560" s="11">
        <f>IFERROR(__xludf.DUMMYFUNCTION("""COMPUTED_VALUE"""),5456.779661016949)</f>
        <v>5456.779661</v>
      </c>
      <c r="J1560" s="10">
        <f>IFERROR(__xludf.DUMMYFUNCTION("""COMPUTED_VALUE"""),0.0)</f>
        <v>0</v>
      </c>
      <c r="K1560" s="5">
        <f>IFERROR(__xludf.DUMMYFUNCTION("""COMPUTED_VALUE"""),0.0)</f>
        <v>0</v>
      </c>
      <c r="L1560" s="10">
        <f>IFERROR(__xludf.DUMMYFUNCTION("""COMPUTED_VALUE"""),103.0)</f>
        <v>103</v>
      </c>
      <c r="M1560" s="5">
        <f>IFERROR(__xludf.DUMMYFUNCTION("""COMPUTED_VALUE"""),1.0)</f>
        <v>1</v>
      </c>
    </row>
    <row r="1561">
      <c r="A1561" s="10" t="str">
        <f>IFERROR(__xludf.DUMMYFUNCTION("""COMPUTED_VALUE"""),"xsxc57")</f>
        <v>xsxc57</v>
      </c>
      <c r="B1561" s="10">
        <f>IFERROR(__xludf.DUMMYFUNCTION("""COMPUTED_VALUE"""),103.0)</f>
        <v>103</v>
      </c>
      <c r="C1561" s="10">
        <f>IFERROR(__xludf.DUMMYFUNCTION("""COMPUTED_VALUE"""),1186.0)</f>
        <v>1186</v>
      </c>
      <c r="D1561" s="5">
        <f>IFERROR(__xludf.DUMMYFUNCTION("""COMPUTED_VALUE"""),0.3120960295475531)</f>
        <v>0.3120960295</v>
      </c>
      <c r="E1561" s="5">
        <f>IFERROR(__xludf.DUMMYFUNCTION("""COMPUTED_VALUE"""),0.13573407202216067)</f>
        <v>0.135734072</v>
      </c>
      <c r="F1561" s="5">
        <f>IFERROR(__xludf.DUMMYFUNCTION("""COMPUTED_VALUE"""),0.19667590027700832)</f>
        <v>0.1966759003</v>
      </c>
      <c r="G1561" s="5">
        <f>IFERROR(__xludf.DUMMYFUNCTION("""COMPUTED_VALUE"""),0.17820867959372114)</f>
        <v>0.1782086796</v>
      </c>
      <c r="H1561" s="5">
        <f>IFERROR(__xludf.DUMMYFUNCTION("""COMPUTED_VALUE"""),0.6103286384976526)</f>
        <v>0.6103286385</v>
      </c>
      <c r="I1561" s="11">
        <f>IFERROR(__xludf.DUMMYFUNCTION("""COMPUTED_VALUE"""),5823.943661971831)</f>
        <v>5823.943662</v>
      </c>
      <c r="J1561" s="10">
        <f>IFERROR(__xludf.DUMMYFUNCTION("""COMPUTED_VALUE"""),0.0)</f>
        <v>0</v>
      </c>
      <c r="K1561" s="5">
        <f>IFERROR(__xludf.DUMMYFUNCTION("""COMPUTED_VALUE"""),0.0)</f>
        <v>0</v>
      </c>
      <c r="L1561" s="10">
        <f>IFERROR(__xludf.DUMMYFUNCTION("""COMPUTED_VALUE"""),0.0)</f>
        <v>0</v>
      </c>
      <c r="M1561" s="5">
        <f>IFERROR(__xludf.DUMMYFUNCTION("""COMPUTED_VALUE"""),0.0)</f>
        <v>0</v>
      </c>
    </row>
    <row r="1562">
      <c r="A1562" s="10" t="str">
        <f>IFERROR(__xludf.DUMMYFUNCTION("""COMPUTED_VALUE"""),"かぴぱら")</f>
        <v>かぴぱら</v>
      </c>
      <c r="B1562" s="10">
        <f>IFERROR(__xludf.DUMMYFUNCTION("""COMPUTED_VALUE"""),308.0)</f>
        <v>308</v>
      </c>
      <c r="C1562" s="10">
        <f>IFERROR(__xludf.DUMMYFUNCTION("""COMPUTED_VALUE"""),3535.0)</f>
        <v>3535</v>
      </c>
      <c r="D1562" s="5">
        <f>IFERROR(__xludf.DUMMYFUNCTION("""COMPUTED_VALUE"""),0.3755810350170437)</f>
        <v>0.375581035</v>
      </c>
      <c r="E1562" s="5">
        <f>IFERROR(__xludf.DUMMYFUNCTION("""COMPUTED_VALUE"""),0.13572977998140687)</f>
        <v>0.13572978</v>
      </c>
      <c r="F1562" s="5">
        <f>IFERROR(__xludf.DUMMYFUNCTION("""COMPUTED_VALUE"""),0.21320111558723273)</f>
        <v>0.2132011156</v>
      </c>
      <c r="G1562" s="5">
        <f>IFERROR(__xludf.DUMMYFUNCTION("""COMPUTED_VALUE"""),0.17384567709947318)</f>
        <v>0.1738456771</v>
      </c>
      <c r="H1562" s="5">
        <f>IFERROR(__xludf.DUMMYFUNCTION("""COMPUTED_VALUE"""),0.5901162790697675)</f>
        <v>0.5901162791</v>
      </c>
      <c r="I1562" s="11">
        <f>IFERROR(__xludf.DUMMYFUNCTION("""COMPUTED_VALUE"""),5744.040697674419)</f>
        <v>5744.040698</v>
      </c>
      <c r="J1562" s="10">
        <f>IFERROR(__xludf.DUMMYFUNCTION("""COMPUTED_VALUE"""),2.0)</f>
        <v>2</v>
      </c>
      <c r="K1562" s="5">
        <f>IFERROR(__xludf.DUMMYFUNCTION("""COMPUTED_VALUE"""),0.006493506493506494)</f>
        <v>0.006493506494</v>
      </c>
      <c r="L1562" s="10">
        <f>IFERROR(__xludf.DUMMYFUNCTION("""COMPUTED_VALUE"""),216.0)</f>
        <v>216</v>
      </c>
      <c r="M1562" s="5">
        <f>IFERROR(__xludf.DUMMYFUNCTION("""COMPUTED_VALUE"""),0.7012987012987013)</f>
        <v>0.7012987013</v>
      </c>
    </row>
    <row r="1563">
      <c r="A1563" s="10" t="str">
        <f>IFERROR(__xludf.DUMMYFUNCTION("""COMPUTED_VALUE"""),"mochi18")</f>
        <v>mochi18</v>
      </c>
      <c r="B1563" s="10">
        <f>IFERROR(__xludf.DUMMYFUNCTION("""COMPUTED_VALUE"""),160.0)</f>
        <v>160</v>
      </c>
      <c r="C1563" s="10">
        <f>IFERROR(__xludf.DUMMYFUNCTION("""COMPUTED_VALUE"""),1899.0)</f>
        <v>1899</v>
      </c>
      <c r="D1563" s="5">
        <f>IFERROR(__xludf.DUMMYFUNCTION("""COMPUTED_VALUE"""),0.31799884991374355)</f>
        <v>0.3179988499</v>
      </c>
      <c r="E1563" s="5">
        <f>IFERROR(__xludf.DUMMYFUNCTION("""COMPUTED_VALUE"""),0.13571017826336976)</f>
        <v>0.1357101783</v>
      </c>
      <c r="F1563" s="5">
        <f>IFERROR(__xludf.DUMMYFUNCTION("""COMPUTED_VALUE"""),0.18286371477860838)</f>
        <v>0.1828637148</v>
      </c>
      <c r="G1563" s="5">
        <f>IFERROR(__xludf.DUMMYFUNCTION("""COMPUTED_VALUE"""),0.1541115583668775)</f>
        <v>0.1541115584</v>
      </c>
      <c r="H1563" s="5">
        <f>IFERROR(__xludf.DUMMYFUNCTION("""COMPUTED_VALUE"""),0.610062893081761)</f>
        <v>0.6100628931</v>
      </c>
      <c r="I1563" s="11">
        <f>IFERROR(__xludf.DUMMYFUNCTION("""COMPUTED_VALUE"""),6072.955974842767)</f>
        <v>6072.955975</v>
      </c>
      <c r="J1563" s="10">
        <f>IFERROR(__xludf.DUMMYFUNCTION("""COMPUTED_VALUE"""),1.0)</f>
        <v>1</v>
      </c>
      <c r="K1563" s="5">
        <f>IFERROR(__xludf.DUMMYFUNCTION("""COMPUTED_VALUE"""),0.00625)</f>
        <v>0.00625</v>
      </c>
      <c r="L1563" s="10">
        <f>IFERROR(__xludf.DUMMYFUNCTION("""COMPUTED_VALUE"""),160.0)</f>
        <v>160</v>
      </c>
      <c r="M1563" s="5">
        <f>IFERROR(__xludf.DUMMYFUNCTION("""COMPUTED_VALUE"""),1.0)</f>
        <v>1</v>
      </c>
    </row>
    <row r="1564">
      <c r="A1564" s="10" t="str">
        <f>IFERROR(__xludf.DUMMYFUNCTION("""COMPUTED_VALUE"""),"〓九条カレン〓")</f>
        <v>〓九条カレン〓</v>
      </c>
      <c r="B1564" s="10">
        <f>IFERROR(__xludf.DUMMYFUNCTION("""COMPUTED_VALUE"""),1757.0)</f>
        <v>1757</v>
      </c>
      <c r="C1564" s="10">
        <f>IFERROR(__xludf.DUMMYFUNCTION("""COMPUTED_VALUE"""),20665.0)</f>
        <v>20665</v>
      </c>
      <c r="D1564" s="5">
        <f>IFERROR(__xludf.DUMMYFUNCTION("""COMPUTED_VALUE"""),0.47033001903955995)</f>
        <v>0.470330019</v>
      </c>
      <c r="E1564" s="5">
        <f>IFERROR(__xludf.DUMMYFUNCTION("""COMPUTED_VALUE"""),0.13570975248572034)</f>
        <v>0.1357097525</v>
      </c>
      <c r="F1564" s="5">
        <f>IFERROR(__xludf.DUMMYFUNCTION("""COMPUTED_VALUE"""),0.2382060503490586)</f>
        <v>0.2382060503</v>
      </c>
      <c r="G1564" s="5">
        <f>IFERROR(__xludf.DUMMYFUNCTION("""COMPUTED_VALUE"""),0.16537973344616036)</f>
        <v>0.1653797334</v>
      </c>
      <c r="H1564" s="5">
        <f>IFERROR(__xludf.DUMMYFUNCTION("""COMPUTED_VALUE"""),0.6207815275310835)</f>
        <v>0.6207815275</v>
      </c>
      <c r="I1564" s="11">
        <f>IFERROR(__xludf.DUMMYFUNCTION("""COMPUTED_VALUE"""),4980.373001776199)</f>
        <v>4980.373002</v>
      </c>
      <c r="J1564" s="10">
        <f>IFERROR(__xludf.DUMMYFUNCTION("""COMPUTED_VALUE"""),2.0)</f>
        <v>2</v>
      </c>
      <c r="K1564" s="5">
        <f>IFERROR(__xludf.DUMMYFUNCTION("""COMPUTED_VALUE"""),0.0011383039271485487)</f>
        <v>0.001138303927</v>
      </c>
      <c r="L1564" s="10">
        <f>IFERROR(__xludf.DUMMYFUNCTION("""COMPUTED_VALUE"""),73.0)</f>
        <v>73</v>
      </c>
      <c r="M1564" s="5">
        <f>IFERROR(__xludf.DUMMYFUNCTION("""COMPUTED_VALUE"""),0.04154809334092203)</f>
        <v>0.04154809334</v>
      </c>
    </row>
    <row r="1565">
      <c r="A1565" s="10" t="str">
        <f>IFERROR(__xludf.DUMMYFUNCTION("""COMPUTED_VALUE"""),"勇者ロト")</f>
        <v>勇者ロト</v>
      </c>
      <c r="B1565" s="10">
        <f>IFERROR(__xludf.DUMMYFUNCTION("""COMPUTED_VALUE"""),761.0)</f>
        <v>761</v>
      </c>
      <c r="C1565" s="10">
        <f>IFERROR(__xludf.DUMMYFUNCTION("""COMPUTED_VALUE"""),8816.0)</f>
        <v>8816</v>
      </c>
      <c r="D1565" s="5">
        <f>IFERROR(__xludf.DUMMYFUNCTION("""COMPUTED_VALUE"""),0.30726256983240224)</f>
        <v>0.3072625698</v>
      </c>
      <c r="E1565" s="5">
        <f>IFERROR(__xludf.DUMMYFUNCTION("""COMPUTED_VALUE"""),0.13569211669770329)</f>
        <v>0.1356921167</v>
      </c>
      <c r="F1565" s="5">
        <f>IFERROR(__xludf.DUMMYFUNCTION("""COMPUTED_VALUE"""),0.20819366852886406)</f>
        <v>0.2081936685</v>
      </c>
      <c r="G1565" s="5">
        <f>IFERROR(__xludf.DUMMYFUNCTION("""COMPUTED_VALUE"""),0.17790192427063936)</f>
        <v>0.1779019243</v>
      </c>
      <c r="H1565" s="5">
        <f>IFERROR(__xludf.DUMMYFUNCTION("""COMPUTED_VALUE"""),0.6213476446034586)</f>
        <v>0.6213476446</v>
      </c>
      <c r="I1565" s="11">
        <f>IFERROR(__xludf.DUMMYFUNCTION("""COMPUTED_VALUE"""),5728.205128205128)</f>
        <v>5728.205128</v>
      </c>
      <c r="J1565" s="10">
        <f>IFERROR(__xludf.DUMMYFUNCTION("""COMPUTED_VALUE"""),2.0)</f>
        <v>2</v>
      </c>
      <c r="K1565" s="5">
        <f>IFERROR(__xludf.DUMMYFUNCTION("""COMPUTED_VALUE"""),0.002628120893561104)</f>
        <v>0.002628120894</v>
      </c>
      <c r="L1565" s="10">
        <f>IFERROR(__xludf.DUMMYFUNCTION("""COMPUTED_VALUE"""),761.0)</f>
        <v>761</v>
      </c>
      <c r="M1565" s="5">
        <f>IFERROR(__xludf.DUMMYFUNCTION("""COMPUTED_VALUE"""),1.0)</f>
        <v>1</v>
      </c>
    </row>
    <row r="1566">
      <c r="A1566" s="10" t="str">
        <f>IFERROR(__xludf.DUMMYFUNCTION("""COMPUTED_VALUE"""),"fujiken")</f>
        <v>fujiken</v>
      </c>
      <c r="B1566" s="10">
        <f>IFERROR(__xludf.DUMMYFUNCTION("""COMPUTED_VALUE"""),499.0)</f>
        <v>499</v>
      </c>
      <c r="C1566" s="10">
        <f>IFERROR(__xludf.DUMMYFUNCTION("""COMPUTED_VALUE"""),5842.0)</f>
        <v>5842</v>
      </c>
      <c r="D1566" s="5">
        <f>IFERROR(__xludf.DUMMYFUNCTION("""COMPUTED_VALUE"""),0.34774471270821633)</f>
        <v>0.3477447127</v>
      </c>
      <c r="E1566" s="5">
        <f>IFERROR(__xludf.DUMMYFUNCTION("""COMPUTED_VALUE"""),0.13569155904922328)</f>
        <v>0.135691559</v>
      </c>
      <c r="F1566" s="5">
        <f>IFERROR(__xludf.DUMMYFUNCTION("""COMPUTED_VALUE"""),0.20849709900804791)</f>
        <v>0.208497099</v>
      </c>
      <c r="G1566" s="5">
        <f>IFERROR(__xludf.DUMMYFUNCTION("""COMPUTED_VALUE"""),0.18192026951151039)</f>
        <v>0.1819202695</v>
      </c>
      <c r="H1566" s="5">
        <f>IFERROR(__xludf.DUMMYFUNCTION("""COMPUTED_VALUE"""),0.6059245960502693)</f>
        <v>0.6059245961</v>
      </c>
      <c r="I1566" s="11">
        <f>IFERROR(__xludf.DUMMYFUNCTION("""COMPUTED_VALUE"""),6038.240574506283)</f>
        <v>6038.240575</v>
      </c>
      <c r="J1566" s="10">
        <f>IFERROR(__xludf.DUMMYFUNCTION("""COMPUTED_VALUE"""),2.0)</f>
        <v>2</v>
      </c>
      <c r="K1566" s="5">
        <f>IFERROR(__xludf.DUMMYFUNCTION("""COMPUTED_VALUE"""),0.004008016032064128)</f>
        <v>0.004008016032</v>
      </c>
      <c r="L1566" s="10">
        <f>IFERROR(__xludf.DUMMYFUNCTION("""COMPUTED_VALUE"""),499.0)</f>
        <v>499</v>
      </c>
      <c r="M1566" s="5">
        <f>IFERROR(__xludf.DUMMYFUNCTION("""COMPUTED_VALUE"""),1.0)</f>
        <v>1</v>
      </c>
    </row>
    <row r="1567">
      <c r="A1567" s="10" t="str">
        <f>IFERROR(__xludf.DUMMYFUNCTION("""COMPUTED_VALUE"""),"神域の手淫伝説")</f>
        <v>神域の手淫伝説</v>
      </c>
      <c r="B1567" s="10">
        <f>IFERROR(__xludf.DUMMYFUNCTION("""COMPUTED_VALUE"""),116.0)</f>
        <v>116</v>
      </c>
      <c r="C1567" s="10">
        <f>IFERROR(__xludf.DUMMYFUNCTION("""COMPUTED_VALUE"""),1347.0)</f>
        <v>1347</v>
      </c>
      <c r="D1567" s="5">
        <f>IFERROR(__xludf.DUMMYFUNCTION("""COMPUTED_VALUE"""),0.47278635255889523)</f>
        <v>0.4727863526</v>
      </c>
      <c r="E1567" s="5">
        <f>IFERROR(__xludf.DUMMYFUNCTION("""COMPUTED_VALUE"""),0.13566206336311942)</f>
        <v>0.1356620634</v>
      </c>
      <c r="F1567" s="5">
        <f>IFERROR(__xludf.DUMMYFUNCTION("""COMPUTED_VALUE"""),0.21770917952883834)</f>
        <v>0.2177091795</v>
      </c>
      <c r="G1567" s="5">
        <f>IFERROR(__xludf.DUMMYFUNCTION("""COMPUTED_VALUE"""),0.1397238017871649)</f>
        <v>0.1397238018</v>
      </c>
      <c r="H1567" s="5">
        <f>IFERROR(__xludf.DUMMYFUNCTION("""COMPUTED_VALUE"""),0.6007462686567164)</f>
        <v>0.6007462687</v>
      </c>
      <c r="I1567" s="11">
        <f>IFERROR(__xludf.DUMMYFUNCTION("""COMPUTED_VALUE"""),4985.44776119403)</f>
        <v>4985.447761</v>
      </c>
      <c r="J1567" s="10">
        <f>IFERROR(__xludf.DUMMYFUNCTION("""COMPUTED_VALUE"""),0.0)</f>
        <v>0</v>
      </c>
      <c r="K1567" s="5">
        <f>IFERROR(__xludf.DUMMYFUNCTION("""COMPUTED_VALUE"""),0.0)</f>
        <v>0</v>
      </c>
      <c r="L1567" s="10">
        <f>IFERROR(__xludf.DUMMYFUNCTION("""COMPUTED_VALUE"""),116.0)</f>
        <v>116</v>
      </c>
      <c r="M1567" s="5">
        <f>IFERROR(__xludf.DUMMYFUNCTION("""COMPUTED_VALUE"""),1.0)</f>
        <v>1</v>
      </c>
    </row>
    <row r="1568">
      <c r="A1568" s="10" t="str">
        <f>IFERROR(__xludf.DUMMYFUNCTION("""COMPUTED_VALUE"""),"takumiso")</f>
        <v>takumiso</v>
      </c>
      <c r="B1568" s="10">
        <f>IFERROR(__xludf.DUMMYFUNCTION("""COMPUTED_VALUE"""),972.0)</f>
        <v>972</v>
      </c>
      <c r="C1568" s="10">
        <f>IFERROR(__xludf.DUMMYFUNCTION("""COMPUTED_VALUE"""),11336.0)</f>
        <v>11336</v>
      </c>
      <c r="D1568" s="5">
        <f>IFERROR(__xludf.DUMMYFUNCTION("""COMPUTED_VALUE"""),0.34494403705133153)</f>
        <v>0.3449440371</v>
      </c>
      <c r="E1568" s="5">
        <f>IFERROR(__xludf.DUMMYFUNCTION("""COMPUTED_VALUE"""),0.13566190659976843)</f>
        <v>0.1356619066</v>
      </c>
      <c r="F1568" s="5">
        <f>IFERROR(__xludf.DUMMYFUNCTION("""COMPUTED_VALUE"""),0.20802778849864917)</f>
        <v>0.2080277885</v>
      </c>
      <c r="G1568" s="5">
        <f>IFERROR(__xludf.DUMMYFUNCTION("""COMPUTED_VALUE"""),0.18023928984947896)</f>
        <v>0.1802392898</v>
      </c>
      <c r="H1568" s="5">
        <f>IFERROR(__xludf.DUMMYFUNCTION("""COMPUTED_VALUE"""),0.6001855287569573)</f>
        <v>0.6001855288</v>
      </c>
      <c r="I1568" s="11">
        <f>IFERROR(__xludf.DUMMYFUNCTION("""COMPUTED_VALUE"""),5649.25788497217)</f>
        <v>5649.257885</v>
      </c>
      <c r="J1568" s="10">
        <f>IFERROR(__xludf.DUMMYFUNCTION("""COMPUTED_VALUE"""),1.0)</f>
        <v>1</v>
      </c>
      <c r="K1568" s="5">
        <f>IFERROR(__xludf.DUMMYFUNCTION("""COMPUTED_VALUE"""),0.00102880658436214)</f>
        <v>0.001028806584</v>
      </c>
      <c r="L1568" s="10">
        <f>IFERROR(__xludf.DUMMYFUNCTION("""COMPUTED_VALUE"""),972.0)</f>
        <v>972</v>
      </c>
      <c r="M1568" s="5">
        <f>IFERROR(__xludf.DUMMYFUNCTION("""COMPUTED_VALUE"""),1.0)</f>
        <v>1</v>
      </c>
    </row>
    <row r="1569">
      <c r="A1569" s="10" t="str">
        <f>IFERROR(__xludf.DUMMYFUNCTION("""COMPUTED_VALUE"""),"☆シャチハゲβ☆")</f>
        <v>☆シャチハゲβ☆</v>
      </c>
      <c r="B1569" s="10">
        <f>IFERROR(__xludf.DUMMYFUNCTION("""COMPUTED_VALUE"""),1354.0)</f>
        <v>1354</v>
      </c>
      <c r="C1569" s="10">
        <f>IFERROR(__xludf.DUMMYFUNCTION("""COMPUTED_VALUE"""),15839.0)</f>
        <v>15839</v>
      </c>
      <c r="D1569" s="5">
        <f>IFERROR(__xludf.DUMMYFUNCTION("""COMPUTED_VALUE"""),0.363548498446669)</f>
        <v>0.3635484984</v>
      </c>
      <c r="E1569" s="5">
        <f>IFERROR(__xludf.DUMMYFUNCTION("""COMPUTED_VALUE"""),0.13565757680358992)</f>
        <v>0.1356575768</v>
      </c>
      <c r="F1569" s="5">
        <f>IFERROR(__xludf.DUMMYFUNCTION("""COMPUTED_VALUE"""),0.20503969623748705)</f>
        <v>0.2050396962</v>
      </c>
      <c r="G1569" s="5">
        <f>IFERROR(__xludf.DUMMYFUNCTION("""COMPUTED_VALUE"""),0.17204004142216087)</f>
        <v>0.1720400414</v>
      </c>
      <c r="H1569" s="5">
        <f>IFERROR(__xludf.DUMMYFUNCTION("""COMPUTED_VALUE"""),0.5878787878787879)</f>
        <v>0.5878787879</v>
      </c>
      <c r="I1569" s="11">
        <f>IFERROR(__xludf.DUMMYFUNCTION("""COMPUTED_VALUE"""),5702.760942760943)</f>
        <v>5702.760943</v>
      </c>
      <c r="J1569" s="10">
        <f>IFERROR(__xludf.DUMMYFUNCTION("""COMPUTED_VALUE"""),2.0)</f>
        <v>2</v>
      </c>
      <c r="K1569" s="5">
        <f>IFERROR(__xludf.DUMMYFUNCTION("""COMPUTED_VALUE"""),0.0014771048744460858)</f>
        <v>0.001477104874</v>
      </c>
      <c r="L1569" s="10">
        <f>IFERROR(__xludf.DUMMYFUNCTION("""COMPUTED_VALUE"""),754.0)</f>
        <v>754</v>
      </c>
      <c r="M1569" s="5">
        <f>IFERROR(__xludf.DUMMYFUNCTION("""COMPUTED_VALUE"""),0.5568685376661743)</f>
        <v>0.5568685377</v>
      </c>
    </row>
    <row r="1570">
      <c r="A1570" s="10" t="str">
        <f>IFERROR(__xludf.DUMMYFUNCTION("""COMPUTED_VALUE"""),"橘ワルツ")</f>
        <v>橘ワルツ</v>
      </c>
      <c r="B1570" s="10">
        <f>IFERROR(__xludf.DUMMYFUNCTION("""COMPUTED_VALUE"""),651.0)</f>
        <v>651</v>
      </c>
      <c r="C1570" s="10">
        <f>IFERROR(__xludf.DUMMYFUNCTION("""COMPUTED_VALUE"""),7529.0)</f>
        <v>7529</v>
      </c>
      <c r="D1570" s="5">
        <f>IFERROR(__xludf.DUMMYFUNCTION("""COMPUTED_VALUE"""),0.2582145972666473)</f>
        <v>0.2582145973</v>
      </c>
      <c r="E1570" s="5">
        <f>IFERROR(__xludf.DUMMYFUNCTION("""COMPUTED_VALUE"""),0.13564989822622855)</f>
        <v>0.1356498982</v>
      </c>
      <c r="F1570" s="5">
        <f>IFERROR(__xludf.DUMMYFUNCTION("""COMPUTED_VALUE"""),0.2070369293399244)</f>
        <v>0.2070369293</v>
      </c>
      <c r="G1570" s="5">
        <f>IFERROR(__xludf.DUMMYFUNCTION("""COMPUTED_VALUE"""),0.14379179994184355)</f>
        <v>0.1437917999</v>
      </c>
      <c r="H1570" s="5">
        <f>IFERROR(__xludf.DUMMYFUNCTION("""COMPUTED_VALUE"""),0.610252808988764)</f>
        <v>0.610252809</v>
      </c>
      <c r="I1570" s="11">
        <f>IFERROR(__xludf.DUMMYFUNCTION("""COMPUTED_VALUE"""),6269.592696629214)</f>
        <v>6269.592697</v>
      </c>
      <c r="J1570" s="10">
        <f>IFERROR(__xludf.DUMMYFUNCTION("""COMPUTED_VALUE"""),2.0)</f>
        <v>2</v>
      </c>
      <c r="K1570" s="5">
        <f>IFERROR(__xludf.DUMMYFUNCTION("""COMPUTED_VALUE"""),0.0030721966205837174)</f>
        <v>0.003072196621</v>
      </c>
      <c r="L1570" s="10">
        <f>IFERROR(__xludf.DUMMYFUNCTION("""COMPUTED_VALUE"""),651.0)</f>
        <v>651</v>
      </c>
      <c r="M1570" s="5">
        <f>IFERROR(__xludf.DUMMYFUNCTION("""COMPUTED_VALUE"""),1.0)</f>
        <v>1</v>
      </c>
    </row>
    <row r="1571">
      <c r="A1571" s="10" t="str">
        <f>IFERROR(__xludf.DUMMYFUNCTION("""COMPUTED_VALUE"""),"たけこし")</f>
        <v>たけこし</v>
      </c>
      <c r="B1571" s="10">
        <f>IFERROR(__xludf.DUMMYFUNCTION("""COMPUTED_VALUE"""),261.0)</f>
        <v>261</v>
      </c>
      <c r="C1571" s="10">
        <f>IFERROR(__xludf.DUMMYFUNCTION("""COMPUTED_VALUE"""),3055.0)</f>
        <v>3055</v>
      </c>
      <c r="D1571" s="5">
        <f>IFERROR(__xludf.DUMMYFUNCTION("""COMPUTED_VALUE"""),0.3457408732999284)</f>
        <v>0.3457408733</v>
      </c>
      <c r="E1571" s="5">
        <f>IFERROR(__xludf.DUMMYFUNCTION("""COMPUTED_VALUE"""),0.13564781675017895)</f>
        <v>0.1356478168</v>
      </c>
      <c r="F1571" s="5">
        <f>IFERROR(__xludf.DUMMYFUNCTION("""COMPUTED_VALUE"""),0.20078740157480315)</f>
        <v>0.2007874016</v>
      </c>
      <c r="G1571" s="5">
        <f>IFERROR(__xludf.DUMMYFUNCTION("""COMPUTED_VALUE"""),0.15926986399427345)</f>
        <v>0.159269864</v>
      </c>
      <c r="H1571" s="5">
        <f>IFERROR(__xludf.DUMMYFUNCTION("""COMPUTED_VALUE"""),0.6078431372549019)</f>
        <v>0.6078431373</v>
      </c>
      <c r="I1571" s="11">
        <f>IFERROR(__xludf.DUMMYFUNCTION("""COMPUTED_VALUE"""),5554.188948306595)</f>
        <v>5554.188948</v>
      </c>
      <c r="J1571" s="10">
        <f>IFERROR(__xludf.DUMMYFUNCTION("""COMPUTED_VALUE"""),0.0)</f>
        <v>0</v>
      </c>
      <c r="K1571" s="5">
        <f>IFERROR(__xludf.DUMMYFUNCTION("""COMPUTED_VALUE"""),0.0)</f>
        <v>0</v>
      </c>
      <c r="L1571" s="10">
        <f>IFERROR(__xludf.DUMMYFUNCTION("""COMPUTED_VALUE"""),261.0)</f>
        <v>261</v>
      </c>
      <c r="M1571" s="5">
        <f>IFERROR(__xludf.DUMMYFUNCTION("""COMPUTED_VALUE"""),1.0)</f>
        <v>1</v>
      </c>
    </row>
    <row r="1572">
      <c r="A1572" s="10" t="str">
        <f>IFERROR(__xludf.DUMMYFUNCTION("""COMPUTED_VALUE"""),"赤い怪獣")</f>
        <v>赤い怪獣</v>
      </c>
      <c r="B1572" s="10">
        <f>IFERROR(__xludf.DUMMYFUNCTION("""COMPUTED_VALUE"""),151.0)</f>
        <v>151</v>
      </c>
      <c r="C1572" s="10">
        <f>IFERROR(__xludf.DUMMYFUNCTION("""COMPUTED_VALUE"""),1795.0)</f>
        <v>1795</v>
      </c>
      <c r="D1572" s="5">
        <f>IFERROR(__xludf.DUMMYFUNCTION("""COMPUTED_VALUE"""),0.3905109489051095)</f>
        <v>0.3905109489</v>
      </c>
      <c r="E1572" s="5">
        <f>IFERROR(__xludf.DUMMYFUNCTION("""COMPUTED_VALUE"""),0.1356447688564477)</f>
        <v>0.1356447689</v>
      </c>
      <c r="F1572" s="5">
        <f>IFERROR(__xludf.DUMMYFUNCTION("""COMPUTED_VALUE"""),0.20924574209245742)</f>
        <v>0.2092457421</v>
      </c>
      <c r="G1572" s="5">
        <f>IFERROR(__xludf.DUMMYFUNCTION("""COMPUTED_VALUE"""),0.16423357664233576)</f>
        <v>0.1642335766</v>
      </c>
      <c r="H1572" s="5">
        <f>IFERROR(__xludf.DUMMYFUNCTION("""COMPUTED_VALUE"""),0.5697674418604651)</f>
        <v>0.5697674419</v>
      </c>
      <c r="I1572" s="11">
        <f>IFERROR(__xludf.DUMMYFUNCTION("""COMPUTED_VALUE"""),5443.023255813953)</f>
        <v>5443.023256</v>
      </c>
      <c r="J1572" s="10">
        <f>IFERROR(__xludf.DUMMYFUNCTION("""COMPUTED_VALUE"""),0.0)</f>
        <v>0</v>
      </c>
      <c r="K1572" s="5">
        <f>IFERROR(__xludf.DUMMYFUNCTION("""COMPUTED_VALUE"""),0.0)</f>
        <v>0</v>
      </c>
      <c r="L1572" s="10">
        <f>IFERROR(__xludf.DUMMYFUNCTION("""COMPUTED_VALUE"""),4.0)</f>
        <v>4</v>
      </c>
      <c r="M1572" s="5">
        <f>IFERROR(__xludf.DUMMYFUNCTION("""COMPUTED_VALUE"""),0.026490066225165563)</f>
        <v>0.02649006623</v>
      </c>
    </row>
    <row r="1573">
      <c r="A1573" s="10" t="str">
        <f>IFERROR(__xludf.DUMMYFUNCTION("""COMPUTED_VALUE"""),"クラ")</f>
        <v>クラ</v>
      </c>
      <c r="B1573" s="10">
        <f>IFERROR(__xludf.DUMMYFUNCTION("""COMPUTED_VALUE"""),1176.0)</f>
        <v>1176</v>
      </c>
      <c r="C1573" s="10">
        <f>IFERROR(__xludf.DUMMYFUNCTION("""COMPUTED_VALUE"""),13790.0)</f>
        <v>13790</v>
      </c>
      <c r="D1573" s="5">
        <f>IFERROR(__xludf.DUMMYFUNCTION("""COMPUTED_VALUE"""),0.3509592516251784)</f>
        <v>0.3509592516</v>
      </c>
      <c r="E1573" s="5">
        <f>IFERROR(__xludf.DUMMYFUNCTION("""COMPUTED_VALUE"""),0.13564293641985095)</f>
        <v>0.1356429364</v>
      </c>
      <c r="F1573" s="5">
        <f>IFERROR(__xludf.DUMMYFUNCTION("""COMPUTED_VALUE"""),0.21373077532899953)</f>
        <v>0.2137307753</v>
      </c>
      <c r="G1573" s="5">
        <f>IFERROR(__xludf.DUMMYFUNCTION("""COMPUTED_VALUE"""),0.18741081338195656)</f>
        <v>0.1874108134</v>
      </c>
      <c r="H1573" s="5">
        <f>IFERROR(__xludf.DUMMYFUNCTION("""COMPUTED_VALUE"""),0.5901335311572701)</f>
        <v>0.5901335312</v>
      </c>
      <c r="I1573" s="11">
        <f>IFERROR(__xludf.DUMMYFUNCTION("""COMPUTED_VALUE"""),5916.394658753709)</f>
        <v>5916.394659</v>
      </c>
      <c r="J1573" s="10">
        <f>IFERROR(__xludf.DUMMYFUNCTION("""COMPUTED_VALUE"""),5.0)</f>
        <v>5</v>
      </c>
      <c r="K1573" s="5">
        <f>IFERROR(__xludf.DUMMYFUNCTION("""COMPUTED_VALUE"""),0.004251700680272109)</f>
        <v>0.00425170068</v>
      </c>
      <c r="L1573" s="10">
        <f>IFERROR(__xludf.DUMMYFUNCTION("""COMPUTED_VALUE"""),1176.0)</f>
        <v>1176</v>
      </c>
      <c r="M1573" s="5">
        <f>IFERROR(__xludf.DUMMYFUNCTION("""COMPUTED_VALUE"""),1.0)</f>
        <v>1</v>
      </c>
    </row>
    <row r="1574">
      <c r="A1574" s="10" t="str">
        <f>IFERROR(__xludf.DUMMYFUNCTION("""COMPUTED_VALUE"""),"へ悠悠紫へ")</f>
        <v>へ悠悠紫へ</v>
      </c>
      <c r="B1574" s="10">
        <f>IFERROR(__xludf.DUMMYFUNCTION("""COMPUTED_VALUE"""),288.0)</f>
        <v>288</v>
      </c>
      <c r="C1574" s="10">
        <f>IFERROR(__xludf.DUMMYFUNCTION("""COMPUTED_VALUE"""),3348.0)</f>
        <v>3348</v>
      </c>
      <c r="D1574" s="5">
        <f>IFERROR(__xludf.DUMMYFUNCTION("""COMPUTED_VALUE"""),0.39052287581699346)</f>
        <v>0.3905228758</v>
      </c>
      <c r="E1574" s="5">
        <f>IFERROR(__xludf.DUMMYFUNCTION("""COMPUTED_VALUE"""),0.13562091503267973)</f>
        <v>0.135620915</v>
      </c>
      <c r="F1574" s="5">
        <f>IFERROR(__xludf.DUMMYFUNCTION("""COMPUTED_VALUE"""),0.20490196078431372)</f>
        <v>0.2049019608</v>
      </c>
      <c r="G1574" s="5">
        <f>IFERROR(__xludf.DUMMYFUNCTION("""COMPUTED_VALUE"""),0.13758169934640524)</f>
        <v>0.1375816993</v>
      </c>
      <c r="H1574" s="5">
        <f>IFERROR(__xludf.DUMMYFUNCTION("""COMPUTED_VALUE"""),0.6443381180223285)</f>
        <v>0.644338118</v>
      </c>
      <c r="I1574" s="11">
        <f>IFERROR(__xludf.DUMMYFUNCTION("""COMPUTED_VALUE"""),5418.660287081339)</f>
        <v>5418.660287</v>
      </c>
      <c r="J1574" s="10">
        <f>IFERROR(__xludf.DUMMYFUNCTION("""COMPUTED_VALUE"""),0.0)</f>
        <v>0</v>
      </c>
      <c r="K1574" s="5">
        <f>IFERROR(__xludf.DUMMYFUNCTION("""COMPUTED_VALUE"""),0.0)</f>
        <v>0</v>
      </c>
      <c r="L1574" s="10">
        <f>IFERROR(__xludf.DUMMYFUNCTION("""COMPUTED_VALUE"""),0.0)</f>
        <v>0</v>
      </c>
      <c r="M1574" s="5">
        <f>IFERROR(__xludf.DUMMYFUNCTION("""COMPUTED_VALUE"""),0.0)</f>
        <v>0</v>
      </c>
    </row>
    <row r="1575">
      <c r="A1575" s="10" t="str">
        <f>IFERROR(__xludf.DUMMYFUNCTION("""COMPUTED_VALUE"""),"スズヤ")</f>
        <v>スズヤ</v>
      </c>
      <c r="B1575" s="10">
        <f>IFERROR(__xludf.DUMMYFUNCTION("""COMPUTED_VALUE"""),228.0)</f>
        <v>228</v>
      </c>
      <c r="C1575" s="10">
        <f>IFERROR(__xludf.DUMMYFUNCTION("""COMPUTED_VALUE"""),2654.0)</f>
        <v>2654</v>
      </c>
      <c r="D1575" s="5">
        <f>IFERROR(__xludf.DUMMYFUNCTION("""COMPUTED_VALUE"""),0.2749381698268755)</f>
        <v>0.2749381698</v>
      </c>
      <c r="E1575" s="5">
        <f>IFERROR(__xludf.DUMMYFUNCTION("""COMPUTED_VALUE"""),0.13561417971970322)</f>
        <v>0.1356141797</v>
      </c>
      <c r="F1575" s="5">
        <f>IFERROR(__xludf.DUMMYFUNCTION("""COMPUTED_VALUE"""),0.2015663643858203)</f>
        <v>0.2015663644</v>
      </c>
      <c r="G1575" s="5">
        <f>IFERROR(__xludf.DUMMYFUNCTION("""COMPUTED_VALUE"""),0.20280296784830998)</f>
        <v>0.2028029678</v>
      </c>
      <c r="H1575" s="5">
        <f>IFERROR(__xludf.DUMMYFUNCTION("""COMPUTED_VALUE"""),0.5603271983640081)</f>
        <v>0.5603271984</v>
      </c>
      <c r="I1575" s="11">
        <f>IFERROR(__xludf.DUMMYFUNCTION("""COMPUTED_VALUE"""),5882.617586912065)</f>
        <v>5882.617587</v>
      </c>
      <c r="J1575" s="10">
        <f>IFERROR(__xludf.DUMMYFUNCTION("""COMPUTED_VALUE"""),0.0)</f>
        <v>0</v>
      </c>
      <c r="K1575" s="5">
        <f>IFERROR(__xludf.DUMMYFUNCTION("""COMPUTED_VALUE"""),0.0)</f>
        <v>0</v>
      </c>
      <c r="L1575" s="10">
        <f>IFERROR(__xludf.DUMMYFUNCTION("""COMPUTED_VALUE"""),228.0)</f>
        <v>228</v>
      </c>
      <c r="M1575" s="5">
        <f>IFERROR(__xludf.DUMMYFUNCTION("""COMPUTED_VALUE"""),1.0)</f>
        <v>1</v>
      </c>
    </row>
    <row r="1576">
      <c r="A1576" s="10" t="str">
        <f>IFERROR(__xludf.DUMMYFUNCTION("""COMPUTED_VALUE"""),"nakajuun")</f>
        <v>nakajuun</v>
      </c>
      <c r="B1576" s="10">
        <f>IFERROR(__xludf.DUMMYFUNCTION("""COMPUTED_VALUE"""),3921.0)</f>
        <v>3921</v>
      </c>
      <c r="C1576" s="10">
        <f>IFERROR(__xludf.DUMMYFUNCTION("""COMPUTED_VALUE"""),45814.0)</f>
        <v>45814</v>
      </c>
      <c r="D1576" s="5">
        <f>IFERROR(__xludf.DUMMYFUNCTION("""COMPUTED_VALUE"""),0.394242474876471)</f>
        <v>0.3942424749</v>
      </c>
      <c r="E1576" s="5">
        <f>IFERROR(__xludf.DUMMYFUNCTION("""COMPUTED_VALUE"""),0.13560738070799416)</f>
        <v>0.1356073807</v>
      </c>
      <c r="F1576" s="5">
        <f>IFERROR(__xludf.DUMMYFUNCTION("""COMPUTED_VALUE"""),0.22564628935621703)</f>
        <v>0.2256462894</v>
      </c>
      <c r="G1576" s="5">
        <f>IFERROR(__xludf.DUMMYFUNCTION("""COMPUTED_VALUE"""),0.18318096101974077)</f>
        <v>0.183180961</v>
      </c>
      <c r="H1576" s="5">
        <f>IFERROR(__xludf.DUMMYFUNCTION("""COMPUTED_VALUE"""),0.5971649211890405)</f>
        <v>0.5971649212</v>
      </c>
      <c r="I1576" s="11">
        <f>IFERROR(__xludf.DUMMYFUNCTION("""COMPUTED_VALUE"""),5593.800909764096)</f>
        <v>5593.80091</v>
      </c>
      <c r="J1576" s="10">
        <f>IFERROR(__xludf.DUMMYFUNCTION("""COMPUTED_VALUE"""),7.0)</f>
        <v>7</v>
      </c>
      <c r="K1576" s="5">
        <f>IFERROR(__xludf.DUMMYFUNCTION("""COMPUTED_VALUE"""),0.0017852588625350675)</f>
        <v>0.001785258863</v>
      </c>
      <c r="L1576" s="10">
        <f>IFERROR(__xludf.DUMMYFUNCTION("""COMPUTED_VALUE"""),3859.0)</f>
        <v>3859</v>
      </c>
      <c r="M1576" s="5">
        <f>IFERROR(__xludf.DUMMYFUNCTION("""COMPUTED_VALUE"""),0.9841877072175466)</f>
        <v>0.9841877072</v>
      </c>
    </row>
    <row r="1577">
      <c r="A1577" s="10" t="str">
        <f>IFERROR(__xludf.DUMMYFUNCTION("""COMPUTED_VALUE"""),"チートイ短期大学")</f>
        <v>チートイ短期大学</v>
      </c>
      <c r="B1577" s="10">
        <f>IFERROR(__xludf.DUMMYFUNCTION("""COMPUTED_VALUE"""),593.0)</f>
        <v>593</v>
      </c>
      <c r="C1577" s="10">
        <f>IFERROR(__xludf.DUMMYFUNCTION("""COMPUTED_VALUE"""),6729.0)</f>
        <v>6729</v>
      </c>
      <c r="D1577" s="5">
        <f>IFERROR(__xludf.DUMMYFUNCTION("""COMPUTED_VALUE"""),0.3820078226857888)</f>
        <v>0.3820078227</v>
      </c>
      <c r="E1577" s="5">
        <f>IFERROR(__xludf.DUMMYFUNCTION("""COMPUTED_VALUE"""),0.13559322033898305)</f>
        <v>0.1355932203</v>
      </c>
      <c r="F1577" s="5">
        <f>IFERROR(__xludf.DUMMYFUNCTION("""COMPUTED_VALUE"""),0.21544980443285527)</f>
        <v>0.2154498044</v>
      </c>
      <c r="G1577" s="5">
        <f>IFERROR(__xludf.DUMMYFUNCTION("""COMPUTED_VALUE"""),0.20567144719687092)</f>
        <v>0.2056714472</v>
      </c>
      <c r="H1577" s="5">
        <f>IFERROR(__xludf.DUMMYFUNCTION("""COMPUTED_VALUE"""),0.6059001512859304)</f>
        <v>0.6059001513</v>
      </c>
      <c r="I1577" s="11">
        <f>IFERROR(__xludf.DUMMYFUNCTION("""COMPUTED_VALUE"""),5757.942511346445)</f>
        <v>5757.942511</v>
      </c>
      <c r="J1577" s="10">
        <f>IFERROR(__xludf.DUMMYFUNCTION("""COMPUTED_VALUE"""),2.0)</f>
        <v>2</v>
      </c>
      <c r="K1577" s="5">
        <f>IFERROR(__xludf.DUMMYFUNCTION("""COMPUTED_VALUE"""),0.003372681281618887)</f>
        <v>0.003372681282</v>
      </c>
      <c r="L1577" s="10">
        <f>IFERROR(__xludf.DUMMYFUNCTION("""COMPUTED_VALUE"""),593.0)</f>
        <v>593</v>
      </c>
      <c r="M1577" s="5">
        <f>IFERROR(__xludf.DUMMYFUNCTION("""COMPUTED_VALUE"""),1.0)</f>
        <v>1</v>
      </c>
    </row>
    <row r="1578">
      <c r="A1578" s="10" t="str">
        <f>IFERROR(__xludf.DUMMYFUNCTION("""COMPUTED_VALUE"""),"-FIXER-")</f>
        <v>-FIXER-</v>
      </c>
      <c r="B1578" s="10">
        <f>IFERROR(__xludf.DUMMYFUNCTION("""COMPUTED_VALUE"""),221.0)</f>
        <v>221</v>
      </c>
      <c r="C1578" s="10">
        <f>IFERROR(__xludf.DUMMYFUNCTION("""COMPUTED_VALUE"""),2581.0)</f>
        <v>2581</v>
      </c>
      <c r="D1578" s="5">
        <f>IFERROR(__xludf.DUMMYFUNCTION("""COMPUTED_VALUE"""),0.36610169491525424)</f>
        <v>0.3661016949</v>
      </c>
      <c r="E1578" s="5">
        <f>IFERROR(__xludf.DUMMYFUNCTION("""COMPUTED_VALUE"""),0.13559322033898305)</f>
        <v>0.1355932203</v>
      </c>
      <c r="F1578" s="5">
        <f>IFERROR(__xludf.DUMMYFUNCTION("""COMPUTED_VALUE"""),0.20042372881355933)</f>
        <v>0.2004237288</v>
      </c>
      <c r="G1578" s="5">
        <f>IFERROR(__xludf.DUMMYFUNCTION("""COMPUTED_VALUE"""),0.14322033898305084)</f>
        <v>0.143220339</v>
      </c>
      <c r="H1578" s="5">
        <f>IFERROR(__xludf.DUMMYFUNCTION("""COMPUTED_VALUE"""),0.6321353065539113)</f>
        <v>0.6321353066</v>
      </c>
      <c r="I1578" s="11">
        <f>IFERROR(__xludf.DUMMYFUNCTION("""COMPUTED_VALUE"""),5295.137420718816)</f>
        <v>5295.137421</v>
      </c>
      <c r="J1578" s="10">
        <f>IFERROR(__xludf.DUMMYFUNCTION("""COMPUTED_VALUE"""),1.0)</f>
        <v>1</v>
      </c>
      <c r="K1578" s="5">
        <f>IFERROR(__xludf.DUMMYFUNCTION("""COMPUTED_VALUE"""),0.004524886877828055)</f>
        <v>0.004524886878</v>
      </c>
      <c r="L1578" s="10">
        <f>IFERROR(__xludf.DUMMYFUNCTION("""COMPUTED_VALUE"""),221.0)</f>
        <v>221</v>
      </c>
      <c r="M1578" s="5">
        <f>IFERROR(__xludf.DUMMYFUNCTION("""COMPUTED_VALUE"""),1.0)</f>
        <v>1</v>
      </c>
    </row>
    <row r="1579">
      <c r="A1579" s="10" t="str">
        <f>IFERROR(__xludf.DUMMYFUNCTION("""COMPUTED_VALUE"""),"ガルおじミキ")</f>
        <v>ガルおじミキ</v>
      </c>
      <c r="B1579" s="10">
        <f>IFERROR(__xludf.DUMMYFUNCTION("""COMPUTED_VALUE"""),511.0)</f>
        <v>511</v>
      </c>
      <c r="C1579" s="10">
        <f>IFERROR(__xludf.DUMMYFUNCTION("""COMPUTED_VALUE"""),5976.0)</f>
        <v>5976</v>
      </c>
      <c r="D1579" s="5">
        <f>IFERROR(__xludf.DUMMYFUNCTION("""COMPUTED_VALUE"""),0.3213174748398902)</f>
        <v>0.3213174748</v>
      </c>
      <c r="E1579" s="5">
        <f>IFERROR(__xludf.DUMMYFUNCTION("""COMPUTED_VALUE"""),0.13559011893870082)</f>
        <v>0.1355901189</v>
      </c>
      <c r="F1579" s="5">
        <f>IFERROR(__xludf.DUMMYFUNCTION("""COMPUTED_VALUE"""),0.21079597438243367)</f>
        <v>0.2107959744</v>
      </c>
      <c r="G1579" s="5">
        <f>IFERROR(__xludf.DUMMYFUNCTION("""COMPUTED_VALUE"""),0.20164684354986276)</f>
        <v>0.2016468435</v>
      </c>
      <c r="H1579" s="5">
        <f>IFERROR(__xludf.DUMMYFUNCTION("""COMPUTED_VALUE"""),0.5963541666666666)</f>
        <v>0.5963541667</v>
      </c>
      <c r="I1579" s="11">
        <f>IFERROR(__xludf.DUMMYFUNCTION("""COMPUTED_VALUE"""),5647.829861111111)</f>
        <v>5647.829861</v>
      </c>
      <c r="J1579" s="10">
        <f>IFERROR(__xludf.DUMMYFUNCTION("""COMPUTED_VALUE"""),1.0)</f>
        <v>1</v>
      </c>
      <c r="K1579" s="5">
        <f>IFERROR(__xludf.DUMMYFUNCTION("""COMPUTED_VALUE"""),0.0019569471624266144)</f>
        <v>0.001956947162</v>
      </c>
      <c r="L1579" s="10">
        <f>IFERROR(__xludf.DUMMYFUNCTION("""COMPUTED_VALUE"""),511.0)</f>
        <v>511</v>
      </c>
      <c r="M1579" s="5">
        <f>IFERROR(__xludf.DUMMYFUNCTION("""COMPUTED_VALUE"""),1.0)</f>
        <v>1</v>
      </c>
    </row>
    <row r="1580">
      <c r="A1580" s="10" t="str">
        <f>IFERROR(__xludf.DUMMYFUNCTION("""COMPUTED_VALUE"""),"柴田紅子")</f>
        <v>柴田紅子</v>
      </c>
      <c r="B1580" s="10">
        <f>IFERROR(__xludf.DUMMYFUNCTION("""COMPUTED_VALUE"""),653.0)</f>
        <v>653</v>
      </c>
      <c r="C1580" s="10">
        <f>IFERROR(__xludf.DUMMYFUNCTION("""COMPUTED_VALUE"""),7689.0)</f>
        <v>7689</v>
      </c>
      <c r="D1580" s="5">
        <f>IFERROR(__xludf.DUMMYFUNCTION("""COMPUTED_VALUE"""),0.3146674246731097)</f>
        <v>0.3146674247</v>
      </c>
      <c r="E1580" s="5">
        <f>IFERROR(__xludf.DUMMYFUNCTION("""COMPUTED_VALUE"""),0.13558840250142126)</f>
        <v>0.1355884025</v>
      </c>
      <c r="F1580" s="5">
        <f>IFERROR(__xludf.DUMMYFUNCTION("""COMPUTED_VALUE"""),0.18959636156907334)</f>
        <v>0.1895963616</v>
      </c>
      <c r="G1580" s="5">
        <f>IFERROR(__xludf.DUMMYFUNCTION("""COMPUTED_VALUE"""),0.10574189880613985)</f>
        <v>0.1057418988</v>
      </c>
      <c r="H1580" s="5">
        <f>IFERROR(__xludf.DUMMYFUNCTION("""COMPUTED_VALUE"""),0.6041979010494752)</f>
        <v>0.604197901</v>
      </c>
      <c r="I1580" s="11">
        <f>IFERROR(__xludf.DUMMYFUNCTION("""COMPUTED_VALUE"""),6007.571214392804)</f>
        <v>6007.571214</v>
      </c>
      <c r="J1580" s="10">
        <f>IFERROR(__xludf.DUMMYFUNCTION("""COMPUTED_VALUE"""),4.0)</f>
        <v>4</v>
      </c>
      <c r="K1580" s="5">
        <f>IFERROR(__xludf.DUMMYFUNCTION("""COMPUTED_VALUE"""),0.006125574272588055)</f>
        <v>0.006125574273</v>
      </c>
      <c r="L1580" s="10">
        <f>IFERROR(__xludf.DUMMYFUNCTION("""COMPUTED_VALUE"""),0.0)</f>
        <v>0</v>
      </c>
      <c r="M1580" s="5">
        <f>IFERROR(__xludf.DUMMYFUNCTION("""COMPUTED_VALUE"""),0.0)</f>
        <v>0</v>
      </c>
    </row>
    <row r="1581">
      <c r="A1581" s="10" t="str">
        <f>IFERROR(__xludf.DUMMYFUNCTION("""COMPUTED_VALUE"""),"億万笑者")</f>
        <v>億万笑者</v>
      </c>
      <c r="B1581" s="10">
        <f>IFERROR(__xludf.DUMMYFUNCTION("""COMPUTED_VALUE"""),403.0)</f>
        <v>403</v>
      </c>
      <c r="C1581" s="10">
        <f>IFERROR(__xludf.DUMMYFUNCTION("""COMPUTED_VALUE"""),4725.0)</f>
        <v>4725</v>
      </c>
      <c r="D1581" s="5">
        <f>IFERROR(__xludf.DUMMYFUNCTION("""COMPUTED_VALUE"""),0.36210087922258216)</f>
        <v>0.3621008792</v>
      </c>
      <c r="E1581" s="5">
        <f>IFERROR(__xludf.DUMMYFUNCTION("""COMPUTED_VALUE"""),0.13558537714021288)</f>
        <v>0.1355853771</v>
      </c>
      <c r="F1581" s="5">
        <f>IFERROR(__xludf.DUMMYFUNCTION("""COMPUTED_VALUE"""),0.2075428042572883)</f>
        <v>0.2075428043</v>
      </c>
      <c r="G1581" s="5">
        <f>IFERROR(__xludf.DUMMYFUNCTION("""COMPUTED_VALUE"""),0.16311892642295234)</f>
        <v>0.1631189264</v>
      </c>
      <c r="H1581" s="5">
        <f>IFERROR(__xludf.DUMMYFUNCTION("""COMPUTED_VALUE"""),0.5875139353400223)</f>
        <v>0.5875139353</v>
      </c>
      <c r="I1581" s="11">
        <f>IFERROR(__xludf.DUMMYFUNCTION("""COMPUTED_VALUE"""),5505.797101449275)</f>
        <v>5505.797101</v>
      </c>
      <c r="J1581" s="10">
        <f>IFERROR(__xludf.DUMMYFUNCTION("""COMPUTED_VALUE"""),0.0)</f>
        <v>0</v>
      </c>
      <c r="K1581" s="5">
        <f>IFERROR(__xludf.DUMMYFUNCTION("""COMPUTED_VALUE"""),0.0)</f>
        <v>0</v>
      </c>
      <c r="L1581" s="10">
        <f>IFERROR(__xludf.DUMMYFUNCTION("""COMPUTED_VALUE"""),403.0)</f>
        <v>403</v>
      </c>
      <c r="M1581" s="5">
        <f>IFERROR(__xludf.DUMMYFUNCTION("""COMPUTED_VALUE"""),1.0)</f>
        <v>1</v>
      </c>
    </row>
    <row r="1582">
      <c r="A1582" s="10" t="str">
        <f>IFERROR(__xludf.DUMMYFUNCTION("""COMPUTED_VALUE"""),"Tea3")</f>
        <v>Tea3</v>
      </c>
      <c r="B1582" s="10">
        <f>IFERROR(__xludf.DUMMYFUNCTION("""COMPUTED_VALUE"""),469.0)</f>
        <v>469</v>
      </c>
      <c r="C1582" s="10">
        <f>IFERROR(__xludf.DUMMYFUNCTION("""COMPUTED_VALUE"""),5374.0)</f>
        <v>5374</v>
      </c>
      <c r="D1582" s="5">
        <f>IFERROR(__xludf.DUMMYFUNCTION("""COMPUTED_VALUE"""),0.3416921508664628)</f>
        <v>0.3416921509</v>
      </c>
      <c r="E1582" s="5">
        <f>IFERROR(__xludf.DUMMYFUNCTION("""COMPUTED_VALUE"""),0.13557594291539246)</f>
        <v>0.1355759429</v>
      </c>
      <c r="F1582" s="5">
        <f>IFERROR(__xludf.DUMMYFUNCTION("""COMPUTED_VALUE"""),0.2163098878695209)</f>
        <v>0.2163098879</v>
      </c>
      <c r="G1582" s="5">
        <f>IFERROR(__xludf.DUMMYFUNCTION("""COMPUTED_VALUE"""),0.1747196738022426)</f>
        <v>0.1747196738</v>
      </c>
      <c r="H1582" s="5">
        <f>IFERROR(__xludf.DUMMYFUNCTION("""COMPUTED_VALUE"""),0.6182846371347785)</f>
        <v>0.6182846371</v>
      </c>
      <c r="I1582" s="11">
        <f>IFERROR(__xludf.DUMMYFUNCTION("""COMPUTED_VALUE"""),5744.486333647503)</f>
        <v>5744.486334</v>
      </c>
      <c r="J1582" s="10">
        <f>IFERROR(__xludf.DUMMYFUNCTION("""COMPUTED_VALUE"""),0.0)</f>
        <v>0</v>
      </c>
      <c r="K1582" s="5">
        <f>IFERROR(__xludf.DUMMYFUNCTION("""COMPUTED_VALUE"""),0.0)</f>
        <v>0</v>
      </c>
      <c r="L1582" s="10">
        <f>IFERROR(__xludf.DUMMYFUNCTION("""COMPUTED_VALUE"""),469.0)</f>
        <v>469</v>
      </c>
      <c r="M1582" s="5">
        <f>IFERROR(__xludf.DUMMYFUNCTION("""COMPUTED_VALUE"""),1.0)</f>
        <v>1</v>
      </c>
    </row>
    <row r="1583">
      <c r="A1583" s="10" t="str">
        <f>IFERROR(__xludf.DUMMYFUNCTION("""COMPUTED_VALUE"""),"万点棒")</f>
        <v>万点棒</v>
      </c>
      <c r="B1583" s="10">
        <f>IFERROR(__xludf.DUMMYFUNCTION("""COMPUTED_VALUE"""),102.0)</f>
        <v>102</v>
      </c>
      <c r="C1583" s="10">
        <f>IFERROR(__xludf.DUMMYFUNCTION("""COMPUTED_VALUE"""),1194.0)</f>
        <v>1194</v>
      </c>
      <c r="D1583" s="5">
        <f>IFERROR(__xludf.DUMMYFUNCTION("""COMPUTED_VALUE"""),0.3617216117216117)</f>
        <v>0.3617216117</v>
      </c>
      <c r="E1583" s="5">
        <f>IFERROR(__xludf.DUMMYFUNCTION("""COMPUTED_VALUE"""),0.13553113553113552)</f>
        <v>0.1355311355</v>
      </c>
      <c r="F1583" s="5">
        <f>IFERROR(__xludf.DUMMYFUNCTION("""COMPUTED_VALUE"""),0.21611721611721613)</f>
        <v>0.2161172161</v>
      </c>
      <c r="G1583" s="5">
        <f>IFERROR(__xludf.DUMMYFUNCTION("""COMPUTED_VALUE"""),0.19413919413919414)</f>
        <v>0.1941391941</v>
      </c>
      <c r="H1583" s="5">
        <f>IFERROR(__xludf.DUMMYFUNCTION("""COMPUTED_VALUE"""),0.6059322033898306)</f>
        <v>0.6059322034</v>
      </c>
      <c r="I1583" s="11">
        <f>IFERROR(__xludf.DUMMYFUNCTION("""COMPUTED_VALUE"""),5693.220338983051)</f>
        <v>5693.220339</v>
      </c>
      <c r="J1583" s="10">
        <f>IFERROR(__xludf.DUMMYFUNCTION("""COMPUTED_VALUE"""),0.0)</f>
        <v>0</v>
      </c>
      <c r="K1583" s="5">
        <f>IFERROR(__xludf.DUMMYFUNCTION("""COMPUTED_VALUE"""),0.0)</f>
        <v>0</v>
      </c>
      <c r="L1583" s="10">
        <f>IFERROR(__xludf.DUMMYFUNCTION("""COMPUTED_VALUE"""),102.0)</f>
        <v>102</v>
      </c>
      <c r="M1583" s="5">
        <f>IFERROR(__xludf.DUMMYFUNCTION("""COMPUTED_VALUE"""),1.0)</f>
        <v>1</v>
      </c>
    </row>
    <row r="1584">
      <c r="A1584" s="10" t="str">
        <f>IFERROR(__xludf.DUMMYFUNCTION("""COMPUTED_VALUE"""),"ちゅうれん")</f>
        <v>ちゅうれん</v>
      </c>
      <c r="B1584" s="10">
        <f>IFERROR(__xludf.DUMMYFUNCTION("""COMPUTED_VALUE"""),176.0)</f>
        <v>176</v>
      </c>
      <c r="C1584" s="10">
        <f>IFERROR(__xludf.DUMMYFUNCTION("""COMPUTED_VALUE"""),2087.0)</f>
        <v>2087</v>
      </c>
      <c r="D1584" s="5">
        <f>IFERROR(__xludf.DUMMYFUNCTION("""COMPUTED_VALUE"""),0.36002093144950287)</f>
        <v>0.3600209314</v>
      </c>
      <c r="E1584" s="5">
        <f>IFERROR(__xludf.DUMMYFUNCTION("""COMPUTED_VALUE"""),0.13553113553113552)</f>
        <v>0.1355311355</v>
      </c>
      <c r="F1584" s="5">
        <f>IFERROR(__xludf.DUMMYFUNCTION("""COMPUTED_VALUE"""),0.18942961800104657)</f>
        <v>0.189429618</v>
      </c>
      <c r="G1584" s="5">
        <f>IFERROR(__xludf.DUMMYFUNCTION("""COMPUTED_VALUE"""),0.16588173731030875)</f>
        <v>0.1658817373</v>
      </c>
      <c r="H1584" s="5">
        <f>IFERROR(__xludf.DUMMYFUNCTION("""COMPUTED_VALUE"""),0.5939226519337016)</f>
        <v>0.5939226519</v>
      </c>
      <c r="I1584" s="11">
        <f>IFERROR(__xludf.DUMMYFUNCTION("""COMPUTED_VALUE"""),5712.983425414364)</f>
        <v>5712.983425</v>
      </c>
      <c r="J1584" s="10">
        <f>IFERROR(__xludf.DUMMYFUNCTION("""COMPUTED_VALUE"""),0.0)</f>
        <v>0</v>
      </c>
      <c r="K1584" s="5">
        <f>IFERROR(__xludf.DUMMYFUNCTION("""COMPUTED_VALUE"""),0.0)</f>
        <v>0</v>
      </c>
      <c r="L1584" s="10">
        <f>IFERROR(__xludf.DUMMYFUNCTION("""COMPUTED_VALUE"""),176.0)</f>
        <v>176</v>
      </c>
      <c r="M1584" s="5">
        <f>IFERROR(__xludf.DUMMYFUNCTION("""COMPUTED_VALUE"""),1.0)</f>
        <v>1</v>
      </c>
    </row>
    <row r="1585">
      <c r="A1585" s="10" t="str">
        <f>IFERROR(__xludf.DUMMYFUNCTION("""COMPUTED_VALUE"""),"ROTTEN")</f>
        <v>ROTTEN</v>
      </c>
      <c r="B1585" s="10">
        <f>IFERROR(__xludf.DUMMYFUNCTION("""COMPUTED_VALUE"""),192.0)</f>
        <v>192</v>
      </c>
      <c r="C1585" s="10">
        <f>IFERROR(__xludf.DUMMYFUNCTION("""COMPUTED_VALUE"""),2273.0)</f>
        <v>2273</v>
      </c>
      <c r="D1585" s="5">
        <f>IFERROR(__xludf.DUMMYFUNCTION("""COMPUTED_VALUE"""),0.4036520903411821)</f>
        <v>0.4036520903</v>
      </c>
      <c r="E1585" s="5">
        <f>IFERROR(__xludf.DUMMYFUNCTION("""COMPUTED_VALUE"""),0.1355117731859683)</f>
        <v>0.1355117732</v>
      </c>
      <c r="F1585" s="5">
        <f>IFERROR(__xludf.DUMMYFUNCTION("""COMPUTED_VALUE"""),0.20326765977895242)</f>
        <v>0.2032676598</v>
      </c>
      <c r="G1585" s="5">
        <f>IFERROR(__xludf.DUMMYFUNCTION("""COMPUTED_VALUE"""),0.15905814512253724)</f>
        <v>0.1590581451</v>
      </c>
      <c r="H1585" s="5">
        <f>IFERROR(__xludf.DUMMYFUNCTION("""COMPUTED_VALUE"""),0.6335697399527187)</f>
        <v>0.63356974</v>
      </c>
      <c r="I1585" s="11">
        <f>IFERROR(__xludf.DUMMYFUNCTION("""COMPUTED_VALUE"""),4920.094562647754)</f>
        <v>4920.094563</v>
      </c>
      <c r="J1585" s="10">
        <f>IFERROR(__xludf.DUMMYFUNCTION("""COMPUTED_VALUE"""),0.0)</f>
        <v>0</v>
      </c>
      <c r="K1585" s="5">
        <f>IFERROR(__xludf.DUMMYFUNCTION("""COMPUTED_VALUE"""),0.0)</f>
        <v>0</v>
      </c>
      <c r="L1585" s="10">
        <f>IFERROR(__xludf.DUMMYFUNCTION("""COMPUTED_VALUE"""),86.0)</f>
        <v>86</v>
      </c>
      <c r="M1585" s="5">
        <f>IFERROR(__xludf.DUMMYFUNCTION("""COMPUTED_VALUE"""),0.4479166666666667)</f>
        <v>0.4479166667</v>
      </c>
    </row>
    <row r="1586">
      <c r="A1586" s="10" t="str">
        <f>IFERROR(__xludf.DUMMYFUNCTION("""COMPUTED_VALUE"""),"ぺるるんぱ！")</f>
        <v>ぺるるんぱ！</v>
      </c>
      <c r="B1586" s="10">
        <f>IFERROR(__xludf.DUMMYFUNCTION("""COMPUTED_VALUE"""),497.0)</f>
        <v>497</v>
      </c>
      <c r="C1586" s="10">
        <f>IFERROR(__xludf.DUMMYFUNCTION("""COMPUTED_VALUE"""),5803.0)</f>
        <v>5803</v>
      </c>
      <c r="D1586" s="5">
        <f>IFERROR(__xludf.DUMMYFUNCTION("""COMPUTED_VALUE"""),0.341688654353562)</f>
        <v>0.3416886544</v>
      </c>
      <c r="E1586" s="5">
        <f>IFERROR(__xludf.DUMMYFUNCTION("""COMPUTED_VALUE"""),0.13550697323784394)</f>
        <v>0.1355069732</v>
      </c>
      <c r="F1586" s="5">
        <f>IFERROR(__xludf.DUMMYFUNCTION("""COMPUTED_VALUE"""),0.20806633999246135)</f>
        <v>0.20806634</v>
      </c>
      <c r="G1586" s="5">
        <f>IFERROR(__xludf.DUMMYFUNCTION("""COMPUTED_VALUE"""),0.183942706370147)</f>
        <v>0.1839427064</v>
      </c>
      <c r="H1586" s="5">
        <f>IFERROR(__xludf.DUMMYFUNCTION("""COMPUTED_VALUE"""),0.6023550724637681)</f>
        <v>0.6023550725</v>
      </c>
      <c r="I1586" s="11">
        <f>IFERROR(__xludf.DUMMYFUNCTION("""COMPUTED_VALUE"""),5857.518115942029)</f>
        <v>5857.518116</v>
      </c>
      <c r="J1586" s="10">
        <f>IFERROR(__xludf.DUMMYFUNCTION("""COMPUTED_VALUE"""),1.0)</f>
        <v>1</v>
      </c>
      <c r="K1586" s="5">
        <f>IFERROR(__xludf.DUMMYFUNCTION("""COMPUTED_VALUE"""),0.002012072434607646)</f>
        <v>0.002012072435</v>
      </c>
      <c r="L1586" s="10">
        <f>IFERROR(__xludf.DUMMYFUNCTION("""COMPUTED_VALUE"""),497.0)</f>
        <v>497</v>
      </c>
      <c r="M1586" s="5">
        <f>IFERROR(__xludf.DUMMYFUNCTION("""COMPUTED_VALUE"""),1.0)</f>
        <v>1</v>
      </c>
    </row>
    <row r="1587">
      <c r="A1587" s="10" t="str">
        <f>IFERROR(__xludf.DUMMYFUNCTION("""COMPUTED_VALUE"""),"その一方ないわ～")</f>
        <v>その一方ないわ～</v>
      </c>
      <c r="B1587" s="10">
        <f>IFERROR(__xludf.DUMMYFUNCTION("""COMPUTED_VALUE"""),317.0)</f>
        <v>317</v>
      </c>
      <c r="C1587" s="10">
        <f>IFERROR(__xludf.DUMMYFUNCTION("""COMPUTED_VALUE"""),3815.0)</f>
        <v>3815</v>
      </c>
      <c r="D1587" s="5">
        <f>IFERROR(__xludf.DUMMYFUNCTION("""COMPUTED_VALUE"""),0.40508862206975416)</f>
        <v>0.4050886221</v>
      </c>
      <c r="E1587" s="5">
        <f>IFERROR(__xludf.DUMMYFUNCTION("""COMPUTED_VALUE"""),0.13550600343053174)</f>
        <v>0.1355060034</v>
      </c>
      <c r="F1587" s="5">
        <f>IFERROR(__xludf.DUMMYFUNCTION("""COMPUTED_VALUE"""),0.198399085191538)</f>
        <v>0.1983990852</v>
      </c>
      <c r="G1587" s="5">
        <f>IFERROR(__xludf.DUMMYFUNCTION("""COMPUTED_VALUE"""),0.1672384219554031)</f>
        <v>0.167238422</v>
      </c>
      <c r="H1587" s="5">
        <f>IFERROR(__xludf.DUMMYFUNCTION("""COMPUTED_VALUE"""),0.5432276657060519)</f>
        <v>0.5432276657</v>
      </c>
      <c r="I1587" s="11">
        <f>IFERROR(__xludf.DUMMYFUNCTION("""COMPUTED_VALUE"""),5703.025936599423)</f>
        <v>5703.025937</v>
      </c>
      <c r="J1587" s="10">
        <f>IFERROR(__xludf.DUMMYFUNCTION("""COMPUTED_VALUE"""),1.0)</f>
        <v>1</v>
      </c>
      <c r="K1587" s="5">
        <f>IFERROR(__xludf.DUMMYFUNCTION("""COMPUTED_VALUE"""),0.0031545741324921135)</f>
        <v>0.003154574132</v>
      </c>
      <c r="L1587" s="10">
        <f>IFERROR(__xludf.DUMMYFUNCTION("""COMPUTED_VALUE"""),317.0)</f>
        <v>317</v>
      </c>
      <c r="M1587" s="5">
        <f>IFERROR(__xludf.DUMMYFUNCTION("""COMPUTED_VALUE"""),1.0)</f>
        <v>1</v>
      </c>
    </row>
    <row r="1588">
      <c r="A1588" s="10" t="str">
        <f>IFERROR(__xludf.DUMMYFUNCTION("""COMPUTED_VALUE"""),"Aka-ura")</f>
        <v>Aka-ura</v>
      </c>
      <c r="B1588" s="10">
        <f>IFERROR(__xludf.DUMMYFUNCTION("""COMPUTED_VALUE"""),1201.0)</f>
        <v>1201</v>
      </c>
      <c r="C1588" s="10">
        <f>IFERROR(__xludf.DUMMYFUNCTION("""COMPUTED_VALUE"""),14123.0)</f>
        <v>14123</v>
      </c>
      <c r="D1588" s="5">
        <f>IFERROR(__xludf.DUMMYFUNCTION("""COMPUTED_VALUE"""),0.4179693545890729)</f>
        <v>0.4179693546</v>
      </c>
      <c r="E1588" s="5">
        <f>IFERROR(__xludf.DUMMYFUNCTION("""COMPUTED_VALUE"""),0.13550533973069184)</f>
        <v>0.1355053397</v>
      </c>
      <c r="F1588" s="5">
        <f>IFERROR(__xludf.DUMMYFUNCTION("""COMPUTED_VALUE"""),0.21707166073363257)</f>
        <v>0.2170716607</v>
      </c>
      <c r="G1588" s="5">
        <f>IFERROR(__xludf.DUMMYFUNCTION("""COMPUTED_VALUE"""),0.16243615539390188)</f>
        <v>0.1624361554</v>
      </c>
      <c r="H1588" s="5">
        <f>IFERROR(__xludf.DUMMYFUNCTION("""COMPUTED_VALUE"""),0.6010695187165775)</f>
        <v>0.6010695187</v>
      </c>
      <c r="I1588" s="11">
        <f>IFERROR(__xludf.DUMMYFUNCTION("""COMPUTED_VALUE"""),5377.7183600713015)</f>
        <v>5377.71836</v>
      </c>
      <c r="J1588" s="10">
        <f>IFERROR(__xludf.DUMMYFUNCTION("""COMPUTED_VALUE"""),2.0)</f>
        <v>2</v>
      </c>
      <c r="K1588" s="5">
        <f>IFERROR(__xludf.DUMMYFUNCTION("""COMPUTED_VALUE"""),0.0016652789342214821)</f>
        <v>0.001665278934</v>
      </c>
      <c r="L1588" s="10">
        <f>IFERROR(__xludf.DUMMYFUNCTION("""COMPUTED_VALUE"""),323.0)</f>
        <v>323</v>
      </c>
      <c r="M1588" s="5">
        <f>IFERROR(__xludf.DUMMYFUNCTION("""COMPUTED_VALUE"""),0.26894254787676936)</f>
        <v>0.2689425479</v>
      </c>
    </row>
    <row r="1589">
      <c r="A1589" s="10" t="str">
        <f>IFERROR(__xludf.DUMMYFUNCTION("""COMPUTED_VALUE"""),"dai1212")</f>
        <v>dai1212</v>
      </c>
      <c r="B1589" s="10">
        <f>IFERROR(__xludf.DUMMYFUNCTION("""COMPUTED_VALUE"""),370.0)</f>
        <v>370</v>
      </c>
      <c r="C1589" s="10">
        <f>IFERROR(__xludf.DUMMYFUNCTION("""COMPUTED_VALUE"""),4252.0)</f>
        <v>4252</v>
      </c>
      <c r="D1589" s="5">
        <f>IFERROR(__xludf.DUMMYFUNCTION("""COMPUTED_VALUE"""),0.3433797011849562)</f>
        <v>0.3433797012</v>
      </c>
      <c r="E1589" s="5">
        <f>IFERROR(__xludf.DUMMYFUNCTION("""COMPUTED_VALUE"""),0.1354971664090675)</f>
        <v>0.1354971664</v>
      </c>
      <c r="F1589" s="5">
        <f>IFERROR(__xludf.DUMMYFUNCTION("""COMPUTED_VALUE"""),0.20401854714064915)</f>
        <v>0.2040185471</v>
      </c>
      <c r="G1589" s="5">
        <f>IFERROR(__xludf.DUMMYFUNCTION("""COMPUTED_VALUE"""),0.1872746007212777)</f>
        <v>0.1872746007</v>
      </c>
      <c r="H1589" s="5">
        <f>IFERROR(__xludf.DUMMYFUNCTION("""COMPUTED_VALUE"""),0.5517676767676768)</f>
        <v>0.5517676768</v>
      </c>
      <c r="I1589" s="11">
        <f>IFERROR(__xludf.DUMMYFUNCTION("""COMPUTED_VALUE"""),5986.111111111111)</f>
        <v>5986.111111</v>
      </c>
      <c r="J1589" s="10">
        <f>IFERROR(__xludf.DUMMYFUNCTION("""COMPUTED_VALUE"""),1.0)</f>
        <v>1</v>
      </c>
      <c r="K1589" s="5">
        <f>IFERROR(__xludf.DUMMYFUNCTION("""COMPUTED_VALUE"""),0.002702702702702703)</f>
        <v>0.002702702703</v>
      </c>
      <c r="L1589" s="10">
        <f>IFERROR(__xludf.DUMMYFUNCTION("""COMPUTED_VALUE"""),370.0)</f>
        <v>370</v>
      </c>
      <c r="M1589" s="5">
        <f>IFERROR(__xludf.DUMMYFUNCTION("""COMPUTED_VALUE"""),1.0)</f>
        <v>1</v>
      </c>
    </row>
    <row r="1590">
      <c r="A1590" s="10" t="str">
        <f>IFERROR(__xludf.DUMMYFUNCTION("""COMPUTED_VALUE"""),"狂犬")</f>
        <v>狂犬</v>
      </c>
      <c r="B1590" s="10">
        <f>IFERROR(__xludf.DUMMYFUNCTION("""COMPUTED_VALUE"""),364.0)</f>
        <v>364</v>
      </c>
      <c r="C1590" s="10">
        <f>IFERROR(__xludf.DUMMYFUNCTION("""COMPUTED_VALUE"""),4187.0)</f>
        <v>4187</v>
      </c>
      <c r="D1590" s="5">
        <f>IFERROR(__xludf.DUMMYFUNCTION("""COMPUTED_VALUE"""),0.3787601360188334)</f>
        <v>0.378760136</v>
      </c>
      <c r="E1590" s="5">
        <f>IFERROR(__xludf.DUMMYFUNCTION("""COMPUTED_VALUE"""),0.13549568401778708)</f>
        <v>0.135495684</v>
      </c>
      <c r="F1590" s="5">
        <f>IFERROR(__xludf.DUMMYFUNCTION("""COMPUTED_VALUE"""),0.21135234109338216)</f>
        <v>0.2113523411</v>
      </c>
      <c r="G1590" s="5">
        <f>IFERROR(__xludf.DUMMYFUNCTION("""COMPUTED_VALUE"""),0.1776092074287209)</f>
        <v>0.1776092074</v>
      </c>
      <c r="H1590" s="5">
        <f>IFERROR(__xludf.DUMMYFUNCTION("""COMPUTED_VALUE"""),0.6076732673267327)</f>
        <v>0.6076732673</v>
      </c>
      <c r="I1590" s="11">
        <f>IFERROR(__xludf.DUMMYFUNCTION("""COMPUTED_VALUE"""),5763.985148514851)</f>
        <v>5763.985149</v>
      </c>
      <c r="J1590" s="10">
        <f>IFERROR(__xludf.DUMMYFUNCTION("""COMPUTED_VALUE"""),0.0)</f>
        <v>0</v>
      </c>
      <c r="K1590" s="5">
        <f>IFERROR(__xludf.DUMMYFUNCTION("""COMPUTED_VALUE"""),0.0)</f>
        <v>0</v>
      </c>
      <c r="L1590" s="10">
        <f>IFERROR(__xludf.DUMMYFUNCTION("""COMPUTED_VALUE"""),364.0)</f>
        <v>364</v>
      </c>
      <c r="M1590" s="5">
        <f>IFERROR(__xludf.DUMMYFUNCTION("""COMPUTED_VALUE"""),1.0)</f>
        <v>1</v>
      </c>
    </row>
    <row r="1591">
      <c r="A1591" s="10" t="str">
        <f>IFERROR(__xludf.DUMMYFUNCTION("""COMPUTED_VALUE"""),"スマホ用のやつ")</f>
        <v>スマホ用のやつ</v>
      </c>
      <c r="B1591" s="10">
        <f>IFERROR(__xludf.DUMMYFUNCTION("""COMPUTED_VALUE"""),276.0)</f>
        <v>276</v>
      </c>
      <c r="C1591" s="10">
        <f>IFERROR(__xludf.DUMMYFUNCTION("""COMPUTED_VALUE"""),3221.0)</f>
        <v>3221</v>
      </c>
      <c r="D1591" s="5">
        <f>IFERROR(__xludf.DUMMYFUNCTION("""COMPUTED_VALUE"""),0.34838709677419355)</f>
        <v>0.3483870968</v>
      </c>
      <c r="E1591" s="5">
        <f>IFERROR(__xludf.DUMMYFUNCTION("""COMPUTED_VALUE"""),0.13548387096774195)</f>
        <v>0.135483871</v>
      </c>
      <c r="F1591" s="5">
        <f>IFERROR(__xludf.DUMMYFUNCTION("""COMPUTED_VALUE"""),0.21901528013582344)</f>
        <v>0.2190152801</v>
      </c>
      <c r="G1591" s="5">
        <f>IFERROR(__xludf.DUMMYFUNCTION("""COMPUTED_VALUE"""),0.16808149405772496)</f>
        <v>0.1680814941</v>
      </c>
      <c r="H1591" s="5">
        <f>IFERROR(__xludf.DUMMYFUNCTION("""COMPUTED_VALUE"""),0.6124031007751938)</f>
        <v>0.6124031008</v>
      </c>
      <c r="I1591" s="11">
        <f>IFERROR(__xludf.DUMMYFUNCTION("""COMPUTED_VALUE"""),5629.457364341085)</f>
        <v>5629.457364</v>
      </c>
      <c r="J1591" s="10">
        <f>IFERROR(__xludf.DUMMYFUNCTION("""COMPUTED_VALUE"""),1.0)</f>
        <v>1</v>
      </c>
      <c r="K1591" s="5">
        <f>IFERROR(__xludf.DUMMYFUNCTION("""COMPUTED_VALUE"""),0.0036231884057971015)</f>
        <v>0.003623188406</v>
      </c>
      <c r="L1591" s="10">
        <f>IFERROR(__xludf.DUMMYFUNCTION("""COMPUTED_VALUE"""),276.0)</f>
        <v>276</v>
      </c>
      <c r="M1591" s="5">
        <f>IFERROR(__xludf.DUMMYFUNCTION("""COMPUTED_VALUE"""),1.0)</f>
        <v>1</v>
      </c>
    </row>
    <row r="1592">
      <c r="A1592" s="10" t="str">
        <f>IFERROR(__xludf.DUMMYFUNCTION("""COMPUTED_VALUE"""),"そすう(∵)")</f>
        <v>そすう(∵)</v>
      </c>
      <c r="B1592" s="10">
        <f>IFERROR(__xludf.DUMMYFUNCTION("""COMPUTED_VALUE"""),133.0)</f>
        <v>133</v>
      </c>
      <c r="C1592" s="10">
        <f>IFERROR(__xludf.DUMMYFUNCTION("""COMPUTED_VALUE"""),1565.0)</f>
        <v>1565</v>
      </c>
      <c r="D1592" s="5">
        <f>IFERROR(__xludf.DUMMYFUNCTION("""COMPUTED_VALUE"""),0.36662011173184356)</f>
        <v>0.3666201117</v>
      </c>
      <c r="E1592" s="5">
        <f>IFERROR(__xludf.DUMMYFUNCTION("""COMPUTED_VALUE"""),0.13547486033519554)</f>
        <v>0.1354748603</v>
      </c>
      <c r="F1592" s="5">
        <f>IFERROR(__xludf.DUMMYFUNCTION("""COMPUTED_VALUE"""),0.19762569832402235)</f>
        <v>0.1976256983</v>
      </c>
      <c r="G1592" s="5">
        <f>IFERROR(__xludf.DUMMYFUNCTION("""COMPUTED_VALUE"""),0.15712290502793297)</f>
        <v>0.157122905</v>
      </c>
      <c r="H1592" s="5">
        <f>IFERROR(__xludf.DUMMYFUNCTION("""COMPUTED_VALUE"""),0.5971731448763251)</f>
        <v>0.5971731449</v>
      </c>
      <c r="I1592" s="11">
        <f>IFERROR(__xludf.DUMMYFUNCTION("""COMPUTED_VALUE"""),5841.342756183745)</f>
        <v>5841.342756</v>
      </c>
      <c r="J1592" s="10">
        <f>IFERROR(__xludf.DUMMYFUNCTION("""COMPUTED_VALUE"""),0.0)</f>
        <v>0</v>
      </c>
      <c r="K1592" s="5">
        <f>IFERROR(__xludf.DUMMYFUNCTION("""COMPUTED_VALUE"""),0.0)</f>
        <v>0</v>
      </c>
      <c r="L1592" s="10">
        <f>IFERROR(__xludf.DUMMYFUNCTION("""COMPUTED_VALUE"""),133.0)</f>
        <v>133</v>
      </c>
      <c r="M1592" s="5">
        <f>IFERROR(__xludf.DUMMYFUNCTION("""COMPUTED_VALUE"""),1.0)</f>
        <v>1</v>
      </c>
    </row>
    <row r="1593">
      <c r="A1593" s="10" t="str">
        <f>IFERROR(__xludf.DUMMYFUNCTION("""COMPUTED_VALUE"""),"女なのあがらせて")</f>
        <v>女なのあがらせて</v>
      </c>
      <c r="B1593" s="10">
        <f>IFERROR(__xludf.DUMMYFUNCTION("""COMPUTED_VALUE"""),466.0)</f>
        <v>466</v>
      </c>
      <c r="C1593" s="10">
        <f>IFERROR(__xludf.DUMMYFUNCTION("""COMPUTED_VALUE"""),5515.0)</f>
        <v>5515</v>
      </c>
      <c r="D1593" s="5">
        <f>IFERROR(__xludf.DUMMYFUNCTION("""COMPUTED_VALUE"""),0.39413745296098235)</f>
        <v>0.394137453</v>
      </c>
      <c r="E1593" s="5">
        <f>IFERROR(__xludf.DUMMYFUNCTION("""COMPUTED_VALUE"""),0.1354723707664884)</f>
        <v>0.1354723708</v>
      </c>
      <c r="F1593" s="5">
        <f>IFERROR(__xludf.DUMMYFUNCTION("""COMPUTED_VALUE"""),0.2119231530996237)</f>
        <v>0.2119231531</v>
      </c>
      <c r="G1593" s="5">
        <f>IFERROR(__xludf.DUMMYFUNCTION("""COMPUTED_VALUE"""),0.17884729649435532)</f>
        <v>0.1788472965</v>
      </c>
      <c r="H1593" s="5">
        <f>IFERROR(__xludf.DUMMYFUNCTION("""COMPUTED_VALUE"""),0.6074766355140186)</f>
        <v>0.6074766355</v>
      </c>
      <c r="I1593" s="11">
        <f>IFERROR(__xludf.DUMMYFUNCTION("""COMPUTED_VALUE"""),5385.140186915888)</f>
        <v>5385.140187</v>
      </c>
      <c r="J1593" s="10">
        <f>IFERROR(__xludf.DUMMYFUNCTION("""COMPUTED_VALUE"""),1.0)</f>
        <v>1</v>
      </c>
      <c r="K1593" s="5">
        <f>IFERROR(__xludf.DUMMYFUNCTION("""COMPUTED_VALUE"""),0.002145922746781116)</f>
        <v>0.002145922747</v>
      </c>
      <c r="L1593" s="10">
        <f>IFERROR(__xludf.DUMMYFUNCTION("""COMPUTED_VALUE"""),235.0)</f>
        <v>235</v>
      </c>
      <c r="M1593" s="5">
        <f>IFERROR(__xludf.DUMMYFUNCTION("""COMPUTED_VALUE"""),0.5042918454935622)</f>
        <v>0.5042918455</v>
      </c>
    </row>
    <row r="1594">
      <c r="A1594" s="10" t="str">
        <f>IFERROR(__xludf.DUMMYFUNCTION("""COMPUTED_VALUE"""),"ラスノガレ明美")</f>
        <v>ラスノガレ明美</v>
      </c>
      <c r="B1594" s="10">
        <f>IFERROR(__xludf.DUMMYFUNCTION("""COMPUTED_VALUE"""),726.0)</f>
        <v>726</v>
      </c>
      <c r="C1594" s="10">
        <f>IFERROR(__xludf.DUMMYFUNCTION("""COMPUTED_VALUE"""),8514.0)</f>
        <v>8514</v>
      </c>
      <c r="D1594" s="5">
        <f>IFERROR(__xludf.DUMMYFUNCTION("""COMPUTED_VALUE"""),0.30701078582434516)</f>
        <v>0.3070107858</v>
      </c>
      <c r="E1594" s="5">
        <f>IFERROR(__xludf.DUMMYFUNCTION("""COMPUTED_VALUE"""),0.1354648176682075)</f>
        <v>0.1354648177</v>
      </c>
      <c r="F1594" s="5">
        <f>IFERROR(__xludf.DUMMYFUNCTION("""COMPUTED_VALUE"""),0.200693374422188)</f>
        <v>0.2006933744</v>
      </c>
      <c r="G1594" s="5">
        <f>IFERROR(__xludf.DUMMYFUNCTION("""COMPUTED_VALUE"""),0.1896507447354905)</f>
        <v>0.1896507447</v>
      </c>
      <c r="H1594" s="5">
        <f>IFERROR(__xludf.DUMMYFUNCTION("""COMPUTED_VALUE"""),0.5854126679462572)</f>
        <v>0.5854126679</v>
      </c>
      <c r="I1594" s="11">
        <f>IFERROR(__xludf.DUMMYFUNCTION("""COMPUTED_VALUE"""),5982.9814459373)</f>
        <v>5982.981446</v>
      </c>
      <c r="J1594" s="10">
        <f>IFERROR(__xludf.DUMMYFUNCTION("""COMPUTED_VALUE"""),3.0)</f>
        <v>3</v>
      </c>
      <c r="K1594" s="5">
        <f>IFERROR(__xludf.DUMMYFUNCTION("""COMPUTED_VALUE"""),0.004132231404958678)</f>
        <v>0.004132231405</v>
      </c>
      <c r="L1594" s="10">
        <f>IFERROR(__xludf.DUMMYFUNCTION("""COMPUTED_VALUE"""),726.0)</f>
        <v>726</v>
      </c>
      <c r="M1594" s="5">
        <f>IFERROR(__xludf.DUMMYFUNCTION("""COMPUTED_VALUE"""),1.0)</f>
        <v>1</v>
      </c>
    </row>
    <row r="1595">
      <c r="A1595" s="10" t="str">
        <f>IFERROR(__xludf.DUMMYFUNCTION("""COMPUTED_VALUE"""),"Steins")</f>
        <v>Steins</v>
      </c>
      <c r="B1595" s="10">
        <f>IFERROR(__xludf.DUMMYFUNCTION("""COMPUTED_VALUE"""),3490.0)</f>
        <v>3490</v>
      </c>
      <c r="C1595" s="10">
        <f>IFERROR(__xludf.DUMMYFUNCTION("""COMPUTED_VALUE"""),40984.0)</f>
        <v>40984</v>
      </c>
      <c r="D1595" s="5">
        <f>IFERROR(__xludf.DUMMYFUNCTION("""COMPUTED_VALUE"""),0.34253480556889104)</f>
        <v>0.3425348056</v>
      </c>
      <c r="E1595" s="5">
        <f>IFERROR(__xludf.DUMMYFUNCTION("""COMPUTED_VALUE"""),0.13546167386781885)</f>
        <v>0.1354616739</v>
      </c>
      <c r="F1595" s="5">
        <f>IFERROR(__xludf.DUMMYFUNCTION("""COMPUTED_VALUE"""),0.22246226062836721)</f>
        <v>0.2224622606</v>
      </c>
      <c r="G1595" s="5">
        <f>IFERROR(__xludf.DUMMYFUNCTION("""COMPUTED_VALUE"""),0.17552141676001493)</f>
        <v>0.1755214168</v>
      </c>
      <c r="H1595" s="5">
        <f>IFERROR(__xludf.DUMMYFUNCTION("""COMPUTED_VALUE"""),0.6023258602086081)</f>
        <v>0.6023258602</v>
      </c>
      <c r="I1595" s="11">
        <f>IFERROR(__xludf.DUMMYFUNCTION("""COMPUTED_VALUE"""),5428.042201174919)</f>
        <v>5428.042201</v>
      </c>
      <c r="J1595" s="10">
        <f>IFERROR(__xludf.DUMMYFUNCTION("""COMPUTED_VALUE"""),3.0)</f>
        <v>3</v>
      </c>
      <c r="K1595" s="5">
        <f>IFERROR(__xludf.DUMMYFUNCTION("""COMPUTED_VALUE"""),8.595988538681948E-4)</f>
        <v>0.0008595988539</v>
      </c>
      <c r="L1595" s="10">
        <f>IFERROR(__xludf.DUMMYFUNCTION("""COMPUTED_VALUE"""),3490.0)</f>
        <v>3490</v>
      </c>
      <c r="M1595" s="5">
        <f>IFERROR(__xludf.DUMMYFUNCTION("""COMPUTED_VALUE"""),1.0)</f>
        <v>1</v>
      </c>
    </row>
    <row r="1596">
      <c r="A1596" s="10" t="str">
        <f>IFERROR(__xludf.DUMMYFUNCTION("""COMPUTED_VALUE"""),"無為式")</f>
        <v>無為式</v>
      </c>
      <c r="B1596" s="10">
        <f>IFERROR(__xludf.DUMMYFUNCTION("""COMPUTED_VALUE"""),674.0)</f>
        <v>674</v>
      </c>
      <c r="C1596" s="10">
        <f>IFERROR(__xludf.DUMMYFUNCTION("""COMPUTED_VALUE"""),7931.0)</f>
        <v>7931</v>
      </c>
      <c r="D1596" s="5">
        <f>IFERROR(__xludf.DUMMYFUNCTION("""COMPUTED_VALUE"""),0.3618575168802535)</f>
        <v>0.3618575169</v>
      </c>
      <c r="E1596" s="5">
        <f>IFERROR(__xludf.DUMMYFUNCTION("""COMPUTED_VALUE"""),0.1354554223508337)</f>
        <v>0.1354554224</v>
      </c>
      <c r="F1596" s="5">
        <f>IFERROR(__xludf.DUMMYFUNCTION("""COMPUTED_VALUE"""),0.21413807358412568)</f>
        <v>0.2141380736</v>
      </c>
      <c r="G1596" s="5">
        <f>IFERROR(__xludf.DUMMYFUNCTION("""COMPUTED_VALUE"""),0.19705112305360342)</f>
        <v>0.1970511231</v>
      </c>
      <c r="H1596" s="5">
        <f>IFERROR(__xludf.DUMMYFUNCTION("""COMPUTED_VALUE"""),0.6029601029601029)</f>
        <v>0.602960103</v>
      </c>
      <c r="I1596" s="11">
        <f>IFERROR(__xludf.DUMMYFUNCTION("""COMPUTED_VALUE"""),5636.2290862290865)</f>
        <v>5636.229086</v>
      </c>
      <c r="J1596" s="10">
        <f>IFERROR(__xludf.DUMMYFUNCTION("""COMPUTED_VALUE"""),0.0)</f>
        <v>0</v>
      </c>
      <c r="K1596" s="5">
        <f>IFERROR(__xludf.DUMMYFUNCTION("""COMPUTED_VALUE"""),0.0)</f>
        <v>0</v>
      </c>
      <c r="L1596" s="10">
        <f>IFERROR(__xludf.DUMMYFUNCTION("""COMPUTED_VALUE"""),674.0)</f>
        <v>674</v>
      </c>
      <c r="M1596" s="5">
        <f>IFERROR(__xludf.DUMMYFUNCTION("""COMPUTED_VALUE"""),1.0)</f>
        <v>1</v>
      </c>
    </row>
    <row r="1597">
      <c r="A1597" s="10" t="str">
        <f>IFERROR(__xludf.DUMMYFUNCTION("""COMPUTED_VALUE"""),"pirby")</f>
        <v>pirby</v>
      </c>
      <c r="B1597" s="10">
        <f>IFERROR(__xludf.DUMMYFUNCTION("""COMPUTED_VALUE"""),177.0)</f>
        <v>177</v>
      </c>
      <c r="C1597" s="10">
        <f>IFERROR(__xludf.DUMMYFUNCTION("""COMPUTED_VALUE"""),2067.0)</f>
        <v>2067</v>
      </c>
      <c r="D1597" s="5">
        <f>IFERROR(__xludf.DUMMYFUNCTION("""COMPUTED_VALUE"""),0.3417989417989418)</f>
        <v>0.3417989418</v>
      </c>
      <c r="E1597" s="5">
        <f>IFERROR(__xludf.DUMMYFUNCTION("""COMPUTED_VALUE"""),0.13544973544973546)</f>
        <v>0.1354497354</v>
      </c>
      <c r="F1597" s="5">
        <f>IFERROR(__xludf.DUMMYFUNCTION("""COMPUTED_VALUE"""),0.18518518518518517)</f>
        <v>0.1851851852</v>
      </c>
      <c r="G1597" s="5">
        <f>IFERROR(__xludf.DUMMYFUNCTION("""COMPUTED_VALUE"""),0.17671957671957672)</f>
        <v>0.1767195767</v>
      </c>
      <c r="H1597" s="5">
        <f>IFERROR(__xludf.DUMMYFUNCTION("""COMPUTED_VALUE"""),0.5714285714285714)</f>
        <v>0.5714285714</v>
      </c>
      <c r="I1597" s="11">
        <f>IFERROR(__xludf.DUMMYFUNCTION("""COMPUTED_VALUE"""),5980.857142857143)</f>
        <v>5980.857143</v>
      </c>
      <c r="J1597" s="10">
        <f>IFERROR(__xludf.DUMMYFUNCTION("""COMPUTED_VALUE"""),0.0)</f>
        <v>0</v>
      </c>
      <c r="K1597" s="5">
        <f>IFERROR(__xludf.DUMMYFUNCTION("""COMPUTED_VALUE"""),0.0)</f>
        <v>0</v>
      </c>
      <c r="L1597" s="10">
        <f>IFERROR(__xludf.DUMMYFUNCTION("""COMPUTED_VALUE"""),177.0)</f>
        <v>177</v>
      </c>
      <c r="M1597" s="5">
        <f>IFERROR(__xludf.DUMMYFUNCTION("""COMPUTED_VALUE"""),1.0)</f>
        <v>1</v>
      </c>
    </row>
    <row r="1598">
      <c r="A1598" s="10" t="str">
        <f>IFERROR(__xludf.DUMMYFUNCTION("""COMPUTED_VALUE"""),"3DIME")</f>
        <v>3DIME</v>
      </c>
      <c r="B1598" s="10">
        <f>IFERROR(__xludf.DUMMYFUNCTION("""COMPUTED_VALUE"""),367.0)</f>
        <v>367</v>
      </c>
      <c r="C1598" s="10">
        <f>IFERROR(__xludf.DUMMYFUNCTION("""COMPUTED_VALUE"""),4243.0)</f>
        <v>4243</v>
      </c>
      <c r="D1598" s="5">
        <f>IFERROR(__xludf.DUMMYFUNCTION("""COMPUTED_VALUE"""),0.28766769865841074)</f>
        <v>0.2876676987</v>
      </c>
      <c r="E1598" s="5">
        <f>IFERROR(__xludf.DUMMYFUNCTION("""COMPUTED_VALUE"""),0.13544891640866874)</f>
        <v>0.1354489164</v>
      </c>
      <c r="F1598" s="5">
        <f>IFERROR(__xludf.DUMMYFUNCTION("""COMPUTED_VALUE"""),0.20562435500515996)</f>
        <v>0.205624355</v>
      </c>
      <c r="G1598" s="5">
        <f>IFERROR(__xludf.DUMMYFUNCTION("""COMPUTED_VALUE"""),0.14009287925696595)</f>
        <v>0.1400928793</v>
      </c>
      <c r="H1598" s="5">
        <f>IFERROR(__xludf.DUMMYFUNCTION("""COMPUTED_VALUE"""),0.616060225846926)</f>
        <v>0.6160602258</v>
      </c>
      <c r="I1598" s="11">
        <f>IFERROR(__xludf.DUMMYFUNCTION("""COMPUTED_VALUE"""),5735.382685069008)</f>
        <v>5735.382685</v>
      </c>
      <c r="J1598" s="10">
        <f>IFERROR(__xludf.DUMMYFUNCTION("""COMPUTED_VALUE"""),1.0)</f>
        <v>1</v>
      </c>
      <c r="K1598" s="5">
        <f>IFERROR(__xludf.DUMMYFUNCTION("""COMPUTED_VALUE"""),0.0027247956403269754)</f>
        <v>0.00272479564</v>
      </c>
      <c r="L1598" s="10">
        <f>IFERROR(__xludf.DUMMYFUNCTION("""COMPUTED_VALUE"""),367.0)</f>
        <v>367</v>
      </c>
      <c r="M1598" s="5">
        <f>IFERROR(__xludf.DUMMYFUNCTION("""COMPUTED_VALUE"""),1.0)</f>
        <v>1</v>
      </c>
    </row>
    <row r="1599">
      <c r="A1599" s="10" t="str">
        <f>IFERROR(__xludf.DUMMYFUNCTION("""COMPUTED_VALUE"""),"立直好棒@忘")</f>
        <v>立直好棒@忘</v>
      </c>
      <c r="B1599" s="10">
        <f>IFERROR(__xludf.DUMMYFUNCTION("""COMPUTED_VALUE"""),1259.0)</f>
        <v>1259</v>
      </c>
      <c r="C1599" s="10">
        <f>IFERROR(__xludf.DUMMYFUNCTION("""COMPUTED_VALUE"""),14659.0)</f>
        <v>14659</v>
      </c>
      <c r="D1599" s="5">
        <f>IFERROR(__xludf.DUMMYFUNCTION("""COMPUTED_VALUE"""),0.3541791044776119)</f>
        <v>0.3541791045</v>
      </c>
      <c r="E1599" s="5">
        <f>IFERROR(__xludf.DUMMYFUNCTION("""COMPUTED_VALUE"""),0.13544776119402985)</f>
        <v>0.1354477612</v>
      </c>
      <c r="F1599" s="5">
        <f>IFERROR(__xludf.DUMMYFUNCTION("""COMPUTED_VALUE"""),0.2117910447761194)</f>
        <v>0.2117910448</v>
      </c>
      <c r="G1599" s="5">
        <f>IFERROR(__xludf.DUMMYFUNCTION("""COMPUTED_VALUE"""),0.1655223880597015)</f>
        <v>0.1655223881</v>
      </c>
      <c r="H1599" s="5">
        <f>IFERROR(__xludf.DUMMYFUNCTION("""COMPUTED_VALUE"""),0.5933756166314306)</f>
        <v>0.5933756166</v>
      </c>
      <c r="I1599" s="11">
        <f>IFERROR(__xludf.DUMMYFUNCTION("""COMPUTED_VALUE"""),5617.935165609584)</f>
        <v>5617.935166</v>
      </c>
      <c r="J1599" s="10">
        <f>IFERROR(__xludf.DUMMYFUNCTION("""COMPUTED_VALUE"""),0.0)</f>
        <v>0</v>
      </c>
      <c r="K1599" s="5">
        <f>IFERROR(__xludf.DUMMYFUNCTION("""COMPUTED_VALUE"""),0.0)</f>
        <v>0</v>
      </c>
      <c r="L1599" s="10">
        <f>IFERROR(__xludf.DUMMYFUNCTION("""COMPUTED_VALUE"""),1259.0)</f>
        <v>1259</v>
      </c>
      <c r="M1599" s="5">
        <f>IFERROR(__xludf.DUMMYFUNCTION("""COMPUTED_VALUE"""),1.0)</f>
        <v>1</v>
      </c>
    </row>
    <row r="1600">
      <c r="A1600" s="10" t="str">
        <f>IFERROR(__xludf.DUMMYFUNCTION("""COMPUTED_VALUE"""),"噂のきみどり")</f>
        <v>噂のきみどり</v>
      </c>
      <c r="B1600" s="10">
        <f>IFERROR(__xludf.DUMMYFUNCTION("""COMPUTED_VALUE"""),958.0)</f>
        <v>958</v>
      </c>
      <c r="C1600" s="10">
        <f>IFERROR(__xludf.DUMMYFUNCTION("""COMPUTED_VALUE"""),11243.0)</f>
        <v>11243</v>
      </c>
      <c r="D1600" s="5">
        <f>IFERROR(__xludf.DUMMYFUNCTION("""COMPUTED_VALUE"""),0.39912493923189113)</f>
        <v>0.3991249392</v>
      </c>
      <c r="E1600" s="5">
        <f>IFERROR(__xludf.DUMMYFUNCTION("""COMPUTED_VALUE"""),0.1354399611084103)</f>
        <v>0.1354399611</v>
      </c>
      <c r="F1600" s="5">
        <f>IFERROR(__xludf.DUMMYFUNCTION("""COMPUTED_VALUE"""),0.21195916383082158)</f>
        <v>0.2119591638</v>
      </c>
      <c r="G1600" s="5">
        <f>IFERROR(__xludf.DUMMYFUNCTION("""COMPUTED_VALUE"""),0.1630529897909577)</f>
        <v>0.1630529898</v>
      </c>
      <c r="H1600" s="5">
        <f>IFERROR(__xludf.DUMMYFUNCTION("""COMPUTED_VALUE"""),0.6128440366972477)</f>
        <v>0.6128440367</v>
      </c>
      <c r="I1600" s="11">
        <f>IFERROR(__xludf.DUMMYFUNCTION("""COMPUTED_VALUE"""),5515.59633027523)</f>
        <v>5515.59633</v>
      </c>
      <c r="J1600" s="10">
        <f>IFERROR(__xludf.DUMMYFUNCTION("""COMPUTED_VALUE"""),3.0)</f>
        <v>3</v>
      </c>
      <c r="K1600" s="5">
        <f>IFERROR(__xludf.DUMMYFUNCTION("""COMPUTED_VALUE"""),0.003131524008350731)</f>
        <v>0.003131524008</v>
      </c>
      <c r="L1600" s="10">
        <f>IFERROR(__xludf.DUMMYFUNCTION("""COMPUTED_VALUE"""),10.0)</f>
        <v>10</v>
      </c>
      <c r="M1600" s="5">
        <f>IFERROR(__xludf.DUMMYFUNCTION("""COMPUTED_VALUE"""),0.010438413361169102)</f>
        <v>0.01043841336</v>
      </c>
    </row>
    <row r="1601">
      <c r="A1601" s="10" t="str">
        <f>IFERROR(__xludf.DUMMYFUNCTION("""COMPUTED_VALUE"""),"1sでいいそう")</f>
        <v>1sでいいそう</v>
      </c>
      <c r="B1601" s="10">
        <f>IFERROR(__xludf.DUMMYFUNCTION("""COMPUTED_VALUE"""),761.0)</f>
        <v>761</v>
      </c>
      <c r="C1601" s="10">
        <f>IFERROR(__xludf.DUMMYFUNCTION("""COMPUTED_VALUE"""),9016.0)</f>
        <v>9016</v>
      </c>
      <c r="D1601" s="5">
        <f>IFERROR(__xludf.DUMMYFUNCTION("""COMPUTED_VALUE"""),0.38437310720775286)</f>
        <v>0.3843731072</v>
      </c>
      <c r="E1601" s="5">
        <f>IFERROR(__xludf.DUMMYFUNCTION("""COMPUTED_VALUE"""),0.13543307086614173)</f>
        <v>0.1354330709</v>
      </c>
      <c r="F1601" s="5">
        <f>IFERROR(__xludf.DUMMYFUNCTION("""COMPUTED_VALUE"""),0.2337976983646275)</f>
        <v>0.2337976984</v>
      </c>
      <c r="G1601" s="5">
        <f>IFERROR(__xludf.DUMMYFUNCTION("""COMPUTED_VALUE"""),0.18606904906117505)</f>
        <v>0.1860690491</v>
      </c>
      <c r="H1601" s="5">
        <f>IFERROR(__xludf.DUMMYFUNCTION("""COMPUTED_VALUE"""),0.5823834196891192)</f>
        <v>0.5823834197</v>
      </c>
      <c r="I1601" s="11">
        <f>IFERROR(__xludf.DUMMYFUNCTION("""COMPUTED_VALUE"""),5494.974093264249)</f>
        <v>5494.974093</v>
      </c>
      <c r="J1601" s="10">
        <f>IFERROR(__xludf.DUMMYFUNCTION("""COMPUTED_VALUE"""),1.0)</f>
        <v>1</v>
      </c>
      <c r="K1601" s="5">
        <f>IFERROR(__xludf.DUMMYFUNCTION("""COMPUTED_VALUE"""),0.001314060446780552)</f>
        <v>0.001314060447</v>
      </c>
      <c r="L1601" s="10">
        <f>IFERROR(__xludf.DUMMYFUNCTION("""COMPUTED_VALUE"""),761.0)</f>
        <v>761</v>
      </c>
      <c r="M1601" s="5">
        <f>IFERROR(__xludf.DUMMYFUNCTION("""COMPUTED_VALUE"""),1.0)</f>
        <v>1</v>
      </c>
    </row>
    <row r="1602">
      <c r="A1602" s="10" t="str">
        <f>IFERROR(__xludf.DUMMYFUNCTION("""COMPUTED_VALUE"""),"云和山的彼端")</f>
        <v>云和山的彼端</v>
      </c>
      <c r="B1602" s="10">
        <f>IFERROR(__xludf.DUMMYFUNCTION("""COMPUTED_VALUE"""),489.0)</f>
        <v>489</v>
      </c>
      <c r="C1602" s="10">
        <f>IFERROR(__xludf.DUMMYFUNCTION("""COMPUTED_VALUE"""),5887.0)</f>
        <v>5887</v>
      </c>
      <c r="D1602" s="5">
        <f>IFERROR(__xludf.DUMMYFUNCTION("""COMPUTED_VALUE"""),0.31437569470174137)</f>
        <v>0.3143756947</v>
      </c>
      <c r="E1602" s="5">
        <f>IFERROR(__xludf.DUMMYFUNCTION("""COMPUTED_VALUE"""),0.13542052612078548)</f>
        <v>0.1354205261</v>
      </c>
      <c r="F1602" s="5">
        <f>IFERROR(__xludf.DUMMYFUNCTION("""COMPUTED_VALUE"""),0.20563171545016673)</f>
        <v>0.2056317155</v>
      </c>
      <c r="G1602" s="5">
        <f>IFERROR(__xludf.DUMMYFUNCTION("""COMPUTED_VALUE"""),0.20359392367543536)</f>
        <v>0.2035939237</v>
      </c>
      <c r="H1602" s="5">
        <f>IFERROR(__xludf.DUMMYFUNCTION("""COMPUTED_VALUE"""),0.5666666666666667)</f>
        <v>0.5666666667</v>
      </c>
      <c r="I1602" s="11">
        <f>IFERROR(__xludf.DUMMYFUNCTION("""COMPUTED_VALUE"""),5604.2342342342345)</f>
        <v>5604.234234</v>
      </c>
      <c r="J1602" s="10">
        <f>IFERROR(__xludf.DUMMYFUNCTION("""COMPUTED_VALUE"""),1.0)</f>
        <v>1</v>
      </c>
      <c r="K1602" s="5">
        <f>IFERROR(__xludf.DUMMYFUNCTION("""COMPUTED_VALUE"""),0.002044989775051125)</f>
        <v>0.002044989775</v>
      </c>
      <c r="L1602" s="10">
        <f>IFERROR(__xludf.DUMMYFUNCTION("""COMPUTED_VALUE"""),0.0)</f>
        <v>0</v>
      </c>
      <c r="M1602" s="5">
        <f>IFERROR(__xludf.DUMMYFUNCTION("""COMPUTED_VALUE"""),0.0)</f>
        <v>0</v>
      </c>
    </row>
    <row r="1603">
      <c r="A1603" s="10" t="str">
        <f>IFERROR(__xludf.DUMMYFUNCTION("""COMPUTED_VALUE"""),"池田Y吉")</f>
        <v>池田Y吉</v>
      </c>
      <c r="B1603" s="10">
        <f>IFERROR(__xludf.DUMMYFUNCTION("""COMPUTED_VALUE"""),121.0)</f>
        <v>121</v>
      </c>
      <c r="C1603" s="10">
        <f>IFERROR(__xludf.DUMMYFUNCTION("""COMPUTED_VALUE"""),1465.0)</f>
        <v>1465</v>
      </c>
      <c r="D1603" s="5">
        <f>IFERROR(__xludf.DUMMYFUNCTION("""COMPUTED_VALUE"""),0.32514880952380953)</f>
        <v>0.3251488095</v>
      </c>
      <c r="E1603" s="5">
        <f>IFERROR(__xludf.DUMMYFUNCTION("""COMPUTED_VALUE"""),0.13541666666666666)</f>
        <v>0.1354166667</v>
      </c>
      <c r="F1603" s="5">
        <f>IFERROR(__xludf.DUMMYFUNCTION("""COMPUTED_VALUE"""),0.19717261904761904)</f>
        <v>0.197172619</v>
      </c>
      <c r="G1603" s="5">
        <f>IFERROR(__xludf.DUMMYFUNCTION("""COMPUTED_VALUE"""),0.17485119047619047)</f>
        <v>0.1748511905</v>
      </c>
      <c r="H1603" s="5">
        <f>IFERROR(__xludf.DUMMYFUNCTION("""COMPUTED_VALUE"""),0.6339622641509434)</f>
        <v>0.6339622642</v>
      </c>
      <c r="I1603" s="11">
        <f>IFERROR(__xludf.DUMMYFUNCTION("""COMPUTED_VALUE"""),5753.207547169812)</f>
        <v>5753.207547</v>
      </c>
      <c r="J1603" s="10">
        <f>IFERROR(__xludf.DUMMYFUNCTION("""COMPUTED_VALUE"""),0.0)</f>
        <v>0</v>
      </c>
      <c r="K1603" s="5">
        <f>IFERROR(__xludf.DUMMYFUNCTION("""COMPUTED_VALUE"""),0.0)</f>
        <v>0</v>
      </c>
      <c r="L1603" s="10">
        <f>IFERROR(__xludf.DUMMYFUNCTION("""COMPUTED_VALUE"""),116.0)</f>
        <v>116</v>
      </c>
      <c r="M1603" s="5">
        <f>IFERROR(__xludf.DUMMYFUNCTION("""COMPUTED_VALUE"""),0.9586776859504132)</f>
        <v>0.958677686</v>
      </c>
    </row>
    <row r="1604">
      <c r="A1604" s="10" t="str">
        <f>IFERROR(__xludf.DUMMYFUNCTION("""COMPUTED_VALUE"""),"トソヌラ")</f>
        <v>トソヌラ</v>
      </c>
      <c r="B1604" s="10">
        <f>IFERROR(__xludf.DUMMYFUNCTION("""COMPUTED_VALUE"""),161.0)</f>
        <v>161</v>
      </c>
      <c r="C1604" s="10">
        <f>IFERROR(__xludf.DUMMYFUNCTION("""COMPUTED_VALUE"""),1941.0)</f>
        <v>1941</v>
      </c>
      <c r="D1604" s="5">
        <f>IFERROR(__xludf.DUMMYFUNCTION("""COMPUTED_VALUE"""),0.2876404494382023)</f>
        <v>0.2876404494</v>
      </c>
      <c r="E1604" s="5">
        <f>IFERROR(__xludf.DUMMYFUNCTION("""COMPUTED_VALUE"""),0.13539325842696628)</f>
        <v>0.1353932584</v>
      </c>
      <c r="F1604" s="5">
        <f>IFERROR(__xludf.DUMMYFUNCTION("""COMPUTED_VALUE"""),0.2050561797752809)</f>
        <v>0.2050561798</v>
      </c>
      <c r="G1604" s="5">
        <f>IFERROR(__xludf.DUMMYFUNCTION("""COMPUTED_VALUE"""),0.18483146067415732)</f>
        <v>0.1848314607</v>
      </c>
      <c r="H1604" s="5">
        <f>IFERROR(__xludf.DUMMYFUNCTION("""COMPUTED_VALUE"""),0.6)</f>
        <v>0.6</v>
      </c>
      <c r="I1604" s="11">
        <f>IFERROR(__xludf.DUMMYFUNCTION("""COMPUTED_VALUE"""),5756.164383561644)</f>
        <v>5756.164384</v>
      </c>
      <c r="J1604" s="10">
        <f>IFERROR(__xludf.DUMMYFUNCTION("""COMPUTED_VALUE"""),0.0)</f>
        <v>0</v>
      </c>
      <c r="K1604" s="5">
        <f>IFERROR(__xludf.DUMMYFUNCTION("""COMPUTED_VALUE"""),0.0)</f>
        <v>0</v>
      </c>
      <c r="L1604" s="10">
        <f>IFERROR(__xludf.DUMMYFUNCTION("""COMPUTED_VALUE"""),0.0)</f>
        <v>0</v>
      </c>
      <c r="M1604" s="5">
        <f>IFERROR(__xludf.DUMMYFUNCTION("""COMPUTED_VALUE"""),0.0)</f>
        <v>0</v>
      </c>
    </row>
    <row r="1605">
      <c r="A1605" s="10" t="str">
        <f>IFERROR(__xludf.DUMMYFUNCTION("""COMPUTED_VALUE"""),"玲子")</f>
        <v>玲子</v>
      </c>
      <c r="B1605" s="10">
        <f>IFERROR(__xludf.DUMMYFUNCTION("""COMPUTED_VALUE"""),127.0)</f>
        <v>127</v>
      </c>
      <c r="C1605" s="10">
        <f>IFERROR(__xludf.DUMMYFUNCTION("""COMPUTED_VALUE"""),1405.0)</f>
        <v>1405</v>
      </c>
      <c r="D1605" s="5">
        <f>IFERROR(__xludf.DUMMYFUNCTION("""COMPUTED_VALUE"""),0.29890453834115804)</f>
        <v>0.2989045383</v>
      </c>
      <c r="E1605" s="5">
        <f>IFERROR(__xludf.DUMMYFUNCTION("""COMPUTED_VALUE"""),0.13536776212832552)</f>
        <v>0.1353677621</v>
      </c>
      <c r="F1605" s="5">
        <f>IFERROR(__xludf.DUMMYFUNCTION("""COMPUTED_VALUE"""),0.20892018779342722)</f>
        <v>0.2089201878</v>
      </c>
      <c r="G1605" s="5">
        <f>IFERROR(__xludf.DUMMYFUNCTION("""COMPUTED_VALUE"""),0.22065727699530516)</f>
        <v>0.220657277</v>
      </c>
      <c r="H1605" s="5">
        <f>IFERROR(__xludf.DUMMYFUNCTION("""COMPUTED_VALUE"""),0.5880149812734082)</f>
        <v>0.5880149813</v>
      </c>
      <c r="I1605" s="11">
        <f>IFERROR(__xludf.DUMMYFUNCTION("""COMPUTED_VALUE"""),5891.760299625468)</f>
        <v>5891.7603</v>
      </c>
      <c r="J1605" s="10">
        <f>IFERROR(__xludf.DUMMYFUNCTION("""COMPUTED_VALUE"""),1.0)</f>
        <v>1</v>
      </c>
      <c r="K1605" s="5">
        <f>IFERROR(__xludf.DUMMYFUNCTION("""COMPUTED_VALUE"""),0.007874015748031496)</f>
        <v>0.007874015748</v>
      </c>
      <c r="L1605" s="10">
        <f>IFERROR(__xludf.DUMMYFUNCTION("""COMPUTED_VALUE"""),61.0)</f>
        <v>61</v>
      </c>
      <c r="M1605" s="5">
        <f>IFERROR(__xludf.DUMMYFUNCTION("""COMPUTED_VALUE"""),0.48031496062992124)</f>
        <v>0.4803149606</v>
      </c>
    </row>
    <row r="1606">
      <c r="A1606" s="10" t="str">
        <f>IFERROR(__xludf.DUMMYFUNCTION("""COMPUTED_VALUE"""),"japi0202")</f>
        <v>japi0202</v>
      </c>
      <c r="B1606" s="10">
        <f>IFERROR(__xludf.DUMMYFUNCTION("""COMPUTED_VALUE"""),418.0)</f>
        <v>418</v>
      </c>
      <c r="C1606" s="10">
        <f>IFERROR(__xludf.DUMMYFUNCTION("""COMPUTED_VALUE"""),5029.0)</f>
        <v>5029</v>
      </c>
      <c r="D1606" s="5">
        <f>IFERROR(__xludf.DUMMYFUNCTION("""COMPUTED_VALUE"""),0.3415744957709824)</f>
        <v>0.3415744958</v>
      </c>
      <c r="E1606" s="5">
        <f>IFERROR(__xludf.DUMMYFUNCTION("""COMPUTED_VALUE"""),0.13532856213402733)</f>
        <v>0.1353285621</v>
      </c>
      <c r="F1606" s="5">
        <f>IFERROR(__xludf.DUMMYFUNCTION("""COMPUTED_VALUE"""),0.2138364779874214)</f>
        <v>0.213836478</v>
      </c>
      <c r="G1606" s="5">
        <f>IFERROR(__xludf.DUMMYFUNCTION("""COMPUTED_VALUE"""),0.18065495554109737)</f>
        <v>0.1806549555</v>
      </c>
      <c r="H1606" s="5">
        <f>IFERROR(__xludf.DUMMYFUNCTION("""COMPUTED_VALUE"""),0.5993914807302231)</f>
        <v>0.5993914807</v>
      </c>
      <c r="I1606" s="11">
        <f>IFERROR(__xludf.DUMMYFUNCTION("""COMPUTED_VALUE"""),5739.756592292089)</f>
        <v>5739.756592</v>
      </c>
      <c r="J1606" s="10">
        <f>IFERROR(__xludf.DUMMYFUNCTION("""COMPUTED_VALUE"""),0.0)</f>
        <v>0</v>
      </c>
      <c r="K1606" s="5">
        <f>IFERROR(__xludf.DUMMYFUNCTION("""COMPUTED_VALUE"""),0.0)</f>
        <v>0</v>
      </c>
      <c r="L1606" s="10">
        <f>IFERROR(__xludf.DUMMYFUNCTION("""COMPUTED_VALUE"""),418.0)</f>
        <v>418</v>
      </c>
      <c r="M1606" s="5">
        <f>IFERROR(__xludf.DUMMYFUNCTION("""COMPUTED_VALUE"""),1.0)</f>
        <v>1</v>
      </c>
    </row>
    <row r="1607">
      <c r="A1607" s="10" t="str">
        <f>IFERROR(__xludf.DUMMYFUNCTION("""COMPUTED_VALUE"""),"豚の王")</f>
        <v>豚の王</v>
      </c>
      <c r="B1607" s="10">
        <f>IFERROR(__xludf.DUMMYFUNCTION("""COMPUTED_VALUE"""),3223.0)</f>
        <v>3223</v>
      </c>
      <c r="C1607" s="10">
        <f>IFERROR(__xludf.DUMMYFUNCTION("""COMPUTED_VALUE"""),37393.0)</f>
        <v>37393</v>
      </c>
      <c r="D1607" s="5">
        <f>IFERROR(__xludf.DUMMYFUNCTION("""COMPUTED_VALUE"""),0.4012876792508048)</f>
        <v>0.4012876793</v>
      </c>
      <c r="E1607" s="5">
        <f>IFERROR(__xludf.DUMMYFUNCTION("""COMPUTED_VALUE"""),0.13532338308457711)</f>
        <v>0.1353233831</v>
      </c>
      <c r="F1607" s="5">
        <f>IFERROR(__xludf.DUMMYFUNCTION("""COMPUTED_VALUE"""),0.22399765876499853)</f>
        <v>0.2239976588</v>
      </c>
      <c r="G1607" s="5">
        <f>IFERROR(__xludf.DUMMYFUNCTION("""COMPUTED_VALUE"""),0.19189347380743343)</f>
        <v>0.1918934738</v>
      </c>
      <c r="H1607" s="5">
        <f>IFERROR(__xludf.DUMMYFUNCTION("""COMPUTED_VALUE"""),0.5914554481316958)</f>
        <v>0.5914554481</v>
      </c>
      <c r="I1607" s="11">
        <f>IFERROR(__xludf.DUMMYFUNCTION("""COMPUTED_VALUE"""),5628.730075777371)</f>
        <v>5628.730076</v>
      </c>
      <c r="J1607" s="10">
        <f>IFERROR(__xludf.DUMMYFUNCTION("""COMPUTED_VALUE"""),3.0)</f>
        <v>3</v>
      </c>
      <c r="K1607" s="5">
        <f>IFERROR(__xludf.DUMMYFUNCTION("""COMPUTED_VALUE"""),9.30809804529941E-4)</f>
        <v>0.0009308098045</v>
      </c>
      <c r="L1607" s="10">
        <f>IFERROR(__xludf.DUMMYFUNCTION("""COMPUTED_VALUE"""),3223.0)</f>
        <v>3223</v>
      </c>
      <c r="M1607" s="5">
        <f>IFERROR(__xludf.DUMMYFUNCTION("""COMPUTED_VALUE"""),1.0)</f>
        <v>1</v>
      </c>
    </row>
    <row r="1608">
      <c r="A1608" s="10" t="str">
        <f>IFERROR(__xludf.DUMMYFUNCTION("""COMPUTED_VALUE"""),"チョビ17")</f>
        <v>チョビ17</v>
      </c>
      <c r="B1608" s="10">
        <f>IFERROR(__xludf.DUMMYFUNCTION("""COMPUTED_VALUE"""),138.0)</f>
        <v>138</v>
      </c>
      <c r="C1608" s="10">
        <f>IFERROR(__xludf.DUMMYFUNCTION("""COMPUTED_VALUE"""),1594.0)</f>
        <v>1594</v>
      </c>
      <c r="D1608" s="5">
        <f>IFERROR(__xludf.DUMMYFUNCTION("""COMPUTED_VALUE"""),0.16483516483516483)</f>
        <v>0.1648351648</v>
      </c>
      <c r="E1608" s="5">
        <f>IFERROR(__xludf.DUMMYFUNCTION("""COMPUTED_VALUE"""),0.1353021978021978)</f>
        <v>0.1353021978</v>
      </c>
      <c r="F1608" s="5">
        <f>IFERROR(__xludf.DUMMYFUNCTION("""COMPUTED_VALUE"""),0.17994505494505494)</f>
        <v>0.1799450549</v>
      </c>
      <c r="G1608" s="5">
        <f>IFERROR(__xludf.DUMMYFUNCTION("""COMPUTED_VALUE"""),0.18818681318681318)</f>
        <v>0.1881868132</v>
      </c>
      <c r="H1608" s="5">
        <f>IFERROR(__xludf.DUMMYFUNCTION("""COMPUTED_VALUE"""),0.583969465648855)</f>
        <v>0.5839694656</v>
      </c>
      <c r="I1608" s="11">
        <f>IFERROR(__xludf.DUMMYFUNCTION("""COMPUTED_VALUE"""),6182.824427480916)</f>
        <v>6182.824427</v>
      </c>
      <c r="J1608" s="10">
        <f>IFERROR(__xludf.DUMMYFUNCTION("""COMPUTED_VALUE"""),0.0)</f>
        <v>0</v>
      </c>
      <c r="K1608" s="5">
        <f>IFERROR(__xludf.DUMMYFUNCTION("""COMPUTED_VALUE"""),0.0)</f>
        <v>0</v>
      </c>
      <c r="L1608" s="10">
        <f>IFERROR(__xludf.DUMMYFUNCTION("""COMPUTED_VALUE"""),138.0)</f>
        <v>138</v>
      </c>
      <c r="M1608" s="5">
        <f>IFERROR(__xludf.DUMMYFUNCTION("""COMPUTED_VALUE"""),1.0)</f>
        <v>1</v>
      </c>
    </row>
    <row r="1609">
      <c r="A1609" s="10" t="str">
        <f>IFERROR(__xludf.DUMMYFUNCTION("""COMPUTED_VALUE"""),"SR-KM")</f>
        <v>SR-KM</v>
      </c>
      <c r="B1609" s="10">
        <f>IFERROR(__xludf.DUMMYFUNCTION("""COMPUTED_VALUE"""),503.0)</f>
        <v>503</v>
      </c>
      <c r="C1609" s="10">
        <f>IFERROR(__xludf.DUMMYFUNCTION("""COMPUTED_VALUE"""),5928.0)</f>
        <v>5928</v>
      </c>
      <c r="D1609" s="5">
        <f>IFERROR(__xludf.DUMMYFUNCTION("""COMPUTED_VALUE"""),0.33400921658986177)</f>
        <v>0.3340092166</v>
      </c>
      <c r="E1609" s="5">
        <f>IFERROR(__xludf.DUMMYFUNCTION("""COMPUTED_VALUE"""),0.1352995391705069)</f>
        <v>0.1352995392</v>
      </c>
      <c r="F1609" s="5">
        <f>IFERROR(__xludf.DUMMYFUNCTION("""COMPUTED_VALUE"""),0.22064516129032258)</f>
        <v>0.2206451613</v>
      </c>
      <c r="G1609" s="5">
        <f>IFERROR(__xludf.DUMMYFUNCTION("""COMPUTED_VALUE"""),0.19594470046082949)</f>
        <v>0.1959447005</v>
      </c>
      <c r="H1609" s="5">
        <f>IFERROR(__xludf.DUMMYFUNCTION("""COMPUTED_VALUE"""),0.5923141186299081)</f>
        <v>0.5923141186</v>
      </c>
      <c r="I1609" s="11">
        <f>IFERROR(__xludf.DUMMYFUNCTION("""COMPUTED_VALUE"""),5586.215538847117)</f>
        <v>5586.215539</v>
      </c>
      <c r="J1609" s="10">
        <f>IFERROR(__xludf.DUMMYFUNCTION("""COMPUTED_VALUE"""),1.0)</f>
        <v>1</v>
      </c>
      <c r="K1609" s="5">
        <f>IFERROR(__xludf.DUMMYFUNCTION("""COMPUTED_VALUE"""),0.0019880715705765406)</f>
        <v>0.001988071571</v>
      </c>
      <c r="L1609" s="10">
        <f>IFERROR(__xludf.DUMMYFUNCTION("""COMPUTED_VALUE"""),503.0)</f>
        <v>503</v>
      </c>
      <c r="M1609" s="5">
        <f>IFERROR(__xludf.DUMMYFUNCTION("""COMPUTED_VALUE"""),1.0)</f>
        <v>1</v>
      </c>
    </row>
    <row r="1610">
      <c r="A1610" s="10" t="str">
        <f>IFERROR(__xludf.DUMMYFUNCTION("""COMPUTED_VALUE"""),"司波打野")</f>
        <v>司波打野</v>
      </c>
      <c r="B1610" s="10">
        <f>IFERROR(__xludf.DUMMYFUNCTION("""COMPUTED_VALUE"""),119.0)</f>
        <v>119</v>
      </c>
      <c r="C1610" s="10">
        <f>IFERROR(__xludf.DUMMYFUNCTION("""COMPUTED_VALUE"""),1442.0)</f>
        <v>1442</v>
      </c>
      <c r="D1610" s="5">
        <f>IFERROR(__xludf.DUMMYFUNCTION("""COMPUTED_VALUE"""),0.3469387755102041)</f>
        <v>0.3469387755</v>
      </c>
      <c r="E1610" s="5">
        <f>IFERROR(__xludf.DUMMYFUNCTION("""COMPUTED_VALUE"""),0.13529856386999245)</f>
        <v>0.1352985639</v>
      </c>
      <c r="F1610" s="5">
        <f>IFERROR(__xludf.DUMMYFUNCTION("""COMPUTED_VALUE"""),0.21012849584278157)</f>
        <v>0.2101284958</v>
      </c>
      <c r="G1610" s="5">
        <f>IFERROR(__xludf.DUMMYFUNCTION("""COMPUTED_VALUE"""),0.16326530612244897)</f>
        <v>0.1632653061</v>
      </c>
      <c r="H1610" s="5">
        <f>IFERROR(__xludf.DUMMYFUNCTION("""COMPUTED_VALUE"""),0.5611510791366906)</f>
        <v>0.5611510791</v>
      </c>
      <c r="I1610" s="11">
        <f>IFERROR(__xludf.DUMMYFUNCTION("""COMPUTED_VALUE"""),5257.553956834532)</f>
        <v>5257.553957</v>
      </c>
      <c r="J1610" s="10">
        <f>IFERROR(__xludf.DUMMYFUNCTION("""COMPUTED_VALUE"""),0.0)</f>
        <v>0</v>
      </c>
      <c r="K1610" s="5">
        <f>IFERROR(__xludf.DUMMYFUNCTION("""COMPUTED_VALUE"""),0.0)</f>
        <v>0</v>
      </c>
      <c r="L1610" s="10">
        <f>IFERROR(__xludf.DUMMYFUNCTION("""COMPUTED_VALUE"""),119.0)</f>
        <v>119</v>
      </c>
      <c r="M1610" s="5">
        <f>IFERROR(__xludf.DUMMYFUNCTION("""COMPUTED_VALUE"""),1.0)</f>
        <v>1</v>
      </c>
    </row>
    <row r="1611">
      <c r="A1611" s="10" t="str">
        <f>IFERROR(__xludf.DUMMYFUNCTION("""COMPUTED_VALUE"""),"ゼラス")</f>
        <v>ゼラス</v>
      </c>
      <c r="B1611" s="10">
        <f>IFERROR(__xludf.DUMMYFUNCTION("""COMPUTED_VALUE"""),290.0)</f>
        <v>290</v>
      </c>
      <c r="C1611" s="10">
        <f>IFERROR(__xludf.DUMMYFUNCTION("""COMPUTED_VALUE"""),3350.0)</f>
        <v>3350</v>
      </c>
      <c r="D1611" s="5">
        <f>IFERROR(__xludf.DUMMYFUNCTION("""COMPUTED_VALUE"""),0.419281045751634)</f>
        <v>0.4192810458</v>
      </c>
      <c r="E1611" s="5">
        <f>IFERROR(__xludf.DUMMYFUNCTION("""COMPUTED_VALUE"""),0.13529411764705881)</f>
        <v>0.1352941176</v>
      </c>
      <c r="F1611" s="5">
        <f>IFERROR(__xludf.DUMMYFUNCTION("""COMPUTED_VALUE"""),0.22516339869281046)</f>
        <v>0.2251633987</v>
      </c>
      <c r="G1611" s="5">
        <f>IFERROR(__xludf.DUMMYFUNCTION("""COMPUTED_VALUE"""),0.17058823529411765)</f>
        <v>0.1705882353</v>
      </c>
      <c r="H1611" s="5">
        <f>IFERROR(__xludf.DUMMYFUNCTION("""COMPUTED_VALUE"""),0.6008708272859217)</f>
        <v>0.6008708273</v>
      </c>
      <c r="I1611" s="11">
        <f>IFERROR(__xludf.DUMMYFUNCTION("""COMPUTED_VALUE"""),5210.304789550072)</f>
        <v>5210.30479</v>
      </c>
      <c r="J1611" s="10">
        <f>IFERROR(__xludf.DUMMYFUNCTION("""COMPUTED_VALUE"""),0.0)</f>
        <v>0</v>
      </c>
      <c r="K1611" s="5">
        <f>IFERROR(__xludf.DUMMYFUNCTION("""COMPUTED_VALUE"""),0.0)</f>
        <v>0</v>
      </c>
      <c r="L1611" s="10">
        <f>IFERROR(__xludf.DUMMYFUNCTION("""COMPUTED_VALUE"""),290.0)</f>
        <v>290</v>
      </c>
      <c r="M1611" s="5">
        <f>IFERROR(__xludf.DUMMYFUNCTION("""COMPUTED_VALUE"""),1.0)</f>
        <v>1</v>
      </c>
    </row>
    <row r="1612">
      <c r="A1612" s="10" t="str">
        <f>IFERROR(__xludf.DUMMYFUNCTION("""COMPUTED_VALUE"""),"ウルタールの猫")</f>
        <v>ウルタールの猫</v>
      </c>
      <c r="B1612" s="10">
        <f>IFERROR(__xludf.DUMMYFUNCTION("""COMPUTED_VALUE"""),188.0)</f>
        <v>188</v>
      </c>
      <c r="C1612" s="10">
        <f>IFERROR(__xludf.DUMMYFUNCTION("""COMPUTED_VALUE"""),2199.0)</f>
        <v>2199</v>
      </c>
      <c r="D1612" s="5">
        <f>IFERROR(__xludf.DUMMYFUNCTION("""COMPUTED_VALUE"""),0.34659373446046743)</f>
        <v>0.3465937345</v>
      </c>
      <c r="E1612" s="5">
        <f>IFERROR(__xludf.DUMMYFUNCTION("""COMPUTED_VALUE"""),0.1352560914967678)</f>
        <v>0.1352560915</v>
      </c>
      <c r="F1612" s="5">
        <f>IFERROR(__xludf.DUMMYFUNCTION("""COMPUTED_VALUE"""),0.2138239681750373)</f>
        <v>0.2138239682</v>
      </c>
      <c r="G1612" s="5">
        <f>IFERROR(__xludf.DUMMYFUNCTION("""COMPUTED_VALUE"""),0.15663848831427152)</f>
        <v>0.1566384883</v>
      </c>
      <c r="H1612" s="5">
        <f>IFERROR(__xludf.DUMMYFUNCTION("""COMPUTED_VALUE"""),0.5930232558139535)</f>
        <v>0.5930232558</v>
      </c>
      <c r="I1612" s="11">
        <f>IFERROR(__xludf.DUMMYFUNCTION("""COMPUTED_VALUE"""),5221.860465116279)</f>
        <v>5221.860465</v>
      </c>
      <c r="J1612" s="10">
        <f>IFERROR(__xludf.DUMMYFUNCTION("""COMPUTED_VALUE"""),0.0)</f>
        <v>0</v>
      </c>
      <c r="K1612" s="5">
        <f>IFERROR(__xludf.DUMMYFUNCTION("""COMPUTED_VALUE"""),0.0)</f>
        <v>0</v>
      </c>
      <c r="L1612" s="10">
        <f>IFERROR(__xludf.DUMMYFUNCTION("""COMPUTED_VALUE"""),188.0)</f>
        <v>188</v>
      </c>
      <c r="M1612" s="5">
        <f>IFERROR(__xludf.DUMMYFUNCTION("""COMPUTED_VALUE"""),1.0)</f>
        <v>1</v>
      </c>
    </row>
    <row r="1613">
      <c r="A1613" s="10" t="str">
        <f>IFERROR(__xludf.DUMMYFUNCTION("""COMPUTED_VALUE"""),"なんちくはむ")</f>
        <v>なんちくはむ</v>
      </c>
      <c r="B1613" s="10">
        <f>IFERROR(__xludf.DUMMYFUNCTION("""COMPUTED_VALUE"""),1671.0)</f>
        <v>1671</v>
      </c>
      <c r="C1613" s="10">
        <f>IFERROR(__xludf.DUMMYFUNCTION("""COMPUTED_VALUE"""),19386.0)</f>
        <v>19386</v>
      </c>
      <c r="D1613" s="5">
        <f>IFERROR(__xludf.DUMMYFUNCTION("""COMPUTED_VALUE"""),0.40457239627434377)</f>
        <v>0.4045723963</v>
      </c>
      <c r="E1613" s="5">
        <f>IFERROR(__xludf.DUMMYFUNCTION("""COMPUTED_VALUE"""),0.13525261078182332)</f>
        <v>0.1352526108</v>
      </c>
      <c r="F1613" s="5">
        <f>IFERROR(__xludf.DUMMYFUNCTION("""COMPUTED_VALUE"""),0.22133784928027095)</f>
        <v>0.2213378493</v>
      </c>
      <c r="G1613" s="5">
        <f>IFERROR(__xludf.DUMMYFUNCTION("""COMPUTED_VALUE"""),0.18464578041208016)</f>
        <v>0.1846457804</v>
      </c>
      <c r="H1613" s="5">
        <f>IFERROR(__xludf.DUMMYFUNCTION("""COMPUTED_VALUE"""),0.591940831420556)</f>
        <v>0.5919408314</v>
      </c>
      <c r="I1613" s="11">
        <f>IFERROR(__xludf.DUMMYFUNCTION("""COMPUTED_VALUE"""),5746.16169344555)</f>
        <v>5746.161693</v>
      </c>
      <c r="J1613" s="10">
        <f>IFERROR(__xludf.DUMMYFUNCTION("""COMPUTED_VALUE"""),3.0)</f>
        <v>3</v>
      </c>
      <c r="K1613" s="5">
        <f>IFERROR(__xludf.DUMMYFUNCTION("""COMPUTED_VALUE"""),0.0017953321364452424)</f>
        <v>0.001795332136</v>
      </c>
      <c r="L1613" s="10">
        <f>IFERROR(__xludf.DUMMYFUNCTION("""COMPUTED_VALUE"""),1671.0)</f>
        <v>1671</v>
      </c>
      <c r="M1613" s="5">
        <f>IFERROR(__xludf.DUMMYFUNCTION("""COMPUTED_VALUE"""),1.0)</f>
        <v>1</v>
      </c>
    </row>
    <row r="1614">
      <c r="A1614" s="10" t="str">
        <f>IFERROR(__xludf.DUMMYFUNCTION("""COMPUTED_VALUE"""),".=Jam")</f>
        <v>.=Jam</v>
      </c>
      <c r="B1614" s="10">
        <f>IFERROR(__xludf.DUMMYFUNCTION("""COMPUTED_VALUE"""),4286.0)</f>
        <v>4286</v>
      </c>
      <c r="C1614" s="10">
        <f>IFERROR(__xludf.DUMMYFUNCTION("""COMPUTED_VALUE"""),50178.0)</f>
        <v>50178</v>
      </c>
      <c r="D1614" s="5">
        <f>IFERROR(__xludf.DUMMYFUNCTION("""COMPUTED_VALUE"""),0.3566634707574305)</f>
        <v>0.3566634708</v>
      </c>
      <c r="E1614" s="5">
        <f>IFERROR(__xludf.DUMMYFUNCTION("""COMPUTED_VALUE"""),0.13523054127080972)</f>
        <v>0.1352305413</v>
      </c>
      <c r="F1614" s="5">
        <f>IFERROR(__xludf.DUMMYFUNCTION("""COMPUTED_VALUE"""),0.21670443650309423)</f>
        <v>0.2167044365</v>
      </c>
      <c r="G1614" s="5">
        <f>IFERROR(__xludf.DUMMYFUNCTION("""COMPUTED_VALUE"""),0.16188006624248236)</f>
        <v>0.1618800662</v>
      </c>
      <c r="H1614" s="5">
        <f>IFERROR(__xludf.DUMMYFUNCTION("""COMPUTED_VALUE"""),0.6030165912518853)</f>
        <v>0.6030165913</v>
      </c>
      <c r="I1614" s="11">
        <f>IFERROR(__xludf.DUMMYFUNCTION("""COMPUTED_VALUE"""),5541.337355455003)</f>
        <v>5541.337355</v>
      </c>
      <c r="J1614" s="10">
        <f>IFERROR(__xludf.DUMMYFUNCTION("""COMPUTED_VALUE"""),11.0)</f>
        <v>11</v>
      </c>
      <c r="K1614" s="5">
        <f>IFERROR(__xludf.DUMMYFUNCTION("""COMPUTED_VALUE"""),0.0025664955669622027)</f>
        <v>0.002566495567</v>
      </c>
      <c r="L1614" s="10">
        <f>IFERROR(__xludf.DUMMYFUNCTION("""COMPUTED_VALUE"""),4286.0)</f>
        <v>4286</v>
      </c>
      <c r="M1614" s="5">
        <f>IFERROR(__xludf.DUMMYFUNCTION("""COMPUTED_VALUE"""),1.0)</f>
        <v>1</v>
      </c>
    </row>
    <row r="1615">
      <c r="A1615" s="10" t="str">
        <f>IFERROR(__xludf.DUMMYFUNCTION("""COMPUTED_VALUE"""),"孑孑")</f>
        <v>孑孑</v>
      </c>
      <c r="B1615" s="10">
        <f>IFERROR(__xludf.DUMMYFUNCTION("""COMPUTED_VALUE"""),1024.0)</f>
        <v>1024</v>
      </c>
      <c r="C1615" s="10">
        <f>IFERROR(__xludf.DUMMYFUNCTION("""COMPUTED_VALUE"""),12131.0)</f>
        <v>12131</v>
      </c>
      <c r="D1615" s="5">
        <f>IFERROR(__xludf.DUMMYFUNCTION("""COMPUTED_VALUE"""),0.28360493382551544)</f>
        <v>0.2836049338</v>
      </c>
      <c r="E1615" s="5">
        <f>IFERROR(__xludf.DUMMYFUNCTION("""COMPUTED_VALUE"""),0.1352300351129918)</f>
        <v>0.1352300351</v>
      </c>
      <c r="F1615" s="5">
        <f>IFERROR(__xludf.DUMMYFUNCTION("""COMPUTED_VALUE"""),0.20662645178716124)</f>
        <v>0.2066264518</v>
      </c>
      <c r="G1615" s="5">
        <f>IFERROR(__xludf.DUMMYFUNCTION("""COMPUTED_VALUE"""),0.17448455928693615)</f>
        <v>0.1744845593</v>
      </c>
      <c r="H1615" s="5">
        <f>IFERROR(__xludf.DUMMYFUNCTION("""COMPUTED_VALUE"""),0.6026143790849673)</f>
        <v>0.6026143791</v>
      </c>
      <c r="I1615" s="11">
        <f>IFERROR(__xludf.DUMMYFUNCTION("""COMPUTED_VALUE"""),5881.220043572985)</f>
        <v>5881.220044</v>
      </c>
      <c r="J1615" s="10">
        <f>IFERROR(__xludf.DUMMYFUNCTION("""COMPUTED_VALUE"""),3.0)</f>
        <v>3</v>
      </c>
      <c r="K1615" s="5">
        <f>IFERROR(__xludf.DUMMYFUNCTION("""COMPUTED_VALUE"""),0.0029296875)</f>
        <v>0.0029296875</v>
      </c>
      <c r="L1615" s="10">
        <f>IFERROR(__xludf.DUMMYFUNCTION("""COMPUTED_VALUE"""),0.0)</f>
        <v>0</v>
      </c>
      <c r="M1615" s="5">
        <f>IFERROR(__xludf.DUMMYFUNCTION("""COMPUTED_VALUE"""),0.0)</f>
        <v>0</v>
      </c>
    </row>
    <row r="1616">
      <c r="A1616" s="10" t="str">
        <f>IFERROR(__xludf.DUMMYFUNCTION("""COMPUTED_VALUE"""),"人生ぜんつっぱ")</f>
        <v>人生ぜんつっぱ</v>
      </c>
      <c r="B1616" s="10">
        <f>IFERROR(__xludf.DUMMYFUNCTION("""COMPUTED_VALUE"""),3537.0)</f>
        <v>3537</v>
      </c>
      <c r="C1616" s="10">
        <f>IFERROR(__xludf.DUMMYFUNCTION("""COMPUTED_VALUE"""),41303.0)</f>
        <v>41303</v>
      </c>
      <c r="D1616" s="5">
        <f>IFERROR(__xludf.DUMMYFUNCTION("""COMPUTED_VALUE"""),0.3984801143886035)</f>
        <v>0.3984801144</v>
      </c>
      <c r="E1616" s="5">
        <f>IFERROR(__xludf.DUMMYFUNCTION("""COMPUTED_VALUE"""),0.1352274532648414)</f>
        <v>0.1352274533</v>
      </c>
      <c r="F1616" s="5">
        <f>IFERROR(__xludf.DUMMYFUNCTION("""COMPUTED_VALUE"""),0.22038341365249167)</f>
        <v>0.2203834137</v>
      </c>
      <c r="G1616" s="5">
        <f>IFERROR(__xludf.DUMMYFUNCTION("""COMPUTED_VALUE"""),0.16321559074299635)</f>
        <v>0.1632155907</v>
      </c>
      <c r="H1616" s="5">
        <f>IFERROR(__xludf.DUMMYFUNCTION("""COMPUTED_VALUE"""),0.6025471584765109)</f>
        <v>0.6025471585</v>
      </c>
      <c r="I1616" s="11">
        <f>IFERROR(__xludf.DUMMYFUNCTION("""COMPUTED_VALUE"""),5621.362489486964)</f>
        <v>5621.362489</v>
      </c>
      <c r="J1616" s="10">
        <f>IFERROR(__xludf.DUMMYFUNCTION("""COMPUTED_VALUE"""),5.0)</f>
        <v>5</v>
      </c>
      <c r="K1616" s="5">
        <f>IFERROR(__xludf.DUMMYFUNCTION("""COMPUTED_VALUE"""),0.0014136273678258412)</f>
        <v>0.001413627368</v>
      </c>
      <c r="L1616" s="10">
        <f>IFERROR(__xludf.DUMMYFUNCTION("""COMPUTED_VALUE"""),3537.0)</f>
        <v>3537</v>
      </c>
      <c r="M1616" s="5">
        <f>IFERROR(__xludf.DUMMYFUNCTION("""COMPUTED_VALUE"""),1.0)</f>
        <v>1</v>
      </c>
    </row>
    <row r="1617">
      <c r="A1617" s="10" t="str">
        <f>IFERROR(__xludf.DUMMYFUNCTION("""COMPUTED_VALUE"""),"デルバラド")</f>
        <v>デルバラド</v>
      </c>
      <c r="B1617" s="10">
        <f>IFERROR(__xludf.DUMMYFUNCTION("""COMPUTED_VALUE"""),888.0)</f>
        <v>888</v>
      </c>
      <c r="C1617" s="10">
        <f>IFERROR(__xludf.DUMMYFUNCTION("""COMPUTED_VALUE"""),10517.0)</f>
        <v>10517</v>
      </c>
      <c r="D1617" s="5">
        <f>IFERROR(__xludf.DUMMYFUNCTION("""COMPUTED_VALUE"""),0.38249039360265863)</f>
        <v>0.3824903936</v>
      </c>
      <c r="E1617" s="5">
        <f>IFERROR(__xludf.DUMMYFUNCTION("""COMPUTED_VALUE"""),0.13521653338872158)</f>
        <v>0.1352165334</v>
      </c>
      <c r="F1617" s="5">
        <f>IFERROR(__xludf.DUMMYFUNCTION("""COMPUTED_VALUE"""),0.21694880049849413)</f>
        <v>0.2169488005</v>
      </c>
      <c r="G1617" s="5">
        <f>IFERROR(__xludf.DUMMYFUNCTION("""COMPUTED_VALUE"""),0.15546785751376052)</f>
        <v>0.1554678575</v>
      </c>
      <c r="H1617" s="5">
        <f>IFERROR(__xludf.DUMMYFUNCTION("""COMPUTED_VALUE"""),0.6089037817137386)</f>
        <v>0.6089037817</v>
      </c>
      <c r="I1617" s="11">
        <f>IFERROR(__xludf.DUMMYFUNCTION("""COMPUTED_VALUE"""),5406.079463858306)</f>
        <v>5406.079464</v>
      </c>
      <c r="J1617" s="10">
        <f>IFERROR(__xludf.DUMMYFUNCTION("""COMPUTED_VALUE"""),2.0)</f>
        <v>2</v>
      </c>
      <c r="K1617" s="5">
        <f>IFERROR(__xludf.DUMMYFUNCTION("""COMPUTED_VALUE"""),0.0022522522522522522)</f>
        <v>0.002252252252</v>
      </c>
      <c r="L1617" s="10">
        <f>IFERROR(__xludf.DUMMYFUNCTION("""COMPUTED_VALUE"""),888.0)</f>
        <v>888</v>
      </c>
      <c r="M1617" s="5">
        <f>IFERROR(__xludf.DUMMYFUNCTION("""COMPUTED_VALUE"""),1.0)</f>
        <v>1</v>
      </c>
    </row>
    <row r="1618">
      <c r="A1618" s="10" t="str">
        <f>IFERROR(__xludf.DUMMYFUNCTION("""COMPUTED_VALUE"""),"ショート久慈")</f>
        <v>ショート久慈</v>
      </c>
      <c r="B1618" s="10">
        <f>IFERROR(__xludf.DUMMYFUNCTION("""COMPUTED_VALUE"""),250.0)</f>
        <v>250</v>
      </c>
      <c r="C1618" s="10">
        <f>IFERROR(__xludf.DUMMYFUNCTION("""COMPUTED_VALUE"""),2898.0)</f>
        <v>2898</v>
      </c>
      <c r="D1618" s="5">
        <f>IFERROR(__xludf.DUMMYFUNCTION("""COMPUTED_VALUE"""),0.2590634441087613)</f>
        <v>0.2590634441</v>
      </c>
      <c r="E1618" s="5">
        <f>IFERROR(__xludf.DUMMYFUNCTION("""COMPUTED_VALUE"""),0.1351963746223565)</f>
        <v>0.1351963746</v>
      </c>
      <c r="F1618" s="5">
        <f>IFERROR(__xludf.DUMMYFUNCTION("""COMPUTED_VALUE"""),0.18429003021148035)</f>
        <v>0.1842900302</v>
      </c>
      <c r="G1618" s="5">
        <f>IFERROR(__xludf.DUMMYFUNCTION("""COMPUTED_VALUE"""),0.15294561933534742)</f>
        <v>0.1529456193</v>
      </c>
      <c r="H1618" s="5">
        <f>IFERROR(__xludf.DUMMYFUNCTION("""COMPUTED_VALUE"""),0.5983606557377049)</f>
        <v>0.5983606557</v>
      </c>
      <c r="I1618" s="11">
        <f>IFERROR(__xludf.DUMMYFUNCTION("""COMPUTED_VALUE"""),6289.959016393443)</f>
        <v>6289.959016</v>
      </c>
      <c r="J1618" s="10">
        <f>IFERROR(__xludf.DUMMYFUNCTION("""COMPUTED_VALUE"""),0.0)</f>
        <v>0</v>
      </c>
      <c r="K1618" s="5">
        <f>IFERROR(__xludf.DUMMYFUNCTION("""COMPUTED_VALUE"""),0.0)</f>
        <v>0</v>
      </c>
      <c r="L1618" s="10">
        <f>IFERROR(__xludf.DUMMYFUNCTION("""COMPUTED_VALUE"""),0.0)</f>
        <v>0</v>
      </c>
      <c r="M1618" s="5">
        <f>IFERROR(__xludf.DUMMYFUNCTION("""COMPUTED_VALUE"""),0.0)</f>
        <v>0</v>
      </c>
    </row>
    <row r="1619">
      <c r="A1619" s="10" t="str">
        <f>IFERROR(__xludf.DUMMYFUNCTION("""COMPUTED_VALUE"""),"Ezaki")</f>
        <v>Ezaki</v>
      </c>
      <c r="B1619" s="10">
        <f>IFERROR(__xludf.DUMMYFUNCTION("""COMPUTED_VALUE"""),349.0)</f>
        <v>349</v>
      </c>
      <c r="C1619" s="10">
        <f>IFERROR(__xludf.DUMMYFUNCTION("""COMPUTED_VALUE"""),4003.0)</f>
        <v>4003</v>
      </c>
      <c r="D1619" s="5">
        <f>IFERROR(__xludf.DUMMYFUNCTION("""COMPUTED_VALUE"""),0.3831417624521073)</f>
        <v>0.3831417625</v>
      </c>
      <c r="E1619" s="5">
        <f>IFERROR(__xludf.DUMMYFUNCTION("""COMPUTED_VALUE"""),0.13519430760810072)</f>
        <v>0.1351943076</v>
      </c>
      <c r="F1619" s="5">
        <f>IFERROR(__xludf.DUMMYFUNCTION("""COMPUTED_VALUE"""),0.20279146141215107)</f>
        <v>0.2027914614</v>
      </c>
      <c r="G1619" s="5">
        <f>IFERROR(__xludf.DUMMYFUNCTION("""COMPUTED_VALUE"""),0.16912972085385877)</f>
        <v>0.1691297209</v>
      </c>
      <c r="H1619" s="5">
        <f>IFERROR(__xludf.DUMMYFUNCTION("""COMPUTED_VALUE"""),0.5708502024291497)</f>
        <v>0.5708502024</v>
      </c>
      <c r="I1619" s="11">
        <f>IFERROR(__xludf.DUMMYFUNCTION("""COMPUTED_VALUE"""),5472.199730094467)</f>
        <v>5472.19973</v>
      </c>
      <c r="J1619" s="10">
        <f>IFERROR(__xludf.DUMMYFUNCTION("""COMPUTED_VALUE"""),0.0)</f>
        <v>0</v>
      </c>
      <c r="K1619" s="5">
        <f>IFERROR(__xludf.DUMMYFUNCTION("""COMPUTED_VALUE"""),0.0)</f>
        <v>0</v>
      </c>
      <c r="L1619" s="10">
        <f>IFERROR(__xludf.DUMMYFUNCTION("""COMPUTED_VALUE"""),349.0)</f>
        <v>349</v>
      </c>
      <c r="M1619" s="5">
        <f>IFERROR(__xludf.DUMMYFUNCTION("""COMPUTED_VALUE"""),1.0)</f>
        <v>1</v>
      </c>
    </row>
    <row r="1620">
      <c r="A1620" s="10" t="str">
        <f>IFERROR(__xludf.DUMMYFUNCTION("""COMPUTED_VALUE"""),"まきのにょめ")</f>
        <v>まきのにょめ</v>
      </c>
      <c r="B1620" s="10">
        <f>IFERROR(__xludf.DUMMYFUNCTION("""COMPUTED_VALUE"""),192.0)</f>
        <v>192</v>
      </c>
      <c r="C1620" s="10">
        <f>IFERROR(__xludf.DUMMYFUNCTION("""COMPUTED_VALUE"""),2130.0)</f>
        <v>2130</v>
      </c>
      <c r="D1620" s="5">
        <f>IFERROR(__xludf.DUMMYFUNCTION("""COMPUTED_VALUE"""),0.33591331269349844)</f>
        <v>0.3359133127</v>
      </c>
      <c r="E1620" s="5">
        <f>IFERROR(__xludf.DUMMYFUNCTION("""COMPUTED_VALUE"""),0.13519091847265222)</f>
        <v>0.1351909185</v>
      </c>
      <c r="F1620" s="5">
        <f>IFERROR(__xludf.DUMMYFUNCTION("""COMPUTED_VALUE"""),0.20175438596491227)</f>
        <v>0.201754386</v>
      </c>
      <c r="G1620" s="5">
        <f>IFERROR(__xludf.DUMMYFUNCTION("""COMPUTED_VALUE"""),0.17337461300309598)</f>
        <v>0.173374613</v>
      </c>
      <c r="H1620" s="5">
        <f>IFERROR(__xludf.DUMMYFUNCTION("""COMPUTED_VALUE"""),0.6163682864450127)</f>
        <v>0.6163682864</v>
      </c>
      <c r="I1620" s="11">
        <f>IFERROR(__xludf.DUMMYFUNCTION("""COMPUTED_VALUE"""),5898.976982097187)</f>
        <v>5898.976982</v>
      </c>
      <c r="J1620" s="10">
        <f>IFERROR(__xludf.DUMMYFUNCTION("""COMPUTED_VALUE"""),1.0)</f>
        <v>1</v>
      </c>
      <c r="K1620" s="5">
        <f>IFERROR(__xludf.DUMMYFUNCTION("""COMPUTED_VALUE"""),0.005208333333333333)</f>
        <v>0.005208333333</v>
      </c>
      <c r="L1620" s="10">
        <f>IFERROR(__xludf.DUMMYFUNCTION("""COMPUTED_VALUE"""),192.0)</f>
        <v>192</v>
      </c>
      <c r="M1620" s="5">
        <f>IFERROR(__xludf.DUMMYFUNCTION("""COMPUTED_VALUE"""),1.0)</f>
        <v>1</v>
      </c>
    </row>
    <row r="1621">
      <c r="A1621" s="10" t="str">
        <f>IFERROR(__xludf.DUMMYFUNCTION("""COMPUTED_VALUE"""),"モンスター５")</f>
        <v>モンスター５</v>
      </c>
      <c r="B1621" s="10">
        <f>IFERROR(__xludf.DUMMYFUNCTION("""COMPUTED_VALUE"""),756.0)</f>
        <v>756</v>
      </c>
      <c r="C1621" s="10">
        <f>IFERROR(__xludf.DUMMYFUNCTION("""COMPUTED_VALUE"""),8930.0)</f>
        <v>8930</v>
      </c>
      <c r="D1621" s="5">
        <f>IFERROR(__xludf.DUMMYFUNCTION("""COMPUTED_VALUE"""),0.4068999265965256)</f>
        <v>0.4068999266</v>
      </c>
      <c r="E1621" s="5">
        <f>IFERROR(__xludf.DUMMYFUNCTION("""COMPUTED_VALUE"""),0.13518473207731832)</f>
        <v>0.1351847321</v>
      </c>
      <c r="F1621" s="5">
        <f>IFERROR(__xludf.DUMMYFUNCTION("""COMPUTED_VALUE"""),0.2202104232933692)</f>
        <v>0.2202104233</v>
      </c>
      <c r="G1621" s="5">
        <f>IFERROR(__xludf.DUMMYFUNCTION("""COMPUTED_VALUE"""),0.10117445559089797)</f>
        <v>0.1011744556</v>
      </c>
      <c r="H1621" s="5">
        <f>IFERROR(__xludf.DUMMYFUNCTION("""COMPUTED_VALUE"""),0.6405555555555555)</f>
        <v>0.6405555556</v>
      </c>
      <c r="I1621" s="11">
        <f>IFERROR(__xludf.DUMMYFUNCTION("""COMPUTED_VALUE"""),5092.055555555556)</f>
        <v>5092.055556</v>
      </c>
      <c r="J1621" s="10">
        <f>IFERROR(__xludf.DUMMYFUNCTION("""COMPUTED_VALUE"""),0.0)</f>
        <v>0</v>
      </c>
      <c r="K1621" s="5">
        <f>IFERROR(__xludf.DUMMYFUNCTION("""COMPUTED_VALUE"""),0.0)</f>
        <v>0</v>
      </c>
      <c r="L1621" s="10">
        <f>IFERROR(__xludf.DUMMYFUNCTION("""COMPUTED_VALUE"""),468.0)</f>
        <v>468</v>
      </c>
      <c r="M1621" s="5">
        <f>IFERROR(__xludf.DUMMYFUNCTION("""COMPUTED_VALUE"""),0.6190476190476191)</f>
        <v>0.619047619</v>
      </c>
    </row>
    <row r="1622">
      <c r="A1622" s="10" t="str">
        <f>IFERROR(__xludf.DUMMYFUNCTION("""COMPUTED_VALUE"""),"†香花††")</f>
        <v>†香花††</v>
      </c>
      <c r="B1622" s="10">
        <f>IFERROR(__xludf.DUMMYFUNCTION("""COMPUTED_VALUE"""),386.0)</f>
        <v>386</v>
      </c>
      <c r="C1622" s="10">
        <f>IFERROR(__xludf.DUMMYFUNCTION("""COMPUTED_VALUE"""),4440.0)</f>
        <v>4440</v>
      </c>
      <c r="D1622" s="5">
        <f>IFERROR(__xludf.DUMMYFUNCTION("""COMPUTED_VALUE"""),0.35668475579674397)</f>
        <v>0.3566847558</v>
      </c>
      <c r="E1622" s="5">
        <f>IFERROR(__xludf.DUMMYFUNCTION("""COMPUTED_VALUE"""),0.13517513566847558)</f>
        <v>0.1351751357</v>
      </c>
      <c r="F1622" s="5">
        <f>IFERROR(__xludf.DUMMYFUNCTION("""COMPUTED_VALUE"""),0.20572274296990625)</f>
        <v>0.205722743</v>
      </c>
      <c r="G1622" s="5">
        <f>IFERROR(__xludf.DUMMYFUNCTION("""COMPUTED_VALUE"""),0.15638875185002465)</f>
        <v>0.1563887519</v>
      </c>
      <c r="H1622" s="5">
        <f>IFERROR(__xludf.DUMMYFUNCTION("""COMPUTED_VALUE"""),0.6247002398081535)</f>
        <v>0.6247002398</v>
      </c>
      <c r="I1622" s="11">
        <f>IFERROR(__xludf.DUMMYFUNCTION("""COMPUTED_VALUE"""),5543.1654676258995)</f>
        <v>5543.165468</v>
      </c>
      <c r="J1622" s="10">
        <f>IFERROR(__xludf.DUMMYFUNCTION("""COMPUTED_VALUE"""),1.0)</f>
        <v>1</v>
      </c>
      <c r="K1622" s="5">
        <f>IFERROR(__xludf.DUMMYFUNCTION("""COMPUTED_VALUE"""),0.0025906735751295338)</f>
        <v>0.002590673575</v>
      </c>
      <c r="L1622" s="10">
        <f>IFERROR(__xludf.DUMMYFUNCTION("""COMPUTED_VALUE"""),0.0)</f>
        <v>0</v>
      </c>
      <c r="M1622" s="5">
        <f>IFERROR(__xludf.DUMMYFUNCTION("""COMPUTED_VALUE"""),0.0)</f>
        <v>0</v>
      </c>
    </row>
    <row r="1623">
      <c r="A1623" s="10" t="str">
        <f>IFERROR(__xludf.DUMMYFUNCTION("""COMPUTED_VALUE"""),"チセ＠")</f>
        <v>チセ＠</v>
      </c>
      <c r="B1623" s="10">
        <f>IFERROR(__xludf.DUMMYFUNCTION("""COMPUTED_VALUE"""),268.0)</f>
        <v>268</v>
      </c>
      <c r="C1623" s="10">
        <f>IFERROR(__xludf.DUMMYFUNCTION("""COMPUTED_VALUE"""),3205.0)</f>
        <v>3205</v>
      </c>
      <c r="D1623" s="5">
        <f>IFERROR(__xludf.DUMMYFUNCTION("""COMPUTED_VALUE"""),0.3435478379298604)</f>
        <v>0.3435478379</v>
      </c>
      <c r="E1623" s="5">
        <f>IFERROR(__xludf.DUMMYFUNCTION("""COMPUTED_VALUE"""),0.1351719441607082)</f>
        <v>0.1351719442</v>
      </c>
      <c r="F1623" s="5">
        <f>IFERROR(__xludf.DUMMYFUNCTION("""COMPUTED_VALUE"""),0.20497105890364317)</f>
        <v>0.2049710589</v>
      </c>
      <c r="G1623" s="5">
        <f>IFERROR(__xludf.DUMMYFUNCTION("""COMPUTED_VALUE"""),0.1760299625468165)</f>
        <v>0.1760299625</v>
      </c>
      <c r="H1623" s="5">
        <f>IFERROR(__xludf.DUMMYFUNCTION("""COMPUTED_VALUE"""),0.5946843853820598)</f>
        <v>0.5946843854</v>
      </c>
      <c r="I1623" s="11">
        <f>IFERROR(__xludf.DUMMYFUNCTION("""COMPUTED_VALUE"""),5357.641196013289)</f>
        <v>5357.641196</v>
      </c>
      <c r="J1623" s="10">
        <f>IFERROR(__xludf.DUMMYFUNCTION("""COMPUTED_VALUE"""),1.0)</f>
        <v>1</v>
      </c>
      <c r="K1623" s="5">
        <f>IFERROR(__xludf.DUMMYFUNCTION("""COMPUTED_VALUE"""),0.0037313432835820895)</f>
        <v>0.003731343284</v>
      </c>
      <c r="L1623" s="10">
        <f>IFERROR(__xludf.DUMMYFUNCTION("""COMPUTED_VALUE"""),268.0)</f>
        <v>268</v>
      </c>
      <c r="M1623" s="5">
        <f>IFERROR(__xludf.DUMMYFUNCTION("""COMPUTED_VALUE"""),1.0)</f>
        <v>1</v>
      </c>
    </row>
    <row r="1624">
      <c r="A1624" s="10" t="str">
        <f>IFERROR(__xludf.DUMMYFUNCTION("""COMPUTED_VALUE"""),"萌えの神")</f>
        <v>萌えの神</v>
      </c>
      <c r="B1624" s="10">
        <f>IFERROR(__xludf.DUMMYFUNCTION("""COMPUTED_VALUE"""),302.0)</f>
        <v>302</v>
      </c>
      <c r="C1624" s="10">
        <f>IFERROR(__xludf.DUMMYFUNCTION("""COMPUTED_VALUE"""),3609.0)</f>
        <v>3609</v>
      </c>
      <c r="D1624" s="5">
        <f>IFERROR(__xludf.DUMMYFUNCTION("""COMPUTED_VALUE"""),0.363169035379498)</f>
        <v>0.3631690354</v>
      </c>
      <c r="E1624" s="5">
        <f>IFERROR(__xludf.DUMMYFUNCTION("""COMPUTED_VALUE"""),0.13516782582400969)</f>
        <v>0.1351678258</v>
      </c>
      <c r="F1624" s="5">
        <f>IFERROR(__xludf.DUMMYFUNCTION("""COMPUTED_VALUE"""),0.20683398850922285)</f>
        <v>0.2068339885</v>
      </c>
      <c r="G1624" s="5">
        <f>IFERROR(__xludf.DUMMYFUNCTION("""COMPUTED_VALUE"""),0.14272754762624734)</f>
        <v>0.1427275476</v>
      </c>
      <c r="H1624" s="5">
        <f>IFERROR(__xludf.DUMMYFUNCTION("""COMPUTED_VALUE"""),0.6111111111111112)</f>
        <v>0.6111111111</v>
      </c>
      <c r="I1624" s="11">
        <f>IFERROR(__xludf.DUMMYFUNCTION("""COMPUTED_VALUE"""),5500.438596491228)</f>
        <v>5500.438596</v>
      </c>
      <c r="J1624" s="10">
        <f>IFERROR(__xludf.DUMMYFUNCTION("""COMPUTED_VALUE"""),0.0)</f>
        <v>0</v>
      </c>
      <c r="K1624" s="5">
        <f>IFERROR(__xludf.DUMMYFUNCTION("""COMPUTED_VALUE"""),0.0)</f>
        <v>0</v>
      </c>
      <c r="L1624" s="10">
        <f>IFERROR(__xludf.DUMMYFUNCTION("""COMPUTED_VALUE"""),0.0)</f>
        <v>0</v>
      </c>
      <c r="M1624" s="5">
        <f>IFERROR(__xludf.DUMMYFUNCTION("""COMPUTED_VALUE"""),0.0)</f>
        <v>0</v>
      </c>
    </row>
    <row r="1625">
      <c r="A1625" s="10" t="str">
        <f>IFERROR(__xludf.DUMMYFUNCTION("""COMPUTED_VALUE"""),"いい笑顔")</f>
        <v>いい笑顔</v>
      </c>
      <c r="B1625" s="10">
        <f>IFERROR(__xludf.DUMMYFUNCTION("""COMPUTED_VALUE"""),3586.0)</f>
        <v>3586</v>
      </c>
      <c r="C1625" s="10">
        <f>IFERROR(__xludf.DUMMYFUNCTION("""COMPUTED_VALUE"""),41732.0)</f>
        <v>41732</v>
      </c>
      <c r="D1625" s="5">
        <f>IFERROR(__xludf.DUMMYFUNCTION("""COMPUTED_VALUE"""),0.3124049703769727)</f>
        <v>0.3124049704</v>
      </c>
      <c r="E1625" s="5">
        <f>IFERROR(__xludf.DUMMYFUNCTION("""COMPUTED_VALUE"""),0.13516489278037017)</f>
        <v>0.1351648928</v>
      </c>
      <c r="F1625" s="5">
        <f>IFERROR(__xludf.DUMMYFUNCTION("""COMPUTED_VALUE"""),0.21944633775494155)</f>
        <v>0.2194463378</v>
      </c>
      <c r="G1625" s="5">
        <f>IFERROR(__xludf.DUMMYFUNCTION("""COMPUTED_VALUE"""),0.18038588580716194)</f>
        <v>0.1803858858</v>
      </c>
      <c r="H1625" s="5">
        <f>IFERROR(__xludf.DUMMYFUNCTION("""COMPUTED_VALUE"""),0.5993310237725481)</f>
        <v>0.5993310238</v>
      </c>
      <c r="I1625" s="11">
        <f>IFERROR(__xludf.DUMMYFUNCTION("""COMPUTED_VALUE"""),5780.038227212997)</f>
        <v>5780.038227</v>
      </c>
      <c r="J1625" s="10">
        <f>IFERROR(__xludf.DUMMYFUNCTION("""COMPUTED_VALUE"""),4.0)</f>
        <v>4</v>
      </c>
      <c r="K1625" s="5">
        <f>IFERROR(__xludf.DUMMYFUNCTION("""COMPUTED_VALUE"""),0.0011154489682097045)</f>
        <v>0.001115448968</v>
      </c>
      <c r="L1625" s="10">
        <f>IFERROR(__xludf.DUMMYFUNCTION("""COMPUTED_VALUE"""),29.0)</f>
        <v>29</v>
      </c>
      <c r="M1625" s="5">
        <f>IFERROR(__xludf.DUMMYFUNCTION("""COMPUTED_VALUE"""),0.008087005019520357)</f>
        <v>0.00808700502</v>
      </c>
    </row>
    <row r="1626">
      <c r="A1626" s="10" t="str">
        <f>IFERROR(__xludf.DUMMYFUNCTION("""COMPUTED_VALUE"""),"杉浦伊澄")</f>
        <v>杉浦伊澄</v>
      </c>
      <c r="B1626" s="10">
        <f>IFERROR(__xludf.DUMMYFUNCTION("""COMPUTED_VALUE"""),528.0)</f>
        <v>528</v>
      </c>
      <c r="C1626" s="10">
        <f>IFERROR(__xludf.DUMMYFUNCTION("""COMPUTED_VALUE"""),6205.0)</f>
        <v>6205</v>
      </c>
      <c r="D1626" s="5">
        <f>IFERROR(__xludf.DUMMYFUNCTION("""COMPUTED_VALUE"""),0.389290118020081)</f>
        <v>0.389290118</v>
      </c>
      <c r="E1626" s="5">
        <f>IFERROR(__xludf.DUMMYFUNCTION("""COMPUTED_VALUE"""),0.13510657037167517)</f>
        <v>0.1351065704</v>
      </c>
      <c r="F1626" s="5">
        <f>IFERROR(__xludf.DUMMYFUNCTION("""COMPUTED_VALUE"""),0.218249075215783)</f>
        <v>0.2182490752</v>
      </c>
      <c r="G1626" s="5">
        <f>IFERROR(__xludf.DUMMYFUNCTION("""COMPUTED_VALUE"""),0.15360225471199576)</f>
        <v>0.1536022547</v>
      </c>
      <c r="H1626" s="5">
        <f>IFERROR(__xludf.DUMMYFUNCTION("""COMPUTED_VALUE"""),0.6069410815173527)</f>
        <v>0.6069410815</v>
      </c>
      <c r="I1626" s="11">
        <f>IFERROR(__xludf.DUMMYFUNCTION("""COMPUTED_VALUE"""),5255.044390637611)</f>
        <v>5255.044391</v>
      </c>
      <c r="J1626" s="10">
        <f>IFERROR(__xludf.DUMMYFUNCTION("""COMPUTED_VALUE"""),0.0)</f>
        <v>0</v>
      </c>
      <c r="K1626" s="5">
        <f>IFERROR(__xludf.DUMMYFUNCTION("""COMPUTED_VALUE"""),0.0)</f>
        <v>0</v>
      </c>
      <c r="L1626" s="10">
        <f>IFERROR(__xludf.DUMMYFUNCTION("""COMPUTED_VALUE"""),528.0)</f>
        <v>528</v>
      </c>
      <c r="M1626" s="5">
        <f>IFERROR(__xludf.DUMMYFUNCTION("""COMPUTED_VALUE"""),1.0)</f>
        <v>1</v>
      </c>
    </row>
    <row r="1627">
      <c r="A1627" s="10" t="str">
        <f>IFERROR(__xludf.DUMMYFUNCTION("""COMPUTED_VALUE"""),"kamee")</f>
        <v>kamee</v>
      </c>
      <c r="B1627" s="10">
        <f>IFERROR(__xludf.DUMMYFUNCTION("""COMPUTED_VALUE"""),138.0)</f>
        <v>138</v>
      </c>
      <c r="C1627" s="10">
        <f>IFERROR(__xludf.DUMMYFUNCTION("""COMPUTED_VALUE"""),1552.0)</f>
        <v>1552</v>
      </c>
      <c r="D1627" s="5">
        <f>IFERROR(__xludf.DUMMYFUNCTION("""COMPUTED_VALUE"""),0.3408769448373409)</f>
        <v>0.3408769448</v>
      </c>
      <c r="E1627" s="5">
        <f>IFERROR(__xludf.DUMMYFUNCTION("""COMPUTED_VALUE"""),0.13507779349363508)</f>
        <v>0.1350777935</v>
      </c>
      <c r="F1627" s="5">
        <f>IFERROR(__xludf.DUMMYFUNCTION("""COMPUTED_VALUE"""),0.2355021216407355)</f>
        <v>0.2355021216</v>
      </c>
      <c r="G1627" s="5">
        <f>IFERROR(__xludf.DUMMYFUNCTION("""COMPUTED_VALUE"""),0.2072135785007072)</f>
        <v>0.2072135785</v>
      </c>
      <c r="H1627" s="5">
        <f>IFERROR(__xludf.DUMMYFUNCTION("""COMPUTED_VALUE"""),0.5645645645645646)</f>
        <v>0.5645645646</v>
      </c>
      <c r="I1627" s="11">
        <f>IFERROR(__xludf.DUMMYFUNCTION("""COMPUTED_VALUE"""),6129.72972972973)</f>
        <v>6129.72973</v>
      </c>
      <c r="J1627" s="10">
        <f>IFERROR(__xludf.DUMMYFUNCTION("""COMPUTED_VALUE"""),0.0)</f>
        <v>0</v>
      </c>
      <c r="K1627" s="5">
        <f>IFERROR(__xludf.DUMMYFUNCTION("""COMPUTED_VALUE"""),0.0)</f>
        <v>0</v>
      </c>
      <c r="L1627" s="10">
        <f>IFERROR(__xludf.DUMMYFUNCTION("""COMPUTED_VALUE"""),138.0)</f>
        <v>138</v>
      </c>
      <c r="M1627" s="5">
        <f>IFERROR(__xludf.DUMMYFUNCTION("""COMPUTED_VALUE"""),1.0)</f>
        <v>1</v>
      </c>
    </row>
    <row r="1628">
      <c r="A1628" s="10" t="str">
        <f>IFERROR(__xludf.DUMMYFUNCTION("""COMPUTED_VALUE"""),"北道山")</f>
        <v>北道山</v>
      </c>
      <c r="B1628" s="10">
        <f>IFERROR(__xludf.DUMMYFUNCTION("""COMPUTED_VALUE"""),380.0)</f>
        <v>380</v>
      </c>
      <c r="C1628" s="10">
        <f>IFERROR(__xludf.DUMMYFUNCTION("""COMPUTED_VALUE"""),4526.0)</f>
        <v>4526</v>
      </c>
      <c r="D1628" s="5">
        <f>IFERROR(__xludf.DUMMYFUNCTION("""COMPUTED_VALUE"""),0.28895320791123974)</f>
        <v>0.2889532079</v>
      </c>
      <c r="E1628" s="5">
        <f>IFERROR(__xludf.DUMMYFUNCTION("""COMPUTED_VALUE"""),0.13506994693680657)</f>
        <v>0.1350699469</v>
      </c>
      <c r="F1628" s="5">
        <f>IFERROR(__xludf.DUMMYFUNCTION("""COMPUTED_VALUE"""),0.2023637240713941)</f>
        <v>0.2023637241</v>
      </c>
      <c r="G1628" s="5">
        <f>IFERROR(__xludf.DUMMYFUNCTION("""COMPUTED_VALUE"""),0.17390255668113844)</f>
        <v>0.1739025567</v>
      </c>
      <c r="H1628" s="5">
        <f>IFERROR(__xludf.DUMMYFUNCTION("""COMPUTED_VALUE"""),0.5828367103694875)</f>
        <v>0.5828367104</v>
      </c>
      <c r="I1628" s="11">
        <f>IFERROR(__xludf.DUMMYFUNCTION("""COMPUTED_VALUE"""),6058.402860548272)</f>
        <v>6058.402861</v>
      </c>
      <c r="J1628" s="10">
        <f>IFERROR(__xludf.DUMMYFUNCTION("""COMPUTED_VALUE"""),0.0)</f>
        <v>0</v>
      </c>
      <c r="K1628" s="5">
        <f>IFERROR(__xludf.DUMMYFUNCTION("""COMPUTED_VALUE"""),0.0)</f>
        <v>0</v>
      </c>
      <c r="L1628" s="10">
        <f>IFERROR(__xludf.DUMMYFUNCTION("""COMPUTED_VALUE"""),380.0)</f>
        <v>380</v>
      </c>
      <c r="M1628" s="5">
        <f>IFERROR(__xludf.DUMMYFUNCTION("""COMPUTED_VALUE"""),1.0)</f>
        <v>1</v>
      </c>
    </row>
    <row r="1629">
      <c r="A1629" s="10" t="str">
        <f>IFERROR(__xludf.DUMMYFUNCTION("""COMPUTED_VALUE"""),"SE7EN-55")</f>
        <v>SE7EN-55</v>
      </c>
      <c r="B1629" s="10">
        <f>IFERROR(__xludf.DUMMYFUNCTION("""COMPUTED_VALUE"""),564.0)</f>
        <v>564</v>
      </c>
      <c r="C1629" s="10">
        <f>IFERROR(__xludf.DUMMYFUNCTION("""COMPUTED_VALUE"""),6776.0)</f>
        <v>6776</v>
      </c>
      <c r="D1629" s="5">
        <f>IFERROR(__xludf.DUMMYFUNCTION("""COMPUTED_VALUE"""),0.383290405666452)</f>
        <v>0.3832904057</v>
      </c>
      <c r="E1629" s="5">
        <f>IFERROR(__xludf.DUMMYFUNCTION("""COMPUTED_VALUE"""),0.13506117192530587)</f>
        <v>0.1350611719</v>
      </c>
      <c r="F1629" s="5">
        <f>IFERROR(__xludf.DUMMYFUNCTION("""COMPUTED_VALUE"""),0.20556986477784933)</f>
        <v>0.2055698648</v>
      </c>
      <c r="G1629" s="5">
        <f>IFERROR(__xludf.DUMMYFUNCTION("""COMPUTED_VALUE"""),0.15872504829362524)</f>
        <v>0.1587250483</v>
      </c>
      <c r="H1629" s="5">
        <f>IFERROR(__xludf.DUMMYFUNCTION("""COMPUTED_VALUE"""),0.586530931871574)</f>
        <v>0.5865309319</v>
      </c>
      <c r="I1629" s="11">
        <f>IFERROR(__xludf.DUMMYFUNCTION("""COMPUTED_VALUE"""),5594.675019577134)</f>
        <v>5594.67502</v>
      </c>
      <c r="J1629" s="10">
        <f>IFERROR(__xludf.DUMMYFUNCTION("""COMPUTED_VALUE"""),0.0)</f>
        <v>0</v>
      </c>
      <c r="K1629" s="5">
        <f>IFERROR(__xludf.DUMMYFUNCTION("""COMPUTED_VALUE"""),0.0)</f>
        <v>0</v>
      </c>
      <c r="L1629" s="10">
        <f>IFERROR(__xludf.DUMMYFUNCTION("""COMPUTED_VALUE"""),564.0)</f>
        <v>564</v>
      </c>
      <c r="M1629" s="5">
        <f>IFERROR(__xludf.DUMMYFUNCTION("""COMPUTED_VALUE"""),1.0)</f>
        <v>1</v>
      </c>
    </row>
    <row r="1630">
      <c r="A1630" s="10" t="str">
        <f>IFERROR(__xludf.DUMMYFUNCTION("""COMPUTED_VALUE"""),"SUB.")</f>
        <v>SUB.</v>
      </c>
      <c r="B1630" s="10">
        <f>IFERROR(__xludf.DUMMYFUNCTION("""COMPUTED_VALUE"""),188.0)</f>
        <v>188</v>
      </c>
      <c r="C1630" s="10">
        <f>IFERROR(__xludf.DUMMYFUNCTION("""COMPUTED_VALUE"""),2202.0)</f>
        <v>2202</v>
      </c>
      <c r="D1630" s="5">
        <f>IFERROR(__xludf.DUMMYFUNCTION("""COMPUTED_VALUE"""),0.2740814299900695)</f>
        <v>0.27408143</v>
      </c>
      <c r="E1630" s="5">
        <f>IFERROR(__xludf.DUMMYFUNCTION("""COMPUTED_VALUE"""),0.13505461767626614)</f>
        <v>0.1350546177</v>
      </c>
      <c r="F1630" s="5">
        <f>IFERROR(__xludf.DUMMYFUNCTION("""COMPUTED_VALUE"""),0.19811320754716982)</f>
        <v>0.1981132075</v>
      </c>
      <c r="G1630" s="5">
        <f>IFERROR(__xludf.DUMMYFUNCTION("""COMPUTED_VALUE"""),0.17527308838133068)</f>
        <v>0.1752730884</v>
      </c>
      <c r="H1630" s="5">
        <f>IFERROR(__xludf.DUMMYFUNCTION("""COMPUTED_VALUE"""),0.5939849624060151)</f>
        <v>0.5939849624</v>
      </c>
      <c r="I1630" s="11">
        <f>IFERROR(__xludf.DUMMYFUNCTION("""COMPUTED_VALUE"""),5989.473684210527)</f>
        <v>5989.473684</v>
      </c>
      <c r="J1630" s="10">
        <f>IFERROR(__xludf.DUMMYFUNCTION("""COMPUTED_VALUE"""),1.0)</f>
        <v>1</v>
      </c>
      <c r="K1630" s="5">
        <f>IFERROR(__xludf.DUMMYFUNCTION("""COMPUTED_VALUE"""),0.005319148936170213)</f>
        <v>0.005319148936</v>
      </c>
      <c r="L1630" s="10">
        <f>IFERROR(__xludf.DUMMYFUNCTION("""COMPUTED_VALUE"""),188.0)</f>
        <v>188</v>
      </c>
      <c r="M1630" s="5">
        <f>IFERROR(__xludf.DUMMYFUNCTION("""COMPUTED_VALUE"""),1.0)</f>
        <v>1</v>
      </c>
    </row>
    <row r="1631">
      <c r="A1631" s="10" t="str">
        <f>IFERROR(__xludf.DUMMYFUNCTION("""COMPUTED_VALUE"""),"R5")</f>
        <v>R5</v>
      </c>
      <c r="B1631" s="10">
        <f>IFERROR(__xludf.DUMMYFUNCTION("""COMPUTED_VALUE"""),249.0)</f>
        <v>249</v>
      </c>
      <c r="C1631" s="10">
        <f>IFERROR(__xludf.DUMMYFUNCTION("""COMPUTED_VALUE"""),2811.0)</f>
        <v>2811</v>
      </c>
      <c r="D1631" s="5">
        <f>IFERROR(__xludf.DUMMYFUNCTION("""COMPUTED_VALUE"""),0.2966432474629196)</f>
        <v>0.2966432475</v>
      </c>
      <c r="E1631" s="5">
        <f>IFERROR(__xludf.DUMMYFUNCTION("""COMPUTED_VALUE"""),0.13505074160811867)</f>
        <v>0.1350507416</v>
      </c>
      <c r="F1631" s="5">
        <f>IFERROR(__xludf.DUMMYFUNCTION("""COMPUTED_VALUE"""),0.20608899297423888)</f>
        <v>0.206088993</v>
      </c>
      <c r="G1631" s="5">
        <f>IFERROR(__xludf.DUMMYFUNCTION("""COMPUTED_VALUE"""),0.21623731459797033)</f>
        <v>0.2162373146</v>
      </c>
      <c r="H1631" s="5">
        <f>IFERROR(__xludf.DUMMYFUNCTION("""COMPUTED_VALUE"""),0.5965909090909091)</f>
        <v>0.5965909091</v>
      </c>
      <c r="I1631" s="11">
        <f>IFERROR(__xludf.DUMMYFUNCTION("""COMPUTED_VALUE"""),6279.356060606061)</f>
        <v>6279.356061</v>
      </c>
      <c r="J1631" s="10">
        <f>IFERROR(__xludf.DUMMYFUNCTION("""COMPUTED_VALUE"""),1.0)</f>
        <v>1</v>
      </c>
      <c r="K1631" s="5">
        <f>IFERROR(__xludf.DUMMYFUNCTION("""COMPUTED_VALUE"""),0.004016064257028112)</f>
        <v>0.004016064257</v>
      </c>
      <c r="L1631" s="10">
        <f>IFERROR(__xludf.DUMMYFUNCTION("""COMPUTED_VALUE"""),249.0)</f>
        <v>249</v>
      </c>
      <c r="M1631" s="5">
        <f>IFERROR(__xludf.DUMMYFUNCTION("""COMPUTED_VALUE"""),1.0)</f>
        <v>1</v>
      </c>
    </row>
    <row r="1632">
      <c r="A1632" s="10" t="str">
        <f>IFERROR(__xludf.DUMMYFUNCTION("""COMPUTED_VALUE"""),"はぐれかわいそす")</f>
        <v>はぐれかわいそす</v>
      </c>
      <c r="B1632" s="10">
        <f>IFERROR(__xludf.DUMMYFUNCTION("""COMPUTED_VALUE"""),179.0)</f>
        <v>179</v>
      </c>
      <c r="C1632" s="10">
        <f>IFERROR(__xludf.DUMMYFUNCTION("""COMPUTED_VALUE"""),2082.0)</f>
        <v>2082</v>
      </c>
      <c r="D1632" s="5">
        <f>IFERROR(__xludf.DUMMYFUNCTION("""COMPUTED_VALUE"""),0.3836048344718865)</f>
        <v>0.3836048345</v>
      </c>
      <c r="E1632" s="5">
        <f>IFERROR(__xludf.DUMMYFUNCTION("""COMPUTED_VALUE"""),0.1350499211770888)</f>
        <v>0.1350499212</v>
      </c>
      <c r="F1632" s="5">
        <f>IFERROR(__xludf.DUMMYFUNCTION("""COMPUTED_VALUE"""),0.21124540199684708)</f>
        <v>0.211245402</v>
      </c>
      <c r="G1632" s="5">
        <f>IFERROR(__xludf.DUMMYFUNCTION("""COMPUTED_VALUE"""),0.18549658434051497)</f>
        <v>0.1854965843</v>
      </c>
      <c r="H1632" s="5">
        <f>IFERROR(__xludf.DUMMYFUNCTION("""COMPUTED_VALUE"""),0.599502487562189)</f>
        <v>0.5995024876</v>
      </c>
      <c r="I1632" s="11">
        <f>IFERROR(__xludf.DUMMYFUNCTION("""COMPUTED_VALUE"""),5648.258706467662)</f>
        <v>5648.258706</v>
      </c>
      <c r="J1632" s="10">
        <f>IFERROR(__xludf.DUMMYFUNCTION("""COMPUTED_VALUE"""),0.0)</f>
        <v>0</v>
      </c>
      <c r="K1632" s="5">
        <f>IFERROR(__xludf.DUMMYFUNCTION("""COMPUTED_VALUE"""),0.0)</f>
        <v>0</v>
      </c>
      <c r="L1632" s="10">
        <f>IFERROR(__xludf.DUMMYFUNCTION("""COMPUTED_VALUE"""),179.0)</f>
        <v>179</v>
      </c>
      <c r="M1632" s="5">
        <f>IFERROR(__xludf.DUMMYFUNCTION("""COMPUTED_VALUE"""),1.0)</f>
        <v>1</v>
      </c>
    </row>
    <row r="1633">
      <c r="A1633" s="10" t="str">
        <f>IFERROR(__xludf.DUMMYFUNCTION("""COMPUTED_VALUE"""),"ハネムーン★河童")</f>
        <v>ハネムーン★河童</v>
      </c>
      <c r="B1633" s="10">
        <f>IFERROR(__xludf.DUMMYFUNCTION("""COMPUTED_VALUE"""),738.0)</f>
        <v>738</v>
      </c>
      <c r="C1633" s="10">
        <f>IFERROR(__xludf.DUMMYFUNCTION("""COMPUTED_VALUE"""),8587.0)</f>
        <v>8587</v>
      </c>
      <c r="D1633" s="5">
        <f>IFERROR(__xludf.DUMMYFUNCTION("""COMPUTED_VALUE"""),0.3588992228309339)</f>
        <v>0.3588992228</v>
      </c>
      <c r="E1633" s="5">
        <f>IFERROR(__xludf.DUMMYFUNCTION("""COMPUTED_VALUE"""),0.13504905083450122)</f>
        <v>0.1350490508</v>
      </c>
      <c r="F1633" s="5">
        <f>IFERROR(__xludf.DUMMYFUNCTION("""COMPUTED_VALUE"""),0.22474200535100014)</f>
        <v>0.2247420054</v>
      </c>
      <c r="G1633" s="5">
        <f>IFERROR(__xludf.DUMMYFUNCTION("""COMPUTED_VALUE"""),0.18996050452286917)</f>
        <v>0.1899605045</v>
      </c>
      <c r="H1633" s="5">
        <f>IFERROR(__xludf.DUMMYFUNCTION("""COMPUTED_VALUE"""),0.5997732426303855)</f>
        <v>0.5997732426</v>
      </c>
      <c r="I1633" s="11">
        <f>IFERROR(__xludf.DUMMYFUNCTION("""COMPUTED_VALUE"""),5573.696145124716)</f>
        <v>5573.696145</v>
      </c>
      <c r="J1633" s="10">
        <f>IFERROR(__xludf.DUMMYFUNCTION("""COMPUTED_VALUE"""),2.0)</f>
        <v>2</v>
      </c>
      <c r="K1633" s="5">
        <f>IFERROR(__xludf.DUMMYFUNCTION("""COMPUTED_VALUE"""),0.0027100271002710027)</f>
        <v>0.0027100271</v>
      </c>
      <c r="L1633" s="10">
        <f>IFERROR(__xludf.DUMMYFUNCTION("""COMPUTED_VALUE"""),738.0)</f>
        <v>738</v>
      </c>
      <c r="M1633" s="5">
        <f>IFERROR(__xludf.DUMMYFUNCTION("""COMPUTED_VALUE"""),1.0)</f>
        <v>1</v>
      </c>
    </row>
    <row r="1634">
      <c r="A1634" s="10" t="str">
        <f>IFERROR(__xludf.DUMMYFUNCTION("""COMPUTED_VALUE"""),"三麻亭しぼり")</f>
        <v>三麻亭しぼり</v>
      </c>
      <c r="B1634" s="10">
        <f>IFERROR(__xludf.DUMMYFUNCTION("""COMPUTED_VALUE"""),582.0)</f>
        <v>582</v>
      </c>
      <c r="C1634" s="10">
        <f>IFERROR(__xludf.DUMMYFUNCTION("""COMPUTED_VALUE"""),6765.0)</f>
        <v>6765</v>
      </c>
      <c r="D1634" s="5">
        <f>IFERROR(__xludf.DUMMYFUNCTION("""COMPUTED_VALUE"""),0.3635775513504771)</f>
        <v>0.3635775514</v>
      </c>
      <c r="E1634" s="5">
        <f>IFERROR(__xludf.DUMMYFUNCTION("""COMPUTED_VALUE"""),0.13504771146692543)</f>
        <v>0.1350477115</v>
      </c>
      <c r="F1634" s="5">
        <f>IFERROR(__xludf.DUMMYFUNCTION("""COMPUTED_VALUE"""),0.21316513019569788)</f>
        <v>0.2131651302</v>
      </c>
      <c r="G1634" s="5">
        <f>IFERROR(__xludf.DUMMYFUNCTION("""COMPUTED_VALUE"""),0.15057415494096718)</f>
        <v>0.1505741549</v>
      </c>
      <c r="H1634" s="5">
        <f>IFERROR(__xludf.DUMMYFUNCTION("""COMPUTED_VALUE"""),0.56752655538695)</f>
        <v>0.5675265554</v>
      </c>
      <c r="I1634" s="11">
        <f>IFERROR(__xludf.DUMMYFUNCTION("""COMPUTED_VALUE"""),5872.837632776935)</f>
        <v>5872.837633</v>
      </c>
      <c r="J1634" s="10">
        <f>IFERROR(__xludf.DUMMYFUNCTION("""COMPUTED_VALUE"""),1.0)</f>
        <v>1</v>
      </c>
      <c r="K1634" s="5">
        <f>IFERROR(__xludf.DUMMYFUNCTION("""COMPUTED_VALUE"""),0.001718213058419244)</f>
        <v>0.001718213058</v>
      </c>
      <c r="L1634" s="10">
        <f>IFERROR(__xludf.DUMMYFUNCTION("""COMPUTED_VALUE"""),582.0)</f>
        <v>582</v>
      </c>
      <c r="M1634" s="5">
        <f>IFERROR(__xludf.DUMMYFUNCTION("""COMPUTED_VALUE"""),1.0)</f>
        <v>1</v>
      </c>
    </row>
    <row r="1635">
      <c r="A1635" s="10" t="str">
        <f>IFERROR(__xludf.DUMMYFUNCTION("""COMPUTED_VALUE"""),"マオナモミ")</f>
        <v>マオナモミ</v>
      </c>
      <c r="B1635" s="10">
        <f>IFERROR(__xludf.DUMMYFUNCTION("""COMPUTED_VALUE"""),551.0)</f>
        <v>551</v>
      </c>
      <c r="C1635" s="10">
        <f>IFERROR(__xludf.DUMMYFUNCTION("""COMPUTED_VALUE"""),6401.0)</f>
        <v>6401</v>
      </c>
      <c r="D1635" s="5">
        <f>IFERROR(__xludf.DUMMYFUNCTION("""COMPUTED_VALUE"""),0.37145299145299143)</f>
        <v>0.3714529915</v>
      </c>
      <c r="E1635" s="5">
        <f>IFERROR(__xludf.DUMMYFUNCTION("""COMPUTED_VALUE"""),0.13504273504273503)</f>
        <v>0.135042735</v>
      </c>
      <c r="F1635" s="5">
        <f>IFERROR(__xludf.DUMMYFUNCTION("""COMPUTED_VALUE"""),0.19555555555555557)</f>
        <v>0.1955555556</v>
      </c>
      <c r="G1635" s="5">
        <f>IFERROR(__xludf.DUMMYFUNCTION("""COMPUTED_VALUE"""),0.18307692307692308)</f>
        <v>0.1830769231</v>
      </c>
      <c r="H1635" s="5">
        <f>IFERROR(__xludf.DUMMYFUNCTION("""COMPUTED_VALUE"""),0.6031468531468531)</f>
        <v>0.6031468531</v>
      </c>
      <c r="I1635" s="11">
        <f>IFERROR(__xludf.DUMMYFUNCTION("""COMPUTED_VALUE"""),5974.650349650349)</f>
        <v>5974.65035</v>
      </c>
      <c r="J1635" s="10">
        <f>IFERROR(__xludf.DUMMYFUNCTION("""COMPUTED_VALUE"""),3.0)</f>
        <v>3</v>
      </c>
      <c r="K1635" s="5">
        <f>IFERROR(__xludf.DUMMYFUNCTION("""COMPUTED_VALUE"""),0.0054446460980036296)</f>
        <v>0.005444646098</v>
      </c>
      <c r="L1635" s="10">
        <f>IFERROR(__xludf.DUMMYFUNCTION("""COMPUTED_VALUE"""),546.0)</f>
        <v>546</v>
      </c>
      <c r="M1635" s="5">
        <f>IFERROR(__xludf.DUMMYFUNCTION("""COMPUTED_VALUE"""),0.9909255898366606)</f>
        <v>0.9909255898</v>
      </c>
    </row>
    <row r="1636">
      <c r="A1636" s="10" t="str">
        <f>IFERROR(__xludf.DUMMYFUNCTION("""COMPUTED_VALUE"""),"愛と平和と僕")</f>
        <v>愛と平和と僕</v>
      </c>
      <c r="B1636" s="10">
        <f>IFERROR(__xludf.DUMMYFUNCTION("""COMPUTED_VALUE"""),843.0)</f>
        <v>843</v>
      </c>
      <c r="C1636" s="10">
        <f>IFERROR(__xludf.DUMMYFUNCTION("""COMPUTED_VALUE"""),9855.0)</f>
        <v>9855</v>
      </c>
      <c r="D1636" s="5">
        <f>IFERROR(__xludf.DUMMYFUNCTION("""COMPUTED_VALUE"""),0.35297381269418554)</f>
        <v>0.3529738127</v>
      </c>
      <c r="E1636" s="5">
        <f>IFERROR(__xludf.DUMMYFUNCTION("""COMPUTED_VALUE"""),0.1350421660008877)</f>
        <v>0.135042166</v>
      </c>
      <c r="F1636" s="5">
        <f>IFERROR(__xludf.DUMMYFUNCTION("""COMPUTED_VALUE"""),0.2139369729249889)</f>
        <v>0.2139369729</v>
      </c>
      <c r="G1636" s="5">
        <f>IFERROR(__xludf.DUMMYFUNCTION("""COMPUTED_VALUE"""),0.19529516200621394)</f>
        <v>0.195295162</v>
      </c>
      <c r="H1636" s="5">
        <f>IFERROR(__xludf.DUMMYFUNCTION("""COMPUTED_VALUE"""),0.595954356846473)</f>
        <v>0.5959543568</v>
      </c>
      <c r="I1636" s="11">
        <f>IFERROR(__xludf.DUMMYFUNCTION("""COMPUTED_VALUE"""),5610.788381742738)</f>
        <v>5610.788382</v>
      </c>
      <c r="J1636" s="10">
        <f>IFERROR(__xludf.DUMMYFUNCTION("""COMPUTED_VALUE"""),0.0)</f>
        <v>0</v>
      </c>
      <c r="K1636" s="5">
        <f>IFERROR(__xludf.DUMMYFUNCTION("""COMPUTED_VALUE"""),0.0)</f>
        <v>0</v>
      </c>
      <c r="L1636" s="10">
        <f>IFERROR(__xludf.DUMMYFUNCTION("""COMPUTED_VALUE"""),843.0)</f>
        <v>843</v>
      </c>
      <c r="M1636" s="5">
        <f>IFERROR(__xludf.DUMMYFUNCTION("""COMPUTED_VALUE"""),1.0)</f>
        <v>1</v>
      </c>
    </row>
    <row r="1637">
      <c r="A1637" s="10" t="str">
        <f>IFERROR(__xludf.DUMMYFUNCTION("""COMPUTED_VALUE"""),"純子")</f>
        <v>純子</v>
      </c>
      <c r="B1637" s="10">
        <f>IFERROR(__xludf.DUMMYFUNCTION("""COMPUTED_VALUE"""),124.0)</f>
        <v>124</v>
      </c>
      <c r="C1637" s="10">
        <f>IFERROR(__xludf.DUMMYFUNCTION("""COMPUTED_VALUE"""),1494.0)</f>
        <v>1494</v>
      </c>
      <c r="D1637" s="5">
        <f>IFERROR(__xludf.DUMMYFUNCTION("""COMPUTED_VALUE"""),0.2781021897810219)</f>
        <v>0.2781021898</v>
      </c>
      <c r="E1637" s="5">
        <f>IFERROR(__xludf.DUMMYFUNCTION("""COMPUTED_VALUE"""),0.13503649635036497)</f>
        <v>0.1350364964</v>
      </c>
      <c r="F1637" s="5">
        <f>IFERROR(__xludf.DUMMYFUNCTION("""COMPUTED_VALUE"""),0.1978102189781022)</f>
        <v>0.197810219</v>
      </c>
      <c r="G1637" s="5">
        <f>IFERROR(__xludf.DUMMYFUNCTION("""COMPUTED_VALUE"""),0.1905109489051095)</f>
        <v>0.1905109489</v>
      </c>
      <c r="H1637" s="5">
        <f>IFERROR(__xludf.DUMMYFUNCTION("""COMPUTED_VALUE"""),0.6309963099630996)</f>
        <v>0.63099631</v>
      </c>
      <c r="I1637" s="11">
        <f>IFERROR(__xludf.DUMMYFUNCTION("""COMPUTED_VALUE"""),5945.387453874539)</f>
        <v>5945.387454</v>
      </c>
      <c r="J1637" s="10">
        <f>IFERROR(__xludf.DUMMYFUNCTION("""COMPUTED_VALUE"""),0.0)</f>
        <v>0</v>
      </c>
      <c r="K1637" s="5">
        <f>IFERROR(__xludf.DUMMYFUNCTION("""COMPUTED_VALUE"""),0.0)</f>
        <v>0</v>
      </c>
      <c r="L1637" s="10">
        <f>IFERROR(__xludf.DUMMYFUNCTION("""COMPUTED_VALUE"""),0.0)</f>
        <v>0</v>
      </c>
      <c r="M1637" s="5">
        <f>IFERROR(__xludf.DUMMYFUNCTION("""COMPUTED_VALUE"""),0.0)</f>
        <v>0</v>
      </c>
    </row>
    <row r="1638">
      <c r="A1638" s="10" t="str">
        <f>IFERROR(__xludf.DUMMYFUNCTION("""COMPUTED_VALUE"""),"トロイの木魚")</f>
        <v>トロイの木魚</v>
      </c>
      <c r="B1638" s="10">
        <f>IFERROR(__xludf.DUMMYFUNCTION("""COMPUTED_VALUE"""),136.0)</f>
        <v>136</v>
      </c>
      <c r="C1638" s="10">
        <f>IFERROR(__xludf.DUMMYFUNCTION("""COMPUTED_VALUE"""),1573.0)</f>
        <v>1573</v>
      </c>
      <c r="D1638" s="5">
        <f>IFERROR(__xludf.DUMMYFUNCTION("""COMPUTED_VALUE"""),0.3535142658315936)</f>
        <v>0.3535142658</v>
      </c>
      <c r="E1638" s="5">
        <f>IFERROR(__xludf.DUMMYFUNCTION("""COMPUTED_VALUE"""),0.1350034794711204)</f>
        <v>0.1350034795</v>
      </c>
      <c r="F1638" s="5">
        <f>IFERROR(__xludf.DUMMYFUNCTION("""COMPUTED_VALUE"""),0.18510786360473208)</f>
        <v>0.1851078636</v>
      </c>
      <c r="G1638" s="5">
        <f>IFERROR(__xludf.DUMMYFUNCTION("""COMPUTED_VALUE"""),0.13848295059151008)</f>
        <v>0.1384829506</v>
      </c>
      <c r="H1638" s="5">
        <f>IFERROR(__xludf.DUMMYFUNCTION("""COMPUTED_VALUE"""),0.5789473684210527)</f>
        <v>0.5789473684</v>
      </c>
      <c r="I1638" s="11">
        <f>IFERROR(__xludf.DUMMYFUNCTION("""COMPUTED_VALUE"""),5840.601503759399)</f>
        <v>5840.601504</v>
      </c>
      <c r="J1638" s="10">
        <f>IFERROR(__xludf.DUMMYFUNCTION("""COMPUTED_VALUE"""),1.0)</f>
        <v>1</v>
      </c>
      <c r="K1638" s="5">
        <f>IFERROR(__xludf.DUMMYFUNCTION("""COMPUTED_VALUE"""),0.007352941176470588)</f>
        <v>0.007352941176</v>
      </c>
      <c r="L1638" s="10">
        <f>IFERROR(__xludf.DUMMYFUNCTION("""COMPUTED_VALUE"""),136.0)</f>
        <v>136</v>
      </c>
      <c r="M1638" s="5">
        <f>IFERROR(__xludf.DUMMYFUNCTION("""COMPUTED_VALUE"""),1.0)</f>
        <v>1</v>
      </c>
    </row>
    <row r="1639">
      <c r="A1639" s="10" t="str">
        <f>IFERROR(__xludf.DUMMYFUNCTION("""COMPUTED_VALUE"""),"【彗星人ヒコ】")</f>
        <v>【彗星人ヒコ】</v>
      </c>
      <c r="B1639" s="10">
        <f>IFERROR(__xludf.DUMMYFUNCTION("""COMPUTED_VALUE"""),918.0)</f>
        <v>918</v>
      </c>
      <c r="C1639" s="10">
        <f>IFERROR(__xludf.DUMMYFUNCTION("""COMPUTED_VALUE"""),10622.0)</f>
        <v>10622</v>
      </c>
      <c r="D1639" s="5">
        <f>IFERROR(__xludf.DUMMYFUNCTION("""COMPUTED_VALUE"""),0.27679307502061007)</f>
        <v>0.276793075</v>
      </c>
      <c r="E1639" s="5">
        <f>IFERROR(__xludf.DUMMYFUNCTION("""COMPUTED_VALUE"""),0.13499587798845836)</f>
        <v>0.134995878</v>
      </c>
      <c r="F1639" s="5">
        <f>IFERROR(__xludf.DUMMYFUNCTION("""COMPUTED_VALUE"""),0.20548227535037097)</f>
        <v>0.2054822754</v>
      </c>
      <c r="G1639" s="5">
        <f>IFERROR(__xludf.DUMMYFUNCTION("""COMPUTED_VALUE"""),0.1811624072547403)</f>
        <v>0.1811624073</v>
      </c>
      <c r="H1639" s="5">
        <f>IFERROR(__xludf.DUMMYFUNCTION("""COMPUTED_VALUE"""),0.6058174523570712)</f>
        <v>0.6058174524</v>
      </c>
      <c r="I1639" s="11">
        <f>IFERROR(__xludf.DUMMYFUNCTION("""COMPUTED_VALUE"""),5837.462387161484)</f>
        <v>5837.462387</v>
      </c>
      <c r="J1639" s="10">
        <f>IFERROR(__xludf.DUMMYFUNCTION("""COMPUTED_VALUE"""),0.0)</f>
        <v>0</v>
      </c>
      <c r="K1639" s="5">
        <f>IFERROR(__xludf.DUMMYFUNCTION("""COMPUTED_VALUE"""),0.0)</f>
        <v>0</v>
      </c>
      <c r="L1639" s="10">
        <f>IFERROR(__xludf.DUMMYFUNCTION("""COMPUTED_VALUE"""),918.0)</f>
        <v>918</v>
      </c>
      <c r="M1639" s="5">
        <f>IFERROR(__xludf.DUMMYFUNCTION("""COMPUTED_VALUE"""),1.0)</f>
        <v>1</v>
      </c>
    </row>
    <row r="1640">
      <c r="A1640" s="10" t="str">
        <f>IFERROR(__xludf.DUMMYFUNCTION("""COMPUTED_VALUE"""),"不幸生命体")</f>
        <v>不幸生命体</v>
      </c>
      <c r="B1640" s="10">
        <f>IFERROR(__xludf.DUMMYFUNCTION("""COMPUTED_VALUE"""),1610.0)</f>
        <v>1610</v>
      </c>
      <c r="C1640" s="10">
        <f>IFERROR(__xludf.DUMMYFUNCTION("""COMPUTED_VALUE"""),18537.0)</f>
        <v>18537</v>
      </c>
      <c r="D1640" s="5">
        <f>IFERROR(__xludf.DUMMYFUNCTION("""COMPUTED_VALUE"""),0.3209074260057896)</f>
        <v>0.320907426</v>
      </c>
      <c r="E1640" s="5">
        <f>IFERROR(__xludf.DUMMYFUNCTION("""COMPUTED_VALUE"""),0.1349914338039818)</f>
        <v>0.1349914338</v>
      </c>
      <c r="F1640" s="5">
        <f>IFERROR(__xludf.DUMMYFUNCTION("""COMPUTED_VALUE"""),0.22047616234418385)</f>
        <v>0.2204761623</v>
      </c>
      <c r="G1640" s="5">
        <f>IFERROR(__xludf.DUMMYFUNCTION("""COMPUTED_VALUE"""),0.19005139717610917)</f>
        <v>0.1900513972</v>
      </c>
      <c r="H1640" s="5">
        <f>IFERROR(__xludf.DUMMYFUNCTION("""COMPUTED_VALUE"""),0.6162915326902465)</f>
        <v>0.6162915327</v>
      </c>
      <c r="I1640" s="11">
        <f>IFERROR(__xludf.DUMMYFUNCTION("""COMPUTED_VALUE"""),5901.875669882101)</f>
        <v>5901.87567</v>
      </c>
      <c r="J1640" s="10">
        <f>IFERROR(__xludf.DUMMYFUNCTION("""COMPUTED_VALUE"""),10.0)</f>
        <v>10</v>
      </c>
      <c r="K1640" s="5">
        <f>IFERROR(__xludf.DUMMYFUNCTION("""COMPUTED_VALUE"""),0.006211180124223602)</f>
        <v>0.006211180124</v>
      </c>
      <c r="L1640" s="10">
        <f>IFERROR(__xludf.DUMMYFUNCTION("""COMPUTED_VALUE"""),1610.0)</f>
        <v>1610</v>
      </c>
      <c r="M1640" s="5">
        <f>IFERROR(__xludf.DUMMYFUNCTION("""COMPUTED_VALUE"""),1.0)</f>
        <v>1</v>
      </c>
    </row>
    <row r="1641">
      <c r="A1641" s="10" t="str">
        <f>IFERROR(__xludf.DUMMYFUNCTION("""COMPUTED_VALUE"""),"メロン＝アモス")</f>
        <v>メロン＝アモス</v>
      </c>
      <c r="B1641" s="10">
        <f>IFERROR(__xludf.DUMMYFUNCTION("""COMPUTED_VALUE"""),760.0)</f>
        <v>760</v>
      </c>
      <c r="C1641" s="10">
        <f>IFERROR(__xludf.DUMMYFUNCTION("""COMPUTED_VALUE"""),8842.0)</f>
        <v>8842</v>
      </c>
      <c r="D1641" s="5">
        <f>IFERROR(__xludf.DUMMYFUNCTION("""COMPUTED_VALUE"""),0.38047512991833704)</f>
        <v>0.3804751299</v>
      </c>
      <c r="E1641" s="5">
        <f>IFERROR(__xludf.DUMMYFUNCTION("""COMPUTED_VALUE"""),0.1349913387775303)</f>
        <v>0.1349913388</v>
      </c>
      <c r="F1641" s="5">
        <f>IFERROR(__xludf.DUMMYFUNCTION("""COMPUTED_VALUE"""),0.20341499628804752)</f>
        <v>0.2034149963</v>
      </c>
      <c r="G1641" s="5">
        <f>IFERROR(__xludf.DUMMYFUNCTION("""COMPUTED_VALUE"""),0.16196486018312298)</f>
        <v>0.1619648602</v>
      </c>
      <c r="H1641" s="5">
        <f>IFERROR(__xludf.DUMMYFUNCTION("""COMPUTED_VALUE"""),0.6034063260340633)</f>
        <v>0.603406326</v>
      </c>
      <c r="I1641" s="11">
        <f>IFERROR(__xludf.DUMMYFUNCTION("""COMPUTED_VALUE"""),5640.693430656935)</f>
        <v>5640.693431</v>
      </c>
      <c r="J1641" s="10">
        <f>IFERROR(__xludf.DUMMYFUNCTION("""COMPUTED_VALUE"""),1.0)</f>
        <v>1</v>
      </c>
      <c r="K1641" s="5">
        <f>IFERROR(__xludf.DUMMYFUNCTION("""COMPUTED_VALUE"""),0.0013157894736842105)</f>
        <v>0.001315789474</v>
      </c>
      <c r="L1641" s="10">
        <f>IFERROR(__xludf.DUMMYFUNCTION("""COMPUTED_VALUE"""),760.0)</f>
        <v>760</v>
      </c>
      <c r="M1641" s="5">
        <f>IFERROR(__xludf.DUMMYFUNCTION("""COMPUTED_VALUE"""),1.0)</f>
        <v>1</v>
      </c>
    </row>
    <row r="1642">
      <c r="A1642" s="10" t="str">
        <f>IFERROR(__xludf.DUMMYFUNCTION("""COMPUTED_VALUE"""),"fable")</f>
        <v>fable</v>
      </c>
      <c r="B1642" s="10">
        <f>IFERROR(__xludf.DUMMYFUNCTION("""COMPUTED_VALUE"""),103.0)</f>
        <v>103</v>
      </c>
      <c r="C1642" s="10">
        <f>IFERROR(__xludf.DUMMYFUNCTION("""COMPUTED_VALUE"""),1192.0)</f>
        <v>1192</v>
      </c>
      <c r="D1642" s="5">
        <f>IFERROR(__xludf.DUMMYFUNCTION("""COMPUTED_VALUE"""),0.36455463728191)</f>
        <v>0.3645546373</v>
      </c>
      <c r="E1642" s="5">
        <f>IFERROR(__xludf.DUMMYFUNCTION("""COMPUTED_VALUE"""),0.1349862258953168)</f>
        <v>0.1349862259</v>
      </c>
      <c r="F1642" s="5">
        <f>IFERROR(__xludf.DUMMYFUNCTION("""COMPUTED_VALUE"""),0.19742883379247014)</f>
        <v>0.1974288338</v>
      </c>
      <c r="G1642" s="5">
        <f>IFERROR(__xludf.DUMMYFUNCTION("""COMPUTED_VALUE"""),0.17263544536271808)</f>
        <v>0.1726354454</v>
      </c>
      <c r="H1642" s="5">
        <f>IFERROR(__xludf.DUMMYFUNCTION("""COMPUTED_VALUE"""),0.6046511627906976)</f>
        <v>0.6046511628</v>
      </c>
      <c r="I1642" s="11">
        <f>IFERROR(__xludf.DUMMYFUNCTION("""COMPUTED_VALUE"""),5335.3488372093025)</f>
        <v>5335.348837</v>
      </c>
      <c r="J1642" s="10">
        <f>IFERROR(__xludf.DUMMYFUNCTION("""COMPUTED_VALUE"""),0.0)</f>
        <v>0</v>
      </c>
      <c r="K1642" s="5">
        <f>IFERROR(__xludf.DUMMYFUNCTION("""COMPUTED_VALUE"""),0.0)</f>
        <v>0</v>
      </c>
      <c r="L1642" s="10">
        <f>IFERROR(__xludf.DUMMYFUNCTION("""COMPUTED_VALUE"""),103.0)</f>
        <v>103</v>
      </c>
      <c r="M1642" s="5">
        <f>IFERROR(__xludf.DUMMYFUNCTION("""COMPUTED_VALUE"""),1.0)</f>
        <v>1</v>
      </c>
    </row>
    <row r="1643">
      <c r="A1643" s="10" t="str">
        <f>IFERROR(__xludf.DUMMYFUNCTION("""COMPUTED_VALUE"""),"リーチ！")</f>
        <v>リーチ！</v>
      </c>
      <c r="B1643" s="10">
        <f>IFERROR(__xludf.DUMMYFUNCTION("""COMPUTED_VALUE"""),100.0)</f>
        <v>100</v>
      </c>
      <c r="C1643" s="10">
        <f>IFERROR(__xludf.DUMMYFUNCTION("""COMPUTED_VALUE"""),1152.0)</f>
        <v>1152</v>
      </c>
      <c r="D1643" s="5">
        <f>IFERROR(__xludf.DUMMYFUNCTION("""COMPUTED_VALUE"""),0.32604562737642584)</f>
        <v>0.3260456274</v>
      </c>
      <c r="E1643" s="5">
        <f>IFERROR(__xludf.DUMMYFUNCTION("""COMPUTED_VALUE"""),0.13498098859315588)</f>
        <v>0.1349809886</v>
      </c>
      <c r="F1643" s="5">
        <f>IFERROR(__xludf.DUMMYFUNCTION("""COMPUTED_VALUE"""),0.21673003802281368)</f>
        <v>0.216730038</v>
      </c>
      <c r="G1643" s="5">
        <f>IFERROR(__xludf.DUMMYFUNCTION("""COMPUTED_VALUE"""),0.17870722433460076)</f>
        <v>0.1787072243</v>
      </c>
      <c r="H1643" s="5">
        <f>IFERROR(__xludf.DUMMYFUNCTION("""COMPUTED_VALUE"""),0.5043859649122807)</f>
        <v>0.5043859649</v>
      </c>
      <c r="I1643" s="11">
        <f>IFERROR(__xludf.DUMMYFUNCTION("""COMPUTED_VALUE"""),5500.877192982456)</f>
        <v>5500.877193</v>
      </c>
      <c r="J1643" s="10">
        <f>IFERROR(__xludf.DUMMYFUNCTION("""COMPUTED_VALUE"""),2.0)</f>
        <v>2</v>
      </c>
      <c r="K1643" s="5">
        <f>IFERROR(__xludf.DUMMYFUNCTION("""COMPUTED_VALUE"""),0.02)</f>
        <v>0.02</v>
      </c>
      <c r="L1643" s="10">
        <f>IFERROR(__xludf.DUMMYFUNCTION("""COMPUTED_VALUE"""),100.0)</f>
        <v>100</v>
      </c>
      <c r="M1643" s="5">
        <f>IFERROR(__xludf.DUMMYFUNCTION("""COMPUTED_VALUE"""),1.0)</f>
        <v>1</v>
      </c>
    </row>
    <row r="1644">
      <c r="A1644" s="10" t="str">
        <f>IFERROR(__xludf.DUMMYFUNCTION("""COMPUTED_VALUE"""),"ZONO")</f>
        <v>ZONO</v>
      </c>
      <c r="B1644" s="10">
        <f>IFERROR(__xludf.DUMMYFUNCTION("""COMPUTED_VALUE"""),476.0)</f>
        <v>476</v>
      </c>
      <c r="C1644" s="10">
        <f>IFERROR(__xludf.DUMMYFUNCTION("""COMPUTED_VALUE"""),5536.0)</f>
        <v>5536</v>
      </c>
      <c r="D1644" s="5">
        <f>IFERROR(__xludf.DUMMYFUNCTION("""COMPUTED_VALUE"""),0.2565217391304348)</f>
        <v>0.2565217391</v>
      </c>
      <c r="E1644" s="5">
        <f>IFERROR(__xludf.DUMMYFUNCTION("""COMPUTED_VALUE"""),0.1349802371541502)</f>
        <v>0.1349802372</v>
      </c>
      <c r="F1644" s="5">
        <f>IFERROR(__xludf.DUMMYFUNCTION("""COMPUTED_VALUE"""),0.1934782608695652)</f>
        <v>0.1934782609</v>
      </c>
      <c r="G1644" s="5">
        <f>IFERROR(__xludf.DUMMYFUNCTION("""COMPUTED_VALUE"""),0.16936758893280632)</f>
        <v>0.1693675889</v>
      </c>
      <c r="H1644" s="5">
        <f>IFERROR(__xludf.DUMMYFUNCTION("""COMPUTED_VALUE"""),0.6036772216547498)</f>
        <v>0.6036772217</v>
      </c>
      <c r="I1644" s="11">
        <f>IFERROR(__xludf.DUMMYFUNCTION("""COMPUTED_VALUE"""),6358.426966292135)</f>
        <v>6358.426966</v>
      </c>
      <c r="J1644" s="10">
        <f>IFERROR(__xludf.DUMMYFUNCTION("""COMPUTED_VALUE"""),0.0)</f>
        <v>0</v>
      </c>
      <c r="K1644" s="5">
        <f>IFERROR(__xludf.DUMMYFUNCTION("""COMPUTED_VALUE"""),0.0)</f>
        <v>0</v>
      </c>
      <c r="L1644" s="10">
        <f>IFERROR(__xludf.DUMMYFUNCTION("""COMPUTED_VALUE"""),476.0)</f>
        <v>476</v>
      </c>
      <c r="M1644" s="5">
        <f>IFERROR(__xludf.DUMMYFUNCTION("""COMPUTED_VALUE"""),1.0)</f>
        <v>1</v>
      </c>
    </row>
    <row r="1645">
      <c r="A1645" s="10" t="str">
        <f>IFERROR(__xludf.DUMMYFUNCTION("""COMPUTED_VALUE"""),"小牧愛佳")</f>
        <v>小牧愛佳</v>
      </c>
      <c r="B1645" s="10">
        <f>IFERROR(__xludf.DUMMYFUNCTION("""COMPUTED_VALUE"""),665.0)</f>
        <v>665</v>
      </c>
      <c r="C1645" s="10">
        <f>IFERROR(__xludf.DUMMYFUNCTION("""COMPUTED_VALUE"""),7748.0)</f>
        <v>7748</v>
      </c>
      <c r="D1645" s="5">
        <f>IFERROR(__xludf.DUMMYFUNCTION("""COMPUTED_VALUE"""),0.32952138924184665)</f>
        <v>0.3295213892</v>
      </c>
      <c r="E1645" s="5">
        <f>IFERROR(__xludf.DUMMYFUNCTION("""COMPUTED_VALUE"""),0.1349710574615276)</f>
        <v>0.1349710575</v>
      </c>
      <c r="F1645" s="5">
        <f>IFERROR(__xludf.DUMMYFUNCTION("""COMPUTED_VALUE"""),0.20160948750529437)</f>
        <v>0.2016094875</v>
      </c>
      <c r="G1645" s="5">
        <f>IFERROR(__xludf.DUMMYFUNCTION("""COMPUTED_VALUE"""),0.1687138218269095)</f>
        <v>0.1687138218</v>
      </c>
      <c r="H1645" s="5">
        <f>IFERROR(__xludf.DUMMYFUNCTION("""COMPUTED_VALUE"""),0.615546218487395)</f>
        <v>0.6155462185</v>
      </c>
      <c r="I1645" s="11">
        <f>IFERROR(__xludf.DUMMYFUNCTION("""COMPUTED_VALUE"""),5590.476190476191)</f>
        <v>5590.47619</v>
      </c>
      <c r="J1645" s="10">
        <f>IFERROR(__xludf.DUMMYFUNCTION("""COMPUTED_VALUE"""),3.0)</f>
        <v>3</v>
      </c>
      <c r="K1645" s="5">
        <f>IFERROR(__xludf.DUMMYFUNCTION("""COMPUTED_VALUE"""),0.004511278195488722)</f>
        <v>0.004511278195</v>
      </c>
      <c r="L1645" s="10">
        <f>IFERROR(__xludf.DUMMYFUNCTION("""COMPUTED_VALUE"""),544.0)</f>
        <v>544</v>
      </c>
      <c r="M1645" s="5">
        <f>IFERROR(__xludf.DUMMYFUNCTION("""COMPUTED_VALUE"""),0.8180451127819549)</f>
        <v>0.8180451128</v>
      </c>
    </row>
    <row r="1646">
      <c r="A1646" s="10" t="str">
        <f>IFERROR(__xludf.DUMMYFUNCTION("""COMPUTED_VALUE"""),"rook")</f>
        <v>rook</v>
      </c>
      <c r="B1646" s="10">
        <f>IFERROR(__xludf.DUMMYFUNCTION("""COMPUTED_VALUE"""),1012.0)</f>
        <v>1012</v>
      </c>
      <c r="C1646" s="10">
        <f>IFERROR(__xludf.DUMMYFUNCTION("""COMPUTED_VALUE"""),11807.0)</f>
        <v>11807</v>
      </c>
      <c r="D1646" s="5">
        <f>IFERROR(__xludf.DUMMYFUNCTION("""COMPUTED_VALUE"""),0.3180176007410838)</f>
        <v>0.3180176007</v>
      </c>
      <c r="E1646" s="5">
        <f>IFERROR(__xludf.DUMMYFUNCTION("""COMPUTED_VALUE"""),0.13496989346919872)</f>
        <v>0.1349698935</v>
      </c>
      <c r="F1646" s="5">
        <f>IFERROR(__xludf.DUMMYFUNCTION("""COMPUTED_VALUE"""),0.21593330245484021)</f>
        <v>0.2159333025</v>
      </c>
      <c r="G1646" s="5">
        <f>IFERROR(__xludf.DUMMYFUNCTION("""COMPUTED_VALUE"""),0.1792496526169523)</f>
        <v>0.1792496526</v>
      </c>
      <c r="H1646" s="5">
        <f>IFERROR(__xludf.DUMMYFUNCTION("""COMPUTED_VALUE"""),0.5834405834405835)</f>
        <v>0.5834405834</v>
      </c>
      <c r="I1646" s="11">
        <f>IFERROR(__xludf.DUMMYFUNCTION("""COMPUTED_VALUE"""),5859.5023595023595)</f>
        <v>5859.50236</v>
      </c>
      <c r="J1646" s="10">
        <f>IFERROR(__xludf.DUMMYFUNCTION("""COMPUTED_VALUE"""),2.0)</f>
        <v>2</v>
      </c>
      <c r="K1646" s="5">
        <f>IFERROR(__xludf.DUMMYFUNCTION("""COMPUTED_VALUE"""),0.001976284584980237)</f>
        <v>0.001976284585</v>
      </c>
      <c r="L1646" s="10">
        <f>IFERROR(__xludf.DUMMYFUNCTION("""COMPUTED_VALUE"""),1012.0)</f>
        <v>1012</v>
      </c>
      <c r="M1646" s="5">
        <f>IFERROR(__xludf.DUMMYFUNCTION("""COMPUTED_VALUE"""),1.0)</f>
        <v>1</v>
      </c>
    </row>
    <row r="1647">
      <c r="A1647" s="10" t="str">
        <f>IFERROR(__xludf.DUMMYFUNCTION("""COMPUTED_VALUE"""),"ネームレス７")</f>
        <v>ネームレス７</v>
      </c>
      <c r="B1647" s="10">
        <f>IFERROR(__xludf.DUMMYFUNCTION("""COMPUTED_VALUE"""),6878.0)</f>
        <v>6878</v>
      </c>
      <c r="C1647" s="10">
        <f>IFERROR(__xludf.DUMMYFUNCTION("""COMPUTED_VALUE"""),80544.0)</f>
        <v>80544</v>
      </c>
      <c r="D1647" s="5">
        <f>IFERROR(__xludf.DUMMYFUNCTION("""COMPUTED_VALUE"""),0.36322048163331794)</f>
        <v>0.3632204816</v>
      </c>
      <c r="E1647" s="5">
        <f>IFERROR(__xludf.DUMMYFUNCTION("""COMPUTED_VALUE"""),0.1349604973800668)</f>
        <v>0.1349604974</v>
      </c>
      <c r="F1647" s="5">
        <f>IFERROR(__xludf.DUMMYFUNCTION("""COMPUTED_VALUE"""),0.21889338365053077)</f>
        <v>0.2188933837</v>
      </c>
      <c r="G1647" s="5">
        <f>IFERROR(__xludf.DUMMYFUNCTION("""COMPUTED_VALUE"""),0.18074824206553905)</f>
        <v>0.1807482421</v>
      </c>
      <c r="H1647" s="5">
        <f>IFERROR(__xludf.DUMMYFUNCTION("""COMPUTED_VALUE"""),0.5906976744186047)</f>
        <v>0.5906976744</v>
      </c>
      <c r="I1647" s="11">
        <f>IFERROR(__xludf.DUMMYFUNCTION("""COMPUTED_VALUE"""),5556.998449612403)</f>
        <v>5556.99845</v>
      </c>
      <c r="J1647" s="10">
        <f>IFERROR(__xludf.DUMMYFUNCTION("""COMPUTED_VALUE"""),16.0)</f>
        <v>16</v>
      </c>
      <c r="K1647" s="5">
        <f>IFERROR(__xludf.DUMMYFUNCTION("""COMPUTED_VALUE"""),0.0023262576330328583)</f>
        <v>0.002326257633</v>
      </c>
      <c r="L1647" s="10">
        <f>IFERROR(__xludf.DUMMYFUNCTION("""COMPUTED_VALUE"""),5389.0)</f>
        <v>5389</v>
      </c>
      <c r="M1647" s="5">
        <f>IFERROR(__xludf.DUMMYFUNCTION("""COMPUTED_VALUE"""),0.7835126490258796)</f>
        <v>0.783512649</v>
      </c>
    </row>
    <row r="1648">
      <c r="A1648" s="10" t="str">
        <f>IFERROR(__xludf.DUMMYFUNCTION("""COMPUTED_VALUE"""),"西師")</f>
        <v>西師</v>
      </c>
      <c r="B1648" s="10">
        <f>IFERROR(__xludf.DUMMYFUNCTION("""COMPUTED_VALUE"""),293.0)</f>
        <v>293</v>
      </c>
      <c r="C1648" s="10">
        <f>IFERROR(__xludf.DUMMYFUNCTION("""COMPUTED_VALUE"""),3509.0)</f>
        <v>3509</v>
      </c>
      <c r="D1648" s="5">
        <f>IFERROR(__xludf.DUMMYFUNCTION("""COMPUTED_VALUE"""),0.4092039800995025)</f>
        <v>0.4092039801</v>
      </c>
      <c r="E1648" s="5">
        <f>IFERROR(__xludf.DUMMYFUNCTION("""COMPUTED_VALUE"""),0.13495024875621892)</f>
        <v>0.1349502488</v>
      </c>
      <c r="F1648" s="5">
        <f>IFERROR(__xludf.DUMMYFUNCTION("""COMPUTED_VALUE"""),0.201181592039801)</f>
        <v>0.201181592</v>
      </c>
      <c r="G1648" s="5">
        <f>IFERROR(__xludf.DUMMYFUNCTION("""COMPUTED_VALUE"""),0.14894278606965175)</f>
        <v>0.1489427861</v>
      </c>
      <c r="H1648" s="5">
        <f>IFERROR(__xludf.DUMMYFUNCTION("""COMPUTED_VALUE"""),0.6136012364760433)</f>
        <v>0.6136012365</v>
      </c>
      <c r="I1648" s="11">
        <f>IFERROR(__xludf.DUMMYFUNCTION("""COMPUTED_VALUE"""),5468.469860896445)</f>
        <v>5468.469861</v>
      </c>
      <c r="J1648" s="10">
        <f>IFERROR(__xludf.DUMMYFUNCTION("""COMPUTED_VALUE"""),0.0)</f>
        <v>0</v>
      </c>
      <c r="K1648" s="5">
        <f>IFERROR(__xludf.DUMMYFUNCTION("""COMPUTED_VALUE"""),0.0)</f>
        <v>0</v>
      </c>
      <c r="L1648" s="10">
        <f>IFERROR(__xludf.DUMMYFUNCTION("""COMPUTED_VALUE"""),293.0)</f>
        <v>293</v>
      </c>
      <c r="M1648" s="5">
        <f>IFERROR(__xludf.DUMMYFUNCTION("""COMPUTED_VALUE"""),1.0)</f>
        <v>1</v>
      </c>
    </row>
    <row r="1649">
      <c r="A1649" s="10" t="str">
        <f>IFERROR(__xludf.DUMMYFUNCTION("""COMPUTED_VALUE"""),"ずっと俺のターン")</f>
        <v>ずっと俺のターン</v>
      </c>
      <c r="B1649" s="10">
        <f>IFERROR(__xludf.DUMMYFUNCTION("""COMPUTED_VALUE"""),775.0)</f>
        <v>775</v>
      </c>
      <c r="C1649" s="10">
        <f>IFERROR(__xludf.DUMMYFUNCTION("""COMPUTED_VALUE"""),8830.0)</f>
        <v>8830</v>
      </c>
      <c r="D1649" s="5">
        <f>IFERROR(__xludf.DUMMYFUNCTION("""COMPUTED_VALUE"""),0.25996275605214153)</f>
        <v>0.2599627561</v>
      </c>
      <c r="E1649" s="5">
        <f>IFERROR(__xludf.DUMMYFUNCTION("""COMPUTED_VALUE"""),0.13494723774053383)</f>
        <v>0.1349472377</v>
      </c>
      <c r="F1649" s="5">
        <f>IFERROR(__xludf.DUMMYFUNCTION("""COMPUTED_VALUE"""),0.2165114835505897)</f>
        <v>0.2165114836</v>
      </c>
      <c r="G1649" s="5">
        <f>IFERROR(__xludf.DUMMYFUNCTION("""COMPUTED_VALUE"""),0.2538795779019243)</f>
        <v>0.2538795779</v>
      </c>
      <c r="H1649" s="5">
        <f>IFERROR(__xludf.DUMMYFUNCTION("""COMPUTED_VALUE"""),0.595756880733945)</f>
        <v>0.5957568807</v>
      </c>
      <c r="I1649" s="11">
        <f>IFERROR(__xludf.DUMMYFUNCTION("""COMPUTED_VALUE"""),6346.961009174312)</f>
        <v>6346.961009</v>
      </c>
      <c r="J1649" s="10">
        <f>IFERROR(__xludf.DUMMYFUNCTION("""COMPUTED_VALUE"""),1.0)</f>
        <v>1</v>
      </c>
      <c r="K1649" s="5">
        <f>IFERROR(__xludf.DUMMYFUNCTION("""COMPUTED_VALUE"""),0.0012903225806451613)</f>
        <v>0.001290322581</v>
      </c>
      <c r="L1649" s="10">
        <f>IFERROR(__xludf.DUMMYFUNCTION("""COMPUTED_VALUE"""),775.0)</f>
        <v>775</v>
      </c>
      <c r="M1649" s="5">
        <f>IFERROR(__xludf.DUMMYFUNCTION("""COMPUTED_VALUE"""),1.0)</f>
        <v>1</v>
      </c>
    </row>
    <row r="1650">
      <c r="A1650" s="10" t="str">
        <f>IFERROR(__xludf.DUMMYFUNCTION("""COMPUTED_VALUE"""),"雪乃瀬麗")</f>
        <v>雪乃瀬麗</v>
      </c>
      <c r="B1650" s="10">
        <f>IFERROR(__xludf.DUMMYFUNCTION("""COMPUTED_VALUE"""),1029.0)</f>
        <v>1029</v>
      </c>
      <c r="C1650" s="10">
        <f>IFERROR(__xludf.DUMMYFUNCTION("""COMPUTED_VALUE"""),11989.0)</f>
        <v>11989</v>
      </c>
      <c r="D1650" s="5">
        <f>IFERROR(__xludf.DUMMYFUNCTION("""COMPUTED_VALUE"""),0.3506386861313869)</f>
        <v>0.3506386861</v>
      </c>
      <c r="E1650" s="5">
        <f>IFERROR(__xludf.DUMMYFUNCTION("""COMPUTED_VALUE"""),0.13494525547445255)</f>
        <v>0.1349452555</v>
      </c>
      <c r="F1650" s="5">
        <f>IFERROR(__xludf.DUMMYFUNCTION("""COMPUTED_VALUE"""),0.21843065693430658)</f>
        <v>0.2184306569</v>
      </c>
      <c r="G1650" s="5">
        <f>IFERROR(__xludf.DUMMYFUNCTION("""COMPUTED_VALUE"""),0.1885948905109489)</f>
        <v>0.1885948905</v>
      </c>
      <c r="H1650" s="5">
        <f>IFERROR(__xludf.DUMMYFUNCTION("""COMPUTED_VALUE"""),0.5914786967418546)</f>
        <v>0.5914786967</v>
      </c>
      <c r="I1650" s="11">
        <f>IFERROR(__xludf.DUMMYFUNCTION("""COMPUTED_VALUE"""),5648.705096073517)</f>
        <v>5648.705096</v>
      </c>
      <c r="J1650" s="10">
        <f>IFERROR(__xludf.DUMMYFUNCTION("""COMPUTED_VALUE"""),1.0)</f>
        <v>1</v>
      </c>
      <c r="K1650" s="5">
        <f>IFERROR(__xludf.DUMMYFUNCTION("""COMPUTED_VALUE"""),9.718172983479105E-4)</f>
        <v>0.0009718172983</v>
      </c>
      <c r="L1650" s="10">
        <f>IFERROR(__xludf.DUMMYFUNCTION("""COMPUTED_VALUE"""),1029.0)</f>
        <v>1029</v>
      </c>
      <c r="M1650" s="5">
        <f>IFERROR(__xludf.DUMMYFUNCTION("""COMPUTED_VALUE"""),1.0)</f>
        <v>1</v>
      </c>
    </row>
    <row r="1651">
      <c r="A1651" s="10" t="str">
        <f>IFERROR(__xludf.DUMMYFUNCTION("""COMPUTED_VALUE"""),"チューレン")</f>
        <v>チューレン</v>
      </c>
      <c r="B1651" s="10">
        <f>IFERROR(__xludf.DUMMYFUNCTION("""COMPUTED_VALUE"""),442.0)</f>
        <v>442</v>
      </c>
      <c r="C1651" s="10">
        <f>IFERROR(__xludf.DUMMYFUNCTION("""COMPUTED_VALUE"""),5148.0)</f>
        <v>5148</v>
      </c>
      <c r="D1651" s="5">
        <f>IFERROR(__xludf.DUMMYFUNCTION("""COMPUTED_VALUE"""),0.34594135146621335)</f>
        <v>0.3459413515</v>
      </c>
      <c r="E1651" s="5">
        <f>IFERROR(__xludf.DUMMYFUNCTION("""COMPUTED_VALUE"""),0.13493412664683382)</f>
        <v>0.1349341266</v>
      </c>
      <c r="F1651" s="5">
        <f>IFERROR(__xludf.DUMMYFUNCTION("""COMPUTED_VALUE"""),0.2156821079473013)</f>
        <v>0.2156821079</v>
      </c>
      <c r="G1651" s="5">
        <f>IFERROR(__xludf.DUMMYFUNCTION("""COMPUTED_VALUE"""),0.18019549511262217)</f>
        <v>0.1801954951</v>
      </c>
      <c r="H1651" s="5">
        <f>IFERROR(__xludf.DUMMYFUNCTION("""COMPUTED_VALUE"""),0.5980295566502463)</f>
        <v>0.5980295567</v>
      </c>
      <c r="I1651" s="11">
        <f>IFERROR(__xludf.DUMMYFUNCTION("""COMPUTED_VALUE"""),5995.76354679803)</f>
        <v>5995.763547</v>
      </c>
      <c r="J1651" s="10">
        <f>IFERROR(__xludf.DUMMYFUNCTION("""COMPUTED_VALUE"""),3.0)</f>
        <v>3</v>
      </c>
      <c r="K1651" s="5">
        <f>IFERROR(__xludf.DUMMYFUNCTION("""COMPUTED_VALUE"""),0.006787330316742082)</f>
        <v>0.006787330317</v>
      </c>
      <c r="L1651" s="10">
        <f>IFERROR(__xludf.DUMMYFUNCTION("""COMPUTED_VALUE"""),442.0)</f>
        <v>442</v>
      </c>
      <c r="M1651" s="5">
        <f>IFERROR(__xludf.DUMMYFUNCTION("""COMPUTED_VALUE"""),1.0)</f>
        <v>1</v>
      </c>
    </row>
    <row r="1652">
      <c r="A1652" s="10" t="str">
        <f>IFERROR(__xludf.DUMMYFUNCTION("""COMPUTED_VALUE"""),"ラブレー")</f>
        <v>ラブレー</v>
      </c>
      <c r="B1652" s="10">
        <f>IFERROR(__xludf.DUMMYFUNCTION("""COMPUTED_VALUE"""),201.0)</f>
        <v>201</v>
      </c>
      <c r="C1652" s="10">
        <f>IFERROR(__xludf.DUMMYFUNCTION("""COMPUTED_VALUE"""),2328.0)</f>
        <v>2328</v>
      </c>
      <c r="D1652" s="5">
        <f>IFERROR(__xludf.DUMMYFUNCTION("""COMPUTED_VALUE"""),0.3027738598965679)</f>
        <v>0.3027738599</v>
      </c>
      <c r="E1652" s="5">
        <f>IFERROR(__xludf.DUMMYFUNCTION("""COMPUTED_VALUE"""),0.13493182886694877)</f>
        <v>0.1349318289</v>
      </c>
      <c r="F1652" s="5">
        <f>IFERROR(__xludf.DUMMYFUNCTION("""COMPUTED_VALUE"""),0.21250587682181477)</f>
        <v>0.2125058768</v>
      </c>
      <c r="G1652" s="5">
        <f>IFERROR(__xludf.DUMMYFUNCTION("""COMPUTED_VALUE"""),0.14527503526093088)</f>
        <v>0.1452750353</v>
      </c>
      <c r="H1652" s="5">
        <f>IFERROR(__xludf.DUMMYFUNCTION("""COMPUTED_VALUE"""),0.6061946902654868)</f>
        <v>0.6061946903</v>
      </c>
      <c r="I1652" s="11">
        <f>IFERROR(__xludf.DUMMYFUNCTION("""COMPUTED_VALUE"""),5914.380530973452)</f>
        <v>5914.380531</v>
      </c>
      <c r="J1652" s="10">
        <f>IFERROR(__xludf.DUMMYFUNCTION("""COMPUTED_VALUE"""),2.0)</f>
        <v>2</v>
      </c>
      <c r="K1652" s="5">
        <f>IFERROR(__xludf.DUMMYFUNCTION("""COMPUTED_VALUE"""),0.009950248756218905)</f>
        <v>0.009950248756</v>
      </c>
      <c r="L1652" s="10">
        <f>IFERROR(__xludf.DUMMYFUNCTION("""COMPUTED_VALUE"""),201.0)</f>
        <v>201</v>
      </c>
      <c r="M1652" s="5">
        <f>IFERROR(__xludf.DUMMYFUNCTION("""COMPUTED_VALUE"""),1.0)</f>
        <v>1</v>
      </c>
    </row>
    <row r="1653">
      <c r="A1653" s="10" t="str">
        <f>IFERROR(__xludf.DUMMYFUNCTION("""COMPUTED_VALUE"""),"ミラヒカパパ")</f>
        <v>ミラヒカパパ</v>
      </c>
      <c r="B1653" s="10">
        <f>IFERROR(__xludf.DUMMYFUNCTION("""COMPUTED_VALUE"""),1717.0)</f>
        <v>1717</v>
      </c>
      <c r="C1653" s="10">
        <f>IFERROR(__xludf.DUMMYFUNCTION("""COMPUTED_VALUE"""),19916.0)</f>
        <v>19916</v>
      </c>
      <c r="D1653" s="5">
        <f>IFERROR(__xludf.DUMMYFUNCTION("""COMPUTED_VALUE"""),0.2784768393867795)</f>
        <v>0.2784768394</v>
      </c>
      <c r="E1653" s="5">
        <f>IFERROR(__xludf.DUMMYFUNCTION("""COMPUTED_VALUE"""),0.13489752184185944)</f>
        <v>0.1348975218</v>
      </c>
      <c r="F1653" s="5">
        <f>IFERROR(__xludf.DUMMYFUNCTION("""COMPUTED_VALUE"""),0.21330842353975493)</f>
        <v>0.2133084235</v>
      </c>
      <c r="G1653" s="5">
        <f>IFERROR(__xludf.DUMMYFUNCTION("""COMPUTED_VALUE"""),0.1927578438375735)</f>
        <v>0.1927578438</v>
      </c>
      <c r="H1653" s="5">
        <f>IFERROR(__xludf.DUMMYFUNCTION("""COMPUTED_VALUE"""),0.5971148892323545)</f>
        <v>0.5971148892</v>
      </c>
      <c r="I1653" s="11">
        <f>IFERROR(__xludf.DUMMYFUNCTION("""COMPUTED_VALUE"""),5877.666151468316)</f>
        <v>5877.666151</v>
      </c>
      <c r="J1653" s="10">
        <f>IFERROR(__xludf.DUMMYFUNCTION("""COMPUTED_VALUE"""),4.0)</f>
        <v>4</v>
      </c>
      <c r="K1653" s="5">
        <f>IFERROR(__xludf.DUMMYFUNCTION("""COMPUTED_VALUE"""),0.0023296447291788003)</f>
        <v>0.002329644729</v>
      </c>
      <c r="L1653" s="10">
        <f>IFERROR(__xludf.DUMMYFUNCTION("""COMPUTED_VALUE"""),1717.0)</f>
        <v>1717</v>
      </c>
      <c r="M1653" s="5">
        <f>IFERROR(__xludf.DUMMYFUNCTION("""COMPUTED_VALUE"""),1.0)</f>
        <v>1</v>
      </c>
    </row>
    <row r="1654">
      <c r="A1654" s="10" t="str">
        <f>IFERROR(__xludf.DUMMYFUNCTION("""COMPUTED_VALUE"""),"くっぱ-72")</f>
        <v>くっぱ-72</v>
      </c>
      <c r="B1654" s="10">
        <f>IFERROR(__xludf.DUMMYFUNCTION("""COMPUTED_VALUE"""),295.0)</f>
        <v>295</v>
      </c>
      <c r="C1654" s="10">
        <f>IFERROR(__xludf.DUMMYFUNCTION("""COMPUTED_VALUE"""),3416.0)</f>
        <v>3416</v>
      </c>
      <c r="D1654" s="5">
        <f>IFERROR(__xludf.DUMMYFUNCTION("""COMPUTED_VALUE"""),0.2537648189682794)</f>
        <v>0.253764819</v>
      </c>
      <c r="E1654" s="5">
        <f>IFERROR(__xludf.DUMMYFUNCTION("""COMPUTED_VALUE"""),0.13489266260813843)</f>
        <v>0.1348926626</v>
      </c>
      <c r="F1654" s="5">
        <f>IFERROR(__xludf.DUMMYFUNCTION("""COMPUTED_VALUE"""),0.2057033002242871)</f>
        <v>0.2057033002</v>
      </c>
      <c r="G1654" s="5">
        <f>IFERROR(__xludf.DUMMYFUNCTION("""COMPUTED_VALUE"""),0.17878884972765138)</f>
        <v>0.1787888497</v>
      </c>
      <c r="H1654" s="5">
        <f>IFERROR(__xludf.DUMMYFUNCTION("""COMPUTED_VALUE"""),0.6339563862928349)</f>
        <v>0.6339563863</v>
      </c>
      <c r="I1654" s="11">
        <f>IFERROR(__xludf.DUMMYFUNCTION("""COMPUTED_VALUE"""),5911.370716510904)</f>
        <v>5911.370717</v>
      </c>
      <c r="J1654" s="10">
        <f>IFERROR(__xludf.DUMMYFUNCTION("""COMPUTED_VALUE"""),1.0)</f>
        <v>1</v>
      </c>
      <c r="K1654" s="5">
        <f>IFERROR(__xludf.DUMMYFUNCTION("""COMPUTED_VALUE"""),0.003389830508474576)</f>
        <v>0.003389830508</v>
      </c>
      <c r="L1654" s="10">
        <f>IFERROR(__xludf.DUMMYFUNCTION("""COMPUTED_VALUE"""),295.0)</f>
        <v>295</v>
      </c>
      <c r="M1654" s="5">
        <f>IFERROR(__xludf.DUMMYFUNCTION("""COMPUTED_VALUE"""),1.0)</f>
        <v>1</v>
      </c>
    </row>
    <row r="1655">
      <c r="A1655" s="10" t="str">
        <f>IFERROR(__xludf.DUMMYFUNCTION("""COMPUTED_VALUE"""),"場代")</f>
        <v>場代</v>
      </c>
      <c r="B1655" s="10">
        <f>IFERROR(__xludf.DUMMYFUNCTION("""COMPUTED_VALUE"""),331.0)</f>
        <v>331</v>
      </c>
      <c r="C1655" s="10">
        <f>IFERROR(__xludf.DUMMYFUNCTION("""COMPUTED_VALUE"""),3823.0)</f>
        <v>3823</v>
      </c>
      <c r="D1655" s="5">
        <f>IFERROR(__xludf.DUMMYFUNCTION("""COMPUTED_VALUE"""),0.35624284077892326)</f>
        <v>0.3562428408</v>
      </c>
      <c r="E1655" s="5">
        <f>IFERROR(__xludf.DUMMYFUNCTION("""COMPUTED_VALUE"""),0.13487972508591065)</f>
        <v>0.1348797251</v>
      </c>
      <c r="F1655" s="5">
        <f>IFERROR(__xludf.DUMMYFUNCTION("""COMPUTED_VALUE"""),0.22651775486827033)</f>
        <v>0.2265177549</v>
      </c>
      <c r="G1655" s="5">
        <f>IFERROR(__xludf.DUMMYFUNCTION("""COMPUTED_VALUE"""),0.17411225658648338)</f>
        <v>0.1741122566</v>
      </c>
      <c r="H1655" s="5">
        <f>IFERROR(__xludf.DUMMYFUNCTION("""COMPUTED_VALUE"""),0.6156763590391909)</f>
        <v>0.615676359</v>
      </c>
      <c r="I1655" s="11">
        <f>IFERROR(__xludf.DUMMYFUNCTION("""COMPUTED_VALUE"""),5469.2793931731985)</f>
        <v>5469.279393</v>
      </c>
      <c r="J1655" s="10">
        <f>IFERROR(__xludf.DUMMYFUNCTION("""COMPUTED_VALUE"""),0.0)</f>
        <v>0</v>
      </c>
      <c r="K1655" s="5">
        <f>IFERROR(__xludf.DUMMYFUNCTION("""COMPUTED_VALUE"""),0.0)</f>
        <v>0</v>
      </c>
      <c r="L1655" s="10">
        <f>IFERROR(__xludf.DUMMYFUNCTION("""COMPUTED_VALUE"""),331.0)</f>
        <v>331</v>
      </c>
      <c r="M1655" s="5">
        <f>IFERROR(__xludf.DUMMYFUNCTION("""COMPUTED_VALUE"""),1.0)</f>
        <v>1</v>
      </c>
    </row>
    <row r="1656">
      <c r="A1656" s="10" t="str">
        <f>IFERROR(__xludf.DUMMYFUNCTION("""COMPUTED_VALUE"""),"べべ.")</f>
        <v>べべ.</v>
      </c>
      <c r="B1656" s="10">
        <f>IFERROR(__xludf.DUMMYFUNCTION("""COMPUTED_VALUE"""),1373.0)</f>
        <v>1373</v>
      </c>
      <c r="C1656" s="10">
        <f>IFERROR(__xludf.DUMMYFUNCTION("""COMPUTED_VALUE"""),15957.0)</f>
        <v>15957</v>
      </c>
      <c r="D1656" s="5">
        <f>IFERROR(__xludf.DUMMYFUNCTION("""COMPUTED_VALUE"""),0.33694459681843114)</f>
        <v>0.3369445968</v>
      </c>
      <c r="E1656" s="5">
        <f>IFERROR(__xludf.DUMMYFUNCTION("""COMPUTED_VALUE"""),0.13487383433900166)</f>
        <v>0.1348738343</v>
      </c>
      <c r="F1656" s="5">
        <f>IFERROR(__xludf.DUMMYFUNCTION("""COMPUTED_VALUE"""),0.21941854086670323)</f>
        <v>0.2194185409</v>
      </c>
      <c r="G1656" s="5">
        <f>IFERROR(__xludf.DUMMYFUNCTION("""COMPUTED_VALUE"""),0.18787712561711464)</f>
        <v>0.1878771256</v>
      </c>
      <c r="H1656" s="5">
        <f>IFERROR(__xludf.DUMMYFUNCTION("""COMPUTED_VALUE"""),0.5975)</f>
        <v>0.5975</v>
      </c>
      <c r="I1656" s="11">
        <f>IFERROR(__xludf.DUMMYFUNCTION("""COMPUTED_VALUE"""),5841.15625)</f>
        <v>5841.15625</v>
      </c>
      <c r="J1656" s="10">
        <f>IFERROR(__xludf.DUMMYFUNCTION("""COMPUTED_VALUE"""),1.0)</f>
        <v>1</v>
      </c>
      <c r="K1656" s="5">
        <f>IFERROR(__xludf.DUMMYFUNCTION("""COMPUTED_VALUE"""),7.283321194464676E-4)</f>
        <v>0.0007283321194</v>
      </c>
      <c r="L1656" s="10">
        <f>IFERROR(__xludf.DUMMYFUNCTION("""COMPUTED_VALUE"""),1373.0)</f>
        <v>1373</v>
      </c>
      <c r="M1656" s="5">
        <f>IFERROR(__xludf.DUMMYFUNCTION("""COMPUTED_VALUE"""),1.0)</f>
        <v>1</v>
      </c>
    </row>
    <row r="1657">
      <c r="A1657" s="10" t="str">
        <f>IFERROR(__xludf.DUMMYFUNCTION("""COMPUTED_VALUE"""),"アニソン好き")</f>
        <v>アニソン好き</v>
      </c>
      <c r="B1657" s="10">
        <f>IFERROR(__xludf.DUMMYFUNCTION("""COMPUTED_VALUE"""),179.0)</f>
        <v>179</v>
      </c>
      <c r="C1657" s="10">
        <f>IFERROR(__xludf.DUMMYFUNCTION("""COMPUTED_VALUE"""),2129.0)</f>
        <v>2129</v>
      </c>
      <c r="D1657" s="5">
        <f>IFERROR(__xludf.DUMMYFUNCTION("""COMPUTED_VALUE"""),0.40615384615384614)</f>
        <v>0.4061538462</v>
      </c>
      <c r="E1657" s="5">
        <f>IFERROR(__xludf.DUMMYFUNCTION("""COMPUTED_VALUE"""),0.13487179487179488)</f>
        <v>0.1348717949</v>
      </c>
      <c r="F1657" s="5">
        <f>IFERROR(__xludf.DUMMYFUNCTION("""COMPUTED_VALUE"""),0.19692307692307692)</f>
        <v>0.1969230769</v>
      </c>
      <c r="G1657" s="5">
        <f>IFERROR(__xludf.DUMMYFUNCTION("""COMPUTED_VALUE"""),0.15435897435897436)</f>
        <v>0.1543589744</v>
      </c>
      <c r="H1657" s="5">
        <f>IFERROR(__xludf.DUMMYFUNCTION("""COMPUTED_VALUE"""),0.6119791666666666)</f>
        <v>0.6119791667</v>
      </c>
      <c r="I1657" s="11">
        <f>IFERROR(__xludf.DUMMYFUNCTION("""COMPUTED_VALUE"""),5105.208333333333)</f>
        <v>5105.208333</v>
      </c>
      <c r="J1657" s="10">
        <f>IFERROR(__xludf.DUMMYFUNCTION("""COMPUTED_VALUE"""),0.0)</f>
        <v>0</v>
      </c>
      <c r="K1657" s="5">
        <f>IFERROR(__xludf.DUMMYFUNCTION("""COMPUTED_VALUE"""),0.0)</f>
        <v>0</v>
      </c>
      <c r="L1657" s="10">
        <f>IFERROR(__xludf.DUMMYFUNCTION("""COMPUTED_VALUE"""),1.0)</f>
        <v>1</v>
      </c>
      <c r="M1657" s="5">
        <f>IFERROR(__xludf.DUMMYFUNCTION("""COMPUTED_VALUE"""),0.00558659217877095)</f>
        <v>0.005586592179</v>
      </c>
    </row>
    <row r="1658">
      <c r="A1658" s="10" t="str">
        <f>IFERROR(__xludf.DUMMYFUNCTION("""COMPUTED_VALUE"""),"やよいっくま")</f>
        <v>やよいっくま</v>
      </c>
      <c r="B1658" s="10">
        <f>IFERROR(__xludf.DUMMYFUNCTION("""COMPUTED_VALUE"""),168.0)</f>
        <v>168</v>
      </c>
      <c r="C1658" s="10">
        <f>IFERROR(__xludf.DUMMYFUNCTION("""COMPUTED_VALUE"""),2044.0)</f>
        <v>2044</v>
      </c>
      <c r="D1658" s="5">
        <f>IFERROR(__xludf.DUMMYFUNCTION("""COMPUTED_VALUE"""),0.4056503198294243)</f>
        <v>0.4056503198</v>
      </c>
      <c r="E1658" s="5">
        <f>IFERROR(__xludf.DUMMYFUNCTION("""COMPUTED_VALUE"""),0.13486140724946696)</f>
        <v>0.1348614072</v>
      </c>
      <c r="F1658" s="5">
        <f>IFERROR(__xludf.DUMMYFUNCTION("""COMPUTED_VALUE"""),0.22547974413646055)</f>
        <v>0.2254797441</v>
      </c>
      <c r="G1658" s="5">
        <f>IFERROR(__xludf.DUMMYFUNCTION("""COMPUTED_VALUE"""),0.1886993603411514)</f>
        <v>0.1886993603</v>
      </c>
      <c r="H1658" s="5">
        <f>IFERROR(__xludf.DUMMYFUNCTION("""COMPUTED_VALUE"""),0.5839243498817966)</f>
        <v>0.5839243499</v>
      </c>
      <c r="I1658" s="11">
        <f>IFERROR(__xludf.DUMMYFUNCTION("""COMPUTED_VALUE"""),5608.037825059102)</f>
        <v>5608.037825</v>
      </c>
      <c r="J1658" s="10">
        <f>IFERROR(__xludf.DUMMYFUNCTION("""COMPUTED_VALUE"""),1.0)</f>
        <v>1</v>
      </c>
      <c r="K1658" s="5">
        <f>IFERROR(__xludf.DUMMYFUNCTION("""COMPUTED_VALUE"""),0.005952380952380952)</f>
        <v>0.005952380952</v>
      </c>
      <c r="L1658" s="10">
        <f>IFERROR(__xludf.DUMMYFUNCTION("""COMPUTED_VALUE"""),168.0)</f>
        <v>168</v>
      </c>
      <c r="M1658" s="5">
        <f>IFERROR(__xludf.DUMMYFUNCTION("""COMPUTED_VALUE"""),1.0)</f>
        <v>1</v>
      </c>
    </row>
    <row r="1659">
      <c r="A1659" s="10" t="str">
        <f>IFERROR(__xludf.DUMMYFUNCTION("""COMPUTED_VALUE"""),"アウラングゼーブ")</f>
        <v>アウラングゼーブ</v>
      </c>
      <c r="B1659" s="10">
        <f>IFERROR(__xludf.DUMMYFUNCTION("""COMPUTED_VALUE"""),174.0)</f>
        <v>174</v>
      </c>
      <c r="C1659" s="10">
        <f>IFERROR(__xludf.DUMMYFUNCTION("""COMPUTED_VALUE"""),2050.0)</f>
        <v>2050</v>
      </c>
      <c r="D1659" s="5">
        <f>IFERROR(__xludf.DUMMYFUNCTION("""COMPUTED_VALUE"""),0.40298507462686567)</f>
        <v>0.4029850746</v>
      </c>
      <c r="E1659" s="5">
        <f>IFERROR(__xludf.DUMMYFUNCTION("""COMPUTED_VALUE"""),0.13486140724946696)</f>
        <v>0.1348614072</v>
      </c>
      <c r="F1659" s="5">
        <f>IFERROR(__xludf.DUMMYFUNCTION("""COMPUTED_VALUE"""),0.2062899786780384)</f>
        <v>0.2062899787</v>
      </c>
      <c r="G1659" s="5">
        <f>IFERROR(__xludf.DUMMYFUNCTION("""COMPUTED_VALUE"""),0.15511727078891258)</f>
        <v>0.1551172708</v>
      </c>
      <c r="H1659" s="5">
        <f>IFERROR(__xludf.DUMMYFUNCTION("""COMPUTED_VALUE"""),0.5581395348837209)</f>
        <v>0.5581395349</v>
      </c>
      <c r="I1659" s="11">
        <f>IFERROR(__xludf.DUMMYFUNCTION("""COMPUTED_VALUE"""),5142.8940568475455)</f>
        <v>5142.894057</v>
      </c>
      <c r="J1659" s="10">
        <f>IFERROR(__xludf.DUMMYFUNCTION("""COMPUTED_VALUE"""),0.0)</f>
        <v>0</v>
      </c>
      <c r="K1659" s="5">
        <f>IFERROR(__xludf.DUMMYFUNCTION("""COMPUTED_VALUE"""),0.0)</f>
        <v>0</v>
      </c>
      <c r="L1659" s="10">
        <f>IFERROR(__xludf.DUMMYFUNCTION("""COMPUTED_VALUE"""),137.0)</f>
        <v>137</v>
      </c>
      <c r="M1659" s="5">
        <f>IFERROR(__xludf.DUMMYFUNCTION("""COMPUTED_VALUE"""),0.7873563218390804)</f>
        <v>0.7873563218</v>
      </c>
    </row>
    <row r="1660">
      <c r="A1660" s="10" t="str">
        <f>IFERROR(__xludf.DUMMYFUNCTION("""COMPUTED_VALUE"""),"麻雀暦３日")</f>
        <v>麻雀暦３日</v>
      </c>
      <c r="B1660" s="10">
        <f>IFERROR(__xludf.DUMMYFUNCTION("""COMPUTED_VALUE"""),630.0)</f>
        <v>630</v>
      </c>
      <c r="C1660" s="10">
        <f>IFERROR(__xludf.DUMMYFUNCTION("""COMPUTED_VALUE"""),7490.0)</f>
        <v>7490</v>
      </c>
      <c r="D1660" s="5">
        <f>IFERROR(__xludf.DUMMYFUNCTION("""COMPUTED_VALUE"""),0.4049562682215743)</f>
        <v>0.4049562682</v>
      </c>
      <c r="E1660" s="5">
        <f>IFERROR(__xludf.DUMMYFUNCTION("""COMPUTED_VALUE"""),0.1348396501457726)</f>
        <v>0.1348396501</v>
      </c>
      <c r="F1660" s="5">
        <f>IFERROR(__xludf.DUMMYFUNCTION("""COMPUTED_VALUE"""),0.22638483965014577)</f>
        <v>0.2263848397</v>
      </c>
      <c r="G1660" s="5">
        <f>IFERROR(__xludf.DUMMYFUNCTION("""COMPUTED_VALUE"""),0.1467930029154519)</f>
        <v>0.1467930029</v>
      </c>
      <c r="H1660" s="5">
        <f>IFERROR(__xludf.DUMMYFUNCTION("""COMPUTED_VALUE"""),0.6265292981326465)</f>
        <v>0.6265292981</v>
      </c>
      <c r="I1660" s="11">
        <f>IFERROR(__xludf.DUMMYFUNCTION("""COMPUTED_VALUE"""),5209.6587250482935)</f>
        <v>5209.658725</v>
      </c>
      <c r="J1660" s="10">
        <f>IFERROR(__xludf.DUMMYFUNCTION("""COMPUTED_VALUE"""),1.0)</f>
        <v>1</v>
      </c>
      <c r="K1660" s="5">
        <f>IFERROR(__xludf.DUMMYFUNCTION("""COMPUTED_VALUE"""),0.0015873015873015873)</f>
        <v>0.001587301587</v>
      </c>
      <c r="L1660" s="10">
        <f>IFERROR(__xludf.DUMMYFUNCTION("""COMPUTED_VALUE"""),413.0)</f>
        <v>413</v>
      </c>
      <c r="M1660" s="5">
        <f>IFERROR(__xludf.DUMMYFUNCTION("""COMPUTED_VALUE"""),0.6555555555555556)</f>
        <v>0.6555555556</v>
      </c>
    </row>
    <row r="1661">
      <c r="A1661" s="10" t="str">
        <f>IFERROR(__xludf.DUMMYFUNCTION("""COMPUTED_VALUE"""),"mitsu611")</f>
        <v>mitsu611</v>
      </c>
      <c r="B1661" s="10">
        <f>IFERROR(__xludf.DUMMYFUNCTION("""COMPUTED_VALUE"""),663.0)</f>
        <v>663</v>
      </c>
      <c r="C1661" s="10">
        <f>IFERROR(__xludf.DUMMYFUNCTION("""COMPUTED_VALUE"""),7716.0)</f>
        <v>7716</v>
      </c>
      <c r="D1661" s="5">
        <f>IFERROR(__xludf.DUMMYFUNCTION("""COMPUTED_VALUE"""),0.2778959308095846)</f>
        <v>0.2778959308</v>
      </c>
      <c r="E1661" s="5">
        <f>IFERROR(__xludf.DUMMYFUNCTION("""COMPUTED_VALUE"""),0.1348362398979158)</f>
        <v>0.1348362399</v>
      </c>
      <c r="F1661" s="5">
        <f>IFERROR(__xludf.DUMMYFUNCTION("""COMPUTED_VALUE"""),0.19594498794839074)</f>
        <v>0.1959449879</v>
      </c>
      <c r="G1661" s="5">
        <f>IFERROR(__xludf.DUMMYFUNCTION("""COMPUTED_VALUE"""),0.1630511838933787)</f>
        <v>0.1630511839</v>
      </c>
      <c r="H1661" s="5">
        <f>IFERROR(__xludf.DUMMYFUNCTION("""COMPUTED_VALUE"""),0.5738060781476122)</f>
        <v>0.5738060781</v>
      </c>
      <c r="I1661" s="11">
        <f>IFERROR(__xludf.DUMMYFUNCTION("""COMPUTED_VALUE"""),6224.52966714906)</f>
        <v>6224.529667</v>
      </c>
      <c r="J1661" s="10">
        <f>IFERROR(__xludf.DUMMYFUNCTION("""COMPUTED_VALUE"""),2.0)</f>
        <v>2</v>
      </c>
      <c r="K1661" s="5">
        <f>IFERROR(__xludf.DUMMYFUNCTION("""COMPUTED_VALUE"""),0.0030165912518853697)</f>
        <v>0.003016591252</v>
      </c>
      <c r="L1661" s="10">
        <f>IFERROR(__xludf.DUMMYFUNCTION("""COMPUTED_VALUE"""),663.0)</f>
        <v>663</v>
      </c>
      <c r="M1661" s="5">
        <f>IFERROR(__xludf.DUMMYFUNCTION("""COMPUTED_VALUE"""),1.0)</f>
        <v>1</v>
      </c>
    </row>
    <row r="1662">
      <c r="A1662" s="10" t="str">
        <f>IFERROR(__xludf.DUMMYFUNCTION("""COMPUTED_VALUE"""),"Pearson")</f>
        <v>Pearson</v>
      </c>
      <c r="B1662" s="10">
        <f>IFERROR(__xludf.DUMMYFUNCTION("""COMPUTED_VALUE"""),674.0)</f>
        <v>674</v>
      </c>
      <c r="C1662" s="10">
        <f>IFERROR(__xludf.DUMMYFUNCTION("""COMPUTED_VALUE"""),7816.0)</f>
        <v>7816</v>
      </c>
      <c r="D1662" s="5">
        <f>IFERROR(__xludf.DUMMYFUNCTION("""COMPUTED_VALUE"""),0.3990478857462896)</f>
        <v>0.3990478857</v>
      </c>
      <c r="E1662" s="5">
        <f>IFERROR(__xludf.DUMMYFUNCTION("""COMPUTED_VALUE"""),0.134836180341641)</f>
        <v>0.1348361803</v>
      </c>
      <c r="F1662" s="5">
        <f>IFERROR(__xludf.DUMMYFUNCTION("""COMPUTED_VALUE"""),0.22486698403808458)</f>
        <v>0.224866984</v>
      </c>
      <c r="G1662" s="5">
        <f>IFERROR(__xludf.DUMMYFUNCTION("""COMPUTED_VALUE"""),0.186922430691683)</f>
        <v>0.1869224307</v>
      </c>
      <c r="H1662" s="5">
        <f>IFERROR(__xludf.DUMMYFUNCTION("""COMPUTED_VALUE"""),0.6052303860523038)</f>
        <v>0.6052303861</v>
      </c>
      <c r="I1662" s="11">
        <f>IFERROR(__xludf.DUMMYFUNCTION("""COMPUTED_VALUE"""),5646.139476961394)</f>
        <v>5646.139477</v>
      </c>
      <c r="J1662" s="10">
        <f>IFERROR(__xludf.DUMMYFUNCTION("""COMPUTED_VALUE"""),4.0)</f>
        <v>4</v>
      </c>
      <c r="K1662" s="5">
        <f>IFERROR(__xludf.DUMMYFUNCTION("""COMPUTED_VALUE"""),0.005934718100890208)</f>
        <v>0.005934718101</v>
      </c>
      <c r="L1662" s="10">
        <f>IFERROR(__xludf.DUMMYFUNCTION("""COMPUTED_VALUE"""),674.0)</f>
        <v>674</v>
      </c>
      <c r="M1662" s="5">
        <f>IFERROR(__xludf.DUMMYFUNCTION("""COMPUTED_VALUE"""),1.0)</f>
        <v>1</v>
      </c>
    </row>
    <row r="1663">
      <c r="A1663" s="10" t="str">
        <f>IFERROR(__xludf.DUMMYFUNCTION("""COMPUTED_VALUE"""),"おはDポテト")</f>
        <v>おはDポテト</v>
      </c>
      <c r="B1663" s="10">
        <f>IFERROR(__xludf.DUMMYFUNCTION("""COMPUTED_VALUE"""),2095.0)</f>
        <v>2095</v>
      </c>
      <c r="C1663" s="10">
        <f>IFERROR(__xludf.DUMMYFUNCTION("""COMPUTED_VALUE"""),24590.0)</f>
        <v>24590</v>
      </c>
      <c r="D1663" s="5">
        <f>IFERROR(__xludf.DUMMYFUNCTION("""COMPUTED_VALUE"""),0.359013114025339)</f>
        <v>0.359013114</v>
      </c>
      <c r="E1663" s="5">
        <f>IFERROR(__xludf.DUMMYFUNCTION("""COMPUTED_VALUE"""),0.1348299622138253)</f>
        <v>0.1348299622</v>
      </c>
      <c r="F1663" s="5">
        <f>IFERROR(__xludf.DUMMYFUNCTION("""COMPUTED_VALUE"""),0.2131140253389642)</f>
        <v>0.2131140253</v>
      </c>
      <c r="G1663" s="5">
        <f>IFERROR(__xludf.DUMMYFUNCTION("""COMPUTED_VALUE"""),0.18928650811291398)</f>
        <v>0.1892865081</v>
      </c>
      <c r="H1663" s="5">
        <f>IFERROR(__xludf.DUMMYFUNCTION("""COMPUTED_VALUE"""),0.5896954526491448)</f>
        <v>0.5896954526</v>
      </c>
      <c r="I1663" s="11">
        <f>IFERROR(__xludf.DUMMYFUNCTION("""COMPUTED_VALUE"""),5767.292448894452)</f>
        <v>5767.292449</v>
      </c>
      <c r="J1663" s="10">
        <f>IFERROR(__xludf.DUMMYFUNCTION("""COMPUTED_VALUE"""),2.0)</f>
        <v>2</v>
      </c>
      <c r="K1663" s="5">
        <f>IFERROR(__xludf.DUMMYFUNCTION("""COMPUTED_VALUE"""),9.546539379474941E-4)</f>
        <v>0.0009546539379</v>
      </c>
      <c r="L1663" s="10">
        <f>IFERROR(__xludf.DUMMYFUNCTION("""COMPUTED_VALUE"""),0.0)</f>
        <v>0</v>
      </c>
      <c r="M1663" s="5">
        <f>IFERROR(__xludf.DUMMYFUNCTION("""COMPUTED_VALUE"""),0.0)</f>
        <v>0</v>
      </c>
    </row>
    <row r="1664">
      <c r="A1664" s="10" t="str">
        <f>IFERROR(__xludf.DUMMYFUNCTION("""COMPUTED_VALUE"""),"assertiv")</f>
        <v>assertiv</v>
      </c>
      <c r="B1664" s="10">
        <f>IFERROR(__xludf.DUMMYFUNCTION("""COMPUTED_VALUE"""),1616.0)</f>
        <v>1616</v>
      </c>
      <c r="C1664" s="10">
        <f>IFERROR(__xludf.DUMMYFUNCTION("""COMPUTED_VALUE"""),19127.0)</f>
        <v>19127</v>
      </c>
      <c r="D1664" s="5">
        <f>IFERROR(__xludf.DUMMYFUNCTION("""COMPUTED_VALUE"""),0.38575752384215634)</f>
        <v>0.3857575238</v>
      </c>
      <c r="E1664" s="5">
        <f>IFERROR(__xludf.DUMMYFUNCTION("""COMPUTED_VALUE"""),0.13482953572040432)</f>
        <v>0.1348295357</v>
      </c>
      <c r="F1664" s="5">
        <f>IFERROR(__xludf.DUMMYFUNCTION("""COMPUTED_VALUE"""),0.21620695562789105)</f>
        <v>0.2162069556</v>
      </c>
      <c r="G1664" s="5">
        <f>IFERROR(__xludf.DUMMYFUNCTION("""COMPUTED_VALUE"""),0.1540174747301696)</f>
        <v>0.1540174747</v>
      </c>
      <c r="H1664" s="5">
        <f>IFERROR(__xludf.DUMMYFUNCTION("""COMPUTED_VALUE"""),0.6133122028526149)</f>
        <v>0.6133122029</v>
      </c>
      <c r="I1664" s="11">
        <f>IFERROR(__xludf.DUMMYFUNCTION("""COMPUTED_VALUE"""),5490.834653988378)</f>
        <v>5490.834654</v>
      </c>
      <c r="J1664" s="10">
        <f>IFERROR(__xludf.DUMMYFUNCTION("""COMPUTED_VALUE"""),5.0)</f>
        <v>5</v>
      </c>
      <c r="K1664" s="5">
        <f>IFERROR(__xludf.DUMMYFUNCTION("""COMPUTED_VALUE"""),0.003094059405940594)</f>
        <v>0.003094059406</v>
      </c>
      <c r="L1664" s="10">
        <f>IFERROR(__xludf.DUMMYFUNCTION("""COMPUTED_VALUE"""),1616.0)</f>
        <v>1616</v>
      </c>
      <c r="M1664" s="5">
        <f>IFERROR(__xludf.DUMMYFUNCTION("""COMPUTED_VALUE"""),1.0)</f>
        <v>1</v>
      </c>
    </row>
    <row r="1665">
      <c r="A1665" s="10" t="str">
        <f>IFERROR(__xludf.DUMMYFUNCTION("""COMPUTED_VALUE"""),"@m@")</f>
        <v>@m@</v>
      </c>
      <c r="B1665" s="10">
        <f>IFERROR(__xludf.DUMMYFUNCTION("""COMPUTED_VALUE"""),395.0)</f>
        <v>395</v>
      </c>
      <c r="C1665" s="10">
        <f>IFERROR(__xludf.DUMMYFUNCTION("""COMPUTED_VALUE"""),4630.0)</f>
        <v>4630</v>
      </c>
      <c r="D1665" s="5">
        <f>IFERROR(__xludf.DUMMYFUNCTION("""COMPUTED_VALUE"""),0.32278630460448643)</f>
        <v>0.3227863046</v>
      </c>
      <c r="E1665" s="5">
        <f>IFERROR(__xludf.DUMMYFUNCTION("""COMPUTED_VALUE"""),0.1348288075560803)</f>
        <v>0.1348288076</v>
      </c>
      <c r="F1665" s="5">
        <f>IFERROR(__xludf.DUMMYFUNCTION("""COMPUTED_VALUE"""),0.20731995277449822)</f>
        <v>0.2073199528</v>
      </c>
      <c r="G1665" s="5">
        <f>IFERROR(__xludf.DUMMYFUNCTION("""COMPUTED_VALUE"""),0.15584415584415584)</f>
        <v>0.1558441558</v>
      </c>
      <c r="H1665" s="5">
        <f>IFERROR(__xludf.DUMMYFUNCTION("""COMPUTED_VALUE"""),0.5968109339407744)</f>
        <v>0.5968109339</v>
      </c>
      <c r="I1665" s="11">
        <f>IFERROR(__xludf.DUMMYFUNCTION("""COMPUTED_VALUE"""),5476.3097949886105)</f>
        <v>5476.309795</v>
      </c>
      <c r="J1665" s="10">
        <f>IFERROR(__xludf.DUMMYFUNCTION("""COMPUTED_VALUE"""),0.0)</f>
        <v>0</v>
      </c>
      <c r="K1665" s="5">
        <f>IFERROR(__xludf.DUMMYFUNCTION("""COMPUTED_VALUE"""),0.0)</f>
        <v>0</v>
      </c>
      <c r="L1665" s="10">
        <f>IFERROR(__xludf.DUMMYFUNCTION("""COMPUTED_VALUE"""),395.0)</f>
        <v>395</v>
      </c>
      <c r="M1665" s="5">
        <f>IFERROR(__xludf.DUMMYFUNCTION("""COMPUTED_VALUE"""),1.0)</f>
        <v>1</v>
      </c>
    </row>
    <row r="1666">
      <c r="A1666" s="10" t="str">
        <f>IFERROR(__xludf.DUMMYFUNCTION("""COMPUTED_VALUE"""),"かりんさん")</f>
        <v>かりんさん</v>
      </c>
      <c r="B1666" s="10">
        <f>IFERROR(__xludf.DUMMYFUNCTION("""COMPUTED_VALUE"""),872.0)</f>
        <v>872</v>
      </c>
      <c r="C1666" s="10">
        <f>IFERROR(__xludf.DUMMYFUNCTION("""COMPUTED_VALUE"""),10284.0)</f>
        <v>10284</v>
      </c>
      <c r="D1666" s="5">
        <f>IFERROR(__xludf.DUMMYFUNCTION("""COMPUTED_VALUE"""),0.37664683382915426)</f>
        <v>0.3766468338</v>
      </c>
      <c r="E1666" s="5">
        <f>IFERROR(__xludf.DUMMYFUNCTION("""COMPUTED_VALUE"""),0.13482787930301743)</f>
        <v>0.1348278793</v>
      </c>
      <c r="F1666" s="5">
        <f>IFERROR(__xludf.DUMMYFUNCTION("""COMPUTED_VALUE"""),0.22322566935826604)</f>
        <v>0.2232256694</v>
      </c>
      <c r="G1666" s="5">
        <f>IFERROR(__xludf.DUMMYFUNCTION("""COMPUTED_VALUE"""),0.1647896302592435)</f>
        <v>0.1647896303</v>
      </c>
      <c r="H1666" s="5">
        <f>IFERROR(__xludf.DUMMYFUNCTION("""COMPUTED_VALUE"""),0.6249405045216564)</f>
        <v>0.6249405045</v>
      </c>
      <c r="I1666" s="11">
        <f>IFERROR(__xludf.DUMMYFUNCTION("""COMPUTED_VALUE"""),5669.728700618753)</f>
        <v>5669.728701</v>
      </c>
      <c r="J1666" s="10">
        <f>IFERROR(__xludf.DUMMYFUNCTION("""COMPUTED_VALUE"""),2.0)</f>
        <v>2</v>
      </c>
      <c r="K1666" s="5">
        <f>IFERROR(__xludf.DUMMYFUNCTION("""COMPUTED_VALUE"""),0.0022935779816513763)</f>
        <v>0.002293577982</v>
      </c>
      <c r="L1666" s="10">
        <f>IFERROR(__xludf.DUMMYFUNCTION("""COMPUTED_VALUE"""),258.0)</f>
        <v>258</v>
      </c>
      <c r="M1666" s="5">
        <f>IFERROR(__xludf.DUMMYFUNCTION("""COMPUTED_VALUE"""),0.2958715596330275)</f>
        <v>0.2958715596</v>
      </c>
    </row>
    <row r="1667">
      <c r="A1667" s="10" t="str">
        <f>IFERROR(__xludf.DUMMYFUNCTION("""COMPUTED_VALUE"""),"チュルス")</f>
        <v>チュルス</v>
      </c>
      <c r="B1667" s="10">
        <f>IFERROR(__xludf.DUMMYFUNCTION("""COMPUTED_VALUE"""),464.0)</f>
        <v>464</v>
      </c>
      <c r="C1667" s="10">
        <f>IFERROR(__xludf.DUMMYFUNCTION("""COMPUTED_VALUE"""),5515.0)</f>
        <v>5515</v>
      </c>
      <c r="D1667" s="5">
        <f>IFERROR(__xludf.DUMMYFUNCTION("""COMPUTED_VALUE"""),0.33537913284498116)</f>
        <v>0.3353791328</v>
      </c>
      <c r="E1667" s="5">
        <f>IFERROR(__xludf.DUMMYFUNCTION("""COMPUTED_VALUE"""),0.13482478717085725)</f>
        <v>0.1348247872</v>
      </c>
      <c r="F1667" s="5">
        <f>IFERROR(__xludf.DUMMYFUNCTION("""COMPUTED_VALUE"""),0.20906751138388438)</f>
        <v>0.2090675114</v>
      </c>
      <c r="G1667" s="5">
        <f>IFERROR(__xludf.DUMMYFUNCTION("""COMPUTED_VALUE"""),0.15858245891902595)</f>
        <v>0.1585824589</v>
      </c>
      <c r="H1667" s="5">
        <f>IFERROR(__xludf.DUMMYFUNCTION("""COMPUTED_VALUE"""),0.5871212121212122)</f>
        <v>0.5871212121</v>
      </c>
      <c r="I1667" s="11">
        <f>IFERROR(__xludf.DUMMYFUNCTION("""COMPUTED_VALUE"""),5766.098484848485)</f>
        <v>5766.098485</v>
      </c>
      <c r="J1667" s="10">
        <f>IFERROR(__xludf.DUMMYFUNCTION("""COMPUTED_VALUE"""),1.0)</f>
        <v>1</v>
      </c>
      <c r="K1667" s="5">
        <f>IFERROR(__xludf.DUMMYFUNCTION("""COMPUTED_VALUE"""),0.0021551724137931034)</f>
        <v>0.002155172414</v>
      </c>
      <c r="L1667" s="10">
        <f>IFERROR(__xludf.DUMMYFUNCTION("""COMPUTED_VALUE"""),464.0)</f>
        <v>464</v>
      </c>
      <c r="M1667" s="5">
        <f>IFERROR(__xludf.DUMMYFUNCTION("""COMPUTED_VALUE"""),1.0)</f>
        <v>1</v>
      </c>
    </row>
    <row r="1668">
      <c r="A1668" s="10" t="str">
        <f>IFERROR(__xludf.DUMMYFUNCTION("""COMPUTED_VALUE"""),"-ron-")</f>
        <v>-ron-</v>
      </c>
      <c r="B1668" s="10">
        <f>IFERROR(__xludf.DUMMYFUNCTION("""COMPUTED_VALUE"""),752.0)</f>
        <v>752</v>
      </c>
      <c r="C1668" s="10">
        <f>IFERROR(__xludf.DUMMYFUNCTION("""COMPUTED_VALUE"""),8874.0)</f>
        <v>8874</v>
      </c>
      <c r="D1668" s="5">
        <f>IFERROR(__xludf.DUMMYFUNCTION("""COMPUTED_VALUE"""),0.39337601575966513)</f>
        <v>0.3933760158</v>
      </c>
      <c r="E1668" s="5">
        <f>IFERROR(__xludf.DUMMYFUNCTION("""COMPUTED_VALUE"""),0.13481901009603545)</f>
        <v>0.1348190101</v>
      </c>
      <c r="F1668" s="5">
        <f>IFERROR(__xludf.DUMMYFUNCTION("""COMPUTED_VALUE"""),0.22088155626692932)</f>
        <v>0.2208815563</v>
      </c>
      <c r="G1668" s="5">
        <f>IFERROR(__xludf.DUMMYFUNCTION("""COMPUTED_VALUE"""),0.1616596897315932)</f>
        <v>0.1616596897</v>
      </c>
      <c r="H1668" s="5">
        <f>IFERROR(__xludf.DUMMYFUNCTION("""COMPUTED_VALUE"""),0.5830546265328874)</f>
        <v>0.5830546265</v>
      </c>
      <c r="I1668" s="11">
        <f>IFERROR(__xludf.DUMMYFUNCTION("""COMPUTED_VALUE"""),5452.5641025641025)</f>
        <v>5452.564103</v>
      </c>
      <c r="J1668" s="10">
        <f>IFERROR(__xludf.DUMMYFUNCTION("""COMPUTED_VALUE"""),3.0)</f>
        <v>3</v>
      </c>
      <c r="K1668" s="5">
        <f>IFERROR(__xludf.DUMMYFUNCTION("""COMPUTED_VALUE"""),0.003989361702127659)</f>
        <v>0.003989361702</v>
      </c>
      <c r="L1668" s="10">
        <f>IFERROR(__xludf.DUMMYFUNCTION("""COMPUTED_VALUE"""),752.0)</f>
        <v>752</v>
      </c>
      <c r="M1668" s="5">
        <f>IFERROR(__xludf.DUMMYFUNCTION("""COMPUTED_VALUE"""),1.0)</f>
        <v>1</v>
      </c>
    </row>
    <row r="1669">
      <c r="A1669" s="10" t="str">
        <f>IFERROR(__xludf.DUMMYFUNCTION("""COMPUTED_VALUE"""),"上柿めぐみ")</f>
        <v>上柿めぐみ</v>
      </c>
      <c r="B1669" s="10">
        <f>IFERROR(__xludf.DUMMYFUNCTION("""COMPUTED_VALUE"""),1484.0)</f>
        <v>1484</v>
      </c>
      <c r="C1669" s="10">
        <f>IFERROR(__xludf.DUMMYFUNCTION("""COMPUTED_VALUE"""),17491.0)</f>
        <v>17491</v>
      </c>
      <c r="D1669" s="5">
        <f>IFERROR(__xludf.DUMMYFUNCTION("""COMPUTED_VALUE"""),0.47104391828575)</f>
        <v>0.4710439183</v>
      </c>
      <c r="E1669" s="5">
        <f>IFERROR(__xludf.DUMMYFUNCTION("""COMPUTED_VALUE"""),0.13481601799212845)</f>
        <v>0.134816018</v>
      </c>
      <c r="F1669" s="5">
        <f>IFERROR(__xludf.DUMMYFUNCTION("""COMPUTED_VALUE"""),0.21384394327481726)</f>
        <v>0.2138439433</v>
      </c>
      <c r="G1669" s="5">
        <f>IFERROR(__xludf.DUMMYFUNCTION("""COMPUTED_VALUE"""),0.1669894421190729)</f>
        <v>0.1669894421</v>
      </c>
      <c r="H1669" s="5">
        <f>IFERROR(__xludf.DUMMYFUNCTION("""COMPUTED_VALUE"""),0.6018112766579025)</f>
        <v>0.6018112767</v>
      </c>
      <c r="I1669" s="11">
        <f>IFERROR(__xludf.DUMMYFUNCTION("""COMPUTED_VALUE"""),5644.522348816828)</f>
        <v>5644.522349</v>
      </c>
      <c r="J1669" s="10">
        <f>IFERROR(__xludf.DUMMYFUNCTION("""COMPUTED_VALUE"""),3.0)</f>
        <v>3</v>
      </c>
      <c r="K1669" s="5">
        <f>IFERROR(__xludf.DUMMYFUNCTION("""COMPUTED_VALUE"""),0.0020215633423180594)</f>
        <v>0.002021563342</v>
      </c>
      <c r="L1669" s="10">
        <f>IFERROR(__xludf.DUMMYFUNCTION("""COMPUTED_VALUE"""),0.0)</f>
        <v>0</v>
      </c>
      <c r="M1669" s="5">
        <f>IFERROR(__xludf.DUMMYFUNCTION("""COMPUTED_VALUE"""),0.0)</f>
        <v>0</v>
      </c>
    </row>
    <row r="1670">
      <c r="A1670" s="10" t="str">
        <f>IFERROR(__xludf.DUMMYFUNCTION("""COMPUTED_VALUE"""),"さむらかわちの神")</f>
        <v>さむらかわちの神</v>
      </c>
      <c r="B1670" s="10">
        <f>IFERROR(__xludf.DUMMYFUNCTION("""COMPUTED_VALUE"""),699.0)</f>
        <v>699</v>
      </c>
      <c r="C1670" s="10">
        <f>IFERROR(__xludf.DUMMYFUNCTION("""COMPUTED_VALUE"""),8102.0)</f>
        <v>8102</v>
      </c>
      <c r="D1670" s="5">
        <f>IFERROR(__xludf.DUMMYFUNCTION("""COMPUTED_VALUE"""),0.35053356747264625)</f>
        <v>0.3505335675</v>
      </c>
      <c r="E1670" s="5">
        <f>IFERROR(__xludf.DUMMYFUNCTION("""COMPUTED_VALUE"""),0.13481021207618532)</f>
        <v>0.1348102121</v>
      </c>
      <c r="F1670" s="5">
        <f>IFERROR(__xludf.DUMMYFUNCTION("""COMPUTED_VALUE"""),0.21261650682155883)</f>
        <v>0.2126165068</v>
      </c>
      <c r="G1670" s="5">
        <f>IFERROR(__xludf.DUMMYFUNCTION("""COMPUTED_VALUE"""),0.18384438741050926)</f>
        <v>0.1838443874</v>
      </c>
      <c r="H1670" s="5">
        <f>IFERROR(__xludf.DUMMYFUNCTION("""COMPUTED_VALUE"""),0.6060991105463787)</f>
        <v>0.6060991105</v>
      </c>
      <c r="I1670" s="11">
        <f>IFERROR(__xludf.DUMMYFUNCTION("""COMPUTED_VALUE"""),5707.369758576874)</f>
        <v>5707.369759</v>
      </c>
      <c r="J1670" s="10">
        <f>IFERROR(__xludf.DUMMYFUNCTION("""COMPUTED_VALUE"""),4.0)</f>
        <v>4</v>
      </c>
      <c r="K1670" s="5">
        <f>IFERROR(__xludf.DUMMYFUNCTION("""COMPUTED_VALUE"""),0.005722460658082976)</f>
        <v>0.005722460658</v>
      </c>
      <c r="L1670" s="10">
        <f>IFERROR(__xludf.DUMMYFUNCTION("""COMPUTED_VALUE"""),699.0)</f>
        <v>699</v>
      </c>
      <c r="M1670" s="5">
        <f>IFERROR(__xludf.DUMMYFUNCTION("""COMPUTED_VALUE"""),1.0)</f>
        <v>1</v>
      </c>
    </row>
    <row r="1671">
      <c r="A1671" s="10" t="str">
        <f>IFERROR(__xludf.DUMMYFUNCTION("""COMPUTED_VALUE"""),"Re:zawa")</f>
        <v>Re:zawa</v>
      </c>
      <c r="B1671" s="10">
        <f>IFERROR(__xludf.DUMMYFUNCTION("""COMPUTED_VALUE"""),519.0)</f>
        <v>519</v>
      </c>
      <c r="C1671" s="10">
        <f>IFERROR(__xludf.DUMMYFUNCTION("""COMPUTED_VALUE"""),6075.0)</f>
        <v>6075</v>
      </c>
      <c r="D1671" s="5">
        <f>IFERROR(__xludf.DUMMYFUNCTION("""COMPUTED_VALUE"""),0.32721382289416845)</f>
        <v>0.3272138229</v>
      </c>
      <c r="E1671" s="5">
        <f>IFERROR(__xludf.DUMMYFUNCTION("""COMPUTED_VALUE"""),0.13480921526277898)</f>
        <v>0.1348092153</v>
      </c>
      <c r="F1671" s="5">
        <f>IFERROR(__xludf.DUMMYFUNCTION("""COMPUTED_VALUE"""),0.21418286537077033)</f>
        <v>0.2141828654</v>
      </c>
      <c r="G1671" s="5">
        <f>IFERROR(__xludf.DUMMYFUNCTION("""COMPUTED_VALUE"""),0.1857451403887689)</f>
        <v>0.1857451404</v>
      </c>
      <c r="H1671" s="5">
        <f>IFERROR(__xludf.DUMMYFUNCTION("""COMPUTED_VALUE"""),0.6058823529411764)</f>
        <v>0.6058823529</v>
      </c>
      <c r="I1671" s="11">
        <f>IFERROR(__xludf.DUMMYFUNCTION("""COMPUTED_VALUE"""),5520.16806722689)</f>
        <v>5520.168067</v>
      </c>
      <c r="J1671" s="10">
        <f>IFERROR(__xludf.DUMMYFUNCTION("""COMPUTED_VALUE"""),1.0)</f>
        <v>1</v>
      </c>
      <c r="K1671" s="5">
        <f>IFERROR(__xludf.DUMMYFUNCTION("""COMPUTED_VALUE"""),0.0019267822736030828)</f>
        <v>0.001926782274</v>
      </c>
      <c r="L1671" s="10">
        <f>IFERROR(__xludf.DUMMYFUNCTION("""COMPUTED_VALUE"""),436.0)</f>
        <v>436</v>
      </c>
      <c r="M1671" s="5">
        <f>IFERROR(__xludf.DUMMYFUNCTION("""COMPUTED_VALUE"""),0.8400770712909441)</f>
        <v>0.8400770713</v>
      </c>
    </row>
    <row r="1672">
      <c r="A1672" s="10" t="str">
        <f>IFERROR(__xludf.DUMMYFUNCTION("""COMPUTED_VALUE"""),"軟水")</f>
        <v>軟水</v>
      </c>
      <c r="B1672" s="10">
        <f>IFERROR(__xludf.DUMMYFUNCTION("""COMPUTED_VALUE"""),576.0)</f>
        <v>576</v>
      </c>
      <c r="C1672" s="10">
        <f>IFERROR(__xludf.DUMMYFUNCTION("""COMPUTED_VALUE"""),6674.0)</f>
        <v>6674</v>
      </c>
      <c r="D1672" s="5">
        <f>IFERROR(__xludf.DUMMYFUNCTION("""COMPUTED_VALUE"""),0.327156444735979)</f>
        <v>0.3271564447</v>
      </c>
      <c r="E1672" s="5">
        <f>IFERROR(__xludf.DUMMYFUNCTION("""COMPUTED_VALUE"""),0.13479829452279435)</f>
        <v>0.1347982945</v>
      </c>
      <c r="F1672" s="5">
        <f>IFERROR(__xludf.DUMMYFUNCTION("""COMPUTED_VALUE"""),0.20662512299114463)</f>
        <v>0.206625123</v>
      </c>
      <c r="G1672" s="5">
        <f>IFERROR(__xludf.DUMMYFUNCTION("""COMPUTED_VALUE"""),0.17284355526402098)</f>
        <v>0.1728435553</v>
      </c>
      <c r="H1672" s="5">
        <f>IFERROR(__xludf.DUMMYFUNCTION("""COMPUTED_VALUE"""),0.5801587301587302)</f>
        <v>0.5801587302</v>
      </c>
      <c r="I1672" s="11">
        <f>IFERROR(__xludf.DUMMYFUNCTION("""COMPUTED_VALUE"""),6157.3015873015875)</f>
        <v>6157.301587</v>
      </c>
      <c r="J1672" s="10">
        <f>IFERROR(__xludf.DUMMYFUNCTION("""COMPUTED_VALUE"""),4.0)</f>
        <v>4</v>
      </c>
      <c r="K1672" s="5">
        <f>IFERROR(__xludf.DUMMYFUNCTION("""COMPUTED_VALUE"""),0.006944444444444444)</f>
        <v>0.006944444444</v>
      </c>
      <c r="L1672" s="10">
        <f>IFERROR(__xludf.DUMMYFUNCTION("""COMPUTED_VALUE"""),576.0)</f>
        <v>576</v>
      </c>
      <c r="M1672" s="5">
        <f>IFERROR(__xludf.DUMMYFUNCTION("""COMPUTED_VALUE"""),1.0)</f>
        <v>1</v>
      </c>
    </row>
    <row r="1673">
      <c r="A1673" s="10" t="str">
        <f>IFERROR(__xludf.DUMMYFUNCTION("""COMPUTED_VALUE"""),"beken69")</f>
        <v>beken69</v>
      </c>
      <c r="B1673" s="10">
        <f>IFERROR(__xludf.DUMMYFUNCTION("""COMPUTED_VALUE"""),377.0)</f>
        <v>377</v>
      </c>
      <c r="C1673" s="10">
        <f>IFERROR(__xludf.DUMMYFUNCTION("""COMPUTED_VALUE"""),4435.0)</f>
        <v>4435</v>
      </c>
      <c r="D1673" s="5">
        <f>IFERROR(__xludf.DUMMYFUNCTION("""COMPUTED_VALUE"""),0.38960078856579594)</f>
        <v>0.3896007886</v>
      </c>
      <c r="E1673" s="5">
        <f>IFERROR(__xludf.DUMMYFUNCTION("""COMPUTED_VALUE"""),0.13479546574667323)</f>
        <v>0.1347954657</v>
      </c>
      <c r="F1673" s="5">
        <f>IFERROR(__xludf.DUMMYFUNCTION("""COMPUTED_VALUE"""),0.20305569245933958)</f>
        <v>0.2030556925</v>
      </c>
      <c r="G1673" s="5">
        <f>IFERROR(__xludf.DUMMYFUNCTION("""COMPUTED_VALUE"""),0.17249876786594381)</f>
        <v>0.1724987679</v>
      </c>
      <c r="H1673" s="5">
        <f>IFERROR(__xludf.DUMMYFUNCTION("""COMPUTED_VALUE"""),0.5983009708737864)</f>
        <v>0.5983009709</v>
      </c>
      <c r="I1673" s="11">
        <f>IFERROR(__xludf.DUMMYFUNCTION("""COMPUTED_VALUE"""),5642.111650485437)</f>
        <v>5642.11165</v>
      </c>
      <c r="J1673" s="10">
        <f>IFERROR(__xludf.DUMMYFUNCTION("""COMPUTED_VALUE"""),3.0)</f>
        <v>3</v>
      </c>
      <c r="K1673" s="5">
        <f>IFERROR(__xludf.DUMMYFUNCTION("""COMPUTED_VALUE"""),0.007957559681697613)</f>
        <v>0.007957559682</v>
      </c>
      <c r="L1673" s="10">
        <f>IFERROR(__xludf.DUMMYFUNCTION("""COMPUTED_VALUE"""),377.0)</f>
        <v>377</v>
      </c>
      <c r="M1673" s="5">
        <f>IFERROR(__xludf.DUMMYFUNCTION("""COMPUTED_VALUE"""),1.0)</f>
        <v>1</v>
      </c>
    </row>
    <row r="1674">
      <c r="A1674" s="10" t="str">
        <f>IFERROR(__xludf.DUMMYFUNCTION("""COMPUTED_VALUE"""),"ねむりん")</f>
        <v>ねむりん</v>
      </c>
      <c r="B1674" s="10">
        <f>IFERROR(__xludf.DUMMYFUNCTION("""COMPUTED_VALUE"""),124.0)</f>
        <v>124</v>
      </c>
      <c r="C1674" s="10">
        <f>IFERROR(__xludf.DUMMYFUNCTION("""COMPUTED_VALUE"""),1452.0)</f>
        <v>1452</v>
      </c>
      <c r="D1674" s="5">
        <f>IFERROR(__xludf.DUMMYFUNCTION("""COMPUTED_VALUE"""),0.30346385542168675)</f>
        <v>0.3034638554</v>
      </c>
      <c r="E1674" s="5">
        <f>IFERROR(__xludf.DUMMYFUNCTION("""COMPUTED_VALUE"""),0.13478915662650603)</f>
        <v>0.1347891566</v>
      </c>
      <c r="F1674" s="5">
        <f>IFERROR(__xludf.DUMMYFUNCTION("""COMPUTED_VALUE"""),0.19954819277108435)</f>
        <v>0.1995481928</v>
      </c>
      <c r="G1674" s="5">
        <f>IFERROR(__xludf.DUMMYFUNCTION("""COMPUTED_VALUE"""),0.13704819277108435)</f>
        <v>0.1370481928</v>
      </c>
      <c r="H1674" s="5">
        <f>IFERROR(__xludf.DUMMYFUNCTION("""COMPUTED_VALUE"""),0.5924528301886792)</f>
        <v>0.5924528302</v>
      </c>
      <c r="I1674" s="11">
        <f>IFERROR(__xludf.DUMMYFUNCTION("""COMPUTED_VALUE"""),4935.8490566037735)</f>
        <v>4935.849057</v>
      </c>
      <c r="J1674" s="10">
        <f>IFERROR(__xludf.DUMMYFUNCTION("""COMPUTED_VALUE"""),0.0)</f>
        <v>0</v>
      </c>
      <c r="K1674" s="5">
        <f>IFERROR(__xludf.DUMMYFUNCTION("""COMPUTED_VALUE"""),0.0)</f>
        <v>0</v>
      </c>
      <c r="L1674" s="10">
        <f>IFERROR(__xludf.DUMMYFUNCTION("""COMPUTED_VALUE"""),0.0)</f>
        <v>0</v>
      </c>
      <c r="M1674" s="5">
        <f>IFERROR(__xludf.DUMMYFUNCTION("""COMPUTED_VALUE"""),0.0)</f>
        <v>0</v>
      </c>
    </row>
    <row r="1675">
      <c r="A1675" s="10" t="str">
        <f>IFERROR(__xludf.DUMMYFUNCTION("""COMPUTED_VALUE"""),"大坂屋")</f>
        <v>大坂屋</v>
      </c>
      <c r="B1675" s="10">
        <f>IFERROR(__xludf.DUMMYFUNCTION("""COMPUTED_VALUE"""),335.0)</f>
        <v>335</v>
      </c>
      <c r="C1675" s="10">
        <f>IFERROR(__xludf.DUMMYFUNCTION("""COMPUTED_VALUE"""),3941.0)</f>
        <v>3941</v>
      </c>
      <c r="D1675" s="5">
        <f>IFERROR(__xludf.DUMMYFUNCTION("""COMPUTED_VALUE"""),0.3086522462562396)</f>
        <v>0.3086522463</v>
      </c>
      <c r="E1675" s="5">
        <f>IFERROR(__xludf.DUMMYFUNCTION("""COMPUTED_VALUE"""),0.13477537437603992)</f>
        <v>0.1347753744</v>
      </c>
      <c r="F1675" s="5">
        <f>IFERROR(__xludf.DUMMYFUNCTION("""COMPUTED_VALUE"""),0.19772601220188574)</f>
        <v>0.1977260122</v>
      </c>
      <c r="G1675" s="5">
        <f>IFERROR(__xludf.DUMMYFUNCTION("""COMPUTED_VALUE"""),0.19772601220188574)</f>
        <v>0.1977260122</v>
      </c>
      <c r="H1675" s="5">
        <f>IFERROR(__xludf.DUMMYFUNCTION("""COMPUTED_VALUE"""),0.6002805049088359)</f>
        <v>0.6002805049</v>
      </c>
      <c r="I1675" s="11">
        <f>IFERROR(__xludf.DUMMYFUNCTION("""COMPUTED_VALUE"""),5932.678821879383)</f>
        <v>5932.678822</v>
      </c>
      <c r="J1675" s="10">
        <f>IFERROR(__xludf.DUMMYFUNCTION("""COMPUTED_VALUE"""),0.0)</f>
        <v>0</v>
      </c>
      <c r="K1675" s="5">
        <f>IFERROR(__xludf.DUMMYFUNCTION("""COMPUTED_VALUE"""),0.0)</f>
        <v>0</v>
      </c>
      <c r="L1675" s="10">
        <f>IFERROR(__xludf.DUMMYFUNCTION("""COMPUTED_VALUE"""),253.0)</f>
        <v>253</v>
      </c>
      <c r="M1675" s="5">
        <f>IFERROR(__xludf.DUMMYFUNCTION("""COMPUTED_VALUE"""),0.755223880597015)</f>
        <v>0.7552238806</v>
      </c>
    </row>
    <row r="1676">
      <c r="A1676" s="10" t="str">
        <f>IFERROR(__xludf.DUMMYFUNCTION("""COMPUTED_VALUE"""),"★テクノハウス★")</f>
        <v>★テクノハウス★</v>
      </c>
      <c r="B1676" s="10">
        <f>IFERROR(__xludf.DUMMYFUNCTION("""COMPUTED_VALUE"""),196.0)</f>
        <v>196</v>
      </c>
      <c r="C1676" s="10">
        <f>IFERROR(__xludf.DUMMYFUNCTION("""COMPUTED_VALUE"""),2281.0)</f>
        <v>2281</v>
      </c>
      <c r="D1676" s="5">
        <f>IFERROR(__xludf.DUMMYFUNCTION("""COMPUTED_VALUE"""),0.33621103117505996)</f>
        <v>0.3362110312</v>
      </c>
      <c r="E1676" s="5">
        <f>IFERROR(__xludf.DUMMYFUNCTION("""COMPUTED_VALUE"""),0.13477218225419665)</f>
        <v>0.1347721823</v>
      </c>
      <c r="F1676" s="5">
        <f>IFERROR(__xludf.DUMMYFUNCTION("""COMPUTED_VALUE"""),0.20287769784172663)</f>
        <v>0.2028776978</v>
      </c>
      <c r="G1676" s="5">
        <f>IFERROR(__xludf.DUMMYFUNCTION("""COMPUTED_VALUE"""),0.16258992805755396)</f>
        <v>0.1625899281</v>
      </c>
      <c r="H1676" s="5">
        <f>IFERROR(__xludf.DUMMYFUNCTION("""COMPUTED_VALUE"""),0.5839243498817966)</f>
        <v>0.5839243499</v>
      </c>
      <c r="I1676" s="11">
        <f>IFERROR(__xludf.DUMMYFUNCTION("""COMPUTED_VALUE"""),5138.297872340426)</f>
        <v>5138.297872</v>
      </c>
      <c r="J1676" s="10">
        <f>IFERROR(__xludf.DUMMYFUNCTION("""COMPUTED_VALUE"""),0.0)</f>
        <v>0</v>
      </c>
      <c r="K1676" s="5">
        <f>IFERROR(__xludf.DUMMYFUNCTION("""COMPUTED_VALUE"""),0.0)</f>
        <v>0</v>
      </c>
      <c r="L1676" s="10">
        <f>IFERROR(__xludf.DUMMYFUNCTION("""COMPUTED_VALUE"""),0.0)</f>
        <v>0</v>
      </c>
      <c r="M1676" s="5">
        <f>IFERROR(__xludf.DUMMYFUNCTION("""COMPUTED_VALUE"""),0.0)</f>
        <v>0</v>
      </c>
    </row>
    <row r="1677">
      <c r="A1677" s="10" t="str">
        <f>IFERROR(__xludf.DUMMYFUNCTION("""COMPUTED_VALUE"""),"里中亜矢子")</f>
        <v>里中亜矢子</v>
      </c>
      <c r="B1677" s="10">
        <f>IFERROR(__xludf.DUMMYFUNCTION("""COMPUTED_VALUE"""),2349.0)</f>
        <v>2349</v>
      </c>
      <c r="C1677" s="10">
        <f>IFERROR(__xludf.DUMMYFUNCTION("""COMPUTED_VALUE"""),27703.0)</f>
        <v>27703</v>
      </c>
      <c r="D1677" s="5">
        <f>IFERROR(__xludf.DUMMYFUNCTION("""COMPUTED_VALUE"""),0.37990060739922693)</f>
        <v>0.3799006074</v>
      </c>
      <c r="E1677" s="5">
        <f>IFERROR(__xludf.DUMMYFUNCTION("""COMPUTED_VALUE"""),0.13477163366727143)</f>
        <v>0.1347716337</v>
      </c>
      <c r="F1677" s="5">
        <f>IFERROR(__xludf.DUMMYFUNCTION("""COMPUTED_VALUE"""),0.2128263784807131)</f>
        <v>0.2128263785</v>
      </c>
      <c r="G1677" s="5">
        <f>IFERROR(__xludf.DUMMYFUNCTION("""COMPUTED_VALUE"""),0.17547527017433145)</f>
        <v>0.1754752702</v>
      </c>
      <c r="H1677" s="5">
        <f>IFERROR(__xludf.DUMMYFUNCTION("""COMPUTED_VALUE"""),0.5915492957746479)</f>
        <v>0.5915492958</v>
      </c>
      <c r="I1677" s="11">
        <f>IFERROR(__xludf.DUMMYFUNCTION("""COMPUTED_VALUE"""),5605.689399555226)</f>
        <v>5605.6894</v>
      </c>
      <c r="J1677" s="10">
        <f>IFERROR(__xludf.DUMMYFUNCTION("""COMPUTED_VALUE"""),4.0)</f>
        <v>4</v>
      </c>
      <c r="K1677" s="5">
        <f>IFERROR(__xludf.DUMMYFUNCTION("""COMPUTED_VALUE"""),0.0017028522775649213)</f>
        <v>0.001702852278</v>
      </c>
      <c r="L1677" s="10">
        <f>IFERROR(__xludf.DUMMYFUNCTION("""COMPUTED_VALUE"""),1167.0)</f>
        <v>1167</v>
      </c>
      <c r="M1677" s="5">
        <f>IFERROR(__xludf.DUMMYFUNCTION("""COMPUTED_VALUE"""),0.49680715197956576)</f>
        <v>0.496807152</v>
      </c>
    </row>
    <row r="1678">
      <c r="A1678" s="10" t="str">
        <f>IFERROR(__xludf.DUMMYFUNCTION("""COMPUTED_VALUE"""),"tanpatsu")</f>
        <v>tanpatsu</v>
      </c>
      <c r="B1678" s="10">
        <f>IFERROR(__xludf.DUMMYFUNCTION("""COMPUTED_VALUE"""),111.0)</f>
        <v>111</v>
      </c>
      <c r="C1678" s="10">
        <f>IFERROR(__xludf.DUMMYFUNCTION("""COMPUTED_VALUE"""),1276.0)</f>
        <v>1276</v>
      </c>
      <c r="D1678" s="5">
        <f>IFERROR(__xludf.DUMMYFUNCTION("""COMPUTED_VALUE"""),0.4231759656652361)</f>
        <v>0.4231759657</v>
      </c>
      <c r="E1678" s="5">
        <f>IFERROR(__xludf.DUMMYFUNCTION("""COMPUTED_VALUE"""),0.13476394849785409)</f>
        <v>0.1347639485</v>
      </c>
      <c r="F1678" s="5">
        <f>IFERROR(__xludf.DUMMYFUNCTION("""COMPUTED_VALUE"""),0.20600858369098712)</f>
        <v>0.2060085837</v>
      </c>
      <c r="G1678" s="5">
        <f>IFERROR(__xludf.DUMMYFUNCTION("""COMPUTED_VALUE"""),0.14763948497854076)</f>
        <v>0.147639485</v>
      </c>
      <c r="H1678" s="5">
        <f>IFERROR(__xludf.DUMMYFUNCTION("""COMPUTED_VALUE"""),0.6041666666666666)</f>
        <v>0.6041666667</v>
      </c>
      <c r="I1678" s="11">
        <f>IFERROR(__xludf.DUMMYFUNCTION("""COMPUTED_VALUE"""),5555.416666666667)</f>
        <v>5555.416667</v>
      </c>
      <c r="J1678" s="10">
        <f>IFERROR(__xludf.DUMMYFUNCTION("""COMPUTED_VALUE"""),0.0)</f>
        <v>0</v>
      </c>
      <c r="K1678" s="5">
        <f>IFERROR(__xludf.DUMMYFUNCTION("""COMPUTED_VALUE"""),0.0)</f>
        <v>0</v>
      </c>
      <c r="L1678" s="10">
        <f>IFERROR(__xludf.DUMMYFUNCTION("""COMPUTED_VALUE"""),110.0)</f>
        <v>110</v>
      </c>
      <c r="M1678" s="5">
        <f>IFERROR(__xludf.DUMMYFUNCTION("""COMPUTED_VALUE"""),0.990990990990991)</f>
        <v>0.990990991</v>
      </c>
    </row>
    <row r="1679">
      <c r="A1679" s="10" t="str">
        <f>IFERROR(__xludf.DUMMYFUNCTION("""COMPUTED_VALUE"""),"のんびりくん")</f>
        <v>のんびりくん</v>
      </c>
      <c r="B1679" s="10">
        <f>IFERROR(__xludf.DUMMYFUNCTION("""COMPUTED_VALUE"""),434.0)</f>
        <v>434</v>
      </c>
      <c r="C1679" s="10">
        <f>IFERROR(__xludf.DUMMYFUNCTION("""COMPUTED_VALUE"""),5109.0)</f>
        <v>5109</v>
      </c>
      <c r="D1679" s="5">
        <f>IFERROR(__xludf.DUMMYFUNCTION("""COMPUTED_VALUE"""),0.3274866310160428)</f>
        <v>0.327486631</v>
      </c>
      <c r="E1679" s="5">
        <f>IFERROR(__xludf.DUMMYFUNCTION("""COMPUTED_VALUE"""),0.13475935828877006)</f>
        <v>0.1347593583</v>
      </c>
      <c r="F1679" s="5">
        <f>IFERROR(__xludf.DUMMYFUNCTION("""COMPUTED_VALUE"""),0.21026737967914438)</f>
        <v>0.2102673797</v>
      </c>
      <c r="G1679" s="5">
        <f>IFERROR(__xludf.DUMMYFUNCTION("""COMPUTED_VALUE"""),0.19080213903743315)</f>
        <v>0.190802139</v>
      </c>
      <c r="H1679" s="5">
        <f>IFERROR(__xludf.DUMMYFUNCTION("""COMPUTED_VALUE"""),0.5930824008138352)</f>
        <v>0.5930824008</v>
      </c>
      <c r="I1679" s="11">
        <f>IFERROR(__xludf.DUMMYFUNCTION("""COMPUTED_VALUE"""),5773.957273652086)</f>
        <v>5773.957274</v>
      </c>
      <c r="J1679" s="10">
        <f>IFERROR(__xludf.DUMMYFUNCTION("""COMPUTED_VALUE"""),2.0)</f>
        <v>2</v>
      </c>
      <c r="K1679" s="5">
        <f>IFERROR(__xludf.DUMMYFUNCTION("""COMPUTED_VALUE"""),0.004608294930875576)</f>
        <v>0.004608294931</v>
      </c>
      <c r="L1679" s="10">
        <f>IFERROR(__xludf.DUMMYFUNCTION("""COMPUTED_VALUE"""),434.0)</f>
        <v>434</v>
      </c>
      <c r="M1679" s="5">
        <f>IFERROR(__xludf.DUMMYFUNCTION("""COMPUTED_VALUE"""),1.0)</f>
        <v>1</v>
      </c>
    </row>
    <row r="1680">
      <c r="A1680" s="10" t="str">
        <f>IFERROR(__xludf.DUMMYFUNCTION("""COMPUTED_VALUE"""),"FURUYA")</f>
        <v>FURUYA</v>
      </c>
      <c r="B1680" s="10">
        <f>IFERROR(__xludf.DUMMYFUNCTION("""COMPUTED_VALUE"""),195.0)</f>
        <v>195</v>
      </c>
      <c r="C1680" s="10">
        <f>IFERROR(__xludf.DUMMYFUNCTION("""COMPUTED_VALUE"""),2258.0)</f>
        <v>2258</v>
      </c>
      <c r="D1680" s="5">
        <f>IFERROR(__xludf.DUMMYFUNCTION("""COMPUTED_VALUE"""),0.3422200678623364)</f>
        <v>0.3422200679</v>
      </c>
      <c r="E1680" s="5">
        <f>IFERROR(__xludf.DUMMYFUNCTION("""COMPUTED_VALUE"""),0.13475521085797382)</f>
        <v>0.1347552109</v>
      </c>
      <c r="F1680" s="5">
        <f>IFERROR(__xludf.DUMMYFUNCTION("""COMPUTED_VALUE"""),0.1919534658264663)</f>
        <v>0.1919534658</v>
      </c>
      <c r="G1680" s="5">
        <f>IFERROR(__xludf.DUMMYFUNCTION("""COMPUTED_VALUE"""),0.17498788172564228)</f>
        <v>0.1749878817</v>
      </c>
      <c r="H1680" s="5">
        <f>IFERROR(__xludf.DUMMYFUNCTION("""COMPUTED_VALUE"""),0.5883838383838383)</f>
        <v>0.5883838384</v>
      </c>
      <c r="I1680" s="11">
        <f>IFERROR(__xludf.DUMMYFUNCTION("""COMPUTED_VALUE"""),6484.343434343435)</f>
        <v>6484.343434</v>
      </c>
      <c r="J1680" s="10">
        <f>IFERROR(__xludf.DUMMYFUNCTION("""COMPUTED_VALUE"""),0.0)</f>
        <v>0</v>
      </c>
      <c r="K1680" s="5">
        <f>IFERROR(__xludf.DUMMYFUNCTION("""COMPUTED_VALUE"""),0.0)</f>
        <v>0</v>
      </c>
      <c r="L1680" s="10">
        <f>IFERROR(__xludf.DUMMYFUNCTION("""COMPUTED_VALUE"""),195.0)</f>
        <v>195</v>
      </c>
      <c r="M1680" s="5">
        <f>IFERROR(__xludf.DUMMYFUNCTION("""COMPUTED_VALUE"""),1.0)</f>
        <v>1</v>
      </c>
    </row>
    <row r="1681">
      <c r="A1681" s="10" t="str">
        <f>IFERROR(__xludf.DUMMYFUNCTION("""COMPUTED_VALUE"""),"あさひあさこ")</f>
        <v>あさひあさこ</v>
      </c>
      <c r="B1681" s="10">
        <f>IFERROR(__xludf.DUMMYFUNCTION("""COMPUTED_VALUE"""),891.0)</f>
        <v>891</v>
      </c>
      <c r="C1681" s="10">
        <f>IFERROR(__xludf.DUMMYFUNCTION("""COMPUTED_VALUE"""),10420.0)</f>
        <v>10420</v>
      </c>
      <c r="D1681" s="5">
        <f>IFERROR(__xludf.DUMMYFUNCTION("""COMPUTED_VALUE"""),0.31829153111554204)</f>
        <v>0.3182915311</v>
      </c>
      <c r="E1681" s="5">
        <f>IFERROR(__xludf.DUMMYFUNCTION("""COMPUTED_VALUE"""),0.1347465631230979)</f>
        <v>0.1347465631</v>
      </c>
      <c r="F1681" s="5">
        <f>IFERROR(__xludf.DUMMYFUNCTION("""COMPUTED_VALUE"""),0.21576240948682968)</f>
        <v>0.2157624095</v>
      </c>
      <c r="G1681" s="5">
        <f>IFERROR(__xludf.DUMMYFUNCTION("""COMPUTED_VALUE"""),0.17105677405813832)</f>
        <v>0.1710567741</v>
      </c>
      <c r="H1681" s="5">
        <f>IFERROR(__xludf.DUMMYFUNCTION("""COMPUTED_VALUE"""),0.5914396887159533)</f>
        <v>0.5914396887</v>
      </c>
      <c r="I1681" s="11">
        <f>IFERROR(__xludf.DUMMYFUNCTION("""COMPUTED_VALUE"""),5695.3793774319065)</f>
        <v>5695.379377</v>
      </c>
      <c r="J1681" s="10">
        <f>IFERROR(__xludf.DUMMYFUNCTION("""COMPUTED_VALUE"""),3.0)</f>
        <v>3</v>
      </c>
      <c r="K1681" s="5">
        <f>IFERROR(__xludf.DUMMYFUNCTION("""COMPUTED_VALUE"""),0.003367003367003367)</f>
        <v>0.003367003367</v>
      </c>
      <c r="L1681" s="10">
        <f>IFERROR(__xludf.DUMMYFUNCTION("""COMPUTED_VALUE"""),891.0)</f>
        <v>891</v>
      </c>
      <c r="M1681" s="5">
        <f>IFERROR(__xludf.DUMMYFUNCTION("""COMPUTED_VALUE"""),1.0)</f>
        <v>1</v>
      </c>
    </row>
    <row r="1682">
      <c r="A1682" s="10" t="str">
        <f>IFERROR(__xludf.DUMMYFUNCTION("""COMPUTED_VALUE"""),"ゴンゾメス大内")</f>
        <v>ゴンゾメス大内</v>
      </c>
      <c r="B1682" s="10">
        <f>IFERROR(__xludf.DUMMYFUNCTION("""COMPUTED_VALUE"""),288.0)</f>
        <v>288</v>
      </c>
      <c r="C1682" s="10">
        <f>IFERROR(__xludf.DUMMYFUNCTION("""COMPUTED_VALUE"""),3413.0)</f>
        <v>3413</v>
      </c>
      <c r="D1682" s="5">
        <f>IFERROR(__xludf.DUMMYFUNCTION("""COMPUTED_VALUE"""),0.44832)</f>
        <v>0.44832</v>
      </c>
      <c r="E1682" s="5">
        <f>IFERROR(__xludf.DUMMYFUNCTION("""COMPUTED_VALUE"""),0.13472)</f>
        <v>0.13472</v>
      </c>
      <c r="F1682" s="5">
        <f>IFERROR(__xludf.DUMMYFUNCTION("""COMPUTED_VALUE"""),0.20128)</f>
        <v>0.20128</v>
      </c>
      <c r="G1682" s="5">
        <f>IFERROR(__xludf.DUMMYFUNCTION("""COMPUTED_VALUE"""),0.14464)</f>
        <v>0.14464</v>
      </c>
      <c r="H1682" s="5">
        <f>IFERROR(__xludf.DUMMYFUNCTION("""COMPUTED_VALUE"""),0.5675675675675675)</f>
        <v>0.5675675676</v>
      </c>
      <c r="I1682" s="11">
        <f>IFERROR(__xludf.DUMMYFUNCTION("""COMPUTED_VALUE"""),5449.2845786963435)</f>
        <v>5449.284579</v>
      </c>
      <c r="J1682" s="10">
        <f>IFERROR(__xludf.DUMMYFUNCTION("""COMPUTED_VALUE"""),0.0)</f>
        <v>0</v>
      </c>
      <c r="K1682" s="5">
        <f>IFERROR(__xludf.DUMMYFUNCTION("""COMPUTED_VALUE"""),0.0)</f>
        <v>0</v>
      </c>
      <c r="L1682" s="10">
        <f>IFERROR(__xludf.DUMMYFUNCTION("""COMPUTED_VALUE"""),288.0)</f>
        <v>288</v>
      </c>
      <c r="M1682" s="5">
        <f>IFERROR(__xludf.DUMMYFUNCTION("""COMPUTED_VALUE"""),1.0)</f>
        <v>1</v>
      </c>
    </row>
    <row r="1683">
      <c r="A1683" s="10" t="str">
        <f>IFERROR(__xludf.DUMMYFUNCTION("""COMPUTED_VALUE"""),"A石橋")</f>
        <v>A石橋</v>
      </c>
      <c r="B1683" s="10">
        <f>IFERROR(__xludf.DUMMYFUNCTION("""COMPUTED_VALUE"""),731.0)</f>
        <v>731</v>
      </c>
      <c r="C1683" s="10">
        <f>IFERROR(__xludf.DUMMYFUNCTION("""COMPUTED_VALUE"""),8592.0)</f>
        <v>8592</v>
      </c>
      <c r="D1683" s="5">
        <f>IFERROR(__xludf.DUMMYFUNCTION("""COMPUTED_VALUE"""),0.40948988678285203)</f>
        <v>0.4094898868</v>
      </c>
      <c r="E1683" s="5">
        <f>IFERROR(__xludf.DUMMYFUNCTION("""COMPUTED_VALUE"""),0.1347156850273502)</f>
        <v>0.134715685</v>
      </c>
      <c r="F1683" s="5">
        <f>IFERROR(__xludf.DUMMYFUNCTION("""COMPUTED_VALUE"""),0.2200737819615825)</f>
        <v>0.220073782</v>
      </c>
      <c r="G1683" s="5">
        <f>IFERROR(__xludf.DUMMYFUNCTION("""COMPUTED_VALUE"""),0.14794555400076326)</f>
        <v>0.147945554</v>
      </c>
      <c r="H1683" s="5">
        <f>IFERROR(__xludf.DUMMYFUNCTION("""COMPUTED_VALUE"""),0.6167630057803468)</f>
        <v>0.6167630058</v>
      </c>
      <c r="I1683" s="11">
        <f>IFERROR(__xludf.DUMMYFUNCTION("""COMPUTED_VALUE"""),5336.64739884393)</f>
        <v>5336.647399</v>
      </c>
      <c r="J1683" s="10">
        <f>IFERROR(__xludf.DUMMYFUNCTION("""COMPUTED_VALUE"""),2.0)</f>
        <v>2</v>
      </c>
      <c r="K1683" s="5">
        <f>IFERROR(__xludf.DUMMYFUNCTION("""COMPUTED_VALUE"""),0.0027359781121751026)</f>
        <v>0.002735978112</v>
      </c>
      <c r="L1683" s="10">
        <f>IFERROR(__xludf.DUMMYFUNCTION("""COMPUTED_VALUE"""),731.0)</f>
        <v>731</v>
      </c>
      <c r="M1683" s="5">
        <f>IFERROR(__xludf.DUMMYFUNCTION("""COMPUTED_VALUE"""),1.0)</f>
        <v>1</v>
      </c>
    </row>
    <row r="1684">
      <c r="A1684" s="10" t="str">
        <f>IFERROR(__xludf.DUMMYFUNCTION("""COMPUTED_VALUE"""),"ステッリカー")</f>
        <v>ステッリカー</v>
      </c>
      <c r="B1684" s="10">
        <f>IFERROR(__xludf.DUMMYFUNCTION("""COMPUTED_VALUE"""),798.0)</f>
        <v>798</v>
      </c>
      <c r="C1684" s="10">
        <f>IFERROR(__xludf.DUMMYFUNCTION("""COMPUTED_VALUE"""),9151.0)</f>
        <v>9151</v>
      </c>
      <c r="D1684" s="5">
        <f>IFERROR(__xludf.DUMMYFUNCTION("""COMPUTED_VALUE"""),0.4197294385250808)</f>
        <v>0.4197294385</v>
      </c>
      <c r="E1684" s="5">
        <f>IFERROR(__xludf.DUMMYFUNCTION("""COMPUTED_VALUE"""),0.13468215012570334)</f>
        <v>0.1346821501</v>
      </c>
      <c r="F1684" s="5">
        <f>IFERROR(__xludf.DUMMYFUNCTION("""COMPUTED_VALUE"""),0.21429426553334133)</f>
        <v>0.2142942655</v>
      </c>
      <c r="G1684" s="5">
        <f>IFERROR(__xludf.DUMMYFUNCTION("""COMPUTED_VALUE"""),0.15036513827367412)</f>
        <v>0.1503651383</v>
      </c>
      <c r="H1684" s="5">
        <f>IFERROR(__xludf.DUMMYFUNCTION("""COMPUTED_VALUE"""),0.6072625698324022)</f>
        <v>0.6072625698</v>
      </c>
      <c r="I1684" s="11">
        <f>IFERROR(__xludf.DUMMYFUNCTION("""COMPUTED_VALUE"""),5637.932960893855)</f>
        <v>5637.932961</v>
      </c>
      <c r="J1684" s="10">
        <f>IFERROR(__xludf.DUMMYFUNCTION("""COMPUTED_VALUE"""),2.0)</f>
        <v>2</v>
      </c>
      <c r="K1684" s="5">
        <f>IFERROR(__xludf.DUMMYFUNCTION("""COMPUTED_VALUE"""),0.002506265664160401)</f>
        <v>0.002506265664</v>
      </c>
      <c r="L1684" s="10">
        <f>IFERROR(__xludf.DUMMYFUNCTION("""COMPUTED_VALUE"""),798.0)</f>
        <v>798</v>
      </c>
      <c r="M1684" s="5">
        <f>IFERROR(__xludf.DUMMYFUNCTION("""COMPUTED_VALUE"""),1.0)</f>
        <v>1</v>
      </c>
    </row>
    <row r="1685">
      <c r="A1685" s="10" t="str">
        <f>IFERROR(__xludf.DUMMYFUNCTION("""COMPUTED_VALUE"""),"ち'んぽっぽ")</f>
        <v>ち'んぽっぽ</v>
      </c>
      <c r="B1685" s="10">
        <f>IFERROR(__xludf.DUMMYFUNCTION("""COMPUTED_VALUE"""),391.0)</f>
        <v>391</v>
      </c>
      <c r="C1685" s="10">
        <f>IFERROR(__xludf.DUMMYFUNCTION("""COMPUTED_VALUE"""),4475.0)</f>
        <v>4475</v>
      </c>
      <c r="D1685" s="5">
        <f>IFERROR(__xludf.DUMMYFUNCTION("""COMPUTED_VALUE"""),0.31047992164544563)</f>
        <v>0.3104799216</v>
      </c>
      <c r="E1685" s="5">
        <f>IFERROR(__xludf.DUMMYFUNCTION("""COMPUTED_VALUE"""),0.1346718903036239)</f>
        <v>0.1346718903</v>
      </c>
      <c r="F1685" s="5">
        <f>IFERROR(__xludf.DUMMYFUNCTION("""COMPUTED_VALUE"""),0.21865817825661116)</f>
        <v>0.2186581783</v>
      </c>
      <c r="G1685" s="5">
        <f>IFERROR(__xludf.DUMMYFUNCTION("""COMPUTED_VALUE"""),0.17238001958863858)</f>
        <v>0.1723800196</v>
      </c>
      <c r="H1685" s="5">
        <f>IFERROR(__xludf.DUMMYFUNCTION("""COMPUTED_VALUE"""),0.6002239641657335)</f>
        <v>0.6002239642</v>
      </c>
      <c r="I1685" s="11">
        <f>IFERROR(__xludf.DUMMYFUNCTION("""COMPUTED_VALUE"""),5799.216125419933)</f>
        <v>5799.216125</v>
      </c>
      <c r="J1685" s="10">
        <f>IFERROR(__xludf.DUMMYFUNCTION("""COMPUTED_VALUE"""),0.0)</f>
        <v>0</v>
      </c>
      <c r="K1685" s="5">
        <f>IFERROR(__xludf.DUMMYFUNCTION("""COMPUTED_VALUE"""),0.0)</f>
        <v>0</v>
      </c>
      <c r="L1685" s="10">
        <f>IFERROR(__xludf.DUMMYFUNCTION("""COMPUTED_VALUE"""),348.0)</f>
        <v>348</v>
      </c>
      <c r="M1685" s="5">
        <f>IFERROR(__xludf.DUMMYFUNCTION("""COMPUTED_VALUE"""),0.8900255754475703)</f>
        <v>0.8900255754</v>
      </c>
    </row>
    <row r="1686">
      <c r="A1686" s="10" t="str">
        <f>IFERROR(__xludf.DUMMYFUNCTION("""COMPUTED_VALUE"""),"(ま＾ω＾㌔)ん")</f>
        <v>(ま＾ω＾㌔)ん</v>
      </c>
      <c r="B1686" s="10">
        <f>IFERROR(__xludf.DUMMYFUNCTION("""COMPUTED_VALUE"""),110.0)</f>
        <v>110</v>
      </c>
      <c r="C1686" s="10">
        <f>IFERROR(__xludf.DUMMYFUNCTION("""COMPUTED_VALUE"""),1313.0)</f>
        <v>1313</v>
      </c>
      <c r="D1686" s="5">
        <f>IFERROR(__xludf.DUMMYFUNCTION("""COMPUTED_VALUE"""),0.31504571903574397)</f>
        <v>0.315045719</v>
      </c>
      <c r="E1686" s="5">
        <f>IFERROR(__xludf.DUMMYFUNCTION("""COMPUTED_VALUE"""),0.13466334164588528)</f>
        <v>0.1346633416</v>
      </c>
      <c r="F1686" s="5">
        <f>IFERROR(__xludf.DUMMYFUNCTION("""COMPUTED_VALUE"""),0.1970074812967581)</f>
        <v>0.1970074813</v>
      </c>
      <c r="G1686" s="5">
        <f>IFERROR(__xludf.DUMMYFUNCTION("""COMPUTED_VALUE"""),0.16209476309226933)</f>
        <v>0.1620947631</v>
      </c>
      <c r="H1686" s="5">
        <f>IFERROR(__xludf.DUMMYFUNCTION("""COMPUTED_VALUE"""),0.6244725738396625)</f>
        <v>0.6244725738</v>
      </c>
      <c r="I1686" s="11">
        <f>IFERROR(__xludf.DUMMYFUNCTION("""COMPUTED_VALUE"""),5497.046413502109)</f>
        <v>5497.046414</v>
      </c>
      <c r="J1686" s="10">
        <f>IFERROR(__xludf.DUMMYFUNCTION("""COMPUTED_VALUE"""),0.0)</f>
        <v>0</v>
      </c>
      <c r="K1686" s="5">
        <f>IFERROR(__xludf.DUMMYFUNCTION("""COMPUTED_VALUE"""),0.0)</f>
        <v>0</v>
      </c>
      <c r="L1686" s="10">
        <f>IFERROR(__xludf.DUMMYFUNCTION("""COMPUTED_VALUE"""),0.0)</f>
        <v>0</v>
      </c>
      <c r="M1686" s="5">
        <f>IFERROR(__xludf.DUMMYFUNCTION("""COMPUTED_VALUE"""),0.0)</f>
        <v>0</v>
      </c>
    </row>
    <row r="1687">
      <c r="A1687" s="10" t="str">
        <f>IFERROR(__xludf.DUMMYFUNCTION("""COMPUTED_VALUE"""),"牌の音色")</f>
        <v>牌の音色</v>
      </c>
      <c r="B1687" s="10">
        <f>IFERROR(__xludf.DUMMYFUNCTION("""COMPUTED_VALUE"""),750.0)</f>
        <v>750</v>
      </c>
      <c r="C1687" s="10">
        <f>IFERROR(__xludf.DUMMYFUNCTION("""COMPUTED_VALUE"""),8822.0)</f>
        <v>8822</v>
      </c>
      <c r="D1687" s="5">
        <f>IFERROR(__xludf.DUMMYFUNCTION("""COMPUTED_VALUE"""),0.39779484638255697)</f>
        <v>0.3977948464</v>
      </c>
      <c r="E1687" s="5">
        <f>IFERROR(__xludf.DUMMYFUNCTION("""COMPUTED_VALUE"""),0.13466303270564917)</f>
        <v>0.1346630327</v>
      </c>
      <c r="F1687" s="5">
        <f>IFERROR(__xludf.DUMMYFUNCTION("""COMPUTED_VALUE"""),0.20713577799801783)</f>
        <v>0.207135778</v>
      </c>
      <c r="G1687" s="5">
        <f>IFERROR(__xludf.DUMMYFUNCTION("""COMPUTED_VALUE"""),0.135406342913776)</f>
        <v>0.1354063429</v>
      </c>
      <c r="H1687" s="5">
        <f>IFERROR(__xludf.DUMMYFUNCTION("""COMPUTED_VALUE"""),0.618421052631579)</f>
        <v>0.6184210526</v>
      </c>
      <c r="I1687" s="11">
        <f>IFERROR(__xludf.DUMMYFUNCTION("""COMPUTED_VALUE"""),5658.492822966507)</f>
        <v>5658.492823</v>
      </c>
      <c r="J1687" s="10">
        <f>IFERROR(__xludf.DUMMYFUNCTION("""COMPUTED_VALUE"""),1.0)</f>
        <v>1</v>
      </c>
      <c r="K1687" s="5">
        <f>IFERROR(__xludf.DUMMYFUNCTION("""COMPUTED_VALUE"""),0.0013333333333333333)</f>
        <v>0.001333333333</v>
      </c>
      <c r="L1687" s="10">
        <f>IFERROR(__xludf.DUMMYFUNCTION("""COMPUTED_VALUE"""),750.0)</f>
        <v>750</v>
      </c>
      <c r="M1687" s="5">
        <f>IFERROR(__xludf.DUMMYFUNCTION("""COMPUTED_VALUE"""),1.0)</f>
        <v>1</v>
      </c>
    </row>
    <row r="1688">
      <c r="A1688" s="10" t="str">
        <f>IFERROR(__xludf.DUMMYFUNCTION("""COMPUTED_VALUE"""),"naga")</f>
        <v>naga</v>
      </c>
      <c r="B1688" s="10">
        <f>IFERROR(__xludf.DUMMYFUNCTION("""COMPUTED_VALUE"""),415.0)</f>
        <v>415</v>
      </c>
      <c r="C1688" s="10">
        <f>IFERROR(__xludf.DUMMYFUNCTION("""COMPUTED_VALUE"""),4960.0)</f>
        <v>4960</v>
      </c>
      <c r="D1688" s="5">
        <f>IFERROR(__xludf.DUMMYFUNCTION("""COMPUTED_VALUE"""),0.3570957095709571)</f>
        <v>0.3570957096</v>
      </c>
      <c r="E1688" s="5">
        <f>IFERROR(__xludf.DUMMYFUNCTION("""COMPUTED_VALUE"""),0.13465346534653466)</f>
        <v>0.1346534653</v>
      </c>
      <c r="F1688" s="5">
        <f>IFERROR(__xludf.DUMMYFUNCTION("""COMPUTED_VALUE"""),0.2068206820682068)</f>
        <v>0.2068206821</v>
      </c>
      <c r="G1688" s="5">
        <f>IFERROR(__xludf.DUMMYFUNCTION("""COMPUTED_VALUE"""),0.17271727172717272)</f>
        <v>0.1727172717</v>
      </c>
      <c r="H1688" s="5">
        <f>IFERROR(__xludf.DUMMYFUNCTION("""COMPUTED_VALUE"""),0.5829787234042553)</f>
        <v>0.5829787234</v>
      </c>
      <c r="I1688" s="11">
        <f>IFERROR(__xludf.DUMMYFUNCTION("""COMPUTED_VALUE"""),5677.553191489362)</f>
        <v>5677.553191</v>
      </c>
      <c r="J1688" s="10">
        <f>IFERROR(__xludf.DUMMYFUNCTION("""COMPUTED_VALUE"""),2.0)</f>
        <v>2</v>
      </c>
      <c r="K1688" s="5">
        <f>IFERROR(__xludf.DUMMYFUNCTION("""COMPUTED_VALUE"""),0.004819277108433735)</f>
        <v>0.004819277108</v>
      </c>
      <c r="L1688" s="10">
        <f>IFERROR(__xludf.DUMMYFUNCTION("""COMPUTED_VALUE"""),415.0)</f>
        <v>415</v>
      </c>
      <c r="M1688" s="5">
        <f>IFERROR(__xludf.DUMMYFUNCTION("""COMPUTED_VALUE"""),1.0)</f>
        <v>1</v>
      </c>
    </row>
    <row r="1689">
      <c r="A1689" s="10" t="str">
        <f>IFERROR(__xludf.DUMMYFUNCTION("""COMPUTED_VALUE"""),"魔射蹴")</f>
        <v>魔射蹴</v>
      </c>
      <c r="B1689" s="10">
        <f>IFERROR(__xludf.DUMMYFUNCTION("""COMPUTED_VALUE"""),364.0)</f>
        <v>364</v>
      </c>
      <c r="C1689" s="10">
        <f>IFERROR(__xludf.DUMMYFUNCTION("""COMPUTED_VALUE"""),4330.0)</f>
        <v>4330</v>
      </c>
      <c r="D1689" s="5">
        <f>IFERROR(__xludf.DUMMYFUNCTION("""COMPUTED_VALUE"""),0.33484619263741805)</f>
        <v>0.3348461926</v>
      </c>
      <c r="E1689" s="5">
        <f>IFERROR(__xludf.DUMMYFUNCTION("""COMPUTED_VALUE"""),0.1346444780635401)</f>
        <v>0.1346444781</v>
      </c>
      <c r="F1689" s="5">
        <f>IFERROR(__xludf.DUMMYFUNCTION("""COMPUTED_VALUE"""),0.22339889056984366)</f>
        <v>0.2233988906</v>
      </c>
      <c r="G1689" s="5">
        <f>IFERROR(__xludf.DUMMYFUNCTION("""COMPUTED_VALUE"""),0.17044881492687847)</f>
        <v>0.1704488149</v>
      </c>
      <c r="H1689" s="5">
        <f>IFERROR(__xludf.DUMMYFUNCTION("""COMPUTED_VALUE"""),0.6038374717832957)</f>
        <v>0.6038374718</v>
      </c>
      <c r="I1689" s="11">
        <f>IFERROR(__xludf.DUMMYFUNCTION("""COMPUTED_VALUE"""),5271.218961625282)</f>
        <v>5271.218962</v>
      </c>
      <c r="J1689" s="10">
        <f>IFERROR(__xludf.DUMMYFUNCTION("""COMPUTED_VALUE"""),1.0)</f>
        <v>1</v>
      </c>
      <c r="K1689" s="5">
        <f>IFERROR(__xludf.DUMMYFUNCTION("""COMPUTED_VALUE"""),0.0027472527472527475)</f>
        <v>0.002747252747</v>
      </c>
      <c r="L1689" s="10">
        <f>IFERROR(__xludf.DUMMYFUNCTION("""COMPUTED_VALUE"""),364.0)</f>
        <v>364</v>
      </c>
      <c r="M1689" s="5">
        <f>IFERROR(__xludf.DUMMYFUNCTION("""COMPUTED_VALUE"""),1.0)</f>
        <v>1</v>
      </c>
    </row>
    <row r="1690">
      <c r="A1690" s="10" t="str">
        <f>IFERROR(__xludf.DUMMYFUNCTION("""COMPUTED_VALUE"""),"束子")</f>
        <v>束子</v>
      </c>
      <c r="B1690" s="10">
        <f>IFERROR(__xludf.DUMMYFUNCTION("""COMPUTED_VALUE"""),795.0)</f>
        <v>795</v>
      </c>
      <c r="C1690" s="10">
        <f>IFERROR(__xludf.DUMMYFUNCTION("""COMPUTED_VALUE"""),9381.0)</f>
        <v>9381</v>
      </c>
      <c r="D1690" s="5">
        <f>IFERROR(__xludf.DUMMYFUNCTION("""COMPUTED_VALUE"""),0.39156766829722806)</f>
        <v>0.3915676683</v>
      </c>
      <c r="E1690" s="5">
        <f>IFERROR(__xludf.DUMMYFUNCTION("""COMPUTED_VALUE"""),0.13463778243652458)</f>
        <v>0.1346377824</v>
      </c>
      <c r="F1690" s="5">
        <f>IFERROR(__xludf.DUMMYFUNCTION("""COMPUTED_VALUE"""),0.20778010715117634)</f>
        <v>0.2077801072</v>
      </c>
      <c r="G1690" s="5">
        <f>IFERROR(__xludf.DUMMYFUNCTION("""COMPUTED_VALUE"""),0.1639878872583275)</f>
        <v>0.1639878873</v>
      </c>
      <c r="H1690" s="5">
        <f>IFERROR(__xludf.DUMMYFUNCTION("""COMPUTED_VALUE"""),0.5964125560538116)</f>
        <v>0.5964125561</v>
      </c>
      <c r="I1690" s="11">
        <f>IFERROR(__xludf.DUMMYFUNCTION("""COMPUTED_VALUE"""),5654.7085201793725)</f>
        <v>5654.70852</v>
      </c>
      <c r="J1690" s="10">
        <f>IFERROR(__xludf.DUMMYFUNCTION("""COMPUTED_VALUE"""),2.0)</f>
        <v>2</v>
      </c>
      <c r="K1690" s="5">
        <f>IFERROR(__xludf.DUMMYFUNCTION("""COMPUTED_VALUE"""),0.0025157232704402514)</f>
        <v>0.00251572327</v>
      </c>
      <c r="L1690" s="10">
        <f>IFERROR(__xludf.DUMMYFUNCTION("""COMPUTED_VALUE"""),795.0)</f>
        <v>795</v>
      </c>
      <c r="M1690" s="5">
        <f>IFERROR(__xludf.DUMMYFUNCTION("""COMPUTED_VALUE"""),1.0)</f>
        <v>1</v>
      </c>
    </row>
    <row r="1691">
      <c r="A1691" s="10" t="str">
        <f>IFERROR(__xludf.DUMMYFUNCTION("""COMPUTED_VALUE"""),"＠若林")</f>
        <v>＠若林</v>
      </c>
      <c r="B1691" s="10">
        <f>IFERROR(__xludf.DUMMYFUNCTION("""COMPUTED_VALUE"""),241.0)</f>
        <v>241</v>
      </c>
      <c r="C1691" s="10">
        <f>IFERROR(__xludf.DUMMYFUNCTION("""COMPUTED_VALUE"""),2848.0)</f>
        <v>2848</v>
      </c>
      <c r="D1691" s="5">
        <f>IFERROR(__xludf.DUMMYFUNCTION("""COMPUTED_VALUE"""),0.3720751822017645)</f>
        <v>0.3720751822</v>
      </c>
      <c r="E1691" s="5">
        <f>IFERROR(__xludf.DUMMYFUNCTION("""COMPUTED_VALUE"""),0.13463751438434982)</f>
        <v>0.1346375144</v>
      </c>
      <c r="F1691" s="5">
        <f>IFERROR(__xludf.DUMMYFUNCTION("""COMPUTED_VALUE"""),0.21212121212121213)</f>
        <v>0.2121212121</v>
      </c>
      <c r="G1691" s="5">
        <f>IFERROR(__xludf.DUMMYFUNCTION("""COMPUTED_VALUE"""),0.17874952052167242)</f>
        <v>0.1787495205</v>
      </c>
      <c r="H1691" s="5">
        <f>IFERROR(__xludf.DUMMYFUNCTION("""COMPUTED_VALUE"""),0.620253164556962)</f>
        <v>0.6202531646</v>
      </c>
      <c r="I1691" s="11">
        <f>IFERROR(__xludf.DUMMYFUNCTION("""COMPUTED_VALUE"""),5274.502712477396)</f>
        <v>5274.502712</v>
      </c>
      <c r="J1691" s="10">
        <f>IFERROR(__xludf.DUMMYFUNCTION("""COMPUTED_VALUE"""),0.0)</f>
        <v>0</v>
      </c>
      <c r="K1691" s="5">
        <f>IFERROR(__xludf.DUMMYFUNCTION("""COMPUTED_VALUE"""),0.0)</f>
        <v>0</v>
      </c>
      <c r="L1691" s="10">
        <f>IFERROR(__xludf.DUMMYFUNCTION("""COMPUTED_VALUE"""),241.0)</f>
        <v>241</v>
      </c>
      <c r="M1691" s="5">
        <f>IFERROR(__xludf.DUMMYFUNCTION("""COMPUTED_VALUE"""),1.0)</f>
        <v>1</v>
      </c>
    </row>
    <row r="1692">
      <c r="A1692" s="10" t="str">
        <f>IFERROR(__xludf.DUMMYFUNCTION("""COMPUTED_VALUE"""),"バロテッリ")</f>
        <v>バロテッリ</v>
      </c>
      <c r="B1692" s="10">
        <f>IFERROR(__xludf.DUMMYFUNCTION("""COMPUTED_VALUE"""),255.0)</f>
        <v>255</v>
      </c>
      <c r="C1692" s="10">
        <f>IFERROR(__xludf.DUMMYFUNCTION("""COMPUTED_VALUE"""),3018.0)</f>
        <v>3018</v>
      </c>
      <c r="D1692" s="5">
        <f>IFERROR(__xludf.DUMMYFUNCTION("""COMPUTED_VALUE"""),0.3803836409699602)</f>
        <v>0.380383641</v>
      </c>
      <c r="E1692" s="5">
        <f>IFERROR(__xludf.DUMMYFUNCTION("""COMPUTED_VALUE"""),0.13463626492942454)</f>
        <v>0.1346362649</v>
      </c>
      <c r="F1692" s="5">
        <f>IFERROR(__xludf.DUMMYFUNCTION("""COMPUTED_VALUE"""),0.21100253347810352)</f>
        <v>0.2110025335</v>
      </c>
      <c r="G1692" s="5">
        <f>IFERROR(__xludf.DUMMYFUNCTION("""COMPUTED_VALUE"""),0.15960912052117263)</f>
        <v>0.1596091205</v>
      </c>
      <c r="H1692" s="5">
        <f>IFERROR(__xludf.DUMMYFUNCTION("""COMPUTED_VALUE"""),0.5728987993138936)</f>
        <v>0.5728987993</v>
      </c>
      <c r="I1692" s="11">
        <f>IFERROR(__xludf.DUMMYFUNCTION("""COMPUTED_VALUE"""),5314.579759862779)</f>
        <v>5314.57976</v>
      </c>
      <c r="J1692" s="10">
        <f>IFERROR(__xludf.DUMMYFUNCTION("""COMPUTED_VALUE"""),1.0)</f>
        <v>1</v>
      </c>
      <c r="K1692" s="5">
        <f>IFERROR(__xludf.DUMMYFUNCTION("""COMPUTED_VALUE"""),0.00392156862745098)</f>
        <v>0.003921568627</v>
      </c>
      <c r="L1692" s="10">
        <f>IFERROR(__xludf.DUMMYFUNCTION("""COMPUTED_VALUE"""),255.0)</f>
        <v>255</v>
      </c>
      <c r="M1692" s="5">
        <f>IFERROR(__xludf.DUMMYFUNCTION("""COMPUTED_VALUE"""),1.0)</f>
        <v>1</v>
      </c>
    </row>
    <row r="1693">
      <c r="A1693" s="10" t="str">
        <f>IFERROR(__xludf.DUMMYFUNCTION("""COMPUTED_VALUE"""),"カラスの子")</f>
        <v>カラスの子</v>
      </c>
      <c r="B1693" s="10">
        <f>IFERROR(__xludf.DUMMYFUNCTION("""COMPUTED_VALUE"""),6242.0)</f>
        <v>6242</v>
      </c>
      <c r="C1693" s="10">
        <f>IFERROR(__xludf.DUMMYFUNCTION("""COMPUTED_VALUE"""),72864.0)</f>
        <v>72864</v>
      </c>
      <c r="D1693" s="5">
        <f>IFERROR(__xludf.DUMMYFUNCTION("""COMPUTED_VALUE"""),0.35551319383987273)</f>
        <v>0.3555131938</v>
      </c>
      <c r="E1693" s="5">
        <f>IFERROR(__xludf.DUMMYFUNCTION("""COMPUTED_VALUE"""),0.13462519888325178)</f>
        <v>0.1346251989</v>
      </c>
      <c r="F1693" s="5">
        <f>IFERROR(__xludf.DUMMYFUNCTION("""COMPUTED_VALUE"""),0.21453874095644082)</f>
        <v>0.214538741</v>
      </c>
      <c r="G1693" s="5">
        <f>IFERROR(__xludf.DUMMYFUNCTION("""COMPUTED_VALUE"""),0.16212362282729428)</f>
        <v>0.1621236228</v>
      </c>
      <c r="H1693" s="5">
        <f>IFERROR(__xludf.DUMMYFUNCTION("""COMPUTED_VALUE"""),0.5972853844539285)</f>
        <v>0.5972853845</v>
      </c>
      <c r="I1693" s="11">
        <f>IFERROR(__xludf.DUMMYFUNCTION("""COMPUTED_VALUE"""),5500.958511159309)</f>
        <v>5500.958511</v>
      </c>
      <c r="J1693" s="10">
        <f>IFERROR(__xludf.DUMMYFUNCTION("""COMPUTED_VALUE"""),10.0)</f>
        <v>10</v>
      </c>
      <c r="K1693" s="5">
        <f>IFERROR(__xludf.DUMMYFUNCTION("""COMPUTED_VALUE"""),0.0016020506247997437)</f>
        <v>0.001602050625</v>
      </c>
      <c r="L1693" s="10">
        <f>IFERROR(__xludf.DUMMYFUNCTION("""COMPUTED_VALUE"""),6224.0)</f>
        <v>6224</v>
      </c>
      <c r="M1693" s="5">
        <f>IFERROR(__xludf.DUMMYFUNCTION("""COMPUTED_VALUE"""),0.9971163088753605)</f>
        <v>0.9971163089</v>
      </c>
    </row>
    <row r="1694">
      <c r="A1694" s="10" t="str">
        <f>IFERROR(__xludf.DUMMYFUNCTION("""COMPUTED_VALUE"""),"sodor")</f>
        <v>sodor</v>
      </c>
      <c r="B1694" s="10">
        <f>IFERROR(__xludf.DUMMYFUNCTION("""COMPUTED_VALUE"""),406.0)</f>
        <v>406</v>
      </c>
      <c r="C1694" s="10">
        <f>IFERROR(__xludf.DUMMYFUNCTION("""COMPUTED_VALUE"""),4796.0)</f>
        <v>4796</v>
      </c>
      <c r="D1694" s="5">
        <f>IFERROR(__xludf.DUMMYFUNCTION("""COMPUTED_VALUE"""),0.3968109339407745)</f>
        <v>0.3968109339</v>
      </c>
      <c r="E1694" s="5">
        <f>IFERROR(__xludf.DUMMYFUNCTION("""COMPUTED_VALUE"""),0.134624145785877)</f>
        <v>0.1346241458</v>
      </c>
      <c r="F1694" s="5">
        <f>IFERROR(__xludf.DUMMYFUNCTION("""COMPUTED_VALUE"""),0.22323462414578588)</f>
        <v>0.2232346241</v>
      </c>
      <c r="G1694" s="5">
        <f>IFERROR(__xludf.DUMMYFUNCTION("""COMPUTED_VALUE"""),0.18018223234624145)</f>
        <v>0.1801822323</v>
      </c>
      <c r="H1694" s="5">
        <f>IFERROR(__xludf.DUMMYFUNCTION("""COMPUTED_VALUE"""),0.5908163265306122)</f>
        <v>0.5908163265</v>
      </c>
      <c r="I1694" s="11">
        <f>IFERROR(__xludf.DUMMYFUNCTION("""COMPUTED_VALUE"""),5509.081632653061)</f>
        <v>5509.081633</v>
      </c>
      <c r="J1694" s="10">
        <f>IFERROR(__xludf.DUMMYFUNCTION("""COMPUTED_VALUE"""),0.0)</f>
        <v>0</v>
      </c>
      <c r="K1694" s="5">
        <f>IFERROR(__xludf.DUMMYFUNCTION("""COMPUTED_VALUE"""),0.0)</f>
        <v>0</v>
      </c>
      <c r="L1694" s="10">
        <f>IFERROR(__xludf.DUMMYFUNCTION("""COMPUTED_VALUE"""),406.0)</f>
        <v>406</v>
      </c>
      <c r="M1694" s="5">
        <f>IFERROR(__xludf.DUMMYFUNCTION("""COMPUTED_VALUE"""),1.0)</f>
        <v>1</v>
      </c>
    </row>
    <row r="1695">
      <c r="A1695" s="10" t="str">
        <f>IFERROR(__xludf.DUMMYFUNCTION("""COMPUTED_VALUE"""),"触手ドリル")</f>
        <v>触手ドリル</v>
      </c>
      <c r="B1695" s="10">
        <f>IFERROR(__xludf.DUMMYFUNCTION("""COMPUTED_VALUE"""),254.0)</f>
        <v>254</v>
      </c>
      <c r="C1695" s="10">
        <f>IFERROR(__xludf.DUMMYFUNCTION("""COMPUTED_VALUE"""),2943.0)</f>
        <v>2943</v>
      </c>
      <c r="D1695" s="5">
        <f>IFERROR(__xludf.DUMMYFUNCTION("""COMPUTED_VALUE"""),0.37374488657493493)</f>
        <v>0.3737448866</v>
      </c>
      <c r="E1695" s="5">
        <f>IFERROR(__xludf.DUMMYFUNCTION("""COMPUTED_VALUE"""),0.13462253625883228)</f>
        <v>0.1346225363</v>
      </c>
      <c r="F1695" s="5">
        <f>IFERROR(__xludf.DUMMYFUNCTION("""COMPUTED_VALUE"""),0.19003346969133506)</f>
        <v>0.1900334697</v>
      </c>
      <c r="G1695" s="5">
        <f>IFERROR(__xludf.DUMMYFUNCTION("""COMPUTED_VALUE"""),0.16586091483822982)</f>
        <v>0.1658609148</v>
      </c>
      <c r="H1695" s="5">
        <f>IFERROR(__xludf.DUMMYFUNCTION("""COMPUTED_VALUE"""),0.5655577299412916)</f>
        <v>0.5655577299</v>
      </c>
      <c r="I1695" s="11">
        <f>IFERROR(__xludf.DUMMYFUNCTION("""COMPUTED_VALUE"""),5771.624266144814)</f>
        <v>5771.624266</v>
      </c>
      <c r="J1695" s="10">
        <f>IFERROR(__xludf.DUMMYFUNCTION("""COMPUTED_VALUE"""),0.0)</f>
        <v>0</v>
      </c>
      <c r="K1695" s="5">
        <f>IFERROR(__xludf.DUMMYFUNCTION("""COMPUTED_VALUE"""),0.0)</f>
        <v>0</v>
      </c>
      <c r="L1695" s="10">
        <f>IFERROR(__xludf.DUMMYFUNCTION("""COMPUTED_VALUE"""),254.0)</f>
        <v>254</v>
      </c>
      <c r="M1695" s="5">
        <f>IFERROR(__xludf.DUMMYFUNCTION("""COMPUTED_VALUE"""),1.0)</f>
        <v>1</v>
      </c>
    </row>
    <row r="1696">
      <c r="A1696" s="10" t="str">
        <f>IFERROR(__xludf.DUMMYFUNCTION("""COMPUTED_VALUE"""),"七ツ星ホクサイ")</f>
        <v>七ツ星ホクサイ</v>
      </c>
      <c r="B1696" s="10">
        <f>IFERROR(__xludf.DUMMYFUNCTION("""COMPUTED_VALUE"""),1573.0)</f>
        <v>1573</v>
      </c>
      <c r="C1696" s="10">
        <f>IFERROR(__xludf.DUMMYFUNCTION("""COMPUTED_VALUE"""),18116.0)</f>
        <v>18116</v>
      </c>
      <c r="D1696" s="5">
        <f>IFERROR(__xludf.DUMMYFUNCTION("""COMPUTED_VALUE"""),0.33180197062201533)</f>
        <v>0.3318019706</v>
      </c>
      <c r="E1696" s="5">
        <f>IFERROR(__xludf.DUMMYFUNCTION("""COMPUTED_VALUE"""),0.13461887203046605)</f>
        <v>0.134618872</v>
      </c>
      <c r="F1696" s="5">
        <f>IFERROR(__xludf.DUMMYFUNCTION("""COMPUTED_VALUE"""),0.21827963489089042)</f>
        <v>0.2182796349</v>
      </c>
      <c r="G1696" s="5">
        <f>IFERROR(__xludf.DUMMYFUNCTION("""COMPUTED_VALUE"""),0.21102581152148944)</f>
        <v>0.2110258115</v>
      </c>
      <c r="H1696" s="5">
        <f>IFERROR(__xludf.DUMMYFUNCTION("""COMPUTED_VALUE"""),0.5840487399612295)</f>
        <v>0.58404874</v>
      </c>
      <c r="I1696" s="11">
        <f>IFERROR(__xludf.DUMMYFUNCTION("""COMPUTED_VALUE"""),6043.755192467461)</f>
        <v>6043.755192</v>
      </c>
      <c r="J1696" s="10">
        <f>IFERROR(__xludf.DUMMYFUNCTION("""COMPUTED_VALUE"""),6.0)</f>
        <v>6</v>
      </c>
      <c r="K1696" s="5">
        <f>IFERROR(__xludf.DUMMYFUNCTION("""COMPUTED_VALUE"""),0.003814367450731087)</f>
        <v>0.003814367451</v>
      </c>
      <c r="L1696" s="10">
        <f>IFERROR(__xludf.DUMMYFUNCTION("""COMPUTED_VALUE"""),1573.0)</f>
        <v>1573</v>
      </c>
      <c r="M1696" s="5">
        <f>IFERROR(__xludf.DUMMYFUNCTION("""COMPUTED_VALUE"""),1.0)</f>
        <v>1</v>
      </c>
    </row>
    <row r="1697">
      <c r="A1697" s="10" t="str">
        <f>IFERROR(__xludf.DUMMYFUNCTION("""COMPUTED_VALUE"""),"ぴこりんOZ")</f>
        <v>ぴこりんOZ</v>
      </c>
      <c r="B1697" s="10">
        <f>IFERROR(__xludf.DUMMYFUNCTION("""COMPUTED_VALUE"""),2268.0)</f>
        <v>2268</v>
      </c>
      <c r="C1697" s="10">
        <f>IFERROR(__xludf.DUMMYFUNCTION("""COMPUTED_VALUE"""),26242.0)</f>
        <v>26242</v>
      </c>
      <c r="D1697" s="5">
        <f>IFERROR(__xludf.DUMMYFUNCTION("""COMPUTED_VALUE"""),0.3389505297405523)</f>
        <v>0.3389505297</v>
      </c>
      <c r="E1697" s="5">
        <f>IFERROR(__xludf.DUMMYFUNCTION("""COMPUTED_VALUE"""),0.1346041545007091)</f>
        <v>0.1346041545</v>
      </c>
      <c r="F1697" s="5">
        <f>IFERROR(__xludf.DUMMYFUNCTION("""COMPUTED_VALUE"""),0.20213564695086345)</f>
        <v>0.202135647</v>
      </c>
      <c r="G1697" s="5">
        <f>IFERROR(__xludf.DUMMYFUNCTION("""COMPUTED_VALUE"""),0.1800700759155752)</f>
        <v>0.1800700759</v>
      </c>
      <c r="H1697" s="5">
        <f>IFERROR(__xludf.DUMMYFUNCTION("""COMPUTED_VALUE"""),0.5767643417251341)</f>
        <v>0.5767643417</v>
      </c>
      <c r="I1697" s="11">
        <f>IFERROR(__xludf.DUMMYFUNCTION("""COMPUTED_VALUE"""),6156.0874948411065)</f>
        <v>6156.087495</v>
      </c>
      <c r="J1697" s="10">
        <f>IFERROR(__xludf.DUMMYFUNCTION("""COMPUTED_VALUE"""),4.0)</f>
        <v>4</v>
      </c>
      <c r="K1697" s="5">
        <f>IFERROR(__xludf.DUMMYFUNCTION("""COMPUTED_VALUE"""),0.001763668430335097)</f>
        <v>0.00176366843</v>
      </c>
      <c r="L1697" s="10">
        <f>IFERROR(__xludf.DUMMYFUNCTION("""COMPUTED_VALUE"""),2268.0)</f>
        <v>2268</v>
      </c>
      <c r="M1697" s="5">
        <f>IFERROR(__xludf.DUMMYFUNCTION("""COMPUTED_VALUE"""),1.0)</f>
        <v>1</v>
      </c>
    </row>
    <row r="1698">
      <c r="A1698" s="10" t="str">
        <f>IFERROR(__xludf.DUMMYFUNCTION("""COMPUTED_VALUE"""),"MR.BIG")</f>
        <v>MR.BIG</v>
      </c>
      <c r="B1698" s="10">
        <f>IFERROR(__xludf.DUMMYFUNCTION("""COMPUTED_VALUE"""),1510.0)</f>
        <v>1510</v>
      </c>
      <c r="C1698" s="10">
        <f>IFERROR(__xludf.DUMMYFUNCTION("""COMPUTED_VALUE"""),17914.0)</f>
        <v>17914</v>
      </c>
      <c r="D1698" s="5">
        <f>IFERROR(__xludf.DUMMYFUNCTION("""COMPUTED_VALUE"""),0.31419166057059256)</f>
        <v>0.3141916606</v>
      </c>
      <c r="E1698" s="5">
        <f>IFERROR(__xludf.DUMMYFUNCTION("""COMPUTED_VALUE"""),0.1346013167520117)</f>
        <v>0.1346013168</v>
      </c>
      <c r="F1698" s="5">
        <f>IFERROR(__xludf.DUMMYFUNCTION("""COMPUTED_VALUE"""),0.20927822482321384)</f>
        <v>0.2092782248</v>
      </c>
      <c r="G1698" s="5">
        <f>IFERROR(__xludf.DUMMYFUNCTION("""COMPUTED_VALUE"""),0.15057303096805658)</f>
        <v>0.150573031</v>
      </c>
      <c r="H1698" s="5">
        <f>IFERROR(__xludf.DUMMYFUNCTION("""COMPUTED_VALUE"""),0.5986018060005825)</f>
        <v>0.598601806</v>
      </c>
      <c r="I1698" s="11">
        <f>IFERROR(__xludf.DUMMYFUNCTION("""COMPUTED_VALUE"""),5598.281386542383)</f>
        <v>5598.281387</v>
      </c>
      <c r="J1698" s="10">
        <f>IFERROR(__xludf.DUMMYFUNCTION("""COMPUTED_VALUE"""),5.0)</f>
        <v>5</v>
      </c>
      <c r="K1698" s="5">
        <f>IFERROR(__xludf.DUMMYFUNCTION("""COMPUTED_VALUE"""),0.0033112582781456954)</f>
        <v>0.003311258278</v>
      </c>
      <c r="L1698" s="10">
        <f>IFERROR(__xludf.DUMMYFUNCTION("""COMPUTED_VALUE"""),760.0)</f>
        <v>760</v>
      </c>
      <c r="M1698" s="5">
        <f>IFERROR(__xludf.DUMMYFUNCTION("""COMPUTED_VALUE"""),0.5033112582781457)</f>
        <v>0.5033112583</v>
      </c>
    </row>
    <row r="1699">
      <c r="A1699" s="10" t="str">
        <f>IFERROR(__xludf.DUMMYFUNCTION("""COMPUTED_VALUE"""),"ryu115")</f>
        <v>ryu115</v>
      </c>
      <c r="B1699" s="10">
        <f>IFERROR(__xludf.DUMMYFUNCTION("""COMPUTED_VALUE"""),198.0)</f>
        <v>198</v>
      </c>
      <c r="C1699" s="10">
        <f>IFERROR(__xludf.DUMMYFUNCTION("""COMPUTED_VALUE"""),2360.0)</f>
        <v>2360</v>
      </c>
      <c r="D1699" s="5">
        <f>IFERROR(__xludf.DUMMYFUNCTION("""COMPUTED_VALUE"""),0.3788159111933395)</f>
        <v>0.3788159112</v>
      </c>
      <c r="E1699" s="5">
        <f>IFERROR(__xludf.DUMMYFUNCTION("""COMPUTED_VALUE"""),0.13459759481961148)</f>
        <v>0.1345975948</v>
      </c>
      <c r="F1699" s="5">
        <f>IFERROR(__xludf.DUMMYFUNCTION("""COMPUTED_VALUE"""),0.2030527289546716)</f>
        <v>0.203052729</v>
      </c>
      <c r="G1699" s="5">
        <f>IFERROR(__xludf.DUMMYFUNCTION("""COMPUTED_VALUE"""),0.17067530064754857)</f>
        <v>0.1706753006</v>
      </c>
      <c r="H1699" s="5">
        <f>IFERROR(__xludf.DUMMYFUNCTION("""COMPUTED_VALUE"""),0.6036446469248291)</f>
        <v>0.6036446469</v>
      </c>
      <c r="I1699" s="11">
        <f>IFERROR(__xludf.DUMMYFUNCTION("""COMPUTED_VALUE"""),5614.123006833713)</f>
        <v>5614.123007</v>
      </c>
      <c r="J1699" s="10">
        <f>IFERROR(__xludf.DUMMYFUNCTION("""COMPUTED_VALUE"""),0.0)</f>
        <v>0</v>
      </c>
      <c r="K1699" s="5">
        <f>IFERROR(__xludf.DUMMYFUNCTION("""COMPUTED_VALUE"""),0.0)</f>
        <v>0</v>
      </c>
      <c r="L1699" s="10">
        <f>IFERROR(__xludf.DUMMYFUNCTION("""COMPUTED_VALUE"""),198.0)</f>
        <v>198</v>
      </c>
      <c r="M1699" s="5">
        <f>IFERROR(__xludf.DUMMYFUNCTION("""COMPUTED_VALUE"""),1.0)</f>
        <v>1</v>
      </c>
    </row>
    <row r="1700">
      <c r="A1700" s="10" t="str">
        <f>IFERROR(__xludf.DUMMYFUNCTION("""COMPUTED_VALUE"""),"サブアラド")</f>
        <v>サブアラド</v>
      </c>
      <c r="B1700" s="10">
        <f>IFERROR(__xludf.DUMMYFUNCTION("""COMPUTED_VALUE"""),2800.0)</f>
        <v>2800</v>
      </c>
      <c r="C1700" s="10">
        <f>IFERROR(__xludf.DUMMYFUNCTION("""COMPUTED_VALUE"""),32809.0)</f>
        <v>32809</v>
      </c>
      <c r="D1700" s="5">
        <f>IFERROR(__xludf.DUMMYFUNCTION("""COMPUTED_VALUE"""),0.3532940117964611)</f>
        <v>0.3532940118</v>
      </c>
      <c r="E1700" s="5">
        <f>IFERROR(__xludf.DUMMYFUNCTION("""COMPUTED_VALUE"""),0.13459295544669933)</f>
        <v>0.1345929554</v>
      </c>
      <c r="F1700" s="5">
        <f>IFERROR(__xludf.DUMMYFUNCTION("""COMPUTED_VALUE"""),0.21080342563897497)</f>
        <v>0.2108034256</v>
      </c>
      <c r="G1700" s="5">
        <f>IFERROR(__xludf.DUMMYFUNCTION("""COMPUTED_VALUE"""),0.13572594888200207)</f>
        <v>0.1357259489</v>
      </c>
      <c r="H1700" s="5">
        <f>IFERROR(__xludf.DUMMYFUNCTION("""COMPUTED_VALUE"""),0.597217831172937)</f>
        <v>0.5972178312</v>
      </c>
      <c r="I1700" s="11">
        <f>IFERROR(__xludf.DUMMYFUNCTION("""COMPUTED_VALUE"""),5595.052165665507)</f>
        <v>5595.052166</v>
      </c>
      <c r="J1700" s="10">
        <f>IFERROR(__xludf.DUMMYFUNCTION("""COMPUTED_VALUE"""),8.0)</f>
        <v>8</v>
      </c>
      <c r="K1700" s="5">
        <f>IFERROR(__xludf.DUMMYFUNCTION("""COMPUTED_VALUE"""),0.002857142857142857)</f>
        <v>0.002857142857</v>
      </c>
      <c r="L1700" s="10">
        <f>IFERROR(__xludf.DUMMYFUNCTION("""COMPUTED_VALUE"""),2800.0)</f>
        <v>2800</v>
      </c>
      <c r="M1700" s="5">
        <f>IFERROR(__xludf.DUMMYFUNCTION("""COMPUTED_VALUE"""),1.0)</f>
        <v>1</v>
      </c>
    </row>
    <row r="1701">
      <c r="A1701" s="10" t="str">
        <f>IFERROR(__xludf.DUMMYFUNCTION("""COMPUTED_VALUE"""),"ぞえきち")</f>
        <v>ぞえきち</v>
      </c>
      <c r="B1701" s="10">
        <f>IFERROR(__xludf.DUMMYFUNCTION("""COMPUTED_VALUE"""),137.0)</f>
        <v>137</v>
      </c>
      <c r="C1701" s="10">
        <f>IFERROR(__xludf.DUMMYFUNCTION("""COMPUTED_VALUE"""),1623.0)</f>
        <v>1623</v>
      </c>
      <c r="D1701" s="5">
        <f>IFERROR(__xludf.DUMMYFUNCTION("""COMPUTED_VALUE"""),0.30148048452220727)</f>
        <v>0.3014804845</v>
      </c>
      <c r="E1701" s="5">
        <f>IFERROR(__xludf.DUMMYFUNCTION("""COMPUTED_VALUE"""),0.13458950201884254)</f>
        <v>0.134589502</v>
      </c>
      <c r="F1701" s="5">
        <f>IFERROR(__xludf.DUMMYFUNCTION("""COMPUTED_VALUE"""),0.20457604306864063)</f>
        <v>0.2045760431</v>
      </c>
      <c r="G1701" s="5">
        <f>IFERROR(__xludf.DUMMYFUNCTION("""COMPUTED_VALUE"""),0.1857335127860027)</f>
        <v>0.1857335128</v>
      </c>
      <c r="H1701" s="5">
        <f>IFERROR(__xludf.DUMMYFUNCTION("""COMPUTED_VALUE"""),0.5756578947368421)</f>
        <v>0.5756578947</v>
      </c>
      <c r="I1701" s="11">
        <f>IFERROR(__xludf.DUMMYFUNCTION("""COMPUTED_VALUE"""),6147.039473684211)</f>
        <v>6147.039474</v>
      </c>
      <c r="J1701" s="10">
        <f>IFERROR(__xludf.DUMMYFUNCTION("""COMPUTED_VALUE"""),0.0)</f>
        <v>0</v>
      </c>
      <c r="K1701" s="5">
        <f>IFERROR(__xludf.DUMMYFUNCTION("""COMPUTED_VALUE"""),0.0)</f>
        <v>0</v>
      </c>
      <c r="L1701" s="10">
        <f>IFERROR(__xludf.DUMMYFUNCTION("""COMPUTED_VALUE"""),137.0)</f>
        <v>137</v>
      </c>
      <c r="M1701" s="5">
        <f>IFERROR(__xludf.DUMMYFUNCTION("""COMPUTED_VALUE"""),1.0)</f>
        <v>1</v>
      </c>
    </row>
    <row r="1702">
      <c r="A1702" s="10" t="str">
        <f>IFERROR(__xludf.DUMMYFUNCTION("""COMPUTED_VALUE"""),"まつにゃん")</f>
        <v>まつにゃん</v>
      </c>
      <c r="B1702" s="10">
        <f>IFERROR(__xludf.DUMMYFUNCTION("""COMPUTED_VALUE"""),411.0)</f>
        <v>411</v>
      </c>
      <c r="C1702" s="10">
        <f>IFERROR(__xludf.DUMMYFUNCTION("""COMPUTED_VALUE"""),4780.0)</f>
        <v>4780</v>
      </c>
      <c r="D1702" s="5">
        <f>IFERROR(__xludf.DUMMYFUNCTION("""COMPUTED_VALUE"""),0.3469901579308766)</f>
        <v>0.3469901579</v>
      </c>
      <c r="E1702" s="5">
        <f>IFERROR(__xludf.DUMMYFUNCTION("""COMPUTED_VALUE"""),0.13458457312886243)</f>
        <v>0.1345845731</v>
      </c>
      <c r="F1702" s="5">
        <f>IFERROR(__xludf.DUMMYFUNCTION("""COMPUTED_VALUE"""),0.21492332341496911)</f>
        <v>0.2149233234</v>
      </c>
      <c r="G1702" s="5">
        <f>IFERROR(__xludf.DUMMYFUNCTION("""COMPUTED_VALUE"""),0.16868848706797895)</f>
        <v>0.1686884871</v>
      </c>
      <c r="H1702" s="5">
        <f>IFERROR(__xludf.DUMMYFUNCTION("""COMPUTED_VALUE"""),0.6187433439829606)</f>
        <v>0.618743344</v>
      </c>
      <c r="I1702" s="11">
        <f>IFERROR(__xludf.DUMMYFUNCTION("""COMPUTED_VALUE"""),5662.513312034079)</f>
        <v>5662.513312</v>
      </c>
      <c r="J1702" s="10">
        <f>IFERROR(__xludf.DUMMYFUNCTION("""COMPUTED_VALUE"""),0.0)</f>
        <v>0</v>
      </c>
      <c r="K1702" s="5">
        <f>IFERROR(__xludf.DUMMYFUNCTION("""COMPUTED_VALUE"""),0.0)</f>
        <v>0</v>
      </c>
      <c r="L1702" s="10">
        <f>IFERROR(__xludf.DUMMYFUNCTION("""COMPUTED_VALUE"""),411.0)</f>
        <v>411</v>
      </c>
      <c r="M1702" s="5">
        <f>IFERROR(__xludf.DUMMYFUNCTION("""COMPUTED_VALUE"""),1.0)</f>
        <v>1</v>
      </c>
    </row>
    <row r="1703">
      <c r="A1703" s="10" t="str">
        <f>IFERROR(__xludf.DUMMYFUNCTION("""COMPUTED_VALUE"""),"tabikake")</f>
        <v>tabikake</v>
      </c>
      <c r="B1703" s="10">
        <f>IFERROR(__xludf.DUMMYFUNCTION("""COMPUTED_VALUE"""),150.0)</f>
        <v>150</v>
      </c>
      <c r="C1703" s="10">
        <f>IFERROR(__xludf.DUMMYFUNCTION("""COMPUTED_VALUE"""),1755.0)</f>
        <v>1755</v>
      </c>
      <c r="D1703" s="5">
        <f>IFERROR(__xludf.DUMMYFUNCTION("""COMPUTED_VALUE"""),0.3370716510903427)</f>
        <v>0.3370716511</v>
      </c>
      <c r="E1703" s="5">
        <f>IFERROR(__xludf.DUMMYFUNCTION("""COMPUTED_VALUE"""),0.13457943925233645)</f>
        <v>0.1345794393</v>
      </c>
      <c r="F1703" s="5">
        <f>IFERROR(__xludf.DUMMYFUNCTION("""COMPUTED_VALUE"""),0.2130841121495327)</f>
        <v>0.2130841121</v>
      </c>
      <c r="G1703" s="5">
        <f>IFERROR(__xludf.DUMMYFUNCTION("""COMPUTED_VALUE"""),0.18006230529595016)</f>
        <v>0.1800623053</v>
      </c>
      <c r="H1703" s="5">
        <f>IFERROR(__xludf.DUMMYFUNCTION("""COMPUTED_VALUE"""),0.5409356725146199)</f>
        <v>0.5409356725</v>
      </c>
      <c r="I1703" s="11">
        <f>IFERROR(__xludf.DUMMYFUNCTION("""COMPUTED_VALUE"""),5534.210526315789)</f>
        <v>5534.210526</v>
      </c>
      <c r="J1703" s="10">
        <f>IFERROR(__xludf.DUMMYFUNCTION("""COMPUTED_VALUE"""),0.0)</f>
        <v>0</v>
      </c>
      <c r="K1703" s="5">
        <f>IFERROR(__xludf.DUMMYFUNCTION("""COMPUTED_VALUE"""),0.0)</f>
        <v>0</v>
      </c>
      <c r="L1703" s="10">
        <f>IFERROR(__xludf.DUMMYFUNCTION("""COMPUTED_VALUE"""),150.0)</f>
        <v>150</v>
      </c>
      <c r="M1703" s="5">
        <f>IFERROR(__xludf.DUMMYFUNCTION("""COMPUTED_VALUE"""),1.0)</f>
        <v>1</v>
      </c>
    </row>
    <row r="1704">
      <c r="A1704" s="10" t="str">
        <f>IFERROR(__xludf.DUMMYFUNCTION("""COMPUTED_VALUE"""),"カツオ武士")</f>
        <v>カツオ武士</v>
      </c>
      <c r="B1704" s="10">
        <f>IFERROR(__xludf.DUMMYFUNCTION("""COMPUTED_VALUE"""),329.0)</f>
        <v>329</v>
      </c>
      <c r="C1704" s="10">
        <f>IFERROR(__xludf.DUMMYFUNCTION("""COMPUTED_VALUE"""),3881.0)</f>
        <v>3881</v>
      </c>
      <c r="D1704" s="5">
        <f>IFERROR(__xludf.DUMMYFUNCTION("""COMPUTED_VALUE"""),0.2587274774774775)</f>
        <v>0.2587274775</v>
      </c>
      <c r="E1704" s="5">
        <f>IFERROR(__xludf.DUMMYFUNCTION("""COMPUTED_VALUE"""),0.13457207207207209)</f>
        <v>0.1345720721</v>
      </c>
      <c r="F1704" s="5">
        <f>IFERROR(__xludf.DUMMYFUNCTION("""COMPUTED_VALUE"""),0.19031531531531531)</f>
        <v>0.1903153153</v>
      </c>
      <c r="G1704" s="5">
        <f>IFERROR(__xludf.DUMMYFUNCTION("""COMPUTED_VALUE"""),0.14076576576576577)</f>
        <v>0.1407657658</v>
      </c>
      <c r="H1704" s="5">
        <f>IFERROR(__xludf.DUMMYFUNCTION("""COMPUTED_VALUE"""),0.6005917159763313)</f>
        <v>0.600591716</v>
      </c>
      <c r="I1704" s="11">
        <f>IFERROR(__xludf.DUMMYFUNCTION("""COMPUTED_VALUE"""),6075.443786982249)</f>
        <v>6075.443787</v>
      </c>
      <c r="J1704" s="10">
        <f>IFERROR(__xludf.DUMMYFUNCTION("""COMPUTED_VALUE"""),0.0)</f>
        <v>0</v>
      </c>
      <c r="K1704" s="5">
        <f>IFERROR(__xludf.DUMMYFUNCTION("""COMPUTED_VALUE"""),0.0)</f>
        <v>0</v>
      </c>
      <c r="L1704" s="10">
        <f>IFERROR(__xludf.DUMMYFUNCTION("""COMPUTED_VALUE"""),329.0)</f>
        <v>329</v>
      </c>
      <c r="M1704" s="5">
        <f>IFERROR(__xludf.DUMMYFUNCTION("""COMPUTED_VALUE"""),1.0)</f>
        <v>1</v>
      </c>
    </row>
    <row r="1705">
      <c r="A1705" s="10" t="str">
        <f>IFERROR(__xludf.DUMMYFUNCTION("""COMPUTED_VALUE"""),"okjm")</f>
        <v>okjm</v>
      </c>
      <c r="B1705" s="10">
        <f>IFERROR(__xludf.DUMMYFUNCTION("""COMPUTED_VALUE"""),1075.0)</f>
        <v>1075</v>
      </c>
      <c r="C1705" s="10">
        <f>IFERROR(__xludf.DUMMYFUNCTION("""COMPUTED_VALUE"""),12430.0)</f>
        <v>12430</v>
      </c>
      <c r="D1705" s="5">
        <f>IFERROR(__xludf.DUMMYFUNCTION("""COMPUTED_VALUE"""),0.33694407749889915)</f>
        <v>0.3369440775</v>
      </c>
      <c r="E1705" s="5">
        <f>IFERROR(__xludf.DUMMYFUNCTION("""COMPUTED_VALUE"""),0.13456627036547777)</f>
        <v>0.1345662704</v>
      </c>
      <c r="F1705" s="5">
        <f>IFERROR(__xludf.DUMMYFUNCTION("""COMPUTED_VALUE"""),0.2231616028181418)</f>
        <v>0.2231616028</v>
      </c>
      <c r="G1705" s="5">
        <f>IFERROR(__xludf.DUMMYFUNCTION("""COMPUTED_VALUE"""),0.18863936591809777)</f>
        <v>0.1886393659</v>
      </c>
      <c r="H1705" s="5">
        <f>IFERROR(__xludf.DUMMYFUNCTION("""COMPUTED_VALUE"""),0.6077348066298343)</f>
        <v>0.6077348066</v>
      </c>
      <c r="I1705" s="11">
        <f>IFERROR(__xludf.DUMMYFUNCTION("""COMPUTED_VALUE"""),5821.5074980268355)</f>
        <v>5821.507498</v>
      </c>
      <c r="J1705" s="10">
        <f>IFERROR(__xludf.DUMMYFUNCTION("""COMPUTED_VALUE"""),2.0)</f>
        <v>2</v>
      </c>
      <c r="K1705" s="5">
        <f>IFERROR(__xludf.DUMMYFUNCTION("""COMPUTED_VALUE"""),0.0018604651162790699)</f>
        <v>0.001860465116</v>
      </c>
      <c r="L1705" s="10">
        <f>IFERROR(__xludf.DUMMYFUNCTION("""COMPUTED_VALUE"""),1075.0)</f>
        <v>1075</v>
      </c>
      <c r="M1705" s="5">
        <f>IFERROR(__xludf.DUMMYFUNCTION("""COMPUTED_VALUE"""),1.0)</f>
        <v>1</v>
      </c>
    </row>
    <row r="1706">
      <c r="A1706" s="10" t="str">
        <f>IFERROR(__xludf.DUMMYFUNCTION("""COMPUTED_VALUE"""),"neutron")</f>
        <v>neutron</v>
      </c>
      <c r="B1706" s="10">
        <f>IFERROR(__xludf.DUMMYFUNCTION("""COMPUTED_VALUE"""),1774.0)</f>
        <v>1774</v>
      </c>
      <c r="C1706" s="10">
        <f>IFERROR(__xludf.DUMMYFUNCTION("""COMPUTED_VALUE"""),21066.0)</f>
        <v>21066</v>
      </c>
      <c r="D1706" s="5">
        <f>IFERROR(__xludf.DUMMYFUNCTION("""COMPUTED_VALUE"""),0.31598590089156126)</f>
        <v>0.3159859009</v>
      </c>
      <c r="E1706" s="5">
        <f>IFERROR(__xludf.DUMMYFUNCTION("""COMPUTED_VALUE"""),0.13456354965788928)</f>
        <v>0.1345635497</v>
      </c>
      <c r="F1706" s="5">
        <f>IFERROR(__xludf.DUMMYFUNCTION("""COMPUTED_VALUE"""),0.20604395604395603)</f>
        <v>0.206043956</v>
      </c>
      <c r="G1706" s="5">
        <f>IFERROR(__xludf.DUMMYFUNCTION("""COMPUTED_VALUE"""),0.12689197594857973)</f>
        <v>0.1268919759</v>
      </c>
      <c r="H1706" s="5">
        <f>IFERROR(__xludf.DUMMYFUNCTION("""COMPUTED_VALUE"""),0.6103144654088051)</f>
        <v>0.6103144654</v>
      </c>
      <c r="I1706" s="11">
        <f>IFERROR(__xludf.DUMMYFUNCTION("""COMPUTED_VALUE"""),5718.188679245283)</f>
        <v>5718.188679</v>
      </c>
      <c r="J1706" s="10">
        <f>IFERROR(__xludf.DUMMYFUNCTION("""COMPUTED_VALUE"""),7.0)</f>
        <v>7</v>
      </c>
      <c r="K1706" s="5">
        <f>IFERROR(__xludf.DUMMYFUNCTION("""COMPUTED_VALUE"""),0.003945885005636978)</f>
        <v>0.003945885006</v>
      </c>
      <c r="L1706" s="10">
        <f>IFERROR(__xludf.DUMMYFUNCTION("""COMPUTED_VALUE"""),1231.0)</f>
        <v>1231</v>
      </c>
      <c r="M1706" s="5">
        <f>IFERROR(__xludf.DUMMYFUNCTION("""COMPUTED_VALUE"""),0.6939120631341601)</f>
        <v>0.6939120631</v>
      </c>
    </row>
    <row r="1707">
      <c r="A1707" s="10" t="str">
        <f>IFERROR(__xludf.DUMMYFUNCTION("""COMPUTED_VALUE"""),"moku0123")</f>
        <v>moku0123</v>
      </c>
      <c r="B1707" s="10">
        <f>IFERROR(__xludf.DUMMYFUNCTION("""COMPUTED_VALUE"""),160.0)</f>
        <v>160</v>
      </c>
      <c r="C1707" s="10">
        <f>IFERROR(__xludf.DUMMYFUNCTION("""COMPUTED_VALUE"""),1914.0)</f>
        <v>1914</v>
      </c>
      <c r="D1707" s="5">
        <f>IFERROR(__xludf.DUMMYFUNCTION("""COMPUTED_VALUE"""),0.33181299885974913)</f>
        <v>0.3318129989</v>
      </c>
      <c r="E1707" s="5">
        <f>IFERROR(__xludf.DUMMYFUNCTION("""COMPUTED_VALUE"""),0.1345496009122007)</f>
        <v>0.1345496009</v>
      </c>
      <c r="F1707" s="5">
        <f>IFERROR(__xludf.DUMMYFUNCTION("""COMPUTED_VALUE"""),0.2006841505131129)</f>
        <v>0.2006841505</v>
      </c>
      <c r="G1707" s="5">
        <f>IFERROR(__xludf.DUMMYFUNCTION("""COMPUTED_VALUE"""),0.16248574686431014)</f>
        <v>0.1624857469</v>
      </c>
      <c r="H1707" s="5">
        <f>IFERROR(__xludf.DUMMYFUNCTION("""COMPUTED_VALUE"""),0.6022727272727273)</f>
        <v>0.6022727273</v>
      </c>
      <c r="I1707" s="11">
        <f>IFERROR(__xludf.DUMMYFUNCTION("""COMPUTED_VALUE"""),6019.318181818182)</f>
        <v>6019.318182</v>
      </c>
      <c r="J1707" s="10">
        <f>IFERROR(__xludf.DUMMYFUNCTION("""COMPUTED_VALUE"""),0.0)</f>
        <v>0</v>
      </c>
      <c r="K1707" s="5">
        <f>IFERROR(__xludf.DUMMYFUNCTION("""COMPUTED_VALUE"""),0.0)</f>
        <v>0</v>
      </c>
      <c r="L1707" s="10">
        <f>IFERROR(__xludf.DUMMYFUNCTION("""COMPUTED_VALUE"""),160.0)</f>
        <v>160</v>
      </c>
      <c r="M1707" s="5">
        <f>IFERROR(__xludf.DUMMYFUNCTION("""COMPUTED_VALUE"""),1.0)</f>
        <v>1</v>
      </c>
    </row>
    <row r="1708">
      <c r="A1708" s="10" t="str">
        <f>IFERROR(__xludf.DUMMYFUNCTION("""COMPUTED_VALUE"""),"0.16667")</f>
        <v>0.16667</v>
      </c>
      <c r="B1708" s="10">
        <f>IFERROR(__xludf.DUMMYFUNCTION("""COMPUTED_VALUE"""),105.0)</f>
        <v>105</v>
      </c>
      <c r="C1708" s="10">
        <f>IFERROR(__xludf.DUMMYFUNCTION("""COMPUTED_VALUE"""),1205.0)</f>
        <v>1205</v>
      </c>
      <c r="D1708" s="5">
        <f>IFERROR(__xludf.DUMMYFUNCTION("""COMPUTED_VALUE"""),0.4163636363636364)</f>
        <v>0.4163636364</v>
      </c>
      <c r="E1708" s="5">
        <f>IFERROR(__xludf.DUMMYFUNCTION("""COMPUTED_VALUE"""),0.13454545454545455)</f>
        <v>0.1345454545</v>
      </c>
      <c r="F1708" s="5">
        <f>IFERROR(__xludf.DUMMYFUNCTION("""COMPUTED_VALUE"""),0.21454545454545454)</f>
        <v>0.2145454545</v>
      </c>
      <c r="G1708" s="5">
        <f>IFERROR(__xludf.DUMMYFUNCTION("""COMPUTED_VALUE"""),0.14636363636363636)</f>
        <v>0.1463636364</v>
      </c>
      <c r="H1708" s="5">
        <f>IFERROR(__xludf.DUMMYFUNCTION("""COMPUTED_VALUE"""),0.5847457627118644)</f>
        <v>0.5847457627</v>
      </c>
      <c r="I1708" s="11">
        <f>IFERROR(__xludf.DUMMYFUNCTION("""COMPUTED_VALUE"""),5715.677966101695)</f>
        <v>5715.677966</v>
      </c>
      <c r="J1708" s="10">
        <f>IFERROR(__xludf.DUMMYFUNCTION("""COMPUTED_VALUE"""),0.0)</f>
        <v>0</v>
      </c>
      <c r="K1708" s="5">
        <f>IFERROR(__xludf.DUMMYFUNCTION("""COMPUTED_VALUE"""),0.0)</f>
        <v>0</v>
      </c>
      <c r="L1708" s="10">
        <f>IFERROR(__xludf.DUMMYFUNCTION("""COMPUTED_VALUE"""),72.0)</f>
        <v>72</v>
      </c>
      <c r="M1708" s="5">
        <f>IFERROR(__xludf.DUMMYFUNCTION("""COMPUTED_VALUE"""),0.6857142857142857)</f>
        <v>0.6857142857</v>
      </c>
    </row>
    <row r="1709">
      <c r="A1709" s="10" t="str">
        <f>IFERROR(__xludf.DUMMYFUNCTION("""COMPUTED_VALUE"""),"みっつぃ～")</f>
        <v>みっつぃ～</v>
      </c>
      <c r="B1709" s="10">
        <f>IFERROR(__xludf.DUMMYFUNCTION("""COMPUTED_VALUE"""),1521.0)</f>
        <v>1521</v>
      </c>
      <c r="C1709" s="10">
        <f>IFERROR(__xludf.DUMMYFUNCTION("""COMPUTED_VALUE"""),17859.0)</f>
        <v>17859</v>
      </c>
      <c r="D1709" s="5">
        <f>IFERROR(__xludf.DUMMYFUNCTION("""COMPUTED_VALUE"""),0.41149467499081893)</f>
        <v>0.411494675</v>
      </c>
      <c r="E1709" s="5">
        <f>IFERROR(__xludf.DUMMYFUNCTION("""COMPUTED_VALUE"""),0.13453299057412169)</f>
        <v>0.1345329906</v>
      </c>
      <c r="F1709" s="5">
        <f>IFERROR(__xludf.DUMMYFUNCTION("""COMPUTED_VALUE"""),0.21777451340433346)</f>
        <v>0.2177745134</v>
      </c>
      <c r="G1709" s="5">
        <f>IFERROR(__xludf.DUMMYFUNCTION("""COMPUTED_VALUE"""),0.17554168196841718)</f>
        <v>0.175541682</v>
      </c>
      <c r="H1709" s="5">
        <f>IFERROR(__xludf.DUMMYFUNCTION("""COMPUTED_VALUE"""),0.5949971894322653)</f>
        <v>0.5949971894</v>
      </c>
      <c r="I1709" s="11">
        <f>IFERROR(__xludf.DUMMYFUNCTION("""COMPUTED_VALUE"""),5573.7492973580665)</f>
        <v>5573.749297</v>
      </c>
      <c r="J1709" s="10">
        <f>IFERROR(__xludf.DUMMYFUNCTION("""COMPUTED_VALUE"""),4.0)</f>
        <v>4</v>
      </c>
      <c r="K1709" s="5">
        <f>IFERROR(__xludf.DUMMYFUNCTION("""COMPUTED_VALUE"""),0.0026298487836949377)</f>
        <v>0.002629848784</v>
      </c>
      <c r="L1709" s="10">
        <f>IFERROR(__xludf.DUMMYFUNCTION("""COMPUTED_VALUE"""),0.0)</f>
        <v>0</v>
      </c>
      <c r="M1709" s="5">
        <f>IFERROR(__xludf.DUMMYFUNCTION("""COMPUTED_VALUE"""),0.0)</f>
        <v>0</v>
      </c>
    </row>
    <row r="1710">
      <c r="A1710" s="10" t="str">
        <f>IFERROR(__xludf.DUMMYFUNCTION("""COMPUTED_VALUE"""),"哀雛田")</f>
        <v>哀雛田</v>
      </c>
      <c r="B1710" s="10">
        <f>IFERROR(__xludf.DUMMYFUNCTION("""COMPUTED_VALUE"""),109.0)</f>
        <v>109</v>
      </c>
      <c r="C1710" s="10">
        <f>IFERROR(__xludf.DUMMYFUNCTION("""COMPUTED_VALUE"""),1276.0)</f>
        <v>1276</v>
      </c>
      <c r="D1710" s="5">
        <f>IFERROR(__xludf.DUMMYFUNCTION("""COMPUTED_VALUE"""),0.37103684661525277)</f>
        <v>0.3710368466</v>
      </c>
      <c r="E1710" s="5">
        <f>IFERROR(__xludf.DUMMYFUNCTION("""COMPUTED_VALUE"""),0.13453299057412169)</f>
        <v>0.1345329906</v>
      </c>
      <c r="F1710" s="5">
        <f>IFERROR(__xludf.DUMMYFUNCTION("""COMPUTED_VALUE"""),0.1928020565552699)</f>
        <v>0.1928020566</v>
      </c>
      <c r="G1710" s="5">
        <f>IFERROR(__xludf.DUMMYFUNCTION("""COMPUTED_VALUE"""),0.14395886889460155)</f>
        <v>0.1439588689</v>
      </c>
      <c r="H1710" s="5">
        <f>IFERROR(__xludf.DUMMYFUNCTION("""COMPUTED_VALUE"""),0.6088888888888889)</f>
        <v>0.6088888889</v>
      </c>
      <c r="I1710" s="11">
        <f>IFERROR(__xludf.DUMMYFUNCTION("""COMPUTED_VALUE"""),5588.444444444444)</f>
        <v>5588.444444</v>
      </c>
      <c r="J1710" s="10">
        <f>IFERROR(__xludf.DUMMYFUNCTION("""COMPUTED_VALUE"""),1.0)</f>
        <v>1</v>
      </c>
      <c r="K1710" s="5">
        <f>IFERROR(__xludf.DUMMYFUNCTION("""COMPUTED_VALUE"""),0.009174311926605505)</f>
        <v>0.009174311927</v>
      </c>
      <c r="L1710" s="10">
        <f>IFERROR(__xludf.DUMMYFUNCTION("""COMPUTED_VALUE"""),109.0)</f>
        <v>109</v>
      </c>
      <c r="M1710" s="5">
        <f>IFERROR(__xludf.DUMMYFUNCTION("""COMPUTED_VALUE"""),1.0)</f>
        <v>1</v>
      </c>
    </row>
    <row r="1711">
      <c r="A1711" s="10" t="str">
        <f>IFERROR(__xludf.DUMMYFUNCTION("""COMPUTED_VALUE"""),"TLIC03")</f>
        <v>TLIC03</v>
      </c>
      <c r="B1711" s="10">
        <f>IFERROR(__xludf.DUMMYFUNCTION("""COMPUTED_VALUE"""),2024.0)</f>
        <v>2024</v>
      </c>
      <c r="C1711" s="10">
        <f>IFERROR(__xludf.DUMMYFUNCTION("""COMPUTED_VALUE"""),23818.0)</f>
        <v>23818</v>
      </c>
      <c r="D1711" s="5">
        <f>IFERROR(__xludf.DUMMYFUNCTION("""COMPUTED_VALUE"""),0.3851518766633018)</f>
        <v>0.3851518767</v>
      </c>
      <c r="E1711" s="5">
        <f>IFERROR(__xludf.DUMMYFUNCTION("""COMPUTED_VALUE"""),0.13453244012113424)</f>
        <v>0.1345324401</v>
      </c>
      <c r="F1711" s="5">
        <f>IFERROR(__xludf.DUMMYFUNCTION("""COMPUTED_VALUE"""),0.21299440212902634)</f>
        <v>0.2129944021</v>
      </c>
      <c r="G1711" s="5">
        <f>IFERROR(__xludf.DUMMYFUNCTION("""COMPUTED_VALUE"""),0.1572451133339451)</f>
        <v>0.1572451133</v>
      </c>
      <c r="H1711" s="5">
        <f>IFERROR(__xludf.DUMMYFUNCTION("""COMPUTED_VALUE"""),0.6148211977595864)</f>
        <v>0.6148211978</v>
      </c>
      <c r="I1711" s="11">
        <f>IFERROR(__xludf.DUMMYFUNCTION("""COMPUTED_VALUE"""),5461.546747091771)</f>
        <v>5461.546747</v>
      </c>
      <c r="J1711" s="10">
        <f>IFERROR(__xludf.DUMMYFUNCTION("""COMPUTED_VALUE"""),9.0)</f>
        <v>9</v>
      </c>
      <c r="K1711" s="5">
        <f>IFERROR(__xludf.DUMMYFUNCTION("""COMPUTED_VALUE"""),0.004446640316205534)</f>
        <v>0.004446640316</v>
      </c>
      <c r="L1711" s="10">
        <f>IFERROR(__xludf.DUMMYFUNCTION("""COMPUTED_VALUE"""),1732.0)</f>
        <v>1732</v>
      </c>
      <c r="M1711" s="5">
        <f>IFERROR(__xludf.DUMMYFUNCTION("""COMPUTED_VALUE"""),0.8557312252964426)</f>
        <v>0.8557312253</v>
      </c>
    </row>
    <row r="1712">
      <c r="A1712" s="10" t="str">
        <f>IFERROR(__xludf.DUMMYFUNCTION("""COMPUTED_VALUE"""),"観る将")</f>
        <v>観る将</v>
      </c>
      <c r="B1712" s="10">
        <f>IFERROR(__xludf.DUMMYFUNCTION("""COMPUTED_VALUE"""),416.0)</f>
        <v>416</v>
      </c>
      <c r="C1712" s="10">
        <f>IFERROR(__xludf.DUMMYFUNCTION("""COMPUTED_VALUE"""),4899.0)</f>
        <v>4899</v>
      </c>
      <c r="D1712" s="5">
        <f>IFERROR(__xludf.DUMMYFUNCTION("""COMPUTED_VALUE"""),0.2968993977247379)</f>
        <v>0.2968993977</v>
      </c>
      <c r="E1712" s="5">
        <f>IFERROR(__xludf.DUMMYFUNCTION("""COMPUTED_VALUE"""),0.13450814186928395)</f>
        <v>0.1345081419</v>
      </c>
      <c r="F1712" s="5">
        <f>IFERROR(__xludf.DUMMYFUNCTION("""COMPUTED_VALUE"""),0.2029890698193174)</f>
        <v>0.2029890698</v>
      </c>
      <c r="G1712" s="5">
        <f>IFERROR(__xludf.DUMMYFUNCTION("""COMPUTED_VALUE"""),0.17242917689047513)</f>
        <v>0.1724291769</v>
      </c>
      <c r="H1712" s="5">
        <f>IFERROR(__xludf.DUMMYFUNCTION("""COMPUTED_VALUE"""),0.5956043956043956)</f>
        <v>0.5956043956</v>
      </c>
      <c r="I1712" s="11">
        <f>IFERROR(__xludf.DUMMYFUNCTION("""COMPUTED_VALUE"""),5824.065934065934)</f>
        <v>5824.065934</v>
      </c>
      <c r="J1712" s="10">
        <f>IFERROR(__xludf.DUMMYFUNCTION("""COMPUTED_VALUE"""),1.0)</f>
        <v>1</v>
      </c>
      <c r="K1712" s="5">
        <f>IFERROR(__xludf.DUMMYFUNCTION("""COMPUTED_VALUE"""),0.002403846153846154)</f>
        <v>0.002403846154</v>
      </c>
      <c r="L1712" s="10">
        <f>IFERROR(__xludf.DUMMYFUNCTION("""COMPUTED_VALUE"""),416.0)</f>
        <v>416</v>
      </c>
      <c r="M1712" s="5">
        <f>IFERROR(__xludf.DUMMYFUNCTION("""COMPUTED_VALUE"""),1.0)</f>
        <v>1</v>
      </c>
    </row>
    <row r="1713">
      <c r="A1713" s="10" t="str">
        <f>IFERROR(__xludf.DUMMYFUNCTION("""COMPUTED_VALUE"""),"スワジランド人")</f>
        <v>スワジランド人</v>
      </c>
      <c r="B1713" s="10">
        <f>IFERROR(__xludf.DUMMYFUNCTION("""COMPUTED_VALUE"""),175.0)</f>
        <v>175</v>
      </c>
      <c r="C1713" s="10">
        <f>IFERROR(__xludf.DUMMYFUNCTION("""COMPUTED_VALUE"""),2108.0)</f>
        <v>2108</v>
      </c>
      <c r="D1713" s="5">
        <f>IFERROR(__xludf.DUMMYFUNCTION("""COMPUTED_VALUE"""),0.45318158303155714)</f>
        <v>0.453181583</v>
      </c>
      <c r="E1713" s="5">
        <f>IFERROR(__xludf.DUMMYFUNCTION("""COMPUTED_VALUE"""),0.13450594930160373)</f>
        <v>0.1345059493</v>
      </c>
      <c r="F1713" s="5">
        <f>IFERROR(__xludf.DUMMYFUNCTION("""COMPUTED_VALUE"""),0.1976202793585101)</f>
        <v>0.1976202794</v>
      </c>
      <c r="G1713" s="5">
        <f>IFERROR(__xludf.DUMMYFUNCTION("""COMPUTED_VALUE"""),0.15726849456802897)</f>
        <v>0.1572684946</v>
      </c>
      <c r="H1713" s="5">
        <f>IFERROR(__xludf.DUMMYFUNCTION("""COMPUTED_VALUE"""),0.6099476439790575)</f>
        <v>0.609947644</v>
      </c>
      <c r="I1713" s="11">
        <f>IFERROR(__xludf.DUMMYFUNCTION("""COMPUTED_VALUE"""),5470.942408376964)</f>
        <v>5470.942408</v>
      </c>
      <c r="J1713" s="10">
        <f>IFERROR(__xludf.DUMMYFUNCTION("""COMPUTED_VALUE"""),1.0)</f>
        <v>1</v>
      </c>
      <c r="K1713" s="5">
        <f>IFERROR(__xludf.DUMMYFUNCTION("""COMPUTED_VALUE"""),0.005714285714285714)</f>
        <v>0.005714285714</v>
      </c>
      <c r="L1713" s="10">
        <f>IFERROR(__xludf.DUMMYFUNCTION("""COMPUTED_VALUE"""),53.0)</f>
        <v>53</v>
      </c>
      <c r="M1713" s="5">
        <f>IFERROR(__xludf.DUMMYFUNCTION("""COMPUTED_VALUE"""),0.3028571428571429)</f>
        <v>0.3028571429</v>
      </c>
    </row>
    <row r="1714">
      <c r="A1714" s="10" t="str">
        <f>IFERROR(__xludf.DUMMYFUNCTION("""COMPUTED_VALUE"""),"takayyyy")</f>
        <v>takayyyy</v>
      </c>
      <c r="B1714" s="10">
        <f>IFERROR(__xludf.DUMMYFUNCTION("""COMPUTED_VALUE"""),1359.0)</f>
        <v>1359</v>
      </c>
      <c r="C1714" s="10">
        <f>IFERROR(__xludf.DUMMYFUNCTION("""COMPUTED_VALUE"""),15872.0)</f>
        <v>15872</v>
      </c>
      <c r="D1714" s="5">
        <f>IFERROR(__xludf.DUMMYFUNCTION("""COMPUTED_VALUE"""),0.4059119410183973)</f>
        <v>0.405911941</v>
      </c>
      <c r="E1714" s="5">
        <f>IFERROR(__xludf.DUMMYFUNCTION("""COMPUTED_VALUE"""),0.13450010335561222)</f>
        <v>0.1345001034</v>
      </c>
      <c r="F1714" s="5">
        <f>IFERROR(__xludf.DUMMYFUNCTION("""COMPUTED_VALUE"""),0.22400606352924965)</f>
        <v>0.2240060635</v>
      </c>
      <c r="G1714" s="5">
        <f>IFERROR(__xludf.DUMMYFUNCTION("""COMPUTED_VALUE"""),0.162061599944877)</f>
        <v>0.1620615999</v>
      </c>
      <c r="H1714" s="5">
        <f>IFERROR(__xludf.DUMMYFUNCTION("""COMPUTED_VALUE"""),0.6084281759458628)</f>
        <v>0.6084281759</v>
      </c>
      <c r="I1714" s="11">
        <f>IFERROR(__xludf.DUMMYFUNCTION("""COMPUTED_VALUE"""),5256.22885266072)</f>
        <v>5256.228853</v>
      </c>
      <c r="J1714" s="10">
        <f>IFERROR(__xludf.DUMMYFUNCTION("""COMPUTED_VALUE"""),1.0)</f>
        <v>1</v>
      </c>
      <c r="K1714" s="5">
        <f>IFERROR(__xludf.DUMMYFUNCTION("""COMPUTED_VALUE"""),7.358351729212656E-4)</f>
        <v>0.0007358351729</v>
      </c>
      <c r="L1714" s="10">
        <f>IFERROR(__xludf.DUMMYFUNCTION("""COMPUTED_VALUE"""),1359.0)</f>
        <v>1359</v>
      </c>
      <c r="M1714" s="5">
        <f>IFERROR(__xludf.DUMMYFUNCTION("""COMPUTED_VALUE"""),1.0)</f>
        <v>1</v>
      </c>
    </row>
    <row r="1715">
      <c r="A1715" s="10" t="str">
        <f>IFERROR(__xludf.DUMMYFUNCTION("""COMPUTED_VALUE"""),"とらりん")</f>
        <v>とらりん</v>
      </c>
      <c r="B1715" s="10">
        <f>IFERROR(__xludf.DUMMYFUNCTION("""COMPUTED_VALUE"""),982.0)</f>
        <v>982</v>
      </c>
      <c r="C1715" s="10">
        <f>IFERROR(__xludf.DUMMYFUNCTION("""COMPUTED_VALUE"""),11355.0)</f>
        <v>11355</v>
      </c>
      <c r="D1715" s="5">
        <f>IFERROR(__xludf.DUMMYFUNCTION("""COMPUTED_VALUE"""),0.3556348211703461)</f>
        <v>0.3556348212</v>
      </c>
      <c r="E1715" s="5">
        <f>IFERROR(__xludf.DUMMYFUNCTION("""COMPUTED_VALUE"""),0.13448375590475273)</f>
        <v>0.1344837559</v>
      </c>
      <c r="F1715" s="5">
        <f>IFERROR(__xludf.DUMMYFUNCTION("""COMPUTED_VALUE"""),0.22163308589607636)</f>
        <v>0.2216330859</v>
      </c>
      <c r="G1715" s="5">
        <f>IFERROR(__xludf.DUMMYFUNCTION("""COMPUTED_VALUE"""),0.17159934445194255)</f>
        <v>0.1715993445</v>
      </c>
      <c r="H1715" s="5">
        <f>IFERROR(__xludf.DUMMYFUNCTION("""COMPUTED_VALUE"""),0.6037407568508047)</f>
        <v>0.6037407569</v>
      </c>
      <c r="I1715" s="11">
        <f>IFERROR(__xludf.DUMMYFUNCTION("""COMPUTED_VALUE"""),5643.32318399304)</f>
        <v>5643.323184</v>
      </c>
      <c r="J1715" s="10">
        <f>IFERROR(__xludf.DUMMYFUNCTION("""COMPUTED_VALUE"""),2.0)</f>
        <v>2</v>
      </c>
      <c r="K1715" s="5">
        <f>IFERROR(__xludf.DUMMYFUNCTION("""COMPUTED_VALUE"""),0.002036659877800407)</f>
        <v>0.002036659878</v>
      </c>
      <c r="L1715" s="10">
        <f>IFERROR(__xludf.DUMMYFUNCTION("""COMPUTED_VALUE"""),982.0)</f>
        <v>982</v>
      </c>
      <c r="M1715" s="5">
        <f>IFERROR(__xludf.DUMMYFUNCTION("""COMPUTED_VALUE"""),1.0)</f>
        <v>1</v>
      </c>
    </row>
    <row r="1716">
      <c r="A1716" s="10" t="str">
        <f>IFERROR(__xludf.DUMMYFUNCTION("""COMPUTED_VALUE"""),"スーニ")</f>
        <v>スーニ</v>
      </c>
      <c r="B1716" s="10">
        <f>IFERROR(__xludf.DUMMYFUNCTION("""COMPUTED_VALUE"""),613.0)</f>
        <v>613</v>
      </c>
      <c r="C1716" s="10">
        <f>IFERROR(__xludf.DUMMYFUNCTION("""COMPUTED_VALUE"""),7231.0)</f>
        <v>7231</v>
      </c>
      <c r="D1716" s="5">
        <f>IFERROR(__xludf.DUMMYFUNCTION("""COMPUTED_VALUE"""),0.36672710788757934)</f>
        <v>0.3667271079</v>
      </c>
      <c r="E1716" s="5">
        <f>IFERROR(__xludf.DUMMYFUNCTION("""COMPUTED_VALUE"""),0.13448171653067392)</f>
        <v>0.1344817165</v>
      </c>
      <c r="F1716" s="5">
        <f>IFERROR(__xludf.DUMMYFUNCTION("""COMPUTED_VALUE"""),0.21063765488062858)</f>
        <v>0.2106376549</v>
      </c>
      <c r="G1716" s="5">
        <f>IFERROR(__xludf.DUMMYFUNCTION("""COMPUTED_VALUE"""),0.1651556361438501)</f>
        <v>0.1651556361</v>
      </c>
      <c r="H1716" s="5">
        <f>IFERROR(__xludf.DUMMYFUNCTION("""COMPUTED_VALUE"""),0.5961262553802008)</f>
        <v>0.5961262554</v>
      </c>
      <c r="I1716" s="11">
        <f>IFERROR(__xludf.DUMMYFUNCTION("""COMPUTED_VALUE"""),5667.00143472023)</f>
        <v>5667.001435</v>
      </c>
      <c r="J1716" s="10">
        <f>IFERROR(__xludf.DUMMYFUNCTION("""COMPUTED_VALUE"""),3.0)</f>
        <v>3</v>
      </c>
      <c r="K1716" s="5">
        <f>IFERROR(__xludf.DUMMYFUNCTION("""COMPUTED_VALUE"""),0.004893964110929853)</f>
        <v>0.004893964111</v>
      </c>
      <c r="L1716" s="10">
        <f>IFERROR(__xludf.DUMMYFUNCTION("""COMPUTED_VALUE"""),613.0)</f>
        <v>613</v>
      </c>
      <c r="M1716" s="5">
        <f>IFERROR(__xludf.DUMMYFUNCTION("""COMPUTED_VALUE"""),1.0)</f>
        <v>1</v>
      </c>
    </row>
    <row r="1717">
      <c r="A1717" s="10" t="str">
        <f>IFERROR(__xludf.DUMMYFUNCTION("""COMPUTED_VALUE"""),"佐々木寿人P")</f>
        <v>佐々木寿人P</v>
      </c>
      <c r="B1717" s="10">
        <f>IFERROR(__xludf.DUMMYFUNCTION("""COMPUTED_VALUE"""),189.0)</f>
        <v>189</v>
      </c>
      <c r="C1717" s="10">
        <f>IFERROR(__xludf.DUMMYFUNCTION("""COMPUTED_VALUE"""),2167.0)</f>
        <v>2167</v>
      </c>
      <c r="D1717" s="5">
        <f>IFERROR(__xludf.DUMMYFUNCTION("""COMPUTED_VALUE"""),0.37613751263902934)</f>
        <v>0.3761375126</v>
      </c>
      <c r="E1717" s="5">
        <f>IFERROR(__xludf.DUMMYFUNCTION("""COMPUTED_VALUE"""),0.134479271991911)</f>
        <v>0.134479272</v>
      </c>
      <c r="F1717" s="5">
        <f>IFERROR(__xludf.DUMMYFUNCTION("""COMPUTED_VALUE"""),0.2269969666329626)</f>
        <v>0.2269969666</v>
      </c>
      <c r="G1717" s="5">
        <f>IFERROR(__xludf.DUMMYFUNCTION("""COMPUTED_VALUE"""),0.18554095045500504)</f>
        <v>0.1855409505</v>
      </c>
      <c r="H1717" s="5">
        <f>IFERROR(__xludf.DUMMYFUNCTION("""COMPUTED_VALUE"""),0.5545657015590201)</f>
        <v>0.5545657016</v>
      </c>
      <c r="I1717" s="11">
        <f>IFERROR(__xludf.DUMMYFUNCTION("""COMPUTED_VALUE"""),5830.512249443207)</f>
        <v>5830.512249</v>
      </c>
      <c r="J1717" s="10">
        <f>IFERROR(__xludf.DUMMYFUNCTION("""COMPUTED_VALUE"""),0.0)</f>
        <v>0</v>
      </c>
      <c r="K1717" s="5">
        <f>IFERROR(__xludf.DUMMYFUNCTION("""COMPUTED_VALUE"""),0.0)</f>
        <v>0</v>
      </c>
      <c r="L1717" s="10">
        <f>IFERROR(__xludf.DUMMYFUNCTION("""COMPUTED_VALUE"""),189.0)</f>
        <v>189</v>
      </c>
      <c r="M1717" s="5">
        <f>IFERROR(__xludf.DUMMYFUNCTION("""COMPUTED_VALUE"""),1.0)</f>
        <v>1</v>
      </c>
    </row>
    <row r="1718">
      <c r="A1718" s="10" t="str">
        <f>IFERROR(__xludf.DUMMYFUNCTION("""COMPUTED_VALUE"""),"わが名はどらどら")</f>
        <v>わが名はどらどら</v>
      </c>
      <c r="B1718" s="10">
        <f>IFERROR(__xludf.DUMMYFUNCTION("""COMPUTED_VALUE"""),1073.0)</f>
        <v>1073</v>
      </c>
      <c r="C1718" s="10">
        <f>IFERROR(__xludf.DUMMYFUNCTION("""COMPUTED_VALUE"""),12526.0)</f>
        <v>12526</v>
      </c>
      <c r="D1718" s="5">
        <f>IFERROR(__xludf.DUMMYFUNCTION("""COMPUTED_VALUE"""),0.31502663057714136)</f>
        <v>0.3150266306</v>
      </c>
      <c r="E1718" s="5">
        <f>IFERROR(__xludf.DUMMYFUNCTION("""COMPUTED_VALUE"""),0.1344625862219506)</f>
        <v>0.1344625862</v>
      </c>
      <c r="F1718" s="5">
        <f>IFERROR(__xludf.DUMMYFUNCTION("""COMPUTED_VALUE"""),0.2235222212520737)</f>
        <v>0.2235222213</v>
      </c>
      <c r="G1718" s="5">
        <f>IFERROR(__xludf.DUMMYFUNCTION("""COMPUTED_VALUE"""),0.1653715183794639)</f>
        <v>0.1653715184</v>
      </c>
      <c r="H1718" s="5">
        <f>IFERROR(__xludf.DUMMYFUNCTION("""COMPUTED_VALUE"""),0.5984375)</f>
        <v>0.5984375</v>
      </c>
      <c r="I1718" s="11">
        <f>IFERROR(__xludf.DUMMYFUNCTION("""COMPUTED_VALUE"""),5879.0625)</f>
        <v>5879.0625</v>
      </c>
      <c r="J1718" s="10">
        <f>IFERROR(__xludf.DUMMYFUNCTION("""COMPUTED_VALUE"""),4.0)</f>
        <v>4</v>
      </c>
      <c r="K1718" s="5">
        <f>IFERROR(__xludf.DUMMYFUNCTION("""COMPUTED_VALUE"""),0.003727865796831314)</f>
        <v>0.003727865797</v>
      </c>
      <c r="L1718" s="10">
        <f>IFERROR(__xludf.DUMMYFUNCTION("""COMPUTED_VALUE"""),1073.0)</f>
        <v>1073</v>
      </c>
      <c r="M1718" s="5">
        <f>IFERROR(__xludf.DUMMYFUNCTION("""COMPUTED_VALUE"""),1.0)</f>
        <v>1</v>
      </c>
    </row>
    <row r="1719">
      <c r="A1719" s="10" t="str">
        <f>IFERROR(__xludf.DUMMYFUNCTION("""COMPUTED_VALUE"""),"タケヤマ")</f>
        <v>タケヤマ</v>
      </c>
      <c r="B1719" s="10">
        <f>IFERROR(__xludf.DUMMYFUNCTION("""COMPUTED_VALUE"""),1053.0)</f>
        <v>1053</v>
      </c>
      <c r="C1719" s="10">
        <f>IFERROR(__xludf.DUMMYFUNCTION("""COMPUTED_VALUE"""),12224.0)</f>
        <v>12224</v>
      </c>
      <c r="D1719" s="5">
        <f>IFERROR(__xludf.DUMMYFUNCTION("""COMPUTED_VALUE"""),0.27669859457523943)</f>
        <v>0.2766985946</v>
      </c>
      <c r="E1719" s="5">
        <f>IFERROR(__xludf.DUMMYFUNCTION("""COMPUTED_VALUE"""),0.13445528600841464)</f>
        <v>0.134455286</v>
      </c>
      <c r="F1719" s="5">
        <f>IFERROR(__xludf.DUMMYFUNCTION("""COMPUTED_VALUE"""),0.20597976904484827)</f>
        <v>0.205979769</v>
      </c>
      <c r="G1719" s="5">
        <f>IFERROR(__xludf.DUMMYFUNCTION("""COMPUTED_VALUE"""),0.1790350013427625)</f>
        <v>0.1790350013</v>
      </c>
      <c r="H1719" s="5">
        <f>IFERROR(__xludf.DUMMYFUNCTION("""COMPUTED_VALUE"""),0.5975662755323772)</f>
        <v>0.5975662755</v>
      </c>
      <c r="I1719" s="11">
        <f>IFERROR(__xludf.DUMMYFUNCTION("""COMPUTED_VALUE"""),6017.644502390265)</f>
        <v>6017.644502</v>
      </c>
      <c r="J1719" s="10">
        <f>IFERROR(__xludf.DUMMYFUNCTION("""COMPUTED_VALUE"""),0.0)</f>
        <v>0</v>
      </c>
      <c r="K1719" s="5">
        <f>IFERROR(__xludf.DUMMYFUNCTION("""COMPUTED_VALUE"""),0.0)</f>
        <v>0</v>
      </c>
      <c r="L1719" s="10">
        <f>IFERROR(__xludf.DUMMYFUNCTION("""COMPUTED_VALUE"""),1053.0)</f>
        <v>1053</v>
      </c>
      <c r="M1719" s="5">
        <f>IFERROR(__xludf.DUMMYFUNCTION("""COMPUTED_VALUE"""),1.0)</f>
        <v>1</v>
      </c>
    </row>
    <row r="1720">
      <c r="A1720" s="10" t="str">
        <f>IFERROR(__xludf.DUMMYFUNCTION("""COMPUTED_VALUE"""),"浮雲男")</f>
        <v>浮雲男</v>
      </c>
      <c r="B1720" s="10">
        <f>IFERROR(__xludf.DUMMYFUNCTION("""COMPUTED_VALUE"""),237.0)</f>
        <v>237</v>
      </c>
      <c r="C1720" s="10">
        <f>IFERROR(__xludf.DUMMYFUNCTION("""COMPUTED_VALUE"""),2736.0)</f>
        <v>2736</v>
      </c>
      <c r="D1720" s="5">
        <f>IFERROR(__xludf.DUMMYFUNCTION("""COMPUTED_VALUE"""),0.16646658663465386)</f>
        <v>0.1664665866</v>
      </c>
      <c r="E1720" s="5">
        <f>IFERROR(__xludf.DUMMYFUNCTION("""COMPUTED_VALUE"""),0.13445378151260504)</f>
        <v>0.1344537815</v>
      </c>
      <c r="F1720" s="5">
        <f>IFERROR(__xludf.DUMMYFUNCTION("""COMPUTED_VALUE"""),0.18927571028411364)</f>
        <v>0.1892757103</v>
      </c>
      <c r="G1720" s="5">
        <f>IFERROR(__xludf.DUMMYFUNCTION("""COMPUTED_VALUE"""),0.23569427771108442)</f>
        <v>0.2356942777</v>
      </c>
      <c r="H1720" s="5">
        <f>IFERROR(__xludf.DUMMYFUNCTION("""COMPUTED_VALUE"""),0.5454545454545454)</f>
        <v>0.5454545455</v>
      </c>
      <c r="I1720" s="11">
        <f>IFERROR(__xludf.DUMMYFUNCTION("""COMPUTED_VALUE"""),6488.16067653277)</f>
        <v>6488.160677</v>
      </c>
      <c r="J1720" s="10">
        <f>IFERROR(__xludf.DUMMYFUNCTION("""COMPUTED_VALUE"""),0.0)</f>
        <v>0</v>
      </c>
      <c r="K1720" s="5">
        <f>IFERROR(__xludf.DUMMYFUNCTION("""COMPUTED_VALUE"""),0.0)</f>
        <v>0</v>
      </c>
      <c r="L1720" s="10">
        <f>IFERROR(__xludf.DUMMYFUNCTION("""COMPUTED_VALUE"""),237.0)</f>
        <v>237</v>
      </c>
      <c r="M1720" s="5">
        <f>IFERROR(__xludf.DUMMYFUNCTION("""COMPUTED_VALUE"""),1.0)</f>
        <v>1</v>
      </c>
    </row>
    <row r="1721">
      <c r="A1721" s="10" t="str">
        <f>IFERROR(__xludf.DUMMYFUNCTION("""COMPUTED_VALUE"""),"ミス北千住")</f>
        <v>ミス北千住</v>
      </c>
      <c r="B1721" s="10">
        <f>IFERROR(__xludf.DUMMYFUNCTION("""COMPUTED_VALUE"""),694.0)</f>
        <v>694</v>
      </c>
      <c r="C1721" s="10">
        <f>IFERROR(__xludf.DUMMYFUNCTION("""COMPUTED_VALUE"""),8184.0)</f>
        <v>8184</v>
      </c>
      <c r="D1721" s="5">
        <f>IFERROR(__xludf.DUMMYFUNCTION("""COMPUTED_VALUE"""),0.36969292389853137)</f>
        <v>0.3696929239</v>
      </c>
      <c r="E1721" s="5">
        <f>IFERROR(__xludf.DUMMYFUNCTION("""COMPUTED_VALUE"""),0.13444592790387183)</f>
        <v>0.1344459279</v>
      </c>
      <c r="F1721" s="5">
        <f>IFERROR(__xludf.DUMMYFUNCTION("""COMPUTED_VALUE"""),0.2124165554072096)</f>
        <v>0.2124165554</v>
      </c>
      <c r="G1721" s="5">
        <f>IFERROR(__xludf.DUMMYFUNCTION("""COMPUTED_VALUE"""),0.17837116154873164)</f>
        <v>0.1783711615</v>
      </c>
      <c r="H1721" s="5">
        <f>IFERROR(__xludf.DUMMYFUNCTION("""COMPUTED_VALUE"""),0.5713387806411062)</f>
        <v>0.5713387806</v>
      </c>
      <c r="I1721" s="11">
        <f>IFERROR(__xludf.DUMMYFUNCTION("""COMPUTED_VALUE"""),5635.386549340038)</f>
        <v>5635.386549</v>
      </c>
      <c r="J1721" s="10">
        <f>IFERROR(__xludf.DUMMYFUNCTION("""COMPUTED_VALUE"""),2.0)</f>
        <v>2</v>
      </c>
      <c r="K1721" s="5">
        <f>IFERROR(__xludf.DUMMYFUNCTION("""COMPUTED_VALUE"""),0.002881844380403458)</f>
        <v>0.00288184438</v>
      </c>
      <c r="L1721" s="10">
        <f>IFERROR(__xludf.DUMMYFUNCTION("""COMPUTED_VALUE"""),246.0)</f>
        <v>246</v>
      </c>
      <c r="M1721" s="5">
        <f>IFERROR(__xludf.DUMMYFUNCTION("""COMPUTED_VALUE"""),0.35446685878962536)</f>
        <v>0.3544668588</v>
      </c>
    </row>
    <row r="1722">
      <c r="A1722" s="10" t="str">
        <f>IFERROR(__xludf.DUMMYFUNCTION("""COMPUTED_VALUE"""),"PIXI")</f>
        <v>PIXI</v>
      </c>
      <c r="B1722" s="10">
        <f>IFERROR(__xludf.DUMMYFUNCTION("""COMPUTED_VALUE"""),874.0)</f>
        <v>874</v>
      </c>
      <c r="C1722" s="10">
        <f>IFERROR(__xludf.DUMMYFUNCTION("""COMPUTED_VALUE"""),10194.0)</f>
        <v>10194</v>
      </c>
      <c r="D1722" s="5">
        <f>IFERROR(__xludf.DUMMYFUNCTION("""COMPUTED_VALUE"""),0.31030042918454936)</f>
        <v>0.3103004292</v>
      </c>
      <c r="E1722" s="5">
        <f>IFERROR(__xludf.DUMMYFUNCTION("""COMPUTED_VALUE"""),0.13444206008583692)</f>
        <v>0.1344420601</v>
      </c>
      <c r="F1722" s="5">
        <f>IFERROR(__xludf.DUMMYFUNCTION("""COMPUTED_VALUE"""),0.21373390557939914)</f>
        <v>0.2137339056</v>
      </c>
      <c r="G1722" s="5">
        <f>IFERROR(__xludf.DUMMYFUNCTION("""COMPUTED_VALUE"""),0.1958154506437768)</f>
        <v>0.1958154506</v>
      </c>
      <c r="H1722" s="5">
        <f>IFERROR(__xludf.DUMMYFUNCTION("""COMPUTED_VALUE"""),0.5878514056224899)</f>
        <v>0.5878514056</v>
      </c>
      <c r="I1722" s="11">
        <f>IFERROR(__xludf.DUMMYFUNCTION("""COMPUTED_VALUE"""),5983.082329317269)</f>
        <v>5983.082329</v>
      </c>
      <c r="J1722" s="10">
        <f>IFERROR(__xludf.DUMMYFUNCTION("""COMPUTED_VALUE"""),1.0)</f>
        <v>1</v>
      </c>
      <c r="K1722" s="5">
        <f>IFERROR(__xludf.DUMMYFUNCTION("""COMPUTED_VALUE"""),0.0011441647597254005)</f>
        <v>0.00114416476</v>
      </c>
      <c r="L1722" s="10">
        <f>IFERROR(__xludf.DUMMYFUNCTION("""COMPUTED_VALUE"""),874.0)</f>
        <v>874</v>
      </c>
      <c r="M1722" s="5">
        <f>IFERROR(__xludf.DUMMYFUNCTION("""COMPUTED_VALUE"""),1.0)</f>
        <v>1</v>
      </c>
    </row>
    <row r="1723">
      <c r="A1723" s="10" t="str">
        <f>IFERROR(__xludf.DUMMYFUNCTION("""COMPUTED_VALUE"""),"大玉将")</f>
        <v>大玉将</v>
      </c>
      <c r="B1723" s="10">
        <f>IFERROR(__xludf.DUMMYFUNCTION("""COMPUTED_VALUE"""),1249.0)</f>
        <v>1249</v>
      </c>
      <c r="C1723" s="10">
        <f>IFERROR(__xludf.DUMMYFUNCTION("""COMPUTED_VALUE"""),14675.0)</f>
        <v>14675</v>
      </c>
      <c r="D1723" s="5">
        <f>IFERROR(__xludf.DUMMYFUNCTION("""COMPUTED_VALUE"""),0.37449724415313573)</f>
        <v>0.3744972442</v>
      </c>
      <c r="E1723" s="5">
        <f>IFERROR(__xludf.DUMMYFUNCTION("""COMPUTED_VALUE"""),0.13444063756889618)</f>
        <v>0.1344406376</v>
      </c>
      <c r="F1723" s="5">
        <f>IFERROR(__xludf.DUMMYFUNCTION("""COMPUTED_VALUE"""),0.234395948160286)</f>
        <v>0.2343959482</v>
      </c>
      <c r="G1723" s="5">
        <f>IFERROR(__xludf.DUMMYFUNCTION("""COMPUTED_VALUE"""),0.1970058096231193)</f>
        <v>0.1970058096</v>
      </c>
      <c r="H1723" s="5">
        <f>IFERROR(__xludf.DUMMYFUNCTION("""COMPUTED_VALUE"""),0.5954877661264697)</f>
        <v>0.5954877661</v>
      </c>
      <c r="I1723" s="11">
        <f>IFERROR(__xludf.DUMMYFUNCTION("""COMPUTED_VALUE"""),5670.829361296473)</f>
        <v>5670.829361</v>
      </c>
      <c r="J1723" s="10">
        <f>IFERROR(__xludf.DUMMYFUNCTION("""COMPUTED_VALUE"""),3.0)</f>
        <v>3</v>
      </c>
      <c r="K1723" s="5">
        <f>IFERROR(__xludf.DUMMYFUNCTION("""COMPUTED_VALUE"""),0.0024019215372297837)</f>
        <v>0.002401921537</v>
      </c>
      <c r="L1723" s="10">
        <f>IFERROR(__xludf.DUMMYFUNCTION("""COMPUTED_VALUE"""),1249.0)</f>
        <v>1249</v>
      </c>
      <c r="M1723" s="5">
        <f>IFERROR(__xludf.DUMMYFUNCTION("""COMPUTED_VALUE"""),1.0)</f>
        <v>1</v>
      </c>
    </row>
    <row r="1724">
      <c r="A1724" s="10" t="str">
        <f>IFERROR(__xludf.DUMMYFUNCTION("""COMPUTED_VALUE"""),"銀時計")</f>
        <v>銀時計</v>
      </c>
      <c r="B1724" s="10">
        <f>IFERROR(__xludf.DUMMYFUNCTION("""COMPUTED_VALUE"""),399.0)</f>
        <v>399</v>
      </c>
      <c r="C1724" s="10">
        <f>IFERROR(__xludf.DUMMYFUNCTION("""COMPUTED_VALUE"""),4669.0)</f>
        <v>4669</v>
      </c>
      <c r="D1724" s="5">
        <f>IFERROR(__xludf.DUMMYFUNCTION("""COMPUTED_VALUE"""),0.319672131147541)</f>
        <v>0.3196721311</v>
      </c>
      <c r="E1724" s="5">
        <f>IFERROR(__xludf.DUMMYFUNCTION("""COMPUTED_VALUE"""),0.13442622950819672)</f>
        <v>0.1344262295</v>
      </c>
      <c r="F1724" s="5">
        <f>IFERROR(__xludf.DUMMYFUNCTION("""COMPUTED_VALUE"""),0.20046838407494144)</f>
        <v>0.2004683841</v>
      </c>
      <c r="G1724" s="5">
        <f>IFERROR(__xludf.DUMMYFUNCTION("""COMPUTED_VALUE"""),0.14590163934426228)</f>
        <v>0.1459016393</v>
      </c>
      <c r="H1724" s="5">
        <f>IFERROR(__xludf.DUMMYFUNCTION("""COMPUTED_VALUE"""),0.633177570093458)</f>
        <v>0.6331775701</v>
      </c>
      <c r="I1724" s="11">
        <f>IFERROR(__xludf.DUMMYFUNCTION("""COMPUTED_VALUE"""),5478.154205607477)</f>
        <v>5478.154206</v>
      </c>
      <c r="J1724" s="10">
        <f>IFERROR(__xludf.DUMMYFUNCTION("""COMPUTED_VALUE"""),2.0)</f>
        <v>2</v>
      </c>
      <c r="K1724" s="5">
        <f>IFERROR(__xludf.DUMMYFUNCTION("""COMPUTED_VALUE"""),0.005012531328320802)</f>
        <v>0.005012531328</v>
      </c>
      <c r="L1724" s="10">
        <f>IFERROR(__xludf.DUMMYFUNCTION("""COMPUTED_VALUE"""),399.0)</f>
        <v>399</v>
      </c>
      <c r="M1724" s="5">
        <f>IFERROR(__xludf.DUMMYFUNCTION("""COMPUTED_VALUE"""),1.0)</f>
        <v>1</v>
      </c>
    </row>
    <row r="1725">
      <c r="A1725" s="10" t="str">
        <f>IFERROR(__xludf.DUMMYFUNCTION("""COMPUTED_VALUE"""),"唐揚大好き")</f>
        <v>唐揚大好き</v>
      </c>
      <c r="B1725" s="10">
        <f>IFERROR(__xludf.DUMMYFUNCTION("""COMPUTED_VALUE"""),325.0)</f>
        <v>325</v>
      </c>
      <c r="C1725" s="10">
        <f>IFERROR(__xludf.DUMMYFUNCTION("""COMPUTED_VALUE"""),3814.0)</f>
        <v>3814</v>
      </c>
      <c r="D1725" s="5">
        <f>IFERROR(__xludf.DUMMYFUNCTION("""COMPUTED_VALUE"""),0.38893665806821437)</f>
        <v>0.3889366581</v>
      </c>
      <c r="E1725" s="5">
        <f>IFERROR(__xludf.DUMMYFUNCTION("""COMPUTED_VALUE"""),0.13442247062195473)</f>
        <v>0.1344224706</v>
      </c>
      <c r="F1725" s="5">
        <f>IFERROR(__xludf.DUMMYFUNCTION("""COMPUTED_VALUE"""),0.21553453711665232)</f>
        <v>0.2155345371</v>
      </c>
      <c r="G1725" s="5">
        <f>IFERROR(__xludf.DUMMYFUNCTION("""COMPUTED_VALUE"""),0.16308397821725423)</f>
        <v>0.1630839782</v>
      </c>
      <c r="H1725" s="5">
        <f>IFERROR(__xludf.DUMMYFUNCTION("""COMPUTED_VALUE"""),0.5904255319148937)</f>
        <v>0.5904255319</v>
      </c>
      <c r="I1725" s="11">
        <f>IFERROR(__xludf.DUMMYFUNCTION("""COMPUTED_VALUE"""),5334.441489361702)</f>
        <v>5334.441489</v>
      </c>
      <c r="J1725" s="10">
        <f>IFERROR(__xludf.DUMMYFUNCTION("""COMPUTED_VALUE"""),0.0)</f>
        <v>0</v>
      </c>
      <c r="K1725" s="5">
        <f>IFERROR(__xludf.DUMMYFUNCTION("""COMPUTED_VALUE"""),0.0)</f>
        <v>0</v>
      </c>
      <c r="L1725" s="10">
        <f>IFERROR(__xludf.DUMMYFUNCTION("""COMPUTED_VALUE"""),322.0)</f>
        <v>322</v>
      </c>
      <c r="M1725" s="5">
        <f>IFERROR(__xludf.DUMMYFUNCTION("""COMPUTED_VALUE"""),0.9907692307692307)</f>
        <v>0.9907692308</v>
      </c>
    </row>
    <row r="1726">
      <c r="A1726" s="10" t="str">
        <f>IFERROR(__xludf.DUMMYFUNCTION("""COMPUTED_VALUE"""),"杏杏")</f>
        <v>杏杏</v>
      </c>
      <c r="B1726" s="10">
        <f>IFERROR(__xludf.DUMMYFUNCTION("""COMPUTED_VALUE"""),1400.0)</f>
        <v>1400</v>
      </c>
      <c r="C1726" s="10">
        <f>IFERROR(__xludf.DUMMYFUNCTION("""COMPUTED_VALUE"""),16316.0)</f>
        <v>16316</v>
      </c>
      <c r="D1726" s="5">
        <f>IFERROR(__xludf.DUMMYFUNCTION("""COMPUTED_VALUE"""),0.4316840976133012)</f>
        <v>0.4316840976</v>
      </c>
      <c r="E1726" s="5">
        <f>IFERROR(__xludf.DUMMYFUNCTION("""COMPUTED_VALUE"""),0.13441941539286673)</f>
        <v>0.1344194154</v>
      </c>
      <c r="F1726" s="5">
        <f>IFERROR(__xludf.DUMMYFUNCTION("""COMPUTED_VALUE"""),0.22371949584338965)</f>
        <v>0.2237194958</v>
      </c>
      <c r="G1726" s="5">
        <f>IFERROR(__xludf.DUMMYFUNCTION("""COMPUTED_VALUE"""),0.16827567712523464)</f>
        <v>0.1682756771</v>
      </c>
      <c r="H1726" s="5">
        <f>IFERROR(__xludf.DUMMYFUNCTION("""COMPUTED_VALUE"""),0.6065328139047048)</f>
        <v>0.6065328139</v>
      </c>
      <c r="I1726" s="11">
        <f>IFERROR(__xludf.DUMMYFUNCTION("""COMPUTED_VALUE"""),5441.5942463290385)</f>
        <v>5441.594246</v>
      </c>
      <c r="J1726" s="10">
        <f>IFERROR(__xludf.DUMMYFUNCTION("""COMPUTED_VALUE"""),2.0)</f>
        <v>2</v>
      </c>
      <c r="K1726" s="5">
        <f>IFERROR(__xludf.DUMMYFUNCTION("""COMPUTED_VALUE"""),0.0014285714285714286)</f>
        <v>0.001428571429</v>
      </c>
      <c r="L1726" s="10">
        <f>IFERROR(__xludf.DUMMYFUNCTION("""COMPUTED_VALUE"""),0.0)</f>
        <v>0</v>
      </c>
      <c r="M1726" s="5">
        <f>IFERROR(__xludf.DUMMYFUNCTION("""COMPUTED_VALUE"""),0.0)</f>
        <v>0</v>
      </c>
    </row>
    <row r="1727">
      <c r="A1727" s="10" t="str">
        <f>IFERROR(__xludf.DUMMYFUNCTION("""COMPUTED_VALUE"""),"egisho2")</f>
        <v>egisho2</v>
      </c>
      <c r="B1727" s="10">
        <f>IFERROR(__xludf.DUMMYFUNCTION("""COMPUTED_VALUE"""),1098.0)</f>
        <v>1098</v>
      </c>
      <c r="C1727" s="10">
        <f>IFERROR(__xludf.DUMMYFUNCTION("""COMPUTED_VALUE"""),12875.0)</f>
        <v>12875</v>
      </c>
      <c r="D1727" s="5">
        <f>IFERROR(__xludf.DUMMYFUNCTION("""COMPUTED_VALUE"""),0.3377770230109536)</f>
        <v>0.337777023</v>
      </c>
      <c r="E1727" s="5">
        <f>IFERROR(__xludf.DUMMYFUNCTION("""COMPUTED_VALUE"""),0.13441453680903456)</f>
        <v>0.1344145368</v>
      </c>
      <c r="F1727" s="5">
        <f>IFERROR(__xludf.DUMMYFUNCTION("""COMPUTED_VALUE"""),0.2250148594718519)</f>
        <v>0.2250148595</v>
      </c>
      <c r="G1727" s="5">
        <f>IFERROR(__xludf.DUMMYFUNCTION("""COMPUTED_VALUE"""),0.16939797911182813)</f>
        <v>0.1693979791</v>
      </c>
      <c r="H1727" s="5">
        <f>IFERROR(__xludf.DUMMYFUNCTION("""COMPUTED_VALUE"""),0.6252830188679245)</f>
        <v>0.6252830189</v>
      </c>
      <c r="I1727" s="11">
        <f>IFERROR(__xludf.DUMMYFUNCTION("""COMPUTED_VALUE"""),5588.1509433962265)</f>
        <v>5588.150943</v>
      </c>
      <c r="J1727" s="10">
        <f>IFERROR(__xludf.DUMMYFUNCTION("""COMPUTED_VALUE"""),3.0)</f>
        <v>3</v>
      </c>
      <c r="K1727" s="5">
        <f>IFERROR(__xludf.DUMMYFUNCTION("""COMPUTED_VALUE"""),0.00273224043715847)</f>
        <v>0.002732240437</v>
      </c>
      <c r="L1727" s="10">
        <f>IFERROR(__xludf.DUMMYFUNCTION("""COMPUTED_VALUE"""),1098.0)</f>
        <v>1098</v>
      </c>
      <c r="M1727" s="5">
        <f>IFERROR(__xludf.DUMMYFUNCTION("""COMPUTED_VALUE"""),1.0)</f>
        <v>1</v>
      </c>
    </row>
    <row r="1728">
      <c r="A1728" s="10" t="str">
        <f>IFERROR(__xludf.DUMMYFUNCTION("""COMPUTED_VALUE"""),"逆鱗くん")</f>
        <v>逆鱗くん</v>
      </c>
      <c r="B1728" s="10">
        <f>IFERROR(__xludf.DUMMYFUNCTION("""COMPUTED_VALUE"""),118.0)</f>
        <v>118</v>
      </c>
      <c r="C1728" s="10">
        <f>IFERROR(__xludf.DUMMYFUNCTION("""COMPUTED_VALUE"""),1353.0)</f>
        <v>1353</v>
      </c>
      <c r="D1728" s="5">
        <f>IFERROR(__xludf.DUMMYFUNCTION("""COMPUTED_VALUE"""),0.3643724696356275)</f>
        <v>0.3643724696</v>
      </c>
      <c r="E1728" s="5">
        <f>IFERROR(__xludf.DUMMYFUNCTION("""COMPUTED_VALUE"""),0.13441295546558704)</f>
        <v>0.1344129555</v>
      </c>
      <c r="F1728" s="5">
        <f>IFERROR(__xludf.DUMMYFUNCTION("""COMPUTED_VALUE"""),0.2040485829959514)</f>
        <v>0.204048583</v>
      </c>
      <c r="G1728" s="5">
        <f>IFERROR(__xludf.DUMMYFUNCTION("""COMPUTED_VALUE"""),0.14412955465587043)</f>
        <v>0.1441295547</v>
      </c>
      <c r="H1728" s="5">
        <f>IFERROR(__xludf.DUMMYFUNCTION("""COMPUTED_VALUE"""),0.5793650793650794)</f>
        <v>0.5793650794</v>
      </c>
      <c r="I1728" s="11">
        <f>IFERROR(__xludf.DUMMYFUNCTION("""COMPUTED_VALUE"""),5121.825396825397)</f>
        <v>5121.825397</v>
      </c>
      <c r="J1728" s="10">
        <f>IFERROR(__xludf.DUMMYFUNCTION("""COMPUTED_VALUE"""),0.0)</f>
        <v>0</v>
      </c>
      <c r="K1728" s="5">
        <f>IFERROR(__xludf.DUMMYFUNCTION("""COMPUTED_VALUE"""),0.0)</f>
        <v>0</v>
      </c>
      <c r="L1728" s="10">
        <f>IFERROR(__xludf.DUMMYFUNCTION("""COMPUTED_VALUE"""),118.0)</f>
        <v>118</v>
      </c>
      <c r="M1728" s="5">
        <f>IFERROR(__xludf.DUMMYFUNCTION("""COMPUTED_VALUE"""),1.0)</f>
        <v>1</v>
      </c>
    </row>
    <row r="1729">
      <c r="A1729" s="10" t="str">
        <f>IFERROR(__xludf.DUMMYFUNCTION("""COMPUTED_VALUE"""),"rvp")</f>
        <v>rvp</v>
      </c>
      <c r="B1729" s="10">
        <f>IFERROR(__xludf.DUMMYFUNCTION("""COMPUTED_VALUE"""),417.0)</f>
        <v>417</v>
      </c>
      <c r="C1729" s="10">
        <f>IFERROR(__xludf.DUMMYFUNCTION("""COMPUTED_VALUE"""),4963.0)</f>
        <v>4963</v>
      </c>
      <c r="D1729" s="5">
        <f>IFERROR(__xludf.DUMMYFUNCTION("""COMPUTED_VALUE"""),0.3708754949406071)</f>
        <v>0.3708754949</v>
      </c>
      <c r="E1729" s="5">
        <f>IFERROR(__xludf.DUMMYFUNCTION("""COMPUTED_VALUE"""),0.13440387153541575)</f>
        <v>0.1344038715</v>
      </c>
      <c r="F1729" s="5">
        <f>IFERROR(__xludf.DUMMYFUNCTION("""COMPUTED_VALUE"""),0.2091948966124065)</f>
        <v>0.2091948966</v>
      </c>
      <c r="G1729" s="5">
        <f>IFERROR(__xludf.DUMMYFUNCTION("""COMPUTED_VALUE"""),0.18125824901011878)</f>
        <v>0.181258249</v>
      </c>
      <c r="H1729" s="5">
        <f>IFERROR(__xludf.DUMMYFUNCTION("""COMPUTED_VALUE"""),0.5920084121976866)</f>
        <v>0.5920084122</v>
      </c>
      <c r="I1729" s="11">
        <f>IFERROR(__xludf.DUMMYFUNCTION("""COMPUTED_VALUE"""),5594.5320715036805)</f>
        <v>5594.532072</v>
      </c>
      <c r="J1729" s="10">
        <f>IFERROR(__xludf.DUMMYFUNCTION("""COMPUTED_VALUE"""),0.0)</f>
        <v>0</v>
      </c>
      <c r="K1729" s="5">
        <f>IFERROR(__xludf.DUMMYFUNCTION("""COMPUTED_VALUE"""),0.0)</f>
        <v>0</v>
      </c>
      <c r="L1729" s="10">
        <f>IFERROR(__xludf.DUMMYFUNCTION("""COMPUTED_VALUE"""),417.0)</f>
        <v>417</v>
      </c>
      <c r="M1729" s="5">
        <f>IFERROR(__xludf.DUMMYFUNCTION("""COMPUTED_VALUE"""),1.0)</f>
        <v>1</v>
      </c>
    </row>
    <row r="1730">
      <c r="A1730" s="10" t="str">
        <f>IFERROR(__xludf.DUMMYFUNCTION("""COMPUTED_VALUE"""),"モティ")</f>
        <v>モティ</v>
      </c>
      <c r="B1730" s="10">
        <f>IFERROR(__xludf.DUMMYFUNCTION("""COMPUTED_VALUE"""),137.0)</f>
        <v>137</v>
      </c>
      <c r="C1730" s="10">
        <f>IFERROR(__xludf.DUMMYFUNCTION("""COMPUTED_VALUE"""),1640.0)</f>
        <v>1640</v>
      </c>
      <c r="D1730" s="5">
        <f>IFERROR(__xludf.DUMMYFUNCTION("""COMPUTED_VALUE"""),0.2821024617431803)</f>
        <v>0.2821024617</v>
      </c>
      <c r="E1730" s="5">
        <f>IFERROR(__xludf.DUMMYFUNCTION("""COMPUTED_VALUE"""),0.13439787092481703)</f>
        <v>0.1343978709</v>
      </c>
      <c r="F1730" s="5">
        <f>IFERROR(__xludf.DUMMYFUNCTION("""COMPUTED_VALUE"""),0.1989354624085163)</f>
        <v>0.1989354624</v>
      </c>
      <c r="G1730" s="5">
        <f>IFERROR(__xludf.DUMMYFUNCTION("""COMPUTED_VALUE"""),0.1590153027278776)</f>
        <v>0.1590153027</v>
      </c>
      <c r="H1730" s="5">
        <f>IFERROR(__xludf.DUMMYFUNCTION("""COMPUTED_VALUE"""),0.5752508361204013)</f>
        <v>0.5752508361</v>
      </c>
      <c r="I1730" s="11">
        <f>IFERROR(__xludf.DUMMYFUNCTION("""COMPUTED_VALUE"""),5797.658862876254)</f>
        <v>5797.658863</v>
      </c>
      <c r="J1730" s="10">
        <f>IFERROR(__xludf.DUMMYFUNCTION("""COMPUTED_VALUE"""),0.0)</f>
        <v>0</v>
      </c>
      <c r="K1730" s="5">
        <f>IFERROR(__xludf.DUMMYFUNCTION("""COMPUTED_VALUE"""),0.0)</f>
        <v>0</v>
      </c>
      <c r="L1730" s="10">
        <f>IFERROR(__xludf.DUMMYFUNCTION("""COMPUTED_VALUE"""),137.0)</f>
        <v>137</v>
      </c>
      <c r="M1730" s="5">
        <f>IFERROR(__xludf.DUMMYFUNCTION("""COMPUTED_VALUE"""),1.0)</f>
        <v>1</v>
      </c>
    </row>
    <row r="1731">
      <c r="A1731" s="10" t="str">
        <f>IFERROR(__xludf.DUMMYFUNCTION("""COMPUTED_VALUE"""),"たっけすん")</f>
        <v>たっけすん</v>
      </c>
      <c r="B1731" s="10">
        <f>IFERROR(__xludf.DUMMYFUNCTION("""COMPUTED_VALUE"""),147.0)</f>
        <v>147</v>
      </c>
      <c r="C1731" s="10">
        <f>IFERROR(__xludf.DUMMYFUNCTION("""COMPUTED_VALUE"""),1784.0)</f>
        <v>1784</v>
      </c>
      <c r="D1731" s="5">
        <f>IFERROR(__xludf.DUMMYFUNCTION("""COMPUTED_VALUE"""),0.23213194868662188)</f>
        <v>0.2321319487</v>
      </c>
      <c r="E1731" s="5">
        <f>IFERROR(__xludf.DUMMYFUNCTION("""COMPUTED_VALUE"""),0.13439218081857054)</f>
        <v>0.1343921808</v>
      </c>
      <c r="F1731" s="5">
        <f>IFERROR(__xludf.DUMMYFUNCTION("""COMPUTED_VALUE"""),0.2009773976786805)</f>
        <v>0.2009773977</v>
      </c>
      <c r="G1731" s="5">
        <f>IFERROR(__xludf.DUMMYFUNCTION("""COMPUTED_VALUE"""),0.19242516799022602)</f>
        <v>0.192425168</v>
      </c>
      <c r="H1731" s="5">
        <f>IFERROR(__xludf.DUMMYFUNCTION("""COMPUTED_VALUE"""),0.6322188449848024)</f>
        <v>0.632218845</v>
      </c>
      <c r="I1731" s="11">
        <f>IFERROR(__xludf.DUMMYFUNCTION("""COMPUTED_VALUE"""),6089.665653495441)</f>
        <v>6089.665653</v>
      </c>
      <c r="J1731" s="10">
        <f>IFERROR(__xludf.DUMMYFUNCTION("""COMPUTED_VALUE"""),0.0)</f>
        <v>0</v>
      </c>
      <c r="K1731" s="5">
        <f>IFERROR(__xludf.DUMMYFUNCTION("""COMPUTED_VALUE"""),0.0)</f>
        <v>0</v>
      </c>
      <c r="L1731" s="10">
        <f>IFERROR(__xludf.DUMMYFUNCTION("""COMPUTED_VALUE"""),147.0)</f>
        <v>147</v>
      </c>
      <c r="M1731" s="5">
        <f>IFERROR(__xludf.DUMMYFUNCTION("""COMPUTED_VALUE"""),1.0)</f>
        <v>1</v>
      </c>
    </row>
    <row r="1732">
      <c r="A1732" s="10" t="str">
        <f>IFERROR(__xludf.DUMMYFUNCTION("""COMPUTED_VALUE"""),"寸ちゃん")</f>
        <v>寸ちゃん</v>
      </c>
      <c r="B1732" s="10">
        <f>IFERROR(__xludf.DUMMYFUNCTION("""COMPUTED_VALUE"""),911.0)</f>
        <v>911</v>
      </c>
      <c r="C1732" s="10">
        <f>IFERROR(__xludf.DUMMYFUNCTION("""COMPUTED_VALUE"""),10689.0)</f>
        <v>10689</v>
      </c>
      <c r="D1732" s="5">
        <f>IFERROR(__xludf.DUMMYFUNCTION("""COMPUTED_VALUE"""),0.32184495806913477)</f>
        <v>0.3218449581</v>
      </c>
      <c r="E1732" s="5">
        <f>IFERROR(__xludf.DUMMYFUNCTION("""COMPUTED_VALUE"""),0.13438330947023933)</f>
        <v>0.1343833095</v>
      </c>
      <c r="F1732" s="5">
        <f>IFERROR(__xludf.DUMMYFUNCTION("""COMPUTED_VALUE"""),0.22223358560032727)</f>
        <v>0.2222335856</v>
      </c>
      <c r="G1732" s="5">
        <f>IFERROR(__xludf.DUMMYFUNCTION("""COMPUTED_VALUE"""),0.14461034976477807)</f>
        <v>0.1446103498</v>
      </c>
      <c r="H1732" s="5">
        <f>IFERROR(__xludf.DUMMYFUNCTION("""COMPUTED_VALUE"""),0.6208007363092499)</f>
        <v>0.6208007363</v>
      </c>
      <c r="I1732" s="11">
        <f>IFERROR(__xludf.DUMMYFUNCTION("""COMPUTED_VALUE"""),5649.2867004141735)</f>
        <v>5649.2867</v>
      </c>
      <c r="J1732" s="10">
        <f>IFERROR(__xludf.DUMMYFUNCTION("""COMPUTED_VALUE"""),1.0)</f>
        <v>1</v>
      </c>
      <c r="K1732" s="5">
        <f>IFERROR(__xludf.DUMMYFUNCTION("""COMPUTED_VALUE"""),0.0010976948408342481)</f>
        <v>0.001097694841</v>
      </c>
      <c r="L1732" s="10">
        <f>IFERROR(__xludf.DUMMYFUNCTION("""COMPUTED_VALUE"""),911.0)</f>
        <v>911</v>
      </c>
      <c r="M1732" s="5">
        <f>IFERROR(__xludf.DUMMYFUNCTION("""COMPUTED_VALUE"""),1.0)</f>
        <v>1</v>
      </c>
    </row>
    <row r="1733">
      <c r="A1733" s="10" t="str">
        <f>IFERROR(__xludf.DUMMYFUNCTION("""COMPUTED_VALUE"""),"mochiズキ")</f>
        <v>mochiズキ</v>
      </c>
      <c r="B1733" s="10">
        <f>IFERROR(__xludf.DUMMYFUNCTION("""COMPUTED_VALUE"""),177.0)</f>
        <v>177</v>
      </c>
      <c r="C1733" s="10">
        <f>IFERROR(__xludf.DUMMYFUNCTION("""COMPUTED_VALUE"""),2082.0)</f>
        <v>2082</v>
      </c>
      <c r="D1733" s="5">
        <f>IFERROR(__xludf.DUMMYFUNCTION("""COMPUTED_VALUE"""),0.3606299212598425)</f>
        <v>0.3606299213</v>
      </c>
      <c r="E1733" s="5">
        <f>IFERROR(__xludf.DUMMYFUNCTION("""COMPUTED_VALUE"""),0.13438320209973753)</f>
        <v>0.1343832021</v>
      </c>
      <c r="F1733" s="5">
        <f>IFERROR(__xludf.DUMMYFUNCTION("""COMPUTED_VALUE"""),0.2089238845144357)</f>
        <v>0.2089238845</v>
      </c>
      <c r="G1733" s="5">
        <f>IFERROR(__xludf.DUMMYFUNCTION("""COMPUTED_VALUE"""),0.1994750656167979)</f>
        <v>0.1994750656</v>
      </c>
      <c r="H1733" s="5">
        <f>IFERROR(__xludf.DUMMYFUNCTION("""COMPUTED_VALUE"""),0.5753768844221105)</f>
        <v>0.5753768844</v>
      </c>
      <c r="I1733" s="11">
        <f>IFERROR(__xludf.DUMMYFUNCTION("""COMPUTED_VALUE"""),5658.291457286432)</f>
        <v>5658.291457</v>
      </c>
      <c r="J1733" s="10">
        <f>IFERROR(__xludf.DUMMYFUNCTION("""COMPUTED_VALUE"""),1.0)</f>
        <v>1</v>
      </c>
      <c r="K1733" s="5">
        <f>IFERROR(__xludf.DUMMYFUNCTION("""COMPUTED_VALUE"""),0.005649717514124294)</f>
        <v>0.005649717514</v>
      </c>
      <c r="L1733" s="10">
        <f>IFERROR(__xludf.DUMMYFUNCTION("""COMPUTED_VALUE"""),177.0)</f>
        <v>177</v>
      </c>
      <c r="M1733" s="5">
        <f>IFERROR(__xludf.DUMMYFUNCTION("""COMPUTED_VALUE"""),1.0)</f>
        <v>1</v>
      </c>
    </row>
    <row r="1734">
      <c r="A1734" s="10" t="str">
        <f>IFERROR(__xludf.DUMMYFUNCTION("""COMPUTED_VALUE"""),"シュウマイ")</f>
        <v>シュウマイ</v>
      </c>
      <c r="B1734" s="10">
        <f>IFERROR(__xludf.DUMMYFUNCTION("""COMPUTED_VALUE"""),359.0)</f>
        <v>359</v>
      </c>
      <c r="C1734" s="10">
        <f>IFERROR(__xludf.DUMMYFUNCTION("""COMPUTED_VALUE"""),4117.0)</f>
        <v>4117</v>
      </c>
      <c r="D1734" s="5">
        <f>IFERROR(__xludf.DUMMYFUNCTION("""COMPUTED_VALUE"""),0.344598190526876)</f>
        <v>0.3445981905</v>
      </c>
      <c r="E1734" s="5">
        <f>IFERROR(__xludf.DUMMYFUNCTION("""COMPUTED_VALUE"""),0.13437998935604045)</f>
        <v>0.1343799894</v>
      </c>
      <c r="F1734" s="5">
        <f>IFERROR(__xludf.DUMMYFUNCTION("""COMPUTED_VALUE"""),0.19771154869611496)</f>
        <v>0.1977115487</v>
      </c>
      <c r="G1734" s="5">
        <f>IFERROR(__xludf.DUMMYFUNCTION("""COMPUTED_VALUE"""),0.17030335284725917)</f>
        <v>0.1703033528</v>
      </c>
      <c r="H1734" s="5">
        <f>IFERROR(__xludf.DUMMYFUNCTION("""COMPUTED_VALUE"""),0.6231493943472409)</f>
        <v>0.6231493943</v>
      </c>
      <c r="I1734" s="11">
        <f>IFERROR(__xludf.DUMMYFUNCTION("""COMPUTED_VALUE"""),5988.829071332436)</f>
        <v>5988.829071</v>
      </c>
      <c r="J1734" s="10">
        <f>IFERROR(__xludf.DUMMYFUNCTION("""COMPUTED_VALUE"""),3.0)</f>
        <v>3</v>
      </c>
      <c r="K1734" s="5">
        <f>IFERROR(__xludf.DUMMYFUNCTION("""COMPUTED_VALUE"""),0.008356545961002786)</f>
        <v>0.008356545961</v>
      </c>
      <c r="L1734" s="10">
        <f>IFERROR(__xludf.DUMMYFUNCTION("""COMPUTED_VALUE"""),359.0)</f>
        <v>359</v>
      </c>
      <c r="M1734" s="5">
        <f>IFERROR(__xludf.DUMMYFUNCTION("""COMPUTED_VALUE"""),1.0)</f>
        <v>1</v>
      </c>
    </row>
    <row r="1735">
      <c r="A1735" s="10" t="str">
        <f>IFERROR(__xludf.DUMMYFUNCTION("""COMPUTED_VALUE"""),"お前弱い")</f>
        <v>お前弱い</v>
      </c>
      <c r="B1735" s="10">
        <f>IFERROR(__xludf.DUMMYFUNCTION("""COMPUTED_VALUE"""),134.0)</f>
        <v>134</v>
      </c>
      <c r="C1735" s="10">
        <f>IFERROR(__xludf.DUMMYFUNCTION("""COMPUTED_VALUE"""),1600.0)</f>
        <v>1600</v>
      </c>
      <c r="D1735" s="5">
        <f>IFERROR(__xludf.DUMMYFUNCTION("""COMPUTED_VALUE"""),0.3942701227830832)</f>
        <v>0.3942701228</v>
      </c>
      <c r="E1735" s="5">
        <f>IFERROR(__xludf.DUMMYFUNCTION("""COMPUTED_VALUE"""),0.13437926330150068)</f>
        <v>0.1343792633</v>
      </c>
      <c r="F1735" s="5">
        <f>IFERROR(__xludf.DUMMYFUNCTION("""COMPUTED_VALUE"""),0.2189631650750341)</f>
        <v>0.2189631651</v>
      </c>
      <c r="G1735" s="5">
        <f>IFERROR(__xludf.DUMMYFUNCTION("""COMPUTED_VALUE"""),0.165075034106412)</f>
        <v>0.1650750341</v>
      </c>
      <c r="H1735" s="5">
        <f>IFERROR(__xludf.DUMMYFUNCTION("""COMPUTED_VALUE"""),0.6012461059190031)</f>
        <v>0.6012461059</v>
      </c>
      <c r="I1735" s="11">
        <f>IFERROR(__xludf.DUMMYFUNCTION("""COMPUTED_VALUE"""),5539.8753894081)</f>
        <v>5539.875389</v>
      </c>
      <c r="J1735" s="10">
        <f>IFERROR(__xludf.DUMMYFUNCTION("""COMPUTED_VALUE"""),0.0)</f>
        <v>0</v>
      </c>
      <c r="K1735" s="5">
        <f>IFERROR(__xludf.DUMMYFUNCTION("""COMPUTED_VALUE"""),0.0)</f>
        <v>0</v>
      </c>
      <c r="L1735" s="10">
        <f>IFERROR(__xludf.DUMMYFUNCTION("""COMPUTED_VALUE"""),8.0)</f>
        <v>8</v>
      </c>
      <c r="M1735" s="5">
        <f>IFERROR(__xludf.DUMMYFUNCTION("""COMPUTED_VALUE"""),0.05970149253731343)</f>
        <v>0.05970149254</v>
      </c>
    </row>
    <row r="1736">
      <c r="A1736" s="10" t="str">
        <f>IFERROR(__xludf.DUMMYFUNCTION("""COMPUTED_VALUE"""),"タ～坊")</f>
        <v>タ～坊</v>
      </c>
      <c r="B1736" s="10">
        <f>IFERROR(__xludf.DUMMYFUNCTION("""COMPUTED_VALUE"""),635.0)</f>
        <v>635</v>
      </c>
      <c r="C1736" s="10">
        <f>IFERROR(__xludf.DUMMYFUNCTION("""COMPUTED_VALUE"""),7593.0)</f>
        <v>7593</v>
      </c>
      <c r="D1736" s="5">
        <f>IFERROR(__xludf.DUMMYFUNCTION("""COMPUTED_VALUE"""),0.4101753377407301)</f>
        <v>0.4101753377</v>
      </c>
      <c r="E1736" s="5">
        <f>IFERROR(__xludf.DUMMYFUNCTION("""COMPUTED_VALUE"""),0.13437769473986777)</f>
        <v>0.1343776947</v>
      </c>
      <c r="F1736" s="5">
        <f>IFERROR(__xludf.DUMMYFUNCTION("""COMPUTED_VALUE"""),0.21773498131647026)</f>
        <v>0.2177349813</v>
      </c>
      <c r="G1736" s="5">
        <f>IFERROR(__xludf.DUMMYFUNCTION("""COMPUTED_VALUE"""),0.1895659672319632)</f>
        <v>0.1895659672</v>
      </c>
      <c r="H1736" s="5">
        <f>IFERROR(__xludf.DUMMYFUNCTION("""COMPUTED_VALUE"""),0.5861386138613861)</f>
        <v>0.5861386139</v>
      </c>
      <c r="I1736" s="11">
        <f>IFERROR(__xludf.DUMMYFUNCTION("""COMPUTED_VALUE"""),5371.089108910891)</f>
        <v>5371.089109</v>
      </c>
      <c r="J1736" s="10">
        <f>IFERROR(__xludf.DUMMYFUNCTION("""COMPUTED_VALUE"""),1.0)</f>
        <v>1</v>
      </c>
      <c r="K1736" s="5">
        <f>IFERROR(__xludf.DUMMYFUNCTION("""COMPUTED_VALUE"""),0.0015748031496062992)</f>
        <v>0.00157480315</v>
      </c>
      <c r="L1736" s="10">
        <f>IFERROR(__xludf.DUMMYFUNCTION("""COMPUTED_VALUE"""),635.0)</f>
        <v>635</v>
      </c>
      <c r="M1736" s="5">
        <f>IFERROR(__xludf.DUMMYFUNCTION("""COMPUTED_VALUE"""),1.0)</f>
        <v>1</v>
      </c>
    </row>
    <row r="1737">
      <c r="A1737" s="10" t="str">
        <f>IFERROR(__xludf.DUMMYFUNCTION("""COMPUTED_VALUE"""),"しゃとん")</f>
        <v>しゃとん</v>
      </c>
      <c r="B1737" s="10">
        <f>IFERROR(__xludf.DUMMYFUNCTION("""COMPUTED_VALUE"""),297.0)</f>
        <v>297</v>
      </c>
      <c r="C1737" s="10">
        <f>IFERROR(__xludf.DUMMYFUNCTION("""COMPUTED_VALUE"""),3430.0)</f>
        <v>3430</v>
      </c>
      <c r="D1737" s="5">
        <f>IFERROR(__xludf.DUMMYFUNCTION("""COMPUTED_VALUE"""),0.35493137567826366)</f>
        <v>0.3549313757</v>
      </c>
      <c r="E1737" s="5">
        <f>IFERROR(__xludf.DUMMYFUNCTION("""COMPUTED_VALUE"""),0.13437599744653686)</f>
        <v>0.1343759974</v>
      </c>
      <c r="F1737" s="5">
        <f>IFERROR(__xludf.DUMMYFUNCTION("""COMPUTED_VALUE"""),0.2081072454516438)</f>
        <v>0.2081072455</v>
      </c>
      <c r="G1737" s="5">
        <f>IFERROR(__xludf.DUMMYFUNCTION("""COMPUTED_VALUE"""),0.15512288541334185)</f>
        <v>0.1551228854</v>
      </c>
      <c r="H1737" s="5">
        <f>IFERROR(__xludf.DUMMYFUNCTION("""COMPUTED_VALUE"""),0.5996932515337423)</f>
        <v>0.5996932515</v>
      </c>
      <c r="I1737" s="11">
        <f>IFERROR(__xludf.DUMMYFUNCTION("""COMPUTED_VALUE"""),5405.061349693252)</f>
        <v>5405.06135</v>
      </c>
      <c r="J1737" s="10">
        <f>IFERROR(__xludf.DUMMYFUNCTION("""COMPUTED_VALUE"""),2.0)</f>
        <v>2</v>
      </c>
      <c r="K1737" s="5">
        <f>IFERROR(__xludf.DUMMYFUNCTION("""COMPUTED_VALUE"""),0.006734006734006734)</f>
        <v>0.006734006734</v>
      </c>
      <c r="L1737" s="10">
        <f>IFERROR(__xludf.DUMMYFUNCTION("""COMPUTED_VALUE"""),297.0)</f>
        <v>297</v>
      </c>
      <c r="M1737" s="5">
        <f>IFERROR(__xludf.DUMMYFUNCTION("""COMPUTED_VALUE"""),1.0)</f>
        <v>1</v>
      </c>
    </row>
    <row r="1738">
      <c r="A1738" s="10" t="str">
        <f>IFERROR(__xludf.DUMMYFUNCTION("""COMPUTED_VALUE"""),"コットン05")</f>
        <v>コットン05</v>
      </c>
      <c r="B1738" s="10">
        <f>IFERROR(__xludf.DUMMYFUNCTION("""COMPUTED_VALUE"""),423.0)</f>
        <v>423</v>
      </c>
      <c r="C1738" s="10">
        <f>IFERROR(__xludf.DUMMYFUNCTION("""COMPUTED_VALUE"""),4903.0)</f>
        <v>4903</v>
      </c>
      <c r="D1738" s="5">
        <f>IFERROR(__xludf.DUMMYFUNCTION("""COMPUTED_VALUE"""),0.3301339285714286)</f>
        <v>0.3301339286</v>
      </c>
      <c r="E1738" s="5">
        <f>IFERROR(__xludf.DUMMYFUNCTION("""COMPUTED_VALUE"""),0.134375)</f>
        <v>0.134375</v>
      </c>
      <c r="F1738" s="5">
        <f>IFERROR(__xludf.DUMMYFUNCTION("""COMPUTED_VALUE"""),0.20513392857142856)</f>
        <v>0.2051339286</v>
      </c>
      <c r="G1738" s="5">
        <f>IFERROR(__xludf.DUMMYFUNCTION("""COMPUTED_VALUE"""),0.18950892857142856)</f>
        <v>0.1895089286</v>
      </c>
      <c r="H1738" s="5">
        <f>IFERROR(__xludf.DUMMYFUNCTION("""COMPUTED_VALUE"""),0.5821545157780196)</f>
        <v>0.5821545158</v>
      </c>
      <c r="I1738" s="11">
        <f>IFERROR(__xludf.DUMMYFUNCTION("""COMPUTED_VALUE"""),5922.85092491839)</f>
        <v>5922.850925</v>
      </c>
      <c r="J1738" s="10">
        <f>IFERROR(__xludf.DUMMYFUNCTION("""COMPUTED_VALUE"""),0.0)</f>
        <v>0</v>
      </c>
      <c r="K1738" s="5">
        <f>IFERROR(__xludf.DUMMYFUNCTION("""COMPUTED_VALUE"""),0.0)</f>
        <v>0</v>
      </c>
      <c r="L1738" s="10">
        <f>IFERROR(__xludf.DUMMYFUNCTION("""COMPUTED_VALUE"""),423.0)</f>
        <v>423</v>
      </c>
      <c r="M1738" s="5">
        <f>IFERROR(__xludf.DUMMYFUNCTION("""COMPUTED_VALUE"""),1.0)</f>
        <v>1</v>
      </c>
    </row>
    <row r="1739">
      <c r="A1739" s="10" t="str">
        <f>IFERROR(__xludf.DUMMYFUNCTION("""COMPUTED_VALUE"""),"神風てぃっしゅ")</f>
        <v>神風てぃっしゅ</v>
      </c>
      <c r="B1739" s="10">
        <f>IFERROR(__xludf.DUMMYFUNCTION("""COMPUTED_VALUE"""),578.0)</f>
        <v>578</v>
      </c>
      <c r="C1739" s="10">
        <f>IFERROR(__xludf.DUMMYFUNCTION("""COMPUTED_VALUE"""),6755.0)</f>
        <v>6755</v>
      </c>
      <c r="D1739" s="5">
        <f>IFERROR(__xludf.DUMMYFUNCTION("""COMPUTED_VALUE"""),0.30645944633317146)</f>
        <v>0.3064594463</v>
      </c>
      <c r="E1739" s="5">
        <f>IFERROR(__xludf.DUMMYFUNCTION("""COMPUTED_VALUE"""),0.13436943500080945)</f>
        <v>0.134369435</v>
      </c>
      <c r="F1739" s="5">
        <f>IFERROR(__xludf.DUMMYFUNCTION("""COMPUTED_VALUE"""),0.19491662619394529)</f>
        <v>0.1949166262</v>
      </c>
      <c r="G1739" s="5">
        <f>IFERROR(__xludf.DUMMYFUNCTION("""COMPUTED_VALUE"""),0.17095677513355997)</f>
        <v>0.1709567751</v>
      </c>
      <c r="H1739" s="5">
        <f>IFERROR(__xludf.DUMMYFUNCTION("""COMPUTED_VALUE"""),0.6079734219269103)</f>
        <v>0.6079734219</v>
      </c>
      <c r="I1739" s="11">
        <f>IFERROR(__xludf.DUMMYFUNCTION("""COMPUTED_VALUE"""),6225.332225913621)</f>
        <v>6225.332226</v>
      </c>
      <c r="J1739" s="10">
        <f>IFERROR(__xludf.DUMMYFUNCTION("""COMPUTED_VALUE"""),4.0)</f>
        <v>4</v>
      </c>
      <c r="K1739" s="5">
        <f>IFERROR(__xludf.DUMMYFUNCTION("""COMPUTED_VALUE"""),0.006920415224913495)</f>
        <v>0.006920415225</v>
      </c>
      <c r="L1739" s="10">
        <f>IFERROR(__xludf.DUMMYFUNCTION("""COMPUTED_VALUE"""),578.0)</f>
        <v>578</v>
      </c>
      <c r="M1739" s="5">
        <f>IFERROR(__xludf.DUMMYFUNCTION("""COMPUTED_VALUE"""),1.0)</f>
        <v>1</v>
      </c>
    </row>
    <row r="1740">
      <c r="A1740" s="10" t="str">
        <f>IFERROR(__xludf.DUMMYFUNCTION("""COMPUTED_VALUE"""),"baraado")</f>
        <v>baraado</v>
      </c>
      <c r="B1740" s="10">
        <f>IFERROR(__xludf.DUMMYFUNCTION("""COMPUTED_VALUE"""),1085.0)</f>
        <v>1085</v>
      </c>
      <c r="C1740" s="10">
        <f>IFERROR(__xludf.DUMMYFUNCTION("""COMPUTED_VALUE"""),12606.0)</f>
        <v>12606</v>
      </c>
      <c r="D1740" s="5">
        <f>IFERROR(__xludf.DUMMYFUNCTION("""COMPUTED_VALUE"""),0.4008332610016492)</f>
        <v>0.400833261</v>
      </c>
      <c r="E1740" s="5">
        <f>IFERROR(__xludf.DUMMYFUNCTION("""COMPUTED_VALUE"""),0.13436333651592744)</f>
        <v>0.1343633365</v>
      </c>
      <c r="F1740" s="5">
        <f>IFERROR(__xludf.DUMMYFUNCTION("""COMPUTED_VALUE"""),0.21126638312646473)</f>
        <v>0.2112663831</v>
      </c>
      <c r="G1740" s="5">
        <f>IFERROR(__xludf.DUMMYFUNCTION("""COMPUTED_VALUE"""),0.17941150941758527)</f>
        <v>0.1794115094</v>
      </c>
      <c r="H1740" s="5">
        <f>IFERROR(__xludf.DUMMYFUNCTION("""COMPUTED_VALUE"""),0.5760065735414954)</f>
        <v>0.5760065735</v>
      </c>
      <c r="I1740" s="11">
        <f>IFERROR(__xludf.DUMMYFUNCTION("""COMPUTED_VALUE"""),5373.829087921117)</f>
        <v>5373.829088</v>
      </c>
      <c r="J1740" s="10">
        <f>IFERROR(__xludf.DUMMYFUNCTION("""COMPUTED_VALUE"""),3.0)</f>
        <v>3</v>
      </c>
      <c r="K1740" s="5">
        <f>IFERROR(__xludf.DUMMYFUNCTION("""COMPUTED_VALUE"""),0.0027649769585253456)</f>
        <v>0.002764976959</v>
      </c>
      <c r="L1740" s="10">
        <f>IFERROR(__xludf.DUMMYFUNCTION("""COMPUTED_VALUE"""),1085.0)</f>
        <v>1085</v>
      </c>
      <c r="M1740" s="5">
        <f>IFERROR(__xludf.DUMMYFUNCTION("""COMPUTED_VALUE"""),1.0)</f>
        <v>1</v>
      </c>
    </row>
    <row r="1741">
      <c r="A1741" s="10" t="str">
        <f>IFERROR(__xludf.DUMMYFUNCTION("""COMPUTED_VALUE"""),"x三國健次郎x")</f>
        <v>x三國健次郎x</v>
      </c>
      <c r="B1741" s="10">
        <f>IFERROR(__xludf.DUMMYFUNCTION("""COMPUTED_VALUE"""),242.0)</f>
        <v>242</v>
      </c>
      <c r="C1741" s="10">
        <f>IFERROR(__xludf.DUMMYFUNCTION("""COMPUTED_VALUE"""),2847.0)</f>
        <v>2847</v>
      </c>
      <c r="D1741" s="5">
        <f>IFERROR(__xludf.DUMMYFUNCTION("""COMPUTED_VALUE"""),0.3047984644913628)</f>
        <v>0.3047984645</v>
      </c>
      <c r="E1741" s="5">
        <f>IFERROR(__xludf.DUMMYFUNCTION("""COMPUTED_VALUE"""),0.1343570057581574)</f>
        <v>0.1343570058</v>
      </c>
      <c r="F1741" s="5">
        <f>IFERROR(__xludf.DUMMYFUNCTION("""COMPUTED_VALUE"""),0.2145873320537428)</f>
        <v>0.2145873321</v>
      </c>
      <c r="G1741" s="5">
        <f>IFERROR(__xludf.DUMMYFUNCTION("""COMPUTED_VALUE"""),0.17543186180422266)</f>
        <v>0.1754318618</v>
      </c>
      <c r="H1741" s="5">
        <f>IFERROR(__xludf.DUMMYFUNCTION("""COMPUTED_VALUE"""),0.6064400715563506)</f>
        <v>0.6064400716</v>
      </c>
      <c r="I1741" s="11">
        <f>IFERROR(__xludf.DUMMYFUNCTION("""COMPUTED_VALUE"""),5911.806797853309)</f>
        <v>5911.806798</v>
      </c>
      <c r="J1741" s="10">
        <f>IFERROR(__xludf.DUMMYFUNCTION("""COMPUTED_VALUE"""),0.0)</f>
        <v>0</v>
      </c>
      <c r="K1741" s="5">
        <f>IFERROR(__xludf.DUMMYFUNCTION("""COMPUTED_VALUE"""),0.0)</f>
        <v>0</v>
      </c>
      <c r="L1741" s="10">
        <f>IFERROR(__xludf.DUMMYFUNCTION("""COMPUTED_VALUE"""),242.0)</f>
        <v>242</v>
      </c>
      <c r="M1741" s="5">
        <f>IFERROR(__xludf.DUMMYFUNCTION("""COMPUTED_VALUE"""),1.0)</f>
        <v>1</v>
      </c>
    </row>
    <row r="1742">
      <c r="A1742" s="10" t="str">
        <f>IFERROR(__xludf.DUMMYFUNCTION("""COMPUTED_VALUE"""),"株つらい")</f>
        <v>株つらい</v>
      </c>
      <c r="B1742" s="10">
        <f>IFERROR(__xludf.DUMMYFUNCTION("""COMPUTED_VALUE"""),376.0)</f>
        <v>376</v>
      </c>
      <c r="C1742" s="10">
        <f>IFERROR(__xludf.DUMMYFUNCTION("""COMPUTED_VALUE"""),4291.0)</f>
        <v>4291</v>
      </c>
      <c r="D1742" s="5">
        <f>IFERROR(__xludf.DUMMYFUNCTION("""COMPUTED_VALUE"""),0.3504469987228608)</f>
        <v>0.3504469987</v>
      </c>
      <c r="E1742" s="5">
        <f>IFERROR(__xludf.DUMMYFUNCTION("""COMPUTED_VALUE"""),0.13435504469987228)</f>
        <v>0.1343550447</v>
      </c>
      <c r="F1742" s="5">
        <f>IFERROR(__xludf.DUMMYFUNCTION("""COMPUTED_VALUE"""),0.23295019157088123)</f>
        <v>0.2329501916</v>
      </c>
      <c r="G1742" s="5">
        <f>IFERROR(__xludf.DUMMYFUNCTION("""COMPUTED_VALUE"""),0.19361430395913154)</f>
        <v>0.193614304</v>
      </c>
      <c r="H1742" s="5">
        <f>IFERROR(__xludf.DUMMYFUNCTION("""COMPUTED_VALUE"""),0.5822368421052632)</f>
        <v>0.5822368421</v>
      </c>
      <c r="I1742" s="11">
        <f>IFERROR(__xludf.DUMMYFUNCTION("""COMPUTED_VALUE"""),5708.004385964912)</f>
        <v>5708.004386</v>
      </c>
      <c r="J1742" s="10">
        <f>IFERROR(__xludf.DUMMYFUNCTION("""COMPUTED_VALUE"""),2.0)</f>
        <v>2</v>
      </c>
      <c r="K1742" s="5">
        <f>IFERROR(__xludf.DUMMYFUNCTION("""COMPUTED_VALUE"""),0.005319148936170213)</f>
        <v>0.005319148936</v>
      </c>
      <c r="L1742" s="10">
        <f>IFERROR(__xludf.DUMMYFUNCTION("""COMPUTED_VALUE"""),376.0)</f>
        <v>376</v>
      </c>
      <c r="M1742" s="5">
        <f>IFERROR(__xludf.DUMMYFUNCTION("""COMPUTED_VALUE"""),1.0)</f>
        <v>1</v>
      </c>
    </row>
    <row r="1743">
      <c r="A1743" s="10" t="str">
        <f>IFERROR(__xludf.DUMMYFUNCTION("""COMPUTED_VALUE"""),"tugami")</f>
        <v>tugami</v>
      </c>
      <c r="B1743" s="10">
        <f>IFERROR(__xludf.DUMMYFUNCTION("""COMPUTED_VALUE"""),1584.0)</f>
        <v>1584</v>
      </c>
      <c r="C1743" s="10">
        <f>IFERROR(__xludf.DUMMYFUNCTION("""COMPUTED_VALUE"""),18406.0)</f>
        <v>18406</v>
      </c>
      <c r="D1743" s="5">
        <f>IFERROR(__xludf.DUMMYFUNCTION("""COMPUTED_VALUE"""),0.3564379978599453)</f>
        <v>0.3564379979</v>
      </c>
      <c r="E1743" s="5">
        <f>IFERROR(__xludf.DUMMYFUNCTION("""COMPUTED_VALUE"""),0.1343478777790988)</f>
        <v>0.1343478778</v>
      </c>
      <c r="F1743" s="5">
        <f>IFERROR(__xludf.DUMMYFUNCTION("""COMPUTED_VALUE"""),0.21245987397455712)</f>
        <v>0.212459874</v>
      </c>
      <c r="G1743" s="5">
        <f>IFERROR(__xludf.DUMMYFUNCTION("""COMPUTED_VALUE"""),0.17364165973130424)</f>
        <v>0.1736416597</v>
      </c>
      <c r="H1743" s="5">
        <f>IFERROR(__xludf.DUMMYFUNCTION("""COMPUTED_VALUE"""),0.610800223838836)</f>
        <v>0.6108002238</v>
      </c>
      <c r="I1743" s="11">
        <f>IFERROR(__xludf.DUMMYFUNCTION("""COMPUTED_VALUE"""),5670.733072188024)</f>
        <v>5670.733072</v>
      </c>
      <c r="J1743" s="10">
        <f>IFERROR(__xludf.DUMMYFUNCTION("""COMPUTED_VALUE"""),2.0)</f>
        <v>2</v>
      </c>
      <c r="K1743" s="5">
        <f>IFERROR(__xludf.DUMMYFUNCTION("""COMPUTED_VALUE"""),0.0012626262626262627)</f>
        <v>0.001262626263</v>
      </c>
      <c r="L1743" s="10">
        <f>IFERROR(__xludf.DUMMYFUNCTION("""COMPUTED_VALUE"""),1584.0)</f>
        <v>1584</v>
      </c>
      <c r="M1743" s="5">
        <f>IFERROR(__xludf.DUMMYFUNCTION("""COMPUTED_VALUE"""),1.0)</f>
        <v>1</v>
      </c>
    </row>
    <row r="1744">
      <c r="A1744" s="10" t="str">
        <f>IFERROR(__xludf.DUMMYFUNCTION("""COMPUTED_VALUE"""),"ジョジョディオ")</f>
        <v>ジョジョディオ</v>
      </c>
      <c r="B1744" s="10">
        <f>IFERROR(__xludf.DUMMYFUNCTION("""COMPUTED_VALUE"""),969.0)</f>
        <v>969</v>
      </c>
      <c r="C1744" s="10">
        <f>IFERROR(__xludf.DUMMYFUNCTION("""COMPUTED_VALUE"""),11405.0)</f>
        <v>11405</v>
      </c>
      <c r="D1744" s="5">
        <f>IFERROR(__xludf.DUMMYFUNCTION("""COMPUTED_VALUE"""),0.31391337677270986)</f>
        <v>0.3139133768</v>
      </c>
      <c r="E1744" s="5">
        <f>IFERROR(__xludf.DUMMYFUNCTION("""COMPUTED_VALUE"""),0.13434266002299733)</f>
        <v>0.13434266</v>
      </c>
      <c r="F1744" s="5">
        <f>IFERROR(__xludf.DUMMYFUNCTION("""COMPUTED_VALUE"""),0.19461479494059025)</f>
        <v>0.1946147949</v>
      </c>
      <c r="G1744" s="5">
        <f>IFERROR(__xludf.DUMMYFUNCTION("""COMPUTED_VALUE"""),0.1520697585281717)</f>
        <v>0.1520697585</v>
      </c>
      <c r="H1744" s="5">
        <f>IFERROR(__xludf.DUMMYFUNCTION("""COMPUTED_VALUE"""),0.5962580009847366)</f>
        <v>0.596258001</v>
      </c>
      <c r="I1744" s="11">
        <f>IFERROR(__xludf.DUMMYFUNCTION("""COMPUTED_VALUE"""),5738.1585425898575)</f>
        <v>5738.158543</v>
      </c>
      <c r="J1744" s="10">
        <f>IFERROR(__xludf.DUMMYFUNCTION("""COMPUTED_VALUE"""),5.0)</f>
        <v>5</v>
      </c>
      <c r="K1744" s="5">
        <f>IFERROR(__xludf.DUMMYFUNCTION("""COMPUTED_VALUE"""),0.005159958720330237)</f>
        <v>0.00515995872</v>
      </c>
      <c r="L1744" s="10">
        <f>IFERROR(__xludf.DUMMYFUNCTION("""COMPUTED_VALUE"""),969.0)</f>
        <v>969</v>
      </c>
      <c r="M1744" s="5">
        <f>IFERROR(__xludf.DUMMYFUNCTION("""COMPUTED_VALUE"""),1.0)</f>
        <v>1</v>
      </c>
    </row>
    <row r="1745">
      <c r="A1745" s="10" t="str">
        <f>IFERROR(__xludf.DUMMYFUNCTION("""COMPUTED_VALUE"""),"北九州市")</f>
        <v>北九州市</v>
      </c>
      <c r="B1745" s="10">
        <f>IFERROR(__xludf.DUMMYFUNCTION("""COMPUTED_VALUE"""),558.0)</f>
        <v>558</v>
      </c>
      <c r="C1745" s="10">
        <f>IFERROR(__xludf.DUMMYFUNCTION("""COMPUTED_VALUE"""),6528.0)</f>
        <v>6528</v>
      </c>
      <c r="D1745" s="5">
        <f>IFERROR(__xludf.DUMMYFUNCTION("""COMPUTED_VALUE"""),0.33115577889447234)</f>
        <v>0.3311557789</v>
      </c>
      <c r="E1745" s="5">
        <f>IFERROR(__xludf.DUMMYFUNCTION("""COMPUTED_VALUE"""),0.13433835845896147)</f>
        <v>0.1343383585</v>
      </c>
      <c r="F1745" s="5">
        <f>IFERROR(__xludf.DUMMYFUNCTION("""COMPUTED_VALUE"""),0.20368509212730318)</f>
        <v>0.2036850921</v>
      </c>
      <c r="G1745" s="5">
        <f>IFERROR(__xludf.DUMMYFUNCTION("""COMPUTED_VALUE"""),0.17855946398659966)</f>
        <v>0.178559464</v>
      </c>
      <c r="H1745" s="5">
        <f>IFERROR(__xludf.DUMMYFUNCTION("""COMPUTED_VALUE"""),0.5641447368421053)</f>
        <v>0.5641447368</v>
      </c>
      <c r="I1745" s="11">
        <f>IFERROR(__xludf.DUMMYFUNCTION("""COMPUTED_VALUE"""),6112.993421052632)</f>
        <v>6112.993421</v>
      </c>
      <c r="J1745" s="10">
        <f>IFERROR(__xludf.DUMMYFUNCTION("""COMPUTED_VALUE"""),3.0)</f>
        <v>3</v>
      </c>
      <c r="K1745" s="5">
        <f>IFERROR(__xludf.DUMMYFUNCTION("""COMPUTED_VALUE"""),0.005376344086021506)</f>
        <v>0.005376344086</v>
      </c>
      <c r="L1745" s="10">
        <f>IFERROR(__xludf.DUMMYFUNCTION("""COMPUTED_VALUE"""),558.0)</f>
        <v>558</v>
      </c>
      <c r="M1745" s="5">
        <f>IFERROR(__xludf.DUMMYFUNCTION("""COMPUTED_VALUE"""),1.0)</f>
        <v>1</v>
      </c>
    </row>
    <row r="1746">
      <c r="A1746" s="10" t="str">
        <f>IFERROR(__xludf.DUMMYFUNCTION("""COMPUTED_VALUE"""),"PEACE10")</f>
        <v>PEACE10</v>
      </c>
      <c r="B1746" s="10">
        <f>IFERROR(__xludf.DUMMYFUNCTION("""COMPUTED_VALUE"""),2197.0)</f>
        <v>2197</v>
      </c>
      <c r="C1746" s="10">
        <f>IFERROR(__xludf.DUMMYFUNCTION("""COMPUTED_VALUE"""),25661.0)</f>
        <v>25661</v>
      </c>
      <c r="D1746" s="5">
        <f>IFERROR(__xludf.DUMMYFUNCTION("""COMPUTED_VALUE"""),0.35317933856120015)</f>
        <v>0.3531793386</v>
      </c>
      <c r="E1746" s="5">
        <f>IFERROR(__xludf.DUMMYFUNCTION("""COMPUTED_VALUE"""),0.13433344698261165)</f>
        <v>0.134333447</v>
      </c>
      <c r="F1746" s="5">
        <f>IFERROR(__xludf.DUMMYFUNCTION("""COMPUTED_VALUE"""),0.2201670644391408)</f>
        <v>0.2201670644</v>
      </c>
      <c r="G1746" s="5">
        <f>IFERROR(__xludf.DUMMYFUNCTION("""COMPUTED_VALUE"""),0.1859870439822707)</f>
        <v>0.185987044</v>
      </c>
      <c r="H1746" s="5">
        <f>IFERROR(__xludf.DUMMYFUNCTION("""COMPUTED_VALUE"""),0.6024003097173829)</f>
        <v>0.6024003097</v>
      </c>
      <c r="I1746" s="11">
        <f>IFERROR(__xludf.DUMMYFUNCTION("""COMPUTED_VALUE"""),5654.374758033295)</f>
        <v>5654.374758</v>
      </c>
      <c r="J1746" s="10">
        <f>IFERROR(__xludf.DUMMYFUNCTION("""COMPUTED_VALUE"""),4.0)</f>
        <v>4</v>
      </c>
      <c r="K1746" s="5">
        <f>IFERROR(__xludf.DUMMYFUNCTION("""COMPUTED_VALUE"""),0.0018206645425580337)</f>
        <v>0.001820664543</v>
      </c>
      <c r="L1746" s="10">
        <f>IFERROR(__xludf.DUMMYFUNCTION("""COMPUTED_VALUE"""),2190.0)</f>
        <v>2190</v>
      </c>
      <c r="M1746" s="5">
        <f>IFERROR(__xludf.DUMMYFUNCTION("""COMPUTED_VALUE"""),0.9968138370505234)</f>
        <v>0.9968138371</v>
      </c>
    </row>
    <row r="1747">
      <c r="A1747" s="10" t="str">
        <f>IFERROR(__xludf.DUMMYFUNCTION("""COMPUTED_VALUE"""),"だめぽ")</f>
        <v>だめぽ</v>
      </c>
      <c r="B1747" s="10">
        <f>IFERROR(__xludf.DUMMYFUNCTION("""COMPUTED_VALUE"""),567.0)</f>
        <v>567</v>
      </c>
      <c r="C1747" s="10">
        <f>IFERROR(__xludf.DUMMYFUNCTION("""COMPUTED_VALUE"""),6627.0)</f>
        <v>6627</v>
      </c>
      <c r="D1747" s="5">
        <f>IFERROR(__xludf.DUMMYFUNCTION("""COMPUTED_VALUE"""),0.33877887788778877)</f>
        <v>0.3387788779</v>
      </c>
      <c r="E1747" s="5">
        <f>IFERROR(__xludf.DUMMYFUNCTION("""COMPUTED_VALUE"""),0.13432343234323432)</f>
        <v>0.1343234323</v>
      </c>
      <c r="F1747" s="5">
        <f>IFERROR(__xludf.DUMMYFUNCTION("""COMPUTED_VALUE"""),0.21584158415841584)</f>
        <v>0.2158415842</v>
      </c>
      <c r="G1747" s="5">
        <f>IFERROR(__xludf.DUMMYFUNCTION("""COMPUTED_VALUE"""),0.1957095709570957)</f>
        <v>0.195709571</v>
      </c>
      <c r="H1747" s="5">
        <f>IFERROR(__xludf.DUMMYFUNCTION("""COMPUTED_VALUE"""),0.5940366972477065)</f>
        <v>0.5940366972</v>
      </c>
      <c r="I1747" s="11">
        <f>IFERROR(__xludf.DUMMYFUNCTION("""COMPUTED_VALUE"""),5799.617737003058)</f>
        <v>5799.617737</v>
      </c>
      <c r="J1747" s="10">
        <f>IFERROR(__xludf.DUMMYFUNCTION("""COMPUTED_VALUE"""),1.0)</f>
        <v>1</v>
      </c>
      <c r="K1747" s="5">
        <f>IFERROR(__xludf.DUMMYFUNCTION("""COMPUTED_VALUE"""),0.001763668430335097)</f>
        <v>0.00176366843</v>
      </c>
      <c r="L1747" s="10">
        <f>IFERROR(__xludf.DUMMYFUNCTION("""COMPUTED_VALUE"""),0.0)</f>
        <v>0</v>
      </c>
      <c r="M1747" s="5">
        <f>IFERROR(__xludf.DUMMYFUNCTION("""COMPUTED_VALUE"""),0.0)</f>
        <v>0</v>
      </c>
    </row>
    <row r="1748">
      <c r="A1748" s="10" t="str">
        <f>IFERROR(__xludf.DUMMYFUNCTION("""COMPUTED_VALUE"""),"アリアリ君")</f>
        <v>アリアリ君</v>
      </c>
      <c r="B1748" s="10">
        <f>IFERROR(__xludf.DUMMYFUNCTION("""COMPUTED_VALUE"""),363.0)</f>
        <v>363</v>
      </c>
      <c r="C1748" s="10">
        <f>IFERROR(__xludf.DUMMYFUNCTION("""COMPUTED_VALUE"""),4346.0)</f>
        <v>4346</v>
      </c>
      <c r="D1748" s="5">
        <f>IFERROR(__xludf.DUMMYFUNCTION("""COMPUTED_VALUE"""),0.3316595531006779)</f>
        <v>0.3316595531</v>
      </c>
      <c r="E1748" s="5">
        <f>IFERROR(__xludf.DUMMYFUNCTION("""COMPUTED_VALUE"""),0.13432086367060006)</f>
        <v>0.1343208637</v>
      </c>
      <c r="F1748" s="5">
        <f>IFERROR(__xludf.DUMMYFUNCTION("""COMPUTED_VALUE"""),0.2011046949535526)</f>
        <v>0.201104695</v>
      </c>
      <c r="G1748" s="5">
        <f>IFERROR(__xludf.DUMMYFUNCTION("""COMPUTED_VALUE"""),0.1546572934973638)</f>
        <v>0.1546572935</v>
      </c>
      <c r="H1748" s="5">
        <f>IFERROR(__xludf.DUMMYFUNCTION("""COMPUTED_VALUE"""),0.5780274656679151)</f>
        <v>0.5780274657</v>
      </c>
      <c r="I1748" s="11">
        <f>IFERROR(__xludf.DUMMYFUNCTION("""COMPUTED_VALUE"""),5640.948813982522)</f>
        <v>5640.948814</v>
      </c>
      <c r="J1748" s="10">
        <f>IFERROR(__xludf.DUMMYFUNCTION("""COMPUTED_VALUE"""),1.0)</f>
        <v>1</v>
      </c>
      <c r="K1748" s="5">
        <f>IFERROR(__xludf.DUMMYFUNCTION("""COMPUTED_VALUE"""),0.0027548209366391185)</f>
        <v>0.002754820937</v>
      </c>
      <c r="L1748" s="10">
        <f>IFERROR(__xludf.DUMMYFUNCTION("""COMPUTED_VALUE"""),363.0)</f>
        <v>363</v>
      </c>
      <c r="M1748" s="5">
        <f>IFERROR(__xludf.DUMMYFUNCTION("""COMPUTED_VALUE"""),1.0)</f>
        <v>1</v>
      </c>
    </row>
    <row r="1749">
      <c r="A1749" s="10" t="str">
        <f>IFERROR(__xludf.DUMMYFUNCTION("""COMPUTED_VALUE"""),"kautama")</f>
        <v>kautama</v>
      </c>
      <c r="B1749" s="10">
        <f>IFERROR(__xludf.DUMMYFUNCTION("""COMPUTED_VALUE"""),136.0)</f>
        <v>136</v>
      </c>
      <c r="C1749" s="10">
        <f>IFERROR(__xludf.DUMMYFUNCTION("""COMPUTED_VALUE"""),1625.0)</f>
        <v>1625</v>
      </c>
      <c r="D1749" s="5">
        <f>IFERROR(__xludf.DUMMYFUNCTION("""COMPUTED_VALUE"""),0.2921423774345198)</f>
        <v>0.2921423774</v>
      </c>
      <c r="E1749" s="5">
        <f>IFERROR(__xludf.DUMMYFUNCTION("""COMPUTED_VALUE"""),0.1343183344526528)</f>
        <v>0.1343183345</v>
      </c>
      <c r="F1749" s="5">
        <f>IFERROR(__xludf.DUMMYFUNCTION("""COMPUTED_VALUE"""),0.17259905977165882)</f>
        <v>0.1725990598</v>
      </c>
      <c r="G1749" s="5">
        <f>IFERROR(__xludf.DUMMYFUNCTION("""COMPUTED_VALUE"""),0.12491605104096709)</f>
        <v>0.124916051</v>
      </c>
      <c r="H1749" s="5">
        <f>IFERROR(__xludf.DUMMYFUNCTION("""COMPUTED_VALUE"""),0.5642023346303502)</f>
        <v>0.5642023346</v>
      </c>
      <c r="I1749" s="11">
        <f>IFERROR(__xludf.DUMMYFUNCTION("""COMPUTED_VALUE"""),5968.482490272374)</f>
        <v>5968.48249</v>
      </c>
      <c r="J1749" s="10">
        <f>IFERROR(__xludf.DUMMYFUNCTION("""COMPUTED_VALUE"""),1.0)</f>
        <v>1</v>
      </c>
      <c r="K1749" s="5">
        <f>IFERROR(__xludf.DUMMYFUNCTION("""COMPUTED_VALUE"""),0.007352941176470588)</f>
        <v>0.007352941176</v>
      </c>
      <c r="L1749" s="10">
        <f>IFERROR(__xludf.DUMMYFUNCTION("""COMPUTED_VALUE"""),136.0)</f>
        <v>136</v>
      </c>
      <c r="M1749" s="5">
        <f>IFERROR(__xludf.DUMMYFUNCTION("""COMPUTED_VALUE"""),1.0)</f>
        <v>1</v>
      </c>
    </row>
    <row r="1750">
      <c r="A1750" s="10" t="str">
        <f>IFERROR(__xludf.DUMMYFUNCTION("""COMPUTED_VALUE"""),"木村☆領")</f>
        <v>木村☆領</v>
      </c>
      <c r="B1750" s="10">
        <f>IFERROR(__xludf.DUMMYFUNCTION("""COMPUTED_VALUE"""),314.0)</f>
        <v>314</v>
      </c>
      <c r="C1750" s="10">
        <f>IFERROR(__xludf.DUMMYFUNCTION("""COMPUTED_VALUE"""),3657.0)</f>
        <v>3657</v>
      </c>
      <c r="D1750" s="5">
        <f>IFERROR(__xludf.DUMMYFUNCTION("""COMPUTED_VALUE"""),0.36284774154950644)</f>
        <v>0.3628477415</v>
      </c>
      <c r="E1750" s="5">
        <f>IFERROR(__xludf.DUMMYFUNCTION("""COMPUTED_VALUE"""),0.13431049955130123)</f>
        <v>0.1343104996</v>
      </c>
      <c r="F1750" s="5">
        <f>IFERROR(__xludf.DUMMYFUNCTION("""COMPUTED_VALUE"""),0.21358061621298235)</f>
        <v>0.2135806162</v>
      </c>
      <c r="G1750" s="5">
        <f>IFERROR(__xludf.DUMMYFUNCTION("""COMPUTED_VALUE"""),0.20311097816332635)</f>
        <v>0.2031109782</v>
      </c>
      <c r="H1750" s="5">
        <f>IFERROR(__xludf.DUMMYFUNCTION("""COMPUTED_VALUE"""),0.5952380952380952)</f>
        <v>0.5952380952</v>
      </c>
      <c r="I1750" s="11">
        <f>IFERROR(__xludf.DUMMYFUNCTION("""COMPUTED_VALUE"""),5823.109243697479)</f>
        <v>5823.109244</v>
      </c>
      <c r="J1750" s="10">
        <f>IFERROR(__xludf.DUMMYFUNCTION("""COMPUTED_VALUE"""),1.0)</f>
        <v>1</v>
      </c>
      <c r="K1750" s="5">
        <f>IFERROR(__xludf.DUMMYFUNCTION("""COMPUTED_VALUE"""),0.0031847133757961785)</f>
        <v>0.003184713376</v>
      </c>
      <c r="L1750" s="10">
        <f>IFERROR(__xludf.DUMMYFUNCTION("""COMPUTED_VALUE"""),313.0)</f>
        <v>313</v>
      </c>
      <c r="M1750" s="5">
        <f>IFERROR(__xludf.DUMMYFUNCTION("""COMPUTED_VALUE"""),0.9968152866242038)</f>
        <v>0.9968152866</v>
      </c>
    </row>
    <row r="1751">
      <c r="A1751" s="10" t="str">
        <f>IFERROR(__xludf.DUMMYFUNCTION("""COMPUTED_VALUE"""),"白黒神")</f>
        <v>白黒神</v>
      </c>
      <c r="B1751" s="10">
        <f>IFERROR(__xludf.DUMMYFUNCTION("""COMPUTED_VALUE"""),2134.0)</f>
        <v>2134</v>
      </c>
      <c r="C1751" s="10">
        <f>IFERROR(__xludf.DUMMYFUNCTION("""COMPUTED_VALUE"""),25038.0)</f>
        <v>25038</v>
      </c>
      <c r="D1751" s="5">
        <f>IFERROR(__xludf.DUMMYFUNCTION("""COMPUTED_VALUE"""),0.3545668878798463)</f>
        <v>0.3545668879</v>
      </c>
      <c r="E1751" s="5">
        <f>IFERROR(__xludf.DUMMYFUNCTION("""COMPUTED_VALUE"""),0.13429968564442893)</f>
        <v>0.1342996856</v>
      </c>
      <c r="F1751" s="5">
        <f>IFERROR(__xludf.DUMMYFUNCTION("""COMPUTED_VALUE"""),0.2234544184421935)</f>
        <v>0.2234544184</v>
      </c>
      <c r="G1751" s="5">
        <f>IFERROR(__xludf.DUMMYFUNCTION("""COMPUTED_VALUE"""),0.19140761439049947)</f>
        <v>0.1914076144</v>
      </c>
      <c r="H1751" s="5">
        <f>IFERROR(__xludf.DUMMYFUNCTION("""COMPUTED_VALUE"""),0.6039468542399374)</f>
        <v>0.6039468542</v>
      </c>
      <c r="I1751" s="11">
        <f>IFERROR(__xludf.DUMMYFUNCTION("""COMPUTED_VALUE"""),5401.074638530676)</f>
        <v>5401.074639</v>
      </c>
      <c r="J1751" s="10">
        <f>IFERROR(__xludf.DUMMYFUNCTION("""COMPUTED_VALUE"""),3.0)</f>
        <v>3</v>
      </c>
      <c r="K1751" s="5">
        <f>IFERROR(__xludf.DUMMYFUNCTION("""COMPUTED_VALUE"""),0.0014058106841611997)</f>
        <v>0.001405810684</v>
      </c>
      <c r="L1751" s="10">
        <f>IFERROR(__xludf.DUMMYFUNCTION("""COMPUTED_VALUE"""),3.0)</f>
        <v>3</v>
      </c>
      <c r="M1751" s="5">
        <f>IFERROR(__xludf.DUMMYFUNCTION("""COMPUTED_VALUE"""),0.0014058106841611997)</f>
        <v>0.001405810684</v>
      </c>
    </row>
    <row r="1752">
      <c r="A1752" s="10" t="str">
        <f>IFERROR(__xludf.DUMMYFUNCTION("""COMPUTED_VALUE"""),"CRAZYRAT")</f>
        <v>CRAZYRAT</v>
      </c>
      <c r="B1752" s="10">
        <f>IFERROR(__xludf.DUMMYFUNCTION("""COMPUTED_VALUE"""),241.0)</f>
        <v>241</v>
      </c>
      <c r="C1752" s="10">
        <f>IFERROR(__xludf.DUMMYFUNCTION("""COMPUTED_VALUE"""),2728.0)</f>
        <v>2728</v>
      </c>
      <c r="D1752" s="5">
        <f>IFERROR(__xludf.DUMMYFUNCTION("""COMPUTED_VALUE"""),0.3598713309207881)</f>
        <v>0.3598713309</v>
      </c>
      <c r="E1752" s="5">
        <f>IFERROR(__xludf.DUMMYFUNCTION("""COMPUTED_VALUE"""),0.1342983514274226)</f>
        <v>0.1342983514</v>
      </c>
      <c r="F1752" s="5">
        <f>IFERROR(__xludf.DUMMYFUNCTION("""COMPUTED_VALUE"""),0.21793325291515883)</f>
        <v>0.2179332529</v>
      </c>
      <c r="G1752" s="5">
        <f>IFERROR(__xludf.DUMMYFUNCTION("""COMPUTED_VALUE"""),0.1825492561318858)</f>
        <v>0.1825492561</v>
      </c>
      <c r="H1752" s="5">
        <f>IFERROR(__xludf.DUMMYFUNCTION("""COMPUTED_VALUE"""),0.5904059040590406)</f>
        <v>0.5904059041</v>
      </c>
      <c r="I1752" s="11">
        <f>IFERROR(__xludf.DUMMYFUNCTION("""COMPUTED_VALUE"""),5412.546125461255)</f>
        <v>5412.546125</v>
      </c>
      <c r="J1752" s="10">
        <f>IFERROR(__xludf.DUMMYFUNCTION("""COMPUTED_VALUE"""),0.0)</f>
        <v>0</v>
      </c>
      <c r="K1752" s="5">
        <f>IFERROR(__xludf.DUMMYFUNCTION("""COMPUTED_VALUE"""),0.0)</f>
        <v>0</v>
      </c>
      <c r="L1752" s="10">
        <f>IFERROR(__xludf.DUMMYFUNCTION("""COMPUTED_VALUE"""),70.0)</f>
        <v>70</v>
      </c>
      <c r="M1752" s="5">
        <f>IFERROR(__xludf.DUMMYFUNCTION("""COMPUTED_VALUE"""),0.29045643153526973)</f>
        <v>0.2904564315</v>
      </c>
    </row>
    <row r="1753">
      <c r="A1753" s="10" t="str">
        <f>IFERROR(__xludf.DUMMYFUNCTION("""COMPUTED_VALUE"""),"就活生@川村軍団")</f>
        <v>就活生@川村軍団</v>
      </c>
      <c r="B1753" s="10">
        <f>IFERROR(__xludf.DUMMYFUNCTION("""COMPUTED_VALUE"""),3300.0)</f>
        <v>3300</v>
      </c>
      <c r="C1753" s="10">
        <f>IFERROR(__xludf.DUMMYFUNCTION("""COMPUTED_VALUE"""),38380.0)</f>
        <v>38380</v>
      </c>
      <c r="D1753" s="5">
        <f>IFERROR(__xludf.DUMMYFUNCTION("""COMPUTED_VALUE"""),0.3442987457240593)</f>
        <v>0.3442987457</v>
      </c>
      <c r="E1753" s="5">
        <f>IFERROR(__xludf.DUMMYFUNCTION("""COMPUTED_VALUE"""),0.13429304446978335)</f>
        <v>0.1342930445</v>
      </c>
      <c r="F1753" s="5">
        <f>IFERROR(__xludf.DUMMYFUNCTION("""COMPUTED_VALUE"""),0.22289053591790195)</f>
        <v>0.2228905359</v>
      </c>
      <c r="G1753" s="5">
        <f>IFERROR(__xludf.DUMMYFUNCTION("""COMPUTED_VALUE"""),0.16907069555302168)</f>
        <v>0.1690706956</v>
      </c>
      <c r="H1753" s="5">
        <f>IFERROR(__xludf.DUMMYFUNCTION("""COMPUTED_VALUE"""),0.6026346080061389)</f>
        <v>0.602634608</v>
      </c>
      <c r="I1753" s="11">
        <f>IFERROR(__xludf.DUMMYFUNCTION("""COMPUTED_VALUE"""),5688.476787312956)</f>
        <v>5688.476787</v>
      </c>
      <c r="J1753" s="10">
        <f>IFERROR(__xludf.DUMMYFUNCTION("""COMPUTED_VALUE"""),11.0)</f>
        <v>11</v>
      </c>
      <c r="K1753" s="5">
        <f>IFERROR(__xludf.DUMMYFUNCTION("""COMPUTED_VALUE"""),0.0033333333333333335)</f>
        <v>0.003333333333</v>
      </c>
      <c r="L1753" s="10">
        <f>IFERROR(__xludf.DUMMYFUNCTION("""COMPUTED_VALUE"""),3288.0)</f>
        <v>3288</v>
      </c>
      <c r="M1753" s="5">
        <f>IFERROR(__xludf.DUMMYFUNCTION("""COMPUTED_VALUE"""),0.9963636363636363)</f>
        <v>0.9963636364</v>
      </c>
    </row>
    <row r="1754">
      <c r="A1754" s="10" t="str">
        <f>IFERROR(__xludf.DUMMYFUNCTION("""COMPUTED_VALUE"""),"為太郎")</f>
        <v>為太郎</v>
      </c>
      <c r="B1754" s="10">
        <f>IFERROR(__xludf.DUMMYFUNCTION("""COMPUTED_VALUE"""),220.0)</f>
        <v>220</v>
      </c>
      <c r="C1754" s="10">
        <f>IFERROR(__xludf.DUMMYFUNCTION("""COMPUTED_VALUE"""),2655.0)</f>
        <v>2655</v>
      </c>
      <c r="D1754" s="5">
        <f>IFERROR(__xludf.DUMMYFUNCTION("""COMPUTED_VALUE"""),0.34537987679671456)</f>
        <v>0.3453798768</v>
      </c>
      <c r="E1754" s="5">
        <f>IFERROR(__xludf.DUMMYFUNCTION("""COMPUTED_VALUE"""),0.13429158110882958)</f>
        <v>0.1342915811</v>
      </c>
      <c r="F1754" s="5">
        <f>IFERROR(__xludf.DUMMYFUNCTION("""COMPUTED_VALUE"""),0.20698151950718685)</f>
        <v>0.2069815195</v>
      </c>
      <c r="G1754" s="5">
        <f>IFERROR(__xludf.DUMMYFUNCTION("""COMPUTED_VALUE"""),0.1215605749486653)</f>
        <v>0.1215605749</v>
      </c>
      <c r="H1754" s="5">
        <f>IFERROR(__xludf.DUMMYFUNCTION("""COMPUTED_VALUE"""),0.6349206349206349)</f>
        <v>0.6349206349</v>
      </c>
      <c r="I1754" s="11">
        <f>IFERROR(__xludf.DUMMYFUNCTION("""COMPUTED_VALUE"""),5323.412698412699)</f>
        <v>5323.412698</v>
      </c>
      <c r="J1754" s="10">
        <f>IFERROR(__xludf.DUMMYFUNCTION("""COMPUTED_VALUE"""),0.0)</f>
        <v>0</v>
      </c>
      <c r="K1754" s="5">
        <f>IFERROR(__xludf.DUMMYFUNCTION("""COMPUTED_VALUE"""),0.0)</f>
        <v>0</v>
      </c>
      <c r="L1754" s="10">
        <f>IFERROR(__xludf.DUMMYFUNCTION("""COMPUTED_VALUE"""),220.0)</f>
        <v>220</v>
      </c>
      <c r="M1754" s="5">
        <f>IFERROR(__xludf.DUMMYFUNCTION("""COMPUTED_VALUE"""),1.0)</f>
        <v>1</v>
      </c>
    </row>
    <row r="1755">
      <c r="A1755" s="10" t="str">
        <f>IFERROR(__xludf.DUMMYFUNCTION("""COMPUTED_VALUE"""),"G-net")</f>
        <v>G-net</v>
      </c>
      <c r="B1755" s="10">
        <f>IFERROR(__xludf.DUMMYFUNCTION("""COMPUTED_VALUE"""),195.0)</f>
        <v>195</v>
      </c>
      <c r="C1755" s="10">
        <f>IFERROR(__xludf.DUMMYFUNCTION("""COMPUTED_VALUE"""),2295.0)</f>
        <v>2295</v>
      </c>
      <c r="D1755" s="5">
        <f>IFERROR(__xludf.DUMMYFUNCTION("""COMPUTED_VALUE"""),0.3838095238095238)</f>
        <v>0.3838095238</v>
      </c>
      <c r="E1755" s="5">
        <f>IFERROR(__xludf.DUMMYFUNCTION("""COMPUTED_VALUE"""),0.13428571428571429)</f>
        <v>0.1342857143</v>
      </c>
      <c r="F1755" s="5">
        <f>IFERROR(__xludf.DUMMYFUNCTION("""COMPUTED_VALUE"""),0.1880952380952381)</f>
        <v>0.1880952381</v>
      </c>
      <c r="G1755" s="5">
        <f>IFERROR(__xludf.DUMMYFUNCTION("""COMPUTED_VALUE"""),0.13666666666666666)</f>
        <v>0.1366666667</v>
      </c>
      <c r="H1755" s="5">
        <f>IFERROR(__xludf.DUMMYFUNCTION("""COMPUTED_VALUE"""),0.5645569620253165)</f>
        <v>0.564556962</v>
      </c>
      <c r="I1755" s="11">
        <f>IFERROR(__xludf.DUMMYFUNCTION("""COMPUTED_VALUE"""),5568.354430379747)</f>
        <v>5568.35443</v>
      </c>
      <c r="J1755" s="10">
        <f>IFERROR(__xludf.DUMMYFUNCTION("""COMPUTED_VALUE"""),1.0)</f>
        <v>1</v>
      </c>
      <c r="K1755" s="5">
        <f>IFERROR(__xludf.DUMMYFUNCTION("""COMPUTED_VALUE"""),0.005128205128205128)</f>
        <v>0.005128205128</v>
      </c>
      <c r="L1755" s="10">
        <f>IFERROR(__xludf.DUMMYFUNCTION("""COMPUTED_VALUE"""),161.0)</f>
        <v>161</v>
      </c>
      <c r="M1755" s="5">
        <f>IFERROR(__xludf.DUMMYFUNCTION("""COMPUTED_VALUE"""),0.8256410256410256)</f>
        <v>0.8256410256</v>
      </c>
    </row>
    <row r="1756">
      <c r="A1756" s="10" t="str">
        <f>IFERROR(__xludf.DUMMYFUNCTION("""COMPUTED_VALUE"""),"tuukai3")</f>
        <v>tuukai3</v>
      </c>
      <c r="B1756" s="10">
        <f>IFERROR(__xludf.DUMMYFUNCTION("""COMPUTED_VALUE"""),1503.0)</f>
        <v>1503</v>
      </c>
      <c r="C1756" s="10">
        <f>IFERROR(__xludf.DUMMYFUNCTION("""COMPUTED_VALUE"""),17753.0)</f>
        <v>17753</v>
      </c>
      <c r="D1756" s="5">
        <f>IFERROR(__xludf.DUMMYFUNCTION("""COMPUTED_VALUE"""),0.3502153846153846)</f>
        <v>0.3502153846</v>
      </c>
      <c r="E1756" s="5">
        <f>IFERROR(__xludf.DUMMYFUNCTION("""COMPUTED_VALUE"""),0.13427692307692307)</f>
        <v>0.1342769231</v>
      </c>
      <c r="F1756" s="5">
        <f>IFERROR(__xludf.DUMMYFUNCTION("""COMPUTED_VALUE"""),0.2136)</f>
        <v>0.2136</v>
      </c>
      <c r="G1756" s="5">
        <f>IFERROR(__xludf.DUMMYFUNCTION("""COMPUTED_VALUE"""),0.1638153846153846)</f>
        <v>0.1638153846</v>
      </c>
      <c r="H1756" s="5">
        <f>IFERROR(__xludf.DUMMYFUNCTION("""COMPUTED_VALUE"""),0.5891673869201959)</f>
        <v>0.5891673869</v>
      </c>
      <c r="I1756" s="11">
        <f>IFERROR(__xludf.DUMMYFUNCTION("""COMPUTED_VALUE"""),5833.736675309709)</f>
        <v>5833.736675</v>
      </c>
      <c r="J1756" s="10">
        <f>IFERROR(__xludf.DUMMYFUNCTION("""COMPUTED_VALUE"""),3.0)</f>
        <v>3</v>
      </c>
      <c r="K1756" s="5">
        <f>IFERROR(__xludf.DUMMYFUNCTION("""COMPUTED_VALUE"""),0.001996007984031936)</f>
        <v>0.001996007984</v>
      </c>
      <c r="L1756" s="10">
        <f>IFERROR(__xludf.DUMMYFUNCTION("""COMPUTED_VALUE"""),1503.0)</f>
        <v>1503</v>
      </c>
      <c r="M1756" s="5">
        <f>IFERROR(__xludf.DUMMYFUNCTION("""COMPUTED_VALUE"""),1.0)</f>
        <v>1</v>
      </c>
    </row>
    <row r="1757">
      <c r="A1757" s="10" t="str">
        <f>IFERROR(__xludf.DUMMYFUNCTION("""COMPUTED_VALUE"""),"siseigak")</f>
        <v>siseigak</v>
      </c>
      <c r="B1757" s="10">
        <f>IFERROR(__xludf.DUMMYFUNCTION("""COMPUTED_VALUE"""),117.0)</f>
        <v>117</v>
      </c>
      <c r="C1757" s="10">
        <f>IFERROR(__xludf.DUMMYFUNCTION("""COMPUTED_VALUE"""),1361.0)</f>
        <v>1361</v>
      </c>
      <c r="D1757" s="5">
        <f>IFERROR(__xludf.DUMMYFUNCTION("""COMPUTED_VALUE"""),0.3159163987138264)</f>
        <v>0.3159163987</v>
      </c>
      <c r="E1757" s="5">
        <f>IFERROR(__xludf.DUMMYFUNCTION("""COMPUTED_VALUE"""),0.1342443729903537)</f>
        <v>0.134244373</v>
      </c>
      <c r="F1757" s="5">
        <f>IFERROR(__xludf.DUMMYFUNCTION("""COMPUTED_VALUE"""),0.21302250803858522)</f>
        <v>0.213022508</v>
      </c>
      <c r="G1757" s="5">
        <f>IFERROR(__xludf.DUMMYFUNCTION("""COMPUTED_VALUE"""),0.182475884244373)</f>
        <v>0.1824758842</v>
      </c>
      <c r="H1757" s="5">
        <f>IFERROR(__xludf.DUMMYFUNCTION("""COMPUTED_VALUE"""),0.5773584905660377)</f>
        <v>0.5773584906</v>
      </c>
      <c r="I1757" s="11">
        <f>IFERROR(__xludf.DUMMYFUNCTION("""COMPUTED_VALUE"""),5502.641509433963)</f>
        <v>5502.641509</v>
      </c>
      <c r="J1757" s="10">
        <f>IFERROR(__xludf.DUMMYFUNCTION("""COMPUTED_VALUE"""),0.0)</f>
        <v>0</v>
      </c>
      <c r="K1757" s="5">
        <f>IFERROR(__xludf.DUMMYFUNCTION("""COMPUTED_VALUE"""),0.0)</f>
        <v>0</v>
      </c>
      <c r="L1757" s="10">
        <f>IFERROR(__xludf.DUMMYFUNCTION("""COMPUTED_VALUE"""),117.0)</f>
        <v>117</v>
      </c>
      <c r="M1757" s="5">
        <f>IFERROR(__xludf.DUMMYFUNCTION("""COMPUTED_VALUE"""),1.0)</f>
        <v>1</v>
      </c>
    </row>
    <row r="1758">
      <c r="A1758" s="10" t="str">
        <f>IFERROR(__xludf.DUMMYFUNCTION("""COMPUTED_VALUE"""),"53万の人")</f>
        <v>53万の人</v>
      </c>
      <c r="B1758" s="10">
        <f>IFERROR(__xludf.DUMMYFUNCTION("""COMPUTED_VALUE"""),627.0)</f>
        <v>627</v>
      </c>
      <c r="C1758" s="10">
        <f>IFERROR(__xludf.DUMMYFUNCTION("""COMPUTED_VALUE"""),7324.0)</f>
        <v>7324</v>
      </c>
      <c r="D1758" s="5">
        <f>IFERROR(__xludf.DUMMYFUNCTION("""COMPUTED_VALUE"""),0.32163655368075256)</f>
        <v>0.3216365537</v>
      </c>
      <c r="E1758" s="5">
        <f>IFERROR(__xludf.DUMMYFUNCTION("""COMPUTED_VALUE"""),0.1342392115872779)</f>
        <v>0.1342392116</v>
      </c>
      <c r="F1758" s="5">
        <f>IFERROR(__xludf.DUMMYFUNCTION("""COMPUTED_VALUE"""),0.2006868747200239)</f>
        <v>0.2006868747</v>
      </c>
      <c r="G1758" s="5">
        <f>IFERROR(__xludf.DUMMYFUNCTION("""COMPUTED_VALUE"""),0.1873973420934747)</f>
        <v>0.1873973421</v>
      </c>
      <c r="H1758" s="5">
        <f>IFERROR(__xludf.DUMMYFUNCTION("""COMPUTED_VALUE"""),0.6011904761904762)</f>
        <v>0.6011904762</v>
      </c>
      <c r="I1758" s="11">
        <f>IFERROR(__xludf.DUMMYFUNCTION("""COMPUTED_VALUE"""),6058.035714285715)</f>
        <v>6058.035714</v>
      </c>
      <c r="J1758" s="10">
        <f>IFERROR(__xludf.DUMMYFUNCTION("""COMPUTED_VALUE"""),2.0)</f>
        <v>2</v>
      </c>
      <c r="K1758" s="5">
        <f>IFERROR(__xludf.DUMMYFUNCTION("""COMPUTED_VALUE"""),0.003189792663476874)</f>
        <v>0.003189792663</v>
      </c>
      <c r="L1758" s="10">
        <f>IFERROR(__xludf.DUMMYFUNCTION("""COMPUTED_VALUE"""),0.0)</f>
        <v>0</v>
      </c>
      <c r="M1758" s="5">
        <f>IFERROR(__xludf.DUMMYFUNCTION("""COMPUTED_VALUE"""),0.0)</f>
        <v>0</v>
      </c>
    </row>
    <row r="1759">
      <c r="A1759" s="10" t="str">
        <f>IFERROR(__xludf.DUMMYFUNCTION("""COMPUTED_VALUE"""),"ふりなたα")</f>
        <v>ふりなたα</v>
      </c>
      <c r="B1759" s="10">
        <f>IFERROR(__xludf.DUMMYFUNCTION("""COMPUTED_VALUE"""),444.0)</f>
        <v>444</v>
      </c>
      <c r="C1759" s="10">
        <f>IFERROR(__xludf.DUMMYFUNCTION("""COMPUTED_VALUE"""),5100.0)</f>
        <v>5100</v>
      </c>
      <c r="D1759" s="5">
        <f>IFERROR(__xludf.DUMMYFUNCTION("""COMPUTED_VALUE"""),0.42976804123711343)</f>
        <v>0.4297680412</v>
      </c>
      <c r="E1759" s="5">
        <f>IFERROR(__xludf.DUMMYFUNCTION("""COMPUTED_VALUE"""),0.13423539518900343)</f>
        <v>0.1342353952</v>
      </c>
      <c r="F1759" s="5">
        <f>IFERROR(__xludf.DUMMYFUNCTION("""COMPUTED_VALUE"""),0.22293814432989692)</f>
        <v>0.2229381443</v>
      </c>
      <c r="G1759" s="5">
        <f>IFERROR(__xludf.DUMMYFUNCTION("""COMPUTED_VALUE"""),0.19759450171821305)</f>
        <v>0.1975945017</v>
      </c>
      <c r="H1759" s="5">
        <f>IFERROR(__xludf.DUMMYFUNCTION("""COMPUTED_VALUE"""),0.5780346820809249)</f>
        <v>0.5780346821</v>
      </c>
      <c r="I1759" s="11">
        <f>IFERROR(__xludf.DUMMYFUNCTION("""COMPUTED_VALUE"""),5704.720616570327)</f>
        <v>5704.720617</v>
      </c>
      <c r="J1759" s="10">
        <f>IFERROR(__xludf.DUMMYFUNCTION("""COMPUTED_VALUE"""),0.0)</f>
        <v>0</v>
      </c>
      <c r="K1759" s="5">
        <f>IFERROR(__xludf.DUMMYFUNCTION("""COMPUTED_VALUE"""),0.0)</f>
        <v>0</v>
      </c>
      <c r="L1759" s="10">
        <f>IFERROR(__xludf.DUMMYFUNCTION("""COMPUTED_VALUE"""),444.0)</f>
        <v>444</v>
      </c>
      <c r="M1759" s="5">
        <f>IFERROR(__xludf.DUMMYFUNCTION("""COMPUTED_VALUE"""),1.0)</f>
        <v>1</v>
      </c>
    </row>
    <row r="1760">
      <c r="A1760" s="10" t="str">
        <f>IFERROR(__xludf.DUMMYFUNCTION("""COMPUTED_VALUE"""),"ウェル")</f>
        <v>ウェル</v>
      </c>
      <c r="B1760" s="10">
        <f>IFERROR(__xludf.DUMMYFUNCTION("""COMPUTED_VALUE"""),547.0)</f>
        <v>547</v>
      </c>
      <c r="C1760" s="10">
        <f>IFERROR(__xludf.DUMMYFUNCTION("""COMPUTED_VALUE"""),6500.0)</f>
        <v>6500</v>
      </c>
      <c r="D1760" s="5">
        <f>IFERROR(__xludf.DUMMYFUNCTION("""COMPUTED_VALUE"""),0.3415084831177558)</f>
        <v>0.3415084831</v>
      </c>
      <c r="E1760" s="5">
        <f>IFERROR(__xludf.DUMMYFUNCTION("""COMPUTED_VALUE"""),0.13421804132370233)</f>
        <v>0.1342180413</v>
      </c>
      <c r="F1760" s="5">
        <f>IFERROR(__xludf.DUMMYFUNCTION("""COMPUTED_VALUE"""),0.19922728036284226)</f>
        <v>0.1992272804</v>
      </c>
      <c r="G1760" s="5">
        <f>IFERROR(__xludf.DUMMYFUNCTION("""COMPUTED_VALUE"""),0.15857550814715268)</f>
        <v>0.1585755081</v>
      </c>
      <c r="H1760" s="5">
        <f>IFERROR(__xludf.DUMMYFUNCTION("""COMPUTED_VALUE"""),0.5885328836424958)</f>
        <v>0.5885328836</v>
      </c>
      <c r="I1760" s="11">
        <f>IFERROR(__xludf.DUMMYFUNCTION("""COMPUTED_VALUE"""),5770.573355817875)</f>
        <v>5770.573356</v>
      </c>
      <c r="J1760" s="10">
        <f>IFERROR(__xludf.DUMMYFUNCTION("""COMPUTED_VALUE"""),4.0)</f>
        <v>4</v>
      </c>
      <c r="K1760" s="5">
        <f>IFERROR(__xludf.DUMMYFUNCTION("""COMPUTED_VALUE"""),0.007312614259597806)</f>
        <v>0.00731261426</v>
      </c>
      <c r="L1760" s="10">
        <f>IFERROR(__xludf.DUMMYFUNCTION("""COMPUTED_VALUE"""),117.0)</f>
        <v>117</v>
      </c>
      <c r="M1760" s="5">
        <f>IFERROR(__xludf.DUMMYFUNCTION("""COMPUTED_VALUE"""),0.21389396709323583)</f>
        <v>0.2138939671</v>
      </c>
    </row>
    <row r="1761">
      <c r="A1761" s="10" t="str">
        <f>IFERROR(__xludf.DUMMYFUNCTION("""COMPUTED_VALUE"""),"☆真風☆")</f>
        <v>☆真風☆</v>
      </c>
      <c r="B1761" s="10">
        <f>IFERROR(__xludf.DUMMYFUNCTION("""COMPUTED_VALUE"""),353.0)</f>
        <v>353</v>
      </c>
      <c r="C1761" s="10">
        <f>IFERROR(__xludf.DUMMYFUNCTION("""COMPUTED_VALUE"""),4116.0)</f>
        <v>4116</v>
      </c>
      <c r="D1761" s="5">
        <f>IFERROR(__xludf.DUMMYFUNCTION("""COMPUTED_VALUE"""),0.39224023385596596)</f>
        <v>0.3922402339</v>
      </c>
      <c r="E1761" s="5">
        <f>IFERROR(__xludf.DUMMYFUNCTION("""COMPUTED_VALUE"""),0.1342014350252458)</f>
        <v>0.134201435</v>
      </c>
      <c r="F1761" s="5">
        <f>IFERROR(__xludf.DUMMYFUNCTION("""COMPUTED_VALUE"""),0.22588360350783948)</f>
        <v>0.2258836035</v>
      </c>
      <c r="G1761" s="5">
        <f>IFERROR(__xludf.DUMMYFUNCTION("""COMPUTED_VALUE"""),0.16396492160510232)</f>
        <v>0.1639649216</v>
      </c>
      <c r="H1761" s="5">
        <f>IFERROR(__xludf.DUMMYFUNCTION("""COMPUTED_VALUE"""),0.6258823529411764)</f>
        <v>0.6258823529</v>
      </c>
      <c r="I1761" s="11">
        <f>IFERROR(__xludf.DUMMYFUNCTION("""COMPUTED_VALUE"""),5390.0)</f>
        <v>5390</v>
      </c>
      <c r="J1761" s="10">
        <f>IFERROR(__xludf.DUMMYFUNCTION("""COMPUTED_VALUE"""),0.0)</f>
        <v>0</v>
      </c>
      <c r="K1761" s="5">
        <f>IFERROR(__xludf.DUMMYFUNCTION("""COMPUTED_VALUE"""),0.0)</f>
        <v>0</v>
      </c>
      <c r="L1761" s="10">
        <f>IFERROR(__xludf.DUMMYFUNCTION("""COMPUTED_VALUE"""),109.0)</f>
        <v>109</v>
      </c>
      <c r="M1761" s="5">
        <f>IFERROR(__xludf.DUMMYFUNCTION("""COMPUTED_VALUE"""),0.3087818696883853)</f>
        <v>0.3087818697</v>
      </c>
    </row>
    <row r="1762">
      <c r="A1762" s="10" t="str">
        <f>IFERROR(__xludf.DUMMYFUNCTION("""COMPUTED_VALUE"""),"つくねん")</f>
        <v>つくねん</v>
      </c>
      <c r="B1762" s="10">
        <f>IFERROR(__xludf.DUMMYFUNCTION("""COMPUTED_VALUE"""),338.0)</f>
        <v>338</v>
      </c>
      <c r="C1762" s="10">
        <f>IFERROR(__xludf.DUMMYFUNCTION("""COMPUTED_VALUE"""),3938.0)</f>
        <v>3938</v>
      </c>
      <c r="D1762" s="5">
        <f>IFERROR(__xludf.DUMMYFUNCTION("""COMPUTED_VALUE"""),0.34194444444444444)</f>
        <v>0.3419444444</v>
      </c>
      <c r="E1762" s="5">
        <f>IFERROR(__xludf.DUMMYFUNCTION("""COMPUTED_VALUE"""),0.13416666666666666)</f>
        <v>0.1341666667</v>
      </c>
      <c r="F1762" s="5">
        <f>IFERROR(__xludf.DUMMYFUNCTION("""COMPUTED_VALUE"""),0.21333333333333335)</f>
        <v>0.2133333333</v>
      </c>
      <c r="G1762" s="5">
        <f>IFERROR(__xludf.DUMMYFUNCTION("""COMPUTED_VALUE"""),0.1675)</f>
        <v>0.1675</v>
      </c>
      <c r="H1762" s="5">
        <f>IFERROR(__xludf.DUMMYFUNCTION("""COMPUTED_VALUE"""),0.6197916666666666)</f>
        <v>0.6197916667</v>
      </c>
      <c r="I1762" s="11">
        <f>IFERROR(__xludf.DUMMYFUNCTION("""COMPUTED_VALUE"""),5629.947916666667)</f>
        <v>5629.947917</v>
      </c>
      <c r="J1762" s="10">
        <f>IFERROR(__xludf.DUMMYFUNCTION("""COMPUTED_VALUE"""),0.0)</f>
        <v>0</v>
      </c>
      <c r="K1762" s="5">
        <f>IFERROR(__xludf.DUMMYFUNCTION("""COMPUTED_VALUE"""),0.0)</f>
        <v>0</v>
      </c>
      <c r="L1762" s="10">
        <f>IFERROR(__xludf.DUMMYFUNCTION("""COMPUTED_VALUE"""),338.0)</f>
        <v>338</v>
      </c>
      <c r="M1762" s="5">
        <f>IFERROR(__xludf.DUMMYFUNCTION("""COMPUTED_VALUE"""),1.0)</f>
        <v>1</v>
      </c>
    </row>
    <row r="1763">
      <c r="A1763" s="10" t="str">
        <f>IFERROR(__xludf.DUMMYFUNCTION("""COMPUTED_VALUE"""),"kenken2")</f>
        <v>kenken2</v>
      </c>
      <c r="B1763" s="10">
        <f>IFERROR(__xludf.DUMMYFUNCTION("""COMPUTED_VALUE"""),169.0)</f>
        <v>169</v>
      </c>
      <c r="C1763" s="10">
        <f>IFERROR(__xludf.DUMMYFUNCTION("""COMPUTED_VALUE"""),2010.0)</f>
        <v>2010</v>
      </c>
      <c r="D1763" s="5">
        <f>IFERROR(__xludf.DUMMYFUNCTION("""COMPUTED_VALUE"""),0.34220532319391633)</f>
        <v>0.3422053232</v>
      </c>
      <c r="E1763" s="5">
        <f>IFERROR(__xludf.DUMMYFUNCTION("""COMPUTED_VALUE"""),0.13416621401412276)</f>
        <v>0.134166214</v>
      </c>
      <c r="F1763" s="5">
        <f>IFERROR(__xludf.DUMMYFUNCTION("""COMPUTED_VALUE"""),0.19174361759913092)</f>
        <v>0.1917436176</v>
      </c>
      <c r="G1763" s="5">
        <f>IFERROR(__xludf.DUMMYFUNCTION("""COMPUTED_VALUE"""),0.15643671917436175)</f>
        <v>0.1564367192</v>
      </c>
      <c r="H1763" s="5">
        <f>IFERROR(__xludf.DUMMYFUNCTION("""COMPUTED_VALUE"""),0.6005665722379604)</f>
        <v>0.6005665722</v>
      </c>
      <c r="I1763" s="11">
        <f>IFERROR(__xludf.DUMMYFUNCTION("""COMPUTED_VALUE"""),5574.504249291785)</f>
        <v>5574.504249</v>
      </c>
      <c r="J1763" s="10">
        <f>IFERROR(__xludf.DUMMYFUNCTION("""COMPUTED_VALUE"""),0.0)</f>
        <v>0</v>
      </c>
      <c r="K1763" s="5">
        <f>IFERROR(__xludf.DUMMYFUNCTION("""COMPUTED_VALUE"""),0.0)</f>
        <v>0</v>
      </c>
      <c r="L1763" s="10">
        <f>IFERROR(__xludf.DUMMYFUNCTION("""COMPUTED_VALUE"""),169.0)</f>
        <v>169</v>
      </c>
      <c r="M1763" s="5">
        <f>IFERROR(__xludf.DUMMYFUNCTION("""COMPUTED_VALUE"""),1.0)</f>
        <v>1</v>
      </c>
    </row>
    <row r="1764">
      <c r="A1764" s="10" t="str">
        <f>IFERROR(__xludf.DUMMYFUNCTION("""COMPUTED_VALUE"""),"傀.")</f>
        <v>傀.</v>
      </c>
      <c r="B1764" s="10">
        <f>IFERROR(__xludf.DUMMYFUNCTION("""COMPUTED_VALUE"""),1498.0)</f>
        <v>1498</v>
      </c>
      <c r="C1764" s="10">
        <f>IFERROR(__xludf.DUMMYFUNCTION("""COMPUTED_VALUE"""),17523.0)</f>
        <v>17523</v>
      </c>
      <c r="D1764" s="5">
        <f>IFERROR(__xludf.DUMMYFUNCTION("""COMPUTED_VALUE"""),0.39207488299531984)</f>
        <v>0.392074883</v>
      </c>
      <c r="E1764" s="5">
        <f>IFERROR(__xludf.DUMMYFUNCTION("""COMPUTED_VALUE"""),0.13416536661466458)</f>
        <v>0.1341653666</v>
      </c>
      <c r="F1764" s="5">
        <f>IFERROR(__xludf.DUMMYFUNCTION("""COMPUTED_VALUE"""),0.21647425897035882)</f>
        <v>0.216474259</v>
      </c>
      <c r="G1764" s="5">
        <f>IFERROR(__xludf.DUMMYFUNCTION("""COMPUTED_VALUE"""),0.16180967238689548)</f>
        <v>0.1618096724</v>
      </c>
      <c r="H1764" s="5">
        <f>IFERROR(__xludf.DUMMYFUNCTION("""COMPUTED_VALUE"""),0.6050735082156241)</f>
        <v>0.6050735082</v>
      </c>
      <c r="I1764" s="11">
        <f>IFERROR(__xludf.DUMMYFUNCTION("""COMPUTED_VALUE"""),5571.461516287114)</f>
        <v>5571.461516</v>
      </c>
      <c r="J1764" s="10">
        <f>IFERROR(__xludf.DUMMYFUNCTION("""COMPUTED_VALUE"""),5.0)</f>
        <v>5</v>
      </c>
      <c r="K1764" s="5">
        <f>IFERROR(__xludf.DUMMYFUNCTION("""COMPUTED_VALUE"""),0.0033377837116154874)</f>
        <v>0.003337783712</v>
      </c>
      <c r="L1764" s="10">
        <f>IFERROR(__xludf.DUMMYFUNCTION("""COMPUTED_VALUE"""),1498.0)</f>
        <v>1498</v>
      </c>
      <c r="M1764" s="5">
        <f>IFERROR(__xludf.DUMMYFUNCTION("""COMPUTED_VALUE"""),1.0)</f>
        <v>1</v>
      </c>
    </row>
    <row r="1765">
      <c r="A1765" s="10" t="str">
        <f>IFERROR(__xludf.DUMMYFUNCTION("""COMPUTED_VALUE"""),"手役アーティスト")</f>
        <v>手役アーティスト</v>
      </c>
      <c r="B1765" s="10">
        <f>IFERROR(__xludf.DUMMYFUNCTION("""COMPUTED_VALUE"""),592.0)</f>
        <v>592</v>
      </c>
      <c r="C1765" s="10">
        <f>IFERROR(__xludf.DUMMYFUNCTION("""COMPUTED_VALUE"""),6995.0)</f>
        <v>6995</v>
      </c>
      <c r="D1765" s="5">
        <f>IFERROR(__xludf.DUMMYFUNCTION("""COMPUTED_VALUE"""),0.3556145556770264)</f>
        <v>0.3556145557</v>
      </c>
      <c r="E1765" s="5">
        <f>IFERROR(__xludf.DUMMYFUNCTION("""COMPUTED_VALUE"""),0.13415586443854444)</f>
        <v>0.1341558644</v>
      </c>
      <c r="F1765" s="5">
        <f>IFERROR(__xludf.DUMMYFUNCTION("""COMPUTED_VALUE"""),0.21692956426674997)</f>
        <v>0.2169295643</v>
      </c>
      <c r="G1765" s="5">
        <f>IFERROR(__xludf.DUMMYFUNCTION("""COMPUTED_VALUE"""),0.1919412775261596)</f>
        <v>0.1919412775</v>
      </c>
      <c r="H1765" s="5">
        <f>IFERROR(__xludf.DUMMYFUNCTION("""COMPUTED_VALUE"""),0.5925125989920806)</f>
        <v>0.592512599</v>
      </c>
      <c r="I1765" s="11">
        <f>IFERROR(__xludf.DUMMYFUNCTION("""COMPUTED_VALUE"""),5688.120950323974)</f>
        <v>5688.12095</v>
      </c>
      <c r="J1765" s="10">
        <f>IFERROR(__xludf.DUMMYFUNCTION("""COMPUTED_VALUE"""),4.0)</f>
        <v>4</v>
      </c>
      <c r="K1765" s="5">
        <f>IFERROR(__xludf.DUMMYFUNCTION("""COMPUTED_VALUE"""),0.006756756756756757)</f>
        <v>0.006756756757</v>
      </c>
      <c r="L1765" s="10">
        <f>IFERROR(__xludf.DUMMYFUNCTION("""COMPUTED_VALUE"""),592.0)</f>
        <v>592</v>
      </c>
      <c r="M1765" s="5">
        <f>IFERROR(__xludf.DUMMYFUNCTION("""COMPUTED_VALUE"""),1.0)</f>
        <v>1</v>
      </c>
    </row>
    <row r="1766">
      <c r="A1766" s="10" t="str">
        <f>IFERROR(__xludf.DUMMYFUNCTION("""COMPUTED_VALUE"""),"ビンカン")</f>
        <v>ビンカン</v>
      </c>
      <c r="B1766" s="10">
        <f>IFERROR(__xludf.DUMMYFUNCTION("""COMPUTED_VALUE"""),1428.0)</f>
        <v>1428</v>
      </c>
      <c r="C1766" s="10">
        <f>IFERROR(__xludf.DUMMYFUNCTION("""COMPUTED_VALUE"""),16530.0)</f>
        <v>16530</v>
      </c>
      <c r="D1766" s="5">
        <f>IFERROR(__xludf.DUMMYFUNCTION("""COMPUTED_VALUE"""),0.2620182757250695)</f>
        <v>0.2620182757</v>
      </c>
      <c r="E1766" s="5">
        <f>IFERROR(__xludf.DUMMYFUNCTION("""COMPUTED_VALUE"""),0.13415441663355848)</f>
        <v>0.1341544166</v>
      </c>
      <c r="F1766" s="5">
        <f>IFERROR(__xludf.DUMMYFUNCTION("""COMPUTED_VALUE"""),0.20990597271884517)</f>
        <v>0.2099059727</v>
      </c>
      <c r="G1766" s="5">
        <f>IFERROR(__xludf.DUMMYFUNCTION("""COMPUTED_VALUE"""),0.1568666401801086)</f>
        <v>0.1568666402</v>
      </c>
      <c r="H1766" s="5">
        <f>IFERROR(__xludf.DUMMYFUNCTION("""COMPUTED_VALUE"""),0.610410094637224)</f>
        <v>0.6104100946</v>
      </c>
      <c r="I1766" s="11">
        <f>IFERROR(__xludf.DUMMYFUNCTION("""COMPUTED_VALUE"""),5822.996845425868)</f>
        <v>5822.996845</v>
      </c>
      <c r="J1766" s="10">
        <f>IFERROR(__xludf.DUMMYFUNCTION("""COMPUTED_VALUE"""),2.0)</f>
        <v>2</v>
      </c>
      <c r="K1766" s="5">
        <f>IFERROR(__xludf.DUMMYFUNCTION("""COMPUTED_VALUE"""),0.0014005602240896359)</f>
        <v>0.001400560224</v>
      </c>
      <c r="L1766" s="10">
        <f>IFERROR(__xludf.DUMMYFUNCTION("""COMPUTED_VALUE"""),1428.0)</f>
        <v>1428</v>
      </c>
      <c r="M1766" s="5">
        <f>IFERROR(__xludf.DUMMYFUNCTION("""COMPUTED_VALUE"""),1.0)</f>
        <v>1</v>
      </c>
    </row>
    <row r="1767">
      <c r="A1767" s="10" t="str">
        <f>IFERROR(__xludf.DUMMYFUNCTION("""COMPUTED_VALUE"""),"トーマサ")</f>
        <v>トーマサ</v>
      </c>
      <c r="B1767" s="10">
        <f>IFERROR(__xludf.DUMMYFUNCTION("""COMPUTED_VALUE"""),539.0)</f>
        <v>539</v>
      </c>
      <c r="C1767" s="10">
        <f>IFERROR(__xludf.DUMMYFUNCTION("""COMPUTED_VALUE"""),6331.0)</f>
        <v>6331</v>
      </c>
      <c r="D1767" s="5">
        <f>IFERROR(__xludf.DUMMYFUNCTION("""COMPUTED_VALUE"""),0.3116367403314917)</f>
        <v>0.3116367403</v>
      </c>
      <c r="E1767" s="5">
        <f>IFERROR(__xludf.DUMMYFUNCTION("""COMPUTED_VALUE"""),0.13415055248618785)</f>
        <v>0.1341505525</v>
      </c>
      <c r="F1767" s="5">
        <f>IFERROR(__xludf.DUMMYFUNCTION("""COMPUTED_VALUE"""),0.2220303867403315)</f>
        <v>0.2220303867</v>
      </c>
      <c r="G1767" s="5">
        <f>IFERROR(__xludf.DUMMYFUNCTION("""COMPUTED_VALUE"""),0.15763121546961326)</f>
        <v>0.1576312155</v>
      </c>
      <c r="H1767" s="5">
        <f>IFERROR(__xludf.DUMMYFUNCTION("""COMPUTED_VALUE"""),0.6181959564541213)</f>
        <v>0.6181959565</v>
      </c>
      <c r="I1767" s="11">
        <f>IFERROR(__xludf.DUMMYFUNCTION("""COMPUTED_VALUE"""),5442.612752721618)</f>
        <v>5442.612753</v>
      </c>
      <c r="J1767" s="10">
        <f>IFERROR(__xludf.DUMMYFUNCTION("""COMPUTED_VALUE"""),0.0)</f>
        <v>0</v>
      </c>
      <c r="K1767" s="5">
        <f>IFERROR(__xludf.DUMMYFUNCTION("""COMPUTED_VALUE"""),0.0)</f>
        <v>0</v>
      </c>
      <c r="L1767" s="10">
        <f>IFERROR(__xludf.DUMMYFUNCTION("""COMPUTED_VALUE"""),539.0)</f>
        <v>539</v>
      </c>
      <c r="M1767" s="5">
        <f>IFERROR(__xludf.DUMMYFUNCTION("""COMPUTED_VALUE"""),1.0)</f>
        <v>1</v>
      </c>
    </row>
    <row r="1768">
      <c r="A1768" s="10" t="str">
        <f>IFERROR(__xludf.DUMMYFUNCTION("""COMPUTED_VALUE"""),"遊馬17")</f>
        <v>遊馬17</v>
      </c>
      <c r="B1768" s="10">
        <f>IFERROR(__xludf.DUMMYFUNCTION("""COMPUTED_VALUE"""),166.0)</f>
        <v>166</v>
      </c>
      <c r="C1768" s="10">
        <f>IFERROR(__xludf.DUMMYFUNCTION("""COMPUTED_VALUE"""),1970.0)</f>
        <v>1970</v>
      </c>
      <c r="D1768" s="5">
        <f>IFERROR(__xludf.DUMMYFUNCTION("""COMPUTED_VALUE"""),0.35199556541019955)</f>
        <v>0.3519955654</v>
      </c>
      <c r="E1768" s="5">
        <f>IFERROR(__xludf.DUMMYFUNCTION("""COMPUTED_VALUE"""),0.13414634146341464)</f>
        <v>0.1341463415</v>
      </c>
      <c r="F1768" s="5">
        <f>IFERROR(__xludf.DUMMYFUNCTION("""COMPUTED_VALUE"""),0.21507760532150777)</f>
        <v>0.2150776053</v>
      </c>
      <c r="G1768" s="5">
        <f>IFERROR(__xludf.DUMMYFUNCTION("""COMPUTED_VALUE"""),0.13913525498891352)</f>
        <v>0.139135255</v>
      </c>
      <c r="H1768" s="5">
        <f>IFERROR(__xludf.DUMMYFUNCTION("""COMPUTED_VALUE"""),0.6288659793814433)</f>
        <v>0.6288659794</v>
      </c>
      <c r="I1768" s="11">
        <f>IFERROR(__xludf.DUMMYFUNCTION("""COMPUTED_VALUE"""),5246.134020618557)</f>
        <v>5246.134021</v>
      </c>
      <c r="J1768" s="10">
        <f>IFERROR(__xludf.DUMMYFUNCTION("""COMPUTED_VALUE"""),1.0)</f>
        <v>1</v>
      </c>
      <c r="K1768" s="5">
        <f>IFERROR(__xludf.DUMMYFUNCTION("""COMPUTED_VALUE"""),0.006024096385542169)</f>
        <v>0.006024096386</v>
      </c>
      <c r="L1768" s="10">
        <f>IFERROR(__xludf.DUMMYFUNCTION("""COMPUTED_VALUE"""),164.0)</f>
        <v>164</v>
      </c>
      <c r="M1768" s="5">
        <f>IFERROR(__xludf.DUMMYFUNCTION("""COMPUTED_VALUE"""),0.9879518072289156)</f>
        <v>0.9879518072</v>
      </c>
    </row>
    <row r="1769">
      <c r="A1769" s="10" t="str">
        <f>IFERROR(__xludf.DUMMYFUNCTION("""COMPUTED_VALUE"""),"Syu2")</f>
        <v>Syu2</v>
      </c>
      <c r="B1769" s="10">
        <f>IFERROR(__xludf.DUMMYFUNCTION("""COMPUTED_VALUE"""),344.0)</f>
        <v>344</v>
      </c>
      <c r="C1769" s="10">
        <f>IFERROR(__xludf.DUMMYFUNCTION("""COMPUTED_VALUE"""),4064.0)</f>
        <v>4064</v>
      </c>
      <c r="D1769" s="5">
        <f>IFERROR(__xludf.DUMMYFUNCTION("""COMPUTED_VALUE"""),0.32526881720430106)</f>
        <v>0.3252688172</v>
      </c>
      <c r="E1769" s="5">
        <f>IFERROR(__xludf.DUMMYFUNCTION("""COMPUTED_VALUE"""),0.13413978494623655)</f>
        <v>0.1341397849</v>
      </c>
      <c r="F1769" s="5">
        <f>IFERROR(__xludf.DUMMYFUNCTION("""COMPUTED_VALUE"""),0.2153225806451613)</f>
        <v>0.2153225806</v>
      </c>
      <c r="G1769" s="5">
        <f>IFERROR(__xludf.DUMMYFUNCTION("""COMPUTED_VALUE"""),0.17204301075268819)</f>
        <v>0.1720430108</v>
      </c>
      <c r="H1769" s="5">
        <f>IFERROR(__xludf.DUMMYFUNCTION("""COMPUTED_VALUE"""),0.6067415730337079)</f>
        <v>0.606741573</v>
      </c>
      <c r="I1769" s="11">
        <f>IFERROR(__xludf.DUMMYFUNCTION("""COMPUTED_VALUE"""),5748.314606741573)</f>
        <v>5748.314607</v>
      </c>
      <c r="J1769" s="10">
        <f>IFERROR(__xludf.DUMMYFUNCTION("""COMPUTED_VALUE"""),0.0)</f>
        <v>0</v>
      </c>
      <c r="K1769" s="5">
        <f>IFERROR(__xludf.DUMMYFUNCTION("""COMPUTED_VALUE"""),0.0)</f>
        <v>0</v>
      </c>
      <c r="L1769" s="10">
        <f>IFERROR(__xludf.DUMMYFUNCTION("""COMPUTED_VALUE"""),344.0)</f>
        <v>344</v>
      </c>
      <c r="M1769" s="5">
        <f>IFERROR(__xludf.DUMMYFUNCTION("""COMPUTED_VALUE"""),1.0)</f>
        <v>1</v>
      </c>
    </row>
    <row r="1770">
      <c r="A1770" s="10" t="str">
        <f>IFERROR(__xludf.DUMMYFUNCTION("""COMPUTED_VALUE"""),"アトミック福岡")</f>
        <v>アトミック福岡</v>
      </c>
      <c r="B1770" s="10">
        <f>IFERROR(__xludf.DUMMYFUNCTION("""COMPUTED_VALUE"""),190.0)</f>
        <v>190</v>
      </c>
      <c r="C1770" s="10">
        <f>IFERROR(__xludf.DUMMYFUNCTION("""COMPUTED_VALUE"""),2270.0)</f>
        <v>2270</v>
      </c>
      <c r="D1770" s="5">
        <f>IFERROR(__xludf.DUMMYFUNCTION("""COMPUTED_VALUE"""),0.3408653846153846)</f>
        <v>0.3408653846</v>
      </c>
      <c r="E1770" s="5">
        <f>IFERROR(__xludf.DUMMYFUNCTION("""COMPUTED_VALUE"""),0.13413461538461538)</f>
        <v>0.1341346154</v>
      </c>
      <c r="F1770" s="5">
        <f>IFERROR(__xludf.DUMMYFUNCTION("""COMPUTED_VALUE"""),0.20528846153846153)</f>
        <v>0.2052884615</v>
      </c>
      <c r="G1770" s="5">
        <f>IFERROR(__xludf.DUMMYFUNCTION("""COMPUTED_VALUE"""),0.22163461538461537)</f>
        <v>0.2216346154</v>
      </c>
      <c r="H1770" s="5">
        <f>IFERROR(__xludf.DUMMYFUNCTION("""COMPUTED_VALUE"""),0.5667447306791569)</f>
        <v>0.5667447307</v>
      </c>
      <c r="I1770" s="11">
        <f>IFERROR(__xludf.DUMMYFUNCTION("""COMPUTED_VALUE"""),5834.660421545667)</f>
        <v>5834.660422</v>
      </c>
      <c r="J1770" s="10">
        <f>IFERROR(__xludf.DUMMYFUNCTION("""COMPUTED_VALUE"""),0.0)</f>
        <v>0</v>
      </c>
      <c r="K1770" s="5">
        <f>IFERROR(__xludf.DUMMYFUNCTION("""COMPUTED_VALUE"""),0.0)</f>
        <v>0</v>
      </c>
      <c r="L1770" s="10">
        <f>IFERROR(__xludf.DUMMYFUNCTION("""COMPUTED_VALUE"""),190.0)</f>
        <v>190</v>
      </c>
      <c r="M1770" s="5">
        <f>IFERROR(__xludf.DUMMYFUNCTION("""COMPUTED_VALUE"""),1.0)</f>
        <v>1</v>
      </c>
    </row>
    <row r="1771">
      <c r="A1771" s="10" t="str">
        <f>IFERROR(__xludf.DUMMYFUNCTION("""COMPUTED_VALUE"""),"海棠")</f>
        <v>海棠</v>
      </c>
      <c r="B1771" s="10">
        <f>IFERROR(__xludf.DUMMYFUNCTION("""COMPUTED_VALUE"""),547.0)</f>
        <v>547</v>
      </c>
      <c r="C1771" s="10">
        <f>IFERROR(__xludf.DUMMYFUNCTION("""COMPUTED_VALUE"""),6497.0)</f>
        <v>6497</v>
      </c>
      <c r="D1771" s="5">
        <f>IFERROR(__xludf.DUMMYFUNCTION("""COMPUTED_VALUE"""),0.2709243697478992)</f>
        <v>0.2709243697</v>
      </c>
      <c r="E1771" s="5">
        <f>IFERROR(__xludf.DUMMYFUNCTION("""COMPUTED_VALUE"""),0.13411764705882354)</f>
        <v>0.1341176471</v>
      </c>
      <c r="F1771" s="5">
        <f>IFERROR(__xludf.DUMMYFUNCTION("""COMPUTED_VALUE"""),0.19445378151260503)</f>
        <v>0.1944537815</v>
      </c>
      <c r="G1771" s="5">
        <f>IFERROR(__xludf.DUMMYFUNCTION("""COMPUTED_VALUE"""),0.17932773109243696)</f>
        <v>0.1793277311</v>
      </c>
      <c r="H1771" s="5">
        <f>IFERROR(__xludf.DUMMYFUNCTION("""COMPUTED_VALUE"""),0.6058772687986171)</f>
        <v>0.6058772688</v>
      </c>
      <c r="I1771" s="11">
        <f>IFERROR(__xludf.DUMMYFUNCTION("""COMPUTED_VALUE"""),5617.545375972342)</f>
        <v>5617.545376</v>
      </c>
      <c r="J1771" s="10">
        <f>IFERROR(__xludf.DUMMYFUNCTION("""COMPUTED_VALUE"""),2.0)</f>
        <v>2</v>
      </c>
      <c r="K1771" s="5">
        <f>IFERROR(__xludf.DUMMYFUNCTION("""COMPUTED_VALUE"""),0.003656307129798903)</f>
        <v>0.00365630713</v>
      </c>
      <c r="L1771" s="10">
        <f>IFERROR(__xludf.DUMMYFUNCTION("""COMPUTED_VALUE"""),547.0)</f>
        <v>547</v>
      </c>
      <c r="M1771" s="5">
        <f>IFERROR(__xludf.DUMMYFUNCTION("""COMPUTED_VALUE"""),1.0)</f>
        <v>1</v>
      </c>
    </row>
    <row r="1772">
      <c r="A1772" s="10" t="str">
        <f>IFERROR(__xludf.DUMMYFUNCTION("""COMPUTED_VALUE"""),"ひめすぅゆいもあ")</f>
        <v>ひめすぅゆいもあ</v>
      </c>
      <c r="B1772" s="10">
        <f>IFERROR(__xludf.DUMMYFUNCTION("""COMPUTED_VALUE"""),199.0)</f>
        <v>199</v>
      </c>
      <c r="C1772" s="10">
        <f>IFERROR(__xludf.DUMMYFUNCTION("""COMPUTED_VALUE"""),2339.0)</f>
        <v>2339</v>
      </c>
      <c r="D1772" s="5">
        <f>IFERROR(__xludf.DUMMYFUNCTION("""COMPUTED_VALUE"""),0.31542056074766356)</f>
        <v>0.3154205607</v>
      </c>
      <c r="E1772" s="5">
        <f>IFERROR(__xludf.DUMMYFUNCTION("""COMPUTED_VALUE"""),0.13411214953271028)</f>
        <v>0.1341121495</v>
      </c>
      <c r="F1772" s="5">
        <f>IFERROR(__xludf.DUMMYFUNCTION("""COMPUTED_VALUE"""),0.18738317757009346)</f>
        <v>0.1873831776</v>
      </c>
      <c r="G1772" s="5">
        <f>IFERROR(__xludf.DUMMYFUNCTION("""COMPUTED_VALUE"""),0.10981308411214953)</f>
        <v>0.1098130841</v>
      </c>
      <c r="H1772" s="5">
        <f>IFERROR(__xludf.DUMMYFUNCTION("""COMPUTED_VALUE"""),0.6184538653366584)</f>
        <v>0.6184538653</v>
      </c>
      <c r="I1772" s="11">
        <f>IFERROR(__xludf.DUMMYFUNCTION("""COMPUTED_VALUE"""),5777.556109725686)</f>
        <v>5777.55611</v>
      </c>
      <c r="J1772" s="10">
        <f>IFERROR(__xludf.DUMMYFUNCTION("""COMPUTED_VALUE"""),1.0)</f>
        <v>1</v>
      </c>
      <c r="K1772" s="5">
        <f>IFERROR(__xludf.DUMMYFUNCTION("""COMPUTED_VALUE"""),0.005025125628140704)</f>
        <v>0.005025125628</v>
      </c>
      <c r="L1772" s="10">
        <f>IFERROR(__xludf.DUMMYFUNCTION("""COMPUTED_VALUE"""),0.0)</f>
        <v>0</v>
      </c>
      <c r="M1772" s="5">
        <f>IFERROR(__xludf.DUMMYFUNCTION("""COMPUTED_VALUE"""),0.0)</f>
        <v>0</v>
      </c>
    </row>
    <row r="1773">
      <c r="A1773" s="10" t="str">
        <f>IFERROR(__xludf.DUMMYFUNCTION("""COMPUTED_VALUE"""),"神詠古都")</f>
        <v>神詠古都</v>
      </c>
      <c r="B1773" s="10">
        <f>IFERROR(__xludf.DUMMYFUNCTION("""COMPUTED_VALUE"""),113.0)</f>
        <v>113</v>
      </c>
      <c r="C1773" s="10">
        <f>IFERROR(__xludf.DUMMYFUNCTION("""COMPUTED_VALUE"""),1321.0)</f>
        <v>1321</v>
      </c>
      <c r="D1773" s="5">
        <f>IFERROR(__xludf.DUMMYFUNCTION("""COMPUTED_VALUE"""),0.3344370860927152)</f>
        <v>0.3344370861</v>
      </c>
      <c r="E1773" s="5">
        <f>IFERROR(__xludf.DUMMYFUNCTION("""COMPUTED_VALUE"""),0.13410596026490065)</f>
        <v>0.1341059603</v>
      </c>
      <c r="F1773" s="5">
        <f>IFERROR(__xludf.DUMMYFUNCTION("""COMPUTED_VALUE"""),0.19039735099337748)</f>
        <v>0.190397351</v>
      </c>
      <c r="G1773" s="5">
        <f>IFERROR(__xludf.DUMMYFUNCTION("""COMPUTED_VALUE"""),0.18129139072847683)</f>
        <v>0.1812913907</v>
      </c>
      <c r="H1773" s="5">
        <f>IFERROR(__xludf.DUMMYFUNCTION("""COMPUTED_VALUE"""),0.5826086956521739)</f>
        <v>0.5826086957</v>
      </c>
      <c r="I1773" s="11">
        <f>IFERROR(__xludf.DUMMYFUNCTION("""COMPUTED_VALUE"""),5275.217391304348)</f>
        <v>5275.217391</v>
      </c>
      <c r="J1773" s="10">
        <f>IFERROR(__xludf.DUMMYFUNCTION("""COMPUTED_VALUE"""),0.0)</f>
        <v>0</v>
      </c>
      <c r="K1773" s="5">
        <f>IFERROR(__xludf.DUMMYFUNCTION("""COMPUTED_VALUE"""),0.0)</f>
        <v>0</v>
      </c>
      <c r="L1773" s="10">
        <f>IFERROR(__xludf.DUMMYFUNCTION("""COMPUTED_VALUE"""),16.0)</f>
        <v>16</v>
      </c>
      <c r="M1773" s="5">
        <f>IFERROR(__xludf.DUMMYFUNCTION("""COMPUTED_VALUE"""),0.1415929203539823)</f>
        <v>0.1415929204</v>
      </c>
    </row>
    <row r="1774">
      <c r="A1774" s="10" t="str">
        <f>IFERROR(__xludf.DUMMYFUNCTION("""COMPUTED_VALUE"""),"ピカチュウくん")</f>
        <v>ピカチュウくん</v>
      </c>
      <c r="B1774" s="10">
        <f>IFERROR(__xludf.DUMMYFUNCTION("""COMPUTED_VALUE"""),227.0)</f>
        <v>227</v>
      </c>
      <c r="C1774" s="10">
        <f>IFERROR(__xludf.DUMMYFUNCTION("""COMPUTED_VALUE"""),2561.0)</f>
        <v>2561</v>
      </c>
      <c r="D1774" s="5">
        <f>IFERROR(__xludf.DUMMYFUNCTION("""COMPUTED_VALUE"""),0.3384747215081405)</f>
        <v>0.3384747215</v>
      </c>
      <c r="E1774" s="5">
        <f>IFERROR(__xludf.DUMMYFUNCTION("""COMPUTED_VALUE"""),0.13410454155955442)</f>
        <v>0.1341045416</v>
      </c>
      <c r="F1774" s="5">
        <f>IFERROR(__xludf.DUMMYFUNCTION("""COMPUTED_VALUE"""),0.2249357326478149)</f>
        <v>0.2249357326</v>
      </c>
      <c r="G1774" s="5">
        <f>IFERROR(__xludf.DUMMYFUNCTION("""COMPUTED_VALUE"""),0.16066838046272494)</f>
        <v>0.1606683805</v>
      </c>
      <c r="H1774" s="5">
        <f>IFERROR(__xludf.DUMMYFUNCTION("""COMPUTED_VALUE"""),0.6323809523809524)</f>
        <v>0.6323809524</v>
      </c>
      <c r="I1774" s="11">
        <f>IFERROR(__xludf.DUMMYFUNCTION("""COMPUTED_VALUE"""),5459.238095238095)</f>
        <v>5459.238095</v>
      </c>
      <c r="J1774" s="10">
        <f>IFERROR(__xludf.DUMMYFUNCTION("""COMPUTED_VALUE"""),0.0)</f>
        <v>0</v>
      </c>
      <c r="K1774" s="5">
        <f>IFERROR(__xludf.DUMMYFUNCTION("""COMPUTED_VALUE"""),0.0)</f>
        <v>0</v>
      </c>
      <c r="L1774" s="10">
        <f>IFERROR(__xludf.DUMMYFUNCTION("""COMPUTED_VALUE"""),3.0)</f>
        <v>3</v>
      </c>
      <c r="M1774" s="5">
        <f>IFERROR(__xludf.DUMMYFUNCTION("""COMPUTED_VALUE"""),0.013215859030837005)</f>
        <v>0.01321585903</v>
      </c>
    </row>
    <row r="1775">
      <c r="A1775" s="10" t="str">
        <f>IFERROR(__xludf.DUMMYFUNCTION("""COMPUTED_VALUE"""),"ミクロ")</f>
        <v>ミクロ</v>
      </c>
      <c r="B1775" s="10">
        <f>IFERROR(__xludf.DUMMYFUNCTION("""COMPUTED_VALUE"""),1240.0)</f>
        <v>1240</v>
      </c>
      <c r="C1775" s="10">
        <f>IFERROR(__xludf.DUMMYFUNCTION("""COMPUTED_VALUE"""),14439.0)</f>
        <v>14439</v>
      </c>
      <c r="D1775" s="5">
        <f>IFERROR(__xludf.DUMMYFUNCTION("""COMPUTED_VALUE"""),0.345253428290022)</f>
        <v>0.3452534283</v>
      </c>
      <c r="E1775" s="5">
        <f>IFERROR(__xludf.DUMMYFUNCTION("""COMPUTED_VALUE"""),0.13410106826274718)</f>
        <v>0.1341010683</v>
      </c>
      <c r="F1775" s="5">
        <f>IFERROR(__xludf.DUMMYFUNCTION("""COMPUTED_VALUE"""),0.208955223880597)</f>
        <v>0.2089552239</v>
      </c>
      <c r="G1775" s="5">
        <f>IFERROR(__xludf.DUMMYFUNCTION("""COMPUTED_VALUE"""),0.17046745965603455)</f>
        <v>0.1704674597</v>
      </c>
      <c r="H1775" s="5">
        <f>IFERROR(__xludf.DUMMYFUNCTION("""COMPUTED_VALUE"""),0.6051486584481508)</f>
        <v>0.6051486584</v>
      </c>
      <c r="I1775" s="11">
        <f>IFERROR(__xludf.DUMMYFUNCTION("""COMPUTED_VALUE"""),5587.055837563452)</f>
        <v>5587.055838</v>
      </c>
      <c r="J1775" s="10">
        <f>IFERROR(__xludf.DUMMYFUNCTION("""COMPUTED_VALUE"""),0.0)</f>
        <v>0</v>
      </c>
      <c r="K1775" s="5">
        <f>IFERROR(__xludf.DUMMYFUNCTION("""COMPUTED_VALUE"""),0.0)</f>
        <v>0</v>
      </c>
      <c r="L1775" s="10">
        <f>IFERROR(__xludf.DUMMYFUNCTION("""COMPUTED_VALUE"""),1239.0)</f>
        <v>1239</v>
      </c>
      <c r="M1775" s="5">
        <f>IFERROR(__xludf.DUMMYFUNCTION("""COMPUTED_VALUE"""),0.9991935483870967)</f>
        <v>0.9991935484</v>
      </c>
    </row>
    <row r="1776">
      <c r="A1776" s="10" t="str">
        <f>IFERROR(__xludf.DUMMYFUNCTION("""COMPUTED_VALUE"""),"普通の打ち手")</f>
        <v>普通の打ち手</v>
      </c>
      <c r="B1776" s="10">
        <f>IFERROR(__xludf.DUMMYFUNCTION("""COMPUTED_VALUE"""),315.0)</f>
        <v>315</v>
      </c>
      <c r="C1776" s="10">
        <f>IFERROR(__xludf.DUMMYFUNCTION("""COMPUTED_VALUE"""),3708.0)</f>
        <v>3708</v>
      </c>
      <c r="D1776" s="5">
        <f>IFERROR(__xludf.DUMMYFUNCTION("""COMPUTED_VALUE"""),0.3566165635131152)</f>
        <v>0.3566165635</v>
      </c>
      <c r="E1776" s="5">
        <f>IFERROR(__xludf.DUMMYFUNCTION("""COMPUTED_VALUE"""),0.13409961685823754)</f>
        <v>0.1340996169</v>
      </c>
      <c r="F1776" s="5">
        <f>IFERROR(__xludf.DUMMYFUNCTION("""COMPUTED_VALUE"""),0.2163277335691129)</f>
        <v>0.2163277336</v>
      </c>
      <c r="G1776" s="5">
        <f>IFERROR(__xludf.DUMMYFUNCTION("""COMPUTED_VALUE"""),0.18508694370763337)</f>
        <v>0.1850869437</v>
      </c>
      <c r="H1776" s="5">
        <f>IFERROR(__xludf.DUMMYFUNCTION("""COMPUTED_VALUE"""),0.6049046321525886)</f>
        <v>0.6049046322</v>
      </c>
      <c r="I1776" s="11">
        <f>IFERROR(__xludf.DUMMYFUNCTION("""COMPUTED_VALUE"""),5298.773841961853)</f>
        <v>5298.773842</v>
      </c>
      <c r="J1776" s="10">
        <f>IFERROR(__xludf.DUMMYFUNCTION("""COMPUTED_VALUE"""),1.0)</f>
        <v>1</v>
      </c>
      <c r="K1776" s="5">
        <f>IFERROR(__xludf.DUMMYFUNCTION("""COMPUTED_VALUE"""),0.0031746031746031746)</f>
        <v>0.003174603175</v>
      </c>
      <c r="L1776" s="10">
        <f>IFERROR(__xludf.DUMMYFUNCTION("""COMPUTED_VALUE"""),84.0)</f>
        <v>84</v>
      </c>
      <c r="M1776" s="5">
        <f>IFERROR(__xludf.DUMMYFUNCTION("""COMPUTED_VALUE"""),0.26666666666666666)</f>
        <v>0.2666666667</v>
      </c>
    </row>
    <row r="1777">
      <c r="A1777" s="10" t="str">
        <f>IFERROR(__xludf.DUMMYFUNCTION("""COMPUTED_VALUE"""),"charlie7")</f>
        <v>charlie7</v>
      </c>
      <c r="B1777" s="10">
        <f>IFERROR(__xludf.DUMMYFUNCTION("""COMPUTED_VALUE"""),1052.0)</f>
        <v>1052</v>
      </c>
      <c r="C1777" s="10">
        <f>IFERROR(__xludf.DUMMYFUNCTION("""COMPUTED_VALUE"""),12275.0)</f>
        <v>12275</v>
      </c>
      <c r="D1777" s="5">
        <f>IFERROR(__xludf.DUMMYFUNCTION("""COMPUTED_VALUE"""),0.39107190590751134)</f>
        <v>0.3910719059</v>
      </c>
      <c r="E1777" s="5">
        <f>IFERROR(__xludf.DUMMYFUNCTION("""COMPUTED_VALUE"""),0.13409961685823754)</f>
        <v>0.1340996169</v>
      </c>
      <c r="F1777" s="5">
        <f>IFERROR(__xludf.DUMMYFUNCTION("""COMPUTED_VALUE"""),0.20814399002049364)</f>
        <v>0.20814399</v>
      </c>
      <c r="G1777" s="5">
        <f>IFERROR(__xludf.DUMMYFUNCTION("""COMPUTED_VALUE"""),0.1504945201817696)</f>
        <v>0.1504945202</v>
      </c>
      <c r="H1777" s="5">
        <f>IFERROR(__xludf.DUMMYFUNCTION("""COMPUTED_VALUE"""),0.6018835616438356)</f>
        <v>0.6018835616</v>
      </c>
      <c r="I1777" s="11">
        <f>IFERROR(__xludf.DUMMYFUNCTION("""COMPUTED_VALUE"""),5524.743150684932)</f>
        <v>5524.743151</v>
      </c>
      <c r="J1777" s="10">
        <f>IFERROR(__xludf.DUMMYFUNCTION("""COMPUTED_VALUE"""),2.0)</f>
        <v>2</v>
      </c>
      <c r="K1777" s="5">
        <f>IFERROR(__xludf.DUMMYFUNCTION("""COMPUTED_VALUE"""),0.0019011406844106464)</f>
        <v>0.001901140684</v>
      </c>
      <c r="L1777" s="10">
        <f>IFERROR(__xludf.DUMMYFUNCTION("""COMPUTED_VALUE"""),1052.0)</f>
        <v>1052</v>
      </c>
      <c r="M1777" s="5">
        <f>IFERROR(__xludf.DUMMYFUNCTION("""COMPUTED_VALUE"""),1.0)</f>
        <v>1</v>
      </c>
    </row>
    <row r="1778">
      <c r="A1778" s="10" t="str">
        <f>IFERROR(__xludf.DUMMYFUNCTION("""COMPUTED_VALUE"""),"ヨーデル食べ放題")</f>
        <v>ヨーデル食べ放題</v>
      </c>
      <c r="B1778" s="10">
        <f>IFERROR(__xludf.DUMMYFUNCTION("""COMPUTED_VALUE"""),245.0)</f>
        <v>245</v>
      </c>
      <c r="C1778" s="10">
        <f>IFERROR(__xludf.DUMMYFUNCTION("""COMPUTED_VALUE"""),2818.0)</f>
        <v>2818</v>
      </c>
      <c r="D1778" s="5">
        <f>IFERROR(__xludf.DUMMYFUNCTION("""COMPUTED_VALUE"""),0.36805285658764086)</f>
        <v>0.3680528566</v>
      </c>
      <c r="E1778" s="5">
        <f>IFERROR(__xludf.DUMMYFUNCTION("""COMPUTED_VALUE"""),0.1340847260007773)</f>
        <v>0.134084726</v>
      </c>
      <c r="F1778" s="5">
        <f>IFERROR(__xludf.DUMMYFUNCTION("""COMPUTED_VALUE"""),0.22619510299261564)</f>
        <v>0.226195103</v>
      </c>
      <c r="G1778" s="5">
        <f>IFERROR(__xludf.DUMMYFUNCTION("""COMPUTED_VALUE"""),0.16362223085891955)</f>
        <v>0.1636222309</v>
      </c>
      <c r="H1778" s="5">
        <f>IFERROR(__xludf.DUMMYFUNCTION("""COMPUTED_VALUE"""),0.5979381443298969)</f>
        <v>0.5979381443</v>
      </c>
      <c r="I1778" s="11">
        <f>IFERROR(__xludf.DUMMYFUNCTION("""COMPUTED_VALUE"""),5557.560137457044)</f>
        <v>5557.560137</v>
      </c>
      <c r="J1778" s="10">
        <f>IFERROR(__xludf.DUMMYFUNCTION("""COMPUTED_VALUE"""),0.0)</f>
        <v>0</v>
      </c>
      <c r="K1778" s="5">
        <f>IFERROR(__xludf.DUMMYFUNCTION("""COMPUTED_VALUE"""),0.0)</f>
        <v>0</v>
      </c>
      <c r="L1778" s="10">
        <f>IFERROR(__xludf.DUMMYFUNCTION("""COMPUTED_VALUE"""),0.0)</f>
        <v>0</v>
      </c>
      <c r="M1778" s="5">
        <f>IFERROR(__xludf.DUMMYFUNCTION("""COMPUTED_VALUE"""),0.0)</f>
        <v>0</v>
      </c>
    </row>
    <row r="1779">
      <c r="A1779" s="10" t="str">
        <f>IFERROR(__xludf.DUMMYFUNCTION("""COMPUTED_VALUE"""),"あらがきあやせ")</f>
        <v>あらがきあやせ</v>
      </c>
      <c r="B1779" s="10">
        <f>IFERROR(__xludf.DUMMYFUNCTION("""COMPUTED_VALUE"""),2813.0)</f>
        <v>2813</v>
      </c>
      <c r="C1779" s="10">
        <f>IFERROR(__xludf.DUMMYFUNCTION("""COMPUTED_VALUE"""),32990.0)</f>
        <v>32990</v>
      </c>
      <c r="D1779" s="5">
        <f>IFERROR(__xludf.DUMMYFUNCTION("""COMPUTED_VALUE"""),0.33300195513139147)</f>
        <v>0.3330019551</v>
      </c>
      <c r="E1779" s="5">
        <f>IFERROR(__xludf.DUMMYFUNCTION("""COMPUTED_VALUE"""),0.13407562050568314)</f>
        <v>0.1340756205</v>
      </c>
      <c r="F1779" s="5">
        <f>IFERROR(__xludf.DUMMYFUNCTION("""COMPUTED_VALUE"""),0.2070119627530901)</f>
        <v>0.2070119628</v>
      </c>
      <c r="G1779" s="5">
        <f>IFERROR(__xludf.DUMMYFUNCTION("""COMPUTED_VALUE"""),0.1762269277926898)</f>
        <v>0.1762269278</v>
      </c>
      <c r="H1779" s="5">
        <f>IFERROR(__xludf.DUMMYFUNCTION("""COMPUTED_VALUE"""),0.5996478309588602)</f>
        <v>0.599647831</v>
      </c>
      <c r="I1779" s="11">
        <f>IFERROR(__xludf.DUMMYFUNCTION("""COMPUTED_VALUE"""),5956.4751080518645)</f>
        <v>5956.475108</v>
      </c>
      <c r="J1779" s="10">
        <f>IFERROR(__xludf.DUMMYFUNCTION("""COMPUTED_VALUE"""),2.0)</f>
        <v>2</v>
      </c>
      <c r="K1779" s="5">
        <f>IFERROR(__xludf.DUMMYFUNCTION("""COMPUTED_VALUE"""),7.109847138286527E-4)</f>
        <v>0.0007109847138</v>
      </c>
      <c r="L1779" s="10">
        <f>IFERROR(__xludf.DUMMYFUNCTION("""COMPUTED_VALUE"""),0.0)</f>
        <v>0</v>
      </c>
      <c r="M1779" s="5">
        <f>IFERROR(__xludf.DUMMYFUNCTION("""COMPUTED_VALUE"""),0.0)</f>
        <v>0</v>
      </c>
    </row>
    <row r="1780">
      <c r="A1780" s="10" t="str">
        <f>IFERROR(__xludf.DUMMYFUNCTION("""COMPUTED_VALUE"""),"雲淡風清")</f>
        <v>雲淡風清</v>
      </c>
      <c r="B1780" s="10">
        <f>IFERROR(__xludf.DUMMYFUNCTION("""COMPUTED_VALUE"""),423.0)</f>
        <v>423</v>
      </c>
      <c r="C1780" s="10">
        <f>IFERROR(__xludf.DUMMYFUNCTION("""COMPUTED_VALUE"""),4877.0)</f>
        <v>4877</v>
      </c>
      <c r="D1780" s="5">
        <f>IFERROR(__xludf.DUMMYFUNCTION("""COMPUTED_VALUE"""),0.3509205208801078)</f>
        <v>0.3509205209</v>
      </c>
      <c r="E1780" s="5">
        <f>IFERROR(__xludf.DUMMYFUNCTION("""COMPUTED_VALUE"""),0.13403682083520432)</f>
        <v>0.1340368208</v>
      </c>
      <c r="F1780" s="5">
        <f>IFERROR(__xludf.DUMMYFUNCTION("""COMPUTED_VALUE"""),0.19869779973057924)</f>
        <v>0.1986977997</v>
      </c>
      <c r="G1780" s="5">
        <f>IFERROR(__xludf.DUMMYFUNCTION("""COMPUTED_VALUE"""),0.19443197126178716)</f>
        <v>0.1944319713</v>
      </c>
      <c r="H1780" s="5">
        <f>IFERROR(__xludf.DUMMYFUNCTION("""COMPUTED_VALUE"""),0.6067796610169491)</f>
        <v>0.606779661</v>
      </c>
      <c r="I1780" s="11">
        <f>IFERROR(__xludf.DUMMYFUNCTION("""COMPUTED_VALUE"""),6125.423728813559)</f>
        <v>6125.423729</v>
      </c>
      <c r="J1780" s="10">
        <f>IFERROR(__xludf.DUMMYFUNCTION("""COMPUTED_VALUE"""),2.0)</f>
        <v>2</v>
      </c>
      <c r="K1780" s="5">
        <f>IFERROR(__xludf.DUMMYFUNCTION("""COMPUTED_VALUE"""),0.004728132387706856)</f>
        <v>0.004728132388</v>
      </c>
      <c r="L1780" s="10">
        <f>IFERROR(__xludf.DUMMYFUNCTION("""COMPUTED_VALUE"""),423.0)</f>
        <v>423</v>
      </c>
      <c r="M1780" s="5">
        <f>IFERROR(__xludf.DUMMYFUNCTION("""COMPUTED_VALUE"""),1.0)</f>
        <v>1</v>
      </c>
    </row>
    <row r="1781">
      <c r="A1781" s="10" t="str">
        <f>IFERROR(__xludf.DUMMYFUNCTION("""COMPUTED_VALUE"""),"コウコウ")</f>
        <v>コウコウ</v>
      </c>
      <c r="B1781" s="10">
        <f>IFERROR(__xludf.DUMMYFUNCTION("""COMPUTED_VALUE"""),246.0)</f>
        <v>246</v>
      </c>
      <c r="C1781" s="10">
        <f>IFERROR(__xludf.DUMMYFUNCTION("""COMPUTED_VALUE"""),2902.0)</f>
        <v>2902</v>
      </c>
      <c r="D1781" s="5">
        <f>IFERROR(__xludf.DUMMYFUNCTION("""COMPUTED_VALUE"""),0.32831325301204817)</f>
        <v>0.328313253</v>
      </c>
      <c r="E1781" s="5">
        <f>IFERROR(__xludf.DUMMYFUNCTION("""COMPUTED_VALUE"""),0.13403614457831325)</f>
        <v>0.1340361446</v>
      </c>
      <c r="F1781" s="5">
        <f>IFERROR(__xludf.DUMMYFUNCTION("""COMPUTED_VALUE"""),0.21159638554216867)</f>
        <v>0.2115963855</v>
      </c>
      <c r="G1781" s="5">
        <f>IFERROR(__xludf.DUMMYFUNCTION("""COMPUTED_VALUE"""),0.16603915662650603)</f>
        <v>0.1660391566</v>
      </c>
      <c r="H1781" s="5">
        <f>IFERROR(__xludf.DUMMYFUNCTION("""COMPUTED_VALUE"""),0.6423487544483986)</f>
        <v>0.6423487544</v>
      </c>
      <c r="I1781" s="11">
        <f>IFERROR(__xludf.DUMMYFUNCTION("""COMPUTED_VALUE"""),5570.284697508897)</f>
        <v>5570.284698</v>
      </c>
      <c r="J1781" s="10">
        <f>IFERROR(__xludf.DUMMYFUNCTION("""COMPUTED_VALUE"""),0.0)</f>
        <v>0</v>
      </c>
      <c r="K1781" s="5">
        <f>IFERROR(__xludf.DUMMYFUNCTION("""COMPUTED_VALUE"""),0.0)</f>
        <v>0</v>
      </c>
      <c r="L1781" s="10">
        <f>IFERROR(__xludf.DUMMYFUNCTION("""COMPUTED_VALUE"""),246.0)</f>
        <v>246</v>
      </c>
      <c r="M1781" s="5">
        <f>IFERROR(__xludf.DUMMYFUNCTION("""COMPUTED_VALUE"""),1.0)</f>
        <v>1</v>
      </c>
    </row>
    <row r="1782">
      <c r="A1782" s="10" t="str">
        <f>IFERROR(__xludf.DUMMYFUNCTION("""COMPUTED_VALUE"""),"虎狼丸")</f>
        <v>虎狼丸</v>
      </c>
      <c r="B1782" s="10">
        <f>IFERROR(__xludf.DUMMYFUNCTION("""COMPUTED_VALUE"""),238.0)</f>
        <v>238</v>
      </c>
      <c r="C1782" s="10">
        <f>IFERROR(__xludf.DUMMYFUNCTION("""COMPUTED_VALUE"""),2842.0)</f>
        <v>2842</v>
      </c>
      <c r="D1782" s="5">
        <f>IFERROR(__xludf.DUMMYFUNCTION("""COMPUTED_VALUE"""),0.3383256528417819)</f>
        <v>0.3383256528</v>
      </c>
      <c r="E1782" s="5">
        <f>IFERROR(__xludf.DUMMYFUNCTION("""COMPUTED_VALUE"""),0.13402457757296468)</f>
        <v>0.1340245776</v>
      </c>
      <c r="F1782" s="5">
        <f>IFERROR(__xludf.DUMMYFUNCTION("""COMPUTED_VALUE"""),0.20929339477726575)</f>
        <v>0.2092933948</v>
      </c>
      <c r="G1782" s="5">
        <f>IFERROR(__xludf.DUMMYFUNCTION("""COMPUTED_VALUE"""),0.1716589861751152)</f>
        <v>0.1716589862</v>
      </c>
      <c r="H1782" s="5">
        <f>IFERROR(__xludf.DUMMYFUNCTION("""COMPUTED_VALUE"""),0.6146788990825688)</f>
        <v>0.6146788991</v>
      </c>
      <c r="I1782" s="11">
        <f>IFERROR(__xludf.DUMMYFUNCTION("""COMPUTED_VALUE"""),5063.48623853211)</f>
        <v>5063.486239</v>
      </c>
      <c r="J1782" s="10">
        <f>IFERROR(__xludf.DUMMYFUNCTION("""COMPUTED_VALUE"""),1.0)</f>
        <v>1</v>
      </c>
      <c r="K1782" s="5">
        <f>IFERROR(__xludf.DUMMYFUNCTION("""COMPUTED_VALUE"""),0.004201680672268907)</f>
        <v>0.004201680672</v>
      </c>
      <c r="L1782" s="10">
        <f>IFERROR(__xludf.DUMMYFUNCTION("""COMPUTED_VALUE"""),238.0)</f>
        <v>238</v>
      </c>
      <c r="M1782" s="5">
        <f>IFERROR(__xludf.DUMMYFUNCTION("""COMPUTED_VALUE"""),1.0)</f>
        <v>1</v>
      </c>
    </row>
    <row r="1783">
      <c r="A1783" s="10" t="str">
        <f>IFERROR(__xludf.DUMMYFUNCTION("""COMPUTED_VALUE"""),"BrBa")</f>
        <v>BrBa</v>
      </c>
      <c r="B1783" s="10">
        <f>IFERROR(__xludf.DUMMYFUNCTION("""COMPUTED_VALUE"""),693.0)</f>
        <v>693</v>
      </c>
      <c r="C1783" s="10">
        <f>IFERROR(__xludf.DUMMYFUNCTION("""COMPUTED_VALUE"""),8177.0)</f>
        <v>8177</v>
      </c>
      <c r="D1783" s="5">
        <f>IFERROR(__xludf.DUMMYFUNCTION("""COMPUTED_VALUE"""),0.3717263495456975)</f>
        <v>0.3717263495</v>
      </c>
      <c r="E1783" s="5">
        <f>IFERROR(__xludf.DUMMYFUNCTION("""COMPUTED_VALUE"""),0.13401924104756816)</f>
        <v>0.134019241</v>
      </c>
      <c r="F1783" s="5">
        <f>IFERROR(__xludf.DUMMYFUNCTION("""COMPUTED_VALUE"""),0.2077765900587921)</f>
        <v>0.2077765901</v>
      </c>
      <c r="G1783" s="5">
        <f>IFERROR(__xludf.DUMMYFUNCTION("""COMPUTED_VALUE"""),0.1719668626402993)</f>
        <v>0.1719668626</v>
      </c>
      <c r="H1783" s="5">
        <f>IFERROR(__xludf.DUMMYFUNCTION("""COMPUTED_VALUE"""),0.5839228295819936)</f>
        <v>0.5839228296</v>
      </c>
      <c r="I1783" s="11">
        <f>IFERROR(__xludf.DUMMYFUNCTION("""COMPUTED_VALUE"""),5699.67845659164)</f>
        <v>5699.678457</v>
      </c>
      <c r="J1783" s="10">
        <f>IFERROR(__xludf.DUMMYFUNCTION("""COMPUTED_VALUE"""),1.0)</f>
        <v>1</v>
      </c>
      <c r="K1783" s="5">
        <f>IFERROR(__xludf.DUMMYFUNCTION("""COMPUTED_VALUE"""),0.001443001443001443)</f>
        <v>0.001443001443</v>
      </c>
      <c r="L1783" s="10">
        <f>IFERROR(__xludf.DUMMYFUNCTION("""COMPUTED_VALUE"""),693.0)</f>
        <v>693</v>
      </c>
      <c r="M1783" s="5">
        <f>IFERROR(__xludf.DUMMYFUNCTION("""COMPUTED_VALUE"""),1.0)</f>
        <v>1</v>
      </c>
    </row>
    <row r="1784">
      <c r="A1784" s="10" t="str">
        <f>IFERROR(__xludf.DUMMYFUNCTION("""COMPUTED_VALUE"""),"凛宙")</f>
        <v>凛宙</v>
      </c>
      <c r="B1784" s="10">
        <f>IFERROR(__xludf.DUMMYFUNCTION("""COMPUTED_VALUE"""),1337.0)</f>
        <v>1337</v>
      </c>
      <c r="C1784" s="10">
        <f>IFERROR(__xludf.DUMMYFUNCTION("""COMPUTED_VALUE"""),15694.0)</f>
        <v>15694</v>
      </c>
      <c r="D1784" s="5">
        <f>IFERROR(__xludf.DUMMYFUNCTION("""COMPUTED_VALUE"""),0.33976457477188826)</f>
        <v>0.3397645748</v>
      </c>
      <c r="E1784" s="5">
        <f>IFERROR(__xludf.DUMMYFUNCTION("""COMPUTED_VALUE"""),0.13401128369436513)</f>
        <v>0.1340112837</v>
      </c>
      <c r="F1784" s="5">
        <f>IFERROR(__xludf.DUMMYFUNCTION("""COMPUTED_VALUE"""),0.2074249495019851)</f>
        <v>0.2074249495</v>
      </c>
      <c r="G1784" s="5">
        <f>IFERROR(__xludf.DUMMYFUNCTION("""COMPUTED_VALUE"""),0.14048896008915512)</f>
        <v>0.1404889601</v>
      </c>
      <c r="H1784" s="5">
        <f>IFERROR(__xludf.DUMMYFUNCTION("""COMPUTED_VALUE"""),0.5933512424445937)</f>
        <v>0.5933512424</v>
      </c>
      <c r="I1784" s="11">
        <f>IFERROR(__xludf.DUMMYFUNCTION("""COMPUTED_VALUE"""),5711.685695097381)</f>
        <v>5711.685695</v>
      </c>
      <c r="J1784" s="10">
        <f>IFERROR(__xludf.DUMMYFUNCTION("""COMPUTED_VALUE"""),6.0)</f>
        <v>6</v>
      </c>
      <c r="K1784" s="5">
        <f>IFERROR(__xludf.DUMMYFUNCTION("""COMPUTED_VALUE"""),0.004487658937920718)</f>
        <v>0.004487658938</v>
      </c>
      <c r="L1784" s="10">
        <f>IFERROR(__xludf.DUMMYFUNCTION("""COMPUTED_VALUE"""),1337.0)</f>
        <v>1337</v>
      </c>
      <c r="M1784" s="5">
        <f>IFERROR(__xludf.DUMMYFUNCTION("""COMPUTED_VALUE"""),1.0)</f>
        <v>1</v>
      </c>
    </row>
    <row r="1785">
      <c r="A1785" s="10" t="str">
        <f>IFERROR(__xludf.DUMMYFUNCTION("""COMPUTED_VALUE"""),"サンマ道楽の人")</f>
        <v>サンマ道楽の人</v>
      </c>
      <c r="B1785" s="10">
        <f>IFERROR(__xludf.DUMMYFUNCTION("""COMPUTED_VALUE"""),1680.0)</f>
        <v>1680</v>
      </c>
      <c r="C1785" s="10">
        <f>IFERROR(__xludf.DUMMYFUNCTION("""COMPUTED_VALUE"""),19582.0)</f>
        <v>19582</v>
      </c>
      <c r="D1785" s="5">
        <f>IFERROR(__xludf.DUMMYFUNCTION("""COMPUTED_VALUE"""),0.30521729415707743)</f>
        <v>0.3052172942</v>
      </c>
      <c r="E1785" s="5">
        <f>IFERROR(__xludf.DUMMYFUNCTION("""COMPUTED_VALUE"""),0.1340073734778237)</f>
        <v>0.1340073735</v>
      </c>
      <c r="F1785" s="5">
        <f>IFERROR(__xludf.DUMMYFUNCTION("""COMPUTED_VALUE"""),0.21740587643838677)</f>
        <v>0.2174058764</v>
      </c>
      <c r="G1785" s="5">
        <f>IFERROR(__xludf.DUMMYFUNCTION("""COMPUTED_VALUE"""),0.1742263434253156)</f>
        <v>0.1742263434</v>
      </c>
      <c r="H1785" s="5">
        <f>IFERROR(__xludf.DUMMYFUNCTION("""COMPUTED_VALUE"""),0.6061151079136691)</f>
        <v>0.6061151079</v>
      </c>
      <c r="I1785" s="11">
        <f>IFERROR(__xludf.DUMMYFUNCTION("""COMPUTED_VALUE"""),5978.956834532374)</f>
        <v>5978.956835</v>
      </c>
      <c r="J1785" s="10">
        <f>IFERROR(__xludf.DUMMYFUNCTION("""COMPUTED_VALUE"""),8.0)</f>
        <v>8</v>
      </c>
      <c r="K1785" s="5">
        <f>IFERROR(__xludf.DUMMYFUNCTION("""COMPUTED_VALUE"""),0.004761904761904762)</f>
        <v>0.004761904762</v>
      </c>
      <c r="L1785" s="10">
        <f>IFERROR(__xludf.DUMMYFUNCTION("""COMPUTED_VALUE"""),1680.0)</f>
        <v>1680</v>
      </c>
      <c r="M1785" s="5">
        <f>IFERROR(__xludf.DUMMYFUNCTION("""COMPUTED_VALUE"""),1.0)</f>
        <v>1</v>
      </c>
    </row>
    <row r="1786">
      <c r="A1786" s="10" t="str">
        <f>IFERROR(__xludf.DUMMYFUNCTION("""COMPUTED_VALUE"""),"ナイルパーチ")</f>
        <v>ナイルパーチ</v>
      </c>
      <c r="B1786" s="10">
        <f>IFERROR(__xludf.DUMMYFUNCTION("""COMPUTED_VALUE"""),280.0)</f>
        <v>280</v>
      </c>
      <c r="C1786" s="10">
        <f>IFERROR(__xludf.DUMMYFUNCTION("""COMPUTED_VALUE"""),3280.0)</f>
        <v>3280</v>
      </c>
      <c r="D1786" s="5">
        <f>IFERROR(__xludf.DUMMYFUNCTION("""COMPUTED_VALUE"""),0.387)</f>
        <v>0.387</v>
      </c>
      <c r="E1786" s="5">
        <f>IFERROR(__xludf.DUMMYFUNCTION("""COMPUTED_VALUE"""),0.134)</f>
        <v>0.134</v>
      </c>
      <c r="F1786" s="5">
        <f>IFERROR(__xludf.DUMMYFUNCTION("""COMPUTED_VALUE"""),0.20966666666666667)</f>
        <v>0.2096666667</v>
      </c>
      <c r="G1786" s="5">
        <f>IFERROR(__xludf.DUMMYFUNCTION("""COMPUTED_VALUE"""),0.15566666666666668)</f>
        <v>0.1556666667</v>
      </c>
      <c r="H1786" s="5">
        <f>IFERROR(__xludf.DUMMYFUNCTION("""COMPUTED_VALUE"""),0.615262321144674)</f>
        <v>0.6152623211</v>
      </c>
      <c r="I1786" s="11">
        <f>IFERROR(__xludf.DUMMYFUNCTION("""COMPUTED_VALUE"""),5454.848966613673)</f>
        <v>5454.848967</v>
      </c>
      <c r="J1786" s="10">
        <f>IFERROR(__xludf.DUMMYFUNCTION("""COMPUTED_VALUE"""),1.0)</f>
        <v>1</v>
      </c>
      <c r="K1786" s="5">
        <f>IFERROR(__xludf.DUMMYFUNCTION("""COMPUTED_VALUE"""),0.0035714285714285713)</f>
        <v>0.003571428571</v>
      </c>
      <c r="L1786" s="10">
        <f>IFERROR(__xludf.DUMMYFUNCTION("""COMPUTED_VALUE"""),280.0)</f>
        <v>280</v>
      </c>
      <c r="M1786" s="5">
        <f>IFERROR(__xludf.DUMMYFUNCTION("""COMPUTED_VALUE"""),1.0)</f>
        <v>1</v>
      </c>
    </row>
    <row r="1787">
      <c r="A1787" s="10" t="str">
        <f>IFERROR(__xludf.DUMMYFUNCTION("""COMPUTED_VALUE"""),"freedman")</f>
        <v>freedman</v>
      </c>
      <c r="B1787" s="10">
        <f>IFERROR(__xludf.DUMMYFUNCTION("""COMPUTED_VALUE"""),336.0)</f>
        <v>336</v>
      </c>
      <c r="C1787" s="10">
        <f>IFERROR(__xludf.DUMMYFUNCTION("""COMPUTED_VALUE"""),4008.0)</f>
        <v>4008</v>
      </c>
      <c r="D1787" s="5">
        <f>IFERROR(__xludf.DUMMYFUNCTION("""COMPUTED_VALUE"""),0.3137254901960784)</f>
        <v>0.3137254902</v>
      </c>
      <c r="E1787" s="5">
        <f>IFERROR(__xludf.DUMMYFUNCTION("""COMPUTED_VALUE"""),0.13398692810457516)</f>
        <v>0.1339869281</v>
      </c>
      <c r="F1787" s="5">
        <f>IFERROR(__xludf.DUMMYFUNCTION("""COMPUTED_VALUE"""),0.1979847494553377)</f>
        <v>0.1979847495</v>
      </c>
      <c r="G1787" s="5">
        <f>IFERROR(__xludf.DUMMYFUNCTION("""COMPUTED_VALUE"""),0.16639433551198257)</f>
        <v>0.1663943355</v>
      </c>
      <c r="H1787" s="5">
        <f>IFERROR(__xludf.DUMMYFUNCTION("""COMPUTED_VALUE"""),0.6052269601100413)</f>
        <v>0.6052269601</v>
      </c>
      <c r="I1787" s="11">
        <f>IFERROR(__xludf.DUMMYFUNCTION("""COMPUTED_VALUE"""),6014.030261348005)</f>
        <v>6014.030261</v>
      </c>
      <c r="J1787" s="10">
        <f>IFERROR(__xludf.DUMMYFUNCTION("""COMPUTED_VALUE"""),0.0)</f>
        <v>0</v>
      </c>
      <c r="K1787" s="5">
        <f>IFERROR(__xludf.DUMMYFUNCTION("""COMPUTED_VALUE"""),0.0)</f>
        <v>0</v>
      </c>
      <c r="L1787" s="10">
        <f>IFERROR(__xludf.DUMMYFUNCTION("""COMPUTED_VALUE"""),0.0)</f>
        <v>0</v>
      </c>
      <c r="M1787" s="5">
        <f>IFERROR(__xludf.DUMMYFUNCTION("""COMPUTED_VALUE"""),0.0)</f>
        <v>0</v>
      </c>
    </row>
    <row r="1788">
      <c r="A1788" s="10" t="str">
        <f>IFERROR(__xludf.DUMMYFUNCTION("""COMPUTED_VALUE"""),"ガンジー")</f>
        <v>ガンジー</v>
      </c>
      <c r="B1788" s="10">
        <f>IFERROR(__xludf.DUMMYFUNCTION("""COMPUTED_VALUE"""),322.0)</f>
        <v>322</v>
      </c>
      <c r="C1788" s="10">
        <f>IFERROR(__xludf.DUMMYFUNCTION("""COMPUTED_VALUE"""),3830.0)</f>
        <v>3830</v>
      </c>
      <c r="D1788" s="5">
        <f>IFERROR(__xludf.DUMMYFUNCTION("""COMPUTED_VALUE"""),0.37941847206385404)</f>
        <v>0.3794184721</v>
      </c>
      <c r="E1788" s="5">
        <f>IFERROR(__xludf.DUMMYFUNCTION("""COMPUTED_VALUE"""),0.13397947548460662)</f>
        <v>0.1339794755</v>
      </c>
      <c r="F1788" s="5">
        <f>IFERROR(__xludf.DUMMYFUNCTION("""COMPUTED_VALUE"""),0.19811858608893956)</f>
        <v>0.1981185861</v>
      </c>
      <c r="G1788" s="5">
        <f>IFERROR(__xludf.DUMMYFUNCTION("""COMPUTED_VALUE"""),0.2006841505131129)</f>
        <v>0.2006841505</v>
      </c>
      <c r="H1788" s="5">
        <f>IFERROR(__xludf.DUMMYFUNCTION("""COMPUTED_VALUE"""),0.5956834532374101)</f>
        <v>0.5956834532</v>
      </c>
      <c r="I1788" s="11">
        <f>IFERROR(__xludf.DUMMYFUNCTION("""COMPUTED_VALUE"""),5733.237410071943)</f>
        <v>5733.23741</v>
      </c>
      <c r="J1788" s="10">
        <f>IFERROR(__xludf.DUMMYFUNCTION("""COMPUTED_VALUE"""),0.0)</f>
        <v>0</v>
      </c>
      <c r="K1788" s="5">
        <f>IFERROR(__xludf.DUMMYFUNCTION("""COMPUTED_VALUE"""),0.0)</f>
        <v>0</v>
      </c>
      <c r="L1788" s="10">
        <f>IFERROR(__xludf.DUMMYFUNCTION("""COMPUTED_VALUE"""),322.0)</f>
        <v>322</v>
      </c>
      <c r="M1788" s="5">
        <f>IFERROR(__xludf.DUMMYFUNCTION("""COMPUTED_VALUE"""),1.0)</f>
        <v>1</v>
      </c>
    </row>
    <row r="1789">
      <c r="A1789" s="10" t="str">
        <f>IFERROR(__xludf.DUMMYFUNCTION("""COMPUTED_VALUE"""),"shokola2")</f>
        <v>shokola2</v>
      </c>
      <c r="B1789" s="10">
        <f>IFERROR(__xludf.DUMMYFUNCTION("""COMPUTED_VALUE"""),287.0)</f>
        <v>287</v>
      </c>
      <c r="C1789" s="10">
        <f>IFERROR(__xludf.DUMMYFUNCTION("""COMPUTED_VALUE"""),3392.0)</f>
        <v>3392</v>
      </c>
      <c r="D1789" s="5">
        <f>IFERROR(__xludf.DUMMYFUNCTION("""COMPUTED_VALUE"""),0.314975845410628)</f>
        <v>0.3149758454</v>
      </c>
      <c r="E1789" s="5">
        <f>IFERROR(__xludf.DUMMYFUNCTION("""COMPUTED_VALUE"""),0.13397745571658615)</f>
        <v>0.1339774557</v>
      </c>
      <c r="F1789" s="5">
        <f>IFERROR(__xludf.DUMMYFUNCTION("""COMPUTED_VALUE"""),0.20450885668276972)</f>
        <v>0.2045088567</v>
      </c>
      <c r="G1789" s="5">
        <f>IFERROR(__xludf.DUMMYFUNCTION("""COMPUTED_VALUE"""),0.1713365539452496)</f>
        <v>0.1713365539</v>
      </c>
      <c r="H1789" s="5">
        <f>IFERROR(__xludf.DUMMYFUNCTION("""COMPUTED_VALUE"""),0.5653543307086614)</f>
        <v>0.5653543307</v>
      </c>
      <c r="I1789" s="11">
        <f>IFERROR(__xludf.DUMMYFUNCTION("""COMPUTED_VALUE"""),5958.425196850394)</f>
        <v>5958.425197</v>
      </c>
      <c r="J1789" s="10">
        <f>IFERROR(__xludf.DUMMYFUNCTION("""COMPUTED_VALUE"""),2.0)</f>
        <v>2</v>
      </c>
      <c r="K1789" s="5">
        <f>IFERROR(__xludf.DUMMYFUNCTION("""COMPUTED_VALUE"""),0.006968641114982578)</f>
        <v>0.006968641115</v>
      </c>
      <c r="L1789" s="10">
        <f>IFERROR(__xludf.DUMMYFUNCTION("""COMPUTED_VALUE"""),287.0)</f>
        <v>287</v>
      </c>
      <c r="M1789" s="5">
        <f>IFERROR(__xludf.DUMMYFUNCTION("""COMPUTED_VALUE"""),1.0)</f>
        <v>1</v>
      </c>
    </row>
    <row r="1790">
      <c r="A1790" s="10" t="str">
        <f>IFERROR(__xludf.DUMMYFUNCTION("""COMPUTED_VALUE"""),"RVTIT")</f>
        <v>RVTIT</v>
      </c>
      <c r="B1790" s="10">
        <f>IFERROR(__xludf.DUMMYFUNCTION("""COMPUTED_VALUE"""),738.0)</f>
        <v>738</v>
      </c>
      <c r="C1790" s="10">
        <f>IFERROR(__xludf.DUMMYFUNCTION("""COMPUTED_VALUE"""),8621.0)</f>
        <v>8621</v>
      </c>
      <c r="D1790" s="5">
        <f>IFERROR(__xludf.DUMMYFUNCTION("""COMPUTED_VALUE"""),0.35164277559304835)</f>
        <v>0.3516427756</v>
      </c>
      <c r="E1790" s="5">
        <f>IFERROR(__xludf.DUMMYFUNCTION("""COMPUTED_VALUE"""),0.13395915260687555)</f>
        <v>0.1339591526</v>
      </c>
      <c r="F1790" s="5">
        <f>IFERROR(__xludf.DUMMYFUNCTION("""COMPUTED_VALUE"""),0.22821260941266017)</f>
        <v>0.2282126094</v>
      </c>
      <c r="G1790" s="5">
        <f>IFERROR(__xludf.DUMMYFUNCTION("""COMPUTED_VALUE"""),0.19611822910059623)</f>
        <v>0.1961182291</v>
      </c>
      <c r="H1790" s="5">
        <f>IFERROR(__xludf.DUMMYFUNCTION("""COMPUTED_VALUE"""),0.5875486381322957)</f>
        <v>0.5875486381</v>
      </c>
      <c r="I1790" s="11">
        <f>IFERROR(__xludf.DUMMYFUNCTION("""COMPUTED_VALUE"""),5361.367426347971)</f>
        <v>5361.367426</v>
      </c>
      <c r="J1790" s="10">
        <f>IFERROR(__xludf.DUMMYFUNCTION("""COMPUTED_VALUE"""),1.0)</f>
        <v>1</v>
      </c>
      <c r="K1790" s="5">
        <f>IFERROR(__xludf.DUMMYFUNCTION("""COMPUTED_VALUE"""),0.0013550135501355014)</f>
        <v>0.00135501355</v>
      </c>
      <c r="L1790" s="10">
        <f>IFERROR(__xludf.DUMMYFUNCTION("""COMPUTED_VALUE"""),738.0)</f>
        <v>738</v>
      </c>
      <c r="M1790" s="5">
        <f>IFERROR(__xludf.DUMMYFUNCTION("""COMPUTED_VALUE"""),1.0)</f>
        <v>1</v>
      </c>
    </row>
    <row r="1791">
      <c r="A1791" s="10" t="str">
        <f>IFERROR(__xludf.DUMMYFUNCTION("""COMPUTED_VALUE"""),"人生残り千点")</f>
        <v>人生残り千点</v>
      </c>
      <c r="B1791" s="10">
        <f>IFERROR(__xludf.DUMMYFUNCTION("""COMPUTED_VALUE"""),1451.0)</f>
        <v>1451</v>
      </c>
      <c r="C1791" s="10">
        <f>IFERROR(__xludf.DUMMYFUNCTION("""COMPUTED_VALUE"""),17017.0)</f>
        <v>17017</v>
      </c>
      <c r="D1791" s="5">
        <f>IFERROR(__xludf.DUMMYFUNCTION("""COMPUTED_VALUE"""),0.41179493768469744)</f>
        <v>0.4117949377</v>
      </c>
      <c r="E1791" s="5">
        <f>IFERROR(__xludf.DUMMYFUNCTION("""COMPUTED_VALUE"""),0.13394577926249518)</f>
        <v>0.1339457793</v>
      </c>
      <c r="F1791" s="5">
        <f>IFERROR(__xludf.DUMMYFUNCTION("""COMPUTED_VALUE"""),0.21322112296029808)</f>
        <v>0.213221123</v>
      </c>
      <c r="G1791" s="5">
        <f>IFERROR(__xludf.DUMMYFUNCTION("""COMPUTED_VALUE"""),0.15309006809713477)</f>
        <v>0.1530900681</v>
      </c>
      <c r="H1791" s="5">
        <f>IFERROR(__xludf.DUMMYFUNCTION("""COMPUTED_VALUE"""),0.5959626393492016)</f>
        <v>0.5959626393</v>
      </c>
      <c r="I1791" s="11">
        <f>IFERROR(__xludf.DUMMYFUNCTION("""COMPUTED_VALUE"""),5527.6288038565835)</f>
        <v>5527.628804</v>
      </c>
      <c r="J1791" s="10">
        <f>IFERROR(__xludf.DUMMYFUNCTION("""COMPUTED_VALUE"""),3.0)</f>
        <v>3</v>
      </c>
      <c r="K1791" s="5">
        <f>IFERROR(__xludf.DUMMYFUNCTION("""COMPUTED_VALUE"""),0.002067539627842867)</f>
        <v>0.002067539628</v>
      </c>
      <c r="L1791" s="10">
        <f>IFERROR(__xludf.DUMMYFUNCTION("""COMPUTED_VALUE"""),1451.0)</f>
        <v>1451</v>
      </c>
      <c r="M1791" s="5">
        <f>IFERROR(__xludf.DUMMYFUNCTION("""COMPUTED_VALUE"""),1.0)</f>
        <v>1</v>
      </c>
    </row>
    <row r="1792">
      <c r="A1792" s="10" t="str">
        <f>IFERROR(__xludf.DUMMYFUNCTION("""COMPUTED_VALUE"""),"栗田恭宏")</f>
        <v>栗田恭宏</v>
      </c>
      <c r="B1792" s="10">
        <f>IFERROR(__xludf.DUMMYFUNCTION("""COMPUTED_VALUE"""),4415.0)</f>
        <v>4415</v>
      </c>
      <c r="C1792" s="10">
        <f>IFERROR(__xludf.DUMMYFUNCTION("""COMPUTED_VALUE"""),51116.0)</f>
        <v>51116</v>
      </c>
      <c r="D1792" s="5">
        <f>IFERROR(__xludf.DUMMYFUNCTION("""COMPUTED_VALUE"""),0.35159846684225177)</f>
        <v>0.3515984668</v>
      </c>
      <c r="E1792" s="5">
        <f>IFERROR(__xludf.DUMMYFUNCTION("""COMPUTED_VALUE"""),0.133937174792831)</f>
        <v>0.1339371748</v>
      </c>
      <c r="F1792" s="5">
        <f>IFERROR(__xludf.DUMMYFUNCTION("""COMPUTED_VALUE"""),0.2177469433202715)</f>
        <v>0.2177469433</v>
      </c>
      <c r="G1792" s="5">
        <f>IFERROR(__xludf.DUMMYFUNCTION("""COMPUTED_VALUE"""),0.18006038414594977)</f>
        <v>0.1800603841</v>
      </c>
      <c r="H1792" s="5">
        <f>IFERROR(__xludf.DUMMYFUNCTION("""COMPUTED_VALUE"""),0.5921919559445373)</f>
        <v>0.5921919559</v>
      </c>
      <c r="I1792" s="11">
        <f>IFERROR(__xludf.DUMMYFUNCTION("""COMPUTED_VALUE"""),5655.207001671747)</f>
        <v>5655.207002</v>
      </c>
      <c r="J1792" s="10">
        <f>IFERROR(__xludf.DUMMYFUNCTION("""COMPUTED_VALUE"""),15.0)</f>
        <v>15</v>
      </c>
      <c r="K1792" s="5">
        <f>IFERROR(__xludf.DUMMYFUNCTION("""COMPUTED_VALUE"""),0.0033975084937712344)</f>
        <v>0.003397508494</v>
      </c>
      <c r="L1792" s="10">
        <f>IFERROR(__xludf.DUMMYFUNCTION("""COMPUTED_VALUE"""),4415.0)</f>
        <v>4415</v>
      </c>
      <c r="M1792" s="5">
        <f>IFERROR(__xludf.DUMMYFUNCTION("""COMPUTED_VALUE"""),1.0)</f>
        <v>1</v>
      </c>
    </row>
    <row r="1793">
      <c r="A1793" s="10" t="str">
        <f>IFERROR(__xludf.DUMMYFUNCTION("""COMPUTED_VALUE"""),"あいかわきずな")</f>
        <v>あいかわきずな</v>
      </c>
      <c r="B1793" s="10">
        <f>IFERROR(__xludf.DUMMYFUNCTION("""COMPUTED_VALUE"""),857.0)</f>
        <v>857</v>
      </c>
      <c r="C1793" s="10">
        <f>IFERROR(__xludf.DUMMYFUNCTION("""COMPUTED_VALUE"""),9996.0)</f>
        <v>9996</v>
      </c>
      <c r="D1793" s="5">
        <f>IFERROR(__xludf.DUMMYFUNCTION("""COMPUTED_VALUE"""),0.33986212933581356)</f>
        <v>0.3398621293</v>
      </c>
      <c r="E1793" s="5">
        <f>IFERROR(__xludf.DUMMYFUNCTION("""COMPUTED_VALUE"""),0.133931502352555)</f>
        <v>0.1339315024</v>
      </c>
      <c r="F1793" s="5">
        <f>IFERROR(__xludf.DUMMYFUNCTION("""COMPUTED_VALUE"""),0.20483641536273114)</f>
        <v>0.2048364154</v>
      </c>
      <c r="G1793" s="5">
        <f>IFERROR(__xludf.DUMMYFUNCTION("""COMPUTED_VALUE"""),0.17551154393259658)</f>
        <v>0.1755115439</v>
      </c>
      <c r="H1793" s="5">
        <f>IFERROR(__xludf.DUMMYFUNCTION("""COMPUTED_VALUE"""),0.5849358974358975)</f>
        <v>0.5849358974</v>
      </c>
      <c r="I1793" s="11">
        <f>IFERROR(__xludf.DUMMYFUNCTION("""COMPUTED_VALUE"""),5998.076923076923)</f>
        <v>5998.076923</v>
      </c>
      <c r="J1793" s="10">
        <f>IFERROR(__xludf.DUMMYFUNCTION("""COMPUTED_VALUE"""),2.0)</f>
        <v>2</v>
      </c>
      <c r="K1793" s="5">
        <f>IFERROR(__xludf.DUMMYFUNCTION("""COMPUTED_VALUE"""),0.002333722287047841)</f>
        <v>0.002333722287</v>
      </c>
      <c r="L1793" s="10">
        <f>IFERROR(__xludf.DUMMYFUNCTION("""COMPUTED_VALUE"""),725.0)</f>
        <v>725</v>
      </c>
      <c r="M1793" s="5">
        <f>IFERROR(__xludf.DUMMYFUNCTION("""COMPUTED_VALUE"""),0.8459743290548425)</f>
        <v>0.8459743291</v>
      </c>
    </row>
    <row r="1794">
      <c r="A1794" s="10" t="str">
        <f>IFERROR(__xludf.DUMMYFUNCTION("""COMPUTED_VALUE"""),"kanaghoh")</f>
        <v>kanaghoh</v>
      </c>
      <c r="B1794" s="10">
        <f>IFERROR(__xludf.DUMMYFUNCTION("""COMPUTED_VALUE"""),134.0)</f>
        <v>134</v>
      </c>
      <c r="C1794" s="10">
        <f>IFERROR(__xludf.DUMMYFUNCTION("""COMPUTED_VALUE"""),1590.0)</f>
        <v>1590</v>
      </c>
      <c r="D1794" s="5">
        <f>IFERROR(__xludf.DUMMYFUNCTION("""COMPUTED_VALUE"""),0.3118131868131868)</f>
        <v>0.3118131868</v>
      </c>
      <c r="E1794" s="5">
        <f>IFERROR(__xludf.DUMMYFUNCTION("""COMPUTED_VALUE"""),0.13392857142857142)</f>
        <v>0.1339285714</v>
      </c>
      <c r="F1794" s="5">
        <f>IFERROR(__xludf.DUMMYFUNCTION("""COMPUTED_VALUE"""),0.2239010989010989)</f>
        <v>0.2239010989</v>
      </c>
      <c r="G1794" s="5">
        <f>IFERROR(__xludf.DUMMYFUNCTION("""COMPUTED_VALUE"""),0.22664835164835165)</f>
        <v>0.2266483516</v>
      </c>
      <c r="H1794" s="5">
        <f>IFERROR(__xludf.DUMMYFUNCTION("""COMPUTED_VALUE"""),0.5736196319018405)</f>
        <v>0.5736196319</v>
      </c>
      <c r="I1794" s="11">
        <f>IFERROR(__xludf.DUMMYFUNCTION("""COMPUTED_VALUE"""),5380.674846625767)</f>
        <v>5380.674847</v>
      </c>
      <c r="J1794" s="10">
        <f>IFERROR(__xludf.DUMMYFUNCTION("""COMPUTED_VALUE"""),0.0)</f>
        <v>0</v>
      </c>
      <c r="K1794" s="5">
        <f>IFERROR(__xludf.DUMMYFUNCTION("""COMPUTED_VALUE"""),0.0)</f>
        <v>0</v>
      </c>
      <c r="L1794" s="10">
        <f>IFERROR(__xludf.DUMMYFUNCTION("""COMPUTED_VALUE"""),134.0)</f>
        <v>134</v>
      </c>
      <c r="M1794" s="5">
        <f>IFERROR(__xludf.DUMMYFUNCTION("""COMPUTED_VALUE"""),1.0)</f>
        <v>1</v>
      </c>
    </row>
    <row r="1795">
      <c r="A1795" s="10" t="str">
        <f>IFERROR(__xludf.DUMMYFUNCTION("""COMPUTED_VALUE"""),"べーこんごはん")</f>
        <v>べーこんごはん</v>
      </c>
      <c r="B1795" s="10">
        <f>IFERROR(__xludf.DUMMYFUNCTION("""COMPUTED_VALUE"""),162.0)</f>
        <v>162</v>
      </c>
      <c r="C1795" s="10">
        <f>IFERROR(__xludf.DUMMYFUNCTION("""COMPUTED_VALUE"""),1842.0)</f>
        <v>1842</v>
      </c>
      <c r="D1795" s="5">
        <f>IFERROR(__xludf.DUMMYFUNCTION("""COMPUTED_VALUE"""),0.33035714285714285)</f>
        <v>0.3303571429</v>
      </c>
      <c r="E1795" s="5">
        <f>IFERROR(__xludf.DUMMYFUNCTION("""COMPUTED_VALUE"""),0.13392857142857142)</f>
        <v>0.1339285714</v>
      </c>
      <c r="F1795" s="5">
        <f>IFERROR(__xludf.DUMMYFUNCTION("""COMPUTED_VALUE"""),0.18392857142857144)</f>
        <v>0.1839285714</v>
      </c>
      <c r="G1795" s="5">
        <f>IFERROR(__xludf.DUMMYFUNCTION("""COMPUTED_VALUE"""),0.19107142857142856)</f>
        <v>0.1910714286</v>
      </c>
      <c r="H1795" s="5">
        <f>IFERROR(__xludf.DUMMYFUNCTION("""COMPUTED_VALUE"""),0.5954692556634305)</f>
        <v>0.5954692557</v>
      </c>
      <c r="I1795" s="11">
        <f>IFERROR(__xludf.DUMMYFUNCTION("""COMPUTED_VALUE"""),6039.805825242718)</f>
        <v>6039.805825</v>
      </c>
      <c r="J1795" s="10">
        <f>IFERROR(__xludf.DUMMYFUNCTION("""COMPUTED_VALUE"""),0.0)</f>
        <v>0</v>
      </c>
      <c r="K1795" s="5">
        <f>IFERROR(__xludf.DUMMYFUNCTION("""COMPUTED_VALUE"""),0.0)</f>
        <v>0</v>
      </c>
      <c r="L1795" s="10">
        <f>IFERROR(__xludf.DUMMYFUNCTION("""COMPUTED_VALUE"""),0.0)</f>
        <v>0</v>
      </c>
      <c r="M1795" s="5">
        <f>IFERROR(__xludf.DUMMYFUNCTION("""COMPUTED_VALUE"""),0.0)</f>
        <v>0</v>
      </c>
    </row>
    <row r="1796">
      <c r="A1796" s="10" t="str">
        <f>IFERROR(__xludf.DUMMYFUNCTION("""COMPUTED_VALUE"""),"hrking")</f>
        <v>hrking</v>
      </c>
      <c r="B1796" s="10">
        <f>IFERROR(__xludf.DUMMYFUNCTION("""COMPUTED_VALUE"""),2213.0)</f>
        <v>2213</v>
      </c>
      <c r="C1796" s="10">
        <f>IFERROR(__xludf.DUMMYFUNCTION("""COMPUTED_VALUE"""),26062.0)</f>
        <v>26062</v>
      </c>
      <c r="D1796" s="5">
        <f>IFERROR(__xludf.DUMMYFUNCTION("""COMPUTED_VALUE"""),0.2835339007924861)</f>
        <v>0.2835339008</v>
      </c>
      <c r="E1796" s="5">
        <f>IFERROR(__xludf.DUMMYFUNCTION("""COMPUTED_VALUE"""),0.13392595077361735)</f>
        <v>0.1339259508</v>
      </c>
      <c r="F1796" s="5">
        <f>IFERROR(__xludf.DUMMYFUNCTION("""COMPUTED_VALUE"""),0.20713656757096732)</f>
        <v>0.2071365676</v>
      </c>
      <c r="G1796" s="5">
        <f>IFERROR(__xludf.DUMMYFUNCTION("""COMPUTED_VALUE"""),0.18721958991991278)</f>
        <v>0.1872195899</v>
      </c>
      <c r="H1796" s="5">
        <f>IFERROR(__xludf.DUMMYFUNCTION("""COMPUTED_VALUE"""),0.5949392712550607)</f>
        <v>0.5949392713</v>
      </c>
      <c r="I1796" s="11">
        <f>IFERROR(__xludf.DUMMYFUNCTION("""COMPUTED_VALUE"""),5955.485829959514)</f>
        <v>5955.48583</v>
      </c>
      <c r="J1796" s="10">
        <f>IFERROR(__xludf.DUMMYFUNCTION("""COMPUTED_VALUE"""),7.0)</f>
        <v>7</v>
      </c>
      <c r="K1796" s="5">
        <f>IFERROR(__xludf.DUMMYFUNCTION("""COMPUTED_VALUE"""),0.0031631269769543608)</f>
        <v>0.003163126977</v>
      </c>
      <c r="L1796" s="10">
        <f>IFERROR(__xludf.DUMMYFUNCTION("""COMPUTED_VALUE"""),2213.0)</f>
        <v>2213</v>
      </c>
      <c r="M1796" s="5">
        <f>IFERROR(__xludf.DUMMYFUNCTION("""COMPUTED_VALUE"""),1.0)</f>
        <v>1</v>
      </c>
    </row>
    <row r="1797">
      <c r="A1797" s="10" t="str">
        <f>IFERROR(__xludf.DUMMYFUNCTION("""COMPUTED_VALUE"""),"置傘")</f>
        <v>置傘</v>
      </c>
      <c r="B1797" s="10">
        <f>IFERROR(__xludf.DUMMYFUNCTION("""COMPUTED_VALUE"""),534.0)</f>
        <v>534</v>
      </c>
      <c r="C1797" s="10">
        <f>IFERROR(__xludf.DUMMYFUNCTION("""COMPUTED_VALUE"""),6306.0)</f>
        <v>6306</v>
      </c>
      <c r="D1797" s="5">
        <f>IFERROR(__xludf.DUMMYFUNCTION("""COMPUTED_VALUE"""),0.3738738738738739)</f>
        <v>0.3738738739</v>
      </c>
      <c r="E1797" s="5">
        <f>IFERROR(__xludf.DUMMYFUNCTION("""COMPUTED_VALUE"""),0.13392238392238393)</f>
        <v>0.1339223839</v>
      </c>
      <c r="F1797" s="5">
        <f>IFERROR(__xludf.DUMMYFUNCTION("""COMPUTED_VALUE"""),0.22955647955647956)</f>
        <v>0.2295564796</v>
      </c>
      <c r="G1797" s="5">
        <f>IFERROR(__xludf.DUMMYFUNCTION("""COMPUTED_VALUE"""),0.16216216216216217)</f>
        <v>0.1621621622</v>
      </c>
      <c r="H1797" s="5">
        <f>IFERROR(__xludf.DUMMYFUNCTION("""COMPUTED_VALUE"""),0.5992452830188679)</f>
        <v>0.599245283</v>
      </c>
      <c r="I1797" s="11">
        <f>IFERROR(__xludf.DUMMYFUNCTION("""COMPUTED_VALUE"""),5546.11320754717)</f>
        <v>5546.113208</v>
      </c>
      <c r="J1797" s="10">
        <f>IFERROR(__xludf.DUMMYFUNCTION("""COMPUTED_VALUE"""),0.0)</f>
        <v>0</v>
      </c>
      <c r="K1797" s="5">
        <f>IFERROR(__xludf.DUMMYFUNCTION("""COMPUTED_VALUE"""),0.0)</f>
        <v>0</v>
      </c>
      <c r="L1797" s="10">
        <f>IFERROR(__xludf.DUMMYFUNCTION("""COMPUTED_VALUE"""),534.0)</f>
        <v>534</v>
      </c>
      <c r="M1797" s="5">
        <f>IFERROR(__xludf.DUMMYFUNCTION("""COMPUTED_VALUE"""),1.0)</f>
        <v>1</v>
      </c>
    </row>
    <row r="1798">
      <c r="A1798" s="10" t="str">
        <f>IFERROR(__xludf.DUMMYFUNCTION("""COMPUTED_VALUE"""),"赤坂圭")</f>
        <v>赤坂圭</v>
      </c>
      <c r="B1798" s="10">
        <f>IFERROR(__xludf.DUMMYFUNCTION("""COMPUTED_VALUE"""),221.0)</f>
        <v>221</v>
      </c>
      <c r="C1798" s="10">
        <f>IFERROR(__xludf.DUMMYFUNCTION("""COMPUTED_VALUE"""),2603.0)</f>
        <v>2603</v>
      </c>
      <c r="D1798" s="5">
        <f>IFERROR(__xludf.DUMMYFUNCTION("""COMPUTED_VALUE"""),0.3954659949622166)</f>
        <v>0.395465995</v>
      </c>
      <c r="E1798" s="5">
        <f>IFERROR(__xludf.DUMMYFUNCTION("""COMPUTED_VALUE"""),0.13392107472712006)</f>
        <v>0.1339210747</v>
      </c>
      <c r="F1798" s="5">
        <f>IFERROR(__xludf.DUMMYFUNCTION("""COMPUTED_VALUE"""),0.21662468513853905)</f>
        <v>0.2166246851</v>
      </c>
      <c r="G1798" s="5">
        <f>IFERROR(__xludf.DUMMYFUNCTION("""COMPUTED_VALUE"""),0.17800167926112512)</f>
        <v>0.1780016793</v>
      </c>
      <c r="H1798" s="5">
        <f>IFERROR(__xludf.DUMMYFUNCTION("""COMPUTED_VALUE"""),0.5852713178294574)</f>
        <v>0.5852713178</v>
      </c>
      <c r="I1798" s="11">
        <f>IFERROR(__xludf.DUMMYFUNCTION("""COMPUTED_VALUE"""),5514.341085271318)</f>
        <v>5514.341085</v>
      </c>
      <c r="J1798" s="10">
        <f>IFERROR(__xludf.DUMMYFUNCTION("""COMPUTED_VALUE"""),0.0)</f>
        <v>0</v>
      </c>
      <c r="K1798" s="5">
        <f>IFERROR(__xludf.DUMMYFUNCTION("""COMPUTED_VALUE"""),0.0)</f>
        <v>0</v>
      </c>
      <c r="L1798" s="10">
        <f>IFERROR(__xludf.DUMMYFUNCTION("""COMPUTED_VALUE"""),221.0)</f>
        <v>221</v>
      </c>
      <c r="M1798" s="5">
        <f>IFERROR(__xludf.DUMMYFUNCTION("""COMPUTED_VALUE"""),1.0)</f>
        <v>1</v>
      </c>
    </row>
    <row r="1799">
      <c r="A1799" s="10" t="str">
        <f>IFERROR(__xludf.DUMMYFUNCTION("""COMPUTED_VALUE"""),"ogarush")</f>
        <v>ogarush</v>
      </c>
      <c r="B1799" s="10">
        <f>IFERROR(__xludf.DUMMYFUNCTION("""COMPUTED_VALUE"""),273.0)</f>
        <v>273</v>
      </c>
      <c r="C1799" s="10">
        <f>IFERROR(__xludf.DUMMYFUNCTION("""COMPUTED_VALUE"""),3096.0)</f>
        <v>3096</v>
      </c>
      <c r="D1799" s="5">
        <f>IFERROR(__xludf.DUMMYFUNCTION("""COMPUTED_VALUE"""),0.28444916755224936)</f>
        <v>0.2844491676</v>
      </c>
      <c r="E1799" s="5">
        <f>IFERROR(__xludf.DUMMYFUNCTION("""COMPUTED_VALUE"""),0.1339001062699256)</f>
        <v>0.1339001063</v>
      </c>
      <c r="F1799" s="5">
        <f>IFERROR(__xludf.DUMMYFUNCTION("""COMPUTED_VALUE"""),0.20155862557562876)</f>
        <v>0.2015586256</v>
      </c>
      <c r="G1799" s="5">
        <f>IFERROR(__xludf.DUMMYFUNCTION("""COMPUTED_VALUE"""),0.17924194119730782)</f>
        <v>0.1792419412</v>
      </c>
      <c r="H1799" s="5">
        <f>IFERROR(__xludf.DUMMYFUNCTION("""COMPUTED_VALUE"""),0.6028119507908611)</f>
        <v>0.6028119508</v>
      </c>
      <c r="I1799" s="11">
        <f>IFERROR(__xludf.DUMMYFUNCTION("""COMPUTED_VALUE"""),6278.9103690685415)</f>
        <v>6278.910369</v>
      </c>
      <c r="J1799" s="10">
        <f>IFERROR(__xludf.DUMMYFUNCTION("""COMPUTED_VALUE"""),0.0)</f>
        <v>0</v>
      </c>
      <c r="K1799" s="5">
        <f>IFERROR(__xludf.DUMMYFUNCTION("""COMPUTED_VALUE"""),0.0)</f>
        <v>0</v>
      </c>
      <c r="L1799" s="10">
        <f>IFERROR(__xludf.DUMMYFUNCTION("""COMPUTED_VALUE"""),273.0)</f>
        <v>273</v>
      </c>
      <c r="M1799" s="5">
        <f>IFERROR(__xludf.DUMMYFUNCTION("""COMPUTED_VALUE"""),1.0)</f>
        <v>1</v>
      </c>
    </row>
    <row r="1800">
      <c r="A1800" s="10" t="str">
        <f>IFERROR(__xludf.DUMMYFUNCTION("""COMPUTED_VALUE"""),"らんどくん")</f>
        <v>らんどくん</v>
      </c>
      <c r="B1800" s="10">
        <f>IFERROR(__xludf.DUMMYFUNCTION("""COMPUTED_VALUE"""),113.0)</f>
        <v>113</v>
      </c>
      <c r="C1800" s="10">
        <f>IFERROR(__xludf.DUMMYFUNCTION("""COMPUTED_VALUE"""),1308.0)</f>
        <v>1308</v>
      </c>
      <c r="D1800" s="5">
        <f>IFERROR(__xludf.DUMMYFUNCTION("""COMPUTED_VALUE"""),0.36569037656903763)</f>
        <v>0.3656903766</v>
      </c>
      <c r="E1800" s="5">
        <f>IFERROR(__xludf.DUMMYFUNCTION("""COMPUTED_VALUE"""),0.13389121338912133)</f>
        <v>0.1338912134</v>
      </c>
      <c r="F1800" s="5">
        <f>IFERROR(__xludf.DUMMYFUNCTION("""COMPUTED_VALUE"""),0.20251046025104602)</f>
        <v>0.2025104603</v>
      </c>
      <c r="G1800" s="5">
        <f>IFERROR(__xludf.DUMMYFUNCTION("""COMPUTED_VALUE"""),0.14560669456066946)</f>
        <v>0.1456066946</v>
      </c>
      <c r="H1800" s="5">
        <f>IFERROR(__xludf.DUMMYFUNCTION("""COMPUTED_VALUE"""),0.6033057851239669)</f>
        <v>0.6033057851</v>
      </c>
      <c r="I1800" s="11">
        <f>IFERROR(__xludf.DUMMYFUNCTION("""COMPUTED_VALUE"""),5030.165289256199)</f>
        <v>5030.165289</v>
      </c>
      <c r="J1800" s="10">
        <f>IFERROR(__xludf.DUMMYFUNCTION("""COMPUTED_VALUE"""),0.0)</f>
        <v>0</v>
      </c>
      <c r="K1800" s="5">
        <f>IFERROR(__xludf.DUMMYFUNCTION("""COMPUTED_VALUE"""),0.0)</f>
        <v>0</v>
      </c>
      <c r="L1800" s="10">
        <f>IFERROR(__xludf.DUMMYFUNCTION("""COMPUTED_VALUE"""),0.0)</f>
        <v>0</v>
      </c>
      <c r="M1800" s="5">
        <f>IFERROR(__xludf.DUMMYFUNCTION("""COMPUTED_VALUE"""),0.0)</f>
        <v>0</v>
      </c>
    </row>
    <row r="1801">
      <c r="A1801" s="10" t="str">
        <f>IFERROR(__xludf.DUMMYFUNCTION("""COMPUTED_VALUE"""),"ponyo2")</f>
        <v>ponyo2</v>
      </c>
      <c r="B1801" s="10">
        <f>IFERROR(__xludf.DUMMYFUNCTION("""COMPUTED_VALUE"""),242.0)</f>
        <v>242</v>
      </c>
      <c r="C1801" s="10">
        <f>IFERROR(__xludf.DUMMYFUNCTION("""COMPUTED_VALUE"""),2886.0)</f>
        <v>2886</v>
      </c>
      <c r="D1801" s="5">
        <f>IFERROR(__xludf.DUMMYFUNCTION("""COMPUTED_VALUE"""),0.39372163388804843)</f>
        <v>0.3937216339</v>
      </c>
      <c r="E1801" s="5">
        <f>IFERROR(__xludf.DUMMYFUNCTION("""COMPUTED_VALUE"""),0.13388804841149773)</f>
        <v>0.1338880484</v>
      </c>
      <c r="F1801" s="5">
        <f>IFERROR(__xludf.DUMMYFUNCTION("""COMPUTED_VALUE"""),0.21142208774583965)</f>
        <v>0.2114220877</v>
      </c>
      <c r="G1801" s="5">
        <f>IFERROR(__xludf.DUMMYFUNCTION("""COMPUTED_VALUE"""),0.19062027231467474)</f>
        <v>0.1906202723</v>
      </c>
      <c r="H1801" s="5">
        <f>IFERROR(__xludf.DUMMYFUNCTION("""COMPUTED_VALUE"""),0.5992844364937389)</f>
        <v>0.5992844365</v>
      </c>
      <c r="I1801" s="11">
        <f>IFERROR(__xludf.DUMMYFUNCTION("""COMPUTED_VALUE"""),5396.422182468694)</f>
        <v>5396.422182</v>
      </c>
      <c r="J1801" s="10">
        <f>IFERROR(__xludf.DUMMYFUNCTION("""COMPUTED_VALUE"""),0.0)</f>
        <v>0</v>
      </c>
      <c r="K1801" s="5">
        <f>IFERROR(__xludf.DUMMYFUNCTION("""COMPUTED_VALUE"""),0.0)</f>
        <v>0</v>
      </c>
      <c r="L1801" s="10">
        <f>IFERROR(__xludf.DUMMYFUNCTION("""COMPUTED_VALUE"""),242.0)</f>
        <v>242</v>
      </c>
      <c r="M1801" s="5">
        <f>IFERROR(__xludf.DUMMYFUNCTION("""COMPUTED_VALUE"""),1.0)</f>
        <v>1</v>
      </c>
    </row>
    <row r="1802">
      <c r="A1802" s="10" t="str">
        <f>IFERROR(__xludf.DUMMYFUNCTION("""COMPUTED_VALUE"""),"ゆるふわ")</f>
        <v>ゆるふわ</v>
      </c>
      <c r="B1802" s="10">
        <f>IFERROR(__xludf.DUMMYFUNCTION("""COMPUTED_VALUE"""),2509.0)</f>
        <v>2509</v>
      </c>
      <c r="C1802" s="10">
        <f>IFERROR(__xludf.DUMMYFUNCTION("""COMPUTED_VALUE"""),29457.0)</f>
        <v>29457</v>
      </c>
      <c r="D1802" s="5">
        <f>IFERROR(__xludf.DUMMYFUNCTION("""COMPUTED_VALUE"""),0.3701944485676117)</f>
        <v>0.3701944486</v>
      </c>
      <c r="E1802" s="5">
        <f>IFERROR(__xludf.DUMMYFUNCTION("""COMPUTED_VALUE"""),0.13388748701202316)</f>
        <v>0.133887487</v>
      </c>
      <c r="F1802" s="5">
        <f>IFERROR(__xludf.DUMMYFUNCTION("""COMPUTED_VALUE"""),0.20732521894018108)</f>
        <v>0.2073252189</v>
      </c>
      <c r="G1802" s="5">
        <f>IFERROR(__xludf.DUMMYFUNCTION("""COMPUTED_VALUE"""),0.17934540596704765)</f>
        <v>0.179345406</v>
      </c>
      <c r="H1802" s="5">
        <f>IFERROR(__xludf.DUMMYFUNCTION("""COMPUTED_VALUE"""),0.5988902810094863)</f>
        <v>0.598890281</v>
      </c>
      <c r="I1802" s="11">
        <f>IFERROR(__xludf.DUMMYFUNCTION("""COMPUTED_VALUE"""),5932.772507606945)</f>
        <v>5932.772508</v>
      </c>
      <c r="J1802" s="10">
        <f>IFERROR(__xludf.DUMMYFUNCTION("""COMPUTED_VALUE"""),8.0)</f>
        <v>8</v>
      </c>
      <c r="K1802" s="5">
        <f>IFERROR(__xludf.DUMMYFUNCTION("""COMPUTED_VALUE"""),0.0031885213232363493)</f>
        <v>0.003188521323</v>
      </c>
      <c r="L1802" s="10">
        <f>IFERROR(__xludf.DUMMYFUNCTION("""COMPUTED_VALUE"""),2509.0)</f>
        <v>2509</v>
      </c>
      <c r="M1802" s="5">
        <f>IFERROR(__xludf.DUMMYFUNCTION("""COMPUTED_VALUE"""),1.0)</f>
        <v>1</v>
      </c>
    </row>
    <row r="1803">
      <c r="A1803" s="10" t="str">
        <f>IFERROR(__xludf.DUMMYFUNCTION("""COMPUTED_VALUE"""),"パタパタ")</f>
        <v>パタパタ</v>
      </c>
      <c r="B1803" s="10">
        <f>IFERROR(__xludf.DUMMYFUNCTION("""COMPUTED_VALUE"""),249.0)</f>
        <v>249</v>
      </c>
      <c r="C1803" s="10">
        <f>IFERROR(__xludf.DUMMYFUNCTION("""COMPUTED_VALUE"""),2908.0)</f>
        <v>2908</v>
      </c>
      <c r="D1803" s="5">
        <f>IFERROR(__xludf.DUMMYFUNCTION("""COMPUTED_VALUE"""),0.34261000376081235)</f>
        <v>0.3426100038</v>
      </c>
      <c r="E1803" s="5">
        <f>IFERROR(__xludf.DUMMYFUNCTION("""COMPUTED_VALUE"""),0.13388491914253478)</f>
        <v>0.1338849191</v>
      </c>
      <c r="F1803" s="5">
        <f>IFERROR(__xludf.DUMMYFUNCTION("""COMPUTED_VALUE"""),0.20872508461827755)</f>
        <v>0.2087250846</v>
      </c>
      <c r="G1803" s="5">
        <f>IFERROR(__xludf.DUMMYFUNCTION("""COMPUTED_VALUE"""),0.17976682963520121)</f>
        <v>0.1797668296</v>
      </c>
      <c r="H1803" s="5">
        <f>IFERROR(__xludf.DUMMYFUNCTION("""COMPUTED_VALUE"""),0.5891891891891892)</f>
        <v>0.5891891892</v>
      </c>
      <c r="I1803" s="11">
        <f>IFERROR(__xludf.DUMMYFUNCTION("""COMPUTED_VALUE"""),5611.891891891892)</f>
        <v>5611.891892</v>
      </c>
      <c r="J1803" s="10">
        <f>IFERROR(__xludf.DUMMYFUNCTION("""COMPUTED_VALUE"""),0.0)</f>
        <v>0</v>
      </c>
      <c r="K1803" s="5">
        <f>IFERROR(__xludf.DUMMYFUNCTION("""COMPUTED_VALUE"""),0.0)</f>
        <v>0</v>
      </c>
      <c r="L1803" s="10">
        <f>IFERROR(__xludf.DUMMYFUNCTION("""COMPUTED_VALUE"""),1.0)</f>
        <v>1</v>
      </c>
      <c r="M1803" s="5">
        <f>IFERROR(__xludf.DUMMYFUNCTION("""COMPUTED_VALUE"""),0.004016064257028112)</f>
        <v>0.004016064257</v>
      </c>
    </row>
    <row r="1804">
      <c r="A1804" s="10" t="str">
        <f>IFERROR(__xludf.DUMMYFUNCTION("""COMPUTED_VALUE"""),"ピンフこそ至高")</f>
        <v>ピンフこそ至高</v>
      </c>
      <c r="B1804" s="10">
        <f>IFERROR(__xludf.DUMMYFUNCTION("""COMPUTED_VALUE"""),186.0)</f>
        <v>186</v>
      </c>
      <c r="C1804" s="10">
        <f>IFERROR(__xludf.DUMMYFUNCTION("""COMPUTED_VALUE"""),2255.0)</f>
        <v>2255</v>
      </c>
      <c r="D1804" s="5">
        <f>IFERROR(__xludf.DUMMYFUNCTION("""COMPUTED_VALUE"""),0.347027549540841)</f>
        <v>0.3470275495</v>
      </c>
      <c r="E1804" s="5">
        <f>IFERROR(__xludf.DUMMYFUNCTION("""COMPUTED_VALUE"""),0.13388110198163364)</f>
        <v>0.133881102</v>
      </c>
      <c r="F1804" s="5">
        <f>IFERROR(__xludf.DUMMYFUNCTION("""COMPUTED_VALUE"""),0.1860802319961334)</f>
        <v>0.186080232</v>
      </c>
      <c r="G1804" s="5">
        <f>IFERROR(__xludf.DUMMYFUNCTION("""COMPUTED_VALUE"""),0.16288061865635572)</f>
        <v>0.1628806187</v>
      </c>
      <c r="H1804" s="5">
        <f>IFERROR(__xludf.DUMMYFUNCTION("""COMPUTED_VALUE"""),0.5688311688311688)</f>
        <v>0.5688311688</v>
      </c>
      <c r="I1804" s="11">
        <f>IFERROR(__xludf.DUMMYFUNCTION("""COMPUTED_VALUE"""),5478.961038961039)</f>
        <v>5478.961039</v>
      </c>
      <c r="J1804" s="10">
        <f>IFERROR(__xludf.DUMMYFUNCTION("""COMPUTED_VALUE"""),0.0)</f>
        <v>0</v>
      </c>
      <c r="K1804" s="5">
        <f>IFERROR(__xludf.DUMMYFUNCTION("""COMPUTED_VALUE"""),0.0)</f>
        <v>0</v>
      </c>
      <c r="L1804" s="10">
        <f>IFERROR(__xludf.DUMMYFUNCTION("""COMPUTED_VALUE"""),186.0)</f>
        <v>186</v>
      </c>
      <c r="M1804" s="5">
        <f>IFERROR(__xludf.DUMMYFUNCTION("""COMPUTED_VALUE"""),1.0)</f>
        <v>1</v>
      </c>
    </row>
    <row r="1805">
      <c r="A1805" s="10" t="str">
        <f>IFERROR(__xludf.DUMMYFUNCTION("""COMPUTED_VALUE"""),"fujiken2")</f>
        <v>fujiken2</v>
      </c>
      <c r="B1805" s="10">
        <f>IFERROR(__xludf.DUMMYFUNCTION("""COMPUTED_VALUE"""),228.0)</f>
        <v>228</v>
      </c>
      <c r="C1805" s="10">
        <f>IFERROR(__xludf.DUMMYFUNCTION("""COMPUTED_VALUE"""),2663.0)</f>
        <v>2663</v>
      </c>
      <c r="D1805" s="5">
        <f>IFERROR(__xludf.DUMMYFUNCTION("""COMPUTED_VALUE"""),0.28090349075975357)</f>
        <v>0.2809034908</v>
      </c>
      <c r="E1805" s="5">
        <f>IFERROR(__xludf.DUMMYFUNCTION("""COMPUTED_VALUE"""),0.13388090349075976)</f>
        <v>0.1338809035</v>
      </c>
      <c r="F1805" s="5">
        <f>IFERROR(__xludf.DUMMYFUNCTION("""COMPUTED_VALUE"""),0.19055441478439425)</f>
        <v>0.1905544148</v>
      </c>
      <c r="G1805" s="5">
        <f>IFERROR(__xludf.DUMMYFUNCTION("""COMPUTED_VALUE"""),0.2032854209445585)</f>
        <v>0.2032854209</v>
      </c>
      <c r="H1805" s="5">
        <f>IFERROR(__xludf.DUMMYFUNCTION("""COMPUTED_VALUE"""),0.6099137931034483)</f>
        <v>0.6099137931</v>
      </c>
      <c r="I1805" s="11">
        <f>IFERROR(__xludf.DUMMYFUNCTION("""COMPUTED_VALUE"""),6493.75)</f>
        <v>6493.75</v>
      </c>
      <c r="J1805" s="10">
        <f>IFERROR(__xludf.DUMMYFUNCTION("""COMPUTED_VALUE"""),2.0)</f>
        <v>2</v>
      </c>
      <c r="K1805" s="5">
        <f>IFERROR(__xludf.DUMMYFUNCTION("""COMPUTED_VALUE"""),0.008771929824561403)</f>
        <v>0.008771929825</v>
      </c>
      <c r="L1805" s="10">
        <f>IFERROR(__xludf.DUMMYFUNCTION("""COMPUTED_VALUE"""),228.0)</f>
        <v>228</v>
      </c>
      <c r="M1805" s="5">
        <f>IFERROR(__xludf.DUMMYFUNCTION("""COMPUTED_VALUE"""),1.0)</f>
        <v>1</v>
      </c>
    </row>
    <row r="1806">
      <c r="A1806" s="10" t="str">
        <f>IFERROR(__xludf.DUMMYFUNCTION("""COMPUTED_VALUE"""),"ラストメッセージ")</f>
        <v>ラストメッセージ</v>
      </c>
      <c r="B1806" s="10">
        <f>IFERROR(__xludf.DUMMYFUNCTION("""COMPUTED_VALUE"""),149.0)</f>
        <v>149</v>
      </c>
      <c r="C1806" s="10">
        <f>IFERROR(__xludf.DUMMYFUNCTION("""COMPUTED_VALUE"""),1740.0)</f>
        <v>1740</v>
      </c>
      <c r="D1806" s="5">
        <f>IFERROR(__xludf.DUMMYFUNCTION("""COMPUTED_VALUE"""),0.3117536140791955)</f>
        <v>0.3117536141</v>
      </c>
      <c r="E1806" s="5">
        <f>IFERROR(__xludf.DUMMYFUNCTION("""COMPUTED_VALUE"""),0.13387806411062225)</f>
        <v>0.1338780641</v>
      </c>
      <c r="F1806" s="5">
        <f>IFERROR(__xludf.DUMMYFUNCTION("""COMPUTED_VALUE"""),0.19170333123821495)</f>
        <v>0.1917033312</v>
      </c>
      <c r="G1806" s="5">
        <f>IFERROR(__xludf.DUMMYFUNCTION("""COMPUTED_VALUE"""),0.21118793211816467)</f>
        <v>0.2111879321</v>
      </c>
      <c r="H1806" s="5">
        <f>IFERROR(__xludf.DUMMYFUNCTION("""COMPUTED_VALUE"""),0.5606557377049181)</f>
        <v>0.5606557377</v>
      </c>
      <c r="I1806" s="11">
        <f>IFERROR(__xludf.DUMMYFUNCTION("""COMPUTED_VALUE"""),6125.245901639344)</f>
        <v>6125.245902</v>
      </c>
      <c r="J1806" s="10">
        <f>IFERROR(__xludf.DUMMYFUNCTION("""COMPUTED_VALUE"""),1.0)</f>
        <v>1</v>
      </c>
      <c r="K1806" s="5">
        <f>IFERROR(__xludf.DUMMYFUNCTION("""COMPUTED_VALUE"""),0.006711409395973154)</f>
        <v>0.006711409396</v>
      </c>
      <c r="L1806" s="10">
        <f>IFERROR(__xludf.DUMMYFUNCTION("""COMPUTED_VALUE"""),149.0)</f>
        <v>149</v>
      </c>
      <c r="M1806" s="5">
        <f>IFERROR(__xludf.DUMMYFUNCTION("""COMPUTED_VALUE"""),1.0)</f>
        <v>1</v>
      </c>
    </row>
    <row r="1807">
      <c r="A1807" s="10" t="str">
        <f>IFERROR(__xludf.DUMMYFUNCTION("""COMPUTED_VALUE"""),"ハリボテ大将")</f>
        <v>ハリボテ大将</v>
      </c>
      <c r="B1807" s="10">
        <f>IFERROR(__xludf.DUMMYFUNCTION("""COMPUTED_VALUE"""),248.0)</f>
        <v>248</v>
      </c>
      <c r="C1807" s="10">
        <f>IFERROR(__xludf.DUMMYFUNCTION("""COMPUTED_VALUE"""),2967.0)</f>
        <v>2967</v>
      </c>
      <c r="D1807" s="5">
        <f>IFERROR(__xludf.DUMMYFUNCTION("""COMPUTED_VALUE"""),0.3744023538065465)</f>
        <v>0.3744023538</v>
      </c>
      <c r="E1807" s="5">
        <f>IFERROR(__xludf.DUMMYFUNCTION("""COMPUTED_VALUE"""),0.1338727473335785)</f>
        <v>0.1338727473</v>
      </c>
      <c r="F1807" s="5">
        <f>IFERROR(__xludf.DUMMYFUNCTION("""COMPUTED_VALUE"""),0.22103714600956234)</f>
        <v>0.221037146</v>
      </c>
      <c r="G1807" s="5">
        <f>IFERROR(__xludf.DUMMYFUNCTION("""COMPUTED_VALUE"""),0.18058109599117322)</f>
        <v>0.180581096</v>
      </c>
      <c r="H1807" s="5">
        <f>IFERROR(__xludf.DUMMYFUNCTION("""COMPUTED_VALUE"""),0.5956738768718802)</f>
        <v>0.5956738769</v>
      </c>
      <c r="I1807" s="11">
        <f>IFERROR(__xludf.DUMMYFUNCTION("""COMPUTED_VALUE"""),4959.900166389351)</f>
        <v>4959.900166</v>
      </c>
      <c r="J1807" s="10">
        <f>IFERROR(__xludf.DUMMYFUNCTION("""COMPUTED_VALUE"""),0.0)</f>
        <v>0</v>
      </c>
      <c r="K1807" s="5">
        <f>IFERROR(__xludf.DUMMYFUNCTION("""COMPUTED_VALUE"""),0.0)</f>
        <v>0</v>
      </c>
      <c r="L1807" s="10">
        <f>IFERROR(__xludf.DUMMYFUNCTION("""COMPUTED_VALUE"""),248.0)</f>
        <v>248</v>
      </c>
      <c r="M1807" s="5">
        <f>IFERROR(__xludf.DUMMYFUNCTION("""COMPUTED_VALUE"""),1.0)</f>
        <v>1</v>
      </c>
    </row>
    <row r="1808">
      <c r="A1808" s="10" t="str">
        <f>IFERROR(__xludf.DUMMYFUNCTION("""COMPUTED_VALUE"""),"犬侍")</f>
        <v>犬侍</v>
      </c>
      <c r="B1808" s="10">
        <f>IFERROR(__xludf.DUMMYFUNCTION("""COMPUTED_VALUE"""),1272.0)</f>
        <v>1272</v>
      </c>
      <c r="C1808" s="10">
        <f>IFERROR(__xludf.DUMMYFUNCTION("""COMPUTED_VALUE"""),14935.0)</f>
        <v>14935</v>
      </c>
      <c r="D1808" s="5">
        <f>IFERROR(__xludf.DUMMYFUNCTION("""COMPUTED_VALUE"""),0.33067408329063896)</f>
        <v>0.3306740833</v>
      </c>
      <c r="E1808" s="5">
        <f>IFERROR(__xludf.DUMMYFUNCTION("""COMPUTED_VALUE"""),0.1338651833418722)</f>
        <v>0.1338651833</v>
      </c>
      <c r="F1808" s="5">
        <f>IFERROR(__xludf.DUMMYFUNCTION("""COMPUTED_VALUE"""),0.20954402400644076)</f>
        <v>0.209544024</v>
      </c>
      <c r="G1808" s="5">
        <f>IFERROR(__xludf.DUMMYFUNCTION("""COMPUTED_VALUE"""),0.1842933469955354)</f>
        <v>0.184293347</v>
      </c>
      <c r="H1808" s="5">
        <f>IFERROR(__xludf.DUMMYFUNCTION("""COMPUTED_VALUE"""),0.5850506461753405)</f>
        <v>0.5850506462</v>
      </c>
      <c r="I1808" s="11">
        <f>IFERROR(__xludf.DUMMYFUNCTION("""COMPUTED_VALUE"""),5685.853999301432)</f>
        <v>5685.853999</v>
      </c>
      <c r="J1808" s="10">
        <f>IFERROR(__xludf.DUMMYFUNCTION("""COMPUTED_VALUE"""),7.0)</f>
        <v>7</v>
      </c>
      <c r="K1808" s="5">
        <f>IFERROR(__xludf.DUMMYFUNCTION("""COMPUTED_VALUE"""),0.00550314465408805)</f>
        <v>0.005503144654</v>
      </c>
      <c r="L1808" s="10">
        <f>IFERROR(__xludf.DUMMYFUNCTION("""COMPUTED_VALUE"""),1272.0)</f>
        <v>1272</v>
      </c>
      <c r="M1808" s="5">
        <f>IFERROR(__xludf.DUMMYFUNCTION("""COMPUTED_VALUE"""),1.0)</f>
        <v>1</v>
      </c>
    </row>
    <row r="1809">
      <c r="A1809" s="10" t="str">
        <f>IFERROR(__xludf.DUMMYFUNCTION("""COMPUTED_VALUE"""),"Lindskog")</f>
        <v>Lindskog</v>
      </c>
      <c r="B1809" s="10">
        <f>IFERROR(__xludf.DUMMYFUNCTION("""COMPUTED_VALUE"""),157.0)</f>
        <v>157</v>
      </c>
      <c r="C1809" s="10">
        <f>IFERROR(__xludf.DUMMYFUNCTION("""COMPUTED_VALUE"""),1793.0)</f>
        <v>1793</v>
      </c>
      <c r="D1809" s="5">
        <f>IFERROR(__xludf.DUMMYFUNCTION("""COMPUTED_VALUE"""),0.3099022004889976)</f>
        <v>0.3099022005</v>
      </c>
      <c r="E1809" s="5">
        <f>IFERROR(__xludf.DUMMYFUNCTION("""COMPUTED_VALUE"""),0.13386308068459657)</f>
        <v>0.1338630807</v>
      </c>
      <c r="F1809" s="5">
        <f>IFERROR(__xludf.DUMMYFUNCTION("""COMPUTED_VALUE"""),0.1986552567237164)</f>
        <v>0.1986552567</v>
      </c>
      <c r="G1809" s="5">
        <f>IFERROR(__xludf.DUMMYFUNCTION("""COMPUTED_VALUE"""),0.13997555012224938)</f>
        <v>0.1399755501</v>
      </c>
      <c r="H1809" s="5">
        <f>IFERROR(__xludf.DUMMYFUNCTION("""COMPUTED_VALUE"""),0.6092307692307692)</f>
        <v>0.6092307692</v>
      </c>
      <c r="I1809" s="11">
        <f>IFERROR(__xludf.DUMMYFUNCTION("""COMPUTED_VALUE"""),5911.076923076923)</f>
        <v>5911.076923</v>
      </c>
      <c r="J1809" s="10">
        <f>IFERROR(__xludf.DUMMYFUNCTION("""COMPUTED_VALUE"""),2.0)</f>
        <v>2</v>
      </c>
      <c r="K1809" s="5">
        <f>IFERROR(__xludf.DUMMYFUNCTION("""COMPUTED_VALUE"""),0.012738853503184714)</f>
        <v>0.0127388535</v>
      </c>
      <c r="L1809" s="10">
        <f>IFERROR(__xludf.DUMMYFUNCTION("""COMPUTED_VALUE"""),0.0)</f>
        <v>0</v>
      </c>
      <c r="M1809" s="5">
        <f>IFERROR(__xludf.DUMMYFUNCTION("""COMPUTED_VALUE"""),0.0)</f>
        <v>0</v>
      </c>
    </row>
    <row r="1810">
      <c r="A1810" s="10" t="str">
        <f>IFERROR(__xludf.DUMMYFUNCTION("""COMPUTED_VALUE"""),"SB26")</f>
        <v>SB26</v>
      </c>
      <c r="B1810" s="10">
        <f>IFERROR(__xludf.DUMMYFUNCTION("""COMPUTED_VALUE"""),380.0)</f>
        <v>380</v>
      </c>
      <c r="C1810" s="10">
        <f>IFERROR(__xludf.DUMMYFUNCTION("""COMPUTED_VALUE"""),4556.0)</f>
        <v>4556</v>
      </c>
      <c r="D1810" s="5">
        <f>IFERROR(__xludf.DUMMYFUNCTION("""COMPUTED_VALUE"""),0.2959770114942529)</f>
        <v>0.2959770115</v>
      </c>
      <c r="E1810" s="5">
        <f>IFERROR(__xludf.DUMMYFUNCTION("""COMPUTED_VALUE"""),0.13386015325670497)</f>
        <v>0.1338601533</v>
      </c>
      <c r="F1810" s="5">
        <f>IFERROR(__xludf.DUMMYFUNCTION("""COMPUTED_VALUE"""),0.2085727969348659)</f>
        <v>0.2085727969</v>
      </c>
      <c r="G1810" s="5">
        <f>IFERROR(__xludf.DUMMYFUNCTION("""COMPUTED_VALUE"""),0.17456896551724138)</f>
        <v>0.1745689655</v>
      </c>
      <c r="H1810" s="5">
        <f>IFERROR(__xludf.DUMMYFUNCTION("""COMPUTED_VALUE"""),0.5832376578645235)</f>
        <v>0.5832376579</v>
      </c>
      <c r="I1810" s="11">
        <f>IFERROR(__xludf.DUMMYFUNCTION("""COMPUTED_VALUE"""),5549.942594718714)</f>
        <v>5549.942595</v>
      </c>
      <c r="J1810" s="10">
        <f>IFERROR(__xludf.DUMMYFUNCTION("""COMPUTED_VALUE"""),0.0)</f>
        <v>0</v>
      </c>
      <c r="K1810" s="5">
        <f>IFERROR(__xludf.DUMMYFUNCTION("""COMPUTED_VALUE"""),0.0)</f>
        <v>0</v>
      </c>
      <c r="L1810" s="10">
        <f>IFERROR(__xludf.DUMMYFUNCTION("""COMPUTED_VALUE"""),380.0)</f>
        <v>380</v>
      </c>
      <c r="M1810" s="5">
        <f>IFERROR(__xludf.DUMMYFUNCTION("""COMPUTED_VALUE"""),1.0)</f>
        <v>1</v>
      </c>
    </row>
    <row r="1811">
      <c r="A1811" s="10" t="str">
        <f>IFERROR(__xludf.DUMMYFUNCTION("""COMPUTED_VALUE"""),"弁天")</f>
        <v>弁天</v>
      </c>
      <c r="B1811" s="10">
        <f>IFERROR(__xludf.DUMMYFUNCTION("""COMPUTED_VALUE"""),370.0)</f>
        <v>370</v>
      </c>
      <c r="C1811" s="10">
        <f>IFERROR(__xludf.DUMMYFUNCTION("""COMPUTED_VALUE"""),4322.0)</f>
        <v>4322</v>
      </c>
      <c r="D1811" s="5">
        <f>IFERROR(__xludf.DUMMYFUNCTION("""COMPUTED_VALUE"""),0.3021255060728745)</f>
        <v>0.3021255061</v>
      </c>
      <c r="E1811" s="5">
        <f>IFERROR(__xludf.DUMMYFUNCTION("""COMPUTED_VALUE"""),0.13385627530364372)</f>
        <v>0.1338562753</v>
      </c>
      <c r="F1811" s="5">
        <f>IFERROR(__xludf.DUMMYFUNCTION("""COMPUTED_VALUE"""),0.1978744939271255)</f>
        <v>0.1978744939</v>
      </c>
      <c r="G1811" s="5">
        <f>IFERROR(__xludf.DUMMYFUNCTION("""COMPUTED_VALUE"""),0.16143724696356276)</f>
        <v>0.161437247</v>
      </c>
      <c r="H1811" s="5">
        <f>IFERROR(__xludf.DUMMYFUNCTION("""COMPUTED_VALUE"""),0.5613810741687979)</f>
        <v>0.5613810742</v>
      </c>
      <c r="I1811" s="11">
        <f>IFERROR(__xludf.DUMMYFUNCTION("""COMPUTED_VALUE"""),5808.951406649617)</f>
        <v>5808.951407</v>
      </c>
      <c r="J1811" s="10">
        <f>IFERROR(__xludf.DUMMYFUNCTION("""COMPUTED_VALUE"""),1.0)</f>
        <v>1</v>
      </c>
      <c r="K1811" s="5">
        <f>IFERROR(__xludf.DUMMYFUNCTION("""COMPUTED_VALUE"""),0.002702702702702703)</f>
        <v>0.002702702703</v>
      </c>
      <c r="L1811" s="10">
        <f>IFERROR(__xludf.DUMMYFUNCTION("""COMPUTED_VALUE"""),267.0)</f>
        <v>267</v>
      </c>
      <c r="M1811" s="5">
        <f>IFERROR(__xludf.DUMMYFUNCTION("""COMPUTED_VALUE"""),0.7216216216216216)</f>
        <v>0.7216216216</v>
      </c>
    </row>
    <row r="1812">
      <c r="A1812" s="10" t="str">
        <f>IFERROR(__xludf.DUMMYFUNCTION("""COMPUTED_VALUE"""),"夏じん")</f>
        <v>夏じん</v>
      </c>
      <c r="B1812" s="10">
        <f>IFERROR(__xludf.DUMMYFUNCTION("""COMPUTED_VALUE"""),1073.0)</f>
        <v>1073</v>
      </c>
      <c r="C1812" s="10">
        <f>IFERROR(__xludf.DUMMYFUNCTION("""COMPUTED_VALUE"""),12504.0)</f>
        <v>12504</v>
      </c>
      <c r="D1812" s="5">
        <f>IFERROR(__xludf.DUMMYFUNCTION("""COMPUTED_VALUE"""),0.35290000874814104)</f>
        <v>0.3529000087</v>
      </c>
      <c r="E1812" s="5">
        <f>IFERROR(__xludf.DUMMYFUNCTION("""COMPUTED_VALUE"""),0.13384655760650863)</f>
        <v>0.1338465576</v>
      </c>
      <c r="F1812" s="5">
        <f>IFERROR(__xludf.DUMMYFUNCTION("""COMPUTED_VALUE"""),0.21739130434782608)</f>
        <v>0.2173913043</v>
      </c>
      <c r="G1812" s="5">
        <f>IFERROR(__xludf.DUMMYFUNCTION("""COMPUTED_VALUE"""),0.1774997812964745)</f>
        <v>0.1774997813</v>
      </c>
      <c r="H1812" s="5">
        <f>IFERROR(__xludf.DUMMYFUNCTION("""COMPUTED_VALUE"""),0.5835010060362174)</f>
        <v>0.583501006</v>
      </c>
      <c r="I1812" s="11">
        <f>IFERROR(__xludf.DUMMYFUNCTION("""COMPUTED_VALUE"""),6036.498993963783)</f>
        <v>6036.498994</v>
      </c>
      <c r="J1812" s="10">
        <f>IFERROR(__xludf.DUMMYFUNCTION("""COMPUTED_VALUE"""),3.0)</f>
        <v>3</v>
      </c>
      <c r="K1812" s="5">
        <f>IFERROR(__xludf.DUMMYFUNCTION("""COMPUTED_VALUE"""),0.0027958993476234857)</f>
        <v>0.002795899348</v>
      </c>
      <c r="L1812" s="10">
        <f>IFERROR(__xludf.DUMMYFUNCTION("""COMPUTED_VALUE"""),1073.0)</f>
        <v>1073</v>
      </c>
      <c r="M1812" s="5">
        <f>IFERROR(__xludf.DUMMYFUNCTION("""COMPUTED_VALUE"""),1.0)</f>
        <v>1</v>
      </c>
    </row>
    <row r="1813">
      <c r="A1813" s="10" t="str">
        <f>IFERROR(__xludf.DUMMYFUNCTION("""COMPUTED_VALUE"""),"黒mara")</f>
        <v>黒mara</v>
      </c>
      <c r="B1813" s="10">
        <f>IFERROR(__xludf.DUMMYFUNCTION("""COMPUTED_VALUE"""),1377.0)</f>
        <v>1377</v>
      </c>
      <c r="C1813" s="10">
        <f>IFERROR(__xludf.DUMMYFUNCTION("""COMPUTED_VALUE"""),16343.0)</f>
        <v>16343</v>
      </c>
      <c r="D1813" s="5">
        <f>IFERROR(__xludf.DUMMYFUNCTION("""COMPUTED_VALUE"""),0.3268742482961379)</f>
        <v>0.3268742483</v>
      </c>
      <c r="E1813" s="5">
        <f>IFERROR(__xludf.DUMMYFUNCTION("""COMPUTED_VALUE"""),0.13383669651209407)</f>
        <v>0.1338366965</v>
      </c>
      <c r="F1813" s="5">
        <f>IFERROR(__xludf.DUMMYFUNCTION("""COMPUTED_VALUE"""),0.20613390351463318)</f>
        <v>0.2061339035</v>
      </c>
      <c r="G1813" s="5">
        <f>IFERROR(__xludf.DUMMYFUNCTION("""COMPUTED_VALUE"""),0.16557530402245088)</f>
        <v>0.165575304</v>
      </c>
      <c r="H1813" s="5">
        <f>IFERROR(__xludf.DUMMYFUNCTION("""COMPUTED_VALUE"""),0.5977309562398704)</f>
        <v>0.5977309562</v>
      </c>
      <c r="I1813" s="11">
        <f>IFERROR(__xludf.DUMMYFUNCTION("""COMPUTED_VALUE"""),5741.393841166937)</f>
        <v>5741.393841</v>
      </c>
      <c r="J1813" s="10">
        <f>IFERROR(__xludf.DUMMYFUNCTION("""COMPUTED_VALUE"""),2.0)</f>
        <v>2</v>
      </c>
      <c r="K1813" s="5">
        <f>IFERROR(__xludf.DUMMYFUNCTION("""COMPUTED_VALUE"""),0.0014524328249818446)</f>
        <v>0.001452432825</v>
      </c>
      <c r="L1813" s="10">
        <f>IFERROR(__xludf.DUMMYFUNCTION("""COMPUTED_VALUE"""),1377.0)</f>
        <v>1377</v>
      </c>
      <c r="M1813" s="5">
        <f>IFERROR(__xludf.DUMMYFUNCTION("""COMPUTED_VALUE"""),1.0)</f>
        <v>1</v>
      </c>
    </row>
    <row r="1814">
      <c r="A1814" s="10" t="str">
        <f>IFERROR(__xludf.DUMMYFUNCTION("""COMPUTED_VALUE"""),"kurotomo")</f>
        <v>kurotomo</v>
      </c>
      <c r="B1814" s="10">
        <f>IFERROR(__xludf.DUMMYFUNCTION("""COMPUTED_VALUE"""),141.0)</f>
        <v>141</v>
      </c>
      <c r="C1814" s="10">
        <f>IFERROR(__xludf.DUMMYFUNCTION("""COMPUTED_VALUE"""),1598.0)</f>
        <v>1598</v>
      </c>
      <c r="D1814" s="5">
        <f>IFERROR(__xludf.DUMMYFUNCTION("""COMPUTED_VALUE"""),0.35415236787920384)</f>
        <v>0.3541523679</v>
      </c>
      <c r="E1814" s="5">
        <f>IFERROR(__xludf.DUMMYFUNCTION("""COMPUTED_VALUE"""),0.1338366506520247)</f>
        <v>0.1338366507</v>
      </c>
      <c r="F1814" s="5">
        <f>IFERROR(__xludf.DUMMYFUNCTION("""COMPUTED_VALUE"""),0.19835277968428278)</f>
        <v>0.1983527797</v>
      </c>
      <c r="G1814" s="5">
        <f>IFERROR(__xludf.DUMMYFUNCTION("""COMPUTED_VALUE"""),0.14619080301990392)</f>
        <v>0.146190803</v>
      </c>
      <c r="H1814" s="5">
        <f>IFERROR(__xludf.DUMMYFUNCTION("""COMPUTED_VALUE"""),0.5813148788927336)</f>
        <v>0.5813148789</v>
      </c>
      <c r="I1814" s="11">
        <f>IFERROR(__xludf.DUMMYFUNCTION("""COMPUTED_VALUE"""),5823.18339100346)</f>
        <v>5823.183391</v>
      </c>
      <c r="J1814" s="10">
        <f>IFERROR(__xludf.DUMMYFUNCTION("""COMPUTED_VALUE"""),1.0)</f>
        <v>1</v>
      </c>
      <c r="K1814" s="5">
        <f>IFERROR(__xludf.DUMMYFUNCTION("""COMPUTED_VALUE"""),0.0070921985815602835)</f>
        <v>0.007092198582</v>
      </c>
      <c r="L1814" s="10">
        <f>IFERROR(__xludf.DUMMYFUNCTION("""COMPUTED_VALUE"""),141.0)</f>
        <v>141</v>
      </c>
      <c r="M1814" s="5">
        <f>IFERROR(__xludf.DUMMYFUNCTION("""COMPUTED_VALUE"""),1.0)</f>
        <v>1</v>
      </c>
    </row>
    <row r="1815">
      <c r="A1815" s="10" t="str">
        <f>IFERROR(__xludf.DUMMYFUNCTION("""COMPUTED_VALUE"""),"プレスプ")</f>
        <v>プレスプ</v>
      </c>
      <c r="B1815" s="10">
        <f>IFERROR(__xludf.DUMMYFUNCTION("""COMPUTED_VALUE"""),2696.0)</f>
        <v>2696</v>
      </c>
      <c r="C1815" s="10">
        <f>IFERROR(__xludf.DUMMYFUNCTION("""COMPUTED_VALUE"""),31682.0)</f>
        <v>31682</v>
      </c>
      <c r="D1815" s="5">
        <f>IFERROR(__xludf.DUMMYFUNCTION("""COMPUTED_VALUE"""),0.29169254122679916)</f>
        <v>0.2916925412</v>
      </c>
      <c r="E1815" s="5">
        <f>IFERROR(__xludf.DUMMYFUNCTION("""COMPUTED_VALUE"""),0.1338232250051749)</f>
        <v>0.133823225</v>
      </c>
      <c r="F1815" s="5">
        <f>IFERROR(__xludf.DUMMYFUNCTION("""COMPUTED_VALUE"""),0.2060304974815428)</f>
        <v>0.2060304975</v>
      </c>
      <c r="G1815" s="5">
        <f>IFERROR(__xludf.DUMMYFUNCTION("""COMPUTED_VALUE"""),0.18746981301317878)</f>
        <v>0.187469813</v>
      </c>
      <c r="H1815" s="5">
        <f>IFERROR(__xludf.DUMMYFUNCTION("""COMPUTED_VALUE"""),0.5952779638312123)</f>
        <v>0.5952779638</v>
      </c>
      <c r="I1815" s="11">
        <f>IFERROR(__xludf.DUMMYFUNCTION("""COMPUTED_VALUE"""),6056.781647689217)</f>
        <v>6056.781648</v>
      </c>
      <c r="J1815" s="10">
        <f>IFERROR(__xludf.DUMMYFUNCTION("""COMPUTED_VALUE"""),9.0)</f>
        <v>9</v>
      </c>
      <c r="K1815" s="5">
        <f>IFERROR(__xludf.DUMMYFUNCTION("""COMPUTED_VALUE"""),0.0033382789317507417)</f>
        <v>0.003338278932</v>
      </c>
      <c r="L1815" s="10">
        <f>IFERROR(__xludf.DUMMYFUNCTION("""COMPUTED_VALUE"""),2696.0)</f>
        <v>2696</v>
      </c>
      <c r="M1815" s="5">
        <f>IFERROR(__xludf.DUMMYFUNCTION("""COMPUTED_VALUE"""),1.0)</f>
        <v>1</v>
      </c>
    </row>
    <row r="1816">
      <c r="A1816" s="10" t="str">
        <f>IFERROR(__xludf.DUMMYFUNCTION("""COMPUTED_VALUE"""),"ドイル")</f>
        <v>ドイル</v>
      </c>
      <c r="B1816" s="10">
        <f>IFERROR(__xludf.DUMMYFUNCTION("""COMPUTED_VALUE"""),441.0)</f>
        <v>441</v>
      </c>
      <c r="C1816" s="10">
        <f>IFERROR(__xludf.DUMMYFUNCTION("""COMPUTED_VALUE"""),5149.0)</f>
        <v>5149</v>
      </c>
      <c r="D1816" s="5">
        <f>IFERROR(__xludf.DUMMYFUNCTION("""COMPUTED_VALUE"""),0.328589634664401)</f>
        <v>0.3285896347</v>
      </c>
      <c r="E1816" s="5">
        <f>IFERROR(__xludf.DUMMYFUNCTION("""COMPUTED_VALUE"""),0.13381478334749364)</f>
        <v>0.1338147833</v>
      </c>
      <c r="F1816" s="5">
        <f>IFERROR(__xludf.DUMMYFUNCTION("""COMPUTED_VALUE"""),0.20029736618521665)</f>
        <v>0.2002973662</v>
      </c>
      <c r="G1816" s="5">
        <f>IFERROR(__xludf.DUMMYFUNCTION("""COMPUTED_VALUE"""),0.19328802039082413)</f>
        <v>0.1932880204</v>
      </c>
      <c r="H1816" s="5">
        <f>IFERROR(__xludf.DUMMYFUNCTION("""COMPUTED_VALUE"""),0.6044538706256628)</f>
        <v>0.6044538706</v>
      </c>
      <c r="I1816" s="11">
        <f>IFERROR(__xludf.DUMMYFUNCTION("""COMPUTED_VALUE"""),5668.398727465536)</f>
        <v>5668.398727</v>
      </c>
      <c r="J1816" s="10">
        <f>IFERROR(__xludf.DUMMYFUNCTION("""COMPUTED_VALUE"""),1.0)</f>
        <v>1</v>
      </c>
      <c r="K1816" s="5">
        <f>IFERROR(__xludf.DUMMYFUNCTION("""COMPUTED_VALUE"""),0.0022675736961451248)</f>
        <v>0.002267573696</v>
      </c>
      <c r="L1816" s="10">
        <f>IFERROR(__xludf.DUMMYFUNCTION("""COMPUTED_VALUE"""),441.0)</f>
        <v>441</v>
      </c>
      <c r="M1816" s="5">
        <f>IFERROR(__xludf.DUMMYFUNCTION("""COMPUTED_VALUE"""),1.0)</f>
        <v>1</v>
      </c>
    </row>
    <row r="1817">
      <c r="A1817" s="10" t="str">
        <f>IFERROR(__xludf.DUMMYFUNCTION("""COMPUTED_VALUE"""),"かわやー")</f>
        <v>かわやー</v>
      </c>
      <c r="B1817" s="10">
        <f>IFERROR(__xludf.DUMMYFUNCTION("""COMPUTED_VALUE"""),116.0)</f>
        <v>116</v>
      </c>
      <c r="C1817" s="10">
        <f>IFERROR(__xludf.DUMMYFUNCTION("""COMPUTED_VALUE"""),1379.0)</f>
        <v>1379</v>
      </c>
      <c r="D1817" s="5">
        <f>IFERROR(__xludf.DUMMYFUNCTION("""COMPUTED_VALUE"""),0.29849564528899447)</f>
        <v>0.2984956453</v>
      </c>
      <c r="E1817" s="5">
        <f>IFERROR(__xludf.DUMMYFUNCTION("""COMPUTED_VALUE"""),0.13380839271575615)</f>
        <v>0.1338083927</v>
      </c>
      <c r="F1817" s="5">
        <f>IFERROR(__xludf.DUMMYFUNCTION("""COMPUTED_VALUE"""),0.18131433095803642)</f>
        <v>0.181314331</v>
      </c>
      <c r="G1817" s="5">
        <f>IFERROR(__xludf.DUMMYFUNCTION("""COMPUTED_VALUE"""),0.2042755344418052)</f>
        <v>0.2042755344</v>
      </c>
      <c r="H1817" s="5">
        <f>IFERROR(__xludf.DUMMYFUNCTION("""COMPUTED_VALUE"""),0.6550218340611353)</f>
        <v>0.6550218341</v>
      </c>
      <c r="I1817" s="11">
        <f>IFERROR(__xludf.DUMMYFUNCTION("""COMPUTED_VALUE"""),6387.336244541485)</f>
        <v>6387.336245</v>
      </c>
      <c r="J1817" s="10">
        <f>IFERROR(__xludf.DUMMYFUNCTION("""COMPUTED_VALUE"""),0.0)</f>
        <v>0</v>
      </c>
      <c r="K1817" s="5">
        <f>IFERROR(__xludf.DUMMYFUNCTION("""COMPUTED_VALUE"""),0.0)</f>
        <v>0</v>
      </c>
      <c r="L1817" s="10">
        <f>IFERROR(__xludf.DUMMYFUNCTION("""COMPUTED_VALUE"""),116.0)</f>
        <v>116</v>
      </c>
      <c r="M1817" s="5">
        <f>IFERROR(__xludf.DUMMYFUNCTION("""COMPUTED_VALUE"""),1.0)</f>
        <v>1</v>
      </c>
    </row>
    <row r="1818">
      <c r="A1818" s="10" t="str">
        <f>IFERROR(__xludf.DUMMYFUNCTION("""COMPUTED_VALUE"""),"jump-up")</f>
        <v>jump-up</v>
      </c>
      <c r="B1818" s="10">
        <f>IFERROR(__xludf.DUMMYFUNCTION("""COMPUTED_VALUE"""),6314.0)</f>
        <v>6314</v>
      </c>
      <c r="C1818" s="10">
        <f>IFERROR(__xludf.DUMMYFUNCTION("""COMPUTED_VALUE"""),74340.0)</f>
        <v>74340</v>
      </c>
      <c r="D1818" s="5">
        <f>IFERROR(__xludf.DUMMYFUNCTION("""COMPUTED_VALUE"""),0.36769764501808133)</f>
        <v>0.367697645</v>
      </c>
      <c r="E1818" s="5">
        <f>IFERROR(__xludf.DUMMYFUNCTION("""COMPUTED_VALUE"""),0.13380178167171375)</f>
        <v>0.1338017817</v>
      </c>
      <c r="F1818" s="5">
        <f>IFERROR(__xludf.DUMMYFUNCTION("""COMPUTED_VALUE"""),0.21399170905242113)</f>
        <v>0.2139917091</v>
      </c>
      <c r="G1818" s="5">
        <f>IFERROR(__xludf.DUMMYFUNCTION("""COMPUTED_VALUE"""),0.14099020962573133)</f>
        <v>0.1409902096</v>
      </c>
      <c r="H1818" s="5">
        <f>IFERROR(__xludf.DUMMYFUNCTION("""COMPUTED_VALUE"""),0.6065810263103661)</f>
        <v>0.6065810263</v>
      </c>
      <c r="I1818" s="11">
        <f>IFERROR(__xludf.DUMMYFUNCTION("""COMPUTED_VALUE"""),5449.639348766917)</f>
        <v>5449.639349</v>
      </c>
      <c r="J1818" s="10">
        <f>IFERROR(__xludf.DUMMYFUNCTION("""COMPUTED_VALUE"""),17.0)</f>
        <v>17</v>
      </c>
      <c r="K1818" s="5">
        <f>IFERROR(__xludf.DUMMYFUNCTION("""COMPUTED_VALUE"""),0.0026924295216978144)</f>
        <v>0.002692429522</v>
      </c>
      <c r="L1818" s="10">
        <f>IFERROR(__xludf.DUMMYFUNCTION("""COMPUTED_VALUE"""),6314.0)</f>
        <v>6314</v>
      </c>
      <c r="M1818" s="5">
        <f>IFERROR(__xludf.DUMMYFUNCTION("""COMPUTED_VALUE"""),1.0)</f>
        <v>1</v>
      </c>
    </row>
    <row r="1819">
      <c r="A1819" s="10" t="str">
        <f>IFERROR(__xludf.DUMMYFUNCTION("""COMPUTED_VALUE"""),"kojimon9")</f>
        <v>kojimon9</v>
      </c>
      <c r="B1819" s="10">
        <f>IFERROR(__xludf.DUMMYFUNCTION("""COMPUTED_VALUE"""),3167.0)</f>
        <v>3167</v>
      </c>
      <c r="C1819" s="10">
        <f>IFERROR(__xludf.DUMMYFUNCTION("""COMPUTED_VALUE"""),37473.0)</f>
        <v>37473</v>
      </c>
      <c r="D1819" s="5">
        <f>IFERROR(__xludf.DUMMYFUNCTION("""COMPUTED_VALUE"""),0.3815367574185274)</f>
        <v>0.3815367574</v>
      </c>
      <c r="E1819" s="5">
        <f>IFERROR(__xludf.DUMMYFUNCTION("""COMPUTED_VALUE"""),0.1337958374628345)</f>
        <v>0.1337958375</v>
      </c>
      <c r="F1819" s="5">
        <f>IFERROR(__xludf.DUMMYFUNCTION("""COMPUTED_VALUE"""),0.2124118230047222)</f>
        <v>0.212411823</v>
      </c>
      <c r="G1819" s="5">
        <f>IFERROR(__xludf.DUMMYFUNCTION("""COMPUTED_VALUE"""),0.1767912318544861)</f>
        <v>0.1767912319</v>
      </c>
      <c r="H1819" s="5">
        <f>IFERROR(__xludf.DUMMYFUNCTION("""COMPUTED_VALUE"""),0.5913270207218334)</f>
        <v>0.5913270207</v>
      </c>
      <c r="I1819" s="11">
        <f>IFERROR(__xludf.DUMMYFUNCTION("""COMPUTED_VALUE"""),5818.924111431316)</f>
        <v>5818.924111</v>
      </c>
      <c r="J1819" s="10">
        <f>IFERROR(__xludf.DUMMYFUNCTION("""COMPUTED_VALUE"""),6.0)</f>
        <v>6</v>
      </c>
      <c r="K1819" s="5">
        <f>IFERROR(__xludf.DUMMYFUNCTION("""COMPUTED_VALUE"""),0.001894537417113988)</f>
        <v>0.001894537417</v>
      </c>
      <c r="L1819" s="10">
        <f>IFERROR(__xludf.DUMMYFUNCTION("""COMPUTED_VALUE"""),3167.0)</f>
        <v>3167</v>
      </c>
      <c r="M1819" s="5">
        <f>IFERROR(__xludf.DUMMYFUNCTION("""COMPUTED_VALUE"""),1.0)</f>
        <v>1</v>
      </c>
    </row>
    <row r="1820">
      <c r="A1820" s="10" t="str">
        <f>IFERROR(__xludf.DUMMYFUNCTION("""COMPUTED_VALUE"""),"b.owl")</f>
        <v>b.owl</v>
      </c>
      <c r="B1820" s="10">
        <f>IFERROR(__xludf.DUMMYFUNCTION("""COMPUTED_VALUE"""),714.0)</f>
        <v>714</v>
      </c>
      <c r="C1820" s="10">
        <f>IFERROR(__xludf.DUMMYFUNCTION("""COMPUTED_VALUE"""),8510.0)</f>
        <v>8510</v>
      </c>
      <c r="D1820" s="5">
        <f>IFERROR(__xludf.DUMMYFUNCTION("""COMPUTED_VALUE"""),0.24769112365315546)</f>
        <v>0.2476911237</v>
      </c>
      <c r="E1820" s="5">
        <f>IFERROR(__xludf.DUMMYFUNCTION("""COMPUTED_VALUE"""),0.13378655720882504)</f>
        <v>0.1337865572</v>
      </c>
      <c r="F1820" s="5">
        <f>IFERROR(__xludf.DUMMYFUNCTION("""COMPUTED_VALUE"""),0.1926629040533607)</f>
        <v>0.1926629041</v>
      </c>
      <c r="G1820" s="5">
        <f>IFERROR(__xludf.DUMMYFUNCTION("""COMPUTED_VALUE"""),0.18996921498204208)</f>
        <v>0.189969215</v>
      </c>
      <c r="H1820" s="5">
        <f>IFERROR(__xludf.DUMMYFUNCTION("""COMPUTED_VALUE"""),0.5845539280958721)</f>
        <v>0.5845539281</v>
      </c>
      <c r="I1820" s="11">
        <f>IFERROR(__xludf.DUMMYFUNCTION("""COMPUTED_VALUE"""),6181.025299600533)</f>
        <v>6181.0253</v>
      </c>
      <c r="J1820" s="10">
        <f>IFERROR(__xludf.DUMMYFUNCTION("""COMPUTED_VALUE"""),3.0)</f>
        <v>3</v>
      </c>
      <c r="K1820" s="5">
        <f>IFERROR(__xludf.DUMMYFUNCTION("""COMPUTED_VALUE"""),0.004201680672268907)</f>
        <v>0.004201680672</v>
      </c>
      <c r="L1820" s="10">
        <f>IFERROR(__xludf.DUMMYFUNCTION("""COMPUTED_VALUE"""),714.0)</f>
        <v>714</v>
      </c>
      <c r="M1820" s="5">
        <f>IFERROR(__xludf.DUMMYFUNCTION("""COMPUTED_VALUE"""),1.0)</f>
        <v>1</v>
      </c>
    </row>
    <row r="1821">
      <c r="A1821" s="10" t="str">
        <f>IFERROR(__xludf.DUMMYFUNCTION("""COMPUTED_VALUE"""),"オーラスの向う側")</f>
        <v>オーラスの向う側</v>
      </c>
      <c r="B1821" s="10">
        <f>IFERROR(__xludf.DUMMYFUNCTION("""COMPUTED_VALUE"""),126.0)</f>
        <v>126</v>
      </c>
      <c r="C1821" s="10">
        <f>IFERROR(__xludf.DUMMYFUNCTION("""COMPUTED_VALUE"""),1464.0)</f>
        <v>1464</v>
      </c>
      <c r="D1821" s="5">
        <f>IFERROR(__xludf.DUMMYFUNCTION("""COMPUTED_VALUE"""),0.3064275037369208)</f>
        <v>0.3064275037</v>
      </c>
      <c r="E1821" s="5">
        <f>IFERROR(__xludf.DUMMYFUNCTION("""COMPUTED_VALUE"""),0.13378176382660686)</f>
        <v>0.1337817638</v>
      </c>
      <c r="F1821" s="5">
        <f>IFERROR(__xludf.DUMMYFUNCTION("""COMPUTED_VALUE"""),0.2219730941704036)</f>
        <v>0.2219730942</v>
      </c>
      <c r="G1821" s="5">
        <f>IFERROR(__xludf.DUMMYFUNCTION("""COMPUTED_VALUE"""),0.21375186846038863)</f>
        <v>0.2137518685</v>
      </c>
      <c r="H1821" s="5">
        <f>IFERROR(__xludf.DUMMYFUNCTION("""COMPUTED_VALUE"""),0.5656565656565656)</f>
        <v>0.5656565657</v>
      </c>
      <c r="I1821" s="11">
        <f>IFERROR(__xludf.DUMMYFUNCTION("""COMPUTED_VALUE"""),5434.006734006734)</f>
        <v>5434.006734</v>
      </c>
      <c r="J1821" s="10">
        <f>IFERROR(__xludf.DUMMYFUNCTION("""COMPUTED_VALUE"""),0.0)</f>
        <v>0</v>
      </c>
      <c r="K1821" s="5">
        <f>IFERROR(__xludf.DUMMYFUNCTION("""COMPUTED_VALUE"""),0.0)</f>
        <v>0</v>
      </c>
      <c r="L1821" s="10">
        <f>IFERROR(__xludf.DUMMYFUNCTION("""COMPUTED_VALUE"""),126.0)</f>
        <v>126</v>
      </c>
      <c r="M1821" s="5">
        <f>IFERROR(__xludf.DUMMYFUNCTION("""COMPUTED_VALUE"""),1.0)</f>
        <v>1</v>
      </c>
    </row>
    <row r="1822">
      <c r="A1822" s="10" t="str">
        <f>IFERROR(__xludf.DUMMYFUNCTION("""COMPUTED_VALUE"""),"ダマテン")</f>
        <v>ダマテン</v>
      </c>
      <c r="B1822" s="10">
        <f>IFERROR(__xludf.DUMMYFUNCTION("""COMPUTED_VALUE"""),1325.0)</f>
        <v>1325</v>
      </c>
      <c r="C1822" s="10">
        <f>IFERROR(__xludf.DUMMYFUNCTION("""COMPUTED_VALUE"""),15730.0)</f>
        <v>15730</v>
      </c>
      <c r="D1822" s="5">
        <f>IFERROR(__xludf.DUMMYFUNCTION("""COMPUTED_VALUE"""),0.30295036445678586)</f>
        <v>0.3029503645</v>
      </c>
      <c r="E1822" s="5">
        <f>IFERROR(__xludf.DUMMYFUNCTION("""COMPUTED_VALUE"""),0.13377299548767788)</f>
        <v>0.1337729955</v>
      </c>
      <c r="F1822" s="5">
        <f>IFERROR(__xludf.DUMMYFUNCTION("""COMPUTED_VALUE"""),0.205414786532454)</f>
        <v>0.2054147865</v>
      </c>
      <c r="G1822" s="5">
        <f>IFERROR(__xludf.DUMMYFUNCTION("""COMPUTED_VALUE"""),0.17500867754251995)</f>
        <v>0.1750086775</v>
      </c>
      <c r="H1822" s="5">
        <f>IFERROR(__xludf.DUMMYFUNCTION("""COMPUTED_VALUE"""),0.6035822913146334)</f>
        <v>0.6035822913</v>
      </c>
      <c r="I1822" s="11">
        <f>IFERROR(__xludf.DUMMYFUNCTION("""COMPUTED_VALUE"""),5775.194322406218)</f>
        <v>5775.194322</v>
      </c>
      <c r="J1822" s="10">
        <f>IFERROR(__xludf.DUMMYFUNCTION("""COMPUTED_VALUE"""),3.0)</f>
        <v>3</v>
      </c>
      <c r="K1822" s="5">
        <f>IFERROR(__xludf.DUMMYFUNCTION("""COMPUTED_VALUE"""),0.0022641509433962265)</f>
        <v>0.002264150943</v>
      </c>
      <c r="L1822" s="10">
        <f>IFERROR(__xludf.DUMMYFUNCTION("""COMPUTED_VALUE"""),1325.0)</f>
        <v>1325</v>
      </c>
      <c r="M1822" s="5">
        <f>IFERROR(__xludf.DUMMYFUNCTION("""COMPUTED_VALUE"""),1.0)</f>
        <v>1</v>
      </c>
    </row>
    <row r="1823">
      <c r="A1823" s="10" t="str">
        <f>IFERROR(__xludf.DUMMYFUNCTION("""COMPUTED_VALUE"""),"梅莉")</f>
        <v>梅莉</v>
      </c>
      <c r="B1823" s="10">
        <f>IFERROR(__xludf.DUMMYFUNCTION("""COMPUTED_VALUE"""),258.0)</f>
        <v>258</v>
      </c>
      <c r="C1823" s="10">
        <f>IFERROR(__xludf.DUMMYFUNCTION("""COMPUTED_VALUE"""),3069.0)</f>
        <v>3069</v>
      </c>
      <c r="D1823" s="5">
        <f>IFERROR(__xludf.DUMMYFUNCTION("""COMPUTED_VALUE"""),0.34969761650658127)</f>
        <v>0.3496976165</v>
      </c>
      <c r="E1823" s="5">
        <f>IFERROR(__xludf.DUMMYFUNCTION("""COMPUTED_VALUE"""),0.13376022767698328)</f>
        <v>0.1337602277</v>
      </c>
      <c r="F1823" s="5">
        <f>IFERROR(__xludf.DUMMYFUNCTION("""COMPUTED_VALUE"""),0.2294557097118463)</f>
        <v>0.2294557097</v>
      </c>
      <c r="G1823" s="5">
        <f>IFERROR(__xludf.DUMMYFUNCTION("""COMPUTED_VALUE"""),0.19139096406972608)</f>
        <v>0.1913909641</v>
      </c>
      <c r="H1823" s="5">
        <f>IFERROR(__xludf.DUMMYFUNCTION("""COMPUTED_VALUE"""),0.6108527131782946)</f>
        <v>0.6108527132</v>
      </c>
      <c r="I1823" s="11">
        <f>IFERROR(__xludf.DUMMYFUNCTION("""COMPUTED_VALUE"""),5487.131782945737)</f>
        <v>5487.131783</v>
      </c>
      <c r="J1823" s="10">
        <f>IFERROR(__xludf.DUMMYFUNCTION("""COMPUTED_VALUE"""),0.0)</f>
        <v>0</v>
      </c>
      <c r="K1823" s="5">
        <f>IFERROR(__xludf.DUMMYFUNCTION("""COMPUTED_VALUE"""),0.0)</f>
        <v>0</v>
      </c>
      <c r="L1823" s="10">
        <f>IFERROR(__xludf.DUMMYFUNCTION("""COMPUTED_VALUE"""),0.0)</f>
        <v>0</v>
      </c>
      <c r="M1823" s="5">
        <f>IFERROR(__xludf.DUMMYFUNCTION("""COMPUTED_VALUE"""),0.0)</f>
        <v>0</v>
      </c>
    </row>
    <row r="1824">
      <c r="A1824" s="10" t="str">
        <f>IFERROR(__xludf.DUMMYFUNCTION("""COMPUTED_VALUE"""),"武")</f>
        <v>武</v>
      </c>
      <c r="B1824" s="10">
        <f>IFERROR(__xludf.DUMMYFUNCTION("""COMPUTED_VALUE"""),176.0)</f>
        <v>176</v>
      </c>
      <c r="C1824" s="10">
        <f>IFERROR(__xludf.DUMMYFUNCTION("""COMPUTED_VALUE"""),2060.0)</f>
        <v>2060</v>
      </c>
      <c r="D1824" s="5">
        <f>IFERROR(__xludf.DUMMYFUNCTION("""COMPUTED_VALUE"""),0.3476645435244161)</f>
        <v>0.3476645435</v>
      </c>
      <c r="E1824" s="5">
        <f>IFERROR(__xludf.DUMMYFUNCTION("""COMPUTED_VALUE"""),0.1337579617834395)</f>
        <v>0.1337579618</v>
      </c>
      <c r="F1824" s="5">
        <f>IFERROR(__xludf.DUMMYFUNCTION("""COMPUTED_VALUE"""),0.21602972399150744)</f>
        <v>0.216029724</v>
      </c>
      <c r="G1824" s="5">
        <f>IFERROR(__xludf.DUMMYFUNCTION("""COMPUTED_VALUE"""),0.21125265392781317)</f>
        <v>0.2112526539</v>
      </c>
      <c r="H1824" s="5">
        <f>IFERROR(__xludf.DUMMYFUNCTION("""COMPUTED_VALUE"""),0.5921375921375921)</f>
        <v>0.5921375921</v>
      </c>
      <c r="I1824" s="11">
        <f>IFERROR(__xludf.DUMMYFUNCTION("""COMPUTED_VALUE"""),5933.906633906634)</f>
        <v>5933.906634</v>
      </c>
      <c r="J1824" s="10">
        <f>IFERROR(__xludf.DUMMYFUNCTION("""COMPUTED_VALUE"""),1.0)</f>
        <v>1</v>
      </c>
      <c r="K1824" s="5">
        <f>IFERROR(__xludf.DUMMYFUNCTION("""COMPUTED_VALUE"""),0.005681818181818182)</f>
        <v>0.005681818182</v>
      </c>
      <c r="L1824" s="10">
        <f>IFERROR(__xludf.DUMMYFUNCTION("""COMPUTED_VALUE"""),176.0)</f>
        <v>176</v>
      </c>
      <c r="M1824" s="5">
        <f>IFERROR(__xludf.DUMMYFUNCTION("""COMPUTED_VALUE"""),1.0)</f>
        <v>1</v>
      </c>
    </row>
    <row r="1825">
      <c r="A1825" s="10" t="str">
        <f>IFERROR(__xludf.DUMMYFUNCTION("""COMPUTED_VALUE"""),"Rapunzel")</f>
        <v>Rapunzel</v>
      </c>
      <c r="B1825" s="10">
        <f>IFERROR(__xludf.DUMMYFUNCTION("""COMPUTED_VALUE"""),132.0)</f>
        <v>132</v>
      </c>
      <c r="C1825" s="10">
        <f>IFERROR(__xludf.DUMMYFUNCTION("""COMPUTED_VALUE"""),1545.0)</f>
        <v>1545</v>
      </c>
      <c r="D1825" s="5">
        <f>IFERROR(__xludf.DUMMYFUNCTION("""COMPUTED_VALUE"""),0.3899504600141543)</f>
        <v>0.38995046</v>
      </c>
      <c r="E1825" s="5">
        <f>IFERROR(__xludf.DUMMYFUNCTION("""COMPUTED_VALUE"""),0.1337579617834395)</f>
        <v>0.1337579618</v>
      </c>
      <c r="F1825" s="5">
        <f>IFERROR(__xludf.DUMMYFUNCTION("""COMPUTED_VALUE"""),0.20311394196744514)</f>
        <v>0.203113942</v>
      </c>
      <c r="G1825" s="5">
        <f>IFERROR(__xludf.DUMMYFUNCTION("""COMPUTED_VALUE"""),0.14932767162066526)</f>
        <v>0.1493276716</v>
      </c>
      <c r="H1825" s="5">
        <f>IFERROR(__xludf.DUMMYFUNCTION("""COMPUTED_VALUE"""),0.5853658536585366)</f>
        <v>0.5853658537</v>
      </c>
      <c r="I1825" s="11">
        <f>IFERROR(__xludf.DUMMYFUNCTION("""COMPUTED_VALUE"""),5386.062717770034)</f>
        <v>5386.062718</v>
      </c>
      <c r="J1825" s="10">
        <f>IFERROR(__xludf.DUMMYFUNCTION("""COMPUTED_VALUE"""),1.0)</f>
        <v>1</v>
      </c>
      <c r="K1825" s="5">
        <f>IFERROR(__xludf.DUMMYFUNCTION("""COMPUTED_VALUE"""),0.007575757575757576)</f>
        <v>0.007575757576</v>
      </c>
      <c r="L1825" s="10">
        <f>IFERROR(__xludf.DUMMYFUNCTION("""COMPUTED_VALUE"""),132.0)</f>
        <v>132</v>
      </c>
      <c r="M1825" s="5">
        <f>IFERROR(__xludf.DUMMYFUNCTION("""COMPUTED_VALUE"""),1.0)</f>
        <v>1</v>
      </c>
    </row>
    <row r="1826">
      <c r="A1826" s="10" t="str">
        <f>IFERROR(__xludf.DUMMYFUNCTION("""COMPUTED_VALUE"""),"(ゆ´ω｀ゆ)")</f>
        <v>(ゆ´ω｀ゆ)</v>
      </c>
      <c r="B1826" s="10">
        <f>IFERROR(__xludf.DUMMYFUNCTION("""COMPUTED_VALUE"""),178.0)</f>
        <v>178</v>
      </c>
      <c r="C1826" s="10">
        <f>IFERROR(__xludf.DUMMYFUNCTION("""COMPUTED_VALUE"""),2077.0)</f>
        <v>2077</v>
      </c>
      <c r="D1826" s="5">
        <f>IFERROR(__xludf.DUMMYFUNCTION("""COMPUTED_VALUE"""),0.36492890995260663)</f>
        <v>0.36492891</v>
      </c>
      <c r="E1826" s="5">
        <f>IFERROR(__xludf.DUMMYFUNCTION("""COMPUTED_VALUE"""),0.13375460768825698)</f>
        <v>0.1337546077</v>
      </c>
      <c r="F1826" s="5">
        <f>IFERROR(__xludf.DUMMYFUNCTION("""COMPUTED_VALUE"""),0.22169562927856767)</f>
        <v>0.2216956293</v>
      </c>
      <c r="G1826" s="5">
        <f>IFERROR(__xludf.DUMMYFUNCTION("""COMPUTED_VALUE"""),0.196419167983149)</f>
        <v>0.196419168</v>
      </c>
      <c r="H1826" s="5">
        <f>IFERROR(__xludf.DUMMYFUNCTION("""COMPUTED_VALUE"""),0.6080760095011877)</f>
        <v>0.6080760095</v>
      </c>
      <c r="I1826" s="11">
        <f>IFERROR(__xludf.DUMMYFUNCTION("""COMPUTED_VALUE"""),5970.783847980998)</f>
        <v>5970.783848</v>
      </c>
      <c r="J1826" s="10">
        <f>IFERROR(__xludf.DUMMYFUNCTION("""COMPUTED_VALUE"""),0.0)</f>
        <v>0</v>
      </c>
      <c r="K1826" s="5">
        <f>IFERROR(__xludf.DUMMYFUNCTION("""COMPUTED_VALUE"""),0.0)</f>
        <v>0</v>
      </c>
      <c r="L1826" s="10">
        <f>IFERROR(__xludf.DUMMYFUNCTION("""COMPUTED_VALUE"""),178.0)</f>
        <v>178</v>
      </c>
      <c r="M1826" s="5">
        <f>IFERROR(__xludf.DUMMYFUNCTION("""COMPUTED_VALUE"""),1.0)</f>
        <v>1</v>
      </c>
    </row>
    <row r="1827">
      <c r="A1827" s="10" t="str">
        <f>IFERROR(__xludf.DUMMYFUNCTION("""COMPUTED_VALUE"""),"7yyyyyy")</f>
        <v>7yyyyyy</v>
      </c>
      <c r="B1827" s="10">
        <f>IFERROR(__xludf.DUMMYFUNCTION("""COMPUTED_VALUE"""),793.0)</f>
        <v>793</v>
      </c>
      <c r="C1827" s="10">
        <f>IFERROR(__xludf.DUMMYFUNCTION("""COMPUTED_VALUE"""),9249.0)</f>
        <v>9249</v>
      </c>
      <c r="D1827" s="5">
        <f>IFERROR(__xludf.DUMMYFUNCTION("""COMPUTED_VALUE"""),0.36837748344370863)</f>
        <v>0.3683774834</v>
      </c>
      <c r="E1827" s="5">
        <f>IFERROR(__xludf.DUMMYFUNCTION("""COMPUTED_VALUE"""),0.1337511825922422)</f>
        <v>0.1337511826</v>
      </c>
      <c r="F1827" s="5">
        <f>IFERROR(__xludf.DUMMYFUNCTION("""COMPUTED_VALUE"""),0.2022232734153264)</f>
        <v>0.2022232734</v>
      </c>
      <c r="G1827" s="5">
        <f>IFERROR(__xludf.DUMMYFUNCTION("""COMPUTED_VALUE"""),0.14593188268684956)</f>
        <v>0.1459318827</v>
      </c>
      <c r="H1827" s="5">
        <f>IFERROR(__xludf.DUMMYFUNCTION("""COMPUTED_VALUE"""),0.6046783625730994)</f>
        <v>0.6046783626</v>
      </c>
      <c r="I1827" s="11">
        <f>IFERROR(__xludf.DUMMYFUNCTION("""COMPUTED_VALUE"""),5846.081871345029)</f>
        <v>5846.081871</v>
      </c>
      <c r="J1827" s="10">
        <f>IFERROR(__xludf.DUMMYFUNCTION("""COMPUTED_VALUE"""),7.0)</f>
        <v>7</v>
      </c>
      <c r="K1827" s="5">
        <f>IFERROR(__xludf.DUMMYFUNCTION("""COMPUTED_VALUE"""),0.008827238335435058)</f>
        <v>0.008827238335</v>
      </c>
      <c r="L1827" s="10">
        <f>IFERROR(__xludf.DUMMYFUNCTION("""COMPUTED_VALUE"""),793.0)</f>
        <v>793</v>
      </c>
      <c r="M1827" s="5">
        <f>IFERROR(__xludf.DUMMYFUNCTION("""COMPUTED_VALUE"""),1.0)</f>
        <v>1</v>
      </c>
    </row>
    <row r="1828">
      <c r="A1828" s="10" t="str">
        <f>IFERROR(__xludf.DUMMYFUNCTION("""COMPUTED_VALUE"""),"nick.")</f>
        <v>nick.</v>
      </c>
      <c r="B1828" s="10">
        <f>IFERROR(__xludf.DUMMYFUNCTION("""COMPUTED_VALUE"""),1301.0)</f>
        <v>1301</v>
      </c>
      <c r="C1828" s="10">
        <f>IFERROR(__xludf.DUMMYFUNCTION("""COMPUTED_VALUE"""),15149.0)</f>
        <v>15149</v>
      </c>
      <c r="D1828" s="5">
        <f>IFERROR(__xludf.DUMMYFUNCTION("""COMPUTED_VALUE"""),0.37759965337954937)</f>
        <v>0.3775996534</v>
      </c>
      <c r="E1828" s="5">
        <f>IFERROR(__xludf.DUMMYFUNCTION("""COMPUTED_VALUE"""),0.133737723859041)</f>
        <v>0.1337377239</v>
      </c>
      <c r="F1828" s="5">
        <f>IFERROR(__xludf.DUMMYFUNCTION("""COMPUTED_VALUE"""),0.23129693818601965)</f>
        <v>0.2312969382</v>
      </c>
      <c r="G1828" s="5">
        <f>IFERROR(__xludf.DUMMYFUNCTION("""COMPUTED_VALUE"""),0.1877527440785673)</f>
        <v>0.1877527441</v>
      </c>
      <c r="H1828" s="5">
        <f>IFERROR(__xludf.DUMMYFUNCTION("""COMPUTED_VALUE"""),0.5900718076802998)</f>
        <v>0.5900718077</v>
      </c>
      <c r="I1828" s="11">
        <f>IFERROR(__xludf.DUMMYFUNCTION("""COMPUTED_VALUE"""),5327.286918513893)</f>
        <v>5327.286919</v>
      </c>
      <c r="J1828" s="10">
        <f>IFERROR(__xludf.DUMMYFUNCTION("""COMPUTED_VALUE"""),1.0)</f>
        <v>1</v>
      </c>
      <c r="K1828" s="5">
        <f>IFERROR(__xludf.DUMMYFUNCTION("""COMPUTED_VALUE"""),7.686395080707148E-4)</f>
        <v>0.0007686395081</v>
      </c>
      <c r="L1828" s="10">
        <f>IFERROR(__xludf.DUMMYFUNCTION("""COMPUTED_VALUE"""),1301.0)</f>
        <v>1301</v>
      </c>
      <c r="M1828" s="5">
        <f>IFERROR(__xludf.DUMMYFUNCTION("""COMPUTED_VALUE"""),1.0)</f>
        <v>1</v>
      </c>
    </row>
    <row r="1829">
      <c r="A1829" s="10" t="str">
        <f>IFERROR(__xludf.DUMMYFUNCTION("""COMPUTED_VALUE"""),"よしぞー")</f>
        <v>よしぞー</v>
      </c>
      <c r="B1829" s="10">
        <f>IFERROR(__xludf.DUMMYFUNCTION("""COMPUTED_VALUE"""),1370.0)</f>
        <v>1370</v>
      </c>
      <c r="C1829" s="10">
        <f>IFERROR(__xludf.DUMMYFUNCTION("""COMPUTED_VALUE"""),15990.0)</f>
        <v>15990</v>
      </c>
      <c r="D1829" s="5">
        <f>IFERROR(__xludf.DUMMYFUNCTION("""COMPUTED_VALUE"""),0.2331737346101231)</f>
        <v>0.2331737346</v>
      </c>
      <c r="E1829" s="5">
        <f>IFERROR(__xludf.DUMMYFUNCTION("""COMPUTED_VALUE"""),0.13372093023255813)</f>
        <v>0.1337209302</v>
      </c>
      <c r="F1829" s="5">
        <f>IFERROR(__xludf.DUMMYFUNCTION("""COMPUTED_VALUE"""),0.20136798905608755)</f>
        <v>0.2013679891</v>
      </c>
      <c r="G1829" s="5">
        <f>IFERROR(__xludf.DUMMYFUNCTION("""COMPUTED_VALUE"""),0.18912448700410397)</f>
        <v>0.189124487</v>
      </c>
      <c r="H1829" s="5">
        <f>IFERROR(__xludf.DUMMYFUNCTION("""COMPUTED_VALUE"""),0.5855978260869565)</f>
        <v>0.5855978261</v>
      </c>
      <c r="I1829" s="11">
        <f>IFERROR(__xludf.DUMMYFUNCTION("""COMPUTED_VALUE"""),6224.116847826087)</f>
        <v>6224.116848</v>
      </c>
      <c r="J1829" s="10">
        <f>IFERROR(__xludf.DUMMYFUNCTION("""COMPUTED_VALUE"""),7.0)</f>
        <v>7</v>
      </c>
      <c r="K1829" s="5">
        <f>IFERROR(__xludf.DUMMYFUNCTION("""COMPUTED_VALUE"""),0.0051094890510948905)</f>
        <v>0.005109489051</v>
      </c>
      <c r="L1829" s="10">
        <f>IFERROR(__xludf.DUMMYFUNCTION("""COMPUTED_VALUE"""),1370.0)</f>
        <v>1370</v>
      </c>
      <c r="M1829" s="5">
        <f>IFERROR(__xludf.DUMMYFUNCTION("""COMPUTED_VALUE"""),1.0)</f>
        <v>1</v>
      </c>
    </row>
    <row r="1830">
      <c r="A1830" s="10" t="str">
        <f>IFERROR(__xludf.DUMMYFUNCTION("""COMPUTED_VALUE"""),"tk88")</f>
        <v>tk88</v>
      </c>
      <c r="B1830" s="10">
        <f>IFERROR(__xludf.DUMMYFUNCTION("""COMPUTED_VALUE"""),358.0)</f>
        <v>358</v>
      </c>
      <c r="C1830" s="10">
        <f>IFERROR(__xludf.DUMMYFUNCTION("""COMPUTED_VALUE"""),4172.0)</f>
        <v>4172</v>
      </c>
      <c r="D1830" s="5">
        <f>IFERROR(__xludf.DUMMYFUNCTION("""COMPUTED_VALUE"""),0.35159937073938125)</f>
        <v>0.3515993707</v>
      </c>
      <c r="E1830" s="5">
        <f>IFERROR(__xludf.DUMMYFUNCTION("""COMPUTED_VALUE"""),0.13371788148925012)</f>
        <v>0.1337178815</v>
      </c>
      <c r="F1830" s="5">
        <f>IFERROR(__xludf.DUMMYFUNCTION("""COMPUTED_VALUE"""),0.21158888306240167)</f>
        <v>0.2115888831</v>
      </c>
      <c r="G1830" s="5">
        <f>IFERROR(__xludf.DUMMYFUNCTION("""COMPUTED_VALUE"""),0.1699003670686943)</f>
        <v>0.1699003671</v>
      </c>
      <c r="H1830" s="5">
        <f>IFERROR(__xludf.DUMMYFUNCTION("""COMPUTED_VALUE"""),0.5985130111524164)</f>
        <v>0.5985130112</v>
      </c>
      <c r="I1830" s="11">
        <f>IFERROR(__xludf.DUMMYFUNCTION("""COMPUTED_VALUE"""),5377.075588599752)</f>
        <v>5377.075589</v>
      </c>
      <c r="J1830" s="10">
        <f>IFERROR(__xludf.DUMMYFUNCTION("""COMPUTED_VALUE"""),0.0)</f>
        <v>0</v>
      </c>
      <c r="K1830" s="5">
        <f>IFERROR(__xludf.DUMMYFUNCTION("""COMPUTED_VALUE"""),0.0)</f>
        <v>0</v>
      </c>
      <c r="L1830" s="10">
        <f>IFERROR(__xludf.DUMMYFUNCTION("""COMPUTED_VALUE"""),358.0)</f>
        <v>358</v>
      </c>
      <c r="M1830" s="5">
        <f>IFERROR(__xludf.DUMMYFUNCTION("""COMPUTED_VALUE"""),1.0)</f>
        <v>1</v>
      </c>
    </row>
    <row r="1831">
      <c r="A1831" s="10" t="str">
        <f>IFERROR(__xludf.DUMMYFUNCTION("""COMPUTED_VALUE"""),"アビコ")</f>
        <v>アビコ</v>
      </c>
      <c r="B1831" s="10">
        <f>IFERROR(__xludf.DUMMYFUNCTION("""COMPUTED_VALUE"""),304.0)</f>
        <v>304</v>
      </c>
      <c r="C1831" s="10">
        <f>IFERROR(__xludf.DUMMYFUNCTION("""COMPUTED_VALUE"""),3445.0)</f>
        <v>3445</v>
      </c>
      <c r="D1831" s="5">
        <f>IFERROR(__xludf.DUMMYFUNCTION("""COMPUTED_VALUE"""),0.25405921680993315)</f>
        <v>0.2540592168</v>
      </c>
      <c r="E1831" s="5">
        <f>IFERROR(__xludf.DUMMYFUNCTION("""COMPUTED_VALUE"""),0.13371537726838587)</f>
        <v>0.1337153773</v>
      </c>
      <c r="F1831" s="5">
        <f>IFERROR(__xludf.DUMMYFUNCTION("""COMPUTED_VALUE"""),0.19611588666029928)</f>
        <v>0.1961158867</v>
      </c>
      <c r="G1831" s="5">
        <f>IFERROR(__xludf.DUMMYFUNCTION("""COMPUTED_VALUE"""),0.19866284622731614)</f>
        <v>0.1986628462</v>
      </c>
      <c r="H1831" s="5">
        <f>IFERROR(__xludf.DUMMYFUNCTION("""COMPUTED_VALUE"""),0.5844155844155844)</f>
        <v>0.5844155844</v>
      </c>
      <c r="I1831" s="11">
        <f>IFERROR(__xludf.DUMMYFUNCTION("""COMPUTED_VALUE"""),5878.409090909091)</f>
        <v>5878.409091</v>
      </c>
      <c r="J1831" s="10">
        <f>IFERROR(__xludf.DUMMYFUNCTION("""COMPUTED_VALUE"""),0.0)</f>
        <v>0</v>
      </c>
      <c r="K1831" s="5">
        <f>IFERROR(__xludf.DUMMYFUNCTION("""COMPUTED_VALUE"""),0.0)</f>
        <v>0</v>
      </c>
      <c r="L1831" s="10">
        <f>IFERROR(__xludf.DUMMYFUNCTION("""COMPUTED_VALUE"""),304.0)</f>
        <v>304</v>
      </c>
      <c r="M1831" s="5">
        <f>IFERROR(__xludf.DUMMYFUNCTION("""COMPUTED_VALUE"""),1.0)</f>
        <v>1</v>
      </c>
    </row>
    <row r="1832">
      <c r="A1832" s="10" t="str">
        <f>IFERROR(__xludf.DUMMYFUNCTION("""COMPUTED_VALUE"""),"人型電脳放銃機")</f>
        <v>人型電脳放銃機</v>
      </c>
      <c r="B1832" s="10">
        <f>IFERROR(__xludf.DUMMYFUNCTION("""COMPUTED_VALUE"""),449.0)</f>
        <v>449</v>
      </c>
      <c r="C1832" s="10">
        <f>IFERROR(__xludf.DUMMYFUNCTION("""COMPUTED_VALUE"""),5355.0)</f>
        <v>5355</v>
      </c>
      <c r="D1832" s="5">
        <f>IFERROR(__xludf.DUMMYFUNCTION("""COMPUTED_VALUE"""),0.40419894007337953)</f>
        <v>0.4041989401</v>
      </c>
      <c r="E1832" s="5">
        <f>IFERROR(__xludf.DUMMYFUNCTION("""COMPUTED_VALUE"""),0.13371381981247452)</f>
        <v>0.1337138198</v>
      </c>
      <c r="F1832" s="5">
        <f>IFERROR(__xludf.DUMMYFUNCTION("""COMPUTED_VALUE"""),0.22604973501834488)</f>
        <v>0.226049735</v>
      </c>
      <c r="G1832" s="5">
        <f>IFERROR(__xludf.DUMMYFUNCTION("""COMPUTED_VALUE"""),0.15939665715450468)</f>
        <v>0.1593966572</v>
      </c>
      <c r="H1832" s="5">
        <f>IFERROR(__xludf.DUMMYFUNCTION("""COMPUTED_VALUE"""),0.5987376014427412)</f>
        <v>0.5987376014</v>
      </c>
      <c r="I1832" s="11">
        <f>IFERROR(__xludf.DUMMYFUNCTION("""COMPUTED_VALUE"""),5364.562669071235)</f>
        <v>5364.562669</v>
      </c>
      <c r="J1832" s="10">
        <f>IFERROR(__xludf.DUMMYFUNCTION("""COMPUTED_VALUE"""),2.0)</f>
        <v>2</v>
      </c>
      <c r="K1832" s="5">
        <f>IFERROR(__xludf.DUMMYFUNCTION("""COMPUTED_VALUE"""),0.004454342984409799)</f>
        <v>0.004454342984</v>
      </c>
      <c r="L1832" s="10">
        <f>IFERROR(__xludf.DUMMYFUNCTION("""COMPUTED_VALUE"""),449.0)</f>
        <v>449</v>
      </c>
      <c r="M1832" s="5">
        <f>IFERROR(__xludf.DUMMYFUNCTION("""COMPUTED_VALUE"""),1.0)</f>
        <v>1</v>
      </c>
    </row>
    <row r="1833">
      <c r="A1833" s="10" t="str">
        <f>IFERROR(__xludf.DUMMYFUNCTION("""COMPUTED_VALUE"""),"kokushia")</f>
        <v>kokushia</v>
      </c>
      <c r="B1833" s="10">
        <f>IFERROR(__xludf.DUMMYFUNCTION("""COMPUTED_VALUE"""),1147.0)</f>
        <v>1147</v>
      </c>
      <c r="C1833" s="10">
        <f>IFERROR(__xludf.DUMMYFUNCTION("""COMPUTED_VALUE"""),13450.0)</f>
        <v>13450</v>
      </c>
      <c r="D1833" s="5">
        <f>IFERROR(__xludf.DUMMYFUNCTION("""COMPUTED_VALUE"""),0.38738519060391774)</f>
        <v>0.3873851906</v>
      </c>
      <c r="E1833" s="5">
        <f>IFERROR(__xludf.DUMMYFUNCTION("""COMPUTED_VALUE"""),0.1337072258798667)</f>
        <v>0.1337072259</v>
      </c>
      <c r="F1833" s="5">
        <f>IFERROR(__xludf.DUMMYFUNCTION("""COMPUTED_VALUE"""),0.20832317320978624)</f>
        <v>0.2083231732</v>
      </c>
      <c r="G1833" s="5">
        <f>IFERROR(__xludf.DUMMYFUNCTION("""COMPUTED_VALUE"""),0.17800536454523286)</f>
        <v>0.1780053645</v>
      </c>
      <c r="H1833" s="5">
        <f>IFERROR(__xludf.DUMMYFUNCTION("""COMPUTED_VALUE"""),0.5992976980101443)</f>
        <v>0.599297698</v>
      </c>
      <c r="I1833" s="11">
        <f>IFERROR(__xludf.DUMMYFUNCTION("""COMPUTED_VALUE"""),5537.182988685135)</f>
        <v>5537.182989</v>
      </c>
      <c r="J1833" s="10">
        <f>IFERROR(__xludf.DUMMYFUNCTION("""COMPUTED_VALUE"""),2.0)</f>
        <v>2</v>
      </c>
      <c r="K1833" s="5">
        <f>IFERROR(__xludf.DUMMYFUNCTION("""COMPUTED_VALUE"""),0.0017436791630340018)</f>
        <v>0.001743679163</v>
      </c>
      <c r="L1833" s="10">
        <f>IFERROR(__xludf.DUMMYFUNCTION("""COMPUTED_VALUE"""),1147.0)</f>
        <v>1147</v>
      </c>
      <c r="M1833" s="5">
        <f>IFERROR(__xludf.DUMMYFUNCTION("""COMPUTED_VALUE"""),1.0)</f>
        <v>1</v>
      </c>
    </row>
    <row r="1834">
      <c r="A1834" s="10" t="str">
        <f>IFERROR(__xludf.DUMMYFUNCTION("""COMPUTED_VALUE"""),"ゴミクズ七段")</f>
        <v>ゴミクズ七段</v>
      </c>
      <c r="B1834" s="10">
        <f>IFERROR(__xludf.DUMMYFUNCTION("""COMPUTED_VALUE"""),364.0)</f>
        <v>364</v>
      </c>
      <c r="C1834" s="10">
        <f>IFERROR(__xludf.DUMMYFUNCTION("""COMPUTED_VALUE"""),4209.0)</f>
        <v>4209</v>
      </c>
      <c r="D1834" s="5">
        <f>IFERROR(__xludf.DUMMYFUNCTION("""COMPUTED_VALUE"""),0.4265279583875163)</f>
        <v>0.4265279584</v>
      </c>
      <c r="E1834" s="5">
        <f>IFERROR(__xludf.DUMMYFUNCTION("""COMPUTED_VALUE"""),0.13368010403120936)</f>
        <v>0.133680104</v>
      </c>
      <c r="F1834" s="5">
        <f>IFERROR(__xludf.DUMMYFUNCTION("""COMPUTED_VALUE"""),0.21300390117035112)</f>
        <v>0.2130039012</v>
      </c>
      <c r="G1834" s="5">
        <f>IFERROR(__xludf.DUMMYFUNCTION("""COMPUTED_VALUE"""),0.16046814044213265)</f>
        <v>0.1604681404</v>
      </c>
      <c r="H1834" s="5">
        <f>IFERROR(__xludf.DUMMYFUNCTION("""COMPUTED_VALUE"""),0.608058608058608)</f>
        <v>0.6080586081</v>
      </c>
      <c r="I1834" s="11">
        <f>IFERROR(__xludf.DUMMYFUNCTION("""COMPUTED_VALUE"""),5175.7020757020755)</f>
        <v>5175.702076</v>
      </c>
      <c r="J1834" s="10">
        <f>IFERROR(__xludf.DUMMYFUNCTION("""COMPUTED_VALUE"""),1.0)</f>
        <v>1</v>
      </c>
      <c r="K1834" s="5">
        <f>IFERROR(__xludf.DUMMYFUNCTION("""COMPUTED_VALUE"""),0.0027472527472527475)</f>
        <v>0.002747252747</v>
      </c>
      <c r="L1834" s="10">
        <f>IFERROR(__xludf.DUMMYFUNCTION("""COMPUTED_VALUE"""),168.0)</f>
        <v>168</v>
      </c>
      <c r="M1834" s="5">
        <f>IFERROR(__xludf.DUMMYFUNCTION("""COMPUTED_VALUE"""),0.46153846153846156)</f>
        <v>0.4615384615</v>
      </c>
    </row>
    <row r="1835">
      <c r="A1835" s="10" t="str">
        <f>IFERROR(__xludf.DUMMYFUNCTION("""COMPUTED_VALUE"""),"seastory")</f>
        <v>seastory</v>
      </c>
      <c r="B1835" s="10">
        <f>IFERROR(__xludf.DUMMYFUNCTION("""COMPUTED_VALUE"""),2489.0)</f>
        <v>2489</v>
      </c>
      <c r="C1835" s="10">
        <f>IFERROR(__xludf.DUMMYFUNCTION("""COMPUTED_VALUE"""),29181.0)</f>
        <v>29181</v>
      </c>
      <c r="D1835" s="5">
        <f>IFERROR(__xludf.DUMMYFUNCTION("""COMPUTED_VALUE"""),0.2742020080923123)</f>
        <v>0.2742020081</v>
      </c>
      <c r="E1835" s="5">
        <f>IFERROR(__xludf.DUMMYFUNCTION("""COMPUTED_VALUE"""),0.1336730106398921)</f>
        <v>0.1336730106</v>
      </c>
      <c r="F1835" s="5">
        <f>IFERROR(__xludf.DUMMYFUNCTION("""COMPUTED_VALUE"""),0.20852689944552674)</f>
        <v>0.2085268994</v>
      </c>
      <c r="G1835" s="5">
        <f>IFERROR(__xludf.DUMMYFUNCTION("""COMPUTED_VALUE"""),0.16248314101603475)</f>
        <v>0.162483141</v>
      </c>
      <c r="H1835" s="5">
        <f>IFERROR(__xludf.DUMMYFUNCTION("""COMPUTED_VALUE"""),0.6228889687387711)</f>
        <v>0.6228889687</v>
      </c>
      <c r="I1835" s="11">
        <f>IFERROR(__xludf.DUMMYFUNCTION("""COMPUTED_VALUE"""),5784.171757096658)</f>
        <v>5784.171757</v>
      </c>
      <c r="J1835" s="10">
        <f>IFERROR(__xludf.DUMMYFUNCTION("""COMPUTED_VALUE"""),8.0)</f>
        <v>8</v>
      </c>
      <c r="K1835" s="5">
        <f>IFERROR(__xludf.DUMMYFUNCTION("""COMPUTED_VALUE"""),0.0032141422257934912)</f>
        <v>0.003214142226</v>
      </c>
      <c r="L1835" s="10">
        <f>IFERROR(__xludf.DUMMYFUNCTION("""COMPUTED_VALUE"""),2489.0)</f>
        <v>2489</v>
      </c>
      <c r="M1835" s="5">
        <f>IFERROR(__xludf.DUMMYFUNCTION("""COMPUTED_VALUE"""),1.0)</f>
        <v>1</v>
      </c>
    </row>
    <row r="1836">
      <c r="A1836" s="10" t="str">
        <f>IFERROR(__xludf.DUMMYFUNCTION("""COMPUTED_VALUE"""),"ぬるまゆ")</f>
        <v>ぬるまゆ</v>
      </c>
      <c r="B1836" s="10">
        <f>IFERROR(__xludf.DUMMYFUNCTION("""COMPUTED_VALUE"""),148.0)</f>
        <v>148</v>
      </c>
      <c r="C1836" s="10">
        <f>IFERROR(__xludf.DUMMYFUNCTION("""COMPUTED_VALUE"""),1719.0)</f>
        <v>1719</v>
      </c>
      <c r="D1836" s="5">
        <f>IFERROR(__xludf.DUMMYFUNCTION("""COMPUTED_VALUE"""),0.39465308720560155)</f>
        <v>0.3946530872</v>
      </c>
      <c r="E1836" s="5">
        <f>IFERROR(__xludf.DUMMYFUNCTION("""COMPUTED_VALUE"""),0.1336728198599618)</f>
        <v>0.1336728199</v>
      </c>
      <c r="F1836" s="5">
        <f>IFERROR(__xludf.DUMMYFUNCTION("""COMPUTED_VALUE"""),0.2316995544239338)</f>
        <v>0.2316995544</v>
      </c>
      <c r="G1836" s="5">
        <f>IFERROR(__xludf.DUMMYFUNCTION("""COMPUTED_VALUE"""),0.19223424570337364)</f>
        <v>0.1922342457</v>
      </c>
      <c r="H1836" s="5">
        <f>IFERROR(__xludf.DUMMYFUNCTION("""COMPUTED_VALUE"""),0.5714285714285714)</f>
        <v>0.5714285714</v>
      </c>
      <c r="I1836" s="11">
        <f>IFERROR(__xludf.DUMMYFUNCTION("""COMPUTED_VALUE"""),5389.010989010989)</f>
        <v>5389.010989</v>
      </c>
      <c r="J1836" s="10">
        <f>IFERROR(__xludf.DUMMYFUNCTION("""COMPUTED_VALUE"""),1.0)</f>
        <v>1</v>
      </c>
      <c r="K1836" s="5">
        <f>IFERROR(__xludf.DUMMYFUNCTION("""COMPUTED_VALUE"""),0.006756756756756757)</f>
        <v>0.006756756757</v>
      </c>
      <c r="L1836" s="10">
        <f>IFERROR(__xludf.DUMMYFUNCTION("""COMPUTED_VALUE"""),148.0)</f>
        <v>148</v>
      </c>
      <c r="M1836" s="5">
        <f>IFERROR(__xludf.DUMMYFUNCTION("""COMPUTED_VALUE"""),1.0)</f>
        <v>1</v>
      </c>
    </row>
    <row r="1837">
      <c r="A1837" s="10" t="str">
        <f>IFERROR(__xludf.DUMMYFUNCTION("""COMPUTED_VALUE"""),"カツオだお")</f>
        <v>カツオだお</v>
      </c>
      <c r="B1837" s="10">
        <f>IFERROR(__xludf.DUMMYFUNCTION("""COMPUTED_VALUE"""),225.0)</f>
        <v>225</v>
      </c>
      <c r="C1837" s="10">
        <f>IFERROR(__xludf.DUMMYFUNCTION("""COMPUTED_VALUE"""),2604.0)</f>
        <v>2604</v>
      </c>
      <c r="D1837" s="5">
        <f>IFERROR(__xludf.DUMMYFUNCTION("""COMPUTED_VALUE"""),0.46952501050861706)</f>
        <v>0.4695250105</v>
      </c>
      <c r="E1837" s="5">
        <f>IFERROR(__xludf.DUMMYFUNCTION("""COMPUTED_VALUE"""),0.13366960907944514)</f>
        <v>0.1336696091</v>
      </c>
      <c r="F1837" s="5">
        <f>IFERROR(__xludf.DUMMYFUNCTION("""COMPUTED_VALUE"""),0.2126944094157209)</f>
        <v>0.2126944094</v>
      </c>
      <c r="G1837" s="5">
        <f>IFERROR(__xludf.DUMMYFUNCTION("""COMPUTED_VALUE"""),0.17023959646910466)</f>
        <v>0.1702395965</v>
      </c>
      <c r="H1837" s="5">
        <f>IFERROR(__xludf.DUMMYFUNCTION("""COMPUTED_VALUE"""),0.5889328063241107)</f>
        <v>0.5889328063</v>
      </c>
      <c r="I1837" s="11">
        <f>IFERROR(__xludf.DUMMYFUNCTION("""COMPUTED_VALUE"""),5473.913043478261)</f>
        <v>5473.913043</v>
      </c>
      <c r="J1837" s="10">
        <f>IFERROR(__xludf.DUMMYFUNCTION("""COMPUTED_VALUE"""),0.0)</f>
        <v>0</v>
      </c>
      <c r="K1837" s="5">
        <f>IFERROR(__xludf.DUMMYFUNCTION("""COMPUTED_VALUE"""),0.0)</f>
        <v>0</v>
      </c>
      <c r="L1837" s="10">
        <f>IFERROR(__xludf.DUMMYFUNCTION("""COMPUTED_VALUE"""),225.0)</f>
        <v>225</v>
      </c>
      <c r="M1837" s="5">
        <f>IFERROR(__xludf.DUMMYFUNCTION("""COMPUTED_VALUE"""),1.0)</f>
        <v>1</v>
      </c>
    </row>
    <row r="1838">
      <c r="A1838" s="10" t="str">
        <f>IFERROR(__xludf.DUMMYFUNCTION("""COMPUTED_VALUE"""),"pincers")</f>
        <v>pincers</v>
      </c>
      <c r="B1838" s="10">
        <f>IFERROR(__xludf.DUMMYFUNCTION("""COMPUTED_VALUE"""),1655.0)</f>
        <v>1655</v>
      </c>
      <c r="C1838" s="10">
        <f>IFERROR(__xludf.DUMMYFUNCTION("""COMPUTED_VALUE"""),19341.0)</f>
        <v>19341</v>
      </c>
      <c r="D1838" s="5">
        <f>IFERROR(__xludf.DUMMYFUNCTION("""COMPUTED_VALUE"""),0.41942779599683366)</f>
        <v>0.419427796</v>
      </c>
      <c r="E1838" s="5">
        <f>IFERROR(__xludf.DUMMYFUNCTION("""COMPUTED_VALUE"""),0.133665045798937)</f>
        <v>0.1336650458</v>
      </c>
      <c r="F1838" s="5">
        <f>IFERROR(__xludf.DUMMYFUNCTION("""COMPUTED_VALUE"""),0.2223792830487391)</f>
        <v>0.222379283</v>
      </c>
      <c r="G1838" s="5">
        <f>IFERROR(__xludf.DUMMYFUNCTION("""COMPUTED_VALUE"""),0.1737532511591089)</f>
        <v>0.1737532512</v>
      </c>
      <c r="H1838" s="5">
        <f>IFERROR(__xludf.DUMMYFUNCTION("""COMPUTED_VALUE"""),0.5992880752606153)</f>
        <v>0.5992880753</v>
      </c>
      <c r="I1838" s="11">
        <f>IFERROR(__xludf.DUMMYFUNCTION("""COMPUTED_VALUE"""),5549.936435291126)</f>
        <v>5549.936435</v>
      </c>
      <c r="J1838" s="10">
        <f>IFERROR(__xludf.DUMMYFUNCTION("""COMPUTED_VALUE"""),5.0)</f>
        <v>5</v>
      </c>
      <c r="K1838" s="5">
        <f>IFERROR(__xludf.DUMMYFUNCTION("""COMPUTED_VALUE"""),0.0030211480362537764)</f>
        <v>0.003021148036</v>
      </c>
      <c r="L1838" s="10">
        <f>IFERROR(__xludf.DUMMYFUNCTION("""COMPUTED_VALUE"""),1655.0)</f>
        <v>1655</v>
      </c>
      <c r="M1838" s="5">
        <f>IFERROR(__xludf.DUMMYFUNCTION("""COMPUTED_VALUE"""),1.0)</f>
        <v>1</v>
      </c>
    </row>
    <row r="1839">
      <c r="A1839" s="10" t="str">
        <f>IFERROR(__xludf.DUMMYFUNCTION("""COMPUTED_VALUE"""),"Clio")</f>
        <v>Clio</v>
      </c>
      <c r="B1839" s="10">
        <f>IFERROR(__xludf.DUMMYFUNCTION("""COMPUTED_VALUE"""),116.0)</f>
        <v>116</v>
      </c>
      <c r="C1839" s="10">
        <f>IFERROR(__xludf.DUMMYFUNCTION("""COMPUTED_VALUE"""),1343.0)</f>
        <v>1343</v>
      </c>
      <c r="D1839" s="5">
        <f>IFERROR(__xludf.DUMMYFUNCTION("""COMPUTED_VALUE"""),0.2575387123064385)</f>
        <v>0.2575387123</v>
      </c>
      <c r="E1839" s="5">
        <f>IFERROR(__xludf.DUMMYFUNCTION("""COMPUTED_VALUE"""),0.1336593317033415)</f>
        <v>0.1336593317</v>
      </c>
      <c r="F1839" s="5">
        <f>IFERROR(__xludf.DUMMYFUNCTION("""COMPUTED_VALUE"""),0.17114914425427874)</f>
        <v>0.1711491443</v>
      </c>
      <c r="G1839" s="5">
        <f>IFERROR(__xludf.DUMMYFUNCTION("""COMPUTED_VALUE"""),0.13202933985330073)</f>
        <v>0.1320293399</v>
      </c>
      <c r="H1839" s="5">
        <f>IFERROR(__xludf.DUMMYFUNCTION("""COMPUTED_VALUE"""),0.6)</f>
        <v>0.6</v>
      </c>
      <c r="I1839" s="11">
        <f>IFERROR(__xludf.DUMMYFUNCTION("""COMPUTED_VALUE"""),6708.0952380952385)</f>
        <v>6708.095238</v>
      </c>
      <c r="J1839" s="10">
        <f>IFERROR(__xludf.DUMMYFUNCTION("""COMPUTED_VALUE"""),1.0)</f>
        <v>1</v>
      </c>
      <c r="K1839" s="5">
        <f>IFERROR(__xludf.DUMMYFUNCTION("""COMPUTED_VALUE"""),0.008620689655172414)</f>
        <v>0.008620689655</v>
      </c>
      <c r="L1839" s="10">
        <f>IFERROR(__xludf.DUMMYFUNCTION("""COMPUTED_VALUE"""),116.0)</f>
        <v>116</v>
      </c>
      <c r="M1839" s="5">
        <f>IFERROR(__xludf.DUMMYFUNCTION("""COMPUTED_VALUE"""),1.0)</f>
        <v>1</v>
      </c>
    </row>
    <row r="1840">
      <c r="A1840" s="10" t="str">
        <f>IFERROR(__xludf.DUMMYFUNCTION("""COMPUTED_VALUE"""),"自称最強雀士３")</f>
        <v>自称最強雀士３</v>
      </c>
      <c r="B1840" s="10">
        <f>IFERROR(__xludf.DUMMYFUNCTION("""COMPUTED_VALUE"""),1306.0)</f>
        <v>1306</v>
      </c>
      <c r="C1840" s="10">
        <f>IFERROR(__xludf.DUMMYFUNCTION("""COMPUTED_VALUE"""),15425.0)</f>
        <v>15425</v>
      </c>
      <c r="D1840" s="5">
        <f>IFERROR(__xludf.DUMMYFUNCTION("""COMPUTED_VALUE"""),0.33522204122104965)</f>
        <v>0.3352220412</v>
      </c>
      <c r="E1840" s="5">
        <f>IFERROR(__xludf.DUMMYFUNCTION("""COMPUTED_VALUE"""),0.1336496919045258)</f>
        <v>0.1336496919</v>
      </c>
      <c r="F1840" s="5">
        <f>IFERROR(__xludf.DUMMYFUNCTION("""COMPUTED_VALUE"""),0.21198385154756003)</f>
        <v>0.2119838515</v>
      </c>
      <c r="G1840" s="5">
        <f>IFERROR(__xludf.DUMMYFUNCTION("""COMPUTED_VALUE"""),0.16566329060131738)</f>
        <v>0.1656632906</v>
      </c>
      <c r="H1840" s="5">
        <f>IFERROR(__xludf.DUMMYFUNCTION("""COMPUTED_VALUE"""),0.5963915803541597)</f>
        <v>0.5963915804</v>
      </c>
      <c r="I1840" s="11">
        <f>IFERROR(__xludf.DUMMYFUNCTION("""COMPUTED_VALUE"""),5651.687270297361)</f>
        <v>5651.68727</v>
      </c>
      <c r="J1840" s="10">
        <f>IFERROR(__xludf.DUMMYFUNCTION("""COMPUTED_VALUE"""),2.0)</f>
        <v>2</v>
      </c>
      <c r="K1840" s="5">
        <f>IFERROR(__xludf.DUMMYFUNCTION("""COMPUTED_VALUE"""),0.0015313935681470138)</f>
        <v>0.001531393568</v>
      </c>
      <c r="L1840" s="10">
        <f>IFERROR(__xludf.DUMMYFUNCTION("""COMPUTED_VALUE"""),1240.0)</f>
        <v>1240</v>
      </c>
      <c r="M1840" s="5">
        <f>IFERROR(__xludf.DUMMYFUNCTION("""COMPUTED_VALUE"""),0.9494640122511485)</f>
        <v>0.9494640123</v>
      </c>
    </row>
    <row r="1841">
      <c r="A1841" s="10" t="str">
        <f>IFERROR(__xludf.DUMMYFUNCTION("""COMPUTED_VALUE"""),"アスタナ")</f>
        <v>アスタナ</v>
      </c>
      <c r="B1841" s="10">
        <f>IFERROR(__xludf.DUMMYFUNCTION("""COMPUTED_VALUE"""),3670.0)</f>
        <v>3670</v>
      </c>
      <c r="C1841" s="10">
        <f>IFERROR(__xludf.DUMMYFUNCTION("""COMPUTED_VALUE"""),42698.0)</f>
        <v>42698</v>
      </c>
      <c r="D1841" s="5">
        <f>IFERROR(__xludf.DUMMYFUNCTION("""COMPUTED_VALUE"""),0.32615045608281235)</f>
        <v>0.3261504561</v>
      </c>
      <c r="E1841" s="5">
        <f>IFERROR(__xludf.DUMMYFUNCTION("""COMPUTED_VALUE"""),0.1336476375935226)</f>
        <v>0.1336476376</v>
      </c>
      <c r="F1841" s="5">
        <f>IFERROR(__xludf.DUMMYFUNCTION("""COMPUTED_VALUE"""),0.22007276826893513)</f>
        <v>0.2200727683</v>
      </c>
      <c r="G1841" s="5">
        <f>IFERROR(__xludf.DUMMYFUNCTION("""COMPUTED_VALUE"""),0.19965153223326843)</f>
        <v>0.1996515322</v>
      </c>
      <c r="H1841" s="5">
        <f>IFERROR(__xludf.DUMMYFUNCTION("""COMPUTED_VALUE"""),0.6029805565257887)</f>
        <v>0.6029805565</v>
      </c>
      <c r="I1841" s="11">
        <f>IFERROR(__xludf.DUMMYFUNCTION("""COMPUTED_VALUE"""),5735.964605891256)</f>
        <v>5735.964606</v>
      </c>
      <c r="J1841" s="10">
        <f>IFERROR(__xludf.DUMMYFUNCTION("""COMPUTED_VALUE"""),15.0)</f>
        <v>15</v>
      </c>
      <c r="K1841" s="5">
        <f>IFERROR(__xludf.DUMMYFUNCTION("""COMPUTED_VALUE"""),0.004087193460490463)</f>
        <v>0.00408719346</v>
      </c>
      <c r="L1841" s="10">
        <f>IFERROR(__xludf.DUMMYFUNCTION("""COMPUTED_VALUE"""),3670.0)</f>
        <v>3670</v>
      </c>
      <c r="M1841" s="5">
        <f>IFERROR(__xludf.DUMMYFUNCTION("""COMPUTED_VALUE"""),1.0)</f>
        <v>1</v>
      </c>
    </row>
    <row r="1842">
      <c r="A1842" s="10" t="str">
        <f>IFERROR(__xludf.DUMMYFUNCTION("""COMPUTED_VALUE"""),"赤ドンちゃん")</f>
        <v>赤ドンちゃん</v>
      </c>
      <c r="B1842" s="10">
        <f>IFERROR(__xludf.DUMMYFUNCTION("""COMPUTED_VALUE"""),1192.0)</f>
        <v>1192</v>
      </c>
      <c r="C1842" s="10">
        <f>IFERROR(__xludf.DUMMYFUNCTION("""COMPUTED_VALUE"""),14002.0)</f>
        <v>14002</v>
      </c>
      <c r="D1842" s="5">
        <f>IFERROR(__xludf.DUMMYFUNCTION("""COMPUTED_VALUE"""),0.3262295081967213)</f>
        <v>0.3262295082</v>
      </c>
      <c r="E1842" s="5">
        <f>IFERROR(__xludf.DUMMYFUNCTION("""COMPUTED_VALUE"""),0.1336455893832943)</f>
        <v>0.1336455894</v>
      </c>
      <c r="F1842" s="5">
        <f>IFERROR(__xludf.DUMMYFUNCTION("""COMPUTED_VALUE"""),0.21178766588602654)</f>
        <v>0.2117876659</v>
      </c>
      <c r="G1842" s="5">
        <f>IFERROR(__xludf.DUMMYFUNCTION("""COMPUTED_VALUE"""),0.15214676034348165)</f>
        <v>0.1521467603</v>
      </c>
      <c r="H1842" s="5">
        <f>IFERROR(__xludf.DUMMYFUNCTION("""COMPUTED_VALUE"""),0.5985993365278289)</f>
        <v>0.5985993365</v>
      </c>
      <c r="I1842" s="11">
        <f>IFERROR(__xludf.DUMMYFUNCTION("""COMPUTED_VALUE"""),5404.201990416513)</f>
        <v>5404.20199</v>
      </c>
      <c r="J1842" s="10">
        <f>IFERROR(__xludf.DUMMYFUNCTION("""COMPUTED_VALUE"""),2.0)</f>
        <v>2</v>
      </c>
      <c r="K1842" s="5">
        <f>IFERROR(__xludf.DUMMYFUNCTION("""COMPUTED_VALUE"""),0.0016778523489932886)</f>
        <v>0.001677852349</v>
      </c>
      <c r="L1842" s="10">
        <f>IFERROR(__xludf.DUMMYFUNCTION("""COMPUTED_VALUE"""),1188.0)</f>
        <v>1188</v>
      </c>
      <c r="M1842" s="5">
        <f>IFERROR(__xludf.DUMMYFUNCTION("""COMPUTED_VALUE"""),0.9966442953020134)</f>
        <v>0.9966442953</v>
      </c>
    </row>
    <row r="1843">
      <c r="A1843" s="10" t="str">
        <f>IFERROR(__xludf.DUMMYFUNCTION("""COMPUTED_VALUE"""),"伏虎")</f>
        <v>伏虎</v>
      </c>
      <c r="B1843" s="10">
        <f>IFERROR(__xludf.DUMMYFUNCTION("""COMPUTED_VALUE"""),1753.0)</f>
        <v>1753</v>
      </c>
      <c r="C1843" s="10">
        <f>IFERROR(__xludf.DUMMYFUNCTION("""COMPUTED_VALUE"""),20445.0)</f>
        <v>20445</v>
      </c>
      <c r="D1843" s="5">
        <f>IFERROR(__xludf.DUMMYFUNCTION("""COMPUTED_VALUE"""),0.28188529852343247)</f>
        <v>0.2818852985</v>
      </c>
      <c r="E1843" s="5">
        <f>IFERROR(__xludf.DUMMYFUNCTION("""COMPUTED_VALUE"""),0.1336400599186818)</f>
        <v>0.1336400599</v>
      </c>
      <c r="F1843" s="5">
        <f>IFERROR(__xludf.DUMMYFUNCTION("""COMPUTED_VALUE"""),0.21115985448320138)</f>
        <v>0.2111598545</v>
      </c>
      <c r="G1843" s="5">
        <f>IFERROR(__xludf.DUMMYFUNCTION("""COMPUTED_VALUE"""),0.17633212069334475)</f>
        <v>0.1763321207</v>
      </c>
      <c r="H1843" s="5">
        <f>IFERROR(__xludf.DUMMYFUNCTION("""COMPUTED_VALUE"""),0.601216113503927)</f>
        <v>0.6012161135</v>
      </c>
      <c r="I1843" s="11">
        <f>IFERROR(__xludf.DUMMYFUNCTION("""COMPUTED_VALUE"""),5849.17658981505)</f>
        <v>5849.17659</v>
      </c>
      <c r="J1843" s="10">
        <f>IFERROR(__xludf.DUMMYFUNCTION("""COMPUTED_VALUE"""),3.0)</f>
        <v>3</v>
      </c>
      <c r="K1843" s="5">
        <f>IFERROR(__xludf.DUMMYFUNCTION("""COMPUTED_VALUE"""),0.0017113519680547634)</f>
        <v>0.001711351968</v>
      </c>
      <c r="L1843" s="10">
        <f>IFERROR(__xludf.DUMMYFUNCTION("""COMPUTED_VALUE"""),1753.0)</f>
        <v>1753</v>
      </c>
      <c r="M1843" s="5">
        <f>IFERROR(__xludf.DUMMYFUNCTION("""COMPUTED_VALUE"""),1.0)</f>
        <v>1</v>
      </c>
    </row>
    <row r="1844">
      <c r="A1844" s="10" t="str">
        <f>IFERROR(__xludf.DUMMYFUNCTION("""COMPUTED_VALUE"""),"楽勝！")</f>
        <v>楽勝！</v>
      </c>
      <c r="B1844" s="10">
        <f>IFERROR(__xludf.DUMMYFUNCTION("""COMPUTED_VALUE"""),165.0)</f>
        <v>165</v>
      </c>
      <c r="C1844" s="10">
        <f>IFERROR(__xludf.DUMMYFUNCTION("""COMPUTED_VALUE"""),1991.0)</f>
        <v>1991</v>
      </c>
      <c r="D1844" s="5">
        <f>IFERROR(__xludf.DUMMYFUNCTION("""COMPUTED_VALUE"""),0.384446878422782)</f>
        <v>0.3844468784</v>
      </c>
      <c r="E1844" s="5">
        <f>IFERROR(__xludf.DUMMYFUNCTION("""COMPUTED_VALUE"""),0.13362541073384446)</f>
        <v>0.1336254107</v>
      </c>
      <c r="F1844" s="5">
        <f>IFERROR(__xludf.DUMMYFUNCTION("""COMPUTED_VALUE"""),0.2059145673603505)</f>
        <v>0.2059145674</v>
      </c>
      <c r="G1844" s="5">
        <f>IFERROR(__xludf.DUMMYFUNCTION("""COMPUTED_VALUE"""),0.18893756845564075)</f>
        <v>0.1889375685</v>
      </c>
      <c r="H1844" s="5">
        <f>IFERROR(__xludf.DUMMYFUNCTION("""COMPUTED_VALUE"""),0.5664893617021277)</f>
        <v>0.5664893617</v>
      </c>
      <c r="I1844" s="11">
        <f>IFERROR(__xludf.DUMMYFUNCTION("""COMPUTED_VALUE"""),5502.659574468085)</f>
        <v>5502.659574</v>
      </c>
      <c r="J1844" s="10">
        <f>IFERROR(__xludf.DUMMYFUNCTION("""COMPUTED_VALUE"""),1.0)</f>
        <v>1</v>
      </c>
      <c r="K1844" s="5">
        <f>IFERROR(__xludf.DUMMYFUNCTION("""COMPUTED_VALUE"""),0.006060606060606061)</f>
        <v>0.006060606061</v>
      </c>
      <c r="L1844" s="10">
        <f>IFERROR(__xludf.DUMMYFUNCTION("""COMPUTED_VALUE"""),165.0)</f>
        <v>165</v>
      </c>
      <c r="M1844" s="5">
        <f>IFERROR(__xludf.DUMMYFUNCTION("""COMPUTED_VALUE"""),1.0)</f>
        <v>1</v>
      </c>
    </row>
    <row r="1845">
      <c r="A1845" s="10" t="str">
        <f>IFERROR(__xludf.DUMMYFUNCTION("""COMPUTED_VALUE"""),"homodati")</f>
        <v>homodati</v>
      </c>
      <c r="B1845" s="10">
        <f>IFERROR(__xludf.DUMMYFUNCTION("""COMPUTED_VALUE"""),162.0)</f>
        <v>162</v>
      </c>
      <c r="C1845" s="10">
        <f>IFERROR(__xludf.DUMMYFUNCTION("""COMPUTED_VALUE"""),1831.0)</f>
        <v>1831</v>
      </c>
      <c r="D1845" s="5">
        <f>IFERROR(__xludf.DUMMYFUNCTION("""COMPUTED_VALUE"""),0.2678250449370881)</f>
        <v>0.2678250449</v>
      </c>
      <c r="E1845" s="5">
        <f>IFERROR(__xludf.DUMMYFUNCTION("""COMPUTED_VALUE"""),0.13361294188136608)</f>
        <v>0.1336129419</v>
      </c>
      <c r="F1845" s="5">
        <f>IFERROR(__xludf.DUMMYFUNCTION("""COMPUTED_VALUE"""),0.18514080287597365)</f>
        <v>0.1851408029</v>
      </c>
      <c r="G1845" s="5">
        <f>IFERROR(__xludf.DUMMYFUNCTION("""COMPUTED_VALUE"""),0.16596764529658478)</f>
        <v>0.1659676453</v>
      </c>
      <c r="H1845" s="5">
        <f>IFERROR(__xludf.DUMMYFUNCTION("""COMPUTED_VALUE"""),0.6181229773462783)</f>
        <v>0.6181229773</v>
      </c>
      <c r="I1845" s="11">
        <f>IFERROR(__xludf.DUMMYFUNCTION("""COMPUTED_VALUE"""),5882.847896440129)</f>
        <v>5882.847896</v>
      </c>
      <c r="J1845" s="10">
        <f>IFERROR(__xludf.DUMMYFUNCTION("""COMPUTED_VALUE"""),0.0)</f>
        <v>0</v>
      </c>
      <c r="K1845" s="5">
        <f>IFERROR(__xludf.DUMMYFUNCTION("""COMPUTED_VALUE"""),0.0)</f>
        <v>0</v>
      </c>
      <c r="L1845" s="10">
        <f>IFERROR(__xludf.DUMMYFUNCTION("""COMPUTED_VALUE"""),62.0)</f>
        <v>62</v>
      </c>
      <c r="M1845" s="5">
        <f>IFERROR(__xludf.DUMMYFUNCTION("""COMPUTED_VALUE"""),0.38271604938271603)</f>
        <v>0.3827160494</v>
      </c>
    </row>
    <row r="1846">
      <c r="A1846" s="10" t="str">
        <f>IFERROR(__xludf.DUMMYFUNCTION("""COMPUTED_VALUE"""),"メカバルタン")</f>
        <v>メカバルタン</v>
      </c>
      <c r="B1846" s="10">
        <f>IFERROR(__xludf.DUMMYFUNCTION("""COMPUTED_VALUE"""),332.0)</f>
        <v>332</v>
      </c>
      <c r="C1846" s="10">
        <f>IFERROR(__xludf.DUMMYFUNCTION("""COMPUTED_VALUE"""),3962.0)</f>
        <v>3962</v>
      </c>
      <c r="D1846" s="5">
        <f>IFERROR(__xludf.DUMMYFUNCTION("""COMPUTED_VALUE"""),0.3650137741046832)</f>
        <v>0.3650137741</v>
      </c>
      <c r="E1846" s="5">
        <f>IFERROR(__xludf.DUMMYFUNCTION("""COMPUTED_VALUE"""),0.13360881542699724)</f>
        <v>0.1336088154</v>
      </c>
      <c r="F1846" s="5">
        <f>IFERROR(__xludf.DUMMYFUNCTION("""COMPUTED_VALUE"""),0.20909090909090908)</f>
        <v>0.2090909091</v>
      </c>
      <c r="G1846" s="5">
        <f>IFERROR(__xludf.DUMMYFUNCTION("""COMPUTED_VALUE"""),0.19476584022038568)</f>
        <v>0.1947658402</v>
      </c>
      <c r="H1846" s="5">
        <f>IFERROR(__xludf.DUMMYFUNCTION("""COMPUTED_VALUE"""),0.5810276679841897)</f>
        <v>0.581027668</v>
      </c>
      <c r="I1846" s="11">
        <f>IFERROR(__xludf.DUMMYFUNCTION("""COMPUTED_VALUE"""),5746.245059288538)</f>
        <v>5746.245059</v>
      </c>
      <c r="J1846" s="10">
        <f>IFERROR(__xludf.DUMMYFUNCTION("""COMPUTED_VALUE"""),1.0)</f>
        <v>1</v>
      </c>
      <c r="K1846" s="5">
        <f>IFERROR(__xludf.DUMMYFUNCTION("""COMPUTED_VALUE"""),0.0030120481927710845)</f>
        <v>0.003012048193</v>
      </c>
      <c r="L1846" s="10">
        <f>IFERROR(__xludf.DUMMYFUNCTION("""COMPUTED_VALUE"""),1.0)</f>
        <v>1</v>
      </c>
      <c r="M1846" s="5">
        <f>IFERROR(__xludf.DUMMYFUNCTION("""COMPUTED_VALUE"""),0.0030120481927710845)</f>
        <v>0.003012048193</v>
      </c>
    </row>
    <row r="1847">
      <c r="A1847" s="10" t="str">
        <f>IFERROR(__xludf.DUMMYFUNCTION("""COMPUTED_VALUE"""),"彼女欲しいよ")</f>
        <v>彼女欲しいよ</v>
      </c>
      <c r="B1847" s="10">
        <f>IFERROR(__xludf.DUMMYFUNCTION("""COMPUTED_VALUE"""),1537.0)</f>
        <v>1537</v>
      </c>
      <c r="C1847" s="10">
        <f>IFERROR(__xludf.DUMMYFUNCTION("""COMPUTED_VALUE"""),18003.0)</f>
        <v>18003</v>
      </c>
      <c r="D1847" s="5">
        <f>IFERROR(__xludf.DUMMYFUNCTION("""COMPUTED_VALUE"""),0.3173205392930888)</f>
        <v>0.3173205393</v>
      </c>
      <c r="E1847" s="5">
        <f>IFERROR(__xludf.DUMMYFUNCTION("""COMPUTED_VALUE"""),0.1336086481234058)</f>
        <v>0.1336086481</v>
      </c>
      <c r="F1847" s="5">
        <f>IFERROR(__xludf.DUMMYFUNCTION("""COMPUTED_VALUE"""),0.21000850236851695)</f>
        <v>0.2100085024</v>
      </c>
      <c r="G1847" s="5">
        <f>IFERROR(__xludf.DUMMYFUNCTION("""COMPUTED_VALUE"""),0.19282157172355155)</f>
        <v>0.1928215717</v>
      </c>
      <c r="H1847" s="5">
        <f>IFERROR(__xludf.DUMMYFUNCTION("""COMPUTED_VALUE"""),0.5780798149219202)</f>
        <v>0.5780798149</v>
      </c>
      <c r="I1847" s="11">
        <f>IFERROR(__xludf.DUMMYFUNCTION("""COMPUTED_VALUE"""),5644.794679005206)</f>
        <v>5644.794679</v>
      </c>
      <c r="J1847" s="10">
        <f>IFERROR(__xludf.DUMMYFUNCTION("""COMPUTED_VALUE"""),1.0)</f>
        <v>1</v>
      </c>
      <c r="K1847" s="5">
        <f>IFERROR(__xludf.DUMMYFUNCTION("""COMPUTED_VALUE"""),6.506180871828237E-4)</f>
        <v>0.0006506180872</v>
      </c>
      <c r="L1847" s="10">
        <f>IFERROR(__xludf.DUMMYFUNCTION("""COMPUTED_VALUE"""),1537.0)</f>
        <v>1537</v>
      </c>
      <c r="M1847" s="5">
        <f>IFERROR(__xludf.DUMMYFUNCTION("""COMPUTED_VALUE"""),1.0)</f>
        <v>1</v>
      </c>
    </row>
    <row r="1848">
      <c r="A1848" s="10" t="str">
        <f>IFERROR(__xludf.DUMMYFUNCTION("""COMPUTED_VALUE"""),"ghq@sub")</f>
        <v>ghq@sub</v>
      </c>
      <c r="B1848" s="10">
        <f>IFERROR(__xludf.DUMMYFUNCTION("""COMPUTED_VALUE"""),158.0)</f>
        <v>158</v>
      </c>
      <c r="C1848" s="10">
        <f>IFERROR(__xludf.DUMMYFUNCTION("""COMPUTED_VALUE"""),1857.0)</f>
        <v>1857</v>
      </c>
      <c r="D1848" s="5">
        <f>IFERROR(__xludf.DUMMYFUNCTION("""COMPUTED_VALUE"""),0.3549146556798117)</f>
        <v>0.3549146557</v>
      </c>
      <c r="E1848" s="5">
        <f>IFERROR(__xludf.DUMMYFUNCTION("""COMPUTED_VALUE"""),0.13360800470865214)</f>
        <v>0.1336080047</v>
      </c>
      <c r="F1848" s="5">
        <f>IFERROR(__xludf.DUMMYFUNCTION("""COMPUTED_VALUE"""),0.18069452619187756)</f>
        <v>0.1806945262</v>
      </c>
      <c r="G1848" s="5">
        <f>IFERROR(__xludf.DUMMYFUNCTION("""COMPUTED_VALUE"""),0.16597998822836962)</f>
        <v>0.1659799882</v>
      </c>
      <c r="H1848" s="5">
        <f>IFERROR(__xludf.DUMMYFUNCTION("""COMPUTED_VALUE"""),0.6351791530944625)</f>
        <v>0.6351791531</v>
      </c>
      <c r="I1848" s="11">
        <f>IFERROR(__xludf.DUMMYFUNCTION("""COMPUTED_VALUE"""),6004.234527687297)</f>
        <v>6004.234528</v>
      </c>
      <c r="J1848" s="10">
        <f>IFERROR(__xludf.DUMMYFUNCTION("""COMPUTED_VALUE"""),0.0)</f>
        <v>0</v>
      </c>
      <c r="K1848" s="5">
        <f>IFERROR(__xludf.DUMMYFUNCTION("""COMPUTED_VALUE"""),0.0)</f>
        <v>0</v>
      </c>
      <c r="L1848" s="10">
        <f>IFERROR(__xludf.DUMMYFUNCTION("""COMPUTED_VALUE"""),87.0)</f>
        <v>87</v>
      </c>
      <c r="M1848" s="5">
        <f>IFERROR(__xludf.DUMMYFUNCTION("""COMPUTED_VALUE"""),0.5506329113924051)</f>
        <v>0.5506329114</v>
      </c>
    </row>
    <row r="1849">
      <c r="A1849" s="10" t="str">
        <f>IFERROR(__xludf.DUMMYFUNCTION("""COMPUTED_VALUE"""),"ATMのATM")</f>
        <v>ATMのATM</v>
      </c>
      <c r="B1849" s="10">
        <f>IFERROR(__xludf.DUMMYFUNCTION("""COMPUTED_VALUE"""),234.0)</f>
        <v>234</v>
      </c>
      <c r="C1849" s="10">
        <f>IFERROR(__xludf.DUMMYFUNCTION("""COMPUTED_VALUE"""),2704.0)</f>
        <v>2704</v>
      </c>
      <c r="D1849" s="5">
        <f>IFERROR(__xludf.DUMMYFUNCTION("""COMPUTED_VALUE"""),0.3101214574898785)</f>
        <v>0.3101214575</v>
      </c>
      <c r="E1849" s="5">
        <f>IFERROR(__xludf.DUMMYFUNCTION("""COMPUTED_VALUE"""),0.13360323886639677)</f>
        <v>0.1336032389</v>
      </c>
      <c r="F1849" s="5">
        <f>IFERROR(__xludf.DUMMYFUNCTION("""COMPUTED_VALUE"""),0.19797570850202428)</f>
        <v>0.1979757085</v>
      </c>
      <c r="G1849" s="5">
        <f>IFERROR(__xludf.DUMMYFUNCTION("""COMPUTED_VALUE"""),0.1797570850202429)</f>
        <v>0.179757085</v>
      </c>
      <c r="H1849" s="5">
        <f>IFERROR(__xludf.DUMMYFUNCTION("""COMPUTED_VALUE"""),0.621676891615542)</f>
        <v>0.6216768916</v>
      </c>
      <c r="I1849" s="11">
        <f>IFERROR(__xludf.DUMMYFUNCTION("""COMPUTED_VALUE"""),5746.625766871166)</f>
        <v>5746.625767</v>
      </c>
      <c r="J1849" s="10">
        <f>IFERROR(__xludf.DUMMYFUNCTION("""COMPUTED_VALUE"""),0.0)</f>
        <v>0</v>
      </c>
      <c r="K1849" s="5">
        <f>IFERROR(__xludf.DUMMYFUNCTION("""COMPUTED_VALUE"""),0.0)</f>
        <v>0</v>
      </c>
      <c r="L1849" s="10">
        <f>IFERROR(__xludf.DUMMYFUNCTION("""COMPUTED_VALUE"""),234.0)</f>
        <v>234</v>
      </c>
      <c r="M1849" s="5">
        <f>IFERROR(__xludf.DUMMYFUNCTION("""COMPUTED_VALUE"""),1.0)</f>
        <v>1</v>
      </c>
    </row>
    <row r="1850">
      <c r="A1850" s="10" t="str">
        <f>IFERROR(__xludf.DUMMYFUNCTION("""COMPUTED_VALUE"""),"newたけこぞう")</f>
        <v>newたけこぞう</v>
      </c>
      <c r="B1850" s="10">
        <f>IFERROR(__xludf.DUMMYFUNCTION("""COMPUTED_VALUE"""),1018.0)</f>
        <v>1018</v>
      </c>
      <c r="C1850" s="10">
        <f>IFERROR(__xludf.DUMMYFUNCTION("""COMPUTED_VALUE"""),11849.0)</f>
        <v>11849</v>
      </c>
      <c r="D1850" s="5">
        <f>IFERROR(__xludf.DUMMYFUNCTION("""COMPUTED_VALUE"""),0.3303480749699935)</f>
        <v>0.330348075</v>
      </c>
      <c r="E1850" s="5">
        <f>IFERROR(__xludf.DUMMYFUNCTION("""COMPUTED_VALUE"""),0.13359800572430985)</f>
        <v>0.1335980057</v>
      </c>
      <c r="F1850" s="5">
        <f>IFERROR(__xludf.DUMMYFUNCTION("""COMPUTED_VALUE"""),0.20192041362755056)</f>
        <v>0.2019204136</v>
      </c>
      <c r="G1850" s="5">
        <f>IFERROR(__xludf.DUMMYFUNCTION("""COMPUTED_VALUE"""),0.1734835195272828)</f>
        <v>0.1734835195</v>
      </c>
      <c r="H1850" s="5">
        <f>IFERROR(__xludf.DUMMYFUNCTION("""COMPUTED_VALUE"""),0.5916780978509374)</f>
        <v>0.5916780979</v>
      </c>
      <c r="I1850" s="11">
        <f>IFERROR(__xludf.DUMMYFUNCTION("""COMPUTED_VALUE"""),6067.581161408322)</f>
        <v>6067.581161</v>
      </c>
      <c r="J1850" s="10">
        <f>IFERROR(__xludf.DUMMYFUNCTION("""COMPUTED_VALUE"""),2.0)</f>
        <v>2</v>
      </c>
      <c r="K1850" s="5">
        <f>IFERROR(__xludf.DUMMYFUNCTION("""COMPUTED_VALUE"""),0.0019646365422396855)</f>
        <v>0.001964636542</v>
      </c>
      <c r="L1850" s="10">
        <f>IFERROR(__xludf.DUMMYFUNCTION("""COMPUTED_VALUE"""),991.0)</f>
        <v>991</v>
      </c>
      <c r="M1850" s="5">
        <f>IFERROR(__xludf.DUMMYFUNCTION("""COMPUTED_VALUE"""),0.9734774066797642)</f>
        <v>0.9734774067</v>
      </c>
    </row>
    <row r="1851">
      <c r="A1851" s="10" t="str">
        <f>IFERROR(__xludf.DUMMYFUNCTION("""COMPUTED_VALUE"""),"あんでぃ")</f>
        <v>あんでぃ</v>
      </c>
      <c r="B1851" s="10">
        <f>IFERROR(__xludf.DUMMYFUNCTION("""COMPUTED_VALUE"""),194.0)</f>
        <v>194</v>
      </c>
      <c r="C1851" s="10">
        <f>IFERROR(__xludf.DUMMYFUNCTION("""COMPUTED_VALUE"""),2260.0)</f>
        <v>2260</v>
      </c>
      <c r="D1851" s="5">
        <f>IFERROR(__xludf.DUMMYFUNCTION("""COMPUTED_VALUE"""),0.3717328170377541)</f>
        <v>0.371732817</v>
      </c>
      <c r="E1851" s="5">
        <f>IFERROR(__xludf.DUMMYFUNCTION("""COMPUTED_VALUE"""),0.1335914811229429)</f>
        <v>0.1335914811</v>
      </c>
      <c r="F1851" s="5">
        <f>IFERROR(__xludf.DUMMYFUNCTION("""COMPUTED_VALUE"""),0.21345595353339786)</f>
        <v>0.2134559535</v>
      </c>
      <c r="G1851" s="5">
        <f>IFERROR(__xludf.DUMMYFUNCTION("""COMPUTED_VALUE"""),0.18102613746369797)</f>
        <v>0.1810261375</v>
      </c>
      <c r="H1851" s="5">
        <f>IFERROR(__xludf.DUMMYFUNCTION("""COMPUTED_VALUE"""),0.6077097505668935)</f>
        <v>0.6077097506</v>
      </c>
      <c r="I1851" s="11">
        <f>IFERROR(__xludf.DUMMYFUNCTION("""COMPUTED_VALUE"""),5671.8820861678005)</f>
        <v>5671.882086</v>
      </c>
      <c r="J1851" s="10">
        <f>IFERROR(__xludf.DUMMYFUNCTION("""COMPUTED_VALUE"""),0.0)</f>
        <v>0</v>
      </c>
      <c r="K1851" s="5">
        <f>IFERROR(__xludf.DUMMYFUNCTION("""COMPUTED_VALUE"""),0.0)</f>
        <v>0</v>
      </c>
      <c r="L1851" s="10">
        <f>IFERROR(__xludf.DUMMYFUNCTION("""COMPUTED_VALUE"""),0.0)</f>
        <v>0</v>
      </c>
      <c r="M1851" s="5">
        <f>IFERROR(__xludf.DUMMYFUNCTION("""COMPUTED_VALUE"""),0.0)</f>
        <v>0</v>
      </c>
    </row>
    <row r="1852">
      <c r="A1852" s="10" t="str">
        <f>IFERROR(__xludf.DUMMYFUNCTION("""COMPUTED_VALUE"""),"lakuchi")</f>
        <v>lakuchi</v>
      </c>
      <c r="B1852" s="10">
        <f>IFERROR(__xludf.DUMMYFUNCTION("""COMPUTED_VALUE"""),1618.0)</f>
        <v>1618</v>
      </c>
      <c r="C1852" s="10">
        <f>IFERROR(__xludf.DUMMYFUNCTION("""COMPUTED_VALUE"""),18829.0)</f>
        <v>18829</v>
      </c>
      <c r="D1852" s="5">
        <f>IFERROR(__xludf.DUMMYFUNCTION("""COMPUTED_VALUE"""),0.41862762186973446)</f>
        <v>0.4186276219</v>
      </c>
      <c r="E1852" s="5">
        <f>IFERROR(__xludf.DUMMYFUNCTION("""COMPUTED_VALUE"""),0.13357736331415954)</f>
        <v>0.1335773633</v>
      </c>
      <c r="F1852" s="5">
        <f>IFERROR(__xludf.DUMMYFUNCTION("""COMPUTED_VALUE"""),0.21858113996862472)</f>
        <v>0.21858114</v>
      </c>
      <c r="G1852" s="5">
        <f>IFERROR(__xludf.DUMMYFUNCTION("""COMPUTED_VALUE"""),0.1754110743129394)</f>
        <v>0.1754110743</v>
      </c>
      <c r="H1852" s="5">
        <f>IFERROR(__xludf.DUMMYFUNCTION("""COMPUTED_VALUE"""),0.5978203083466241)</f>
        <v>0.5978203083</v>
      </c>
      <c r="I1852" s="11">
        <f>IFERROR(__xludf.DUMMYFUNCTION("""COMPUTED_VALUE"""),5530.116959064328)</f>
        <v>5530.116959</v>
      </c>
      <c r="J1852" s="10">
        <f>IFERROR(__xludf.DUMMYFUNCTION("""COMPUTED_VALUE"""),2.0)</f>
        <v>2</v>
      </c>
      <c r="K1852" s="5">
        <f>IFERROR(__xludf.DUMMYFUNCTION("""COMPUTED_VALUE"""),0.0012360939431396785)</f>
        <v>0.001236093943</v>
      </c>
      <c r="L1852" s="10">
        <f>IFERROR(__xludf.DUMMYFUNCTION("""COMPUTED_VALUE"""),1618.0)</f>
        <v>1618</v>
      </c>
      <c r="M1852" s="5">
        <f>IFERROR(__xludf.DUMMYFUNCTION("""COMPUTED_VALUE"""),1.0)</f>
        <v>1</v>
      </c>
    </row>
    <row r="1853">
      <c r="A1853" s="10" t="str">
        <f>IFERROR(__xludf.DUMMYFUNCTION("""COMPUTED_VALUE"""),"ヨッチ")</f>
        <v>ヨッチ</v>
      </c>
      <c r="B1853" s="10">
        <f>IFERROR(__xludf.DUMMYFUNCTION("""COMPUTED_VALUE"""),293.0)</f>
        <v>293</v>
      </c>
      <c r="C1853" s="10">
        <f>IFERROR(__xludf.DUMMYFUNCTION("""COMPUTED_VALUE"""),3438.0)</f>
        <v>3438</v>
      </c>
      <c r="D1853" s="5">
        <f>IFERROR(__xludf.DUMMYFUNCTION("""COMPUTED_VALUE"""),0.26391096979332274)</f>
        <v>0.2639109698</v>
      </c>
      <c r="E1853" s="5">
        <f>IFERROR(__xludf.DUMMYFUNCTION("""COMPUTED_VALUE"""),0.13354531001589826)</f>
        <v>0.13354531</v>
      </c>
      <c r="F1853" s="5">
        <f>IFERROR(__xludf.DUMMYFUNCTION("""COMPUTED_VALUE"""),0.20794912559618442)</f>
        <v>0.2079491256</v>
      </c>
      <c r="G1853" s="5">
        <f>IFERROR(__xludf.DUMMYFUNCTION("""COMPUTED_VALUE"""),0.1631160572337043)</f>
        <v>0.1631160572</v>
      </c>
      <c r="H1853" s="5">
        <f>IFERROR(__xludf.DUMMYFUNCTION("""COMPUTED_VALUE"""),0.6238532110091743)</f>
        <v>0.623853211</v>
      </c>
      <c r="I1853" s="11">
        <f>IFERROR(__xludf.DUMMYFUNCTION("""COMPUTED_VALUE"""),5601.834862385321)</f>
        <v>5601.834862</v>
      </c>
      <c r="J1853" s="10">
        <f>IFERROR(__xludf.DUMMYFUNCTION("""COMPUTED_VALUE"""),0.0)</f>
        <v>0</v>
      </c>
      <c r="K1853" s="5">
        <f>IFERROR(__xludf.DUMMYFUNCTION("""COMPUTED_VALUE"""),0.0)</f>
        <v>0</v>
      </c>
      <c r="L1853" s="10">
        <f>IFERROR(__xludf.DUMMYFUNCTION("""COMPUTED_VALUE"""),293.0)</f>
        <v>293</v>
      </c>
      <c r="M1853" s="5">
        <f>IFERROR(__xludf.DUMMYFUNCTION("""COMPUTED_VALUE"""),1.0)</f>
        <v>1</v>
      </c>
    </row>
    <row r="1854">
      <c r="A1854" s="10" t="str">
        <f>IFERROR(__xludf.DUMMYFUNCTION("""COMPUTED_VALUE"""),"harookie")</f>
        <v>harookie</v>
      </c>
      <c r="B1854" s="10">
        <f>IFERROR(__xludf.DUMMYFUNCTION("""COMPUTED_VALUE"""),711.0)</f>
        <v>711</v>
      </c>
      <c r="C1854" s="10">
        <f>IFERROR(__xludf.DUMMYFUNCTION("""COMPUTED_VALUE"""),8200.0)</f>
        <v>8200</v>
      </c>
      <c r="D1854" s="5">
        <f>IFERROR(__xludf.DUMMYFUNCTION("""COMPUTED_VALUE"""),0.35612231272533046)</f>
        <v>0.3561223127</v>
      </c>
      <c r="E1854" s="5">
        <f>IFERROR(__xludf.DUMMYFUNCTION("""COMPUTED_VALUE"""),0.1335291761249833)</f>
        <v>0.1335291761</v>
      </c>
      <c r="F1854" s="5">
        <f>IFERROR(__xludf.DUMMYFUNCTION("""COMPUTED_VALUE"""),0.2112431566297236)</f>
        <v>0.2112431566</v>
      </c>
      <c r="G1854" s="5">
        <f>IFERROR(__xludf.DUMMYFUNCTION("""COMPUTED_VALUE"""),0.2071037521698491)</f>
        <v>0.2071037522</v>
      </c>
      <c r="H1854" s="5">
        <f>IFERROR(__xludf.DUMMYFUNCTION("""COMPUTED_VALUE"""),0.5948166877370418)</f>
        <v>0.5948166877</v>
      </c>
      <c r="I1854" s="11">
        <f>IFERROR(__xludf.DUMMYFUNCTION("""COMPUTED_VALUE"""),6127.5600505689)</f>
        <v>6127.560051</v>
      </c>
      <c r="J1854" s="10">
        <f>IFERROR(__xludf.DUMMYFUNCTION("""COMPUTED_VALUE"""),1.0)</f>
        <v>1</v>
      </c>
      <c r="K1854" s="5">
        <f>IFERROR(__xludf.DUMMYFUNCTION("""COMPUTED_VALUE"""),0.0014064697609001407)</f>
        <v>0.001406469761</v>
      </c>
      <c r="L1854" s="10">
        <f>IFERROR(__xludf.DUMMYFUNCTION("""COMPUTED_VALUE"""),711.0)</f>
        <v>711</v>
      </c>
      <c r="M1854" s="5">
        <f>IFERROR(__xludf.DUMMYFUNCTION("""COMPUTED_VALUE"""),1.0)</f>
        <v>1</v>
      </c>
    </row>
    <row r="1855">
      <c r="A1855" s="10" t="str">
        <f>IFERROR(__xludf.DUMMYFUNCTION("""COMPUTED_VALUE"""),"加治木・ゆみ")</f>
        <v>加治木・ゆみ</v>
      </c>
      <c r="B1855" s="10">
        <f>IFERROR(__xludf.DUMMYFUNCTION("""COMPUTED_VALUE"""),540.0)</f>
        <v>540</v>
      </c>
      <c r="C1855" s="10">
        <f>IFERROR(__xludf.DUMMYFUNCTION("""COMPUTED_VALUE"""),6389.0)</f>
        <v>6389</v>
      </c>
      <c r="D1855" s="5">
        <f>IFERROR(__xludf.DUMMYFUNCTION("""COMPUTED_VALUE"""),0.28671567789365704)</f>
        <v>0.2867156779</v>
      </c>
      <c r="E1855" s="5">
        <f>IFERROR(__xludf.DUMMYFUNCTION("""COMPUTED_VALUE"""),0.13352709864934176)</f>
        <v>0.1335270986</v>
      </c>
      <c r="F1855" s="5">
        <f>IFERROR(__xludf.DUMMYFUNCTION("""COMPUTED_VALUE"""),0.21730210292357668)</f>
        <v>0.2173021029</v>
      </c>
      <c r="G1855" s="5">
        <f>IFERROR(__xludf.DUMMYFUNCTION("""COMPUTED_VALUE"""),0.17558557018293725)</f>
        <v>0.1755855702</v>
      </c>
      <c r="H1855" s="5">
        <f>IFERROR(__xludf.DUMMYFUNCTION("""COMPUTED_VALUE"""),0.5853658536585366)</f>
        <v>0.5853658537</v>
      </c>
      <c r="I1855" s="11">
        <f>IFERROR(__xludf.DUMMYFUNCTION("""COMPUTED_VALUE"""),5506.136900078678)</f>
        <v>5506.1369</v>
      </c>
      <c r="J1855" s="10">
        <f>IFERROR(__xludf.DUMMYFUNCTION("""COMPUTED_VALUE"""),5.0)</f>
        <v>5</v>
      </c>
      <c r="K1855" s="5">
        <f>IFERROR(__xludf.DUMMYFUNCTION("""COMPUTED_VALUE"""),0.009259259259259259)</f>
        <v>0.009259259259</v>
      </c>
      <c r="L1855" s="10">
        <f>IFERROR(__xludf.DUMMYFUNCTION("""COMPUTED_VALUE"""),0.0)</f>
        <v>0</v>
      </c>
      <c r="M1855" s="5">
        <f>IFERROR(__xludf.DUMMYFUNCTION("""COMPUTED_VALUE"""),0.0)</f>
        <v>0</v>
      </c>
    </row>
    <row r="1856">
      <c r="A1856" s="10" t="str">
        <f>IFERROR(__xludf.DUMMYFUNCTION("""COMPUTED_VALUE"""),"だめのすけ")</f>
        <v>だめのすけ</v>
      </c>
      <c r="B1856" s="10">
        <f>IFERROR(__xludf.DUMMYFUNCTION("""COMPUTED_VALUE"""),715.0)</f>
        <v>715</v>
      </c>
      <c r="C1856" s="10">
        <f>IFERROR(__xludf.DUMMYFUNCTION("""COMPUTED_VALUE"""),8354.0)</f>
        <v>8354</v>
      </c>
      <c r="D1856" s="5">
        <f>IFERROR(__xludf.DUMMYFUNCTION("""COMPUTED_VALUE"""),0.3907579526115984)</f>
        <v>0.3907579526</v>
      </c>
      <c r="E1856" s="5">
        <f>IFERROR(__xludf.DUMMYFUNCTION("""COMPUTED_VALUE"""),0.1335253305406467)</f>
        <v>0.1335253305</v>
      </c>
      <c r="F1856" s="5">
        <f>IFERROR(__xludf.DUMMYFUNCTION("""COMPUTED_VALUE"""),0.2162586726011258)</f>
        <v>0.2162586726</v>
      </c>
      <c r="G1856" s="5">
        <f>IFERROR(__xludf.DUMMYFUNCTION("""COMPUTED_VALUE"""),0.1712266003403587)</f>
        <v>0.1712266003</v>
      </c>
      <c r="H1856" s="5">
        <f>IFERROR(__xludf.DUMMYFUNCTION("""COMPUTED_VALUE"""),0.5998789346246973)</f>
        <v>0.5998789346</v>
      </c>
      <c r="I1856" s="11">
        <f>IFERROR(__xludf.DUMMYFUNCTION("""COMPUTED_VALUE"""),5490.43583535109)</f>
        <v>5490.435835</v>
      </c>
      <c r="J1856" s="10">
        <f>IFERROR(__xludf.DUMMYFUNCTION("""COMPUTED_VALUE"""),0.0)</f>
        <v>0</v>
      </c>
      <c r="K1856" s="5">
        <f>IFERROR(__xludf.DUMMYFUNCTION("""COMPUTED_VALUE"""),0.0)</f>
        <v>0</v>
      </c>
      <c r="L1856" s="10">
        <f>IFERROR(__xludf.DUMMYFUNCTION("""COMPUTED_VALUE"""),715.0)</f>
        <v>715</v>
      </c>
      <c r="M1856" s="5">
        <f>IFERROR(__xludf.DUMMYFUNCTION("""COMPUTED_VALUE"""),1.0)</f>
        <v>1</v>
      </c>
    </row>
    <row r="1857">
      <c r="A1857" s="10" t="str">
        <f>IFERROR(__xludf.DUMMYFUNCTION("""COMPUTED_VALUE"""),"oisyo")</f>
        <v>oisyo</v>
      </c>
      <c r="B1857" s="10">
        <f>IFERROR(__xludf.DUMMYFUNCTION("""COMPUTED_VALUE"""),1249.0)</f>
        <v>1249</v>
      </c>
      <c r="C1857" s="10">
        <f>IFERROR(__xludf.DUMMYFUNCTION("""COMPUTED_VALUE"""),14454.0)</f>
        <v>14454</v>
      </c>
      <c r="D1857" s="5">
        <f>IFERROR(__xludf.DUMMYFUNCTION("""COMPUTED_VALUE"""),0.3468383188186293)</f>
        <v>0.3468383188</v>
      </c>
      <c r="E1857" s="5">
        <f>IFERROR(__xludf.DUMMYFUNCTION("""COMPUTED_VALUE"""),0.13351003407800074)</f>
        <v>0.1335100341</v>
      </c>
      <c r="F1857" s="5">
        <f>IFERROR(__xludf.DUMMYFUNCTION("""COMPUTED_VALUE"""),0.21325255585005679)</f>
        <v>0.2132525559</v>
      </c>
      <c r="G1857" s="5">
        <f>IFERROR(__xludf.DUMMYFUNCTION("""COMPUTED_VALUE"""),0.17198031048845133)</f>
        <v>0.1719803105</v>
      </c>
      <c r="H1857" s="5">
        <f>IFERROR(__xludf.DUMMYFUNCTION("""COMPUTED_VALUE"""),0.6036931818181818)</f>
        <v>0.6036931818</v>
      </c>
      <c r="I1857" s="11">
        <f>IFERROR(__xludf.DUMMYFUNCTION("""COMPUTED_VALUE"""),5996.448863636364)</f>
        <v>5996.448864</v>
      </c>
      <c r="J1857" s="10">
        <f>IFERROR(__xludf.DUMMYFUNCTION("""COMPUTED_VALUE"""),4.0)</f>
        <v>4</v>
      </c>
      <c r="K1857" s="5">
        <f>IFERROR(__xludf.DUMMYFUNCTION("""COMPUTED_VALUE"""),0.0032025620496397116)</f>
        <v>0.00320256205</v>
      </c>
      <c r="L1857" s="10">
        <f>IFERROR(__xludf.DUMMYFUNCTION("""COMPUTED_VALUE"""),1249.0)</f>
        <v>1249</v>
      </c>
      <c r="M1857" s="5">
        <f>IFERROR(__xludf.DUMMYFUNCTION("""COMPUTED_VALUE"""),1.0)</f>
        <v>1</v>
      </c>
    </row>
    <row r="1858">
      <c r="A1858" s="10" t="str">
        <f>IFERROR(__xludf.DUMMYFUNCTION("""COMPUTED_VALUE"""),"生肉ですよ")</f>
        <v>生肉ですよ</v>
      </c>
      <c r="B1858" s="10">
        <f>IFERROR(__xludf.DUMMYFUNCTION("""COMPUTED_VALUE"""),1611.0)</f>
        <v>1611</v>
      </c>
      <c r="C1858" s="10">
        <f>IFERROR(__xludf.DUMMYFUNCTION("""COMPUTED_VALUE"""),18870.0)</f>
        <v>18870</v>
      </c>
      <c r="D1858" s="5">
        <f>IFERROR(__xludf.DUMMYFUNCTION("""COMPUTED_VALUE"""),0.3475288255402978)</f>
        <v>0.3475288255</v>
      </c>
      <c r="E1858" s="5">
        <f>IFERROR(__xludf.DUMMYFUNCTION("""COMPUTED_VALUE"""),0.13349556752998434)</f>
        <v>0.1334955675</v>
      </c>
      <c r="F1858" s="5">
        <f>IFERROR(__xludf.DUMMYFUNCTION("""COMPUTED_VALUE"""),0.21565559997682368)</f>
        <v>0.2156556</v>
      </c>
      <c r="G1858" s="5">
        <f>IFERROR(__xludf.DUMMYFUNCTION("""COMPUTED_VALUE"""),0.16333507155686888)</f>
        <v>0.1633350716</v>
      </c>
      <c r="H1858" s="5">
        <f>IFERROR(__xludf.DUMMYFUNCTION("""COMPUTED_VALUE"""),0.5945728103170339)</f>
        <v>0.5945728103</v>
      </c>
      <c r="I1858" s="11">
        <f>IFERROR(__xludf.DUMMYFUNCTION("""COMPUTED_VALUE"""),5428.479312197743)</f>
        <v>5428.479312</v>
      </c>
      <c r="J1858" s="10">
        <f>IFERROR(__xludf.DUMMYFUNCTION("""COMPUTED_VALUE"""),5.0)</f>
        <v>5</v>
      </c>
      <c r="K1858" s="5">
        <f>IFERROR(__xludf.DUMMYFUNCTION("""COMPUTED_VALUE"""),0.0031036623215394167)</f>
        <v>0.003103662322</v>
      </c>
      <c r="L1858" s="10">
        <f>IFERROR(__xludf.DUMMYFUNCTION("""COMPUTED_VALUE"""),1548.0)</f>
        <v>1548</v>
      </c>
      <c r="M1858" s="5">
        <f>IFERROR(__xludf.DUMMYFUNCTION("""COMPUTED_VALUE"""),0.9608938547486033)</f>
        <v>0.9608938547</v>
      </c>
    </row>
    <row r="1859">
      <c r="A1859" s="10" t="str">
        <f>IFERROR(__xludf.DUMMYFUNCTION("""COMPUTED_VALUE"""),"メルク")</f>
        <v>メルク</v>
      </c>
      <c r="B1859" s="10">
        <f>IFERROR(__xludf.DUMMYFUNCTION("""COMPUTED_VALUE"""),1846.0)</f>
        <v>1846</v>
      </c>
      <c r="C1859" s="10">
        <f>IFERROR(__xludf.DUMMYFUNCTION("""COMPUTED_VALUE"""),21607.0)</f>
        <v>21607</v>
      </c>
      <c r="D1859" s="5">
        <f>IFERROR(__xludf.DUMMYFUNCTION("""COMPUTED_VALUE"""),0.3391528768787005)</f>
        <v>0.3391528769</v>
      </c>
      <c r="E1859" s="5">
        <f>IFERROR(__xludf.DUMMYFUNCTION("""COMPUTED_VALUE"""),0.133495268458074)</f>
        <v>0.1334952685</v>
      </c>
      <c r="F1859" s="5">
        <f>IFERROR(__xludf.DUMMYFUNCTION("""COMPUTED_VALUE"""),0.20327918627599817)</f>
        <v>0.2032791863</v>
      </c>
      <c r="G1859" s="5">
        <f>IFERROR(__xludf.DUMMYFUNCTION("""COMPUTED_VALUE"""),0.16598350285916705)</f>
        <v>0.1659835029</v>
      </c>
      <c r="H1859" s="5">
        <f>IFERROR(__xludf.DUMMYFUNCTION("""COMPUTED_VALUE"""),0.5904904157331342)</f>
        <v>0.5904904157</v>
      </c>
      <c r="I1859" s="11">
        <f>IFERROR(__xludf.DUMMYFUNCTION("""COMPUTED_VALUE"""),5716.430171769977)</f>
        <v>5716.430172</v>
      </c>
      <c r="J1859" s="10">
        <f>IFERROR(__xludf.DUMMYFUNCTION("""COMPUTED_VALUE"""),3.0)</f>
        <v>3</v>
      </c>
      <c r="K1859" s="5">
        <f>IFERROR(__xludf.DUMMYFUNCTION("""COMPUTED_VALUE"""),0.0016251354279523294)</f>
        <v>0.001625135428</v>
      </c>
      <c r="L1859" s="10">
        <f>IFERROR(__xludf.DUMMYFUNCTION("""COMPUTED_VALUE"""),1169.0)</f>
        <v>1169</v>
      </c>
      <c r="M1859" s="5">
        <f>IFERROR(__xludf.DUMMYFUNCTION("""COMPUTED_VALUE"""),0.633261105092091)</f>
        <v>0.6332611051</v>
      </c>
    </row>
    <row r="1860">
      <c r="A1860" s="10" t="str">
        <f>IFERROR(__xludf.DUMMYFUNCTION("""COMPUTED_VALUE"""),"あいだて")</f>
        <v>あいだて</v>
      </c>
      <c r="B1860" s="10">
        <f>IFERROR(__xludf.DUMMYFUNCTION("""COMPUTED_VALUE"""),2693.0)</f>
        <v>2693</v>
      </c>
      <c r="C1860" s="10">
        <f>IFERROR(__xludf.DUMMYFUNCTION("""COMPUTED_VALUE"""),31294.0)</f>
        <v>31294</v>
      </c>
      <c r="D1860" s="5">
        <f>IFERROR(__xludf.DUMMYFUNCTION("""COMPUTED_VALUE"""),0.36732981364287964)</f>
        <v>0.3673298136</v>
      </c>
      <c r="E1860" s="5">
        <f>IFERROR(__xludf.DUMMYFUNCTION("""COMPUTED_VALUE"""),0.13349183594979197)</f>
        <v>0.1334918359</v>
      </c>
      <c r="F1860" s="5">
        <f>IFERROR(__xludf.DUMMYFUNCTION("""COMPUTED_VALUE"""),0.21306947309534632)</f>
        <v>0.2130694731</v>
      </c>
      <c r="G1860" s="5">
        <f>IFERROR(__xludf.DUMMYFUNCTION("""COMPUTED_VALUE"""),0.18093772945001924)</f>
        <v>0.1809377295</v>
      </c>
      <c r="H1860" s="5">
        <f>IFERROR(__xludf.DUMMYFUNCTION("""COMPUTED_VALUE"""),0.5932064325566131)</f>
        <v>0.5932064326</v>
      </c>
      <c r="I1860" s="11">
        <f>IFERROR(__xludf.DUMMYFUNCTION("""COMPUTED_VALUE"""),5754.90646537578)</f>
        <v>5754.906465</v>
      </c>
      <c r="J1860" s="10">
        <f>IFERROR(__xludf.DUMMYFUNCTION("""COMPUTED_VALUE"""),5.0)</f>
        <v>5</v>
      </c>
      <c r="K1860" s="5">
        <f>IFERROR(__xludf.DUMMYFUNCTION("""COMPUTED_VALUE"""),0.001856665428889714)</f>
        <v>0.001856665429</v>
      </c>
      <c r="L1860" s="10">
        <f>IFERROR(__xludf.DUMMYFUNCTION("""COMPUTED_VALUE"""),2692.0)</f>
        <v>2692</v>
      </c>
      <c r="M1860" s="5">
        <f>IFERROR(__xludf.DUMMYFUNCTION("""COMPUTED_VALUE"""),0.999628666914222)</f>
        <v>0.9996286669</v>
      </c>
    </row>
    <row r="1861">
      <c r="A1861" s="10" t="str">
        <f>IFERROR(__xludf.DUMMYFUNCTION("""COMPUTED_VALUE"""),"白い粉")</f>
        <v>白い粉</v>
      </c>
      <c r="B1861" s="10">
        <f>IFERROR(__xludf.DUMMYFUNCTION("""COMPUTED_VALUE"""),230.0)</f>
        <v>230</v>
      </c>
      <c r="C1861" s="10">
        <f>IFERROR(__xludf.DUMMYFUNCTION("""COMPUTED_VALUE"""),2695.0)</f>
        <v>2695</v>
      </c>
      <c r="D1861" s="5">
        <f>IFERROR(__xludf.DUMMYFUNCTION("""COMPUTED_VALUE"""),0.3947261663286004)</f>
        <v>0.3947261663</v>
      </c>
      <c r="E1861" s="5">
        <f>IFERROR(__xludf.DUMMYFUNCTION("""COMPUTED_VALUE"""),0.1334685598377282)</f>
        <v>0.1334685598</v>
      </c>
      <c r="F1861" s="5">
        <f>IFERROR(__xludf.DUMMYFUNCTION("""COMPUTED_VALUE"""),0.20649087221095336)</f>
        <v>0.2064908722</v>
      </c>
      <c r="G1861" s="5">
        <f>IFERROR(__xludf.DUMMYFUNCTION("""COMPUTED_VALUE"""),0.17565922920892496)</f>
        <v>0.1756592292</v>
      </c>
      <c r="H1861" s="5">
        <f>IFERROR(__xludf.DUMMYFUNCTION("""COMPUTED_VALUE"""),0.5972495088408645)</f>
        <v>0.5972495088</v>
      </c>
      <c r="I1861" s="11">
        <f>IFERROR(__xludf.DUMMYFUNCTION("""COMPUTED_VALUE"""),5487.229862475442)</f>
        <v>5487.229862</v>
      </c>
      <c r="J1861" s="10">
        <f>IFERROR(__xludf.DUMMYFUNCTION("""COMPUTED_VALUE"""),1.0)</f>
        <v>1</v>
      </c>
      <c r="K1861" s="5">
        <f>IFERROR(__xludf.DUMMYFUNCTION("""COMPUTED_VALUE"""),0.004347826086956522)</f>
        <v>0.004347826087</v>
      </c>
      <c r="L1861" s="10">
        <f>IFERROR(__xludf.DUMMYFUNCTION("""COMPUTED_VALUE"""),108.0)</f>
        <v>108</v>
      </c>
      <c r="M1861" s="5">
        <f>IFERROR(__xludf.DUMMYFUNCTION("""COMPUTED_VALUE"""),0.46956521739130436)</f>
        <v>0.4695652174</v>
      </c>
    </row>
    <row r="1862">
      <c r="A1862" s="10" t="str">
        <f>IFERROR(__xludf.DUMMYFUNCTION("""COMPUTED_VALUE"""),"アイマール21")</f>
        <v>アイマール21</v>
      </c>
      <c r="B1862" s="10">
        <f>IFERROR(__xludf.DUMMYFUNCTION("""COMPUTED_VALUE"""),241.0)</f>
        <v>241</v>
      </c>
      <c r="C1862" s="10">
        <f>IFERROR(__xludf.DUMMYFUNCTION("""COMPUTED_VALUE"""),2751.0)</f>
        <v>2751</v>
      </c>
      <c r="D1862" s="5">
        <f>IFERROR(__xludf.DUMMYFUNCTION("""COMPUTED_VALUE"""),0.40278884462151393)</f>
        <v>0.4027888446</v>
      </c>
      <c r="E1862" s="5">
        <f>IFERROR(__xludf.DUMMYFUNCTION("""COMPUTED_VALUE"""),0.13346613545816732)</f>
        <v>0.1334661355</v>
      </c>
      <c r="F1862" s="5">
        <f>IFERROR(__xludf.DUMMYFUNCTION("""COMPUTED_VALUE"""),0.23266932270916335)</f>
        <v>0.2326693227</v>
      </c>
      <c r="G1862" s="5">
        <f>IFERROR(__xludf.DUMMYFUNCTION("""COMPUTED_VALUE"""),0.18167330677290836)</f>
        <v>0.1816733068</v>
      </c>
      <c r="H1862" s="5">
        <f>IFERROR(__xludf.DUMMYFUNCTION("""COMPUTED_VALUE"""),0.6147260273972602)</f>
        <v>0.6147260274</v>
      </c>
      <c r="I1862" s="11">
        <f>IFERROR(__xludf.DUMMYFUNCTION("""COMPUTED_VALUE"""),5013.869863013699)</f>
        <v>5013.869863</v>
      </c>
      <c r="J1862" s="10">
        <f>IFERROR(__xludf.DUMMYFUNCTION("""COMPUTED_VALUE"""),0.0)</f>
        <v>0</v>
      </c>
      <c r="K1862" s="5">
        <f>IFERROR(__xludf.DUMMYFUNCTION("""COMPUTED_VALUE"""),0.0)</f>
        <v>0</v>
      </c>
      <c r="L1862" s="10">
        <f>IFERROR(__xludf.DUMMYFUNCTION("""COMPUTED_VALUE"""),241.0)</f>
        <v>241</v>
      </c>
      <c r="M1862" s="5">
        <f>IFERROR(__xludf.DUMMYFUNCTION("""COMPUTED_VALUE"""),1.0)</f>
        <v>1</v>
      </c>
    </row>
    <row r="1863">
      <c r="A1863" s="10" t="str">
        <f>IFERROR(__xludf.DUMMYFUNCTION("""COMPUTED_VALUE"""),"危脳丸")</f>
        <v>危脳丸</v>
      </c>
      <c r="B1863" s="10">
        <f>IFERROR(__xludf.DUMMYFUNCTION("""COMPUTED_VALUE"""),507.0)</f>
        <v>507</v>
      </c>
      <c r="C1863" s="10">
        <f>IFERROR(__xludf.DUMMYFUNCTION("""COMPUTED_VALUE"""),5895.0)</f>
        <v>5895</v>
      </c>
      <c r="D1863" s="5">
        <f>IFERROR(__xludf.DUMMYFUNCTION("""COMPUTED_VALUE"""),0.339086859688196)</f>
        <v>0.3390868597</v>
      </c>
      <c r="E1863" s="5">
        <f>IFERROR(__xludf.DUMMYFUNCTION("""COMPUTED_VALUE"""),0.13344469190794359)</f>
        <v>0.1334446919</v>
      </c>
      <c r="F1863" s="5">
        <f>IFERROR(__xludf.DUMMYFUNCTION("""COMPUTED_VALUE"""),0.21770601336302894)</f>
        <v>0.2177060134</v>
      </c>
      <c r="G1863" s="5">
        <f>IFERROR(__xludf.DUMMYFUNCTION("""COMPUTED_VALUE"""),0.1564587973273942)</f>
        <v>0.1564587973</v>
      </c>
      <c r="H1863" s="5">
        <f>IFERROR(__xludf.DUMMYFUNCTION("""COMPUTED_VALUE"""),0.59846547314578)</f>
        <v>0.5984654731</v>
      </c>
      <c r="I1863" s="11">
        <f>IFERROR(__xludf.DUMMYFUNCTION("""COMPUTED_VALUE"""),5761.381074168798)</f>
        <v>5761.381074</v>
      </c>
      <c r="J1863" s="10">
        <f>IFERROR(__xludf.DUMMYFUNCTION("""COMPUTED_VALUE"""),2.0)</f>
        <v>2</v>
      </c>
      <c r="K1863" s="5">
        <f>IFERROR(__xludf.DUMMYFUNCTION("""COMPUTED_VALUE"""),0.0039447731755424065)</f>
        <v>0.003944773176</v>
      </c>
      <c r="L1863" s="10">
        <f>IFERROR(__xludf.DUMMYFUNCTION("""COMPUTED_VALUE"""),507.0)</f>
        <v>507</v>
      </c>
      <c r="M1863" s="5">
        <f>IFERROR(__xludf.DUMMYFUNCTION("""COMPUTED_VALUE"""),1.0)</f>
        <v>1</v>
      </c>
    </row>
    <row r="1864">
      <c r="A1864" s="10" t="str">
        <f>IFERROR(__xludf.DUMMYFUNCTION("""COMPUTED_VALUE"""),"Mkrtr")</f>
        <v>Mkrtr</v>
      </c>
      <c r="B1864" s="10">
        <f>IFERROR(__xludf.DUMMYFUNCTION("""COMPUTED_VALUE"""),1198.0)</f>
        <v>1198</v>
      </c>
      <c r="C1864" s="10">
        <f>IFERROR(__xludf.DUMMYFUNCTION("""COMPUTED_VALUE"""),13983.0)</f>
        <v>13983</v>
      </c>
      <c r="D1864" s="5">
        <f>IFERROR(__xludf.DUMMYFUNCTION("""COMPUTED_VALUE"""),0.3342980054751662)</f>
        <v>0.3342980055</v>
      </c>
      <c r="E1864" s="5">
        <f>IFERROR(__xludf.DUMMYFUNCTION("""COMPUTED_VALUE"""),0.13343762221353148)</f>
        <v>0.1334376222</v>
      </c>
      <c r="F1864" s="5">
        <f>IFERROR(__xludf.DUMMYFUNCTION("""COMPUTED_VALUE"""),0.20962064919827925)</f>
        <v>0.2096206492</v>
      </c>
      <c r="G1864" s="5">
        <f>IFERROR(__xludf.DUMMYFUNCTION("""COMPUTED_VALUE"""),0.2019554165037153)</f>
        <v>0.2019554165</v>
      </c>
      <c r="H1864" s="5">
        <f>IFERROR(__xludf.DUMMYFUNCTION("""COMPUTED_VALUE"""),0.5832089552238806)</f>
        <v>0.5832089552</v>
      </c>
      <c r="I1864" s="11">
        <f>IFERROR(__xludf.DUMMYFUNCTION("""COMPUTED_VALUE"""),5756.940298507463)</f>
        <v>5756.940299</v>
      </c>
      <c r="J1864" s="10">
        <f>IFERROR(__xludf.DUMMYFUNCTION("""COMPUTED_VALUE"""),3.0)</f>
        <v>3</v>
      </c>
      <c r="K1864" s="5">
        <f>IFERROR(__xludf.DUMMYFUNCTION("""COMPUTED_VALUE"""),0.0025041736227045075)</f>
        <v>0.002504173623</v>
      </c>
      <c r="L1864" s="10">
        <f>IFERROR(__xludf.DUMMYFUNCTION("""COMPUTED_VALUE"""),1198.0)</f>
        <v>1198</v>
      </c>
      <c r="M1864" s="5">
        <f>IFERROR(__xludf.DUMMYFUNCTION("""COMPUTED_VALUE"""),1.0)</f>
        <v>1</v>
      </c>
    </row>
    <row r="1865">
      <c r="A1865" s="10" t="str">
        <f>IFERROR(__xludf.DUMMYFUNCTION("""COMPUTED_VALUE"""),"目標Ｒ２１００♪")</f>
        <v>目標Ｒ２１００♪</v>
      </c>
      <c r="B1865" s="10">
        <f>IFERROR(__xludf.DUMMYFUNCTION("""COMPUTED_VALUE"""),524.0)</f>
        <v>524</v>
      </c>
      <c r="C1865" s="10">
        <f>IFERROR(__xludf.DUMMYFUNCTION("""COMPUTED_VALUE"""),6070.0)</f>
        <v>6070</v>
      </c>
      <c r="D1865" s="5">
        <f>IFERROR(__xludf.DUMMYFUNCTION("""COMPUTED_VALUE"""),0.3836999639379733)</f>
        <v>0.3836999639</v>
      </c>
      <c r="E1865" s="5">
        <f>IFERROR(__xludf.DUMMYFUNCTION("""COMPUTED_VALUE"""),0.13342949873782906)</f>
        <v>0.1334294987</v>
      </c>
      <c r="F1865" s="5">
        <f>IFERROR(__xludf.DUMMYFUNCTION("""COMPUTED_VALUE"""),0.2266498377208799)</f>
        <v>0.2266498377</v>
      </c>
      <c r="G1865" s="5">
        <f>IFERROR(__xludf.DUMMYFUNCTION("""COMPUTED_VALUE"""),0.1552470248827984)</f>
        <v>0.1552470249</v>
      </c>
      <c r="H1865" s="5">
        <f>IFERROR(__xludf.DUMMYFUNCTION("""COMPUTED_VALUE"""),0.5966587112171837)</f>
        <v>0.5966587112</v>
      </c>
      <c r="I1865" s="11">
        <f>IFERROR(__xludf.DUMMYFUNCTION("""COMPUTED_VALUE"""),5266.109785202864)</f>
        <v>5266.109785</v>
      </c>
      <c r="J1865" s="10">
        <f>IFERROR(__xludf.DUMMYFUNCTION("""COMPUTED_VALUE"""),2.0)</f>
        <v>2</v>
      </c>
      <c r="K1865" s="5">
        <f>IFERROR(__xludf.DUMMYFUNCTION("""COMPUTED_VALUE"""),0.003816793893129771)</f>
        <v>0.003816793893</v>
      </c>
      <c r="L1865" s="10">
        <f>IFERROR(__xludf.DUMMYFUNCTION("""COMPUTED_VALUE"""),435.0)</f>
        <v>435</v>
      </c>
      <c r="M1865" s="5">
        <f>IFERROR(__xludf.DUMMYFUNCTION("""COMPUTED_VALUE"""),0.8301526717557252)</f>
        <v>0.8301526718</v>
      </c>
    </row>
    <row r="1866">
      <c r="A1866" s="10" t="str">
        <f>IFERROR(__xludf.DUMMYFUNCTION("""COMPUTED_VALUE"""),"Martos")</f>
        <v>Martos</v>
      </c>
      <c r="B1866" s="10">
        <f>IFERROR(__xludf.DUMMYFUNCTION("""COMPUTED_VALUE"""),134.0)</f>
        <v>134</v>
      </c>
      <c r="C1866" s="10">
        <f>IFERROR(__xludf.DUMMYFUNCTION("""COMPUTED_VALUE"""),1558.0)</f>
        <v>1558</v>
      </c>
      <c r="D1866" s="5">
        <f>IFERROR(__xludf.DUMMYFUNCTION("""COMPUTED_VALUE"""),0.24578651685393257)</f>
        <v>0.2457865169</v>
      </c>
      <c r="E1866" s="5">
        <f>IFERROR(__xludf.DUMMYFUNCTION("""COMPUTED_VALUE"""),0.13342696629213482)</f>
        <v>0.1334269663</v>
      </c>
      <c r="F1866" s="5">
        <f>IFERROR(__xludf.DUMMYFUNCTION("""COMPUTED_VALUE"""),0.2050561797752809)</f>
        <v>0.2050561798</v>
      </c>
      <c r="G1866" s="5">
        <f>IFERROR(__xludf.DUMMYFUNCTION("""COMPUTED_VALUE"""),0.1580056179775281)</f>
        <v>0.158005618</v>
      </c>
      <c r="H1866" s="5">
        <f>IFERROR(__xludf.DUMMYFUNCTION("""COMPUTED_VALUE"""),0.5513698630136986)</f>
        <v>0.551369863</v>
      </c>
      <c r="I1866" s="11">
        <f>IFERROR(__xludf.DUMMYFUNCTION("""COMPUTED_VALUE"""),6613.698630136986)</f>
        <v>6613.69863</v>
      </c>
      <c r="J1866" s="10">
        <f>IFERROR(__xludf.DUMMYFUNCTION("""COMPUTED_VALUE"""),0.0)</f>
        <v>0</v>
      </c>
      <c r="K1866" s="5">
        <f>IFERROR(__xludf.DUMMYFUNCTION("""COMPUTED_VALUE"""),0.0)</f>
        <v>0</v>
      </c>
      <c r="L1866" s="10">
        <f>IFERROR(__xludf.DUMMYFUNCTION("""COMPUTED_VALUE"""),134.0)</f>
        <v>134</v>
      </c>
      <c r="M1866" s="5">
        <f>IFERROR(__xludf.DUMMYFUNCTION("""COMPUTED_VALUE"""),1.0)</f>
        <v>1</v>
      </c>
    </row>
    <row r="1867">
      <c r="A1867" s="10" t="str">
        <f>IFERROR(__xludf.DUMMYFUNCTION("""COMPUTED_VALUE"""),"沖２９")</f>
        <v>沖２９</v>
      </c>
      <c r="B1867" s="10">
        <f>IFERROR(__xludf.DUMMYFUNCTION("""COMPUTED_VALUE"""),3812.0)</f>
        <v>3812</v>
      </c>
      <c r="C1867" s="10">
        <f>IFERROR(__xludf.DUMMYFUNCTION("""COMPUTED_VALUE"""),44486.0)</f>
        <v>44486</v>
      </c>
      <c r="D1867" s="5">
        <f>IFERROR(__xludf.DUMMYFUNCTION("""COMPUTED_VALUE"""),0.3490436150858042)</f>
        <v>0.3490436151</v>
      </c>
      <c r="E1867" s="5">
        <f>IFERROR(__xludf.DUMMYFUNCTION("""COMPUTED_VALUE"""),0.13342675910901314)</f>
        <v>0.1334267591</v>
      </c>
      <c r="F1867" s="5">
        <f>IFERROR(__xludf.DUMMYFUNCTION("""COMPUTED_VALUE"""),0.21495304125485568)</f>
        <v>0.2149530413</v>
      </c>
      <c r="G1867" s="5">
        <f>IFERROR(__xludf.DUMMYFUNCTION("""COMPUTED_VALUE"""),0.17082165511137337)</f>
        <v>0.1708216551</v>
      </c>
      <c r="H1867" s="5">
        <f>IFERROR(__xludf.DUMMYFUNCTION("""COMPUTED_VALUE"""),0.6018529109001487)</f>
        <v>0.6018529109</v>
      </c>
      <c r="I1867" s="11">
        <f>IFERROR(__xludf.DUMMYFUNCTION("""COMPUTED_VALUE"""),5751.812878874528)</f>
        <v>5751.812879</v>
      </c>
      <c r="J1867" s="10">
        <f>IFERROR(__xludf.DUMMYFUNCTION("""COMPUTED_VALUE"""),10.0)</f>
        <v>10</v>
      </c>
      <c r="K1867" s="5">
        <f>IFERROR(__xludf.DUMMYFUNCTION("""COMPUTED_VALUE"""),0.0026232948583420775)</f>
        <v>0.002623294858</v>
      </c>
      <c r="L1867" s="10">
        <f>IFERROR(__xludf.DUMMYFUNCTION("""COMPUTED_VALUE"""),3811.0)</f>
        <v>3811</v>
      </c>
      <c r="M1867" s="5">
        <f>IFERROR(__xludf.DUMMYFUNCTION("""COMPUTED_VALUE"""),0.9997376705141658)</f>
        <v>0.9997376705</v>
      </c>
    </row>
    <row r="1868">
      <c r="A1868" s="10" t="str">
        <f>IFERROR(__xludf.DUMMYFUNCTION("""COMPUTED_VALUE"""),"光帝タキオン")</f>
        <v>光帝タキオン</v>
      </c>
      <c r="B1868" s="10">
        <f>IFERROR(__xludf.DUMMYFUNCTION("""COMPUTED_VALUE"""),733.0)</f>
        <v>733</v>
      </c>
      <c r="C1868" s="10">
        <f>IFERROR(__xludf.DUMMYFUNCTION("""COMPUTED_VALUE"""),8558.0)</f>
        <v>8558</v>
      </c>
      <c r="D1868" s="5">
        <f>IFERROR(__xludf.DUMMYFUNCTION("""COMPUTED_VALUE"""),0.3419808306709265)</f>
        <v>0.3419808307</v>
      </c>
      <c r="E1868" s="5">
        <f>IFERROR(__xludf.DUMMYFUNCTION("""COMPUTED_VALUE"""),0.1334185303514377)</f>
        <v>0.1334185304</v>
      </c>
      <c r="F1868" s="5">
        <f>IFERROR(__xludf.DUMMYFUNCTION("""COMPUTED_VALUE"""),0.2242811501597444)</f>
        <v>0.2242811502</v>
      </c>
      <c r="G1868" s="5">
        <f>IFERROR(__xludf.DUMMYFUNCTION("""COMPUTED_VALUE"""),0.214185303514377)</f>
        <v>0.2141853035</v>
      </c>
      <c r="H1868" s="5">
        <f>IFERROR(__xludf.DUMMYFUNCTION("""COMPUTED_VALUE"""),0.6028490028490029)</f>
        <v>0.6028490028</v>
      </c>
      <c r="I1868" s="11">
        <f>IFERROR(__xludf.DUMMYFUNCTION("""COMPUTED_VALUE"""),5476.809116809117)</f>
        <v>5476.809117</v>
      </c>
      <c r="J1868" s="10">
        <f>IFERROR(__xludf.DUMMYFUNCTION("""COMPUTED_VALUE"""),0.0)</f>
        <v>0</v>
      </c>
      <c r="K1868" s="5">
        <f>IFERROR(__xludf.DUMMYFUNCTION("""COMPUTED_VALUE"""),0.0)</f>
        <v>0</v>
      </c>
      <c r="L1868" s="10">
        <f>IFERROR(__xludf.DUMMYFUNCTION("""COMPUTED_VALUE"""),731.0)</f>
        <v>731</v>
      </c>
      <c r="M1868" s="5">
        <f>IFERROR(__xludf.DUMMYFUNCTION("""COMPUTED_VALUE"""),0.9972714870395635)</f>
        <v>0.997271487</v>
      </c>
    </row>
    <row r="1869">
      <c r="A1869" s="10" t="str">
        <f>IFERROR(__xludf.DUMMYFUNCTION("""COMPUTED_VALUE"""),"ゼンツァーフォー")</f>
        <v>ゼンツァーフォー</v>
      </c>
      <c r="B1869" s="10">
        <f>IFERROR(__xludf.DUMMYFUNCTION("""COMPUTED_VALUE"""),1142.0)</f>
        <v>1142</v>
      </c>
      <c r="C1869" s="10">
        <f>IFERROR(__xludf.DUMMYFUNCTION("""COMPUTED_VALUE"""),13217.0)</f>
        <v>13217</v>
      </c>
      <c r="D1869" s="5">
        <f>IFERROR(__xludf.DUMMYFUNCTION("""COMPUTED_VALUE"""),0.34062111801242234)</f>
        <v>0.340621118</v>
      </c>
      <c r="E1869" s="5">
        <f>IFERROR(__xludf.DUMMYFUNCTION("""COMPUTED_VALUE"""),0.13341614906832297)</f>
        <v>0.1334161491</v>
      </c>
      <c r="F1869" s="5">
        <f>IFERROR(__xludf.DUMMYFUNCTION("""COMPUTED_VALUE"""),0.20960662525879917)</f>
        <v>0.2096066253</v>
      </c>
      <c r="G1869" s="5">
        <f>IFERROR(__xludf.DUMMYFUNCTION("""COMPUTED_VALUE"""),0.17747412008281574)</f>
        <v>0.1774741201</v>
      </c>
      <c r="H1869" s="5">
        <f>IFERROR(__xludf.DUMMYFUNCTION("""COMPUTED_VALUE"""),0.5966021335440538)</f>
        <v>0.5966021335</v>
      </c>
      <c r="I1869" s="11">
        <f>IFERROR(__xludf.DUMMYFUNCTION("""COMPUTED_VALUE"""),5444.0932437771635)</f>
        <v>5444.093244</v>
      </c>
      <c r="J1869" s="10">
        <f>IFERROR(__xludf.DUMMYFUNCTION("""COMPUTED_VALUE"""),3.0)</f>
        <v>3</v>
      </c>
      <c r="K1869" s="5">
        <f>IFERROR(__xludf.DUMMYFUNCTION("""COMPUTED_VALUE"""),0.002626970227670753)</f>
        <v>0.002626970228</v>
      </c>
      <c r="L1869" s="10">
        <f>IFERROR(__xludf.DUMMYFUNCTION("""COMPUTED_VALUE"""),1142.0)</f>
        <v>1142</v>
      </c>
      <c r="M1869" s="5">
        <f>IFERROR(__xludf.DUMMYFUNCTION("""COMPUTED_VALUE"""),1.0)</f>
        <v>1</v>
      </c>
    </row>
    <row r="1870">
      <c r="A1870" s="10" t="str">
        <f>IFERROR(__xludf.DUMMYFUNCTION("""COMPUTED_VALUE"""),"愛宕ネキ。")</f>
        <v>愛宕ネキ。</v>
      </c>
      <c r="B1870" s="10">
        <f>IFERROR(__xludf.DUMMYFUNCTION("""COMPUTED_VALUE"""),383.0)</f>
        <v>383</v>
      </c>
      <c r="C1870" s="10">
        <f>IFERROR(__xludf.DUMMYFUNCTION("""COMPUTED_VALUE"""),4491.0)</f>
        <v>4491</v>
      </c>
      <c r="D1870" s="5">
        <f>IFERROR(__xludf.DUMMYFUNCTION("""COMPUTED_VALUE"""),0.3870496592015579)</f>
        <v>0.3870496592</v>
      </c>
      <c r="E1870" s="5">
        <f>IFERROR(__xludf.DUMMYFUNCTION("""COMPUTED_VALUE"""),0.13339824732229796)</f>
        <v>0.1333982473</v>
      </c>
      <c r="F1870" s="5">
        <f>IFERROR(__xludf.DUMMYFUNCTION("""COMPUTED_VALUE"""),0.21299902629016554)</f>
        <v>0.2129990263</v>
      </c>
      <c r="G1870" s="5">
        <f>IFERROR(__xludf.DUMMYFUNCTION("""COMPUTED_VALUE"""),0.17916260954235638)</f>
        <v>0.1791626095</v>
      </c>
      <c r="H1870" s="5">
        <f>IFERROR(__xludf.DUMMYFUNCTION("""COMPUTED_VALUE"""),0.5965714285714285)</f>
        <v>0.5965714286</v>
      </c>
      <c r="I1870" s="11">
        <f>IFERROR(__xludf.DUMMYFUNCTION("""COMPUTED_VALUE"""),5445.028571428571)</f>
        <v>5445.028571</v>
      </c>
      <c r="J1870" s="10">
        <f>IFERROR(__xludf.DUMMYFUNCTION("""COMPUTED_VALUE"""),0.0)</f>
        <v>0</v>
      </c>
      <c r="K1870" s="5">
        <f>IFERROR(__xludf.DUMMYFUNCTION("""COMPUTED_VALUE"""),0.0)</f>
        <v>0</v>
      </c>
      <c r="L1870" s="10">
        <f>IFERROR(__xludf.DUMMYFUNCTION("""COMPUTED_VALUE"""),373.0)</f>
        <v>373</v>
      </c>
      <c r="M1870" s="5">
        <f>IFERROR(__xludf.DUMMYFUNCTION("""COMPUTED_VALUE"""),0.9738903394255874)</f>
        <v>0.9738903394</v>
      </c>
    </row>
    <row r="1871">
      <c r="A1871" s="10" t="str">
        <f>IFERROR(__xludf.DUMMYFUNCTION("""COMPUTED_VALUE"""),"call3")</f>
        <v>call3</v>
      </c>
      <c r="B1871" s="10">
        <f>IFERROR(__xludf.DUMMYFUNCTION("""COMPUTED_VALUE"""),468.0)</f>
        <v>468</v>
      </c>
      <c r="C1871" s="10">
        <f>IFERROR(__xludf.DUMMYFUNCTION("""COMPUTED_VALUE"""),5514.0)</f>
        <v>5514</v>
      </c>
      <c r="D1871" s="5">
        <f>IFERROR(__xludf.DUMMYFUNCTION("""COMPUTED_VALUE"""),0.37316686484344036)</f>
        <v>0.3731668648</v>
      </c>
      <c r="E1871" s="5">
        <f>IFERROR(__xludf.DUMMYFUNCTION("""COMPUTED_VALUE"""),0.13337296868806975)</f>
        <v>0.1333729687</v>
      </c>
      <c r="F1871" s="5">
        <f>IFERROR(__xludf.DUMMYFUNCTION("""COMPUTED_VALUE"""),0.2090764962346413)</f>
        <v>0.2090764962</v>
      </c>
      <c r="G1871" s="5">
        <f>IFERROR(__xludf.DUMMYFUNCTION("""COMPUTED_VALUE"""),0.17538644470868014)</f>
        <v>0.1753864447</v>
      </c>
      <c r="H1871" s="5">
        <f>IFERROR(__xludf.DUMMYFUNCTION("""COMPUTED_VALUE"""),0.5848341232227489)</f>
        <v>0.5848341232</v>
      </c>
      <c r="I1871" s="11">
        <f>IFERROR(__xludf.DUMMYFUNCTION("""COMPUTED_VALUE"""),5681.137440758293)</f>
        <v>5681.137441</v>
      </c>
      <c r="J1871" s="10">
        <f>IFERROR(__xludf.DUMMYFUNCTION("""COMPUTED_VALUE"""),1.0)</f>
        <v>1</v>
      </c>
      <c r="K1871" s="5">
        <f>IFERROR(__xludf.DUMMYFUNCTION("""COMPUTED_VALUE"""),0.002136752136752137)</f>
        <v>0.002136752137</v>
      </c>
      <c r="L1871" s="10">
        <f>IFERROR(__xludf.DUMMYFUNCTION("""COMPUTED_VALUE"""),468.0)</f>
        <v>468</v>
      </c>
      <c r="M1871" s="5">
        <f>IFERROR(__xludf.DUMMYFUNCTION("""COMPUTED_VALUE"""),1.0)</f>
        <v>1</v>
      </c>
    </row>
    <row r="1872">
      <c r="A1872" s="10" t="str">
        <f>IFERROR(__xludf.DUMMYFUNCTION("""COMPUTED_VALUE"""),"五ひゃぐえん")</f>
        <v>五ひゃぐえん</v>
      </c>
      <c r="B1872" s="10">
        <f>IFERROR(__xludf.DUMMYFUNCTION("""COMPUTED_VALUE"""),2671.0)</f>
        <v>2671</v>
      </c>
      <c r="C1872" s="10">
        <f>IFERROR(__xludf.DUMMYFUNCTION("""COMPUTED_VALUE"""),31253.0)</f>
        <v>31253</v>
      </c>
      <c r="D1872" s="5">
        <f>IFERROR(__xludf.DUMMYFUNCTION("""COMPUTED_VALUE"""),0.29899937023301376)</f>
        <v>0.2989993702</v>
      </c>
      <c r="E1872" s="5">
        <f>IFERROR(__xludf.DUMMYFUNCTION("""COMPUTED_VALUE"""),0.13337065285844238)</f>
        <v>0.1333706529</v>
      </c>
      <c r="F1872" s="5">
        <f>IFERROR(__xludf.DUMMYFUNCTION("""COMPUTED_VALUE"""),0.21450563291582114)</f>
        <v>0.2145056329</v>
      </c>
      <c r="G1872" s="5">
        <f>IFERROR(__xludf.DUMMYFUNCTION("""COMPUTED_VALUE"""),0.1724162060037786)</f>
        <v>0.172416206</v>
      </c>
      <c r="H1872" s="5">
        <f>IFERROR(__xludf.DUMMYFUNCTION("""COMPUTED_VALUE"""),0.5928885989235035)</f>
        <v>0.5928885989</v>
      </c>
      <c r="I1872" s="11">
        <f>IFERROR(__xludf.DUMMYFUNCTION("""COMPUTED_VALUE"""),5649.665633664981)</f>
        <v>5649.665634</v>
      </c>
      <c r="J1872" s="10">
        <f>IFERROR(__xludf.DUMMYFUNCTION("""COMPUTED_VALUE"""),4.0)</f>
        <v>4</v>
      </c>
      <c r="K1872" s="5">
        <f>IFERROR(__xludf.DUMMYFUNCTION("""COMPUTED_VALUE"""),0.001497566454511419)</f>
        <v>0.001497566455</v>
      </c>
      <c r="L1872" s="10">
        <f>IFERROR(__xludf.DUMMYFUNCTION("""COMPUTED_VALUE"""),2671.0)</f>
        <v>2671</v>
      </c>
      <c r="M1872" s="5">
        <f>IFERROR(__xludf.DUMMYFUNCTION("""COMPUTED_VALUE"""),1.0)</f>
        <v>1</v>
      </c>
    </row>
    <row r="1873">
      <c r="A1873" s="10" t="str">
        <f>IFERROR(__xludf.DUMMYFUNCTION("""COMPUTED_VALUE"""),"麻雀世界")</f>
        <v>麻雀世界</v>
      </c>
      <c r="B1873" s="10">
        <f>IFERROR(__xludf.DUMMYFUNCTION("""COMPUTED_VALUE"""),2097.0)</f>
        <v>2097</v>
      </c>
      <c r="C1873" s="10">
        <f>IFERROR(__xludf.DUMMYFUNCTION("""COMPUTED_VALUE"""),24880.0)</f>
        <v>24880</v>
      </c>
      <c r="D1873" s="5">
        <f>IFERROR(__xludf.DUMMYFUNCTION("""COMPUTED_VALUE"""),0.3567133388930343)</f>
        <v>0.3567133389</v>
      </c>
      <c r="E1873" s="5">
        <f>IFERROR(__xludf.DUMMYFUNCTION("""COMPUTED_VALUE"""),0.13334503796690514)</f>
        <v>0.133345038</v>
      </c>
      <c r="F1873" s="5">
        <f>IFERROR(__xludf.DUMMYFUNCTION("""COMPUTED_VALUE"""),0.2114734670587719)</f>
        <v>0.2114734671</v>
      </c>
      <c r="G1873" s="5">
        <f>IFERROR(__xludf.DUMMYFUNCTION("""COMPUTED_VALUE"""),0.1164464732475969)</f>
        <v>0.1164464732</v>
      </c>
      <c r="H1873" s="5">
        <f>IFERROR(__xludf.DUMMYFUNCTION("""COMPUTED_VALUE"""),0.6168534661685346)</f>
        <v>0.6168534662</v>
      </c>
      <c r="I1873" s="11">
        <f>IFERROR(__xludf.DUMMYFUNCTION("""COMPUTED_VALUE"""),5507.970112079701)</f>
        <v>5507.970112</v>
      </c>
      <c r="J1873" s="10">
        <f>IFERROR(__xludf.DUMMYFUNCTION("""COMPUTED_VALUE"""),1.0)</f>
        <v>1</v>
      </c>
      <c r="K1873" s="5">
        <f>IFERROR(__xludf.DUMMYFUNCTION("""COMPUTED_VALUE"""),4.768717215069146E-4)</f>
        <v>0.0004768717215</v>
      </c>
      <c r="L1873" s="10">
        <f>IFERROR(__xludf.DUMMYFUNCTION("""COMPUTED_VALUE"""),2097.0)</f>
        <v>2097</v>
      </c>
      <c r="M1873" s="5">
        <f>IFERROR(__xludf.DUMMYFUNCTION("""COMPUTED_VALUE"""),1.0)</f>
        <v>1</v>
      </c>
    </row>
    <row r="1874">
      <c r="A1874" s="10" t="str">
        <f>IFERROR(__xludf.DUMMYFUNCTION("""COMPUTED_VALUE"""),"gaina")</f>
        <v>gaina</v>
      </c>
      <c r="B1874" s="10">
        <f>IFERROR(__xludf.DUMMYFUNCTION("""COMPUTED_VALUE"""),1299.0)</f>
        <v>1299</v>
      </c>
      <c r="C1874" s="10">
        <f>IFERROR(__xludf.DUMMYFUNCTION("""COMPUTED_VALUE"""),15061.0)</f>
        <v>15061</v>
      </c>
      <c r="D1874" s="5">
        <f>IFERROR(__xludf.DUMMYFUNCTION("""COMPUTED_VALUE"""),0.3548902775759337)</f>
        <v>0.3548902776</v>
      </c>
      <c r="E1874" s="5">
        <f>IFERROR(__xludf.DUMMYFUNCTION("""COMPUTED_VALUE"""),0.1333381775904665)</f>
        <v>0.1333381776</v>
      </c>
      <c r="F1874" s="5">
        <f>IFERROR(__xludf.DUMMYFUNCTION("""COMPUTED_VALUE"""),0.2074553117279465)</f>
        <v>0.2074553117</v>
      </c>
      <c r="G1874" s="5">
        <f>IFERROR(__xludf.DUMMYFUNCTION("""COMPUTED_VALUE"""),0.18703676791164076)</f>
        <v>0.1870367679</v>
      </c>
      <c r="H1874" s="5">
        <f>IFERROR(__xludf.DUMMYFUNCTION("""COMPUTED_VALUE"""),0.590893169877408)</f>
        <v>0.5908931699</v>
      </c>
      <c r="I1874" s="11">
        <f>IFERROR(__xludf.DUMMYFUNCTION("""COMPUTED_VALUE"""),5721.926444833625)</f>
        <v>5721.926445</v>
      </c>
      <c r="J1874" s="10">
        <f>IFERROR(__xludf.DUMMYFUNCTION("""COMPUTED_VALUE"""),2.0)</f>
        <v>2</v>
      </c>
      <c r="K1874" s="5">
        <f>IFERROR(__xludf.DUMMYFUNCTION("""COMPUTED_VALUE"""),0.001539645881447267)</f>
        <v>0.001539645881</v>
      </c>
      <c r="L1874" s="10">
        <f>IFERROR(__xludf.DUMMYFUNCTION("""COMPUTED_VALUE"""),1299.0)</f>
        <v>1299</v>
      </c>
      <c r="M1874" s="5">
        <f>IFERROR(__xludf.DUMMYFUNCTION("""COMPUTED_VALUE"""),1.0)</f>
        <v>1</v>
      </c>
    </row>
    <row r="1875">
      <c r="A1875" s="10" t="str">
        <f>IFERROR(__xludf.DUMMYFUNCTION("""COMPUTED_VALUE"""),"xnhoxo")</f>
        <v>xnhoxo</v>
      </c>
      <c r="B1875" s="10">
        <f>IFERROR(__xludf.DUMMYFUNCTION("""COMPUTED_VALUE"""),197.0)</f>
        <v>197</v>
      </c>
      <c r="C1875" s="10">
        <f>IFERROR(__xludf.DUMMYFUNCTION("""COMPUTED_VALUE"""),2297.0)</f>
        <v>2297</v>
      </c>
      <c r="D1875" s="5">
        <f>IFERROR(__xludf.DUMMYFUNCTION("""COMPUTED_VALUE"""),0.33666666666666667)</f>
        <v>0.3366666667</v>
      </c>
      <c r="E1875" s="5">
        <f>IFERROR(__xludf.DUMMYFUNCTION("""COMPUTED_VALUE"""),0.13333333333333333)</f>
        <v>0.1333333333</v>
      </c>
      <c r="F1875" s="5">
        <f>IFERROR(__xludf.DUMMYFUNCTION("""COMPUTED_VALUE"""),0.2057142857142857)</f>
        <v>0.2057142857</v>
      </c>
      <c r="G1875" s="5">
        <f>IFERROR(__xludf.DUMMYFUNCTION("""COMPUTED_VALUE"""),0.20095238095238097)</f>
        <v>0.200952381</v>
      </c>
      <c r="H1875" s="5">
        <f>IFERROR(__xludf.DUMMYFUNCTION("""COMPUTED_VALUE"""),0.5555555555555556)</f>
        <v>0.5555555556</v>
      </c>
      <c r="I1875" s="11">
        <f>IFERROR(__xludf.DUMMYFUNCTION("""COMPUTED_VALUE"""),5897.916666666667)</f>
        <v>5897.916667</v>
      </c>
      <c r="J1875" s="10">
        <f>IFERROR(__xludf.DUMMYFUNCTION("""COMPUTED_VALUE"""),0.0)</f>
        <v>0</v>
      </c>
      <c r="K1875" s="5">
        <f>IFERROR(__xludf.DUMMYFUNCTION("""COMPUTED_VALUE"""),0.0)</f>
        <v>0</v>
      </c>
      <c r="L1875" s="10">
        <f>IFERROR(__xludf.DUMMYFUNCTION("""COMPUTED_VALUE"""),197.0)</f>
        <v>197</v>
      </c>
      <c r="M1875" s="5">
        <f>IFERROR(__xludf.DUMMYFUNCTION("""COMPUTED_VALUE"""),1.0)</f>
        <v>1</v>
      </c>
    </row>
    <row r="1876">
      <c r="A1876" s="10" t="str">
        <f>IFERROR(__xludf.DUMMYFUNCTION("""COMPUTED_VALUE"""),"たけおくん")</f>
        <v>たけおくん</v>
      </c>
      <c r="B1876" s="10">
        <f>IFERROR(__xludf.DUMMYFUNCTION("""COMPUTED_VALUE"""),102.0)</f>
        <v>102</v>
      </c>
      <c r="C1876" s="10">
        <f>IFERROR(__xludf.DUMMYFUNCTION("""COMPUTED_VALUE"""),1197.0)</f>
        <v>1197</v>
      </c>
      <c r="D1876" s="5">
        <f>IFERROR(__xludf.DUMMYFUNCTION("""COMPUTED_VALUE"""),0.2968036529680365)</f>
        <v>0.296803653</v>
      </c>
      <c r="E1876" s="5">
        <f>IFERROR(__xludf.DUMMYFUNCTION("""COMPUTED_VALUE"""),0.13333333333333333)</f>
        <v>0.1333333333</v>
      </c>
      <c r="F1876" s="5">
        <f>IFERROR(__xludf.DUMMYFUNCTION("""COMPUTED_VALUE"""),0.23835616438356164)</f>
        <v>0.2383561644</v>
      </c>
      <c r="G1876" s="5">
        <f>IFERROR(__xludf.DUMMYFUNCTION("""COMPUTED_VALUE"""),0.18812785388127853)</f>
        <v>0.1881278539</v>
      </c>
      <c r="H1876" s="5">
        <f>IFERROR(__xludf.DUMMYFUNCTION("""COMPUTED_VALUE"""),0.6053639846743295)</f>
        <v>0.6053639847</v>
      </c>
      <c r="I1876" s="11">
        <f>IFERROR(__xludf.DUMMYFUNCTION("""COMPUTED_VALUE"""),5371.6475095785445)</f>
        <v>5371.64751</v>
      </c>
      <c r="J1876" s="10">
        <f>IFERROR(__xludf.DUMMYFUNCTION("""COMPUTED_VALUE"""),0.0)</f>
        <v>0</v>
      </c>
      <c r="K1876" s="5">
        <f>IFERROR(__xludf.DUMMYFUNCTION("""COMPUTED_VALUE"""),0.0)</f>
        <v>0</v>
      </c>
      <c r="L1876" s="10">
        <f>IFERROR(__xludf.DUMMYFUNCTION("""COMPUTED_VALUE"""),102.0)</f>
        <v>102</v>
      </c>
      <c r="M1876" s="5">
        <f>IFERROR(__xludf.DUMMYFUNCTION("""COMPUTED_VALUE"""),1.0)</f>
        <v>1</v>
      </c>
    </row>
    <row r="1877">
      <c r="A1877" s="10" t="str">
        <f>IFERROR(__xludf.DUMMYFUNCTION("""COMPUTED_VALUE"""),"yuitty")</f>
        <v>yuitty</v>
      </c>
      <c r="B1877" s="10">
        <f>IFERROR(__xludf.DUMMYFUNCTION("""COMPUTED_VALUE"""),351.0)</f>
        <v>351</v>
      </c>
      <c r="C1877" s="10">
        <f>IFERROR(__xludf.DUMMYFUNCTION("""COMPUTED_VALUE"""),4101.0)</f>
        <v>4101</v>
      </c>
      <c r="D1877" s="5">
        <f>IFERROR(__xludf.DUMMYFUNCTION("""COMPUTED_VALUE"""),0.3656)</f>
        <v>0.3656</v>
      </c>
      <c r="E1877" s="5">
        <f>IFERROR(__xludf.DUMMYFUNCTION("""COMPUTED_VALUE"""),0.13333333333333333)</f>
        <v>0.1333333333</v>
      </c>
      <c r="F1877" s="5">
        <f>IFERROR(__xludf.DUMMYFUNCTION("""COMPUTED_VALUE"""),0.21333333333333335)</f>
        <v>0.2133333333</v>
      </c>
      <c r="G1877" s="5">
        <f>IFERROR(__xludf.DUMMYFUNCTION("""COMPUTED_VALUE"""),0.16506666666666667)</f>
        <v>0.1650666667</v>
      </c>
      <c r="H1877" s="5">
        <f>IFERROR(__xludf.DUMMYFUNCTION("""COMPUTED_VALUE"""),0.62)</f>
        <v>0.62</v>
      </c>
      <c r="I1877" s="11">
        <f>IFERROR(__xludf.DUMMYFUNCTION("""COMPUTED_VALUE"""),5580.125)</f>
        <v>5580.125</v>
      </c>
      <c r="J1877" s="10">
        <f>IFERROR(__xludf.DUMMYFUNCTION("""COMPUTED_VALUE"""),0.0)</f>
        <v>0</v>
      </c>
      <c r="K1877" s="5">
        <f>IFERROR(__xludf.DUMMYFUNCTION("""COMPUTED_VALUE"""),0.0)</f>
        <v>0</v>
      </c>
      <c r="L1877" s="10">
        <f>IFERROR(__xludf.DUMMYFUNCTION("""COMPUTED_VALUE"""),351.0)</f>
        <v>351</v>
      </c>
      <c r="M1877" s="5">
        <f>IFERROR(__xludf.DUMMYFUNCTION("""COMPUTED_VALUE"""),1.0)</f>
        <v>1</v>
      </c>
    </row>
    <row r="1878">
      <c r="A1878" s="10" t="str">
        <f>IFERROR(__xludf.DUMMYFUNCTION("""COMPUTED_VALUE"""),"哀愁漂う背中")</f>
        <v>哀愁漂う背中</v>
      </c>
      <c r="B1878" s="10">
        <f>IFERROR(__xludf.DUMMYFUNCTION("""COMPUTED_VALUE"""),195.0)</f>
        <v>195</v>
      </c>
      <c r="C1878" s="10">
        <f>IFERROR(__xludf.DUMMYFUNCTION("""COMPUTED_VALUE"""),2310.0)</f>
        <v>2310</v>
      </c>
      <c r="D1878" s="5">
        <f>IFERROR(__xludf.DUMMYFUNCTION("""COMPUTED_VALUE"""),0.3442080378250591)</f>
        <v>0.3442080378</v>
      </c>
      <c r="E1878" s="5">
        <f>IFERROR(__xludf.DUMMYFUNCTION("""COMPUTED_VALUE"""),0.13333333333333333)</f>
        <v>0.1333333333</v>
      </c>
      <c r="F1878" s="5">
        <f>IFERROR(__xludf.DUMMYFUNCTION("""COMPUTED_VALUE"""),0.22364066193853427)</f>
        <v>0.2236406619</v>
      </c>
      <c r="G1878" s="5">
        <f>IFERROR(__xludf.DUMMYFUNCTION("""COMPUTED_VALUE"""),0.16217494089834517)</f>
        <v>0.1621749409</v>
      </c>
      <c r="H1878" s="5">
        <f>IFERROR(__xludf.DUMMYFUNCTION("""COMPUTED_VALUE"""),0.6469344608879493)</f>
        <v>0.6469344609</v>
      </c>
      <c r="I1878" s="11">
        <f>IFERROR(__xludf.DUMMYFUNCTION("""COMPUTED_VALUE"""),5406.765327695561)</f>
        <v>5406.765328</v>
      </c>
      <c r="J1878" s="10">
        <f>IFERROR(__xludf.DUMMYFUNCTION("""COMPUTED_VALUE"""),0.0)</f>
        <v>0</v>
      </c>
      <c r="K1878" s="5">
        <f>IFERROR(__xludf.DUMMYFUNCTION("""COMPUTED_VALUE"""),0.0)</f>
        <v>0</v>
      </c>
      <c r="L1878" s="10">
        <f>IFERROR(__xludf.DUMMYFUNCTION("""COMPUTED_VALUE"""),195.0)</f>
        <v>195</v>
      </c>
      <c r="M1878" s="5">
        <f>IFERROR(__xludf.DUMMYFUNCTION("""COMPUTED_VALUE"""),1.0)</f>
        <v>1</v>
      </c>
    </row>
    <row r="1879">
      <c r="A1879" s="10" t="str">
        <f>IFERROR(__xludf.DUMMYFUNCTION("""COMPUTED_VALUE"""),"Zen")</f>
        <v>Zen</v>
      </c>
      <c r="B1879" s="10">
        <f>IFERROR(__xludf.DUMMYFUNCTION("""COMPUTED_VALUE"""),702.0)</f>
        <v>702</v>
      </c>
      <c r="C1879" s="10">
        <f>IFERROR(__xludf.DUMMYFUNCTION("""COMPUTED_VALUE"""),8241.0)</f>
        <v>8241</v>
      </c>
      <c r="D1879" s="5">
        <f>IFERROR(__xludf.DUMMYFUNCTION("""COMPUTED_VALUE"""),0.35309722774903834)</f>
        <v>0.3530972277</v>
      </c>
      <c r="E1879" s="5">
        <f>IFERROR(__xludf.DUMMYFUNCTION("""COMPUTED_VALUE"""),0.1333068046159968)</f>
        <v>0.1333068046</v>
      </c>
      <c r="F1879" s="5">
        <f>IFERROR(__xludf.DUMMYFUNCTION("""COMPUTED_VALUE"""),0.2241676614935668)</f>
        <v>0.2241676615</v>
      </c>
      <c r="G1879" s="5">
        <f>IFERROR(__xludf.DUMMYFUNCTION("""COMPUTED_VALUE"""),0.19883273643719326)</f>
        <v>0.1988327364</v>
      </c>
      <c r="H1879" s="5">
        <f>IFERROR(__xludf.DUMMYFUNCTION("""COMPUTED_VALUE"""),0.6)</f>
        <v>0.6</v>
      </c>
      <c r="I1879" s="11">
        <f>IFERROR(__xludf.DUMMYFUNCTION("""COMPUTED_VALUE"""),5618.284023668639)</f>
        <v>5618.284024</v>
      </c>
      <c r="J1879" s="10">
        <f>IFERROR(__xludf.DUMMYFUNCTION("""COMPUTED_VALUE"""),1.0)</f>
        <v>1</v>
      </c>
      <c r="K1879" s="5">
        <f>IFERROR(__xludf.DUMMYFUNCTION("""COMPUTED_VALUE"""),0.0014245014245014246)</f>
        <v>0.001424501425</v>
      </c>
      <c r="L1879" s="10">
        <f>IFERROR(__xludf.DUMMYFUNCTION("""COMPUTED_VALUE"""),702.0)</f>
        <v>702</v>
      </c>
      <c r="M1879" s="5">
        <f>IFERROR(__xludf.DUMMYFUNCTION("""COMPUTED_VALUE"""),1.0)</f>
        <v>1</v>
      </c>
    </row>
    <row r="1880">
      <c r="A1880" s="10" t="str">
        <f>IFERROR(__xludf.DUMMYFUNCTION("""COMPUTED_VALUE"""),"そっと。")</f>
        <v>そっと。</v>
      </c>
      <c r="B1880" s="10">
        <f>IFERROR(__xludf.DUMMYFUNCTION("""COMPUTED_VALUE"""),179.0)</f>
        <v>179</v>
      </c>
      <c r="C1880" s="10">
        <f>IFERROR(__xludf.DUMMYFUNCTION("""COMPUTED_VALUE"""),2107.0)</f>
        <v>2107</v>
      </c>
      <c r="D1880" s="5">
        <f>IFERROR(__xludf.DUMMYFUNCTION("""COMPUTED_VALUE"""),0.29771784232365145)</f>
        <v>0.2977178423</v>
      </c>
      <c r="E1880" s="5">
        <f>IFERROR(__xludf.DUMMYFUNCTION("""COMPUTED_VALUE"""),0.133298755186722)</f>
        <v>0.1332987552</v>
      </c>
      <c r="F1880" s="5">
        <f>IFERROR(__xludf.DUMMYFUNCTION("""COMPUTED_VALUE"""),0.17271784232365145)</f>
        <v>0.1727178423</v>
      </c>
      <c r="G1880" s="5">
        <f>IFERROR(__xludf.DUMMYFUNCTION("""COMPUTED_VALUE"""),0.1358921161825726)</f>
        <v>0.1358921162</v>
      </c>
      <c r="H1880" s="5">
        <f>IFERROR(__xludf.DUMMYFUNCTION("""COMPUTED_VALUE"""),0.6396396396396397)</f>
        <v>0.6396396396</v>
      </c>
      <c r="I1880" s="11">
        <f>IFERROR(__xludf.DUMMYFUNCTION("""COMPUTED_VALUE"""),5777.777777777777)</f>
        <v>5777.777778</v>
      </c>
      <c r="J1880" s="10">
        <f>IFERROR(__xludf.DUMMYFUNCTION("""COMPUTED_VALUE"""),0.0)</f>
        <v>0</v>
      </c>
      <c r="K1880" s="5">
        <f>IFERROR(__xludf.DUMMYFUNCTION("""COMPUTED_VALUE"""),0.0)</f>
        <v>0</v>
      </c>
      <c r="L1880" s="10">
        <f>IFERROR(__xludf.DUMMYFUNCTION("""COMPUTED_VALUE"""),179.0)</f>
        <v>179</v>
      </c>
      <c r="M1880" s="5">
        <f>IFERROR(__xludf.DUMMYFUNCTION("""COMPUTED_VALUE"""),1.0)</f>
        <v>1</v>
      </c>
    </row>
    <row r="1881">
      <c r="A1881" s="10" t="str">
        <f>IFERROR(__xludf.DUMMYFUNCTION("""COMPUTED_VALUE"""),"ふくろうさん")</f>
        <v>ふくろうさん</v>
      </c>
      <c r="B1881" s="10">
        <f>IFERROR(__xludf.DUMMYFUNCTION("""COMPUTED_VALUE"""),1288.0)</f>
        <v>1288</v>
      </c>
      <c r="C1881" s="10">
        <f>IFERROR(__xludf.DUMMYFUNCTION("""COMPUTED_VALUE"""),14981.0)</f>
        <v>14981</v>
      </c>
      <c r="D1881" s="5">
        <f>IFERROR(__xludf.DUMMYFUNCTION("""COMPUTED_VALUE"""),0.35295406412035346)</f>
        <v>0.3529540641</v>
      </c>
      <c r="E1881" s="5">
        <f>IFERROR(__xludf.DUMMYFUNCTION("""COMPUTED_VALUE"""),0.13327977798875337)</f>
        <v>0.133279778</v>
      </c>
      <c r="F1881" s="5">
        <f>IFERROR(__xludf.DUMMYFUNCTION("""COMPUTED_VALUE"""),0.22055064631563573)</f>
        <v>0.2205506463</v>
      </c>
      <c r="G1881" s="5">
        <f>IFERROR(__xludf.DUMMYFUNCTION("""COMPUTED_VALUE"""),0.19681589133133717)</f>
        <v>0.1968158913</v>
      </c>
      <c r="H1881" s="5">
        <f>IFERROR(__xludf.DUMMYFUNCTION("""COMPUTED_VALUE"""),0.5841059602649007)</f>
        <v>0.5841059603</v>
      </c>
      <c r="I1881" s="11">
        <f>IFERROR(__xludf.DUMMYFUNCTION("""COMPUTED_VALUE"""),5798.443708609271)</f>
        <v>5798.443709</v>
      </c>
      <c r="J1881" s="10">
        <f>IFERROR(__xludf.DUMMYFUNCTION("""COMPUTED_VALUE"""),0.0)</f>
        <v>0</v>
      </c>
      <c r="K1881" s="5">
        <f>IFERROR(__xludf.DUMMYFUNCTION("""COMPUTED_VALUE"""),0.0)</f>
        <v>0</v>
      </c>
      <c r="L1881" s="10">
        <f>IFERROR(__xludf.DUMMYFUNCTION("""COMPUTED_VALUE"""),38.0)</f>
        <v>38</v>
      </c>
      <c r="M1881" s="5">
        <f>IFERROR(__xludf.DUMMYFUNCTION("""COMPUTED_VALUE"""),0.029503105590062112)</f>
        <v>0.02950310559</v>
      </c>
    </row>
    <row r="1882">
      <c r="A1882" s="10" t="str">
        <f>IFERROR(__xludf.DUMMYFUNCTION("""COMPUTED_VALUE"""),"牌子")</f>
        <v>牌子</v>
      </c>
      <c r="B1882" s="10">
        <f>IFERROR(__xludf.DUMMYFUNCTION("""COMPUTED_VALUE"""),559.0)</f>
        <v>559</v>
      </c>
      <c r="C1882" s="10">
        <f>IFERROR(__xludf.DUMMYFUNCTION("""COMPUTED_VALUE"""),6547.0)</f>
        <v>6547</v>
      </c>
      <c r="D1882" s="5">
        <f>IFERROR(__xludf.DUMMYFUNCTION("""COMPUTED_VALUE"""),0.37491649966599866)</f>
        <v>0.3749164997</v>
      </c>
      <c r="E1882" s="5">
        <f>IFERROR(__xludf.DUMMYFUNCTION("""COMPUTED_VALUE"""),0.13326653306613226)</f>
        <v>0.1332665331</v>
      </c>
      <c r="F1882" s="5">
        <f>IFERROR(__xludf.DUMMYFUNCTION("""COMPUTED_VALUE"""),0.21810287241148965)</f>
        <v>0.2181028724</v>
      </c>
      <c r="G1882" s="5">
        <f>IFERROR(__xludf.DUMMYFUNCTION("""COMPUTED_VALUE"""),0.177187708750835)</f>
        <v>0.1771877088</v>
      </c>
      <c r="H1882" s="5">
        <f>IFERROR(__xludf.DUMMYFUNCTION("""COMPUTED_VALUE"""),0.6079632465543645)</f>
        <v>0.6079632466</v>
      </c>
      <c r="I1882" s="11">
        <f>IFERROR(__xludf.DUMMYFUNCTION("""COMPUTED_VALUE"""),5830.015313935682)</f>
        <v>5830.015314</v>
      </c>
      <c r="J1882" s="10">
        <f>IFERROR(__xludf.DUMMYFUNCTION("""COMPUTED_VALUE"""),1.0)</f>
        <v>1</v>
      </c>
      <c r="K1882" s="5">
        <f>IFERROR(__xludf.DUMMYFUNCTION("""COMPUTED_VALUE"""),0.0017889087656529517)</f>
        <v>0.001788908766</v>
      </c>
      <c r="L1882" s="10">
        <f>IFERROR(__xludf.DUMMYFUNCTION("""COMPUTED_VALUE"""),0.0)</f>
        <v>0</v>
      </c>
      <c r="M1882" s="5">
        <f>IFERROR(__xludf.DUMMYFUNCTION("""COMPUTED_VALUE"""),0.0)</f>
        <v>0</v>
      </c>
    </row>
    <row r="1883">
      <c r="A1883" s="10" t="str">
        <f>IFERROR(__xludf.DUMMYFUNCTION("""COMPUTED_VALUE"""),"風車の絵理子")</f>
        <v>風車の絵理子</v>
      </c>
      <c r="B1883" s="10">
        <f>IFERROR(__xludf.DUMMYFUNCTION("""COMPUTED_VALUE"""),1868.0)</f>
        <v>1868</v>
      </c>
      <c r="C1883" s="10">
        <f>IFERROR(__xludf.DUMMYFUNCTION("""COMPUTED_VALUE"""),22084.0)</f>
        <v>22084</v>
      </c>
      <c r="D1883" s="5">
        <f>IFERROR(__xludf.DUMMYFUNCTION("""COMPUTED_VALUE"""),0.21557182429758606)</f>
        <v>0.2155718243</v>
      </c>
      <c r="E1883" s="5">
        <f>IFERROR(__xludf.DUMMYFUNCTION("""COMPUTED_VALUE"""),0.13326078353779186)</f>
        <v>0.1332607835</v>
      </c>
      <c r="F1883" s="5">
        <f>IFERROR(__xludf.DUMMYFUNCTION("""COMPUTED_VALUE"""),0.1826770874554808)</f>
        <v>0.1826770875</v>
      </c>
      <c r="G1883" s="5">
        <f>IFERROR(__xludf.DUMMYFUNCTION("""COMPUTED_VALUE"""),0.20345271072417886)</f>
        <v>0.2034527107</v>
      </c>
      <c r="H1883" s="5">
        <f>IFERROR(__xludf.DUMMYFUNCTION("""COMPUTED_VALUE"""),0.5789331167072841)</f>
        <v>0.5789331167</v>
      </c>
      <c r="I1883" s="11">
        <f>IFERROR(__xludf.DUMMYFUNCTION("""COMPUTED_VALUE"""),6723.991334958028)</f>
        <v>6723.991335</v>
      </c>
      <c r="J1883" s="10">
        <f>IFERROR(__xludf.DUMMYFUNCTION("""COMPUTED_VALUE"""),5.0)</f>
        <v>5</v>
      </c>
      <c r="K1883" s="5">
        <f>IFERROR(__xludf.DUMMYFUNCTION("""COMPUTED_VALUE"""),0.0026766595289079227)</f>
        <v>0.002676659529</v>
      </c>
      <c r="L1883" s="10">
        <f>IFERROR(__xludf.DUMMYFUNCTION("""COMPUTED_VALUE"""),63.0)</f>
        <v>63</v>
      </c>
      <c r="M1883" s="5">
        <f>IFERROR(__xludf.DUMMYFUNCTION("""COMPUTED_VALUE"""),0.03372591006423983)</f>
        <v>0.03372591006</v>
      </c>
    </row>
    <row r="1884">
      <c r="A1884" s="10" t="str">
        <f>IFERROR(__xludf.DUMMYFUNCTION("""COMPUTED_VALUE"""),"自由")</f>
        <v>自由</v>
      </c>
      <c r="B1884" s="10">
        <f>IFERROR(__xludf.DUMMYFUNCTION("""COMPUTED_VALUE"""),600.0)</f>
        <v>600</v>
      </c>
      <c r="C1884" s="10">
        <f>IFERROR(__xludf.DUMMYFUNCTION("""COMPUTED_VALUE"""),6942.0)</f>
        <v>6942</v>
      </c>
      <c r="D1884" s="5">
        <f>IFERROR(__xludf.DUMMYFUNCTION("""COMPUTED_VALUE"""),0.4076001261431725)</f>
        <v>0.4076001261</v>
      </c>
      <c r="E1884" s="5">
        <f>IFERROR(__xludf.DUMMYFUNCTION("""COMPUTED_VALUE"""),0.13323872595395775)</f>
        <v>0.133238726</v>
      </c>
      <c r="F1884" s="5">
        <f>IFERROR(__xludf.DUMMYFUNCTION("""COMPUTED_VALUE"""),0.21665089877010407)</f>
        <v>0.2166508988</v>
      </c>
      <c r="G1884" s="5">
        <f>IFERROR(__xludf.DUMMYFUNCTION("""COMPUTED_VALUE"""),0.1870072532324188)</f>
        <v>0.1870072532</v>
      </c>
      <c r="H1884" s="5">
        <f>IFERROR(__xludf.DUMMYFUNCTION("""COMPUTED_VALUE"""),0.5931586608442504)</f>
        <v>0.5931586608</v>
      </c>
      <c r="I1884" s="11">
        <f>IFERROR(__xludf.DUMMYFUNCTION("""COMPUTED_VALUE"""),5592.794759825328)</f>
        <v>5592.79476</v>
      </c>
      <c r="J1884" s="10">
        <f>IFERROR(__xludf.DUMMYFUNCTION("""COMPUTED_VALUE"""),1.0)</f>
        <v>1</v>
      </c>
      <c r="K1884" s="5">
        <f>IFERROR(__xludf.DUMMYFUNCTION("""COMPUTED_VALUE"""),0.0016666666666666668)</f>
        <v>0.001666666667</v>
      </c>
      <c r="L1884" s="10">
        <f>IFERROR(__xludf.DUMMYFUNCTION("""COMPUTED_VALUE"""),600.0)</f>
        <v>600</v>
      </c>
      <c r="M1884" s="5">
        <f>IFERROR(__xludf.DUMMYFUNCTION("""COMPUTED_VALUE"""),1.0)</f>
        <v>1</v>
      </c>
    </row>
    <row r="1885">
      <c r="A1885" s="10" t="str">
        <f>IFERROR(__xludf.DUMMYFUNCTION("""COMPUTED_VALUE"""),"tpmxmde")</f>
        <v>tpmxmde</v>
      </c>
      <c r="B1885" s="10">
        <f>IFERROR(__xludf.DUMMYFUNCTION("""COMPUTED_VALUE"""),127.0)</f>
        <v>127</v>
      </c>
      <c r="C1885" s="10">
        <f>IFERROR(__xludf.DUMMYFUNCTION("""COMPUTED_VALUE"""),1463.0)</f>
        <v>1463</v>
      </c>
      <c r="D1885" s="5">
        <f>IFERROR(__xludf.DUMMYFUNCTION("""COMPUTED_VALUE"""),0.28892215568862273)</f>
        <v>0.2889221557</v>
      </c>
      <c r="E1885" s="5">
        <f>IFERROR(__xludf.DUMMYFUNCTION("""COMPUTED_VALUE"""),0.13323353293413173)</f>
        <v>0.1332335329</v>
      </c>
      <c r="F1885" s="5">
        <f>IFERROR(__xludf.DUMMYFUNCTION("""COMPUTED_VALUE"""),0.2148203592814371)</f>
        <v>0.2148203593</v>
      </c>
      <c r="G1885" s="5">
        <f>IFERROR(__xludf.DUMMYFUNCTION("""COMPUTED_VALUE"""),0.23952095808383234)</f>
        <v>0.2395209581</v>
      </c>
      <c r="H1885" s="5">
        <f>IFERROR(__xludf.DUMMYFUNCTION("""COMPUTED_VALUE"""),0.5818815331010453)</f>
        <v>0.5818815331</v>
      </c>
      <c r="I1885" s="11">
        <f>IFERROR(__xludf.DUMMYFUNCTION("""COMPUTED_VALUE"""),6033.449477351916)</f>
        <v>6033.449477</v>
      </c>
      <c r="J1885" s="10">
        <f>IFERROR(__xludf.DUMMYFUNCTION("""COMPUTED_VALUE"""),0.0)</f>
        <v>0</v>
      </c>
      <c r="K1885" s="5">
        <f>IFERROR(__xludf.DUMMYFUNCTION("""COMPUTED_VALUE"""),0.0)</f>
        <v>0</v>
      </c>
      <c r="L1885" s="10">
        <f>IFERROR(__xludf.DUMMYFUNCTION("""COMPUTED_VALUE"""),127.0)</f>
        <v>127</v>
      </c>
      <c r="M1885" s="5">
        <f>IFERROR(__xludf.DUMMYFUNCTION("""COMPUTED_VALUE"""),1.0)</f>
        <v>1</v>
      </c>
    </row>
    <row r="1886">
      <c r="A1886" s="10" t="str">
        <f>IFERROR(__xludf.DUMMYFUNCTION("""COMPUTED_VALUE"""),"zuboshi")</f>
        <v>zuboshi</v>
      </c>
      <c r="B1886" s="10">
        <f>IFERROR(__xludf.DUMMYFUNCTION("""COMPUTED_VALUE"""),159.0)</f>
        <v>159</v>
      </c>
      <c r="C1886" s="10">
        <f>IFERROR(__xludf.DUMMYFUNCTION("""COMPUTED_VALUE"""),1893.0)</f>
        <v>1893</v>
      </c>
      <c r="D1886" s="5">
        <f>IFERROR(__xludf.DUMMYFUNCTION("""COMPUTED_VALUE"""),0.33967704728950404)</f>
        <v>0.3396770473</v>
      </c>
      <c r="E1886" s="5">
        <f>IFERROR(__xludf.DUMMYFUNCTION("""COMPUTED_VALUE"""),0.13321799307958476)</f>
        <v>0.1332179931</v>
      </c>
      <c r="F1886" s="5">
        <f>IFERROR(__xludf.DUMMYFUNCTION("""COMPUTED_VALUE"""),0.2104959630911188)</f>
        <v>0.2104959631</v>
      </c>
      <c r="G1886" s="5">
        <f>IFERROR(__xludf.DUMMYFUNCTION("""COMPUTED_VALUE"""),0.18166089965397925)</f>
        <v>0.1816608997</v>
      </c>
      <c r="H1886" s="5">
        <f>IFERROR(__xludf.DUMMYFUNCTION("""COMPUTED_VALUE"""),0.6273972602739726)</f>
        <v>0.6273972603</v>
      </c>
      <c r="I1886" s="11">
        <f>IFERROR(__xludf.DUMMYFUNCTION("""COMPUTED_VALUE"""),5458.082191780822)</f>
        <v>5458.082192</v>
      </c>
      <c r="J1886" s="10">
        <f>IFERROR(__xludf.DUMMYFUNCTION("""COMPUTED_VALUE"""),0.0)</f>
        <v>0</v>
      </c>
      <c r="K1886" s="5">
        <f>IFERROR(__xludf.DUMMYFUNCTION("""COMPUTED_VALUE"""),0.0)</f>
        <v>0</v>
      </c>
      <c r="L1886" s="10">
        <f>IFERROR(__xludf.DUMMYFUNCTION("""COMPUTED_VALUE"""),159.0)</f>
        <v>159</v>
      </c>
      <c r="M1886" s="5">
        <f>IFERROR(__xludf.DUMMYFUNCTION("""COMPUTED_VALUE"""),1.0)</f>
        <v>1</v>
      </c>
    </row>
    <row r="1887">
      <c r="A1887" s="10" t="str">
        <f>IFERROR(__xludf.DUMMYFUNCTION("""COMPUTED_VALUE"""),"門前のねこ")</f>
        <v>門前のねこ</v>
      </c>
      <c r="B1887" s="10">
        <f>IFERROR(__xludf.DUMMYFUNCTION("""COMPUTED_VALUE"""),259.0)</f>
        <v>259</v>
      </c>
      <c r="C1887" s="10">
        <f>IFERROR(__xludf.DUMMYFUNCTION("""COMPUTED_VALUE"""),3029.0)</f>
        <v>3029</v>
      </c>
      <c r="D1887" s="5">
        <f>IFERROR(__xludf.DUMMYFUNCTION("""COMPUTED_VALUE"""),0.3328519855595668)</f>
        <v>0.3328519856</v>
      </c>
      <c r="E1887" s="5">
        <f>IFERROR(__xludf.DUMMYFUNCTION("""COMPUTED_VALUE"""),0.1332129963898917)</f>
        <v>0.1332129964</v>
      </c>
      <c r="F1887" s="5">
        <f>IFERROR(__xludf.DUMMYFUNCTION("""COMPUTED_VALUE"""),0.21660649819494585)</f>
        <v>0.2166064982</v>
      </c>
      <c r="G1887" s="5">
        <f>IFERROR(__xludf.DUMMYFUNCTION("""COMPUTED_VALUE"""),0.17978339350180506)</f>
        <v>0.1797833935</v>
      </c>
      <c r="H1887" s="5">
        <f>IFERROR(__xludf.DUMMYFUNCTION("""COMPUTED_VALUE"""),0.595)</f>
        <v>0.595</v>
      </c>
      <c r="I1887" s="11">
        <f>IFERROR(__xludf.DUMMYFUNCTION("""COMPUTED_VALUE"""),5260.0)</f>
        <v>5260</v>
      </c>
      <c r="J1887" s="10">
        <f>IFERROR(__xludf.DUMMYFUNCTION("""COMPUTED_VALUE"""),0.0)</f>
        <v>0</v>
      </c>
      <c r="K1887" s="5">
        <f>IFERROR(__xludf.DUMMYFUNCTION("""COMPUTED_VALUE"""),0.0)</f>
        <v>0</v>
      </c>
      <c r="L1887" s="10">
        <f>IFERROR(__xludf.DUMMYFUNCTION("""COMPUTED_VALUE"""),259.0)</f>
        <v>259</v>
      </c>
      <c r="M1887" s="5">
        <f>IFERROR(__xludf.DUMMYFUNCTION("""COMPUTED_VALUE"""),1.0)</f>
        <v>1</v>
      </c>
    </row>
    <row r="1888">
      <c r="A1888" s="10" t="str">
        <f>IFERROR(__xludf.DUMMYFUNCTION("""COMPUTED_VALUE"""),"白猫エル")</f>
        <v>白猫エル</v>
      </c>
      <c r="B1888" s="10">
        <f>IFERROR(__xludf.DUMMYFUNCTION("""COMPUTED_VALUE"""),634.0)</f>
        <v>634</v>
      </c>
      <c r="C1888" s="10">
        <f>IFERROR(__xludf.DUMMYFUNCTION("""COMPUTED_VALUE"""),7383.0)</f>
        <v>7383</v>
      </c>
      <c r="D1888" s="5">
        <f>IFERROR(__xludf.DUMMYFUNCTION("""COMPUTED_VALUE"""),0.34968143428656095)</f>
        <v>0.3496814343</v>
      </c>
      <c r="E1888" s="5">
        <f>IFERROR(__xludf.DUMMYFUNCTION("""COMPUTED_VALUE"""),0.13320491924729588)</f>
        <v>0.1332049192</v>
      </c>
      <c r="F1888" s="5">
        <f>IFERROR(__xludf.DUMMYFUNCTION("""COMPUTED_VALUE"""),0.21306860275596384)</f>
        <v>0.2130686028</v>
      </c>
      <c r="G1888" s="5">
        <f>IFERROR(__xludf.DUMMYFUNCTION("""COMPUTED_VALUE"""),0.16935842347014374)</f>
        <v>0.1693584235</v>
      </c>
      <c r="H1888" s="5">
        <f>IFERROR(__xludf.DUMMYFUNCTION("""COMPUTED_VALUE"""),0.6182197496522949)</f>
        <v>0.6182197497</v>
      </c>
      <c r="I1888" s="11">
        <f>IFERROR(__xludf.DUMMYFUNCTION("""COMPUTED_VALUE"""),5994.0890125173855)</f>
        <v>5994.089013</v>
      </c>
      <c r="J1888" s="10">
        <f>IFERROR(__xludf.DUMMYFUNCTION("""COMPUTED_VALUE"""),0.0)</f>
        <v>0</v>
      </c>
      <c r="K1888" s="5">
        <f>IFERROR(__xludf.DUMMYFUNCTION("""COMPUTED_VALUE"""),0.0)</f>
        <v>0</v>
      </c>
      <c r="L1888" s="10">
        <f>IFERROR(__xludf.DUMMYFUNCTION("""COMPUTED_VALUE"""),634.0)</f>
        <v>634</v>
      </c>
      <c r="M1888" s="5">
        <f>IFERROR(__xludf.DUMMYFUNCTION("""COMPUTED_VALUE"""),1.0)</f>
        <v>1</v>
      </c>
    </row>
    <row r="1889">
      <c r="A1889" s="10" t="str">
        <f>IFERROR(__xludf.DUMMYFUNCTION("""COMPUTED_VALUE"""),"ハゴ★河童")</f>
        <v>ハゴ★河童</v>
      </c>
      <c r="B1889" s="10">
        <f>IFERROR(__xludf.DUMMYFUNCTION("""COMPUTED_VALUE"""),2195.0)</f>
        <v>2195</v>
      </c>
      <c r="C1889" s="10">
        <f>IFERROR(__xludf.DUMMYFUNCTION("""COMPUTED_VALUE"""),25853.0)</f>
        <v>25853</v>
      </c>
      <c r="D1889" s="5">
        <f>IFERROR(__xludf.DUMMYFUNCTION("""COMPUTED_VALUE"""),0.3735311522529377)</f>
        <v>0.3735311523</v>
      </c>
      <c r="E1889" s="5">
        <f>IFERROR(__xludf.DUMMYFUNCTION("""COMPUTED_VALUE"""),0.13318961873362076)</f>
        <v>0.1331896187</v>
      </c>
      <c r="F1889" s="5">
        <f>IFERROR(__xludf.DUMMYFUNCTION("""COMPUTED_VALUE"""),0.21886888156226222)</f>
        <v>0.2188688816</v>
      </c>
      <c r="G1889" s="5">
        <f>IFERROR(__xludf.DUMMYFUNCTION("""COMPUTED_VALUE"""),0.17938963564122073)</f>
        <v>0.1793896356</v>
      </c>
      <c r="H1889" s="5">
        <f>IFERROR(__xludf.DUMMYFUNCTION("""COMPUTED_VALUE"""),0.5994592506759366)</f>
        <v>0.5994592507</v>
      </c>
      <c r="I1889" s="11">
        <f>IFERROR(__xludf.DUMMYFUNCTION("""COMPUTED_VALUE"""),5506.102742371572)</f>
        <v>5506.102742</v>
      </c>
      <c r="J1889" s="10">
        <f>IFERROR(__xludf.DUMMYFUNCTION("""COMPUTED_VALUE"""),7.0)</f>
        <v>7</v>
      </c>
      <c r="K1889" s="5">
        <f>IFERROR(__xludf.DUMMYFUNCTION("""COMPUTED_VALUE"""),0.0031890660592255125)</f>
        <v>0.003189066059</v>
      </c>
      <c r="L1889" s="10">
        <f>IFERROR(__xludf.DUMMYFUNCTION("""COMPUTED_VALUE"""),2195.0)</f>
        <v>2195</v>
      </c>
      <c r="M1889" s="5">
        <f>IFERROR(__xludf.DUMMYFUNCTION("""COMPUTED_VALUE"""),1.0)</f>
        <v>1</v>
      </c>
    </row>
    <row r="1890">
      <c r="A1890" s="10" t="str">
        <f>IFERROR(__xludf.DUMMYFUNCTION("""COMPUTED_VALUE"""),"チロロ軍曹")</f>
        <v>チロロ軍曹</v>
      </c>
      <c r="B1890" s="10">
        <f>IFERROR(__xludf.DUMMYFUNCTION("""COMPUTED_VALUE"""),1472.0)</f>
        <v>1472</v>
      </c>
      <c r="C1890" s="10">
        <f>IFERROR(__xludf.DUMMYFUNCTION("""COMPUTED_VALUE"""),17408.0)</f>
        <v>17408</v>
      </c>
      <c r="D1890" s="5">
        <f>IFERROR(__xludf.DUMMYFUNCTION("""COMPUTED_VALUE"""),0.27993222891566266)</f>
        <v>0.2799322289</v>
      </c>
      <c r="E1890" s="5">
        <f>IFERROR(__xludf.DUMMYFUNCTION("""COMPUTED_VALUE"""),0.13315763052208834)</f>
        <v>0.1331576305</v>
      </c>
      <c r="F1890" s="5">
        <f>IFERROR(__xludf.DUMMYFUNCTION("""COMPUTED_VALUE"""),0.19848142570281124)</f>
        <v>0.1984814257</v>
      </c>
      <c r="G1890" s="5">
        <f>IFERROR(__xludf.DUMMYFUNCTION("""COMPUTED_VALUE"""),0.21128263052208834)</f>
        <v>0.2112826305</v>
      </c>
      <c r="H1890" s="5">
        <f>IFERROR(__xludf.DUMMYFUNCTION("""COMPUTED_VALUE"""),0.582042364843503)</f>
        <v>0.5820423648</v>
      </c>
      <c r="I1890" s="11">
        <f>IFERROR(__xludf.DUMMYFUNCTION("""COMPUTED_VALUE"""),6065.981662978185)</f>
        <v>6065.981663</v>
      </c>
      <c r="J1890" s="10">
        <f>IFERROR(__xludf.DUMMYFUNCTION("""COMPUTED_VALUE"""),2.0)</f>
        <v>2</v>
      </c>
      <c r="K1890" s="5">
        <f>IFERROR(__xludf.DUMMYFUNCTION("""COMPUTED_VALUE"""),0.001358695652173913)</f>
        <v>0.001358695652</v>
      </c>
      <c r="L1890" s="10">
        <f>IFERROR(__xludf.DUMMYFUNCTION("""COMPUTED_VALUE"""),19.0)</f>
        <v>19</v>
      </c>
      <c r="M1890" s="5">
        <f>IFERROR(__xludf.DUMMYFUNCTION("""COMPUTED_VALUE"""),0.012907608695652174)</f>
        <v>0.0129076087</v>
      </c>
    </row>
    <row r="1891">
      <c r="A1891" s="10" t="str">
        <f>IFERROR(__xludf.DUMMYFUNCTION("""COMPUTED_VALUE"""),"シャーリプトラ")</f>
        <v>シャーリプトラ</v>
      </c>
      <c r="B1891" s="10">
        <f>IFERROR(__xludf.DUMMYFUNCTION("""COMPUTED_VALUE"""),3397.0)</f>
        <v>3397</v>
      </c>
      <c r="C1891" s="10">
        <f>IFERROR(__xludf.DUMMYFUNCTION("""COMPUTED_VALUE"""),39843.0)</f>
        <v>39843</v>
      </c>
      <c r="D1891" s="5">
        <f>IFERROR(__xludf.DUMMYFUNCTION("""COMPUTED_VALUE"""),0.3894254513526862)</f>
        <v>0.3894254514</v>
      </c>
      <c r="E1891" s="5">
        <f>IFERROR(__xludf.DUMMYFUNCTION("""COMPUTED_VALUE"""),0.13315590188223672)</f>
        <v>0.1331559019</v>
      </c>
      <c r="F1891" s="5">
        <f>IFERROR(__xludf.DUMMYFUNCTION("""COMPUTED_VALUE"""),0.21568896449541788)</f>
        <v>0.2156889645</v>
      </c>
      <c r="G1891" s="5">
        <f>IFERROR(__xludf.DUMMYFUNCTION("""COMPUTED_VALUE"""),0.1733249190583329)</f>
        <v>0.1733249191</v>
      </c>
      <c r="H1891" s="5">
        <f>IFERROR(__xludf.DUMMYFUNCTION("""COMPUTED_VALUE"""),0.5896196412670144)</f>
        <v>0.5896196413</v>
      </c>
      <c r="I1891" s="11">
        <f>IFERROR(__xludf.DUMMYFUNCTION("""COMPUTED_VALUE"""),5710.711105457321)</f>
        <v>5710.711105</v>
      </c>
      <c r="J1891" s="10">
        <f>IFERROR(__xludf.DUMMYFUNCTION("""COMPUTED_VALUE"""),6.0)</f>
        <v>6</v>
      </c>
      <c r="K1891" s="5">
        <f>IFERROR(__xludf.DUMMYFUNCTION("""COMPUTED_VALUE"""),0.001766264350897851)</f>
        <v>0.001766264351</v>
      </c>
      <c r="L1891" s="10">
        <f>IFERROR(__xludf.DUMMYFUNCTION("""COMPUTED_VALUE"""),3397.0)</f>
        <v>3397</v>
      </c>
      <c r="M1891" s="5">
        <f>IFERROR(__xludf.DUMMYFUNCTION("""COMPUTED_VALUE"""),1.0)</f>
        <v>1</v>
      </c>
    </row>
    <row r="1892">
      <c r="A1892" s="10" t="str">
        <f>IFERROR(__xludf.DUMMYFUNCTION("""COMPUTED_VALUE"""),"朴龍守")</f>
        <v>朴龍守</v>
      </c>
      <c r="B1892" s="10">
        <f>IFERROR(__xludf.DUMMYFUNCTION("""COMPUTED_VALUE"""),224.0)</f>
        <v>224</v>
      </c>
      <c r="C1892" s="10">
        <f>IFERROR(__xludf.DUMMYFUNCTION("""COMPUTED_VALUE"""),2620.0)</f>
        <v>2620</v>
      </c>
      <c r="D1892" s="5">
        <f>IFERROR(__xludf.DUMMYFUNCTION("""COMPUTED_VALUE"""),0.4102671118530885)</f>
        <v>0.4102671119</v>
      </c>
      <c r="E1892" s="5">
        <f>IFERROR(__xludf.DUMMYFUNCTION("""COMPUTED_VALUE"""),0.13313856427378964)</f>
        <v>0.1331385643</v>
      </c>
      <c r="F1892" s="5">
        <f>IFERROR(__xludf.DUMMYFUNCTION("""COMPUTED_VALUE"""),0.21953255425709517)</f>
        <v>0.2195325543</v>
      </c>
      <c r="G1892" s="5">
        <f>IFERROR(__xludf.DUMMYFUNCTION("""COMPUTED_VALUE"""),0.15901502504173623)</f>
        <v>0.159015025</v>
      </c>
      <c r="H1892" s="5">
        <f>IFERROR(__xludf.DUMMYFUNCTION("""COMPUTED_VALUE"""),0.5817490494296578)</f>
        <v>0.5817490494</v>
      </c>
      <c r="I1892" s="11">
        <f>IFERROR(__xludf.DUMMYFUNCTION("""COMPUTED_VALUE"""),5336.8821292775665)</f>
        <v>5336.882129</v>
      </c>
      <c r="J1892" s="10">
        <f>IFERROR(__xludf.DUMMYFUNCTION("""COMPUTED_VALUE"""),0.0)</f>
        <v>0</v>
      </c>
      <c r="K1892" s="5">
        <f>IFERROR(__xludf.DUMMYFUNCTION("""COMPUTED_VALUE"""),0.0)</f>
        <v>0</v>
      </c>
      <c r="L1892" s="10">
        <f>IFERROR(__xludf.DUMMYFUNCTION("""COMPUTED_VALUE"""),224.0)</f>
        <v>224</v>
      </c>
      <c r="M1892" s="5">
        <f>IFERROR(__xludf.DUMMYFUNCTION("""COMPUTED_VALUE"""),1.0)</f>
        <v>1</v>
      </c>
    </row>
    <row r="1893">
      <c r="A1893" s="10" t="str">
        <f>IFERROR(__xludf.DUMMYFUNCTION("""COMPUTED_VALUE"""),"サボ")</f>
        <v>サボ</v>
      </c>
      <c r="B1893" s="10">
        <f>IFERROR(__xludf.DUMMYFUNCTION("""COMPUTED_VALUE"""),2115.0)</f>
        <v>2115</v>
      </c>
      <c r="C1893" s="10">
        <f>IFERROR(__xludf.DUMMYFUNCTION("""COMPUTED_VALUE"""),24821.0)</f>
        <v>24821</v>
      </c>
      <c r="D1893" s="5">
        <f>IFERROR(__xludf.DUMMYFUNCTION("""COMPUTED_VALUE"""),0.36435303444023603)</f>
        <v>0.3643530344</v>
      </c>
      <c r="E1893" s="5">
        <f>IFERROR(__xludf.DUMMYFUNCTION("""COMPUTED_VALUE"""),0.13313661587245662)</f>
        <v>0.1331366159</v>
      </c>
      <c r="F1893" s="5">
        <f>IFERROR(__xludf.DUMMYFUNCTION("""COMPUTED_VALUE"""),0.2156698669955078)</f>
        <v>0.215669867</v>
      </c>
      <c r="G1893" s="5">
        <f>IFERROR(__xludf.DUMMYFUNCTION("""COMPUTED_VALUE"""),0.1798203118118559)</f>
        <v>0.1798203118</v>
      </c>
      <c r="H1893" s="5">
        <f>IFERROR(__xludf.DUMMYFUNCTION("""COMPUTED_VALUE"""),0.5999591586685726)</f>
        <v>0.5999591587</v>
      </c>
      <c r="I1893" s="11">
        <f>IFERROR(__xludf.DUMMYFUNCTION("""COMPUTED_VALUE"""),5515.907698590974)</f>
        <v>5515.907699</v>
      </c>
      <c r="J1893" s="10">
        <f>IFERROR(__xludf.DUMMYFUNCTION("""COMPUTED_VALUE"""),4.0)</f>
        <v>4</v>
      </c>
      <c r="K1893" s="5">
        <f>IFERROR(__xludf.DUMMYFUNCTION("""COMPUTED_VALUE"""),0.0018912529550827422)</f>
        <v>0.001891252955</v>
      </c>
      <c r="L1893" s="10">
        <f>IFERROR(__xludf.DUMMYFUNCTION("""COMPUTED_VALUE"""),2115.0)</f>
        <v>2115</v>
      </c>
      <c r="M1893" s="5">
        <f>IFERROR(__xludf.DUMMYFUNCTION("""COMPUTED_VALUE"""),1.0)</f>
        <v>1</v>
      </c>
    </row>
    <row r="1894">
      <c r="A1894" s="10" t="str">
        <f>IFERROR(__xludf.DUMMYFUNCTION("""COMPUTED_VALUE"""),"gihren")</f>
        <v>gihren</v>
      </c>
      <c r="B1894" s="10">
        <f>IFERROR(__xludf.DUMMYFUNCTION("""COMPUTED_VALUE"""),184.0)</f>
        <v>184</v>
      </c>
      <c r="C1894" s="10">
        <f>IFERROR(__xludf.DUMMYFUNCTION("""COMPUTED_VALUE"""),2152.0)</f>
        <v>2152</v>
      </c>
      <c r="D1894" s="5">
        <f>IFERROR(__xludf.DUMMYFUNCTION("""COMPUTED_VALUE"""),0.2967479674796748)</f>
        <v>0.2967479675</v>
      </c>
      <c r="E1894" s="5">
        <f>IFERROR(__xludf.DUMMYFUNCTION("""COMPUTED_VALUE"""),0.133130081300813)</f>
        <v>0.1331300813</v>
      </c>
      <c r="F1894" s="5">
        <f>IFERROR(__xludf.DUMMYFUNCTION("""COMPUTED_VALUE"""),0.20172764227642276)</f>
        <v>0.2017276423</v>
      </c>
      <c r="G1894" s="5">
        <f>IFERROR(__xludf.DUMMYFUNCTION("""COMPUTED_VALUE"""),0.18953252032520326)</f>
        <v>0.1895325203</v>
      </c>
      <c r="H1894" s="5">
        <f>IFERROR(__xludf.DUMMYFUNCTION("""COMPUTED_VALUE"""),0.5642317380352645)</f>
        <v>0.564231738</v>
      </c>
      <c r="I1894" s="11">
        <f>IFERROR(__xludf.DUMMYFUNCTION("""COMPUTED_VALUE"""),5636.272040302267)</f>
        <v>5636.27204</v>
      </c>
      <c r="J1894" s="10">
        <f>IFERROR(__xludf.DUMMYFUNCTION("""COMPUTED_VALUE"""),0.0)</f>
        <v>0</v>
      </c>
      <c r="K1894" s="5">
        <f>IFERROR(__xludf.DUMMYFUNCTION("""COMPUTED_VALUE"""),0.0)</f>
        <v>0</v>
      </c>
      <c r="L1894" s="10">
        <f>IFERROR(__xludf.DUMMYFUNCTION("""COMPUTED_VALUE"""),184.0)</f>
        <v>184</v>
      </c>
      <c r="M1894" s="5">
        <f>IFERROR(__xludf.DUMMYFUNCTION("""COMPUTED_VALUE"""),1.0)</f>
        <v>1</v>
      </c>
    </row>
    <row r="1895">
      <c r="A1895" s="10" t="str">
        <f>IFERROR(__xludf.DUMMYFUNCTION("""COMPUTED_VALUE"""),"ツレオ")</f>
        <v>ツレオ</v>
      </c>
      <c r="B1895" s="10">
        <f>IFERROR(__xludf.DUMMYFUNCTION("""COMPUTED_VALUE"""),5268.0)</f>
        <v>5268</v>
      </c>
      <c r="C1895" s="10">
        <f>IFERROR(__xludf.DUMMYFUNCTION("""COMPUTED_VALUE"""),61660.0)</f>
        <v>61660</v>
      </c>
      <c r="D1895" s="5">
        <f>IFERROR(__xludf.DUMMYFUNCTION("""COMPUTED_VALUE"""),0.28465030500780253)</f>
        <v>0.284650305</v>
      </c>
      <c r="E1895" s="5">
        <f>IFERROR(__xludf.DUMMYFUNCTION("""COMPUTED_VALUE"""),0.13312171939282166)</f>
        <v>0.1331217194</v>
      </c>
      <c r="F1895" s="5">
        <f>IFERROR(__xludf.DUMMYFUNCTION("""COMPUTED_VALUE"""),0.20469215491559087)</f>
        <v>0.2046921549</v>
      </c>
      <c r="G1895" s="5">
        <f>IFERROR(__xludf.DUMMYFUNCTION("""COMPUTED_VALUE"""),0.19504539651014327)</f>
        <v>0.1950453965</v>
      </c>
      <c r="H1895" s="5">
        <f>IFERROR(__xludf.DUMMYFUNCTION("""COMPUTED_VALUE"""),0.5837303993762454)</f>
        <v>0.5837303994</v>
      </c>
      <c r="I1895" s="11">
        <f>IFERROR(__xludf.DUMMYFUNCTION("""COMPUTED_VALUE"""),6135.302780906177)</f>
        <v>6135.302781</v>
      </c>
      <c r="J1895" s="10">
        <f>IFERROR(__xludf.DUMMYFUNCTION("""COMPUTED_VALUE"""),9.0)</f>
        <v>9</v>
      </c>
      <c r="K1895" s="5">
        <f>IFERROR(__xludf.DUMMYFUNCTION("""COMPUTED_VALUE"""),0.0017084282460136675)</f>
        <v>0.001708428246</v>
      </c>
      <c r="L1895" s="10">
        <f>IFERROR(__xludf.DUMMYFUNCTION("""COMPUTED_VALUE"""),5268.0)</f>
        <v>5268</v>
      </c>
      <c r="M1895" s="5">
        <f>IFERROR(__xludf.DUMMYFUNCTION("""COMPUTED_VALUE"""),1.0)</f>
        <v>1</v>
      </c>
    </row>
    <row r="1896">
      <c r="A1896" s="10" t="str">
        <f>IFERROR(__xludf.DUMMYFUNCTION("""COMPUTED_VALUE"""),"波乗り鵜")</f>
        <v>波乗り鵜</v>
      </c>
      <c r="B1896" s="10">
        <f>IFERROR(__xludf.DUMMYFUNCTION("""COMPUTED_VALUE"""),225.0)</f>
        <v>225</v>
      </c>
      <c r="C1896" s="10">
        <f>IFERROR(__xludf.DUMMYFUNCTION("""COMPUTED_VALUE"""),2614.0)</f>
        <v>2614</v>
      </c>
      <c r="D1896" s="5">
        <f>IFERROR(__xludf.DUMMYFUNCTION("""COMPUTED_VALUE"""),0.3306822938467978)</f>
        <v>0.3306822938</v>
      </c>
      <c r="E1896" s="5">
        <f>IFERROR(__xludf.DUMMYFUNCTION("""COMPUTED_VALUE"""),0.13311008790288822)</f>
        <v>0.1331100879</v>
      </c>
      <c r="F1896" s="5">
        <f>IFERROR(__xludf.DUMMYFUNCTION("""COMPUTED_VALUE"""),0.19589786521557137)</f>
        <v>0.1958978652</v>
      </c>
      <c r="G1896" s="5">
        <f>IFERROR(__xludf.DUMMYFUNCTION("""COMPUTED_VALUE"""),0.1707827542904981)</f>
        <v>0.1707827543</v>
      </c>
      <c r="H1896" s="5">
        <f>IFERROR(__xludf.DUMMYFUNCTION("""COMPUTED_VALUE"""),0.6004273504273504)</f>
        <v>0.6004273504</v>
      </c>
      <c r="I1896" s="11">
        <f>IFERROR(__xludf.DUMMYFUNCTION("""COMPUTED_VALUE"""),5766.239316239316)</f>
        <v>5766.239316</v>
      </c>
      <c r="J1896" s="10">
        <f>IFERROR(__xludf.DUMMYFUNCTION("""COMPUTED_VALUE"""),0.0)</f>
        <v>0</v>
      </c>
      <c r="K1896" s="5">
        <f>IFERROR(__xludf.DUMMYFUNCTION("""COMPUTED_VALUE"""),0.0)</f>
        <v>0</v>
      </c>
      <c r="L1896" s="10">
        <f>IFERROR(__xludf.DUMMYFUNCTION("""COMPUTED_VALUE"""),225.0)</f>
        <v>225</v>
      </c>
      <c r="M1896" s="5">
        <f>IFERROR(__xludf.DUMMYFUNCTION("""COMPUTED_VALUE"""),1.0)</f>
        <v>1</v>
      </c>
    </row>
    <row r="1897">
      <c r="A1897" s="10" t="str">
        <f>IFERROR(__xludf.DUMMYFUNCTION("""COMPUTED_VALUE"""),"何で？")</f>
        <v>何で？</v>
      </c>
      <c r="B1897" s="10">
        <f>IFERROR(__xludf.DUMMYFUNCTION("""COMPUTED_VALUE"""),401.0)</f>
        <v>401</v>
      </c>
      <c r="C1897" s="10">
        <f>IFERROR(__xludf.DUMMYFUNCTION("""COMPUTED_VALUE"""),4736.0)</f>
        <v>4736</v>
      </c>
      <c r="D1897" s="5">
        <f>IFERROR(__xludf.DUMMYFUNCTION("""COMPUTED_VALUE"""),0.3679354094579008)</f>
        <v>0.3679354095</v>
      </c>
      <c r="E1897" s="5">
        <f>IFERROR(__xludf.DUMMYFUNCTION("""COMPUTED_VALUE"""),0.13310265282583622)</f>
        <v>0.1331026528</v>
      </c>
      <c r="F1897" s="5">
        <f>IFERROR(__xludf.DUMMYFUNCTION("""COMPUTED_VALUE"""),0.2071510957324106)</f>
        <v>0.2071510957</v>
      </c>
      <c r="G1897" s="5">
        <f>IFERROR(__xludf.DUMMYFUNCTION("""COMPUTED_VALUE"""),0.166320645905421)</f>
        <v>0.1663206459</v>
      </c>
      <c r="H1897" s="5">
        <f>IFERROR(__xludf.DUMMYFUNCTION("""COMPUTED_VALUE"""),0.5501113585746102)</f>
        <v>0.5501113586</v>
      </c>
      <c r="I1897" s="11">
        <f>IFERROR(__xludf.DUMMYFUNCTION("""COMPUTED_VALUE"""),5815.144766146993)</f>
        <v>5815.144766</v>
      </c>
      <c r="J1897" s="10">
        <f>IFERROR(__xludf.DUMMYFUNCTION("""COMPUTED_VALUE"""),1.0)</f>
        <v>1</v>
      </c>
      <c r="K1897" s="5">
        <f>IFERROR(__xludf.DUMMYFUNCTION("""COMPUTED_VALUE"""),0.0024937655860349127)</f>
        <v>0.002493765586</v>
      </c>
      <c r="L1897" s="10">
        <f>IFERROR(__xludf.DUMMYFUNCTION("""COMPUTED_VALUE"""),401.0)</f>
        <v>401</v>
      </c>
      <c r="M1897" s="5">
        <f>IFERROR(__xludf.DUMMYFUNCTION("""COMPUTED_VALUE"""),1.0)</f>
        <v>1</v>
      </c>
    </row>
    <row r="1898">
      <c r="A1898" s="10" t="str">
        <f>IFERROR(__xludf.DUMMYFUNCTION("""COMPUTED_VALUE"""),"PORITAN")</f>
        <v>PORITAN</v>
      </c>
      <c r="B1898" s="10">
        <f>IFERROR(__xludf.DUMMYFUNCTION("""COMPUTED_VALUE"""),481.0)</f>
        <v>481</v>
      </c>
      <c r="C1898" s="10">
        <f>IFERROR(__xludf.DUMMYFUNCTION("""COMPUTED_VALUE"""),5590.0)</f>
        <v>5590</v>
      </c>
      <c r="D1898" s="5">
        <f>IFERROR(__xludf.DUMMYFUNCTION("""COMPUTED_VALUE"""),0.37247993736543356)</f>
        <v>0.3724799374</v>
      </c>
      <c r="E1898" s="5">
        <f>IFERROR(__xludf.DUMMYFUNCTION("""COMPUTED_VALUE"""),0.13309845370914072)</f>
        <v>0.1330984537</v>
      </c>
      <c r="F1898" s="5">
        <f>IFERROR(__xludf.DUMMYFUNCTION("""COMPUTED_VALUE"""),0.2168721863378352)</f>
        <v>0.2168721863</v>
      </c>
      <c r="G1898" s="5">
        <f>IFERROR(__xludf.DUMMYFUNCTION("""COMPUTED_VALUE"""),0.1628498727735369)</f>
        <v>0.1628498728</v>
      </c>
      <c r="H1898" s="5">
        <f>IFERROR(__xludf.DUMMYFUNCTION("""COMPUTED_VALUE"""),0.5956678700361011)</f>
        <v>0.59566787</v>
      </c>
      <c r="I1898" s="11">
        <f>IFERROR(__xludf.DUMMYFUNCTION("""COMPUTED_VALUE"""),5447.563176895307)</f>
        <v>5447.563177</v>
      </c>
      <c r="J1898" s="10">
        <f>IFERROR(__xludf.DUMMYFUNCTION("""COMPUTED_VALUE"""),0.0)</f>
        <v>0</v>
      </c>
      <c r="K1898" s="5">
        <f>IFERROR(__xludf.DUMMYFUNCTION("""COMPUTED_VALUE"""),0.0)</f>
        <v>0</v>
      </c>
      <c r="L1898" s="10">
        <f>IFERROR(__xludf.DUMMYFUNCTION("""COMPUTED_VALUE"""),455.0)</f>
        <v>455</v>
      </c>
      <c r="M1898" s="5">
        <f>IFERROR(__xludf.DUMMYFUNCTION("""COMPUTED_VALUE"""),0.9459459459459459)</f>
        <v>0.9459459459</v>
      </c>
    </row>
    <row r="1899">
      <c r="A1899" s="10" t="str">
        <f>IFERROR(__xludf.DUMMYFUNCTION("""COMPUTED_VALUE"""),"seasui")</f>
        <v>seasui</v>
      </c>
      <c r="B1899" s="10">
        <f>IFERROR(__xludf.DUMMYFUNCTION("""COMPUTED_VALUE"""),2247.0)</f>
        <v>2247</v>
      </c>
      <c r="C1899" s="10">
        <f>IFERROR(__xludf.DUMMYFUNCTION("""COMPUTED_VALUE"""),26410.0)</f>
        <v>26410</v>
      </c>
      <c r="D1899" s="5">
        <f>IFERROR(__xludf.DUMMYFUNCTION("""COMPUTED_VALUE"""),0.36506228531225426)</f>
        <v>0.3650622853</v>
      </c>
      <c r="E1899" s="5">
        <f>IFERROR(__xludf.DUMMYFUNCTION("""COMPUTED_VALUE"""),0.13309605595331706)</f>
        <v>0.133096056</v>
      </c>
      <c r="F1899" s="5">
        <f>IFERROR(__xludf.DUMMYFUNCTION("""COMPUTED_VALUE"""),0.21280470140297147)</f>
        <v>0.2128047014</v>
      </c>
      <c r="G1899" s="5">
        <f>IFERROR(__xludf.DUMMYFUNCTION("""COMPUTED_VALUE"""),0.16086578653312916)</f>
        <v>0.1608657865</v>
      </c>
      <c r="H1899" s="5">
        <f>IFERROR(__xludf.DUMMYFUNCTION("""COMPUTED_VALUE"""),0.5989887203422792)</f>
        <v>0.5989887203</v>
      </c>
      <c r="I1899" s="11">
        <f>IFERROR(__xludf.DUMMYFUNCTION("""COMPUTED_VALUE"""),5609.004278490859)</f>
        <v>5609.004278</v>
      </c>
      <c r="J1899" s="10">
        <f>IFERROR(__xludf.DUMMYFUNCTION("""COMPUTED_VALUE"""),4.0)</f>
        <v>4</v>
      </c>
      <c r="K1899" s="5">
        <f>IFERROR(__xludf.DUMMYFUNCTION("""COMPUTED_VALUE"""),0.0017801513128615932)</f>
        <v>0.001780151313</v>
      </c>
      <c r="L1899" s="10">
        <f>IFERROR(__xludf.DUMMYFUNCTION("""COMPUTED_VALUE"""),2247.0)</f>
        <v>2247</v>
      </c>
      <c r="M1899" s="5">
        <f>IFERROR(__xludf.DUMMYFUNCTION("""COMPUTED_VALUE"""),1.0)</f>
        <v>1</v>
      </c>
    </row>
    <row r="1900">
      <c r="A1900" s="10" t="str">
        <f>IFERROR(__xludf.DUMMYFUNCTION("""COMPUTED_VALUE"""),"てんとうくろー")</f>
        <v>てんとうくろー</v>
      </c>
      <c r="B1900" s="10">
        <f>IFERROR(__xludf.DUMMYFUNCTION("""COMPUTED_VALUE"""),2021.0)</f>
        <v>2021</v>
      </c>
      <c r="C1900" s="10">
        <f>IFERROR(__xludf.DUMMYFUNCTION("""COMPUTED_VALUE"""),23562.0)</f>
        <v>23562</v>
      </c>
      <c r="D1900" s="5">
        <f>IFERROR(__xludf.DUMMYFUNCTION("""COMPUTED_VALUE"""),0.35262986862262663)</f>
        <v>0.3526298686</v>
      </c>
      <c r="E1900" s="5">
        <f>IFERROR(__xludf.DUMMYFUNCTION("""COMPUTED_VALUE"""),0.1330950280859756)</f>
        <v>0.1330950281</v>
      </c>
      <c r="F1900" s="5">
        <f>IFERROR(__xludf.DUMMYFUNCTION("""COMPUTED_VALUE"""),0.21786360893180445)</f>
        <v>0.2178636089</v>
      </c>
      <c r="G1900" s="5">
        <f>IFERROR(__xludf.DUMMYFUNCTION("""COMPUTED_VALUE"""),0.19906225337728053)</f>
        <v>0.1990622534</v>
      </c>
      <c r="H1900" s="5">
        <f>IFERROR(__xludf.DUMMYFUNCTION("""COMPUTED_VALUE"""),0.5859791178350735)</f>
        <v>0.5859791178</v>
      </c>
      <c r="I1900" s="11">
        <f>IFERROR(__xludf.DUMMYFUNCTION("""COMPUTED_VALUE"""),5752.226720647774)</f>
        <v>5752.226721</v>
      </c>
      <c r="J1900" s="10">
        <f>IFERROR(__xludf.DUMMYFUNCTION("""COMPUTED_VALUE"""),2.0)</f>
        <v>2</v>
      </c>
      <c r="K1900" s="5">
        <f>IFERROR(__xludf.DUMMYFUNCTION("""COMPUTED_VALUE"""),9.896091044037606E-4)</f>
        <v>0.0009896091044</v>
      </c>
      <c r="L1900" s="10">
        <f>IFERROR(__xludf.DUMMYFUNCTION("""COMPUTED_VALUE"""),1902.0)</f>
        <v>1902</v>
      </c>
      <c r="M1900" s="5">
        <f>IFERROR(__xludf.DUMMYFUNCTION("""COMPUTED_VALUE"""),0.9411182582879762)</f>
        <v>0.9411182583</v>
      </c>
    </row>
    <row r="1901">
      <c r="A1901" s="10" t="str">
        <f>IFERROR(__xludf.DUMMYFUNCTION("""COMPUTED_VALUE"""),"ピンズ三兄弟")</f>
        <v>ピンズ三兄弟</v>
      </c>
      <c r="B1901" s="10">
        <f>IFERROR(__xludf.DUMMYFUNCTION("""COMPUTED_VALUE"""),332.0)</f>
        <v>332</v>
      </c>
      <c r="C1901" s="10">
        <f>IFERROR(__xludf.DUMMYFUNCTION("""COMPUTED_VALUE"""),3894.0)</f>
        <v>3894</v>
      </c>
      <c r="D1901" s="5">
        <f>IFERROR(__xludf.DUMMYFUNCTION("""COMPUTED_VALUE"""),0.3573834924199888)</f>
        <v>0.3573834924</v>
      </c>
      <c r="E1901" s="5">
        <f>IFERROR(__xludf.DUMMYFUNCTION("""COMPUTED_VALUE"""),0.13307130825379002)</f>
        <v>0.1330713083</v>
      </c>
      <c r="F1901" s="5">
        <f>IFERROR(__xludf.DUMMYFUNCTION("""COMPUTED_VALUE"""),0.22796181920269512)</f>
        <v>0.2279618192</v>
      </c>
      <c r="G1901" s="5">
        <f>IFERROR(__xludf.DUMMYFUNCTION("""COMPUTED_VALUE"""),0.160864682762493)</f>
        <v>0.1608646828</v>
      </c>
      <c r="H1901" s="5">
        <f>IFERROR(__xludf.DUMMYFUNCTION("""COMPUTED_VALUE"""),0.6108374384236454)</f>
        <v>0.6108374384</v>
      </c>
      <c r="I1901" s="11">
        <f>IFERROR(__xludf.DUMMYFUNCTION("""COMPUTED_VALUE"""),5347.413793103448)</f>
        <v>5347.413793</v>
      </c>
      <c r="J1901" s="10">
        <f>IFERROR(__xludf.DUMMYFUNCTION("""COMPUTED_VALUE"""),0.0)</f>
        <v>0</v>
      </c>
      <c r="K1901" s="5">
        <f>IFERROR(__xludf.DUMMYFUNCTION("""COMPUTED_VALUE"""),0.0)</f>
        <v>0</v>
      </c>
      <c r="L1901" s="10">
        <f>IFERROR(__xludf.DUMMYFUNCTION("""COMPUTED_VALUE"""),332.0)</f>
        <v>332</v>
      </c>
      <c r="M1901" s="5">
        <f>IFERROR(__xludf.DUMMYFUNCTION("""COMPUTED_VALUE"""),1.0)</f>
        <v>1</v>
      </c>
    </row>
    <row r="1902">
      <c r="A1902" s="10" t="str">
        <f>IFERROR(__xludf.DUMMYFUNCTION("""COMPUTED_VALUE"""),"MF香川真司")</f>
        <v>MF香川真司</v>
      </c>
      <c r="B1902" s="10">
        <f>IFERROR(__xludf.DUMMYFUNCTION("""COMPUTED_VALUE"""),736.0)</f>
        <v>736</v>
      </c>
      <c r="C1902" s="10">
        <f>IFERROR(__xludf.DUMMYFUNCTION("""COMPUTED_VALUE"""),8619.0)</f>
        <v>8619</v>
      </c>
      <c r="D1902" s="5">
        <f>IFERROR(__xludf.DUMMYFUNCTION("""COMPUTED_VALUE"""),0.32754027654446277)</f>
        <v>0.3275402765</v>
      </c>
      <c r="E1902" s="5">
        <f>IFERROR(__xludf.DUMMYFUNCTION("""COMPUTED_VALUE"""),0.1330711657998224)</f>
        <v>0.1330711658</v>
      </c>
      <c r="F1902" s="5">
        <f>IFERROR(__xludf.DUMMYFUNCTION("""COMPUTED_VALUE"""),0.20385639984777368)</f>
        <v>0.2038563998</v>
      </c>
      <c r="G1902" s="5">
        <f>IFERROR(__xludf.DUMMYFUNCTION("""COMPUTED_VALUE"""),0.15704680959025752)</f>
        <v>0.1570468096</v>
      </c>
      <c r="H1902" s="5">
        <f>IFERROR(__xludf.DUMMYFUNCTION("""COMPUTED_VALUE"""),0.5892968263845675)</f>
        <v>0.5892968264</v>
      </c>
      <c r="I1902" s="11">
        <f>IFERROR(__xludf.DUMMYFUNCTION("""COMPUTED_VALUE"""),5707.84069695084)</f>
        <v>5707.840697</v>
      </c>
      <c r="J1902" s="10">
        <f>IFERROR(__xludf.DUMMYFUNCTION("""COMPUTED_VALUE"""),1.0)</f>
        <v>1</v>
      </c>
      <c r="K1902" s="5">
        <f>IFERROR(__xludf.DUMMYFUNCTION("""COMPUTED_VALUE"""),0.001358695652173913)</f>
        <v>0.001358695652</v>
      </c>
      <c r="L1902" s="10">
        <f>IFERROR(__xludf.DUMMYFUNCTION("""COMPUTED_VALUE"""),736.0)</f>
        <v>736</v>
      </c>
      <c r="M1902" s="5">
        <f>IFERROR(__xludf.DUMMYFUNCTION("""COMPUTED_VALUE"""),1.0)</f>
        <v>1</v>
      </c>
    </row>
    <row r="1903">
      <c r="A1903" s="10" t="str">
        <f>IFERROR(__xludf.DUMMYFUNCTION("""COMPUTED_VALUE"""),"炭@杏杏軍団")</f>
        <v>炭@杏杏軍団</v>
      </c>
      <c r="B1903" s="10">
        <f>IFERROR(__xludf.DUMMYFUNCTION("""COMPUTED_VALUE"""),325.0)</f>
        <v>325</v>
      </c>
      <c r="C1903" s="10">
        <f>IFERROR(__xludf.DUMMYFUNCTION("""COMPUTED_VALUE"""),3805.0)</f>
        <v>3805</v>
      </c>
      <c r="D1903" s="5">
        <f>IFERROR(__xludf.DUMMYFUNCTION("""COMPUTED_VALUE"""),0.3807471264367816)</f>
        <v>0.3807471264</v>
      </c>
      <c r="E1903" s="5">
        <f>IFERROR(__xludf.DUMMYFUNCTION("""COMPUTED_VALUE"""),0.13304597701149426)</f>
        <v>0.133045977</v>
      </c>
      <c r="F1903" s="5">
        <f>IFERROR(__xludf.DUMMYFUNCTION("""COMPUTED_VALUE"""),0.207183908045977)</f>
        <v>0.207183908</v>
      </c>
      <c r="G1903" s="5">
        <f>IFERROR(__xludf.DUMMYFUNCTION("""COMPUTED_VALUE"""),0.15948275862068967)</f>
        <v>0.1594827586</v>
      </c>
      <c r="H1903" s="5">
        <f>IFERROR(__xludf.DUMMYFUNCTION("""COMPUTED_VALUE"""),0.5561719833564494)</f>
        <v>0.5561719834</v>
      </c>
      <c r="I1903" s="11">
        <f>IFERROR(__xludf.DUMMYFUNCTION("""COMPUTED_VALUE"""),5549.375866851595)</f>
        <v>5549.375867</v>
      </c>
      <c r="J1903" s="10">
        <f>IFERROR(__xludf.DUMMYFUNCTION("""COMPUTED_VALUE"""),1.0)</f>
        <v>1</v>
      </c>
      <c r="K1903" s="5">
        <f>IFERROR(__xludf.DUMMYFUNCTION("""COMPUTED_VALUE"""),0.003076923076923077)</f>
        <v>0.003076923077</v>
      </c>
      <c r="L1903" s="10">
        <f>IFERROR(__xludf.DUMMYFUNCTION("""COMPUTED_VALUE"""),290.0)</f>
        <v>290</v>
      </c>
      <c r="M1903" s="5">
        <f>IFERROR(__xludf.DUMMYFUNCTION("""COMPUTED_VALUE"""),0.8923076923076924)</f>
        <v>0.8923076923</v>
      </c>
    </row>
    <row r="1904">
      <c r="A1904" s="10" t="str">
        <f>IFERROR(__xludf.DUMMYFUNCTION("""COMPUTED_VALUE"""),"裸ジャージ")</f>
        <v>裸ジャージ</v>
      </c>
      <c r="B1904" s="10">
        <f>IFERROR(__xludf.DUMMYFUNCTION("""COMPUTED_VALUE"""),276.0)</f>
        <v>276</v>
      </c>
      <c r="C1904" s="10">
        <f>IFERROR(__xludf.DUMMYFUNCTION("""COMPUTED_VALUE"""),3185.0)</f>
        <v>3185</v>
      </c>
      <c r="D1904" s="5">
        <f>IFERROR(__xludf.DUMMYFUNCTION("""COMPUTED_VALUE"""),0.286696459264352)</f>
        <v>0.2866964593</v>
      </c>
      <c r="E1904" s="5">
        <f>IFERROR(__xludf.DUMMYFUNCTION("""COMPUTED_VALUE"""),0.1330354073564799)</f>
        <v>0.1330354074</v>
      </c>
      <c r="F1904" s="5">
        <f>IFERROR(__xludf.DUMMYFUNCTION("""COMPUTED_VALUE"""),0.1852870402200069)</f>
        <v>0.1852870402</v>
      </c>
      <c r="G1904" s="5">
        <f>IFERROR(__xludf.DUMMYFUNCTION("""COMPUTED_VALUE"""),0.16534891715366104)</f>
        <v>0.1653489172</v>
      </c>
      <c r="H1904" s="5">
        <f>IFERROR(__xludf.DUMMYFUNCTION("""COMPUTED_VALUE"""),0.601113172541744)</f>
        <v>0.6011131725</v>
      </c>
      <c r="I1904" s="11">
        <f>IFERROR(__xludf.DUMMYFUNCTION("""COMPUTED_VALUE"""),5727.272727272727)</f>
        <v>5727.272727</v>
      </c>
      <c r="J1904" s="10">
        <f>IFERROR(__xludf.DUMMYFUNCTION("""COMPUTED_VALUE"""),0.0)</f>
        <v>0</v>
      </c>
      <c r="K1904" s="5">
        <f>IFERROR(__xludf.DUMMYFUNCTION("""COMPUTED_VALUE"""),0.0)</f>
        <v>0</v>
      </c>
      <c r="L1904" s="10">
        <f>IFERROR(__xludf.DUMMYFUNCTION("""COMPUTED_VALUE"""),25.0)</f>
        <v>25</v>
      </c>
      <c r="M1904" s="5">
        <f>IFERROR(__xludf.DUMMYFUNCTION("""COMPUTED_VALUE"""),0.09057971014492754)</f>
        <v>0.09057971014</v>
      </c>
    </row>
    <row r="1905">
      <c r="A1905" s="10" t="str">
        <f>IFERROR(__xludf.DUMMYFUNCTION("""COMPUTED_VALUE"""),"みかんサムライ")</f>
        <v>みかんサムライ</v>
      </c>
      <c r="B1905" s="10">
        <f>IFERROR(__xludf.DUMMYFUNCTION("""COMPUTED_VALUE"""),392.0)</f>
        <v>392</v>
      </c>
      <c r="C1905" s="10">
        <f>IFERROR(__xludf.DUMMYFUNCTION("""COMPUTED_VALUE"""),4624.0)</f>
        <v>4624</v>
      </c>
      <c r="D1905" s="5">
        <f>IFERROR(__xludf.DUMMYFUNCTION("""COMPUTED_VALUE"""),0.39792060491493386)</f>
        <v>0.3979206049</v>
      </c>
      <c r="E1905" s="5">
        <f>IFERROR(__xludf.DUMMYFUNCTION("""COMPUTED_VALUE"""),0.13303402646502835)</f>
        <v>0.1330340265</v>
      </c>
      <c r="F1905" s="5">
        <f>IFERROR(__xludf.DUMMYFUNCTION("""COMPUTED_VALUE"""),0.22117202268431002)</f>
        <v>0.2211720227</v>
      </c>
      <c r="G1905" s="5">
        <f>IFERROR(__xludf.DUMMYFUNCTION("""COMPUTED_VALUE"""),0.17533081285444235)</f>
        <v>0.1753308129</v>
      </c>
      <c r="H1905" s="5">
        <f>IFERROR(__xludf.DUMMYFUNCTION("""COMPUTED_VALUE"""),0.5918803418803419)</f>
        <v>0.5918803419</v>
      </c>
      <c r="I1905" s="11">
        <f>IFERROR(__xludf.DUMMYFUNCTION("""COMPUTED_VALUE"""),5252.5641025641025)</f>
        <v>5252.564103</v>
      </c>
      <c r="J1905" s="10">
        <f>IFERROR(__xludf.DUMMYFUNCTION("""COMPUTED_VALUE"""),0.0)</f>
        <v>0</v>
      </c>
      <c r="K1905" s="5">
        <f>IFERROR(__xludf.DUMMYFUNCTION("""COMPUTED_VALUE"""),0.0)</f>
        <v>0</v>
      </c>
      <c r="L1905" s="10">
        <f>IFERROR(__xludf.DUMMYFUNCTION("""COMPUTED_VALUE"""),392.0)</f>
        <v>392</v>
      </c>
      <c r="M1905" s="5">
        <f>IFERROR(__xludf.DUMMYFUNCTION("""COMPUTED_VALUE"""),1.0)</f>
        <v>1</v>
      </c>
    </row>
    <row r="1906">
      <c r="A1906" s="10" t="str">
        <f>IFERROR(__xludf.DUMMYFUNCTION("""COMPUTED_VALUE"""),"aibi")</f>
        <v>aibi</v>
      </c>
      <c r="B1906" s="10">
        <f>IFERROR(__xludf.DUMMYFUNCTION("""COMPUTED_VALUE"""),171.0)</f>
        <v>171</v>
      </c>
      <c r="C1906" s="10">
        <f>IFERROR(__xludf.DUMMYFUNCTION("""COMPUTED_VALUE"""),1983.0)</f>
        <v>1983</v>
      </c>
      <c r="D1906" s="5">
        <f>IFERROR(__xludf.DUMMYFUNCTION("""COMPUTED_VALUE"""),0.2737306843267108)</f>
        <v>0.2737306843</v>
      </c>
      <c r="E1906" s="5">
        <f>IFERROR(__xludf.DUMMYFUNCTION("""COMPUTED_VALUE"""),0.13300220750551878)</f>
        <v>0.1330022075</v>
      </c>
      <c r="F1906" s="5">
        <f>IFERROR(__xludf.DUMMYFUNCTION("""COMPUTED_VALUE"""),0.20143487858719647)</f>
        <v>0.2014348786</v>
      </c>
      <c r="G1906" s="5">
        <f>IFERROR(__xludf.DUMMYFUNCTION("""COMPUTED_VALUE"""),0.18818984547461368)</f>
        <v>0.1881898455</v>
      </c>
      <c r="H1906" s="5">
        <f>IFERROR(__xludf.DUMMYFUNCTION("""COMPUTED_VALUE"""),0.6)</f>
        <v>0.6</v>
      </c>
      <c r="I1906" s="11">
        <f>IFERROR(__xludf.DUMMYFUNCTION("""COMPUTED_VALUE"""),5742.191780821918)</f>
        <v>5742.191781</v>
      </c>
      <c r="J1906" s="10">
        <f>IFERROR(__xludf.DUMMYFUNCTION("""COMPUTED_VALUE"""),0.0)</f>
        <v>0</v>
      </c>
      <c r="K1906" s="5">
        <f>IFERROR(__xludf.DUMMYFUNCTION("""COMPUTED_VALUE"""),0.0)</f>
        <v>0</v>
      </c>
      <c r="L1906" s="10">
        <f>IFERROR(__xludf.DUMMYFUNCTION("""COMPUTED_VALUE"""),171.0)</f>
        <v>171</v>
      </c>
      <c r="M1906" s="5">
        <f>IFERROR(__xludf.DUMMYFUNCTION("""COMPUTED_VALUE"""),1.0)</f>
        <v>1</v>
      </c>
    </row>
    <row r="1907">
      <c r="A1907" s="10" t="str">
        <f>IFERROR(__xludf.DUMMYFUNCTION("""COMPUTED_VALUE"""),"召喚スイッチ")</f>
        <v>召喚スイッチ</v>
      </c>
      <c r="B1907" s="10">
        <f>IFERROR(__xludf.DUMMYFUNCTION("""COMPUTED_VALUE"""),220.0)</f>
        <v>220</v>
      </c>
      <c r="C1907" s="10">
        <f>IFERROR(__xludf.DUMMYFUNCTION("""COMPUTED_VALUE"""),2596.0)</f>
        <v>2596</v>
      </c>
      <c r="D1907" s="5">
        <f>IFERROR(__xludf.DUMMYFUNCTION("""COMPUTED_VALUE"""),0.3838383838383838)</f>
        <v>0.3838383838</v>
      </c>
      <c r="E1907" s="5">
        <f>IFERROR(__xludf.DUMMYFUNCTION("""COMPUTED_VALUE"""),0.132996632996633)</f>
        <v>0.132996633</v>
      </c>
      <c r="F1907" s="5">
        <f>IFERROR(__xludf.DUMMYFUNCTION("""COMPUTED_VALUE"""),0.20917508417508418)</f>
        <v>0.2091750842</v>
      </c>
      <c r="G1907" s="5">
        <f>IFERROR(__xludf.DUMMYFUNCTION("""COMPUTED_VALUE"""),0.1771885521885522)</f>
        <v>0.1771885522</v>
      </c>
      <c r="H1907" s="5">
        <f>IFERROR(__xludf.DUMMYFUNCTION("""COMPUTED_VALUE"""),0.5915492957746479)</f>
        <v>0.5915492958</v>
      </c>
      <c r="I1907" s="11">
        <f>IFERROR(__xludf.DUMMYFUNCTION("""COMPUTED_VALUE"""),5835.211267605634)</f>
        <v>5835.211268</v>
      </c>
      <c r="J1907" s="10">
        <f>IFERROR(__xludf.DUMMYFUNCTION("""COMPUTED_VALUE"""),0.0)</f>
        <v>0</v>
      </c>
      <c r="K1907" s="5">
        <f>IFERROR(__xludf.DUMMYFUNCTION("""COMPUTED_VALUE"""),0.0)</f>
        <v>0</v>
      </c>
      <c r="L1907" s="10">
        <f>IFERROR(__xludf.DUMMYFUNCTION("""COMPUTED_VALUE"""),220.0)</f>
        <v>220</v>
      </c>
      <c r="M1907" s="5">
        <f>IFERROR(__xludf.DUMMYFUNCTION("""COMPUTED_VALUE"""),1.0)</f>
        <v>1</v>
      </c>
    </row>
    <row r="1908">
      <c r="A1908" s="10" t="str">
        <f>IFERROR(__xludf.DUMMYFUNCTION("""COMPUTED_VALUE"""),"ラッキードッグ")</f>
        <v>ラッキードッグ</v>
      </c>
      <c r="B1908" s="10">
        <f>IFERROR(__xludf.DUMMYFUNCTION("""COMPUTED_VALUE"""),4483.0)</f>
        <v>4483</v>
      </c>
      <c r="C1908" s="10">
        <f>IFERROR(__xludf.DUMMYFUNCTION("""COMPUTED_VALUE"""),52771.0)</f>
        <v>52771</v>
      </c>
      <c r="D1908" s="5">
        <f>IFERROR(__xludf.DUMMYFUNCTION("""COMPUTED_VALUE"""),0.3508117958913188)</f>
        <v>0.3508117959</v>
      </c>
      <c r="E1908" s="5">
        <f>IFERROR(__xludf.DUMMYFUNCTION("""COMPUTED_VALUE"""),0.1329937044400265)</f>
        <v>0.1329937044</v>
      </c>
      <c r="F1908" s="5">
        <f>IFERROR(__xludf.DUMMYFUNCTION("""COMPUTED_VALUE"""),0.20644880715705766)</f>
        <v>0.2064488072</v>
      </c>
      <c r="G1908" s="5">
        <f>IFERROR(__xludf.DUMMYFUNCTION("""COMPUTED_VALUE"""),0.16447150430748841)</f>
        <v>0.1644715043</v>
      </c>
      <c r="H1908" s="5">
        <f>IFERROR(__xludf.DUMMYFUNCTION("""COMPUTED_VALUE"""),0.5893269134316381)</f>
        <v>0.5893269134</v>
      </c>
      <c r="I1908" s="11">
        <f>IFERROR(__xludf.DUMMYFUNCTION("""COMPUTED_VALUE"""),5662.042331226803)</f>
        <v>5662.042331</v>
      </c>
      <c r="J1908" s="10">
        <f>IFERROR(__xludf.DUMMYFUNCTION("""COMPUTED_VALUE"""),4.0)</f>
        <v>4</v>
      </c>
      <c r="K1908" s="5">
        <f>IFERROR(__xludf.DUMMYFUNCTION("""COMPUTED_VALUE"""),8.922596475574393E-4)</f>
        <v>0.0008922596476</v>
      </c>
      <c r="L1908" s="10">
        <f>IFERROR(__xludf.DUMMYFUNCTION("""COMPUTED_VALUE"""),4064.0)</f>
        <v>4064</v>
      </c>
      <c r="M1908" s="5">
        <f>IFERROR(__xludf.DUMMYFUNCTION("""COMPUTED_VALUE"""),0.9065358019183583)</f>
        <v>0.9065358019</v>
      </c>
    </row>
    <row r="1909">
      <c r="A1909" s="10" t="str">
        <f>IFERROR(__xludf.DUMMYFUNCTION("""COMPUTED_VALUE"""),"一年の気持ち")</f>
        <v>一年の気持ち</v>
      </c>
      <c r="B1909" s="10">
        <f>IFERROR(__xludf.DUMMYFUNCTION("""COMPUTED_VALUE"""),108.0)</f>
        <v>108</v>
      </c>
      <c r="C1909" s="10">
        <f>IFERROR(__xludf.DUMMYFUNCTION("""COMPUTED_VALUE"""),1266.0)</f>
        <v>1266</v>
      </c>
      <c r="D1909" s="5">
        <f>IFERROR(__xludf.DUMMYFUNCTION("""COMPUTED_VALUE"""),0.27806563039723664)</f>
        <v>0.2780656304</v>
      </c>
      <c r="E1909" s="5">
        <f>IFERROR(__xludf.DUMMYFUNCTION("""COMPUTED_VALUE"""),0.13298791018998274)</f>
        <v>0.1329879102</v>
      </c>
      <c r="F1909" s="5">
        <f>IFERROR(__xludf.DUMMYFUNCTION("""COMPUTED_VALUE"""),0.18739205526770294)</f>
        <v>0.1873920553</v>
      </c>
      <c r="G1909" s="5">
        <f>IFERROR(__xludf.DUMMYFUNCTION("""COMPUTED_VALUE"""),0.16234887737478412)</f>
        <v>0.1623488774</v>
      </c>
      <c r="H1909" s="5">
        <f>IFERROR(__xludf.DUMMYFUNCTION("""COMPUTED_VALUE"""),0.5990783410138248)</f>
        <v>0.599078341</v>
      </c>
      <c r="I1909" s="11">
        <f>IFERROR(__xludf.DUMMYFUNCTION("""COMPUTED_VALUE"""),5428.110599078341)</f>
        <v>5428.110599</v>
      </c>
      <c r="J1909" s="10">
        <f>IFERROR(__xludf.DUMMYFUNCTION("""COMPUTED_VALUE"""),1.0)</f>
        <v>1</v>
      </c>
      <c r="K1909" s="5">
        <f>IFERROR(__xludf.DUMMYFUNCTION("""COMPUTED_VALUE"""),0.009259259259259259)</f>
        <v>0.009259259259</v>
      </c>
      <c r="L1909" s="10">
        <f>IFERROR(__xludf.DUMMYFUNCTION("""COMPUTED_VALUE"""),5.0)</f>
        <v>5</v>
      </c>
      <c r="M1909" s="5">
        <f>IFERROR(__xludf.DUMMYFUNCTION("""COMPUTED_VALUE"""),0.046296296296296294)</f>
        <v>0.0462962963</v>
      </c>
    </row>
    <row r="1910">
      <c r="A1910" s="10" t="str">
        <f>IFERROR(__xludf.DUMMYFUNCTION("""COMPUTED_VALUE"""),"hickey")</f>
        <v>hickey</v>
      </c>
      <c r="B1910" s="10">
        <f>IFERROR(__xludf.DUMMYFUNCTION("""COMPUTED_VALUE"""),162.0)</f>
        <v>162</v>
      </c>
      <c r="C1910" s="10">
        <f>IFERROR(__xludf.DUMMYFUNCTION("""COMPUTED_VALUE"""),1884.0)</f>
        <v>1884</v>
      </c>
      <c r="D1910" s="5">
        <f>IFERROR(__xludf.DUMMYFUNCTION("""COMPUTED_VALUE"""),0.3612078977932636)</f>
        <v>0.3612078978</v>
      </c>
      <c r="E1910" s="5">
        <f>IFERROR(__xludf.DUMMYFUNCTION("""COMPUTED_VALUE"""),0.1329849012775842)</f>
        <v>0.1329849013</v>
      </c>
      <c r="F1910" s="5">
        <f>IFERROR(__xludf.DUMMYFUNCTION("""COMPUTED_VALUE"""),0.20267131242741)</f>
        <v>0.2026713124</v>
      </c>
      <c r="G1910" s="5">
        <f>IFERROR(__xludf.DUMMYFUNCTION("""COMPUTED_VALUE"""),0.16492450638792103)</f>
        <v>0.1649245064</v>
      </c>
      <c r="H1910" s="5">
        <f>IFERROR(__xludf.DUMMYFUNCTION("""COMPUTED_VALUE"""),0.5673352435530086)</f>
        <v>0.5673352436</v>
      </c>
      <c r="I1910" s="11">
        <f>IFERROR(__xludf.DUMMYFUNCTION("""COMPUTED_VALUE"""),5620.916905444126)</f>
        <v>5620.916905</v>
      </c>
      <c r="J1910" s="10">
        <f>IFERROR(__xludf.DUMMYFUNCTION("""COMPUTED_VALUE"""),0.0)</f>
        <v>0</v>
      </c>
      <c r="K1910" s="5">
        <f>IFERROR(__xludf.DUMMYFUNCTION("""COMPUTED_VALUE"""),0.0)</f>
        <v>0</v>
      </c>
      <c r="L1910" s="10">
        <f>IFERROR(__xludf.DUMMYFUNCTION("""COMPUTED_VALUE"""),162.0)</f>
        <v>162</v>
      </c>
      <c r="M1910" s="5">
        <f>IFERROR(__xludf.DUMMYFUNCTION("""COMPUTED_VALUE"""),1.0)</f>
        <v>1</v>
      </c>
    </row>
    <row r="1911">
      <c r="A1911" s="10" t="str">
        <f>IFERROR(__xludf.DUMMYFUNCTION("""COMPUTED_VALUE"""),"ＭＡＶＥＲＩＣＫ")</f>
        <v>ＭＡＶＥＲＩＣＫ</v>
      </c>
      <c r="B1911" s="10">
        <f>IFERROR(__xludf.DUMMYFUNCTION("""COMPUTED_VALUE"""),651.0)</f>
        <v>651</v>
      </c>
      <c r="C1911" s="10">
        <f>IFERROR(__xludf.DUMMYFUNCTION("""COMPUTED_VALUE"""),7712.0)</f>
        <v>7712</v>
      </c>
      <c r="D1911" s="5">
        <f>IFERROR(__xludf.DUMMYFUNCTION("""COMPUTED_VALUE"""),0.33862059198413824)</f>
        <v>0.338620592</v>
      </c>
      <c r="E1911" s="5">
        <f>IFERROR(__xludf.DUMMYFUNCTION("""COMPUTED_VALUE"""),0.132983996601048)</f>
        <v>0.1329839966</v>
      </c>
      <c r="F1911" s="5">
        <f>IFERROR(__xludf.DUMMYFUNCTION("""COMPUTED_VALUE"""),0.21583345135249965)</f>
        <v>0.2158334514</v>
      </c>
      <c r="G1911" s="5">
        <f>IFERROR(__xludf.DUMMYFUNCTION("""COMPUTED_VALUE"""),0.14827928055516215)</f>
        <v>0.1482792806</v>
      </c>
      <c r="H1911" s="5">
        <f>IFERROR(__xludf.DUMMYFUNCTION("""COMPUTED_VALUE"""),0.5912073490813649)</f>
        <v>0.5912073491</v>
      </c>
      <c r="I1911" s="11">
        <f>IFERROR(__xludf.DUMMYFUNCTION("""COMPUTED_VALUE"""),5544.094488188976)</f>
        <v>5544.094488</v>
      </c>
      <c r="J1911" s="10">
        <f>IFERROR(__xludf.DUMMYFUNCTION("""COMPUTED_VALUE"""),2.0)</f>
        <v>2</v>
      </c>
      <c r="K1911" s="5">
        <f>IFERROR(__xludf.DUMMYFUNCTION("""COMPUTED_VALUE"""),0.0030721966205837174)</f>
        <v>0.003072196621</v>
      </c>
      <c r="L1911" s="10">
        <f>IFERROR(__xludf.DUMMYFUNCTION("""COMPUTED_VALUE"""),651.0)</f>
        <v>651</v>
      </c>
      <c r="M1911" s="5">
        <f>IFERROR(__xludf.DUMMYFUNCTION("""COMPUTED_VALUE"""),1.0)</f>
        <v>1</v>
      </c>
    </row>
    <row r="1912">
      <c r="A1912" s="10" t="str">
        <f>IFERROR(__xludf.DUMMYFUNCTION("""COMPUTED_VALUE"""),"麻雀伝道師")</f>
        <v>麻雀伝道師</v>
      </c>
      <c r="B1912" s="10">
        <f>IFERROR(__xludf.DUMMYFUNCTION("""COMPUTED_VALUE"""),1357.0)</f>
        <v>1357</v>
      </c>
      <c r="C1912" s="10">
        <f>IFERROR(__xludf.DUMMYFUNCTION("""COMPUTED_VALUE"""),15840.0)</f>
        <v>15840</v>
      </c>
      <c r="D1912" s="5">
        <f>IFERROR(__xludf.DUMMYFUNCTION("""COMPUTED_VALUE"""),0.3227922391769661)</f>
        <v>0.3227922392</v>
      </c>
      <c r="E1912" s="5">
        <f>IFERROR(__xludf.DUMMYFUNCTION("""COMPUTED_VALUE"""),0.13298349789408273)</f>
        <v>0.1329834979</v>
      </c>
      <c r="F1912" s="5">
        <f>IFERROR(__xludf.DUMMYFUNCTION("""COMPUTED_VALUE"""),0.20838224124836013)</f>
        <v>0.2083822412</v>
      </c>
      <c r="G1912" s="5">
        <f>IFERROR(__xludf.DUMMYFUNCTION("""COMPUTED_VALUE"""),0.2055513360491611)</f>
        <v>0.205551336</v>
      </c>
      <c r="H1912" s="5">
        <f>IFERROR(__xludf.DUMMYFUNCTION("""COMPUTED_VALUE"""),0.5785288270377733)</f>
        <v>0.578528827</v>
      </c>
      <c r="I1912" s="11">
        <f>IFERROR(__xludf.DUMMYFUNCTION("""COMPUTED_VALUE"""),5885.58648111332)</f>
        <v>5885.586481</v>
      </c>
      <c r="J1912" s="10">
        <f>IFERROR(__xludf.DUMMYFUNCTION("""COMPUTED_VALUE"""),5.0)</f>
        <v>5</v>
      </c>
      <c r="K1912" s="5">
        <f>IFERROR(__xludf.DUMMYFUNCTION("""COMPUTED_VALUE"""),0.0036845983787767134)</f>
        <v>0.003684598379</v>
      </c>
      <c r="L1912" s="10">
        <f>IFERROR(__xludf.DUMMYFUNCTION("""COMPUTED_VALUE"""),1357.0)</f>
        <v>1357</v>
      </c>
      <c r="M1912" s="5">
        <f>IFERROR(__xludf.DUMMYFUNCTION("""COMPUTED_VALUE"""),1.0)</f>
        <v>1</v>
      </c>
    </row>
    <row r="1913">
      <c r="A1913" s="10" t="str">
        <f>IFERROR(__xludf.DUMMYFUNCTION("""COMPUTED_VALUE"""),"YOU往MY進!")</f>
        <v>YOU往MY進!</v>
      </c>
      <c r="B1913" s="10">
        <f>IFERROR(__xludf.DUMMYFUNCTION("""COMPUTED_VALUE"""),244.0)</f>
        <v>244</v>
      </c>
      <c r="C1913" s="10">
        <f>IFERROR(__xludf.DUMMYFUNCTION("""COMPUTED_VALUE"""),2876.0)</f>
        <v>2876</v>
      </c>
      <c r="D1913" s="5">
        <f>IFERROR(__xludf.DUMMYFUNCTION("""COMPUTED_VALUE"""),0.4126139817629179)</f>
        <v>0.4126139818</v>
      </c>
      <c r="E1913" s="5">
        <f>IFERROR(__xludf.DUMMYFUNCTION("""COMPUTED_VALUE"""),0.13297872340425532)</f>
        <v>0.1329787234</v>
      </c>
      <c r="F1913" s="5">
        <f>IFERROR(__xludf.DUMMYFUNCTION("""COMPUTED_VALUE"""),0.2135258358662614)</f>
        <v>0.2135258359</v>
      </c>
      <c r="G1913" s="5">
        <f>IFERROR(__xludf.DUMMYFUNCTION("""COMPUTED_VALUE"""),0.16603343465045592)</f>
        <v>0.1660334347</v>
      </c>
      <c r="H1913" s="5">
        <f>IFERROR(__xludf.DUMMYFUNCTION("""COMPUTED_VALUE"""),0.5836298932384342)</f>
        <v>0.5836298932</v>
      </c>
      <c r="I1913" s="11">
        <f>IFERROR(__xludf.DUMMYFUNCTION("""COMPUTED_VALUE"""),5338.967971530249)</f>
        <v>5338.967972</v>
      </c>
      <c r="J1913" s="10">
        <f>IFERROR(__xludf.DUMMYFUNCTION("""COMPUTED_VALUE"""),0.0)</f>
        <v>0</v>
      </c>
      <c r="K1913" s="5">
        <f>IFERROR(__xludf.DUMMYFUNCTION("""COMPUTED_VALUE"""),0.0)</f>
        <v>0</v>
      </c>
      <c r="L1913" s="10">
        <f>IFERROR(__xludf.DUMMYFUNCTION("""COMPUTED_VALUE"""),244.0)</f>
        <v>244</v>
      </c>
      <c r="M1913" s="5">
        <f>IFERROR(__xludf.DUMMYFUNCTION("""COMPUTED_VALUE"""),1.0)</f>
        <v>1</v>
      </c>
    </row>
    <row r="1914">
      <c r="A1914" s="10" t="str">
        <f>IFERROR(__xludf.DUMMYFUNCTION("""COMPUTED_VALUE"""),"現実逃避")</f>
        <v>現実逃避</v>
      </c>
      <c r="B1914" s="10">
        <f>IFERROR(__xludf.DUMMYFUNCTION("""COMPUTED_VALUE"""),120.0)</f>
        <v>120</v>
      </c>
      <c r="C1914" s="10">
        <f>IFERROR(__xludf.DUMMYFUNCTION("""COMPUTED_VALUE"""),1406.0)</f>
        <v>1406</v>
      </c>
      <c r="D1914" s="5">
        <f>IFERROR(__xludf.DUMMYFUNCTION("""COMPUTED_VALUE"""),0.2667185069984448)</f>
        <v>0.266718507</v>
      </c>
      <c r="E1914" s="5">
        <f>IFERROR(__xludf.DUMMYFUNCTION("""COMPUTED_VALUE"""),0.13297045101088648)</f>
        <v>0.132970451</v>
      </c>
      <c r="F1914" s="5">
        <f>IFERROR(__xludf.DUMMYFUNCTION("""COMPUTED_VALUE"""),0.18818040435458788)</f>
        <v>0.1881804044</v>
      </c>
      <c r="G1914" s="5">
        <f>IFERROR(__xludf.DUMMYFUNCTION("""COMPUTED_VALUE"""),0.16874027993779162)</f>
        <v>0.1687402799</v>
      </c>
      <c r="H1914" s="5">
        <f>IFERROR(__xludf.DUMMYFUNCTION("""COMPUTED_VALUE"""),0.5785123966942148)</f>
        <v>0.5785123967</v>
      </c>
      <c r="I1914" s="11">
        <f>IFERROR(__xludf.DUMMYFUNCTION("""COMPUTED_VALUE"""),6012.396694214876)</f>
        <v>6012.396694</v>
      </c>
      <c r="J1914" s="10">
        <f>IFERROR(__xludf.DUMMYFUNCTION("""COMPUTED_VALUE"""),0.0)</f>
        <v>0</v>
      </c>
      <c r="K1914" s="5">
        <f>IFERROR(__xludf.DUMMYFUNCTION("""COMPUTED_VALUE"""),0.0)</f>
        <v>0</v>
      </c>
      <c r="L1914" s="10">
        <f>IFERROR(__xludf.DUMMYFUNCTION("""COMPUTED_VALUE"""),120.0)</f>
        <v>120</v>
      </c>
      <c r="M1914" s="5">
        <f>IFERROR(__xludf.DUMMYFUNCTION("""COMPUTED_VALUE"""),1.0)</f>
        <v>1</v>
      </c>
    </row>
    <row r="1915">
      <c r="A1915" s="10" t="str">
        <f>IFERROR(__xludf.DUMMYFUNCTION("""COMPUTED_VALUE"""),"☆神威☆")</f>
        <v>☆神威☆</v>
      </c>
      <c r="B1915" s="10">
        <f>IFERROR(__xludf.DUMMYFUNCTION("""COMPUTED_VALUE"""),205.0)</f>
        <v>205</v>
      </c>
      <c r="C1915" s="10">
        <f>IFERROR(__xludf.DUMMYFUNCTION("""COMPUTED_VALUE"""),2401.0)</f>
        <v>2401</v>
      </c>
      <c r="D1915" s="5">
        <f>IFERROR(__xludf.DUMMYFUNCTION("""COMPUTED_VALUE"""),0.3542805100182149)</f>
        <v>0.35428051</v>
      </c>
      <c r="E1915" s="5">
        <f>IFERROR(__xludf.DUMMYFUNCTION("""COMPUTED_VALUE"""),0.13296903460837886)</f>
        <v>0.1329690346</v>
      </c>
      <c r="F1915" s="5">
        <f>IFERROR(__xludf.DUMMYFUNCTION("""COMPUTED_VALUE"""),0.20947176684881602)</f>
        <v>0.2094717668</v>
      </c>
      <c r="G1915" s="5">
        <f>IFERROR(__xludf.DUMMYFUNCTION("""COMPUTED_VALUE"""),0.19489981785063754)</f>
        <v>0.1948998179</v>
      </c>
      <c r="H1915" s="5">
        <f>IFERROR(__xludf.DUMMYFUNCTION("""COMPUTED_VALUE"""),0.5608695652173913)</f>
        <v>0.5608695652</v>
      </c>
      <c r="I1915" s="11">
        <f>IFERROR(__xludf.DUMMYFUNCTION("""COMPUTED_VALUE"""),5881.086956521739)</f>
        <v>5881.086957</v>
      </c>
      <c r="J1915" s="10">
        <f>IFERROR(__xludf.DUMMYFUNCTION("""COMPUTED_VALUE"""),0.0)</f>
        <v>0</v>
      </c>
      <c r="K1915" s="5">
        <f>IFERROR(__xludf.DUMMYFUNCTION("""COMPUTED_VALUE"""),0.0)</f>
        <v>0</v>
      </c>
      <c r="L1915" s="10">
        <f>IFERROR(__xludf.DUMMYFUNCTION("""COMPUTED_VALUE"""),205.0)</f>
        <v>205</v>
      </c>
      <c r="M1915" s="5">
        <f>IFERROR(__xludf.DUMMYFUNCTION("""COMPUTED_VALUE"""),1.0)</f>
        <v>1</v>
      </c>
    </row>
    <row r="1916">
      <c r="A1916" s="10" t="str">
        <f>IFERROR(__xludf.DUMMYFUNCTION("""COMPUTED_VALUE"""),"ふぁんでるさーる")</f>
        <v>ふぁんでるさーる</v>
      </c>
      <c r="B1916" s="10">
        <f>IFERROR(__xludf.DUMMYFUNCTION("""COMPUTED_VALUE"""),654.0)</f>
        <v>654</v>
      </c>
      <c r="C1916" s="10">
        <f>IFERROR(__xludf.DUMMYFUNCTION("""COMPUTED_VALUE"""),7537.0)</f>
        <v>7537</v>
      </c>
      <c r="D1916" s="5">
        <f>IFERROR(__xludf.DUMMYFUNCTION("""COMPUTED_VALUE"""),0.34781345343600173)</f>
        <v>0.3478134534</v>
      </c>
      <c r="E1916" s="5">
        <f>IFERROR(__xludf.DUMMYFUNCTION("""COMPUTED_VALUE"""),0.1329362196716548)</f>
        <v>0.1329362197</v>
      </c>
      <c r="F1916" s="5">
        <f>IFERROR(__xludf.DUMMYFUNCTION("""COMPUTED_VALUE"""),0.21836408542786576)</f>
        <v>0.2183640854</v>
      </c>
      <c r="G1916" s="5">
        <f>IFERROR(__xludf.DUMMYFUNCTION("""COMPUTED_VALUE"""),0.18872584628795583)</f>
        <v>0.1887258463</v>
      </c>
      <c r="H1916" s="5">
        <f>IFERROR(__xludf.DUMMYFUNCTION("""COMPUTED_VALUE"""),0.6007984031936128)</f>
        <v>0.6007984032</v>
      </c>
      <c r="I1916" s="11">
        <f>IFERROR(__xludf.DUMMYFUNCTION("""COMPUTED_VALUE"""),5698.336660013307)</f>
        <v>5698.33666</v>
      </c>
      <c r="J1916" s="10">
        <f>IFERROR(__xludf.DUMMYFUNCTION("""COMPUTED_VALUE"""),2.0)</f>
        <v>2</v>
      </c>
      <c r="K1916" s="5">
        <f>IFERROR(__xludf.DUMMYFUNCTION("""COMPUTED_VALUE"""),0.0030581039755351682)</f>
        <v>0.003058103976</v>
      </c>
      <c r="L1916" s="10">
        <f>IFERROR(__xludf.DUMMYFUNCTION("""COMPUTED_VALUE"""),654.0)</f>
        <v>654</v>
      </c>
      <c r="M1916" s="5">
        <f>IFERROR(__xludf.DUMMYFUNCTION("""COMPUTED_VALUE"""),1.0)</f>
        <v>1</v>
      </c>
    </row>
    <row r="1917">
      <c r="A1917" s="10" t="str">
        <f>IFERROR(__xludf.DUMMYFUNCTION("""COMPUTED_VALUE"""),"青い獅子")</f>
        <v>青い獅子</v>
      </c>
      <c r="B1917" s="10">
        <f>IFERROR(__xludf.DUMMYFUNCTION("""COMPUTED_VALUE"""),167.0)</f>
        <v>167</v>
      </c>
      <c r="C1917" s="10">
        <f>IFERROR(__xludf.DUMMYFUNCTION("""COMPUTED_VALUE"""),1965.0)</f>
        <v>1965</v>
      </c>
      <c r="D1917" s="5">
        <f>IFERROR(__xludf.DUMMYFUNCTION("""COMPUTED_VALUE"""),0.3481646273637375)</f>
        <v>0.3481646274</v>
      </c>
      <c r="E1917" s="5">
        <f>IFERROR(__xludf.DUMMYFUNCTION("""COMPUTED_VALUE"""),0.13292547274749722)</f>
        <v>0.1329254727</v>
      </c>
      <c r="F1917" s="5">
        <f>IFERROR(__xludf.DUMMYFUNCTION("""COMPUTED_VALUE"""),0.1835372636262514)</f>
        <v>0.1835372636</v>
      </c>
      <c r="G1917" s="5">
        <f>IFERROR(__xludf.DUMMYFUNCTION("""COMPUTED_VALUE"""),0.15350389321468297)</f>
        <v>0.1535038932</v>
      </c>
      <c r="H1917" s="5">
        <f>IFERROR(__xludf.DUMMYFUNCTION("""COMPUTED_VALUE"""),0.6121212121212121)</f>
        <v>0.6121212121</v>
      </c>
      <c r="I1917" s="11">
        <f>IFERROR(__xludf.DUMMYFUNCTION("""COMPUTED_VALUE"""),5545.757575757576)</f>
        <v>5545.757576</v>
      </c>
      <c r="J1917" s="10">
        <f>IFERROR(__xludf.DUMMYFUNCTION("""COMPUTED_VALUE"""),0.0)</f>
        <v>0</v>
      </c>
      <c r="K1917" s="5">
        <f>IFERROR(__xludf.DUMMYFUNCTION("""COMPUTED_VALUE"""),0.0)</f>
        <v>0</v>
      </c>
      <c r="L1917" s="10">
        <f>IFERROR(__xludf.DUMMYFUNCTION("""COMPUTED_VALUE"""),167.0)</f>
        <v>167</v>
      </c>
      <c r="M1917" s="5">
        <f>IFERROR(__xludf.DUMMYFUNCTION("""COMPUTED_VALUE"""),1.0)</f>
        <v>1</v>
      </c>
    </row>
    <row r="1918">
      <c r="A1918" s="10" t="str">
        <f>IFERROR(__xludf.DUMMYFUNCTION("""COMPUTED_VALUE"""),"七段R2064")</f>
        <v>七段R2064</v>
      </c>
      <c r="B1918" s="10">
        <f>IFERROR(__xludf.DUMMYFUNCTION("""COMPUTED_VALUE"""),219.0)</f>
        <v>219</v>
      </c>
      <c r="C1918" s="10">
        <f>IFERROR(__xludf.DUMMYFUNCTION("""COMPUTED_VALUE"""),2619.0)</f>
        <v>2619</v>
      </c>
      <c r="D1918" s="5">
        <f>IFERROR(__xludf.DUMMYFUNCTION("""COMPUTED_VALUE"""),0.31)</f>
        <v>0.31</v>
      </c>
      <c r="E1918" s="5">
        <f>IFERROR(__xludf.DUMMYFUNCTION("""COMPUTED_VALUE"""),0.13291666666666666)</f>
        <v>0.1329166667</v>
      </c>
      <c r="F1918" s="5">
        <f>IFERROR(__xludf.DUMMYFUNCTION("""COMPUTED_VALUE"""),0.19041666666666668)</f>
        <v>0.1904166667</v>
      </c>
      <c r="G1918" s="5">
        <f>IFERROR(__xludf.DUMMYFUNCTION("""COMPUTED_VALUE"""),0.16166666666666665)</f>
        <v>0.1616666667</v>
      </c>
      <c r="H1918" s="5">
        <f>IFERROR(__xludf.DUMMYFUNCTION("""COMPUTED_VALUE"""),0.5842450765864332)</f>
        <v>0.5842450766</v>
      </c>
      <c r="I1918" s="11">
        <f>IFERROR(__xludf.DUMMYFUNCTION("""COMPUTED_VALUE"""),6080.087527352298)</f>
        <v>6080.087527</v>
      </c>
      <c r="J1918" s="10">
        <f>IFERROR(__xludf.DUMMYFUNCTION("""COMPUTED_VALUE"""),1.0)</f>
        <v>1</v>
      </c>
      <c r="K1918" s="5">
        <f>IFERROR(__xludf.DUMMYFUNCTION("""COMPUTED_VALUE"""),0.0045662100456621)</f>
        <v>0.004566210046</v>
      </c>
      <c r="L1918" s="10">
        <f>IFERROR(__xludf.DUMMYFUNCTION("""COMPUTED_VALUE"""),219.0)</f>
        <v>219</v>
      </c>
      <c r="M1918" s="5">
        <f>IFERROR(__xludf.DUMMYFUNCTION("""COMPUTED_VALUE"""),1.0)</f>
        <v>1</v>
      </c>
    </row>
    <row r="1919">
      <c r="A1919" s="10" t="str">
        <f>IFERROR(__xludf.DUMMYFUNCTION("""COMPUTED_VALUE"""),"Mr.Sun")</f>
        <v>Mr.Sun</v>
      </c>
      <c r="B1919" s="10">
        <f>IFERROR(__xludf.DUMMYFUNCTION("""COMPUTED_VALUE"""),136.0)</f>
        <v>136</v>
      </c>
      <c r="C1919" s="10">
        <f>IFERROR(__xludf.DUMMYFUNCTION("""COMPUTED_VALUE"""),1573.0)</f>
        <v>1573</v>
      </c>
      <c r="D1919" s="5">
        <f>IFERROR(__xludf.DUMMYFUNCTION("""COMPUTED_VALUE"""),0.3124565066109951)</f>
        <v>0.3124565066</v>
      </c>
      <c r="E1919" s="5">
        <f>IFERROR(__xludf.DUMMYFUNCTION("""COMPUTED_VALUE"""),0.13291579679888657)</f>
        <v>0.1329157968</v>
      </c>
      <c r="F1919" s="5">
        <f>IFERROR(__xludf.DUMMYFUNCTION("""COMPUTED_VALUE"""),0.18649965205288796)</f>
        <v>0.1864996521</v>
      </c>
      <c r="G1919" s="5">
        <f>IFERROR(__xludf.DUMMYFUNCTION("""COMPUTED_VALUE"""),0.1663187195546277)</f>
        <v>0.1663187196</v>
      </c>
      <c r="H1919" s="5">
        <f>IFERROR(__xludf.DUMMYFUNCTION("""COMPUTED_VALUE"""),0.5261194029850746)</f>
        <v>0.526119403</v>
      </c>
      <c r="I1919" s="11">
        <f>IFERROR(__xludf.DUMMYFUNCTION("""COMPUTED_VALUE"""),5971.268656716418)</f>
        <v>5971.268657</v>
      </c>
      <c r="J1919" s="10">
        <f>IFERROR(__xludf.DUMMYFUNCTION("""COMPUTED_VALUE"""),1.0)</f>
        <v>1</v>
      </c>
      <c r="K1919" s="5">
        <f>IFERROR(__xludf.DUMMYFUNCTION("""COMPUTED_VALUE"""),0.007352941176470588)</f>
        <v>0.007352941176</v>
      </c>
      <c r="L1919" s="10">
        <f>IFERROR(__xludf.DUMMYFUNCTION("""COMPUTED_VALUE"""),136.0)</f>
        <v>136</v>
      </c>
      <c r="M1919" s="5">
        <f>IFERROR(__xludf.DUMMYFUNCTION("""COMPUTED_VALUE"""),1.0)</f>
        <v>1</v>
      </c>
    </row>
    <row r="1920">
      <c r="A1920" s="10" t="str">
        <f>IFERROR(__xludf.DUMMYFUNCTION("""COMPUTED_VALUE"""),"とり(ё)さん")</f>
        <v>とり(ё)さん</v>
      </c>
      <c r="B1920" s="10">
        <f>IFERROR(__xludf.DUMMYFUNCTION("""COMPUTED_VALUE"""),147.0)</f>
        <v>147</v>
      </c>
      <c r="C1920" s="10">
        <f>IFERROR(__xludf.DUMMYFUNCTION("""COMPUTED_VALUE"""),1712.0)</f>
        <v>1712</v>
      </c>
      <c r="D1920" s="5">
        <f>IFERROR(__xludf.DUMMYFUNCTION("""COMPUTED_VALUE"""),0.37763578274760384)</f>
        <v>0.3776357827</v>
      </c>
      <c r="E1920" s="5">
        <f>IFERROR(__xludf.DUMMYFUNCTION("""COMPUTED_VALUE"""),0.1329073482428115)</f>
        <v>0.1329073482</v>
      </c>
      <c r="F1920" s="5">
        <f>IFERROR(__xludf.DUMMYFUNCTION("""COMPUTED_VALUE"""),0.22108626198083067)</f>
        <v>0.221086262</v>
      </c>
      <c r="G1920" s="5">
        <f>IFERROR(__xludf.DUMMYFUNCTION("""COMPUTED_VALUE"""),0.14568690095846645)</f>
        <v>0.145686901</v>
      </c>
      <c r="H1920" s="5">
        <f>IFERROR(__xludf.DUMMYFUNCTION("""COMPUTED_VALUE"""),0.638728323699422)</f>
        <v>0.6387283237</v>
      </c>
      <c r="I1920" s="11">
        <f>IFERROR(__xludf.DUMMYFUNCTION("""COMPUTED_VALUE"""),5253.757225433526)</f>
        <v>5253.757225</v>
      </c>
      <c r="J1920" s="10">
        <f>IFERROR(__xludf.DUMMYFUNCTION("""COMPUTED_VALUE"""),0.0)</f>
        <v>0</v>
      </c>
      <c r="K1920" s="5">
        <f>IFERROR(__xludf.DUMMYFUNCTION("""COMPUTED_VALUE"""),0.0)</f>
        <v>0</v>
      </c>
      <c r="L1920" s="10">
        <f>IFERROR(__xludf.DUMMYFUNCTION("""COMPUTED_VALUE"""),147.0)</f>
        <v>147</v>
      </c>
      <c r="M1920" s="5">
        <f>IFERROR(__xludf.DUMMYFUNCTION("""COMPUTED_VALUE"""),1.0)</f>
        <v>1</v>
      </c>
    </row>
    <row r="1921">
      <c r="A1921" s="10" t="str">
        <f>IFERROR(__xludf.DUMMYFUNCTION("""COMPUTED_VALUE"""),"ゾーマ派")</f>
        <v>ゾーマ派</v>
      </c>
      <c r="B1921" s="10">
        <f>IFERROR(__xludf.DUMMYFUNCTION("""COMPUTED_VALUE"""),305.0)</f>
        <v>305</v>
      </c>
      <c r="C1921" s="10">
        <f>IFERROR(__xludf.DUMMYFUNCTION("""COMPUTED_VALUE"""),3563.0)</f>
        <v>3563</v>
      </c>
      <c r="D1921" s="5">
        <f>IFERROR(__xludf.DUMMYFUNCTION("""COMPUTED_VALUE"""),0.32351135666052794)</f>
        <v>0.3235113567</v>
      </c>
      <c r="E1921" s="5">
        <f>IFERROR(__xludf.DUMMYFUNCTION("""COMPUTED_VALUE"""),0.1329036218538981)</f>
        <v>0.1329036219</v>
      </c>
      <c r="F1921" s="5">
        <f>IFERROR(__xludf.DUMMYFUNCTION("""COMPUTED_VALUE"""),0.19920196439533455)</f>
        <v>0.1992019644</v>
      </c>
      <c r="G1921" s="5">
        <f>IFERROR(__xludf.DUMMYFUNCTION("""COMPUTED_VALUE"""),0.19950890116635972)</f>
        <v>0.1995089012</v>
      </c>
      <c r="H1921" s="5">
        <f>IFERROR(__xludf.DUMMYFUNCTION("""COMPUTED_VALUE"""),0.6163328197226502)</f>
        <v>0.6163328197</v>
      </c>
      <c r="I1921" s="11">
        <f>IFERROR(__xludf.DUMMYFUNCTION("""COMPUTED_VALUE"""),6382.280431432974)</f>
        <v>6382.280431</v>
      </c>
      <c r="J1921" s="10">
        <f>IFERROR(__xludf.DUMMYFUNCTION("""COMPUTED_VALUE"""),0.0)</f>
        <v>0</v>
      </c>
      <c r="K1921" s="5">
        <f>IFERROR(__xludf.DUMMYFUNCTION("""COMPUTED_VALUE"""),0.0)</f>
        <v>0</v>
      </c>
      <c r="L1921" s="10">
        <f>IFERROR(__xludf.DUMMYFUNCTION("""COMPUTED_VALUE"""),305.0)</f>
        <v>305</v>
      </c>
      <c r="M1921" s="5">
        <f>IFERROR(__xludf.DUMMYFUNCTION("""COMPUTED_VALUE"""),1.0)</f>
        <v>1</v>
      </c>
    </row>
    <row r="1922">
      <c r="A1922" s="10" t="str">
        <f>IFERROR(__xludf.DUMMYFUNCTION("""COMPUTED_VALUE"""),"ごまちゃん66")</f>
        <v>ごまちゃん66</v>
      </c>
      <c r="B1922" s="10">
        <f>IFERROR(__xludf.DUMMYFUNCTION("""COMPUTED_VALUE"""),188.0)</f>
        <v>188</v>
      </c>
      <c r="C1922" s="10">
        <f>IFERROR(__xludf.DUMMYFUNCTION("""COMPUTED_VALUE"""),2197.0)</f>
        <v>2197</v>
      </c>
      <c r="D1922" s="5">
        <f>IFERROR(__xludf.DUMMYFUNCTION("""COMPUTED_VALUE"""),0.4385266301642608)</f>
        <v>0.4385266302</v>
      </c>
      <c r="E1922" s="5">
        <f>IFERROR(__xludf.DUMMYFUNCTION("""COMPUTED_VALUE"""),0.1329019412643106)</f>
        <v>0.1329019413</v>
      </c>
      <c r="F1922" s="5">
        <f>IFERROR(__xludf.DUMMYFUNCTION("""COMPUTED_VALUE"""),0.23992035838725734)</f>
        <v>0.2399203584</v>
      </c>
      <c r="G1922" s="5">
        <f>IFERROR(__xludf.DUMMYFUNCTION("""COMPUTED_VALUE"""),0.187655550024888)</f>
        <v>0.18765555</v>
      </c>
      <c r="H1922" s="5">
        <f>IFERROR(__xludf.DUMMYFUNCTION("""COMPUTED_VALUE"""),0.5809128630705395)</f>
        <v>0.5809128631</v>
      </c>
      <c r="I1922" s="11">
        <f>IFERROR(__xludf.DUMMYFUNCTION("""COMPUTED_VALUE"""),5436.09958506224)</f>
        <v>5436.099585</v>
      </c>
      <c r="J1922" s="10">
        <f>IFERROR(__xludf.DUMMYFUNCTION("""COMPUTED_VALUE"""),2.0)</f>
        <v>2</v>
      </c>
      <c r="K1922" s="5">
        <f>IFERROR(__xludf.DUMMYFUNCTION("""COMPUTED_VALUE"""),0.010638297872340425)</f>
        <v>0.01063829787</v>
      </c>
      <c r="L1922" s="10">
        <f>IFERROR(__xludf.DUMMYFUNCTION("""COMPUTED_VALUE"""),188.0)</f>
        <v>188</v>
      </c>
      <c r="M1922" s="5">
        <f>IFERROR(__xludf.DUMMYFUNCTION("""COMPUTED_VALUE"""),1.0)</f>
        <v>1</v>
      </c>
    </row>
    <row r="1923">
      <c r="A1923" s="10" t="str">
        <f>IFERROR(__xludf.DUMMYFUNCTION("""COMPUTED_VALUE"""),"senurl")</f>
        <v>senurl</v>
      </c>
      <c r="B1923" s="10">
        <f>IFERROR(__xludf.DUMMYFUNCTION("""COMPUTED_VALUE"""),835.0)</f>
        <v>835</v>
      </c>
      <c r="C1923" s="10">
        <f>IFERROR(__xludf.DUMMYFUNCTION("""COMPUTED_VALUE"""),9812.0)</f>
        <v>9812</v>
      </c>
      <c r="D1923" s="5">
        <f>IFERROR(__xludf.DUMMYFUNCTION("""COMPUTED_VALUE"""),0.3984627381084995)</f>
        <v>0.3984627381</v>
      </c>
      <c r="E1923" s="5">
        <f>IFERROR(__xludf.DUMMYFUNCTION("""COMPUTED_VALUE"""),0.13289517656232594)</f>
        <v>0.1328951766</v>
      </c>
      <c r="F1923" s="5">
        <f>IFERROR(__xludf.DUMMYFUNCTION("""COMPUTED_VALUE"""),0.22022947532583267)</f>
        <v>0.2202294753</v>
      </c>
      <c r="G1923" s="5">
        <f>IFERROR(__xludf.DUMMYFUNCTION("""COMPUTED_VALUE"""),0.1775648880472318)</f>
        <v>0.177564888</v>
      </c>
      <c r="H1923" s="5">
        <f>IFERROR(__xludf.DUMMYFUNCTION("""COMPUTED_VALUE"""),0.595852301466869)</f>
        <v>0.5958523015</v>
      </c>
      <c r="I1923" s="11">
        <f>IFERROR(__xludf.DUMMYFUNCTION("""COMPUTED_VALUE"""),5522.761760242792)</f>
        <v>5522.76176</v>
      </c>
      <c r="J1923" s="10">
        <f>IFERROR(__xludf.DUMMYFUNCTION("""COMPUTED_VALUE"""),2.0)</f>
        <v>2</v>
      </c>
      <c r="K1923" s="5">
        <f>IFERROR(__xludf.DUMMYFUNCTION("""COMPUTED_VALUE"""),0.0023952095808383233)</f>
        <v>0.002395209581</v>
      </c>
      <c r="L1923" s="10">
        <f>IFERROR(__xludf.DUMMYFUNCTION("""COMPUTED_VALUE"""),6.0)</f>
        <v>6</v>
      </c>
      <c r="M1923" s="5">
        <f>IFERROR(__xludf.DUMMYFUNCTION("""COMPUTED_VALUE"""),0.00718562874251497)</f>
        <v>0.007185628743</v>
      </c>
    </row>
    <row r="1924">
      <c r="A1924" s="10" t="str">
        <f>IFERROR(__xludf.DUMMYFUNCTION("""COMPUTED_VALUE"""),"vpknight")</f>
        <v>vpknight</v>
      </c>
      <c r="B1924" s="10">
        <f>IFERROR(__xludf.DUMMYFUNCTION("""COMPUTED_VALUE"""),1311.0)</f>
        <v>1311</v>
      </c>
      <c r="C1924" s="10">
        <f>IFERROR(__xludf.DUMMYFUNCTION("""COMPUTED_VALUE"""),15360.0)</f>
        <v>15360</v>
      </c>
      <c r="D1924" s="5">
        <f>IFERROR(__xludf.DUMMYFUNCTION("""COMPUTED_VALUE"""),0.3629439817780625)</f>
        <v>0.3629439818</v>
      </c>
      <c r="E1924" s="5">
        <f>IFERROR(__xludf.DUMMYFUNCTION("""COMPUTED_VALUE"""),0.13289202078439746)</f>
        <v>0.1328920208</v>
      </c>
      <c r="F1924" s="5">
        <f>IFERROR(__xludf.DUMMYFUNCTION("""COMPUTED_VALUE"""),0.21382304790376538)</f>
        <v>0.2138230479</v>
      </c>
      <c r="G1924" s="5">
        <f>IFERROR(__xludf.DUMMYFUNCTION("""COMPUTED_VALUE"""),0.16954943412342516)</f>
        <v>0.1695494341</v>
      </c>
      <c r="H1924" s="5">
        <f>IFERROR(__xludf.DUMMYFUNCTION("""COMPUTED_VALUE"""),0.598202396804261)</f>
        <v>0.5982023968</v>
      </c>
      <c r="I1924" s="11">
        <f>IFERROR(__xludf.DUMMYFUNCTION("""COMPUTED_VALUE"""),5468.2090545938745)</f>
        <v>5468.209055</v>
      </c>
      <c r="J1924" s="10">
        <f>IFERROR(__xludf.DUMMYFUNCTION("""COMPUTED_VALUE"""),3.0)</f>
        <v>3</v>
      </c>
      <c r="K1924" s="5">
        <f>IFERROR(__xludf.DUMMYFUNCTION("""COMPUTED_VALUE"""),0.002288329519450801)</f>
        <v>0.002288329519</v>
      </c>
      <c r="L1924" s="10">
        <f>IFERROR(__xludf.DUMMYFUNCTION("""COMPUTED_VALUE"""),92.0)</f>
        <v>92</v>
      </c>
      <c r="M1924" s="5">
        <f>IFERROR(__xludf.DUMMYFUNCTION("""COMPUTED_VALUE"""),0.07017543859649122)</f>
        <v>0.0701754386</v>
      </c>
    </row>
    <row r="1925">
      <c r="A1925" s="10" t="str">
        <f>IFERROR(__xludf.DUMMYFUNCTION("""COMPUTED_VALUE"""),"masasio")</f>
        <v>masasio</v>
      </c>
      <c r="B1925" s="10">
        <f>IFERROR(__xludf.DUMMYFUNCTION("""COMPUTED_VALUE"""),3687.0)</f>
        <v>3687</v>
      </c>
      <c r="C1925" s="10">
        <f>IFERROR(__xludf.DUMMYFUNCTION("""COMPUTED_VALUE"""),42714.0)</f>
        <v>42714</v>
      </c>
      <c r="D1925" s="5">
        <f>IFERROR(__xludf.DUMMYFUNCTION("""COMPUTED_VALUE"""),0.31104107412816767)</f>
        <v>0.3110410741</v>
      </c>
      <c r="E1925" s="5">
        <f>IFERROR(__xludf.DUMMYFUNCTION("""COMPUTED_VALUE"""),0.13288236349194146)</f>
        <v>0.1328823635</v>
      </c>
      <c r="F1925" s="5">
        <f>IFERROR(__xludf.DUMMYFUNCTION("""COMPUTED_VALUE"""),0.2143131678069029)</f>
        <v>0.2143131678</v>
      </c>
      <c r="G1925" s="5">
        <f>IFERROR(__xludf.DUMMYFUNCTION("""COMPUTED_VALUE"""),0.18569195685038564)</f>
        <v>0.1856919569</v>
      </c>
      <c r="H1925" s="5">
        <f>IFERROR(__xludf.DUMMYFUNCTION("""COMPUTED_VALUE"""),0.5909851745576279)</f>
        <v>0.5909851746</v>
      </c>
      <c r="I1925" s="11">
        <f>IFERROR(__xludf.DUMMYFUNCTION("""COMPUTED_VALUE"""),5824.832615973219)</f>
        <v>5824.832616</v>
      </c>
      <c r="J1925" s="10">
        <f>IFERROR(__xludf.DUMMYFUNCTION("""COMPUTED_VALUE"""),12.0)</f>
        <v>12</v>
      </c>
      <c r="K1925" s="5">
        <f>IFERROR(__xludf.DUMMYFUNCTION("""COMPUTED_VALUE"""),0.0032546786004882017)</f>
        <v>0.0032546786</v>
      </c>
      <c r="L1925" s="10">
        <f>IFERROR(__xludf.DUMMYFUNCTION("""COMPUTED_VALUE"""),1095.0)</f>
        <v>1095</v>
      </c>
      <c r="M1925" s="5">
        <f>IFERROR(__xludf.DUMMYFUNCTION("""COMPUTED_VALUE"""),0.2969894222945484)</f>
        <v>0.2969894223</v>
      </c>
    </row>
    <row r="1926">
      <c r="A1926" s="10" t="str">
        <f>IFERROR(__xludf.DUMMYFUNCTION("""COMPUTED_VALUE"""),"らくだ０１０９")</f>
        <v>らくだ０１０９</v>
      </c>
      <c r="B1926" s="10">
        <f>IFERROR(__xludf.DUMMYFUNCTION("""COMPUTED_VALUE"""),6057.0)</f>
        <v>6057</v>
      </c>
      <c r="C1926" s="10">
        <f>IFERROR(__xludf.DUMMYFUNCTION("""COMPUTED_VALUE"""),70722.0)</f>
        <v>70722</v>
      </c>
      <c r="D1926" s="5">
        <f>IFERROR(__xludf.DUMMYFUNCTION("""COMPUTED_VALUE"""),0.33794169952833836)</f>
        <v>0.3379416995</v>
      </c>
      <c r="E1926" s="5">
        <f>IFERROR(__xludf.DUMMYFUNCTION("""COMPUTED_VALUE"""),0.13286940385061471)</f>
        <v>0.1328694039</v>
      </c>
      <c r="F1926" s="5">
        <f>IFERROR(__xludf.DUMMYFUNCTION("""COMPUTED_VALUE"""),0.22440269079099978)</f>
        <v>0.2244026908</v>
      </c>
      <c r="G1926" s="5">
        <f>IFERROR(__xludf.DUMMYFUNCTION("""COMPUTED_VALUE"""),0.1507770818835537)</f>
        <v>0.1507770819</v>
      </c>
      <c r="H1926" s="5">
        <f>IFERROR(__xludf.DUMMYFUNCTION("""COMPUTED_VALUE"""),0.6102267245537868)</f>
        <v>0.6102267246</v>
      </c>
      <c r="I1926" s="11">
        <f>IFERROR(__xludf.DUMMYFUNCTION("""COMPUTED_VALUE"""),5367.721039211632)</f>
        <v>5367.721039</v>
      </c>
      <c r="J1926" s="10">
        <f>IFERROR(__xludf.DUMMYFUNCTION("""COMPUTED_VALUE"""),5.0)</f>
        <v>5</v>
      </c>
      <c r="K1926" s="5">
        <f>IFERROR(__xludf.DUMMYFUNCTION("""COMPUTED_VALUE"""),8.254911672445105E-4)</f>
        <v>0.0008254911672</v>
      </c>
      <c r="L1926" s="10">
        <f>IFERROR(__xludf.DUMMYFUNCTION("""COMPUTED_VALUE"""),6057.0)</f>
        <v>6057</v>
      </c>
      <c r="M1926" s="5">
        <f>IFERROR(__xludf.DUMMYFUNCTION("""COMPUTED_VALUE"""),1.0)</f>
        <v>1</v>
      </c>
    </row>
    <row r="1927">
      <c r="A1927" s="10" t="str">
        <f>IFERROR(__xludf.DUMMYFUNCTION("""COMPUTED_VALUE"""),"あい☆まい★みー")</f>
        <v>あい☆まい★みー</v>
      </c>
      <c r="B1927" s="10">
        <f>IFERROR(__xludf.DUMMYFUNCTION("""COMPUTED_VALUE"""),1609.0)</f>
        <v>1609</v>
      </c>
      <c r="C1927" s="10">
        <f>IFERROR(__xludf.DUMMYFUNCTION("""COMPUTED_VALUE"""),18867.0)</f>
        <v>18867</v>
      </c>
      <c r="D1927" s="5">
        <f>IFERROR(__xludf.DUMMYFUNCTION("""COMPUTED_VALUE"""),0.3033955267122494)</f>
        <v>0.3033955267</v>
      </c>
      <c r="E1927" s="5">
        <f>IFERROR(__xludf.DUMMYFUNCTION("""COMPUTED_VALUE"""),0.13286591725576544)</f>
        <v>0.1328659173</v>
      </c>
      <c r="F1927" s="5">
        <f>IFERROR(__xludf.DUMMYFUNCTION("""COMPUTED_VALUE"""),0.2150886545370263)</f>
        <v>0.2150886545</v>
      </c>
      <c r="G1927" s="5">
        <f>IFERROR(__xludf.DUMMYFUNCTION("""COMPUTED_VALUE"""),0.1802642252868235)</f>
        <v>0.1802642253</v>
      </c>
      <c r="H1927" s="5">
        <f>IFERROR(__xludf.DUMMYFUNCTION("""COMPUTED_VALUE"""),0.6144935344827587)</f>
        <v>0.6144935345</v>
      </c>
      <c r="I1927" s="11">
        <f>IFERROR(__xludf.DUMMYFUNCTION("""COMPUTED_VALUE"""),5312.526939655172)</f>
        <v>5312.52694</v>
      </c>
      <c r="J1927" s="10">
        <f>IFERROR(__xludf.DUMMYFUNCTION("""COMPUTED_VALUE"""),3.0)</f>
        <v>3</v>
      </c>
      <c r="K1927" s="5">
        <f>IFERROR(__xludf.DUMMYFUNCTION("""COMPUTED_VALUE"""),0.0018645121193287756)</f>
        <v>0.001864512119</v>
      </c>
      <c r="L1927" s="10">
        <f>IFERROR(__xludf.DUMMYFUNCTION("""COMPUTED_VALUE"""),1233.0)</f>
        <v>1233</v>
      </c>
      <c r="M1927" s="5">
        <f>IFERROR(__xludf.DUMMYFUNCTION("""COMPUTED_VALUE"""),0.7663144810441268)</f>
        <v>0.766314481</v>
      </c>
    </row>
    <row r="1928">
      <c r="A1928" s="10" t="str">
        <f>IFERROR(__xludf.DUMMYFUNCTION("""COMPUTED_VALUE"""),"夢咲楓")</f>
        <v>夢咲楓</v>
      </c>
      <c r="B1928" s="10">
        <f>IFERROR(__xludf.DUMMYFUNCTION("""COMPUTED_VALUE"""),221.0)</f>
        <v>221</v>
      </c>
      <c r="C1928" s="10">
        <f>IFERROR(__xludf.DUMMYFUNCTION("""COMPUTED_VALUE"""),2637.0)</f>
        <v>2637</v>
      </c>
      <c r="D1928" s="5">
        <f>IFERROR(__xludf.DUMMYFUNCTION("""COMPUTED_VALUE"""),0.3224337748344371)</f>
        <v>0.3224337748</v>
      </c>
      <c r="E1928" s="5">
        <f>IFERROR(__xludf.DUMMYFUNCTION("""COMPUTED_VALUE"""),0.13286423841059603)</f>
        <v>0.1328642384</v>
      </c>
      <c r="F1928" s="5">
        <f>IFERROR(__xludf.DUMMYFUNCTION("""COMPUTED_VALUE"""),0.2119205298013245)</f>
        <v>0.2119205298</v>
      </c>
      <c r="G1928" s="5">
        <f>IFERROR(__xludf.DUMMYFUNCTION("""COMPUTED_VALUE"""),0.1941225165562914)</f>
        <v>0.1941225166</v>
      </c>
      <c r="H1928" s="5">
        <f>IFERROR(__xludf.DUMMYFUNCTION("""COMPUTED_VALUE"""),0.572265625)</f>
        <v>0.572265625</v>
      </c>
      <c r="I1928" s="11">
        <f>IFERROR(__xludf.DUMMYFUNCTION("""COMPUTED_VALUE"""),6060.546875)</f>
        <v>6060.546875</v>
      </c>
      <c r="J1928" s="10">
        <f>IFERROR(__xludf.DUMMYFUNCTION("""COMPUTED_VALUE"""),0.0)</f>
        <v>0</v>
      </c>
      <c r="K1928" s="5">
        <f>IFERROR(__xludf.DUMMYFUNCTION("""COMPUTED_VALUE"""),0.0)</f>
        <v>0</v>
      </c>
      <c r="L1928" s="10">
        <f>IFERROR(__xludf.DUMMYFUNCTION("""COMPUTED_VALUE"""),1.0)</f>
        <v>1</v>
      </c>
      <c r="M1928" s="5">
        <f>IFERROR(__xludf.DUMMYFUNCTION("""COMPUTED_VALUE"""),0.004524886877828055)</f>
        <v>0.004524886878</v>
      </c>
    </row>
    <row r="1929">
      <c r="A1929" s="10" t="str">
        <f>IFERROR(__xludf.DUMMYFUNCTION("""COMPUTED_VALUE"""),"SELECT*")</f>
        <v>SELECT*</v>
      </c>
      <c r="B1929" s="10">
        <f>IFERROR(__xludf.DUMMYFUNCTION("""COMPUTED_VALUE"""),656.0)</f>
        <v>656</v>
      </c>
      <c r="C1929" s="10">
        <f>IFERROR(__xludf.DUMMYFUNCTION("""COMPUTED_VALUE"""),7603.0)</f>
        <v>7603</v>
      </c>
      <c r="D1929" s="5">
        <f>IFERROR(__xludf.DUMMYFUNCTION("""COMPUTED_VALUE"""),0.3558370519648769)</f>
        <v>0.355837052</v>
      </c>
      <c r="E1929" s="5">
        <f>IFERROR(__xludf.DUMMYFUNCTION("""COMPUTED_VALUE"""),0.1328631063768533)</f>
        <v>0.1328631064</v>
      </c>
      <c r="F1929" s="5">
        <f>IFERROR(__xludf.DUMMYFUNCTION("""COMPUTED_VALUE"""),0.22182236936807254)</f>
        <v>0.2218223694</v>
      </c>
      <c r="G1929" s="5">
        <f>IFERROR(__xludf.DUMMYFUNCTION("""COMPUTED_VALUE"""),0.1842521951921693)</f>
        <v>0.1842521952</v>
      </c>
      <c r="H1929" s="5">
        <f>IFERROR(__xludf.DUMMYFUNCTION("""COMPUTED_VALUE"""),0.5892277741726152)</f>
        <v>0.5892277742</v>
      </c>
      <c r="I1929" s="11">
        <f>IFERROR(__xludf.DUMMYFUNCTION("""COMPUTED_VALUE"""),5818.494484101233)</f>
        <v>5818.494484</v>
      </c>
      <c r="J1929" s="10">
        <f>IFERROR(__xludf.DUMMYFUNCTION("""COMPUTED_VALUE"""),2.0)</f>
        <v>2</v>
      </c>
      <c r="K1929" s="5">
        <f>IFERROR(__xludf.DUMMYFUNCTION("""COMPUTED_VALUE"""),0.003048780487804878)</f>
        <v>0.003048780488</v>
      </c>
      <c r="L1929" s="10">
        <f>IFERROR(__xludf.DUMMYFUNCTION("""COMPUTED_VALUE"""),656.0)</f>
        <v>656</v>
      </c>
      <c r="M1929" s="5">
        <f>IFERROR(__xludf.DUMMYFUNCTION("""COMPUTED_VALUE"""),1.0)</f>
        <v>1</v>
      </c>
    </row>
    <row r="1930">
      <c r="A1930" s="10" t="str">
        <f>IFERROR(__xludf.DUMMYFUNCTION("""COMPUTED_VALUE"""),"hidemori")</f>
        <v>hidemori</v>
      </c>
      <c r="B1930" s="10">
        <f>IFERROR(__xludf.DUMMYFUNCTION("""COMPUTED_VALUE"""),192.0)</f>
        <v>192</v>
      </c>
      <c r="C1930" s="10">
        <f>IFERROR(__xludf.DUMMYFUNCTION("""COMPUTED_VALUE"""),2277.0)</f>
        <v>2277</v>
      </c>
      <c r="D1930" s="5">
        <f>IFERROR(__xludf.DUMMYFUNCTION("""COMPUTED_VALUE"""),0.2081534772182254)</f>
        <v>0.2081534772</v>
      </c>
      <c r="E1930" s="5">
        <f>IFERROR(__xludf.DUMMYFUNCTION("""COMPUTED_VALUE"""),0.1328537170263789)</f>
        <v>0.132853717</v>
      </c>
      <c r="F1930" s="5">
        <f>IFERROR(__xludf.DUMMYFUNCTION("""COMPUTED_VALUE"""),0.19280575539568345)</f>
        <v>0.1928057554</v>
      </c>
      <c r="G1930" s="5">
        <f>IFERROR(__xludf.DUMMYFUNCTION("""COMPUTED_VALUE"""),0.1971223021582734)</f>
        <v>0.1971223022</v>
      </c>
      <c r="H1930" s="5">
        <f>IFERROR(__xludf.DUMMYFUNCTION("""COMPUTED_VALUE"""),0.5970149253731343)</f>
        <v>0.5970149254</v>
      </c>
      <c r="I1930" s="11">
        <f>IFERROR(__xludf.DUMMYFUNCTION("""COMPUTED_VALUE"""),6381.592039800995)</f>
        <v>6381.59204</v>
      </c>
      <c r="J1930" s="10">
        <f>IFERROR(__xludf.DUMMYFUNCTION("""COMPUTED_VALUE"""),1.0)</f>
        <v>1</v>
      </c>
      <c r="K1930" s="5">
        <f>IFERROR(__xludf.DUMMYFUNCTION("""COMPUTED_VALUE"""),0.005208333333333333)</f>
        <v>0.005208333333</v>
      </c>
      <c r="L1930" s="10">
        <f>IFERROR(__xludf.DUMMYFUNCTION("""COMPUTED_VALUE"""),192.0)</f>
        <v>192</v>
      </c>
      <c r="M1930" s="5">
        <f>IFERROR(__xludf.DUMMYFUNCTION("""COMPUTED_VALUE"""),1.0)</f>
        <v>1</v>
      </c>
    </row>
    <row r="1931">
      <c r="A1931" s="10" t="str">
        <f>IFERROR(__xludf.DUMMYFUNCTION("""COMPUTED_VALUE"""),"哲学する麻雀")</f>
        <v>哲学する麻雀</v>
      </c>
      <c r="B1931" s="10">
        <f>IFERROR(__xludf.DUMMYFUNCTION("""COMPUTED_VALUE"""),1498.0)</f>
        <v>1498</v>
      </c>
      <c r="C1931" s="10">
        <f>IFERROR(__xludf.DUMMYFUNCTION("""COMPUTED_VALUE"""),17473.0)</f>
        <v>17473</v>
      </c>
      <c r="D1931" s="5">
        <f>IFERROR(__xludf.DUMMYFUNCTION("""COMPUTED_VALUE"""),0.3578716744913928)</f>
        <v>0.3578716745</v>
      </c>
      <c r="E1931" s="5">
        <f>IFERROR(__xludf.DUMMYFUNCTION("""COMPUTED_VALUE"""),0.13283255086071988)</f>
        <v>0.1328325509</v>
      </c>
      <c r="F1931" s="5">
        <f>IFERROR(__xludf.DUMMYFUNCTION("""COMPUTED_VALUE"""),0.2222222222222222)</f>
        <v>0.2222222222</v>
      </c>
      <c r="G1931" s="5">
        <f>IFERROR(__xludf.DUMMYFUNCTION("""COMPUTED_VALUE"""),0.18748043818466353)</f>
        <v>0.1874804382</v>
      </c>
      <c r="H1931" s="5">
        <f>IFERROR(__xludf.DUMMYFUNCTION("""COMPUTED_VALUE"""),0.5952112676056338)</f>
        <v>0.5952112676</v>
      </c>
      <c r="I1931" s="11">
        <f>IFERROR(__xludf.DUMMYFUNCTION("""COMPUTED_VALUE"""),5505.3239436619715)</f>
        <v>5505.323944</v>
      </c>
      <c r="J1931" s="10">
        <f>IFERROR(__xludf.DUMMYFUNCTION("""COMPUTED_VALUE"""),3.0)</f>
        <v>3</v>
      </c>
      <c r="K1931" s="5">
        <f>IFERROR(__xludf.DUMMYFUNCTION("""COMPUTED_VALUE"""),0.0020026702269692926)</f>
        <v>0.002002670227</v>
      </c>
      <c r="L1931" s="10">
        <f>IFERROR(__xludf.DUMMYFUNCTION("""COMPUTED_VALUE"""),1498.0)</f>
        <v>1498</v>
      </c>
      <c r="M1931" s="5">
        <f>IFERROR(__xludf.DUMMYFUNCTION("""COMPUTED_VALUE"""),1.0)</f>
        <v>1</v>
      </c>
    </row>
    <row r="1932">
      <c r="A1932" s="10" t="str">
        <f>IFERROR(__xludf.DUMMYFUNCTION("""COMPUTED_VALUE"""),"モメンマスティフ")</f>
        <v>モメンマスティフ</v>
      </c>
      <c r="B1932" s="10">
        <f>IFERROR(__xludf.DUMMYFUNCTION("""COMPUTED_VALUE"""),441.0)</f>
        <v>441</v>
      </c>
      <c r="C1932" s="10">
        <f>IFERROR(__xludf.DUMMYFUNCTION("""COMPUTED_VALUE"""),5154.0)</f>
        <v>5154</v>
      </c>
      <c r="D1932" s="5">
        <f>IFERROR(__xludf.DUMMYFUNCTION("""COMPUTED_VALUE"""),0.31381285805219605)</f>
        <v>0.3138128581</v>
      </c>
      <c r="E1932" s="5">
        <f>IFERROR(__xludf.DUMMYFUNCTION("""COMPUTED_VALUE"""),0.1328241035433906)</f>
        <v>0.1328241035</v>
      </c>
      <c r="F1932" s="5">
        <f>IFERROR(__xludf.DUMMYFUNCTION("""COMPUTED_VALUE"""),0.2132399745385105)</f>
        <v>0.2132399745</v>
      </c>
      <c r="G1932" s="5">
        <f>IFERROR(__xludf.DUMMYFUNCTION("""COMPUTED_VALUE"""),0.1754720984510927)</f>
        <v>0.1754720985</v>
      </c>
      <c r="H1932" s="5">
        <f>IFERROR(__xludf.DUMMYFUNCTION("""COMPUTED_VALUE"""),0.6)</f>
        <v>0.6</v>
      </c>
      <c r="I1932" s="11">
        <f>IFERROR(__xludf.DUMMYFUNCTION("""COMPUTED_VALUE"""),5540.796019900497)</f>
        <v>5540.79602</v>
      </c>
      <c r="J1932" s="10">
        <f>IFERROR(__xludf.DUMMYFUNCTION("""COMPUTED_VALUE"""),1.0)</f>
        <v>1</v>
      </c>
      <c r="K1932" s="5">
        <f>IFERROR(__xludf.DUMMYFUNCTION("""COMPUTED_VALUE"""),0.0022675736961451248)</f>
        <v>0.002267573696</v>
      </c>
      <c r="L1932" s="10">
        <f>IFERROR(__xludf.DUMMYFUNCTION("""COMPUTED_VALUE"""),204.0)</f>
        <v>204</v>
      </c>
      <c r="M1932" s="5">
        <f>IFERROR(__xludf.DUMMYFUNCTION("""COMPUTED_VALUE"""),0.46258503401360546)</f>
        <v>0.462585034</v>
      </c>
    </row>
    <row r="1933">
      <c r="A1933" s="10" t="str">
        <f>IFERROR(__xludf.DUMMYFUNCTION("""COMPUTED_VALUE"""),"飛行機雲")</f>
        <v>飛行機雲</v>
      </c>
      <c r="B1933" s="10">
        <f>IFERROR(__xludf.DUMMYFUNCTION("""COMPUTED_VALUE"""),173.0)</f>
        <v>173</v>
      </c>
      <c r="C1933" s="10">
        <f>IFERROR(__xludf.DUMMYFUNCTION("""COMPUTED_VALUE"""),1995.0)</f>
        <v>1995</v>
      </c>
      <c r="D1933" s="5">
        <f>IFERROR(__xludf.DUMMYFUNCTION("""COMPUTED_VALUE"""),0.2716794731064764)</f>
        <v>0.2716794731</v>
      </c>
      <c r="E1933" s="5">
        <f>IFERROR(__xludf.DUMMYFUNCTION("""COMPUTED_VALUE"""),0.132821075740944)</f>
        <v>0.1328210757</v>
      </c>
      <c r="F1933" s="5">
        <f>IFERROR(__xludf.DUMMYFUNCTION("""COMPUTED_VALUE"""),0.20911086717892427)</f>
        <v>0.2091108672</v>
      </c>
      <c r="G1933" s="5">
        <f>IFERROR(__xludf.DUMMYFUNCTION("""COMPUTED_VALUE"""),0.20087815587266739)</f>
        <v>0.2008781559</v>
      </c>
      <c r="H1933" s="5">
        <f>IFERROR(__xludf.DUMMYFUNCTION("""COMPUTED_VALUE"""),0.6115485564304461)</f>
        <v>0.6115485564</v>
      </c>
      <c r="I1933" s="11">
        <f>IFERROR(__xludf.DUMMYFUNCTION("""COMPUTED_VALUE"""),6268.766404199475)</f>
        <v>6268.766404</v>
      </c>
      <c r="J1933" s="10">
        <f>IFERROR(__xludf.DUMMYFUNCTION("""COMPUTED_VALUE"""),0.0)</f>
        <v>0</v>
      </c>
      <c r="K1933" s="5">
        <f>IFERROR(__xludf.DUMMYFUNCTION("""COMPUTED_VALUE"""),0.0)</f>
        <v>0</v>
      </c>
      <c r="L1933" s="10">
        <f>IFERROR(__xludf.DUMMYFUNCTION("""COMPUTED_VALUE"""),173.0)</f>
        <v>173</v>
      </c>
      <c r="M1933" s="5">
        <f>IFERROR(__xludf.DUMMYFUNCTION("""COMPUTED_VALUE"""),1.0)</f>
        <v>1</v>
      </c>
    </row>
    <row r="1934">
      <c r="A1934" s="10" t="str">
        <f>IFERROR(__xludf.DUMMYFUNCTION("""COMPUTED_VALUE"""),"小ライス")</f>
        <v>小ライス</v>
      </c>
      <c r="B1934" s="10">
        <f>IFERROR(__xludf.DUMMYFUNCTION("""COMPUTED_VALUE"""),401.0)</f>
        <v>401</v>
      </c>
      <c r="C1934" s="10">
        <f>IFERROR(__xludf.DUMMYFUNCTION("""COMPUTED_VALUE"""),4670.0)</f>
        <v>4670</v>
      </c>
      <c r="D1934" s="5">
        <f>IFERROR(__xludf.DUMMYFUNCTION("""COMPUTED_VALUE"""),0.34645115952213634)</f>
        <v>0.3464511595</v>
      </c>
      <c r="E1934" s="5">
        <f>IFERROR(__xludf.DUMMYFUNCTION("""COMPUTED_VALUE"""),0.13281799016163034)</f>
        <v>0.1328179902</v>
      </c>
      <c r="F1934" s="5">
        <f>IFERROR(__xludf.DUMMYFUNCTION("""COMPUTED_VALUE"""),0.21082220660576248)</f>
        <v>0.2108222066</v>
      </c>
      <c r="G1934" s="5">
        <f>IFERROR(__xludf.DUMMYFUNCTION("""COMPUTED_VALUE"""),0.2016865776528461)</f>
        <v>0.2016865777</v>
      </c>
      <c r="H1934" s="5">
        <f>IFERROR(__xludf.DUMMYFUNCTION("""COMPUTED_VALUE"""),0.5755555555555556)</f>
        <v>0.5755555556</v>
      </c>
      <c r="I1934" s="11">
        <f>IFERROR(__xludf.DUMMYFUNCTION("""COMPUTED_VALUE"""),6228.0)</f>
        <v>6228</v>
      </c>
      <c r="J1934" s="10">
        <f>IFERROR(__xludf.DUMMYFUNCTION("""COMPUTED_VALUE"""),0.0)</f>
        <v>0</v>
      </c>
      <c r="K1934" s="5">
        <f>IFERROR(__xludf.DUMMYFUNCTION("""COMPUTED_VALUE"""),0.0)</f>
        <v>0</v>
      </c>
      <c r="L1934" s="10">
        <f>IFERROR(__xludf.DUMMYFUNCTION("""COMPUTED_VALUE"""),401.0)</f>
        <v>401</v>
      </c>
      <c r="M1934" s="5">
        <f>IFERROR(__xludf.DUMMYFUNCTION("""COMPUTED_VALUE"""),1.0)</f>
        <v>1</v>
      </c>
    </row>
    <row r="1935">
      <c r="A1935" s="10" t="str">
        <f>IFERROR(__xludf.DUMMYFUNCTION("""COMPUTED_VALUE"""),"セイバ一")</f>
        <v>セイバ一</v>
      </c>
      <c r="B1935" s="10">
        <f>IFERROR(__xludf.DUMMYFUNCTION("""COMPUTED_VALUE"""),122.0)</f>
        <v>122</v>
      </c>
      <c r="C1935" s="10">
        <f>IFERROR(__xludf.DUMMYFUNCTION("""COMPUTED_VALUE"""),1402.0)</f>
        <v>1402</v>
      </c>
      <c r="D1935" s="5">
        <f>IFERROR(__xludf.DUMMYFUNCTION("""COMPUTED_VALUE"""),0.315625)</f>
        <v>0.315625</v>
      </c>
      <c r="E1935" s="5">
        <f>IFERROR(__xludf.DUMMYFUNCTION("""COMPUTED_VALUE"""),0.1328125)</f>
        <v>0.1328125</v>
      </c>
      <c r="F1935" s="5">
        <f>IFERROR(__xludf.DUMMYFUNCTION("""COMPUTED_VALUE"""),0.21484375)</f>
        <v>0.21484375</v>
      </c>
      <c r="G1935" s="5">
        <f>IFERROR(__xludf.DUMMYFUNCTION("""COMPUTED_VALUE"""),0.1546875)</f>
        <v>0.1546875</v>
      </c>
      <c r="H1935" s="5">
        <f>IFERROR(__xludf.DUMMYFUNCTION("""COMPUTED_VALUE"""),0.6472727272727272)</f>
        <v>0.6472727273</v>
      </c>
      <c r="I1935" s="11">
        <f>IFERROR(__xludf.DUMMYFUNCTION("""COMPUTED_VALUE"""),5256.727272727273)</f>
        <v>5256.727273</v>
      </c>
      <c r="J1935" s="10">
        <f>IFERROR(__xludf.DUMMYFUNCTION("""COMPUTED_VALUE"""),0.0)</f>
        <v>0</v>
      </c>
      <c r="K1935" s="5">
        <f>IFERROR(__xludf.DUMMYFUNCTION("""COMPUTED_VALUE"""),0.0)</f>
        <v>0</v>
      </c>
      <c r="L1935" s="10">
        <f>IFERROR(__xludf.DUMMYFUNCTION("""COMPUTED_VALUE"""),71.0)</f>
        <v>71</v>
      </c>
      <c r="M1935" s="5">
        <f>IFERROR(__xludf.DUMMYFUNCTION("""COMPUTED_VALUE"""),0.5819672131147541)</f>
        <v>0.5819672131</v>
      </c>
    </row>
    <row r="1936">
      <c r="A1936" s="10" t="str">
        <f>IFERROR(__xludf.DUMMYFUNCTION("""COMPUTED_VALUE"""),"(・．・)")</f>
        <v>(・．・)</v>
      </c>
      <c r="B1936" s="10">
        <f>IFERROR(__xludf.DUMMYFUNCTION("""COMPUTED_VALUE"""),1145.0)</f>
        <v>1145</v>
      </c>
      <c r="C1936" s="10">
        <f>IFERROR(__xludf.DUMMYFUNCTION("""COMPUTED_VALUE"""),13541.0)</f>
        <v>13541</v>
      </c>
      <c r="D1936" s="5">
        <f>IFERROR(__xludf.DUMMYFUNCTION("""COMPUTED_VALUE"""),0.4186027750887383)</f>
        <v>0.4186027751</v>
      </c>
      <c r="E1936" s="5">
        <f>IFERROR(__xludf.DUMMYFUNCTION("""COMPUTED_VALUE"""),0.13278476928041302)</f>
        <v>0.1327847693</v>
      </c>
      <c r="F1936" s="5">
        <f>IFERROR(__xludf.DUMMYFUNCTION("""COMPUTED_VALUE"""),0.22208777024846724)</f>
        <v>0.2220877702</v>
      </c>
      <c r="G1936" s="5">
        <f>IFERROR(__xludf.DUMMYFUNCTION("""COMPUTED_VALUE"""),0.180864795095192)</f>
        <v>0.1808647951</v>
      </c>
      <c r="H1936" s="5">
        <f>IFERROR(__xludf.DUMMYFUNCTION("""COMPUTED_VALUE"""),0.5935343261896113)</f>
        <v>0.5935343262</v>
      </c>
      <c r="I1936" s="11">
        <f>IFERROR(__xludf.DUMMYFUNCTION("""COMPUTED_VALUE"""),5642.20849981838)</f>
        <v>5642.2085</v>
      </c>
      <c r="J1936" s="10">
        <f>IFERROR(__xludf.DUMMYFUNCTION("""COMPUTED_VALUE"""),5.0)</f>
        <v>5</v>
      </c>
      <c r="K1936" s="5">
        <f>IFERROR(__xludf.DUMMYFUNCTION("""COMPUTED_VALUE"""),0.004366812227074236)</f>
        <v>0.004366812227</v>
      </c>
      <c r="L1936" s="10">
        <f>IFERROR(__xludf.DUMMYFUNCTION("""COMPUTED_VALUE"""),56.0)</f>
        <v>56</v>
      </c>
      <c r="M1936" s="5">
        <f>IFERROR(__xludf.DUMMYFUNCTION("""COMPUTED_VALUE"""),0.04890829694323144)</f>
        <v>0.04890829694</v>
      </c>
    </row>
    <row r="1937">
      <c r="A1937" s="10" t="str">
        <f>IFERROR(__xludf.DUMMYFUNCTION("""COMPUTED_VALUE"""),"破幻")</f>
        <v>破幻</v>
      </c>
      <c r="B1937" s="10">
        <f>IFERROR(__xludf.DUMMYFUNCTION("""COMPUTED_VALUE"""),373.0)</f>
        <v>373</v>
      </c>
      <c r="C1937" s="10">
        <f>IFERROR(__xludf.DUMMYFUNCTION("""COMPUTED_VALUE"""),4440.0)</f>
        <v>4440</v>
      </c>
      <c r="D1937" s="5">
        <f>IFERROR(__xludf.DUMMYFUNCTION("""COMPUTED_VALUE"""),0.4322596508482911)</f>
        <v>0.4322596508</v>
      </c>
      <c r="E1937" s="5">
        <f>IFERROR(__xludf.DUMMYFUNCTION("""COMPUTED_VALUE"""),0.1327760019670519)</f>
        <v>0.132776002</v>
      </c>
      <c r="F1937" s="5">
        <f>IFERROR(__xludf.DUMMYFUNCTION("""COMPUTED_VALUE"""),0.2183427587902631)</f>
        <v>0.2183427588</v>
      </c>
      <c r="G1937" s="5">
        <f>IFERROR(__xludf.DUMMYFUNCTION("""COMPUTED_VALUE"""),0.16203589869682813)</f>
        <v>0.1620358987</v>
      </c>
      <c r="H1937" s="5">
        <f>IFERROR(__xludf.DUMMYFUNCTION("""COMPUTED_VALUE"""),0.5777027027027027)</f>
        <v>0.5777027027</v>
      </c>
      <c r="I1937" s="11">
        <f>IFERROR(__xludf.DUMMYFUNCTION("""COMPUTED_VALUE"""),5308.671171171171)</f>
        <v>5308.671171</v>
      </c>
      <c r="J1937" s="10">
        <f>IFERROR(__xludf.DUMMYFUNCTION("""COMPUTED_VALUE"""),0.0)</f>
        <v>0</v>
      </c>
      <c r="K1937" s="5">
        <f>IFERROR(__xludf.DUMMYFUNCTION("""COMPUTED_VALUE"""),0.0)</f>
        <v>0</v>
      </c>
      <c r="L1937" s="10">
        <f>IFERROR(__xludf.DUMMYFUNCTION("""COMPUTED_VALUE"""),0.0)</f>
        <v>0</v>
      </c>
      <c r="M1937" s="5">
        <f>IFERROR(__xludf.DUMMYFUNCTION("""COMPUTED_VALUE"""),0.0)</f>
        <v>0</v>
      </c>
    </row>
    <row r="1938">
      <c r="A1938" s="10" t="str">
        <f>IFERROR(__xludf.DUMMYFUNCTION("""COMPUTED_VALUE"""),"ufo_")</f>
        <v>ufo_</v>
      </c>
      <c r="B1938" s="10">
        <f>IFERROR(__xludf.DUMMYFUNCTION("""COMPUTED_VALUE"""),1119.0)</f>
        <v>1119</v>
      </c>
      <c r="C1938" s="10">
        <f>IFERROR(__xludf.DUMMYFUNCTION("""COMPUTED_VALUE"""),12951.0)</f>
        <v>12951</v>
      </c>
      <c r="D1938" s="5">
        <f>IFERROR(__xludf.DUMMYFUNCTION("""COMPUTED_VALUE"""),0.3160919540229885)</f>
        <v>0.316091954</v>
      </c>
      <c r="E1938" s="5">
        <f>IFERROR(__xludf.DUMMYFUNCTION("""COMPUTED_VALUE"""),0.13277552400270454)</f>
        <v>0.132775524</v>
      </c>
      <c r="F1938" s="5">
        <f>IFERROR(__xludf.DUMMYFUNCTION("""COMPUTED_VALUE"""),0.21053076402974982)</f>
        <v>0.210530764</v>
      </c>
      <c r="G1938" s="5">
        <f>IFERROR(__xludf.DUMMYFUNCTION("""COMPUTED_VALUE"""),0.20960108181203516)</f>
        <v>0.2096010818</v>
      </c>
      <c r="H1938" s="5">
        <f>IFERROR(__xludf.DUMMYFUNCTION("""COMPUTED_VALUE"""),0.5756724207145725)</f>
        <v>0.5756724207</v>
      </c>
      <c r="I1938" s="11">
        <f>IFERROR(__xludf.DUMMYFUNCTION("""COMPUTED_VALUE"""),6054.034524287435)</f>
        <v>6054.034524</v>
      </c>
      <c r="J1938" s="10">
        <f>IFERROR(__xludf.DUMMYFUNCTION("""COMPUTED_VALUE"""),3.0)</f>
        <v>3</v>
      </c>
      <c r="K1938" s="5">
        <f>IFERROR(__xludf.DUMMYFUNCTION("""COMPUTED_VALUE"""),0.002680965147453083)</f>
        <v>0.002680965147</v>
      </c>
      <c r="L1938" s="10">
        <f>IFERROR(__xludf.DUMMYFUNCTION("""COMPUTED_VALUE"""),1119.0)</f>
        <v>1119</v>
      </c>
      <c r="M1938" s="5">
        <f>IFERROR(__xludf.DUMMYFUNCTION("""COMPUTED_VALUE"""),1.0)</f>
        <v>1</v>
      </c>
    </row>
    <row r="1939">
      <c r="A1939" s="10" t="str">
        <f>IFERROR(__xludf.DUMMYFUNCTION("""COMPUTED_VALUE"""),"えがわりお")</f>
        <v>えがわりお</v>
      </c>
      <c r="B1939" s="10">
        <f>IFERROR(__xludf.DUMMYFUNCTION("""COMPUTED_VALUE"""),1342.0)</f>
        <v>1342</v>
      </c>
      <c r="C1939" s="10">
        <f>IFERROR(__xludf.DUMMYFUNCTION("""COMPUTED_VALUE"""),15592.0)</f>
        <v>15592</v>
      </c>
      <c r="D1939" s="5">
        <f>IFERROR(__xludf.DUMMYFUNCTION("""COMPUTED_VALUE"""),0.2941754385964912)</f>
        <v>0.2941754386</v>
      </c>
      <c r="E1939" s="5">
        <f>IFERROR(__xludf.DUMMYFUNCTION("""COMPUTED_VALUE"""),0.1327719298245614)</f>
        <v>0.1327719298</v>
      </c>
      <c r="F1939" s="5">
        <f>IFERROR(__xludf.DUMMYFUNCTION("""COMPUTED_VALUE"""),0.20968421052631578)</f>
        <v>0.2096842105</v>
      </c>
      <c r="G1939" s="5">
        <f>IFERROR(__xludf.DUMMYFUNCTION("""COMPUTED_VALUE"""),0.19487719298245615)</f>
        <v>0.194877193</v>
      </c>
      <c r="H1939" s="5">
        <f>IFERROR(__xludf.DUMMYFUNCTION("""COMPUTED_VALUE"""),0.5890227576974565)</f>
        <v>0.5890227577</v>
      </c>
      <c r="I1939" s="11">
        <f>IFERROR(__xludf.DUMMYFUNCTION("""COMPUTED_VALUE"""),5865.093708165998)</f>
        <v>5865.093708</v>
      </c>
      <c r="J1939" s="10">
        <f>IFERROR(__xludf.DUMMYFUNCTION("""COMPUTED_VALUE"""),1.0)</f>
        <v>1</v>
      </c>
      <c r="K1939" s="5">
        <f>IFERROR(__xludf.DUMMYFUNCTION("""COMPUTED_VALUE"""),7.451564828614009E-4)</f>
        <v>0.0007451564829</v>
      </c>
      <c r="L1939" s="10">
        <f>IFERROR(__xludf.DUMMYFUNCTION("""COMPUTED_VALUE"""),1131.0)</f>
        <v>1131</v>
      </c>
      <c r="M1939" s="5">
        <f>IFERROR(__xludf.DUMMYFUNCTION("""COMPUTED_VALUE"""),0.8427719821162444)</f>
        <v>0.8427719821</v>
      </c>
    </row>
    <row r="1940">
      <c r="A1940" s="10" t="str">
        <f>IFERROR(__xludf.DUMMYFUNCTION("""COMPUTED_VALUE"""),"あらたそ")</f>
        <v>あらたそ</v>
      </c>
      <c r="B1940" s="10">
        <f>IFERROR(__xludf.DUMMYFUNCTION("""COMPUTED_VALUE"""),168.0)</f>
        <v>168</v>
      </c>
      <c r="C1940" s="10">
        <f>IFERROR(__xludf.DUMMYFUNCTION("""COMPUTED_VALUE"""),1938.0)</f>
        <v>1938</v>
      </c>
      <c r="D1940" s="5">
        <f>IFERROR(__xludf.DUMMYFUNCTION("""COMPUTED_VALUE"""),0.3367231638418079)</f>
        <v>0.3367231638</v>
      </c>
      <c r="E1940" s="5">
        <f>IFERROR(__xludf.DUMMYFUNCTION("""COMPUTED_VALUE"""),0.1327683615819209)</f>
        <v>0.1327683616</v>
      </c>
      <c r="F1940" s="5">
        <f>IFERROR(__xludf.DUMMYFUNCTION("""COMPUTED_VALUE"""),0.21694915254237288)</f>
        <v>0.2169491525</v>
      </c>
      <c r="G1940" s="5">
        <f>IFERROR(__xludf.DUMMYFUNCTION("""COMPUTED_VALUE"""),0.17175141242937852)</f>
        <v>0.1717514124</v>
      </c>
      <c r="H1940" s="5">
        <f>IFERROR(__xludf.DUMMYFUNCTION("""COMPUTED_VALUE"""),0.6458333333333334)</f>
        <v>0.6458333333</v>
      </c>
      <c r="I1940" s="11">
        <f>IFERROR(__xludf.DUMMYFUNCTION("""COMPUTED_VALUE"""),5325.520833333333)</f>
        <v>5325.520833</v>
      </c>
      <c r="J1940" s="10">
        <f>IFERROR(__xludf.DUMMYFUNCTION("""COMPUTED_VALUE"""),1.0)</f>
        <v>1</v>
      </c>
      <c r="K1940" s="5">
        <f>IFERROR(__xludf.DUMMYFUNCTION("""COMPUTED_VALUE"""),0.005952380952380952)</f>
        <v>0.005952380952</v>
      </c>
      <c r="L1940" s="10">
        <f>IFERROR(__xludf.DUMMYFUNCTION("""COMPUTED_VALUE"""),0.0)</f>
        <v>0</v>
      </c>
      <c r="M1940" s="5">
        <f>IFERROR(__xludf.DUMMYFUNCTION("""COMPUTED_VALUE"""),0.0)</f>
        <v>0</v>
      </c>
    </row>
    <row r="1941">
      <c r="A1941" s="10" t="str">
        <f>IFERROR(__xludf.DUMMYFUNCTION("""COMPUTED_VALUE"""),"片岡優季")</f>
        <v>片岡優季</v>
      </c>
      <c r="B1941" s="10">
        <f>IFERROR(__xludf.DUMMYFUNCTION("""COMPUTED_VALUE"""),579.0)</f>
        <v>579</v>
      </c>
      <c r="C1941" s="10">
        <f>IFERROR(__xludf.DUMMYFUNCTION("""COMPUTED_VALUE"""),6861.0)</f>
        <v>6861</v>
      </c>
      <c r="D1941" s="5">
        <f>IFERROR(__xludf.DUMMYFUNCTION("""COMPUTED_VALUE"""),0.32601082457815983)</f>
        <v>0.3260108246</v>
      </c>
      <c r="E1941" s="5">
        <f>IFERROR(__xludf.DUMMYFUNCTION("""COMPUTED_VALUE"""),0.13276026743075453)</f>
        <v>0.1327602674</v>
      </c>
      <c r="F1941" s="5">
        <f>IFERROR(__xludf.DUMMYFUNCTION("""COMPUTED_VALUE"""),0.20598535498248965)</f>
        <v>0.205985355</v>
      </c>
      <c r="G1941" s="5">
        <f>IFERROR(__xludf.DUMMYFUNCTION("""COMPUTED_VALUE"""),0.1714422158548233)</f>
        <v>0.1714422159</v>
      </c>
      <c r="H1941" s="5">
        <f>IFERROR(__xludf.DUMMYFUNCTION("""COMPUTED_VALUE"""),0.5904173106646059)</f>
        <v>0.5904173107</v>
      </c>
      <c r="I1941" s="11">
        <f>IFERROR(__xludf.DUMMYFUNCTION("""COMPUTED_VALUE"""),5969.860896445131)</f>
        <v>5969.860896</v>
      </c>
      <c r="J1941" s="10">
        <f>IFERROR(__xludf.DUMMYFUNCTION("""COMPUTED_VALUE"""),1.0)</f>
        <v>1</v>
      </c>
      <c r="K1941" s="5">
        <f>IFERROR(__xludf.DUMMYFUNCTION("""COMPUTED_VALUE"""),0.0017271157167530224)</f>
        <v>0.001727115717</v>
      </c>
      <c r="L1941" s="10">
        <f>IFERROR(__xludf.DUMMYFUNCTION("""COMPUTED_VALUE"""),0.0)</f>
        <v>0</v>
      </c>
      <c r="M1941" s="5">
        <f>IFERROR(__xludf.DUMMYFUNCTION("""COMPUTED_VALUE"""),0.0)</f>
        <v>0</v>
      </c>
    </row>
    <row r="1942">
      <c r="A1942" s="10" t="str">
        <f>IFERROR(__xludf.DUMMYFUNCTION("""COMPUTED_VALUE"""),"ルル参上")</f>
        <v>ルル参上</v>
      </c>
      <c r="B1942" s="10">
        <f>IFERROR(__xludf.DUMMYFUNCTION("""COMPUTED_VALUE"""),1885.0)</f>
        <v>1885</v>
      </c>
      <c r="C1942" s="10">
        <f>IFERROR(__xludf.DUMMYFUNCTION("""COMPUTED_VALUE"""),21952.0)</f>
        <v>21952</v>
      </c>
      <c r="D1942" s="5">
        <f>IFERROR(__xludf.DUMMYFUNCTION("""COMPUTED_VALUE"""),0.3558578761150147)</f>
        <v>0.3558578761</v>
      </c>
      <c r="E1942" s="5">
        <f>IFERROR(__xludf.DUMMYFUNCTION("""COMPUTED_VALUE"""),0.13275526984601585)</f>
        <v>0.1327552698</v>
      </c>
      <c r="F1942" s="5">
        <f>IFERROR(__xludf.DUMMYFUNCTION("""COMPUTED_VALUE"""),0.21831863258085413)</f>
        <v>0.2183186326</v>
      </c>
      <c r="G1942" s="5">
        <f>IFERROR(__xludf.DUMMYFUNCTION("""COMPUTED_VALUE"""),0.14665869337718643)</f>
        <v>0.1466586934</v>
      </c>
      <c r="H1942" s="5">
        <f>IFERROR(__xludf.DUMMYFUNCTION("""COMPUTED_VALUE"""),0.6087651221182379)</f>
        <v>0.6087651221</v>
      </c>
      <c r="I1942" s="11">
        <f>IFERROR(__xludf.DUMMYFUNCTION("""COMPUTED_VALUE"""),5482.264323213878)</f>
        <v>5482.264323</v>
      </c>
      <c r="J1942" s="10">
        <f>IFERROR(__xludf.DUMMYFUNCTION("""COMPUTED_VALUE"""),1.0)</f>
        <v>1</v>
      </c>
      <c r="K1942" s="5">
        <f>IFERROR(__xludf.DUMMYFUNCTION("""COMPUTED_VALUE"""),5.305039787798408E-4)</f>
        <v>0.0005305039788</v>
      </c>
      <c r="L1942" s="10">
        <f>IFERROR(__xludf.DUMMYFUNCTION("""COMPUTED_VALUE"""),0.0)</f>
        <v>0</v>
      </c>
      <c r="M1942" s="5">
        <f>IFERROR(__xludf.DUMMYFUNCTION("""COMPUTED_VALUE"""),0.0)</f>
        <v>0</v>
      </c>
    </row>
    <row r="1943">
      <c r="A1943" s="10" t="str">
        <f>IFERROR(__xludf.DUMMYFUNCTION("""COMPUTED_VALUE"""),"アーキョ")</f>
        <v>アーキョ</v>
      </c>
      <c r="B1943" s="10">
        <f>IFERROR(__xludf.DUMMYFUNCTION("""COMPUTED_VALUE"""),827.0)</f>
        <v>827</v>
      </c>
      <c r="C1943" s="10">
        <f>IFERROR(__xludf.DUMMYFUNCTION("""COMPUTED_VALUE"""),9821.0)</f>
        <v>9821</v>
      </c>
      <c r="D1943" s="5">
        <f>IFERROR(__xludf.DUMMYFUNCTION("""COMPUTED_VALUE"""),0.4059372915276851)</f>
        <v>0.4059372915</v>
      </c>
      <c r="E1943" s="5">
        <f>IFERROR(__xludf.DUMMYFUNCTION("""COMPUTED_VALUE"""),0.13275517011340893)</f>
        <v>0.1327551701</v>
      </c>
      <c r="F1943" s="5">
        <f>IFERROR(__xludf.DUMMYFUNCTION("""COMPUTED_VALUE"""),0.21258616855681564)</f>
        <v>0.2125861686</v>
      </c>
      <c r="G1943" s="5">
        <f>IFERROR(__xludf.DUMMYFUNCTION("""COMPUTED_VALUE"""),0.17178118745830553)</f>
        <v>0.1717811875</v>
      </c>
      <c r="H1943" s="5">
        <f>IFERROR(__xludf.DUMMYFUNCTION("""COMPUTED_VALUE"""),0.6134937238493724)</f>
        <v>0.6134937238</v>
      </c>
      <c r="I1943" s="11">
        <f>IFERROR(__xludf.DUMMYFUNCTION("""COMPUTED_VALUE"""),5806.7468619246865)</f>
        <v>5806.746862</v>
      </c>
      <c r="J1943" s="10">
        <f>IFERROR(__xludf.DUMMYFUNCTION("""COMPUTED_VALUE"""),3.0)</f>
        <v>3</v>
      </c>
      <c r="K1943" s="5">
        <f>IFERROR(__xludf.DUMMYFUNCTION("""COMPUTED_VALUE"""),0.0036275695284159614)</f>
        <v>0.003627569528</v>
      </c>
      <c r="L1943" s="10">
        <f>IFERROR(__xludf.DUMMYFUNCTION("""COMPUTED_VALUE"""),827.0)</f>
        <v>827</v>
      </c>
      <c r="M1943" s="5">
        <f>IFERROR(__xludf.DUMMYFUNCTION("""COMPUTED_VALUE"""),1.0)</f>
        <v>1</v>
      </c>
    </row>
    <row r="1944">
      <c r="A1944" s="10" t="str">
        <f>IFERROR(__xludf.DUMMYFUNCTION("""COMPUTED_VALUE"""),"いちごポッキー")</f>
        <v>いちごポッキー</v>
      </c>
      <c r="B1944" s="10">
        <f>IFERROR(__xludf.DUMMYFUNCTION("""COMPUTED_VALUE"""),772.0)</f>
        <v>772</v>
      </c>
      <c r="C1944" s="10">
        <f>IFERROR(__xludf.DUMMYFUNCTION("""COMPUTED_VALUE"""),9171.0)</f>
        <v>9171</v>
      </c>
      <c r="D1944" s="5">
        <f>IFERROR(__xludf.DUMMYFUNCTION("""COMPUTED_VALUE"""),0.37659245148231935)</f>
        <v>0.3765924515</v>
      </c>
      <c r="E1944" s="5">
        <f>IFERROR(__xludf.DUMMYFUNCTION("""COMPUTED_VALUE"""),0.13275389927372305)</f>
        <v>0.1327538993</v>
      </c>
      <c r="F1944" s="5">
        <f>IFERROR(__xludf.DUMMYFUNCTION("""COMPUTED_VALUE"""),0.21776401952613406)</f>
        <v>0.2177640195</v>
      </c>
      <c r="G1944" s="5">
        <f>IFERROR(__xludf.DUMMYFUNCTION("""COMPUTED_VALUE"""),0.18168829622574115)</f>
        <v>0.1816882962</v>
      </c>
      <c r="H1944" s="5">
        <f>IFERROR(__xludf.DUMMYFUNCTION("""COMPUTED_VALUE"""),0.5937670858392564)</f>
        <v>0.5937670858</v>
      </c>
      <c r="I1944" s="11">
        <f>IFERROR(__xludf.DUMMYFUNCTION("""COMPUTED_VALUE"""),5453.745215965008)</f>
        <v>5453.745216</v>
      </c>
      <c r="J1944" s="10">
        <f>IFERROR(__xludf.DUMMYFUNCTION("""COMPUTED_VALUE"""),1.0)</f>
        <v>1</v>
      </c>
      <c r="K1944" s="5">
        <f>IFERROR(__xludf.DUMMYFUNCTION("""COMPUTED_VALUE"""),0.0012953367875647669)</f>
        <v>0.001295336788</v>
      </c>
      <c r="L1944" s="10">
        <f>IFERROR(__xludf.DUMMYFUNCTION("""COMPUTED_VALUE"""),0.0)</f>
        <v>0</v>
      </c>
      <c r="M1944" s="5">
        <f>IFERROR(__xludf.DUMMYFUNCTION("""COMPUTED_VALUE"""),0.0)</f>
        <v>0</v>
      </c>
    </row>
    <row r="1945">
      <c r="A1945" s="10" t="str">
        <f>IFERROR(__xludf.DUMMYFUNCTION("""COMPUTED_VALUE"""),"生きててよかった")</f>
        <v>生きててよかった</v>
      </c>
      <c r="B1945" s="10">
        <f>IFERROR(__xludf.DUMMYFUNCTION("""COMPUTED_VALUE"""),722.0)</f>
        <v>722</v>
      </c>
      <c r="C1945" s="10">
        <f>IFERROR(__xludf.DUMMYFUNCTION("""COMPUTED_VALUE"""),8398.0)</f>
        <v>8398</v>
      </c>
      <c r="D1945" s="5">
        <f>IFERROR(__xludf.DUMMYFUNCTION("""COMPUTED_VALUE"""),0.34093277748827516)</f>
        <v>0.3409327775</v>
      </c>
      <c r="E1945" s="5">
        <f>IFERROR(__xludf.DUMMYFUNCTION("""COMPUTED_VALUE"""),0.13275143303804066)</f>
        <v>0.132751433</v>
      </c>
      <c r="F1945" s="5">
        <f>IFERROR(__xludf.DUMMYFUNCTION("""COMPUTED_VALUE"""),0.20622720166753516)</f>
        <v>0.2062272017</v>
      </c>
      <c r="G1945" s="5">
        <f>IFERROR(__xludf.DUMMYFUNCTION("""COMPUTED_VALUE"""),0.1628452318916102)</f>
        <v>0.1628452319</v>
      </c>
      <c r="H1945" s="5">
        <f>IFERROR(__xludf.DUMMYFUNCTION("""COMPUTED_VALUE"""),0.5786481364497789)</f>
        <v>0.5786481364</v>
      </c>
      <c r="I1945" s="11">
        <f>IFERROR(__xludf.DUMMYFUNCTION("""COMPUTED_VALUE"""),5691.408717624763)</f>
        <v>5691.408718</v>
      </c>
      <c r="J1945" s="10">
        <f>IFERROR(__xludf.DUMMYFUNCTION("""COMPUTED_VALUE"""),3.0)</f>
        <v>3</v>
      </c>
      <c r="K1945" s="5">
        <f>IFERROR(__xludf.DUMMYFUNCTION("""COMPUTED_VALUE"""),0.004155124653739612)</f>
        <v>0.004155124654</v>
      </c>
      <c r="L1945" s="10">
        <f>IFERROR(__xludf.DUMMYFUNCTION("""COMPUTED_VALUE"""),72.0)</f>
        <v>72</v>
      </c>
      <c r="M1945" s="5">
        <f>IFERROR(__xludf.DUMMYFUNCTION("""COMPUTED_VALUE"""),0.0997229916897507)</f>
        <v>0.09972299169</v>
      </c>
    </row>
    <row r="1946">
      <c r="A1946" s="10" t="str">
        <f>IFERROR(__xludf.DUMMYFUNCTION("""COMPUTED_VALUE"""),"五月の風")</f>
        <v>五月の風</v>
      </c>
      <c r="B1946" s="10">
        <f>IFERROR(__xludf.DUMMYFUNCTION("""COMPUTED_VALUE"""),1138.0)</f>
        <v>1138</v>
      </c>
      <c r="C1946" s="10">
        <f>IFERROR(__xludf.DUMMYFUNCTION("""COMPUTED_VALUE"""),13281.0)</f>
        <v>13281</v>
      </c>
      <c r="D1946" s="5">
        <f>IFERROR(__xludf.DUMMYFUNCTION("""COMPUTED_VALUE"""),0.34653709956353457)</f>
        <v>0.3465370996</v>
      </c>
      <c r="E1946" s="5">
        <f>IFERROR(__xludf.DUMMYFUNCTION("""COMPUTED_VALUE"""),0.13275137939553652)</f>
        <v>0.1327513794</v>
      </c>
      <c r="F1946" s="5">
        <f>IFERROR(__xludf.DUMMYFUNCTION("""COMPUTED_VALUE"""),0.22506794037717204)</f>
        <v>0.2250679404</v>
      </c>
      <c r="G1946" s="5">
        <f>IFERROR(__xludf.DUMMYFUNCTION("""COMPUTED_VALUE"""),0.16503335254879353)</f>
        <v>0.1650333525</v>
      </c>
      <c r="H1946" s="5">
        <f>IFERROR(__xludf.DUMMYFUNCTION("""COMPUTED_VALUE"""),0.6073911452616173)</f>
        <v>0.6073911453</v>
      </c>
      <c r="I1946" s="11">
        <f>IFERROR(__xludf.DUMMYFUNCTION("""COMPUTED_VALUE"""),5483.205268935236)</f>
        <v>5483.205269</v>
      </c>
      <c r="J1946" s="10">
        <f>IFERROR(__xludf.DUMMYFUNCTION("""COMPUTED_VALUE"""),2.0)</f>
        <v>2</v>
      </c>
      <c r="K1946" s="5">
        <f>IFERROR(__xludf.DUMMYFUNCTION("""COMPUTED_VALUE"""),0.0017574692442882249)</f>
        <v>0.001757469244</v>
      </c>
      <c r="L1946" s="10">
        <f>IFERROR(__xludf.DUMMYFUNCTION("""COMPUTED_VALUE"""),1138.0)</f>
        <v>1138</v>
      </c>
      <c r="M1946" s="5">
        <f>IFERROR(__xludf.DUMMYFUNCTION("""COMPUTED_VALUE"""),1.0)</f>
        <v>1</v>
      </c>
    </row>
    <row r="1947">
      <c r="A1947" s="10" t="str">
        <f>IFERROR(__xludf.DUMMYFUNCTION("""COMPUTED_VALUE"""),"AGF")</f>
        <v>AGF</v>
      </c>
      <c r="B1947" s="10">
        <f>IFERROR(__xludf.DUMMYFUNCTION("""COMPUTED_VALUE"""),619.0)</f>
        <v>619</v>
      </c>
      <c r="C1947" s="10">
        <f>IFERROR(__xludf.DUMMYFUNCTION("""COMPUTED_VALUE"""),7361.0)</f>
        <v>7361</v>
      </c>
      <c r="D1947" s="5">
        <f>IFERROR(__xludf.DUMMYFUNCTION("""COMPUTED_VALUE"""),0.27840403441115397)</f>
        <v>0.2784040344</v>
      </c>
      <c r="E1947" s="5">
        <f>IFERROR(__xludf.DUMMYFUNCTION("""COMPUTED_VALUE"""),0.13274992583803025)</f>
        <v>0.1327499258</v>
      </c>
      <c r="F1947" s="5">
        <f>IFERROR(__xludf.DUMMYFUNCTION("""COMPUTED_VALUE"""),0.19801245921091665)</f>
        <v>0.1980124592</v>
      </c>
      <c r="G1947" s="5">
        <f>IFERROR(__xludf.DUMMYFUNCTION("""COMPUTED_VALUE"""),0.15158706615247702)</f>
        <v>0.1515870662</v>
      </c>
      <c r="H1947" s="5">
        <f>IFERROR(__xludf.DUMMYFUNCTION("""COMPUTED_VALUE"""),0.602996254681648)</f>
        <v>0.6029962547</v>
      </c>
      <c r="I1947" s="11">
        <f>IFERROR(__xludf.DUMMYFUNCTION("""COMPUTED_VALUE"""),5819.700374531835)</f>
        <v>5819.700375</v>
      </c>
      <c r="J1947" s="10">
        <f>IFERROR(__xludf.DUMMYFUNCTION("""COMPUTED_VALUE"""),2.0)</f>
        <v>2</v>
      </c>
      <c r="K1947" s="5">
        <f>IFERROR(__xludf.DUMMYFUNCTION("""COMPUTED_VALUE"""),0.0032310177705977385)</f>
        <v>0.003231017771</v>
      </c>
      <c r="L1947" s="10">
        <f>IFERROR(__xludf.DUMMYFUNCTION("""COMPUTED_VALUE"""),619.0)</f>
        <v>619</v>
      </c>
      <c r="M1947" s="5">
        <f>IFERROR(__xludf.DUMMYFUNCTION("""COMPUTED_VALUE"""),1.0)</f>
        <v>1</v>
      </c>
    </row>
    <row r="1948">
      <c r="A1948" s="10" t="str">
        <f>IFERROR(__xludf.DUMMYFUNCTION("""COMPUTED_VALUE"""),"まつゆき")</f>
        <v>まつゆき</v>
      </c>
      <c r="B1948" s="10">
        <f>IFERROR(__xludf.DUMMYFUNCTION("""COMPUTED_VALUE"""),724.0)</f>
        <v>724</v>
      </c>
      <c r="C1948" s="10">
        <f>IFERROR(__xludf.DUMMYFUNCTION("""COMPUTED_VALUE"""),8506.0)</f>
        <v>8506</v>
      </c>
      <c r="D1948" s="5">
        <f>IFERROR(__xludf.DUMMYFUNCTION("""COMPUTED_VALUE"""),0.32947828321768186)</f>
        <v>0.3294782832</v>
      </c>
      <c r="E1948" s="5">
        <f>IFERROR(__xludf.DUMMYFUNCTION("""COMPUTED_VALUE"""),0.13274222564893343)</f>
        <v>0.1327422256</v>
      </c>
      <c r="F1948" s="5">
        <f>IFERROR(__xludf.DUMMYFUNCTION("""COMPUTED_VALUE"""),0.21331277306604987)</f>
        <v>0.2133127731</v>
      </c>
      <c r="G1948" s="5">
        <f>IFERROR(__xludf.DUMMYFUNCTION("""COMPUTED_VALUE"""),0.19159599074787972)</f>
        <v>0.1915959907</v>
      </c>
      <c r="H1948" s="5">
        <f>IFERROR(__xludf.DUMMYFUNCTION("""COMPUTED_VALUE"""),0.6060240963855422)</f>
        <v>0.6060240964</v>
      </c>
      <c r="I1948" s="11">
        <f>IFERROR(__xludf.DUMMYFUNCTION("""COMPUTED_VALUE"""),5782.048192771084)</f>
        <v>5782.048193</v>
      </c>
      <c r="J1948" s="10">
        <f>IFERROR(__xludf.DUMMYFUNCTION("""COMPUTED_VALUE"""),0.0)</f>
        <v>0</v>
      </c>
      <c r="K1948" s="5">
        <f>IFERROR(__xludf.DUMMYFUNCTION("""COMPUTED_VALUE"""),0.0)</f>
        <v>0</v>
      </c>
      <c r="L1948" s="10">
        <f>IFERROR(__xludf.DUMMYFUNCTION("""COMPUTED_VALUE"""),724.0)</f>
        <v>724</v>
      </c>
      <c r="M1948" s="5">
        <f>IFERROR(__xludf.DUMMYFUNCTION("""COMPUTED_VALUE"""),1.0)</f>
        <v>1</v>
      </c>
    </row>
    <row r="1949">
      <c r="A1949" s="10" t="str">
        <f>IFERROR(__xludf.DUMMYFUNCTION("""COMPUTED_VALUE"""),"たまごのおじさん")</f>
        <v>たまごのおじさん</v>
      </c>
      <c r="B1949" s="10">
        <f>IFERROR(__xludf.DUMMYFUNCTION("""COMPUTED_VALUE"""),298.0)</f>
        <v>298</v>
      </c>
      <c r="C1949" s="10">
        <f>IFERROR(__xludf.DUMMYFUNCTION("""COMPUTED_VALUE"""),3500.0)</f>
        <v>3500</v>
      </c>
      <c r="D1949" s="5">
        <f>IFERROR(__xludf.DUMMYFUNCTION("""COMPUTED_VALUE"""),0.33416614615865087)</f>
        <v>0.3341661462</v>
      </c>
      <c r="E1949" s="5">
        <f>IFERROR(__xludf.DUMMYFUNCTION("""COMPUTED_VALUE"""),0.13272954403497814)</f>
        <v>0.132729544</v>
      </c>
      <c r="F1949" s="5">
        <f>IFERROR(__xludf.DUMMYFUNCTION("""COMPUTED_VALUE"""),0.21267957526545908)</f>
        <v>0.2126795753</v>
      </c>
      <c r="G1949" s="5">
        <f>IFERROR(__xludf.DUMMYFUNCTION("""COMPUTED_VALUE"""),0.1958151155527795)</f>
        <v>0.1958151156</v>
      </c>
      <c r="H1949" s="5">
        <f>IFERROR(__xludf.DUMMYFUNCTION("""COMPUTED_VALUE"""),0.6020558002936858)</f>
        <v>0.6020558003</v>
      </c>
      <c r="I1949" s="11">
        <f>IFERROR(__xludf.DUMMYFUNCTION("""COMPUTED_VALUE"""),5688.105726872247)</f>
        <v>5688.105727</v>
      </c>
      <c r="J1949" s="10">
        <f>IFERROR(__xludf.DUMMYFUNCTION("""COMPUTED_VALUE"""),1.0)</f>
        <v>1</v>
      </c>
      <c r="K1949" s="5">
        <f>IFERROR(__xludf.DUMMYFUNCTION("""COMPUTED_VALUE"""),0.003355704697986577)</f>
        <v>0.003355704698</v>
      </c>
      <c r="L1949" s="10">
        <f>IFERROR(__xludf.DUMMYFUNCTION("""COMPUTED_VALUE"""),298.0)</f>
        <v>298</v>
      </c>
      <c r="M1949" s="5">
        <f>IFERROR(__xludf.DUMMYFUNCTION("""COMPUTED_VALUE"""),1.0)</f>
        <v>1</v>
      </c>
    </row>
    <row r="1950">
      <c r="A1950" s="10" t="str">
        <f>IFERROR(__xludf.DUMMYFUNCTION("""COMPUTED_VALUE"""),"Death")</f>
        <v>Death</v>
      </c>
      <c r="B1950" s="10">
        <f>IFERROR(__xludf.DUMMYFUNCTION("""COMPUTED_VALUE"""),165.0)</f>
        <v>165</v>
      </c>
      <c r="C1950" s="10">
        <f>IFERROR(__xludf.DUMMYFUNCTION("""COMPUTED_VALUE"""),1913.0)</f>
        <v>1913</v>
      </c>
      <c r="D1950" s="5">
        <f>IFERROR(__xludf.DUMMYFUNCTION("""COMPUTED_VALUE"""),0.35640732265446223)</f>
        <v>0.3564073227</v>
      </c>
      <c r="E1950" s="5">
        <f>IFERROR(__xludf.DUMMYFUNCTION("""COMPUTED_VALUE"""),0.13272311212814644)</f>
        <v>0.1327231121</v>
      </c>
      <c r="F1950" s="5">
        <f>IFERROR(__xludf.DUMMYFUNCTION("""COMPUTED_VALUE"""),0.18306636155606407)</f>
        <v>0.1830663616</v>
      </c>
      <c r="G1950" s="5">
        <f>IFERROR(__xludf.DUMMYFUNCTION("""COMPUTED_VALUE"""),0.17677345537757438)</f>
        <v>0.1767734554</v>
      </c>
      <c r="H1950" s="5">
        <f>IFERROR(__xludf.DUMMYFUNCTION("""COMPUTED_VALUE"""),0.559375)</f>
        <v>0.559375</v>
      </c>
      <c r="I1950" s="11">
        <f>IFERROR(__xludf.DUMMYFUNCTION("""COMPUTED_VALUE"""),5422.1875)</f>
        <v>5422.1875</v>
      </c>
      <c r="J1950" s="10">
        <f>IFERROR(__xludf.DUMMYFUNCTION("""COMPUTED_VALUE"""),1.0)</f>
        <v>1</v>
      </c>
      <c r="K1950" s="5">
        <f>IFERROR(__xludf.DUMMYFUNCTION("""COMPUTED_VALUE"""),0.006060606060606061)</f>
        <v>0.006060606061</v>
      </c>
      <c r="L1950" s="10">
        <f>IFERROR(__xludf.DUMMYFUNCTION("""COMPUTED_VALUE"""),165.0)</f>
        <v>165</v>
      </c>
      <c r="M1950" s="5">
        <f>IFERROR(__xludf.DUMMYFUNCTION("""COMPUTED_VALUE"""),1.0)</f>
        <v>1</v>
      </c>
    </row>
    <row r="1951">
      <c r="A1951" s="10" t="str">
        <f>IFERROR(__xludf.DUMMYFUNCTION("""COMPUTED_VALUE"""),"でんつう")</f>
        <v>でんつう</v>
      </c>
      <c r="B1951" s="10">
        <f>IFERROR(__xludf.DUMMYFUNCTION("""COMPUTED_VALUE"""),2488.0)</f>
        <v>2488</v>
      </c>
      <c r="C1951" s="10">
        <f>IFERROR(__xludf.DUMMYFUNCTION("""COMPUTED_VALUE"""),29032.0)</f>
        <v>29032</v>
      </c>
      <c r="D1951" s="5">
        <f>IFERROR(__xludf.DUMMYFUNCTION("""COMPUTED_VALUE"""),0.3294153104279687)</f>
        <v>0.3294153104</v>
      </c>
      <c r="E1951" s="5">
        <f>IFERROR(__xludf.DUMMYFUNCTION("""COMPUTED_VALUE"""),0.13272302591922844)</f>
        <v>0.1327230259</v>
      </c>
      <c r="F1951" s="5">
        <f>IFERROR(__xludf.DUMMYFUNCTION("""COMPUTED_VALUE"""),0.22321428571428573)</f>
        <v>0.2232142857</v>
      </c>
      <c r="G1951" s="5">
        <f>IFERROR(__xludf.DUMMYFUNCTION("""COMPUTED_VALUE"""),0.18459915611814345)</f>
        <v>0.1845991561</v>
      </c>
      <c r="H1951" s="5">
        <f>IFERROR(__xludf.DUMMYFUNCTION("""COMPUTED_VALUE"""),0.5915611814345991)</f>
        <v>0.5915611814</v>
      </c>
      <c r="I1951" s="11">
        <f>IFERROR(__xludf.DUMMYFUNCTION("""COMPUTED_VALUE"""),5670.261603375528)</f>
        <v>5670.261603</v>
      </c>
      <c r="J1951" s="10">
        <f>IFERROR(__xludf.DUMMYFUNCTION("""COMPUTED_VALUE"""),5.0)</f>
        <v>5</v>
      </c>
      <c r="K1951" s="5">
        <f>IFERROR(__xludf.DUMMYFUNCTION("""COMPUTED_VALUE"""),0.0020096463022508037)</f>
        <v>0.002009646302</v>
      </c>
      <c r="L1951" s="10">
        <f>IFERROR(__xludf.DUMMYFUNCTION("""COMPUTED_VALUE"""),2486.0)</f>
        <v>2486</v>
      </c>
      <c r="M1951" s="5">
        <f>IFERROR(__xludf.DUMMYFUNCTION("""COMPUTED_VALUE"""),0.9991961414790996)</f>
        <v>0.9991961415</v>
      </c>
    </row>
    <row r="1952">
      <c r="A1952" s="10" t="str">
        <f>IFERROR(__xludf.DUMMYFUNCTION("""COMPUTED_VALUE"""),"kazz-k")</f>
        <v>kazz-k</v>
      </c>
      <c r="B1952" s="10">
        <f>IFERROR(__xludf.DUMMYFUNCTION("""COMPUTED_VALUE"""),475.0)</f>
        <v>475</v>
      </c>
      <c r="C1952" s="10">
        <f>IFERROR(__xludf.DUMMYFUNCTION("""COMPUTED_VALUE"""),5561.0)</f>
        <v>5561</v>
      </c>
      <c r="D1952" s="5">
        <f>IFERROR(__xludf.DUMMYFUNCTION("""COMPUTED_VALUE"""),0.3826189539913488)</f>
        <v>0.382618954</v>
      </c>
      <c r="E1952" s="5">
        <f>IFERROR(__xludf.DUMMYFUNCTION("""COMPUTED_VALUE"""),0.13271726307510814)</f>
        <v>0.1327172631</v>
      </c>
      <c r="F1952" s="5">
        <f>IFERROR(__xludf.DUMMYFUNCTION("""COMPUTED_VALUE"""),0.19917420369642155)</f>
        <v>0.1991742037</v>
      </c>
      <c r="G1952" s="5">
        <f>IFERROR(__xludf.DUMMYFUNCTION("""COMPUTED_VALUE"""),0.14294140778607944)</f>
        <v>0.1429414078</v>
      </c>
      <c r="H1952" s="5">
        <f>IFERROR(__xludf.DUMMYFUNCTION("""COMPUTED_VALUE"""),0.5804540967423495)</f>
        <v>0.5804540967</v>
      </c>
      <c r="I1952" s="11">
        <f>IFERROR(__xludf.DUMMYFUNCTION("""COMPUTED_VALUE"""),5765.942744323791)</f>
        <v>5765.942744</v>
      </c>
      <c r="J1952" s="10">
        <f>IFERROR(__xludf.DUMMYFUNCTION("""COMPUTED_VALUE"""),0.0)</f>
        <v>0</v>
      </c>
      <c r="K1952" s="5">
        <f>IFERROR(__xludf.DUMMYFUNCTION("""COMPUTED_VALUE"""),0.0)</f>
        <v>0</v>
      </c>
      <c r="L1952" s="10">
        <f>IFERROR(__xludf.DUMMYFUNCTION("""COMPUTED_VALUE"""),475.0)</f>
        <v>475</v>
      </c>
      <c r="M1952" s="5">
        <f>IFERROR(__xludf.DUMMYFUNCTION("""COMPUTED_VALUE"""),1.0)</f>
        <v>1</v>
      </c>
    </row>
    <row r="1953">
      <c r="A1953" s="10" t="str">
        <f>IFERROR(__xludf.DUMMYFUNCTION("""COMPUTED_VALUE"""),"doooowy1")</f>
        <v>doooowy1</v>
      </c>
      <c r="B1953" s="10">
        <f>IFERROR(__xludf.DUMMYFUNCTION("""COMPUTED_VALUE"""),417.0)</f>
        <v>417</v>
      </c>
      <c r="C1953" s="10">
        <f>IFERROR(__xludf.DUMMYFUNCTION("""COMPUTED_VALUE"""),4825.0)</f>
        <v>4825</v>
      </c>
      <c r="D1953" s="5">
        <f>IFERROR(__xludf.DUMMYFUNCTION("""COMPUTED_VALUE"""),0.37114337568058076)</f>
        <v>0.3711433757</v>
      </c>
      <c r="E1953" s="5">
        <f>IFERROR(__xludf.DUMMYFUNCTION("""COMPUTED_VALUE"""),0.1327132486388385)</f>
        <v>0.1327132486</v>
      </c>
      <c r="F1953" s="5">
        <f>IFERROR(__xludf.DUMMYFUNCTION("""COMPUTED_VALUE"""),0.21007259528130673)</f>
        <v>0.2100725953</v>
      </c>
      <c r="G1953" s="5">
        <f>IFERROR(__xludf.DUMMYFUNCTION("""COMPUTED_VALUE"""),0.19532667876588022)</f>
        <v>0.1953266788</v>
      </c>
      <c r="H1953" s="5">
        <f>IFERROR(__xludf.DUMMYFUNCTION("""COMPUTED_VALUE"""),0.6231101511879049)</f>
        <v>0.6231101512</v>
      </c>
      <c r="I1953" s="11">
        <f>IFERROR(__xludf.DUMMYFUNCTION("""COMPUTED_VALUE"""),5601.83585313175)</f>
        <v>5601.835853</v>
      </c>
      <c r="J1953" s="10">
        <f>IFERROR(__xludf.DUMMYFUNCTION("""COMPUTED_VALUE"""),1.0)</f>
        <v>1</v>
      </c>
      <c r="K1953" s="5">
        <f>IFERROR(__xludf.DUMMYFUNCTION("""COMPUTED_VALUE"""),0.002398081534772182)</f>
        <v>0.002398081535</v>
      </c>
      <c r="L1953" s="10">
        <f>IFERROR(__xludf.DUMMYFUNCTION("""COMPUTED_VALUE"""),417.0)</f>
        <v>417</v>
      </c>
      <c r="M1953" s="5">
        <f>IFERROR(__xludf.DUMMYFUNCTION("""COMPUTED_VALUE"""),1.0)</f>
        <v>1</v>
      </c>
    </row>
    <row r="1954">
      <c r="A1954" s="10" t="str">
        <f>IFERROR(__xludf.DUMMYFUNCTION("""COMPUTED_VALUE"""),"波流")</f>
        <v>波流</v>
      </c>
      <c r="B1954" s="10">
        <f>IFERROR(__xludf.DUMMYFUNCTION("""COMPUTED_VALUE"""),120.0)</f>
        <v>120</v>
      </c>
      <c r="C1954" s="10">
        <f>IFERROR(__xludf.DUMMYFUNCTION("""COMPUTED_VALUE"""),1401.0)</f>
        <v>1401</v>
      </c>
      <c r="D1954" s="5">
        <f>IFERROR(__xludf.DUMMYFUNCTION("""COMPUTED_VALUE"""),0.33879781420765026)</f>
        <v>0.3387978142</v>
      </c>
      <c r="E1954" s="5">
        <f>IFERROR(__xludf.DUMMYFUNCTION("""COMPUTED_VALUE"""),0.1327088212334114)</f>
        <v>0.1327088212</v>
      </c>
      <c r="F1954" s="5">
        <f>IFERROR(__xludf.DUMMYFUNCTION("""COMPUTED_VALUE"""),0.2029664324746292)</f>
        <v>0.2029664325</v>
      </c>
      <c r="G1954" s="5">
        <f>IFERROR(__xludf.DUMMYFUNCTION("""COMPUTED_VALUE"""),0.18110850897736144)</f>
        <v>0.181108509</v>
      </c>
      <c r="H1954" s="5">
        <f>IFERROR(__xludf.DUMMYFUNCTION("""COMPUTED_VALUE"""),0.6115384615384616)</f>
        <v>0.6115384615</v>
      </c>
      <c r="I1954" s="11">
        <f>IFERROR(__xludf.DUMMYFUNCTION("""COMPUTED_VALUE"""),5186.538461538462)</f>
        <v>5186.538462</v>
      </c>
      <c r="J1954" s="10">
        <f>IFERROR(__xludf.DUMMYFUNCTION("""COMPUTED_VALUE"""),0.0)</f>
        <v>0</v>
      </c>
      <c r="K1954" s="5">
        <f>IFERROR(__xludf.DUMMYFUNCTION("""COMPUTED_VALUE"""),0.0)</f>
        <v>0</v>
      </c>
      <c r="L1954" s="10">
        <f>IFERROR(__xludf.DUMMYFUNCTION("""COMPUTED_VALUE"""),0.0)</f>
        <v>0</v>
      </c>
      <c r="M1954" s="5">
        <f>IFERROR(__xludf.DUMMYFUNCTION("""COMPUTED_VALUE"""),0.0)</f>
        <v>0</v>
      </c>
    </row>
    <row r="1955">
      <c r="A1955" s="10" t="str">
        <f>IFERROR(__xludf.DUMMYFUNCTION("""COMPUTED_VALUE"""),"青ベガ")</f>
        <v>青ベガ</v>
      </c>
      <c r="B1955" s="10">
        <f>IFERROR(__xludf.DUMMYFUNCTION("""COMPUTED_VALUE"""),1090.0)</f>
        <v>1090</v>
      </c>
      <c r="C1955" s="10">
        <f>IFERROR(__xludf.DUMMYFUNCTION("""COMPUTED_VALUE"""),12907.0)</f>
        <v>12907</v>
      </c>
      <c r="D1955" s="5">
        <f>IFERROR(__xludf.DUMMYFUNCTION("""COMPUTED_VALUE"""),0.3616823220783617)</f>
        <v>0.3616823221</v>
      </c>
      <c r="E1955" s="5">
        <f>IFERROR(__xludf.DUMMYFUNCTION("""COMPUTED_VALUE"""),0.1326901920961327)</f>
        <v>0.1326901921</v>
      </c>
      <c r="F1955" s="5">
        <f>IFERROR(__xludf.DUMMYFUNCTION("""COMPUTED_VALUE"""),0.20927477363120928)</f>
        <v>0.2092747736</v>
      </c>
      <c r="G1955" s="5">
        <f>IFERROR(__xludf.DUMMYFUNCTION("""COMPUTED_VALUE"""),0.15697723618515697)</f>
        <v>0.1569772362</v>
      </c>
      <c r="H1955" s="5">
        <f>IFERROR(__xludf.DUMMYFUNCTION("""COMPUTED_VALUE"""),0.5940153659522847)</f>
        <v>0.594015366</v>
      </c>
      <c r="I1955" s="11">
        <f>IFERROR(__xludf.DUMMYFUNCTION("""COMPUTED_VALUE"""),5363.1621512333195)</f>
        <v>5363.162151</v>
      </c>
      <c r="J1955" s="10">
        <f>IFERROR(__xludf.DUMMYFUNCTION("""COMPUTED_VALUE"""),1.0)</f>
        <v>1</v>
      </c>
      <c r="K1955" s="5">
        <f>IFERROR(__xludf.DUMMYFUNCTION("""COMPUTED_VALUE"""),9.174311926605505E-4)</f>
        <v>0.0009174311927</v>
      </c>
      <c r="L1955" s="10">
        <f>IFERROR(__xludf.DUMMYFUNCTION("""COMPUTED_VALUE"""),314.0)</f>
        <v>314</v>
      </c>
      <c r="M1955" s="5">
        <f>IFERROR(__xludf.DUMMYFUNCTION("""COMPUTED_VALUE"""),0.28807339449541286)</f>
        <v>0.2880733945</v>
      </c>
    </row>
    <row r="1956">
      <c r="A1956" s="10" t="str">
        <f>IFERROR(__xludf.DUMMYFUNCTION("""COMPUTED_VALUE"""),"nepero")</f>
        <v>nepero</v>
      </c>
      <c r="B1956" s="10">
        <f>IFERROR(__xludf.DUMMYFUNCTION("""COMPUTED_VALUE"""),1027.0)</f>
        <v>1027</v>
      </c>
      <c r="C1956" s="10">
        <f>IFERROR(__xludf.DUMMYFUNCTION("""COMPUTED_VALUE"""),12083.0)</f>
        <v>12083</v>
      </c>
      <c r="D1956" s="5">
        <f>IFERROR(__xludf.DUMMYFUNCTION("""COMPUTED_VALUE"""),0.38323082489146165)</f>
        <v>0.3832308249</v>
      </c>
      <c r="E1956" s="5">
        <f>IFERROR(__xludf.DUMMYFUNCTION("""COMPUTED_VALUE"""),0.13268813314037628)</f>
        <v>0.1326881331</v>
      </c>
      <c r="F1956" s="5">
        <f>IFERROR(__xludf.DUMMYFUNCTION("""COMPUTED_VALUE"""),0.22159913169319825)</f>
        <v>0.2215991317</v>
      </c>
      <c r="G1956" s="5">
        <f>IFERROR(__xludf.DUMMYFUNCTION("""COMPUTED_VALUE"""),0.16235528219971057)</f>
        <v>0.1623552822</v>
      </c>
      <c r="H1956" s="5">
        <f>IFERROR(__xludf.DUMMYFUNCTION("""COMPUTED_VALUE"""),0.593469387755102)</f>
        <v>0.5934693878</v>
      </c>
      <c r="I1956" s="11">
        <f>IFERROR(__xludf.DUMMYFUNCTION("""COMPUTED_VALUE"""),5446.897959183673)</f>
        <v>5446.897959</v>
      </c>
      <c r="J1956" s="10">
        <f>IFERROR(__xludf.DUMMYFUNCTION("""COMPUTED_VALUE"""),0.0)</f>
        <v>0</v>
      </c>
      <c r="K1956" s="5">
        <f>IFERROR(__xludf.DUMMYFUNCTION("""COMPUTED_VALUE"""),0.0)</f>
        <v>0</v>
      </c>
      <c r="L1956" s="10">
        <f>IFERROR(__xludf.DUMMYFUNCTION("""COMPUTED_VALUE"""),1022.0)</f>
        <v>1022</v>
      </c>
      <c r="M1956" s="5">
        <f>IFERROR(__xludf.DUMMYFUNCTION("""COMPUTED_VALUE"""),0.9951314508276533)</f>
        <v>0.9951314508</v>
      </c>
    </row>
    <row r="1957">
      <c r="A1957" s="10" t="str">
        <f>IFERROR(__xludf.DUMMYFUNCTION("""COMPUTED_VALUE"""),"root!")</f>
        <v>root!</v>
      </c>
      <c r="B1957" s="10">
        <f>IFERROR(__xludf.DUMMYFUNCTION("""COMPUTED_VALUE"""),500.0)</f>
        <v>500</v>
      </c>
      <c r="C1957" s="10">
        <f>IFERROR(__xludf.DUMMYFUNCTION("""COMPUTED_VALUE"""),5897.0)</f>
        <v>5897</v>
      </c>
      <c r="D1957" s="5">
        <f>IFERROR(__xludf.DUMMYFUNCTION("""COMPUTED_VALUE"""),0.3640911617565314)</f>
        <v>0.3640911618</v>
      </c>
      <c r="E1957" s="5">
        <f>IFERROR(__xludf.DUMMYFUNCTION("""COMPUTED_VALUE"""),0.1326662960904206)</f>
        <v>0.1326662961</v>
      </c>
      <c r="F1957" s="5">
        <f>IFERROR(__xludf.DUMMYFUNCTION("""COMPUTED_VALUE"""),0.21437835834722993)</f>
        <v>0.2143783583</v>
      </c>
      <c r="G1957" s="5">
        <f>IFERROR(__xludf.DUMMYFUNCTION("""COMPUTED_VALUE"""),0.16138595516027424)</f>
        <v>0.1613859552</v>
      </c>
      <c r="H1957" s="5">
        <f>IFERROR(__xludf.DUMMYFUNCTION("""COMPUTED_VALUE"""),0.5929127052722558)</f>
        <v>0.5929127053</v>
      </c>
      <c r="I1957" s="11">
        <f>IFERROR(__xludf.DUMMYFUNCTION("""COMPUTED_VALUE"""),5288.0726015557475)</f>
        <v>5288.072602</v>
      </c>
      <c r="J1957" s="10">
        <f>IFERROR(__xludf.DUMMYFUNCTION("""COMPUTED_VALUE"""),1.0)</f>
        <v>1</v>
      </c>
      <c r="K1957" s="5">
        <f>IFERROR(__xludf.DUMMYFUNCTION("""COMPUTED_VALUE"""),0.002)</f>
        <v>0.002</v>
      </c>
      <c r="L1957" s="10">
        <f>IFERROR(__xludf.DUMMYFUNCTION("""COMPUTED_VALUE"""),500.0)</f>
        <v>500</v>
      </c>
      <c r="M1957" s="5">
        <f>IFERROR(__xludf.DUMMYFUNCTION("""COMPUTED_VALUE"""),1.0)</f>
        <v>1</v>
      </c>
    </row>
    <row r="1958">
      <c r="A1958" s="10" t="str">
        <f>IFERROR(__xludf.DUMMYFUNCTION("""COMPUTED_VALUE"""),"sin1125")</f>
        <v>sin1125</v>
      </c>
      <c r="B1958" s="10">
        <f>IFERROR(__xludf.DUMMYFUNCTION("""COMPUTED_VALUE"""),579.0)</f>
        <v>579</v>
      </c>
      <c r="C1958" s="10">
        <f>IFERROR(__xludf.DUMMYFUNCTION("""COMPUTED_VALUE"""),6858.0)</f>
        <v>6858</v>
      </c>
      <c r="D1958" s="5">
        <f>IFERROR(__xludf.DUMMYFUNCTION("""COMPUTED_VALUE"""),0.44577161968466317)</f>
        <v>0.4457716197</v>
      </c>
      <c r="E1958" s="5">
        <f>IFERROR(__xludf.DUMMYFUNCTION("""COMPUTED_VALUE"""),0.1326644370122631)</f>
        <v>0.132664437</v>
      </c>
      <c r="F1958" s="5">
        <f>IFERROR(__xludf.DUMMYFUNCTION("""COMPUTED_VALUE"""),0.21866539257843606)</f>
        <v>0.2186653926</v>
      </c>
      <c r="G1958" s="5">
        <f>IFERROR(__xludf.DUMMYFUNCTION("""COMPUTED_VALUE"""),0.16308329351807613)</f>
        <v>0.1630832935</v>
      </c>
      <c r="H1958" s="5">
        <f>IFERROR(__xludf.DUMMYFUNCTION("""COMPUTED_VALUE"""),0.5994173343044428)</f>
        <v>0.5994173343</v>
      </c>
      <c r="I1958" s="11">
        <f>IFERROR(__xludf.DUMMYFUNCTION("""COMPUTED_VALUE"""),5224.326292789512)</f>
        <v>5224.326293</v>
      </c>
      <c r="J1958" s="10">
        <f>IFERROR(__xludf.DUMMYFUNCTION("""COMPUTED_VALUE"""),0.0)</f>
        <v>0</v>
      </c>
      <c r="K1958" s="5">
        <f>IFERROR(__xludf.DUMMYFUNCTION("""COMPUTED_VALUE"""),0.0)</f>
        <v>0</v>
      </c>
      <c r="L1958" s="10">
        <f>IFERROR(__xludf.DUMMYFUNCTION("""COMPUTED_VALUE"""),579.0)</f>
        <v>579</v>
      </c>
      <c r="M1958" s="5">
        <f>IFERROR(__xludf.DUMMYFUNCTION("""COMPUTED_VALUE"""),1.0)</f>
        <v>1</v>
      </c>
    </row>
    <row r="1959">
      <c r="A1959" s="10" t="str">
        <f>IFERROR(__xludf.DUMMYFUNCTION("""COMPUTED_VALUE"""),"斧乃木余接")</f>
        <v>斧乃木余接</v>
      </c>
      <c r="B1959" s="10">
        <f>IFERROR(__xludf.DUMMYFUNCTION("""COMPUTED_VALUE"""),137.0)</f>
        <v>137</v>
      </c>
      <c r="C1959" s="10">
        <f>IFERROR(__xludf.DUMMYFUNCTION("""COMPUTED_VALUE"""),1622.0)</f>
        <v>1622</v>
      </c>
      <c r="D1959" s="5">
        <f>IFERROR(__xludf.DUMMYFUNCTION("""COMPUTED_VALUE"""),0.3441077441077441)</f>
        <v>0.3441077441</v>
      </c>
      <c r="E1959" s="5">
        <f>IFERROR(__xludf.DUMMYFUNCTION("""COMPUTED_VALUE"""),0.13265993265993267)</f>
        <v>0.1326599327</v>
      </c>
      <c r="F1959" s="5">
        <f>IFERROR(__xludf.DUMMYFUNCTION("""COMPUTED_VALUE"""),0.19461279461279463)</f>
        <v>0.1946127946</v>
      </c>
      <c r="G1959" s="5">
        <f>IFERROR(__xludf.DUMMYFUNCTION("""COMPUTED_VALUE"""),0.17912457912457913)</f>
        <v>0.1791245791</v>
      </c>
      <c r="H1959" s="5">
        <f>IFERROR(__xludf.DUMMYFUNCTION("""COMPUTED_VALUE"""),0.5709342560553633)</f>
        <v>0.5709342561</v>
      </c>
      <c r="I1959" s="11">
        <f>IFERROR(__xludf.DUMMYFUNCTION("""COMPUTED_VALUE"""),5531.487889273357)</f>
        <v>5531.487889</v>
      </c>
      <c r="J1959" s="10">
        <f>IFERROR(__xludf.DUMMYFUNCTION("""COMPUTED_VALUE"""),0.0)</f>
        <v>0</v>
      </c>
      <c r="K1959" s="5">
        <f>IFERROR(__xludf.DUMMYFUNCTION("""COMPUTED_VALUE"""),0.0)</f>
        <v>0</v>
      </c>
      <c r="L1959" s="10">
        <f>IFERROR(__xludf.DUMMYFUNCTION("""COMPUTED_VALUE"""),0.0)</f>
        <v>0</v>
      </c>
      <c r="M1959" s="5">
        <f>IFERROR(__xludf.DUMMYFUNCTION("""COMPUTED_VALUE"""),0.0)</f>
        <v>0</v>
      </c>
    </row>
    <row r="1960">
      <c r="A1960" s="10" t="str">
        <f>IFERROR(__xludf.DUMMYFUNCTION("""COMPUTED_VALUE"""),"FlashBox")</f>
        <v>FlashBox</v>
      </c>
      <c r="B1960" s="10">
        <f>IFERROR(__xludf.DUMMYFUNCTION("""COMPUTED_VALUE"""),112.0)</f>
        <v>112</v>
      </c>
      <c r="C1960" s="10">
        <f>IFERROR(__xludf.DUMMYFUNCTION("""COMPUTED_VALUE"""),1288.0)</f>
        <v>1288</v>
      </c>
      <c r="D1960" s="5">
        <f>IFERROR(__xludf.DUMMYFUNCTION("""COMPUTED_VALUE"""),0.34438775510204084)</f>
        <v>0.3443877551</v>
      </c>
      <c r="E1960" s="5">
        <f>IFERROR(__xludf.DUMMYFUNCTION("""COMPUTED_VALUE"""),0.1326530612244898)</f>
        <v>0.1326530612</v>
      </c>
      <c r="F1960" s="5">
        <f>IFERROR(__xludf.DUMMYFUNCTION("""COMPUTED_VALUE"""),0.2304421768707483)</f>
        <v>0.2304421769</v>
      </c>
      <c r="G1960" s="5">
        <f>IFERROR(__xludf.DUMMYFUNCTION("""COMPUTED_VALUE"""),0.1717687074829932)</f>
        <v>0.1717687075</v>
      </c>
      <c r="H1960" s="5">
        <f>IFERROR(__xludf.DUMMYFUNCTION("""COMPUTED_VALUE"""),0.6051660516605166)</f>
        <v>0.6051660517</v>
      </c>
      <c r="I1960" s="11">
        <f>IFERROR(__xludf.DUMMYFUNCTION("""COMPUTED_VALUE"""),5464.944649446495)</f>
        <v>5464.944649</v>
      </c>
      <c r="J1960" s="10">
        <f>IFERROR(__xludf.DUMMYFUNCTION("""COMPUTED_VALUE"""),0.0)</f>
        <v>0</v>
      </c>
      <c r="K1960" s="5">
        <f>IFERROR(__xludf.DUMMYFUNCTION("""COMPUTED_VALUE"""),0.0)</f>
        <v>0</v>
      </c>
      <c r="L1960" s="10">
        <f>IFERROR(__xludf.DUMMYFUNCTION("""COMPUTED_VALUE"""),112.0)</f>
        <v>112</v>
      </c>
      <c r="M1960" s="5">
        <f>IFERROR(__xludf.DUMMYFUNCTION("""COMPUTED_VALUE"""),1.0)</f>
        <v>1</v>
      </c>
    </row>
    <row r="1961">
      <c r="A1961" s="10" t="str">
        <f>IFERROR(__xludf.DUMMYFUNCTION("""COMPUTED_VALUE"""),"あたし疲れた")</f>
        <v>あたし疲れた</v>
      </c>
      <c r="B1961" s="10">
        <f>IFERROR(__xludf.DUMMYFUNCTION("""COMPUTED_VALUE"""),2048.0)</f>
        <v>2048</v>
      </c>
      <c r="C1961" s="10">
        <f>IFERROR(__xludf.DUMMYFUNCTION("""COMPUTED_VALUE"""),23632.0)</f>
        <v>23632</v>
      </c>
      <c r="D1961" s="5">
        <f>IFERROR(__xludf.DUMMYFUNCTION("""COMPUTED_VALUE"""),0.3358506300963677)</f>
        <v>0.3358506301</v>
      </c>
      <c r="E1961" s="5">
        <f>IFERROR(__xludf.DUMMYFUNCTION("""COMPUTED_VALUE"""),0.1326445515196442)</f>
        <v>0.1326445515</v>
      </c>
      <c r="F1961" s="5">
        <f>IFERROR(__xludf.DUMMYFUNCTION("""COMPUTED_VALUE"""),0.2098776871756857)</f>
        <v>0.2098776872</v>
      </c>
      <c r="G1961" s="5">
        <f>IFERROR(__xludf.DUMMYFUNCTION("""COMPUTED_VALUE"""),0.16396404744255003)</f>
        <v>0.1639640474</v>
      </c>
      <c r="H1961" s="5">
        <f>IFERROR(__xludf.DUMMYFUNCTION("""COMPUTED_VALUE"""),0.5940397350993377)</f>
        <v>0.5940397351</v>
      </c>
      <c r="I1961" s="11">
        <f>IFERROR(__xludf.DUMMYFUNCTION("""COMPUTED_VALUE"""),5702.163355408388)</f>
        <v>5702.163355</v>
      </c>
      <c r="J1961" s="10">
        <f>IFERROR(__xludf.DUMMYFUNCTION("""COMPUTED_VALUE"""),3.0)</f>
        <v>3</v>
      </c>
      <c r="K1961" s="5">
        <f>IFERROR(__xludf.DUMMYFUNCTION("""COMPUTED_VALUE"""),0.00146484375)</f>
        <v>0.00146484375</v>
      </c>
      <c r="L1961" s="10">
        <f>IFERROR(__xludf.DUMMYFUNCTION("""COMPUTED_VALUE"""),2048.0)</f>
        <v>2048</v>
      </c>
      <c r="M1961" s="5">
        <f>IFERROR(__xludf.DUMMYFUNCTION("""COMPUTED_VALUE"""),1.0)</f>
        <v>1</v>
      </c>
    </row>
    <row r="1962">
      <c r="A1962" s="10" t="str">
        <f>IFERROR(__xludf.DUMMYFUNCTION("""COMPUTED_VALUE"""),"ざりがにちゃん")</f>
        <v>ざりがにちゃん</v>
      </c>
      <c r="B1962" s="10">
        <f>IFERROR(__xludf.DUMMYFUNCTION("""COMPUTED_VALUE"""),111.0)</f>
        <v>111</v>
      </c>
      <c r="C1962" s="10">
        <f>IFERROR(__xludf.DUMMYFUNCTION("""COMPUTED_VALUE"""),1272.0)</f>
        <v>1272</v>
      </c>
      <c r="D1962" s="5">
        <f>IFERROR(__xludf.DUMMYFUNCTION("""COMPUTED_VALUE"""),0.3031869078380706)</f>
        <v>0.3031869078</v>
      </c>
      <c r="E1962" s="5">
        <f>IFERROR(__xludf.DUMMYFUNCTION("""COMPUTED_VALUE"""),0.1326442721791559)</f>
        <v>0.1326442722</v>
      </c>
      <c r="F1962" s="5">
        <f>IFERROR(__xludf.DUMMYFUNCTION("""COMPUTED_VALUE"""),0.20757967269595176)</f>
        <v>0.2075796727</v>
      </c>
      <c r="G1962" s="5">
        <f>IFERROR(__xludf.DUMMYFUNCTION("""COMPUTED_VALUE"""),0.19035314384151594)</f>
        <v>0.1903531438</v>
      </c>
      <c r="H1962" s="5">
        <f>IFERROR(__xludf.DUMMYFUNCTION("""COMPUTED_VALUE"""),0.5394190871369294)</f>
        <v>0.5394190871</v>
      </c>
      <c r="I1962" s="11">
        <f>IFERROR(__xludf.DUMMYFUNCTION("""COMPUTED_VALUE"""),6320.746887966805)</f>
        <v>6320.746888</v>
      </c>
      <c r="J1962" s="10">
        <f>IFERROR(__xludf.DUMMYFUNCTION("""COMPUTED_VALUE"""),2.0)</f>
        <v>2</v>
      </c>
      <c r="K1962" s="5">
        <f>IFERROR(__xludf.DUMMYFUNCTION("""COMPUTED_VALUE"""),0.018018018018018018)</f>
        <v>0.01801801802</v>
      </c>
      <c r="L1962" s="10">
        <f>IFERROR(__xludf.DUMMYFUNCTION("""COMPUTED_VALUE"""),111.0)</f>
        <v>111</v>
      </c>
      <c r="M1962" s="5">
        <f>IFERROR(__xludf.DUMMYFUNCTION("""COMPUTED_VALUE"""),1.0)</f>
        <v>1</v>
      </c>
    </row>
    <row r="1963">
      <c r="A1963" s="10" t="str">
        <f>IFERROR(__xludf.DUMMYFUNCTION("""COMPUTED_VALUE"""),"たかひろ＊研究館")</f>
        <v>たかひろ＊研究館</v>
      </c>
      <c r="B1963" s="10">
        <f>IFERROR(__xludf.DUMMYFUNCTION("""COMPUTED_VALUE"""),110.0)</f>
        <v>110</v>
      </c>
      <c r="C1963" s="10">
        <f>IFERROR(__xludf.DUMMYFUNCTION("""COMPUTED_VALUE"""),1256.0)</f>
        <v>1256</v>
      </c>
      <c r="D1963" s="5">
        <f>IFERROR(__xludf.DUMMYFUNCTION("""COMPUTED_VALUE"""),0.3961605584642234)</f>
        <v>0.3961605585</v>
      </c>
      <c r="E1963" s="5">
        <f>IFERROR(__xludf.DUMMYFUNCTION("""COMPUTED_VALUE"""),0.13263525305410123)</f>
        <v>0.1326352531</v>
      </c>
      <c r="F1963" s="5">
        <f>IFERROR(__xludf.DUMMYFUNCTION("""COMPUTED_VALUE"""),0.22076788830715532)</f>
        <v>0.2207678883</v>
      </c>
      <c r="G1963" s="5">
        <f>IFERROR(__xludf.DUMMYFUNCTION("""COMPUTED_VALUE"""),0.1719022687609075)</f>
        <v>0.1719022688</v>
      </c>
      <c r="H1963" s="5">
        <f>IFERROR(__xludf.DUMMYFUNCTION("""COMPUTED_VALUE"""),0.6719367588932806)</f>
        <v>0.6719367589</v>
      </c>
      <c r="I1963" s="11">
        <f>IFERROR(__xludf.DUMMYFUNCTION("""COMPUTED_VALUE"""),5044.268774703557)</f>
        <v>5044.268775</v>
      </c>
      <c r="J1963" s="10">
        <f>IFERROR(__xludf.DUMMYFUNCTION("""COMPUTED_VALUE"""),0.0)</f>
        <v>0</v>
      </c>
      <c r="K1963" s="5">
        <f>IFERROR(__xludf.DUMMYFUNCTION("""COMPUTED_VALUE"""),0.0)</f>
        <v>0</v>
      </c>
      <c r="L1963" s="10">
        <f>IFERROR(__xludf.DUMMYFUNCTION("""COMPUTED_VALUE"""),110.0)</f>
        <v>110</v>
      </c>
      <c r="M1963" s="5">
        <f>IFERROR(__xludf.DUMMYFUNCTION("""COMPUTED_VALUE"""),1.0)</f>
        <v>1</v>
      </c>
    </row>
    <row r="1964">
      <c r="A1964" s="10" t="str">
        <f>IFERROR(__xludf.DUMMYFUNCTION("""COMPUTED_VALUE"""),"紅い瞳の武丸")</f>
        <v>紅い瞳の武丸</v>
      </c>
      <c r="B1964" s="10">
        <f>IFERROR(__xludf.DUMMYFUNCTION("""COMPUTED_VALUE"""),1598.0)</f>
        <v>1598</v>
      </c>
      <c r="C1964" s="10">
        <f>IFERROR(__xludf.DUMMYFUNCTION("""COMPUTED_VALUE"""),18872.0)</f>
        <v>18872</v>
      </c>
      <c r="D1964" s="5">
        <f>IFERROR(__xludf.DUMMYFUNCTION("""COMPUTED_VALUE"""),0.40083362278568946)</f>
        <v>0.4008336228</v>
      </c>
      <c r="E1964" s="5">
        <f>IFERROR(__xludf.DUMMYFUNCTION("""COMPUTED_VALUE"""),0.13262706958434642)</f>
        <v>0.1326270696</v>
      </c>
      <c r="F1964" s="5">
        <f>IFERROR(__xludf.DUMMYFUNCTION("""COMPUTED_VALUE"""),0.2191154335996295)</f>
        <v>0.2191154336</v>
      </c>
      <c r="G1964" s="5">
        <f>IFERROR(__xludf.DUMMYFUNCTION("""COMPUTED_VALUE"""),0.14773648257496816)</f>
        <v>0.1477364826</v>
      </c>
      <c r="H1964" s="5">
        <f>IFERROR(__xludf.DUMMYFUNCTION("""COMPUTED_VALUE"""),0.6026420079260237)</f>
        <v>0.6026420079</v>
      </c>
      <c r="I1964" s="11">
        <f>IFERROR(__xludf.DUMMYFUNCTION("""COMPUTED_VALUE"""),5299.5772787318365)</f>
        <v>5299.577279</v>
      </c>
      <c r="J1964" s="10">
        <f>IFERROR(__xludf.DUMMYFUNCTION("""COMPUTED_VALUE"""),1.0)</f>
        <v>1</v>
      </c>
      <c r="K1964" s="5">
        <f>IFERROR(__xludf.DUMMYFUNCTION("""COMPUTED_VALUE"""),6.257822277847309E-4)</f>
        <v>0.0006257822278</v>
      </c>
      <c r="L1964" s="10">
        <f>IFERROR(__xludf.DUMMYFUNCTION("""COMPUTED_VALUE"""),1582.0)</f>
        <v>1582</v>
      </c>
      <c r="M1964" s="5">
        <f>IFERROR(__xludf.DUMMYFUNCTION("""COMPUTED_VALUE"""),0.9899874843554443)</f>
        <v>0.9899874844</v>
      </c>
    </row>
    <row r="1965">
      <c r="A1965" s="10" t="str">
        <f>IFERROR(__xludf.DUMMYFUNCTION("""COMPUTED_VALUE"""),"AV代理")</f>
        <v>AV代理</v>
      </c>
      <c r="B1965" s="10">
        <f>IFERROR(__xludf.DUMMYFUNCTION("""COMPUTED_VALUE"""),288.0)</f>
        <v>288</v>
      </c>
      <c r="C1965" s="10">
        <f>IFERROR(__xludf.DUMMYFUNCTION("""COMPUTED_VALUE"""),3304.0)</f>
        <v>3304</v>
      </c>
      <c r="D1965" s="5">
        <f>IFERROR(__xludf.DUMMYFUNCTION("""COMPUTED_VALUE"""),0.38726790450928383)</f>
        <v>0.3872679045</v>
      </c>
      <c r="E1965" s="5">
        <f>IFERROR(__xludf.DUMMYFUNCTION("""COMPUTED_VALUE"""),0.13262599469496023)</f>
        <v>0.1326259947</v>
      </c>
      <c r="F1965" s="5">
        <f>IFERROR(__xludf.DUMMYFUNCTION("""COMPUTED_VALUE"""),0.20490716180371352)</f>
        <v>0.2049071618</v>
      </c>
      <c r="G1965" s="5">
        <f>IFERROR(__xludf.DUMMYFUNCTION("""COMPUTED_VALUE"""),0.14356763925729443)</f>
        <v>0.1435676393</v>
      </c>
      <c r="H1965" s="5">
        <f>IFERROR(__xludf.DUMMYFUNCTION("""COMPUTED_VALUE"""),0.6407766990291263)</f>
        <v>0.640776699</v>
      </c>
      <c r="I1965" s="11">
        <f>IFERROR(__xludf.DUMMYFUNCTION("""COMPUTED_VALUE"""),5427.508090614887)</f>
        <v>5427.508091</v>
      </c>
      <c r="J1965" s="10">
        <f>IFERROR(__xludf.DUMMYFUNCTION("""COMPUTED_VALUE"""),0.0)</f>
        <v>0</v>
      </c>
      <c r="K1965" s="5">
        <f>IFERROR(__xludf.DUMMYFUNCTION("""COMPUTED_VALUE"""),0.0)</f>
        <v>0</v>
      </c>
      <c r="L1965" s="10">
        <f>IFERROR(__xludf.DUMMYFUNCTION("""COMPUTED_VALUE"""),288.0)</f>
        <v>288</v>
      </c>
      <c r="M1965" s="5">
        <f>IFERROR(__xludf.DUMMYFUNCTION("""COMPUTED_VALUE"""),1.0)</f>
        <v>1</v>
      </c>
    </row>
    <row r="1966">
      <c r="A1966" s="10" t="str">
        <f>IFERROR(__xludf.DUMMYFUNCTION("""COMPUTED_VALUE"""),"ruice")</f>
        <v>ruice</v>
      </c>
      <c r="B1966" s="10">
        <f>IFERROR(__xludf.DUMMYFUNCTION("""COMPUTED_VALUE"""),984.0)</f>
        <v>984</v>
      </c>
      <c r="C1966" s="10">
        <f>IFERROR(__xludf.DUMMYFUNCTION("""COMPUTED_VALUE"""),11700.0)</f>
        <v>11700</v>
      </c>
      <c r="D1966" s="5">
        <f>IFERROR(__xludf.DUMMYFUNCTION("""COMPUTED_VALUE"""),0.35815602836879434)</f>
        <v>0.3581560284</v>
      </c>
      <c r="E1966" s="5">
        <f>IFERROR(__xludf.DUMMYFUNCTION("""COMPUTED_VALUE"""),0.13260544979469951)</f>
        <v>0.1326054498</v>
      </c>
      <c r="F1966" s="5">
        <f>IFERROR(__xludf.DUMMYFUNCTION("""COMPUTED_VALUE"""),0.2043673012318029)</f>
        <v>0.2043673012</v>
      </c>
      <c r="G1966" s="5">
        <f>IFERROR(__xludf.DUMMYFUNCTION("""COMPUTED_VALUE"""),0.16116088092571856)</f>
        <v>0.1611608809</v>
      </c>
      <c r="H1966" s="5">
        <f>IFERROR(__xludf.DUMMYFUNCTION("""COMPUTED_VALUE"""),0.6109589041095891)</f>
        <v>0.6109589041</v>
      </c>
      <c r="I1966" s="11">
        <f>IFERROR(__xludf.DUMMYFUNCTION("""COMPUTED_VALUE"""),5609.58904109589)</f>
        <v>5609.589041</v>
      </c>
      <c r="J1966" s="10">
        <f>IFERROR(__xludf.DUMMYFUNCTION("""COMPUTED_VALUE"""),5.0)</f>
        <v>5</v>
      </c>
      <c r="K1966" s="5">
        <f>IFERROR(__xludf.DUMMYFUNCTION("""COMPUTED_VALUE"""),0.00508130081300813)</f>
        <v>0.005081300813</v>
      </c>
      <c r="L1966" s="10">
        <f>IFERROR(__xludf.DUMMYFUNCTION("""COMPUTED_VALUE"""),984.0)</f>
        <v>984</v>
      </c>
      <c r="M1966" s="5">
        <f>IFERROR(__xludf.DUMMYFUNCTION("""COMPUTED_VALUE"""),1.0)</f>
        <v>1</v>
      </c>
    </row>
    <row r="1967">
      <c r="A1967" s="10" t="str">
        <f>IFERROR(__xludf.DUMMYFUNCTION("""COMPUTED_VALUE"""),"ゆきさん。")</f>
        <v>ゆきさん。</v>
      </c>
      <c r="B1967" s="10">
        <f>IFERROR(__xludf.DUMMYFUNCTION("""COMPUTED_VALUE"""),725.0)</f>
        <v>725</v>
      </c>
      <c r="C1967" s="10">
        <f>IFERROR(__xludf.DUMMYFUNCTION("""COMPUTED_VALUE"""),8425.0)</f>
        <v>8425</v>
      </c>
      <c r="D1967" s="5">
        <f>IFERROR(__xludf.DUMMYFUNCTION("""COMPUTED_VALUE"""),0.3451948051948052)</f>
        <v>0.3451948052</v>
      </c>
      <c r="E1967" s="5">
        <f>IFERROR(__xludf.DUMMYFUNCTION("""COMPUTED_VALUE"""),0.1325974025974026)</f>
        <v>0.1325974026</v>
      </c>
      <c r="F1967" s="5">
        <f>IFERROR(__xludf.DUMMYFUNCTION("""COMPUTED_VALUE"""),0.21402597402597404)</f>
        <v>0.214025974</v>
      </c>
      <c r="G1967" s="5">
        <f>IFERROR(__xludf.DUMMYFUNCTION("""COMPUTED_VALUE"""),0.17012987012987013)</f>
        <v>0.1701298701</v>
      </c>
      <c r="H1967" s="5">
        <f>IFERROR(__xludf.DUMMYFUNCTION("""COMPUTED_VALUE"""),0.5928398058252428)</f>
        <v>0.5928398058</v>
      </c>
      <c r="I1967" s="11">
        <f>IFERROR(__xludf.DUMMYFUNCTION("""COMPUTED_VALUE"""),5444.296116504855)</f>
        <v>5444.296117</v>
      </c>
      <c r="J1967" s="10">
        <f>IFERROR(__xludf.DUMMYFUNCTION("""COMPUTED_VALUE"""),0.0)</f>
        <v>0</v>
      </c>
      <c r="K1967" s="5">
        <f>IFERROR(__xludf.DUMMYFUNCTION("""COMPUTED_VALUE"""),0.0)</f>
        <v>0</v>
      </c>
      <c r="L1967" s="10">
        <f>IFERROR(__xludf.DUMMYFUNCTION("""COMPUTED_VALUE"""),725.0)</f>
        <v>725</v>
      </c>
      <c r="M1967" s="5">
        <f>IFERROR(__xludf.DUMMYFUNCTION("""COMPUTED_VALUE"""),1.0)</f>
        <v>1</v>
      </c>
    </row>
    <row r="1968">
      <c r="A1968" s="10" t="str">
        <f>IFERROR(__xludf.DUMMYFUNCTION("""COMPUTED_VALUE"""),"アヒルツルギー")</f>
        <v>アヒルツルギー</v>
      </c>
      <c r="B1968" s="10">
        <f>IFERROR(__xludf.DUMMYFUNCTION("""COMPUTED_VALUE"""),303.0)</f>
        <v>303</v>
      </c>
      <c r="C1968" s="10">
        <f>IFERROR(__xludf.DUMMYFUNCTION("""COMPUTED_VALUE"""),3561.0)</f>
        <v>3561</v>
      </c>
      <c r="D1968" s="5">
        <f>IFERROR(__xludf.DUMMYFUNCTION("""COMPUTED_VALUE"""),0.3161448741559239)</f>
        <v>0.3161448742</v>
      </c>
      <c r="E1968" s="5">
        <f>IFERROR(__xludf.DUMMYFUNCTION("""COMPUTED_VALUE"""),0.13259668508287292)</f>
        <v>0.1325966851</v>
      </c>
      <c r="F1968" s="5">
        <f>IFERROR(__xludf.DUMMYFUNCTION("""COMPUTED_VALUE"""),0.20748925721301412)</f>
        <v>0.2074892572</v>
      </c>
      <c r="G1968" s="5">
        <f>IFERROR(__xludf.DUMMYFUNCTION("""COMPUTED_VALUE"""),0.17096378146101904)</f>
        <v>0.1709637815</v>
      </c>
      <c r="H1968" s="5">
        <f>IFERROR(__xludf.DUMMYFUNCTION("""COMPUTED_VALUE"""),0.5828402366863905)</f>
        <v>0.5828402367</v>
      </c>
      <c r="I1968" s="11">
        <f>IFERROR(__xludf.DUMMYFUNCTION("""COMPUTED_VALUE"""),5717.603550295858)</f>
        <v>5717.60355</v>
      </c>
      <c r="J1968" s="10">
        <f>IFERROR(__xludf.DUMMYFUNCTION("""COMPUTED_VALUE"""),2.0)</f>
        <v>2</v>
      </c>
      <c r="K1968" s="5">
        <f>IFERROR(__xludf.DUMMYFUNCTION("""COMPUTED_VALUE"""),0.006600660066006601)</f>
        <v>0.006600660066</v>
      </c>
      <c r="L1968" s="10">
        <f>IFERROR(__xludf.DUMMYFUNCTION("""COMPUTED_VALUE"""),0.0)</f>
        <v>0</v>
      </c>
      <c r="M1968" s="5">
        <f>IFERROR(__xludf.DUMMYFUNCTION("""COMPUTED_VALUE"""),0.0)</f>
        <v>0</v>
      </c>
    </row>
    <row r="1969">
      <c r="A1969" s="10" t="str">
        <f>IFERROR(__xludf.DUMMYFUNCTION("""COMPUTED_VALUE"""),"torika2")</f>
        <v>torika2</v>
      </c>
      <c r="B1969" s="10">
        <f>IFERROR(__xludf.DUMMYFUNCTION("""COMPUTED_VALUE"""),178.0)</f>
        <v>178</v>
      </c>
      <c r="C1969" s="10">
        <f>IFERROR(__xludf.DUMMYFUNCTION("""COMPUTED_VALUE"""),2071.0)</f>
        <v>2071</v>
      </c>
      <c r="D1969" s="5">
        <f>IFERROR(__xludf.DUMMYFUNCTION("""COMPUTED_VALUE"""),0.3544638140517697)</f>
        <v>0.3544638141</v>
      </c>
      <c r="E1969" s="5">
        <f>IFERROR(__xludf.DUMMYFUNCTION("""COMPUTED_VALUE"""),0.13259376650818805)</f>
        <v>0.1325937665</v>
      </c>
      <c r="F1969" s="5">
        <f>IFERROR(__xludf.DUMMYFUNCTION("""COMPUTED_VALUE"""),0.2039091389329107)</f>
        <v>0.2039091389</v>
      </c>
      <c r="G1969" s="5">
        <f>IFERROR(__xludf.DUMMYFUNCTION("""COMPUTED_VALUE"""),0.15847860538827258)</f>
        <v>0.1584786054</v>
      </c>
      <c r="H1969" s="5">
        <f>IFERROR(__xludf.DUMMYFUNCTION("""COMPUTED_VALUE"""),0.6062176165803109)</f>
        <v>0.6062176166</v>
      </c>
      <c r="I1969" s="11">
        <f>IFERROR(__xludf.DUMMYFUNCTION("""COMPUTED_VALUE"""),5302.331606217616)</f>
        <v>5302.331606</v>
      </c>
      <c r="J1969" s="10">
        <f>IFERROR(__xludf.DUMMYFUNCTION("""COMPUTED_VALUE"""),0.0)</f>
        <v>0</v>
      </c>
      <c r="K1969" s="5">
        <f>IFERROR(__xludf.DUMMYFUNCTION("""COMPUTED_VALUE"""),0.0)</f>
        <v>0</v>
      </c>
      <c r="L1969" s="10">
        <f>IFERROR(__xludf.DUMMYFUNCTION("""COMPUTED_VALUE"""),178.0)</f>
        <v>178</v>
      </c>
      <c r="M1969" s="5">
        <f>IFERROR(__xludf.DUMMYFUNCTION("""COMPUTED_VALUE"""),1.0)</f>
        <v>1</v>
      </c>
    </row>
    <row r="1970">
      <c r="A1970" s="10" t="str">
        <f>IFERROR(__xludf.DUMMYFUNCTION("""COMPUTED_VALUE"""),"komapia")</f>
        <v>komapia</v>
      </c>
      <c r="B1970" s="10">
        <f>IFERROR(__xludf.DUMMYFUNCTION("""COMPUTED_VALUE"""),895.0)</f>
        <v>895</v>
      </c>
      <c r="C1970" s="10">
        <f>IFERROR(__xludf.DUMMYFUNCTION("""COMPUTED_VALUE"""),10526.0)</f>
        <v>10526</v>
      </c>
      <c r="D1970" s="5">
        <f>IFERROR(__xludf.DUMMYFUNCTION("""COMPUTED_VALUE"""),0.3602948811130724)</f>
        <v>0.3602948811</v>
      </c>
      <c r="E1970" s="5">
        <f>IFERROR(__xludf.DUMMYFUNCTION("""COMPUTED_VALUE"""),0.13259266950472431)</f>
        <v>0.1325926695</v>
      </c>
      <c r="F1970" s="5">
        <f>IFERROR(__xludf.DUMMYFUNCTION("""COMPUTED_VALUE"""),0.21856505035821824)</f>
        <v>0.2185650504</v>
      </c>
      <c r="G1970" s="5">
        <f>IFERROR(__xludf.DUMMYFUNCTION("""COMPUTED_VALUE"""),0.16654553005918388)</f>
        <v>0.1665455301</v>
      </c>
      <c r="H1970" s="5">
        <f>IFERROR(__xludf.DUMMYFUNCTION("""COMPUTED_VALUE"""),0.5938242280285035)</f>
        <v>0.593824228</v>
      </c>
      <c r="I1970" s="11">
        <f>IFERROR(__xludf.DUMMYFUNCTION("""COMPUTED_VALUE"""),5509.501187648456)</f>
        <v>5509.501188</v>
      </c>
      <c r="J1970" s="10">
        <f>IFERROR(__xludf.DUMMYFUNCTION("""COMPUTED_VALUE"""),1.0)</f>
        <v>1</v>
      </c>
      <c r="K1970" s="5">
        <f>IFERROR(__xludf.DUMMYFUNCTION("""COMPUTED_VALUE"""),0.0011173184357541898)</f>
        <v>0.001117318436</v>
      </c>
      <c r="L1970" s="10">
        <f>IFERROR(__xludf.DUMMYFUNCTION("""COMPUTED_VALUE"""),895.0)</f>
        <v>895</v>
      </c>
      <c r="M1970" s="5">
        <f>IFERROR(__xludf.DUMMYFUNCTION("""COMPUTED_VALUE"""),1.0)</f>
        <v>1</v>
      </c>
    </row>
    <row r="1971">
      <c r="A1971" s="10" t="str">
        <f>IFERROR(__xludf.DUMMYFUNCTION("""COMPUTED_VALUE"""),"critter")</f>
        <v>critter</v>
      </c>
      <c r="B1971" s="10">
        <f>IFERROR(__xludf.DUMMYFUNCTION("""COMPUTED_VALUE"""),4228.0)</f>
        <v>4228</v>
      </c>
      <c r="C1971" s="10">
        <f>IFERROR(__xludf.DUMMYFUNCTION("""COMPUTED_VALUE"""),49819.0)</f>
        <v>49819</v>
      </c>
      <c r="D1971" s="5">
        <f>IFERROR(__xludf.DUMMYFUNCTION("""COMPUTED_VALUE"""),0.37055559211247835)</f>
        <v>0.3705555921</v>
      </c>
      <c r="E1971" s="5">
        <f>IFERROR(__xludf.DUMMYFUNCTION("""COMPUTED_VALUE"""),0.13259195893926431)</f>
        <v>0.1325919589</v>
      </c>
      <c r="F1971" s="5">
        <f>IFERROR(__xludf.DUMMYFUNCTION("""COMPUTED_VALUE"""),0.21956087824351297)</f>
        <v>0.2195608782</v>
      </c>
      <c r="G1971" s="5">
        <f>IFERROR(__xludf.DUMMYFUNCTION("""COMPUTED_VALUE"""),0.17874141826237636)</f>
        <v>0.1787414183</v>
      </c>
      <c r="H1971" s="5">
        <f>IFERROR(__xludf.DUMMYFUNCTION("""COMPUTED_VALUE"""),0.5979020979020979)</f>
        <v>0.5979020979</v>
      </c>
      <c r="I1971" s="11">
        <f>IFERROR(__xludf.DUMMYFUNCTION("""COMPUTED_VALUE"""),5398.401598401599)</f>
        <v>5398.401598</v>
      </c>
      <c r="J1971" s="10">
        <f>IFERROR(__xludf.DUMMYFUNCTION("""COMPUTED_VALUE"""),4.0)</f>
        <v>4</v>
      </c>
      <c r="K1971" s="5">
        <f>IFERROR(__xludf.DUMMYFUNCTION("""COMPUTED_VALUE"""),9.46073793755913E-4)</f>
        <v>0.0009460737938</v>
      </c>
      <c r="L1971" s="10">
        <f>IFERROR(__xludf.DUMMYFUNCTION("""COMPUTED_VALUE"""),4228.0)</f>
        <v>4228</v>
      </c>
      <c r="M1971" s="5">
        <f>IFERROR(__xludf.DUMMYFUNCTION("""COMPUTED_VALUE"""),1.0)</f>
        <v>1</v>
      </c>
    </row>
    <row r="1972">
      <c r="A1972" s="10" t="str">
        <f>IFERROR(__xludf.DUMMYFUNCTION("""COMPUTED_VALUE"""),"銀行員")</f>
        <v>銀行員</v>
      </c>
      <c r="B1972" s="10">
        <f>IFERROR(__xludf.DUMMYFUNCTION("""COMPUTED_VALUE"""),149.0)</f>
        <v>149</v>
      </c>
      <c r="C1972" s="10">
        <f>IFERROR(__xludf.DUMMYFUNCTION("""COMPUTED_VALUE"""),1763.0)</f>
        <v>1763</v>
      </c>
      <c r="D1972" s="5">
        <f>IFERROR(__xludf.DUMMYFUNCTION("""COMPUTED_VALUE"""),0.4312267657992565)</f>
        <v>0.4312267658</v>
      </c>
      <c r="E1972" s="5">
        <f>IFERROR(__xludf.DUMMYFUNCTION("""COMPUTED_VALUE"""),0.1325898389095415)</f>
        <v>0.1325898389</v>
      </c>
      <c r="F1972" s="5">
        <f>IFERROR(__xludf.DUMMYFUNCTION("""COMPUTED_VALUE"""),0.20322180916976457)</f>
        <v>0.2032218092</v>
      </c>
      <c r="G1972" s="5">
        <f>IFERROR(__xludf.DUMMYFUNCTION("""COMPUTED_VALUE"""),0.13197026022304834)</f>
        <v>0.1319702602</v>
      </c>
      <c r="H1972" s="5">
        <f>IFERROR(__xludf.DUMMYFUNCTION("""COMPUTED_VALUE"""),0.6280487804878049)</f>
        <v>0.6280487805</v>
      </c>
      <c r="I1972" s="11">
        <f>IFERROR(__xludf.DUMMYFUNCTION("""COMPUTED_VALUE"""),5243.292682926829)</f>
        <v>5243.292683</v>
      </c>
      <c r="J1972" s="10">
        <f>IFERROR(__xludf.DUMMYFUNCTION("""COMPUTED_VALUE"""),0.0)</f>
        <v>0</v>
      </c>
      <c r="K1972" s="5">
        <f>IFERROR(__xludf.DUMMYFUNCTION("""COMPUTED_VALUE"""),0.0)</f>
        <v>0</v>
      </c>
      <c r="L1972" s="10">
        <f>IFERROR(__xludf.DUMMYFUNCTION("""COMPUTED_VALUE"""),149.0)</f>
        <v>149</v>
      </c>
      <c r="M1972" s="5">
        <f>IFERROR(__xludf.DUMMYFUNCTION("""COMPUTED_VALUE"""),1.0)</f>
        <v>1</v>
      </c>
    </row>
    <row r="1973">
      <c r="A1973" s="10" t="str">
        <f>IFERROR(__xludf.DUMMYFUNCTION("""COMPUTED_VALUE"""),"ライム☆")</f>
        <v>ライム☆</v>
      </c>
      <c r="B1973" s="10">
        <f>IFERROR(__xludf.DUMMYFUNCTION("""COMPUTED_VALUE"""),229.0)</f>
        <v>229</v>
      </c>
      <c r="C1973" s="10">
        <f>IFERROR(__xludf.DUMMYFUNCTION("""COMPUTED_VALUE"""),2673.0)</f>
        <v>2673</v>
      </c>
      <c r="D1973" s="5">
        <f>IFERROR(__xludf.DUMMYFUNCTION("""COMPUTED_VALUE"""),0.3019639934533552)</f>
        <v>0.3019639935</v>
      </c>
      <c r="E1973" s="5">
        <f>IFERROR(__xludf.DUMMYFUNCTION("""COMPUTED_VALUE"""),0.132569558101473)</f>
        <v>0.1325695581</v>
      </c>
      <c r="F1973" s="5">
        <f>IFERROR(__xludf.DUMMYFUNCTION("""COMPUTED_VALUE"""),0.1988543371522095)</f>
        <v>0.1988543372</v>
      </c>
      <c r="G1973" s="5">
        <f>IFERROR(__xludf.DUMMYFUNCTION("""COMPUTED_VALUE"""),0.18289689034369885)</f>
        <v>0.1828968903</v>
      </c>
      <c r="H1973" s="5">
        <f>IFERROR(__xludf.DUMMYFUNCTION("""COMPUTED_VALUE"""),0.5781893004115226)</f>
        <v>0.5781893004</v>
      </c>
      <c r="I1973" s="11">
        <f>IFERROR(__xludf.DUMMYFUNCTION("""COMPUTED_VALUE"""),6347.736625514403)</f>
        <v>6347.736626</v>
      </c>
      <c r="J1973" s="10">
        <f>IFERROR(__xludf.DUMMYFUNCTION("""COMPUTED_VALUE"""),3.0)</f>
        <v>3</v>
      </c>
      <c r="K1973" s="5">
        <f>IFERROR(__xludf.DUMMYFUNCTION("""COMPUTED_VALUE"""),0.013100436681222707)</f>
        <v>0.01310043668</v>
      </c>
      <c r="L1973" s="10">
        <f>IFERROR(__xludf.DUMMYFUNCTION("""COMPUTED_VALUE"""),229.0)</f>
        <v>229</v>
      </c>
      <c r="M1973" s="5">
        <f>IFERROR(__xludf.DUMMYFUNCTION("""COMPUTED_VALUE"""),1.0)</f>
        <v>1</v>
      </c>
    </row>
    <row r="1974">
      <c r="A1974" s="10" t="str">
        <f>IFERROR(__xludf.DUMMYFUNCTION("""COMPUTED_VALUE"""),"冬馬春希")</f>
        <v>冬馬春希</v>
      </c>
      <c r="B1974" s="10">
        <f>IFERROR(__xludf.DUMMYFUNCTION("""COMPUTED_VALUE"""),514.0)</f>
        <v>514</v>
      </c>
      <c r="C1974" s="10">
        <f>IFERROR(__xludf.DUMMYFUNCTION("""COMPUTED_VALUE"""),5953.0)</f>
        <v>5953</v>
      </c>
      <c r="D1974" s="5">
        <f>IFERROR(__xludf.DUMMYFUNCTION("""COMPUTED_VALUE"""),0.3210148924434639)</f>
        <v>0.3210148924</v>
      </c>
      <c r="E1974" s="5">
        <f>IFERROR(__xludf.DUMMYFUNCTION("""COMPUTED_VALUE"""),0.13256113256113256)</f>
        <v>0.1325611326</v>
      </c>
      <c r="F1974" s="5">
        <f>IFERROR(__xludf.DUMMYFUNCTION("""COMPUTED_VALUE"""),0.19047619047619047)</f>
        <v>0.1904761905</v>
      </c>
      <c r="G1974" s="5">
        <f>IFERROR(__xludf.DUMMYFUNCTION("""COMPUTED_VALUE"""),0.18459275602132744)</f>
        <v>0.184592756</v>
      </c>
      <c r="H1974" s="5">
        <f>IFERROR(__xludf.DUMMYFUNCTION("""COMPUTED_VALUE"""),0.6003861003861004)</f>
        <v>0.6003861004</v>
      </c>
      <c r="I1974" s="11">
        <f>IFERROR(__xludf.DUMMYFUNCTION("""COMPUTED_VALUE"""),6044.980694980695)</f>
        <v>6044.980695</v>
      </c>
      <c r="J1974" s="10">
        <f>IFERROR(__xludf.DUMMYFUNCTION("""COMPUTED_VALUE"""),1.0)</f>
        <v>1</v>
      </c>
      <c r="K1974" s="5">
        <f>IFERROR(__xludf.DUMMYFUNCTION("""COMPUTED_VALUE"""),0.0019455252918287938)</f>
        <v>0.001945525292</v>
      </c>
      <c r="L1974" s="10">
        <f>IFERROR(__xludf.DUMMYFUNCTION("""COMPUTED_VALUE"""),514.0)</f>
        <v>514</v>
      </c>
      <c r="M1974" s="5">
        <f>IFERROR(__xludf.DUMMYFUNCTION("""COMPUTED_VALUE"""),1.0)</f>
        <v>1</v>
      </c>
    </row>
    <row r="1975">
      <c r="A1975" s="10" t="str">
        <f>IFERROR(__xludf.DUMMYFUNCTION("""COMPUTED_VALUE"""),"シロクロ")</f>
        <v>シロクロ</v>
      </c>
      <c r="B1975" s="10">
        <f>IFERROR(__xludf.DUMMYFUNCTION("""COMPUTED_VALUE"""),1976.0)</f>
        <v>1976</v>
      </c>
      <c r="C1975" s="10">
        <f>IFERROR(__xludf.DUMMYFUNCTION("""COMPUTED_VALUE"""),23139.0)</f>
        <v>23139</v>
      </c>
      <c r="D1975" s="5">
        <f>IFERROR(__xludf.DUMMYFUNCTION("""COMPUTED_VALUE"""),0.3497141237064688)</f>
        <v>0.3497141237</v>
      </c>
      <c r="E1975" s="5">
        <f>IFERROR(__xludf.DUMMYFUNCTION("""COMPUTED_VALUE"""),0.13254264518263006)</f>
        <v>0.1325426452</v>
      </c>
      <c r="F1975" s="5">
        <f>IFERROR(__xludf.DUMMYFUNCTION("""COMPUTED_VALUE"""),0.22151868827670934)</f>
        <v>0.2215186883</v>
      </c>
      <c r="G1975" s="5">
        <f>IFERROR(__xludf.DUMMYFUNCTION("""COMPUTED_VALUE"""),0.17488068799319567)</f>
        <v>0.174880688</v>
      </c>
      <c r="H1975" s="5">
        <f>IFERROR(__xludf.DUMMYFUNCTION("""COMPUTED_VALUE"""),0.5968430034129693)</f>
        <v>0.5968430034</v>
      </c>
      <c r="I1975" s="11">
        <f>IFERROR(__xludf.DUMMYFUNCTION("""COMPUTED_VALUE"""),5600.938566552901)</f>
        <v>5600.938567</v>
      </c>
      <c r="J1975" s="10">
        <f>IFERROR(__xludf.DUMMYFUNCTION("""COMPUTED_VALUE"""),4.0)</f>
        <v>4</v>
      </c>
      <c r="K1975" s="5">
        <f>IFERROR(__xludf.DUMMYFUNCTION("""COMPUTED_VALUE"""),0.0020242914979757085)</f>
        <v>0.002024291498</v>
      </c>
      <c r="L1975" s="10">
        <f>IFERROR(__xludf.DUMMYFUNCTION("""COMPUTED_VALUE"""),1976.0)</f>
        <v>1976</v>
      </c>
      <c r="M1975" s="5">
        <f>IFERROR(__xludf.DUMMYFUNCTION("""COMPUTED_VALUE"""),1.0)</f>
        <v>1</v>
      </c>
    </row>
    <row r="1976">
      <c r="A1976" s="10" t="str">
        <f>IFERROR(__xludf.DUMMYFUNCTION("""COMPUTED_VALUE"""),"なこ")</f>
        <v>なこ</v>
      </c>
      <c r="B1976" s="10">
        <f>IFERROR(__xludf.DUMMYFUNCTION("""COMPUTED_VALUE"""),635.0)</f>
        <v>635</v>
      </c>
      <c r="C1976" s="10">
        <f>IFERROR(__xludf.DUMMYFUNCTION("""COMPUTED_VALUE"""),7350.0)</f>
        <v>7350</v>
      </c>
      <c r="D1976" s="5">
        <f>IFERROR(__xludf.DUMMYFUNCTION("""COMPUTED_VALUE"""),0.35294117647058826)</f>
        <v>0.3529411765</v>
      </c>
      <c r="E1976" s="5">
        <f>IFERROR(__xludf.DUMMYFUNCTION("""COMPUTED_VALUE"""),0.1325390915860015)</f>
        <v>0.1325390916</v>
      </c>
      <c r="F1976" s="5">
        <f>IFERROR(__xludf.DUMMYFUNCTION("""COMPUTED_VALUE"""),0.21236038719285183)</f>
        <v>0.2123603872</v>
      </c>
      <c r="G1976" s="5">
        <f>IFERROR(__xludf.DUMMYFUNCTION("""COMPUTED_VALUE"""),0.1483246463142219)</f>
        <v>0.1483246463</v>
      </c>
      <c r="H1976" s="5">
        <f>IFERROR(__xludf.DUMMYFUNCTION("""COMPUTED_VALUE"""),0.6037868162692848)</f>
        <v>0.6037868163</v>
      </c>
      <c r="I1976" s="11">
        <f>IFERROR(__xludf.DUMMYFUNCTION("""COMPUTED_VALUE"""),5551.963534361851)</f>
        <v>5551.963534</v>
      </c>
      <c r="J1976" s="10">
        <f>IFERROR(__xludf.DUMMYFUNCTION("""COMPUTED_VALUE"""),2.0)</f>
        <v>2</v>
      </c>
      <c r="K1976" s="5">
        <f>IFERROR(__xludf.DUMMYFUNCTION("""COMPUTED_VALUE"""),0.0031496062992125984)</f>
        <v>0.003149606299</v>
      </c>
      <c r="L1976" s="10">
        <f>IFERROR(__xludf.DUMMYFUNCTION("""COMPUTED_VALUE"""),138.0)</f>
        <v>138</v>
      </c>
      <c r="M1976" s="5">
        <f>IFERROR(__xludf.DUMMYFUNCTION("""COMPUTED_VALUE"""),0.2173228346456693)</f>
        <v>0.2173228346</v>
      </c>
    </row>
    <row r="1977">
      <c r="A1977" s="10" t="str">
        <f>IFERROR(__xludf.DUMMYFUNCTION("""COMPUTED_VALUE"""),"owari-")</f>
        <v>owari-</v>
      </c>
      <c r="B1977" s="10">
        <f>IFERROR(__xludf.DUMMYFUNCTION("""COMPUTED_VALUE"""),1086.0)</f>
        <v>1086</v>
      </c>
      <c r="C1977" s="10">
        <f>IFERROR(__xludf.DUMMYFUNCTION("""COMPUTED_VALUE"""),12751.0)</f>
        <v>12751</v>
      </c>
      <c r="D1977" s="5">
        <f>IFERROR(__xludf.DUMMYFUNCTION("""COMPUTED_VALUE"""),0.36313759108444066)</f>
        <v>0.3631375911</v>
      </c>
      <c r="E1977" s="5">
        <f>IFERROR(__xludf.DUMMYFUNCTION("""COMPUTED_VALUE"""),0.13253321903129017)</f>
        <v>0.132533219</v>
      </c>
      <c r="F1977" s="5">
        <f>IFERROR(__xludf.DUMMYFUNCTION("""COMPUTED_VALUE"""),0.20977282468924133)</f>
        <v>0.2097728247</v>
      </c>
      <c r="G1977" s="5">
        <f>IFERROR(__xludf.DUMMYFUNCTION("""COMPUTED_VALUE"""),0.16630947278182598)</f>
        <v>0.1663094728</v>
      </c>
      <c r="H1977" s="5">
        <f>IFERROR(__xludf.DUMMYFUNCTION("""COMPUTED_VALUE"""),0.5954229668982427)</f>
        <v>0.5954229669</v>
      </c>
      <c r="I1977" s="11">
        <f>IFERROR(__xludf.DUMMYFUNCTION("""COMPUTED_VALUE"""),5519.5749897834085)</f>
        <v>5519.57499</v>
      </c>
      <c r="J1977" s="10">
        <f>IFERROR(__xludf.DUMMYFUNCTION("""COMPUTED_VALUE"""),0.0)</f>
        <v>0</v>
      </c>
      <c r="K1977" s="5">
        <f>IFERROR(__xludf.DUMMYFUNCTION("""COMPUTED_VALUE"""),0.0)</f>
        <v>0</v>
      </c>
      <c r="L1977" s="10">
        <f>IFERROR(__xludf.DUMMYFUNCTION("""COMPUTED_VALUE"""),1086.0)</f>
        <v>1086</v>
      </c>
      <c r="M1977" s="5">
        <f>IFERROR(__xludf.DUMMYFUNCTION("""COMPUTED_VALUE"""),1.0)</f>
        <v>1</v>
      </c>
    </row>
    <row r="1978">
      <c r="A1978" s="10" t="str">
        <f>IFERROR(__xludf.DUMMYFUNCTION("""COMPUTED_VALUE"""),"お洒落は我慢")</f>
        <v>お洒落は我慢</v>
      </c>
      <c r="B1978" s="10">
        <f>IFERROR(__xludf.DUMMYFUNCTION("""COMPUTED_VALUE"""),421.0)</f>
        <v>421</v>
      </c>
      <c r="C1978" s="10">
        <f>IFERROR(__xludf.DUMMYFUNCTION("""COMPUTED_VALUE"""),5001.0)</f>
        <v>5001</v>
      </c>
      <c r="D1978" s="5">
        <f>IFERROR(__xludf.DUMMYFUNCTION("""COMPUTED_VALUE"""),0.4259825327510917)</f>
        <v>0.4259825328</v>
      </c>
      <c r="E1978" s="5">
        <f>IFERROR(__xludf.DUMMYFUNCTION("""COMPUTED_VALUE"""),0.13253275109170307)</f>
        <v>0.1325327511</v>
      </c>
      <c r="F1978" s="5">
        <f>IFERROR(__xludf.DUMMYFUNCTION("""COMPUTED_VALUE"""),0.22227074235807862)</f>
        <v>0.2222707424</v>
      </c>
      <c r="G1978" s="5">
        <f>IFERROR(__xludf.DUMMYFUNCTION("""COMPUTED_VALUE"""),0.15240174672489082)</f>
        <v>0.1524017467</v>
      </c>
      <c r="H1978" s="5">
        <f>IFERROR(__xludf.DUMMYFUNCTION("""COMPUTED_VALUE"""),0.6463654223968566)</f>
        <v>0.6463654224</v>
      </c>
      <c r="I1978" s="11">
        <f>IFERROR(__xludf.DUMMYFUNCTION("""COMPUTED_VALUE"""),5179.567779960707)</f>
        <v>5179.56778</v>
      </c>
      <c r="J1978" s="10">
        <f>IFERROR(__xludf.DUMMYFUNCTION("""COMPUTED_VALUE"""),1.0)</f>
        <v>1</v>
      </c>
      <c r="K1978" s="5">
        <f>IFERROR(__xludf.DUMMYFUNCTION("""COMPUTED_VALUE"""),0.0023752969121140144)</f>
        <v>0.002375296912</v>
      </c>
      <c r="L1978" s="10">
        <f>IFERROR(__xludf.DUMMYFUNCTION("""COMPUTED_VALUE"""),421.0)</f>
        <v>421</v>
      </c>
      <c r="M1978" s="5">
        <f>IFERROR(__xludf.DUMMYFUNCTION("""COMPUTED_VALUE"""),1.0)</f>
        <v>1</v>
      </c>
    </row>
    <row r="1979">
      <c r="A1979" s="10" t="str">
        <f>IFERROR(__xludf.DUMMYFUNCTION("""COMPUTED_VALUE"""),"kyon910")</f>
        <v>kyon910</v>
      </c>
      <c r="B1979" s="10">
        <f>IFERROR(__xludf.DUMMYFUNCTION("""COMPUTED_VALUE"""),480.0)</f>
        <v>480</v>
      </c>
      <c r="C1979" s="10">
        <f>IFERROR(__xludf.DUMMYFUNCTION("""COMPUTED_VALUE"""),5664.0)</f>
        <v>5664</v>
      </c>
      <c r="D1979" s="5">
        <f>IFERROR(__xludf.DUMMYFUNCTION("""COMPUTED_VALUE"""),0.36323302469135804)</f>
        <v>0.3632330247</v>
      </c>
      <c r="E1979" s="5">
        <f>IFERROR(__xludf.DUMMYFUNCTION("""COMPUTED_VALUE"""),0.13252314814814814)</f>
        <v>0.1325231481</v>
      </c>
      <c r="F1979" s="5">
        <f>IFERROR(__xludf.DUMMYFUNCTION("""COMPUTED_VALUE"""),0.2222222222222222)</f>
        <v>0.2222222222</v>
      </c>
      <c r="G1979" s="5">
        <f>IFERROR(__xludf.DUMMYFUNCTION("""COMPUTED_VALUE"""),0.1709104938271605)</f>
        <v>0.1709104938</v>
      </c>
      <c r="H1979" s="5">
        <f>IFERROR(__xludf.DUMMYFUNCTION("""COMPUTED_VALUE"""),0.5989583333333334)</f>
        <v>0.5989583333</v>
      </c>
      <c r="I1979" s="11">
        <f>IFERROR(__xludf.DUMMYFUNCTION("""COMPUTED_VALUE"""),5570.920138888889)</f>
        <v>5570.920139</v>
      </c>
      <c r="J1979" s="10">
        <f>IFERROR(__xludf.DUMMYFUNCTION("""COMPUTED_VALUE"""),0.0)</f>
        <v>0</v>
      </c>
      <c r="K1979" s="5">
        <f>IFERROR(__xludf.DUMMYFUNCTION("""COMPUTED_VALUE"""),0.0)</f>
        <v>0</v>
      </c>
      <c r="L1979" s="10">
        <f>IFERROR(__xludf.DUMMYFUNCTION("""COMPUTED_VALUE"""),480.0)</f>
        <v>480</v>
      </c>
      <c r="M1979" s="5">
        <f>IFERROR(__xludf.DUMMYFUNCTION("""COMPUTED_VALUE"""),1.0)</f>
        <v>1</v>
      </c>
    </row>
    <row r="1980">
      <c r="A1980" s="10" t="str">
        <f>IFERROR(__xludf.DUMMYFUNCTION("""COMPUTED_VALUE"""),"麻雀の扉")</f>
        <v>麻雀の扉</v>
      </c>
      <c r="B1980" s="10">
        <f>IFERROR(__xludf.DUMMYFUNCTION("""COMPUTED_VALUE"""),484.0)</f>
        <v>484</v>
      </c>
      <c r="C1980" s="10">
        <f>IFERROR(__xludf.DUMMYFUNCTION("""COMPUTED_VALUE"""),5691.0)</f>
        <v>5691</v>
      </c>
      <c r="D1980" s="5">
        <f>IFERROR(__xludf.DUMMYFUNCTION("""COMPUTED_VALUE"""),0.3053581716919531)</f>
        <v>0.3053581717</v>
      </c>
      <c r="E1980" s="5">
        <f>IFERROR(__xludf.DUMMYFUNCTION("""COMPUTED_VALUE"""),0.1325139235644325)</f>
        <v>0.1325139236</v>
      </c>
      <c r="F1980" s="5">
        <f>IFERROR(__xludf.DUMMYFUNCTION("""COMPUTED_VALUE"""),0.22604186671787976)</f>
        <v>0.2260418667</v>
      </c>
      <c r="G1980" s="5">
        <f>IFERROR(__xludf.DUMMYFUNCTION("""COMPUTED_VALUE"""),0.18359900134434415)</f>
        <v>0.1835990013</v>
      </c>
      <c r="H1980" s="5">
        <f>IFERROR(__xludf.DUMMYFUNCTION("""COMPUTED_VALUE"""),0.572642310960068)</f>
        <v>0.572642311</v>
      </c>
      <c r="I1980" s="11">
        <f>IFERROR(__xludf.DUMMYFUNCTION("""COMPUTED_VALUE"""),5423.619371282923)</f>
        <v>5423.619371</v>
      </c>
      <c r="J1980" s="10">
        <f>IFERROR(__xludf.DUMMYFUNCTION("""COMPUTED_VALUE"""),2.0)</f>
        <v>2</v>
      </c>
      <c r="K1980" s="5">
        <f>IFERROR(__xludf.DUMMYFUNCTION("""COMPUTED_VALUE"""),0.004132231404958678)</f>
        <v>0.004132231405</v>
      </c>
      <c r="L1980" s="10">
        <f>IFERROR(__xludf.DUMMYFUNCTION("""COMPUTED_VALUE"""),484.0)</f>
        <v>484</v>
      </c>
      <c r="M1980" s="5">
        <f>IFERROR(__xludf.DUMMYFUNCTION("""COMPUTED_VALUE"""),1.0)</f>
        <v>1</v>
      </c>
    </row>
    <row r="1981">
      <c r="A1981" s="10" t="str">
        <f>IFERROR(__xludf.DUMMYFUNCTION("""COMPUTED_VALUE"""),"戦闘員＠川村軍団")</f>
        <v>戦闘員＠川村軍団</v>
      </c>
      <c r="B1981" s="10">
        <f>IFERROR(__xludf.DUMMYFUNCTION("""COMPUTED_VALUE"""),196.0)</f>
        <v>196</v>
      </c>
      <c r="C1981" s="10">
        <f>IFERROR(__xludf.DUMMYFUNCTION("""COMPUTED_VALUE"""),2294.0)</f>
        <v>2294</v>
      </c>
      <c r="D1981" s="5">
        <f>IFERROR(__xludf.DUMMYFUNCTION("""COMPUTED_VALUE"""),0.3565300285986654)</f>
        <v>0.3565300286</v>
      </c>
      <c r="E1981" s="5">
        <f>IFERROR(__xludf.DUMMYFUNCTION("""COMPUTED_VALUE"""),0.1325071496663489)</f>
        <v>0.1325071497</v>
      </c>
      <c r="F1981" s="5">
        <f>IFERROR(__xludf.DUMMYFUNCTION("""COMPUTED_VALUE"""),0.21401334604385128)</f>
        <v>0.214013346</v>
      </c>
      <c r="G1981" s="5">
        <f>IFERROR(__xludf.DUMMYFUNCTION("""COMPUTED_VALUE"""),0.18970448045757865)</f>
        <v>0.1897044805</v>
      </c>
      <c r="H1981" s="5">
        <f>IFERROR(__xludf.DUMMYFUNCTION("""COMPUTED_VALUE"""),0.5924276169265034)</f>
        <v>0.5924276169</v>
      </c>
      <c r="I1981" s="11">
        <f>IFERROR(__xludf.DUMMYFUNCTION("""COMPUTED_VALUE"""),5656.570155902004)</f>
        <v>5656.570156</v>
      </c>
      <c r="J1981" s="10">
        <f>IFERROR(__xludf.DUMMYFUNCTION("""COMPUTED_VALUE"""),0.0)</f>
        <v>0</v>
      </c>
      <c r="K1981" s="5">
        <f>IFERROR(__xludf.DUMMYFUNCTION("""COMPUTED_VALUE"""),0.0)</f>
        <v>0</v>
      </c>
      <c r="L1981" s="10">
        <f>IFERROR(__xludf.DUMMYFUNCTION("""COMPUTED_VALUE"""),196.0)</f>
        <v>196</v>
      </c>
      <c r="M1981" s="5">
        <f>IFERROR(__xludf.DUMMYFUNCTION("""COMPUTED_VALUE"""),1.0)</f>
        <v>1</v>
      </c>
    </row>
    <row r="1982">
      <c r="A1982" s="10" t="str">
        <f>IFERROR(__xludf.DUMMYFUNCTION("""COMPUTED_VALUE"""),"tca00")</f>
        <v>tca00</v>
      </c>
      <c r="B1982" s="10">
        <f>IFERROR(__xludf.DUMMYFUNCTION("""COMPUTED_VALUE"""),1423.0)</f>
        <v>1423</v>
      </c>
      <c r="C1982" s="10">
        <f>IFERROR(__xludf.DUMMYFUNCTION("""COMPUTED_VALUE"""),16713.0)</f>
        <v>16713</v>
      </c>
      <c r="D1982" s="5">
        <f>IFERROR(__xludf.DUMMYFUNCTION("""COMPUTED_VALUE"""),0.31661216481360366)</f>
        <v>0.3166121648</v>
      </c>
      <c r="E1982" s="5">
        <f>IFERROR(__xludf.DUMMYFUNCTION("""COMPUTED_VALUE"""),0.13250490516677568)</f>
        <v>0.1325049052</v>
      </c>
      <c r="F1982" s="5">
        <f>IFERROR(__xludf.DUMMYFUNCTION("""COMPUTED_VALUE"""),0.21347285807717462)</f>
        <v>0.2134728581</v>
      </c>
      <c r="G1982" s="5">
        <f>IFERROR(__xludf.DUMMYFUNCTION("""COMPUTED_VALUE"""),0.17174623937213865)</f>
        <v>0.1717462394</v>
      </c>
      <c r="H1982" s="5">
        <f>IFERROR(__xludf.DUMMYFUNCTION("""COMPUTED_VALUE"""),0.5955882352941176)</f>
        <v>0.5955882353</v>
      </c>
      <c r="I1982" s="11">
        <f>IFERROR(__xludf.DUMMYFUNCTION("""COMPUTED_VALUE"""),5711.795343137255)</f>
        <v>5711.795343</v>
      </c>
      <c r="J1982" s="10">
        <f>IFERROR(__xludf.DUMMYFUNCTION("""COMPUTED_VALUE"""),5.0)</f>
        <v>5</v>
      </c>
      <c r="K1982" s="5">
        <f>IFERROR(__xludf.DUMMYFUNCTION("""COMPUTED_VALUE"""),0.0035137034434293743)</f>
        <v>0.003513703443</v>
      </c>
      <c r="L1982" s="10">
        <f>IFERROR(__xludf.DUMMYFUNCTION("""COMPUTED_VALUE"""),1423.0)</f>
        <v>1423</v>
      </c>
      <c r="M1982" s="5">
        <f>IFERROR(__xludf.DUMMYFUNCTION("""COMPUTED_VALUE"""),1.0)</f>
        <v>1</v>
      </c>
    </row>
    <row r="1983">
      <c r="A1983" s="10" t="str">
        <f>IFERROR(__xludf.DUMMYFUNCTION("""COMPUTED_VALUE"""),"noprops")</f>
        <v>noprops</v>
      </c>
      <c r="B1983" s="10">
        <f>IFERROR(__xludf.DUMMYFUNCTION("""COMPUTED_VALUE"""),1215.0)</f>
        <v>1215</v>
      </c>
      <c r="C1983" s="10">
        <f>IFERROR(__xludf.DUMMYFUNCTION("""COMPUTED_VALUE"""),14392.0)</f>
        <v>14392</v>
      </c>
      <c r="D1983" s="5">
        <f>IFERROR(__xludf.DUMMYFUNCTION("""COMPUTED_VALUE"""),0.3879486984897928)</f>
        <v>0.3879486985</v>
      </c>
      <c r="E1983" s="5">
        <f>IFERROR(__xludf.DUMMYFUNCTION("""COMPUTED_VALUE"""),0.13250360476587994)</f>
        <v>0.1325036048</v>
      </c>
      <c r="F1983" s="5">
        <f>IFERROR(__xludf.DUMMYFUNCTION("""COMPUTED_VALUE"""),0.21901798588449573)</f>
        <v>0.2190179859</v>
      </c>
      <c r="G1983" s="5">
        <f>IFERROR(__xludf.DUMMYFUNCTION("""COMPUTED_VALUE"""),0.2041435835167337)</f>
        <v>0.2041435835</v>
      </c>
      <c r="H1983" s="5">
        <f>IFERROR(__xludf.DUMMYFUNCTION("""COMPUTED_VALUE"""),0.586971586971587)</f>
        <v>0.586971587</v>
      </c>
      <c r="I1983" s="11">
        <f>IFERROR(__xludf.DUMMYFUNCTION("""COMPUTED_VALUE"""),5584.823284823285)</f>
        <v>5584.823285</v>
      </c>
      <c r="J1983" s="10">
        <f>IFERROR(__xludf.DUMMYFUNCTION("""COMPUTED_VALUE"""),0.0)</f>
        <v>0</v>
      </c>
      <c r="K1983" s="5">
        <f>IFERROR(__xludf.DUMMYFUNCTION("""COMPUTED_VALUE"""),0.0)</f>
        <v>0</v>
      </c>
      <c r="L1983" s="10">
        <f>IFERROR(__xludf.DUMMYFUNCTION("""COMPUTED_VALUE"""),1215.0)</f>
        <v>1215</v>
      </c>
      <c r="M1983" s="5">
        <f>IFERROR(__xludf.DUMMYFUNCTION("""COMPUTED_VALUE"""),1.0)</f>
        <v>1</v>
      </c>
    </row>
    <row r="1984">
      <c r="A1984" s="10" t="str">
        <f>IFERROR(__xludf.DUMMYFUNCTION("""COMPUTED_VALUE"""),"まいぽん")</f>
        <v>まいぽん</v>
      </c>
      <c r="B1984" s="10">
        <f>IFERROR(__xludf.DUMMYFUNCTION("""COMPUTED_VALUE"""),272.0)</f>
        <v>272</v>
      </c>
      <c r="C1984" s="10">
        <f>IFERROR(__xludf.DUMMYFUNCTION("""COMPUTED_VALUE"""),3155.0)</f>
        <v>3155</v>
      </c>
      <c r="D1984" s="5">
        <f>IFERROR(__xludf.DUMMYFUNCTION("""COMPUTED_VALUE"""),0.23309053069719043)</f>
        <v>0.2330905307</v>
      </c>
      <c r="E1984" s="5">
        <f>IFERROR(__xludf.DUMMYFUNCTION("""COMPUTED_VALUE"""),0.13250086715227194)</f>
        <v>0.1325008672</v>
      </c>
      <c r="F1984" s="5">
        <f>IFERROR(__xludf.DUMMYFUNCTION("""COMPUTED_VALUE"""),0.19042663891779396)</f>
        <v>0.1904266389</v>
      </c>
      <c r="G1984" s="5">
        <f>IFERROR(__xludf.DUMMYFUNCTION("""COMPUTED_VALUE"""),0.17759278529309747)</f>
        <v>0.1775927853</v>
      </c>
      <c r="H1984" s="5">
        <f>IFERROR(__xludf.DUMMYFUNCTION("""COMPUTED_VALUE"""),0.5919854280510018)</f>
        <v>0.5919854281</v>
      </c>
      <c r="I1984" s="11">
        <f>IFERROR(__xludf.DUMMYFUNCTION("""COMPUTED_VALUE"""),5995.264116575592)</f>
        <v>5995.264117</v>
      </c>
      <c r="J1984" s="10">
        <f>IFERROR(__xludf.DUMMYFUNCTION("""COMPUTED_VALUE"""),0.0)</f>
        <v>0</v>
      </c>
      <c r="K1984" s="5">
        <f>IFERROR(__xludf.DUMMYFUNCTION("""COMPUTED_VALUE"""),0.0)</f>
        <v>0</v>
      </c>
      <c r="L1984" s="10">
        <f>IFERROR(__xludf.DUMMYFUNCTION("""COMPUTED_VALUE"""),272.0)</f>
        <v>272</v>
      </c>
      <c r="M1984" s="5">
        <f>IFERROR(__xludf.DUMMYFUNCTION("""COMPUTED_VALUE"""),1.0)</f>
        <v>1</v>
      </c>
    </row>
    <row r="1985">
      <c r="A1985" s="10" t="str">
        <f>IFERROR(__xludf.DUMMYFUNCTION("""COMPUTED_VALUE"""),"げんたろ")</f>
        <v>げんたろ</v>
      </c>
      <c r="B1985" s="10">
        <f>IFERROR(__xludf.DUMMYFUNCTION("""COMPUTED_VALUE"""),1587.0)</f>
        <v>1587</v>
      </c>
      <c r="C1985" s="10">
        <f>IFERROR(__xludf.DUMMYFUNCTION("""COMPUTED_VALUE"""),18458.0)</f>
        <v>18458</v>
      </c>
      <c r="D1985" s="5">
        <f>IFERROR(__xludf.DUMMYFUNCTION("""COMPUTED_VALUE"""),0.2920988678797937)</f>
        <v>0.2920988679</v>
      </c>
      <c r="E1985" s="5">
        <f>IFERROR(__xludf.DUMMYFUNCTION("""COMPUTED_VALUE"""),0.13247584612648924)</f>
        <v>0.1324758461</v>
      </c>
      <c r="F1985" s="5">
        <f>IFERROR(__xludf.DUMMYFUNCTION("""COMPUTED_VALUE"""),0.222037816371288)</f>
        <v>0.2220378164</v>
      </c>
      <c r="G1985" s="5">
        <f>IFERROR(__xludf.DUMMYFUNCTION("""COMPUTED_VALUE"""),0.18588109774168693)</f>
        <v>0.1858810977</v>
      </c>
      <c r="H1985" s="5">
        <f>IFERROR(__xludf.DUMMYFUNCTION("""COMPUTED_VALUE"""),0.5886278697277095)</f>
        <v>0.5886278697</v>
      </c>
      <c r="I1985" s="11">
        <f>IFERROR(__xludf.DUMMYFUNCTION("""COMPUTED_VALUE"""),5734.783769353978)</f>
        <v>5734.783769</v>
      </c>
      <c r="J1985" s="10">
        <f>IFERROR(__xludf.DUMMYFUNCTION("""COMPUTED_VALUE"""),3.0)</f>
        <v>3</v>
      </c>
      <c r="K1985" s="5">
        <f>IFERROR(__xludf.DUMMYFUNCTION("""COMPUTED_VALUE"""),0.001890359168241966)</f>
        <v>0.001890359168</v>
      </c>
      <c r="L1985" s="10">
        <f>IFERROR(__xludf.DUMMYFUNCTION("""COMPUTED_VALUE"""),1587.0)</f>
        <v>1587</v>
      </c>
      <c r="M1985" s="5">
        <f>IFERROR(__xludf.DUMMYFUNCTION("""COMPUTED_VALUE"""),1.0)</f>
        <v>1</v>
      </c>
    </row>
    <row r="1986">
      <c r="A1986" s="10" t="str">
        <f>IFERROR(__xludf.DUMMYFUNCTION("""COMPUTED_VALUE"""),"Hidden")</f>
        <v>Hidden</v>
      </c>
      <c r="B1986" s="10">
        <f>IFERROR(__xludf.DUMMYFUNCTION("""COMPUTED_VALUE"""),123.0)</f>
        <v>123</v>
      </c>
      <c r="C1986" s="10">
        <f>IFERROR(__xludf.DUMMYFUNCTION("""COMPUTED_VALUE"""),1444.0)</f>
        <v>1444</v>
      </c>
      <c r="D1986" s="5">
        <f>IFERROR(__xludf.DUMMYFUNCTION("""COMPUTED_VALUE"""),0.3618470855412566)</f>
        <v>0.3618470855</v>
      </c>
      <c r="E1986" s="5">
        <f>IFERROR(__xludf.DUMMYFUNCTION("""COMPUTED_VALUE"""),0.13247539742619227)</f>
        <v>0.1324753974</v>
      </c>
      <c r="F1986" s="5">
        <f>IFERROR(__xludf.DUMMYFUNCTION("""COMPUTED_VALUE"""),0.22861468584405753)</f>
        <v>0.2286146858</v>
      </c>
      <c r="G1986" s="5">
        <f>IFERROR(__xludf.DUMMYFUNCTION("""COMPUTED_VALUE"""),0.1627554882664648)</f>
        <v>0.1627554883</v>
      </c>
      <c r="H1986" s="5">
        <f>IFERROR(__xludf.DUMMYFUNCTION("""COMPUTED_VALUE"""),0.6059602649006622)</f>
        <v>0.6059602649</v>
      </c>
      <c r="I1986" s="11">
        <f>IFERROR(__xludf.DUMMYFUNCTION("""COMPUTED_VALUE"""),5330.463576158941)</f>
        <v>5330.463576</v>
      </c>
      <c r="J1986" s="10">
        <f>IFERROR(__xludf.DUMMYFUNCTION("""COMPUTED_VALUE"""),0.0)</f>
        <v>0</v>
      </c>
      <c r="K1986" s="5">
        <f>IFERROR(__xludf.DUMMYFUNCTION("""COMPUTED_VALUE"""),0.0)</f>
        <v>0</v>
      </c>
      <c r="L1986" s="10">
        <f>IFERROR(__xludf.DUMMYFUNCTION("""COMPUTED_VALUE"""),123.0)</f>
        <v>123</v>
      </c>
      <c r="M1986" s="5">
        <f>IFERROR(__xludf.DUMMYFUNCTION("""COMPUTED_VALUE"""),1.0)</f>
        <v>1</v>
      </c>
    </row>
    <row r="1987">
      <c r="A1987" s="10" t="str">
        <f>IFERROR(__xludf.DUMMYFUNCTION("""COMPUTED_VALUE"""),"Qoo坊")</f>
        <v>Qoo坊</v>
      </c>
      <c r="B1987" s="10">
        <f>IFERROR(__xludf.DUMMYFUNCTION("""COMPUTED_VALUE"""),1420.0)</f>
        <v>1420</v>
      </c>
      <c r="C1987" s="10">
        <f>IFERROR(__xludf.DUMMYFUNCTION("""COMPUTED_VALUE"""),16638.0)</f>
        <v>16638</v>
      </c>
      <c r="D1987" s="5">
        <f>IFERROR(__xludf.DUMMYFUNCTION("""COMPUTED_VALUE"""),0.34248915757655407)</f>
        <v>0.3424891576</v>
      </c>
      <c r="E1987" s="5">
        <f>IFERROR(__xludf.DUMMYFUNCTION("""COMPUTED_VALUE"""),0.13247470101195952)</f>
        <v>0.132474701</v>
      </c>
      <c r="F1987" s="5">
        <f>IFERROR(__xludf.DUMMYFUNCTION("""COMPUTED_VALUE"""),0.20554606387173086)</f>
        <v>0.2055460639</v>
      </c>
      <c r="G1987" s="5">
        <f>IFERROR(__xludf.DUMMYFUNCTION("""COMPUTED_VALUE"""),0.14423708765935078)</f>
        <v>0.1442370877</v>
      </c>
      <c r="H1987" s="5">
        <f>IFERROR(__xludf.DUMMYFUNCTION("""COMPUTED_VALUE"""),0.6010230179028133)</f>
        <v>0.6010230179</v>
      </c>
      <c r="I1987" s="11">
        <f>IFERROR(__xludf.DUMMYFUNCTION("""COMPUTED_VALUE"""),5882.416879795396)</f>
        <v>5882.41688</v>
      </c>
      <c r="J1987" s="10">
        <f>IFERROR(__xludf.DUMMYFUNCTION("""COMPUTED_VALUE"""),4.0)</f>
        <v>4</v>
      </c>
      <c r="K1987" s="5">
        <f>IFERROR(__xludf.DUMMYFUNCTION("""COMPUTED_VALUE"""),0.0028169014084507044)</f>
        <v>0.002816901408</v>
      </c>
      <c r="L1987" s="10">
        <f>IFERROR(__xludf.DUMMYFUNCTION("""COMPUTED_VALUE"""),1420.0)</f>
        <v>1420</v>
      </c>
      <c r="M1987" s="5">
        <f>IFERROR(__xludf.DUMMYFUNCTION("""COMPUTED_VALUE"""),1.0)</f>
        <v>1</v>
      </c>
    </row>
    <row r="1988">
      <c r="A1988" s="10" t="str">
        <f>IFERROR(__xludf.DUMMYFUNCTION("""COMPUTED_VALUE"""),"ほえらー")</f>
        <v>ほえらー</v>
      </c>
      <c r="B1988" s="10">
        <f>IFERROR(__xludf.DUMMYFUNCTION("""COMPUTED_VALUE"""),1238.0)</f>
        <v>1238</v>
      </c>
      <c r="C1988" s="10">
        <f>IFERROR(__xludf.DUMMYFUNCTION("""COMPUTED_VALUE"""),14509.0)</f>
        <v>14509</v>
      </c>
      <c r="D1988" s="5">
        <f>IFERROR(__xludf.DUMMYFUNCTION("""COMPUTED_VALUE"""),0.3248436440358677)</f>
        <v>0.324843644</v>
      </c>
      <c r="E1988" s="5">
        <f>IFERROR(__xludf.DUMMYFUNCTION("""COMPUTED_VALUE"""),0.13246929394921256)</f>
        <v>0.1324692939</v>
      </c>
      <c r="F1988" s="5">
        <f>IFERROR(__xludf.DUMMYFUNCTION("""COMPUTED_VALUE"""),0.21249340667621128)</f>
        <v>0.2124934067</v>
      </c>
      <c r="G1988" s="5">
        <f>IFERROR(__xludf.DUMMYFUNCTION("""COMPUTED_VALUE"""),0.1684876799035491)</f>
        <v>0.1684876799</v>
      </c>
      <c r="H1988" s="5">
        <f>IFERROR(__xludf.DUMMYFUNCTION("""COMPUTED_VALUE"""),0.5897163120567376)</f>
        <v>0.5897163121</v>
      </c>
      <c r="I1988" s="11">
        <f>IFERROR(__xludf.DUMMYFUNCTION("""COMPUTED_VALUE"""),5638.758865248227)</f>
        <v>5638.758865</v>
      </c>
      <c r="J1988" s="10">
        <f>IFERROR(__xludf.DUMMYFUNCTION("""COMPUTED_VALUE"""),1.0)</f>
        <v>1</v>
      </c>
      <c r="K1988" s="5">
        <f>IFERROR(__xludf.DUMMYFUNCTION("""COMPUTED_VALUE"""),8.077544426494346E-4)</f>
        <v>0.0008077544426</v>
      </c>
      <c r="L1988" s="10">
        <f>IFERROR(__xludf.DUMMYFUNCTION("""COMPUTED_VALUE"""),1238.0)</f>
        <v>1238</v>
      </c>
      <c r="M1988" s="5">
        <f>IFERROR(__xludf.DUMMYFUNCTION("""COMPUTED_VALUE"""),1.0)</f>
        <v>1</v>
      </c>
    </row>
    <row r="1989">
      <c r="A1989" s="10" t="str">
        <f>IFERROR(__xludf.DUMMYFUNCTION("""COMPUTED_VALUE"""),"妹の事愛してます")</f>
        <v>妹の事愛してます</v>
      </c>
      <c r="B1989" s="10">
        <f>IFERROR(__xludf.DUMMYFUNCTION("""COMPUTED_VALUE"""),1000.0)</f>
        <v>1000</v>
      </c>
      <c r="C1989" s="10">
        <f>IFERROR(__xludf.DUMMYFUNCTION("""COMPUTED_VALUE"""),11758.0)</f>
        <v>11758</v>
      </c>
      <c r="D1989" s="5">
        <f>IFERROR(__xludf.DUMMYFUNCTION("""COMPUTED_VALUE"""),0.37311767986614613)</f>
        <v>0.3731176799</v>
      </c>
      <c r="E1989" s="5">
        <f>IFERROR(__xludf.DUMMYFUNCTION("""COMPUTED_VALUE"""),0.1324595649749024)</f>
        <v>0.132459565</v>
      </c>
      <c r="F1989" s="5">
        <f>IFERROR(__xludf.DUMMYFUNCTION("""COMPUTED_VALUE"""),0.22104480386688977)</f>
        <v>0.2210448039</v>
      </c>
      <c r="G1989" s="5">
        <f>IFERROR(__xludf.DUMMYFUNCTION("""COMPUTED_VALUE"""),0.17893660531697342)</f>
        <v>0.1789366053</v>
      </c>
      <c r="H1989" s="5">
        <f>IFERROR(__xludf.DUMMYFUNCTION("""COMPUTED_VALUE"""),0.5904121110176619)</f>
        <v>0.590412111</v>
      </c>
      <c r="I1989" s="11">
        <f>IFERROR(__xludf.DUMMYFUNCTION("""COMPUTED_VALUE"""),5563.49873843566)</f>
        <v>5563.498738</v>
      </c>
      <c r="J1989" s="10">
        <f>IFERROR(__xludf.DUMMYFUNCTION("""COMPUTED_VALUE"""),1.0)</f>
        <v>1</v>
      </c>
      <c r="K1989" s="5">
        <f>IFERROR(__xludf.DUMMYFUNCTION("""COMPUTED_VALUE"""),0.001)</f>
        <v>0.001</v>
      </c>
      <c r="L1989" s="10">
        <f>IFERROR(__xludf.DUMMYFUNCTION("""COMPUTED_VALUE"""),358.0)</f>
        <v>358</v>
      </c>
      <c r="M1989" s="5">
        <f>IFERROR(__xludf.DUMMYFUNCTION("""COMPUTED_VALUE"""),0.358)</f>
        <v>0.358</v>
      </c>
    </row>
    <row r="1990">
      <c r="A1990" s="10" t="str">
        <f>IFERROR(__xludf.DUMMYFUNCTION("""COMPUTED_VALUE"""),"kensyoen")</f>
        <v>kensyoen</v>
      </c>
      <c r="B1990" s="10">
        <f>IFERROR(__xludf.DUMMYFUNCTION("""COMPUTED_VALUE"""),357.0)</f>
        <v>357</v>
      </c>
      <c r="C1990" s="10">
        <f>IFERROR(__xludf.DUMMYFUNCTION("""COMPUTED_VALUE"""),4079.0)</f>
        <v>4079</v>
      </c>
      <c r="D1990" s="5">
        <f>IFERROR(__xludf.DUMMYFUNCTION("""COMPUTED_VALUE"""),0.2563138097796883)</f>
        <v>0.2563138098</v>
      </c>
      <c r="E1990" s="5">
        <f>IFERROR(__xludf.DUMMYFUNCTION("""COMPUTED_VALUE"""),0.1324556689951639)</f>
        <v>0.132455669</v>
      </c>
      <c r="F1990" s="5">
        <f>IFERROR(__xludf.DUMMYFUNCTION("""COMPUTED_VALUE"""),0.20983342289091886)</f>
        <v>0.2098334229</v>
      </c>
      <c r="G1990" s="5">
        <f>IFERROR(__xludf.DUMMYFUNCTION("""COMPUTED_VALUE"""),0.184846856528748)</f>
        <v>0.1848468565</v>
      </c>
      <c r="H1990" s="5">
        <f>IFERROR(__xludf.DUMMYFUNCTION("""COMPUTED_VALUE"""),0.58898847631242)</f>
        <v>0.5889884763</v>
      </c>
      <c r="I1990" s="11">
        <f>IFERROR(__xludf.DUMMYFUNCTION("""COMPUTED_VALUE"""),5904.60947503201)</f>
        <v>5904.609475</v>
      </c>
      <c r="J1990" s="10">
        <f>IFERROR(__xludf.DUMMYFUNCTION("""COMPUTED_VALUE"""),0.0)</f>
        <v>0</v>
      </c>
      <c r="K1990" s="5">
        <f>IFERROR(__xludf.DUMMYFUNCTION("""COMPUTED_VALUE"""),0.0)</f>
        <v>0</v>
      </c>
      <c r="L1990" s="10">
        <f>IFERROR(__xludf.DUMMYFUNCTION("""COMPUTED_VALUE"""),357.0)</f>
        <v>357</v>
      </c>
      <c r="M1990" s="5">
        <f>IFERROR(__xludf.DUMMYFUNCTION("""COMPUTED_VALUE"""),1.0)</f>
        <v>1</v>
      </c>
    </row>
    <row r="1991">
      <c r="A1991" s="10" t="str">
        <f>IFERROR(__xludf.DUMMYFUNCTION("""COMPUTED_VALUE"""),"いもけんp")</f>
        <v>いもけんp</v>
      </c>
      <c r="B1991" s="10">
        <f>IFERROR(__xludf.DUMMYFUNCTION("""COMPUTED_VALUE"""),1005.0)</f>
        <v>1005</v>
      </c>
      <c r="C1991" s="10">
        <f>IFERROR(__xludf.DUMMYFUNCTION("""COMPUTED_VALUE"""),11877.0)</f>
        <v>11877</v>
      </c>
      <c r="D1991" s="5">
        <f>IFERROR(__xludf.DUMMYFUNCTION("""COMPUTED_VALUE"""),0.42807211184694627)</f>
        <v>0.4280721118</v>
      </c>
      <c r="E1991" s="5">
        <f>IFERROR(__xludf.DUMMYFUNCTION("""COMPUTED_VALUE"""),0.13245033112582782)</f>
        <v>0.1324503311</v>
      </c>
      <c r="F1991" s="5">
        <f>IFERROR(__xludf.DUMMYFUNCTION("""COMPUTED_VALUE"""),0.2220382634289919)</f>
        <v>0.2220382634</v>
      </c>
      <c r="G1991" s="5">
        <f>IFERROR(__xludf.DUMMYFUNCTION("""COMPUTED_VALUE"""),0.15489330389992642)</f>
        <v>0.1548933039</v>
      </c>
      <c r="H1991" s="5">
        <f>IFERROR(__xludf.DUMMYFUNCTION("""COMPUTED_VALUE"""),0.6097763048881525)</f>
        <v>0.6097763049</v>
      </c>
      <c r="I1991" s="11">
        <f>IFERROR(__xludf.DUMMYFUNCTION("""COMPUTED_VALUE"""),5222.949461474731)</f>
        <v>5222.949461</v>
      </c>
      <c r="J1991" s="10">
        <f>IFERROR(__xludf.DUMMYFUNCTION("""COMPUTED_VALUE"""),0.0)</f>
        <v>0</v>
      </c>
      <c r="K1991" s="5">
        <f>IFERROR(__xludf.DUMMYFUNCTION("""COMPUTED_VALUE"""),0.0)</f>
        <v>0</v>
      </c>
      <c r="L1991" s="10">
        <f>IFERROR(__xludf.DUMMYFUNCTION("""COMPUTED_VALUE"""),1005.0)</f>
        <v>1005</v>
      </c>
      <c r="M1991" s="5">
        <f>IFERROR(__xludf.DUMMYFUNCTION("""COMPUTED_VALUE"""),1.0)</f>
        <v>1</v>
      </c>
    </row>
    <row r="1992">
      <c r="A1992" s="10" t="str">
        <f>IFERROR(__xludf.DUMMYFUNCTION("""COMPUTED_VALUE"""),"みどっこ太郎")</f>
        <v>みどっこ太郎</v>
      </c>
      <c r="B1992" s="10">
        <f>IFERROR(__xludf.DUMMYFUNCTION("""COMPUTED_VALUE"""),417.0)</f>
        <v>417</v>
      </c>
      <c r="C1992" s="10">
        <f>IFERROR(__xludf.DUMMYFUNCTION("""COMPUTED_VALUE"""),4917.0)</f>
        <v>4917</v>
      </c>
      <c r="D1992" s="5">
        <f>IFERROR(__xludf.DUMMYFUNCTION("""COMPUTED_VALUE"""),0.3428888888888889)</f>
        <v>0.3428888889</v>
      </c>
      <c r="E1992" s="5">
        <f>IFERROR(__xludf.DUMMYFUNCTION("""COMPUTED_VALUE"""),0.13244444444444445)</f>
        <v>0.1324444444</v>
      </c>
      <c r="F1992" s="5">
        <f>IFERROR(__xludf.DUMMYFUNCTION("""COMPUTED_VALUE"""),0.20222222222222222)</f>
        <v>0.2022222222</v>
      </c>
      <c r="G1992" s="5">
        <f>IFERROR(__xludf.DUMMYFUNCTION("""COMPUTED_VALUE"""),0.17733333333333334)</f>
        <v>0.1773333333</v>
      </c>
      <c r="H1992" s="5">
        <f>IFERROR(__xludf.DUMMYFUNCTION("""COMPUTED_VALUE"""),0.5857142857142857)</f>
        <v>0.5857142857</v>
      </c>
      <c r="I1992" s="11">
        <f>IFERROR(__xludf.DUMMYFUNCTION("""COMPUTED_VALUE"""),5670.219780219781)</f>
        <v>5670.21978</v>
      </c>
      <c r="J1992" s="10">
        <f>IFERROR(__xludf.DUMMYFUNCTION("""COMPUTED_VALUE"""),1.0)</f>
        <v>1</v>
      </c>
      <c r="K1992" s="5">
        <f>IFERROR(__xludf.DUMMYFUNCTION("""COMPUTED_VALUE"""),0.002398081534772182)</f>
        <v>0.002398081535</v>
      </c>
      <c r="L1992" s="10">
        <f>IFERROR(__xludf.DUMMYFUNCTION("""COMPUTED_VALUE"""),417.0)</f>
        <v>417</v>
      </c>
      <c r="M1992" s="5">
        <f>IFERROR(__xludf.DUMMYFUNCTION("""COMPUTED_VALUE"""),1.0)</f>
        <v>1</v>
      </c>
    </row>
    <row r="1993">
      <c r="A1993" s="10" t="str">
        <f>IFERROR(__xludf.DUMMYFUNCTION("""COMPUTED_VALUE"""),"ハチュナ")</f>
        <v>ハチュナ</v>
      </c>
      <c r="B1993" s="10">
        <f>IFERROR(__xludf.DUMMYFUNCTION("""COMPUTED_VALUE"""),659.0)</f>
        <v>659</v>
      </c>
      <c r="C1993" s="10">
        <f>IFERROR(__xludf.DUMMYFUNCTION("""COMPUTED_VALUE"""),7628.0)</f>
        <v>7628</v>
      </c>
      <c r="D1993" s="5">
        <f>IFERROR(__xludf.DUMMYFUNCTION("""COMPUTED_VALUE"""),0.3395035155689482)</f>
        <v>0.3395035156</v>
      </c>
      <c r="E1993" s="5">
        <f>IFERROR(__xludf.DUMMYFUNCTION("""COMPUTED_VALUE"""),0.13244367915052374)</f>
        <v>0.1324436792</v>
      </c>
      <c r="F1993" s="5">
        <f>IFERROR(__xludf.DUMMYFUNCTION("""COMPUTED_VALUE"""),0.20576840292724924)</f>
        <v>0.2057684029</v>
      </c>
      <c r="G1993" s="5">
        <f>IFERROR(__xludf.DUMMYFUNCTION("""COMPUTED_VALUE"""),0.18869278232171044)</f>
        <v>0.1886927823</v>
      </c>
      <c r="H1993" s="5">
        <f>IFERROR(__xludf.DUMMYFUNCTION("""COMPUTED_VALUE"""),0.5871687587168759)</f>
        <v>0.5871687587</v>
      </c>
      <c r="I1993" s="11">
        <f>IFERROR(__xludf.DUMMYFUNCTION("""COMPUTED_VALUE"""),5703.556485355649)</f>
        <v>5703.556485</v>
      </c>
      <c r="J1993" s="10">
        <f>IFERROR(__xludf.DUMMYFUNCTION("""COMPUTED_VALUE"""),0.0)</f>
        <v>0</v>
      </c>
      <c r="K1993" s="5">
        <f>IFERROR(__xludf.DUMMYFUNCTION("""COMPUTED_VALUE"""),0.0)</f>
        <v>0</v>
      </c>
      <c r="L1993" s="10">
        <f>IFERROR(__xludf.DUMMYFUNCTION("""COMPUTED_VALUE"""),3.0)</f>
        <v>3</v>
      </c>
      <c r="M1993" s="5">
        <f>IFERROR(__xludf.DUMMYFUNCTION("""COMPUTED_VALUE"""),0.004552352048558422)</f>
        <v>0.004552352049</v>
      </c>
    </row>
    <row r="1994">
      <c r="A1994" s="10" t="str">
        <f>IFERROR(__xludf.DUMMYFUNCTION("""COMPUTED_VALUE"""),"もーりー")</f>
        <v>もーりー</v>
      </c>
      <c r="B1994" s="10">
        <f>IFERROR(__xludf.DUMMYFUNCTION("""COMPUTED_VALUE"""),2429.0)</f>
        <v>2429</v>
      </c>
      <c r="C1994" s="10">
        <f>IFERROR(__xludf.DUMMYFUNCTION("""COMPUTED_VALUE"""),28071.0)</f>
        <v>28071</v>
      </c>
      <c r="D1994" s="5">
        <f>IFERROR(__xludf.DUMMYFUNCTION("""COMPUTED_VALUE"""),0.32661258872162857)</f>
        <v>0.3266125887</v>
      </c>
      <c r="E1994" s="5">
        <f>IFERROR(__xludf.DUMMYFUNCTION("""COMPUTED_VALUE"""),0.13243896731924187)</f>
        <v>0.1324389673</v>
      </c>
      <c r="F1994" s="5">
        <f>IFERROR(__xludf.DUMMYFUNCTION("""COMPUTED_VALUE"""),0.21616878558614772)</f>
        <v>0.2161687856</v>
      </c>
      <c r="G1994" s="5">
        <f>IFERROR(__xludf.DUMMYFUNCTION("""COMPUTED_VALUE"""),0.17463536385617345)</f>
        <v>0.1746353639</v>
      </c>
      <c r="H1994" s="5">
        <f>IFERROR(__xludf.DUMMYFUNCTION("""COMPUTED_VALUE"""),0.6081544290095616)</f>
        <v>0.608154429</v>
      </c>
      <c r="I1994" s="11">
        <f>IFERROR(__xludf.DUMMYFUNCTION("""COMPUTED_VALUE"""),5858.145408623489)</f>
        <v>5858.145409</v>
      </c>
      <c r="J1994" s="10">
        <f>IFERROR(__xludf.DUMMYFUNCTION("""COMPUTED_VALUE"""),3.0)</f>
        <v>3</v>
      </c>
      <c r="K1994" s="5">
        <f>IFERROR(__xludf.DUMMYFUNCTION("""COMPUTED_VALUE"""),0.0012350761630300535)</f>
        <v>0.001235076163</v>
      </c>
      <c r="L1994" s="10">
        <f>IFERROR(__xludf.DUMMYFUNCTION("""COMPUTED_VALUE"""),2429.0)</f>
        <v>2429</v>
      </c>
      <c r="M1994" s="5">
        <f>IFERROR(__xludf.DUMMYFUNCTION("""COMPUTED_VALUE"""),1.0)</f>
        <v>1</v>
      </c>
    </row>
    <row r="1995">
      <c r="A1995" s="10" t="str">
        <f>IFERROR(__xludf.DUMMYFUNCTION("""COMPUTED_VALUE"""),"fujiboku")</f>
        <v>fujiboku</v>
      </c>
      <c r="B1995" s="10">
        <f>IFERROR(__xludf.DUMMYFUNCTION("""COMPUTED_VALUE"""),760.0)</f>
        <v>760</v>
      </c>
      <c r="C1995" s="10">
        <f>IFERROR(__xludf.DUMMYFUNCTION("""COMPUTED_VALUE"""),8847.0)</f>
        <v>8847</v>
      </c>
      <c r="D1995" s="5">
        <f>IFERROR(__xludf.DUMMYFUNCTION("""COMPUTED_VALUE"""),0.3681216767651787)</f>
        <v>0.3681216768</v>
      </c>
      <c r="E1995" s="5">
        <f>IFERROR(__xludf.DUMMYFUNCTION("""COMPUTED_VALUE"""),0.13243477185606528)</f>
        <v>0.1324347719</v>
      </c>
      <c r="F1995" s="5">
        <f>IFERROR(__xludf.DUMMYFUNCTION("""COMPUTED_VALUE"""),0.20588598986026957)</f>
        <v>0.2058859899</v>
      </c>
      <c r="G1995" s="5">
        <f>IFERROR(__xludf.DUMMYFUNCTION("""COMPUTED_VALUE"""),0.17249907258563127)</f>
        <v>0.1724990726</v>
      </c>
      <c r="H1995" s="5">
        <f>IFERROR(__xludf.DUMMYFUNCTION("""COMPUTED_VALUE"""),0.609009009009009)</f>
        <v>0.609009009</v>
      </c>
      <c r="I1995" s="11">
        <f>IFERROR(__xludf.DUMMYFUNCTION("""COMPUTED_VALUE"""),5612.372372372372)</f>
        <v>5612.372372</v>
      </c>
      <c r="J1995" s="10">
        <f>IFERROR(__xludf.DUMMYFUNCTION("""COMPUTED_VALUE"""),3.0)</f>
        <v>3</v>
      </c>
      <c r="K1995" s="5">
        <f>IFERROR(__xludf.DUMMYFUNCTION("""COMPUTED_VALUE"""),0.003947368421052632)</f>
        <v>0.003947368421</v>
      </c>
      <c r="L1995" s="10">
        <f>IFERROR(__xludf.DUMMYFUNCTION("""COMPUTED_VALUE"""),760.0)</f>
        <v>760</v>
      </c>
      <c r="M1995" s="5">
        <f>IFERROR(__xludf.DUMMYFUNCTION("""COMPUTED_VALUE"""),1.0)</f>
        <v>1</v>
      </c>
    </row>
    <row r="1996">
      <c r="A1996" s="10" t="str">
        <f>IFERROR(__xludf.DUMMYFUNCTION("""COMPUTED_VALUE"""),"ミラクルおじさん")</f>
        <v>ミラクルおじさん</v>
      </c>
      <c r="B1996" s="10">
        <f>IFERROR(__xludf.DUMMYFUNCTION("""COMPUTED_VALUE"""),1695.0)</f>
        <v>1695</v>
      </c>
      <c r="C1996" s="10">
        <f>IFERROR(__xludf.DUMMYFUNCTION("""COMPUTED_VALUE"""),19931.0)</f>
        <v>19931</v>
      </c>
      <c r="D1996" s="5">
        <f>IFERROR(__xludf.DUMMYFUNCTION("""COMPUTED_VALUE"""),0.3234810265409081)</f>
        <v>0.3234810265</v>
      </c>
      <c r="E1996" s="5">
        <f>IFERROR(__xludf.DUMMYFUNCTION("""COMPUTED_VALUE"""),0.13243035753454704)</f>
        <v>0.1324303575</v>
      </c>
      <c r="F1996" s="5">
        <f>IFERROR(__xludf.DUMMYFUNCTION("""COMPUTED_VALUE"""),0.21912700153542444)</f>
        <v>0.2191270015</v>
      </c>
      <c r="G1996" s="5">
        <f>IFERROR(__xludf.DUMMYFUNCTION("""COMPUTED_VALUE"""),0.20635007677122175)</f>
        <v>0.2063500768</v>
      </c>
      <c r="H1996" s="5">
        <f>IFERROR(__xludf.DUMMYFUNCTION("""COMPUTED_VALUE"""),0.5930930930930931)</f>
        <v>0.5930930931</v>
      </c>
      <c r="I1996" s="11">
        <f>IFERROR(__xludf.DUMMYFUNCTION("""COMPUTED_VALUE"""),5724.74974974975)</f>
        <v>5724.74975</v>
      </c>
      <c r="J1996" s="10">
        <f>IFERROR(__xludf.DUMMYFUNCTION("""COMPUTED_VALUE"""),2.0)</f>
        <v>2</v>
      </c>
      <c r="K1996" s="5">
        <f>IFERROR(__xludf.DUMMYFUNCTION("""COMPUTED_VALUE"""),0.0011799410029498525)</f>
        <v>0.001179941003</v>
      </c>
      <c r="L1996" s="10">
        <f>IFERROR(__xludf.DUMMYFUNCTION("""COMPUTED_VALUE"""),1694.0)</f>
        <v>1694</v>
      </c>
      <c r="M1996" s="5">
        <f>IFERROR(__xludf.DUMMYFUNCTION("""COMPUTED_VALUE"""),0.9994100294985251)</f>
        <v>0.9994100295</v>
      </c>
    </row>
    <row r="1997">
      <c r="A1997" s="10" t="str">
        <f>IFERROR(__xludf.DUMMYFUNCTION("""COMPUTED_VALUE"""),"veterina")</f>
        <v>veterina</v>
      </c>
      <c r="B1997" s="10">
        <f>IFERROR(__xludf.DUMMYFUNCTION("""COMPUTED_VALUE"""),1768.0)</f>
        <v>1768</v>
      </c>
      <c r="C1997" s="10">
        <f>IFERROR(__xludf.DUMMYFUNCTION("""COMPUTED_VALUE"""),20563.0)</f>
        <v>20563</v>
      </c>
      <c r="D1997" s="5">
        <f>IFERROR(__xludf.DUMMYFUNCTION("""COMPUTED_VALUE"""),0.38664538441074753)</f>
        <v>0.3866453844</v>
      </c>
      <c r="E1997" s="5">
        <f>IFERROR(__xludf.DUMMYFUNCTION("""COMPUTED_VALUE"""),0.13242883745677042)</f>
        <v>0.1324288375</v>
      </c>
      <c r="F1997" s="5">
        <f>IFERROR(__xludf.DUMMYFUNCTION("""COMPUTED_VALUE"""),0.21186485767491353)</f>
        <v>0.2118648577</v>
      </c>
      <c r="G1997" s="5">
        <f>IFERROR(__xludf.DUMMYFUNCTION("""COMPUTED_VALUE"""),0.16440542697525937)</f>
        <v>0.164405427</v>
      </c>
      <c r="H1997" s="5">
        <f>IFERROR(__xludf.DUMMYFUNCTION("""COMPUTED_VALUE"""),0.5836263184329483)</f>
        <v>0.5836263184</v>
      </c>
      <c r="I1997" s="11">
        <f>IFERROR(__xludf.DUMMYFUNCTION("""COMPUTED_VALUE"""),5598.242089402311)</f>
        <v>5598.242089</v>
      </c>
      <c r="J1997" s="10">
        <f>IFERROR(__xludf.DUMMYFUNCTION("""COMPUTED_VALUE"""),3.0)</f>
        <v>3</v>
      </c>
      <c r="K1997" s="5">
        <f>IFERROR(__xludf.DUMMYFUNCTION("""COMPUTED_VALUE"""),0.0016968325791855204)</f>
        <v>0.001696832579</v>
      </c>
      <c r="L1997" s="10">
        <f>IFERROR(__xludf.DUMMYFUNCTION("""COMPUTED_VALUE"""),1752.0)</f>
        <v>1752</v>
      </c>
      <c r="M1997" s="5">
        <f>IFERROR(__xludf.DUMMYFUNCTION("""COMPUTED_VALUE"""),0.9909502262443439)</f>
        <v>0.9909502262</v>
      </c>
    </row>
    <row r="1998">
      <c r="A1998" s="10" t="str">
        <f>IFERROR(__xludf.DUMMYFUNCTION("""COMPUTED_VALUE"""),"麺単品1")</f>
        <v>麺単品1</v>
      </c>
      <c r="B1998" s="10">
        <f>IFERROR(__xludf.DUMMYFUNCTION("""COMPUTED_VALUE"""),779.0)</f>
        <v>779</v>
      </c>
      <c r="C1998" s="10">
        <f>IFERROR(__xludf.DUMMYFUNCTION("""COMPUTED_VALUE"""),8943.0)</f>
        <v>8943</v>
      </c>
      <c r="D1998" s="5">
        <f>IFERROR(__xludf.DUMMYFUNCTION("""COMPUTED_VALUE"""),0.3332925036746693)</f>
        <v>0.3332925037</v>
      </c>
      <c r="E1998" s="5">
        <f>IFERROR(__xludf.DUMMYFUNCTION("""COMPUTED_VALUE"""),0.13241058304752573)</f>
        <v>0.132410583</v>
      </c>
      <c r="F1998" s="5">
        <f>IFERROR(__xludf.DUMMYFUNCTION("""COMPUTED_VALUE"""),0.22868691817736403)</f>
        <v>0.2286869182</v>
      </c>
      <c r="G1998" s="5">
        <f>IFERROR(__xludf.DUMMYFUNCTION("""COMPUTED_VALUE"""),0.20627143557079863)</f>
        <v>0.2062714356</v>
      </c>
      <c r="H1998" s="5">
        <f>IFERROR(__xludf.DUMMYFUNCTION("""COMPUTED_VALUE"""),0.5693626138189609)</f>
        <v>0.5693626138</v>
      </c>
      <c r="I1998" s="11">
        <f>IFERROR(__xludf.DUMMYFUNCTION("""COMPUTED_VALUE"""),5643.331547937868)</f>
        <v>5643.331548</v>
      </c>
      <c r="J1998" s="10">
        <f>IFERROR(__xludf.DUMMYFUNCTION("""COMPUTED_VALUE"""),1.0)</f>
        <v>1</v>
      </c>
      <c r="K1998" s="5">
        <f>IFERROR(__xludf.DUMMYFUNCTION("""COMPUTED_VALUE"""),0.0012836970474967907)</f>
        <v>0.001283697047</v>
      </c>
      <c r="L1998" s="10">
        <f>IFERROR(__xludf.DUMMYFUNCTION("""COMPUTED_VALUE"""),480.0)</f>
        <v>480</v>
      </c>
      <c r="M1998" s="5">
        <f>IFERROR(__xludf.DUMMYFUNCTION("""COMPUTED_VALUE"""),0.6161745827984596)</f>
        <v>0.6161745828</v>
      </c>
    </row>
    <row r="1999">
      <c r="A1999" s="10" t="str">
        <f>IFERROR(__xludf.DUMMYFUNCTION("""COMPUTED_VALUE"""),"ピンクのいぼいぼ")</f>
        <v>ピンクのいぼいぼ</v>
      </c>
      <c r="B1999" s="10">
        <f>IFERROR(__xludf.DUMMYFUNCTION("""COMPUTED_VALUE"""),885.0)</f>
        <v>885</v>
      </c>
      <c r="C1999" s="10">
        <f>IFERROR(__xludf.DUMMYFUNCTION("""COMPUTED_VALUE"""),10319.0)</f>
        <v>10319</v>
      </c>
      <c r="D1999" s="5">
        <f>IFERROR(__xludf.DUMMYFUNCTION("""COMPUTED_VALUE"""),0.41509433962264153)</f>
        <v>0.4150943396</v>
      </c>
      <c r="E1999" s="5">
        <f>IFERROR(__xludf.DUMMYFUNCTION("""COMPUTED_VALUE"""),0.1323934704261183)</f>
        <v>0.1323934704</v>
      </c>
      <c r="F1999" s="5">
        <f>IFERROR(__xludf.DUMMYFUNCTION("""COMPUTED_VALUE"""),0.21560313758744964)</f>
        <v>0.2156031376</v>
      </c>
      <c r="G1999" s="5">
        <f>IFERROR(__xludf.DUMMYFUNCTION("""COMPUTED_VALUE"""),0.1424634301462794)</f>
        <v>0.1424634301</v>
      </c>
      <c r="H1999" s="5">
        <f>IFERROR(__xludf.DUMMYFUNCTION("""COMPUTED_VALUE"""),0.6145526057030481)</f>
        <v>0.6145526057</v>
      </c>
      <c r="I1999" s="11">
        <f>IFERROR(__xludf.DUMMYFUNCTION("""COMPUTED_VALUE"""),5367.551622418879)</f>
        <v>5367.551622</v>
      </c>
      <c r="J1999" s="10">
        <f>IFERROR(__xludf.DUMMYFUNCTION("""COMPUTED_VALUE"""),4.0)</f>
        <v>4</v>
      </c>
      <c r="K1999" s="5">
        <f>IFERROR(__xludf.DUMMYFUNCTION("""COMPUTED_VALUE"""),0.004519774011299435)</f>
        <v>0.004519774011</v>
      </c>
      <c r="L1999" s="10">
        <f>IFERROR(__xludf.DUMMYFUNCTION("""COMPUTED_VALUE"""),885.0)</f>
        <v>885</v>
      </c>
      <c r="M1999" s="5">
        <f>IFERROR(__xludf.DUMMYFUNCTION("""COMPUTED_VALUE"""),1.0)</f>
        <v>1</v>
      </c>
    </row>
    <row r="2000">
      <c r="A2000" s="10" t="str">
        <f>IFERROR(__xludf.DUMMYFUNCTION("""COMPUTED_VALUE"""),"クッパ裏")</f>
        <v>クッパ裏</v>
      </c>
      <c r="B2000" s="10">
        <f>IFERROR(__xludf.DUMMYFUNCTION("""COMPUTED_VALUE"""),1916.0)</f>
        <v>1916</v>
      </c>
      <c r="C2000" s="10">
        <f>IFERROR(__xludf.DUMMYFUNCTION("""COMPUTED_VALUE"""),22461.0)</f>
        <v>22461</v>
      </c>
      <c r="D2000" s="5">
        <f>IFERROR(__xludf.DUMMYFUNCTION("""COMPUTED_VALUE"""),0.36320272572402046)</f>
        <v>0.3632027257</v>
      </c>
      <c r="E2000" s="5">
        <f>IFERROR(__xludf.DUMMYFUNCTION("""COMPUTED_VALUE"""),0.1323923095643709)</f>
        <v>0.1323923096</v>
      </c>
      <c r="F2000" s="5">
        <f>IFERROR(__xludf.DUMMYFUNCTION("""COMPUTED_VALUE"""),0.21542954490143587)</f>
        <v>0.2154295449</v>
      </c>
      <c r="G2000" s="5">
        <f>IFERROR(__xludf.DUMMYFUNCTION("""COMPUTED_VALUE"""),0.15750790946702362)</f>
        <v>0.1575079095</v>
      </c>
      <c r="H2000" s="5">
        <f>IFERROR(__xludf.DUMMYFUNCTION("""COMPUTED_VALUE"""),0.5976050610031631)</f>
        <v>0.597605061</v>
      </c>
      <c r="I2000" s="11">
        <f>IFERROR(__xludf.DUMMYFUNCTION("""COMPUTED_VALUE"""),5671.6674197921375)</f>
        <v>5671.66742</v>
      </c>
      <c r="J2000" s="10">
        <f>IFERROR(__xludf.DUMMYFUNCTION("""COMPUTED_VALUE"""),5.0)</f>
        <v>5</v>
      </c>
      <c r="K2000" s="5">
        <f>IFERROR(__xludf.DUMMYFUNCTION("""COMPUTED_VALUE"""),0.0026096033402922755)</f>
        <v>0.00260960334</v>
      </c>
      <c r="L2000" s="10">
        <f>IFERROR(__xludf.DUMMYFUNCTION("""COMPUTED_VALUE"""),0.0)</f>
        <v>0</v>
      </c>
      <c r="M2000" s="5">
        <f>IFERROR(__xludf.DUMMYFUNCTION("""COMPUTED_VALUE"""),0.0)</f>
        <v>0</v>
      </c>
    </row>
    <row r="2001">
      <c r="A2001" s="10" t="str">
        <f>IFERROR(__xludf.DUMMYFUNCTION("""COMPUTED_VALUE"""),"gomanori")</f>
        <v>gomanori</v>
      </c>
      <c r="B2001" s="10">
        <f>IFERROR(__xludf.DUMMYFUNCTION("""COMPUTED_VALUE"""),124.0)</f>
        <v>124</v>
      </c>
      <c r="C2001" s="10">
        <f>IFERROR(__xludf.DUMMYFUNCTION("""COMPUTED_VALUE"""),1461.0)</f>
        <v>1461</v>
      </c>
      <c r="D2001" s="5">
        <f>IFERROR(__xludf.DUMMYFUNCTION("""COMPUTED_VALUE"""),0.418848167539267)</f>
        <v>0.4188481675</v>
      </c>
      <c r="E2001" s="5">
        <f>IFERROR(__xludf.DUMMYFUNCTION("""COMPUTED_VALUE"""),0.1323859386686612)</f>
        <v>0.1323859387</v>
      </c>
      <c r="F2001" s="5">
        <f>IFERROR(__xludf.DUMMYFUNCTION("""COMPUTED_VALUE"""),0.21839940164547494)</f>
        <v>0.2183994016</v>
      </c>
      <c r="G2001" s="5">
        <f>IFERROR(__xludf.DUMMYFUNCTION("""COMPUTED_VALUE"""),0.1480927449513837)</f>
        <v>0.148092745</v>
      </c>
      <c r="H2001" s="5">
        <f>IFERROR(__xludf.DUMMYFUNCTION("""COMPUTED_VALUE"""),0.6164383561643836)</f>
        <v>0.6164383562</v>
      </c>
      <c r="I2001" s="11">
        <f>IFERROR(__xludf.DUMMYFUNCTION("""COMPUTED_VALUE"""),5461.301369863014)</f>
        <v>5461.30137</v>
      </c>
      <c r="J2001" s="10">
        <f>IFERROR(__xludf.DUMMYFUNCTION("""COMPUTED_VALUE"""),0.0)</f>
        <v>0</v>
      </c>
      <c r="K2001" s="5">
        <f>IFERROR(__xludf.DUMMYFUNCTION("""COMPUTED_VALUE"""),0.0)</f>
        <v>0</v>
      </c>
      <c r="L2001" s="10">
        <f>IFERROR(__xludf.DUMMYFUNCTION("""COMPUTED_VALUE"""),124.0)</f>
        <v>124</v>
      </c>
      <c r="M2001" s="5">
        <f>IFERROR(__xludf.DUMMYFUNCTION("""COMPUTED_VALUE"""),1.0)</f>
        <v>1</v>
      </c>
    </row>
    <row r="2002">
      <c r="A2002" s="10" t="str">
        <f>IFERROR(__xludf.DUMMYFUNCTION("""COMPUTED_VALUE"""),"たまころ")</f>
        <v>たまころ</v>
      </c>
      <c r="B2002" s="10">
        <f>IFERROR(__xludf.DUMMYFUNCTION("""COMPUTED_VALUE"""),236.0)</f>
        <v>236</v>
      </c>
      <c r="C2002" s="10">
        <f>IFERROR(__xludf.DUMMYFUNCTION("""COMPUTED_VALUE"""),2759.0)</f>
        <v>2759</v>
      </c>
      <c r="D2002" s="5">
        <f>IFERROR(__xludf.DUMMYFUNCTION("""COMPUTED_VALUE"""),0.3983353151010702)</f>
        <v>0.3983353151</v>
      </c>
      <c r="E2002" s="5">
        <f>IFERROR(__xludf.DUMMYFUNCTION("""COMPUTED_VALUE"""),0.13238208481965913)</f>
        <v>0.1323820848</v>
      </c>
      <c r="F2002" s="5">
        <f>IFERROR(__xludf.DUMMYFUNCTION("""COMPUTED_VALUE"""),0.2025366627031312)</f>
        <v>0.2025366627</v>
      </c>
      <c r="G2002" s="5">
        <f>IFERROR(__xludf.DUMMYFUNCTION("""COMPUTED_VALUE"""),0.1288149028933809)</f>
        <v>0.1288149029</v>
      </c>
      <c r="H2002" s="5">
        <f>IFERROR(__xludf.DUMMYFUNCTION("""COMPUTED_VALUE"""),0.6007827788649707)</f>
        <v>0.6007827789</v>
      </c>
      <c r="I2002" s="11">
        <f>IFERROR(__xludf.DUMMYFUNCTION("""COMPUTED_VALUE"""),5537.769080234833)</f>
        <v>5537.76908</v>
      </c>
      <c r="J2002" s="10">
        <f>IFERROR(__xludf.DUMMYFUNCTION("""COMPUTED_VALUE"""),0.0)</f>
        <v>0</v>
      </c>
      <c r="K2002" s="5">
        <f>IFERROR(__xludf.DUMMYFUNCTION("""COMPUTED_VALUE"""),0.0)</f>
        <v>0</v>
      </c>
      <c r="L2002" s="10">
        <f>IFERROR(__xludf.DUMMYFUNCTION("""COMPUTED_VALUE"""),236.0)</f>
        <v>236</v>
      </c>
      <c r="M2002" s="5">
        <f>IFERROR(__xludf.DUMMYFUNCTION("""COMPUTED_VALUE"""),1.0)</f>
        <v>1</v>
      </c>
    </row>
    <row r="2003">
      <c r="A2003" s="10" t="str">
        <f>IFERROR(__xludf.DUMMYFUNCTION("""COMPUTED_VALUE"""),"まるごとメロン")</f>
        <v>まるごとメロン</v>
      </c>
      <c r="B2003" s="10">
        <f>IFERROR(__xludf.DUMMYFUNCTION("""COMPUTED_VALUE"""),101.0)</f>
        <v>101</v>
      </c>
      <c r="C2003" s="10">
        <f>IFERROR(__xludf.DUMMYFUNCTION("""COMPUTED_VALUE"""),1219.0)</f>
        <v>1219</v>
      </c>
      <c r="D2003" s="5">
        <f>IFERROR(__xludf.DUMMYFUNCTION("""COMPUTED_VALUE"""),0.315742397137746)</f>
        <v>0.3157423971</v>
      </c>
      <c r="E2003" s="5">
        <f>IFERROR(__xludf.DUMMYFUNCTION("""COMPUTED_VALUE"""),0.13237924865831843)</f>
        <v>0.1323792487</v>
      </c>
      <c r="F2003" s="5">
        <f>IFERROR(__xludf.DUMMYFUNCTION("""COMPUTED_VALUE"""),0.2003577817531306)</f>
        <v>0.2003577818</v>
      </c>
      <c r="G2003" s="5">
        <f>IFERROR(__xludf.DUMMYFUNCTION("""COMPUTED_VALUE"""),0.16636851520572452)</f>
        <v>0.1663685152</v>
      </c>
      <c r="H2003" s="5">
        <f>IFERROR(__xludf.DUMMYFUNCTION("""COMPUTED_VALUE"""),0.6428571428571429)</f>
        <v>0.6428571429</v>
      </c>
      <c r="I2003" s="11">
        <f>IFERROR(__xludf.DUMMYFUNCTION("""COMPUTED_VALUE"""),5433.482142857143)</f>
        <v>5433.482143</v>
      </c>
      <c r="J2003" s="10">
        <f>IFERROR(__xludf.DUMMYFUNCTION("""COMPUTED_VALUE"""),0.0)</f>
        <v>0</v>
      </c>
      <c r="K2003" s="5">
        <f>IFERROR(__xludf.DUMMYFUNCTION("""COMPUTED_VALUE"""),0.0)</f>
        <v>0</v>
      </c>
      <c r="L2003" s="10">
        <f>IFERROR(__xludf.DUMMYFUNCTION("""COMPUTED_VALUE"""),101.0)</f>
        <v>101</v>
      </c>
      <c r="M2003" s="5">
        <f>IFERROR(__xludf.DUMMYFUNCTION("""COMPUTED_VALUE"""),1.0)</f>
        <v>1</v>
      </c>
    </row>
    <row r="2004">
      <c r="A2004" s="10" t="str">
        <f>IFERROR(__xludf.DUMMYFUNCTION("""COMPUTED_VALUE"""),"taketomi")</f>
        <v>taketomi</v>
      </c>
      <c r="B2004" s="10">
        <f>IFERROR(__xludf.DUMMYFUNCTION("""COMPUTED_VALUE"""),772.0)</f>
        <v>772</v>
      </c>
      <c r="C2004" s="10">
        <f>IFERROR(__xludf.DUMMYFUNCTION("""COMPUTED_VALUE"""),9059.0)</f>
        <v>9059</v>
      </c>
      <c r="D2004" s="5">
        <f>IFERROR(__xludf.DUMMYFUNCTION("""COMPUTED_VALUE"""),0.29479908290092915)</f>
        <v>0.2947990829</v>
      </c>
      <c r="E2004" s="5">
        <f>IFERROR(__xludf.DUMMYFUNCTION("""COMPUTED_VALUE"""),0.13237601061904186)</f>
        <v>0.1323760106</v>
      </c>
      <c r="F2004" s="5">
        <f>IFERROR(__xludf.DUMMYFUNCTION("""COMPUTED_VALUE"""),0.21129479908290094)</f>
        <v>0.2112947991</v>
      </c>
      <c r="G2004" s="5">
        <f>IFERROR(__xludf.DUMMYFUNCTION("""COMPUTED_VALUE"""),0.15952696995293833)</f>
        <v>0.15952697</v>
      </c>
      <c r="H2004" s="5">
        <f>IFERROR(__xludf.DUMMYFUNCTION("""COMPUTED_VALUE"""),0.6110793832095945)</f>
        <v>0.6110793832</v>
      </c>
      <c r="I2004" s="11">
        <f>IFERROR(__xludf.DUMMYFUNCTION("""COMPUTED_VALUE"""),5727.584237578527)</f>
        <v>5727.584238</v>
      </c>
      <c r="J2004" s="10">
        <f>IFERROR(__xludf.DUMMYFUNCTION("""COMPUTED_VALUE"""),0.0)</f>
        <v>0</v>
      </c>
      <c r="K2004" s="5">
        <f>IFERROR(__xludf.DUMMYFUNCTION("""COMPUTED_VALUE"""),0.0)</f>
        <v>0</v>
      </c>
      <c r="L2004" s="10">
        <f>IFERROR(__xludf.DUMMYFUNCTION("""COMPUTED_VALUE"""),772.0)</f>
        <v>772</v>
      </c>
      <c r="M2004" s="5">
        <f>IFERROR(__xludf.DUMMYFUNCTION("""COMPUTED_VALUE"""),1.0)</f>
        <v>1</v>
      </c>
    </row>
    <row r="2005">
      <c r="A2005" s="10" t="str">
        <f>IFERROR(__xludf.DUMMYFUNCTION("""COMPUTED_VALUE"""),"一四四")</f>
        <v>一四四</v>
      </c>
      <c r="B2005" s="10">
        <f>IFERROR(__xludf.DUMMYFUNCTION("""COMPUTED_VALUE"""),1408.0)</f>
        <v>1408</v>
      </c>
      <c r="C2005" s="10">
        <f>IFERROR(__xludf.DUMMYFUNCTION("""COMPUTED_VALUE"""),16781.0)</f>
        <v>16781</v>
      </c>
      <c r="D2005" s="5">
        <f>IFERROR(__xludf.DUMMYFUNCTION("""COMPUTED_VALUE"""),0.3867820204254212)</f>
        <v>0.3867820204</v>
      </c>
      <c r="E2005" s="5">
        <f>IFERROR(__xludf.DUMMYFUNCTION("""COMPUTED_VALUE"""),0.13237494308202694)</f>
        <v>0.1323749431</v>
      </c>
      <c r="F2005" s="5">
        <f>IFERROR(__xludf.DUMMYFUNCTION("""COMPUTED_VALUE"""),0.22097183373446952)</f>
        <v>0.2209718337</v>
      </c>
      <c r="G2005" s="5">
        <f>IFERROR(__xludf.DUMMYFUNCTION("""COMPUTED_VALUE"""),0.16509464645807584)</f>
        <v>0.1650946465</v>
      </c>
      <c r="H2005" s="5">
        <f>IFERROR(__xludf.DUMMYFUNCTION("""COMPUTED_VALUE"""),0.621136296732411)</f>
        <v>0.6211362967</v>
      </c>
      <c r="I2005" s="11">
        <f>IFERROR(__xludf.DUMMYFUNCTION("""COMPUTED_VALUE"""),5427.318221960553)</f>
        <v>5427.318222</v>
      </c>
      <c r="J2005" s="10">
        <f>IFERROR(__xludf.DUMMYFUNCTION("""COMPUTED_VALUE"""),5.0)</f>
        <v>5</v>
      </c>
      <c r="K2005" s="5">
        <f>IFERROR(__xludf.DUMMYFUNCTION("""COMPUTED_VALUE"""),0.0035511363636363635)</f>
        <v>0.003551136364</v>
      </c>
      <c r="L2005" s="10">
        <f>IFERROR(__xludf.DUMMYFUNCTION("""COMPUTED_VALUE"""),1408.0)</f>
        <v>1408</v>
      </c>
      <c r="M2005" s="5">
        <f>IFERROR(__xludf.DUMMYFUNCTION("""COMPUTED_VALUE"""),1.0)</f>
        <v>1</v>
      </c>
    </row>
    <row r="2006">
      <c r="A2006" s="10" t="str">
        <f>IFERROR(__xludf.DUMMYFUNCTION("""COMPUTED_VALUE"""),"mkoji")</f>
        <v>mkoji</v>
      </c>
      <c r="B2006" s="10">
        <f>IFERROR(__xludf.DUMMYFUNCTION("""COMPUTED_VALUE"""),406.0)</f>
        <v>406</v>
      </c>
      <c r="C2006" s="10">
        <f>IFERROR(__xludf.DUMMYFUNCTION("""COMPUTED_VALUE"""),4780.0)</f>
        <v>4780</v>
      </c>
      <c r="D2006" s="5">
        <f>IFERROR(__xludf.DUMMYFUNCTION("""COMPUTED_VALUE"""),0.38042981252857794)</f>
        <v>0.3804298125</v>
      </c>
      <c r="E2006" s="5">
        <f>IFERROR(__xludf.DUMMYFUNCTION("""COMPUTED_VALUE"""),0.13237311385459533)</f>
        <v>0.1323731139</v>
      </c>
      <c r="F2006" s="5">
        <f>IFERROR(__xludf.DUMMYFUNCTION("""COMPUTED_VALUE"""),0.2089620484682213)</f>
        <v>0.2089620485</v>
      </c>
      <c r="G2006" s="5">
        <f>IFERROR(__xludf.DUMMYFUNCTION("""COMPUTED_VALUE"""),0.16963877457704618)</f>
        <v>0.1696387746</v>
      </c>
      <c r="H2006" s="5">
        <f>IFERROR(__xludf.DUMMYFUNCTION("""COMPUTED_VALUE"""),0.5754923413566739)</f>
        <v>0.5754923414</v>
      </c>
      <c r="I2006" s="11">
        <f>IFERROR(__xludf.DUMMYFUNCTION("""COMPUTED_VALUE"""),5766.411378555798)</f>
        <v>5766.411379</v>
      </c>
      <c r="J2006" s="10">
        <f>IFERROR(__xludf.DUMMYFUNCTION("""COMPUTED_VALUE"""),0.0)</f>
        <v>0</v>
      </c>
      <c r="K2006" s="5">
        <f>IFERROR(__xludf.DUMMYFUNCTION("""COMPUTED_VALUE"""),0.0)</f>
        <v>0</v>
      </c>
      <c r="L2006" s="10">
        <f>IFERROR(__xludf.DUMMYFUNCTION("""COMPUTED_VALUE"""),406.0)</f>
        <v>406</v>
      </c>
      <c r="M2006" s="5">
        <f>IFERROR(__xludf.DUMMYFUNCTION("""COMPUTED_VALUE"""),1.0)</f>
        <v>1</v>
      </c>
    </row>
    <row r="2007">
      <c r="A2007" s="10" t="str">
        <f>IFERROR(__xludf.DUMMYFUNCTION("""COMPUTED_VALUE"""),"てんてこ狐")</f>
        <v>てんてこ狐</v>
      </c>
      <c r="B2007" s="10">
        <f>IFERROR(__xludf.DUMMYFUNCTION("""COMPUTED_VALUE"""),2052.0)</f>
        <v>2052</v>
      </c>
      <c r="C2007" s="10">
        <f>IFERROR(__xludf.DUMMYFUNCTION("""COMPUTED_VALUE"""),23908.0)</f>
        <v>23908</v>
      </c>
      <c r="D2007" s="5">
        <f>IFERROR(__xludf.DUMMYFUNCTION("""COMPUTED_VALUE"""),0.3828696925329429)</f>
        <v>0.3828696925</v>
      </c>
      <c r="E2007" s="5">
        <f>IFERROR(__xludf.DUMMYFUNCTION("""COMPUTED_VALUE"""),0.13236639824304539)</f>
        <v>0.1323663982</v>
      </c>
      <c r="F2007" s="5">
        <f>IFERROR(__xludf.DUMMYFUNCTION("""COMPUTED_VALUE"""),0.22716874084919472)</f>
        <v>0.2271687408</v>
      </c>
      <c r="G2007" s="5">
        <f>IFERROR(__xludf.DUMMYFUNCTION("""COMPUTED_VALUE"""),0.183199121522694)</f>
        <v>0.1831991215</v>
      </c>
      <c r="H2007" s="5">
        <f>IFERROR(__xludf.DUMMYFUNCTION("""COMPUTED_VALUE"""),0.6004028197381671)</f>
        <v>0.6004028197</v>
      </c>
      <c r="I2007" s="11">
        <f>IFERROR(__xludf.DUMMYFUNCTION("""COMPUTED_VALUE"""),5657.663645518631)</f>
        <v>5657.663646</v>
      </c>
      <c r="J2007" s="10">
        <f>IFERROR(__xludf.DUMMYFUNCTION("""COMPUTED_VALUE"""),5.0)</f>
        <v>5</v>
      </c>
      <c r="K2007" s="5">
        <f>IFERROR(__xludf.DUMMYFUNCTION("""COMPUTED_VALUE"""),0.0024366471734892786)</f>
        <v>0.002436647173</v>
      </c>
      <c r="L2007" s="10">
        <f>IFERROR(__xludf.DUMMYFUNCTION("""COMPUTED_VALUE"""),2052.0)</f>
        <v>2052</v>
      </c>
      <c r="M2007" s="5">
        <f>IFERROR(__xludf.DUMMYFUNCTION("""COMPUTED_VALUE"""),1.0)</f>
        <v>1</v>
      </c>
    </row>
    <row r="2008">
      <c r="A2008" s="10" t="str">
        <f>IFERROR(__xludf.DUMMYFUNCTION("""COMPUTED_VALUE"""),"ranu-")</f>
        <v>ranu-</v>
      </c>
      <c r="B2008" s="10">
        <f>IFERROR(__xludf.DUMMYFUNCTION("""COMPUTED_VALUE"""),1946.0)</f>
        <v>1946</v>
      </c>
      <c r="C2008" s="10">
        <f>IFERROR(__xludf.DUMMYFUNCTION("""COMPUTED_VALUE"""),22889.0)</f>
        <v>22889</v>
      </c>
      <c r="D2008" s="5">
        <f>IFERROR(__xludf.DUMMYFUNCTION("""COMPUTED_VALUE"""),0.34293081220455524)</f>
        <v>0.3429308122</v>
      </c>
      <c r="E2008" s="5">
        <f>IFERROR(__xludf.DUMMYFUNCTION("""COMPUTED_VALUE"""),0.13235926085088096)</f>
        <v>0.1323592609</v>
      </c>
      <c r="F2008" s="5">
        <f>IFERROR(__xludf.DUMMYFUNCTION("""COMPUTED_VALUE"""),0.2146301866972258)</f>
        <v>0.2146301867</v>
      </c>
      <c r="G2008" s="5">
        <f>IFERROR(__xludf.DUMMYFUNCTION("""COMPUTED_VALUE"""),0.19371627751516018)</f>
        <v>0.1937162775</v>
      </c>
      <c r="H2008" s="5">
        <f>IFERROR(__xludf.DUMMYFUNCTION("""COMPUTED_VALUE"""),0.5884315906562848)</f>
        <v>0.5884315907</v>
      </c>
      <c r="I2008" s="11">
        <f>IFERROR(__xludf.DUMMYFUNCTION("""COMPUTED_VALUE"""),5839.933259176863)</f>
        <v>5839.933259</v>
      </c>
      <c r="J2008" s="10">
        <f>IFERROR(__xludf.DUMMYFUNCTION("""COMPUTED_VALUE"""),2.0)</f>
        <v>2</v>
      </c>
      <c r="K2008" s="5">
        <f>IFERROR(__xludf.DUMMYFUNCTION("""COMPUTED_VALUE"""),0.0010277492291880781)</f>
        <v>0.001027749229</v>
      </c>
      <c r="L2008" s="10">
        <f>IFERROR(__xludf.DUMMYFUNCTION("""COMPUTED_VALUE"""),1946.0)</f>
        <v>1946</v>
      </c>
      <c r="M2008" s="5">
        <f>IFERROR(__xludf.DUMMYFUNCTION("""COMPUTED_VALUE"""),1.0)</f>
        <v>1</v>
      </c>
    </row>
    <row r="2009">
      <c r="A2009" s="10" t="str">
        <f>IFERROR(__xludf.DUMMYFUNCTION("""COMPUTED_VALUE"""),"丑嶋馨")</f>
        <v>丑嶋馨</v>
      </c>
      <c r="B2009" s="10">
        <f>IFERROR(__xludf.DUMMYFUNCTION("""COMPUTED_VALUE"""),221.0)</f>
        <v>221</v>
      </c>
      <c r="C2009" s="10">
        <f>IFERROR(__xludf.DUMMYFUNCTION("""COMPUTED_VALUE"""),2586.0)</f>
        <v>2586</v>
      </c>
      <c r="D2009" s="5">
        <f>IFERROR(__xludf.DUMMYFUNCTION("""COMPUTED_VALUE"""),0.44735729386892176)</f>
        <v>0.4473572939</v>
      </c>
      <c r="E2009" s="5">
        <f>IFERROR(__xludf.DUMMYFUNCTION("""COMPUTED_VALUE"""),0.13234672304439746)</f>
        <v>0.132346723</v>
      </c>
      <c r="F2009" s="5">
        <f>IFERROR(__xludf.DUMMYFUNCTION("""COMPUTED_VALUE"""),0.21818181818181817)</f>
        <v>0.2181818182</v>
      </c>
      <c r="G2009" s="5">
        <f>IFERROR(__xludf.DUMMYFUNCTION("""COMPUTED_VALUE"""),0.1653276955602537)</f>
        <v>0.1653276956</v>
      </c>
      <c r="H2009" s="5">
        <f>IFERROR(__xludf.DUMMYFUNCTION("""COMPUTED_VALUE"""),0.6046511627906976)</f>
        <v>0.6046511628</v>
      </c>
      <c r="I2009" s="11">
        <f>IFERROR(__xludf.DUMMYFUNCTION("""COMPUTED_VALUE"""),5701.550387596899)</f>
        <v>5701.550388</v>
      </c>
      <c r="J2009" s="10">
        <f>IFERROR(__xludf.DUMMYFUNCTION("""COMPUTED_VALUE"""),1.0)</f>
        <v>1</v>
      </c>
      <c r="K2009" s="5">
        <f>IFERROR(__xludf.DUMMYFUNCTION("""COMPUTED_VALUE"""),0.004524886877828055)</f>
        <v>0.004524886878</v>
      </c>
      <c r="L2009" s="10">
        <f>IFERROR(__xludf.DUMMYFUNCTION("""COMPUTED_VALUE"""),87.0)</f>
        <v>87</v>
      </c>
      <c r="M2009" s="5">
        <f>IFERROR(__xludf.DUMMYFUNCTION("""COMPUTED_VALUE"""),0.3936651583710407)</f>
        <v>0.3936651584</v>
      </c>
    </row>
    <row r="2010">
      <c r="A2010" s="10" t="str">
        <f>IFERROR(__xludf.DUMMYFUNCTION("""COMPUTED_VALUE"""),"恋文")</f>
        <v>恋文</v>
      </c>
      <c r="B2010" s="10">
        <f>IFERROR(__xludf.DUMMYFUNCTION("""COMPUTED_VALUE"""),399.0)</f>
        <v>399</v>
      </c>
      <c r="C2010" s="10">
        <f>IFERROR(__xludf.DUMMYFUNCTION("""COMPUTED_VALUE"""),4653.0)</f>
        <v>4653</v>
      </c>
      <c r="D2010" s="5">
        <f>IFERROR(__xludf.DUMMYFUNCTION("""COMPUTED_VALUE"""),0.4134931828866949)</f>
        <v>0.4134931829</v>
      </c>
      <c r="E2010" s="5">
        <f>IFERROR(__xludf.DUMMYFUNCTION("""COMPUTED_VALUE"""),0.1323460272684532)</f>
        <v>0.1323460273</v>
      </c>
      <c r="F2010" s="5">
        <f>IFERROR(__xludf.DUMMYFUNCTION("""COMPUTED_VALUE"""),0.20451339915373765)</f>
        <v>0.2045133992</v>
      </c>
      <c r="G2010" s="5">
        <f>IFERROR(__xludf.DUMMYFUNCTION("""COMPUTED_VALUE"""),0.1471556182416549)</f>
        <v>0.1471556182</v>
      </c>
      <c r="H2010" s="5">
        <f>IFERROR(__xludf.DUMMYFUNCTION("""COMPUTED_VALUE"""),0.6045977011494252)</f>
        <v>0.6045977011</v>
      </c>
      <c r="I2010" s="11">
        <f>IFERROR(__xludf.DUMMYFUNCTION("""COMPUTED_VALUE"""),6060.114942528736)</f>
        <v>6060.114943</v>
      </c>
      <c r="J2010" s="10">
        <f>IFERROR(__xludf.DUMMYFUNCTION("""COMPUTED_VALUE"""),4.0)</f>
        <v>4</v>
      </c>
      <c r="K2010" s="5">
        <f>IFERROR(__xludf.DUMMYFUNCTION("""COMPUTED_VALUE"""),0.010025062656641603)</f>
        <v>0.01002506266</v>
      </c>
      <c r="L2010" s="10">
        <f>IFERROR(__xludf.DUMMYFUNCTION("""COMPUTED_VALUE"""),399.0)</f>
        <v>399</v>
      </c>
      <c r="M2010" s="5">
        <f>IFERROR(__xludf.DUMMYFUNCTION("""COMPUTED_VALUE"""),1.0)</f>
        <v>1</v>
      </c>
    </row>
    <row r="2011">
      <c r="A2011" s="10" t="str">
        <f>IFERROR(__xludf.DUMMYFUNCTION("""COMPUTED_VALUE"""),"暇暇暇忙暇暇暇")</f>
        <v>暇暇暇忙暇暇暇</v>
      </c>
      <c r="B2011" s="10">
        <f>IFERROR(__xludf.DUMMYFUNCTION("""COMPUTED_VALUE"""),143.0)</f>
        <v>143</v>
      </c>
      <c r="C2011" s="10">
        <f>IFERROR(__xludf.DUMMYFUNCTION("""COMPUTED_VALUE"""),1692.0)</f>
        <v>1692</v>
      </c>
      <c r="D2011" s="5">
        <f>IFERROR(__xludf.DUMMYFUNCTION("""COMPUTED_VALUE"""),0.4041316978695933)</f>
        <v>0.4041316979</v>
      </c>
      <c r="E2011" s="5">
        <f>IFERROR(__xludf.DUMMYFUNCTION("""COMPUTED_VALUE"""),0.13234344738540993)</f>
        <v>0.1323434474</v>
      </c>
      <c r="F2011" s="5">
        <f>IFERROR(__xludf.DUMMYFUNCTION("""COMPUTED_VALUE"""),0.2027114267269206)</f>
        <v>0.2027114267</v>
      </c>
      <c r="G2011" s="5">
        <f>IFERROR(__xludf.DUMMYFUNCTION("""COMPUTED_VALUE"""),0.14460942543576502)</f>
        <v>0.1446094254</v>
      </c>
      <c r="H2011" s="5">
        <f>IFERROR(__xludf.DUMMYFUNCTION("""COMPUTED_VALUE"""),0.6401273885350318)</f>
        <v>0.6401273885</v>
      </c>
      <c r="I2011" s="11">
        <f>IFERROR(__xludf.DUMMYFUNCTION("""COMPUTED_VALUE"""),4978.343949044586)</f>
        <v>4978.343949</v>
      </c>
      <c r="J2011" s="10">
        <f>IFERROR(__xludf.DUMMYFUNCTION("""COMPUTED_VALUE"""),0.0)</f>
        <v>0</v>
      </c>
      <c r="K2011" s="5">
        <f>IFERROR(__xludf.DUMMYFUNCTION("""COMPUTED_VALUE"""),0.0)</f>
        <v>0</v>
      </c>
      <c r="L2011" s="10">
        <f>IFERROR(__xludf.DUMMYFUNCTION("""COMPUTED_VALUE"""),143.0)</f>
        <v>143</v>
      </c>
      <c r="M2011" s="5">
        <f>IFERROR(__xludf.DUMMYFUNCTION("""COMPUTED_VALUE"""),1.0)</f>
        <v>1</v>
      </c>
    </row>
    <row r="2012">
      <c r="A2012" s="10" t="str">
        <f>IFERROR(__xludf.DUMMYFUNCTION("""COMPUTED_VALUE"""),"泥んこバッシー")</f>
        <v>泥んこバッシー</v>
      </c>
      <c r="B2012" s="10">
        <f>IFERROR(__xludf.DUMMYFUNCTION("""COMPUTED_VALUE"""),659.0)</f>
        <v>659</v>
      </c>
      <c r="C2012" s="10">
        <f>IFERROR(__xludf.DUMMYFUNCTION("""COMPUTED_VALUE"""),7724.0)</f>
        <v>7724</v>
      </c>
      <c r="D2012" s="5">
        <f>IFERROR(__xludf.DUMMYFUNCTION("""COMPUTED_VALUE"""),0.3435244161358811)</f>
        <v>0.3435244161</v>
      </c>
      <c r="E2012" s="5">
        <f>IFERROR(__xludf.DUMMYFUNCTION("""COMPUTED_VALUE"""),0.13234253361641896)</f>
        <v>0.1323425336</v>
      </c>
      <c r="F2012" s="5">
        <f>IFERROR(__xludf.DUMMYFUNCTION("""COMPUTED_VALUE"""),0.2172682236376504)</f>
        <v>0.2172682236</v>
      </c>
      <c r="G2012" s="5">
        <f>IFERROR(__xludf.DUMMYFUNCTION("""COMPUTED_VALUE"""),0.16164189667374382)</f>
        <v>0.1616418967</v>
      </c>
      <c r="H2012" s="5">
        <f>IFERROR(__xludf.DUMMYFUNCTION("""COMPUTED_VALUE"""),0.5902280130293159)</f>
        <v>0.590228013</v>
      </c>
      <c r="I2012" s="11">
        <f>IFERROR(__xludf.DUMMYFUNCTION("""COMPUTED_VALUE"""),5643.452768729641)</f>
        <v>5643.452769</v>
      </c>
      <c r="J2012" s="10">
        <f>IFERROR(__xludf.DUMMYFUNCTION("""COMPUTED_VALUE"""),0.0)</f>
        <v>0</v>
      </c>
      <c r="K2012" s="5">
        <f>IFERROR(__xludf.DUMMYFUNCTION("""COMPUTED_VALUE"""),0.0)</f>
        <v>0</v>
      </c>
      <c r="L2012" s="10">
        <f>IFERROR(__xludf.DUMMYFUNCTION("""COMPUTED_VALUE"""),659.0)</f>
        <v>659</v>
      </c>
      <c r="M2012" s="5">
        <f>IFERROR(__xludf.DUMMYFUNCTION("""COMPUTED_VALUE"""),1.0)</f>
        <v>1</v>
      </c>
    </row>
    <row r="2013">
      <c r="A2013" s="10" t="str">
        <f>IFERROR(__xludf.DUMMYFUNCTION("""COMPUTED_VALUE"""),"篠原聖良@")</f>
        <v>篠原聖良@</v>
      </c>
      <c r="B2013" s="10">
        <f>IFERROR(__xludf.DUMMYFUNCTION("""COMPUTED_VALUE"""),225.0)</f>
        <v>225</v>
      </c>
      <c r="C2013" s="10">
        <f>IFERROR(__xludf.DUMMYFUNCTION("""COMPUTED_VALUE"""),2575.0)</f>
        <v>2575</v>
      </c>
      <c r="D2013" s="5">
        <f>IFERROR(__xludf.DUMMYFUNCTION("""COMPUTED_VALUE"""),0.38851063829787236)</f>
        <v>0.3885106383</v>
      </c>
      <c r="E2013" s="5">
        <f>IFERROR(__xludf.DUMMYFUNCTION("""COMPUTED_VALUE"""),0.13234042553191488)</f>
        <v>0.1323404255</v>
      </c>
      <c r="F2013" s="5">
        <f>IFERROR(__xludf.DUMMYFUNCTION("""COMPUTED_VALUE"""),0.2119148936170213)</f>
        <v>0.2119148936</v>
      </c>
      <c r="G2013" s="5">
        <f>IFERROR(__xludf.DUMMYFUNCTION("""COMPUTED_VALUE"""),0.18893617021276596)</f>
        <v>0.1889361702</v>
      </c>
      <c r="H2013" s="5">
        <f>IFERROR(__xludf.DUMMYFUNCTION("""COMPUTED_VALUE"""),0.5963855421686747)</f>
        <v>0.5963855422</v>
      </c>
      <c r="I2013" s="11">
        <f>IFERROR(__xludf.DUMMYFUNCTION("""COMPUTED_VALUE"""),5555.020080321285)</f>
        <v>5555.02008</v>
      </c>
      <c r="J2013" s="10">
        <f>IFERROR(__xludf.DUMMYFUNCTION("""COMPUTED_VALUE"""),0.0)</f>
        <v>0</v>
      </c>
      <c r="K2013" s="5">
        <f>IFERROR(__xludf.DUMMYFUNCTION("""COMPUTED_VALUE"""),0.0)</f>
        <v>0</v>
      </c>
      <c r="L2013" s="10">
        <f>IFERROR(__xludf.DUMMYFUNCTION("""COMPUTED_VALUE"""),38.0)</f>
        <v>38</v>
      </c>
      <c r="M2013" s="5">
        <f>IFERROR(__xludf.DUMMYFUNCTION("""COMPUTED_VALUE"""),0.1688888888888889)</f>
        <v>0.1688888889</v>
      </c>
    </row>
    <row r="2014">
      <c r="A2014" s="10" t="str">
        <f>IFERROR(__xludf.DUMMYFUNCTION("""COMPUTED_VALUE"""),"九丈ヤス")</f>
        <v>九丈ヤス</v>
      </c>
      <c r="B2014" s="10">
        <f>IFERROR(__xludf.DUMMYFUNCTION("""COMPUTED_VALUE"""),2470.0)</f>
        <v>2470</v>
      </c>
      <c r="C2014" s="10">
        <f>IFERROR(__xludf.DUMMYFUNCTION("""COMPUTED_VALUE"""),28775.0)</f>
        <v>28775</v>
      </c>
      <c r="D2014" s="5">
        <f>IFERROR(__xludf.DUMMYFUNCTION("""COMPUTED_VALUE"""),0.3120699486789584)</f>
        <v>0.3120699487</v>
      </c>
      <c r="E2014" s="5">
        <f>IFERROR(__xludf.DUMMYFUNCTION("""COMPUTED_VALUE"""),0.13233225622505226)</f>
        <v>0.1323322562</v>
      </c>
      <c r="F2014" s="5">
        <f>IFERROR(__xludf.DUMMYFUNCTION("""COMPUTED_VALUE"""),0.20399163657099412)</f>
        <v>0.2039916366</v>
      </c>
      <c r="G2014" s="5">
        <f>IFERROR(__xludf.DUMMYFUNCTION("""COMPUTED_VALUE"""),0.1649876449344231)</f>
        <v>0.1649876449</v>
      </c>
      <c r="H2014" s="5">
        <f>IFERROR(__xludf.DUMMYFUNCTION("""COMPUTED_VALUE"""),0.6026835631755497)</f>
        <v>0.6026835632</v>
      </c>
      <c r="I2014" s="11">
        <f>IFERROR(__xludf.DUMMYFUNCTION("""COMPUTED_VALUE"""),5822.996645546031)</f>
        <v>5822.996646</v>
      </c>
      <c r="J2014" s="10">
        <f>IFERROR(__xludf.DUMMYFUNCTION("""COMPUTED_VALUE"""),3.0)</f>
        <v>3</v>
      </c>
      <c r="K2014" s="5">
        <f>IFERROR(__xludf.DUMMYFUNCTION("""COMPUTED_VALUE"""),0.0012145748987854252)</f>
        <v>0.001214574899</v>
      </c>
      <c r="L2014" s="10">
        <f>IFERROR(__xludf.DUMMYFUNCTION("""COMPUTED_VALUE"""),2470.0)</f>
        <v>2470</v>
      </c>
      <c r="M2014" s="5">
        <f>IFERROR(__xludf.DUMMYFUNCTION("""COMPUTED_VALUE"""),1.0)</f>
        <v>1</v>
      </c>
    </row>
    <row r="2015">
      <c r="A2015" s="10" t="str">
        <f>IFERROR(__xludf.DUMMYFUNCTION("""COMPUTED_VALUE"""),"moboan")</f>
        <v>moboan</v>
      </c>
      <c r="B2015" s="10">
        <f>IFERROR(__xludf.DUMMYFUNCTION("""COMPUTED_VALUE"""),409.0)</f>
        <v>409</v>
      </c>
      <c r="C2015" s="10">
        <f>IFERROR(__xludf.DUMMYFUNCTION("""COMPUTED_VALUE"""),4747.0)</f>
        <v>4747</v>
      </c>
      <c r="D2015" s="5">
        <f>IFERROR(__xludf.DUMMYFUNCTION("""COMPUTED_VALUE"""),0.3988012909174735)</f>
        <v>0.3988012909</v>
      </c>
      <c r="E2015" s="5">
        <f>IFERROR(__xludf.DUMMYFUNCTION("""COMPUTED_VALUE"""),0.13231904103273398)</f>
        <v>0.132319041</v>
      </c>
      <c r="F2015" s="5">
        <f>IFERROR(__xludf.DUMMYFUNCTION("""COMPUTED_VALUE"""),0.21807284462886123)</f>
        <v>0.2180728446</v>
      </c>
      <c r="G2015" s="5">
        <f>IFERROR(__xludf.DUMMYFUNCTION("""COMPUTED_VALUE"""),0.15675426463808206)</f>
        <v>0.1567542646</v>
      </c>
      <c r="H2015" s="5">
        <f>IFERROR(__xludf.DUMMYFUNCTION("""COMPUTED_VALUE"""),0.6088794926004228)</f>
        <v>0.6088794926</v>
      </c>
      <c r="I2015" s="11">
        <f>IFERROR(__xludf.DUMMYFUNCTION("""COMPUTED_VALUE"""),5436.680761099366)</f>
        <v>5436.680761</v>
      </c>
      <c r="J2015" s="10">
        <f>IFERROR(__xludf.DUMMYFUNCTION("""COMPUTED_VALUE"""),3.0)</f>
        <v>3</v>
      </c>
      <c r="K2015" s="5">
        <f>IFERROR(__xludf.DUMMYFUNCTION("""COMPUTED_VALUE"""),0.007334963325183374)</f>
        <v>0.007334963325</v>
      </c>
      <c r="L2015" s="10">
        <f>IFERROR(__xludf.DUMMYFUNCTION("""COMPUTED_VALUE"""),409.0)</f>
        <v>409</v>
      </c>
      <c r="M2015" s="5">
        <f>IFERROR(__xludf.DUMMYFUNCTION("""COMPUTED_VALUE"""),1.0)</f>
        <v>1</v>
      </c>
    </row>
    <row r="2016">
      <c r="A2016" s="10" t="str">
        <f>IFERROR(__xludf.DUMMYFUNCTION("""COMPUTED_VALUE"""),"はなまるき")</f>
        <v>はなまるき</v>
      </c>
      <c r="B2016" s="10">
        <f>IFERROR(__xludf.DUMMYFUNCTION("""COMPUTED_VALUE"""),139.0)</f>
        <v>139</v>
      </c>
      <c r="C2016" s="10">
        <f>IFERROR(__xludf.DUMMYFUNCTION("""COMPUTED_VALUE"""),1628.0)</f>
        <v>1628</v>
      </c>
      <c r="D2016" s="5">
        <f>IFERROR(__xludf.DUMMYFUNCTION("""COMPUTED_VALUE"""),0.4983210208193418)</f>
        <v>0.4983210208</v>
      </c>
      <c r="E2016" s="5">
        <f>IFERROR(__xludf.DUMMYFUNCTION("""COMPUTED_VALUE"""),0.132303559435863)</f>
        <v>0.1323035594</v>
      </c>
      <c r="F2016" s="5">
        <f>IFERROR(__xludf.DUMMYFUNCTION("""COMPUTED_VALUE"""),0.2216252518468771)</f>
        <v>0.2216252518</v>
      </c>
      <c r="G2016" s="5">
        <f>IFERROR(__xludf.DUMMYFUNCTION("""COMPUTED_VALUE"""),0.1396910678307589)</f>
        <v>0.1396910678</v>
      </c>
      <c r="H2016" s="5">
        <f>IFERROR(__xludf.DUMMYFUNCTION("""COMPUTED_VALUE"""),0.6090909090909091)</f>
        <v>0.6090909091</v>
      </c>
      <c r="I2016" s="11">
        <f>IFERROR(__xludf.DUMMYFUNCTION("""COMPUTED_VALUE"""),5070.30303030303)</f>
        <v>5070.30303</v>
      </c>
      <c r="J2016" s="10">
        <f>IFERROR(__xludf.DUMMYFUNCTION("""COMPUTED_VALUE"""),0.0)</f>
        <v>0</v>
      </c>
      <c r="K2016" s="5">
        <f>IFERROR(__xludf.DUMMYFUNCTION("""COMPUTED_VALUE"""),0.0)</f>
        <v>0</v>
      </c>
      <c r="L2016" s="10">
        <f>IFERROR(__xludf.DUMMYFUNCTION("""COMPUTED_VALUE"""),139.0)</f>
        <v>139</v>
      </c>
      <c r="M2016" s="5">
        <f>IFERROR(__xludf.DUMMYFUNCTION("""COMPUTED_VALUE"""),1.0)</f>
        <v>1</v>
      </c>
    </row>
    <row r="2017">
      <c r="A2017" s="10" t="str">
        <f>IFERROR(__xludf.DUMMYFUNCTION("""COMPUTED_VALUE"""),"くにひこまる")</f>
        <v>くにひこまる</v>
      </c>
      <c r="B2017" s="10">
        <f>IFERROR(__xludf.DUMMYFUNCTION("""COMPUTED_VALUE"""),1098.0)</f>
        <v>1098</v>
      </c>
      <c r="C2017" s="10">
        <f>IFERROR(__xludf.DUMMYFUNCTION("""COMPUTED_VALUE"""),12905.0)</f>
        <v>12905</v>
      </c>
      <c r="D2017" s="5">
        <f>IFERROR(__xludf.DUMMYFUNCTION("""COMPUTED_VALUE"""),0.3092233420852037)</f>
        <v>0.3092233421</v>
      </c>
      <c r="E2017" s="5">
        <f>IFERROR(__xludf.DUMMYFUNCTION("""COMPUTED_VALUE"""),0.13229440162615397)</f>
        <v>0.1322944016</v>
      </c>
      <c r="F2017" s="5">
        <f>IFERROR(__xludf.DUMMYFUNCTION("""COMPUTED_VALUE"""),0.20826628271364445)</f>
        <v>0.2082662827</v>
      </c>
      <c r="G2017" s="5">
        <f>IFERROR(__xludf.DUMMYFUNCTION("""COMPUTED_VALUE"""),0.20343863809604473)</f>
        <v>0.2034386381</v>
      </c>
      <c r="H2017" s="5">
        <f>IFERROR(__xludf.DUMMYFUNCTION("""COMPUTED_VALUE"""),0.5790971939812932)</f>
        <v>0.579097194</v>
      </c>
      <c r="I2017" s="11">
        <f>IFERROR(__xludf.DUMMYFUNCTION("""COMPUTED_VALUE"""),6088.165921106141)</f>
        <v>6088.165921</v>
      </c>
      <c r="J2017" s="10">
        <f>IFERROR(__xludf.DUMMYFUNCTION("""COMPUTED_VALUE"""),4.0)</f>
        <v>4</v>
      </c>
      <c r="K2017" s="5">
        <f>IFERROR(__xludf.DUMMYFUNCTION("""COMPUTED_VALUE"""),0.0036429872495446266)</f>
        <v>0.00364298725</v>
      </c>
      <c r="L2017" s="10">
        <f>IFERROR(__xludf.DUMMYFUNCTION("""COMPUTED_VALUE"""),904.0)</f>
        <v>904</v>
      </c>
      <c r="M2017" s="5">
        <f>IFERROR(__xludf.DUMMYFUNCTION("""COMPUTED_VALUE"""),0.8233151183970856)</f>
        <v>0.8233151184</v>
      </c>
    </row>
    <row r="2018">
      <c r="A2018" s="10" t="str">
        <f>IFERROR(__xludf.DUMMYFUNCTION("""COMPUTED_VALUE"""),"Kanako_")</f>
        <v>Kanako_</v>
      </c>
      <c r="B2018" s="10">
        <f>IFERROR(__xludf.DUMMYFUNCTION("""COMPUTED_VALUE"""),2218.0)</f>
        <v>2218</v>
      </c>
      <c r="C2018" s="10">
        <f>IFERROR(__xludf.DUMMYFUNCTION("""COMPUTED_VALUE"""),25651.0)</f>
        <v>25651</v>
      </c>
      <c r="D2018" s="5">
        <f>IFERROR(__xludf.DUMMYFUNCTION("""COMPUTED_VALUE"""),0.321683096487859)</f>
        <v>0.3216830965</v>
      </c>
      <c r="E2018" s="5">
        <f>IFERROR(__xludf.DUMMYFUNCTION("""COMPUTED_VALUE"""),0.1322920667434814)</f>
        <v>0.1322920667</v>
      </c>
      <c r="F2018" s="5">
        <f>IFERROR(__xludf.DUMMYFUNCTION("""COMPUTED_VALUE"""),0.21610549225451287)</f>
        <v>0.2161054923</v>
      </c>
      <c r="G2018" s="5">
        <f>IFERROR(__xludf.DUMMYFUNCTION("""COMPUTED_VALUE"""),0.17628984765074895)</f>
        <v>0.1762898477</v>
      </c>
      <c r="H2018" s="5">
        <f>IFERROR(__xludf.DUMMYFUNCTION("""COMPUTED_VALUE"""),0.5934044233807267)</f>
        <v>0.5934044234</v>
      </c>
      <c r="I2018" s="11">
        <f>IFERROR(__xludf.DUMMYFUNCTION("""COMPUTED_VALUE"""),5484.399684044234)</f>
        <v>5484.399684</v>
      </c>
      <c r="J2018" s="10">
        <f>IFERROR(__xludf.DUMMYFUNCTION("""COMPUTED_VALUE"""),3.0)</f>
        <v>3</v>
      </c>
      <c r="K2018" s="5">
        <f>IFERROR(__xludf.DUMMYFUNCTION("""COMPUTED_VALUE"""),0.001352569882777277)</f>
        <v>0.001352569883</v>
      </c>
      <c r="L2018" s="10">
        <f>IFERROR(__xludf.DUMMYFUNCTION("""COMPUTED_VALUE"""),2218.0)</f>
        <v>2218</v>
      </c>
      <c r="M2018" s="5">
        <f>IFERROR(__xludf.DUMMYFUNCTION("""COMPUTED_VALUE"""),1.0)</f>
        <v>1</v>
      </c>
    </row>
    <row r="2019">
      <c r="A2019" s="10" t="str">
        <f>IFERROR(__xludf.DUMMYFUNCTION("""COMPUTED_VALUE"""),"のこきのこ")</f>
        <v>のこきのこ</v>
      </c>
      <c r="B2019" s="10">
        <f>IFERROR(__xludf.DUMMYFUNCTION("""COMPUTED_VALUE"""),332.0)</f>
        <v>332</v>
      </c>
      <c r="C2019" s="10">
        <f>IFERROR(__xludf.DUMMYFUNCTION("""COMPUTED_VALUE"""),3900.0)</f>
        <v>3900</v>
      </c>
      <c r="D2019" s="5">
        <f>IFERROR(__xludf.DUMMYFUNCTION("""COMPUTED_VALUE"""),0.2850336322869955)</f>
        <v>0.2850336323</v>
      </c>
      <c r="E2019" s="5">
        <f>IFERROR(__xludf.DUMMYFUNCTION("""COMPUTED_VALUE"""),0.13228699551569506)</f>
        <v>0.1322869955</v>
      </c>
      <c r="F2019" s="5">
        <f>IFERROR(__xludf.DUMMYFUNCTION("""COMPUTED_VALUE"""),0.20655829596412556)</f>
        <v>0.206558296</v>
      </c>
      <c r="G2019" s="5">
        <f>IFERROR(__xludf.DUMMYFUNCTION("""COMPUTED_VALUE"""),0.19983183856502243)</f>
        <v>0.1998318386</v>
      </c>
      <c r="H2019" s="5">
        <f>IFERROR(__xludf.DUMMYFUNCTION("""COMPUTED_VALUE"""),0.5970149253731343)</f>
        <v>0.5970149254</v>
      </c>
      <c r="I2019" s="11">
        <f>IFERROR(__xludf.DUMMYFUNCTION("""COMPUTED_VALUE"""),6344.640434192673)</f>
        <v>6344.640434</v>
      </c>
      <c r="J2019" s="10">
        <f>IFERROR(__xludf.DUMMYFUNCTION("""COMPUTED_VALUE"""),0.0)</f>
        <v>0</v>
      </c>
      <c r="K2019" s="5">
        <f>IFERROR(__xludf.DUMMYFUNCTION("""COMPUTED_VALUE"""),0.0)</f>
        <v>0</v>
      </c>
      <c r="L2019" s="10">
        <f>IFERROR(__xludf.DUMMYFUNCTION("""COMPUTED_VALUE"""),316.0)</f>
        <v>316</v>
      </c>
      <c r="M2019" s="5">
        <f>IFERROR(__xludf.DUMMYFUNCTION("""COMPUTED_VALUE"""),0.9518072289156626)</f>
        <v>0.9518072289</v>
      </c>
    </row>
    <row r="2020">
      <c r="A2020" s="10" t="str">
        <f>IFERROR(__xludf.DUMMYFUNCTION("""COMPUTED_VALUE"""),"zxctcsx")</f>
        <v>zxctcsx</v>
      </c>
      <c r="B2020" s="10">
        <f>IFERROR(__xludf.DUMMYFUNCTION("""COMPUTED_VALUE"""),190.0)</f>
        <v>190</v>
      </c>
      <c r="C2020" s="10">
        <f>IFERROR(__xludf.DUMMYFUNCTION("""COMPUTED_VALUE"""),2201.0)</f>
        <v>2201</v>
      </c>
      <c r="D2020" s="5">
        <f>IFERROR(__xludf.DUMMYFUNCTION("""COMPUTED_VALUE"""),0.34659373446046743)</f>
        <v>0.3465937345</v>
      </c>
      <c r="E2020" s="5">
        <f>IFERROR(__xludf.DUMMYFUNCTION("""COMPUTED_VALUE"""),0.13227250124316262)</f>
        <v>0.1322725012</v>
      </c>
      <c r="F2020" s="5">
        <f>IFERROR(__xludf.DUMMYFUNCTION("""COMPUTED_VALUE"""),0.22028841372451516)</f>
        <v>0.2202884137</v>
      </c>
      <c r="G2020" s="5">
        <f>IFERROR(__xludf.DUMMYFUNCTION("""COMPUTED_VALUE"""),0.18000994530084535)</f>
        <v>0.1800099453</v>
      </c>
      <c r="H2020" s="5">
        <f>IFERROR(__xludf.DUMMYFUNCTION("""COMPUTED_VALUE"""),0.6094808126410836)</f>
        <v>0.6094808126</v>
      </c>
      <c r="I2020" s="11">
        <f>IFERROR(__xludf.DUMMYFUNCTION("""COMPUTED_VALUE"""),5429.79683972912)</f>
        <v>5429.79684</v>
      </c>
      <c r="J2020" s="10">
        <f>IFERROR(__xludf.DUMMYFUNCTION("""COMPUTED_VALUE"""),0.0)</f>
        <v>0</v>
      </c>
      <c r="K2020" s="5">
        <f>IFERROR(__xludf.DUMMYFUNCTION("""COMPUTED_VALUE"""),0.0)</f>
        <v>0</v>
      </c>
      <c r="L2020" s="10">
        <f>IFERROR(__xludf.DUMMYFUNCTION("""COMPUTED_VALUE"""),190.0)</f>
        <v>190</v>
      </c>
      <c r="M2020" s="5">
        <f>IFERROR(__xludf.DUMMYFUNCTION("""COMPUTED_VALUE"""),1.0)</f>
        <v>1</v>
      </c>
    </row>
    <row r="2021">
      <c r="A2021" s="10" t="str">
        <f>IFERROR(__xludf.DUMMYFUNCTION("""COMPUTED_VALUE"""),"@ranpart")</f>
        <v>@ranpart</v>
      </c>
      <c r="B2021" s="10">
        <f>IFERROR(__xludf.DUMMYFUNCTION("""COMPUTED_VALUE"""),595.0)</f>
        <v>595</v>
      </c>
      <c r="C2021" s="10">
        <f>IFERROR(__xludf.DUMMYFUNCTION("""COMPUTED_VALUE"""),6938.0)</f>
        <v>6938</v>
      </c>
      <c r="D2021" s="5">
        <f>IFERROR(__xludf.DUMMYFUNCTION("""COMPUTED_VALUE"""),0.3572442062115718)</f>
        <v>0.3572442062</v>
      </c>
      <c r="E2021" s="5">
        <f>IFERROR(__xludf.DUMMYFUNCTION("""COMPUTED_VALUE"""),0.13227179568027747)</f>
        <v>0.1322717957</v>
      </c>
      <c r="F2021" s="5">
        <f>IFERROR(__xludf.DUMMYFUNCTION("""COMPUTED_VALUE"""),0.20148194860476115)</f>
        <v>0.2014819486</v>
      </c>
      <c r="G2021" s="5">
        <f>IFERROR(__xludf.DUMMYFUNCTION("""COMPUTED_VALUE"""),0.16995112722686426)</f>
        <v>0.1699511272</v>
      </c>
      <c r="H2021" s="5">
        <f>IFERROR(__xludf.DUMMYFUNCTION("""COMPUTED_VALUE"""),0.5805946791862285)</f>
        <v>0.5805946792</v>
      </c>
      <c r="I2021" s="11">
        <f>IFERROR(__xludf.DUMMYFUNCTION("""COMPUTED_VALUE"""),5773.317683881064)</f>
        <v>5773.317684</v>
      </c>
      <c r="J2021" s="10">
        <f>IFERROR(__xludf.DUMMYFUNCTION("""COMPUTED_VALUE"""),1.0)</f>
        <v>1</v>
      </c>
      <c r="K2021" s="5">
        <f>IFERROR(__xludf.DUMMYFUNCTION("""COMPUTED_VALUE"""),0.0016806722689075631)</f>
        <v>0.001680672269</v>
      </c>
      <c r="L2021" s="10">
        <f>IFERROR(__xludf.DUMMYFUNCTION("""COMPUTED_VALUE"""),595.0)</f>
        <v>595</v>
      </c>
      <c r="M2021" s="5">
        <f>IFERROR(__xludf.DUMMYFUNCTION("""COMPUTED_VALUE"""),1.0)</f>
        <v>1</v>
      </c>
    </row>
    <row r="2022">
      <c r="A2022" s="10" t="str">
        <f>IFERROR(__xludf.DUMMYFUNCTION("""COMPUTED_VALUE"""),"シャープル")</f>
        <v>シャープル</v>
      </c>
      <c r="B2022" s="10">
        <f>IFERROR(__xludf.DUMMYFUNCTION("""COMPUTED_VALUE"""),510.0)</f>
        <v>510</v>
      </c>
      <c r="C2022" s="10">
        <f>IFERROR(__xludf.DUMMYFUNCTION("""COMPUTED_VALUE"""),5893.0)</f>
        <v>5893</v>
      </c>
      <c r="D2022" s="5">
        <f>IFERROR(__xludf.DUMMYFUNCTION("""COMPUTED_VALUE"""),0.3070778376370054)</f>
        <v>0.3070778376</v>
      </c>
      <c r="E2022" s="5">
        <f>IFERROR(__xludf.DUMMYFUNCTION("""COMPUTED_VALUE"""),0.13226825190414268)</f>
        <v>0.1322682519</v>
      </c>
      <c r="F2022" s="5">
        <f>IFERROR(__xludf.DUMMYFUNCTION("""COMPUTED_VALUE"""),0.21716514954486346)</f>
        <v>0.2171651495</v>
      </c>
      <c r="G2022" s="5">
        <f>IFERROR(__xludf.DUMMYFUNCTION("""COMPUTED_VALUE"""),0.17518112576630132)</f>
        <v>0.1751811258</v>
      </c>
      <c r="H2022" s="5">
        <f>IFERROR(__xludf.DUMMYFUNCTION("""COMPUTED_VALUE"""),0.6099230111206159)</f>
        <v>0.6099230111</v>
      </c>
      <c r="I2022" s="11">
        <f>IFERROR(__xludf.DUMMYFUNCTION("""COMPUTED_VALUE"""),5423.011120615911)</f>
        <v>5423.011121</v>
      </c>
      <c r="J2022" s="10">
        <f>IFERROR(__xludf.DUMMYFUNCTION("""COMPUTED_VALUE"""),0.0)</f>
        <v>0</v>
      </c>
      <c r="K2022" s="5">
        <f>IFERROR(__xludf.DUMMYFUNCTION("""COMPUTED_VALUE"""),0.0)</f>
        <v>0</v>
      </c>
      <c r="L2022" s="10">
        <f>IFERROR(__xludf.DUMMYFUNCTION("""COMPUTED_VALUE"""),510.0)</f>
        <v>510</v>
      </c>
      <c r="M2022" s="5">
        <f>IFERROR(__xludf.DUMMYFUNCTION("""COMPUTED_VALUE"""),1.0)</f>
        <v>1</v>
      </c>
    </row>
    <row r="2023">
      <c r="A2023" s="10" t="str">
        <f>IFERROR(__xludf.DUMMYFUNCTION("""COMPUTED_VALUE"""),"ピラオ")</f>
        <v>ピラオ</v>
      </c>
      <c r="B2023" s="10">
        <f>IFERROR(__xludf.DUMMYFUNCTION("""COMPUTED_VALUE"""),3585.0)</f>
        <v>3585</v>
      </c>
      <c r="C2023" s="10">
        <f>IFERROR(__xludf.DUMMYFUNCTION("""COMPUTED_VALUE"""),41894.0)</f>
        <v>41894</v>
      </c>
      <c r="D2023" s="5">
        <f>IFERROR(__xludf.DUMMYFUNCTION("""COMPUTED_VALUE"""),0.3318280299668485)</f>
        <v>0.33182803</v>
      </c>
      <c r="E2023" s="5">
        <f>IFERROR(__xludf.DUMMYFUNCTION("""COMPUTED_VALUE"""),0.13226656921350075)</f>
        <v>0.1322665692</v>
      </c>
      <c r="F2023" s="5">
        <f>IFERROR(__xludf.DUMMYFUNCTION("""COMPUTED_VALUE"""),0.2068182411443786)</f>
        <v>0.2068182411</v>
      </c>
      <c r="G2023" s="5">
        <f>IFERROR(__xludf.DUMMYFUNCTION("""COMPUTED_VALUE"""),0.16761074421154298)</f>
        <v>0.1676107442</v>
      </c>
      <c r="H2023" s="5">
        <f>IFERROR(__xludf.DUMMYFUNCTION("""COMPUTED_VALUE"""),0.5953552947115991)</f>
        <v>0.5953552947</v>
      </c>
      <c r="I2023" s="11">
        <f>IFERROR(__xludf.DUMMYFUNCTION("""COMPUTED_VALUE"""),6020.35845008204)</f>
        <v>6020.35845</v>
      </c>
      <c r="J2023" s="10">
        <f>IFERROR(__xludf.DUMMYFUNCTION("""COMPUTED_VALUE"""),6.0)</f>
        <v>6</v>
      </c>
      <c r="K2023" s="5">
        <f>IFERROR(__xludf.DUMMYFUNCTION("""COMPUTED_VALUE"""),0.0016736401673640166)</f>
        <v>0.001673640167</v>
      </c>
      <c r="L2023" s="10">
        <f>IFERROR(__xludf.DUMMYFUNCTION("""COMPUTED_VALUE"""),3585.0)</f>
        <v>3585</v>
      </c>
      <c r="M2023" s="5">
        <f>IFERROR(__xludf.DUMMYFUNCTION("""COMPUTED_VALUE"""),1.0)</f>
        <v>1</v>
      </c>
    </row>
    <row r="2024">
      <c r="A2024" s="10" t="str">
        <f>IFERROR(__xludf.DUMMYFUNCTION("""COMPUTED_VALUE"""),"ラウールⅡ")</f>
        <v>ラウールⅡ</v>
      </c>
      <c r="B2024" s="10">
        <f>IFERROR(__xludf.DUMMYFUNCTION("""COMPUTED_VALUE"""),115.0)</f>
        <v>115</v>
      </c>
      <c r="C2024" s="10">
        <f>IFERROR(__xludf.DUMMYFUNCTION("""COMPUTED_VALUE"""),1302.0)</f>
        <v>1302</v>
      </c>
      <c r="D2024" s="5">
        <f>IFERROR(__xludf.DUMMYFUNCTION("""COMPUTED_VALUE"""),0.3117101937657961)</f>
        <v>0.3117101938</v>
      </c>
      <c r="E2024" s="5">
        <f>IFERROR(__xludf.DUMMYFUNCTION("""COMPUTED_VALUE"""),0.13226621735467564)</f>
        <v>0.1322662174</v>
      </c>
      <c r="F2024" s="5">
        <f>IFERROR(__xludf.DUMMYFUNCTION("""COMPUTED_VALUE"""),0.2064026958719461)</f>
        <v>0.2064026959</v>
      </c>
      <c r="G2024" s="5">
        <f>IFERROR(__xludf.DUMMYFUNCTION("""COMPUTED_VALUE"""),0.15669755686604886)</f>
        <v>0.1566975569</v>
      </c>
      <c r="H2024" s="5">
        <f>IFERROR(__xludf.DUMMYFUNCTION("""COMPUTED_VALUE"""),0.6040816326530613)</f>
        <v>0.6040816327</v>
      </c>
      <c r="I2024" s="11">
        <f>IFERROR(__xludf.DUMMYFUNCTION("""COMPUTED_VALUE"""),5765.306122448979)</f>
        <v>5765.306122</v>
      </c>
      <c r="J2024" s="10">
        <f>IFERROR(__xludf.DUMMYFUNCTION("""COMPUTED_VALUE"""),0.0)</f>
        <v>0</v>
      </c>
      <c r="K2024" s="5">
        <f>IFERROR(__xludf.DUMMYFUNCTION("""COMPUTED_VALUE"""),0.0)</f>
        <v>0</v>
      </c>
      <c r="L2024" s="10">
        <f>IFERROR(__xludf.DUMMYFUNCTION("""COMPUTED_VALUE"""),115.0)</f>
        <v>115</v>
      </c>
      <c r="M2024" s="5">
        <f>IFERROR(__xludf.DUMMYFUNCTION("""COMPUTED_VALUE"""),1.0)</f>
        <v>1</v>
      </c>
    </row>
    <row r="2025">
      <c r="A2025" s="10" t="str">
        <f>IFERROR(__xludf.DUMMYFUNCTION("""COMPUTED_VALUE"""),"でこじ")</f>
        <v>でこじ</v>
      </c>
      <c r="B2025" s="10">
        <f>IFERROR(__xludf.DUMMYFUNCTION("""COMPUTED_VALUE"""),1561.0)</f>
        <v>1561</v>
      </c>
      <c r="C2025" s="10">
        <f>IFERROR(__xludf.DUMMYFUNCTION("""COMPUTED_VALUE"""),18414.0)</f>
        <v>18414</v>
      </c>
      <c r="D2025" s="5">
        <f>IFERROR(__xludf.DUMMYFUNCTION("""COMPUTED_VALUE"""),0.3905536106331217)</f>
        <v>0.3905536106</v>
      </c>
      <c r="E2025" s="5">
        <f>IFERROR(__xludf.DUMMYFUNCTION("""COMPUTED_VALUE"""),0.13226131845962144)</f>
        <v>0.1322613185</v>
      </c>
      <c r="F2025" s="5">
        <f>IFERROR(__xludf.DUMMYFUNCTION("""COMPUTED_VALUE"""),0.21634130421883344)</f>
        <v>0.2163413042</v>
      </c>
      <c r="G2025" s="5">
        <f>IFERROR(__xludf.DUMMYFUNCTION("""COMPUTED_VALUE"""),0.17474633596392333)</f>
        <v>0.174746336</v>
      </c>
      <c r="H2025" s="5">
        <f>IFERROR(__xludf.DUMMYFUNCTION("""COMPUTED_VALUE"""),0.603400987383434)</f>
        <v>0.6034009874</v>
      </c>
      <c r="I2025" s="11">
        <f>IFERROR(__xludf.DUMMYFUNCTION("""COMPUTED_VALUE"""),5491.387822270982)</f>
        <v>5491.387822</v>
      </c>
      <c r="J2025" s="10">
        <f>IFERROR(__xludf.DUMMYFUNCTION("""COMPUTED_VALUE"""),2.0)</f>
        <v>2</v>
      </c>
      <c r="K2025" s="5">
        <f>IFERROR(__xludf.DUMMYFUNCTION("""COMPUTED_VALUE"""),0.0012812299807815502)</f>
        <v>0.001281229981</v>
      </c>
      <c r="L2025" s="10">
        <f>IFERROR(__xludf.DUMMYFUNCTION("""COMPUTED_VALUE"""),1561.0)</f>
        <v>1561</v>
      </c>
      <c r="M2025" s="5">
        <f>IFERROR(__xludf.DUMMYFUNCTION("""COMPUTED_VALUE"""),1.0)</f>
        <v>1</v>
      </c>
    </row>
    <row r="2026">
      <c r="A2026" s="10" t="str">
        <f>IFERROR(__xludf.DUMMYFUNCTION("""COMPUTED_VALUE"""),"cardin")</f>
        <v>cardin</v>
      </c>
      <c r="B2026" s="10">
        <f>IFERROR(__xludf.DUMMYFUNCTION("""COMPUTED_VALUE"""),685.0)</f>
        <v>685</v>
      </c>
      <c r="C2026" s="10">
        <f>IFERROR(__xludf.DUMMYFUNCTION("""COMPUTED_VALUE"""),8178.0)</f>
        <v>8178</v>
      </c>
      <c r="D2026" s="5">
        <f>IFERROR(__xludf.DUMMYFUNCTION("""COMPUTED_VALUE"""),0.36060322968103564)</f>
        <v>0.3606032297</v>
      </c>
      <c r="E2026" s="5">
        <f>IFERROR(__xludf.DUMMYFUNCTION("""COMPUTED_VALUE"""),0.13225677298812225)</f>
        <v>0.132256773</v>
      </c>
      <c r="F2026" s="5">
        <f>IFERROR(__xludf.DUMMYFUNCTION("""COMPUTED_VALUE"""),0.21193113572667824)</f>
        <v>0.2119311357</v>
      </c>
      <c r="G2026" s="5">
        <f>IFERROR(__xludf.DUMMYFUNCTION("""COMPUTED_VALUE"""),0.15681302549045775)</f>
        <v>0.1568130255</v>
      </c>
      <c r="H2026" s="5">
        <f>IFERROR(__xludf.DUMMYFUNCTION("""COMPUTED_VALUE"""),0.5944584382871536)</f>
        <v>0.5944584383</v>
      </c>
      <c r="I2026" s="11">
        <f>IFERROR(__xludf.DUMMYFUNCTION("""COMPUTED_VALUE"""),5527.581863979849)</f>
        <v>5527.581864</v>
      </c>
      <c r="J2026" s="10">
        <f>IFERROR(__xludf.DUMMYFUNCTION("""COMPUTED_VALUE"""),3.0)</f>
        <v>3</v>
      </c>
      <c r="K2026" s="5">
        <f>IFERROR(__xludf.DUMMYFUNCTION("""COMPUTED_VALUE"""),0.004379562043795621)</f>
        <v>0.004379562044</v>
      </c>
      <c r="L2026" s="10">
        <f>IFERROR(__xludf.DUMMYFUNCTION("""COMPUTED_VALUE"""),547.0)</f>
        <v>547</v>
      </c>
      <c r="M2026" s="5">
        <f>IFERROR(__xludf.DUMMYFUNCTION("""COMPUTED_VALUE"""),0.7985401459854015)</f>
        <v>0.798540146</v>
      </c>
    </row>
    <row r="2027">
      <c r="A2027" s="10" t="str">
        <f>IFERROR(__xludf.DUMMYFUNCTION("""COMPUTED_VALUE"""),"無限月読")</f>
        <v>無限月読</v>
      </c>
      <c r="B2027" s="10">
        <f>IFERROR(__xludf.DUMMYFUNCTION("""COMPUTED_VALUE"""),1378.0)</f>
        <v>1378</v>
      </c>
      <c r="C2027" s="10">
        <f>IFERROR(__xludf.DUMMYFUNCTION("""COMPUTED_VALUE"""),16387.0)</f>
        <v>16387</v>
      </c>
      <c r="D2027" s="5">
        <f>IFERROR(__xludf.DUMMYFUNCTION("""COMPUTED_VALUE"""),0.32653741088680127)</f>
        <v>0.3265374109</v>
      </c>
      <c r="E2027" s="5">
        <f>IFERROR(__xludf.DUMMYFUNCTION("""COMPUTED_VALUE"""),0.13225398094476648)</f>
        <v>0.1322539809</v>
      </c>
      <c r="F2027" s="5">
        <f>IFERROR(__xludf.DUMMYFUNCTION("""COMPUTED_VALUE"""),0.20860816843227398)</f>
        <v>0.2086081684</v>
      </c>
      <c r="G2027" s="5">
        <f>IFERROR(__xludf.DUMMYFUNCTION("""COMPUTED_VALUE"""),0.17962555799853422)</f>
        <v>0.179625558</v>
      </c>
      <c r="H2027" s="5">
        <f>IFERROR(__xludf.DUMMYFUNCTION("""COMPUTED_VALUE"""),0.6004471414883423)</f>
        <v>0.6004471415</v>
      </c>
      <c r="I2027" s="11">
        <f>IFERROR(__xludf.DUMMYFUNCTION("""COMPUTED_VALUE"""),5519.4187160651545)</f>
        <v>5519.418716</v>
      </c>
      <c r="J2027" s="10">
        <f>IFERROR(__xludf.DUMMYFUNCTION("""COMPUTED_VALUE"""),1.0)</f>
        <v>1</v>
      </c>
      <c r="K2027" s="5">
        <f>IFERROR(__xludf.DUMMYFUNCTION("""COMPUTED_VALUE"""),7.25689404934688E-4)</f>
        <v>0.0007256894049</v>
      </c>
      <c r="L2027" s="10">
        <f>IFERROR(__xludf.DUMMYFUNCTION("""COMPUTED_VALUE"""),1351.0)</f>
        <v>1351</v>
      </c>
      <c r="M2027" s="5">
        <f>IFERROR(__xludf.DUMMYFUNCTION("""COMPUTED_VALUE"""),0.9804063860667634)</f>
        <v>0.9804063861</v>
      </c>
    </row>
    <row r="2028">
      <c r="A2028" s="10" t="str">
        <f>IFERROR(__xludf.DUMMYFUNCTION("""COMPUTED_VALUE"""),"本田透")</f>
        <v>本田透</v>
      </c>
      <c r="B2028" s="10">
        <f>IFERROR(__xludf.DUMMYFUNCTION("""COMPUTED_VALUE"""),1049.0)</f>
        <v>1049</v>
      </c>
      <c r="C2028" s="10">
        <f>IFERROR(__xludf.DUMMYFUNCTION("""COMPUTED_VALUE"""),12143.0)</f>
        <v>12143</v>
      </c>
      <c r="D2028" s="5">
        <f>IFERROR(__xludf.DUMMYFUNCTION("""COMPUTED_VALUE"""),0.401207860104561)</f>
        <v>0.4012078601</v>
      </c>
      <c r="E2028" s="5">
        <f>IFERROR(__xludf.DUMMYFUNCTION("""COMPUTED_VALUE"""),0.13223363980530017)</f>
        <v>0.1322336398</v>
      </c>
      <c r="F2028" s="5">
        <f>IFERROR(__xludf.DUMMYFUNCTION("""COMPUTED_VALUE"""),0.22111051018568595)</f>
        <v>0.2211105102</v>
      </c>
      <c r="G2028" s="5">
        <f>IFERROR(__xludf.DUMMYFUNCTION("""COMPUTED_VALUE"""),0.1778438795745448)</f>
        <v>0.1778438796</v>
      </c>
      <c r="H2028" s="5">
        <f>IFERROR(__xludf.DUMMYFUNCTION("""COMPUTED_VALUE"""),0.5915205870362821)</f>
        <v>0.591520587</v>
      </c>
      <c r="I2028" s="11">
        <f>IFERROR(__xludf.DUMMYFUNCTION("""COMPUTED_VALUE"""),5694.822666123115)</f>
        <v>5694.822666</v>
      </c>
      <c r="J2028" s="10">
        <f>IFERROR(__xludf.DUMMYFUNCTION("""COMPUTED_VALUE"""),2.0)</f>
        <v>2</v>
      </c>
      <c r="K2028" s="5">
        <f>IFERROR(__xludf.DUMMYFUNCTION("""COMPUTED_VALUE"""),0.0019065776930409914)</f>
        <v>0.001906577693</v>
      </c>
      <c r="L2028" s="10">
        <f>IFERROR(__xludf.DUMMYFUNCTION("""COMPUTED_VALUE"""),0.0)</f>
        <v>0</v>
      </c>
      <c r="M2028" s="5">
        <f>IFERROR(__xludf.DUMMYFUNCTION("""COMPUTED_VALUE"""),0.0)</f>
        <v>0</v>
      </c>
    </row>
    <row r="2029">
      <c r="A2029" s="10" t="str">
        <f>IFERROR(__xludf.DUMMYFUNCTION("""COMPUTED_VALUE"""),"@docomo")</f>
        <v>@docomo</v>
      </c>
      <c r="B2029" s="10">
        <f>IFERROR(__xludf.DUMMYFUNCTION("""COMPUTED_VALUE"""),242.0)</f>
        <v>242</v>
      </c>
      <c r="C2029" s="10">
        <f>IFERROR(__xludf.DUMMYFUNCTION("""COMPUTED_VALUE"""),2836.0)</f>
        <v>2836</v>
      </c>
      <c r="D2029" s="5">
        <f>IFERROR(__xludf.DUMMYFUNCTION("""COMPUTED_VALUE"""),0.35119506553585195)</f>
        <v>0.3511950655</v>
      </c>
      <c r="E2029" s="5">
        <f>IFERROR(__xludf.DUMMYFUNCTION("""COMPUTED_VALUE"""),0.13222821896684656)</f>
        <v>0.132228219</v>
      </c>
      <c r="F2029" s="5">
        <f>IFERROR(__xludf.DUMMYFUNCTION("""COMPUTED_VALUE"""),0.21318427139552815)</f>
        <v>0.2131842714</v>
      </c>
      <c r="G2029" s="5">
        <f>IFERROR(__xludf.DUMMYFUNCTION("""COMPUTED_VALUE"""),0.1553585196607556)</f>
        <v>0.1553585197</v>
      </c>
      <c r="H2029" s="5">
        <f>IFERROR(__xludf.DUMMYFUNCTION("""COMPUTED_VALUE"""),0.5750452079566004)</f>
        <v>0.575045208</v>
      </c>
      <c r="I2029" s="11">
        <f>IFERROR(__xludf.DUMMYFUNCTION("""COMPUTED_VALUE"""),5324.4122965641955)</f>
        <v>5324.412297</v>
      </c>
      <c r="J2029" s="10">
        <f>IFERROR(__xludf.DUMMYFUNCTION("""COMPUTED_VALUE"""),0.0)</f>
        <v>0</v>
      </c>
      <c r="K2029" s="5">
        <f>IFERROR(__xludf.DUMMYFUNCTION("""COMPUTED_VALUE"""),0.0)</f>
        <v>0</v>
      </c>
      <c r="L2029" s="10">
        <f>IFERROR(__xludf.DUMMYFUNCTION("""COMPUTED_VALUE"""),242.0)</f>
        <v>242</v>
      </c>
      <c r="M2029" s="5">
        <f>IFERROR(__xludf.DUMMYFUNCTION("""COMPUTED_VALUE"""),1.0)</f>
        <v>1</v>
      </c>
    </row>
    <row r="2030">
      <c r="A2030" s="10" t="str">
        <f>IFERROR(__xludf.DUMMYFUNCTION("""COMPUTED_VALUE"""),"こーじ！")</f>
        <v>こーじ！</v>
      </c>
      <c r="B2030" s="10">
        <f>IFERROR(__xludf.DUMMYFUNCTION("""COMPUTED_VALUE"""),202.0)</f>
        <v>202</v>
      </c>
      <c r="C2030" s="10">
        <f>IFERROR(__xludf.DUMMYFUNCTION("""COMPUTED_VALUE"""),2312.0)</f>
        <v>2312</v>
      </c>
      <c r="D2030" s="5">
        <f>IFERROR(__xludf.DUMMYFUNCTION("""COMPUTED_VALUE"""),0.37819905213270144)</f>
        <v>0.3781990521</v>
      </c>
      <c r="E2030" s="5">
        <f>IFERROR(__xludf.DUMMYFUNCTION("""COMPUTED_VALUE"""),0.13222748815165877)</f>
        <v>0.1322274882</v>
      </c>
      <c r="F2030" s="5">
        <f>IFERROR(__xludf.DUMMYFUNCTION("""COMPUTED_VALUE"""),0.22464454976303316)</f>
        <v>0.2246445498</v>
      </c>
      <c r="G2030" s="5">
        <f>IFERROR(__xludf.DUMMYFUNCTION("""COMPUTED_VALUE"""),0.1819905213270142)</f>
        <v>0.1819905213</v>
      </c>
      <c r="H2030" s="5">
        <f>IFERROR(__xludf.DUMMYFUNCTION("""COMPUTED_VALUE"""),0.5822784810126582)</f>
        <v>0.582278481</v>
      </c>
      <c r="I2030" s="11">
        <f>IFERROR(__xludf.DUMMYFUNCTION("""COMPUTED_VALUE"""),5789.2405063291135)</f>
        <v>5789.240506</v>
      </c>
      <c r="J2030" s="10">
        <f>IFERROR(__xludf.DUMMYFUNCTION("""COMPUTED_VALUE"""),0.0)</f>
        <v>0</v>
      </c>
      <c r="K2030" s="5">
        <f>IFERROR(__xludf.DUMMYFUNCTION("""COMPUTED_VALUE"""),0.0)</f>
        <v>0</v>
      </c>
      <c r="L2030" s="10">
        <f>IFERROR(__xludf.DUMMYFUNCTION("""COMPUTED_VALUE"""),202.0)</f>
        <v>202</v>
      </c>
      <c r="M2030" s="5">
        <f>IFERROR(__xludf.DUMMYFUNCTION("""COMPUTED_VALUE"""),1.0)</f>
        <v>1</v>
      </c>
    </row>
    <row r="2031">
      <c r="A2031" s="10" t="str">
        <f>IFERROR(__xludf.DUMMYFUNCTION("""COMPUTED_VALUE"""),"ねぇ")</f>
        <v>ねぇ</v>
      </c>
      <c r="B2031" s="10">
        <f>IFERROR(__xludf.DUMMYFUNCTION("""COMPUTED_VALUE"""),1022.0)</f>
        <v>1022</v>
      </c>
      <c r="C2031" s="10">
        <f>IFERROR(__xludf.DUMMYFUNCTION("""COMPUTED_VALUE"""),11890.0)</f>
        <v>11890</v>
      </c>
      <c r="D2031" s="5">
        <f>IFERROR(__xludf.DUMMYFUNCTION("""COMPUTED_VALUE"""),0.3027235921972764)</f>
        <v>0.3027235922</v>
      </c>
      <c r="E2031" s="5">
        <f>IFERROR(__xludf.DUMMYFUNCTION("""COMPUTED_VALUE"""),0.13222304011777697)</f>
        <v>0.1322230401</v>
      </c>
      <c r="F2031" s="5">
        <f>IFERROR(__xludf.DUMMYFUNCTION("""COMPUTED_VALUE"""),0.2165991902834008)</f>
        <v>0.2165991903</v>
      </c>
      <c r="G2031" s="5">
        <f>IFERROR(__xludf.DUMMYFUNCTION("""COMPUTED_VALUE"""),0.18789105631210895)</f>
        <v>0.1878910563</v>
      </c>
      <c r="H2031" s="5">
        <f>IFERROR(__xludf.DUMMYFUNCTION("""COMPUTED_VALUE"""),0.586661002548853)</f>
        <v>0.5866610025</v>
      </c>
      <c r="I2031" s="11">
        <f>IFERROR(__xludf.DUMMYFUNCTION("""COMPUTED_VALUE"""),5743.75531011045)</f>
        <v>5743.75531</v>
      </c>
      <c r="J2031" s="10">
        <f>IFERROR(__xludf.DUMMYFUNCTION("""COMPUTED_VALUE"""),6.0)</f>
        <v>6</v>
      </c>
      <c r="K2031" s="5">
        <f>IFERROR(__xludf.DUMMYFUNCTION("""COMPUTED_VALUE"""),0.005870841487279843)</f>
        <v>0.005870841487</v>
      </c>
      <c r="L2031" s="10">
        <f>IFERROR(__xludf.DUMMYFUNCTION("""COMPUTED_VALUE"""),1022.0)</f>
        <v>1022</v>
      </c>
      <c r="M2031" s="5">
        <f>IFERROR(__xludf.DUMMYFUNCTION("""COMPUTED_VALUE"""),1.0)</f>
        <v>1</v>
      </c>
    </row>
    <row r="2032">
      <c r="A2032" s="10" t="str">
        <f>IFERROR(__xludf.DUMMYFUNCTION("""COMPUTED_VALUE"""),"くーまもん")</f>
        <v>くーまもん</v>
      </c>
      <c r="B2032" s="10">
        <f>IFERROR(__xludf.DUMMYFUNCTION("""COMPUTED_VALUE"""),332.0)</f>
        <v>332</v>
      </c>
      <c r="C2032" s="10">
        <f>IFERROR(__xludf.DUMMYFUNCTION("""COMPUTED_VALUE"""),3864.0)</f>
        <v>3864</v>
      </c>
      <c r="D2032" s="5">
        <f>IFERROR(__xludf.DUMMYFUNCTION("""COMPUTED_VALUE"""),0.27519818799546997)</f>
        <v>0.275198188</v>
      </c>
      <c r="E2032" s="5">
        <f>IFERROR(__xludf.DUMMYFUNCTION("""COMPUTED_VALUE"""),0.13221970554926388)</f>
        <v>0.1322197055</v>
      </c>
      <c r="F2032" s="5">
        <f>IFERROR(__xludf.DUMMYFUNCTION("""COMPUTED_VALUE"""),0.19818799546998866)</f>
        <v>0.1981879955</v>
      </c>
      <c r="G2032" s="5">
        <f>IFERROR(__xludf.DUMMYFUNCTION("""COMPUTED_VALUE"""),0.11041902604756512)</f>
        <v>0.110419026</v>
      </c>
      <c r="H2032" s="5">
        <f>IFERROR(__xludf.DUMMYFUNCTION("""COMPUTED_VALUE"""),0.5957142857142858)</f>
        <v>0.5957142857</v>
      </c>
      <c r="I2032" s="11">
        <f>IFERROR(__xludf.DUMMYFUNCTION("""COMPUTED_VALUE"""),5595.714285714285)</f>
        <v>5595.714286</v>
      </c>
      <c r="J2032" s="10">
        <f>IFERROR(__xludf.DUMMYFUNCTION("""COMPUTED_VALUE"""),0.0)</f>
        <v>0</v>
      </c>
      <c r="K2032" s="5">
        <f>IFERROR(__xludf.DUMMYFUNCTION("""COMPUTED_VALUE"""),0.0)</f>
        <v>0</v>
      </c>
      <c r="L2032" s="10">
        <f>IFERROR(__xludf.DUMMYFUNCTION("""COMPUTED_VALUE"""),332.0)</f>
        <v>332</v>
      </c>
      <c r="M2032" s="5">
        <f>IFERROR(__xludf.DUMMYFUNCTION("""COMPUTED_VALUE"""),1.0)</f>
        <v>1</v>
      </c>
    </row>
    <row r="2033">
      <c r="A2033" s="10" t="str">
        <f>IFERROR(__xludf.DUMMYFUNCTION("""COMPUTED_VALUE"""),"黒猫@night")</f>
        <v>黒猫@night</v>
      </c>
      <c r="B2033" s="10">
        <f>IFERROR(__xludf.DUMMYFUNCTION("""COMPUTED_VALUE"""),161.0)</f>
        <v>161</v>
      </c>
      <c r="C2033" s="10">
        <f>IFERROR(__xludf.DUMMYFUNCTION("""COMPUTED_VALUE"""),1878.0)</f>
        <v>1878</v>
      </c>
      <c r="D2033" s="5">
        <f>IFERROR(__xludf.DUMMYFUNCTION("""COMPUTED_VALUE"""),0.42690739662201516)</f>
        <v>0.4269073966</v>
      </c>
      <c r="E2033" s="5">
        <f>IFERROR(__xludf.DUMMYFUNCTION("""COMPUTED_VALUE"""),0.1322073383808969)</f>
        <v>0.1322073384</v>
      </c>
      <c r="F2033" s="5">
        <f>IFERROR(__xludf.DUMMYFUNCTION("""COMPUTED_VALUE"""),0.20675596971461851)</f>
        <v>0.2067559697</v>
      </c>
      <c r="G2033" s="5">
        <f>IFERROR(__xludf.DUMMYFUNCTION("""COMPUTED_VALUE"""),0.1537565521258008)</f>
        <v>0.1537565521</v>
      </c>
      <c r="H2033" s="5">
        <f>IFERROR(__xludf.DUMMYFUNCTION("""COMPUTED_VALUE"""),0.6732394366197183)</f>
        <v>0.6732394366</v>
      </c>
      <c r="I2033" s="11">
        <f>IFERROR(__xludf.DUMMYFUNCTION("""COMPUTED_VALUE"""),5349.014084507042)</f>
        <v>5349.014085</v>
      </c>
      <c r="J2033" s="10">
        <f>IFERROR(__xludf.DUMMYFUNCTION("""COMPUTED_VALUE"""),1.0)</f>
        <v>1</v>
      </c>
      <c r="K2033" s="5">
        <f>IFERROR(__xludf.DUMMYFUNCTION("""COMPUTED_VALUE"""),0.006211180124223602)</f>
        <v>0.006211180124</v>
      </c>
      <c r="L2033" s="10">
        <f>IFERROR(__xludf.DUMMYFUNCTION("""COMPUTED_VALUE"""),161.0)</f>
        <v>161</v>
      </c>
      <c r="M2033" s="5">
        <f>IFERROR(__xludf.DUMMYFUNCTION("""COMPUTED_VALUE"""),1.0)</f>
        <v>1</v>
      </c>
    </row>
    <row r="2034">
      <c r="A2034" s="10" t="str">
        <f>IFERROR(__xludf.DUMMYFUNCTION("""COMPUTED_VALUE"""),"Garak")</f>
        <v>Garak</v>
      </c>
      <c r="B2034" s="10">
        <f>IFERROR(__xludf.DUMMYFUNCTION("""COMPUTED_VALUE"""),210.0)</f>
        <v>210</v>
      </c>
      <c r="C2034" s="10">
        <f>IFERROR(__xludf.DUMMYFUNCTION("""COMPUTED_VALUE"""),2449.0)</f>
        <v>2449</v>
      </c>
      <c r="D2034" s="5">
        <f>IFERROR(__xludf.DUMMYFUNCTION("""COMPUTED_VALUE"""),0.36221527467619474)</f>
        <v>0.3622152747</v>
      </c>
      <c r="E2034" s="5">
        <f>IFERROR(__xludf.DUMMYFUNCTION("""COMPUTED_VALUE"""),0.13220187583742743)</f>
        <v>0.1322018758</v>
      </c>
      <c r="F2034" s="5">
        <f>IFERROR(__xludf.DUMMYFUNCTION("""COMPUTED_VALUE"""),0.20678874497543545)</f>
        <v>0.206788745</v>
      </c>
      <c r="G2034" s="5">
        <f>IFERROR(__xludf.DUMMYFUNCTION("""COMPUTED_VALUE"""),0.1782045556051809)</f>
        <v>0.1782045556</v>
      </c>
      <c r="H2034" s="5">
        <f>IFERROR(__xludf.DUMMYFUNCTION("""COMPUTED_VALUE"""),0.6047516198704104)</f>
        <v>0.6047516199</v>
      </c>
      <c r="I2034" s="11">
        <f>IFERROR(__xludf.DUMMYFUNCTION("""COMPUTED_VALUE"""),5285.097192224622)</f>
        <v>5285.097192</v>
      </c>
      <c r="J2034" s="10">
        <f>IFERROR(__xludf.DUMMYFUNCTION("""COMPUTED_VALUE"""),0.0)</f>
        <v>0</v>
      </c>
      <c r="K2034" s="5">
        <f>IFERROR(__xludf.DUMMYFUNCTION("""COMPUTED_VALUE"""),0.0)</f>
        <v>0</v>
      </c>
      <c r="L2034" s="10">
        <f>IFERROR(__xludf.DUMMYFUNCTION("""COMPUTED_VALUE"""),210.0)</f>
        <v>210</v>
      </c>
      <c r="M2034" s="5">
        <f>IFERROR(__xludf.DUMMYFUNCTION("""COMPUTED_VALUE"""),1.0)</f>
        <v>1</v>
      </c>
    </row>
    <row r="2035">
      <c r="A2035" s="10" t="str">
        <f>IFERROR(__xludf.DUMMYFUNCTION("""COMPUTED_VALUE"""),"久兵衛")</f>
        <v>久兵衛</v>
      </c>
      <c r="B2035" s="10">
        <f>IFERROR(__xludf.DUMMYFUNCTION("""COMPUTED_VALUE"""),887.0)</f>
        <v>887</v>
      </c>
      <c r="C2035" s="10">
        <f>IFERROR(__xludf.DUMMYFUNCTION("""COMPUTED_VALUE"""),10297.0)</f>
        <v>10297</v>
      </c>
      <c r="D2035" s="5">
        <f>IFERROR(__xludf.DUMMYFUNCTION("""COMPUTED_VALUE"""),0.37704569606801275)</f>
        <v>0.3770456961</v>
      </c>
      <c r="E2035" s="5">
        <f>IFERROR(__xludf.DUMMYFUNCTION("""COMPUTED_VALUE"""),0.13219978746014877)</f>
        <v>0.1321997875</v>
      </c>
      <c r="F2035" s="5">
        <f>IFERROR(__xludf.DUMMYFUNCTION("""COMPUTED_VALUE"""),0.22252922422954305)</f>
        <v>0.2225292242</v>
      </c>
      <c r="G2035" s="5">
        <f>IFERROR(__xludf.DUMMYFUNCTION("""COMPUTED_VALUE"""),0.1616365568544102)</f>
        <v>0.1616365569</v>
      </c>
      <c r="H2035" s="5">
        <f>IFERROR(__xludf.DUMMYFUNCTION("""COMPUTED_VALUE"""),0.6136580706781279)</f>
        <v>0.6136580707</v>
      </c>
      <c r="I2035" s="11">
        <f>IFERROR(__xludf.DUMMYFUNCTION("""COMPUTED_VALUE"""),5343.935052531041)</f>
        <v>5343.935053</v>
      </c>
      <c r="J2035" s="10">
        <f>IFERROR(__xludf.DUMMYFUNCTION("""COMPUTED_VALUE"""),3.0)</f>
        <v>3</v>
      </c>
      <c r="K2035" s="5">
        <f>IFERROR(__xludf.DUMMYFUNCTION("""COMPUTED_VALUE"""),0.0033821871476888386)</f>
        <v>0.003382187148</v>
      </c>
      <c r="L2035" s="10">
        <f>IFERROR(__xludf.DUMMYFUNCTION("""COMPUTED_VALUE"""),887.0)</f>
        <v>887</v>
      </c>
      <c r="M2035" s="5">
        <f>IFERROR(__xludf.DUMMYFUNCTION("""COMPUTED_VALUE"""),1.0)</f>
        <v>1</v>
      </c>
    </row>
    <row r="2036">
      <c r="A2036" s="10" t="str">
        <f>IFERROR(__xludf.DUMMYFUNCTION("""COMPUTED_VALUE"""),"紅色みかん")</f>
        <v>紅色みかん</v>
      </c>
      <c r="B2036" s="10">
        <f>IFERROR(__xludf.DUMMYFUNCTION("""COMPUTED_VALUE"""),2459.0)</f>
        <v>2459</v>
      </c>
      <c r="C2036" s="10">
        <f>IFERROR(__xludf.DUMMYFUNCTION("""COMPUTED_VALUE"""),28535.0)</f>
        <v>28535</v>
      </c>
      <c r="D2036" s="5">
        <f>IFERROR(__xludf.DUMMYFUNCTION("""COMPUTED_VALUE"""),0.34084982359257554)</f>
        <v>0.3408498236</v>
      </c>
      <c r="E2036" s="5">
        <f>IFERROR(__xludf.DUMMYFUNCTION("""COMPUTED_VALUE"""),0.13219052001840773)</f>
        <v>0.13219052</v>
      </c>
      <c r="F2036" s="5">
        <f>IFERROR(__xludf.DUMMYFUNCTION("""COMPUTED_VALUE"""),0.219243749041264)</f>
        <v>0.219243749</v>
      </c>
      <c r="G2036" s="5">
        <f>IFERROR(__xludf.DUMMYFUNCTION("""COMPUTED_VALUE"""),0.15504678631691976)</f>
        <v>0.1550467863</v>
      </c>
      <c r="H2036" s="5">
        <f>IFERROR(__xludf.DUMMYFUNCTION("""COMPUTED_VALUE"""),0.6090606961693196)</f>
        <v>0.6090606962</v>
      </c>
      <c r="I2036" s="11">
        <f>IFERROR(__xludf.DUMMYFUNCTION("""COMPUTED_VALUE"""),5531.624978135385)</f>
        <v>5531.624978</v>
      </c>
      <c r="J2036" s="10">
        <f>IFERROR(__xludf.DUMMYFUNCTION("""COMPUTED_VALUE"""),2.0)</f>
        <v>2</v>
      </c>
      <c r="K2036" s="5">
        <f>IFERROR(__xludf.DUMMYFUNCTION("""COMPUTED_VALUE"""),8.133387555917039E-4)</f>
        <v>0.0008133387556</v>
      </c>
      <c r="L2036" s="10">
        <f>IFERROR(__xludf.DUMMYFUNCTION("""COMPUTED_VALUE"""),2459.0)</f>
        <v>2459</v>
      </c>
      <c r="M2036" s="5">
        <f>IFERROR(__xludf.DUMMYFUNCTION("""COMPUTED_VALUE"""),1.0)</f>
        <v>1</v>
      </c>
    </row>
    <row r="2037">
      <c r="A2037" s="10" t="str">
        <f>IFERROR(__xludf.DUMMYFUNCTION("""COMPUTED_VALUE"""),"yu619zi")</f>
        <v>yu619zi</v>
      </c>
      <c r="B2037" s="10">
        <f>IFERROR(__xludf.DUMMYFUNCTION("""COMPUTED_VALUE"""),410.0)</f>
        <v>410</v>
      </c>
      <c r="C2037" s="10">
        <f>IFERROR(__xludf.DUMMYFUNCTION("""COMPUTED_VALUE"""),4700.0)</f>
        <v>4700</v>
      </c>
      <c r="D2037" s="5">
        <f>IFERROR(__xludf.DUMMYFUNCTION("""COMPUTED_VALUE"""),0.3389277389277389)</f>
        <v>0.3389277389</v>
      </c>
      <c r="E2037" s="5">
        <f>IFERROR(__xludf.DUMMYFUNCTION("""COMPUTED_VALUE"""),0.13216783216783218)</f>
        <v>0.1321678322</v>
      </c>
      <c r="F2037" s="5">
        <f>IFERROR(__xludf.DUMMYFUNCTION("""COMPUTED_VALUE"""),0.19813519813519814)</f>
        <v>0.1981351981</v>
      </c>
      <c r="G2037" s="5">
        <f>IFERROR(__xludf.DUMMYFUNCTION("""COMPUTED_VALUE"""),0.16200466200466201)</f>
        <v>0.162004662</v>
      </c>
      <c r="H2037" s="5">
        <f>IFERROR(__xludf.DUMMYFUNCTION("""COMPUTED_VALUE"""),0.6223529411764706)</f>
        <v>0.6223529412</v>
      </c>
      <c r="I2037" s="11">
        <f>IFERROR(__xludf.DUMMYFUNCTION("""COMPUTED_VALUE"""),5623.411764705882)</f>
        <v>5623.411765</v>
      </c>
      <c r="J2037" s="10">
        <f>IFERROR(__xludf.DUMMYFUNCTION("""COMPUTED_VALUE"""),1.0)</f>
        <v>1</v>
      </c>
      <c r="K2037" s="5">
        <f>IFERROR(__xludf.DUMMYFUNCTION("""COMPUTED_VALUE"""),0.0024390243902439024)</f>
        <v>0.00243902439</v>
      </c>
      <c r="L2037" s="10">
        <f>IFERROR(__xludf.DUMMYFUNCTION("""COMPUTED_VALUE"""),410.0)</f>
        <v>410</v>
      </c>
      <c r="M2037" s="5">
        <f>IFERROR(__xludf.DUMMYFUNCTION("""COMPUTED_VALUE"""),1.0)</f>
        <v>1</v>
      </c>
    </row>
    <row r="2038">
      <c r="A2038" s="10" t="str">
        <f>IFERROR(__xludf.DUMMYFUNCTION("""COMPUTED_VALUE"""),"ラガヴーリン2")</f>
        <v>ラガヴーリン2</v>
      </c>
      <c r="B2038" s="10">
        <f>IFERROR(__xludf.DUMMYFUNCTION("""COMPUTED_VALUE"""),425.0)</f>
        <v>425</v>
      </c>
      <c r="C2038" s="10">
        <f>IFERROR(__xludf.DUMMYFUNCTION("""COMPUTED_VALUE"""),4995.0)</f>
        <v>4995</v>
      </c>
      <c r="D2038" s="5">
        <f>IFERROR(__xludf.DUMMYFUNCTION("""COMPUTED_VALUE"""),0.30919037199124727)</f>
        <v>0.309190372</v>
      </c>
      <c r="E2038" s="5">
        <f>IFERROR(__xludf.DUMMYFUNCTION("""COMPUTED_VALUE"""),0.13216630196936544)</f>
        <v>0.132166302</v>
      </c>
      <c r="F2038" s="5">
        <f>IFERROR(__xludf.DUMMYFUNCTION("""COMPUTED_VALUE"""),0.2201312910284464)</f>
        <v>0.220131291</v>
      </c>
      <c r="G2038" s="5">
        <f>IFERROR(__xludf.DUMMYFUNCTION("""COMPUTED_VALUE"""),0.18227571115973742)</f>
        <v>0.1822757112</v>
      </c>
      <c r="H2038" s="5">
        <f>IFERROR(__xludf.DUMMYFUNCTION("""COMPUTED_VALUE"""),0.6043737574552683)</f>
        <v>0.6043737575</v>
      </c>
      <c r="I2038" s="11">
        <f>IFERROR(__xludf.DUMMYFUNCTION("""COMPUTED_VALUE"""),6122.166998011929)</f>
        <v>6122.166998</v>
      </c>
      <c r="J2038" s="10">
        <f>IFERROR(__xludf.DUMMYFUNCTION("""COMPUTED_VALUE"""),2.0)</f>
        <v>2</v>
      </c>
      <c r="K2038" s="5">
        <f>IFERROR(__xludf.DUMMYFUNCTION("""COMPUTED_VALUE"""),0.004705882352941176)</f>
        <v>0.004705882353</v>
      </c>
      <c r="L2038" s="10">
        <f>IFERROR(__xludf.DUMMYFUNCTION("""COMPUTED_VALUE"""),425.0)</f>
        <v>425</v>
      </c>
      <c r="M2038" s="5">
        <f>IFERROR(__xludf.DUMMYFUNCTION("""COMPUTED_VALUE"""),1.0)</f>
        <v>1</v>
      </c>
    </row>
    <row r="2039">
      <c r="A2039" s="10" t="str">
        <f>IFERROR(__xludf.DUMMYFUNCTION("""COMPUTED_VALUE"""),"生者必滅の理")</f>
        <v>生者必滅の理</v>
      </c>
      <c r="B2039" s="10">
        <f>IFERROR(__xludf.DUMMYFUNCTION("""COMPUTED_VALUE"""),962.0)</f>
        <v>962</v>
      </c>
      <c r="C2039" s="10">
        <f>IFERROR(__xludf.DUMMYFUNCTION("""COMPUTED_VALUE"""),11185.0)</f>
        <v>11185</v>
      </c>
      <c r="D2039" s="5">
        <f>IFERROR(__xludf.DUMMYFUNCTION("""COMPUTED_VALUE"""),0.3765039616550915)</f>
        <v>0.3765039617</v>
      </c>
      <c r="E2039" s="5">
        <f>IFERROR(__xludf.DUMMYFUNCTION("""COMPUTED_VALUE"""),0.13215298835958134)</f>
        <v>0.1321529884</v>
      </c>
      <c r="F2039" s="5">
        <f>IFERROR(__xludf.DUMMYFUNCTION("""COMPUTED_VALUE"""),0.21705957155433825)</f>
        <v>0.2170595716</v>
      </c>
      <c r="G2039" s="5">
        <f>IFERROR(__xludf.DUMMYFUNCTION("""COMPUTED_VALUE"""),0.15152107991783234)</f>
        <v>0.1515210799</v>
      </c>
      <c r="H2039" s="5">
        <f>IFERROR(__xludf.DUMMYFUNCTION("""COMPUTED_VALUE"""),0.6146913023884633)</f>
        <v>0.6146913024</v>
      </c>
      <c r="I2039" s="11">
        <f>IFERROR(__xludf.DUMMYFUNCTION("""COMPUTED_VALUE"""),5527.895448400181)</f>
        <v>5527.895448</v>
      </c>
      <c r="J2039" s="10">
        <f>IFERROR(__xludf.DUMMYFUNCTION("""COMPUTED_VALUE"""),3.0)</f>
        <v>3</v>
      </c>
      <c r="K2039" s="5">
        <f>IFERROR(__xludf.DUMMYFUNCTION("""COMPUTED_VALUE"""),0.0031185031185031187)</f>
        <v>0.003118503119</v>
      </c>
      <c r="L2039" s="10">
        <f>IFERROR(__xludf.DUMMYFUNCTION("""COMPUTED_VALUE"""),962.0)</f>
        <v>962</v>
      </c>
      <c r="M2039" s="5">
        <f>IFERROR(__xludf.DUMMYFUNCTION("""COMPUTED_VALUE"""),1.0)</f>
        <v>1</v>
      </c>
    </row>
    <row r="2040">
      <c r="A2040" s="10" t="str">
        <f>IFERROR(__xludf.DUMMYFUNCTION("""COMPUTED_VALUE"""),"(蛙・`ω・´)")</f>
        <v>(蛙・`ω・´)</v>
      </c>
      <c r="B2040" s="10">
        <f>IFERROR(__xludf.DUMMYFUNCTION("""COMPUTED_VALUE"""),115.0)</f>
        <v>115</v>
      </c>
      <c r="C2040" s="10">
        <f>IFERROR(__xludf.DUMMYFUNCTION("""COMPUTED_VALUE"""),1356.0)</f>
        <v>1356</v>
      </c>
      <c r="D2040" s="5">
        <f>IFERROR(__xludf.DUMMYFUNCTION("""COMPUTED_VALUE"""),0.3279613215149073)</f>
        <v>0.3279613215</v>
      </c>
      <c r="E2040" s="5">
        <f>IFERROR(__xludf.DUMMYFUNCTION("""COMPUTED_VALUE"""),0.13215149073327961)</f>
        <v>0.1321514907</v>
      </c>
      <c r="F2040" s="5">
        <f>IFERROR(__xludf.DUMMYFUNCTION("""COMPUTED_VALUE"""),0.22159548751007252)</f>
        <v>0.2215954875</v>
      </c>
      <c r="G2040" s="5">
        <f>IFERROR(__xludf.DUMMYFUNCTION("""COMPUTED_VALUE"""),0.16035455278001612)</f>
        <v>0.1603545528</v>
      </c>
      <c r="H2040" s="5">
        <f>IFERROR(__xludf.DUMMYFUNCTION("""COMPUTED_VALUE"""),0.5963636363636363)</f>
        <v>0.5963636364</v>
      </c>
      <c r="I2040" s="11">
        <f>IFERROR(__xludf.DUMMYFUNCTION("""COMPUTED_VALUE"""),4650.181818181818)</f>
        <v>4650.181818</v>
      </c>
      <c r="J2040" s="10">
        <f>IFERROR(__xludf.DUMMYFUNCTION("""COMPUTED_VALUE"""),0.0)</f>
        <v>0</v>
      </c>
      <c r="K2040" s="5">
        <f>IFERROR(__xludf.DUMMYFUNCTION("""COMPUTED_VALUE"""),0.0)</f>
        <v>0</v>
      </c>
      <c r="L2040" s="10">
        <f>IFERROR(__xludf.DUMMYFUNCTION("""COMPUTED_VALUE"""),115.0)</f>
        <v>115</v>
      </c>
      <c r="M2040" s="5">
        <f>IFERROR(__xludf.DUMMYFUNCTION("""COMPUTED_VALUE"""),1.0)</f>
        <v>1</v>
      </c>
    </row>
    <row r="2041">
      <c r="A2041" s="10" t="str">
        <f>IFERROR(__xludf.DUMMYFUNCTION("""COMPUTED_VALUE"""),"narururu")</f>
        <v>narururu</v>
      </c>
      <c r="B2041" s="10">
        <f>IFERROR(__xludf.DUMMYFUNCTION("""COMPUTED_VALUE"""),241.0)</f>
        <v>241</v>
      </c>
      <c r="C2041" s="10">
        <f>IFERROR(__xludf.DUMMYFUNCTION("""COMPUTED_VALUE"""),2829.0)</f>
        <v>2829</v>
      </c>
      <c r="D2041" s="5">
        <f>IFERROR(__xludf.DUMMYFUNCTION("""COMPUTED_VALUE"""),0.26622874806800617)</f>
        <v>0.2662287481</v>
      </c>
      <c r="E2041" s="5">
        <f>IFERROR(__xludf.DUMMYFUNCTION("""COMPUTED_VALUE"""),0.1321483771251932)</f>
        <v>0.1321483771</v>
      </c>
      <c r="F2041" s="5">
        <f>IFERROR(__xludf.DUMMYFUNCTION("""COMPUTED_VALUE"""),0.21445131375579599)</f>
        <v>0.2144513138</v>
      </c>
      <c r="G2041" s="5">
        <f>IFERROR(__xludf.DUMMYFUNCTION("""COMPUTED_VALUE"""),0.16499227202472952)</f>
        <v>0.164992272</v>
      </c>
      <c r="H2041" s="5">
        <f>IFERROR(__xludf.DUMMYFUNCTION("""COMPUTED_VALUE"""),0.6072072072072072)</f>
        <v>0.6072072072</v>
      </c>
      <c r="I2041" s="11">
        <f>IFERROR(__xludf.DUMMYFUNCTION("""COMPUTED_VALUE"""),5636.216216216216)</f>
        <v>5636.216216</v>
      </c>
      <c r="J2041" s="10">
        <f>IFERROR(__xludf.DUMMYFUNCTION("""COMPUTED_VALUE"""),1.0)</f>
        <v>1</v>
      </c>
      <c r="K2041" s="5">
        <f>IFERROR(__xludf.DUMMYFUNCTION("""COMPUTED_VALUE"""),0.004149377593360996)</f>
        <v>0.004149377593</v>
      </c>
      <c r="L2041" s="10">
        <f>IFERROR(__xludf.DUMMYFUNCTION("""COMPUTED_VALUE"""),241.0)</f>
        <v>241</v>
      </c>
      <c r="M2041" s="5">
        <f>IFERROR(__xludf.DUMMYFUNCTION("""COMPUTED_VALUE"""),1.0)</f>
        <v>1</v>
      </c>
    </row>
    <row r="2042">
      <c r="A2042" s="10" t="str">
        <f>IFERROR(__xludf.DUMMYFUNCTION("""COMPUTED_VALUE"""),"たけこぞー")</f>
        <v>たけこぞー</v>
      </c>
      <c r="B2042" s="10">
        <f>IFERROR(__xludf.DUMMYFUNCTION("""COMPUTED_VALUE"""),304.0)</f>
        <v>304</v>
      </c>
      <c r="C2042" s="10">
        <f>IFERROR(__xludf.DUMMYFUNCTION("""COMPUTED_VALUE"""),3581.0)</f>
        <v>3581</v>
      </c>
      <c r="D2042" s="5">
        <f>IFERROR(__xludf.DUMMYFUNCTION("""COMPUTED_VALUE"""),0.31736344217271895)</f>
        <v>0.3173634422</v>
      </c>
      <c r="E2042" s="5">
        <f>IFERROR(__xludf.DUMMYFUNCTION("""COMPUTED_VALUE"""),0.1321330485199878)</f>
        <v>0.1321330485</v>
      </c>
      <c r="F2042" s="5">
        <f>IFERROR(__xludf.DUMMYFUNCTION("""COMPUTED_VALUE"""),0.19469026548672566)</f>
        <v>0.1946902655</v>
      </c>
      <c r="G2042" s="5">
        <f>IFERROR(__xludf.DUMMYFUNCTION("""COMPUTED_VALUE"""),0.15837656393042418)</f>
        <v>0.1583765639</v>
      </c>
      <c r="H2042" s="5">
        <f>IFERROR(__xludf.DUMMYFUNCTION("""COMPUTED_VALUE"""),0.5658307210031348)</f>
        <v>0.565830721</v>
      </c>
      <c r="I2042" s="11">
        <f>IFERROR(__xludf.DUMMYFUNCTION("""COMPUTED_VALUE"""),5866.457680250784)</f>
        <v>5866.45768</v>
      </c>
      <c r="J2042" s="10">
        <f>IFERROR(__xludf.DUMMYFUNCTION("""COMPUTED_VALUE"""),0.0)</f>
        <v>0</v>
      </c>
      <c r="K2042" s="5">
        <f>IFERROR(__xludf.DUMMYFUNCTION("""COMPUTED_VALUE"""),0.0)</f>
        <v>0</v>
      </c>
      <c r="L2042" s="10">
        <f>IFERROR(__xludf.DUMMYFUNCTION("""COMPUTED_VALUE"""),304.0)</f>
        <v>304</v>
      </c>
      <c r="M2042" s="5">
        <f>IFERROR(__xludf.DUMMYFUNCTION("""COMPUTED_VALUE"""),1.0)</f>
        <v>1</v>
      </c>
    </row>
    <row r="2043">
      <c r="A2043" s="10" t="str">
        <f>IFERROR(__xludf.DUMMYFUNCTION("""COMPUTED_VALUE"""),"シャキオニ")</f>
        <v>シャキオニ</v>
      </c>
      <c r="B2043" s="10">
        <f>IFERROR(__xludf.DUMMYFUNCTION("""COMPUTED_VALUE"""),1588.0)</f>
        <v>1588</v>
      </c>
      <c r="C2043" s="10">
        <f>IFERROR(__xludf.DUMMYFUNCTION("""COMPUTED_VALUE"""),18663.0)</f>
        <v>18663</v>
      </c>
      <c r="D2043" s="5">
        <f>IFERROR(__xludf.DUMMYFUNCTION("""COMPUTED_VALUE"""),0.3966617862371889)</f>
        <v>0.3966617862</v>
      </c>
      <c r="E2043" s="5">
        <f>IFERROR(__xludf.DUMMYFUNCTION("""COMPUTED_VALUE"""),0.1321229868228404)</f>
        <v>0.1321229868</v>
      </c>
      <c r="F2043" s="5">
        <f>IFERROR(__xludf.DUMMYFUNCTION("""COMPUTED_VALUE"""),0.2250073206442167)</f>
        <v>0.2250073206</v>
      </c>
      <c r="G2043" s="5">
        <f>IFERROR(__xludf.DUMMYFUNCTION("""COMPUTED_VALUE"""),0.15976573938506589)</f>
        <v>0.1597657394</v>
      </c>
      <c r="H2043" s="5">
        <f>IFERROR(__xludf.DUMMYFUNCTION("""COMPUTED_VALUE"""),0.6231129619989588)</f>
        <v>0.623112962</v>
      </c>
      <c r="I2043" s="11">
        <f>IFERROR(__xludf.DUMMYFUNCTION("""COMPUTED_VALUE"""),5435.0598646538265)</f>
        <v>5435.059865</v>
      </c>
      <c r="J2043" s="10">
        <f>IFERROR(__xludf.DUMMYFUNCTION("""COMPUTED_VALUE"""),2.0)</f>
        <v>2</v>
      </c>
      <c r="K2043" s="5">
        <f>IFERROR(__xludf.DUMMYFUNCTION("""COMPUTED_VALUE"""),0.0012594458438287153)</f>
        <v>0.001259445844</v>
      </c>
      <c r="L2043" s="10">
        <f>IFERROR(__xludf.DUMMYFUNCTION("""COMPUTED_VALUE"""),1588.0)</f>
        <v>1588</v>
      </c>
      <c r="M2043" s="5">
        <f>IFERROR(__xludf.DUMMYFUNCTION("""COMPUTED_VALUE"""),1.0)</f>
        <v>1</v>
      </c>
    </row>
    <row r="2044">
      <c r="A2044" s="10" t="str">
        <f>IFERROR(__xludf.DUMMYFUNCTION("""COMPUTED_VALUE"""),"素養の塊")</f>
        <v>素養の塊</v>
      </c>
      <c r="B2044" s="10">
        <f>IFERROR(__xludf.DUMMYFUNCTION("""COMPUTED_VALUE"""),199.0)</f>
        <v>199</v>
      </c>
      <c r="C2044" s="10">
        <f>IFERROR(__xludf.DUMMYFUNCTION("""COMPUTED_VALUE"""),2273.0)</f>
        <v>2273</v>
      </c>
      <c r="D2044" s="5">
        <f>IFERROR(__xludf.DUMMYFUNCTION("""COMPUTED_VALUE"""),0.32111861137897785)</f>
        <v>0.3211186114</v>
      </c>
      <c r="E2044" s="5">
        <f>IFERROR(__xludf.DUMMYFUNCTION("""COMPUTED_VALUE"""),0.13211186113789777)</f>
        <v>0.1321118611</v>
      </c>
      <c r="F2044" s="5">
        <f>IFERROR(__xludf.DUMMYFUNCTION("""COMPUTED_VALUE"""),0.20057859209257473)</f>
        <v>0.2005785921</v>
      </c>
      <c r="G2044" s="5">
        <f>IFERROR(__xludf.DUMMYFUNCTION("""COMPUTED_VALUE"""),0.1885245901639344)</f>
        <v>0.1885245902</v>
      </c>
      <c r="H2044" s="5">
        <f>IFERROR(__xludf.DUMMYFUNCTION("""COMPUTED_VALUE"""),0.59375)</f>
        <v>0.59375</v>
      </c>
      <c r="I2044" s="11">
        <f>IFERROR(__xludf.DUMMYFUNCTION("""COMPUTED_VALUE"""),6354.567307692308)</f>
        <v>6354.567308</v>
      </c>
      <c r="J2044" s="10">
        <f>IFERROR(__xludf.DUMMYFUNCTION("""COMPUTED_VALUE"""),3.0)</f>
        <v>3</v>
      </c>
      <c r="K2044" s="5">
        <f>IFERROR(__xludf.DUMMYFUNCTION("""COMPUTED_VALUE"""),0.01507537688442211)</f>
        <v>0.01507537688</v>
      </c>
      <c r="L2044" s="10">
        <f>IFERROR(__xludf.DUMMYFUNCTION("""COMPUTED_VALUE"""),199.0)</f>
        <v>199</v>
      </c>
      <c r="M2044" s="5">
        <f>IFERROR(__xludf.DUMMYFUNCTION("""COMPUTED_VALUE"""),1.0)</f>
        <v>1</v>
      </c>
    </row>
    <row r="2045">
      <c r="A2045" s="10" t="str">
        <f>IFERROR(__xludf.DUMMYFUNCTION("""COMPUTED_VALUE"""),"ミストラル★")</f>
        <v>ミストラル★</v>
      </c>
      <c r="B2045" s="10">
        <f>IFERROR(__xludf.DUMMYFUNCTION("""COMPUTED_VALUE"""),1125.0)</f>
        <v>1125</v>
      </c>
      <c r="C2045" s="10">
        <f>IFERROR(__xludf.DUMMYFUNCTION("""COMPUTED_VALUE"""),13138.0)</f>
        <v>13138</v>
      </c>
      <c r="D2045" s="5">
        <f>IFERROR(__xludf.DUMMYFUNCTION("""COMPUTED_VALUE"""),0.29859319071006407)</f>
        <v>0.2985931907</v>
      </c>
      <c r="E2045" s="5">
        <f>IFERROR(__xludf.DUMMYFUNCTION("""COMPUTED_VALUE"""),0.13210688420877384)</f>
        <v>0.1321068842</v>
      </c>
      <c r="F2045" s="5">
        <f>IFERROR(__xludf.DUMMYFUNCTION("""COMPUTED_VALUE"""),0.2045284275368351)</f>
        <v>0.2045284275</v>
      </c>
      <c r="G2045" s="5">
        <f>IFERROR(__xludf.DUMMYFUNCTION("""COMPUTED_VALUE"""),0.16473820028302671)</f>
        <v>0.1647382003</v>
      </c>
      <c r="H2045" s="5">
        <f>IFERROR(__xludf.DUMMYFUNCTION("""COMPUTED_VALUE"""),0.590964590964591)</f>
        <v>0.590964591</v>
      </c>
      <c r="I2045" s="11">
        <f>IFERROR(__xludf.DUMMYFUNCTION("""COMPUTED_VALUE"""),5861.4977614977615)</f>
        <v>5861.497761</v>
      </c>
      <c r="J2045" s="10">
        <f>IFERROR(__xludf.DUMMYFUNCTION("""COMPUTED_VALUE"""),0.0)</f>
        <v>0</v>
      </c>
      <c r="K2045" s="5">
        <f>IFERROR(__xludf.DUMMYFUNCTION("""COMPUTED_VALUE"""),0.0)</f>
        <v>0</v>
      </c>
      <c r="L2045" s="10">
        <f>IFERROR(__xludf.DUMMYFUNCTION("""COMPUTED_VALUE"""),0.0)</f>
        <v>0</v>
      </c>
      <c r="M2045" s="5">
        <f>IFERROR(__xludf.DUMMYFUNCTION("""COMPUTED_VALUE"""),0.0)</f>
        <v>0</v>
      </c>
    </row>
    <row r="2046">
      <c r="A2046" s="10" t="str">
        <f>IFERROR(__xludf.DUMMYFUNCTION("""COMPUTED_VALUE"""),"飛べない魚３")</f>
        <v>飛べない魚３</v>
      </c>
      <c r="B2046" s="10">
        <f>IFERROR(__xludf.DUMMYFUNCTION("""COMPUTED_VALUE"""),586.0)</f>
        <v>586</v>
      </c>
      <c r="C2046" s="10">
        <f>IFERROR(__xludf.DUMMYFUNCTION("""COMPUTED_VALUE"""),6884.0)</f>
        <v>6884</v>
      </c>
      <c r="D2046" s="5">
        <f>IFERROR(__xludf.DUMMYFUNCTION("""COMPUTED_VALUE"""),0.30724039377580187)</f>
        <v>0.3072403938</v>
      </c>
      <c r="E2046" s="5">
        <f>IFERROR(__xludf.DUMMYFUNCTION("""COMPUTED_VALUE"""),0.13210543029533184)</f>
        <v>0.1321054303</v>
      </c>
      <c r="F2046" s="5">
        <f>IFERROR(__xludf.DUMMYFUNCTION("""COMPUTED_VALUE"""),0.21308351857732613)</f>
        <v>0.2130835186</v>
      </c>
      <c r="G2046" s="5">
        <f>IFERROR(__xludf.DUMMYFUNCTION("""COMPUTED_VALUE"""),0.19657033979040966)</f>
        <v>0.1965703398</v>
      </c>
      <c r="H2046" s="5">
        <f>IFERROR(__xludf.DUMMYFUNCTION("""COMPUTED_VALUE"""),0.5968703427719821)</f>
        <v>0.5968703428</v>
      </c>
      <c r="I2046" s="11">
        <f>IFERROR(__xludf.DUMMYFUNCTION("""COMPUTED_VALUE"""),5756.855439642325)</f>
        <v>5756.85544</v>
      </c>
      <c r="J2046" s="10">
        <f>IFERROR(__xludf.DUMMYFUNCTION("""COMPUTED_VALUE"""),0.0)</f>
        <v>0</v>
      </c>
      <c r="K2046" s="5">
        <f>IFERROR(__xludf.DUMMYFUNCTION("""COMPUTED_VALUE"""),0.0)</f>
        <v>0</v>
      </c>
      <c r="L2046" s="10">
        <f>IFERROR(__xludf.DUMMYFUNCTION("""COMPUTED_VALUE"""),586.0)</f>
        <v>586</v>
      </c>
      <c r="M2046" s="5">
        <f>IFERROR(__xludf.DUMMYFUNCTION("""COMPUTED_VALUE"""),1.0)</f>
        <v>1</v>
      </c>
    </row>
    <row r="2047">
      <c r="A2047" s="10" t="str">
        <f>IFERROR(__xludf.DUMMYFUNCTION("""COMPUTED_VALUE"""),"kjazz3")</f>
        <v>kjazz3</v>
      </c>
      <c r="B2047" s="10">
        <f>IFERROR(__xludf.DUMMYFUNCTION("""COMPUTED_VALUE"""),1324.0)</f>
        <v>1324</v>
      </c>
      <c r="C2047" s="10">
        <f>IFERROR(__xludf.DUMMYFUNCTION("""COMPUTED_VALUE"""),15404.0)</f>
        <v>15404</v>
      </c>
      <c r="D2047" s="5">
        <f>IFERROR(__xludf.DUMMYFUNCTION("""COMPUTED_VALUE"""),0.3594460227272727)</f>
        <v>0.3594460227</v>
      </c>
      <c r="E2047" s="5">
        <f>IFERROR(__xludf.DUMMYFUNCTION("""COMPUTED_VALUE"""),0.13210227272727273)</f>
        <v>0.1321022727</v>
      </c>
      <c r="F2047" s="5">
        <f>IFERROR(__xludf.DUMMYFUNCTION("""COMPUTED_VALUE"""),0.21086647727272728)</f>
        <v>0.2108664773</v>
      </c>
      <c r="G2047" s="5">
        <f>IFERROR(__xludf.DUMMYFUNCTION("""COMPUTED_VALUE"""),0.17137784090909092)</f>
        <v>0.1713778409</v>
      </c>
      <c r="H2047" s="5">
        <f>IFERROR(__xludf.DUMMYFUNCTION("""COMPUTED_VALUE"""),0.6076119905692152)</f>
        <v>0.6076119906</v>
      </c>
      <c r="I2047" s="11">
        <f>IFERROR(__xludf.DUMMYFUNCTION("""COMPUTED_VALUE"""),5569.6530818457395)</f>
        <v>5569.653082</v>
      </c>
      <c r="J2047" s="10">
        <f>IFERROR(__xludf.DUMMYFUNCTION("""COMPUTED_VALUE"""),3.0)</f>
        <v>3</v>
      </c>
      <c r="K2047" s="5">
        <f>IFERROR(__xludf.DUMMYFUNCTION("""COMPUTED_VALUE"""),0.0022658610271903325)</f>
        <v>0.002265861027</v>
      </c>
      <c r="L2047" s="10">
        <f>IFERROR(__xludf.DUMMYFUNCTION("""COMPUTED_VALUE"""),1324.0)</f>
        <v>1324</v>
      </c>
      <c r="M2047" s="5">
        <f>IFERROR(__xludf.DUMMYFUNCTION("""COMPUTED_VALUE"""),1.0)</f>
        <v>1</v>
      </c>
    </row>
    <row r="2048">
      <c r="A2048" s="10" t="str">
        <f>IFERROR(__xludf.DUMMYFUNCTION("""COMPUTED_VALUE"""),"まーくざいん")</f>
        <v>まーくざいん</v>
      </c>
      <c r="B2048" s="10">
        <f>IFERROR(__xludf.DUMMYFUNCTION("""COMPUTED_VALUE"""),2098.0)</f>
        <v>2098</v>
      </c>
      <c r="C2048" s="10">
        <f>IFERROR(__xludf.DUMMYFUNCTION("""COMPUTED_VALUE"""),24437.0)</f>
        <v>24437</v>
      </c>
      <c r="D2048" s="5">
        <f>IFERROR(__xludf.DUMMYFUNCTION("""COMPUTED_VALUE"""),0.34746407627915304)</f>
        <v>0.3474640763</v>
      </c>
      <c r="E2048" s="5">
        <f>IFERROR(__xludf.DUMMYFUNCTION("""COMPUTED_VALUE"""),0.13210081024217735)</f>
        <v>0.1321008102</v>
      </c>
      <c r="F2048" s="5">
        <f>IFERROR(__xludf.DUMMYFUNCTION("""COMPUTED_VALUE"""),0.21733291552889566)</f>
        <v>0.2173329155</v>
      </c>
      <c r="G2048" s="5">
        <f>IFERROR(__xludf.DUMMYFUNCTION("""COMPUTED_VALUE"""),0.19320470925287614)</f>
        <v>0.1932047093</v>
      </c>
      <c r="H2048" s="5">
        <f>IFERROR(__xludf.DUMMYFUNCTION("""COMPUTED_VALUE"""),0.5977342945417096)</f>
        <v>0.5977342945</v>
      </c>
      <c r="I2048" s="11">
        <f>IFERROR(__xludf.DUMMYFUNCTION("""COMPUTED_VALUE"""),5686.694129763131)</f>
        <v>5686.69413</v>
      </c>
      <c r="J2048" s="10">
        <f>IFERROR(__xludf.DUMMYFUNCTION("""COMPUTED_VALUE"""),2.0)</f>
        <v>2</v>
      </c>
      <c r="K2048" s="5">
        <f>IFERROR(__xludf.DUMMYFUNCTION("""COMPUTED_VALUE"""),9.532888465204957E-4)</f>
        <v>0.0009532888465</v>
      </c>
      <c r="L2048" s="10">
        <f>IFERROR(__xludf.DUMMYFUNCTION("""COMPUTED_VALUE"""),2098.0)</f>
        <v>2098</v>
      </c>
      <c r="M2048" s="5">
        <f>IFERROR(__xludf.DUMMYFUNCTION("""COMPUTED_VALUE"""),1.0)</f>
        <v>1</v>
      </c>
    </row>
    <row r="2049">
      <c r="A2049" s="10" t="str">
        <f>IFERROR(__xludf.DUMMYFUNCTION("""COMPUTED_VALUE"""),"たっぴー")</f>
        <v>たっぴー</v>
      </c>
      <c r="B2049" s="10">
        <f>IFERROR(__xludf.DUMMYFUNCTION("""COMPUTED_VALUE"""),497.0)</f>
        <v>497</v>
      </c>
      <c r="C2049" s="10">
        <f>IFERROR(__xludf.DUMMYFUNCTION("""COMPUTED_VALUE"""),5857.0)</f>
        <v>5857</v>
      </c>
      <c r="D2049" s="5">
        <f>IFERROR(__xludf.DUMMYFUNCTION("""COMPUTED_VALUE"""),0.3710820895522388)</f>
        <v>0.3710820896</v>
      </c>
      <c r="E2049" s="5">
        <f>IFERROR(__xludf.DUMMYFUNCTION("""COMPUTED_VALUE"""),0.13208955223880597)</f>
        <v>0.1320895522</v>
      </c>
      <c r="F2049" s="5">
        <f>IFERROR(__xludf.DUMMYFUNCTION("""COMPUTED_VALUE"""),0.21343283582089553)</f>
        <v>0.2134328358</v>
      </c>
      <c r="G2049" s="5">
        <f>IFERROR(__xludf.DUMMYFUNCTION("""COMPUTED_VALUE"""),0.17854477611940298)</f>
        <v>0.1785447761</v>
      </c>
      <c r="H2049" s="5">
        <f>IFERROR(__xludf.DUMMYFUNCTION("""COMPUTED_VALUE"""),0.5585664335664335)</f>
        <v>0.5585664336</v>
      </c>
      <c r="I2049" s="11">
        <f>IFERROR(__xludf.DUMMYFUNCTION("""COMPUTED_VALUE"""),5694.143356643357)</f>
        <v>5694.143357</v>
      </c>
      <c r="J2049" s="10">
        <f>IFERROR(__xludf.DUMMYFUNCTION("""COMPUTED_VALUE"""),1.0)</f>
        <v>1</v>
      </c>
      <c r="K2049" s="5">
        <f>IFERROR(__xludf.DUMMYFUNCTION("""COMPUTED_VALUE"""),0.002012072434607646)</f>
        <v>0.002012072435</v>
      </c>
      <c r="L2049" s="10">
        <f>IFERROR(__xludf.DUMMYFUNCTION("""COMPUTED_VALUE"""),497.0)</f>
        <v>497</v>
      </c>
      <c r="M2049" s="5">
        <f>IFERROR(__xludf.DUMMYFUNCTION("""COMPUTED_VALUE"""),1.0)</f>
        <v>1</v>
      </c>
    </row>
    <row r="2050">
      <c r="A2050" s="10" t="str">
        <f>IFERROR(__xludf.DUMMYFUNCTION("""COMPUTED_VALUE"""),"純米フレンズ")</f>
        <v>純米フレンズ</v>
      </c>
      <c r="B2050" s="10">
        <f>IFERROR(__xludf.DUMMYFUNCTION("""COMPUTED_VALUE"""),644.0)</f>
        <v>644</v>
      </c>
      <c r="C2050" s="10">
        <f>IFERROR(__xludf.DUMMYFUNCTION("""COMPUTED_VALUE"""),7534.0)</f>
        <v>7534</v>
      </c>
      <c r="D2050" s="5">
        <f>IFERROR(__xludf.DUMMYFUNCTION("""COMPUTED_VALUE"""),0.36661828737300434)</f>
        <v>0.3666182874</v>
      </c>
      <c r="E2050" s="5">
        <f>IFERROR(__xludf.DUMMYFUNCTION("""COMPUTED_VALUE"""),0.1320754716981132)</f>
        <v>0.1320754717</v>
      </c>
      <c r="F2050" s="5">
        <f>IFERROR(__xludf.DUMMYFUNCTION("""COMPUTED_VALUE"""),0.21480406386066764)</f>
        <v>0.2148040639</v>
      </c>
      <c r="G2050" s="5">
        <f>IFERROR(__xludf.DUMMYFUNCTION("""COMPUTED_VALUE"""),0.19390420899854863)</f>
        <v>0.193904209</v>
      </c>
      <c r="H2050" s="5">
        <f>IFERROR(__xludf.DUMMYFUNCTION("""COMPUTED_VALUE"""),0.5871621621621622)</f>
        <v>0.5871621622</v>
      </c>
      <c r="I2050" s="11">
        <f>IFERROR(__xludf.DUMMYFUNCTION("""COMPUTED_VALUE"""),5638.648648648648)</f>
        <v>5638.648649</v>
      </c>
      <c r="J2050" s="10">
        <f>IFERROR(__xludf.DUMMYFUNCTION("""COMPUTED_VALUE"""),0.0)</f>
        <v>0</v>
      </c>
      <c r="K2050" s="5">
        <f>IFERROR(__xludf.DUMMYFUNCTION("""COMPUTED_VALUE"""),0.0)</f>
        <v>0</v>
      </c>
      <c r="L2050" s="10">
        <f>IFERROR(__xludf.DUMMYFUNCTION("""COMPUTED_VALUE"""),644.0)</f>
        <v>644</v>
      </c>
      <c r="M2050" s="5">
        <f>IFERROR(__xludf.DUMMYFUNCTION("""COMPUTED_VALUE"""),1.0)</f>
        <v>1</v>
      </c>
    </row>
    <row r="2051">
      <c r="A2051" s="10" t="str">
        <f>IFERROR(__xludf.DUMMYFUNCTION("""COMPUTED_VALUE"""),"Iceman")</f>
        <v>Iceman</v>
      </c>
      <c r="B2051" s="10">
        <f>IFERROR(__xludf.DUMMYFUNCTION("""COMPUTED_VALUE"""),710.0)</f>
        <v>710</v>
      </c>
      <c r="C2051" s="10">
        <f>IFERROR(__xludf.DUMMYFUNCTION("""COMPUTED_VALUE"""),8289.0)</f>
        <v>8289</v>
      </c>
      <c r="D2051" s="5">
        <f>IFERROR(__xludf.DUMMYFUNCTION("""COMPUTED_VALUE"""),0.34054624620662355)</f>
        <v>0.3405462462</v>
      </c>
      <c r="E2051" s="5">
        <f>IFERROR(__xludf.DUMMYFUNCTION("""COMPUTED_VALUE"""),0.1320754716981132)</f>
        <v>0.1320754717</v>
      </c>
      <c r="F2051" s="5">
        <f>IFERROR(__xludf.DUMMYFUNCTION("""COMPUTED_VALUE"""),0.21308879799445837)</f>
        <v>0.213088798</v>
      </c>
      <c r="G2051" s="5">
        <f>IFERROR(__xludf.DUMMYFUNCTION("""COMPUTED_VALUE"""),0.1637419184588996)</f>
        <v>0.1637419185</v>
      </c>
      <c r="H2051" s="5">
        <f>IFERROR(__xludf.DUMMYFUNCTION("""COMPUTED_VALUE"""),0.6061919504643963)</f>
        <v>0.6061919505</v>
      </c>
      <c r="I2051" s="11">
        <f>IFERROR(__xludf.DUMMYFUNCTION("""COMPUTED_VALUE"""),5795.170278637771)</f>
        <v>5795.170279</v>
      </c>
      <c r="J2051" s="10">
        <f>IFERROR(__xludf.DUMMYFUNCTION("""COMPUTED_VALUE"""),0.0)</f>
        <v>0</v>
      </c>
      <c r="K2051" s="5">
        <f>IFERROR(__xludf.DUMMYFUNCTION("""COMPUTED_VALUE"""),0.0)</f>
        <v>0</v>
      </c>
      <c r="L2051" s="10">
        <f>IFERROR(__xludf.DUMMYFUNCTION("""COMPUTED_VALUE"""),710.0)</f>
        <v>710</v>
      </c>
      <c r="M2051" s="5">
        <f>IFERROR(__xludf.DUMMYFUNCTION("""COMPUTED_VALUE"""),1.0)</f>
        <v>1</v>
      </c>
    </row>
    <row r="2052">
      <c r="A2052" s="10" t="str">
        <f>IFERROR(__xludf.DUMMYFUNCTION("""COMPUTED_VALUE"""),"小枝")</f>
        <v>小枝</v>
      </c>
      <c r="B2052" s="10">
        <f>IFERROR(__xludf.DUMMYFUNCTION("""COMPUTED_VALUE"""),202.0)</f>
        <v>202</v>
      </c>
      <c r="C2052" s="10">
        <f>IFERROR(__xludf.DUMMYFUNCTION("""COMPUTED_VALUE"""),2360.0)</f>
        <v>2360</v>
      </c>
      <c r="D2052" s="5">
        <f>IFERROR(__xludf.DUMMYFUNCTION("""COMPUTED_VALUE"""),0.247451343836886)</f>
        <v>0.2474513438</v>
      </c>
      <c r="E2052" s="5">
        <f>IFERROR(__xludf.DUMMYFUNCTION("""COMPUTED_VALUE"""),0.13206672845227063)</f>
        <v>0.1320667285</v>
      </c>
      <c r="F2052" s="5">
        <f>IFERROR(__xludf.DUMMYFUNCTION("""COMPUTED_VALUE"""),0.19925857275254866)</f>
        <v>0.1992585728</v>
      </c>
      <c r="G2052" s="5">
        <f>IFERROR(__xludf.DUMMYFUNCTION("""COMPUTED_VALUE"""),0.18906394810009267)</f>
        <v>0.1890639481</v>
      </c>
      <c r="H2052" s="5">
        <f>IFERROR(__xludf.DUMMYFUNCTION("""COMPUTED_VALUE"""),0.5767441860465117)</f>
        <v>0.576744186</v>
      </c>
      <c r="I2052" s="11">
        <f>IFERROR(__xludf.DUMMYFUNCTION("""COMPUTED_VALUE"""),5919.767441860465)</f>
        <v>5919.767442</v>
      </c>
      <c r="J2052" s="10">
        <f>IFERROR(__xludf.DUMMYFUNCTION("""COMPUTED_VALUE"""),0.0)</f>
        <v>0</v>
      </c>
      <c r="K2052" s="5">
        <f>IFERROR(__xludf.DUMMYFUNCTION("""COMPUTED_VALUE"""),0.0)</f>
        <v>0</v>
      </c>
      <c r="L2052" s="10">
        <f>IFERROR(__xludf.DUMMYFUNCTION("""COMPUTED_VALUE"""),202.0)</f>
        <v>202</v>
      </c>
      <c r="M2052" s="5">
        <f>IFERROR(__xludf.DUMMYFUNCTION("""COMPUTED_VALUE"""),1.0)</f>
        <v>1</v>
      </c>
    </row>
    <row r="2053">
      <c r="A2053" s="10" t="str">
        <f>IFERROR(__xludf.DUMMYFUNCTION("""COMPUTED_VALUE"""),"でん⑥")</f>
        <v>でん⑥</v>
      </c>
      <c r="B2053" s="10">
        <f>IFERROR(__xludf.DUMMYFUNCTION("""COMPUTED_VALUE"""),187.0)</f>
        <v>187</v>
      </c>
      <c r="C2053" s="10">
        <f>IFERROR(__xludf.DUMMYFUNCTION("""COMPUTED_VALUE"""),2133.0)</f>
        <v>2133</v>
      </c>
      <c r="D2053" s="5">
        <f>IFERROR(__xludf.DUMMYFUNCTION("""COMPUTED_VALUE"""),0.37050359712230213)</f>
        <v>0.3705035971</v>
      </c>
      <c r="E2053" s="5">
        <f>IFERROR(__xludf.DUMMYFUNCTION("""COMPUTED_VALUE"""),0.13206577595066804)</f>
        <v>0.132065776</v>
      </c>
      <c r="F2053" s="5">
        <f>IFERROR(__xludf.DUMMYFUNCTION("""COMPUTED_VALUE"""),0.2117163412127441)</f>
        <v>0.2117163412</v>
      </c>
      <c r="G2053" s="5">
        <f>IFERROR(__xludf.DUMMYFUNCTION("""COMPUTED_VALUE"""),0.1932168550873587)</f>
        <v>0.1932168551</v>
      </c>
      <c r="H2053" s="5">
        <f>IFERROR(__xludf.DUMMYFUNCTION("""COMPUTED_VALUE"""),0.616504854368932)</f>
        <v>0.6165048544</v>
      </c>
      <c r="I2053" s="11">
        <f>IFERROR(__xludf.DUMMYFUNCTION("""COMPUTED_VALUE"""),5408.73786407767)</f>
        <v>5408.737864</v>
      </c>
      <c r="J2053" s="10">
        <f>IFERROR(__xludf.DUMMYFUNCTION("""COMPUTED_VALUE"""),0.0)</f>
        <v>0</v>
      </c>
      <c r="K2053" s="5">
        <f>IFERROR(__xludf.DUMMYFUNCTION("""COMPUTED_VALUE"""),0.0)</f>
        <v>0</v>
      </c>
      <c r="L2053" s="10">
        <f>IFERROR(__xludf.DUMMYFUNCTION("""COMPUTED_VALUE"""),187.0)</f>
        <v>187</v>
      </c>
      <c r="M2053" s="5">
        <f>IFERROR(__xludf.DUMMYFUNCTION("""COMPUTED_VALUE"""),1.0)</f>
        <v>1</v>
      </c>
    </row>
    <row r="2054">
      <c r="A2054" s="10" t="str">
        <f>IFERROR(__xludf.DUMMYFUNCTION("""COMPUTED_VALUE"""),"みかん＠わかめて")</f>
        <v>みかん＠わかめて</v>
      </c>
      <c r="B2054" s="10">
        <f>IFERROR(__xludf.DUMMYFUNCTION("""COMPUTED_VALUE"""),1500.0)</f>
        <v>1500</v>
      </c>
      <c r="C2054" s="10">
        <f>IFERROR(__xludf.DUMMYFUNCTION("""COMPUTED_VALUE"""),17689.0)</f>
        <v>17689</v>
      </c>
      <c r="D2054" s="5">
        <f>IFERROR(__xludf.DUMMYFUNCTION("""COMPUTED_VALUE"""),0.4046574834764346)</f>
        <v>0.4046574835</v>
      </c>
      <c r="E2054" s="5">
        <f>IFERROR(__xludf.DUMMYFUNCTION("""COMPUTED_VALUE"""),0.1320649823954537)</f>
        <v>0.1320649824</v>
      </c>
      <c r="F2054" s="5">
        <f>IFERROR(__xludf.DUMMYFUNCTION("""COMPUTED_VALUE"""),0.22694422138489098)</f>
        <v>0.2269442214</v>
      </c>
      <c r="G2054" s="5">
        <f>IFERROR(__xludf.DUMMYFUNCTION("""COMPUTED_VALUE"""),0.19087034406078202)</f>
        <v>0.1908703441</v>
      </c>
      <c r="H2054" s="5">
        <f>IFERROR(__xludf.DUMMYFUNCTION("""COMPUTED_VALUE"""),0.5944474686989657)</f>
        <v>0.5944474687</v>
      </c>
      <c r="I2054" s="11">
        <f>IFERROR(__xludf.DUMMYFUNCTION("""COMPUTED_VALUE"""),5496.76102340773)</f>
        <v>5496.761023</v>
      </c>
      <c r="J2054" s="10">
        <f>IFERROR(__xludf.DUMMYFUNCTION("""COMPUTED_VALUE"""),3.0)</f>
        <v>3</v>
      </c>
      <c r="K2054" s="5">
        <f>IFERROR(__xludf.DUMMYFUNCTION("""COMPUTED_VALUE"""),0.002)</f>
        <v>0.002</v>
      </c>
      <c r="L2054" s="10">
        <f>IFERROR(__xludf.DUMMYFUNCTION("""COMPUTED_VALUE"""),1496.0)</f>
        <v>1496</v>
      </c>
      <c r="M2054" s="5">
        <f>IFERROR(__xludf.DUMMYFUNCTION("""COMPUTED_VALUE"""),0.9973333333333333)</f>
        <v>0.9973333333</v>
      </c>
    </row>
    <row r="2055">
      <c r="A2055" s="10" t="str">
        <f>IFERROR(__xludf.DUMMYFUNCTION("""COMPUTED_VALUE"""),"赤裏ホシーノ")</f>
        <v>赤裏ホシーノ</v>
      </c>
      <c r="B2055" s="10">
        <f>IFERROR(__xludf.DUMMYFUNCTION("""COMPUTED_VALUE"""),2226.0)</f>
        <v>2226</v>
      </c>
      <c r="C2055" s="10">
        <f>IFERROR(__xludf.DUMMYFUNCTION("""COMPUTED_VALUE"""),26071.0)</f>
        <v>26071</v>
      </c>
      <c r="D2055" s="5">
        <f>IFERROR(__xludf.DUMMYFUNCTION("""COMPUTED_VALUE"""),0.3018662193331935)</f>
        <v>0.3018662193</v>
      </c>
      <c r="E2055" s="5">
        <f>IFERROR(__xludf.DUMMYFUNCTION("""COMPUTED_VALUE"""),0.13206122876913398)</f>
        <v>0.1320612288</v>
      </c>
      <c r="F2055" s="5">
        <f>IFERROR(__xludf.DUMMYFUNCTION("""COMPUTED_VALUE"""),0.20272593835185573)</f>
        <v>0.2027259384</v>
      </c>
      <c r="G2055" s="5">
        <f>IFERROR(__xludf.DUMMYFUNCTION("""COMPUTED_VALUE"""),0.14770392115747535)</f>
        <v>0.1477039212</v>
      </c>
      <c r="H2055" s="5">
        <f>IFERROR(__xludf.DUMMYFUNCTION("""COMPUTED_VALUE"""),0.6021928009929665)</f>
        <v>0.602192801</v>
      </c>
      <c r="I2055" s="11">
        <f>IFERROR(__xludf.DUMMYFUNCTION("""COMPUTED_VALUE"""),5989.429044269756)</f>
        <v>5989.429044</v>
      </c>
      <c r="J2055" s="10">
        <f>IFERROR(__xludf.DUMMYFUNCTION("""COMPUTED_VALUE"""),3.0)</f>
        <v>3</v>
      </c>
      <c r="K2055" s="5">
        <f>IFERROR(__xludf.DUMMYFUNCTION("""COMPUTED_VALUE"""),0.0013477088948787063)</f>
        <v>0.001347708895</v>
      </c>
      <c r="L2055" s="10">
        <f>IFERROR(__xludf.DUMMYFUNCTION("""COMPUTED_VALUE"""),2226.0)</f>
        <v>2226</v>
      </c>
      <c r="M2055" s="5">
        <f>IFERROR(__xludf.DUMMYFUNCTION("""COMPUTED_VALUE"""),1.0)</f>
        <v>1</v>
      </c>
    </row>
    <row r="2056">
      <c r="A2056" s="10" t="str">
        <f>IFERROR(__xludf.DUMMYFUNCTION("""COMPUTED_VALUE"""),"れぃら")</f>
        <v>れぃら</v>
      </c>
      <c r="B2056" s="10">
        <f>IFERROR(__xludf.DUMMYFUNCTION("""COMPUTED_VALUE"""),367.0)</f>
        <v>367</v>
      </c>
      <c r="C2056" s="10">
        <f>IFERROR(__xludf.DUMMYFUNCTION("""COMPUTED_VALUE"""),4244.0)</f>
        <v>4244</v>
      </c>
      <c r="D2056" s="5">
        <f>IFERROR(__xludf.DUMMYFUNCTION("""COMPUTED_VALUE"""),0.338663915398504)</f>
        <v>0.3386639154</v>
      </c>
      <c r="E2056" s="5">
        <f>IFERROR(__xludf.DUMMYFUNCTION("""COMPUTED_VALUE"""),0.13206087180809906)</f>
        <v>0.1320608718</v>
      </c>
      <c r="F2056" s="5">
        <f>IFERROR(__xludf.DUMMYFUNCTION("""COMPUTED_VALUE"""),0.20944028888315708)</f>
        <v>0.2094402889</v>
      </c>
      <c r="G2056" s="5">
        <f>IFERROR(__xludf.DUMMYFUNCTION("""COMPUTED_VALUE"""),0.1730719628578798)</f>
        <v>0.1730719629</v>
      </c>
      <c r="H2056" s="5">
        <f>IFERROR(__xludf.DUMMYFUNCTION("""COMPUTED_VALUE"""),0.6133004926108374)</f>
        <v>0.6133004926</v>
      </c>
      <c r="I2056" s="11">
        <f>IFERROR(__xludf.DUMMYFUNCTION("""COMPUTED_VALUE"""),5708.4975369458125)</f>
        <v>5708.497537</v>
      </c>
      <c r="J2056" s="10">
        <f>IFERROR(__xludf.DUMMYFUNCTION("""COMPUTED_VALUE"""),1.0)</f>
        <v>1</v>
      </c>
      <c r="K2056" s="5">
        <f>IFERROR(__xludf.DUMMYFUNCTION("""COMPUTED_VALUE"""),0.0027247956403269754)</f>
        <v>0.00272479564</v>
      </c>
      <c r="L2056" s="10">
        <f>IFERROR(__xludf.DUMMYFUNCTION("""COMPUTED_VALUE"""),82.0)</f>
        <v>82</v>
      </c>
      <c r="M2056" s="5">
        <f>IFERROR(__xludf.DUMMYFUNCTION("""COMPUTED_VALUE"""),0.22343324250681199)</f>
        <v>0.2234332425</v>
      </c>
    </row>
    <row r="2057">
      <c r="A2057" s="10" t="str">
        <f>IFERROR(__xludf.DUMMYFUNCTION("""COMPUTED_VALUE"""),"チバユウスケ")</f>
        <v>チバユウスケ</v>
      </c>
      <c r="B2057" s="10">
        <f>IFERROR(__xludf.DUMMYFUNCTION("""COMPUTED_VALUE"""),201.0)</f>
        <v>201</v>
      </c>
      <c r="C2057" s="10">
        <f>IFERROR(__xludf.DUMMYFUNCTION("""COMPUTED_VALUE"""),2420.0)</f>
        <v>2420</v>
      </c>
      <c r="D2057" s="5">
        <f>IFERROR(__xludf.DUMMYFUNCTION("""COMPUTED_VALUE"""),0.32086525461919785)</f>
        <v>0.3208652546</v>
      </c>
      <c r="E2057" s="5">
        <f>IFERROR(__xludf.DUMMYFUNCTION("""COMPUTED_VALUE"""),0.13204146011716988)</f>
        <v>0.1320414601</v>
      </c>
      <c r="F2057" s="5">
        <f>IFERROR(__xludf.DUMMYFUNCTION("""COMPUTED_VALUE"""),0.22307345651194233)</f>
        <v>0.2230734565</v>
      </c>
      <c r="G2057" s="5">
        <f>IFERROR(__xludf.DUMMYFUNCTION("""COMPUTED_VALUE"""),0.18702118071203244)</f>
        <v>0.1870211807</v>
      </c>
      <c r="H2057" s="5">
        <f>IFERROR(__xludf.DUMMYFUNCTION("""COMPUTED_VALUE"""),0.5494949494949495)</f>
        <v>0.5494949495</v>
      </c>
      <c r="I2057" s="11">
        <f>IFERROR(__xludf.DUMMYFUNCTION("""COMPUTED_VALUE"""),5549.89898989899)</f>
        <v>5549.89899</v>
      </c>
      <c r="J2057" s="10">
        <f>IFERROR(__xludf.DUMMYFUNCTION("""COMPUTED_VALUE"""),0.0)</f>
        <v>0</v>
      </c>
      <c r="K2057" s="5">
        <f>IFERROR(__xludf.DUMMYFUNCTION("""COMPUTED_VALUE"""),0.0)</f>
        <v>0</v>
      </c>
      <c r="L2057" s="10">
        <f>IFERROR(__xludf.DUMMYFUNCTION("""COMPUTED_VALUE"""),201.0)</f>
        <v>201</v>
      </c>
      <c r="M2057" s="5">
        <f>IFERROR(__xludf.DUMMYFUNCTION("""COMPUTED_VALUE"""),1.0)</f>
        <v>1</v>
      </c>
    </row>
    <row r="2058">
      <c r="A2058" s="10" t="str">
        <f>IFERROR(__xludf.DUMMYFUNCTION("""COMPUTED_VALUE"""),"玄米")</f>
        <v>玄米</v>
      </c>
      <c r="B2058" s="10">
        <f>IFERROR(__xludf.DUMMYFUNCTION("""COMPUTED_VALUE"""),305.0)</f>
        <v>305</v>
      </c>
      <c r="C2058" s="10">
        <f>IFERROR(__xludf.DUMMYFUNCTION("""COMPUTED_VALUE"""),3524.0)</f>
        <v>3524</v>
      </c>
      <c r="D2058" s="5">
        <f>IFERROR(__xludf.DUMMYFUNCTION("""COMPUTED_VALUE"""),0.3665734700217459)</f>
        <v>0.36657347</v>
      </c>
      <c r="E2058" s="5">
        <f>IFERROR(__xludf.DUMMYFUNCTION("""COMPUTED_VALUE"""),0.13202858030444237)</f>
        <v>0.1320285803</v>
      </c>
      <c r="F2058" s="5">
        <f>IFERROR(__xludf.DUMMYFUNCTION("""COMPUTED_VALUE"""),0.2140416278347313)</f>
        <v>0.2140416278</v>
      </c>
      <c r="G2058" s="5">
        <f>IFERROR(__xludf.DUMMYFUNCTION("""COMPUTED_VALUE"""),0.1814228021124573)</f>
        <v>0.1814228021</v>
      </c>
      <c r="H2058" s="5">
        <f>IFERROR(__xludf.DUMMYFUNCTION("""COMPUTED_VALUE"""),0.5921625544267054)</f>
        <v>0.5921625544</v>
      </c>
      <c r="I2058" s="11">
        <f>IFERROR(__xludf.DUMMYFUNCTION("""COMPUTED_VALUE"""),5401.741654571843)</f>
        <v>5401.741655</v>
      </c>
      <c r="J2058" s="10">
        <f>IFERROR(__xludf.DUMMYFUNCTION("""COMPUTED_VALUE"""),0.0)</f>
        <v>0</v>
      </c>
      <c r="K2058" s="5">
        <f>IFERROR(__xludf.DUMMYFUNCTION("""COMPUTED_VALUE"""),0.0)</f>
        <v>0</v>
      </c>
      <c r="L2058" s="10">
        <f>IFERROR(__xludf.DUMMYFUNCTION("""COMPUTED_VALUE"""),305.0)</f>
        <v>305</v>
      </c>
      <c r="M2058" s="5">
        <f>IFERROR(__xludf.DUMMYFUNCTION("""COMPUTED_VALUE"""),1.0)</f>
        <v>1</v>
      </c>
    </row>
    <row r="2059">
      <c r="A2059" s="10" t="str">
        <f>IFERROR(__xludf.DUMMYFUNCTION("""COMPUTED_VALUE"""),"Magia")</f>
        <v>Magia</v>
      </c>
      <c r="B2059" s="10">
        <f>IFERROR(__xludf.DUMMYFUNCTION("""COMPUTED_VALUE"""),337.0)</f>
        <v>337</v>
      </c>
      <c r="C2059" s="10">
        <f>IFERROR(__xludf.DUMMYFUNCTION("""COMPUTED_VALUE"""),3950.0)</f>
        <v>3950</v>
      </c>
      <c r="D2059" s="5">
        <f>IFERROR(__xludf.DUMMYFUNCTION("""COMPUTED_VALUE"""),0.3213396069748132)</f>
        <v>0.321339607</v>
      </c>
      <c r="E2059" s="5">
        <f>IFERROR(__xludf.DUMMYFUNCTION("""COMPUTED_VALUE"""),0.13202324937724882)</f>
        <v>0.1320232494</v>
      </c>
      <c r="F2059" s="5">
        <f>IFERROR(__xludf.DUMMYFUNCTION("""COMPUTED_VALUE"""),0.20675339053418212)</f>
        <v>0.2067533905</v>
      </c>
      <c r="G2059" s="5">
        <f>IFERROR(__xludf.DUMMYFUNCTION("""COMPUTED_VALUE"""),0.1832272349847772)</f>
        <v>0.183227235</v>
      </c>
      <c r="H2059" s="5">
        <f>IFERROR(__xludf.DUMMYFUNCTION("""COMPUTED_VALUE"""),0.6238286479250335)</f>
        <v>0.6238286479</v>
      </c>
      <c r="I2059" s="11">
        <f>IFERROR(__xludf.DUMMYFUNCTION("""COMPUTED_VALUE"""),5634.672021419009)</f>
        <v>5634.672021</v>
      </c>
      <c r="J2059" s="10">
        <f>IFERROR(__xludf.DUMMYFUNCTION("""COMPUTED_VALUE"""),0.0)</f>
        <v>0</v>
      </c>
      <c r="K2059" s="5">
        <f>IFERROR(__xludf.DUMMYFUNCTION("""COMPUTED_VALUE"""),0.0)</f>
        <v>0</v>
      </c>
      <c r="L2059" s="10">
        <f>IFERROR(__xludf.DUMMYFUNCTION("""COMPUTED_VALUE"""),337.0)</f>
        <v>337</v>
      </c>
      <c r="M2059" s="5">
        <f>IFERROR(__xludf.DUMMYFUNCTION("""COMPUTED_VALUE"""),1.0)</f>
        <v>1</v>
      </c>
    </row>
    <row r="2060">
      <c r="A2060" s="10" t="str">
        <f>IFERROR(__xludf.DUMMYFUNCTION("""COMPUTED_VALUE"""),"雲山")</f>
        <v>雲山</v>
      </c>
      <c r="B2060" s="10">
        <f>IFERROR(__xludf.DUMMYFUNCTION("""COMPUTED_VALUE"""),155.0)</f>
        <v>155</v>
      </c>
      <c r="C2060" s="10">
        <f>IFERROR(__xludf.DUMMYFUNCTION("""COMPUTED_VALUE"""),1882.0)</f>
        <v>1882</v>
      </c>
      <c r="D2060" s="5">
        <f>IFERROR(__xludf.DUMMYFUNCTION("""COMPUTED_VALUE"""),0.3885350318471338)</f>
        <v>0.3885350318</v>
      </c>
      <c r="E2060" s="5">
        <f>IFERROR(__xludf.DUMMYFUNCTION("""COMPUTED_VALUE"""),0.13202084539664158)</f>
        <v>0.1320208454</v>
      </c>
      <c r="F2060" s="5">
        <f>IFERROR(__xludf.DUMMYFUNCTION("""COMPUTED_VALUE"""),0.18818760856977418)</f>
        <v>0.1881876086</v>
      </c>
      <c r="G2060" s="5">
        <f>IFERROR(__xludf.DUMMYFUNCTION("""COMPUTED_VALUE"""),0.14765489287782282)</f>
        <v>0.1476548929</v>
      </c>
      <c r="H2060" s="5">
        <f>IFERROR(__xludf.DUMMYFUNCTION("""COMPUTED_VALUE"""),0.6030769230769231)</f>
        <v>0.6030769231</v>
      </c>
      <c r="I2060" s="11">
        <f>IFERROR(__xludf.DUMMYFUNCTION("""COMPUTED_VALUE"""),4983.076923076923)</f>
        <v>4983.076923</v>
      </c>
      <c r="J2060" s="10">
        <f>IFERROR(__xludf.DUMMYFUNCTION("""COMPUTED_VALUE"""),0.0)</f>
        <v>0</v>
      </c>
      <c r="K2060" s="5">
        <f>IFERROR(__xludf.DUMMYFUNCTION("""COMPUTED_VALUE"""),0.0)</f>
        <v>0</v>
      </c>
      <c r="L2060" s="10">
        <f>IFERROR(__xludf.DUMMYFUNCTION("""COMPUTED_VALUE"""),0.0)</f>
        <v>0</v>
      </c>
      <c r="M2060" s="5">
        <f>IFERROR(__xludf.DUMMYFUNCTION("""COMPUTED_VALUE"""),0.0)</f>
        <v>0</v>
      </c>
    </row>
    <row r="2061">
      <c r="A2061" s="10" t="str">
        <f>IFERROR(__xludf.DUMMYFUNCTION("""COMPUTED_VALUE"""),"kota＠kan")</f>
        <v>kota＠kan</v>
      </c>
      <c r="B2061" s="10">
        <f>IFERROR(__xludf.DUMMYFUNCTION("""COMPUTED_VALUE"""),202.0)</f>
        <v>202</v>
      </c>
      <c r="C2061" s="10">
        <f>IFERROR(__xludf.DUMMYFUNCTION("""COMPUTED_VALUE"""),2323.0)</f>
        <v>2323</v>
      </c>
      <c r="D2061" s="5">
        <f>IFERROR(__xludf.DUMMYFUNCTION("""COMPUTED_VALUE"""),0.30174446016030176)</f>
        <v>0.3017444602</v>
      </c>
      <c r="E2061" s="5">
        <f>IFERROR(__xludf.DUMMYFUNCTION("""COMPUTED_VALUE"""),0.132013201320132)</f>
        <v>0.1320132013</v>
      </c>
      <c r="F2061" s="5">
        <f>IFERROR(__xludf.DUMMYFUNCTION("""COMPUTED_VALUE"""),0.21074964639321075)</f>
        <v>0.2107496464</v>
      </c>
      <c r="G2061" s="5">
        <f>IFERROR(__xludf.DUMMYFUNCTION("""COMPUTED_VALUE"""),0.19283356907119284)</f>
        <v>0.1928335691</v>
      </c>
      <c r="H2061" s="5">
        <f>IFERROR(__xludf.DUMMYFUNCTION("""COMPUTED_VALUE"""),0.6196868008948546)</f>
        <v>0.6196868009</v>
      </c>
      <c r="I2061" s="11">
        <f>IFERROR(__xludf.DUMMYFUNCTION("""COMPUTED_VALUE"""),5933.557046979866)</f>
        <v>5933.557047</v>
      </c>
      <c r="J2061" s="10">
        <f>IFERROR(__xludf.DUMMYFUNCTION("""COMPUTED_VALUE"""),1.0)</f>
        <v>1</v>
      </c>
      <c r="K2061" s="5">
        <f>IFERROR(__xludf.DUMMYFUNCTION("""COMPUTED_VALUE"""),0.0049504950495049506)</f>
        <v>0.00495049505</v>
      </c>
      <c r="L2061" s="10">
        <f>IFERROR(__xludf.DUMMYFUNCTION("""COMPUTED_VALUE"""),202.0)</f>
        <v>202</v>
      </c>
      <c r="M2061" s="5">
        <f>IFERROR(__xludf.DUMMYFUNCTION("""COMPUTED_VALUE"""),1.0)</f>
        <v>1</v>
      </c>
    </row>
    <row r="2062">
      <c r="A2062" s="10" t="str">
        <f>IFERROR(__xludf.DUMMYFUNCTION("""COMPUTED_VALUE"""),"スカーレット")</f>
        <v>スカーレット</v>
      </c>
      <c r="B2062" s="10">
        <f>IFERROR(__xludf.DUMMYFUNCTION("""COMPUTED_VALUE"""),2374.0)</f>
        <v>2374</v>
      </c>
      <c r="C2062" s="10">
        <f>IFERROR(__xludf.DUMMYFUNCTION("""COMPUTED_VALUE"""),27713.0)</f>
        <v>27713</v>
      </c>
      <c r="D2062" s="5">
        <f>IFERROR(__xludf.DUMMYFUNCTION("""COMPUTED_VALUE"""),0.3579857137219306)</f>
        <v>0.3579857137</v>
      </c>
      <c r="E2062" s="5">
        <f>IFERROR(__xludf.DUMMYFUNCTION("""COMPUTED_VALUE"""),0.1320099451438494)</f>
        <v>0.1320099451</v>
      </c>
      <c r="F2062" s="5">
        <f>IFERROR(__xludf.DUMMYFUNCTION("""COMPUTED_VALUE"""),0.21382059276214532)</f>
        <v>0.2138205928</v>
      </c>
      <c r="G2062" s="5">
        <f>IFERROR(__xludf.DUMMYFUNCTION("""COMPUTED_VALUE"""),0.16993567228383125)</f>
        <v>0.1699356723</v>
      </c>
      <c r="H2062" s="5">
        <f>IFERROR(__xludf.DUMMYFUNCTION("""COMPUTED_VALUE"""),0.5941306755260244)</f>
        <v>0.5941306755</v>
      </c>
      <c r="I2062" s="11">
        <f>IFERROR(__xludf.DUMMYFUNCTION("""COMPUTED_VALUE"""),5464.21188630491)</f>
        <v>5464.211886</v>
      </c>
      <c r="J2062" s="10">
        <f>IFERROR(__xludf.DUMMYFUNCTION("""COMPUTED_VALUE"""),3.0)</f>
        <v>3</v>
      </c>
      <c r="K2062" s="5">
        <f>IFERROR(__xludf.DUMMYFUNCTION("""COMPUTED_VALUE"""),0.0012636899747262005)</f>
        <v>0.001263689975</v>
      </c>
      <c r="L2062" s="10">
        <f>IFERROR(__xludf.DUMMYFUNCTION("""COMPUTED_VALUE"""),2374.0)</f>
        <v>2374</v>
      </c>
      <c r="M2062" s="5">
        <f>IFERROR(__xludf.DUMMYFUNCTION("""COMPUTED_VALUE"""),1.0)</f>
        <v>1</v>
      </c>
    </row>
    <row r="2063">
      <c r="A2063" s="10" t="str">
        <f>IFERROR(__xludf.DUMMYFUNCTION("""COMPUTED_VALUE"""),"完腐脳")</f>
        <v>完腐脳</v>
      </c>
      <c r="B2063" s="10">
        <f>IFERROR(__xludf.DUMMYFUNCTION("""COMPUTED_VALUE"""),198.0)</f>
        <v>198</v>
      </c>
      <c r="C2063" s="10">
        <f>IFERROR(__xludf.DUMMYFUNCTION("""COMPUTED_VALUE"""),2304.0)</f>
        <v>2304</v>
      </c>
      <c r="D2063" s="5">
        <f>IFERROR(__xludf.DUMMYFUNCTION("""COMPUTED_VALUE"""),0.35944919278252613)</f>
        <v>0.3594491928</v>
      </c>
      <c r="E2063" s="5">
        <f>IFERROR(__xludf.DUMMYFUNCTION("""COMPUTED_VALUE"""),0.13200379867046533)</f>
        <v>0.1320037987</v>
      </c>
      <c r="F2063" s="5">
        <f>IFERROR(__xludf.DUMMYFUNCTION("""COMPUTED_VALUE"""),0.2022792022792023)</f>
        <v>0.2022792023</v>
      </c>
      <c r="G2063" s="5">
        <f>IFERROR(__xludf.DUMMYFUNCTION("""COMPUTED_VALUE"""),0.16049382716049382)</f>
        <v>0.1604938272</v>
      </c>
      <c r="H2063" s="5">
        <f>IFERROR(__xludf.DUMMYFUNCTION("""COMPUTED_VALUE"""),0.5751173708920188)</f>
        <v>0.5751173709</v>
      </c>
      <c r="I2063" s="11">
        <f>IFERROR(__xludf.DUMMYFUNCTION("""COMPUTED_VALUE"""),5589.671361502347)</f>
        <v>5589.671362</v>
      </c>
      <c r="J2063" s="10">
        <f>IFERROR(__xludf.DUMMYFUNCTION("""COMPUTED_VALUE"""),1.0)</f>
        <v>1</v>
      </c>
      <c r="K2063" s="5">
        <f>IFERROR(__xludf.DUMMYFUNCTION("""COMPUTED_VALUE"""),0.005050505050505051)</f>
        <v>0.005050505051</v>
      </c>
      <c r="L2063" s="10">
        <f>IFERROR(__xludf.DUMMYFUNCTION("""COMPUTED_VALUE"""),198.0)</f>
        <v>198</v>
      </c>
      <c r="M2063" s="5">
        <f>IFERROR(__xludf.DUMMYFUNCTION("""COMPUTED_VALUE"""),1.0)</f>
        <v>1</v>
      </c>
    </row>
    <row r="2064">
      <c r="A2064" s="10" t="str">
        <f>IFERROR(__xludf.DUMMYFUNCTION("""COMPUTED_VALUE"""),"蛙王国革命軍")</f>
        <v>蛙王国革命軍</v>
      </c>
      <c r="B2064" s="10">
        <f>IFERROR(__xludf.DUMMYFUNCTION("""COMPUTED_VALUE"""),586.0)</f>
        <v>586</v>
      </c>
      <c r="C2064" s="10">
        <f>IFERROR(__xludf.DUMMYFUNCTION("""COMPUTED_VALUE"""),6738.0)</f>
        <v>6738</v>
      </c>
      <c r="D2064" s="5">
        <f>IFERROR(__xludf.DUMMYFUNCTION("""COMPUTED_VALUE"""),0.35386866059817945)</f>
        <v>0.3538686606</v>
      </c>
      <c r="E2064" s="5">
        <f>IFERROR(__xludf.DUMMYFUNCTION("""COMPUTED_VALUE"""),0.13198959687906373)</f>
        <v>0.1319895969</v>
      </c>
      <c r="F2064" s="5">
        <f>IFERROR(__xludf.DUMMYFUNCTION("""COMPUTED_VALUE"""),0.21635240572171652)</f>
        <v>0.2163524057</v>
      </c>
      <c r="G2064" s="5">
        <f>IFERROR(__xludf.DUMMYFUNCTION("""COMPUTED_VALUE"""),0.18075422626788037)</f>
        <v>0.1807542263</v>
      </c>
      <c r="H2064" s="5">
        <f>IFERROR(__xludf.DUMMYFUNCTION("""COMPUTED_VALUE"""),0.594290007513148)</f>
        <v>0.5942900075</v>
      </c>
      <c r="I2064" s="11">
        <f>IFERROR(__xludf.DUMMYFUNCTION("""COMPUTED_VALUE"""),5988.429752066116)</f>
        <v>5988.429752</v>
      </c>
      <c r="J2064" s="10">
        <f>IFERROR(__xludf.DUMMYFUNCTION("""COMPUTED_VALUE"""),2.0)</f>
        <v>2</v>
      </c>
      <c r="K2064" s="5">
        <f>IFERROR(__xludf.DUMMYFUNCTION("""COMPUTED_VALUE"""),0.0034129692832764505)</f>
        <v>0.003412969283</v>
      </c>
      <c r="L2064" s="10">
        <f>IFERROR(__xludf.DUMMYFUNCTION("""COMPUTED_VALUE"""),68.0)</f>
        <v>68</v>
      </c>
      <c r="M2064" s="5">
        <f>IFERROR(__xludf.DUMMYFUNCTION("""COMPUTED_VALUE"""),0.11604095563139932)</f>
        <v>0.1160409556</v>
      </c>
    </row>
    <row r="2065">
      <c r="A2065" s="10" t="str">
        <f>IFERROR(__xludf.DUMMYFUNCTION("""COMPUTED_VALUE"""),"にょろーん試作機")</f>
        <v>にょろーん試作機</v>
      </c>
      <c r="B2065" s="10">
        <f>IFERROR(__xludf.DUMMYFUNCTION("""COMPUTED_VALUE"""),2355.0)</f>
        <v>2355</v>
      </c>
      <c r="C2065" s="10">
        <f>IFERROR(__xludf.DUMMYFUNCTION("""COMPUTED_VALUE"""),27359.0)</f>
        <v>27359</v>
      </c>
      <c r="D2065" s="5">
        <f>IFERROR(__xludf.DUMMYFUNCTION("""COMPUTED_VALUE"""),0.3776995680691089)</f>
        <v>0.3776995681</v>
      </c>
      <c r="E2065" s="5">
        <f>IFERROR(__xludf.DUMMYFUNCTION("""COMPUTED_VALUE"""),0.1319788833786594)</f>
        <v>0.1319788834</v>
      </c>
      <c r="F2065" s="5">
        <f>IFERROR(__xludf.DUMMYFUNCTION("""COMPUTED_VALUE"""),0.21604543273076307)</f>
        <v>0.2160454327</v>
      </c>
      <c r="G2065" s="5">
        <f>IFERROR(__xludf.DUMMYFUNCTION("""COMPUTED_VALUE"""),0.14637657974724044)</f>
        <v>0.1463765797</v>
      </c>
      <c r="H2065" s="5">
        <f>IFERROR(__xludf.DUMMYFUNCTION("""COMPUTED_VALUE"""),0.6049611255090707)</f>
        <v>0.6049611255</v>
      </c>
      <c r="I2065" s="11">
        <f>IFERROR(__xludf.DUMMYFUNCTION("""COMPUTED_VALUE"""),5483.968900407257)</f>
        <v>5483.9689</v>
      </c>
      <c r="J2065" s="10">
        <f>IFERROR(__xludf.DUMMYFUNCTION("""COMPUTED_VALUE"""),3.0)</f>
        <v>3</v>
      </c>
      <c r="K2065" s="5">
        <f>IFERROR(__xludf.DUMMYFUNCTION("""COMPUTED_VALUE"""),0.0012738853503184713)</f>
        <v>0.00127388535</v>
      </c>
      <c r="L2065" s="10">
        <f>IFERROR(__xludf.DUMMYFUNCTION("""COMPUTED_VALUE"""),2327.0)</f>
        <v>2327</v>
      </c>
      <c r="M2065" s="5">
        <f>IFERROR(__xludf.DUMMYFUNCTION("""COMPUTED_VALUE"""),0.9881104033970276)</f>
        <v>0.9881104034</v>
      </c>
    </row>
    <row r="2066">
      <c r="A2066" s="10" t="str">
        <f>IFERROR(__xludf.DUMMYFUNCTION("""COMPUTED_VALUE"""),"林スタイル")</f>
        <v>林スタイル</v>
      </c>
      <c r="B2066" s="10">
        <f>IFERROR(__xludf.DUMMYFUNCTION("""COMPUTED_VALUE"""),2148.0)</f>
        <v>2148</v>
      </c>
      <c r="C2066" s="10">
        <f>IFERROR(__xludf.DUMMYFUNCTION("""COMPUTED_VALUE"""),25138.0)</f>
        <v>25138</v>
      </c>
      <c r="D2066" s="5">
        <f>IFERROR(__xludf.DUMMYFUNCTION("""COMPUTED_VALUE"""),0.42514136581122225)</f>
        <v>0.4251413658</v>
      </c>
      <c r="E2066" s="5">
        <f>IFERROR(__xludf.DUMMYFUNCTION("""COMPUTED_VALUE"""),0.13197042192257502)</f>
        <v>0.1319704219</v>
      </c>
      <c r="F2066" s="5">
        <f>IFERROR(__xludf.DUMMYFUNCTION("""COMPUTED_VALUE"""),0.22235754675946062)</f>
        <v>0.2223575468</v>
      </c>
      <c r="G2066" s="5">
        <f>IFERROR(__xludf.DUMMYFUNCTION("""COMPUTED_VALUE"""),0.16346237494562854)</f>
        <v>0.1634623749</v>
      </c>
      <c r="H2066" s="5">
        <f>IFERROR(__xludf.DUMMYFUNCTION("""COMPUTED_VALUE"""),0.6068075117370892)</f>
        <v>0.6068075117</v>
      </c>
      <c r="I2066" s="11">
        <f>IFERROR(__xludf.DUMMYFUNCTION("""COMPUTED_VALUE"""),5426.33020344288)</f>
        <v>5426.330203</v>
      </c>
      <c r="J2066" s="10">
        <f>IFERROR(__xludf.DUMMYFUNCTION("""COMPUTED_VALUE"""),3.0)</f>
        <v>3</v>
      </c>
      <c r="K2066" s="5">
        <f>IFERROR(__xludf.DUMMYFUNCTION("""COMPUTED_VALUE"""),0.0013966480446927375)</f>
        <v>0.001396648045</v>
      </c>
      <c r="L2066" s="10">
        <f>IFERROR(__xludf.DUMMYFUNCTION("""COMPUTED_VALUE"""),1449.0)</f>
        <v>1449</v>
      </c>
      <c r="M2066" s="5">
        <f>IFERROR(__xludf.DUMMYFUNCTION("""COMPUTED_VALUE"""),0.6745810055865922)</f>
        <v>0.6745810056</v>
      </c>
    </row>
    <row r="2067">
      <c r="A2067" s="10" t="str">
        <f>IFERROR(__xludf.DUMMYFUNCTION("""COMPUTED_VALUE"""),"dsz")</f>
        <v>dsz</v>
      </c>
      <c r="B2067" s="10">
        <f>IFERROR(__xludf.DUMMYFUNCTION("""COMPUTED_VALUE"""),186.0)</f>
        <v>186</v>
      </c>
      <c r="C2067" s="10">
        <f>IFERROR(__xludf.DUMMYFUNCTION("""COMPUTED_VALUE"""),2126.0)</f>
        <v>2126</v>
      </c>
      <c r="D2067" s="5">
        <f>IFERROR(__xludf.DUMMYFUNCTION("""COMPUTED_VALUE"""),0.3170103092783505)</f>
        <v>0.3170103093</v>
      </c>
      <c r="E2067" s="5">
        <f>IFERROR(__xludf.DUMMYFUNCTION("""COMPUTED_VALUE"""),0.13195876288659794)</f>
        <v>0.1319587629</v>
      </c>
      <c r="F2067" s="5">
        <f>IFERROR(__xludf.DUMMYFUNCTION("""COMPUTED_VALUE"""),0.19845360824742267)</f>
        <v>0.1984536082</v>
      </c>
      <c r="G2067" s="5">
        <f>IFERROR(__xludf.DUMMYFUNCTION("""COMPUTED_VALUE"""),0.18711340206185567)</f>
        <v>0.1871134021</v>
      </c>
      <c r="H2067" s="5">
        <f>IFERROR(__xludf.DUMMYFUNCTION("""COMPUTED_VALUE"""),0.5636363636363636)</f>
        <v>0.5636363636</v>
      </c>
      <c r="I2067" s="11">
        <f>IFERROR(__xludf.DUMMYFUNCTION("""COMPUTED_VALUE"""),5976.363636363636)</f>
        <v>5976.363636</v>
      </c>
      <c r="J2067" s="10">
        <f>IFERROR(__xludf.DUMMYFUNCTION("""COMPUTED_VALUE"""),0.0)</f>
        <v>0</v>
      </c>
      <c r="K2067" s="5">
        <f>IFERROR(__xludf.DUMMYFUNCTION("""COMPUTED_VALUE"""),0.0)</f>
        <v>0</v>
      </c>
      <c r="L2067" s="10">
        <f>IFERROR(__xludf.DUMMYFUNCTION("""COMPUTED_VALUE"""),186.0)</f>
        <v>186</v>
      </c>
      <c r="M2067" s="5">
        <f>IFERROR(__xludf.DUMMYFUNCTION("""COMPUTED_VALUE"""),1.0)</f>
        <v>1</v>
      </c>
    </row>
    <row r="2068">
      <c r="A2068" s="10" t="str">
        <f>IFERROR(__xludf.DUMMYFUNCTION("""COMPUTED_VALUE"""),"Vladimir")</f>
        <v>Vladimir</v>
      </c>
      <c r="B2068" s="10">
        <f>IFERROR(__xludf.DUMMYFUNCTION("""COMPUTED_VALUE"""),426.0)</f>
        <v>426</v>
      </c>
      <c r="C2068" s="10">
        <f>IFERROR(__xludf.DUMMYFUNCTION("""COMPUTED_VALUE"""),5011.0)</f>
        <v>5011</v>
      </c>
      <c r="D2068" s="5">
        <f>IFERROR(__xludf.DUMMYFUNCTION("""COMPUTED_VALUE"""),0.365103598691385)</f>
        <v>0.3651035987</v>
      </c>
      <c r="E2068" s="5">
        <f>IFERROR(__xludf.DUMMYFUNCTION("""COMPUTED_VALUE"""),0.13195201744820065)</f>
        <v>0.1319520174</v>
      </c>
      <c r="F2068" s="5">
        <f>IFERROR(__xludf.DUMMYFUNCTION("""COMPUTED_VALUE"""),0.2089422028353326)</f>
        <v>0.2089422028</v>
      </c>
      <c r="G2068" s="5">
        <f>IFERROR(__xludf.DUMMYFUNCTION("""COMPUTED_VALUE"""),0.17251908396946564)</f>
        <v>0.172519084</v>
      </c>
      <c r="H2068" s="5">
        <f>IFERROR(__xludf.DUMMYFUNCTION("""COMPUTED_VALUE"""),0.6106471816283925)</f>
        <v>0.6106471816</v>
      </c>
      <c r="I2068" s="11">
        <f>IFERROR(__xludf.DUMMYFUNCTION("""COMPUTED_VALUE"""),5590.605427974948)</f>
        <v>5590.605428</v>
      </c>
      <c r="J2068" s="10">
        <f>IFERROR(__xludf.DUMMYFUNCTION("""COMPUTED_VALUE"""),0.0)</f>
        <v>0</v>
      </c>
      <c r="K2068" s="5">
        <f>IFERROR(__xludf.DUMMYFUNCTION("""COMPUTED_VALUE"""),0.0)</f>
        <v>0</v>
      </c>
      <c r="L2068" s="10">
        <f>IFERROR(__xludf.DUMMYFUNCTION("""COMPUTED_VALUE"""),0.0)</f>
        <v>0</v>
      </c>
      <c r="M2068" s="5">
        <f>IFERROR(__xludf.DUMMYFUNCTION("""COMPUTED_VALUE"""),0.0)</f>
        <v>0</v>
      </c>
    </row>
    <row r="2069">
      <c r="A2069" s="10" t="str">
        <f>IFERROR(__xludf.DUMMYFUNCTION("""COMPUTED_VALUE"""),"赤の女神")</f>
        <v>赤の女神</v>
      </c>
      <c r="B2069" s="10">
        <f>IFERROR(__xludf.DUMMYFUNCTION("""COMPUTED_VALUE"""),1307.0)</f>
        <v>1307</v>
      </c>
      <c r="C2069" s="10">
        <f>IFERROR(__xludf.DUMMYFUNCTION("""COMPUTED_VALUE"""),15374.0)</f>
        <v>15374</v>
      </c>
      <c r="D2069" s="5">
        <f>IFERROR(__xludf.DUMMYFUNCTION("""COMPUTED_VALUE"""),0.2970071799246463)</f>
        <v>0.2970071799</v>
      </c>
      <c r="E2069" s="5">
        <f>IFERROR(__xludf.DUMMYFUNCTION("""COMPUTED_VALUE"""),0.13194000142176726)</f>
        <v>0.1319400014</v>
      </c>
      <c r="F2069" s="5">
        <f>IFERROR(__xludf.DUMMYFUNCTION("""COMPUTED_VALUE"""),0.20772019620388144)</f>
        <v>0.2077201962</v>
      </c>
      <c r="G2069" s="5">
        <f>IFERROR(__xludf.DUMMYFUNCTION("""COMPUTED_VALUE"""),0.1657069737683941)</f>
        <v>0.1657069738</v>
      </c>
      <c r="H2069" s="5">
        <f>IFERROR(__xludf.DUMMYFUNCTION("""COMPUTED_VALUE"""),0.5995893223819302)</f>
        <v>0.5995893224</v>
      </c>
      <c r="I2069" s="11">
        <f>IFERROR(__xludf.DUMMYFUNCTION("""COMPUTED_VALUE"""),6135.4893908282)</f>
        <v>6135.489391</v>
      </c>
      <c r="J2069" s="10">
        <f>IFERROR(__xludf.DUMMYFUNCTION("""COMPUTED_VALUE"""),6.0)</f>
        <v>6</v>
      </c>
      <c r="K2069" s="5">
        <f>IFERROR(__xludf.DUMMYFUNCTION("""COMPUTED_VALUE"""),0.0045906656465187455)</f>
        <v>0.004590665647</v>
      </c>
      <c r="L2069" s="10">
        <f>IFERROR(__xludf.DUMMYFUNCTION("""COMPUTED_VALUE"""),1307.0)</f>
        <v>1307</v>
      </c>
      <c r="M2069" s="5">
        <f>IFERROR(__xludf.DUMMYFUNCTION("""COMPUTED_VALUE"""),1.0)</f>
        <v>1</v>
      </c>
    </row>
    <row r="2070">
      <c r="A2070" s="10" t="str">
        <f>IFERROR(__xludf.DUMMYFUNCTION("""COMPUTED_VALUE"""),"猫まっぷたつ")</f>
        <v>猫まっぷたつ</v>
      </c>
      <c r="B2070" s="10">
        <f>IFERROR(__xludf.DUMMYFUNCTION("""COMPUTED_VALUE"""),142.0)</f>
        <v>142</v>
      </c>
      <c r="C2070" s="10">
        <f>IFERROR(__xludf.DUMMYFUNCTION("""COMPUTED_VALUE"""),1673.0)</f>
        <v>1673</v>
      </c>
      <c r="D2070" s="5">
        <f>IFERROR(__xludf.DUMMYFUNCTION("""COMPUTED_VALUE"""),0.34944480731548005)</f>
        <v>0.3494448073</v>
      </c>
      <c r="E2070" s="5">
        <f>IFERROR(__xludf.DUMMYFUNCTION("""COMPUTED_VALUE"""),0.131939908556499)</f>
        <v>0.1319399086</v>
      </c>
      <c r="F2070" s="5">
        <f>IFERROR(__xludf.DUMMYFUNCTION("""COMPUTED_VALUE"""),0.20444154147615937)</f>
        <v>0.2044415415</v>
      </c>
      <c r="G2070" s="5">
        <f>IFERROR(__xludf.DUMMYFUNCTION("""COMPUTED_VALUE"""),0.15937295885042455)</f>
        <v>0.1593729589</v>
      </c>
      <c r="H2070" s="5">
        <f>IFERROR(__xludf.DUMMYFUNCTION("""COMPUTED_VALUE"""),0.6070287539936102)</f>
        <v>0.607028754</v>
      </c>
      <c r="I2070" s="11">
        <f>IFERROR(__xludf.DUMMYFUNCTION("""COMPUTED_VALUE"""),5330.670926517572)</f>
        <v>5330.670927</v>
      </c>
      <c r="J2070" s="10">
        <f>IFERROR(__xludf.DUMMYFUNCTION("""COMPUTED_VALUE"""),0.0)</f>
        <v>0</v>
      </c>
      <c r="K2070" s="5">
        <f>IFERROR(__xludf.DUMMYFUNCTION("""COMPUTED_VALUE"""),0.0)</f>
        <v>0</v>
      </c>
      <c r="L2070" s="10">
        <f>IFERROR(__xludf.DUMMYFUNCTION("""COMPUTED_VALUE"""),142.0)</f>
        <v>142</v>
      </c>
      <c r="M2070" s="5">
        <f>IFERROR(__xludf.DUMMYFUNCTION("""COMPUTED_VALUE"""),1.0)</f>
        <v>1</v>
      </c>
    </row>
    <row r="2071">
      <c r="A2071" s="10" t="str">
        <f>IFERROR(__xludf.DUMMYFUNCTION("""COMPUTED_VALUE"""),"マナブ零")</f>
        <v>マナブ零</v>
      </c>
      <c r="B2071" s="10">
        <f>IFERROR(__xludf.DUMMYFUNCTION("""COMPUTED_VALUE"""),193.0)</f>
        <v>193</v>
      </c>
      <c r="C2071" s="10">
        <f>IFERROR(__xludf.DUMMYFUNCTION("""COMPUTED_VALUE"""),2247.0)</f>
        <v>2247</v>
      </c>
      <c r="D2071" s="5">
        <f>IFERROR(__xludf.DUMMYFUNCTION("""COMPUTED_VALUE"""),0.3252190847127556)</f>
        <v>0.3252190847</v>
      </c>
      <c r="E2071" s="5">
        <f>IFERROR(__xludf.DUMMYFUNCTION("""COMPUTED_VALUE"""),0.13193768257059396)</f>
        <v>0.1319376826</v>
      </c>
      <c r="F2071" s="5">
        <f>IFERROR(__xludf.DUMMYFUNCTION("""COMPUTED_VALUE"""),0.2112950340798442)</f>
        <v>0.2112950341</v>
      </c>
      <c r="G2071" s="5">
        <f>IFERROR(__xludf.DUMMYFUNCTION("""COMPUTED_VALUE"""),0.18500486854917234)</f>
        <v>0.1850048685</v>
      </c>
      <c r="H2071" s="5">
        <f>IFERROR(__xludf.DUMMYFUNCTION("""COMPUTED_VALUE"""),0.6129032258064516)</f>
        <v>0.6129032258</v>
      </c>
      <c r="I2071" s="11">
        <f>IFERROR(__xludf.DUMMYFUNCTION("""COMPUTED_VALUE"""),5902.764976958525)</f>
        <v>5902.764977</v>
      </c>
      <c r="J2071" s="10">
        <f>IFERROR(__xludf.DUMMYFUNCTION("""COMPUTED_VALUE"""),2.0)</f>
        <v>2</v>
      </c>
      <c r="K2071" s="5">
        <f>IFERROR(__xludf.DUMMYFUNCTION("""COMPUTED_VALUE"""),0.010362694300518135)</f>
        <v>0.0103626943</v>
      </c>
      <c r="L2071" s="10">
        <f>IFERROR(__xludf.DUMMYFUNCTION("""COMPUTED_VALUE"""),193.0)</f>
        <v>193</v>
      </c>
      <c r="M2071" s="5">
        <f>IFERROR(__xludf.DUMMYFUNCTION("""COMPUTED_VALUE"""),1.0)</f>
        <v>1</v>
      </c>
    </row>
    <row r="2072">
      <c r="A2072" s="10" t="str">
        <f>IFERROR(__xludf.DUMMYFUNCTION("""COMPUTED_VALUE"""),"Soliton")</f>
        <v>Soliton</v>
      </c>
      <c r="B2072" s="10">
        <f>IFERROR(__xludf.DUMMYFUNCTION("""COMPUTED_VALUE"""),2141.0)</f>
        <v>2141</v>
      </c>
      <c r="C2072" s="10">
        <f>IFERROR(__xludf.DUMMYFUNCTION("""COMPUTED_VALUE"""),25258.0)</f>
        <v>25258</v>
      </c>
      <c r="D2072" s="5">
        <f>IFERROR(__xludf.DUMMYFUNCTION("""COMPUTED_VALUE"""),0.4202534931003158)</f>
        <v>0.4202534931</v>
      </c>
      <c r="E2072" s="5">
        <f>IFERROR(__xludf.DUMMYFUNCTION("""COMPUTED_VALUE"""),0.1319375351472942)</f>
        <v>0.1319375351</v>
      </c>
      <c r="F2072" s="5">
        <f>IFERROR(__xludf.DUMMYFUNCTION("""COMPUTED_VALUE"""),0.2271488514945711)</f>
        <v>0.2271488515</v>
      </c>
      <c r="G2072" s="5">
        <f>IFERROR(__xludf.DUMMYFUNCTION("""COMPUTED_VALUE"""),0.15802223471903792)</f>
        <v>0.1580222347</v>
      </c>
      <c r="H2072" s="5">
        <f>IFERROR(__xludf.DUMMYFUNCTION("""COMPUTED_VALUE"""),0.6067415730337079)</f>
        <v>0.606741573</v>
      </c>
      <c r="I2072" s="11">
        <f>IFERROR(__xludf.DUMMYFUNCTION("""COMPUTED_VALUE"""),5408.512664254427)</f>
        <v>5408.512664</v>
      </c>
      <c r="J2072" s="10">
        <f>IFERROR(__xludf.DUMMYFUNCTION("""COMPUTED_VALUE"""),2.0)</f>
        <v>2</v>
      </c>
      <c r="K2072" s="5">
        <f>IFERROR(__xludf.DUMMYFUNCTION("""COMPUTED_VALUE"""),9.341429238673517E-4)</f>
        <v>0.0009341429239</v>
      </c>
      <c r="L2072" s="10">
        <f>IFERROR(__xludf.DUMMYFUNCTION("""COMPUTED_VALUE"""),2141.0)</f>
        <v>2141</v>
      </c>
      <c r="M2072" s="5">
        <f>IFERROR(__xludf.DUMMYFUNCTION("""COMPUTED_VALUE"""),1.0)</f>
        <v>1</v>
      </c>
    </row>
    <row r="2073">
      <c r="A2073" s="10" t="str">
        <f>IFERROR(__xludf.DUMMYFUNCTION("""COMPUTED_VALUE"""),"kemu")</f>
        <v>kemu</v>
      </c>
      <c r="B2073" s="10">
        <f>IFERROR(__xludf.DUMMYFUNCTION("""COMPUTED_VALUE"""),459.0)</f>
        <v>459</v>
      </c>
      <c r="C2073" s="10">
        <f>IFERROR(__xludf.DUMMYFUNCTION("""COMPUTED_VALUE"""),5409.0)</f>
        <v>5409</v>
      </c>
      <c r="D2073" s="5">
        <f>IFERROR(__xludf.DUMMYFUNCTION("""COMPUTED_VALUE"""),0.35393939393939394)</f>
        <v>0.3539393939</v>
      </c>
      <c r="E2073" s="5">
        <f>IFERROR(__xludf.DUMMYFUNCTION("""COMPUTED_VALUE"""),0.1319191919191919)</f>
        <v>0.1319191919</v>
      </c>
      <c r="F2073" s="5">
        <f>IFERROR(__xludf.DUMMYFUNCTION("""COMPUTED_VALUE"""),0.2088888888888889)</f>
        <v>0.2088888889</v>
      </c>
      <c r="G2073" s="5">
        <f>IFERROR(__xludf.DUMMYFUNCTION("""COMPUTED_VALUE"""),0.16282828282828282)</f>
        <v>0.1628282828</v>
      </c>
      <c r="H2073" s="5">
        <f>IFERROR(__xludf.DUMMYFUNCTION("""COMPUTED_VALUE"""),0.6247582205029013)</f>
        <v>0.6247582205</v>
      </c>
      <c r="I2073" s="11">
        <f>IFERROR(__xludf.DUMMYFUNCTION("""COMPUTED_VALUE"""),5602.707930367505)</f>
        <v>5602.70793</v>
      </c>
      <c r="J2073" s="10">
        <f>IFERROR(__xludf.DUMMYFUNCTION("""COMPUTED_VALUE"""),1.0)</f>
        <v>1</v>
      </c>
      <c r="K2073" s="5">
        <f>IFERROR(__xludf.DUMMYFUNCTION("""COMPUTED_VALUE"""),0.002178649237472767)</f>
        <v>0.002178649237</v>
      </c>
      <c r="L2073" s="10">
        <f>IFERROR(__xludf.DUMMYFUNCTION("""COMPUTED_VALUE"""),459.0)</f>
        <v>459</v>
      </c>
      <c r="M2073" s="5">
        <f>IFERROR(__xludf.DUMMYFUNCTION("""COMPUTED_VALUE"""),1.0)</f>
        <v>1</v>
      </c>
    </row>
    <row r="2074">
      <c r="A2074" s="10" t="str">
        <f>IFERROR(__xludf.DUMMYFUNCTION("""COMPUTED_VALUE"""),"akaaka")</f>
        <v>akaaka</v>
      </c>
      <c r="B2074" s="10">
        <f>IFERROR(__xludf.DUMMYFUNCTION("""COMPUTED_VALUE"""),839.0)</f>
        <v>839</v>
      </c>
      <c r="C2074" s="10">
        <f>IFERROR(__xludf.DUMMYFUNCTION("""COMPUTED_VALUE"""),9686.0)</f>
        <v>9686</v>
      </c>
      <c r="D2074" s="5">
        <f>IFERROR(__xludf.DUMMYFUNCTION("""COMPUTED_VALUE"""),0.2950152594099695)</f>
        <v>0.2950152594</v>
      </c>
      <c r="E2074" s="5">
        <f>IFERROR(__xludf.DUMMYFUNCTION("""COMPUTED_VALUE"""),0.13190912173618174)</f>
        <v>0.1319091217</v>
      </c>
      <c r="F2074" s="5">
        <f>IFERROR(__xludf.DUMMYFUNCTION("""COMPUTED_VALUE"""),0.21905730756188538)</f>
        <v>0.2190573076</v>
      </c>
      <c r="G2074" s="5">
        <f>IFERROR(__xludf.DUMMYFUNCTION("""COMPUTED_VALUE"""),0.16502769300327794)</f>
        <v>0.165027693</v>
      </c>
      <c r="H2074" s="5">
        <f>IFERROR(__xludf.DUMMYFUNCTION("""COMPUTED_VALUE"""),0.630546955624355)</f>
        <v>0.6305469556</v>
      </c>
      <c r="I2074" s="11">
        <f>IFERROR(__xludf.DUMMYFUNCTION("""COMPUTED_VALUE"""),5670.072239422085)</f>
        <v>5670.072239</v>
      </c>
      <c r="J2074" s="10">
        <f>IFERROR(__xludf.DUMMYFUNCTION("""COMPUTED_VALUE"""),3.0)</f>
        <v>3</v>
      </c>
      <c r="K2074" s="5">
        <f>IFERROR(__xludf.DUMMYFUNCTION("""COMPUTED_VALUE"""),0.003575685339690107)</f>
        <v>0.00357568534</v>
      </c>
      <c r="L2074" s="10">
        <f>IFERROR(__xludf.DUMMYFUNCTION("""COMPUTED_VALUE"""),839.0)</f>
        <v>839</v>
      </c>
      <c r="M2074" s="5">
        <f>IFERROR(__xludf.DUMMYFUNCTION("""COMPUTED_VALUE"""),1.0)</f>
        <v>1</v>
      </c>
    </row>
    <row r="2075">
      <c r="A2075" s="10" t="str">
        <f>IFERROR(__xludf.DUMMYFUNCTION("""COMPUTED_VALUE"""),"kozaking")</f>
        <v>kozaking</v>
      </c>
      <c r="B2075" s="10">
        <f>IFERROR(__xludf.DUMMYFUNCTION("""COMPUTED_VALUE"""),1709.0)</f>
        <v>1709</v>
      </c>
      <c r="C2075" s="10">
        <f>IFERROR(__xludf.DUMMYFUNCTION("""COMPUTED_VALUE"""),19767.0)</f>
        <v>19767</v>
      </c>
      <c r="D2075" s="5">
        <f>IFERROR(__xludf.DUMMYFUNCTION("""COMPUTED_VALUE"""),0.33608373020268023)</f>
        <v>0.3360837302</v>
      </c>
      <c r="E2075" s="5">
        <f>IFERROR(__xludf.DUMMYFUNCTION("""COMPUTED_VALUE"""),0.13190829549230257)</f>
        <v>0.1319082955</v>
      </c>
      <c r="F2075" s="5">
        <f>IFERROR(__xludf.DUMMYFUNCTION("""COMPUTED_VALUE"""),0.2083840956916602)</f>
        <v>0.2083840957</v>
      </c>
      <c r="G2075" s="5">
        <f>IFERROR(__xludf.DUMMYFUNCTION("""COMPUTED_VALUE"""),0.19193709159375347)</f>
        <v>0.1919370916</v>
      </c>
      <c r="H2075" s="5">
        <f>IFERROR(__xludf.DUMMYFUNCTION("""COMPUTED_VALUE"""),0.5841084241296838)</f>
        <v>0.5841084241</v>
      </c>
      <c r="I2075" s="11">
        <f>IFERROR(__xludf.DUMMYFUNCTION("""COMPUTED_VALUE"""),5821.525378687217)</f>
        <v>5821.525379</v>
      </c>
      <c r="J2075" s="10">
        <f>IFERROR(__xludf.DUMMYFUNCTION("""COMPUTED_VALUE"""),1.0)</f>
        <v>1</v>
      </c>
      <c r="K2075" s="5">
        <f>IFERROR(__xludf.DUMMYFUNCTION("""COMPUTED_VALUE"""),5.851375073142189E-4)</f>
        <v>0.0005851375073</v>
      </c>
      <c r="L2075" s="10">
        <f>IFERROR(__xludf.DUMMYFUNCTION("""COMPUTED_VALUE"""),1709.0)</f>
        <v>1709</v>
      </c>
      <c r="M2075" s="5">
        <f>IFERROR(__xludf.DUMMYFUNCTION("""COMPUTED_VALUE"""),1.0)</f>
        <v>1</v>
      </c>
    </row>
    <row r="2076">
      <c r="A2076" s="10" t="str">
        <f>IFERROR(__xludf.DUMMYFUNCTION("""COMPUTED_VALUE"""),"シュマイケル")</f>
        <v>シュマイケル</v>
      </c>
      <c r="B2076" s="10">
        <f>IFERROR(__xludf.DUMMYFUNCTION("""COMPUTED_VALUE"""),2347.0)</f>
        <v>2347</v>
      </c>
      <c r="C2076" s="10">
        <f>IFERROR(__xludf.DUMMYFUNCTION("""COMPUTED_VALUE"""),27304.0)</f>
        <v>27304</v>
      </c>
      <c r="D2076" s="5">
        <f>IFERROR(__xludf.DUMMYFUNCTION("""COMPUTED_VALUE"""),0.2835276675882518)</f>
        <v>0.2835276676</v>
      </c>
      <c r="E2076" s="5">
        <f>IFERROR(__xludf.DUMMYFUNCTION("""COMPUTED_VALUE"""),0.1319068798333133)</f>
        <v>0.1319068798</v>
      </c>
      <c r="F2076" s="5">
        <f>IFERROR(__xludf.DUMMYFUNCTION("""COMPUTED_VALUE"""),0.21056216692711463)</f>
        <v>0.2105621669</v>
      </c>
      <c r="G2076" s="5">
        <f>IFERROR(__xludf.DUMMYFUNCTION("""COMPUTED_VALUE"""),0.20915975477821855)</f>
        <v>0.2091597548</v>
      </c>
      <c r="H2076" s="5">
        <f>IFERROR(__xludf.DUMMYFUNCTION("""COMPUTED_VALUE"""),0.5805899143672693)</f>
        <v>0.5805899144</v>
      </c>
      <c r="I2076" s="11">
        <f>IFERROR(__xludf.DUMMYFUNCTION("""COMPUTED_VALUE"""),6118.934348239772)</f>
        <v>6118.934348</v>
      </c>
      <c r="J2076" s="10">
        <f>IFERROR(__xludf.DUMMYFUNCTION("""COMPUTED_VALUE"""),8.0)</f>
        <v>8</v>
      </c>
      <c r="K2076" s="5">
        <f>IFERROR(__xludf.DUMMYFUNCTION("""COMPUTED_VALUE"""),0.0034086067319982955)</f>
        <v>0.003408606732</v>
      </c>
      <c r="L2076" s="10">
        <f>IFERROR(__xludf.DUMMYFUNCTION("""COMPUTED_VALUE"""),2347.0)</f>
        <v>2347</v>
      </c>
      <c r="M2076" s="5">
        <f>IFERROR(__xludf.DUMMYFUNCTION("""COMPUTED_VALUE"""),1.0)</f>
        <v>1</v>
      </c>
    </row>
    <row r="2077">
      <c r="A2077" s="10" t="str">
        <f>IFERROR(__xludf.DUMMYFUNCTION("""COMPUTED_VALUE"""),"イ゛ッちゃん")</f>
        <v>イ゛ッちゃん</v>
      </c>
      <c r="B2077" s="10">
        <f>IFERROR(__xludf.DUMMYFUNCTION("""COMPUTED_VALUE"""),152.0)</f>
        <v>152</v>
      </c>
      <c r="C2077" s="10">
        <f>IFERROR(__xludf.DUMMYFUNCTION("""COMPUTED_VALUE"""),1782.0)</f>
        <v>1782</v>
      </c>
      <c r="D2077" s="5">
        <f>IFERROR(__xludf.DUMMYFUNCTION("""COMPUTED_VALUE"""),0.30920245398773005)</f>
        <v>0.309202454</v>
      </c>
      <c r="E2077" s="5">
        <f>IFERROR(__xludf.DUMMYFUNCTION("""COMPUTED_VALUE"""),0.13190184049079753)</f>
        <v>0.1319018405</v>
      </c>
      <c r="F2077" s="5">
        <f>IFERROR(__xludf.DUMMYFUNCTION("""COMPUTED_VALUE"""),0.19754601226993865)</f>
        <v>0.1975460123</v>
      </c>
      <c r="G2077" s="5">
        <f>IFERROR(__xludf.DUMMYFUNCTION("""COMPUTED_VALUE"""),0.1607361963190184)</f>
        <v>0.1607361963</v>
      </c>
      <c r="H2077" s="5">
        <f>IFERROR(__xludf.DUMMYFUNCTION("""COMPUTED_VALUE"""),0.6459627329192547)</f>
        <v>0.6459627329</v>
      </c>
      <c r="I2077" s="11">
        <f>IFERROR(__xludf.DUMMYFUNCTION("""COMPUTED_VALUE"""),5426.086956521739)</f>
        <v>5426.086957</v>
      </c>
      <c r="J2077" s="10">
        <f>IFERROR(__xludf.DUMMYFUNCTION("""COMPUTED_VALUE"""),0.0)</f>
        <v>0</v>
      </c>
      <c r="K2077" s="5">
        <f>IFERROR(__xludf.DUMMYFUNCTION("""COMPUTED_VALUE"""),0.0)</f>
        <v>0</v>
      </c>
      <c r="L2077" s="10">
        <f>IFERROR(__xludf.DUMMYFUNCTION("""COMPUTED_VALUE"""),152.0)</f>
        <v>152</v>
      </c>
      <c r="M2077" s="5">
        <f>IFERROR(__xludf.DUMMYFUNCTION("""COMPUTED_VALUE"""),1.0)</f>
        <v>1</v>
      </c>
    </row>
    <row r="2078">
      <c r="A2078" s="10" t="str">
        <f>IFERROR(__xludf.DUMMYFUNCTION("""COMPUTED_VALUE"""),"野田ペニ夫")</f>
        <v>野田ペニ夫</v>
      </c>
      <c r="B2078" s="10">
        <f>IFERROR(__xludf.DUMMYFUNCTION("""COMPUTED_VALUE"""),358.0)</f>
        <v>358</v>
      </c>
      <c r="C2078" s="10">
        <f>IFERROR(__xludf.DUMMYFUNCTION("""COMPUTED_VALUE"""),4316.0)</f>
        <v>4316</v>
      </c>
      <c r="D2078" s="5">
        <f>IFERROR(__xludf.DUMMYFUNCTION("""COMPUTED_VALUE"""),0.36937847397675594)</f>
        <v>0.369378474</v>
      </c>
      <c r="E2078" s="5">
        <f>IFERROR(__xludf.DUMMYFUNCTION("""COMPUTED_VALUE"""),0.13188479029813036)</f>
        <v>0.1318847903</v>
      </c>
      <c r="F2078" s="5">
        <f>IFERROR(__xludf.DUMMYFUNCTION("""COMPUTED_VALUE"""),0.21298635674583122)</f>
        <v>0.2129863567</v>
      </c>
      <c r="G2078" s="5">
        <f>IFERROR(__xludf.DUMMYFUNCTION("""COMPUTED_VALUE"""),0.1662455785750379)</f>
        <v>0.1662455786</v>
      </c>
      <c r="H2078" s="5">
        <f>IFERROR(__xludf.DUMMYFUNCTION("""COMPUTED_VALUE"""),0.5954922894424673)</f>
        <v>0.5954922894</v>
      </c>
      <c r="I2078" s="11">
        <f>IFERROR(__xludf.DUMMYFUNCTION("""COMPUTED_VALUE"""),5319.098457888494)</f>
        <v>5319.098458</v>
      </c>
      <c r="J2078" s="10">
        <f>IFERROR(__xludf.DUMMYFUNCTION("""COMPUTED_VALUE"""),1.0)</f>
        <v>1</v>
      </c>
      <c r="K2078" s="5">
        <f>IFERROR(__xludf.DUMMYFUNCTION("""COMPUTED_VALUE"""),0.002793296089385475)</f>
        <v>0.002793296089</v>
      </c>
      <c r="L2078" s="10">
        <f>IFERROR(__xludf.DUMMYFUNCTION("""COMPUTED_VALUE"""),358.0)</f>
        <v>358</v>
      </c>
      <c r="M2078" s="5">
        <f>IFERROR(__xludf.DUMMYFUNCTION("""COMPUTED_VALUE"""),1.0)</f>
        <v>1</v>
      </c>
    </row>
    <row r="2079">
      <c r="A2079" s="10" t="str">
        <f>IFERROR(__xludf.DUMMYFUNCTION("""COMPUTED_VALUE"""),"〓小見川千明〓")</f>
        <v>〓小見川千明〓</v>
      </c>
      <c r="B2079" s="10">
        <f>IFERROR(__xludf.DUMMYFUNCTION("""COMPUTED_VALUE"""),451.0)</f>
        <v>451</v>
      </c>
      <c r="C2079" s="10">
        <f>IFERROR(__xludf.DUMMYFUNCTION("""COMPUTED_VALUE"""),5304.0)</f>
        <v>5304</v>
      </c>
      <c r="D2079" s="5">
        <f>IFERROR(__xludf.DUMMYFUNCTION("""COMPUTED_VALUE"""),0.3597774572429425)</f>
        <v>0.3597774572</v>
      </c>
      <c r="E2079" s="5">
        <f>IFERROR(__xludf.DUMMYFUNCTION("""COMPUTED_VALUE"""),0.13187718936740161)</f>
        <v>0.1318771894</v>
      </c>
      <c r="F2079" s="5">
        <f>IFERROR(__xludf.DUMMYFUNCTION("""COMPUTED_VALUE"""),0.20214300432722027)</f>
        <v>0.2021430043</v>
      </c>
      <c r="G2079" s="5">
        <f>IFERROR(__xludf.DUMMYFUNCTION("""COMPUTED_VALUE"""),0.18627652998145477)</f>
        <v>0.18627653</v>
      </c>
      <c r="H2079" s="5">
        <f>IFERROR(__xludf.DUMMYFUNCTION("""COMPUTED_VALUE"""),0.5891946992864424)</f>
        <v>0.5891946993</v>
      </c>
      <c r="I2079" s="11">
        <f>IFERROR(__xludf.DUMMYFUNCTION("""COMPUTED_VALUE"""),5522.120285423038)</f>
        <v>5522.120285</v>
      </c>
      <c r="J2079" s="10">
        <f>IFERROR(__xludf.DUMMYFUNCTION("""COMPUTED_VALUE"""),1.0)</f>
        <v>1</v>
      </c>
      <c r="K2079" s="5">
        <f>IFERROR(__xludf.DUMMYFUNCTION("""COMPUTED_VALUE"""),0.0022172949002217295)</f>
        <v>0.0022172949</v>
      </c>
      <c r="L2079" s="10">
        <f>IFERROR(__xludf.DUMMYFUNCTION("""COMPUTED_VALUE"""),451.0)</f>
        <v>451</v>
      </c>
      <c r="M2079" s="5">
        <f>IFERROR(__xludf.DUMMYFUNCTION("""COMPUTED_VALUE"""),1.0)</f>
        <v>1</v>
      </c>
    </row>
    <row r="2080">
      <c r="A2080" s="10" t="str">
        <f>IFERROR(__xludf.DUMMYFUNCTION("""COMPUTED_VALUE"""),"ぬくもり")</f>
        <v>ぬくもり</v>
      </c>
      <c r="B2080" s="10">
        <f>IFERROR(__xludf.DUMMYFUNCTION("""COMPUTED_VALUE"""),1804.0)</f>
        <v>1804</v>
      </c>
      <c r="C2080" s="10">
        <f>IFERROR(__xludf.DUMMYFUNCTION("""COMPUTED_VALUE"""),21005.0)</f>
        <v>21005</v>
      </c>
      <c r="D2080" s="5">
        <f>IFERROR(__xludf.DUMMYFUNCTION("""COMPUTED_VALUE"""),0.3819071923337326)</f>
        <v>0.3819071923</v>
      </c>
      <c r="E2080" s="5">
        <f>IFERROR(__xludf.DUMMYFUNCTION("""COMPUTED_VALUE"""),0.13186813186813187)</f>
        <v>0.1318681319</v>
      </c>
      <c r="F2080" s="5">
        <f>IFERROR(__xludf.DUMMYFUNCTION("""COMPUTED_VALUE"""),0.21983230040102078)</f>
        <v>0.2198323004</v>
      </c>
      <c r="G2080" s="5">
        <f>IFERROR(__xludf.DUMMYFUNCTION("""COMPUTED_VALUE"""),0.17790740065621582)</f>
        <v>0.1779074007</v>
      </c>
      <c r="H2080" s="5">
        <f>IFERROR(__xludf.DUMMYFUNCTION("""COMPUTED_VALUE"""),0.5828002842928216)</f>
        <v>0.5828002843</v>
      </c>
      <c r="I2080" s="11">
        <f>IFERROR(__xludf.DUMMYFUNCTION("""COMPUTED_VALUE"""),5435.583984837716)</f>
        <v>5435.583985</v>
      </c>
      <c r="J2080" s="10">
        <f>IFERROR(__xludf.DUMMYFUNCTION("""COMPUTED_VALUE"""),4.0)</f>
        <v>4</v>
      </c>
      <c r="K2080" s="5">
        <f>IFERROR(__xludf.DUMMYFUNCTION("""COMPUTED_VALUE"""),0.0022172949002217295)</f>
        <v>0.0022172949</v>
      </c>
      <c r="L2080" s="10">
        <f>IFERROR(__xludf.DUMMYFUNCTION("""COMPUTED_VALUE"""),1804.0)</f>
        <v>1804</v>
      </c>
      <c r="M2080" s="5">
        <f>IFERROR(__xludf.DUMMYFUNCTION("""COMPUTED_VALUE"""),1.0)</f>
        <v>1</v>
      </c>
    </row>
    <row r="2081">
      <c r="A2081" s="10" t="str">
        <f>IFERROR(__xludf.DUMMYFUNCTION("""COMPUTED_VALUE"""),"ips戦士")</f>
        <v>ips戦士</v>
      </c>
      <c r="B2081" s="10">
        <f>IFERROR(__xludf.DUMMYFUNCTION("""COMPUTED_VALUE"""),309.0)</f>
        <v>309</v>
      </c>
      <c r="C2081" s="10">
        <f>IFERROR(__xludf.DUMMYFUNCTION("""COMPUTED_VALUE"""),3623.0)</f>
        <v>3623</v>
      </c>
      <c r="D2081" s="5">
        <f>IFERROR(__xludf.DUMMYFUNCTION("""COMPUTED_VALUE"""),0.4016294508147254)</f>
        <v>0.4016294508</v>
      </c>
      <c r="E2081" s="5">
        <f>IFERROR(__xludf.DUMMYFUNCTION("""COMPUTED_VALUE"""),0.13186481593240795)</f>
        <v>0.1318648159</v>
      </c>
      <c r="F2081" s="5">
        <f>IFERROR(__xludf.DUMMYFUNCTION("""COMPUTED_VALUE"""),0.2223898611949306)</f>
        <v>0.2223898612</v>
      </c>
      <c r="G2081" s="5">
        <f>IFERROR(__xludf.DUMMYFUNCTION("""COMPUTED_VALUE"""),0.16385033192516596)</f>
        <v>0.1638503319</v>
      </c>
      <c r="H2081" s="5">
        <f>IFERROR(__xludf.DUMMYFUNCTION("""COMPUTED_VALUE"""),0.576662143826323)</f>
        <v>0.5766621438</v>
      </c>
      <c r="I2081" s="11">
        <f>IFERROR(__xludf.DUMMYFUNCTION("""COMPUTED_VALUE"""),5718.860244233379)</f>
        <v>5718.860244</v>
      </c>
      <c r="J2081" s="10">
        <f>IFERROR(__xludf.DUMMYFUNCTION("""COMPUTED_VALUE"""),2.0)</f>
        <v>2</v>
      </c>
      <c r="K2081" s="5">
        <f>IFERROR(__xludf.DUMMYFUNCTION("""COMPUTED_VALUE"""),0.006472491909385114)</f>
        <v>0.006472491909</v>
      </c>
      <c r="L2081" s="10">
        <f>IFERROR(__xludf.DUMMYFUNCTION("""COMPUTED_VALUE"""),305.0)</f>
        <v>305</v>
      </c>
      <c r="M2081" s="5">
        <f>IFERROR(__xludf.DUMMYFUNCTION("""COMPUTED_VALUE"""),0.9870550161812298)</f>
        <v>0.9870550162</v>
      </c>
    </row>
    <row r="2082">
      <c r="A2082" s="10" t="str">
        <f>IFERROR(__xludf.DUMMYFUNCTION("""COMPUTED_VALUE"""),"Poirot")</f>
        <v>Poirot</v>
      </c>
      <c r="B2082" s="10">
        <f>IFERROR(__xludf.DUMMYFUNCTION("""COMPUTED_VALUE"""),714.0)</f>
        <v>714</v>
      </c>
      <c r="C2082" s="10">
        <f>IFERROR(__xludf.DUMMYFUNCTION("""COMPUTED_VALUE"""),8442.0)</f>
        <v>8442</v>
      </c>
      <c r="D2082" s="5">
        <f>IFERROR(__xludf.DUMMYFUNCTION("""COMPUTED_VALUE"""),0.38004658385093165)</f>
        <v>0.3800465839</v>
      </c>
      <c r="E2082" s="5">
        <f>IFERROR(__xludf.DUMMYFUNCTION("""COMPUTED_VALUE"""),0.13185817805383024)</f>
        <v>0.1318581781</v>
      </c>
      <c r="F2082" s="5">
        <f>IFERROR(__xludf.DUMMYFUNCTION("""COMPUTED_VALUE"""),0.21195652173913043)</f>
        <v>0.2119565217</v>
      </c>
      <c r="G2082" s="5">
        <f>IFERROR(__xludf.DUMMYFUNCTION("""COMPUTED_VALUE"""),0.13522256728778467)</f>
        <v>0.1352225673</v>
      </c>
      <c r="H2082" s="5">
        <f>IFERROR(__xludf.DUMMYFUNCTION("""COMPUTED_VALUE"""),0.6111111111111112)</f>
        <v>0.6111111111</v>
      </c>
      <c r="I2082" s="11">
        <f>IFERROR(__xludf.DUMMYFUNCTION("""COMPUTED_VALUE"""),5176.373626373626)</f>
        <v>5176.373626</v>
      </c>
      <c r="J2082" s="10">
        <f>IFERROR(__xludf.DUMMYFUNCTION("""COMPUTED_VALUE"""),1.0)</f>
        <v>1</v>
      </c>
      <c r="K2082" s="5">
        <f>IFERROR(__xludf.DUMMYFUNCTION("""COMPUTED_VALUE"""),0.0014005602240896359)</f>
        <v>0.001400560224</v>
      </c>
      <c r="L2082" s="10">
        <f>IFERROR(__xludf.DUMMYFUNCTION("""COMPUTED_VALUE"""),714.0)</f>
        <v>714</v>
      </c>
      <c r="M2082" s="5">
        <f>IFERROR(__xludf.DUMMYFUNCTION("""COMPUTED_VALUE"""),1.0)</f>
        <v>1</v>
      </c>
    </row>
    <row r="2083">
      <c r="A2083" s="10" t="str">
        <f>IFERROR(__xludf.DUMMYFUNCTION("""COMPUTED_VALUE"""),"舜太郎")</f>
        <v>舜太郎</v>
      </c>
      <c r="B2083" s="10">
        <f>IFERROR(__xludf.DUMMYFUNCTION("""COMPUTED_VALUE"""),256.0)</f>
        <v>256</v>
      </c>
      <c r="C2083" s="10">
        <f>IFERROR(__xludf.DUMMYFUNCTION("""COMPUTED_VALUE"""),3070.0)</f>
        <v>3070</v>
      </c>
      <c r="D2083" s="5">
        <f>IFERROR(__xludf.DUMMYFUNCTION("""COMPUTED_VALUE"""),0.31449893390191896)</f>
        <v>0.3144989339</v>
      </c>
      <c r="E2083" s="5">
        <f>IFERROR(__xludf.DUMMYFUNCTION("""COMPUTED_VALUE"""),0.1318407960199005)</f>
        <v>0.131840796</v>
      </c>
      <c r="F2083" s="5">
        <f>IFERROR(__xludf.DUMMYFUNCTION("""COMPUTED_VALUE"""),0.20433546552949539)</f>
        <v>0.2043354655</v>
      </c>
      <c r="G2083" s="5">
        <f>IFERROR(__xludf.DUMMYFUNCTION("""COMPUTED_VALUE"""),0.20611229566453448)</f>
        <v>0.2061122957</v>
      </c>
      <c r="H2083" s="5">
        <f>IFERROR(__xludf.DUMMYFUNCTION("""COMPUTED_VALUE"""),0.5826086956521739)</f>
        <v>0.5826086957</v>
      </c>
      <c r="I2083" s="11">
        <f>IFERROR(__xludf.DUMMYFUNCTION("""COMPUTED_VALUE"""),5769.04347826087)</f>
        <v>5769.043478</v>
      </c>
      <c r="J2083" s="10">
        <f>IFERROR(__xludf.DUMMYFUNCTION("""COMPUTED_VALUE"""),0.0)</f>
        <v>0</v>
      </c>
      <c r="K2083" s="5">
        <f>IFERROR(__xludf.DUMMYFUNCTION("""COMPUTED_VALUE"""),0.0)</f>
        <v>0</v>
      </c>
      <c r="L2083" s="10">
        <f>IFERROR(__xludf.DUMMYFUNCTION("""COMPUTED_VALUE"""),256.0)</f>
        <v>256</v>
      </c>
      <c r="M2083" s="5">
        <f>IFERROR(__xludf.DUMMYFUNCTION("""COMPUTED_VALUE"""),1.0)</f>
        <v>1</v>
      </c>
    </row>
    <row r="2084">
      <c r="A2084" s="10" t="str">
        <f>IFERROR(__xludf.DUMMYFUNCTION("""COMPUTED_VALUE"""),"AQUA")</f>
        <v>AQUA</v>
      </c>
      <c r="B2084" s="10">
        <f>IFERROR(__xludf.DUMMYFUNCTION("""COMPUTED_VALUE"""),116.0)</f>
        <v>116</v>
      </c>
      <c r="C2084" s="10">
        <f>IFERROR(__xludf.DUMMYFUNCTION("""COMPUTED_VALUE"""),1360.0)</f>
        <v>1360</v>
      </c>
      <c r="D2084" s="5">
        <f>IFERROR(__xludf.DUMMYFUNCTION("""COMPUTED_VALUE"""),0.3536977491961415)</f>
        <v>0.3536977492</v>
      </c>
      <c r="E2084" s="5">
        <f>IFERROR(__xludf.DUMMYFUNCTION("""COMPUTED_VALUE"""),0.13183279742765272)</f>
        <v>0.1318327974</v>
      </c>
      <c r="F2084" s="5">
        <f>IFERROR(__xludf.DUMMYFUNCTION("""COMPUTED_VALUE"""),0.22186495176848875)</f>
        <v>0.2218649518</v>
      </c>
      <c r="G2084" s="5">
        <f>IFERROR(__xludf.DUMMYFUNCTION("""COMPUTED_VALUE"""),0.1639871382636656)</f>
        <v>0.1639871383</v>
      </c>
      <c r="H2084" s="5">
        <f>IFERROR(__xludf.DUMMYFUNCTION("""COMPUTED_VALUE"""),0.5398550724637681)</f>
        <v>0.5398550725</v>
      </c>
      <c r="I2084" s="11">
        <f>IFERROR(__xludf.DUMMYFUNCTION("""COMPUTED_VALUE"""),5381.884057971014)</f>
        <v>5381.884058</v>
      </c>
      <c r="J2084" s="10">
        <f>IFERROR(__xludf.DUMMYFUNCTION("""COMPUTED_VALUE"""),0.0)</f>
        <v>0</v>
      </c>
      <c r="K2084" s="5">
        <f>IFERROR(__xludf.DUMMYFUNCTION("""COMPUTED_VALUE"""),0.0)</f>
        <v>0</v>
      </c>
      <c r="L2084" s="10">
        <f>IFERROR(__xludf.DUMMYFUNCTION("""COMPUTED_VALUE"""),116.0)</f>
        <v>116</v>
      </c>
      <c r="M2084" s="5">
        <f>IFERROR(__xludf.DUMMYFUNCTION("""COMPUTED_VALUE"""),1.0)</f>
        <v>1</v>
      </c>
    </row>
    <row r="2085">
      <c r="A2085" s="10" t="str">
        <f>IFERROR(__xludf.DUMMYFUNCTION("""COMPUTED_VALUE"""),"ゲオルゲハジ94")</f>
        <v>ゲオルゲハジ94</v>
      </c>
      <c r="B2085" s="10">
        <f>IFERROR(__xludf.DUMMYFUNCTION("""COMPUTED_VALUE"""),816.0)</f>
        <v>816</v>
      </c>
      <c r="C2085" s="10">
        <f>IFERROR(__xludf.DUMMYFUNCTION("""COMPUTED_VALUE"""),9502.0)</f>
        <v>9502</v>
      </c>
      <c r="D2085" s="5">
        <f>IFERROR(__xludf.DUMMYFUNCTION("""COMPUTED_VALUE"""),0.33663366336633666)</f>
        <v>0.3366336634</v>
      </c>
      <c r="E2085" s="5">
        <f>IFERROR(__xludf.DUMMYFUNCTION("""COMPUTED_VALUE"""),0.13182132166705043)</f>
        <v>0.1318213217</v>
      </c>
      <c r="F2085" s="5">
        <f>IFERROR(__xludf.DUMMYFUNCTION("""COMPUTED_VALUE"""),0.21068385908358278)</f>
        <v>0.2106838591</v>
      </c>
      <c r="G2085" s="5">
        <f>IFERROR(__xludf.DUMMYFUNCTION("""COMPUTED_VALUE"""),0.18190191112134468)</f>
        <v>0.1819019111</v>
      </c>
      <c r="H2085" s="5">
        <f>IFERROR(__xludf.DUMMYFUNCTION("""COMPUTED_VALUE"""),0.5825136612021858)</f>
        <v>0.5825136612</v>
      </c>
      <c r="I2085" s="11">
        <f>IFERROR(__xludf.DUMMYFUNCTION("""COMPUTED_VALUE"""),5553.715846994535)</f>
        <v>5553.715847</v>
      </c>
      <c r="J2085" s="10">
        <f>IFERROR(__xludf.DUMMYFUNCTION("""COMPUTED_VALUE"""),5.0)</f>
        <v>5</v>
      </c>
      <c r="K2085" s="5">
        <f>IFERROR(__xludf.DUMMYFUNCTION("""COMPUTED_VALUE"""),0.006127450980392157)</f>
        <v>0.00612745098</v>
      </c>
      <c r="L2085" s="10">
        <f>IFERROR(__xludf.DUMMYFUNCTION("""COMPUTED_VALUE"""),816.0)</f>
        <v>816</v>
      </c>
      <c r="M2085" s="5">
        <f>IFERROR(__xludf.DUMMYFUNCTION("""COMPUTED_VALUE"""),1.0)</f>
        <v>1</v>
      </c>
    </row>
    <row r="2086">
      <c r="A2086" s="10" t="str">
        <f>IFERROR(__xludf.DUMMYFUNCTION("""COMPUTED_VALUE"""),"ゆう堕天使")</f>
        <v>ゆう堕天使</v>
      </c>
      <c r="B2086" s="10">
        <f>IFERROR(__xludf.DUMMYFUNCTION("""COMPUTED_VALUE"""),1079.0)</f>
        <v>1079</v>
      </c>
      <c r="C2086" s="10">
        <f>IFERROR(__xludf.DUMMYFUNCTION("""COMPUTED_VALUE"""),12610.0)</f>
        <v>12610</v>
      </c>
      <c r="D2086" s="5">
        <f>IFERROR(__xludf.DUMMYFUNCTION("""COMPUTED_VALUE"""),0.38071286098343593)</f>
        <v>0.380712861</v>
      </c>
      <c r="E2086" s="5">
        <f>IFERROR(__xludf.DUMMYFUNCTION("""COMPUTED_VALUE"""),0.1318185760124881)</f>
        <v>0.131818576</v>
      </c>
      <c r="F2086" s="5">
        <f>IFERROR(__xludf.DUMMYFUNCTION("""COMPUTED_VALUE"""),0.21429190876766976)</f>
        <v>0.2142919088</v>
      </c>
      <c r="G2086" s="5">
        <f>IFERROR(__xludf.DUMMYFUNCTION("""COMPUTED_VALUE"""),0.17266499002688404)</f>
        <v>0.17266499</v>
      </c>
      <c r="H2086" s="5">
        <f>IFERROR(__xludf.DUMMYFUNCTION("""COMPUTED_VALUE"""),0.6025900445163901)</f>
        <v>0.6025900445</v>
      </c>
      <c r="I2086" s="11">
        <f>IFERROR(__xludf.DUMMYFUNCTION("""COMPUTED_VALUE"""),5721.246458923512)</f>
        <v>5721.246459</v>
      </c>
      <c r="J2086" s="10">
        <f>IFERROR(__xludf.DUMMYFUNCTION("""COMPUTED_VALUE"""),2.0)</f>
        <v>2</v>
      </c>
      <c r="K2086" s="5">
        <f>IFERROR(__xludf.DUMMYFUNCTION("""COMPUTED_VALUE"""),0.0018535681186283596)</f>
        <v>0.001853568119</v>
      </c>
      <c r="L2086" s="10">
        <f>IFERROR(__xludf.DUMMYFUNCTION("""COMPUTED_VALUE"""),0.0)</f>
        <v>0</v>
      </c>
      <c r="M2086" s="5">
        <f>IFERROR(__xludf.DUMMYFUNCTION("""COMPUTED_VALUE"""),0.0)</f>
        <v>0</v>
      </c>
    </row>
    <row r="2087">
      <c r="A2087" s="10" t="str">
        <f>IFERROR(__xludf.DUMMYFUNCTION("""COMPUTED_VALUE"""),"むとぅー")</f>
        <v>むとぅー</v>
      </c>
      <c r="B2087" s="10">
        <f>IFERROR(__xludf.DUMMYFUNCTION("""COMPUTED_VALUE"""),1802.0)</f>
        <v>1802</v>
      </c>
      <c r="C2087" s="10">
        <f>IFERROR(__xludf.DUMMYFUNCTION("""COMPUTED_VALUE"""),21291.0)</f>
        <v>21291</v>
      </c>
      <c r="D2087" s="5">
        <f>IFERROR(__xludf.DUMMYFUNCTION("""COMPUTED_VALUE"""),0.3797526809995382)</f>
        <v>0.379752681</v>
      </c>
      <c r="E2087" s="5">
        <f>IFERROR(__xludf.DUMMYFUNCTION("""COMPUTED_VALUE"""),0.13181794858638207)</f>
        <v>0.1318179486</v>
      </c>
      <c r="F2087" s="5">
        <f>IFERROR(__xludf.DUMMYFUNCTION("""COMPUTED_VALUE"""),0.2209964595412797)</f>
        <v>0.2209964595</v>
      </c>
      <c r="G2087" s="5">
        <f>IFERROR(__xludf.DUMMYFUNCTION("""COMPUTED_VALUE"""),0.1648109189799374)</f>
        <v>0.164810919</v>
      </c>
      <c r="H2087" s="5">
        <f>IFERROR(__xludf.DUMMYFUNCTION("""COMPUTED_VALUE"""),0.5953099605293708)</f>
        <v>0.5953099605</v>
      </c>
      <c r="I2087" s="11">
        <f>IFERROR(__xludf.DUMMYFUNCTION("""COMPUTED_VALUE"""),5534.432319479916)</f>
        <v>5534.432319</v>
      </c>
      <c r="J2087" s="10">
        <f>IFERROR(__xludf.DUMMYFUNCTION("""COMPUTED_VALUE"""),1.0)</f>
        <v>1</v>
      </c>
      <c r="K2087" s="5">
        <f>IFERROR(__xludf.DUMMYFUNCTION("""COMPUTED_VALUE"""),5.549389567147614E-4)</f>
        <v>0.0005549389567</v>
      </c>
      <c r="L2087" s="10">
        <f>IFERROR(__xludf.DUMMYFUNCTION("""COMPUTED_VALUE"""),1802.0)</f>
        <v>1802</v>
      </c>
      <c r="M2087" s="5">
        <f>IFERROR(__xludf.DUMMYFUNCTION("""COMPUTED_VALUE"""),1.0)</f>
        <v>1</v>
      </c>
    </row>
    <row r="2088">
      <c r="A2088" s="10" t="str">
        <f>IFERROR(__xludf.DUMMYFUNCTION("""COMPUTED_VALUE"""),"★風林火山★")</f>
        <v>★風林火山★</v>
      </c>
      <c r="B2088" s="10">
        <f>IFERROR(__xludf.DUMMYFUNCTION("""COMPUTED_VALUE"""),531.0)</f>
        <v>531</v>
      </c>
      <c r="C2088" s="10">
        <f>IFERROR(__xludf.DUMMYFUNCTION("""COMPUTED_VALUE"""),6214.0)</f>
        <v>6214</v>
      </c>
      <c r="D2088" s="5">
        <f>IFERROR(__xludf.DUMMYFUNCTION("""COMPUTED_VALUE"""),0.366707724793243)</f>
        <v>0.3667077248</v>
      </c>
      <c r="E2088" s="5">
        <f>IFERROR(__xludf.DUMMYFUNCTION("""COMPUTED_VALUE"""),0.1317965863100475)</f>
        <v>0.1317965863</v>
      </c>
      <c r="F2088" s="5">
        <f>IFERROR(__xludf.DUMMYFUNCTION("""COMPUTED_VALUE"""),0.21203589653352103)</f>
        <v>0.2120358965</v>
      </c>
      <c r="G2088" s="5">
        <f>IFERROR(__xludf.DUMMYFUNCTION("""COMPUTED_VALUE"""),0.1879289107865564)</f>
        <v>0.1879289108</v>
      </c>
      <c r="H2088" s="5">
        <f>IFERROR(__xludf.DUMMYFUNCTION("""COMPUTED_VALUE"""),0.5800829875518673)</f>
        <v>0.5800829876</v>
      </c>
      <c r="I2088" s="11">
        <f>IFERROR(__xludf.DUMMYFUNCTION("""COMPUTED_VALUE"""),5941.991701244813)</f>
        <v>5941.991701</v>
      </c>
      <c r="J2088" s="10">
        <f>IFERROR(__xludf.DUMMYFUNCTION("""COMPUTED_VALUE"""),1.0)</f>
        <v>1</v>
      </c>
      <c r="K2088" s="5">
        <f>IFERROR(__xludf.DUMMYFUNCTION("""COMPUTED_VALUE"""),0.0018832391713747645)</f>
        <v>0.001883239171</v>
      </c>
      <c r="L2088" s="10">
        <f>IFERROR(__xludf.DUMMYFUNCTION("""COMPUTED_VALUE"""),531.0)</f>
        <v>531</v>
      </c>
      <c r="M2088" s="5">
        <f>IFERROR(__xludf.DUMMYFUNCTION("""COMPUTED_VALUE"""),1.0)</f>
        <v>1</v>
      </c>
    </row>
    <row r="2089">
      <c r="A2089" s="10" t="str">
        <f>IFERROR(__xludf.DUMMYFUNCTION("""COMPUTED_VALUE"""),"paruo11")</f>
        <v>paruo11</v>
      </c>
      <c r="B2089" s="10">
        <f>IFERROR(__xludf.DUMMYFUNCTION("""COMPUTED_VALUE"""),119.0)</f>
        <v>119</v>
      </c>
      <c r="C2089" s="10">
        <f>IFERROR(__xludf.DUMMYFUNCTION("""COMPUTED_VALUE"""),1394.0)</f>
        <v>1394</v>
      </c>
      <c r="D2089" s="5">
        <f>IFERROR(__xludf.DUMMYFUNCTION("""COMPUTED_VALUE"""),0.3835294117647059)</f>
        <v>0.3835294118</v>
      </c>
      <c r="E2089" s="5">
        <f>IFERROR(__xludf.DUMMYFUNCTION("""COMPUTED_VALUE"""),0.13176470588235295)</f>
        <v>0.1317647059</v>
      </c>
      <c r="F2089" s="5">
        <f>IFERROR(__xludf.DUMMYFUNCTION("""COMPUTED_VALUE"""),0.2023529411764706)</f>
        <v>0.2023529412</v>
      </c>
      <c r="G2089" s="5">
        <f>IFERROR(__xludf.DUMMYFUNCTION("""COMPUTED_VALUE"""),0.15372549019607842)</f>
        <v>0.1537254902</v>
      </c>
      <c r="H2089" s="5">
        <f>IFERROR(__xludf.DUMMYFUNCTION("""COMPUTED_VALUE"""),0.5775193798449613)</f>
        <v>0.5775193798</v>
      </c>
      <c r="I2089" s="11">
        <f>IFERROR(__xludf.DUMMYFUNCTION("""COMPUTED_VALUE"""),4842.248062015504)</f>
        <v>4842.248062</v>
      </c>
      <c r="J2089" s="10">
        <f>IFERROR(__xludf.DUMMYFUNCTION("""COMPUTED_VALUE"""),0.0)</f>
        <v>0</v>
      </c>
      <c r="K2089" s="5">
        <f>IFERROR(__xludf.DUMMYFUNCTION("""COMPUTED_VALUE"""),0.0)</f>
        <v>0</v>
      </c>
      <c r="L2089" s="10">
        <f>IFERROR(__xludf.DUMMYFUNCTION("""COMPUTED_VALUE"""),119.0)</f>
        <v>119</v>
      </c>
      <c r="M2089" s="5">
        <f>IFERROR(__xludf.DUMMYFUNCTION("""COMPUTED_VALUE"""),1.0)</f>
        <v>1</v>
      </c>
    </row>
    <row r="2090">
      <c r="A2090" s="10" t="str">
        <f>IFERROR(__xludf.DUMMYFUNCTION("""COMPUTED_VALUE"""),"a31848")</f>
        <v>a31848</v>
      </c>
      <c r="B2090" s="10">
        <f>IFERROR(__xludf.DUMMYFUNCTION("""COMPUTED_VALUE"""),349.0)</f>
        <v>349</v>
      </c>
      <c r="C2090" s="10">
        <f>IFERROR(__xludf.DUMMYFUNCTION("""COMPUTED_VALUE"""),4121.0)</f>
        <v>4121</v>
      </c>
      <c r="D2090" s="5">
        <f>IFERROR(__xludf.DUMMYFUNCTION("""COMPUTED_VALUE"""),0.3584305408271474)</f>
        <v>0.3584305408</v>
      </c>
      <c r="E2090" s="5">
        <f>IFERROR(__xludf.DUMMYFUNCTION("""COMPUTED_VALUE"""),0.13176033934252385)</f>
        <v>0.1317603393</v>
      </c>
      <c r="F2090" s="5">
        <f>IFERROR(__xludf.DUMMYFUNCTION("""COMPUTED_VALUE"""),0.21261930010604455)</f>
        <v>0.2126193001</v>
      </c>
      <c r="G2090" s="5">
        <f>IFERROR(__xludf.DUMMYFUNCTION("""COMPUTED_VALUE"""),0.1752386002120891)</f>
        <v>0.1752386002</v>
      </c>
      <c r="H2090" s="5">
        <f>IFERROR(__xludf.DUMMYFUNCTION("""COMPUTED_VALUE"""),0.6571072319201995)</f>
        <v>0.6571072319</v>
      </c>
      <c r="I2090" s="11">
        <f>IFERROR(__xludf.DUMMYFUNCTION("""COMPUTED_VALUE"""),5466.209476309227)</f>
        <v>5466.209476</v>
      </c>
      <c r="J2090" s="10">
        <f>IFERROR(__xludf.DUMMYFUNCTION("""COMPUTED_VALUE"""),0.0)</f>
        <v>0</v>
      </c>
      <c r="K2090" s="5">
        <f>IFERROR(__xludf.DUMMYFUNCTION("""COMPUTED_VALUE"""),0.0)</f>
        <v>0</v>
      </c>
      <c r="L2090" s="10">
        <f>IFERROR(__xludf.DUMMYFUNCTION("""COMPUTED_VALUE"""),342.0)</f>
        <v>342</v>
      </c>
      <c r="M2090" s="5">
        <f>IFERROR(__xludf.DUMMYFUNCTION("""COMPUTED_VALUE"""),0.9799426934097422)</f>
        <v>0.9799426934</v>
      </c>
    </row>
    <row r="2091">
      <c r="A2091" s="10" t="str">
        <f>IFERROR(__xludf.DUMMYFUNCTION("""COMPUTED_VALUE"""),"最強雀士の意地")</f>
        <v>最強雀士の意地</v>
      </c>
      <c r="B2091" s="10">
        <f>IFERROR(__xludf.DUMMYFUNCTION("""COMPUTED_VALUE"""),102.0)</f>
        <v>102</v>
      </c>
      <c r="C2091" s="10">
        <f>IFERROR(__xludf.DUMMYFUNCTION("""COMPUTED_VALUE"""),1233.0)</f>
        <v>1233</v>
      </c>
      <c r="D2091" s="5">
        <f>IFERROR(__xludf.DUMMYFUNCTION("""COMPUTED_VALUE"""),0.3775419982316534)</f>
        <v>0.3775419982</v>
      </c>
      <c r="E2091" s="5">
        <f>IFERROR(__xludf.DUMMYFUNCTION("""COMPUTED_VALUE"""),0.1317418213969938)</f>
        <v>0.1317418214</v>
      </c>
      <c r="F2091" s="5">
        <f>IFERROR(__xludf.DUMMYFUNCTION("""COMPUTED_VALUE"""),0.20954907161803712)</f>
        <v>0.2095490716</v>
      </c>
      <c r="G2091" s="5">
        <f>IFERROR(__xludf.DUMMYFUNCTION("""COMPUTED_VALUE"""),0.15030946065428824)</f>
        <v>0.1503094607</v>
      </c>
      <c r="H2091" s="5">
        <f>IFERROR(__xludf.DUMMYFUNCTION("""COMPUTED_VALUE"""),0.6286919831223629)</f>
        <v>0.6286919831</v>
      </c>
      <c r="I2091" s="11">
        <f>IFERROR(__xludf.DUMMYFUNCTION("""COMPUTED_VALUE"""),5791.561181434599)</f>
        <v>5791.561181</v>
      </c>
      <c r="J2091" s="10">
        <f>IFERROR(__xludf.DUMMYFUNCTION("""COMPUTED_VALUE"""),0.0)</f>
        <v>0</v>
      </c>
      <c r="K2091" s="5">
        <f>IFERROR(__xludf.DUMMYFUNCTION("""COMPUTED_VALUE"""),0.0)</f>
        <v>0</v>
      </c>
      <c r="L2091" s="10">
        <f>IFERROR(__xludf.DUMMYFUNCTION("""COMPUTED_VALUE"""),62.0)</f>
        <v>62</v>
      </c>
      <c r="M2091" s="5">
        <f>IFERROR(__xludf.DUMMYFUNCTION("""COMPUTED_VALUE"""),0.6078431372549019)</f>
        <v>0.6078431373</v>
      </c>
    </row>
    <row r="2092">
      <c r="A2092" s="10" t="str">
        <f>IFERROR(__xludf.DUMMYFUNCTION("""COMPUTED_VALUE"""),"kw_gifu")</f>
        <v>kw_gifu</v>
      </c>
      <c r="B2092" s="10">
        <f>IFERROR(__xludf.DUMMYFUNCTION("""COMPUTED_VALUE"""),396.0)</f>
        <v>396</v>
      </c>
      <c r="C2092" s="10">
        <f>IFERROR(__xludf.DUMMYFUNCTION("""COMPUTED_VALUE"""),4609.0)</f>
        <v>4609</v>
      </c>
      <c r="D2092" s="5">
        <f>IFERROR(__xludf.DUMMYFUNCTION("""COMPUTED_VALUE"""),0.3731307856634227)</f>
        <v>0.3731307857</v>
      </c>
      <c r="E2092" s="5">
        <f>IFERROR(__xludf.DUMMYFUNCTION("""COMPUTED_VALUE"""),0.13173510562544505)</f>
        <v>0.1317351056</v>
      </c>
      <c r="F2092" s="5">
        <f>IFERROR(__xludf.DUMMYFUNCTION("""COMPUTED_VALUE"""),0.19819605981485877)</f>
        <v>0.1981960598</v>
      </c>
      <c r="G2092" s="5">
        <f>IFERROR(__xludf.DUMMYFUNCTION("""COMPUTED_VALUE"""),0.1637787799667695)</f>
        <v>0.16377878</v>
      </c>
      <c r="H2092" s="5">
        <f>IFERROR(__xludf.DUMMYFUNCTION("""COMPUTED_VALUE"""),0.5640718562874252)</f>
        <v>0.5640718563</v>
      </c>
      <c r="I2092" s="11">
        <f>IFERROR(__xludf.DUMMYFUNCTION("""COMPUTED_VALUE"""),5613.053892215569)</f>
        <v>5613.053892</v>
      </c>
      <c r="J2092" s="10">
        <f>IFERROR(__xludf.DUMMYFUNCTION("""COMPUTED_VALUE"""),1.0)</f>
        <v>1</v>
      </c>
      <c r="K2092" s="5">
        <f>IFERROR(__xludf.DUMMYFUNCTION("""COMPUTED_VALUE"""),0.0025252525252525255)</f>
        <v>0.002525252525</v>
      </c>
      <c r="L2092" s="10">
        <f>IFERROR(__xludf.DUMMYFUNCTION("""COMPUTED_VALUE"""),396.0)</f>
        <v>396</v>
      </c>
      <c r="M2092" s="5">
        <f>IFERROR(__xludf.DUMMYFUNCTION("""COMPUTED_VALUE"""),1.0)</f>
        <v>1</v>
      </c>
    </row>
    <row r="2093">
      <c r="A2093" s="10" t="str">
        <f>IFERROR(__xludf.DUMMYFUNCTION("""COMPUTED_VALUE"""),"紅美鈴★")</f>
        <v>紅美鈴★</v>
      </c>
      <c r="B2093" s="10">
        <f>IFERROR(__xludf.DUMMYFUNCTION("""COMPUTED_VALUE"""),242.0)</f>
        <v>242</v>
      </c>
      <c r="C2093" s="10">
        <f>IFERROR(__xludf.DUMMYFUNCTION("""COMPUTED_VALUE"""),2785.0)</f>
        <v>2785</v>
      </c>
      <c r="D2093" s="5">
        <f>IFERROR(__xludf.DUMMYFUNCTION("""COMPUTED_VALUE"""),0.4011010617381046)</f>
        <v>0.4011010617</v>
      </c>
      <c r="E2093" s="5">
        <f>IFERROR(__xludf.DUMMYFUNCTION("""COMPUTED_VALUE"""),0.13173417223751474)</f>
        <v>0.1317341722</v>
      </c>
      <c r="F2093" s="5">
        <f>IFERROR(__xludf.DUMMYFUNCTION("""COMPUTED_VALUE"""),0.20408965788438851)</f>
        <v>0.2040896579</v>
      </c>
      <c r="G2093" s="5">
        <f>IFERROR(__xludf.DUMMYFUNCTION("""COMPUTED_VALUE"""),0.14982304364923318)</f>
        <v>0.1498230436</v>
      </c>
      <c r="H2093" s="5">
        <f>IFERROR(__xludf.DUMMYFUNCTION("""COMPUTED_VALUE"""),0.6473988439306358)</f>
        <v>0.6473988439</v>
      </c>
      <c r="I2093" s="11">
        <f>IFERROR(__xludf.DUMMYFUNCTION("""COMPUTED_VALUE"""),5388.824662813102)</f>
        <v>5388.824663</v>
      </c>
      <c r="J2093" s="10">
        <f>IFERROR(__xludf.DUMMYFUNCTION("""COMPUTED_VALUE"""),2.0)</f>
        <v>2</v>
      </c>
      <c r="K2093" s="5">
        <f>IFERROR(__xludf.DUMMYFUNCTION("""COMPUTED_VALUE"""),0.008264462809917356)</f>
        <v>0.00826446281</v>
      </c>
      <c r="L2093" s="10">
        <f>IFERROR(__xludf.DUMMYFUNCTION("""COMPUTED_VALUE"""),238.0)</f>
        <v>238</v>
      </c>
      <c r="M2093" s="5">
        <f>IFERROR(__xludf.DUMMYFUNCTION("""COMPUTED_VALUE"""),0.9834710743801653)</f>
        <v>0.9834710744</v>
      </c>
    </row>
    <row r="2094">
      <c r="A2094" s="10" t="str">
        <f>IFERROR(__xludf.DUMMYFUNCTION("""COMPUTED_VALUE"""),"日曜日よりの使者")</f>
        <v>日曜日よりの使者</v>
      </c>
      <c r="B2094" s="10">
        <f>IFERROR(__xludf.DUMMYFUNCTION("""COMPUTED_VALUE"""),2346.0)</f>
        <v>2346</v>
      </c>
      <c r="C2094" s="10">
        <f>IFERROR(__xludf.DUMMYFUNCTION("""COMPUTED_VALUE"""),27359.0)</f>
        <v>27359</v>
      </c>
      <c r="D2094" s="5">
        <f>IFERROR(__xludf.DUMMYFUNCTION("""COMPUTED_VALUE"""),0.38016231559589014)</f>
        <v>0.3801623156</v>
      </c>
      <c r="E2094" s="5">
        <f>IFERROR(__xludf.DUMMYFUNCTION("""COMPUTED_VALUE"""),0.1317314996201975)</f>
        <v>0.1317314996</v>
      </c>
      <c r="F2094" s="5">
        <f>IFERROR(__xludf.DUMMYFUNCTION("""COMPUTED_VALUE"""),0.22168472394354935)</f>
        <v>0.2216847239</v>
      </c>
      <c r="G2094" s="5">
        <f>IFERROR(__xludf.DUMMYFUNCTION("""COMPUTED_VALUE"""),0.187222644225003)</f>
        <v>0.1872226442</v>
      </c>
      <c r="H2094" s="5">
        <f>IFERROR(__xludf.DUMMYFUNCTION("""COMPUTED_VALUE"""),0.5837691614066727)</f>
        <v>0.5837691614</v>
      </c>
      <c r="I2094" s="11">
        <f>IFERROR(__xludf.DUMMYFUNCTION("""COMPUTED_VALUE"""),5506.798917944094)</f>
        <v>5506.798918</v>
      </c>
      <c r="J2094" s="10">
        <f>IFERROR(__xludf.DUMMYFUNCTION("""COMPUTED_VALUE"""),1.0)</f>
        <v>1</v>
      </c>
      <c r="K2094" s="5">
        <f>IFERROR(__xludf.DUMMYFUNCTION("""COMPUTED_VALUE"""),4.2625745950554135E-4)</f>
        <v>0.0004262574595</v>
      </c>
      <c r="L2094" s="10">
        <f>IFERROR(__xludf.DUMMYFUNCTION("""COMPUTED_VALUE"""),2345.0)</f>
        <v>2345</v>
      </c>
      <c r="M2094" s="5">
        <f>IFERROR(__xludf.DUMMYFUNCTION("""COMPUTED_VALUE"""),0.9995737425404945)</f>
        <v>0.9995737425</v>
      </c>
    </row>
    <row r="2095">
      <c r="A2095" s="10" t="str">
        <f>IFERROR(__xludf.DUMMYFUNCTION("""COMPUTED_VALUE"""),"マキャモン")</f>
        <v>マキャモン</v>
      </c>
      <c r="B2095" s="10">
        <f>IFERROR(__xludf.DUMMYFUNCTION("""COMPUTED_VALUE"""),148.0)</f>
        <v>148</v>
      </c>
      <c r="C2095" s="10">
        <f>IFERROR(__xludf.DUMMYFUNCTION("""COMPUTED_VALUE"""),1727.0)</f>
        <v>1727</v>
      </c>
      <c r="D2095" s="5">
        <f>IFERROR(__xludf.DUMMYFUNCTION("""COMPUTED_VALUE"""),0.4046865104496517)</f>
        <v>0.4046865104</v>
      </c>
      <c r="E2095" s="5">
        <f>IFERROR(__xludf.DUMMYFUNCTION("""COMPUTED_VALUE"""),0.1317289423685877)</f>
        <v>0.1317289424</v>
      </c>
      <c r="F2095" s="5">
        <f>IFERROR(__xludf.DUMMYFUNCTION("""COMPUTED_VALUE"""),0.20899303356554783)</f>
        <v>0.2089930336</v>
      </c>
      <c r="G2095" s="5">
        <f>IFERROR(__xludf.DUMMYFUNCTION("""COMPUTED_VALUE"""),0.15896136795440152)</f>
        <v>0.158961368</v>
      </c>
      <c r="H2095" s="5">
        <f>IFERROR(__xludf.DUMMYFUNCTION("""COMPUTED_VALUE"""),0.5969696969696969)</f>
        <v>0.596969697</v>
      </c>
      <c r="I2095" s="11">
        <f>IFERROR(__xludf.DUMMYFUNCTION("""COMPUTED_VALUE"""),5200.909090909091)</f>
        <v>5200.909091</v>
      </c>
      <c r="J2095" s="10">
        <f>IFERROR(__xludf.DUMMYFUNCTION("""COMPUTED_VALUE"""),0.0)</f>
        <v>0</v>
      </c>
      <c r="K2095" s="5">
        <f>IFERROR(__xludf.DUMMYFUNCTION("""COMPUTED_VALUE"""),0.0)</f>
        <v>0</v>
      </c>
      <c r="L2095" s="10">
        <f>IFERROR(__xludf.DUMMYFUNCTION("""COMPUTED_VALUE"""),148.0)</f>
        <v>148</v>
      </c>
      <c r="M2095" s="5">
        <f>IFERROR(__xludf.DUMMYFUNCTION("""COMPUTED_VALUE"""),1.0)</f>
        <v>1</v>
      </c>
    </row>
    <row r="2096">
      <c r="A2096" s="10" t="str">
        <f>IFERROR(__xludf.DUMMYFUNCTION("""COMPUTED_VALUE"""),"伊藤千佳")</f>
        <v>伊藤千佳</v>
      </c>
      <c r="B2096" s="10">
        <f>IFERROR(__xludf.DUMMYFUNCTION("""COMPUTED_VALUE"""),185.0)</f>
        <v>185</v>
      </c>
      <c r="C2096" s="10">
        <f>IFERROR(__xludf.DUMMYFUNCTION("""COMPUTED_VALUE"""),2174.0)</f>
        <v>2174</v>
      </c>
      <c r="D2096" s="5">
        <f>IFERROR(__xludf.DUMMYFUNCTION("""COMPUTED_VALUE"""),0.3851181498240322)</f>
        <v>0.3851181498</v>
      </c>
      <c r="E2096" s="5">
        <f>IFERROR(__xludf.DUMMYFUNCTION("""COMPUTED_VALUE"""),0.13172448466566114)</f>
        <v>0.1317244847</v>
      </c>
      <c r="F2096" s="5">
        <f>IFERROR(__xludf.DUMMYFUNCTION("""COMPUTED_VALUE"""),0.22071392659627953)</f>
        <v>0.2207139266</v>
      </c>
      <c r="G2096" s="5">
        <f>IFERROR(__xludf.DUMMYFUNCTION("""COMPUTED_VALUE"""),0.17546505781799898)</f>
        <v>0.1754650578</v>
      </c>
      <c r="H2096" s="5">
        <f>IFERROR(__xludf.DUMMYFUNCTION("""COMPUTED_VALUE"""),0.5580865603644647)</f>
        <v>0.5580865604</v>
      </c>
      <c r="I2096" s="11">
        <f>IFERROR(__xludf.DUMMYFUNCTION("""COMPUTED_VALUE"""),5351.025056947608)</f>
        <v>5351.025057</v>
      </c>
      <c r="J2096" s="10">
        <f>IFERROR(__xludf.DUMMYFUNCTION("""COMPUTED_VALUE"""),0.0)</f>
        <v>0</v>
      </c>
      <c r="K2096" s="5">
        <f>IFERROR(__xludf.DUMMYFUNCTION("""COMPUTED_VALUE"""),0.0)</f>
        <v>0</v>
      </c>
      <c r="L2096" s="10">
        <f>IFERROR(__xludf.DUMMYFUNCTION("""COMPUTED_VALUE"""),1.0)</f>
        <v>1</v>
      </c>
      <c r="M2096" s="5">
        <f>IFERROR(__xludf.DUMMYFUNCTION("""COMPUTED_VALUE"""),0.005405405405405406)</f>
        <v>0.005405405405</v>
      </c>
    </row>
    <row r="2097">
      <c r="A2097" s="10" t="str">
        <f>IFERROR(__xludf.DUMMYFUNCTION("""COMPUTED_VALUE"""),"ななみんご")</f>
        <v>ななみんご</v>
      </c>
      <c r="B2097" s="10">
        <f>IFERROR(__xludf.DUMMYFUNCTION("""COMPUTED_VALUE"""),531.0)</f>
        <v>531</v>
      </c>
      <c r="C2097" s="10">
        <f>IFERROR(__xludf.DUMMYFUNCTION("""COMPUTED_VALUE"""),6248.0)</f>
        <v>6248</v>
      </c>
      <c r="D2097" s="5">
        <f>IFERROR(__xludf.DUMMYFUNCTION("""COMPUTED_VALUE"""),0.3507084135035858)</f>
        <v>0.3507084135</v>
      </c>
      <c r="E2097" s="5">
        <f>IFERROR(__xludf.DUMMYFUNCTION("""COMPUTED_VALUE"""),0.1317124365926185)</f>
        <v>0.1317124366</v>
      </c>
      <c r="F2097" s="5">
        <f>IFERROR(__xludf.DUMMYFUNCTION("""COMPUTED_VALUE"""),0.20832604512856392)</f>
        <v>0.2083260451</v>
      </c>
      <c r="G2097" s="5">
        <f>IFERROR(__xludf.DUMMYFUNCTION("""COMPUTED_VALUE"""),0.18838551687948224)</f>
        <v>0.1883855169</v>
      </c>
      <c r="H2097" s="5">
        <f>IFERROR(__xludf.DUMMYFUNCTION("""COMPUTED_VALUE"""),0.5986565910999161)</f>
        <v>0.5986565911</v>
      </c>
      <c r="I2097" s="11">
        <f>IFERROR(__xludf.DUMMYFUNCTION("""COMPUTED_VALUE"""),5507.472712006717)</f>
        <v>5507.472712</v>
      </c>
      <c r="J2097" s="10">
        <f>IFERROR(__xludf.DUMMYFUNCTION("""COMPUTED_VALUE"""),0.0)</f>
        <v>0</v>
      </c>
      <c r="K2097" s="5">
        <f>IFERROR(__xludf.DUMMYFUNCTION("""COMPUTED_VALUE"""),0.0)</f>
        <v>0</v>
      </c>
      <c r="L2097" s="10">
        <f>IFERROR(__xludf.DUMMYFUNCTION("""COMPUTED_VALUE"""),441.0)</f>
        <v>441</v>
      </c>
      <c r="M2097" s="5">
        <f>IFERROR(__xludf.DUMMYFUNCTION("""COMPUTED_VALUE"""),0.8305084745762712)</f>
        <v>0.8305084746</v>
      </c>
    </row>
    <row r="2098">
      <c r="A2098" s="10" t="str">
        <f>IFERROR(__xludf.DUMMYFUNCTION("""COMPUTED_VALUE"""),"Nekosky")</f>
        <v>Nekosky</v>
      </c>
      <c r="B2098" s="10">
        <f>IFERROR(__xludf.DUMMYFUNCTION("""COMPUTED_VALUE"""),203.0)</f>
        <v>203</v>
      </c>
      <c r="C2098" s="10">
        <f>IFERROR(__xludf.DUMMYFUNCTION("""COMPUTED_VALUE"""),2367.0)</f>
        <v>2367</v>
      </c>
      <c r="D2098" s="5">
        <f>IFERROR(__xludf.DUMMYFUNCTION("""COMPUTED_VALUE"""),0.3844731977818854)</f>
        <v>0.3844731978</v>
      </c>
      <c r="E2098" s="5">
        <f>IFERROR(__xludf.DUMMYFUNCTION("""COMPUTED_VALUE"""),0.13170055452865065)</f>
        <v>0.1317005545</v>
      </c>
      <c r="F2098" s="5">
        <f>IFERROR(__xludf.DUMMYFUNCTION("""COMPUTED_VALUE"""),0.20748613678373382)</f>
        <v>0.2074861368</v>
      </c>
      <c r="G2098" s="5">
        <f>IFERROR(__xludf.DUMMYFUNCTION("""COMPUTED_VALUE"""),0.15388170055452866)</f>
        <v>0.1538817006</v>
      </c>
      <c r="H2098" s="5">
        <f>IFERROR(__xludf.DUMMYFUNCTION("""COMPUTED_VALUE"""),0.6570155902004454)</f>
        <v>0.6570155902</v>
      </c>
      <c r="I2098" s="11">
        <f>IFERROR(__xludf.DUMMYFUNCTION("""COMPUTED_VALUE"""),5504.67706013363)</f>
        <v>5504.67706</v>
      </c>
      <c r="J2098" s="10">
        <f>IFERROR(__xludf.DUMMYFUNCTION("""COMPUTED_VALUE"""),0.0)</f>
        <v>0</v>
      </c>
      <c r="K2098" s="5">
        <f>IFERROR(__xludf.DUMMYFUNCTION("""COMPUTED_VALUE"""),0.0)</f>
        <v>0</v>
      </c>
      <c r="L2098" s="10">
        <f>IFERROR(__xludf.DUMMYFUNCTION("""COMPUTED_VALUE"""),203.0)</f>
        <v>203</v>
      </c>
      <c r="M2098" s="5">
        <f>IFERROR(__xludf.DUMMYFUNCTION("""COMPUTED_VALUE"""),1.0)</f>
        <v>1</v>
      </c>
    </row>
    <row r="2099">
      <c r="A2099" s="10" t="str">
        <f>IFERROR(__xludf.DUMMYFUNCTION("""COMPUTED_VALUE"""),"digital8")</f>
        <v>digital8</v>
      </c>
      <c r="B2099" s="10">
        <f>IFERROR(__xludf.DUMMYFUNCTION("""COMPUTED_VALUE"""),498.0)</f>
        <v>498</v>
      </c>
      <c r="C2099" s="10">
        <f>IFERROR(__xludf.DUMMYFUNCTION("""COMPUTED_VALUE"""),5996.0)</f>
        <v>5996</v>
      </c>
      <c r="D2099" s="5">
        <f>IFERROR(__xludf.DUMMYFUNCTION("""COMPUTED_VALUE"""),0.3475809385230993)</f>
        <v>0.3475809385</v>
      </c>
      <c r="E2099" s="5">
        <f>IFERROR(__xludf.DUMMYFUNCTION("""COMPUTED_VALUE"""),0.1316842488177519)</f>
        <v>0.1316842488</v>
      </c>
      <c r="F2099" s="5">
        <f>IFERROR(__xludf.DUMMYFUNCTION("""COMPUTED_VALUE"""),0.21280465623863223)</f>
        <v>0.2128046562</v>
      </c>
      <c r="G2099" s="5">
        <f>IFERROR(__xludf.DUMMYFUNCTION("""COMPUTED_VALUE"""),0.1485994907238996)</f>
        <v>0.1485994907</v>
      </c>
      <c r="H2099" s="5">
        <f>IFERROR(__xludf.DUMMYFUNCTION("""COMPUTED_VALUE"""),0.5658119658119658)</f>
        <v>0.5658119658</v>
      </c>
      <c r="I2099" s="11">
        <f>IFERROR(__xludf.DUMMYFUNCTION("""COMPUTED_VALUE"""),5413.504273504273)</f>
        <v>5413.504274</v>
      </c>
      <c r="J2099" s="10">
        <f>IFERROR(__xludf.DUMMYFUNCTION("""COMPUTED_VALUE"""),1.0)</f>
        <v>1</v>
      </c>
      <c r="K2099" s="5">
        <f>IFERROR(__xludf.DUMMYFUNCTION("""COMPUTED_VALUE"""),0.002008032128514056)</f>
        <v>0.002008032129</v>
      </c>
      <c r="L2099" s="10">
        <f>IFERROR(__xludf.DUMMYFUNCTION("""COMPUTED_VALUE"""),498.0)</f>
        <v>498</v>
      </c>
      <c r="M2099" s="5">
        <f>IFERROR(__xludf.DUMMYFUNCTION("""COMPUTED_VALUE"""),1.0)</f>
        <v>1</v>
      </c>
    </row>
    <row r="2100">
      <c r="A2100" s="10" t="str">
        <f>IFERROR(__xludf.DUMMYFUNCTION("""COMPUTED_VALUE"""),"koollook")</f>
        <v>koollook</v>
      </c>
      <c r="B2100" s="10">
        <f>IFERROR(__xludf.DUMMYFUNCTION("""COMPUTED_VALUE"""),161.0)</f>
        <v>161</v>
      </c>
      <c r="C2100" s="10">
        <f>IFERROR(__xludf.DUMMYFUNCTION("""COMPUTED_VALUE"""),1938.0)</f>
        <v>1938</v>
      </c>
      <c r="D2100" s="5">
        <f>IFERROR(__xludf.DUMMYFUNCTION("""COMPUTED_VALUE"""),0.28024760832864376)</f>
        <v>0.2802476083</v>
      </c>
      <c r="E2100" s="5">
        <f>IFERROR(__xludf.DUMMYFUNCTION("""COMPUTED_VALUE"""),0.13168261114237478)</f>
        <v>0.1316826111</v>
      </c>
      <c r="F2100" s="5">
        <f>IFERROR(__xludf.DUMMYFUNCTION("""COMPUTED_VALUE"""),0.19808666291502533)</f>
        <v>0.1980866629</v>
      </c>
      <c r="G2100" s="5">
        <f>IFERROR(__xludf.DUMMYFUNCTION("""COMPUTED_VALUE"""),0.1429375351716376)</f>
        <v>0.1429375352</v>
      </c>
      <c r="H2100" s="5">
        <f>IFERROR(__xludf.DUMMYFUNCTION("""COMPUTED_VALUE"""),0.6278409090909091)</f>
        <v>0.6278409091</v>
      </c>
      <c r="I2100" s="11">
        <f>IFERROR(__xludf.DUMMYFUNCTION("""COMPUTED_VALUE"""),5765.056818181818)</f>
        <v>5765.056818</v>
      </c>
      <c r="J2100" s="10">
        <f>IFERROR(__xludf.DUMMYFUNCTION("""COMPUTED_VALUE"""),0.0)</f>
        <v>0</v>
      </c>
      <c r="K2100" s="5">
        <f>IFERROR(__xludf.DUMMYFUNCTION("""COMPUTED_VALUE"""),0.0)</f>
        <v>0</v>
      </c>
      <c r="L2100" s="10">
        <f>IFERROR(__xludf.DUMMYFUNCTION("""COMPUTED_VALUE"""),161.0)</f>
        <v>161</v>
      </c>
      <c r="M2100" s="5">
        <f>IFERROR(__xludf.DUMMYFUNCTION("""COMPUTED_VALUE"""),1.0)</f>
        <v>1</v>
      </c>
    </row>
    <row r="2101">
      <c r="A2101" s="10" t="str">
        <f>IFERROR(__xludf.DUMMYFUNCTION("""COMPUTED_VALUE"""),"素朴な味わい")</f>
        <v>素朴な味わい</v>
      </c>
      <c r="B2101" s="10">
        <f>IFERROR(__xludf.DUMMYFUNCTION("""COMPUTED_VALUE"""),1110.0)</f>
        <v>1110</v>
      </c>
      <c r="C2101" s="10">
        <f>IFERROR(__xludf.DUMMYFUNCTION("""COMPUTED_VALUE"""),13063.0)</f>
        <v>13063</v>
      </c>
      <c r="D2101" s="5">
        <f>IFERROR(__xludf.DUMMYFUNCTION("""COMPUTED_VALUE"""),0.3631724253325525)</f>
        <v>0.3631724253</v>
      </c>
      <c r="E2101" s="5">
        <f>IFERROR(__xludf.DUMMYFUNCTION("""COMPUTED_VALUE"""),0.13168242282272233)</f>
        <v>0.1316824228</v>
      </c>
      <c r="F2101" s="5">
        <f>IFERROR(__xludf.DUMMYFUNCTION("""COMPUTED_VALUE"""),0.21459047937756212)</f>
        <v>0.2145904794</v>
      </c>
      <c r="G2101" s="5">
        <f>IFERROR(__xludf.DUMMYFUNCTION("""COMPUTED_VALUE"""),0.17619007780473522)</f>
        <v>0.1761900778</v>
      </c>
      <c r="H2101" s="5">
        <f>IFERROR(__xludf.DUMMYFUNCTION("""COMPUTED_VALUE"""),0.6085769980506822)</f>
        <v>0.6085769981</v>
      </c>
      <c r="I2101" s="11">
        <f>IFERROR(__xludf.DUMMYFUNCTION("""COMPUTED_VALUE"""),5260.662768031189)</f>
        <v>5260.662768</v>
      </c>
      <c r="J2101" s="10">
        <f>IFERROR(__xludf.DUMMYFUNCTION("""COMPUTED_VALUE"""),1.0)</f>
        <v>1</v>
      </c>
      <c r="K2101" s="5">
        <f>IFERROR(__xludf.DUMMYFUNCTION("""COMPUTED_VALUE"""),9.009009009009009E-4)</f>
        <v>0.0009009009009</v>
      </c>
      <c r="L2101" s="10">
        <f>IFERROR(__xludf.DUMMYFUNCTION("""COMPUTED_VALUE"""),1110.0)</f>
        <v>1110</v>
      </c>
      <c r="M2101" s="5">
        <f>IFERROR(__xludf.DUMMYFUNCTION("""COMPUTED_VALUE"""),1.0)</f>
        <v>1</v>
      </c>
    </row>
    <row r="2102">
      <c r="A2102" s="10" t="str">
        <f>IFERROR(__xludf.DUMMYFUNCTION("""COMPUTED_VALUE"""),"裁きの龍")</f>
        <v>裁きの龍</v>
      </c>
      <c r="B2102" s="10">
        <f>IFERROR(__xludf.DUMMYFUNCTION("""COMPUTED_VALUE"""),262.0)</f>
        <v>262</v>
      </c>
      <c r="C2102" s="10">
        <f>IFERROR(__xludf.DUMMYFUNCTION("""COMPUTED_VALUE"""),3057.0)</f>
        <v>3057</v>
      </c>
      <c r="D2102" s="5">
        <f>IFERROR(__xludf.DUMMYFUNCTION("""COMPUTED_VALUE"""),0.35062611806797855)</f>
        <v>0.3506261181</v>
      </c>
      <c r="E2102" s="5">
        <f>IFERROR(__xludf.DUMMYFUNCTION("""COMPUTED_VALUE"""),0.13166368515205726)</f>
        <v>0.1316636852</v>
      </c>
      <c r="F2102" s="5">
        <f>IFERROR(__xludf.DUMMYFUNCTION("""COMPUTED_VALUE"""),0.21717352415026833)</f>
        <v>0.2171735242</v>
      </c>
      <c r="G2102" s="5">
        <f>IFERROR(__xludf.DUMMYFUNCTION("""COMPUTED_VALUE"""),0.16887298747763865)</f>
        <v>0.1688729875</v>
      </c>
      <c r="H2102" s="5">
        <f>IFERROR(__xludf.DUMMYFUNCTION("""COMPUTED_VALUE"""),0.6144975288303131)</f>
        <v>0.6144975288</v>
      </c>
      <c r="I2102" s="11">
        <f>IFERROR(__xludf.DUMMYFUNCTION("""COMPUTED_VALUE"""),5410.708401976935)</f>
        <v>5410.708402</v>
      </c>
      <c r="J2102" s="10">
        <f>IFERROR(__xludf.DUMMYFUNCTION("""COMPUTED_VALUE"""),0.0)</f>
        <v>0</v>
      </c>
      <c r="K2102" s="5">
        <f>IFERROR(__xludf.DUMMYFUNCTION("""COMPUTED_VALUE"""),0.0)</f>
        <v>0</v>
      </c>
      <c r="L2102" s="10">
        <f>IFERROR(__xludf.DUMMYFUNCTION("""COMPUTED_VALUE"""),0.0)</f>
        <v>0</v>
      </c>
      <c r="M2102" s="5">
        <f>IFERROR(__xludf.DUMMYFUNCTION("""COMPUTED_VALUE"""),0.0)</f>
        <v>0</v>
      </c>
    </row>
    <row r="2103">
      <c r="A2103" s="10" t="str">
        <f>IFERROR(__xludf.DUMMYFUNCTION("""COMPUTED_VALUE"""),"Zuttaka")</f>
        <v>Zuttaka</v>
      </c>
      <c r="B2103" s="10">
        <f>IFERROR(__xludf.DUMMYFUNCTION("""COMPUTED_VALUE"""),2585.0)</f>
        <v>2585</v>
      </c>
      <c r="C2103" s="10">
        <f>IFERROR(__xludf.DUMMYFUNCTION("""COMPUTED_VALUE"""),30361.0)</f>
        <v>30361</v>
      </c>
      <c r="D2103" s="5">
        <f>IFERROR(__xludf.DUMMYFUNCTION("""COMPUTED_VALUE"""),0.3133280529953917)</f>
        <v>0.313328053</v>
      </c>
      <c r="E2103" s="5">
        <f>IFERROR(__xludf.DUMMYFUNCTION("""COMPUTED_VALUE"""),0.1316604262672811)</f>
        <v>0.1316604263</v>
      </c>
      <c r="F2103" s="5">
        <f>IFERROR(__xludf.DUMMYFUNCTION("""COMPUTED_VALUE"""),0.21367367511520738)</f>
        <v>0.2136736751</v>
      </c>
      <c r="G2103" s="5">
        <f>IFERROR(__xludf.DUMMYFUNCTION("""COMPUTED_VALUE"""),0.16784274193548387)</f>
        <v>0.1678427419</v>
      </c>
      <c r="H2103" s="5">
        <f>IFERROR(__xludf.DUMMYFUNCTION("""COMPUTED_VALUE"""),0.598989048020219)</f>
        <v>0.598989048</v>
      </c>
      <c r="I2103" s="11">
        <f>IFERROR(__xludf.DUMMYFUNCTION("""COMPUTED_VALUE"""),5810.497051390059)</f>
        <v>5810.497051</v>
      </c>
      <c r="J2103" s="10">
        <f>IFERROR(__xludf.DUMMYFUNCTION("""COMPUTED_VALUE"""),8.0)</f>
        <v>8</v>
      </c>
      <c r="K2103" s="5">
        <f>IFERROR(__xludf.DUMMYFUNCTION("""COMPUTED_VALUE"""),0.003094777562862669)</f>
        <v>0.003094777563</v>
      </c>
      <c r="L2103" s="10">
        <f>IFERROR(__xludf.DUMMYFUNCTION("""COMPUTED_VALUE"""),2585.0)</f>
        <v>2585</v>
      </c>
      <c r="M2103" s="5">
        <f>IFERROR(__xludf.DUMMYFUNCTION("""COMPUTED_VALUE"""),1.0)</f>
        <v>1</v>
      </c>
    </row>
    <row r="2104">
      <c r="A2104" s="10" t="str">
        <f>IFERROR(__xludf.DUMMYFUNCTION("""COMPUTED_VALUE"""),"gush")</f>
        <v>gush</v>
      </c>
      <c r="B2104" s="10">
        <f>IFERROR(__xludf.DUMMYFUNCTION("""COMPUTED_VALUE"""),2821.0)</f>
        <v>2821</v>
      </c>
      <c r="C2104" s="10">
        <f>IFERROR(__xludf.DUMMYFUNCTION("""COMPUTED_VALUE"""),33091.0)</f>
        <v>33091</v>
      </c>
      <c r="D2104" s="5">
        <f>IFERROR(__xludf.DUMMYFUNCTION("""COMPUTED_VALUE"""),0.323191278493558)</f>
        <v>0.3231912785</v>
      </c>
      <c r="E2104" s="5">
        <f>IFERROR(__xludf.DUMMYFUNCTION("""COMPUTED_VALUE"""),0.13164849686157912)</f>
        <v>0.1316484969</v>
      </c>
      <c r="F2104" s="5">
        <f>IFERROR(__xludf.DUMMYFUNCTION("""COMPUTED_VALUE"""),0.21370994383878428)</f>
        <v>0.2137099438</v>
      </c>
      <c r="G2104" s="5">
        <f>IFERROR(__xludf.DUMMYFUNCTION("""COMPUTED_VALUE"""),0.18136769078295342)</f>
        <v>0.1813676908</v>
      </c>
      <c r="H2104" s="5">
        <f>IFERROR(__xludf.DUMMYFUNCTION("""COMPUTED_VALUE"""),0.590972329571804)</f>
        <v>0.5909723296</v>
      </c>
      <c r="I2104" s="11">
        <f>IFERROR(__xludf.DUMMYFUNCTION("""COMPUTED_VALUE"""),5619.77121657134)</f>
        <v>5619.771217</v>
      </c>
      <c r="J2104" s="10">
        <f>IFERROR(__xludf.DUMMYFUNCTION("""COMPUTED_VALUE"""),5.0)</f>
        <v>5</v>
      </c>
      <c r="K2104" s="5">
        <f>IFERROR(__xludf.DUMMYFUNCTION("""COMPUTED_VALUE"""),0.001772421127259837)</f>
        <v>0.001772421127</v>
      </c>
      <c r="L2104" s="10">
        <f>IFERROR(__xludf.DUMMYFUNCTION("""COMPUTED_VALUE"""),2821.0)</f>
        <v>2821</v>
      </c>
      <c r="M2104" s="5">
        <f>IFERROR(__xludf.DUMMYFUNCTION("""COMPUTED_VALUE"""),1.0)</f>
        <v>1</v>
      </c>
    </row>
    <row r="2105">
      <c r="A2105" s="10" t="str">
        <f>IFERROR(__xludf.DUMMYFUNCTION("""COMPUTED_VALUE"""),"無毛猫＠川村軍団")</f>
        <v>無毛猫＠川村軍団</v>
      </c>
      <c r="B2105" s="10">
        <f>IFERROR(__xludf.DUMMYFUNCTION("""COMPUTED_VALUE"""),351.0)</f>
        <v>351</v>
      </c>
      <c r="C2105" s="10">
        <f>IFERROR(__xludf.DUMMYFUNCTION("""COMPUTED_VALUE"""),4081.0)</f>
        <v>4081</v>
      </c>
      <c r="D2105" s="5">
        <f>IFERROR(__xludf.DUMMYFUNCTION("""COMPUTED_VALUE"""),0.3324396782841823)</f>
        <v>0.3324396783</v>
      </c>
      <c r="E2105" s="5">
        <f>IFERROR(__xludf.DUMMYFUNCTION("""COMPUTED_VALUE"""),0.13163538873994637)</f>
        <v>0.1316353887</v>
      </c>
      <c r="F2105" s="5">
        <f>IFERROR(__xludf.DUMMYFUNCTION("""COMPUTED_VALUE"""),0.19785522788203752)</f>
        <v>0.1978552279</v>
      </c>
      <c r="G2105" s="5">
        <f>IFERROR(__xludf.DUMMYFUNCTION("""COMPUTED_VALUE"""),0.15898123324396782)</f>
        <v>0.1589812332</v>
      </c>
      <c r="H2105" s="5">
        <f>IFERROR(__xludf.DUMMYFUNCTION("""COMPUTED_VALUE"""),0.592140921409214)</f>
        <v>0.5921409214</v>
      </c>
      <c r="I2105" s="11">
        <f>IFERROR(__xludf.DUMMYFUNCTION("""COMPUTED_VALUE"""),5459.485094850948)</f>
        <v>5459.485095</v>
      </c>
      <c r="J2105" s="10">
        <f>IFERROR(__xludf.DUMMYFUNCTION("""COMPUTED_VALUE"""),0.0)</f>
        <v>0</v>
      </c>
      <c r="K2105" s="5">
        <f>IFERROR(__xludf.DUMMYFUNCTION("""COMPUTED_VALUE"""),0.0)</f>
        <v>0</v>
      </c>
      <c r="L2105" s="10">
        <f>IFERROR(__xludf.DUMMYFUNCTION("""COMPUTED_VALUE"""),154.0)</f>
        <v>154</v>
      </c>
      <c r="M2105" s="5">
        <f>IFERROR(__xludf.DUMMYFUNCTION("""COMPUTED_VALUE"""),0.43874643874643876)</f>
        <v>0.4387464387</v>
      </c>
    </row>
    <row r="2106">
      <c r="A2106" s="10" t="str">
        <f>IFERROR(__xludf.DUMMYFUNCTION("""COMPUTED_VALUE"""),"トニー★彡")</f>
        <v>トニー★彡</v>
      </c>
      <c r="B2106" s="10">
        <f>IFERROR(__xludf.DUMMYFUNCTION("""COMPUTED_VALUE"""),2273.0)</f>
        <v>2273</v>
      </c>
      <c r="C2106" s="10">
        <f>IFERROR(__xludf.DUMMYFUNCTION("""COMPUTED_VALUE"""),26727.0)</f>
        <v>26727</v>
      </c>
      <c r="D2106" s="5">
        <f>IFERROR(__xludf.DUMMYFUNCTION("""COMPUTED_VALUE"""),0.36014557945530384)</f>
        <v>0.3601455795</v>
      </c>
      <c r="E2106" s="5">
        <f>IFERROR(__xludf.DUMMYFUNCTION("""COMPUTED_VALUE"""),0.13163490635478858)</f>
        <v>0.1316349064</v>
      </c>
      <c r="F2106" s="5">
        <f>IFERROR(__xludf.DUMMYFUNCTION("""COMPUTED_VALUE"""),0.22204956244377197)</f>
        <v>0.2220495624</v>
      </c>
      <c r="G2106" s="5">
        <f>IFERROR(__xludf.DUMMYFUNCTION("""COMPUTED_VALUE"""),0.15089555900875112)</f>
        <v>0.150895559</v>
      </c>
      <c r="H2106" s="5">
        <f>IFERROR(__xludf.DUMMYFUNCTION("""COMPUTED_VALUE"""),0.6162062615101289)</f>
        <v>0.6162062615</v>
      </c>
      <c r="I2106" s="11">
        <f>IFERROR(__xludf.DUMMYFUNCTION("""COMPUTED_VALUE"""),5386.9244935543275)</f>
        <v>5386.924494</v>
      </c>
      <c r="J2106" s="10">
        <f>IFERROR(__xludf.DUMMYFUNCTION("""COMPUTED_VALUE"""),4.0)</f>
        <v>4</v>
      </c>
      <c r="K2106" s="5">
        <f>IFERROR(__xludf.DUMMYFUNCTION("""COMPUTED_VALUE"""),0.0017597888253409592)</f>
        <v>0.001759788825</v>
      </c>
      <c r="L2106" s="10">
        <f>IFERROR(__xludf.DUMMYFUNCTION("""COMPUTED_VALUE"""),2273.0)</f>
        <v>2273</v>
      </c>
      <c r="M2106" s="5">
        <f>IFERROR(__xludf.DUMMYFUNCTION("""COMPUTED_VALUE"""),1.0)</f>
        <v>1</v>
      </c>
    </row>
    <row r="2107">
      <c r="A2107" s="10" t="str">
        <f>IFERROR(__xludf.DUMMYFUNCTION("""COMPUTED_VALUE"""),"さっちも")</f>
        <v>さっちも</v>
      </c>
      <c r="B2107" s="10">
        <f>IFERROR(__xludf.DUMMYFUNCTION("""COMPUTED_VALUE"""),143.0)</f>
        <v>143</v>
      </c>
      <c r="C2107" s="10">
        <f>IFERROR(__xludf.DUMMYFUNCTION("""COMPUTED_VALUE"""),1670.0)</f>
        <v>1670</v>
      </c>
      <c r="D2107" s="5">
        <f>IFERROR(__xludf.DUMMYFUNCTION("""COMPUTED_VALUE"""),0.426981008513425)</f>
        <v>0.4269810085</v>
      </c>
      <c r="E2107" s="5">
        <f>IFERROR(__xludf.DUMMYFUNCTION("""COMPUTED_VALUE"""),0.13163064833005894)</f>
        <v>0.1316306483</v>
      </c>
      <c r="F2107" s="5">
        <f>IFERROR(__xludf.DUMMYFUNCTION("""COMPUTED_VALUE"""),0.21480026195153898)</f>
        <v>0.214800262</v>
      </c>
      <c r="G2107" s="5">
        <f>IFERROR(__xludf.DUMMYFUNCTION("""COMPUTED_VALUE"""),0.1761624099541585)</f>
        <v>0.17616241</v>
      </c>
      <c r="H2107" s="5">
        <f>IFERROR(__xludf.DUMMYFUNCTION("""COMPUTED_VALUE"""),0.5823170731707317)</f>
        <v>0.5823170732</v>
      </c>
      <c r="I2107" s="11">
        <f>IFERROR(__xludf.DUMMYFUNCTION("""COMPUTED_VALUE"""),5913.414634146341)</f>
        <v>5913.414634</v>
      </c>
      <c r="J2107" s="10">
        <f>IFERROR(__xludf.DUMMYFUNCTION("""COMPUTED_VALUE"""),1.0)</f>
        <v>1</v>
      </c>
      <c r="K2107" s="5">
        <f>IFERROR(__xludf.DUMMYFUNCTION("""COMPUTED_VALUE"""),0.006993006993006993)</f>
        <v>0.006993006993</v>
      </c>
      <c r="L2107" s="10">
        <f>IFERROR(__xludf.DUMMYFUNCTION("""COMPUTED_VALUE"""),143.0)</f>
        <v>143</v>
      </c>
      <c r="M2107" s="5">
        <f>IFERROR(__xludf.DUMMYFUNCTION("""COMPUTED_VALUE"""),1.0)</f>
        <v>1</v>
      </c>
    </row>
    <row r="2108">
      <c r="A2108" s="10" t="str">
        <f>IFERROR(__xludf.DUMMYFUNCTION("""COMPUTED_VALUE"""),"ティカ-γ")</f>
        <v>ティカ-γ</v>
      </c>
      <c r="B2108" s="10">
        <f>IFERROR(__xludf.DUMMYFUNCTION("""COMPUTED_VALUE"""),160.0)</f>
        <v>160</v>
      </c>
      <c r="C2108" s="10">
        <f>IFERROR(__xludf.DUMMYFUNCTION("""COMPUTED_VALUE"""),1877.0)</f>
        <v>1877</v>
      </c>
      <c r="D2108" s="5">
        <f>IFERROR(__xludf.DUMMYFUNCTION("""COMPUTED_VALUE"""),0.39196272568433316)</f>
        <v>0.3919627257</v>
      </c>
      <c r="E2108" s="5">
        <f>IFERROR(__xludf.DUMMYFUNCTION("""COMPUTED_VALUE"""),0.13162492719860222)</f>
        <v>0.1316249272</v>
      </c>
      <c r="F2108" s="5">
        <f>IFERROR(__xludf.DUMMYFUNCTION("""COMPUTED_VALUE"""),0.20617355853232383)</f>
        <v>0.2061735585</v>
      </c>
      <c r="G2108" s="5">
        <f>IFERROR(__xludf.DUMMYFUNCTION("""COMPUTED_VALUE"""),0.1351193942923704)</f>
        <v>0.1351193943</v>
      </c>
      <c r="H2108" s="5">
        <f>IFERROR(__xludf.DUMMYFUNCTION("""COMPUTED_VALUE"""),0.6045197740112994)</f>
        <v>0.604519774</v>
      </c>
      <c r="I2108" s="11">
        <f>IFERROR(__xludf.DUMMYFUNCTION("""COMPUTED_VALUE"""),5544.067796610169)</f>
        <v>5544.067797</v>
      </c>
      <c r="J2108" s="10">
        <f>IFERROR(__xludf.DUMMYFUNCTION("""COMPUTED_VALUE"""),0.0)</f>
        <v>0</v>
      </c>
      <c r="K2108" s="5">
        <f>IFERROR(__xludf.DUMMYFUNCTION("""COMPUTED_VALUE"""),0.0)</f>
        <v>0</v>
      </c>
      <c r="L2108" s="10">
        <f>IFERROR(__xludf.DUMMYFUNCTION("""COMPUTED_VALUE"""),160.0)</f>
        <v>160</v>
      </c>
      <c r="M2108" s="5">
        <f>IFERROR(__xludf.DUMMYFUNCTION("""COMPUTED_VALUE"""),1.0)</f>
        <v>1</v>
      </c>
    </row>
    <row r="2109">
      <c r="A2109" s="10" t="str">
        <f>IFERROR(__xludf.DUMMYFUNCTION("""COMPUTED_VALUE"""),"夏川まゆり")</f>
        <v>夏川まゆり</v>
      </c>
      <c r="B2109" s="10">
        <f>IFERROR(__xludf.DUMMYFUNCTION("""COMPUTED_VALUE"""),114.0)</f>
        <v>114</v>
      </c>
      <c r="C2109" s="10">
        <f>IFERROR(__xludf.DUMMYFUNCTION("""COMPUTED_VALUE"""),1322.0)</f>
        <v>1322</v>
      </c>
      <c r="D2109" s="5">
        <f>IFERROR(__xludf.DUMMYFUNCTION("""COMPUTED_VALUE"""),0.353476821192053)</f>
        <v>0.3534768212</v>
      </c>
      <c r="E2109" s="5">
        <f>IFERROR(__xludf.DUMMYFUNCTION("""COMPUTED_VALUE"""),0.1316225165562914)</f>
        <v>0.1316225166</v>
      </c>
      <c r="F2109" s="5">
        <f>IFERROR(__xludf.DUMMYFUNCTION("""COMPUTED_VALUE"""),0.20447019867549668)</f>
        <v>0.2044701987</v>
      </c>
      <c r="G2109" s="5">
        <f>IFERROR(__xludf.DUMMYFUNCTION("""COMPUTED_VALUE"""),0.1597682119205298)</f>
        <v>0.1597682119</v>
      </c>
      <c r="H2109" s="5">
        <f>IFERROR(__xludf.DUMMYFUNCTION("""COMPUTED_VALUE"""),0.6153846153846154)</f>
        <v>0.6153846154</v>
      </c>
      <c r="I2109" s="11">
        <f>IFERROR(__xludf.DUMMYFUNCTION("""COMPUTED_VALUE"""),5275.3036437246965)</f>
        <v>5275.303644</v>
      </c>
      <c r="J2109" s="10">
        <f>IFERROR(__xludf.DUMMYFUNCTION("""COMPUTED_VALUE"""),0.0)</f>
        <v>0</v>
      </c>
      <c r="K2109" s="5">
        <f>IFERROR(__xludf.DUMMYFUNCTION("""COMPUTED_VALUE"""),0.0)</f>
        <v>0</v>
      </c>
      <c r="L2109" s="10">
        <f>IFERROR(__xludf.DUMMYFUNCTION("""COMPUTED_VALUE"""),0.0)</f>
        <v>0</v>
      </c>
      <c r="M2109" s="5">
        <f>IFERROR(__xludf.DUMMYFUNCTION("""COMPUTED_VALUE"""),0.0)</f>
        <v>0</v>
      </c>
    </row>
    <row r="2110">
      <c r="A2110" s="10" t="str">
        <f>IFERROR(__xludf.DUMMYFUNCTION("""COMPUTED_VALUE"""),"Bショコラ")</f>
        <v>Bショコラ</v>
      </c>
      <c r="B2110" s="10">
        <f>IFERROR(__xludf.DUMMYFUNCTION("""COMPUTED_VALUE"""),373.0)</f>
        <v>373</v>
      </c>
      <c r="C2110" s="10">
        <f>IFERROR(__xludf.DUMMYFUNCTION("""COMPUTED_VALUE"""),4453.0)</f>
        <v>4453</v>
      </c>
      <c r="D2110" s="5">
        <f>IFERROR(__xludf.DUMMYFUNCTION("""COMPUTED_VALUE"""),0.34852941176470587)</f>
        <v>0.3485294118</v>
      </c>
      <c r="E2110" s="5">
        <f>IFERROR(__xludf.DUMMYFUNCTION("""COMPUTED_VALUE"""),0.13161764705882353)</f>
        <v>0.1316176471</v>
      </c>
      <c r="F2110" s="5">
        <f>IFERROR(__xludf.DUMMYFUNCTION("""COMPUTED_VALUE"""),0.21887254901960784)</f>
        <v>0.218872549</v>
      </c>
      <c r="G2110" s="5">
        <f>IFERROR(__xludf.DUMMYFUNCTION("""COMPUTED_VALUE"""),0.1556372549019608)</f>
        <v>0.1556372549</v>
      </c>
      <c r="H2110" s="5">
        <f>IFERROR(__xludf.DUMMYFUNCTION("""COMPUTED_VALUE"""),0.6013437849944009)</f>
        <v>0.601343785</v>
      </c>
      <c r="I2110" s="11">
        <f>IFERROR(__xludf.DUMMYFUNCTION("""COMPUTED_VALUE"""),5364.501679731243)</f>
        <v>5364.50168</v>
      </c>
      <c r="J2110" s="10">
        <f>IFERROR(__xludf.DUMMYFUNCTION("""COMPUTED_VALUE"""),0.0)</f>
        <v>0</v>
      </c>
      <c r="K2110" s="5">
        <f>IFERROR(__xludf.DUMMYFUNCTION("""COMPUTED_VALUE"""),0.0)</f>
        <v>0</v>
      </c>
      <c r="L2110" s="10">
        <f>IFERROR(__xludf.DUMMYFUNCTION("""COMPUTED_VALUE"""),54.0)</f>
        <v>54</v>
      </c>
      <c r="M2110" s="5">
        <f>IFERROR(__xludf.DUMMYFUNCTION("""COMPUTED_VALUE"""),0.1447721179624665)</f>
        <v>0.144772118</v>
      </c>
    </row>
    <row r="2111">
      <c r="A2111" s="10" t="str">
        <f>IFERROR(__xludf.DUMMYFUNCTION("""COMPUTED_VALUE"""),"デデキント")</f>
        <v>デデキント</v>
      </c>
      <c r="B2111" s="10">
        <f>IFERROR(__xludf.DUMMYFUNCTION("""COMPUTED_VALUE"""),1548.0)</f>
        <v>1548</v>
      </c>
      <c r="C2111" s="10">
        <f>IFERROR(__xludf.DUMMYFUNCTION("""COMPUTED_VALUE"""),18248.0)</f>
        <v>18248</v>
      </c>
      <c r="D2111" s="5">
        <f>IFERROR(__xludf.DUMMYFUNCTION("""COMPUTED_VALUE"""),0.38305389221556885)</f>
        <v>0.3830538922</v>
      </c>
      <c r="E2111" s="5">
        <f>IFERROR(__xludf.DUMMYFUNCTION("""COMPUTED_VALUE"""),0.13161676646706588)</f>
        <v>0.1316167665</v>
      </c>
      <c r="F2111" s="5">
        <f>IFERROR(__xludf.DUMMYFUNCTION("""COMPUTED_VALUE"""),0.21676646706586827)</f>
        <v>0.2167664671</v>
      </c>
      <c r="G2111" s="5">
        <f>IFERROR(__xludf.DUMMYFUNCTION("""COMPUTED_VALUE"""),0.167125748502994)</f>
        <v>0.1671257485</v>
      </c>
      <c r="H2111" s="5">
        <f>IFERROR(__xludf.DUMMYFUNCTION("""COMPUTED_VALUE"""),0.588121546961326)</f>
        <v>0.588121547</v>
      </c>
      <c r="I2111" s="11">
        <f>IFERROR(__xludf.DUMMYFUNCTION("""COMPUTED_VALUE"""),5624.419889502762)</f>
        <v>5624.41989</v>
      </c>
      <c r="J2111" s="10">
        <f>IFERROR(__xludf.DUMMYFUNCTION("""COMPUTED_VALUE"""),1.0)</f>
        <v>1</v>
      </c>
      <c r="K2111" s="5">
        <f>IFERROR(__xludf.DUMMYFUNCTION("""COMPUTED_VALUE"""),6.459948320413437E-4)</f>
        <v>0.000645994832</v>
      </c>
      <c r="L2111" s="10">
        <f>IFERROR(__xludf.DUMMYFUNCTION("""COMPUTED_VALUE"""),1548.0)</f>
        <v>1548</v>
      </c>
      <c r="M2111" s="5">
        <f>IFERROR(__xludf.DUMMYFUNCTION("""COMPUTED_VALUE"""),1.0)</f>
        <v>1</v>
      </c>
    </row>
    <row r="2112">
      <c r="A2112" s="10" t="str">
        <f>IFERROR(__xludf.DUMMYFUNCTION("""COMPUTED_VALUE"""),"やめてけれ")</f>
        <v>やめてけれ</v>
      </c>
      <c r="B2112" s="10">
        <f>IFERROR(__xludf.DUMMYFUNCTION("""COMPUTED_VALUE"""),1027.0)</f>
        <v>1027</v>
      </c>
      <c r="C2112" s="10">
        <f>IFERROR(__xludf.DUMMYFUNCTION("""COMPUTED_VALUE"""),11953.0)</f>
        <v>11953</v>
      </c>
      <c r="D2112" s="5">
        <f>IFERROR(__xludf.DUMMYFUNCTION("""COMPUTED_VALUE"""),0.2830862163646348)</f>
        <v>0.2830862164</v>
      </c>
      <c r="E2112" s="5">
        <f>IFERROR(__xludf.DUMMYFUNCTION("""COMPUTED_VALUE"""),0.1316126670327659)</f>
        <v>0.131612667</v>
      </c>
      <c r="F2112" s="5">
        <f>IFERROR(__xludf.DUMMYFUNCTION("""COMPUTED_VALUE"""),0.19531393007505035)</f>
        <v>0.1953139301</v>
      </c>
      <c r="G2112" s="5">
        <f>IFERROR(__xludf.DUMMYFUNCTION("""COMPUTED_VALUE"""),0.17545304777594728)</f>
        <v>0.1754530478</v>
      </c>
      <c r="H2112" s="5">
        <f>IFERROR(__xludf.DUMMYFUNCTION("""COMPUTED_VALUE"""),0.5829428303655108)</f>
        <v>0.5829428304</v>
      </c>
      <c r="I2112" s="11">
        <f>IFERROR(__xludf.DUMMYFUNCTION("""COMPUTED_VALUE"""),6176.101218369259)</f>
        <v>6176.101218</v>
      </c>
      <c r="J2112" s="10">
        <f>IFERROR(__xludf.DUMMYFUNCTION("""COMPUTED_VALUE"""),1.0)</f>
        <v>1</v>
      </c>
      <c r="K2112" s="5">
        <f>IFERROR(__xludf.DUMMYFUNCTION("""COMPUTED_VALUE"""),9.737098344693282E-4)</f>
        <v>0.0009737098345</v>
      </c>
      <c r="L2112" s="10">
        <f>IFERROR(__xludf.DUMMYFUNCTION("""COMPUTED_VALUE"""),0.0)</f>
        <v>0</v>
      </c>
      <c r="M2112" s="5">
        <f>IFERROR(__xludf.DUMMYFUNCTION("""COMPUTED_VALUE"""),0.0)</f>
        <v>0</v>
      </c>
    </row>
    <row r="2113">
      <c r="A2113" s="10" t="str">
        <f>IFERROR(__xludf.DUMMYFUNCTION("""COMPUTED_VALUE"""),"あつあつ湯豆腐")</f>
        <v>あつあつ湯豆腐</v>
      </c>
      <c r="B2113" s="10">
        <f>IFERROR(__xludf.DUMMYFUNCTION("""COMPUTED_VALUE"""),451.0)</f>
        <v>451</v>
      </c>
      <c r="C2113" s="10">
        <f>IFERROR(__xludf.DUMMYFUNCTION("""COMPUTED_VALUE"""),5329.0)</f>
        <v>5329</v>
      </c>
      <c r="D2113" s="5">
        <f>IFERROR(__xludf.DUMMYFUNCTION("""COMPUTED_VALUE"""),0.38724887248872486)</f>
        <v>0.3872488725</v>
      </c>
      <c r="E2113" s="5">
        <f>IFERROR(__xludf.DUMMYFUNCTION("""COMPUTED_VALUE"""),0.13161131611316113)</f>
        <v>0.1316113161</v>
      </c>
      <c r="F2113" s="5">
        <f>IFERROR(__xludf.DUMMYFUNCTION("""COMPUTED_VALUE"""),0.2035670356703567)</f>
        <v>0.2035670357</v>
      </c>
      <c r="G2113" s="5">
        <f>IFERROR(__xludf.DUMMYFUNCTION("""COMPUTED_VALUE"""),0.17814678146781468)</f>
        <v>0.1781467815</v>
      </c>
      <c r="H2113" s="5">
        <f>IFERROR(__xludf.DUMMYFUNCTION("""COMPUTED_VALUE"""),0.5931520644511581)</f>
        <v>0.5931520645</v>
      </c>
      <c r="I2113" s="11">
        <f>IFERROR(__xludf.DUMMYFUNCTION("""COMPUTED_VALUE"""),5663.947633434038)</f>
        <v>5663.947633</v>
      </c>
      <c r="J2113" s="10">
        <f>IFERROR(__xludf.DUMMYFUNCTION("""COMPUTED_VALUE"""),0.0)</f>
        <v>0</v>
      </c>
      <c r="K2113" s="5">
        <f>IFERROR(__xludf.DUMMYFUNCTION("""COMPUTED_VALUE"""),0.0)</f>
        <v>0</v>
      </c>
      <c r="L2113" s="10">
        <f>IFERROR(__xludf.DUMMYFUNCTION("""COMPUTED_VALUE"""),242.0)</f>
        <v>242</v>
      </c>
      <c r="M2113" s="5">
        <f>IFERROR(__xludf.DUMMYFUNCTION("""COMPUTED_VALUE"""),0.5365853658536586)</f>
        <v>0.5365853659</v>
      </c>
    </row>
    <row r="2114">
      <c r="A2114" s="10" t="str">
        <f>IFERROR(__xludf.DUMMYFUNCTION("""COMPUTED_VALUE"""),"みうら")</f>
        <v>みうら</v>
      </c>
      <c r="B2114" s="10">
        <f>IFERROR(__xludf.DUMMYFUNCTION("""COMPUTED_VALUE"""),658.0)</f>
        <v>658</v>
      </c>
      <c r="C2114" s="10">
        <f>IFERROR(__xludf.DUMMYFUNCTION("""COMPUTED_VALUE"""),7740.0)</f>
        <v>7740</v>
      </c>
      <c r="D2114" s="5">
        <f>IFERROR(__xludf.DUMMYFUNCTION("""COMPUTED_VALUE"""),0.382660265461734)</f>
        <v>0.3826602655</v>
      </c>
      <c r="E2114" s="5">
        <f>IFERROR(__xludf.DUMMYFUNCTION("""COMPUTED_VALUE"""),0.1316012425868399)</f>
        <v>0.1316012426</v>
      </c>
      <c r="F2114" s="5">
        <f>IFERROR(__xludf.DUMMYFUNCTION("""COMPUTED_VALUE"""),0.21872352442812765)</f>
        <v>0.2187235244</v>
      </c>
      <c r="G2114" s="5">
        <f>IFERROR(__xludf.DUMMYFUNCTION("""COMPUTED_VALUE"""),0.16125388308387462)</f>
        <v>0.1612538831</v>
      </c>
      <c r="H2114" s="5">
        <f>IFERROR(__xludf.DUMMYFUNCTION("""COMPUTED_VALUE"""),0.6010329244673983)</f>
        <v>0.6010329245</v>
      </c>
      <c r="I2114" s="11">
        <f>IFERROR(__xludf.DUMMYFUNCTION("""COMPUTED_VALUE"""),5408.521626856036)</f>
        <v>5408.521627</v>
      </c>
      <c r="J2114" s="10">
        <f>IFERROR(__xludf.DUMMYFUNCTION("""COMPUTED_VALUE"""),0.0)</f>
        <v>0</v>
      </c>
      <c r="K2114" s="5">
        <f>IFERROR(__xludf.DUMMYFUNCTION("""COMPUTED_VALUE"""),0.0)</f>
        <v>0</v>
      </c>
      <c r="L2114" s="10">
        <f>IFERROR(__xludf.DUMMYFUNCTION("""COMPUTED_VALUE"""),658.0)</f>
        <v>658</v>
      </c>
      <c r="M2114" s="5">
        <f>IFERROR(__xludf.DUMMYFUNCTION("""COMPUTED_VALUE"""),1.0)</f>
        <v>1</v>
      </c>
    </row>
    <row r="2115">
      <c r="A2115" s="10" t="str">
        <f>IFERROR(__xludf.DUMMYFUNCTION("""COMPUTED_VALUE"""),"tan3uki")</f>
        <v>tan3uki</v>
      </c>
      <c r="B2115" s="10">
        <f>IFERROR(__xludf.DUMMYFUNCTION("""COMPUTED_VALUE"""),145.0)</f>
        <v>145</v>
      </c>
      <c r="C2115" s="10">
        <f>IFERROR(__xludf.DUMMYFUNCTION("""COMPUTED_VALUE"""),1680.0)</f>
        <v>1680</v>
      </c>
      <c r="D2115" s="5">
        <f>IFERROR(__xludf.DUMMYFUNCTION("""COMPUTED_VALUE"""),0.33029315960912053)</f>
        <v>0.3302931596</v>
      </c>
      <c r="E2115" s="5">
        <f>IFERROR(__xludf.DUMMYFUNCTION("""COMPUTED_VALUE"""),0.13159609120521173)</f>
        <v>0.1315960912</v>
      </c>
      <c r="F2115" s="5">
        <f>IFERROR(__xludf.DUMMYFUNCTION("""COMPUTED_VALUE"""),0.17850162866449512)</f>
        <v>0.1785016287</v>
      </c>
      <c r="G2115" s="5">
        <f>IFERROR(__xludf.DUMMYFUNCTION("""COMPUTED_VALUE"""),0.152442996742671)</f>
        <v>0.1524429967</v>
      </c>
      <c r="H2115" s="5">
        <f>IFERROR(__xludf.DUMMYFUNCTION("""COMPUTED_VALUE"""),0.5693430656934306)</f>
        <v>0.5693430657</v>
      </c>
      <c r="I2115" s="11">
        <f>IFERROR(__xludf.DUMMYFUNCTION("""COMPUTED_VALUE"""),6059.85401459854)</f>
        <v>6059.854015</v>
      </c>
      <c r="J2115" s="10">
        <f>IFERROR(__xludf.DUMMYFUNCTION("""COMPUTED_VALUE"""),0.0)</f>
        <v>0</v>
      </c>
      <c r="K2115" s="5">
        <f>IFERROR(__xludf.DUMMYFUNCTION("""COMPUTED_VALUE"""),0.0)</f>
        <v>0</v>
      </c>
      <c r="L2115" s="10">
        <f>IFERROR(__xludf.DUMMYFUNCTION("""COMPUTED_VALUE"""),145.0)</f>
        <v>145</v>
      </c>
      <c r="M2115" s="5">
        <f>IFERROR(__xludf.DUMMYFUNCTION("""COMPUTED_VALUE"""),1.0)</f>
        <v>1</v>
      </c>
    </row>
    <row r="2116">
      <c r="A2116" s="10" t="str">
        <f>IFERROR(__xludf.DUMMYFUNCTION("""COMPUTED_VALUE"""),"宇宙物理")</f>
        <v>宇宙物理</v>
      </c>
      <c r="B2116" s="10">
        <f>IFERROR(__xludf.DUMMYFUNCTION("""COMPUTED_VALUE"""),206.0)</f>
        <v>206</v>
      </c>
      <c r="C2116" s="10">
        <f>IFERROR(__xludf.DUMMYFUNCTION("""COMPUTED_VALUE"""),2349.0)</f>
        <v>2349</v>
      </c>
      <c r="D2116" s="5">
        <f>IFERROR(__xludf.DUMMYFUNCTION("""COMPUTED_VALUE"""),0.2594493700419972)</f>
        <v>0.25944937</v>
      </c>
      <c r="E2116" s="5">
        <f>IFERROR(__xludf.DUMMYFUNCTION("""COMPUTED_VALUE"""),0.13159122725151656)</f>
        <v>0.1315912273</v>
      </c>
      <c r="F2116" s="5">
        <f>IFERROR(__xludf.DUMMYFUNCTION("""COMPUTED_VALUE"""),0.19598693420438637)</f>
        <v>0.1959869342</v>
      </c>
      <c r="G2116" s="5">
        <f>IFERROR(__xludf.DUMMYFUNCTION("""COMPUTED_VALUE"""),0.17405506299580029)</f>
        <v>0.174055063</v>
      </c>
      <c r="H2116" s="5">
        <f>IFERROR(__xludf.DUMMYFUNCTION("""COMPUTED_VALUE"""),0.6214285714285714)</f>
        <v>0.6214285714</v>
      </c>
      <c r="I2116" s="11">
        <f>IFERROR(__xludf.DUMMYFUNCTION("""COMPUTED_VALUE"""),6111.428571428572)</f>
        <v>6111.428571</v>
      </c>
      <c r="J2116" s="10">
        <f>IFERROR(__xludf.DUMMYFUNCTION("""COMPUTED_VALUE"""),3.0)</f>
        <v>3</v>
      </c>
      <c r="K2116" s="5">
        <f>IFERROR(__xludf.DUMMYFUNCTION("""COMPUTED_VALUE"""),0.014563106796116505)</f>
        <v>0.0145631068</v>
      </c>
      <c r="L2116" s="10">
        <f>IFERROR(__xludf.DUMMYFUNCTION("""COMPUTED_VALUE"""),0.0)</f>
        <v>0</v>
      </c>
      <c r="M2116" s="5">
        <f>IFERROR(__xludf.DUMMYFUNCTION("""COMPUTED_VALUE"""),0.0)</f>
        <v>0</v>
      </c>
    </row>
    <row r="2117">
      <c r="A2117" s="10" t="str">
        <f>IFERROR(__xludf.DUMMYFUNCTION("""COMPUTED_VALUE"""),"かんろ")</f>
        <v>かんろ</v>
      </c>
      <c r="B2117" s="10">
        <f>IFERROR(__xludf.DUMMYFUNCTION("""COMPUTED_VALUE"""),1519.0)</f>
        <v>1519</v>
      </c>
      <c r="C2117" s="10">
        <f>IFERROR(__xludf.DUMMYFUNCTION("""COMPUTED_VALUE"""),17660.0)</f>
        <v>17660</v>
      </c>
      <c r="D2117" s="5">
        <f>IFERROR(__xludf.DUMMYFUNCTION("""COMPUTED_VALUE"""),0.3026454370856824)</f>
        <v>0.3026454371</v>
      </c>
      <c r="E2117" s="5">
        <f>IFERROR(__xludf.DUMMYFUNCTION("""COMPUTED_VALUE"""),0.13159035995291493)</f>
        <v>0.13159036</v>
      </c>
      <c r="F2117" s="5">
        <f>IFERROR(__xludf.DUMMYFUNCTION("""COMPUTED_VALUE"""),0.2047580695124218)</f>
        <v>0.2047580695</v>
      </c>
      <c r="G2117" s="5">
        <f>IFERROR(__xludf.DUMMYFUNCTION("""COMPUTED_VALUE"""),0.1840654234557958)</f>
        <v>0.1840654235</v>
      </c>
      <c r="H2117" s="5">
        <f>IFERROR(__xludf.DUMMYFUNCTION("""COMPUTED_VALUE"""),0.5897125567322239)</f>
        <v>0.5897125567</v>
      </c>
      <c r="I2117" s="11">
        <f>IFERROR(__xludf.DUMMYFUNCTION("""COMPUTED_VALUE"""),6065.083207261725)</f>
        <v>6065.083207</v>
      </c>
      <c r="J2117" s="10">
        <f>IFERROR(__xludf.DUMMYFUNCTION("""COMPUTED_VALUE"""),4.0)</f>
        <v>4</v>
      </c>
      <c r="K2117" s="5">
        <f>IFERROR(__xludf.DUMMYFUNCTION("""COMPUTED_VALUE"""),0.0026333113890717576)</f>
        <v>0.002633311389</v>
      </c>
      <c r="L2117" s="10">
        <f>IFERROR(__xludf.DUMMYFUNCTION("""COMPUTED_VALUE"""),684.0)</f>
        <v>684</v>
      </c>
      <c r="M2117" s="5">
        <f>IFERROR(__xludf.DUMMYFUNCTION("""COMPUTED_VALUE"""),0.45029624753127057)</f>
        <v>0.4502962475</v>
      </c>
    </row>
    <row r="2118">
      <c r="A2118" s="10" t="str">
        <f>IFERROR(__xludf.DUMMYFUNCTION("""COMPUTED_VALUE"""),"ロッソ")</f>
        <v>ロッソ</v>
      </c>
      <c r="B2118" s="10">
        <f>IFERROR(__xludf.DUMMYFUNCTION("""COMPUTED_VALUE"""),1483.0)</f>
        <v>1483</v>
      </c>
      <c r="C2118" s="10">
        <f>IFERROR(__xludf.DUMMYFUNCTION("""COMPUTED_VALUE"""),17161.0)</f>
        <v>17161</v>
      </c>
      <c r="D2118" s="5">
        <f>IFERROR(__xludf.DUMMYFUNCTION("""COMPUTED_VALUE"""),0.33677765021048606)</f>
        <v>0.3367776502</v>
      </c>
      <c r="E2118" s="5">
        <f>IFERROR(__xludf.DUMMYFUNCTION("""COMPUTED_VALUE"""),0.1315856614364077)</f>
        <v>0.1315856614</v>
      </c>
      <c r="F2118" s="5">
        <f>IFERROR(__xludf.DUMMYFUNCTION("""COMPUTED_VALUE"""),0.21099630054853935)</f>
        <v>0.2109963005</v>
      </c>
      <c r="G2118" s="5">
        <f>IFERROR(__xludf.DUMMYFUNCTION("""COMPUTED_VALUE"""),0.19160607220308712)</f>
        <v>0.1916060722</v>
      </c>
      <c r="H2118" s="5">
        <f>IFERROR(__xludf.DUMMYFUNCTION("""COMPUTED_VALUE"""),0.6018742442563483)</f>
        <v>0.6018742443</v>
      </c>
      <c r="I2118" s="11">
        <f>IFERROR(__xludf.DUMMYFUNCTION("""COMPUTED_VALUE"""),5998.337363966143)</f>
        <v>5998.337364</v>
      </c>
      <c r="J2118" s="10">
        <f>IFERROR(__xludf.DUMMYFUNCTION("""COMPUTED_VALUE"""),1.0)</f>
        <v>1</v>
      </c>
      <c r="K2118" s="5">
        <f>IFERROR(__xludf.DUMMYFUNCTION("""COMPUTED_VALUE"""),6.743088334457181E-4)</f>
        <v>0.0006743088334</v>
      </c>
      <c r="L2118" s="10">
        <f>IFERROR(__xludf.DUMMYFUNCTION("""COMPUTED_VALUE"""),0.0)</f>
        <v>0</v>
      </c>
      <c r="M2118" s="5">
        <f>IFERROR(__xludf.DUMMYFUNCTION("""COMPUTED_VALUE"""),0.0)</f>
        <v>0</v>
      </c>
    </row>
    <row r="2119">
      <c r="A2119" s="10" t="str">
        <f>IFERROR(__xludf.DUMMYFUNCTION("""COMPUTED_VALUE"""),"鶴戸平小")</f>
        <v>鶴戸平小</v>
      </c>
      <c r="B2119" s="10">
        <f>IFERROR(__xludf.DUMMYFUNCTION("""COMPUTED_VALUE"""),370.0)</f>
        <v>370</v>
      </c>
      <c r="C2119" s="10">
        <f>IFERROR(__xludf.DUMMYFUNCTION("""COMPUTED_VALUE"""),4307.0)</f>
        <v>4307</v>
      </c>
      <c r="D2119" s="5">
        <f>IFERROR(__xludf.DUMMYFUNCTION("""COMPUTED_VALUE"""),0.34340868681737363)</f>
        <v>0.3434086868</v>
      </c>
      <c r="E2119" s="5">
        <f>IFERROR(__xludf.DUMMYFUNCTION("""COMPUTED_VALUE"""),0.1315722631445263)</f>
        <v>0.1315722631</v>
      </c>
      <c r="F2119" s="5">
        <f>IFERROR(__xludf.DUMMYFUNCTION("""COMPUTED_VALUE"""),0.21234442468884937)</f>
        <v>0.2123444247</v>
      </c>
      <c r="G2119" s="5">
        <f>IFERROR(__xludf.DUMMYFUNCTION("""COMPUTED_VALUE"""),0.1917703835407671)</f>
        <v>0.1917703835</v>
      </c>
      <c r="H2119" s="5">
        <f>IFERROR(__xludf.DUMMYFUNCTION("""COMPUTED_VALUE"""),0.604066985645933)</f>
        <v>0.6040669856</v>
      </c>
      <c r="I2119" s="11">
        <f>IFERROR(__xludf.DUMMYFUNCTION("""COMPUTED_VALUE"""),5894.258373205742)</f>
        <v>5894.258373</v>
      </c>
      <c r="J2119" s="10">
        <f>IFERROR(__xludf.DUMMYFUNCTION("""COMPUTED_VALUE"""),0.0)</f>
        <v>0</v>
      </c>
      <c r="K2119" s="5">
        <f>IFERROR(__xludf.DUMMYFUNCTION("""COMPUTED_VALUE"""),0.0)</f>
        <v>0</v>
      </c>
      <c r="L2119" s="10">
        <f>IFERROR(__xludf.DUMMYFUNCTION("""COMPUTED_VALUE"""),325.0)</f>
        <v>325</v>
      </c>
      <c r="M2119" s="5">
        <f>IFERROR(__xludf.DUMMYFUNCTION("""COMPUTED_VALUE"""),0.8783783783783784)</f>
        <v>0.8783783784</v>
      </c>
    </row>
    <row r="2120">
      <c r="A2120" s="10" t="str">
        <f>IFERROR(__xludf.DUMMYFUNCTION("""COMPUTED_VALUE"""),"いいいいいいいい")</f>
        <v>いいいいいいいい</v>
      </c>
      <c r="B2120" s="10">
        <f>IFERROR(__xludf.DUMMYFUNCTION("""COMPUTED_VALUE"""),400.0)</f>
        <v>400</v>
      </c>
      <c r="C2120" s="10">
        <f>IFERROR(__xludf.DUMMYFUNCTION("""COMPUTED_VALUE"""),4664.0)</f>
        <v>4664</v>
      </c>
      <c r="D2120" s="5">
        <f>IFERROR(__xludf.DUMMYFUNCTION("""COMPUTED_VALUE"""),0.3975140712945591)</f>
        <v>0.3975140713</v>
      </c>
      <c r="E2120" s="5">
        <f>IFERROR(__xludf.DUMMYFUNCTION("""COMPUTED_VALUE"""),0.13156660412757973)</f>
        <v>0.1315666041</v>
      </c>
      <c r="F2120" s="5">
        <f>IFERROR(__xludf.DUMMYFUNCTION("""COMPUTED_VALUE"""),0.2047373358348968)</f>
        <v>0.2047373358</v>
      </c>
      <c r="G2120" s="5">
        <f>IFERROR(__xludf.DUMMYFUNCTION("""COMPUTED_VALUE"""),0.18339587242026267)</f>
        <v>0.1833958724</v>
      </c>
      <c r="H2120" s="5">
        <f>IFERROR(__xludf.DUMMYFUNCTION("""COMPUTED_VALUE"""),0.5933562428407789)</f>
        <v>0.5933562428</v>
      </c>
      <c r="I2120" s="11">
        <f>IFERROR(__xludf.DUMMYFUNCTION("""COMPUTED_VALUE"""),5486.483390607102)</f>
        <v>5486.483391</v>
      </c>
      <c r="J2120" s="10">
        <f>IFERROR(__xludf.DUMMYFUNCTION("""COMPUTED_VALUE"""),0.0)</f>
        <v>0</v>
      </c>
      <c r="K2120" s="5">
        <f>IFERROR(__xludf.DUMMYFUNCTION("""COMPUTED_VALUE"""),0.0)</f>
        <v>0</v>
      </c>
      <c r="L2120" s="10">
        <f>IFERROR(__xludf.DUMMYFUNCTION("""COMPUTED_VALUE"""),400.0)</f>
        <v>400</v>
      </c>
      <c r="M2120" s="5">
        <f>IFERROR(__xludf.DUMMYFUNCTION("""COMPUTED_VALUE"""),1.0)</f>
        <v>1</v>
      </c>
    </row>
    <row r="2121">
      <c r="A2121" s="10" t="str">
        <f>IFERROR(__xludf.DUMMYFUNCTION("""COMPUTED_VALUE"""),"柳如是")</f>
        <v>柳如是</v>
      </c>
      <c r="B2121" s="10">
        <f>IFERROR(__xludf.DUMMYFUNCTION("""COMPUTED_VALUE"""),181.0)</f>
        <v>181</v>
      </c>
      <c r="C2121" s="10">
        <f>IFERROR(__xludf.DUMMYFUNCTION("""COMPUTED_VALUE"""),2180.0)</f>
        <v>2180</v>
      </c>
      <c r="D2121" s="5">
        <f>IFERROR(__xludf.DUMMYFUNCTION("""COMPUTED_VALUE"""),0.423711855927964)</f>
        <v>0.4237118559</v>
      </c>
      <c r="E2121" s="5">
        <f>IFERROR(__xludf.DUMMYFUNCTION("""COMPUTED_VALUE"""),0.13156578289144572)</f>
        <v>0.1315657829</v>
      </c>
      <c r="F2121" s="5">
        <f>IFERROR(__xludf.DUMMYFUNCTION("""COMPUTED_VALUE"""),0.208104052026013)</f>
        <v>0.208104052</v>
      </c>
      <c r="G2121" s="5">
        <f>IFERROR(__xludf.DUMMYFUNCTION("""COMPUTED_VALUE"""),0.14457228614307155)</f>
        <v>0.1445722861</v>
      </c>
      <c r="H2121" s="5">
        <f>IFERROR(__xludf.DUMMYFUNCTION("""COMPUTED_VALUE"""),0.5793269230769231)</f>
        <v>0.5793269231</v>
      </c>
      <c r="I2121" s="11">
        <f>IFERROR(__xludf.DUMMYFUNCTION("""COMPUTED_VALUE"""),5256.971153846154)</f>
        <v>5256.971154</v>
      </c>
      <c r="J2121" s="10">
        <f>IFERROR(__xludf.DUMMYFUNCTION("""COMPUTED_VALUE"""),0.0)</f>
        <v>0</v>
      </c>
      <c r="K2121" s="5">
        <f>IFERROR(__xludf.DUMMYFUNCTION("""COMPUTED_VALUE"""),0.0)</f>
        <v>0</v>
      </c>
      <c r="L2121" s="10">
        <f>IFERROR(__xludf.DUMMYFUNCTION("""COMPUTED_VALUE"""),0.0)</f>
        <v>0</v>
      </c>
      <c r="M2121" s="5">
        <f>IFERROR(__xludf.DUMMYFUNCTION("""COMPUTED_VALUE"""),0.0)</f>
        <v>0</v>
      </c>
    </row>
    <row r="2122">
      <c r="A2122" s="10" t="str">
        <f>IFERROR(__xludf.DUMMYFUNCTION("""COMPUTED_VALUE"""),"天神鳳位")</f>
        <v>天神鳳位</v>
      </c>
      <c r="B2122" s="10">
        <f>IFERROR(__xludf.DUMMYFUNCTION("""COMPUTED_VALUE"""),1805.0)</f>
        <v>1805</v>
      </c>
      <c r="C2122" s="10">
        <f>IFERROR(__xludf.DUMMYFUNCTION("""COMPUTED_VALUE"""),20983.0)</f>
        <v>20983</v>
      </c>
      <c r="D2122" s="5">
        <f>IFERROR(__xludf.DUMMYFUNCTION("""COMPUTED_VALUE"""),0.3786109083324643)</f>
        <v>0.3786109083</v>
      </c>
      <c r="E2122" s="5">
        <f>IFERROR(__xludf.DUMMYFUNCTION("""COMPUTED_VALUE"""),0.13155699238711024)</f>
        <v>0.1315569924</v>
      </c>
      <c r="F2122" s="5">
        <f>IFERROR(__xludf.DUMMYFUNCTION("""COMPUTED_VALUE"""),0.21488163520700804)</f>
        <v>0.2148816352</v>
      </c>
      <c r="G2122" s="5">
        <f>IFERROR(__xludf.DUMMYFUNCTION("""COMPUTED_VALUE"""),0.1622171237876734)</f>
        <v>0.1622171238</v>
      </c>
      <c r="H2122" s="5">
        <f>IFERROR(__xludf.DUMMYFUNCTION("""COMPUTED_VALUE"""),0.5889347245814123)</f>
        <v>0.5889347246</v>
      </c>
      <c r="I2122" s="11">
        <f>IFERROR(__xludf.DUMMYFUNCTION("""COMPUTED_VALUE"""),5663.382674108226)</f>
        <v>5663.382674</v>
      </c>
      <c r="J2122" s="10">
        <f>IFERROR(__xludf.DUMMYFUNCTION("""COMPUTED_VALUE"""),5.0)</f>
        <v>5</v>
      </c>
      <c r="K2122" s="5">
        <f>IFERROR(__xludf.DUMMYFUNCTION("""COMPUTED_VALUE"""),0.002770083102493075)</f>
        <v>0.002770083102</v>
      </c>
      <c r="L2122" s="10">
        <f>IFERROR(__xludf.DUMMYFUNCTION("""COMPUTED_VALUE"""),1805.0)</f>
        <v>1805</v>
      </c>
      <c r="M2122" s="5">
        <f>IFERROR(__xludf.DUMMYFUNCTION("""COMPUTED_VALUE"""),1.0)</f>
        <v>1</v>
      </c>
    </row>
    <row r="2123">
      <c r="A2123" s="10" t="str">
        <f>IFERROR(__xludf.DUMMYFUNCTION("""COMPUTED_VALUE"""),".ポッチ")</f>
        <v>.ポッチ</v>
      </c>
      <c r="B2123" s="10">
        <f>IFERROR(__xludf.DUMMYFUNCTION("""COMPUTED_VALUE"""),160.0)</f>
        <v>160</v>
      </c>
      <c r="C2123" s="10">
        <f>IFERROR(__xludf.DUMMYFUNCTION("""COMPUTED_VALUE"""),1954.0)</f>
        <v>1954</v>
      </c>
      <c r="D2123" s="5">
        <f>IFERROR(__xludf.DUMMYFUNCTION("""COMPUTED_VALUE"""),0.3634336677814939)</f>
        <v>0.3634336678</v>
      </c>
      <c r="E2123" s="5">
        <f>IFERROR(__xludf.DUMMYFUNCTION("""COMPUTED_VALUE"""),0.13154960981047936)</f>
        <v>0.1315496098</v>
      </c>
      <c r="F2123" s="5">
        <f>IFERROR(__xludf.DUMMYFUNCTION("""COMPUTED_VALUE"""),0.21014492753623187)</f>
        <v>0.2101449275</v>
      </c>
      <c r="G2123" s="5">
        <f>IFERROR(__xludf.DUMMYFUNCTION("""COMPUTED_VALUE"""),0.14214046822742474)</f>
        <v>0.1421404682</v>
      </c>
      <c r="H2123" s="5">
        <f>IFERROR(__xludf.DUMMYFUNCTION("""COMPUTED_VALUE"""),0.6286472148541115)</f>
        <v>0.6286472149</v>
      </c>
      <c r="I2123" s="11">
        <f>IFERROR(__xludf.DUMMYFUNCTION("""COMPUTED_VALUE"""),5436.870026525199)</f>
        <v>5436.870027</v>
      </c>
      <c r="J2123" s="10">
        <f>IFERROR(__xludf.DUMMYFUNCTION("""COMPUTED_VALUE"""),0.0)</f>
        <v>0</v>
      </c>
      <c r="K2123" s="5">
        <f>IFERROR(__xludf.DUMMYFUNCTION("""COMPUTED_VALUE"""),0.0)</f>
        <v>0</v>
      </c>
      <c r="L2123" s="10">
        <f>IFERROR(__xludf.DUMMYFUNCTION("""COMPUTED_VALUE"""),160.0)</f>
        <v>160</v>
      </c>
      <c r="M2123" s="5">
        <f>IFERROR(__xludf.DUMMYFUNCTION("""COMPUTED_VALUE"""),1.0)</f>
        <v>1</v>
      </c>
    </row>
    <row r="2124">
      <c r="A2124" s="10" t="str">
        <f>IFERROR(__xludf.DUMMYFUNCTION("""COMPUTED_VALUE"""),"A.K9mec")</f>
        <v>A.K9mec</v>
      </c>
      <c r="B2124" s="10">
        <f>IFERROR(__xludf.DUMMYFUNCTION("""COMPUTED_VALUE"""),1034.0)</f>
        <v>1034</v>
      </c>
      <c r="C2124" s="10">
        <f>IFERROR(__xludf.DUMMYFUNCTION("""COMPUTED_VALUE"""),12065.0)</f>
        <v>12065</v>
      </c>
      <c r="D2124" s="5">
        <f>IFERROR(__xludf.DUMMYFUNCTION("""COMPUTED_VALUE"""),0.3467500679902094)</f>
        <v>0.346750068</v>
      </c>
      <c r="E2124" s="5">
        <f>IFERROR(__xludf.DUMMYFUNCTION("""COMPUTED_VALUE"""),0.13153839180491342)</f>
        <v>0.1315383918</v>
      </c>
      <c r="F2124" s="5">
        <f>IFERROR(__xludf.DUMMYFUNCTION("""COMPUTED_VALUE"""),0.23089475115583355)</f>
        <v>0.2308947512</v>
      </c>
      <c r="G2124" s="5">
        <f>IFERROR(__xludf.DUMMYFUNCTION("""COMPUTED_VALUE"""),0.19291088749886684)</f>
        <v>0.1929108875</v>
      </c>
      <c r="H2124" s="5">
        <f>IFERROR(__xludf.DUMMYFUNCTION("""COMPUTED_VALUE"""),0.58578720062819)</f>
        <v>0.5857872006</v>
      </c>
      <c r="I2124" s="11">
        <f>IFERROR(__xludf.DUMMYFUNCTION("""COMPUTED_VALUE"""),5661.1307420494695)</f>
        <v>5661.130742</v>
      </c>
      <c r="J2124" s="10">
        <f>IFERROR(__xludf.DUMMYFUNCTION("""COMPUTED_VALUE"""),0.0)</f>
        <v>0</v>
      </c>
      <c r="K2124" s="5">
        <f>IFERROR(__xludf.DUMMYFUNCTION("""COMPUTED_VALUE"""),0.0)</f>
        <v>0</v>
      </c>
      <c r="L2124" s="10">
        <f>IFERROR(__xludf.DUMMYFUNCTION("""COMPUTED_VALUE"""),1031.0)</f>
        <v>1031</v>
      </c>
      <c r="M2124" s="5">
        <f>IFERROR(__xludf.DUMMYFUNCTION("""COMPUTED_VALUE"""),0.9970986460348162)</f>
        <v>0.997098646</v>
      </c>
    </row>
    <row r="2125">
      <c r="A2125" s="10" t="str">
        <f>IFERROR(__xludf.DUMMYFUNCTION("""COMPUTED_VALUE"""),"かじそ")</f>
        <v>かじそ</v>
      </c>
      <c r="B2125" s="10">
        <f>IFERROR(__xludf.DUMMYFUNCTION("""COMPUTED_VALUE"""),461.0)</f>
        <v>461</v>
      </c>
      <c r="C2125" s="10">
        <f>IFERROR(__xludf.DUMMYFUNCTION("""COMPUTED_VALUE"""),5471.0)</f>
        <v>5471</v>
      </c>
      <c r="D2125" s="5">
        <f>IFERROR(__xludf.DUMMYFUNCTION("""COMPUTED_VALUE"""),0.3211576846307385)</f>
        <v>0.3211576846</v>
      </c>
      <c r="E2125" s="5">
        <f>IFERROR(__xludf.DUMMYFUNCTION("""COMPUTED_VALUE"""),0.1315369261477046)</f>
        <v>0.1315369261</v>
      </c>
      <c r="F2125" s="5">
        <f>IFERROR(__xludf.DUMMYFUNCTION("""COMPUTED_VALUE"""),0.21137724550898204)</f>
        <v>0.2113772455</v>
      </c>
      <c r="G2125" s="5">
        <f>IFERROR(__xludf.DUMMYFUNCTION("""COMPUTED_VALUE"""),0.15808383233532936)</f>
        <v>0.1580838323</v>
      </c>
      <c r="H2125" s="5">
        <f>IFERROR(__xludf.DUMMYFUNCTION("""COMPUTED_VALUE"""),0.603399433427762)</f>
        <v>0.6033994334</v>
      </c>
      <c r="I2125" s="11">
        <f>IFERROR(__xludf.DUMMYFUNCTION("""COMPUTED_VALUE"""),5958.2625118035885)</f>
        <v>5958.262512</v>
      </c>
      <c r="J2125" s="10">
        <f>IFERROR(__xludf.DUMMYFUNCTION("""COMPUTED_VALUE"""),2.0)</f>
        <v>2</v>
      </c>
      <c r="K2125" s="5">
        <f>IFERROR(__xludf.DUMMYFUNCTION("""COMPUTED_VALUE"""),0.004338394793926247)</f>
        <v>0.004338394794</v>
      </c>
      <c r="L2125" s="10">
        <f>IFERROR(__xludf.DUMMYFUNCTION("""COMPUTED_VALUE"""),461.0)</f>
        <v>461</v>
      </c>
      <c r="M2125" s="5">
        <f>IFERROR(__xludf.DUMMYFUNCTION("""COMPUTED_VALUE"""),1.0)</f>
        <v>1</v>
      </c>
    </row>
    <row r="2126">
      <c r="A2126" s="10" t="str">
        <f>IFERROR(__xludf.DUMMYFUNCTION("""COMPUTED_VALUE"""),"しらたま")</f>
        <v>しらたま</v>
      </c>
      <c r="B2126" s="10">
        <f>IFERROR(__xludf.DUMMYFUNCTION("""COMPUTED_VALUE"""),1632.0)</f>
        <v>1632</v>
      </c>
      <c r="C2126" s="10">
        <f>IFERROR(__xludf.DUMMYFUNCTION("""COMPUTED_VALUE"""),19088.0)</f>
        <v>19088</v>
      </c>
      <c r="D2126" s="5">
        <f>IFERROR(__xludf.DUMMYFUNCTION("""COMPUTED_VALUE"""),0.4354376718606783)</f>
        <v>0.4354376719</v>
      </c>
      <c r="E2126" s="5">
        <f>IFERROR(__xludf.DUMMYFUNCTION("""COMPUTED_VALUE"""),0.13153070577451878)</f>
        <v>0.1315307058</v>
      </c>
      <c r="F2126" s="5">
        <f>IFERROR(__xludf.DUMMYFUNCTION("""COMPUTED_VALUE"""),0.1957493125572869)</f>
        <v>0.1957493126</v>
      </c>
      <c r="G2126" s="5">
        <f>IFERROR(__xludf.DUMMYFUNCTION("""COMPUTED_VALUE"""),0.12139092575618698)</f>
        <v>0.1213909258</v>
      </c>
      <c r="H2126" s="5">
        <f>IFERROR(__xludf.DUMMYFUNCTION("""COMPUTED_VALUE"""),0.6163301141352063)</f>
        <v>0.6163301141</v>
      </c>
      <c r="I2126" s="11">
        <f>IFERROR(__xludf.DUMMYFUNCTION("""COMPUTED_VALUE"""),5988.088966930056)</f>
        <v>5988.088967</v>
      </c>
      <c r="J2126" s="10">
        <f>IFERROR(__xludf.DUMMYFUNCTION("""COMPUTED_VALUE"""),6.0)</f>
        <v>6</v>
      </c>
      <c r="K2126" s="5">
        <f>IFERROR(__xludf.DUMMYFUNCTION("""COMPUTED_VALUE"""),0.003676470588235294)</f>
        <v>0.003676470588</v>
      </c>
      <c r="L2126" s="10">
        <f>IFERROR(__xludf.DUMMYFUNCTION("""COMPUTED_VALUE"""),1632.0)</f>
        <v>1632</v>
      </c>
      <c r="M2126" s="5">
        <f>IFERROR(__xludf.DUMMYFUNCTION("""COMPUTED_VALUE"""),1.0)</f>
        <v>1</v>
      </c>
    </row>
    <row r="2127">
      <c r="A2127" s="10" t="str">
        <f>IFERROR(__xludf.DUMMYFUNCTION("""COMPUTED_VALUE"""),"朝がまた来る")</f>
        <v>朝がまた来る</v>
      </c>
      <c r="B2127" s="10">
        <f>IFERROR(__xludf.DUMMYFUNCTION("""COMPUTED_VALUE"""),267.0)</f>
        <v>267</v>
      </c>
      <c r="C2127" s="10">
        <f>IFERROR(__xludf.DUMMYFUNCTION("""COMPUTED_VALUE"""),3179.0)</f>
        <v>3179</v>
      </c>
      <c r="D2127" s="5">
        <f>IFERROR(__xludf.DUMMYFUNCTION("""COMPUTED_VALUE"""),0.38907967032967034)</f>
        <v>0.3890796703</v>
      </c>
      <c r="E2127" s="5">
        <f>IFERROR(__xludf.DUMMYFUNCTION("""COMPUTED_VALUE"""),0.13152472527472528)</f>
        <v>0.1315247253</v>
      </c>
      <c r="F2127" s="5">
        <f>IFERROR(__xludf.DUMMYFUNCTION("""COMPUTED_VALUE"""),0.1974587912087912)</f>
        <v>0.1974587912</v>
      </c>
      <c r="G2127" s="5">
        <f>IFERROR(__xludf.DUMMYFUNCTION("""COMPUTED_VALUE"""),0.16758241758241757)</f>
        <v>0.1675824176</v>
      </c>
      <c r="H2127" s="5">
        <f>IFERROR(__xludf.DUMMYFUNCTION("""COMPUTED_VALUE"""),0.6434782608695652)</f>
        <v>0.6434782609</v>
      </c>
      <c r="I2127" s="11">
        <f>IFERROR(__xludf.DUMMYFUNCTION("""COMPUTED_VALUE"""),5602.95652173913)</f>
        <v>5602.956522</v>
      </c>
      <c r="J2127" s="10">
        <f>IFERROR(__xludf.DUMMYFUNCTION("""COMPUTED_VALUE"""),0.0)</f>
        <v>0</v>
      </c>
      <c r="K2127" s="5">
        <f>IFERROR(__xludf.DUMMYFUNCTION("""COMPUTED_VALUE"""),0.0)</f>
        <v>0</v>
      </c>
      <c r="L2127" s="10">
        <f>IFERROR(__xludf.DUMMYFUNCTION("""COMPUTED_VALUE"""),267.0)</f>
        <v>267</v>
      </c>
      <c r="M2127" s="5">
        <f>IFERROR(__xludf.DUMMYFUNCTION("""COMPUTED_VALUE"""),1.0)</f>
        <v>1</v>
      </c>
    </row>
    <row r="2128">
      <c r="A2128" s="10" t="str">
        <f>IFERROR(__xludf.DUMMYFUNCTION("""COMPUTED_VALUE"""),"ぽむ☆☆")</f>
        <v>ぽむ☆☆</v>
      </c>
      <c r="B2128" s="10">
        <f>IFERROR(__xludf.DUMMYFUNCTION("""COMPUTED_VALUE"""),1873.0)</f>
        <v>1873</v>
      </c>
      <c r="C2128" s="10">
        <f>IFERROR(__xludf.DUMMYFUNCTION("""COMPUTED_VALUE"""),21598.0)</f>
        <v>21598</v>
      </c>
      <c r="D2128" s="5">
        <f>IFERROR(__xludf.DUMMYFUNCTION("""COMPUTED_VALUE"""),0.403447401774398)</f>
        <v>0.4034474018</v>
      </c>
      <c r="E2128" s="5">
        <f>IFERROR(__xludf.DUMMYFUNCTION("""COMPUTED_VALUE"""),0.13150823827629912)</f>
        <v>0.1315082383</v>
      </c>
      <c r="F2128" s="5">
        <f>IFERROR(__xludf.DUMMYFUNCTION("""COMPUTED_VALUE"""),0.22276299112801015)</f>
        <v>0.2227629911</v>
      </c>
      <c r="G2128" s="5">
        <f>IFERROR(__xludf.DUMMYFUNCTION("""COMPUTED_VALUE"""),0.1849936628643853)</f>
        <v>0.1849936629</v>
      </c>
      <c r="H2128" s="5">
        <f>IFERROR(__xludf.DUMMYFUNCTION("""COMPUTED_VALUE"""),0.5951297223486572)</f>
        <v>0.5951297223</v>
      </c>
      <c r="I2128" s="11">
        <f>IFERROR(__xludf.DUMMYFUNCTION("""COMPUTED_VALUE"""),5751.684114701866)</f>
        <v>5751.684115</v>
      </c>
      <c r="J2128" s="10">
        <f>IFERROR(__xludf.DUMMYFUNCTION("""COMPUTED_VALUE"""),4.0)</f>
        <v>4</v>
      </c>
      <c r="K2128" s="5">
        <f>IFERROR(__xludf.DUMMYFUNCTION("""COMPUTED_VALUE"""),0.002135611318739989)</f>
        <v>0.002135611319</v>
      </c>
      <c r="L2128" s="10">
        <f>IFERROR(__xludf.DUMMYFUNCTION("""COMPUTED_VALUE"""),1873.0)</f>
        <v>1873</v>
      </c>
      <c r="M2128" s="5">
        <f>IFERROR(__xludf.DUMMYFUNCTION("""COMPUTED_VALUE"""),1.0)</f>
        <v>1</v>
      </c>
    </row>
    <row r="2129">
      <c r="A2129" s="10" t="str">
        <f>IFERROR(__xludf.DUMMYFUNCTION("""COMPUTED_VALUE"""),"（－ｗ－）")</f>
        <v>（－ｗ－）</v>
      </c>
      <c r="B2129" s="10">
        <f>IFERROR(__xludf.DUMMYFUNCTION("""COMPUTED_VALUE"""),310.0)</f>
        <v>310</v>
      </c>
      <c r="C2129" s="10">
        <f>IFERROR(__xludf.DUMMYFUNCTION("""COMPUTED_VALUE"""),3595.0)</f>
        <v>3595</v>
      </c>
      <c r="D2129" s="5">
        <f>IFERROR(__xludf.DUMMYFUNCTION("""COMPUTED_VALUE"""),0.3668188736681887)</f>
        <v>0.3668188737</v>
      </c>
      <c r="E2129" s="5">
        <f>IFERROR(__xludf.DUMMYFUNCTION("""COMPUTED_VALUE"""),0.13150684931506848)</f>
        <v>0.1315068493</v>
      </c>
      <c r="F2129" s="5">
        <f>IFERROR(__xludf.DUMMYFUNCTION("""COMPUTED_VALUE"""),0.21187214611872146)</f>
        <v>0.2118721461</v>
      </c>
      <c r="G2129" s="5">
        <f>IFERROR(__xludf.DUMMYFUNCTION("""COMPUTED_VALUE"""),0.15707762557077626)</f>
        <v>0.1570776256</v>
      </c>
      <c r="H2129" s="5">
        <f>IFERROR(__xludf.DUMMYFUNCTION("""COMPUTED_VALUE"""),0.5790229885057471)</f>
        <v>0.5790229885</v>
      </c>
      <c r="I2129" s="11">
        <f>IFERROR(__xludf.DUMMYFUNCTION("""COMPUTED_VALUE"""),5436.494252873563)</f>
        <v>5436.494253</v>
      </c>
      <c r="J2129" s="10">
        <f>IFERROR(__xludf.DUMMYFUNCTION("""COMPUTED_VALUE"""),1.0)</f>
        <v>1</v>
      </c>
      <c r="K2129" s="5">
        <f>IFERROR(__xludf.DUMMYFUNCTION("""COMPUTED_VALUE"""),0.0032258064516129032)</f>
        <v>0.003225806452</v>
      </c>
      <c r="L2129" s="10">
        <f>IFERROR(__xludf.DUMMYFUNCTION("""COMPUTED_VALUE"""),310.0)</f>
        <v>310</v>
      </c>
      <c r="M2129" s="5">
        <f>IFERROR(__xludf.DUMMYFUNCTION("""COMPUTED_VALUE"""),1.0)</f>
        <v>1</v>
      </c>
    </row>
    <row r="2130">
      <c r="A2130" s="10" t="str">
        <f>IFERROR(__xludf.DUMMYFUNCTION("""COMPUTED_VALUE"""),"よしぎ")</f>
        <v>よしぎ</v>
      </c>
      <c r="B2130" s="10">
        <f>IFERROR(__xludf.DUMMYFUNCTION("""COMPUTED_VALUE"""),5760.0)</f>
        <v>5760</v>
      </c>
      <c r="C2130" s="10">
        <f>IFERROR(__xludf.DUMMYFUNCTION("""COMPUTED_VALUE"""),67180.0)</f>
        <v>67180</v>
      </c>
      <c r="D2130" s="5">
        <f>IFERROR(__xludf.DUMMYFUNCTION("""COMPUTED_VALUE"""),0.3590524259198958)</f>
        <v>0.3590524259</v>
      </c>
      <c r="E2130" s="5">
        <f>IFERROR(__xludf.DUMMYFUNCTION("""COMPUTED_VALUE"""),0.1315043959622273)</f>
        <v>0.131504396</v>
      </c>
      <c r="F2130" s="5">
        <f>IFERROR(__xludf.DUMMYFUNCTION("""COMPUTED_VALUE"""),0.21921198306740475)</f>
        <v>0.2192119831</v>
      </c>
      <c r="G2130" s="5">
        <f>IFERROR(__xludf.DUMMYFUNCTION("""COMPUTED_VALUE"""),0.19138717030283295)</f>
        <v>0.1913871703</v>
      </c>
      <c r="H2130" s="5">
        <f>IFERROR(__xludf.DUMMYFUNCTION("""COMPUTED_VALUE"""),0.5933600713012478)</f>
        <v>0.5933600713</v>
      </c>
      <c r="I2130" s="11">
        <f>IFERROR(__xludf.DUMMYFUNCTION("""COMPUTED_VALUE"""),5729.924242424242)</f>
        <v>5729.924242</v>
      </c>
      <c r="J2130" s="10">
        <f>IFERROR(__xludf.DUMMYFUNCTION("""COMPUTED_VALUE"""),9.0)</f>
        <v>9</v>
      </c>
      <c r="K2130" s="5">
        <f>IFERROR(__xludf.DUMMYFUNCTION("""COMPUTED_VALUE"""),0.0015625)</f>
        <v>0.0015625</v>
      </c>
      <c r="L2130" s="10">
        <f>IFERROR(__xludf.DUMMYFUNCTION("""COMPUTED_VALUE"""),5760.0)</f>
        <v>5760</v>
      </c>
      <c r="M2130" s="5">
        <f>IFERROR(__xludf.DUMMYFUNCTION("""COMPUTED_VALUE"""),1.0)</f>
        <v>1</v>
      </c>
    </row>
    <row r="2131">
      <c r="A2131" s="10" t="str">
        <f>IFERROR(__xludf.DUMMYFUNCTION("""COMPUTED_VALUE"""),"雪緒")</f>
        <v>雪緒</v>
      </c>
      <c r="B2131" s="10">
        <f>IFERROR(__xludf.DUMMYFUNCTION("""COMPUTED_VALUE"""),125.0)</f>
        <v>125</v>
      </c>
      <c r="C2131" s="10">
        <f>IFERROR(__xludf.DUMMYFUNCTION("""COMPUTED_VALUE"""),1456.0)</f>
        <v>1456</v>
      </c>
      <c r="D2131" s="5">
        <f>IFERROR(__xludf.DUMMYFUNCTION("""COMPUTED_VALUE"""),0.30277986476333585)</f>
        <v>0.3027798648</v>
      </c>
      <c r="E2131" s="5">
        <f>IFERROR(__xludf.DUMMYFUNCTION("""COMPUTED_VALUE"""),0.13148009015777612)</f>
        <v>0.1314800902</v>
      </c>
      <c r="F2131" s="5">
        <f>IFERROR(__xludf.DUMMYFUNCTION("""COMPUTED_VALUE"""),0.20135236664162284)</f>
        <v>0.2013523666</v>
      </c>
      <c r="G2131" s="5">
        <f>IFERROR(__xludf.DUMMYFUNCTION("""COMPUTED_VALUE"""),0.15777610818933133)</f>
        <v>0.1577761082</v>
      </c>
      <c r="H2131" s="5">
        <f>IFERROR(__xludf.DUMMYFUNCTION("""COMPUTED_VALUE"""),0.6343283582089553)</f>
        <v>0.6343283582</v>
      </c>
      <c r="I2131" s="11">
        <f>IFERROR(__xludf.DUMMYFUNCTION("""COMPUTED_VALUE"""),5467.537313432836)</f>
        <v>5467.537313</v>
      </c>
      <c r="J2131" s="10">
        <f>IFERROR(__xludf.DUMMYFUNCTION("""COMPUTED_VALUE"""),1.0)</f>
        <v>1</v>
      </c>
      <c r="K2131" s="5">
        <f>IFERROR(__xludf.DUMMYFUNCTION("""COMPUTED_VALUE"""),0.008)</f>
        <v>0.008</v>
      </c>
      <c r="L2131" s="10">
        <f>IFERROR(__xludf.DUMMYFUNCTION("""COMPUTED_VALUE"""),125.0)</f>
        <v>125</v>
      </c>
      <c r="M2131" s="5">
        <f>IFERROR(__xludf.DUMMYFUNCTION("""COMPUTED_VALUE"""),1.0)</f>
        <v>1</v>
      </c>
    </row>
    <row r="2132">
      <c r="A2132" s="10" t="str">
        <f>IFERROR(__xludf.DUMMYFUNCTION("""COMPUTED_VALUE"""),"ドジャース")</f>
        <v>ドジャース</v>
      </c>
      <c r="B2132" s="10">
        <f>IFERROR(__xludf.DUMMYFUNCTION("""COMPUTED_VALUE"""),2328.0)</f>
        <v>2328</v>
      </c>
      <c r="C2132" s="10">
        <f>IFERROR(__xludf.DUMMYFUNCTION("""COMPUTED_VALUE"""),27087.0)</f>
        <v>27087</v>
      </c>
      <c r="D2132" s="5">
        <f>IFERROR(__xludf.DUMMYFUNCTION("""COMPUTED_VALUE"""),0.35070075528090794)</f>
        <v>0.3507007553</v>
      </c>
      <c r="E2132" s="5">
        <f>IFERROR(__xludf.DUMMYFUNCTION("""COMPUTED_VALUE"""),0.13146734520780323)</f>
        <v>0.1314673452</v>
      </c>
      <c r="F2132" s="5">
        <f>IFERROR(__xludf.DUMMYFUNCTION("""COMPUTED_VALUE"""),0.20796478048386446)</f>
        <v>0.2079647805</v>
      </c>
      <c r="G2132" s="5">
        <f>IFERROR(__xludf.DUMMYFUNCTION("""COMPUTED_VALUE"""),0.17561290843733593)</f>
        <v>0.1756129084</v>
      </c>
      <c r="H2132" s="5">
        <f>IFERROR(__xludf.DUMMYFUNCTION("""COMPUTED_VALUE"""),0.6034181394445524)</f>
        <v>0.6034181394</v>
      </c>
      <c r="I2132" s="11">
        <f>IFERROR(__xludf.DUMMYFUNCTION("""COMPUTED_VALUE"""),5801.359487279084)</f>
        <v>5801.359487</v>
      </c>
      <c r="J2132" s="10">
        <f>IFERROR(__xludf.DUMMYFUNCTION("""COMPUTED_VALUE"""),3.0)</f>
        <v>3</v>
      </c>
      <c r="K2132" s="5">
        <f>IFERROR(__xludf.DUMMYFUNCTION("""COMPUTED_VALUE"""),0.001288659793814433)</f>
        <v>0.001288659794</v>
      </c>
      <c r="L2132" s="10">
        <f>IFERROR(__xludf.DUMMYFUNCTION("""COMPUTED_VALUE"""),2328.0)</f>
        <v>2328</v>
      </c>
      <c r="M2132" s="5">
        <f>IFERROR(__xludf.DUMMYFUNCTION("""COMPUTED_VALUE"""),1.0)</f>
        <v>1</v>
      </c>
    </row>
    <row r="2133">
      <c r="A2133" s="10" t="str">
        <f>IFERROR(__xludf.DUMMYFUNCTION("""COMPUTED_VALUE"""),"次は法廷で会おう")</f>
        <v>次は法廷で会おう</v>
      </c>
      <c r="B2133" s="10">
        <f>IFERROR(__xludf.DUMMYFUNCTION("""COMPUTED_VALUE"""),3094.0)</f>
        <v>3094</v>
      </c>
      <c r="C2133" s="10">
        <f>IFERROR(__xludf.DUMMYFUNCTION("""COMPUTED_VALUE"""),36389.0)</f>
        <v>36389</v>
      </c>
      <c r="D2133" s="5">
        <f>IFERROR(__xludf.DUMMYFUNCTION("""COMPUTED_VALUE"""),0.3784352004805526)</f>
        <v>0.3784352005</v>
      </c>
      <c r="E2133" s="5">
        <f>IFERROR(__xludf.DUMMYFUNCTION("""COMPUTED_VALUE"""),0.13146118035741103)</f>
        <v>0.1314611804</v>
      </c>
      <c r="F2133" s="5">
        <f>IFERROR(__xludf.DUMMYFUNCTION("""COMPUTED_VALUE"""),0.2186814837062622)</f>
        <v>0.2186814837</v>
      </c>
      <c r="G2133" s="5">
        <f>IFERROR(__xludf.DUMMYFUNCTION("""COMPUTED_VALUE"""),0.16852380237272863)</f>
        <v>0.1685238024</v>
      </c>
      <c r="H2133" s="5">
        <f>IFERROR(__xludf.DUMMYFUNCTION("""COMPUTED_VALUE"""),0.5977200933937646)</f>
        <v>0.5977200934</v>
      </c>
      <c r="I2133" s="11">
        <f>IFERROR(__xludf.DUMMYFUNCTION("""COMPUTED_VALUE"""),5489.3283889575605)</f>
        <v>5489.328389</v>
      </c>
      <c r="J2133" s="10">
        <f>IFERROR(__xludf.DUMMYFUNCTION("""COMPUTED_VALUE"""),2.0)</f>
        <v>2</v>
      </c>
      <c r="K2133" s="5">
        <f>IFERROR(__xludf.DUMMYFUNCTION("""COMPUTED_VALUE"""),6.464124111182935E-4)</f>
        <v>0.0006464124111</v>
      </c>
      <c r="L2133" s="10">
        <f>IFERROR(__xludf.DUMMYFUNCTION("""COMPUTED_VALUE"""),3094.0)</f>
        <v>3094</v>
      </c>
      <c r="M2133" s="5">
        <f>IFERROR(__xludf.DUMMYFUNCTION("""COMPUTED_VALUE"""),1.0)</f>
        <v>1</v>
      </c>
    </row>
    <row r="2134">
      <c r="A2134" s="10" t="str">
        <f>IFERROR(__xludf.DUMMYFUNCTION("""COMPUTED_VALUE"""),"NAOTO")</f>
        <v>NAOTO</v>
      </c>
      <c r="B2134" s="10">
        <f>IFERROR(__xludf.DUMMYFUNCTION("""COMPUTED_VALUE"""),452.0)</f>
        <v>452</v>
      </c>
      <c r="C2134" s="10">
        <f>IFERROR(__xludf.DUMMYFUNCTION("""COMPUTED_VALUE"""),5245.0)</f>
        <v>5245</v>
      </c>
      <c r="D2134" s="5">
        <f>IFERROR(__xludf.DUMMYFUNCTION("""COMPUTED_VALUE"""),0.26643021072397244)</f>
        <v>0.2664302107</v>
      </c>
      <c r="E2134" s="5">
        <f>IFERROR(__xludf.DUMMYFUNCTION("""COMPUTED_VALUE"""),0.13144168579177967)</f>
        <v>0.1314416858</v>
      </c>
      <c r="F2134" s="5">
        <f>IFERROR(__xludf.DUMMYFUNCTION("""COMPUTED_VALUE"""),0.20988942207385772)</f>
        <v>0.2098894221</v>
      </c>
      <c r="G2134" s="5">
        <f>IFERROR(__xludf.DUMMYFUNCTION("""COMPUTED_VALUE"""),0.21239307323179638)</f>
        <v>0.2123930732</v>
      </c>
      <c r="H2134" s="5">
        <f>IFERROR(__xludf.DUMMYFUNCTION("""COMPUTED_VALUE"""),0.5685884691848907)</f>
        <v>0.5685884692</v>
      </c>
      <c r="I2134" s="11">
        <f>IFERROR(__xludf.DUMMYFUNCTION("""COMPUTED_VALUE"""),6280.417495029821)</f>
        <v>6280.417495</v>
      </c>
      <c r="J2134" s="10">
        <f>IFERROR(__xludf.DUMMYFUNCTION("""COMPUTED_VALUE"""),1.0)</f>
        <v>1</v>
      </c>
      <c r="K2134" s="5">
        <f>IFERROR(__xludf.DUMMYFUNCTION("""COMPUTED_VALUE"""),0.0022123893805309734)</f>
        <v>0.002212389381</v>
      </c>
      <c r="L2134" s="10">
        <f>IFERROR(__xludf.DUMMYFUNCTION("""COMPUTED_VALUE"""),452.0)</f>
        <v>452</v>
      </c>
      <c r="M2134" s="5">
        <f>IFERROR(__xludf.DUMMYFUNCTION("""COMPUTED_VALUE"""),1.0)</f>
        <v>1</v>
      </c>
    </row>
    <row r="2135">
      <c r="A2135" s="10" t="str">
        <f>IFERROR(__xludf.DUMMYFUNCTION("""COMPUTED_VALUE"""),"月刊少牌野崎くん")</f>
        <v>月刊少牌野崎くん</v>
      </c>
      <c r="B2135" s="10">
        <f>IFERROR(__xludf.DUMMYFUNCTION("""COMPUTED_VALUE"""),120.0)</f>
        <v>120</v>
      </c>
      <c r="C2135" s="10">
        <f>IFERROR(__xludf.DUMMYFUNCTION("""COMPUTED_VALUE"""),1345.0)</f>
        <v>1345</v>
      </c>
      <c r="D2135" s="5">
        <f>IFERROR(__xludf.DUMMYFUNCTION("""COMPUTED_VALUE"""),0.35346938775510206)</f>
        <v>0.3534693878</v>
      </c>
      <c r="E2135" s="5">
        <f>IFERROR(__xludf.DUMMYFUNCTION("""COMPUTED_VALUE"""),0.13142857142857142)</f>
        <v>0.1314285714</v>
      </c>
      <c r="F2135" s="5">
        <f>IFERROR(__xludf.DUMMYFUNCTION("""COMPUTED_VALUE"""),0.2146938775510204)</f>
        <v>0.2146938776</v>
      </c>
      <c r="G2135" s="5">
        <f>IFERROR(__xludf.DUMMYFUNCTION("""COMPUTED_VALUE"""),0.18448979591836734)</f>
        <v>0.1844897959</v>
      </c>
      <c r="H2135" s="5">
        <f>IFERROR(__xludf.DUMMYFUNCTION("""COMPUTED_VALUE"""),0.5817490494296578)</f>
        <v>0.5817490494</v>
      </c>
      <c r="I2135" s="11">
        <f>IFERROR(__xludf.DUMMYFUNCTION("""COMPUTED_VALUE"""),5980.608365019011)</f>
        <v>5980.608365</v>
      </c>
      <c r="J2135" s="10">
        <f>IFERROR(__xludf.DUMMYFUNCTION("""COMPUTED_VALUE"""),1.0)</f>
        <v>1</v>
      </c>
      <c r="K2135" s="5">
        <f>IFERROR(__xludf.DUMMYFUNCTION("""COMPUTED_VALUE"""),0.008333333333333333)</f>
        <v>0.008333333333</v>
      </c>
      <c r="L2135" s="10">
        <f>IFERROR(__xludf.DUMMYFUNCTION("""COMPUTED_VALUE"""),120.0)</f>
        <v>120</v>
      </c>
      <c r="M2135" s="5">
        <f>IFERROR(__xludf.DUMMYFUNCTION("""COMPUTED_VALUE"""),1.0)</f>
        <v>1</v>
      </c>
    </row>
    <row r="2136">
      <c r="A2136" s="10" t="str">
        <f>IFERROR(__xludf.DUMMYFUNCTION("""COMPUTED_VALUE"""),"tamitami")</f>
        <v>tamitami</v>
      </c>
      <c r="B2136" s="10">
        <f>IFERROR(__xludf.DUMMYFUNCTION("""COMPUTED_VALUE"""),111.0)</f>
        <v>111</v>
      </c>
      <c r="C2136" s="10">
        <f>IFERROR(__xludf.DUMMYFUNCTION("""COMPUTED_VALUE"""),1298.0)</f>
        <v>1298</v>
      </c>
      <c r="D2136" s="5">
        <f>IFERROR(__xludf.DUMMYFUNCTION("""COMPUTED_VALUE"""),0.2636899747262005)</f>
        <v>0.2636899747</v>
      </c>
      <c r="E2136" s="5">
        <f>IFERROR(__xludf.DUMMYFUNCTION("""COMPUTED_VALUE"""),0.13142375737152484)</f>
        <v>0.1314237574</v>
      </c>
      <c r="F2136" s="5">
        <f>IFERROR(__xludf.DUMMYFUNCTION("""COMPUTED_VALUE"""),0.1988205560235889)</f>
        <v>0.198820556</v>
      </c>
      <c r="G2136" s="5">
        <f>IFERROR(__xludf.DUMMYFUNCTION("""COMPUTED_VALUE"""),0.16596461668070767)</f>
        <v>0.1659646167</v>
      </c>
      <c r="H2136" s="5">
        <f>IFERROR(__xludf.DUMMYFUNCTION("""COMPUTED_VALUE"""),0.5932203389830508)</f>
        <v>0.593220339</v>
      </c>
      <c r="I2136" s="11">
        <f>IFERROR(__xludf.DUMMYFUNCTION("""COMPUTED_VALUE"""),5537.28813559322)</f>
        <v>5537.288136</v>
      </c>
      <c r="J2136" s="10">
        <f>IFERROR(__xludf.DUMMYFUNCTION("""COMPUTED_VALUE"""),0.0)</f>
        <v>0</v>
      </c>
      <c r="K2136" s="5">
        <f>IFERROR(__xludf.DUMMYFUNCTION("""COMPUTED_VALUE"""),0.0)</f>
        <v>0</v>
      </c>
      <c r="L2136" s="10">
        <f>IFERROR(__xludf.DUMMYFUNCTION("""COMPUTED_VALUE"""),111.0)</f>
        <v>111</v>
      </c>
      <c r="M2136" s="5">
        <f>IFERROR(__xludf.DUMMYFUNCTION("""COMPUTED_VALUE"""),1.0)</f>
        <v>1</v>
      </c>
    </row>
    <row r="2137">
      <c r="A2137" s="10" t="str">
        <f>IFERROR(__xludf.DUMMYFUNCTION("""COMPUTED_VALUE"""),"マック04")</f>
        <v>マック04</v>
      </c>
      <c r="B2137" s="10">
        <f>IFERROR(__xludf.DUMMYFUNCTION("""COMPUTED_VALUE"""),968.0)</f>
        <v>968</v>
      </c>
      <c r="C2137" s="10">
        <f>IFERROR(__xludf.DUMMYFUNCTION("""COMPUTED_VALUE"""),11317.0)</f>
        <v>11317</v>
      </c>
      <c r="D2137" s="5">
        <f>IFERROR(__xludf.DUMMYFUNCTION("""COMPUTED_VALUE"""),0.403903758817277)</f>
        <v>0.4039037588</v>
      </c>
      <c r="E2137" s="5">
        <f>IFERROR(__xludf.DUMMYFUNCTION("""COMPUTED_VALUE"""),0.13141366315586048)</f>
        <v>0.1314136632</v>
      </c>
      <c r="F2137" s="5">
        <f>IFERROR(__xludf.DUMMYFUNCTION("""COMPUTED_VALUE"""),0.22021451347956325)</f>
        <v>0.2202145135</v>
      </c>
      <c r="G2137" s="5">
        <f>IFERROR(__xludf.DUMMYFUNCTION("""COMPUTED_VALUE"""),0.19924630399072374)</f>
        <v>0.199246304</v>
      </c>
      <c r="H2137" s="5">
        <f>IFERROR(__xludf.DUMMYFUNCTION("""COMPUTED_VALUE"""),0.604212373848179)</f>
        <v>0.6042123738</v>
      </c>
      <c r="I2137" s="11">
        <f>IFERROR(__xludf.DUMMYFUNCTION("""COMPUTED_VALUE"""),5913.251426064063)</f>
        <v>5913.251426</v>
      </c>
      <c r="J2137" s="10">
        <f>IFERROR(__xludf.DUMMYFUNCTION("""COMPUTED_VALUE"""),1.0)</f>
        <v>1</v>
      </c>
      <c r="K2137" s="5">
        <f>IFERROR(__xludf.DUMMYFUNCTION("""COMPUTED_VALUE"""),0.0010330578512396695)</f>
        <v>0.001033057851</v>
      </c>
      <c r="L2137" s="10">
        <f>IFERROR(__xludf.DUMMYFUNCTION("""COMPUTED_VALUE"""),657.0)</f>
        <v>657</v>
      </c>
      <c r="M2137" s="5">
        <f>IFERROR(__xludf.DUMMYFUNCTION("""COMPUTED_VALUE"""),0.6787190082644629)</f>
        <v>0.6787190083</v>
      </c>
    </row>
    <row r="2138">
      <c r="A2138" s="10" t="str">
        <f>IFERROR(__xludf.DUMMYFUNCTION("""COMPUTED_VALUE"""),"Kissei")</f>
        <v>Kissei</v>
      </c>
      <c r="B2138" s="10">
        <f>IFERROR(__xludf.DUMMYFUNCTION("""COMPUTED_VALUE"""),700.0)</f>
        <v>700</v>
      </c>
      <c r="C2138" s="10">
        <f>IFERROR(__xludf.DUMMYFUNCTION("""COMPUTED_VALUE"""),8089.0)</f>
        <v>8089</v>
      </c>
      <c r="D2138" s="5">
        <f>IFERROR(__xludf.DUMMYFUNCTION("""COMPUTED_VALUE"""),0.30437136283664906)</f>
        <v>0.3043713628</v>
      </c>
      <c r="E2138" s="5">
        <f>IFERROR(__xludf.DUMMYFUNCTION("""COMPUTED_VALUE"""),0.13141155772093652)</f>
        <v>0.1314115577</v>
      </c>
      <c r="F2138" s="5">
        <f>IFERROR(__xludf.DUMMYFUNCTION("""COMPUTED_VALUE"""),0.20571119231289756)</f>
        <v>0.2057111923</v>
      </c>
      <c r="G2138" s="5">
        <f>IFERROR(__xludf.DUMMYFUNCTION("""COMPUTED_VALUE"""),0.18784679929625117)</f>
        <v>0.1878467993</v>
      </c>
      <c r="H2138" s="5">
        <f>IFERROR(__xludf.DUMMYFUNCTION("""COMPUTED_VALUE"""),0.5868421052631579)</f>
        <v>0.5868421053</v>
      </c>
      <c r="I2138" s="11">
        <f>IFERROR(__xludf.DUMMYFUNCTION("""COMPUTED_VALUE"""),5895.263157894737)</f>
        <v>5895.263158</v>
      </c>
      <c r="J2138" s="10">
        <f>IFERROR(__xludf.DUMMYFUNCTION("""COMPUTED_VALUE"""),2.0)</f>
        <v>2</v>
      </c>
      <c r="K2138" s="5">
        <f>IFERROR(__xludf.DUMMYFUNCTION("""COMPUTED_VALUE"""),0.002857142857142857)</f>
        <v>0.002857142857</v>
      </c>
      <c r="L2138" s="10">
        <f>IFERROR(__xludf.DUMMYFUNCTION("""COMPUTED_VALUE"""),700.0)</f>
        <v>700</v>
      </c>
      <c r="M2138" s="5">
        <f>IFERROR(__xludf.DUMMYFUNCTION("""COMPUTED_VALUE"""),1.0)</f>
        <v>1</v>
      </c>
    </row>
    <row r="2139">
      <c r="A2139" s="10" t="str">
        <f>IFERROR(__xludf.DUMMYFUNCTION("""COMPUTED_VALUE"""),"ゆっきゅん")</f>
        <v>ゆっきゅん</v>
      </c>
      <c r="B2139" s="10">
        <f>IFERROR(__xludf.DUMMYFUNCTION("""COMPUTED_VALUE"""),678.0)</f>
        <v>678</v>
      </c>
      <c r="C2139" s="10">
        <f>IFERROR(__xludf.DUMMYFUNCTION("""COMPUTED_VALUE"""),7991.0)</f>
        <v>7991</v>
      </c>
      <c r="D2139" s="5">
        <f>IFERROR(__xludf.DUMMYFUNCTION("""COMPUTED_VALUE"""),0.31820046492547516)</f>
        <v>0.3182004649</v>
      </c>
      <c r="E2139" s="5">
        <f>IFERROR(__xludf.DUMMYFUNCTION("""COMPUTED_VALUE"""),0.13140981813209354)</f>
        <v>0.1314098181</v>
      </c>
      <c r="F2139" s="5">
        <f>IFERROR(__xludf.DUMMYFUNCTION("""COMPUTED_VALUE"""),0.20689183645562698)</f>
        <v>0.2068918365</v>
      </c>
      <c r="G2139" s="5">
        <f>IFERROR(__xludf.DUMMYFUNCTION("""COMPUTED_VALUE"""),0.16450157254204842)</f>
        <v>0.1645015725</v>
      </c>
      <c r="H2139" s="5">
        <f>IFERROR(__xludf.DUMMYFUNCTION("""COMPUTED_VALUE"""),0.5961665565102445)</f>
        <v>0.5961665565</v>
      </c>
      <c r="I2139" s="11">
        <f>IFERROR(__xludf.DUMMYFUNCTION("""COMPUTED_VALUE"""),5681.493721083939)</f>
        <v>5681.493721</v>
      </c>
      <c r="J2139" s="10">
        <f>IFERROR(__xludf.DUMMYFUNCTION("""COMPUTED_VALUE"""),0.0)</f>
        <v>0</v>
      </c>
      <c r="K2139" s="5">
        <f>IFERROR(__xludf.DUMMYFUNCTION("""COMPUTED_VALUE"""),0.0)</f>
        <v>0</v>
      </c>
      <c r="L2139" s="10">
        <f>IFERROR(__xludf.DUMMYFUNCTION("""COMPUTED_VALUE"""),225.0)</f>
        <v>225</v>
      </c>
      <c r="M2139" s="5">
        <f>IFERROR(__xludf.DUMMYFUNCTION("""COMPUTED_VALUE"""),0.33185840707964603)</f>
        <v>0.3318584071</v>
      </c>
    </row>
    <row r="2140">
      <c r="A2140" s="10" t="str">
        <f>IFERROR(__xludf.DUMMYFUNCTION("""COMPUTED_VALUE"""),"ナグルファル")</f>
        <v>ナグルファル</v>
      </c>
      <c r="B2140" s="10">
        <f>IFERROR(__xludf.DUMMYFUNCTION("""COMPUTED_VALUE"""),326.0)</f>
        <v>326</v>
      </c>
      <c r="C2140" s="10">
        <f>IFERROR(__xludf.DUMMYFUNCTION("""COMPUTED_VALUE"""),3720.0)</f>
        <v>3720</v>
      </c>
      <c r="D2140" s="5">
        <f>IFERROR(__xludf.DUMMYFUNCTION("""COMPUTED_VALUE"""),0.3291101944608132)</f>
        <v>0.3291101945</v>
      </c>
      <c r="E2140" s="5">
        <f>IFERROR(__xludf.DUMMYFUNCTION("""COMPUTED_VALUE"""),0.1314083677077195)</f>
        <v>0.1314083677</v>
      </c>
      <c r="F2140" s="5">
        <f>IFERROR(__xludf.DUMMYFUNCTION("""COMPUTED_VALUE"""),0.2106658809664113)</f>
        <v>0.210665881</v>
      </c>
      <c r="G2140" s="5">
        <f>IFERROR(__xludf.DUMMYFUNCTION("""COMPUTED_VALUE"""),0.18768414849734827)</f>
        <v>0.1876841485</v>
      </c>
      <c r="H2140" s="5">
        <f>IFERROR(__xludf.DUMMYFUNCTION("""COMPUTED_VALUE"""),0.5944055944055944)</f>
        <v>0.5944055944</v>
      </c>
      <c r="I2140" s="11">
        <f>IFERROR(__xludf.DUMMYFUNCTION("""COMPUTED_VALUE"""),5792.027972027972)</f>
        <v>5792.027972</v>
      </c>
      <c r="J2140" s="10">
        <f>IFERROR(__xludf.DUMMYFUNCTION("""COMPUTED_VALUE"""),0.0)</f>
        <v>0</v>
      </c>
      <c r="K2140" s="5">
        <f>IFERROR(__xludf.DUMMYFUNCTION("""COMPUTED_VALUE"""),0.0)</f>
        <v>0</v>
      </c>
      <c r="L2140" s="10">
        <f>IFERROR(__xludf.DUMMYFUNCTION("""COMPUTED_VALUE"""),326.0)</f>
        <v>326</v>
      </c>
      <c r="M2140" s="5">
        <f>IFERROR(__xludf.DUMMYFUNCTION("""COMPUTED_VALUE"""),1.0)</f>
        <v>1</v>
      </c>
    </row>
    <row r="2141">
      <c r="A2141" s="10" t="str">
        <f>IFERROR(__xludf.DUMMYFUNCTION("""COMPUTED_VALUE"""),"aquarius")</f>
        <v>aquarius</v>
      </c>
      <c r="B2141" s="10">
        <f>IFERROR(__xludf.DUMMYFUNCTION("""COMPUTED_VALUE"""),1264.0)</f>
        <v>1264</v>
      </c>
      <c r="C2141" s="10">
        <f>IFERROR(__xludf.DUMMYFUNCTION("""COMPUTED_VALUE"""),14764.0)</f>
        <v>14764</v>
      </c>
      <c r="D2141" s="5">
        <f>IFERROR(__xludf.DUMMYFUNCTION("""COMPUTED_VALUE"""),0.3154074074074074)</f>
        <v>0.3154074074</v>
      </c>
      <c r="E2141" s="5">
        <f>IFERROR(__xludf.DUMMYFUNCTION("""COMPUTED_VALUE"""),0.13140740740740742)</f>
        <v>0.1314074074</v>
      </c>
      <c r="F2141" s="5">
        <f>IFERROR(__xludf.DUMMYFUNCTION("""COMPUTED_VALUE"""),0.20874074074074075)</f>
        <v>0.2087407407</v>
      </c>
      <c r="G2141" s="5">
        <f>IFERROR(__xludf.DUMMYFUNCTION("""COMPUTED_VALUE"""),0.16274074074074074)</f>
        <v>0.1627407407</v>
      </c>
      <c r="H2141" s="5">
        <f>IFERROR(__xludf.DUMMYFUNCTION("""COMPUTED_VALUE"""),0.5997161107168204)</f>
        <v>0.5997161107</v>
      </c>
      <c r="I2141" s="11">
        <f>IFERROR(__xludf.DUMMYFUNCTION("""COMPUTED_VALUE"""),5852.625975869411)</f>
        <v>5852.625976</v>
      </c>
      <c r="J2141" s="10">
        <f>IFERROR(__xludf.DUMMYFUNCTION("""COMPUTED_VALUE"""),2.0)</f>
        <v>2</v>
      </c>
      <c r="K2141" s="5">
        <f>IFERROR(__xludf.DUMMYFUNCTION("""COMPUTED_VALUE"""),0.0015822784810126582)</f>
        <v>0.001582278481</v>
      </c>
      <c r="L2141" s="10">
        <f>IFERROR(__xludf.DUMMYFUNCTION("""COMPUTED_VALUE"""),984.0)</f>
        <v>984</v>
      </c>
      <c r="M2141" s="5">
        <f>IFERROR(__xludf.DUMMYFUNCTION("""COMPUTED_VALUE"""),0.7784810126582279)</f>
        <v>0.7784810127</v>
      </c>
    </row>
    <row r="2142">
      <c r="A2142" s="10" t="str">
        <f>IFERROR(__xludf.DUMMYFUNCTION("""COMPUTED_VALUE"""),"?&gt;*\+:&amp;")</f>
        <v>?&gt;*\+:&amp;</v>
      </c>
      <c r="B2142" s="10">
        <f>IFERROR(__xludf.DUMMYFUNCTION("""COMPUTED_VALUE"""),101.0)</f>
        <v>101</v>
      </c>
      <c r="C2142" s="10">
        <f>IFERROR(__xludf.DUMMYFUNCTION("""COMPUTED_VALUE"""),1174.0)</f>
        <v>1174</v>
      </c>
      <c r="D2142" s="5">
        <f>IFERROR(__xludf.DUMMYFUNCTION("""COMPUTED_VALUE"""),0.3783783783783784)</f>
        <v>0.3783783784</v>
      </c>
      <c r="E2142" s="5">
        <f>IFERROR(__xludf.DUMMYFUNCTION("""COMPUTED_VALUE"""),0.13140726933830382)</f>
        <v>0.1314072693</v>
      </c>
      <c r="F2142" s="5">
        <f>IFERROR(__xludf.DUMMYFUNCTION("""COMPUTED_VALUE"""),0.19384902143522834)</f>
        <v>0.1938490214</v>
      </c>
      <c r="G2142" s="5">
        <f>IFERROR(__xludf.DUMMYFUNCTION("""COMPUTED_VALUE"""),0.1500465983224604)</f>
        <v>0.1500465983</v>
      </c>
      <c r="H2142" s="5">
        <f>IFERROR(__xludf.DUMMYFUNCTION("""COMPUTED_VALUE"""),0.5240384615384616)</f>
        <v>0.5240384615</v>
      </c>
      <c r="I2142" s="11">
        <f>IFERROR(__xludf.DUMMYFUNCTION("""COMPUTED_VALUE"""),5490.384615384615)</f>
        <v>5490.384615</v>
      </c>
      <c r="J2142" s="10">
        <f>IFERROR(__xludf.DUMMYFUNCTION("""COMPUTED_VALUE"""),0.0)</f>
        <v>0</v>
      </c>
      <c r="K2142" s="5">
        <f>IFERROR(__xludf.DUMMYFUNCTION("""COMPUTED_VALUE"""),0.0)</f>
        <v>0</v>
      </c>
      <c r="L2142" s="10">
        <f>IFERROR(__xludf.DUMMYFUNCTION("""COMPUTED_VALUE"""),101.0)</f>
        <v>101</v>
      </c>
      <c r="M2142" s="5">
        <f>IFERROR(__xludf.DUMMYFUNCTION("""COMPUTED_VALUE"""),1.0)</f>
        <v>1</v>
      </c>
    </row>
    <row r="2143">
      <c r="A2143" s="10" t="str">
        <f>IFERROR(__xludf.DUMMYFUNCTION("""COMPUTED_VALUE"""),"小阪ちひろ")</f>
        <v>小阪ちひろ</v>
      </c>
      <c r="B2143" s="10">
        <f>IFERROR(__xludf.DUMMYFUNCTION("""COMPUTED_VALUE"""),878.0)</f>
        <v>878</v>
      </c>
      <c r="C2143" s="10">
        <f>IFERROR(__xludf.DUMMYFUNCTION("""COMPUTED_VALUE"""),10322.0)</f>
        <v>10322</v>
      </c>
      <c r="D2143" s="5">
        <f>IFERROR(__xludf.DUMMYFUNCTION("""COMPUTED_VALUE"""),0.340851334180432)</f>
        <v>0.3408513342</v>
      </c>
      <c r="E2143" s="5">
        <f>IFERROR(__xludf.DUMMYFUNCTION("""COMPUTED_VALUE"""),0.13140618382041508)</f>
        <v>0.1314061838</v>
      </c>
      <c r="F2143" s="5">
        <f>IFERROR(__xludf.DUMMYFUNCTION("""COMPUTED_VALUE"""),0.2132570944515036)</f>
        <v>0.2132570945</v>
      </c>
      <c r="G2143" s="5">
        <f>IFERROR(__xludf.DUMMYFUNCTION("""COMPUTED_VALUE"""),0.16624311732316815)</f>
        <v>0.1662431173</v>
      </c>
      <c r="H2143" s="5">
        <f>IFERROR(__xludf.DUMMYFUNCTION("""COMPUTED_VALUE"""),0.612214498510427)</f>
        <v>0.6122144985</v>
      </c>
      <c r="I2143" s="11">
        <f>IFERROR(__xludf.DUMMYFUNCTION("""COMPUTED_VALUE"""),5647.5670307845085)</f>
        <v>5647.567031</v>
      </c>
      <c r="J2143" s="10">
        <f>IFERROR(__xludf.DUMMYFUNCTION("""COMPUTED_VALUE"""),5.0)</f>
        <v>5</v>
      </c>
      <c r="K2143" s="5">
        <f>IFERROR(__xludf.DUMMYFUNCTION("""COMPUTED_VALUE"""),0.0056947608200455585)</f>
        <v>0.00569476082</v>
      </c>
      <c r="L2143" s="10">
        <f>IFERROR(__xludf.DUMMYFUNCTION("""COMPUTED_VALUE"""),0.0)</f>
        <v>0</v>
      </c>
      <c r="M2143" s="5">
        <f>IFERROR(__xludf.DUMMYFUNCTION("""COMPUTED_VALUE"""),0.0)</f>
        <v>0</v>
      </c>
    </row>
    <row r="2144">
      <c r="A2144" s="10" t="str">
        <f>IFERROR(__xludf.DUMMYFUNCTION("""COMPUTED_VALUE"""),"ふもあ")</f>
        <v>ふもあ</v>
      </c>
      <c r="B2144" s="10">
        <f>IFERROR(__xludf.DUMMYFUNCTION("""COMPUTED_VALUE"""),1220.0)</f>
        <v>1220</v>
      </c>
      <c r="C2144" s="10">
        <f>IFERROR(__xludf.DUMMYFUNCTION("""COMPUTED_VALUE"""),14294.0)</f>
        <v>14294</v>
      </c>
      <c r="D2144" s="5">
        <f>IFERROR(__xludf.DUMMYFUNCTION("""COMPUTED_VALUE"""),0.3565091020345724)</f>
        <v>0.356509102</v>
      </c>
      <c r="E2144" s="5">
        <f>IFERROR(__xludf.DUMMYFUNCTION("""COMPUTED_VALUE"""),0.13140584365917088)</f>
        <v>0.1314058437</v>
      </c>
      <c r="F2144" s="5">
        <f>IFERROR(__xludf.DUMMYFUNCTION("""COMPUTED_VALUE"""),0.21118249961756158)</f>
        <v>0.2111824996</v>
      </c>
      <c r="G2144" s="5">
        <f>IFERROR(__xludf.DUMMYFUNCTION("""COMPUTED_VALUE"""),0.1761511396665137)</f>
        <v>0.1761511397</v>
      </c>
      <c r="H2144" s="5">
        <f>IFERROR(__xludf.DUMMYFUNCTION("""COMPUTED_VALUE"""),0.6233248822890257)</f>
        <v>0.6233248823</v>
      </c>
      <c r="I2144" s="11">
        <f>IFERROR(__xludf.DUMMYFUNCTION("""COMPUTED_VALUE"""),5704.491126403477)</f>
        <v>5704.491126</v>
      </c>
      <c r="J2144" s="10">
        <f>IFERROR(__xludf.DUMMYFUNCTION("""COMPUTED_VALUE"""),6.0)</f>
        <v>6</v>
      </c>
      <c r="K2144" s="5">
        <f>IFERROR(__xludf.DUMMYFUNCTION("""COMPUTED_VALUE"""),0.004918032786885246)</f>
        <v>0.004918032787</v>
      </c>
      <c r="L2144" s="10">
        <f>IFERROR(__xludf.DUMMYFUNCTION("""COMPUTED_VALUE"""),1111.0)</f>
        <v>1111</v>
      </c>
      <c r="M2144" s="5">
        <f>IFERROR(__xludf.DUMMYFUNCTION("""COMPUTED_VALUE"""),0.910655737704918)</f>
        <v>0.9106557377</v>
      </c>
    </row>
    <row r="2145">
      <c r="A2145" s="10" t="str">
        <f>IFERROR(__xludf.DUMMYFUNCTION("""COMPUTED_VALUE"""),"橘ありす")</f>
        <v>橘ありす</v>
      </c>
      <c r="B2145" s="10">
        <f>IFERROR(__xludf.DUMMYFUNCTION("""COMPUTED_VALUE"""),1580.0)</f>
        <v>1580</v>
      </c>
      <c r="C2145" s="10">
        <f>IFERROR(__xludf.DUMMYFUNCTION("""COMPUTED_VALUE"""),18187.0)</f>
        <v>18187</v>
      </c>
      <c r="D2145" s="5">
        <f>IFERROR(__xludf.DUMMYFUNCTION("""COMPUTED_VALUE"""),0.3515385078581321)</f>
        <v>0.3515385079</v>
      </c>
      <c r="E2145" s="5">
        <f>IFERROR(__xludf.DUMMYFUNCTION("""COMPUTED_VALUE"""),0.13139037755163485)</f>
        <v>0.1313903776</v>
      </c>
      <c r="F2145" s="5">
        <f>IFERROR(__xludf.DUMMYFUNCTION("""COMPUTED_VALUE"""),0.21876317215631963)</f>
        <v>0.2187631722</v>
      </c>
      <c r="G2145" s="5">
        <f>IFERROR(__xludf.DUMMYFUNCTION("""COMPUTED_VALUE"""),0.18751129041970255)</f>
        <v>0.1875112904</v>
      </c>
      <c r="H2145" s="5">
        <f>IFERROR(__xludf.DUMMYFUNCTION("""COMPUTED_VALUE"""),0.5906963941646023)</f>
        <v>0.5906963942</v>
      </c>
      <c r="I2145" s="11">
        <f>IFERROR(__xludf.DUMMYFUNCTION("""COMPUTED_VALUE"""),5818.6622625928985)</f>
        <v>5818.662263</v>
      </c>
      <c r="J2145" s="10">
        <f>IFERROR(__xludf.DUMMYFUNCTION("""COMPUTED_VALUE"""),7.0)</f>
        <v>7</v>
      </c>
      <c r="K2145" s="5">
        <f>IFERROR(__xludf.DUMMYFUNCTION("""COMPUTED_VALUE"""),0.004430379746835443)</f>
        <v>0.004430379747</v>
      </c>
      <c r="L2145" s="10">
        <f>IFERROR(__xludf.DUMMYFUNCTION("""COMPUTED_VALUE"""),546.0)</f>
        <v>546</v>
      </c>
      <c r="M2145" s="5">
        <f>IFERROR(__xludf.DUMMYFUNCTION("""COMPUTED_VALUE"""),0.34556962025316457)</f>
        <v>0.3455696203</v>
      </c>
    </row>
    <row r="2146">
      <c r="A2146" s="10" t="str">
        <f>IFERROR(__xludf.DUMMYFUNCTION("""COMPUTED_VALUE"""),"†straw†")</f>
        <v>†straw†</v>
      </c>
      <c r="B2146" s="10">
        <f>IFERROR(__xludf.DUMMYFUNCTION("""COMPUTED_VALUE"""),825.0)</f>
        <v>825</v>
      </c>
      <c r="C2146" s="10">
        <f>IFERROR(__xludf.DUMMYFUNCTION("""COMPUTED_VALUE"""),9768.0)</f>
        <v>9768</v>
      </c>
      <c r="D2146" s="5">
        <f>IFERROR(__xludf.DUMMYFUNCTION("""COMPUTED_VALUE"""),0.3873420552387342)</f>
        <v>0.3873420552</v>
      </c>
      <c r="E2146" s="5">
        <f>IFERROR(__xludf.DUMMYFUNCTION("""COMPUTED_VALUE"""),0.13138767751313876)</f>
        <v>0.1313876775</v>
      </c>
      <c r="F2146" s="5">
        <f>IFERROR(__xludf.DUMMYFUNCTION("""COMPUTED_VALUE"""),0.21391032092139103)</f>
        <v>0.2139103209</v>
      </c>
      <c r="G2146" s="5">
        <f>IFERROR(__xludf.DUMMYFUNCTION("""COMPUTED_VALUE"""),0.15855976741585598)</f>
        <v>0.1585597674</v>
      </c>
      <c r="H2146" s="5">
        <f>IFERROR(__xludf.DUMMYFUNCTION("""COMPUTED_VALUE"""),0.5755358076319916)</f>
        <v>0.5755358076</v>
      </c>
      <c r="I2146" s="11">
        <f>IFERROR(__xludf.DUMMYFUNCTION("""COMPUTED_VALUE"""),5342.185049660219)</f>
        <v>5342.18505</v>
      </c>
      <c r="J2146" s="10">
        <f>IFERROR(__xludf.DUMMYFUNCTION("""COMPUTED_VALUE"""),3.0)</f>
        <v>3</v>
      </c>
      <c r="K2146" s="5">
        <f>IFERROR(__xludf.DUMMYFUNCTION("""COMPUTED_VALUE"""),0.0036363636363636364)</f>
        <v>0.003636363636</v>
      </c>
      <c r="L2146" s="10">
        <f>IFERROR(__xludf.DUMMYFUNCTION("""COMPUTED_VALUE"""),825.0)</f>
        <v>825</v>
      </c>
      <c r="M2146" s="5">
        <f>IFERROR(__xludf.DUMMYFUNCTION("""COMPUTED_VALUE"""),1.0)</f>
        <v>1</v>
      </c>
    </row>
    <row r="2147">
      <c r="A2147" s="10" t="str">
        <f>IFERROR(__xludf.DUMMYFUNCTION("""COMPUTED_VALUE"""),"しゅうー。")</f>
        <v>しゅうー。</v>
      </c>
      <c r="B2147" s="10">
        <f>IFERROR(__xludf.DUMMYFUNCTION("""COMPUTED_VALUE"""),2255.0)</f>
        <v>2255</v>
      </c>
      <c r="C2147" s="10">
        <f>IFERROR(__xludf.DUMMYFUNCTION("""COMPUTED_VALUE"""),26422.0)</f>
        <v>26422</v>
      </c>
      <c r="D2147" s="5">
        <f>IFERROR(__xludf.DUMMYFUNCTION("""COMPUTED_VALUE"""),0.3600364132908512)</f>
        <v>0.3600364133</v>
      </c>
      <c r="E2147" s="5">
        <f>IFERROR(__xludf.DUMMYFUNCTION("""COMPUTED_VALUE"""),0.13137749824140357)</f>
        <v>0.1313774982</v>
      </c>
      <c r="F2147" s="5">
        <f>IFERROR(__xludf.DUMMYFUNCTION("""COMPUTED_VALUE"""),0.22005213721190053)</f>
        <v>0.2200521372</v>
      </c>
      <c r="G2147" s="5">
        <f>IFERROR(__xludf.DUMMYFUNCTION("""COMPUTED_VALUE"""),0.17664583936773287)</f>
        <v>0.1766458394</v>
      </c>
      <c r="H2147" s="5">
        <f>IFERROR(__xludf.DUMMYFUNCTION("""COMPUTED_VALUE"""),0.5893192929672809)</f>
        <v>0.589319293</v>
      </c>
      <c r="I2147" s="11">
        <f>IFERROR(__xludf.DUMMYFUNCTION("""COMPUTED_VALUE"""),5735.915757803686)</f>
        <v>5735.915758</v>
      </c>
      <c r="J2147" s="10">
        <f>IFERROR(__xludf.DUMMYFUNCTION("""COMPUTED_VALUE"""),11.0)</f>
        <v>11</v>
      </c>
      <c r="K2147" s="5">
        <f>IFERROR(__xludf.DUMMYFUNCTION("""COMPUTED_VALUE"""),0.004878048780487805)</f>
        <v>0.00487804878</v>
      </c>
      <c r="L2147" s="10">
        <f>IFERROR(__xludf.DUMMYFUNCTION("""COMPUTED_VALUE"""),2255.0)</f>
        <v>2255</v>
      </c>
      <c r="M2147" s="5">
        <f>IFERROR(__xludf.DUMMYFUNCTION("""COMPUTED_VALUE"""),1.0)</f>
        <v>1</v>
      </c>
    </row>
    <row r="2148">
      <c r="A2148" s="10" t="str">
        <f>IFERROR(__xludf.DUMMYFUNCTION("""COMPUTED_VALUE"""),"月ミ照☆")</f>
        <v>月ミ照☆</v>
      </c>
      <c r="B2148" s="10">
        <f>IFERROR(__xludf.DUMMYFUNCTION("""COMPUTED_VALUE"""),1007.0)</f>
        <v>1007</v>
      </c>
      <c r="C2148" s="10">
        <f>IFERROR(__xludf.DUMMYFUNCTION("""COMPUTED_VALUE"""),11816.0)</f>
        <v>11816</v>
      </c>
      <c r="D2148" s="5">
        <f>IFERROR(__xludf.DUMMYFUNCTION("""COMPUTED_VALUE"""),0.34628550282172266)</f>
        <v>0.3462855028</v>
      </c>
      <c r="E2148" s="5">
        <f>IFERROR(__xludf.DUMMYFUNCTION("""COMPUTED_VALUE"""),0.1313720048108058)</f>
        <v>0.1313720048</v>
      </c>
      <c r="F2148" s="5">
        <f>IFERROR(__xludf.DUMMYFUNCTION("""COMPUTED_VALUE"""),0.22786566749930615)</f>
        <v>0.2278656675</v>
      </c>
      <c r="G2148" s="5">
        <f>IFERROR(__xludf.DUMMYFUNCTION("""COMPUTED_VALUE"""),0.1841058377278194)</f>
        <v>0.1841058377</v>
      </c>
      <c r="H2148" s="5">
        <f>IFERROR(__xludf.DUMMYFUNCTION("""COMPUTED_VALUE"""),0.5968331303288672)</f>
        <v>0.5968331303</v>
      </c>
      <c r="I2148" s="11">
        <f>IFERROR(__xludf.DUMMYFUNCTION("""COMPUTED_VALUE"""),5622.980105562322)</f>
        <v>5622.980106</v>
      </c>
      <c r="J2148" s="10">
        <f>IFERROR(__xludf.DUMMYFUNCTION("""COMPUTED_VALUE"""),0.0)</f>
        <v>0</v>
      </c>
      <c r="K2148" s="5">
        <f>IFERROR(__xludf.DUMMYFUNCTION("""COMPUTED_VALUE"""),0.0)</f>
        <v>0</v>
      </c>
      <c r="L2148" s="10">
        <f>IFERROR(__xludf.DUMMYFUNCTION("""COMPUTED_VALUE"""),1007.0)</f>
        <v>1007</v>
      </c>
      <c r="M2148" s="5">
        <f>IFERROR(__xludf.DUMMYFUNCTION("""COMPUTED_VALUE"""),1.0)</f>
        <v>1</v>
      </c>
    </row>
    <row r="2149">
      <c r="A2149" s="10" t="str">
        <f>IFERROR(__xludf.DUMMYFUNCTION("""COMPUTED_VALUE"""),"Dexic")</f>
        <v>Dexic</v>
      </c>
      <c r="B2149" s="10">
        <f>IFERROR(__xludf.DUMMYFUNCTION("""COMPUTED_VALUE"""),263.0)</f>
        <v>263</v>
      </c>
      <c r="C2149" s="10">
        <f>IFERROR(__xludf.DUMMYFUNCTION("""COMPUTED_VALUE"""),3049.0)</f>
        <v>3049</v>
      </c>
      <c r="D2149" s="5">
        <f>IFERROR(__xludf.DUMMYFUNCTION("""COMPUTED_VALUE"""),0.2745872218234027)</f>
        <v>0.2745872218</v>
      </c>
      <c r="E2149" s="5">
        <f>IFERROR(__xludf.DUMMYFUNCTION("""COMPUTED_VALUE"""),0.13137114142139267)</f>
        <v>0.1313711414</v>
      </c>
      <c r="F2149" s="5">
        <f>IFERROR(__xludf.DUMMYFUNCTION("""COMPUTED_VALUE"""),0.22074659009332376)</f>
        <v>0.2207465901</v>
      </c>
      <c r="G2149" s="5">
        <f>IFERROR(__xludf.DUMMYFUNCTION("""COMPUTED_VALUE"""),0.21249102656137833)</f>
        <v>0.2124910266</v>
      </c>
      <c r="H2149" s="5">
        <f>IFERROR(__xludf.DUMMYFUNCTION("""COMPUTED_VALUE"""),0.5869918699186992)</f>
        <v>0.5869918699</v>
      </c>
      <c r="I2149" s="11">
        <f>IFERROR(__xludf.DUMMYFUNCTION("""COMPUTED_VALUE"""),5977.235772357723)</f>
        <v>5977.235772</v>
      </c>
      <c r="J2149" s="10">
        <f>IFERROR(__xludf.DUMMYFUNCTION("""COMPUTED_VALUE"""),3.0)</f>
        <v>3</v>
      </c>
      <c r="K2149" s="5">
        <f>IFERROR(__xludf.DUMMYFUNCTION("""COMPUTED_VALUE"""),0.011406844106463879)</f>
        <v>0.01140684411</v>
      </c>
      <c r="L2149" s="10">
        <f>IFERROR(__xludf.DUMMYFUNCTION("""COMPUTED_VALUE"""),263.0)</f>
        <v>263</v>
      </c>
      <c r="M2149" s="5">
        <f>IFERROR(__xludf.DUMMYFUNCTION("""COMPUTED_VALUE"""),1.0)</f>
        <v>1</v>
      </c>
    </row>
    <row r="2150">
      <c r="A2150" s="10" t="str">
        <f>IFERROR(__xludf.DUMMYFUNCTION("""COMPUTED_VALUE"""),"4160")</f>
        <v>4160</v>
      </c>
      <c r="B2150" s="10">
        <f>IFERROR(__xludf.DUMMYFUNCTION("""COMPUTED_VALUE"""),619.0)</f>
        <v>619</v>
      </c>
      <c r="C2150" s="10">
        <f>IFERROR(__xludf.DUMMYFUNCTION("""COMPUTED_VALUE"""),7257.0)</f>
        <v>7257</v>
      </c>
      <c r="D2150" s="5">
        <f>IFERROR(__xludf.DUMMYFUNCTION("""COMPUTED_VALUE"""),0.3229888520638747)</f>
        <v>0.3229888521</v>
      </c>
      <c r="E2150" s="5">
        <f>IFERROR(__xludf.DUMMYFUNCTION("""COMPUTED_VALUE"""),0.13136486893642663)</f>
        <v>0.1313648689</v>
      </c>
      <c r="F2150" s="5">
        <f>IFERROR(__xludf.DUMMYFUNCTION("""COMPUTED_VALUE"""),0.21030430852666465)</f>
        <v>0.2103043085</v>
      </c>
      <c r="G2150" s="5">
        <f>IFERROR(__xludf.DUMMYFUNCTION("""COMPUTED_VALUE"""),0.16556191623983127)</f>
        <v>0.1655619162</v>
      </c>
      <c r="H2150" s="5">
        <f>IFERROR(__xludf.DUMMYFUNCTION("""COMPUTED_VALUE"""),0.6053008595988538)</f>
        <v>0.6053008596</v>
      </c>
      <c r="I2150" s="11">
        <f>IFERROR(__xludf.DUMMYFUNCTION("""COMPUTED_VALUE"""),5490.186246418338)</f>
        <v>5490.186246</v>
      </c>
      <c r="J2150" s="10">
        <f>IFERROR(__xludf.DUMMYFUNCTION("""COMPUTED_VALUE"""),2.0)</f>
        <v>2</v>
      </c>
      <c r="K2150" s="5">
        <f>IFERROR(__xludf.DUMMYFUNCTION("""COMPUTED_VALUE"""),0.0032310177705977385)</f>
        <v>0.003231017771</v>
      </c>
      <c r="L2150" s="10">
        <f>IFERROR(__xludf.DUMMYFUNCTION("""COMPUTED_VALUE"""),168.0)</f>
        <v>168</v>
      </c>
      <c r="M2150" s="5">
        <f>IFERROR(__xludf.DUMMYFUNCTION("""COMPUTED_VALUE"""),0.27140549273021003)</f>
        <v>0.2714054927</v>
      </c>
    </row>
    <row r="2151">
      <c r="A2151" s="10" t="str">
        <f>IFERROR(__xludf.DUMMYFUNCTION("""COMPUTED_VALUE"""),"高橋良太")</f>
        <v>高橋良太</v>
      </c>
      <c r="B2151" s="10">
        <f>IFERROR(__xludf.DUMMYFUNCTION("""COMPUTED_VALUE"""),1877.0)</f>
        <v>1877</v>
      </c>
      <c r="C2151" s="10">
        <f>IFERROR(__xludf.DUMMYFUNCTION("""COMPUTED_VALUE"""),21845.0)</f>
        <v>21845</v>
      </c>
      <c r="D2151" s="5">
        <f>IFERROR(__xludf.DUMMYFUNCTION("""COMPUTED_VALUE"""),0.275390625)</f>
        <v>0.275390625</v>
      </c>
      <c r="E2151" s="5">
        <f>IFERROR(__xludf.DUMMYFUNCTION("""COMPUTED_VALUE"""),0.1313601762820513)</f>
        <v>0.1313601763</v>
      </c>
      <c r="F2151" s="5">
        <f>IFERROR(__xludf.DUMMYFUNCTION("""COMPUTED_VALUE"""),0.21334134615384615)</f>
        <v>0.2133413462</v>
      </c>
      <c r="G2151" s="5">
        <f>IFERROR(__xludf.DUMMYFUNCTION("""COMPUTED_VALUE"""),0.18709935897435898)</f>
        <v>0.187099359</v>
      </c>
      <c r="H2151" s="5">
        <f>IFERROR(__xludf.DUMMYFUNCTION("""COMPUTED_VALUE"""),0.603755868544601)</f>
        <v>0.6037558685</v>
      </c>
      <c r="I2151" s="11">
        <f>IFERROR(__xludf.DUMMYFUNCTION("""COMPUTED_VALUE"""),5780.75117370892)</f>
        <v>5780.751174</v>
      </c>
      <c r="J2151" s="10">
        <f>IFERROR(__xludf.DUMMYFUNCTION("""COMPUTED_VALUE"""),2.0)</f>
        <v>2</v>
      </c>
      <c r="K2151" s="5">
        <f>IFERROR(__xludf.DUMMYFUNCTION("""COMPUTED_VALUE"""),0.0010655301012253596)</f>
        <v>0.001065530101</v>
      </c>
      <c r="L2151" s="10">
        <f>IFERROR(__xludf.DUMMYFUNCTION("""COMPUTED_VALUE"""),1760.0)</f>
        <v>1760</v>
      </c>
      <c r="M2151" s="5">
        <f>IFERROR(__xludf.DUMMYFUNCTION("""COMPUTED_VALUE"""),0.9376664890783165)</f>
        <v>0.9376664891</v>
      </c>
    </row>
    <row r="2152">
      <c r="A2152" s="10" t="str">
        <f>IFERROR(__xludf.DUMMYFUNCTION("""COMPUTED_VALUE"""),"MDSy")</f>
        <v>MDSy</v>
      </c>
      <c r="B2152" s="10">
        <f>IFERROR(__xludf.DUMMYFUNCTION("""COMPUTED_VALUE"""),187.0)</f>
        <v>187</v>
      </c>
      <c r="C2152" s="10">
        <f>IFERROR(__xludf.DUMMYFUNCTION("""COMPUTED_VALUE"""),2212.0)</f>
        <v>2212</v>
      </c>
      <c r="D2152" s="5">
        <f>IFERROR(__xludf.DUMMYFUNCTION("""COMPUTED_VALUE"""),0.3046913580246914)</f>
        <v>0.304691358</v>
      </c>
      <c r="E2152" s="5">
        <f>IFERROR(__xludf.DUMMYFUNCTION("""COMPUTED_VALUE"""),0.13135802469135802)</f>
        <v>0.1313580247</v>
      </c>
      <c r="F2152" s="5">
        <f>IFERROR(__xludf.DUMMYFUNCTION("""COMPUTED_VALUE"""),0.19111111111111112)</f>
        <v>0.1911111111</v>
      </c>
      <c r="G2152" s="5">
        <f>IFERROR(__xludf.DUMMYFUNCTION("""COMPUTED_VALUE"""),0.18419753086419752)</f>
        <v>0.1841975309</v>
      </c>
      <c r="H2152" s="5">
        <f>IFERROR(__xludf.DUMMYFUNCTION("""COMPUTED_VALUE"""),0.599483204134367)</f>
        <v>0.5994832041</v>
      </c>
      <c r="I2152" s="11">
        <f>IFERROR(__xludf.DUMMYFUNCTION("""COMPUTED_VALUE"""),6093.798449612403)</f>
        <v>6093.79845</v>
      </c>
      <c r="J2152" s="10">
        <f>IFERROR(__xludf.DUMMYFUNCTION("""COMPUTED_VALUE"""),1.0)</f>
        <v>1</v>
      </c>
      <c r="K2152" s="5">
        <f>IFERROR(__xludf.DUMMYFUNCTION("""COMPUTED_VALUE"""),0.0053475935828877)</f>
        <v>0.005347593583</v>
      </c>
      <c r="L2152" s="10">
        <f>IFERROR(__xludf.DUMMYFUNCTION("""COMPUTED_VALUE"""),187.0)</f>
        <v>187</v>
      </c>
      <c r="M2152" s="5">
        <f>IFERROR(__xludf.DUMMYFUNCTION("""COMPUTED_VALUE"""),1.0)</f>
        <v>1</v>
      </c>
    </row>
    <row r="2153">
      <c r="A2153" s="10" t="str">
        <f>IFERROR(__xludf.DUMMYFUNCTION("""COMPUTED_VALUE"""),"ラニ")</f>
        <v>ラニ</v>
      </c>
      <c r="B2153" s="10">
        <f>IFERROR(__xludf.DUMMYFUNCTION("""COMPUTED_VALUE"""),1233.0)</f>
        <v>1233</v>
      </c>
      <c r="C2153" s="10">
        <f>IFERROR(__xludf.DUMMYFUNCTION("""COMPUTED_VALUE"""),14426.0)</f>
        <v>14426</v>
      </c>
      <c r="D2153" s="5">
        <f>IFERROR(__xludf.DUMMYFUNCTION("""COMPUTED_VALUE"""),0.36178276358675054)</f>
        <v>0.3617827636</v>
      </c>
      <c r="E2153" s="5">
        <f>IFERROR(__xludf.DUMMYFUNCTION("""COMPUTED_VALUE"""),0.1313575380883802)</f>
        <v>0.1313575381</v>
      </c>
      <c r="F2153" s="5">
        <f>IFERROR(__xludf.DUMMYFUNCTION("""COMPUTED_VALUE"""),0.19661941938906996)</f>
        <v>0.1966194194</v>
      </c>
      <c r="G2153" s="5">
        <f>IFERROR(__xludf.DUMMYFUNCTION("""COMPUTED_VALUE"""),0.16849844614568332)</f>
        <v>0.1684984461</v>
      </c>
      <c r="H2153" s="5">
        <f>IFERROR(__xludf.DUMMYFUNCTION("""COMPUTED_VALUE"""),0.6071703932151118)</f>
        <v>0.6071703932</v>
      </c>
      <c r="I2153" s="11">
        <f>IFERROR(__xludf.DUMMYFUNCTION("""COMPUTED_VALUE"""),6200.154202004626)</f>
        <v>6200.154202</v>
      </c>
      <c r="J2153" s="10">
        <f>IFERROR(__xludf.DUMMYFUNCTION("""COMPUTED_VALUE"""),3.0)</f>
        <v>3</v>
      </c>
      <c r="K2153" s="5">
        <f>IFERROR(__xludf.DUMMYFUNCTION("""COMPUTED_VALUE"""),0.0024330900243309003)</f>
        <v>0.002433090024</v>
      </c>
      <c r="L2153" s="10">
        <f>IFERROR(__xludf.DUMMYFUNCTION("""COMPUTED_VALUE"""),1233.0)</f>
        <v>1233</v>
      </c>
      <c r="M2153" s="5">
        <f>IFERROR(__xludf.DUMMYFUNCTION("""COMPUTED_VALUE"""),1.0)</f>
        <v>1</v>
      </c>
    </row>
    <row r="2154">
      <c r="A2154" s="10" t="str">
        <f>IFERROR(__xludf.DUMMYFUNCTION("""COMPUTED_VALUE"""),"Tokuchi")</f>
        <v>Tokuchi</v>
      </c>
      <c r="B2154" s="10">
        <f>IFERROR(__xludf.DUMMYFUNCTION("""COMPUTED_VALUE"""),1037.0)</f>
        <v>1037</v>
      </c>
      <c r="C2154" s="10">
        <f>IFERROR(__xludf.DUMMYFUNCTION("""COMPUTED_VALUE"""),12122.0)</f>
        <v>12122</v>
      </c>
      <c r="D2154" s="5">
        <f>IFERROR(__xludf.DUMMYFUNCTION("""COMPUTED_VALUE"""),0.3423545331529093)</f>
        <v>0.3423545332</v>
      </c>
      <c r="E2154" s="5">
        <f>IFERROR(__xludf.DUMMYFUNCTION("""COMPUTED_VALUE"""),0.1313486693730266)</f>
        <v>0.1313486694</v>
      </c>
      <c r="F2154" s="5">
        <f>IFERROR(__xludf.DUMMYFUNCTION("""COMPUTED_VALUE"""),0.22110960757780784)</f>
        <v>0.2211096076</v>
      </c>
      <c r="G2154" s="5">
        <f>IFERROR(__xludf.DUMMYFUNCTION("""COMPUTED_VALUE"""),0.17979251240414976)</f>
        <v>0.1797925124</v>
      </c>
      <c r="H2154" s="5">
        <f>IFERROR(__xludf.DUMMYFUNCTION("""COMPUTED_VALUE"""),0.5736434108527132)</f>
        <v>0.5736434109</v>
      </c>
      <c r="I2154" s="11">
        <f>IFERROR(__xludf.DUMMYFUNCTION("""COMPUTED_VALUE"""),5814.075887392901)</f>
        <v>5814.075887</v>
      </c>
      <c r="J2154" s="10">
        <f>IFERROR(__xludf.DUMMYFUNCTION("""COMPUTED_VALUE"""),1.0)</f>
        <v>1</v>
      </c>
      <c r="K2154" s="5">
        <f>IFERROR(__xludf.DUMMYFUNCTION("""COMPUTED_VALUE"""),9.643201542912247E-4)</f>
        <v>0.0009643201543</v>
      </c>
      <c r="L2154" s="10">
        <f>IFERROR(__xludf.DUMMYFUNCTION("""COMPUTED_VALUE"""),1037.0)</f>
        <v>1037</v>
      </c>
      <c r="M2154" s="5">
        <f>IFERROR(__xludf.DUMMYFUNCTION("""COMPUTED_VALUE"""),1.0)</f>
        <v>1</v>
      </c>
    </row>
    <row r="2155">
      <c r="A2155" s="10" t="str">
        <f>IFERROR(__xludf.DUMMYFUNCTION("""COMPUTED_VALUE"""),"夢色memory")</f>
        <v>夢色memory</v>
      </c>
      <c r="B2155" s="10">
        <f>IFERROR(__xludf.DUMMYFUNCTION("""COMPUTED_VALUE"""),798.0)</f>
        <v>798</v>
      </c>
      <c r="C2155" s="10">
        <f>IFERROR(__xludf.DUMMYFUNCTION("""COMPUTED_VALUE"""),9188.0)</f>
        <v>9188</v>
      </c>
      <c r="D2155" s="5">
        <f>IFERROR(__xludf.DUMMYFUNCTION("""COMPUTED_VALUE"""),0.3729439809296782)</f>
        <v>0.3729439809</v>
      </c>
      <c r="E2155" s="5">
        <f>IFERROR(__xludf.DUMMYFUNCTION("""COMPUTED_VALUE"""),0.13134684147794995)</f>
        <v>0.1313468415</v>
      </c>
      <c r="F2155" s="5">
        <f>IFERROR(__xludf.DUMMYFUNCTION("""COMPUTED_VALUE"""),0.22288438617401668)</f>
        <v>0.2228843862</v>
      </c>
      <c r="G2155" s="5">
        <f>IFERROR(__xludf.DUMMYFUNCTION("""COMPUTED_VALUE"""),0.17532777115613826)</f>
        <v>0.1753277712</v>
      </c>
      <c r="H2155" s="5">
        <f>IFERROR(__xludf.DUMMYFUNCTION("""COMPUTED_VALUE"""),0.5855614973262032)</f>
        <v>0.5855614973</v>
      </c>
      <c r="I2155" s="11">
        <f>IFERROR(__xludf.DUMMYFUNCTION("""COMPUTED_VALUE"""),5624.117647058823)</f>
        <v>5624.117647</v>
      </c>
      <c r="J2155" s="10">
        <f>IFERROR(__xludf.DUMMYFUNCTION("""COMPUTED_VALUE"""),0.0)</f>
        <v>0</v>
      </c>
      <c r="K2155" s="5">
        <f>IFERROR(__xludf.DUMMYFUNCTION("""COMPUTED_VALUE"""),0.0)</f>
        <v>0</v>
      </c>
      <c r="L2155" s="10">
        <f>IFERROR(__xludf.DUMMYFUNCTION("""COMPUTED_VALUE"""),0.0)</f>
        <v>0</v>
      </c>
      <c r="M2155" s="5">
        <f>IFERROR(__xludf.DUMMYFUNCTION("""COMPUTED_VALUE"""),0.0)</f>
        <v>0</v>
      </c>
    </row>
    <row r="2156">
      <c r="A2156" s="10" t="str">
        <f>IFERROR(__xludf.DUMMYFUNCTION("""COMPUTED_VALUE"""),"スティア")</f>
        <v>スティア</v>
      </c>
      <c r="B2156" s="10">
        <f>IFERROR(__xludf.DUMMYFUNCTION("""COMPUTED_VALUE"""),3183.0)</f>
        <v>3183</v>
      </c>
      <c r="C2156" s="10">
        <f>IFERROR(__xludf.DUMMYFUNCTION("""COMPUTED_VALUE"""),37071.0)</f>
        <v>37071</v>
      </c>
      <c r="D2156" s="5">
        <f>IFERROR(__xludf.DUMMYFUNCTION("""COMPUTED_VALUE"""),0.3423335694050991)</f>
        <v>0.3423335694</v>
      </c>
      <c r="E2156" s="5">
        <f>IFERROR(__xludf.DUMMYFUNCTION("""COMPUTED_VALUE"""),0.13134442870632673)</f>
        <v>0.1313444287</v>
      </c>
      <c r="F2156" s="5">
        <f>IFERROR(__xludf.DUMMYFUNCTION("""COMPUTED_VALUE"""),0.21093012275731823)</f>
        <v>0.2109301228</v>
      </c>
      <c r="G2156" s="5">
        <f>IFERROR(__xludf.DUMMYFUNCTION("""COMPUTED_VALUE"""),0.17923748819641172)</f>
        <v>0.1792374882</v>
      </c>
      <c r="H2156" s="5">
        <f>IFERROR(__xludf.DUMMYFUNCTION("""COMPUTED_VALUE"""),0.5878567431449356)</f>
        <v>0.5878567431</v>
      </c>
      <c r="I2156" s="11">
        <f>IFERROR(__xludf.DUMMYFUNCTION("""COMPUTED_VALUE"""),5750.811415780638)</f>
        <v>5750.811416</v>
      </c>
      <c r="J2156" s="10">
        <f>IFERROR(__xludf.DUMMYFUNCTION("""COMPUTED_VALUE"""),2.0)</f>
        <v>2</v>
      </c>
      <c r="K2156" s="5">
        <f>IFERROR(__xludf.DUMMYFUNCTION("""COMPUTED_VALUE"""),6.283380458686773E-4)</f>
        <v>0.0006283380459</v>
      </c>
      <c r="L2156" s="10">
        <f>IFERROR(__xludf.DUMMYFUNCTION("""COMPUTED_VALUE"""),3183.0)</f>
        <v>3183</v>
      </c>
      <c r="M2156" s="5">
        <f>IFERROR(__xludf.DUMMYFUNCTION("""COMPUTED_VALUE"""),1.0)</f>
        <v>1</v>
      </c>
    </row>
    <row r="2157">
      <c r="A2157" s="10" t="str">
        <f>IFERROR(__xludf.DUMMYFUNCTION("""COMPUTED_VALUE"""),"なっきり")</f>
        <v>なっきり</v>
      </c>
      <c r="B2157" s="10">
        <f>IFERROR(__xludf.DUMMYFUNCTION("""COMPUTED_VALUE"""),903.0)</f>
        <v>903</v>
      </c>
      <c r="C2157" s="10">
        <f>IFERROR(__xludf.DUMMYFUNCTION("""COMPUTED_VALUE"""),10725.0)</f>
        <v>10725</v>
      </c>
      <c r="D2157" s="5">
        <f>IFERROR(__xludf.DUMMYFUNCTION("""COMPUTED_VALUE"""),0.4376908979841173)</f>
        <v>0.437690898</v>
      </c>
      <c r="E2157" s="5">
        <f>IFERROR(__xludf.DUMMYFUNCTION("""COMPUTED_VALUE"""),0.13133781307269396)</f>
        <v>0.1313378131</v>
      </c>
      <c r="F2157" s="5">
        <f>IFERROR(__xludf.DUMMYFUNCTION("""COMPUTED_VALUE"""),0.21604561189167176)</f>
        <v>0.2160456119</v>
      </c>
      <c r="G2157" s="5">
        <f>IFERROR(__xludf.DUMMYFUNCTION("""COMPUTED_VALUE"""),0.1509875789045001)</f>
        <v>0.1509875789</v>
      </c>
      <c r="H2157" s="5">
        <f>IFERROR(__xludf.DUMMYFUNCTION("""COMPUTED_VALUE"""),0.5994344957587182)</f>
        <v>0.5994344958</v>
      </c>
      <c r="I2157" s="11">
        <f>IFERROR(__xludf.DUMMYFUNCTION("""COMPUTED_VALUE"""),5237.51178133836)</f>
        <v>5237.511781</v>
      </c>
      <c r="J2157" s="10">
        <f>IFERROR(__xludf.DUMMYFUNCTION("""COMPUTED_VALUE"""),3.0)</f>
        <v>3</v>
      </c>
      <c r="K2157" s="5">
        <f>IFERROR(__xludf.DUMMYFUNCTION("""COMPUTED_VALUE"""),0.0033222591362126247)</f>
        <v>0.003322259136</v>
      </c>
      <c r="L2157" s="10">
        <f>IFERROR(__xludf.DUMMYFUNCTION("""COMPUTED_VALUE"""),903.0)</f>
        <v>903</v>
      </c>
      <c r="M2157" s="5">
        <f>IFERROR(__xludf.DUMMYFUNCTION("""COMPUTED_VALUE"""),1.0)</f>
        <v>1</v>
      </c>
    </row>
    <row r="2158">
      <c r="A2158" s="10" t="str">
        <f>IFERROR(__xludf.DUMMYFUNCTION("""COMPUTED_VALUE"""),"japi00")</f>
        <v>japi00</v>
      </c>
      <c r="B2158" s="10">
        <f>IFERROR(__xludf.DUMMYFUNCTION("""COMPUTED_VALUE"""),129.0)</f>
        <v>129</v>
      </c>
      <c r="C2158" s="10">
        <f>IFERROR(__xludf.DUMMYFUNCTION("""COMPUTED_VALUE"""),1530.0)</f>
        <v>1530</v>
      </c>
      <c r="D2158" s="5">
        <f>IFERROR(__xludf.DUMMYFUNCTION("""COMPUTED_VALUE"""),0.4125624553890079)</f>
        <v>0.4125624554</v>
      </c>
      <c r="E2158" s="5">
        <f>IFERROR(__xludf.DUMMYFUNCTION("""COMPUTED_VALUE"""),0.13133476088508209)</f>
        <v>0.1313347609</v>
      </c>
      <c r="F2158" s="5">
        <f>IFERROR(__xludf.DUMMYFUNCTION("""COMPUTED_VALUE"""),0.21484653818700927)</f>
        <v>0.2148465382</v>
      </c>
      <c r="G2158" s="5">
        <f>IFERROR(__xludf.DUMMYFUNCTION("""COMPUTED_VALUE"""),0.14489650249821556)</f>
        <v>0.1448965025</v>
      </c>
      <c r="H2158" s="5">
        <f>IFERROR(__xludf.DUMMYFUNCTION("""COMPUTED_VALUE"""),0.6179401993355482)</f>
        <v>0.6179401993</v>
      </c>
      <c r="I2158" s="11">
        <f>IFERROR(__xludf.DUMMYFUNCTION("""COMPUTED_VALUE"""),5035.215946843854)</f>
        <v>5035.215947</v>
      </c>
      <c r="J2158" s="10">
        <f>IFERROR(__xludf.DUMMYFUNCTION("""COMPUTED_VALUE"""),0.0)</f>
        <v>0</v>
      </c>
      <c r="K2158" s="5">
        <f>IFERROR(__xludf.DUMMYFUNCTION("""COMPUTED_VALUE"""),0.0)</f>
        <v>0</v>
      </c>
      <c r="L2158" s="10">
        <f>IFERROR(__xludf.DUMMYFUNCTION("""COMPUTED_VALUE"""),129.0)</f>
        <v>129</v>
      </c>
      <c r="M2158" s="5">
        <f>IFERROR(__xludf.DUMMYFUNCTION("""COMPUTED_VALUE"""),1.0)</f>
        <v>1</v>
      </c>
    </row>
    <row r="2159">
      <c r="A2159" s="10" t="str">
        <f>IFERROR(__xludf.DUMMYFUNCTION("""COMPUTED_VALUE"""),"kuper")</f>
        <v>kuper</v>
      </c>
      <c r="B2159" s="10">
        <f>IFERROR(__xludf.DUMMYFUNCTION("""COMPUTED_VALUE"""),543.0)</f>
        <v>543</v>
      </c>
      <c r="C2159" s="10">
        <f>IFERROR(__xludf.DUMMYFUNCTION("""COMPUTED_VALUE"""),6513.0)</f>
        <v>6513</v>
      </c>
      <c r="D2159" s="5">
        <f>IFERROR(__xludf.DUMMYFUNCTION("""COMPUTED_VALUE"""),0.33467336683417087)</f>
        <v>0.3346733668</v>
      </c>
      <c r="E2159" s="5">
        <f>IFERROR(__xludf.DUMMYFUNCTION("""COMPUTED_VALUE"""),0.13132328308207705)</f>
        <v>0.1313232831</v>
      </c>
      <c r="F2159" s="5">
        <f>IFERROR(__xludf.DUMMYFUNCTION("""COMPUTED_VALUE"""),0.20301507537688443)</f>
        <v>0.2030150754</v>
      </c>
      <c r="G2159" s="5">
        <f>IFERROR(__xludf.DUMMYFUNCTION("""COMPUTED_VALUE"""),0.17889447236180905)</f>
        <v>0.1788944724</v>
      </c>
      <c r="H2159" s="5">
        <f>IFERROR(__xludf.DUMMYFUNCTION("""COMPUTED_VALUE"""),0.5808580858085809)</f>
        <v>0.5808580858</v>
      </c>
      <c r="I2159" s="11">
        <f>IFERROR(__xludf.DUMMYFUNCTION("""COMPUTED_VALUE"""),5606.600660066007)</f>
        <v>5606.60066</v>
      </c>
      <c r="J2159" s="10">
        <f>IFERROR(__xludf.DUMMYFUNCTION("""COMPUTED_VALUE"""),1.0)</f>
        <v>1</v>
      </c>
      <c r="K2159" s="5">
        <f>IFERROR(__xludf.DUMMYFUNCTION("""COMPUTED_VALUE"""),0.001841620626151013)</f>
        <v>0.001841620626</v>
      </c>
      <c r="L2159" s="10">
        <f>IFERROR(__xludf.DUMMYFUNCTION("""COMPUTED_VALUE"""),543.0)</f>
        <v>543</v>
      </c>
      <c r="M2159" s="5">
        <f>IFERROR(__xludf.DUMMYFUNCTION("""COMPUTED_VALUE"""),1.0)</f>
        <v>1</v>
      </c>
    </row>
    <row r="2160">
      <c r="A2160" s="10" t="str">
        <f>IFERROR(__xludf.DUMMYFUNCTION("""COMPUTED_VALUE"""),"言葉と物")</f>
        <v>言葉と物</v>
      </c>
      <c r="B2160" s="10">
        <f>IFERROR(__xludf.DUMMYFUNCTION("""COMPUTED_VALUE"""),706.0)</f>
        <v>706</v>
      </c>
      <c r="C2160" s="10">
        <f>IFERROR(__xludf.DUMMYFUNCTION("""COMPUTED_VALUE"""),8291.0)</f>
        <v>8291</v>
      </c>
      <c r="D2160" s="5">
        <f>IFERROR(__xludf.DUMMYFUNCTION("""COMPUTED_VALUE"""),0.3985497692814766)</f>
        <v>0.3985497693</v>
      </c>
      <c r="E2160" s="5">
        <f>IFERROR(__xludf.DUMMYFUNCTION("""COMPUTED_VALUE"""),0.13131179960448253)</f>
        <v>0.1313117996</v>
      </c>
      <c r="F2160" s="5">
        <f>IFERROR(__xludf.DUMMYFUNCTION("""COMPUTED_VALUE"""),0.21608437705998682)</f>
        <v>0.2160843771</v>
      </c>
      <c r="G2160" s="5">
        <f>IFERROR(__xludf.DUMMYFUNCTION("""COMPUTED_VALUE"""),0.15543836519446275)</f>
        <v>0.1554383652</v>
      </c>
      <c r="H2160" s="5">
        <f>IFERROR(__xludf.DUMMYFUNCTION("""COMPUTED_VALUE"""),0.6046369737644905)</f>
        <v>0.6046369738</v>
      </c>
      <c r="I2160" s="11">
        <f>IFERROR(__xludf.DUMMYFUNCTION("""COMPUTED_VALUE"""),5727.943868212325)</f>
        <v>5727.943868</v>
      </c>
      <c r="J2160" s="10">
        <f>IFERROR(__xludf.DUMMYFUNCTION("""COMPUTED_VALUE"""),4.0)</f>
        <v>4</v>
      </c>
      <c r="K2160" s="5">
        <f>IFERROR(__xludf.DUMMYFUNCTION("""COMPUTED_VALUE"""),0.0056657223796034)</f>
        <v>0.00566572238</v>
      </c>
      <c r="L2160" s="10">
        <f>IFERROR(__xludf.DUMMYFUNCTION("""COMPUTED_VALUE"""),706.0)</f>
        <v>706</v>
      </c>
      <c r="M2160" s="5">
        <f>IFERROR(__xludf.DUMMYFUNCTION("""COMPUTED_VALUE"""),1.0)</f>
        <v>1</v>
      </c>
    </row>
    <row r="2161">
      <c r="A2161" s="10" t="str">
        <f>IFERROR(__xludf.DUMMYFUNCTION("""COMPUTED_VALUE"""),"いたヒロ")</f>
        <v>いたヒロ</v>
      </c>
      <c r="B2161" s="10">
        <f>IFERROR(__xludf.DUMMYFUNCTION("""COMPUTED_VALUE"""),4386.0)</f>
        <v>4386</v>
      </c>
      <c r="C2161" s="10">
        <f>IFERROR(__xludf.DUMMYFUNCTION("""COMPUTED_VALUE"""),51289.0)</f>
        <v>51289</v>
      </c>
      <c r="D2161" s="5">
        <f>IFERROR(__xludf.DUMMYFUNCTION("""COMPUTED_VALUE"""),0.23516619406008143)</f>
        <v>0.2351661941</v>
      </c>
      <c r="E2161" s="5">
        <f>IFERROR(__xludf.DUMMYFUNCTION("""COMPUTED_VALUE"""),0.1312922414344498)</f>
        <v>0.1312922414</v>
      </c>
      <c r="F2161" s="5">
        <f>IFERROR(__xludf.DUMMYFUNCTION("""COMPUTED_VALUE"""),0.20804639362087712)</f>
        <v>0.2080463936</v>
      </c>
      <c r="G2161" s="5">
        <f>IFERROR(__xludf.DUMMYFUNCTION("""COMPUTED_VALUE"""),0.16395539730934056)</f>
        <v>0.1639553973</v>
      </c>
      <c r="H2161" s="5">
        <f>IFERROR(__xludf.DUMMYFUNCTION("""COMPUTED_VALUE"""),0.6003279360524698)</f>
        <v>0.6003279361</v>
      </c>
      <c r="I2161" s="11">
        <f>IFERROR(__xludf.DUMMYFUNCTION("""COMPUTED_VALUE"""),5856.159048985448)</f>
        <v>5856.159049</v>
      </c>
      <c r="J2161" s="10">
        <f>IFERROR(__xludf.DUMMYFUNCTION("""COMPUTED_VALUE"""),9.0)</f>
        <v>9</v>
      </c>
      <c r="K2161" s="5">
        <f>IFERROR(__xludf.DUMMYFUNCTION("""COMPUTED_VALUE"""),0.002051983584131327)</f>
        <v>0.002051983584</v>
      </c>
      <c r="L2161" s="10">
        <f>IFERROR(__xludf.DUMMYFUNCTION("""COMPUTED_VALUE"""),4386.0)</f>
        <v>4386</v>
      </c>
      <c r="M2161" s="5">
        <f>IFERROR(__xludf.DUMMYFUNCTION("""COMPUTED_VALUE"""),1.0)</f>
        <v>1</v>
      </c>
    </row>
    <row r="2162">
      <c r="A2162" s="10" t="str">
        <f>IFERROR(__xludf.DUMMYFUNCTION("""COMPUTED_VALUE"""),"白霊夢")</f>
        <v>白霊夢</v>
      </c>
      <c r="B2162" s="10">
        <f>IFERROR(__xludf.DUMMYFUNCTION("""COMPUTED_VALUE"""),399.0)</f>
        <v>399</v>
      </c>
      <c r="C2162" s="10">
        <f>IFERROR(__xludf.DUMMYFUNCTION("""COMPUTED_VALUE"""),4695.0)</f>
        <v>4695</v>
      </c>
      <c r="D2162" s="5">
        <f>IFERROR(__xludf.DUMMYFUNCTION("""COMPUTED_VALUE"""),0.3852420856610801)</f>
        <v>0.3852420857</v>
      </c>
      <c r="E2162" s="5">
        <f>IFERROR(__xludf.DUMMYFUNCTION("""COMPUTED_VALUE"""),0.13128491620111732)</f>
        <v>0.1312849162</v>
      </c>
      <c r="F2162" s="5">
        <f>IFERROR(__xludf.DUMMYFUNCTION("""COMPUTED_VALUE"""),0.20786778398510242)</f>
        <v>0.207867784</v>
      </c>
      <c r="G2162" s="5">
        <f>IFERROR(__xludf.DUMMYFUNCTION("""COMPUTED_VALUE"""),0.1776070763500931)</f>
        <v>0.1776070764</v>
      </c>
      <c r="H2162" s="5">
        <f>IFERROR(__xludf.DUMMYFUNCTION("""COMPUTED_VALUE"""),0.5957446808510638)</f>
        <v>0.5957446809</v>
      </c>
      <c r="I2162" s="11">
        <f>IFERROR(__xludf.DUMMYFUNCTION("""COMPUTED_VALUE"""),5991.713325867861)</f>
        <v>5991.713326</v>
      </c>
      <c r="J2162" s="10">
        <f>IFERROR(__xludf.DUMMYFUNCTION("""COMPUTED_VALUE"""),0.0)</f>
        <v>0</v>
      </c>
      <c r="K2162" s="5">
        <f>IFERROR(__xludf.DUMMYFUNCTION("""COMPUTED_VALUE"""),0.0)</f>
        <v>0</v>
      </c>
      <c r="L2162" s="10">
        <f>IFERROR(__xludf.DUMMYFUNCTION("""COMPUTED_VALUE"""),160.0)</f>
        <v>160</v>
      </c>
      <c r="M2162" s="5">
        <f>IFERROR(__xludf.DUMMYFUNCTION("""COMPUTED_VALUE"""),0.40100250626566414)</f>
        <v>0.4010025063</v>
      </c>
    </row>
    <row r="2163">
      <c r="A2163" s="10" t="str">
        <f>IFERROR(__xludf.DUMMYFUNCTION("""COMPUTED_VALUE"""),"自由なあひる")</f>
        <v>自由なあひる</v>
      </c>
      <c r="B2163" s="10">
        <f>IFERROR(__xludf.DUMMYFUNCTION("""COMPUTED_VALUE"""),271.0)</f>
        <v>271</v>
      </c>
      <c r="C2163" s="10">
        <f>IFERROR(__xludf.DUMMYFUNCTION("""COMPUTED_VALUE"""),3097.0)</f>
        <v>3097</v>
      </c>
      <c r="D2163" s="5">
        <f>IFERROR(__xludf.DUMMYFUNCTION("""COMPUTED_VALUE"""),0.33828733191790517)</f>
        <v>0.3382873319</v>
      </c>
      <c r="E2163" s="5">
        <f>IFERROR(__xludf.DUMMYFUNCTION("""COMPUTED_VALUE"""),0.13128096249115356)</f>
        <v>0.1312809625</v>
      </c>
      <c r="F2163" s="5">
        <f>IFERROR(__xludf.DUMMYFUNCTION("""COMPUTED_VALUE"""),0.19532908704883228)</f>
        <v>0.195329087</v>
      </c>
      <c r="G2163" s="5">
        <f>IFERROR(__xludf.DUMMYFUNCTION("""COMPUTED_VALUE"""),0.17657466383581033)</f>
        <v>0.1765746638</v>
      </c>
      <c r="H2163" s="5">
        <f>IFERROR(__xludf.DUMMYFUNCTION("""COMPUTED_VALUE"""),0.5960144927536232)</f>
        <v>0.5960144928</v>
      </c>
      <c r="I2163" s="11">
        <f>IFERROR(__xludf.DUMMYFUNCTION("""COMPUTED_VALUE"""),6026.449275362319)</f>
        <v>6026.449275</v>
      </c>
      <c r="J2163" s="10">
        <f>IFERROR(__xludf.DUMMYFUNCTION("""COMPUTED_VALUE"""),1.0)</f>
        <v>1</v>
      </c>
      <c r="K2163" s="5">
        <f>IFERROR(__xludf.DUMMYFUNCTION("""COMPUTED_VALUE"""),0.0036900369003690036)</f>
        <v>0.0036900369</v>
      </c>
      <c r="L2163" s="10">
        <f>IFERROR(__xludf.DUMMYFUNCTION("""COMPUTED_VALUE"""),271.0)</f>
        <v>271</v>
      </c>
      <c r="M2163" s="5">
        <f>IFERROR(__xludf.DUMMYFUNCTION("""COMPUTED_VALUE"""),1.0)</f>
        <v>1</v>
      </c>
    </row>
    <row r="2164">
      <c r="A2164" s="10" t="str">
        <f>IFERROR(__xludf.DUMMYFUNCTION("""COMPUTED_VALUE"""),"点草独歩")</f>
        <v>点草独歩</v>
      </c>
      <c r="B2164" s="10">
        <f>IFERROR(__xludf.DUMMYFUNCTION("""COMPUTED_VALUE"""),832.0)</f>
        <v>832</v>
      </c>
      <c r="C2164" s="10">
        <f>IFERROR(__xludf.DUMMYFUNCTION("""COMPUTED_VALUE"""),9752.0)</f>
        <v>9752</v>
      </c>
      <c r="D2164" s="5">
        <f>IFERROR(__xludf.DUMMYFUNCTION("""COMPUTED_VALUE"""),0.37993273542600897)</f>
        <v>0.3799327354</v>
      </c>
      <c r="E2164" s="5">
        <f>IFERROR(__xludf.DUMMYFUNCTION("""COMPUTED_VALUE"""),0.1312780269058296)</f>
        <v>0.1312780269</v>
      </c>
      <c r="F2164" s="5">
        <f>IFERROR(__xludf.DUMMYFUNCTION("""COMPUTED_VALUE"""),0.20896860986547086)</f>
        <v>0.2089686099</v>
      </c>
      <c r="G2164" s="5">
        <f>IFERROR(__xludf.DUMMYFUNCTION("""COMPUTED_VALUE"""),0.1672645739910314)</f>
        <v>0.167264574</v>
      </c>
      <c r="H2164" s="5">
        <f>IFERROR(__xludf.DUMMYFUNCTION("""COMPUTED_VALUE"""),0.5976394849785408)</f>
        <v>0.597639485</v>
      </c>
      <c r="I2164" s="11">
        <f>IFERROR(__xludf.DUMMYFUNCTION("""COMPUTED_VALUE"""),5751.502145922746)</f>
        <v>5751.502146</v>
      </c>
      <c r="J2164" s="10">
        <f>IFERROR(__xludf.DUMMYFUNCTION("""COMPUTED_VALUE"""),3.0)</f>
        <v>3</v>
      </c>
      <c r="K2164" s="5">
        <f>IFERROR(__xludf.DUMMYFUNCTION("""COMPUTED_VALUE"""),0.003605769230769231)</f>
        <v>0.003605769231</v>
      </c>
      <c r="L2164" s="10">
        <f>IFERROR(__xludf.DUMMYFUNCTION("""COMPUTED_VALUE"""),494.0)</f>
        <v>494</v>
      </c>
      <c r="M2164" s="5">
        <f>IFERROR(__xludf.DUMMYFUNCTION("""COMPUTED_VALUE"""),0.59375)</f>
        <v>0.59375</v>
      </c>
    </row>
    <row r="2165">
      <c r="A2165" s="10" t="str">
        <f>IFERROR(__xludf.DUMMYFUNCTION("""COMPUTED_VALUE"""),"大正義野球娘")</f>
        <v>大正義野球娘</v>
      </c>
      <c r="B2165" s="10">
        <f>IFERROR(__xludf.DUMMYFUNCTION("""COMPUTED_VALUE"""),1338.0)</f>
        <v>1338</v>
      </c>
      <c r="C2165" s="10">
        <f>IFERROR(__xludf.DUMMYFUNCTION("""COMPUTED_VALUE"""),15743.0)</f>
        <v>15743</v>
      </c>
      <c r="D2165" s="5">
        <f>IFERROR(__xludf.DUMMYFUNCTION("""COMPUTED_VALUE"""),0.3828531759805623)</f>
        <v>0.382853176</v>
      </c>
      <c r="E2165" s="5">
        <f>IFERROR(__xludf.DUMMYFUNCTION("""COMPUTED_VALUE"""),0.13127386324192988)</f>
        <v>0.1312738632</v>
      </c>
      <c r="F2165" s="5">
        <f>IFERROR(__xludf.DUMMYFUNCTION("""COMPUTED_VALUE"""),0.23061437001041304)</f>
        <v>0.23061437</v>
      </c>
      <c r="G2165" s="5">
        <f>IFERROR(__xludf.DUMMYFUNCTION("""COMPUTED_VALUE"""),0.1730649080180493)</f>
        <v>0.173064908</v>
      </c>
      <c r="H2165" s="5">
        <f>IFERROR(__xludf.DUMMYFUNCTION("""COMPUTED_VALUE"""),0.607164358819988)</f>
        <v>0.6071643588</v>
      </c>
      <c r="I2165" s="11">
        <f>IFERROR(__xludf.DUMMYFUNCTION("""COMPUTED_VALUE"""),5250.030102347983)</f>
        <v>5250.030102</v>
      </c>
      <c r="J2165" s="10">
        <f>IFERROR(__xludf.DUMMYFUNCTION("""COMPUTED_VALUE"""),3.0)</f>
        <v>3</v>
      </c>
      <c r="K2165" s="5">
        <f>IFERROR(__xludf.DUMMYFUNCTION("""COMPUTED_VALUE"""),0.002242152466367713)</f>
        <v>0.002242152466</v>
      </c>
      <c r="L2165" s="10">
        <f>IFERROR(__xludf.DUMMYFUNCTION("""COMPUTED_VALUE"""),222.0)</f>
        <v>222</v>
      </c>
      <c r="M2165" s="5">
        <f>IFERROR(__xludf.DUMMYFUNCTION("""COMPUTED_VALUE"""),0.16591928251121077)</f>
        <v>0.1659192825</v>
      </c>
    </row>
    <row r="2166">
      <c r="A2166" s="10" t="str">
        <f>IFERROR(__xludf.DUMMYFUNCTION("""COMPUTED_VALUE"""),"村元プロ（仮）")</f>
        <v>村元プロ（仮）</v>
      </c>
      <c r="B2166" s="10">
        <f>IFERROR(__xludf.DUMMYFUNCTION("""COMPUTED_VALUE"""),700.0)</f>
        <v>700</v>
      </c>
      <c r="C2166" s="10">
        <f>IFERROR(__xludf.DUMMYFUNCTION("""COMPUTED_VALUE"""),8333.0)</f>
        <v>8333</v>
      </c>
      <c r="D2166" s="5">
        <f>IFERROR(__xludf.DUMMYFUNCTION("""COMPUTED_VALUE"""),0.34272238962400103)</f>
        <v>0.3427223896</v>
      </c>
      <c r="E2166" s="5">
        <f>IFERROR(__xludf.DUMMYFUNCTION("""COMPUTED_VALUE"""),0.13127210795231234)</f>
        <v>0.131272108</v>
      </c>
      <c r="F2166" s="5">
        <f>IFERROR(__xludf.DUMMYFUNCTION("""COMPUTED_VALUE"""),0.20411371675619022)</f>
        <v>0.2041137168</v>
      </c>
      <c r="G2166" s="5">
        <f>IFERROR(__xludf.DUMMYFUNCTION("""COMPUTED_VALUE"""),0.141228874623346)</f>
        <v>0.1412288746</v>
      </c>
      <c r="H2166" s="5">
        <f>IFERROR(__xludf.DUMMYFUNCTION("""COMPUTED_VALUE"""),0.5962772785622593)</f>
        <v>0.5962772786</v>
      </c>
      <c r="I2166" s="11">
        <f>IFERROR(__xludf.DUMMYFUNCTION("""COMPUTED_VALUE"""),5661.424903722722)</f>
        <v>5661.424904</v>
      </c>
      <c r="J2166" s="10">
        <f>IFERROR(__xludf.DUMMYFUNCTION("""COMPUTED_VALUE"""),2.0)</f>
        <v>2</v>
      </c>
      <c r="K2166" s="5">
        <f>IFERROR(__xludf.DUMMYFUNCTION("""COMPUTED_VALUE"""),0.002857142857142857)</f>
        <v>0.002857142857</v>
      </c>
      <c r="L2166" s="10">
        <f>IFERROR(__xludf.DUMMYFUNCTION("""COMPUTED_VALUE"""),700.0)</f>
        <v>700</v>
      </c>
      <c r="M2166" s="5">
        <f>IFERROR(__xludf.DUMMYFUNCTION("""COMPUTED_VALUE"""),1.0)</f>
        <v>1</v>
      </c>
    </row>
    <row r="2167">
      <c r="A2167" s="10" t="str">
        <f>IFERROR(__xludf.DUMMYFUNCTION("""COMPUTED_VALUE"""),"okaeri")</f>
        <v>okaeri</v>
      </c>
      <c r="B2167" s="10">
        <f>IFERROR(__xludf.DUMMYFUNCTION("""COMPUTED_VALUE"""),1103.0)</f>
        <v>1103</v>
      </c>
      <c r="C2167" s="10">
        <f>IFERROR(__xludf.DUMMYFUNCTION("""COMPUTED_VALUE"""),13034.0)</f>
        <v>13034</v>
      </c>
      <c r="D2167" s="5">
        <f>IFERROR(__xludf.DUMMYFUNCTION("""COMPUTED_VALUE"""),0.36090855753918366)</f>
        <v>0.3609085575</v>
      </c>
      <c r="E2167" s="5">
        <f>IFERROR(__xludf.DUMMYFUNCTION("""COMPUTED_VALUE"""),0.13125471460900176)</f>
        <v>0.1312547146</v>
      </c>
      <c r="F2167" s="5">
        <f>IFERROR(__xludf.DUMMYFUNCTION("""COMPUTED_VALUE"""),0.20476070740088845)</f>
        <v>0.2047607074</v>
      </c>
      <c r="G2167" s="5">
        <f>IFERROR(__xludf.DUMMYFUNCTION("""COMPUTED_VALUE"""),0.17685022211046852)</f>
        <v>0.1768502221</v>
      </c>
      <c r="H2167" s="5">
        <f>IFERROR(__xludf.DUMMYFUNCTION("""COMPUTED_VALUE"""),0.579615227179697)</f>
        <v>0.5796152272</v>
      </c>
      <c r="I2167" s="11">
        <f>IFERROR(__xludf.DUMMYFUNCTION("""COMPUTED_VALUE"""),5603.438395415473)</f>
        <v>5603.438395</v>
      </c>
      <c r="J2167" s="10">
        <f>IFERROR(__xludf.DUMMYFUNCTION("""COMPUTED_VALUE"""),5.0)</f>
        <v>5</v>
      </c>
      <c r="K2167" s="5">
        <f>IFERROR(__xludf.DUMMYFUNCTION("""COMPUTED_VALUE"""),0.004533091568449683)</f>
        <v>0.004533091568</v>
      </c>
      <c r="L2167" s="10">
        <f>IFERROR(__xludf.DUMMYFUNCTION("""COMPUTED_VALUE"""),0.0)</f>
        <v>0</v>
      </c>
      <c r="M2167" s="5">
        <f>IFERROR(__xludf.DUMMYFUNCTION("""COMPUTED_VALUE"""),0.0)</f>
        <v>0</v>
      </c>
    </row>
    <row r="2168">
      <c r="A2168" s="10" t="str">
        <f>IFERROR(__xludf.DUMMYFUNCTION("""COMPUTED_VALUE"""),"水星X")</f>
        <v>水星X</v>
      </c>
      <c r="B2168" s="10">
        <f>IFERROR(__xludf.DUMMYFUNCTION("""COMPUTED_VALUE"""),629.0)</f>
        <v>629</v>
      </c>
      <c r="C2168" s="10">
        <f>IFERROR(__xludf.DUMMYFUNCTION("""COMPUTED_VALUE"""),7464.0)</f>
        <v>7464</v>
      </c>
      <c r="D2168" s="5">
        <f>IFERROR(__xludf.DUMMYFUNCTION("""COMPUTED_VALUE"""),0.32889539136795903)</f>
        <v>0.3288953914</v>
      </c>
      <c r="E2168" s="5">
        <f>IFERROR(__xludf.DUMMYFUNCTION("""COMPUTED_VALUE"""),0.13123628383321143)</f>
        <v>0.1312362838</v>
      </c>
      <c r="F2168" s="5">
        <f>IFERROR(__xludf.DUMMYFUNCTION("""COMPUTED_VALUE"""),0.2077542062911485)</f>
        <v>0.2077542063</v>
      </c>
      <c r="G2168" s="5">
        <f>IFERROR(__xludf.DUMMYFUNCTION("""COMPUTED_VALUE"""),0.1739575713240673)</f>
        <v>0.1739575713</v>
      </c>
      <c r="H2168" s="5">
        <f>IFERROR(__xludf.DUMMYFUNCTION("""COMPUTED_VALUE"""),0.5859154929577465)</f>
        <v>0.585915493</v>
      </c>
      <c r="I2168" s="11">
        <f>IFERROR(__xludf.DUMMYFUNCTION("""COMPUTED_VALUE"""),5738.943661971831)</f>
        <v>5738.943662</v>
      </c>
      <c r="J2168" s="10">
        <f>IFERROR(__xludf.DUMMYFUNCTION("""COMPUTED_VALUE"""),3.0)</f>
        <v>3</v>
      </c>
      <c r="K2168" s="5">
        <f>IFERROR(__xludf.DUMMYFUNCTION("""COMPUTED_VALUE"""),0.0047694753577106515)</f>
        <v>0.004769475358</v>
      </c>
      <c r="L2168" s="10">
        <f>IFERROR(__xludf.DUMMYFUNCTION("""COMPUTED_VALUE"""),629.0)</f>
        <v>629</v>
      </c>
      <c r="M2168" s="5">
        <f>IFERROR(__xludf.DUMMYFUNCTION("""COMPUTED_VALUE"""),1.0)</f>
        <v>1</v>
      </c>
    </row>
    <row r="2169">
      <c r="A2169" s="10" t="str">
        <f>IFERROR(__xludf.DUMMYFUNCTION("""COMPUTED_VALUE"""),"巣作りドラゴン")</f>
        <v>巣作りドラゴン</v>
      </c>
      <c r="B2169" s="10">
        <f>IFERROR(__xludf.DUMMYFUNCTION("""COMPUTED_VALUE"""),197.0)</f>
        <v>197</v>
      </c>
      <c r="C2169" s="10">
        <f>IFERROR(__xludf.DUMMYFUNCTION("""COMPUTED_VALUE"""),2323.0)</f>
        <v>2323</v>
      </c>
      <c r="D2169" s="5">
        <f>IFERROR(__xludf.DUMMYFUNCTION("""COMPUTED_VALUE"""),0.39981185324553153)</f>
        <v>0.3998118532</v>
      </c>
      <c r="E2169" s="5">
        <f>IFERROR(__xludf.DUMMYFUNCTION("""COMPUTED_VALUE"""),0.13123236124176857)</f>
        <v>0.1312323612</v>
      </c>
      <c r="F2169" s="5">
        <f>IFERROR(__xludf.DUMMYFUNCTION("""COMPUTED_VALUE"""),0.21025399811853246)</f>
        <v>0.2102539981</v>
      </c>
      <c r="G2169" s="5">
        <f>IFERROR(__xludf.DUMMYFUNCTION("""COMPUTED_VALUE"""),0.18532455315145813)</f>
        <v>0.1853245532</v>
      </c>
      <c r="H2169" s="5">
        <f>IFERROR(__xludf.DUMMYFUNCTION("""COMPUTED_VALUE"""),0.6129753914988815)</f>
        <v>0.6129753915</v>
      </c>
      <c r="I2169" s="11">
        <f>IFERROR(__xludf.DUMMYFUNCTION("""COMPUTED_VALUE"""),5414.988814317673)</f>
        <v>5414.988814</v>
      </c>
      <c r="J2169" s="10">
        <f>IFERROR(__xludf.DUMMYFUNCTION("""COMPUTED_VALUE"""),0.0)</f>
        <v>0</v>
      </c>
      <c r="K2169" s="5">
        <f>IFERROR(__xludf.DUMMYFUNCTION("""COMPUTED_VALUE"""),0.0)</f>
        <v>0</v>
      </c>
      <c r="L2169" s="10">
        <f>IFERROR(__xludf.DUMMYFUNCTION("""COMPUTED_VALUE"""),14.0)</f>
        <v>14</v>
      </c>
      <c r="M2169" s="5">
        <f>IFERROR(__xludf.DUMMYFUNCTION("""COMPUTED_VALUE"""),0.07106598984771574)</f>
        <v>0.07106598985</v>
      </c>
    </row>
    <row r="2170">
      <c r="A2170" s="10" t="str">
        <f>IFERROR(__xludf.DUMMYFUNCTION("""COMPUTED_VALUE"""),"陣八")</f>
        <v>陣八</v>
      </c>
      <c r="B2170" s="10">
        <f>IFERROR(__xludf.DUMMYFUNCTION("""COMPUTED_VALUE"""),195.0)</f>
        <v>195</v>
      </c>
      <c r="C2170" s="10">
        <f>IFERROR(__xludf.DUMMYFUNCTION("""COMPUTED_VALUE"""),2321.0)</f>
        <v>2321</v>
      </c>
      <c r="D2170" s="5">
        <f>IFERROR(__xludf.DUMMYFUNCTION("""COMPUTED_VALUE"""),0.4139228598306679)</f>
        <v>0.4139228598</v>
      </c>
      <c r="E2170" s="5">
        <f>IFERROR(__xludf.DUMMYFUNCTION("""COMPUTED_VALUE"""),0.13123236124176857)</f>
        <v>0.1312323612</v>
      </c>
      <c r="F2170" s="5">
        <f>IFERROR(__xludf.DUMMYFUNCTION("""COMPUTED_VALUE"""),0.2154280338664158)</f>
        <v>0.2154280339</v>
      </c>
      <c r="G2170" s="5">
        <f>IFERROR(__xludf.DUMMYFUNCTION("""COMPUTED_VALUE"""),0.1665098777046096)</f>
        <v>0.1665098777</v>
      </c>
      <c r="H2170" s="5">
        <f>IFERROR(__xludf.DUMMYFUNCTION("""COMPUTED_VALUE"""),0.5807860262008734)</f>
        <v>0.5807860262</v>
      </c>
      <c r="I2170" s="11">
        <f>IFERROR(__xludf.DUMMYFUNCTION("""COMPUTED_VALUE"""),5279.694323144105)</f>
        <v>5279.694323</v>
      </c>
      <c r="J2170" s="10">
        <f>IFERROR(__xludf.DUMMYFUNCTION("""COMPUTED_VALUE"""),0.0)</f>
        <v>0</v>
      </c>
      <c r="K2170" s="5">
        <f>IFERROR(__xludf.DUMMYFUNCTION("""COMPUTED_VALUE"""),0.0)</f>
        <v>0</v>
      </c>
      <c r="L2170" s="10">
        <f>IFERROR(__xludf.DUMMYFUNCTION("""COMPUTED_VALUE"""),195.0)</f>
        <v>195</v>
      </c>
      <c r="M2170" s="5">
        <f>IFERROR(__xludf.DUMMYFUNCTION("""COMPUTED_VALUE"""),1.0)</f>
        <v>1</v>
      </c>
    </row>
    <row r="2171">
      <c r="A2171" s="10" t="str">
        <f>IFERROR(__xludf.DUMMYFUNCTION("""COMPUTED_VALUE"""),"フレイムタン")</f>
        <v>フレイムタン</v>
      </c>
      <c r="B2171" s="10">
        <f>IFERROR(__xludf.DUMMYFUNCTION("""COMPUTED_VALUE"""),1410.0)</f>
        <v>1410</v>
      </c>
      <c r="C2171" s="10">
        <f>IFERROR(__xludf.DUMMYFUNCTION("""COMPUTED_VALUE"""),16521.0)</f>
        <v>16521</v>
      </c>
      <c r="D2171" s="5">
        <f>IFERROR(__xludf.DUMMYFUNCTION("""COMPUTED_VALUE"""),0.31295083052081263)</f>
        <v>0.3129508305</v>
      </c>
      <c r="E2171" s="5">
        <f>IFERROR(__xludf.DUMMYFUNCTION("""COMPUTED_VALUE"""),0.13122890609489776)</f>
        <v>0.1312289061</v>
      </c>
      <c r="F2171" s="5">
        <f>IFERROR(__xludf.DUMMYFUNCTION("""COMPUTED_VALUE"""),0.20825888425650188)</f>
        <v>0.2082588843</v>
      </c>
      <c r="G2171" s="5">
        <f>IFERROR(__xludf.DUMMYFUNCTION("""COMPUTED_VALUE"""),0.17285421216332472)</f>
        <v>0.1728542122</v>
      </c>
      <c r="H2171" s="5">
        <f>IFERROR(__xludf.DUMMYFUNCTION("""COMPUTED_VALUE"""),0.5878614553543057)</f>
        <v>0.5878614554</v>
      </c>
      <c r="I2171" s="11">
        <f>IFERROR(__xludf.DUMMYFUNCTION("""COMPUTED_VALUE"""),5772.6406101048615)</f>
        <v>5772.64061</v>
      </c>
      <c r="J2171" s="10">
        <f>IFERROR(__xludf.DUMMYFUNCTION("""COMPUTED_VALUE"""),4.0)</f>
        <v>4</v>
      </c>
      <c r="K2171" s="5">
        <f>IFERROR(__xludf.DUMMYFUNCTION("""COMPUTED_VALUE"""),0.0028368794326241137)</f>
        <v>0.002836879433</v>
      </c>
      <c r="L2171" s="10">
        <f>IFERROR(__xludf.DUMMYFUNCTION("""COMPUTED_VALUE"""),1410.0)</f>
        <v>1410</v>
      </c>
      <c r="M2171" s="5">
        <f>IFERROR(__xludf.DUMMYFUNCTION("""COMPUTED_VALUE"""),1.0)</f>
        <v>1</v>
      </c>
    </row>
    <row r="2172">
      <c r="A2172" s="10" t="str">
        <f>IFERROR(__xludf.DUMMYFUNCTION("""COMPUTED_VALUE"""),"俺達炎上族")</f>
        <v>俺達炎上族</v>
      </c>
      <c r="B2172" s="10">
        <f>IFERROR(__xludf.DUMMYFUNCTION("""COMPUTED_VALUE"""),448.0)</f>
        <v>448</v>
      </c>
      <c r="C2172" s="10">
        <f>IFERROR(__xludf.DUMMYFUNCTION("""COMPUTED_VALUE"""),5287.0)</f>
        <v>5287</v>
      </c>
      <c r="D2172" s="5">
        <f>IFERROR(__xludf.DUMMYFUNCTION("""COMPUTED_VALUE"""),0.34593924364538126)</f>
        <v>0.3459392436</v>
      </c>
      <c r="E2172" s="5">
        <f>IFERROR(__xludf.DUMMYFUNCTION("""COMPUTED_VALUE"""),0.131225459805745)</f>
        <v>0.1312254598</v>
      </c>
      <c r="F2172" s="5">
        <f>IFERROR(__xludf.DUMMYFUNCTION("""COMPUTED_VALUE"""),0.21326720396776194)</f>
        <v>0.213267204</v>
      </c>
      <c r="G2172" s="5">
        <f>IFERROR(__xludf.DUMMYFUNCTION("""COMPUTED_VALUE"""),0.18784872907625544)</f>
        <v>0.1878487291</v>
      </c>
      <c r="H2172" s="5">
        <f>IFERROR(__xludf.DUMMYFUNCTION("""COMPUTED_VALUE"""),0.5746124031007752)</f>
        <v>0.5746124031</v>
      </c>
      <c r="I2172" s="11">
        <f>IFERROR(__xludf.DUMMYFUNCTION("""COMPUTED_VALUE"""),5221.220930232558)</f>
        <v>5221.22093</v>
      </c>
      <c r="J2172" s="10">
        <f>IFERROR(__xludf.DUMMYFUNCTION("""COMPUTED_VALUE"""),3.0)</f>
        <v>3</v>
      </c>
      <c r="K2172" s="5">
        <f>IFERROR(__xludf.DUMMYFUNCTION("""COMPUTED_VALUE"""),0.006696428571428571)</f>
        <v>0.006696428571</v>
      </c>
      <c r="L2172" s="10">
        <f>IFERROR(__xludf.DUMMYFUNCTION("""COMPUTED_VALUE"""),447.0)</f>
        <v>447</v>
      </c>
      <c r="M2172" s="5">
        <f>IFERROR(__xludf.DUMMYFUNCTION("""COMPUTED_VALUE"""),0.9977678571428571)</f>
        <v>0.9977678571</v>
      </c>
    </row>
    <row r="2173">
      <c r="A2173" s="10" t="str">
        <f>IFERROR(__xludf.DUMMYFUNCTION("""COMPUTED_VALUE"""),"キムK")</f>
        <v>キムK</v>
      </c>
      <c r="B2173" s="10">
        <f>IFERROR(__xludf.DUMMYFUNCTION("""COMPUTED_VALUE"""),527.0)</f>
        <v>527</v>
      </c>
      <c r="C2173" s="10">
        <f>IFERROR(__xludf.DUMMYFUNCTION("""COMPUTED_VALUE"""),6174.0)</f>
        <v>6174</v>
      </c>
      <c r="D2173" s="5">
        <f>IFERROR(__xludf.DUMMYFUNCTION("""COMPUTED_VALUE"""),0.2530547193199929)</f>
        <v>0.2530547193</v>
      </c>
      <c r="E2173" s="5">
        <f>IFERROR(__xludf.DUMMYFUNCTION("""COMPUTED_VALUE"""),0.13122011687621746)</f>
        <v>0.1312201169</v>
      </c>
      <c r="F2173" s="5">
        <f>IFERROR(__xludf.DUMMYFUNCTION("""COMPUTED_VALUE"""),0.21303346909863644)</f>
        <v>0.2130334691</v>
      </c>
      <c r="G2173" s="5">
        <f>IFERROR(__xludf.DUMMYFUNCTION("""COMPUTED_VALUE"""),0.15654329732601382)</f>
        <v>0.1565432973</v>
      </c>
      <c r="H2173" s="5">
        <f>IFERROR(__xludf.DUMMYFUNCTION("""COMPUTED_VALUE"""),0.6350789692435578)</f>
        <v>0.6350789692</v>
      </c>
      <c r="I2173" s="11">
        <f>IFERROR(__xludf.DUMMYFUNCTION("""COMPUTED_VALUE"""),5713.632585203657)</f>
        <v>5713.632585</v>
      </c>
      <c r="J2173" s="10">
        <f>IFERROR(__xludf.DUMMYFUNCTION("""COMPUTED_VALUE"""),3.0)</f>
        <v>3</v>
      </c>
      <c r="K2173" s="5">
        <f>IFERROR(__xludf.DUMMYFUNCTION("""COMPUTED_VALUE"""),0.0056925996204933585)</f>
        <v>0.00569259962</v>
      </c>
      <c r="L2173" s="10">
        <f>IFERROR(__xludf.DUMMYFUNCTION("""COMPUTED_VALUE"""),527.0)</f>
        <v>527</v>
      </c>
      <c r="M2173" s="5">
        <f>IFERROR(__xludf.DUMMYFUNCTION("""COMPUTED_VALUE"""),1.0)</f>
        <v>1</v>
      </c>
    </row>
    <row r="2174">
      <c r="A2174" s="10" t="str">
        <f>IFERROR(__xludf.DUMMYFUNCTION("""COMPUTED_VALUE"""),"ばごーん")</f>
        <v>ばごーん</v>
      </c>
      <c r="B2174" s="10">
        <f>IFERROR(__xludf.DUMMYFUNCTION("""COMPUTED_VALUE"""),282.0)</f>
        <v>282</v>
      </c>
      <c r="C2174" s="10">
        <f>IFERROR(__xludf.DUMMYFUNCTION("""COMPUTED_VALUE"""),3277.0)</f>
        <v>3277</v>
      </c>
      <c r="D2174" s="5">
        <f>IFERROR(__xludf.DUMMYFUNCTION("""COMPUTED_VALUE"""),0.3409015025041736)</f>
        <v>0.3409015025</v>
      </c>
      <c r="E2174" s="5">
        <f>IFERROR(__xludf.DUMMYFUNCTION("""COMPUTED_VALUE"""),0.13121869782971618)</f>
        <v>0.1312186978</v>
      </c>
      <c r="F2174" s="5">
        <f>IFERROR(__xludf.DUMMYFUNCTION("""COMPUTED_VALUE"""),0.21101836393989984)</f>
        <v>0.2110183639</v>
      </c>
      <c r="G2174" s="5">
        <f>IFERROR(__xludf.DUMMYFUNCTION("""COMPUTED_VALUE"""),0.194991652754591)</f>
        <v>0.1949916528</v>
      </c>
      <c r="H2174" s="5">
        <f>IFERROR(__xludf.DUMMYFUNCTION("""COMPUTED_VALUE"""),0.5981012658227848)</f>
        <v>0.5981012658</v>
      </c>
      <c r="I2174" s="11">
        <f>IFERROR(__xludf.DUMMYFUNCTION("""COMPUTED_VALUE"""),6033.860759493671)</f>
        <v>6033.860759</v>
      </c>
      <c r="J2174" s="10">
        <f>IFERROR(__xludf.DUMMYFUNCTION("""COMPUTED_VALUE"""),1.0)</f>
        <v>1</v>
      </c>
      <c r="K2174" s="5">
        <f>IFERROR(__xludf.DUMMYFUNCTION("""COMPUTED_VALUE"""),0.0035460992907801418)</f>
        <v>0.003546099291</v>
      </c>
      <c r="L2174" s="10">
        <f>IFERROR(__xludf.DUMMYFUNCTION("""COMPUTED_VALUE"""),282.0)</f>
        <v>282</v>
      </c>
      <c r="M2174" s="5">
        <f>IFERROR(__xludf.DUMMYFUNCTION("""COMPUTED_VALUE"""),1.0)</f>
        <v>1</v>
      </c>
    </row>
    <row r="2175">
      <c r="A2175" s="10" t="str">
        <f>IFERROR(__xludf.DUMMYFUNCTION("""COMPUTED_VALUE"""),"クロノス@")</f>
        <v>クロノス@</v>
      </c>
      <c r="B2175" s="10">
        <f>IFERROR(__xludf.DUMMYFUNCTION("""COMPUTED_VALUE"""),5689.0)</f>
        <v>5689</v>
      </c>
      <c r="C2175" s="10">
        <f>IFERROR(__xludf.DUMMYFUNCTION("""COMPUTED_VALUE"""),66992.0)</f>
        <v>66992</v>
      </c>
      <c r="D2175" s="5">
        <f>IFERROR(__xludf.DUMMYFUNCTION("""COMPUTED_VALUE"""),0.4186418282955157)</f>
        <v>0.4186418283</v>
      </c>
      <c r="E2175" s="5">
        <f>IFERROR(__xludf.DUMMYFUNCTION("""COMPUTED_VALUE"""),0.13121706931145294)</f>
        <v>0.1312170693</v>
      </c>
      <c r="F2175" s="5">
        <f>IFERROR(__xludf.DUMMYFUNCTION("""COMPUTED_VALUE"""),0.21507919677666673)</f>
        <v>0.2150791968</v>
      </c>
      <c r="G2175" s="5">
        <f>IFERROR(__xludf.DUMMYFUNCTION("""COMPUTED_VALUE"""),0.15974748380992773)</f>
        <v>0.1597474838</v>
      </c>
      <c r="H2175" s="5">
        <f>IFERROR(__xludf.DUMMYFUNCTION("""COMPUTED_VALUE"""),0.5983314372392871)</f>
        <v>0.5983314372</v>
      </c>
      <c r="I2175" s="11">
        <f>IFERROR(__xludf.DUMMYFUNCTION("""COMPUTED_VALUE"""),5649.70041714069)</f>
        <v>5649.700417</v>
      </c>
      <c r="J2175" s="10">
        <f>IFERROR(__xludf.DUMMYFUNCTION("""COMPUTED_VALUE"""),8.0)</f>
        <v>8</v>
      </c>
      <c r="K2175" s="5">
        <f>IFERROR(__xludf.DUMMYFUNCTION("""COMPUTED_VALUE"""),0.0014062225347161188)</f>
        <v>0.001406222535</v>
      </c>
      <c r="L2175" s="10">
        <f>IFERROR(__xludf.DUMMYFUNCTION("""COMPUTED_VALUE"""),5689.0)</f>
        <v>5689</v>
      </c>
      <c r="M2175" s="5">
        <f>IFERROR(__xludf.DUMMYFUNCTION("""COMPUTED_VALUE"""),1.0)</f>
        <v>1</v>
      </c>
    </row>
    <row r="2176">
      <c r="A2176" s="10" t="str">
        <f>IFERROR(__xludf.DUMMYFUNCTION("""COMPUTED_VALUE"""),"にゅーS")</f>
        <v>にゅーS</v>
      </c>
      <c r="B2176" s="10">
        <f>IFERROR(__xludf.DUMMYFUNCTION("""COMPUTED_VALUE"""),171.0)</f>
        <v>171</v>
      </c>
      <c r="C2176" s="10">
        <f>IFERROR(__xludf.DUMMYFUNCTION("""COMPUTED_VALUE"""),2023.0)</f>
        <v>2023</v>
      </c>
      <c r="D2176" s="5">
        <f>IFERROR(__xludf.DUMMYFUNCTION("""COMPUTED_VALUE"""),0.38606911447084236)</f>
        <v>0.3860691145</v>
      </c>
      <c r="E2176" s="5">
        <f>IFERROR(__xludf.DUMMYFUNCTION("""COMPUTED_VALUE"""),0.13120950323974082)</f>
        <v>0.1312095032</v>
      </c>
      <c r="F2176" s="5">
        <f>IFERROR(__xludf.DUMMYFUNCTION("""COMPUTED_VALUE"""),0.2041036717062635)</f>
        <v>0.2041036717</v>
      </c>
      <c r="G2176" s="5">
        <f>IFERROR(__xludf.DUMMYFUNCTION("""COMPUTED_VALUE"""),0.15982721382289417)</f>
        <v>0.1598272138</v>
      </c>
      <c r="H2176" s="5">
        <f>IFERROR(__xludf.DUMMYFUNCTION("""COMPUTED_VALUE"""),0.6005291005291006)</f>
        <v>0.6005291005</v>
      </c>
      <c r="I2176" s="11">
        <f>IFERROR(__xludf.DUMMYFUNCTION("""COMPUTED_VALUE"""),5418.518518518518)</f>
        <v>5418.518519</v>
      </c>
      <c r="J2176" s="10">
        <f>IFERROR(__xludf.DUMMYFUNCTION("""COMPUTED_VALUE"""),0.0)</f>
        <v>0</v>
      </c>
      <c r="K2176" s="5">
        <f>IFERROR(__xludf.DUMMYFUNCTION("""COMPUTED_VALUE"""),0.0)</f>
        <v>0</v>
      </c>
      <c r="L2176" s="10">
        <f>IFERROR(__xludf.DUMMYFUNCTION("""COMPUTED_VALUE"""),73.0)</f>
        <v>73</v>
      </c>
      <c r="M2176" s="5">
        <f>IFERROR(__xludf.DUMMYFUNCTION("""COMPUTED_VALUE"""),0.4269005847953216)</f>
        <v>0.4269005848</v>
      </c>
    </row>
    <row r="2177">
      <c r="A2177" s="10" t="str">
        <f>IFERROR(__xludf.DUMMYFUNCTION("""COMPUTED_VALUE"""),"晴れのち桜")</f>
        <v>晴れのち桜</v>
      </c>
      <c r="B2177" s="10">
        <f>IFERROR(__xludf.DUMMYFUNCTION("""COMPUTED_VALUE"""),465.0)</f>
        <v>465</v>
      </c>
      <c r="C2177" s="10">
        <f>IFERROR(__xludf.DUMMYFUNCTION("""COMPUTED_VALUE"""),5419.0)</f>
        <v>5419</v>
      </c>
      <c r="D2177" s="5">
        <f>IFERROR(__xludf.DUMMYFUNCTION("""COMPUTED_VALUE"""),0.36697618086394834)</f>
        <v>0.3669761809</v>
      </c>
      <c r="E2177" s="5">
        <f>IFERROR(__xludf.DUMMYFUNCTION("""COMPUTED_VALUE"""),0.13120710536939847)</f>
        <v>0.1312071054</v>
      </c>
      <c r="F2177" s="5">
        <f>IFERROR(__xludf.DUMMYFUNCTION("""COMPUTED_VALUE"""),0.2069035123132822)</f>
        <v>0.2069035123</v>
      </c>
      <c r="G2177" s="5">
        <f>IFERROR(__xludf.DUMMYFUNCTION("""COMPUTED_VALUE"""),0.16895438029874849)</f>
        <v>0.1689543803</v>
      </c>
      <c r="H2177" s="5">
        <f>IFERROR(__xludf.DUMMYFUNCTION("""COMPUTED_VALUE"""),0.5756097560975609)</f>
        <v>0.5756097561</v>
      </c>
      <c r="I2177" s="11">
        <f>IFERROR(__xludf.DUMMYFUNCTION("""COMPUTED_VALUE"""),5390.341463414634)</f>
        <v>5390.341463</v>
      </c>
      <c r="J2177" s="10">
        <f>IFERROR(__xludf.DUMMYFUNCTION("""COMPUTED_VALUE"""),1.0)</f>
        <v>1</v>
      </c>
      <c r="K2177" s="5">
        <f>IFERROR(__xludf.DUMMYFUNCTION("""COMPUTED_VALUE"""),0.002150537634408602)</f>
        <v>0.002150537634</v>
      </c>
      <c r="L2177" s="10">
        <f>IFERROR(__xludf.DUMMYFUNCTION("""COMPUTED_VALUE"""),465.0)</f>
        <v>465</v>
      </c>
      <c r="M2177" s="5">
        <f>IFERROR(__xludf.DUMMYFUNCTION("""COMPUTED_VALUE"""),1.0)</f>
        <v>1</v>
      </c>
    </row>
    <row r="2178">
      <c r="A2178" s="10" t="str">
        <f>IFERROR(__xludf.DUMMYFUNCTION("""COMPUTED_VALUE"""),"とんかつ食べた")</f>
        <v>とんかつ食べた</v>
      </c>
      <c r="B2178" s="10">
        <f>IFERROR(__xludf.DUMMYFUNCTION("""COMPUTED_VALUE"""),1427.0)</f>
        <v>1427</v>
      </c>
      <c r="C2178" s="10">
        <f>IFERROR(__xludf.DUMMYFUNCTION("""COMPUTED_VALUE"""),16663.0)</f>
        <v>16663</v>
      </c>
      <c r="D2178" s="5">
        <f>IFERROR(__xludf.DUMMYFUNCTION("""COMPUTED_VALUE"""),0.3529141506957207)</f>
        <v>0.3529141507</v>
      </c>
      <c r="E2178" s="5">
        <f>IFERROR(__xludf.DUMMYFUNCTION("""COMPUTED_VALUE"""),0.13120241533210816)</f>
        <v>0.1312024153</v>
      </c>
      <c r="F2178" s="5">
        <f>IFERROR(__xludf.DUMMYFUNCTION("""COMPUTED_VALUE"""),0.2100945129955369)</f>
        <v>0.210094513</v>
      </c>
      <c r="G2178" s="5">
        <f>IFERROR(__xludf.DUMMYFUNCTION("""COMPUTED_VALUE"""),0.1611971646101339)</f>
        <v>0.1611971646</v>
      </c>
      <c r="H2178" s="5">
        <f>IFERROR(__xludf.DUMMYFUNCTION("""COMPUTED_VALUE"""),0.5951265229615745)</f>
        <v>0.595126523</v>
      </c>
      <c r="I2178" s="11">
        <f>IFERROR(__xludf.DUMMYFUNCTION("""COMPUTED_VALUE"""),5718.119337706967)</f>
        <v>5718.119338</v>
      </c>
      <c r="J2178" s="10">
        <f>IFERROR(__xludf.DUMMYFUNCTION("""COMPUTED_VALUE"""),0.0)</f>
        <v>0</v>
      </c>
      <c r="K2178" s="5">
        <f>IFERROR(__xludf.DUMMYFUNCTION("""COMPUTED_VALUE"""),0.0)</f>
        <v>0</v>
      </c>
      <c r="L2178" s="10">
        <f>IFERROR(__xludf.DUMMYFUNCTION("""COMPUTED_VALUE"""),1427.0)</f>
        <v>1427</v>
      </c>
      <c r="M2178" s="5">
        <f>IFERROR(__xludf.DUMMYFUNCTION("""COMPUTED_VALUE"""),1.0)</f>
        <v>1</v>
      </c>
    </row>
    <row r="2179">
      <c r="A2179" s="10" t="str">
        <f>IFERROR(__xludf.DUMMYFUNCTION("""COMPUTED_VALUE"""),"DexM")</f>
        <v>DexM</v>
      </c>
      <c r="B2179" s="10">
        <f>IFERROR(__xludf.DUMMYFUNCTION("""COMPUTED_VALUE"""),508.0)</f>
        <v>508</v>
      </c>
      <c r="C2179" s="10">
        <f>IFERROR(__xludf.DUMMYFUNCTION("""COMPUTED_VALUE"""),5882.0)</f>
        <v>5882</v>
      </c>
      <c r="D2179" s="5">
        <f>IFERROR(__xludf.DUMMYFUNCTION("""COMPUTED_VALUE"""),0.32973576479344996)</f>
        <v>0.3297357648</v>
      </c>
      <c r="E2179" s="5">
        <f>IFERROR(__xludf.DUMMYFUNCTION("""COMPUTED_VALUE"""),0.13118719761816153)</f>
        <v>0.1311871976</v>
      </c>
      <c r="F2179" s="5">
        <f>IFERROR(__xludf.DUMMYFUNCTION("""COMPUTED_VALUE"""),0.2030145143282471)</f>
        <v>0.2030145143</v>
      </c>
      <c r="G2179" s="5">
        <f>IFERROR(__xludf.DUMMYFUNCTION("""COMPUTED_VALUE"""),0.17473018235950874)</f>
        <v>0.1747301824</v>
      </c>
      <c r="H2179" s="5">
        <f>IFERROR(__xludf.DUMMYFUNCTION("""COMPUTED_VALUE"""),0.5893675527039414)</f>
        <v>0.5893675527</v>
      </c>
      <c r="I2179" s="11">
        <f>IFERROR(__xludf.DUMMYFUNCTION("""COMPUTED_VALUE"""),6019.065077910174)</f>
        <v>6019.065078</v>
      </c>
      <c r="J2179" s="10">
        <f>IFERROR(__xludf.DUMMYFUNCTION("""COMPUTED_VALUE"""),3.0)</f>
        <v>3</v>
      </c>
      <c r="K2179" s="5">
        <f>IFERROR(__xludf.DUMMYFUNCTION("""COMPUTED_VALUE"""),0.005905511811023622)</f>
        <v>0.005905511811</v>
      </c>
      <c r="L2179" s="10">
        <f>IFERROR(__xludf.DUMMYFUNCTION("""COMPUTED_VALUE"""),508.0)</f>
        <v>508</v>
      </c>
      <c r="M2179" s="5">
        <f>IFERROR(__xludf.DUMMYFUNCTION("""COMPUTED_VALUE"""),1.0)</f>
        <v>1</v>
      </c>
    </row>
    <row r="2180">
      <c r="A2180" s="10" t="str">
        <f>IFERROR(__xludf.DUMMYFUNCTION("""COMPUTED_VALUE"""),"矢部君")</f>
        <v>矢部君</v>
      </c>
      <c r="B2180" s="10">
        <f>IFERROR(__xludf.DUMMYFUNCTION("""COMPUTED_VALUE"""),155.0)</f>
        <v>155</v>
      </c>
      <c r="C2180" s="10">
        <f>IFERROR(__xludf.DUMMYFUNCTION("""COMPUTED_VALUE"""),1832.0)</f>
        <v>1832</v>
      </c>
      <c r="D2180" s="5">
        <f>IFERROR(__xludf.DUMMYFUNCTION("""COMPUTED_VALUE"""),0.3798449612403101)</f>
        <v>0.3798449612</v>
      </c>
      <c r="E2180" s="5">
        <f>IFERROR(__xludf.DUMMYFUNCTION("""COMPUTED_VALUE"""),0.13118664281454978)</f>
        <v>0.1311866428</v>
      </c>
      <c r="F2180" s="5">
        <f>IFERROR(__xludf.DUMMYFUNCTION("""COMPUTED_VALUE"""),0.22003577817531306)</f>
        <v>0.2200357782</v>
      </c>
      <c r="G2180" s="5">
        <f>IFERROR(__xludf.DUMMYFUNCTION("""COMPUTED_VALUE"""),0.16517590936195586)</f>
        <v>0.1651759094</v>
      </c>
      <c r="H2180" s="5">
        <f>IFERROR(__xludf.DUMMYFUNCTION("""COMPUTED_VALUE"""),0.5745257452574526)</f>
        <v>0.5745257453</v>
      </c>
      <c r="I2180" s="11">
        <f>IFERROR(__xludf.DUMMYFUNCTION("""COMPUTED_VALUE"""),5692.411924119241)</f>
        <v>5692.411924</v>
      </c>
      <c r="J2180" s="10">
        <f>IFERROR(__xludf.DUMMYFUNCTION("""COMPUTED_VALUE"""),0.0)</f>
        <v>0</v>
      </c>
      <c r="K2180" s="5">
        <f>IFERROR(__xludf.DUMMYFUNCTION("""COMPUTED_VALUE"""),0.0)</f>
        <v>0</v>
      </c>
      <c r="L2180" s="10">
        <f>IFERROR(__xludf.DUMMYFUNCTION("""COMPUTED_VALUE"""),155.0)</f>
        <v>155</v>
      </c>
      <c r="M2180" s="5">
        <f>IFERROR(__xludf.DUMMYFUNCTION("""COMPUTED_VALUE"""),1.0)</f>
        <v>1</v>
      </c>
    </row>
    <row r="2181">
      <c r="A2181" s="10" t="str">
        <f>IFERROR(__xludf.DUMMYFUNCTION("""COMPUTED_VALUE"""),"とある猫")</f>
        <v>とある猫</v>
      </c>
      <c r="B2181" s="10">
        <f>IFERROR(__xludf.DUMMYFUNCTION("""COMPUTED_VALUE"""),587.0)</f>
        <v>587</v>
      </c>
      <c r="C2181" s="10">
        <f>IFERROR(__xludf.DUMMYFUNCTION("""COMPUTED_VALUE"""),6792.0)</f>
        <v>6792</v>
      </c>
      <c r="D2181" s="5">
        <f>IFERROR(__xludf.DUMMYFUNCTION("""COMPUTED_VALUE"""),0.3042707493956487)</f>
        <v>0.3042707494</v>
      </c>
      <c r="E2181" s="5">
        <f>IFERROR(__xludf.DUMMYFUNCTION("""COMPUTED_VALUE"""),0.13118452860596294)</f>
        <v>0.1311845286</v>
      </c>
      <c r="F2181" s="5">
        <f>IFERROR(__xludf.DUMMYFUNCTION("""COMPUTED_VALUE"""),0.19161966156325544)</f>
        <v>0.1916196616</v>
      </c>
      <c r="G2181" s="5">
        <f>IFERROR(__xludf.DUMMYFUNCTION("""COMPUTED_VALUE"""),0.1709911361804996)</f>
        <v>0.1709911362</v>
      </c>
      <c r="H2181" s="5">
        <f>IFERROR(__xludf.DUMMYFUNCTION("""COMPUTED_VALUE"""),0.6005046257359126)</f>
        <v>0.6005046257</v>
      </c>
      <c r="I2181" s="11">
        <f>IFERROR(__xludf.DUMMYFUNCTION("""COMPUTED_VALUE"""),5856.938603868797)</f>
        <v>5856.938604</v>
      </c>
      <c r="J2181" s="10">
        <f>IFERROR(__xludf.DUMMYFUNCTION("""COMPUTED_VALUE"""),0.0)</f>
        <v>0</v>
      </c>
      <c r="K2181" s="5">
        <f>IFERROR(__xludf.DUMMYFUNCTION("""COMPUTED_VALUE"""),0.0)</f>
        <v>0</v>
      </c>
      <c r="L2181" s="10">
        <f>IFERROR(__xludf.DUMMYFUNCTION("""COMPUTED_VALUE"""),0.0)</f>
        <v>0</v>
      </c>
      <c r="M2181" s="5">
        <f>IFERROR(__xludf.DUMMYFUNCTION("""COMPUTED_VALUE"""),0.0)</f>
        <v>0</v>
      </c>
    </row>
    <row r="2182">
      <c r="A2182" s="10" t="str">
        <f>IFERROR(__xludf.DUMMYFUNCTION("""COMPUTED_VALUE"""),"jecht")</f>
        <v>jecht</v>
      </c>
      <c r="B2182" s="10">
        <f>IFERROR(__xludf.DUMMYFUNCTION("""COMPUTED_VALUE"""),255.0)</f>
        <v>255</v>
      </c>
      <c r="C2182" s="10">
        <f>IFERROR(__xludf.DUMMYFUNCTION("""COMPUTED_VALUE"""),2946.0)</f>
        <v>2946</v>
      </c>
      <c r="D2182" s="5">
        <f>IFERROR(__xludf.DUMMYFUNCTION("""COMPUTED_VALUE"""),0.3463396506874768)</f>
        <v>0.3463396507</v>
      </c>
      <c r="E2182" s="5">
        <f>IFERROR(__xludf.DUMMYFUNCTION("""COMPUTED_VALUE"""),0.13117800074321814)</f>
        <v>0.1311780007</v>
      </c>
      <c r="F2182" s="5">
        <f>IFERROR(__xludf.DUMMYFUNCTION("""COMPUTED_VALUE"""),0.19769602378298032)</f>
        <v>0.1976960238</v>
      </c>
      <c r="G2182" s="5">
        <f>IFERROR(__xludf.DUMMYFUNCTION("""COMPUTED_VALUE"""),0.1705685618729097)</f>
        <v>0.1705685619</v>
      </c>
      <c r="H2182" s="5">
        <f>IFERROR(__xludf.DUMMYFUNCTION("""COMPUTED_VALUE"""),0.5939849624060151)</f>
        <v>0.5939849624</v>
      </c>
      <c r="I2182" s="11">
        <f>IFERROR(__xludf.DUMMYFUNCTION("""COMPUTED_VALUE"""),5523.684210526316)</f>
        <v>5523.684211</v>
      </c>
      <c r="J2182" s="10">
        <f>IFERROR(__xludf.DUMMYFUNCTION("""COMPUTED_VALUE"""),0.0)</f>
        <v>0</v>
      </c>
      <c r="K2182" s="5">
        <f>IFERROR(__xludf.DUMMYFUNCTION("""COMPUTED_VALUE"""),0.0)</f>
        <v>0</v>
      </c>
      <c r="L2182" s="10">
        <f>IFERROR(__xludf.DUMMYFUNCTION("""COMPUTED_VALUE"""),255.0)</f>
        <v>255</v>
      </c>
      <c r="M2182" s="5">
        <f>IFERROR(__xludf.DUMMYFUNCTION("""COMPUTED_VALUE"""),1.0)</f>
        <v>1</v>
      </c>
    </row>
    <row r="2183">
      <c r="A2183" s="10" t="str">
        <f>IFERROR(__xludf.DUMMYFUNCTION("""COMPUTED_VALUE"""),"瀬尾晶")</f>
        <v>瀬尾晶</v>
      </c>
      <c r="B2183" s="10">
        <f>IFERROR(__xludf.DUMMYFUNCTION("""COMPUTED_VALUE"""),166.0)</f>
        <v>166</v>
      </c>
      <c r="C2183" s="10">
        <f>IFERROR(__xludf.DUMMYFUNCTION("""COMPUTED_VALUE"""),1927.0)</f>
        <v>1927</v>
      </c>
      <c r="D2183" s="5">
        <f>IFERROR(__xludf.DUMMYFUNCTION("""COMPUTED_VALUE"""),0.4020442930153322)</f>
        <v>0.402044293</v>
      </c>
      <c r="E2183" s="5">
        <f>IFERROR(__xludf.DUMMYFUNCTION("""COMPUTED_VALUE"""),0.131175468483816)</f>
        <v>0.1311754685</v>
      </c>
      <c r="F2183" s="5">
        <f>IFERROR(__xludf.DUMMYFUNCTION("""COMPUTED_VALUE"""),0.21635434412265758)</f>
        <v>0.2163543441</v>
      </c>
      <c r="G2183" s="5">
        <f>IFERROR(__xludf.DUMMYFUNCTION("""COMPUTED_VALUE"""),0.19875070982396364)</f>
        <v>0.1987507098</v>
      </c>
      <c r="H2183" s="5">
        <f>IFERROR(__xludf.DUMMYFUNCTION("""COMPUTED_VALUE"""),0.6036745406824147)</f>
        <v>0.6036745407</v>
      </c>
      <c r="I2183" s="11">
        <f>IFERROR(__xludf.DUMMYFUNCTION("""COMPUTED_VALUE"""),5032.283464566929)</f>
        <v>5032.283465</v>
      </c>
      <c r="J2183" s="10">
        <f>IFERROR(__xludf.DUMMYFUNCTION("""COMPUTED_VALUE"""),0.0)</f>
        <v>0</v>
      </c>
      <c r="K2183" s="5">
        <f>IFERROR(__xludf.DUMMYFUNCTION("""COMPUTED_VALUE"""),0.0)</f>
        <v>0</v>
      </c>
      <c r="L2183" s="10">
        <f>IFERROR(__xludf.DUMMYFUNCTION("""COMPUTED_VALUE"""),166.0)</f>
        <v>166</v>
      </c>
      <c r="M2183" s="5">
        <f>IFERROR(__xludf.DUMMYFUNCTION("""COMPUTED_VALUE"""),1.0)</f>
        <v>1</v>
      </c>
    </row>
    <row r="2184">
      <c r="A2184" s="10" t="str">
        <f>IFERROR(__xludf.DUMMYFUNCTION("""COMPUTED_VALUE"""),"ハンマーの中の人")</f>
        <v>ハンマーの中の人</v>
      </c>
      <c r="B2184" s="10">
        <f>IFERROR(__xludf.DUMMYFUNCTION("""COMPUTED_VALUE"""),187.0)</f>
        <v>187</v>
      </c>
      <c r="C2184" s="10">
        <f>IFERROR(__xludf.DUMMYFUNCTION("""COMPUTED_VALUE"""),2131.0)</f>
        <v>2131</v>
      </c>
      <c r="D2184" s="5">
        <f>IFERROR(__xludf.DUMMYFUNCTION("""COMPUTED_VALUE"""),0.3775720164609053)</f>
        <v>0.3775720165</v>
      </c>
      <c r="E2184" s="5">
        <f>IFERROR(__xludf.DUMMYFUNCTION("""COMPUTED_VALUE"""),0.13117283950617284)</f>
        <v>0.1311728395</v>
      </c>
      <c r="F2184" s="5">
        <f>IFERROR(__xludf.DUMMYFUNCTION("""COMPUTED_VALUE"""),0.22582304526748972)</f>
        <v>0.2258230453</v>
      </c>
      <c r="G2184" s="5">
        <f>IFERROR(__xludf.DUMMYFUNCTION("""COMPUTED_VALUE"""),0.1918724279835391)</f>
        <v>0.191872428</v>
      </c>
      <c r="H2184" s="5">
        <f>IFERROR(__xludf.DUMMYFUNCTION("""COMPUTED_VALUE"""),0.5854214123006833)</f>
        <v>0.5854214123</v>
      </c>
      <c r="I2184" s="11">
        <f>IFERROR(__xludf.DUMMYFUNCTION("""COMPUTED_VALUE"""),5303.872437357631)</f>
        <v>5303.872437</v>
      </c>
      <c r="J2184" s="10">
        <f>IFERROR(__xludf.DUMMYFUNCTION("""COMPUTED_VALUE"""),0.0)</f>
        <v>0</v>
      </c>
      <c r="K2184" s="5">
        <f>IFERROR(__xludf.DUMMYFUNCTION("""COMPUTED_VALUE"""),0.0)</f>
        <v>0</v>
      </c>
      <c r="L2184" s="10">
        <f>IFERROR(__xludf.DUMMYFUNCTION("""COMPUTED_VALUE"""),187.0)</f>
        <v>187</v>
      </c>
      <c r="M2184" s="5">
        <f>IFERROR(__xludf.DUMMYFUNCTION("""COMPUTED_VALUE"""),1.0)</f>
        <v>1</v>
      </c>
    </row>
    <row r="2185">
      <c r="A2185" s="10" t="str">
        <f>IFERROR(__xludf.DUMMYFUNCTION("""COMPUTED_VALUE"""),"虎獅くん")</f>
        <v>虎獅くん</v>
      </c>
      <c r="B2185" s="10">
        <f>IFERROR(__xludf.DUMMYFUNCTION("""COMPUTED_VALUE"""),908.0)</f>
        <v>908</v>
      </c>
      <c r="C2185" s="10">
        <f>IFERROR(__xludf.DUMMYFUNCTION("""COMPUTED_VALUE"""),10514.0)</f>
        <v>10514</v>
      </c>
      <c r="D2185" s="5">
        <f>IFERROR(__xludf.DUMMYFUNCTION("""COMPUTED_VALUE"""),0.3685196752029981)</f>
        <v>0.3685196752</v>
      </c>
      <c r="E2185" s="5">
        <f>IFERROR(__xludf.DUMMYFUNCTION("""COMPUTED_VALUE"""),0.1311680199875078)</f>
        <v>0.13116802</v>
      </c>
      <c r="F2185" s="5">
        <f>IFERROR(__xludf.DUMMYFUNCTION("""COMPUTED_VALUE"""),0.21798875702685822)</f>
        <v>0.217988757</v>
      </c>
      <c r="G2185" s="5">
        <f>IFERROR(__xludf.DUMMYFUNCTION("""COMPUTED_VALUE"""),0.17582760774515926)</f>
        <v>0.1758276077</v>
      </c>
      <c r="H2185" s="5">
        <f>IFERROR(__xludf.DUMMYFUNCTION("""COMPUTED_VALUE"""),0.610792741165234)</f>
        <v>0.6107927412</v>
      </c>
      <c r="I2185" s="11">
        <f>IFERROR(__xludf.DUMMYFUNCTION("""COMPUTED_VALUE"""),5690.783190066858)</f>
        <v>5690.78319</v>
      </c>
      <c r="J2185" s="10">
        <f>IFERROR(__xludf.DUMMYFUNCTION("""COMPUTED_VALUE"""),0.0)</f>
        <v>0</v>
      </c>
      <c r="K2185" s="5">
        <f>IFERROR(__xludf.DUMMYFUNCTION("""COMPUTED_VALUE"""),0.0)</f>
        <v>0</v>
      </c>
      <c r="L2185" s="10">
        <f>IFERROR(__xludf.DUMMYFUNCTION("""COMPUTED_VALUE"""),908.0)</f>
        <v>908</v>
      </c>
      <c r="M2185" s="5">
        <f>IFERROR(__xludf.DUMMYFUNCTION("""COMPUTED_VALUE"""),1.0)</f>
        <v>1</v>
      </c>
    </row>
    <row r="2186">
      <c r="A2186" s="10" t="str">
        <f>IFERROR(__xludf.DUMMYFUNCTION("""COMPUTED_VALUE"""),"suzume3")</f>
        <v>suzume3</v>
      </c>
      <c r="B2186" s="10">
        <f>IFERROR(__xludf.DUMMYFUNCTION("""COMPUTED_VALUE"""),988.0)</f>
        <v>988</v>
      </c>
      <c r="C2186" s="10">
        <f>IFERROR(__xludf.DUMMYFUNCTION("""COMPUTED_VALUE"""),11616.0)</f>
        <v>11616</v>
      </c>
      <c r="D2186" s="5">
        <f>IFERROR(__xludf.DUMMYFUNCTION("""COMPUTED_VALUE"""),0.38793752352277006)</f>
        <v>0.3879375235</v>
      </c>
      <c r="E2186" s="5">
        <f>IFERROR(__xludf.DUMMYFUNCTION("""COMPUTED_VALUE"""),0.13116296575084682)</f>
        <v>0.1311629658</v>
      </c>
      <c r="F2186" s="5">
        <f>IFERROR(__xludf.DUMMYFUNCTION("""COMPUTED_VALUE"""),0.23456906285284154)</f>
        <v>0.2345690629</v>
      </c>
      <c r="G2186" s="5">
        <f>IFERROR(__xludf.DUMMYFUNCTION("""COMPUTED_VALUE"""),0.18121942039894617)</f>
        <v>0.1812194204</v>
      </c>
      <c r="H2186" s="5">
        <f>IFERROR(__xludf.DUMMYFUNCTION("""COMPUTED_VALUE"""),0.6125150421179302)</f>
        <v>0.6125150421</v>
      </c>
      <c r="I2186" s="11">
        <f>IFERROR(__xludf.DUMMYFUNCTION("""COMPUTED_VALUE"""),5477.135980746089)</f>
        <v>5477.135981</v>
      </c>
      <c r="J2186" s="10">
        <f>IFERROR(__xludf.DUMMYFUNCTION("""COMPUTED_VALUE"""),2.0)</f>
        <v>2</v>
      </c>
      <c r="K2186" s="5">
        <f>IFERROR(__xludf.DUMMYFUNCTION("""COMPUTED_VALUE"""),0.0020242914979757085)</f>
        <v>0.002024291498</v>
      </c>
      <c r="L2186" s="10">
        <f>IFERROR(__xludf.DUMMYFUNCTION("""COMPUTED_VALUE"""),988.0)</f>
        <v>988</v>
      </c>
      <c r="M2186" s="5">
        <f>IFERROR(__xludf.DUMMYFUNCTION("""COMPUTED_VALUE"""),1.0)</f>
        <v>1</v>
      </c>
    </row>
    <row r="2187">
      <c r="A2187" s="10" t="str">
        <f>IFERROR(__xludf.DUMMYFUNCTION("""COMPUTED_VALUE"""),"楓香")</f>
        <v>楓香</v>
      </c>
      <c r="B2187" s="10">
        <f>IFERROR(__xludf.DUMMYFUNCTION("""COMPUTED_VALUE"""),124.0)</f>
        <v>124</v>
      </c>
      <c r="C2187" s="10">
        <f>IFERROR(__xludf.DUMMYFUNCTION("""COMPUTED_VALUE"""),1443.0)</f>
        <v>1443</v>
      </c>
      <c r="D2187" s="5">
        <f>IFERROR(__xludf.DUMMYFUNCTION("""COMPUTED_VALUE"""),0.3206974981046247)</f>
        <v>0.3206974981</v>
      </c>
      <c r="E2187" s="5">
        <f>IFERROR(__xludf.DUMMYFUNCTION("""COMPUTED_VALUE"""),0.13115996967399546)</f>
        <v>0.1311599697</v>
      </c>
      <c r="F2187" s="5">
        <f>IFERROR(__xludf.DUMMYFUNCTION("""COMPUTED_VALUE"""),0.20394238059135708)</f>
        <v>0.2039423806</v>
      </c>
      <c r="G2187" s="5">
        <f>IFERROR(__xludf.DUMMYFUNCTION("""COMPUTED_VALUE"""),0.18574677786201668)</f>
        <v>0.1857467779</v>
      </c>
      <c r="H2187" s="5">
        <f>IFERROR(__xludf.DUMMYFUNCTION("""COMPUTED_VALUE"""),0.6059479553903345)</f>
        <v>0.6059479554</v>
      </c>
      <c r="I2187" s="11">
        <f>IFERROR(__xludf.DUMMYFUNCTION("""COMPUTED_VALUE"""),6074.721189591078)</f>
        <v>6074.72119</v>
      </c>
      <c r="J2187" s="10">
        <f>IFERROR(__xludf.DUMMYFUNCTION("""COMPUTED_VALUE"""),0.0)</f>
        <v>0</v>
      </c>
      <c r="K2187" s="5">
        <f>IFERROR(__xludf.DUMMYFUNCTION("""COMPUTED_VALUE"""),0.0)</f>
        <v>0</v>
      </c>
      <c r="L2187" s="10">
        <f>IFERROR(__xludf.DUMMYFUNCTION("""COMPUTED_VALUE"""),0.0)</f>
        <v>0</v>
      </c>
      <c r="M2187" s="5">
        <f>IFERROR(__xludf.DUMMYFUNCTION("""COMPUTED_VALUE"""),0.0)</f>
        <v>0</v>
      </c>
    </row>
    <row r="2188">
      <c r="A2188" s="10" t="str">
        <f>IFERROR(__xludf.DUMMYFUNCTION("""COMPUTED_VALUE"""),"†シャルロット")</f>
        <v>†シャルロット</v>
      </c>
      <c r="B2188" s="10">
        <f>IFERROR(__xludf.DUMMYFUNCTION("""COMPUTED_VALUE"""),1835.0)</f>
        <v>1835</v>
      </c>
      <c r="C2188" s="10">
        <f>IFERROR(__xludf.DUMMYFUNCTION("""COMPUTED_VALUE"""),21529.0)</f>
        <v>21529</v>
      </c>
      <c r="D2188" s="5">
        <f>IFERROR(__xludf.DUMMYFUNCTION("""COMPUTED_VALUE"""),0.34502894282522595)</f>
        <v>0.3450289428</v>
      </c>
      <c r="E2188" s="5">
        <f>IFERROR(__xludf.DUMMYFUNCTION("""COMPUTED_VALUE"""),0.13115669747131106)</f>
        <v>0.1311566975</v>
      </c>
      <c r="F2188" s="5">
        <f>IFERROR(__xludf.DUMMYFUNCTION("""COMPUTED_VALUE"""),0.209556210013202)</f>
        <v>0.20955621</v>
      </c>
      <c r="G2188" s="5">
        <f>IFERROR(__xludf.DUMMYFUNCTION("""COMPUTED_VALUE"""),0.18325378287803393)</f>
        <v>0.1832537829</v>
      </c>
      <c r="H2188" s="5">
        <f>IFERROR(__xludf.DUMMYFUNCTION("""COMPUTED_VALUE"""),0.6006784589290041)</f>
        <v>0.6006784589</v>
      </c>
      <c r="I2188" s="11">
        <f>IFERROR(__xludf.DUMMYFUNCTION("""COMPUTED_VALUE"""),5794.426944511752)</f>
        <v>5794.426945</v>
      </c>
      <c r="J2188" s="10">
        <f>IFERROR(__xludf.DUMMYFUNCTION("""COMPUTED_VALUE"""),5.0)</f>
        <v>5</v>
      </c>
      <c r="K2188" s="5">
        <f>IFERROR(__xludf.DUMMYFUNCTION("""COMPUTED_VALUE"""),0.0027247956403269754)</f>
        <v>0.00272479564</v>
      </c>
      <c r="L2188" s="10">
        <f>IFERROR(__xludf.DUMMYFUNCTION("""COMPUTED_VALUE"""),0.0)</f>
        <v>0</v>
      </c>
      <c r="M2188" s="5">
        <f>IFERROR(__xludf.DUMMYFUNCTION("""COMPUTED_VALUE"""),0.0)</f>
        <v>0</v>
      </c>
    </row>
    <row r="2189">
      <c r="A2189" s="10" t="str">
        <f>IFERROR(__xludf.DUMMYFUNCTION("""COMPUTED_VALUE"""),"オナ２")</f>
        <v>オナ２</v>
      </c>
      <c r="B2189" s="10">
        <f>IFERROR(__xludf.DUMMYFUNCTION("""COMPUTED_VALUE"""),302.0)</f>
        <v>302</v>
      </c>
      <c r="C2189" s="10">
        <f>IFERROR(__xludf.DUMMYFUNCTION("""COMPUTED_VALUE"""),3512.0)</f>
        <v>3512</v>
      </c>
      <c r="D2189" s="5">
        <f>IFERROR(__xludf.DUMMYFUNCTION("""COMPUTED_VALUE"""),0.3719626168224299)</f>
        <v>0.3719626168</v>
      </c>
      <c r="E2189" s="5">
        <f>IFERROR(__xludf.DUMMYFUNCTION("""COMPUTED_VALUE"""),0.1311526479750779)</f>
        <v>0.131152648</v>
      </c>
      <c r="F2189" s="5">
        <f>IFERROR(__xludf.DUMMYFUNCTION("""COMPUTED_VALUE"""),0.20342679127725857)</f>
        <v>0.2034267913</v>
      </c>
      <c r="G2189" s="5">
        <f>IFERROR(__xludf.DUMMYFUNCTION("""COMPUTED_VALUE"""),0.1722741433021807)</f>
        <v>0.1722741433</v>
      </c>
      <c r="H2189" s="5">
        <f>IFERROR(__xludf.DUMMYFUNCTION("""COMPUTED_VALUE"""),0.6339969372128637)</f>
        <v>0.6339969372</v>
      </c>
      <c r="I2189" s="11">
        <f>IFERROR(__xludf.DUMMYFUNCTION("""COMPUTED_VALUE"""),5711.179173047473)</f>
        <v>5711.179173</v>
      </c>
      <c r="J2189" s="10">
        <f>IFERROR(__xludf.DUMMYFUNCTION("""COMPUTED_VALUE"""),1.0)</f>
        <v>1</v>
      </c>
      <c r="K2189" s="5">
        <f>IFERROR(__xludf.DUMMYFUNCTION("""COMPUTED_VALUE"""),0.0033112582781456954)</f>
        <v>0.003311258278</v>
      </c>
      <c r="L2189" s="10">
        <f>IFERROR(__xludf.DUMMYFUNCTION("""COMPUTED_VALUE"""),0.0)</f>
        <v>0</v>
      </c>
      <c r="M2189" s="5">
        <f>IFERROR(__xludf.DUMMYFUNCTION("""COMPUTED_VALUE"""),0.0)</f>
        <v>0</v>
      </c>
    </row>
    <row r="2190">
      <c r="A2190" s="10" t="str">
        <f>IFERROR(__xludf.DUMMYFUNCTION("""COMPUTED_VALUE"""),"みえネコ")</f>
        <v>みえネコ</v>
      </c>
      <c r="B2190" s="10">
        <f>IFERROR(__xludf.DUMMYFUNCTION("""COMPUTED_VALUE"""),1010.0)</f>
        <v>1010</v>
      </c>
      <c r="C2190" s="10">
        <f>IFERROR(__xludf.DUMMYFUNCTION("""COMPUTED_VALUE"""),11883.0)</f>
        <v>11883</v>
      </c>
      <c r="D2190" s="5">
        <f>IFERROR(__xludf.DUMMYFUNCTION("""COMPUTED_VALUE"""),0.3225420767037616)</f>
        <v>0.3225420767</v>
      </c>
      <c r="E2190" s="5">
        <f>IFERROR(__xludf.DUMMYFUNCTION("""COMPUTED_VALUE"""),0.13115055642416995)</f>
        <v>0.1311505564</v>
      </c>
      <c r="F2190" s="5">
        <f>IFERROR(__xludf.DUMMYFUNCTION("""COMPUTED_VALUE"""),0.21907477237193046)</f>
        <v>0.2190747724</v>
      </c>
      <c r="G2190" s="5">
        <f>IFERROR(__xludf.DUMMYFUNCTION("""COMPUTED_VALUE"""),0.1971856893221742)</f>
        <v>0.1971856893</v>
      </c>
      <c r="H2190" s="5">
        <f>IFERROR(__xludf.DUMMYFUNCTION("""COMPUTED_VALUE"""),0.609151973131822)</f>
        <v>0.6091519731</v>
      </c>
      <c r="I2190" s="11">
        <f>IFERROR(__xludf.DUMMYFUNCTION("""COMPUTED_VALUE"""),5520.277078085643)</f>
        <v>5520.277078</v>
      </c>
      <c r="J2190" s="10">
        <f>IFERROR(__xludf.DUMMYFUNCTION("""COMPUTED_VALUE"""),2.0)</f>
        <v>2</v>
      </c>
      <c r="K2190" s="5">
        <f>IFERROR(__xludf.DUMMYFUNCTION("""COMPUTED_VALUE"""),0.0019801980198019802)</f>
        <v>0.00198019802</v>
      </c>
      <c r="L2190" s="10">
        <f>IFERROR(__xludf.DUMMYFUNCTION("""COMPUTED_VALUE"""),1010.0)</f>
        <v>1010</v>
      </c>
      <c r="M2190" s="5">
        <f>IFERROR(__xludf.DUMMYFUNCTION("""COMPUTED_VALUE"""),1.0)</f>
        <v>1</v>
      </c>
    </row>
    <row r="2191">
      <c r="A2191" s="10" t="str">
        <f>IFERROR(__xludf.DUMMYFUNCTION("""COMPUTED_VALUE"""),"yamata")</f>
        <v>yamata</v>
      </c>
      <c r="B2191" s="10">
        <f>IFERROR(__xludf.DUMMYFUNCTION("""COMPUTED_VALUE"""),134.0)</f>
        <v>134</v>
      </c>
      <c r="C2191" s="10">
        <f>IFERROR(__xludf.DUMMYFUNCTION("""COMPUTED_VALUE"""),1499.0)</f>
        <v>1499</v>
      </c>
      <c r="D2191" s="5">
        <f>IFERROR(__xludf.DUMMYFUNCTION("""COMPUTED_VALUE"""),0.24468864468864468)</f>
        <v>0.2446886447</v>
      </c>
      <c r="E2191" s="5">
        <f>IFERROR(__xludf.DUMMYFUNCTION("""COMPUTED_VALUE"""),0.13113553113553114)</f>
        <v>0.1311355311</v>
      </c>
      <c r="F2191" s="5">
        <f>IFERROR(__xludf.DUMMYFUNCTION("""COMPUTED_VALUE"""),0.21684981684981686)</f>
        <v>0.2168498168</v>
      </c>
      <c r="G2191" s="5">
        <f>IFERROR(__xludf.DUMMYFUNCTION("""COMPUTED_VALUE"""),0.23516483516483516)</f>
        <v>0.2351648352</v>
      </c>
      <c r="H2191" s="5">
        <f>IFERROR(__xludf.DUMMYFUNCTION("""COMPUTED_VALUE"""),0.5945945945945946)</f>
        <v>0.5945945946</v>
      </c>
      <c r="I2191" s="11">
        <f>IFERROR(__xludf.DUMMYFUNCTION("""COMPUTED_VALUE"""),5513.513513513513)</f>
        <v>5513.513514</v>
      </c>
      <c r="J2191" s="10">
        <f>IFERROR(__xludf.DUMMYFUNCTION("""COMPUTED_VALUE"""),0.0)</f>
        <v>0</v>
      </c>
      <c r="K2191" s="5">
        <f>IFERROR(__xludf.DUMMYFUNCTION("""COMPUTED_VALUE"""),0.0)</f>
        <v>0</v>
      </c>
      <c r="L2191" s="10">
        <f>IFERROR(__xludf.DUMMYFUNCTION("""COMPUTED_VALUE"""),134.0)</f>
        <v>134</v>
      </c>
      <c r="M2191" s="5">
        <f>IFERROR(__xludf.DUMMYFUNCTION("""COMPUTED_VALUE"""),1.0)</f>
        <v>1</v>
      </c>
    </row>
    <row r="2192">
      <c r="A2192" s="10" t="str">
        <f>IFERROR(__xludf.DUMMYFUNCTION("""COMPUTED_VALUE"""),"takahir@")</f>
        <v>takahir@</v>
      </c>
      <c r="B2192" s="10">
        <f>IFERROR(__xludf.DUMMYFUNCTION("""COMPUTED_VALUE"""),477.0)</f>
        <v>477</v>
      </c>
      <c r="C2192" s="10">
        <f>IFERROR(__xludf.DUMMYFUNCTION("""COMPUTED_VALUE"""),5472.0)</f>
        <v>5472</v>
      </c>
      <c r="D2192" s="5">
        <f>IFERROR(__xludf.DUMMYFUNCTION("""COMPUTED_VALUE"""),0.36456456456456454)</f>
        <v>0.3645645646</v>
      </c>
      <c r="E2192" s="5">
        <f>IFERROR(__xludf.DUMMYFUNCTION("""COMPUTED_VALUE"""),0.13113113113113112)</f>
        <v>0.1311311311</v>
      </c>
      <c r="F2192" s="5">
        <f>IFERROR(__xludf.DUMMYFUNCTION("""COMPUTED_VALUE"""),0.22742742742742741)</f>
        <v>0.2274274274</v>
      </c>
      <c r="G2192" s="5">
        <f>IFERROR(__xludf.DUMMYFUNCTION("""COMPUTED_VALUE"""),0.18618618618618618)</f>
        <v>0.1861861862</v>
      </c>
      <c r="H2192" s="5">
        <f>IFERROR(__xludf.DUMMYFUNCTION("""COMPUTED_VALUE"""),0.6161971830985915)</f>
        <v>0.6161971831</v>
      </c>
      <c r="I2192" s="11">
        <f>IFERROR(__xludf.DUMMYFUNCTION("""COMPUTED_VALUE"""),5415.404929577465)</f>
        <v>5415.40493</v>
      </c>
      <c r="J2192" s="10">
        <f>IFERROR(__xludf.DUMMYFUNCTION("""COMPUTED_VALUE"""),1.0)</f>
        <v>1</v>
      </c>
      <c r="K2192" s="5">
        <f>IFERROR(__xludf.DUMMYFUNCTION("""COMPUTED_VALUE"""),0.0020964360587002098)</f>
        <v>0.002096436059</v>
      </c>
      <c r="L2192" s="10">
        <f>IFERROR(__xludf.DUMMYFUNCTION("""COMPUTED_VALUE"""),477.0)</f>
        <v>477</v>
      </c>
      <c r="M2192" s="5">
        <f>IFERROR(__xludf.DUMMYFUNCTION("""COMPUTED_VALUE"""),1.0)</f>
        <v>1</v>
      </c>
    </row>
    <row r="2193">
      <c r="A2193" s="10" t="str">
        <f>IFERROR(__xludf.DUMMYFUNCTION("""COMPUTED_VALUE"""),"どやどや159")</f>
        <v>どやどや159</v>
      </c>
      <c r="B2193" s="10">
        <f>IFERROR(__xludf.DUMMYFUNCTION("""COMPUTED_VALUE"""),668.0)</f>
        <v>668</v>
      </c>
      <c r="C2193" s="10">
        <f>IFERROR(__xludf.DUMMYFUNCTION("""COMPUTED_VALUE"""),7860.0)</f>
        <v>7860</v>
      </c>
      <c r="D2193" s="5">
        <f>IFERROR(__xludf.DUMMYFUNCTION("""COMPUTED_VALUE"""),0.35914905450500556)</f>
        <v>0.3591490545</v>
      </c>
      <c r="E2193" s="5">
        <f>IFERROR(__xludf.DUMMYFUNCTION("""COMPUTED_VALUE"""),0.1311179087875417)</f>
        <v>0.1311179088</v>
      </c>
      <c r="F2193" s="5">
        <f>IFERROR(__xludf.DUMMYFUNCTION("""COMPUTED_VALUE"""),0.21885428253615127)</f>
        <v>0.2188542825</v>
      </c>
      <c r="G2193" s="5">
        <f>IFERROR(__xludf.DUMMYFUNCTION("""COMPUTED_VALUE"""),0.19048943270300334)</f>
        <v>0.1904894327</v>
      </c>
      <c r="H2193" s="5">
        <f>IFERROR(__xludf.DUMMYFUNCTION("""COMPUTED_VALUE"""),0.5902160101651842)</f>
        <v>0.5902160102</v>
      </c>
      <c r="I2193" s="11">
        <f>IFERROR(__xludf.DUMMYFUNCTION("""COMPUTED_VALUE"""),5457.814485387547)</f>
        <v>5457.814485</v>
      </c>
      <c r="J2193" s="10">
        <f>IFERROR(__xludf.DUMMYFUNCTION("""COMPUTED_VALUE"""),1.0)</f>
        <v>1</v>
      </c>
      <c r="K2193" s="5">
        <f>IFERROR(__xludf.DUMMYFUNCTION("""COMPUTED_VALUE"""),0.0014970059880239522)</f>
        <v>0.001497005988</v>
      </c>
      <c r="L2193" s="10">
        <f>IFERROR(__xludf.DUMMYFUNCTION("""COMPUTED_VALUE"""),612.0)</f>
        <v>612</v>
      </c>
      <c r="M2193" s="5">
        <f>IFERROR(__xludf.DUMMYFUNCTION("""COMPUTED_VALUE"""),0.9161676646706587)</f>
        <v>0.9161676647</v>
      </c>
    </row>
    <row r="2194">
      <c r="A2194" s="10" t="str">
        <f>IFERROR(__xludf.DUMMYFUNCTION("""COMPUTED_VALUE"""),"ekarute")</f>
        <v>ekarute</v>
      </c>
      <c r="B2194" s="10">
        <f>IFERROR(__xludf.DUMMYFUNCTION("""COMPUTED_VALUE"""),1077.0)</f>
        <v>1077</v>
      </c>
      <c r="C2194" s="10">
        <f>IFERROR(__xludf.DUMMYFUNCTION("""COMPUTED_VALUE"""),12533.0)</f>
        <v>12533</v>
      </c>
      <c r="D2194" s="5">
        <f>IFERROR(__xludf.DUMMYFUNCTION("""COMPUTED_VALUE"""),0.3417423184357542)</f>
        <v>0.3417423184</v>
      </c>
      <c r="E2194" s="5">
        <f>IFERROR(__xludf.DUMMYFUNCTION("""COMPUTED_VALUE"""),0.13111033519553073)</f>
        <v>0.1311103352</v>
      </c>
      <c r="F2194" s="5">
        <f>IFERROR(__xludf.DUMMYFUNCTION("""COMPUTED_VALUE"""),0.2075768156424581)</f>
        <v>0.2075768156</v>
      </c>
      <c r="G2194" s="5">
        <f>IFERROR(__xludf.DUMMYFUNCTION("""COMPUTED_VALUE"""),0.20652932960893855)</f>
        <v>0.2065293296</v>
      </c>
      <c r="H2194" s="5">
        <f>IFERROR(__xludf.DUMMYFUNCTION("""COMPUTED_VALUE"""),0.5790580319596299)</f>
        <v>0.579058032</v>
      </c>
      <c r="I2194" s="11">
        <f>IFERROR(__xludf.DUMMYFUNCTION("""COMPUTED_VALUE"""),5673.717409587889)</f>
        <v>5673.71741</v>
      </c>
      <c r="J2194" s="10">
        <f>IFERROR(__xludf.DUMMYFUNCTION("""COMPUTED_VALUE"""),2.0)</f>
        <v>2</v>
      </c>
      <c r="K2194" s="5">
        <f>IFERROR(__xludf.DUMMYFUNCTION("""COMPUTED_VALUE"""),0.0018570102135561746)</f>
        <v>0.001857010214</v>
      </c>
      <c r="L2194" s="10">
        <f>IFERROR(__xludf.DUMMYFUNCTION("""COMPUTED_VALUE"""),1077.0)</f>
        <v>1077</v>
      </c>
      <c r="M2194" s="5">
        <f>IFERROR(__xludf.DUMMYFUNCTION("""COMPUTED_VALUE"""),1.0)</f>
        <v>1</v>
      </c>
    </row>
    <row r="2195">
      <c r="A2195" s="10" t="str">
        <f>IFERROR(__xludf.DUMMYFUNCTION("""COMPUTED_VALUE"""),"夢幻秦")</f>
        <v>夢幻秦</v>
      </c>
      <c r="B2195" s="10">
        <f>IFERROR(__xludf.DUMMYFUNCTION("""COMPUTED_VALUE"""),351.0)</f>
        <v>351</v>
      </c>
      <c r="C2195" s="10">
        <f>IFERROR(__xludf.DUMMYFUNCTION("""COMPUTED_VALUE"""),4096.0)</f>
        <v>4096</v>
      </c>
      <c r="D2195" s="5">
        <f>IFERROR(__xludf.DUMMYFUNCTION("""COMPUTED_VALUE"""),0.22963951935914553)</f>
        <v>0.2296395194</v>
      </c>
      <c r="E2195" s="5">
        <f>IFERROR(__xludf.DUMMYFUNCTION("""COMPUTED_VALUE"""),0.13110814419225633)</f>
        <v>0.1311081442</v>
      </c>
      <c r="F2195" s="5">
        <f>IFERROR(__xludf.DUMMYFUNCTION("""COMPUTED_VALUE"""),0.19279038718291056)</f>
        <v>0.1927903872</v>
      </c>
      <c r="G2195" s="5">
        <f>IFERROR(__xludf.DUMMYFUNCTION("""COMPUTED_VALUE"""),0.16555407209612816)</f>
        <v>0.1655540721</v>
      </c>
      <c r="H2195" s="5">
        <f>IFERROR(__xludf.DUMMYFUNCTION("""COMPUTED_VALUE"""),0.5831024930747922)</f>
        <v>0.5831024931</v>
      </c>
      <c r="I2195" s="11">
        <f>IFERROR(__xludf.DUMMYFUNCTION("""COMPUTED_VALUE"""),6118.698060941828)</f>
        <v>6118.698061</v>
      </c>
      <c r="J2195" s="10">
        <f>IFERROR(__xludf.DUMMYFUNCTION("""COMPUTED_VALUE"""),0.0)</f>
        <v>0</v>
      </c>
      <c r="K2195" s="5">
        <f>IFERROR(__xludf.DUMMYFUNCTION("""COMPUTED_VALUE"""),0.0)</f>
        <v>0</v>
      </c>
      <c r="L2195" s="10">
        <f>IFERROR(__xludf.DUMMYFUNCTION("""COMPUTED_VALUE"""),351.0)</f>
        <v>351</v>
      </c>
      <c r="M2195" s="5">
        <f>IFERROR(__xludf.DUMMYFUNCTION("""COMPUTED_VALUE"""),1.0)</f>
        <v>1</v>
      </c>
    </row>
    <row r="2196">
      <c r="A2196" s="10" t="str">
        <f>IFERROR(__xludf.DUMMYFUNCTION("""COMPUTED_VALUE"""),"ポンちゃん☆")</f>
        <v>ポンちゃん☆</v>
      </c>
      <c r="B2196" s="10">
        <f>IFERROR(__xludf.DUMMYFUNCTION("""COMPUTED_VALUE"""),311.0)</f>
        <v>311</v>
      </c>
      <c r="C2196" s="10">
        <f>IFERROR(__xludf.DUMMYFUNCTION("""COMPUTED_VALUE"""),3629.0)</f>
        <v>3629</v>
      </c>
      <c r="D2196" s="5">
        <f>IFERROR(__xludf.DUMMYFUNCTION("""COMPUTED_VALUE"""),0.3161543098251959)</f>
        <v>0.3161543098</v>
      </c>
      <c r="E2196" s="5">
        <f>IFERROR(__xludf.DUMMYFUNCTION("""COMPUTED_VALUE"""),0.13110307414104883)</f>
        <v>0.1311030741</v>
      </c>
      <c r="F2196" s="5">
        <f>IFERROR(__xludf.DUMMYFUNCTION("""COMPUTED_VALUE"""),0.22603978300180833)</f>
        <v>0.226039783</v>
      </c>
      <c r="G2196" s="5">
        <f>IFERROR(__xludf.DUMMYFUNCTION("""COMPUTED_VALUE"""),0.17329716696805306)</f>
        <v>0.173297167</v>
      </c>
      <c r="H2196" s="5">
        <f>IFERROR(__xludf.DUMMYFUNCTION("""COMPUTED_VALUE"""),0.596)</f>
        <v>0.596</v>
      </c>
      <c r="I2196" s="11">
        <f>IFERROR(__xludf.DUMMYFUNCTION("""COMPUTED_VALUE"""),5505.6)</f>
        <v>5505.6</v>
      </c>
      <c r="J2196" s="10">
        <f>IFERROR(__xludf.DUMMYFUNCTION("""COMPUTED_VALUE"""),0.0)</f>
        <v>0</v>
      </c>
      <c r="K2196" s="5">
        <f>IFERROR(__xludf.DUMMYFUNCTION("""COMPUTED_VALUE"""),0.0)</f>
        <v>0</v>
      </c>
      <c r="L2196" s="10">
        <f>IFERROR(__xludf.DUMMYFUNCTION("""COMPUTED_VALUE"""),311.0)</f>
        <v>311</v>
      </c>
      <c r="M2196" s="5">
        <f>IFERROR(__xludf.DUMMYFUNCTION("""COMPUTED_VALUE"""),1.0)</f>
        <v>1</v>
      </c>
    </row>
    <row r="2197">
      <c r="A2197" s="10" t="str">
        <f>IFERROR(__xludf.DUMMYFUNCTION("""COMPUTED_VALUE"""),"chimosy")</f>
        <v>chimosy</v>
      </c>
      <c r="B2197" s="10">
        <f>IFERROR(__xludf.DUMMYFUNCTION("""COMPUTED_VALUE"""),650.0)</f>
        <v>650</v>
      </c>
      <c r="C2197" s="10">
        <f>IFERROR(__xludf.DUMMYFUNCTION("""COMPUTED_VALUE"""),7614.0)</f>
        <v>7614</v>
      </c>
      <c r="D2197" s="5">
        <f>IFERROR(__xludf.DUMMYFUNCTION("""COMPUTED_VALUE"""),0.3296955772544515)</f>
        <v>0.3296955773</v>
      </c>
      <c r="E2197" s="5">
        <f>IFERROR(__xludf.DUMMYFUNCTION("""COMPUTED_VALUE"""),0.13110281447443997)</f>
        <v>0.1311028145</v>
      </c>
      <c r="F2197" s="5">
        <f>IFERROR(__xludf.DUMMYFUNCTION("""COMPUTED_VALUE"""),0.2018954623779437)</f>
        <v>0.2018954624</v>
      </c>
      <c r="G2197" s="5">
        <f>IFERROR(__xludf.DUMMYFUNCTION("""COMPUTED_VALUE"""),0.19213095921883974)</f>
        <v>0.1921309592</v>
      </c>
      <c r="H2197" s="5">
        <f>IFERROR(__xludf.DUMMYFUNCTION("""COMPUTED_VALUE"""),0.60099573257468)</f>
        <v>0.6009957326</v>
      </c>
      <c r="I2197" s="11">
        <f>IFERROR(__xludf.DUMMYFUNCTION("""COMPUTED_VALUE"""),5980.085348506401)</f>
        <v>5980.085349</v>
      </c>
      <c r="J2197" s="10">
        <f>IFERROR(__xludf.DUMMYFUNCTION("""COMPUTED_VALUE"""),2.0)</f>
        <v>2</v>
      </c>
      <c r="K2197" s="5">
        <f>IFERROR(__xludf.DUMMYFUNCTION("""COMPUTED_VALUE"""),0.003076923076923077)</f>
        <v>0.003076923077</v>
      </c>
      <c r="L2197" s="10">
        <f>IFERROR(__xludf.DUMMYFUNCTION("""COMPUTED_VALUE"""),650.0)</f>
        <v>650</v>
      </c>
      <c r="M2197" s="5">
        <f>IFERROR(__xludf.DUMMYFUNCTION("""COMPUTED_VALUE"""),1.0)</f>
        <v>1</v>
      </c>
    </row>
    <row r="2198">
      <c r="A2198" s="10" t="str">
        <f>IFERROR(__xludf.DUMMYFUNCTION("""COMPUTED_VALUE"""),"しどー")</f>
        <v>しどー</v>
      </c>
      <c r="B2198" s="10">
        <f>IFERROR(__xludf.DUMMYFUNCTION("""COMPUTED_VALUE"""),402.0)</f>
        <v>402</v>
      </c>
      <c r="C2198" s="10">
        <f>IFERROR(__xludf.DUMMYFUNCTION("""COMPUTED_VALUE"""),4704.0)</f>
        <v>4704</v>
      </c>
      <c r="D2198" s="5">
        <f>IFERROR(__xludf.DUMMYFUNCTION("""COMPUTED_VALUE"""),0.2705718270571827)</f>
        <v>0.2705718271</v>
      </c>
      <c r="E2198" s="5">
        <f>IFERROR(__xludf.DUMMYFUNCTION("""COMPUTED_VALUE"""),0.13110181311018132)</f>
        <v>0.1311018131</v>
      </c>
      <c r="F2198" s="5">
        <f>IFERROR(__xludf.DUMMYFUNCTION("""COMPUTED_VALUE"""),0.19572291957229196)</f>
        <v>0.1957229196</v>
      </c>
      <c r="G2198" s="5">
        <f>IFERROR(__xludf.DUMMYFUNCTION("""COMPUTED_VALUE"""),0.20176662017666203)</f>
        <v>0.2017666202</v>
      </c>
      <c r="H2198" s="5">
        <f>IFERROR(__xludf.DUMMYFUNCTION("""COMPUTED_VALUE"""),0.5855106888361045)</f>
        <v>0.5855106888</v>
      </c>
      <c r="I2198" s="11">
        <f>IFERROR(__xludf.DUMMYFUNCTION("""COMPUTED_VALUE"""),6114.608076009501)</f>
        <v>6114.608076</v>
      </c>
      <c r="J2198" s="10">
        <f>IFERROR(__xludf.DUMMYFUNCTION("""COMPUTED_VALUE"""),1.0)</f>
        <v>1</v>
      </c>
      <c r="K2198" s="5">
        <f>IFERROR(__xludf.DUMMYFUNCTION("""COMPUTED_VALUE"""),0.0024875621890547263)</f>
        <v>0.002487562189</v>
      </c>
      <c r="L2198" s="10">
        <f>IFERROR(__xludf.DUMMYFUNCTION("""COMPUTED_VALUE"""),402.0)</f>
        <v>402</v>
      </c>
      <c r="M2198" s="5">
        <f>IFERROR(__xludf.DUMMYFUNCTION("""COMPUTED_VALUE"""),1.0)</f>
        <v>1</v>
      </c>
    </row>
    <row r="2199">
      <c r="A2199" s="10" t="str">
        <f>IFERROR(__xludf.DUMMYFUNCTION("""COMPUTED_VALUE"""),"コボちゃん")</f>
        <v>コボちゃん</v>
      </c>
      <c r="B2199" s="10">
        <f>IFERROR(__xludf.DUMMYFUNCTION("""COMPUTED_VALUE"""),421.0)</f>
        <v>421</v>
      </c>
      <c r="C2199" s="10">
        <f>IFERROR(__xludf.DUMMYFUNCTION("""COMPUTED_VALUE"""),4830.0)</f>
        <v>4830</v>
      </c>
      <c r="D2199" s="5">
        <f>IFERROR(__xludf.DUMMYFUNCTION("""COMPUTED_VALUE"""),0.34293490587434794)</f>
        <v>0.3429349059</v>
      </c>
      <c r="E2199" s="5">
        <f>IFERROR(__xludf.DUMMYFUNCTION("""COMPUTED_VALUE"""),0.1310954865048764)</f>
        <v>0.1310954865</v>
      </c>
      <c r="F2199" s="5">
        <f>IFERROR(__xludf.DUMMYFUNCTION("""COMPUTED_VALUE"""),0.21093218416874573)</f>
        <v>0.2109321842</v>
      </c>
      <c r="G2199" s="5">
        <f>IFERROR(__xludf.DUMMYFUNCTION("""COMPUTED_VALUE"""),0.17509639374007713)</f>
        <v>0.1750963937</v>
      </c>
      <c r="H2199" s="5">
        <f>IFERROR(__xludf.DUMMYFUNCTION("""COMPUTED_VALUE"""),0.5741935483870968)</f>
        <v>0.5741935484</v>
      </c>
      <c r="I2199" s="11">
        <f>IFERROR(__xludf.DUMMYFUNCTION("""COMPUTED_VALUE"""),5672.043010752688)</f>
        <v>5672.043011</v>
      </c>
      <c r="J2199" s="10">
        <f>IFERROR(__xludf.DUMMYFUNCTION("""COMPUTED_VALUE"""),0.0)</f>
        <v>0</v>
      </c>
      <c r="K2199" s="5">
        <f>IFERROR(__xludf.DUMMYFUNCTION("""COMPUTED_VALUE"""),0.0)</f>
        <v>0</v>
      </c>
      <c r="L2199" s="10">
        <f>IFERROR(__xludf.DUMMYFUNCTION("""COMPUTED_VALUE"""),421.0)</f>
        <v>421</v>
      </c>
      <c r="M2199" s="5">
        <f>IFERROR(__xludf.DUMMYFUNCTION("""COMPUTED_VALUE"""),1.0)</f>
        <v>1</v>
      </c>
    </row>
    <row r="2200">
      <c r="A2200" s="10" t="str">
        <f>IFERROR(__xludf.DUMMYFUNCTION("""COMPUTED_VALUE"""),"ul虎")</f>
        <v>ul虎</v>
      </c>
      <c r="B2200" s="10">
        <f>IFERROR(__xludf.DUMMYFUNCTION("""COMPUTED_VALUE"""),105.0)</f>
        <v>105</v>
      </c>
      <c r="C2200" s="10">
        <f>IFERROR(__xludf.DUMMYFUNCTION("""COMPUTED_VALUE"""),1234.0)</f>
        <v>1234</v>
      </c>
      <c r="D2200" s="5">
        <f>IFERROR(__xludf.DUMMYFUNCTION("""COMPUTED_VALUE"""),0.2914083259521701)</f>
        <v>0.291408326</v>
      </c>
      <c r="E2200" s="5">
        <f>IFERROR(__xludf.DUMMYFUNCTION("""COMPUTED_VALUE"""),0.13108945969884853)</f>
        <v>0.1310894597</v>
      </c>
      <c r="F2200" s="5">
        <f>IFERROR(__xludf.DUMMYFUNCTION("""COMPUTED_VALUE"""),0.17183348095659876)</f>
        <v>0.171833481</v>
      </c>
      <c r="G2200" s="5">
        <f>IFERROR(__xludf.DUMMYFUNCTION("""COMPUTED_VALUE"""),0.1054030115146147)</f>
        <v>0.1054030115</v>
      </c>
      <c r="H2200" s="5">
        <f>IFERROR(__xludf.DUMMYFUNCTION("""COMPUTED_VALUE"""),0.6494845360824743)</f>
        <v>0.6494845361</v>
      </c>
      <c r="I2200" s="11">
        <f>IFERROR(__xludf.DUMMYFUNCTION("""COMPUTED_VALUE"""),5498.969072164949)</f>
        <v>5498.969072</v>
      </c>
      <c r="J2200" s="10">
        <f>IFERROR(__xludf.DUMMYFUNCTION("""COMPUTED_VALUE"""),0.0)</f>
        <v>0</v>
      </c>
      <c r="K2200" s="5">
        <f>IFERROR(__xludf.DUMMYFUNCTION("""COMPUTED_VALUE"""),0.0)</f>
        <v>0</v>
      </c>
      <c r="L2200" s="10">
        <f>IFERROR(__xludf.DUMMYFUNCTION("""COMPUTED_VALUE"""),105.0)</f>
        <v>105</v>
      </c>
      <c r="M2200" s="5">
        <f>IFERROR(__xludf.DUMMYFUNCTION("""COMPUTED_VALUE"""),1.0)</f>
        <v>1</v>
      </c>
    </row>
    <row r="2201">
      <c r="A2201" s="10" t="str">
        <f>IFERROR(__xludf.DUMMYFUNCTION("""COMPUTED_VALUE"""),"klbst88")</f>
        <v>klbst88</v>
      </c>
      <c r="B2201" s="10">
        <f>IFERROR(__xludf.DUMMYFUNCTION("""COMPUTED_VALUE"""),922.0)</f>
        <v>922</v>
      </c>
      <c r="C2201" s="10">
        <f>IFERROR(__xludf.DUMMYFUNCTION("""COMPUTED_VALUE"""),10870.0)</f>
        <v>10870</v>
      </c>
      <c r="D2201" s="5">
        <f>IFERROR(__xludf.DUMMYFUNCTION("""COMPUTED_VALUE"""),0.31141938078005627)</f>
        <v>0.3114193808</v>
      </c>
      <c r="E2201" s="5">
        <f>IFERROR(__xludf.DUMMYFUNCTION("""COMPUTED_VALUE"""),0.13108162444712504)</f>
        <v>0.1310816244</v>
      </c>
      <c r="F2201" s="5">
        <f>IFERROR(__xludf.DUMMYFUNCTION("""COMPUTED_VALUE"""),0.22396461600321674)</f>
        <v>0.223964616</v>
      </c>
      <c r="G2201" s="5">
        <f>IFERROR(__xludf.DUMMYFUNCTION("""COMPUTED_VALUE"""),0.18053880176919984)</f>
        <v>0.1805388018</v>
      </c>
      <c r="H2201" s="5">
        <f>IFERROR(__xludf.DUMMYFUNCTION("""COMPUTED_VALUE"""),0.6225314183123878)</f>
        <v>0.6225314183</v>
      </c>
      <c r="I2201" s="11">
        <f>IFERROR(__xludf.DUMMYFUNCTION("""COMPUTED_VALUE"""),5785.682226211849)</f>
        <v>5785.682226</v>
      </c>
      <c r="J2201" s="10">
        <f>IFERROR(__xludf.DUMMYFUNCTION("""COMPUTED_VALUE"""),5.0)</f>
        <v>5</v>
      </c>
      <c r="K2201" s="5">
        <f>IFERROR(__xludf.DUMMYFUNCTION("""COMPUTED_VALUE"""),0.005422993492407809)</f>
        <v>0.005422993492</v>
      </c>
      <c r="L2201" s="10">
        <f>IFERROR(__xludf.DUMMYFUNCTION("""COMPUTED_VALUE"""),922.0)</f>
        <v>922</v>
      </c>
      <c r="M2201" s="5">
        <f>IFERROR(__xludf.DUMMYFUNCTION("""COMPUTED_VALUE"""),1.0)</f>
        <v>1</v>
      </c>
    </row>
    <row r="2202">
      <c r="A2202" s="10" t="str">
        <f>IFERROR(__xludf.DUMMYFUNCTION("""COMPUTED_VALUE"""),"ガラクタ帝王")</f>
        <v>ガラクタ帝王</v>
      </c>
      <c r="B2202" s="10">
        <f>IFERROR(__xludf.DUMMYFUNCTION("""COMPUTED_VALUE"""),527.0)</f>
        <v>527</v>
      </c>
      <c r="C2202" s="10">
        <f>IFERROR(__xludf.DUMMYFUNCTION("""COMPUTED_VALUE"""),6287.0)</f>
        <v>6287</v>
      </c>
      <c r="D2202" s="5">
        <f>IFERROR(__xludf.DUMMYFUNCTION("""COMPUTED_VALUE"""),0.3519097222222222)</f>
        <v>0.3519097222</v>
      </c>
      <c r="E2202" s="5">
        <f>IFERROR(__xludf.DUMMYFUNCTION("""COMPUTED_VALUE"""),0.1310763888888889)</f>
        <v>0.1310763889</v>
      </c>
      <c r="F2202" s="5">
        <f>IFERROR(__xludf.DUMMYFUNCTION("""COMPUTED_VALUE"""),0.21197916666666666)</f>
        <v>0.2119791667</v>
      </c>
      <c r="G2202" s="5">
        <f>IFERROR(__xludf.DUMMYFUNCTION("""COMPUTED_VALUE"""),0.18159722222222222)</f>
        <v>0.1815972222</v>
      </c>
      <c r="H2202" s="5">
        <f>IFERROR(__xludf.DUMMYFUNCTION("""COMPUTED_VALUE"""),0.6109746109746109)</f>
        <v>0.610974611</v>
      </c>
      <c r="I2202" s="11">
        <f>IFERROR(__xludf.DUMMYFUNCTION("""COMPUTED_VALUE"""),5453.316953316953)</f>
        <v>5453.316953</v>
      </c>
      <c r="J2202" s="10">
        <f>IFERROR(__xludf.DUMMYFUNCTION("""COMPUTED_VALUE"""),2.0)</f>
        <v>2</v>
      </c>
      <c r="K2202" s="5">
        <f>IFERROR(__xludf.DUMMYFUNCTION("""COMPUTED_VALUE"""),0.003795066413662239)</f>
        <v>0.003795066414</v>
      </c>
      <c r="L2202" s="10">
        <f>IFERROR(__xludf.DUMMYFUNCTION("""COMPUTED_VALUE"""),527.0)</f>
        <v>527</v>
      </c>
      <c r="M2202" s="5">
        <f>IFERROR(__xludf.DUMMYFUNCTION("""COMPUTED_VALUE"""),1.0)</f>
        <v>1</v>
      </c>
    </row>
    <row r="2203">
      <c r="A2203" s="10" t="str">
        <f>IFERROR(__xludf.DUMMYFUNCTION("""COMPUTED_VALUE"""),"Remmy691")</f>
        <v>Remmy691</v>
      </c>
      <c r="B2203" s="10">
        <f>IFERROR(__xludf.DUMMYFUNCTION("""COMPUTED_VALUE"""),142.0)</f>
        <v>142</v>
      </c>
      <c r="C2203" s="10">
        <f>IFERROR(__xludf.DUMMYFUNCTION("""COMPUTED_VALUE"""),1706.0)</f>
        <v>1706</v>
      </c>
      <c r="D2203" s="5">
        <f>IFERROR(__xludf.DUMMYFUNCTION("""COMPUTED_VALUE"""),0.3312020460358056)</f>
        <v>0.331202046</v>
      </c>
      <c r="E2203" s="5">
        <f>IFERROR(__xludf.DUMMYFUNCTION("""COMPUTED_VALUE"""),0.13107416879795397)</f>
        <v>0.1310741688</v>
      </c>
      <c r="F2203" s="5">
        <f>IFERROR(__xludf.DUMMYFUNCTION("""COMPUTED_VALUE"""),0.1918158567774936)</f>
        <v>0.1918158568</v>
      </c>
      <c r="G2203" s="5">
        <f>IFERROR(__xludf.DUMMYFUNCTION("""COMPUTED_VALUE"""),0.1918158567774936)</f>
        <v>0.1918158568</v>
      </c>
      <c r="H2203" s="5">
        <f>IFERROR(__xludf.DUMMYFUNCTION("""COMPUTED_VALUE"""),0.5933333333333334)</f>
        <v>0.5933333333</v>
      </c>
      <c r="I2203" s="11">
        <f>IFERROR(__xludf.DUMMYFUNCTION("""COMPUTED_VALUE"""),5577.333333333333)</f>
        <v>5577.333333</v>
      </c>
      <c r="J2203" s="10">
        <f>IFERROR(__xludf.DUMMYFUNCTION("""COMPUTED_VALUE"""),0.0)</f>
        <v>0</v>
      </c>
      <c r="K2203" s="5">
        <f>IFERROR(__xludf.DUMMYFUNCTION("""COMPUTED_VALUE"""),0.0)</f>
        <v>0</v>
      </c>
      <c r="L2203" s="10">
        <f>IFERROR(__xludf.DUMMYFUNCTION("""COMPUTED_VALUE"""),137.0)</f>
        <v>137</v>
      </c>
      <c r="M2203" s="5">
        <f>IFERROR(__xludf.DUMMYFUNCTION("""COMPUTED_VALUE"""),0.9647887323943662)</f>
        <v>0.9647887324</v>
      </c>
    </row>
    <row r="2204">
      <c r="A2204" s="10" t="str">
        <f>IFERROR(__xludf.DUMMYFUNCTION("""COMPUTED_VALUE"""),"たいし")</f>
        <v>たいし</v>
      </c>
      <c r="B2204" s="10">
        <f>IFERROR(__xludf.DUMMYFUNCTION("""COMPUTED_VALUE"""),771.0)</f>
        <v>771</v>
      </c>
      <c r="C2204" s="10">
        <f>IFERROR(__xludf.DUMMYFUNCTION("""COMPUTED_VALUE"""),8904.0)</f>
        <v>8904</v>
      </c>
      <c r="D2204" s="5">
        <f>IFERROR(__xludf.DUMMYFUNCTION("""COMPUTED_VALUE"""),0.40095905569900403)</f>
        <v>0.4009590557</v>
      </c>
      <c r="E2204" s="5">
        <f>IFERROR(__xludf.DUMMYFUNCTION("""COMPUTED_VALUE"""),0.13107094553055454)</f>
        <v>0.1310709455</v>
      </c>
      <c r="F2204" s="5">
        <f>IFERROR(__xludf.DUMMYFUNCTION("""COMPUTED_VALUE"""),0.23435386696176072)</f>
        <v>0.234353867</v>
      </c>
      <c r="G2204" s="5">
        <f>IFERROR(__xludf.DUMMYFUNCTION("""COMPUTED_VALUE"""),0.1728759375384237)</f>
        <v>0.1728759375</v>
      </c>
      <c r="H2204" s="5">
        <f>IFERROR(__xludf.DUMMYFUNCTION("""COMPUTED_VALUE"""),0.6007345225603358)</f>
        <v>0.6007345226</v>
      </c>
      <c r="I2204" s="11">
        <f>IFERROR(__xludf.DUMMYFUNCTION("""COMPUTED_VALUE"""),5260.545645330535)</f>
        <v>5260.545645</v>
      </c>
      <c r="J2204" s="10">
        <f>IFERROR(__xludf.DUMMYFUNCTION("""COMPUTED_VALUE"""),0.0)</f>
        <v>0</v>
      </c>
      <c r="K2204" s="5">
        <f>IFERROR(__xludf.DUMMYFUNCTION("""COMPUTED_VALUE"""),0.0)</f>
        <v>0</v>
      </c>
      <c r="L2204" s="10">
        <f>IFERROR(__xludf.DUMMYFUNCTION("""COMPUTED_VALUE"""),761.0)</f>
        <v>761</v>
      </c>
      <c r="M2204" s="5">
        <f>IFERROR(__xludf.DUMMYFUNCTION("""COMPUTED_VALUE"""),0.9870298313878081)</f>
        <v>0.9870298314</v>
      </c>
    </row>
    <row r="2205">
      <c r="A2205" s="10" t="str">
        <f>IFERROR(__xludf.DUMMYFUNCTION("""COMPUTED_VALUE"""),"ゴマ")</f>
        <v>ゴマ</v>
      </c>
      <c r="B2205" s="10">
        <f>IFERROR(__xludf.DUMMYFUNCTION("""COMPUTED_VALUE"""),157.0)</f>
        <v>157</v>
      </c>
      <c r="C2205" s="10">
        <f>IFERROR(__xludf.DUMMYFUNCTION("""COMPUTED_VALUE"""),1912.0)</f>
        <v>1912</v>
      </c>
      <c r="D2205" s="5">
        <f>IFERROR(__xludf.DUMMYFUNCTION("""COMPUTED_VALUE"""),0.3578347578347578)</f>
        <v>0.3578347578</v>
      </c>
      <c r="E2205" s="5">
        <f>IFERROR(__xludf.DUMMYFUNCTION("""COMPUTED_VALUE"""),0.13105413105413105)</f>
        <v>0.1310541311</v>
      </c>
      <c r="F2205" s="5">
        <f>IFERROR(__xludf.DUMMYFUNCTION("""COMPUTED_VALUE"""),0.21139601139601139)</f>
        <v>0.2113960114</v>
      </c>
      <c r="G2205" s="5">
        <f>IFERROR(__xludf.DUMMYFUNCTION("""COMPUTED_VALUE"""),0.17777777777777778)</f>
        <v>0.1777777778</v>
      </c>
      <c r="H2205" s="5">
        <f>IFERROR(__xludf.DUMMYFUNCTION("""COMPUTED_VALUE"""),0.5849056603773585)</f>
        <v>0.5849056604</v>
      </c>
      <c r="I2205" s="11">
        <f>IFERROR(__xludf.DUMMYFUNCTION("""COMPUTED_VALUE"""),5283.018867924528)</f>
        <v>5283.018868</v>
      </c>
      <c r="J2205" s="10">
        <f>IFERROR(__xludf.DUMMYFUNCTION("""COMPUTED_VALUE"""),0.0)</f>
        <v>0</v>
      </c>
      <c r="K2205" s="5">
        <f>IFERROR(__xludf.DUMMYFUNCTION("""COMPUTED_VALUE"""),0.0)</f>
        <v>0</v>
      </c>
      <c r="L2205" s="10">
        <f>IFERROR(__xludf.DUMMYFUNCTION("""COMPUTED_VALUE"""),157.0)</f>
        <v>157</v>
      </c>
      <c r="M2205" s="5">
        <f>IFERROR(__xludf.DUMMYFUNCTION("""COMPUTED_VALUE"""),1.0)</f>
        <v>1</v>
      </c>
    </row>
    <row r="2206">
      <c r="A2206" s="10" t="str">
        <f>IFERROR(__xludf.DUMMYFUNCTION("""COMPUTED_VALUE"""),"Dorako")</f>
        <v>Dorako</v>
      </c>
      <c r="B2206" s="10">
        <f>IFERROR(__xludf.DUMMYFUNCTION("""COMPUTED_VALUE"""),1173.0)</f>
        <v>1173</v>
      </c>
      <c r="C2206" s="10">
        <f>IFERROR(__xludf.DUMMYFUNCTION("""COMPUTED_VALUE"""),13779.0)</f>
        <v>13779</v>
      </c>
      <c r="D2206" s="5">
        <f>IFERROR(__xludf.DUMMYFUNCTION("""COMPUTED_VALUE"""),0.34142471838806915)</f>
        <v>0.3414247184</v>
      </c>
      <c r="E2206" s="5">
        <f>IFERROR(__xludf.DUMMYFUNCTION("""COMPUTED_VALUE"""),0.13104870696493734)</f>
        <v>0.131048707</v>
      </c>
      <c r="F2206" s="5">
        <f>IFERROR(__xludf.DUMMYFUNCTION("""COMPUTED_VALUE"""),0.20712359194034588)</f>
        <v>0.2071235919</v>
      </c>
      <c r="G2206" s="5">
        <f>IFERROR(__xludf.DUMMYFUNCTION("""COMPUTED_VALUE"""),0.16222433761700777)</f>
        <v>0.1622243376</v>
      </c>
      <c r="H2206" s="5">
        <f>IFERROR(__xludf.DUMMYFUNCTION("""COMPUTED_VALUE"""),0.5802374569130602)</f>
        <v>0.5802374569</v>
      </c>
      <c r="I2206" s="11">
        <f>IFERROR(__xludf.DUMMYFUNCTION("""COMPUTED_VALUE"""),5792.914592110303)</f>
        <v>5792.914592</v>
      </c>
      <c r="J2206" s="10">
        <f>IFERROR(__xludf.DUMMYFUNCTION("""COMPUTED_VALUE"""),6.0)</f>
        <v>6</v>
      </c>
      <c r="K2206" s="5">
        <f>IFERROR(__xludf.DUMMYFUNCTION("""COMPUTED_VALUE"""),0.005115089514066497)</f>
        <v>0.005115089514</v>
      </c>
      <c r="L2206" s="10">
        <f>IFERROR(__xludf.DUMMYFUNCTION("""COMPUTED_VALUE"""),419.0)</f>
        <v>419</v>
      </c>
      <c r="M2206" s="5">
        <f>IFERROR(__xludf.DUMMYFUNCTION("""COMPUTED_VALUE"""),0.35720375106564367)</f>
        <v>0.3572037511</v>
      </c>
    </row>
    <row r="2207">
      <c r="A2207" s="10" t="str">
        <f>IFERROR(__xludf.DUMMYFUNCTION("""COMPUTED_VALUE"""),"実妹")</f>
        <v>実妹</v>
      </c>
      <c r="B2207" s="10">
        <f>IFERROR(__xludf.DUMMYFUNCTION("""COMPUTED_VALUE"""),197.0)</f>
        <v>197</v>
      </c>
      <c r="C2207" s="10">
        <f>IFERROR(__xludf.DUMMYFUNCTION("""COMPUTED_VALUE"""),2288.0)</f>
        <v>2288</v>
      </c>
      <c r="D2207" s="5">
        <f>IFERROR(__xludf.DUMMYFUNCTION("""COMPUTED_VALUE"""),0.24725011956001913)</f>
        <v>0.2472501196</v>
      </c>
      <c r="E2207" s="5">
        <f>IFERROR(__xludf.DUMMYFUNCTION("""COMPUTED_VALUE"""),0.13103778096604496)</f>
        <v>0.131037781</v>
      </c>
      <c r="F2207" s="5">
        <f>IFERROR(__xludf.DUMMYFUNCTION("""COMPUTED_VALUE"""),0.18125298900047823)</f>
        <v>0.181252989</v>
      </c>
      <c r="G2207" s="5">
        <f>IFERROR(__xludf.DUMMYFUNCTION("""COMPUTED_VALUE"""),0.13629842180774748)</f>
        <v>0.1362984218</v>
      </c>
      <c r="H2207" s="5">
        <f>IFERROR(__xludf.DUMMYFUNCTION("""COMPUTED_VALUE"""),0.58311345646438)</f>
        <v>0.5831134565</v>
      </c>
      <c r="I2207" s="11">
        <f>IFERROR(__xludf.DUMMYFUNCTION("""COMPUTED_VALUE"""),6467.282321899736)</f>
        <v>6467.282322</v>
      </c>
      <c r="J2207" s="10">
        <f>IFERROR(__xludf.DUMMYFUNCTION("""COMPUTED_VALUE"""),1.0)</f>
        <v>1</v>
      </c>
      <c r="K2207" s="5">
        <f>IFERROR(__xludf.DUMMYFUNCTION("""COMPUTED_VALUE"""),0.005076142131979695)</f>
        <v>0.005076142132</v>
      </c>
      <c r="L2207" s="10">
        <f>IFERROR(__xludf.DUMMYFUNCTION("""COMPUTED_VALUE"""),0.0)</f>
        <v>0</v>
      </c>
      <c r="M2207" s="5">
        <f>IFERROR(__xludf.DUMMYFUNCTION("""COMPUTED_VALUE"""),0.0)</f>
        <v>0</v>
      </c>
    </row>
    <row r="2208">
      <c r="A2208" s="10" t="str">
        <f>IFERROR(__xludf.DUMMYFUNCTION("""COMPUTED_VALUE"""),"ろーそん鹿島")</f>
        <v>ろーそん鹿島</v>
      </c>
      <c r="B2208" s="10">
        <f>IFERROR(__xludf.DUMMYFUNCTION("""COMPUTED_VALUE"""),970.0)</f>
        <v>970</v>
      </c>
      <c r="C2208" s="10">
        <f>IFERROR(__xludf.DUMMYFUNCTION("""COMPUTED_VALUE"""),11242.0)</f>
        <v>11242</v>
      </c>
      <c r="D2208" s="5">
        <f>IFERROR(__xludf.DUMMYFUNCTION("""COMPUTED_VALUE"""),0.3261292834890966)</f>
        <v>0.3261292835</v>
      </c>
      <c r="E2208" s="5">
        <f>IFERROR(__xludf.DUMMYFUNCTION("""COMPUTED_VALUE"""),0.13103582554517135)</f>
        <v>0.1310358255</v>
      </c>
      <c r="F2208" s="5">
        <f>IFERROR(__xludf.DUMMYFUNCTION("""COMPUTED_VALUE"""),0.20356308411214954)</f>
        <v>0.2035630841</v>
      </c>
      <c r="G2208" s="5">
        <f>IFERROR(__xludf.DUMMYFUNCTION("""COMPUTED_VALUE"""),0.1953855140186916)</f>
        <v>0.195385514</v>
      </c>
      <c r="H2208" s="5">
        <f>IFERROR(__xludf.DUMMYFUNCTION("""COMPUTED_VALUE"""),0.6068866571018652)</f>
        <v>0.6068866571</v>
      </c>
      <c r="I2208" s="11">
        <f>IFERROR(__xludf.DUMMYFUNCTION("""COMPUTED_VALUE"""),5815.06456241033)</f>
        <v>5815.064562</v>
      </c>
      <c r="J2208" s="10">
        <f>IFERROR(__xludf.DUMMYFUNCTION("""COMPUTED_VALUE"""),0.0)</f>
        <v>0</v>
      </c>
      <c r="K2208" s="5">
        <f>IFERROR(__xludf.DUMMYFUNCTION("""COMPUTED_VALUE"""),0.0)</f>
        <v>0</v>
      </c>
      <c r="L2208" s="10">
        <f>IFERROR(__xludf.DUMMYFUNCTION("""COMPUTED_VALUE"""),1.0)</f>
        <v>1</v>
      </c>
      <c r="M2208" s="5">
        <f>IFERROR(__xludf.DUMMYFUNCTION("""COMPUTED_VALUE"""),0.0010309278350515464)</f>
        <v>0.001030927835</v>
      </c>
    </row>
    <row r="2209">
      <c r="A2209" s="10" t="str">
        <f>IFERROR(__xludf.DUMMYFUNCTION("""COMPUTED_VALUE"""),"CHANCE!")</f>
        <v>CHANCE!</v>
      </c>
      <c r="B2209" s="10">
        <f>IFERROR(__xludf.DUMMYFUNCTION("""COMPUTED_VALUE"""),279.0)</f>
        <v>279</v>
      </c>
      <c r="C2209" s="10">
        <f>IFERROR(__xludf.DUMMYFUNCTION("""COMPUTED_VALUE"""),3263.0)</f>
        <v>3263</v>
      </c>
      <c r="D2209" s="5">
        <f>IFERROR(__xludf.DUMMYFUNCTION("""COMPUTED_VALUE"""),0.35455764075067026)</f>
        <v>0.3545576408</v>
      </c>
      <c r="E2209" s="5">
        <f>IFERROR(__xludf.DUMMYFUNCTION("""COMPUTED_VALUE"""),0.13103217158176944)</f>
        <v>0.1310321716</v>
      </c>
      <c r="F2209" s="5">
        <f>IFERROR(__xludf.DUMMYFUNCTION("""COMPUTED_VALUE"""),0.19939678284182305)</f>
        <v>0.1993967828</v>
      </c>
      <c r="G2209" s="5">
        <f>IFERROR(__xludf.DUMMYFUNCTION("""COMPUTED_VALUE"""),0.15583109919571045)</f>
        <v>0.1558310992</v>
      </c>
      <c r="H2209" s="5">
        <f>IFERROR(__xludf.DUMMYFUNCTION("""COMPUTED_VALUE"""),0.6016806722689075)</f>
        <v>0.6016806723</v>
      </c>
      <c r="I2209" s="11">
        <f>IFERROR(__xludf.DUMMYFUNCTION("""COMPUTED_VALUE"""),5468.235294117647)</f>
        <v>5468.235294</v>
      </c>
      <c r="J2209" s="10">
        <f>IFERROR(__xludf.DUMMYFUNCTION("""COMPUTED_VALUE"""),0.0)</f>
        <v>0</v>
      </c>
      <c r="K2209" s="5">
        <f>IFERROR(__xludf.DUMMYFUNCTION("""COMPUTED_VALUE"""),0.0)</f>
        <v>0</v>
      </c>
      <c r="L2209" s="10">
        <f>IFERROR(__xludf.DUMMYFUNCTION("""COMPUTED_VALUE"""),279.0)</f>
        <v>279</v>
      </c>
      <c r="M2209" s="5">
        <f>IFERROR(__xludf.DUMMYFUNCTION("""COMPUTED_VALUE"""),1.0)</f>
        <v>1</v>
      </c>
    </row>
    <row r="2210">
      <c r="A2210" s="10" t="str">
        <f>IFERROR(__xludf.DUMMYFUNCTION("""COMPUTED_VALUE"""),"guang")</f>
        <v>guang</v>
      </c>
      <c r="B2210" s="10">
        <f>IFERROR(__xludf.DUMMYFUNCTION("""COMPUTED_VALUE"""),109.0)</f>
        <v>109</v>
      </c>
      <c r="C2210" s="10">
        <f>IFERROR(__xludf.DUMMYFUNCTION("""COMPUTED_VALUE"""),1292.0)</f>
        <v>1292</v>
      </c>
      <c r="D2210" s="5">
        <f>IFERROR(__xludf.DUMMYFUNCTION("""COMPUTED_VALUE"""),0.3592561284868977)</f>
        <v>0.3592561285</v>
      </c>
      <c r="E2210" s="5">
        <f>IFERROR(__xludf.DUMMYFUNCTION("""COMPUTED_VALUE"""),0.13102282333051563)</f>
        <v>0.1310228233</v>
      </c>
      <c r="F2210" s="5">
        <f>IFERROR(__xludf.DUMMYFUNCTION("""COMPUTED_VALUE"""),0.20202874049027894)</f>
        <v>0.2020287405</v>
      </c>
      <c r="G2210" s="5">
        <f>IFERROR(__xludf.DUMMYFUNCTION("""COMPUTED_VALUE"""),0.15131022823330514)</f>
        <v>0.1513102282</v>
      </c>
      <c r="H2210" s="5">
        <f>IFERROR(__xludf.DUMMYFUNCTION("""COMPUTED_VALUE"""),0.6276150627615062)</f>
        <v>0.6276150628</v>
      </c>
      <c r="I2210" s="11">
        <f>IFERROR(__xludf.DUMMYFUNCTION("""COMPUTED_VALUE"""),5230.125523012553)</f>
        <v>5230.125523</v>
      </c>
      <c r="J2210" s="10">
        <f>IFERROR(__xludf.DUMMYFUNCTION("""COMPUTED_VALUE"""),0.0)</f>
        <v>0</v>
      </c>
      <c r="K2210" s="5">
        <f>IFERROR(__xludf.DUMMYFUNCTION("""COMPUTED_VALUE"""),0.0)</f>
        <v>0</v>
      </c>
      <c r="L2210" s="10">
        <f>IFERROR(__xludf.DUMMYFUNCTION("""COMPUTED_VALUE"""),0.0)</f>
        <v>0</v>
      </c>
      <c r="M2210" s="5">
        <f>IFERROR(__xludf.DUMMYFUNCTION("""COMPUTED_VALUE"""),0.0)</f>
        <v>0</v>
      </c>
    </row>
    <row r="2211">
      <c r="A2211" s="10" t="str">
        <f>IFERROR(__xludf.DUMMYFUNCTION("""COMPUTED_VALUE"""),"五葉さん")</f>
        <v>五葉さん</v>
      </c>
      <c r="B2211" s="10">
        <f>IFERROR(__xludf.DUMMYFUNCTION("""COMPUTED_VALUE"""),529.0)</f>
        <v>529</v>
      </c>
      <c r="C2211" s="10">
        <f>IFERROR(__xludf.DUMMYFUNCTION("""COMPUTED_VALUE"""),6238.0)</f>
        <v>6238</v>
      </c>
      <c r="D2211" s="5">
        <f>IFERROR(__xludf.DUMMYFUNCTION("""COMPUTED_VALUE"""),0.419162725521107)</f>
        <v>0.4191627255</v>
      </c>
      <c r="E2211" s="5">
        <f>IFERROR(__xludf.DUMMYFUNCTION("""COMPUTED_VALUE"""),0.13102119460500963)</f>
        <v>0.1310211946</v>
      </c>
      <c r="F2211" s="5">
        <f>IFERROR(__xludf.DUMMYFUNCTION("""COMPUTED_VALUE"""),0.23121387283236994)</f>
        <v>0.2312138728</v>
      </c>
      <c r="G2211" s="5">
        <f>IFERROR(__xludf.DUMMYFUNCTION("""COMPUTED_VALUE"""),0.15519355403748467)</f>
        <v>0.155193554</v>
      </c>
      <c r="H2211" s="5">
        <f>IFERROR(__xludf.DUMMYFUNCTION("""COMPUTED_VALUE"""),0.603030303030303)</f>
        <v>0.603030303</v>
      </c>
      <c r="I2211" s="11">
        <f>IFERROR(__xludf.DUMMYFUNCTION("""COMPUTED_VALUE"""),5523.939393939394)</f>
        <v>5523.939394</v>
      </c>
      <c r="J2211" s="10">
        <f>IFERROR(__xludf.DUMMYFUNCTION("""COMPUTED_VALUE"""),1.0)</f>
        <v>1</v>
      </c>
      <c r="K2211" s="5">
        <f>IFERROR(__xludf.DUMMYFUNCTION("""COMPUTED_VALUE"""),0.001890359168241966)</f>
        <v>0.001890359168</v>
      </c>
      <c r="L2211" s="10">
        <f>IFERROR(__xludf.DUMMYFUNCTION("""COMPUTED_VALUE"""),529.0)</f>
        <v>529</v>
      </c>
      <c r="M2211" s="5">
        <f>IFERROR(__xludf.DUMMYFUNCTION("""COMPUTED_VALUE"""),1.0)</f>
        <v>1</v>
      </c>
    </row>
    <row r="2212">
      <c r="A2212" s="10" t="str">
        <f>IFERROR(__xludf.DUMMYFUNCTION("""COMPUTED_VALUE"""),"yalpha")</f>
        <v>yalpha</v>
      </c>
      <c r="B2212" s="10">
        <f>IFERROR(__xludf.DUMMYFUNCTION("""COMPUTED_VALUE"""),499.0)</f>
        <v>499</v>
      </c>
      <c r="C2212" s="10">
        <f>IFERROR(__xludf.DUMMYFUNCTION("""COMPUTED_VALUE"""),5965.0)</f>
        <v>5965</v>
      </c>
      <c r="D2212" s="5">
        <f>IFERROR(__xludf.DUMMYFUNCTION("""COMPUTED_VALUE"""),0.393889498719356)</f>
        <v>0.3938894987</v>
      </c>
      <c r="E2212" s="5">
        <f>IFERROR(__xludf.DUMMYFUNCTION("""COMPUTED_VALUE"""),0.1309915843395536)</f>
        <v>0.1309915843</v>
      </c>
      <c r="F2212" s="5">
        <f>IFERROR(__xludf.DUMMYFUNCTION("""COMPUTED_VALUE"""),0.20819612147822905)</f>
        <v>0.2081961215</v>
      </c>
      <c r="G2212" s="5">
        <f>IFERROR(__xludf.DUMMYFUNCTION("""COMPUTED_VALUE"""),0.13666300768386389)</f>
        <v>0.1366630077</v>
      </c>
      <c r="H2212" s="5">
        <f>IFERROR(__xludf.DUMMYFUNCTION("""COMPUTED_VALUE"""),0.6265377855887522)</f>
        <v>0.6265377856</v>
      </c>
      <c r="I2212" s="11">
        <f>IFERROR(__xludf.DUMMYFUNCTION("""COMPUTED_VALUE"""),5662.126537785589)</f>
        <v>5662.126538</v>
      </c>
      <c r="J2212" s="10">
        <f>IFERROR(__xludf.DUMMYFUNCTION("""COMPUTED_VALUE"""),0.0)</f>
        <v>0</v>
      </c>
      <c r="K2212" s="5">
        <f>IFERROR(__xludf.DUMMYFUNCTION("""COMPUTED_VALUE"""),0.0)</f>
        <v>0</v>
      </c>
      <c r="L2212" s="10">
        <f>IFERROR(__xludf.DUMMYFUNCTION("""COMPUTED_VALUE"""),499.0)</f>
        <v>499</v>
      </c>
      <c r="M2212" s="5">
        <f>IFERROR(__xludf.DUMMYFUNCTION("""COMPUTED_VALUE"""),1.0)</f>
        <v>1</v>
      </c>
    </row>
    <row r="2213">
      <c r="A2213" s="10" t="str">
        <f>IFERROR(__xludf.DUMMYFUNCTION("""COMPUTED_VALUE"""),"激動の神無月")</f>
        <v>激動の神無月</v>
      </c>
      <c r="B2213" s="10">
        <f>IFERROR(__xludf.DUMMYFUNCTION("""COMPUTED_VALUE"""),164.0)</f>
        <v>164</v>
      </c>
      <c r="C2213" s="10">
        <f>IFERROR(__xludf.DUMMYFUNCTION("""COMPUTED_VALUE"""),1897.0)</f>
        <v>1897</v>
      </c>
      <c r="D2213" s="5">
        <f>IFERROR(__xludf.DUMMYFUNCTION("""COMPUTED_VALUE"""),0.378534333525678)</f>
        <v>0.3785343335</v>
      </c>
      <c r="E2213" s="5">
        <f>IFERROR(__xludf.DUMMYFUNCTION("""COMPUTED_VALUE"""),0.1309867282169648)</f>
        <v>0.1309867282</v>
      </c>
      <c r="F2213" s="5">
        <f>IFERROR(__xludf.DUMMYFUNCTION("""COMPUTED_VALUE"""),0.21234852856318523)</f>
        <v>0.2123485286</v>
      </c>
      <c r="G2213" s="5">
        <f>IFERROR(__xludf.DUMMYFUNCTION("""COMPUTED_VALUE"""),0.1829197922677438)</f>
        <v>0.1829197923</v>
      </c>
      <c r="H2213" s="5">
        <f>IFERROR(__xludf.DUMMYFUNCTION("""COMPUTED_VALUE"""),0.5706521739130435)</f>
        <v>0.5706521739</v>
      </c>
      <c r="I2213" s="11">
        <f>IFERROR(__xludf.DUMMYFUNCTION("""COMPUTED_VALUE"""),5272.010869565217)</f>
        <v>5272.01087</v>
      </c>
      <c r="J2213" s="10">
        <f>IFERROR(__xludf.DUMMYFUNCTION("""COMPUTED_VALUE"""),0.0)</f>
        <v>0</v>
      </c>
      <c r="K2213" s="5">
        <f>IFERROR(__xludf.DUMMYFUNCTION("""COMPUTED_VALUE"""),0.0)</f>
        <v>0</v>
      </c>
      <c r="L2213" s="10">
        <f>IFERROR(__xludf.DUMMYFUNCTION("""COMPUTED_VALUE"""),0.0)</f>
        <v>0</v>
      </c>
      <c r="M2213" s="5">
        <f>IFERROR(__xludf.DUMMYFUNCTION("""COMPUTED_VALUE"""),0.0)</f>
        <v>0</v>
      </c>
    </row>
    <row r="2214">
      <c r="A2214" s="10" t="str">
        <f>IFERROR(__xludf.DUMMYFUNCTION("""COMPUTED_VALUE"""),"ナガヤマ")</f>
        <v>ナガヤマ</v>
      </c>
      <c r="B2214" s="10">
        <f>IFERROR(__xludf.DUMMYFUNCTION("""COMPUTED_VALUE"""),1035.0)</f>
        <v>1035</v>
      </c>
      <c r="C2214" s="10">
        <f>IFERROR(__xludf.DUMMYFUNCTION("""COMPUTED_VALUE"""),12175.0)</f>
        <v>12175</v>
      </c>
      <c r="D2214" s="5">
        <f>IFERROR(__xludf.DUMMYFUNCTION("""COMPUTED_VALUE"""),0.37881508078994613)</f>
        <v>0.3788150808</v>
      </c>
      <c r="E2214" s="5">
        <f>IFERROR(__xludf.DUMMYFUNCTION("""COMPUTED_VALUE"""),0.13096947935368042)</f>
        <v>0.1309694794</v>
      </c>
      <c r="F2214" s="5">
        <f>IFERROR(__xludf.DUMMYFUNCTION("""COMPUTED_VALUE"""),0.2122980251346499)</f>
        <v>0.2122980251</v>
      </c>
      <c r="G2214" s="5">
        <f>IFERROR(__xludf.DUMMYFUNCTION("""COMPUTED_VALUE"""),0.18877917414721723)</f>
        <v>0.1887791741</v>
      </c>
      <c r="H2214" s="5">
        <f>IFERROR(__xludf.DUMMYFUNCTION("""COMPUTED_VALUE"""),0.5708245243128964)</f>
        <v>0.5708245243</v>
      </c>
      <c r="I2214" s="11">
        <f>IFERROR(__xludf.DUMMYFUNCTION("""COMPUTED_VALUE"""),5488.668076109937)</f>
        <v>5488.668076</v>
      </c>
      <c r="J2214" s="10">
        <f>IFERROR(__xludf.DUMMYFUNCTION("""COMPUTED_VALUE"""),3.0)</f>
        <v>3</v>
      </c>
      <c r="K2214" s="5">
        <f>IFERROR(__xludf.DUMMYFUNCTION("""COMPUTED_VALUE"""),0.002898550724637681)</f>
        <v>0.002898550725</v>
      </c>
      <c r="L2214" s="10">
        <f>IFERROR(__xludf.DUMMYFUNCTION("""COMPUTED_VALUE"""),1035.0)</f>
        <v>1035</v>
      </c>
      <c r="M2214" s="5">
        <f>IFERROR(__xludf.DUMMYFUNCTION("""COMPUTED_VALUE"""),1.0)</f>
        <v>1</v>
      </c>
    </row>
    <row r="2215">
      <c r="A2215" s="10" t="str">
        <f>IFERROR(__xludf.DUMMYFUNCTION("""COMPUTED_VALUE"""),"tura")</f>
        <v>tura</v>
      </c>
      <c r="B2215" s="10">
        <f>IFERROR(__xludf.DUMMYFUNCTION("""COMPUTED_VALUE"""),212.0)</f>
        <v>212</v>
      </c>
      <c r="C2215" s="10">
        <f>IFERROR(__xludf.DUMMYFUNCTION("""COMPUTED_VALUE"""),2495.0)</f>
        <v>2495</v>
      </c>
      <c r="D2215" s="5">
        <f>IFERROR(__xludf.DUMMYFUNCTION("""COMPUTED_VALUE"""),0.34734997809899254)</f>
        <v>0.3473499781</v>
      </c>
      <c r="E2215" s="5">
        <f>IFERROR(__xludf.DUMMYFUNCTION("""COMPUTED_VALUE"""),0.13096802452912834)</f>
        <v>0.1309680245</v>
      </c>
      <c r="F2215" s="5">
        <f>IFERROR(__xludf.DUMMYFUNCTION("""COMPUTED_VALUE"""),0.1953569864213754)</f>
        <v>0.1953569864</v>
      </c>
      <c r="G2215" s="5">
        <f>IFERROR(__xludf.DUMMYFUNCTION("""COMPUTED_VALUE"""),0.1471747700394218)</f>
        <v>0.14717477</v>
      </c>
      <c r="H2215" s="5">
        <f>IFERROR(__xludf.DUMMYFUNCTION("""COMPUTED_VALUE"""),0.600896860986547)</f>
        <v>0.600896861</v>
      </c>
      <c r="I2215" s="11">
        <f>IFERROR(__xludf.DUMMYFUNCTION("""COMPUTED_VALUE"""),5481.838565022422)</f>
        <v>5481.838565</v>
      </c>
      <c r="J2215" s="10">
        <f>IFERROR(__xludf.DUMMYFUNCTION("""COMPUTED_VALUE"""),0.0)</f>
        <v>0</v>
      </c>
      <c r="K2215" s="5">
        <f>IFERROR(__xludf.DUMMYFUNCTION("""COMPUTED_VALUE"""),0.0)</f>
        <v>0</v>
      </c>
      <c r="L2215" s="10">
        <f>IFERROR(__xludf.DUMMYFUNCTION("""COMPUTED_VALUE"""),212.0)</f>
        <v>212</v>
      </c>
      <c r="M2215" s="5">
        <f>IFERROR(__xludf.DUMMYFUNCTION("""COMPUTED_VALUE"""),1.0)</f>
        <v>1</v>
      </c>
    </row>
    <row r="2216">
      <c r="A2216" s="10" t="str">
        <f>IFERROR(__xludf.DUMMYFUNCTION("""COMPUTED_VALUE"""),"Marice")</f>
        <v>Marice</v>
      </c>
      <c r="B2216" s="10">
        <f>IFERROR(__xludf.DUMMYFUNCTION("""COMPUTED_VALUE"""),306.0)</f>
        <v>306</v>
      </c>
      <c r="C2216" s="10">
        <f>IFERROR(__xludf.DUMMYFUNCTION("""COMPUTED_VALUE"""),3643.0)</f>
        <v>3643</v>
      </c>
      <c r="D2216" s="5">
        <f>IFERROR(__xludf.DUMMYFUNCTION("""COMPUTED_VALUE"""),0.323943661971831)</f>
        <v>0.323943662</v>
      </c>
      <c r="E2216" s="5">
        <f>IFERROR(__xludf.DUMMYFUNCTION("""COMPUTED_VALUE"""),0.13095594845669764)</f>
        <v>0.1309559485</v>
      </c>
      <c r="F2216" s="5">
        <f>IFERROR(__xludf.DUMMYFUNCTION("""COMPUTED_VALUE"""),0.20377584656877434)</f>
        <v>0.2037758466</v>
      </c>
      <c r="G2216" s="5">
        <f>IFERROR(__xludf.DUMMYFUNCTION("""COMPUTED_VALUE"""),0.14444111477374888)</f>
        <v>0.1444411148</v>
      </c>
      <c r="H2216" s="5">
        <f>IFERROR(__xludf.DUMMYFUNCTION("""COMPUTED_VALUE"""),0.5882352941176471)</f>
        <v>0.5882352941</v>
      </c>
      <c r="I2216" s="11">
        <f>IFERROR(__xludf.DUMMYFUNCTION("""COMPUTED_VALUE"""),5524.705882352941)</f>
        <v>5524.705882</v>
      </c>
      <c r="J2216" s="10">
        <f>IFERROR(__xludf.DUMMYFUNCTION("""COMPUTED_VALUE"""),0.0)</f>
        <v>0</v>
      </c>
      <c r="K2216" s="5">
        <f>IFERROR(__xludf.DUMMYFUNCTION("""COMPUTED_VALUE"""),0.0)</f>
        <v>0</v>
      </c>
      <c r="L2216" s="10">
        <f>IFERROR(__xludf.DUMMYFUNCTION("""COMPUTED_VALUE"""),306.0)</f>
        <v>306</v>
      </c>
      <c r="M2216" s="5">
        <f>IFERROR(__xludf.DUMMYFUNCTION("""COMPUTED_VALUE"""),1.0)</f>
        <v>1</v>
      </c>
    </row>
    <row r="2217">
      <c r="A2217" s="10" t="str">
        <f>IFERROR(__xludf.DUMMYFUNCTION("""COMPUTED_VALUE"""),"本物女子高生")</f>
        <v>本物女子高生</v>
      </c>
      <c r="B2217" s="10">
        <f>IFERROR(__xludf.DUMMYFUNCTION("""COMPUTED_VALUE"""),620.0)</f>
        <v>620</v>
      </c>
      <c r="C2217" s="10">
        <f>IFERROR(__xludf.DUMMYFUNCTION("""COMPUTED_VALUE"""),7302.0)</f>
        <v>7302</v>
      </c>
      <c r="D2217" s="5">
        <f>IFERROR(__xludf.DUMMYFUNCTION("""COMPUTED_VALUE"""),0.3680035917390003)</f>
        <v>0.3680035917</v>
      </c>
      <c r="E2217" s="5">
        <f>IFERROR(__xludf.DUMMYFUNCTION("""COMPUTED_VALUE"""),0.13094881771924574)</f>
        <v>0.1309488177</v>
      </c>
      <c r="F2217" s="5">
        <f>IFERROR(__xludf.DUMMYFUNCTION("""COMPUTED_VALUE"""),0.22178988326848248)</f>
        <v>0.2217898833</v>
      </c>
      <c r="G2217" s="5">
        <f>IFERROR(__xludf.DUMMYFUNCTION("""COMPUTED_VALUE"""),0.18063454055671954)</f>
        <v>0.1806345406</v>
      </c>
      <c r="H2217" s="5">
        <f>IFERROR(__xludf.DUMMYFUNCTION("""COMPUTED_VALUE"""),0.6099865047233468)</f>
        <v>0.6099865047</v>
      </c>
      <c r="I2217" s="11">
        <f>IFERROR(__xludf.DUMMYFUNCTION("""COMPUTED_VALUE"""),5442.375168690958)</f>
        <v>5442.375169</v>
      </c>
      <c r="J2217" s="10">
        <f>IFERROR(__xludf.DUMMYFUNCTION("""COMPUTED_VALUE"""),0.0)</f>
        <v>0</v>
      </c>
      <c r="K2217" s="5">
        <f>IFERROR(__xludf.DUMMYFUNCTION("""COMPUTED_VALUE"""),0.0)</f>
        <v>0</v>
      </c>
      <c r="L2217" s="10">
        <f>IFERROR(__xludf.DUMMYFUNCTION("""COMPUTED_VALUE"""),0.0)</f>
        <v>0</v>
      </c>
      <c r="M2217" s="5">
        <f>IFERROR(__xludf.DUMMYFUNCTION("""COMPUTED_VALUE"""),0.0)</f>
        <v>0</v>
      </c>
    </row>
    <row r="2218">
      <c r="A2218" s="10" t="str">
        <f>IFERROR(__xludf.DUMMYFUNCTION("""COMPUTED_VALUE"""),"ねじまき鳥∮")</f>
        <v>ねじまき鳥∮</v>
      </c>
      <c r="B2218" s="10">
        <f>IFERROR(__xludf.DUMMYFUNCTION("""COMPUTED_VALUE"""),604.0)</f>
        <v>604</v>
      </c>
      <c r="C2218" s="10">
        <f>IFERROR(__xludf.DUMMYFUNCTION("""COMPUTED_VALUE"""),7248.0)</f>
        <v>7248</v>
      </c>
      <c r="D2218" s="5">
        <f>IFERROR(__xludf.DUMMYFUNCTION("""COMPUTED_VALUE"""),0.34241420830824804)</f>
        <v>0.3424142083</v>
      </c>
      <c r="E2218" s="5">
        <f>IFERROR(__xludf.DUMMYFUNCTION("""COMPUTED_VALUE"""),0.13094521372667067)</f>
        <v>0.1309452137</v>
      </c>
      <c r="F2218" s="5">
        <f>IFERROR(__xludf.DUMMYFUNCTION("""COMPUTED_VALUE"""),0.20484647802528597)</f>
        <v>0.204846478</v>
      </c>
      <c r="G2218" s="5">
        <f>IFERROR(__xludf.DUMMYFUNCTION("""COMPUTED_VALUE"""),0.16556291390728478)</f>
        <v>0.1655629139</v>
      </c>
      <c r="H2218" s="5">
        <f>IFERROR(__xludf.DUMMYFUNCTION("""COMPUTED_VALUE"""),0.5870683321087435)</f>
        <v>0.5870683321</v>
      </c>
      <c r="I2218" s="11">
        <f>IFERROR(__xludf.DUMMYFUNCTION("""COMPUTED_VALUE"""),5560.470242468773)</f>
        <v>5560.470242</v>
      </c>
      <c r="J2218" s="10">
        <f>IFERROR(__xludf.DUMMYFUNCTION("""COMPUTED_VALUE"""),1.0)</f>
        <v>1</v>
      </c>
      <c r="K2218" s="5">
        <f>IFERROR(__xludf.DUMMYFUNCTION("""COMPUTED_VALUE"""),0.0016556291390728477)</f>
        <v>0.001655629139</v>
      </c>
      <c r="L2218" s="10">
        <f>IFERROR(__xludf.DUMMYFUNCTION("""COMPUTED_VALUE"""),542.0)</f>
        <v>542</v>
      </c>
      <c r="M2218" s="5">
        <f>IFERROR(__xludf.DUMMYFUNCTION("""COMPUTED_VALUE"""),0.8973509933774835)</f>
        <v>0.8973509934</v>
      </c>
    </row>
    <row r="2219">
      <c r="A2219" s="10" t="str">
        <f>IFERROR(__xludf.DUMMYFUNCTION("""COMPUTED_VALUE"""),"zazazaza")</f>
        <v>zazazaza</v>
      </c>
      <c r="B2219" s="10">
        <f>IFERROR(__xludf.DUMMYFUNCTION("""COMPUTED_VALUE"""),965.0)</f>
        <v>965</v>
      </c>
      <c r="C2219" s="10">
        <f>IFERROR(__xludf.DUMMYFUNCTION("""COMPUTED_VALUE"""),11191.0)</f>
        <v>11191</v>
      </c>
      <c r="D2219" s="5">
        <f>IFERROR(__xludf.DUMMYFUNCTION("""COMPUTED_VALUE"""),0.28183062781146095)</f>
        <v>0.2818306278</v>
      </c>
      <c r="E2219" s="5">
        <f>IFERROR(__xludf.DUMMYFUNCTION("""COMPUTED_VALUE"""),0.13094073929200079)</f>
        <v>0.1309407393</v>
      </c>
      <c r="F2219" s="5">
        <f>IFERROR(__xludf.DUMMYFUNCTION("""COMPUTED_VALUE"""),0.19078818697437902)</f>
        <v>0.190788187</v>
      </c>
      <c r="G2219" s="5">
        <f>IFERROR(__xludf.DUMMYFUNCTION("""COMPUTED_VALUE"""),0.17670643457852533)</f>
        <v>0.1767064346</v>
      </c>
      <c r="H2219" s="5">
        <f>IFERROR(__xludf.DUMMYFUNCTION("""COMPUTED_VALUE"""),0.5996924654023578)</f>
        <v>0.5996924654</v>
      </c>
      <c r="I2219" s="11">
        <f>IFERROR(__xludf.DUMMYFUNCTION("""COMPUTED_VALUE"""),6123.270117888263)</f>
        <v>6123.270118</v>
      </c>
      <c r="J2219" s="10">
        <f>IFERROR(__xludf.DUMMYFUNCTION("""COMPUTED_VALUE"""),2.0)</f>
        <v>2</v>
      </c>
      <c r="K2219" s="5">
        <f>IFERROR(__xludf.DUMMYFUNCTION("""COMPUTED_VALUE"""),0.002072538860103627)</f>
        <v>0.00207253886</v>
      </c>
      <c r="L2219" s="10">
        <f>IFERROR(__xludf.DUMMYFUNCTION("""COMPUTED_VALUE"""),965.0)</f>
        <v>965</v>
      </c>
      <c r="M2219" s="5">
        <f>IFERROR(__xludf.DUMMYFUNCTION("""COMPUTED_VALUE"""),1.0)</f>
        <v>1</v>
      </c>
    </row>
    <row r="2220">
      <c r="A2220" s="10" t="str">
        <f>IFERROR(__xludf.DUMMYFUNCTION("""COMPUTED_VALUE"""),"ex泰然型")</f>
        <v>ex泰然型</v>
      </c>
      <c r="B2220" s="10">
        <f>IFERROR(__xludf.DUMMYFUNCTION("""COMPUTED_VALUE"""),234.0)</f>
        <v>234</v>
      </c>
      <c r="C2220" s="10">
        <f>IFERROR(__xludf.DUMMYFUNCTION("""COMPUTED_VALUE"""),2785.0)</f>
        <v>2785</v>
      </c>
      <c r="D2220" s="5">
        <f>IFERROR(__xludf.DUMMYFUNCTION("""COMPUTED_VALUE"""),0.4018032144257154)</f>
        <v>0.4018032144</v>
      </c>
      <c r="E2220" s="5">
        <f>IFERROR(__xludf.DUMMYFUNCTION("""COMPUTED_VALUE"""),0.13092904743237946)</f>
        <v>0.1309290474</v>
      </c>
      <c r="F2220" s="5">
        <f>IFERROR(__xludf.DUMMYFUNCTION("""COMPUTED_VALUE"""),0.20227361818894551)</f>
        <v>0.2022736182</v>
      </c>
      <c r="G2220" s="5">
        <f>IFERROR(__xludf.DUMMYFUNCTION("""COMPUTED_VALUE"""),0.1662093296746374)</f>
        <v>0.1662093297</v>
      </c>
      <c r="H2220" s="5">
        <f>IFERROR(__xludf.DUMMYFUNCTION("""COMPUTED_VALUE"""),0.6007751937984496)</f>
        <v>0.6007751938</v>
      </c>
      <c r="I2220" s="11">
        <f>IFERROR(__xludf.DUMMYFUNCTION("""COMPUTED_VALUE"""),5383.333333333333)</f>
        <v>5383.333333</v>
      </c>
      <c r="J2220" s="10">
        <f>IFERROR(__xludf.DUMMYFUNCTION("""COMPUTED_VALUE"""),0.0)</f>
        <v>0</v>
      </c>
      <c r="K2220" s="5">
        <f>IFERROR(__xludf.DUMMYFUNCTION("""COMPUTED_VALUE"""),0.0)</f>
        <v>0</v>
      </c>
      <c r="L2220" s="10">
        <f>IFERROR(__xludf.DUMMYFUNCTION("""COMPUTED_VALUE"""),0.0)</f>
        <v>0</v>
      </c>
      <c r="M2220" s="5">
        <f>IFERROR(__xludf.DUMMYFUNCTION("""COMPUTED_VALUE"""),0.0)</f>
        <v>0</v>
      </c>
    </row>
    <row r="2221">
      <c r="A2221" s="10" t="str">
        <f>IFERROR(__xludf.DUMMYFUNCTION("""COMPUTED_VALUE"""),"グンダリー")</f>
        <v>グンダリー</v>
      </c>
      <c r="B2221" s="10">
        <f>IFERROR(__xludf.DUMMYFUNCTION("""COMPUTED_VALUE"""),272.0)</f>
        <v>272</v>
      </c>
      <c r="C2221" s="10">
        <f>IFERROR(__xludf.DUMMYFUNCTION("""COMPUTED_VALUE"""),3205.0)</f>
        <v>3205</v>
      </c>
      <c r="D2221" s="5">
        <f>IFERROR(__xludf.DUMMYFUNCTION("""COMPUTED_VALUE"""),0.34435731333106034)</f>
        <v>0.3443573133</v>
      </c>
      <c r="E2221" s="5">
        <f>IFERROR(__xludf.DUMMYFUNCTION("""COMPUTED_VALUE"""),0.13092396863279918)</f>
        <v>0.1309239686</v>
      </c>
      <c r="F2221" s="5">
        <f>IFERROR(__xludf.DUMMYFUNCTION("""COMPUTED_VALUE"""),0.21343334469826117)</f>
        <v>0.2134333447</v>
      </c>
      <c r="G2221" s="5">
        <f>IFERROR(__xludf.DUMMYFUNCTION("""COMPUTED_VALUE"""),0.19399931810433005)</f>
        <v>0.1939993181</v>
      </c>
      <c r="H2221" s="5">
        <f>IFERROR(__xludf.DUMMYFUNCTION("""COMPUTED_VALUE"""),0.5686900958466453)</f>
        <v>0.5686900958</v>
      </c>
      <c r="I2221" s="11">
        <f>IFERROR(__xludf.DUMMYFUNCTION("""COMPUTED_VALUE"""),5752.3961661341855)</f>
        <v>5752.396166</v>
      </c>
      <c r="J2221" s="10">
        <f>IFERROR(__xludf.DUMMYFUNCTION("""COMPUTED_VALUE"""),0.0)</f>
        <v>0</v>
      </c>
      <c r="K2221" s="5">
        <f>IFERROR(__xludf.DUMMYFUNCTION("""COMPUTED_VALUE"""),0.0)</f>
        <v>0</v>
      </c>
      <c r="L2221" s="10">
        <f>IFERROR(__xludf.DUMMYFUNCTION("""COMPUTED_VALUE"""),237.0)</f>
        <v>237</v>
      </c>
      <c r="M2221" s="5">
        <f>IFERROR(__xludf.DUMMYFUNCTION("""COMPUTED_VALUE"""),0.8713235294117647)</f>
        <v>0.8713235294</v>
      </c>
    </row>
    <row r="2222">
      <c r="A2222" s="10" t="str">
        <f>IFERROR(__xludf.DUMMYFUNCTION("""COMPUTED_VALUE"""),"Tボーンステーキ")</f>
        <v>Tボーンステーキ</v>
      </c>
      <c r="B2222" s="10">
        <f>IFERROR(__xludf.DUMMYFUNCTION("""COMPUTED_VALUE"""),432.0)</f>
        <v>432</v>
      </c>
      <c r="C2222" s="10">
        <f>IFERROR(__xludf.DUMMYFUNCTION("""COMPUTED_VALUE"""),5076.0)</f>
        <v>5076</v>
      </c>
      <c r="D2222" s="5">
        <f>IFERROR(__xludf.DUMMYFUNCTION("""COMPUTED_VALUE"""),0.32385874246339363)</f>
        <v>0.3238587425</v>
      </c>
      <c r="E2222" s="5">
        <f>IFERROR(__xludf.DUMMYFUNCTION("""COMPUTED_VALUE"""),0.13092161929371232)</f>
        <v>0.1309216193</v>
      </c>
      <c r="F2222" s="5">
        <f>IFERROR(__xludf.DUMMYFUNCTION("""COMPUTED_VALUE"""),0.2136089577950043)</f>
        <v>0.2136089578</v>
      </c>
      <c r="G2222" s="5">
        <f>IFERROR(__xludf.DUMMYFUNCTION("""COMPUTED_VALUE"""),0.16429801894918175)</f>
        <v>0.1642980189</v>
      </c>
      <c r="H2222" s="5">
        <f>IFERROR(__xludf.DUMMYFUNCTION("""COMPUTED_VALUE"""),0.6028225806451613)</f>
        <v>0.6028225806</v>
      </c>
      <c r="I2222" s="11">
        <f>IFERROR(__xludf.DUMMYFUNCTION("""COMPUTED_VALUE"""),5602.217741935484)</f>
        <v>5602.217742</v>
      </c>
      <c r="J2222" s="10">
        <f>IFERROR(__xludf.DUMMYFUNCTION("""COMPUTED_VALUE"""),2.0)</f>
        <v>2</v>
      </c>
      <c r="K2222" s="5">
        <f>IFERROR(__xludf.DUMMYFUNCTION("""COMPUTED_VALUE"""),0.004629629629629629)</f>
        <v>0.00462962963</v>
      </c>
      <c r="L2222" s="10">
        <f>IFERROR(__xludf.DUMMYFUNCTION("""COMPUTED_VALUE"""),432.0)</f>
        <v>432</v>
      </c>
      <c r="M2222" s="5">
        <f>IFERROR(__xludf.DUMMYFUNCTION("""COMPUTED_VALUE"""),1.0)</f>
        <v>1</v>
      </c>
    </row>
    <row r="2223">
      <c r="A2223" s="10" t="str">
        <f>IFERROR(__xludf.DUMMYFUNCTION("""COMPUTED_VALUE"""),"めっち＠ニコ生")</f>
        <v>めっち＠ニコ生</v>
      </c>
      <c r="B2223" s="10">
        <f>IFERROR(__xludf.DUMMYFUNCTION("""COMPUTED_VALUE"""),175.0)</f>
        <v>175</v>
      </c>
      <c r="C2223" s="10">
        <f>IFERROR(__xludf.DUMMYFUNCTION("""COMPUTED_VALUE"""),2077.0)</f>
        <v>2077</v>
      </c>
      <c r="D2223" s="5">
        <f>IFERROR(__xludf.DUMMYFUNCTION("""COMPUTED_VALUE"""),0.3901156677181914)</f>
        <v>0.3901156677</v>
      </c>
      <c r="E2223" s="5">
        <f>IFERROR(__xludf.DUMMYFUNCTION("""COMPUTED_VALUE"""),0.1309148264984227)</f>
        <v>0.1309148265</v>
      </c>
      <c r="F2223" s="5">
        <f>IFERROR(__xludf.DUMMYFUNCTION("""COMPUTED_VALUE"""),0.22082018927444794)</f>
        <v>0.2208201893</v>
      </c>
      <c r="G2223" s="5">
        <f>IFERROR(__xludf.DUMMYFUNCTION("""COMPUTED_VALUE"""),0.16456361724500526)</f>
        <v>0.1645636172</v>
      </c>
      <c r="H2223" s="5">
        <f>IFERROR(__xludf.DUMMYFUNCTION("""COMPUTED_VALUE"""),0.6071428571428571)</f>
        <v>0.6071428571</v>
      </c>
      <c r="I2223" s="11">
        <f>IFERROR(__xludf.DUMMYFUNCTION("""COMPUTED_VALUE"""),5215.714285714285)</f>
        <v>5215.714286</v>
      </c>
      <c r="J2223" s="10">
        <f>IFERROR(__xludf.DUMMYFUNCTION("""COMPUTED_VALUE"""),1.0)</f>
        <v>1</v>
      </c>
      <c r="K2223" s="5">
        <f>IFERROR(__xludf.DUMMYFUNCTION("""COMPUTED_VALUE"""),0.005714285714285714)</f>
        <v>0.005714285714</v>
      </c>
      <c r="L2223" s="10">
        <f>IFERROR(__xludf.DUMMYFUNCTION("""COMPUTED_VALUE"""),167.0)</f>
        <v>167</v>
      </c>
      <c r="M2223" s="5">
        <f>IFERROR(__xludf.DUMMYFUNCTION("""COMPUTED_VALUE"""),0.9542857142857143)</f>
        <v>0.9542857143</v>
      </c>
    </row>
    <row r="2224">
      <c r="A2224" s="10" t="str">
        <f>IFERROR(__xludf.DUMMYFUNCTION("""COMPUTED_VALUE"""),"レジェんぐ")</f>
        <v>レジェんぐ</v>
      </c>
      <c r="B2224" s="10">
        <f>IFERROR(__xludf.DUMMYFUNCTION("""COMPUTED_VALUE"""),2160.0)</f>
        <v>2160</v>
      </c>
      <c r="C2224" s="10">
        <f>IFERROR(__xludf.DUMMYFUNCTION("""COMPUTED_VALUE"""),24855.0)</f>
        <v>24855</v>
      </c>
      <c r="D2224" s="5">
        <f>IFERROR(__xludf.DUMMYFUNCTION("""COMPUTED_VALUE"""),0.34483366380259967)</f>
        <v>0.3448336638</v>
      </c>
      <c r="E2224" s="5">
        <f>IFERROR(__xludf.DUMMYFUNCTION("""COMPUTED_VALUE"""),0.13090989204670633)</f>
        <v>0.130909892</v>
      </c>
      <c r="F2224" s="5">
        <f>IFERROR(__xludf.DUMMYFUNCTION("""COMPUTED_VALUE"""),0.21075126679885436)</f>
        <v>0.2107512668</v>
      </c>
      <c r="G2224" s="5">
        <f>IFERROR(__xludf.DUMMYFUNCTION("""COMPUTED_VALUE"""),0.19052654769773078)</f>
        <v>0.1905265477</v>
      </c>
      <c r="H2224" s="5">
        <f>IFERROR(__xludf.DUMMYFUNCTION("""COMPUTED_VALUE"""),0.6069412502613423)</f>
        <v>0.6069412503</v>
      </c>
      <c r="I2224" s="11">
        <f>IFERROR(__xludf.DUMMYFUNCTION("""COMPUTED_VALUE"""),5703.721513694334)</f>
        <v>5703.721514</v>
      </c>
      <c r="J2224" s="10">
        <f>IFERROR(__xludf.DUMMYFUNCTION("""COMPUTED_VALUE"""),2.0)</f>
        <v>2</v>
      </c>
      <c r="K2224" s="5">
        <f>IFERROR(__xludf.DUMMYFUNCTION("""COMPUTED_VALUE"""),9.25925925925926E-4)</f>
        <v>0.0009259259259</v>
      </c>
      <c r="L2224" s="10">
        <f>IFERROR(__xludf.DUMMYFUNCTION("""COMPUTED_VALUE"""),1941.0)</f>
        <v>1941</v>
      </c>
      <c r="M2224" s="5">
        <f>IFERROR(__xludf.DUMMYFUNCTION("""COMPUTED_VALUE"""),0.8986111111111111)</f>
        <v>0.8986111111</v>
      </c>
    </row>
    <row r="2225">
      <c r="A2225" s="10" t="str">
        <f>IFERROR(__xludf.DUMMYFUNCTION("""COMPUTED_VALUE"""),"ヌアクショット")</f>
        <v>ヌアクショット</v>
      </c>
      <c r="B2225" s="10">
        <f>IFERROR(__xludf.DUMMYFUNCTION("""COMPUTED_VALUE"""),844.0)</f>
        <v>844</v>
      </c>
      <c r="C2225" s="10">
        <f>IFERROR(__xludf.DUMMYFUNCTION("""COMPUTED_VALUE"""),9904.0)</f>
        <v>9904</v>
      </c>
      <c r="D2225" s="5">
        <f>IFERROR(__xludf.DUMMYFUNCTION("""COMPUTED_VALUE"""),0.3043046357615894)</f>
        <v>0.3043046358</v>
      </c>
      <c r="E2225" s="5">
        <f>IFERROR(__xludf.DUMMYFUNCTION("""COMPUTED_VALUE"""),0.13090507726269315)</f>
        <v>0.1309050773</v>
      </c>
      <c r="F2225" s="5">
        <f>IFERROR(__xludf.DUMMYFUNCTION("""COMPUTED_VALUE"""),0.20342163355408388)</f>
        <v>0.2034216336</v>
      </c>
      <c r="G2225" s="5">
        <f>IFERROR(__xludf.DUMMYFUNCTION("""COMPUTED_VALUE"""),0.14293598233995586)</f>
        <v>0.1429359823</v>
      </c>
      <c r="H2225" s="5">
        <f>IFERROR(__xludf.DUMMYFUNCTION("""COMPUTED_VALUE"""),0.5822029300054259)</f>
        <v>0.58220293</v>
      </c>
      <c r="I2225" s="11">
        <f>IFERROR(__xludf.DUMMYFUNCTION("""COMPUTED_VALUE"""),5640.911557243625)</f>
        <v>5640.911557</v>
      </c>
      <c r="J2225" s="10">
        <f>IFERROR(__xludf.DUMMYFUNCTION("""COMPUTED_VALUE"""),2.0)</f>
        <v>2</v>
      </c>
      <c r="K2225" s="5">
        <f>IFERROR(__xludf.DUMMYFUNCTION("""COMPUTED_VALUE"""),0.002369668246445498)</f>
        <v>0.002369668246</v>
      </c>
      <c r="L2225" s="10">
        <f>IFERROR(__xludf.DUMMYFUNCTION("""COMPUTED_VALUE"""),844.0)</f>
        <v>844</v>
      </c>
      <c r="M2225" s="5">
        <f>IFERROR(__xludf.DUMMYFUNCTION("""COMPUTED_VALUE"""),1.0)</f>
        <v>1</v>
      </c>
    </row>
    <row r="2226">
      <c r="A2226" s="10" t="str">
        <f>IFERROR(__xludf.DUMMYFUNCTION("""COMPUTED_VALUE"""),"ドームの職人")</f>
        <v>ドームの職人</v>
      </c>
      <c r="B2226" s="10">
        <f>IFERROR(__xludf.DUMMYFUNCTION("""COMPUTED_VALUE"""),129.0)</f>
        <v>129</v>
      </c>
      <c r="C2226" s="10">
        <f>IFERROR(__xludf.DUMMYFUNCTION("""COMPUTED_VALUE"""),1527.0)</f>
        <v>1527</v>
      </c>
      <c r="D2226" s="5">
        <f>IFERROR(__xludf.DUMMYFUNCTION("""COMPUTED_VALUE"""),0.3977110157367668)</f>
        <v>0.3977110157</v>
      </c>
      <c r="E2226" s="5">
        <f>IFERROR(__xludf.DUMMYFUNCTION("""COMPUTED_VALUE"""),0.13090128755364808)</f>
        <v>0.1309012876</v>
      </c>
      <c r="F2226" s="5">
        <f>IFERROR(__xludf.DUMMYFUNCTION("""COMPUTED_VALUE"""),0.24606580829756797)</f>
        <v>0.2460658083</v>
      </c>
      <c r="G2226" s="5">
        <f>IFERROR(__xludf.DUMMYFUNCTION("""COMPUTED_VALUE"""),0.17668097281831188)</f>
        <v>0.1766809728</v>
      </c>
      <c r="H2226" s="5">
        <f>IFERROR(__xludf.DUMMYFUNCTION("""COMPUTED_VALUE"""),0.6162790697674418)</f>
        <v>0.6162790698</v>
      </c>
      <c r="I2226" s="11">
        <f>IFERROR(__xludf.DUMMYFUNCTION("""COMPUTED_VALUE"""),5006.686046511628)</f>
        <v>5006.686047</v>
      </c>
      <c r="J2226" s="10">
        <f>IFERROR(__xludf.DUMMYFUNCTION("""COMPUTED_VALUE"""),0.0)</f>
        <v>0</v>
      </c>
      <c r="K2226" s="5">
        <f>IFERROR(__xludf.DUMMYFUNCTION("""COMPUTED_VALUE"""),0.0)</f>
        <v>0</v>
      </c>
      <c r="L2226" s="10">
        <f>IFERROR(__xludf.DUMMYFUNCTION("""COMPUTED_VALUE"""),129.0)</f>
        <v>129</v>
      </c>
      <c r="M2226" s="5">
        <f>IFERROR(__xludf.DUMMYFUNCTION("""COMPUTED_VALUE"""),1.0)</f>
        <v>1</v>
      </c>
    </row>
    <row r="2227">
      <c r="A2227" s="10" t="str">
        <f>IFERROR(__xludf.DUMMYFUNCTION("""COMPUTED_VALUE"""),"アヴニールの住人")</f>
        <v>アヴニールの住人</v>
      </c>
      <c r="B2227" s="10">
        <f>IFERROR(__xludf.DUMMYFUNCTION("""COMPUTED_VALUE"""),762.0)</f>
        <v>762</v>
      </c>
      <c r="C2227" s="10">
        <f>IFERROR(__xludf.DUMMYFUNCTION("""COMPUTED_VALUE"""),9120.0)</f>
        <v>9120</v>
      </c>
      <c r="D2227" s="5">
        <f>IFERROR(__xludf.DUMMYFUNCTION("""COMPUTED_VALUE"""),0.35367312754247426)</f>
        <v>0.3536731275</v>
      </c>
      <c r="E2227" s="5">
        <f>IFERROR(__xludf.DUMMYFUNCTION("""COMPUTED_VALUE"""),0.13089255802823643)</f>
        <v>0.130892558</v>
      </c>
      <c r="F2227" s="5">
        <f>IFERROR(__xludf.DUMMYFUNCTION("""COMPUTED_VALUE"""),0.22050729839674563)</f>
        <v>0.2205072984</v>
      </c>
      <c r="G2227" s="5">
        <f>IFERROR(__xludf.DUMMYFUNCTION("""COMPUTED_VALUE"""),0.17635798037808087)</f>
        <v>0.1763579804</v>
      </c>
      <c r="H2227" s="5">
        <f>IFERROR(__xludf.DUMMYFUNCTION("""COMPUTED_VALUE"""),0.583288117200217)</f>
        <v>0.5832881172</v>
      </c>
      <c r="I2227" s="11">
        <f>IFERROR(__xludf.DUMMYFUNCTION("""COMPUTED_VALUE"""),5763.591969614758)</f>
        <v>5763.59197</v>
      </c>
      <c r="J2227" s="10">
        <f>IFERROR(__xludf.DUMMYFUNCTION("""COMPUTED_VALUE"""),0.0)</f>
        <v>0</v>
      </c>
      <c r="K2227" s="5">
        <f>IFERROR(__xludf.DUMMYFUNCTION("""COMPUTED_VALUE"""),0.0)</f>
        <v>0</v>
      </c>
      <c r="L2227" s="10">
        <f>IFERROR(__xludf.DUMMYFUNCTION("""COMPUTED_VALUE"""),762.0)</f>
        <v>762</v>
      </c>
      <c r="M2227" s="5">
        <f>IFERROR(__xludf.DUMMYFUNCTION("""COMPUTED_VALUE"""),1.0)</f>
        <v>1</v>
      </c>
    </row>
    <row r="2228">
      <c r="A2228" s="10" t="str">
        <f>IFERROR(__xludf.DUMMYFUNCTION("""COMPUTED_VALUE"""),"紳士の嗜みたいむ")</f>
        <v>紳士の嗜みたいむ</v>
      </c>
      <c r="B2228" s="10">
        <f>IFERROR(__xludf.DUMMYFUNCTION("""COMPUTED_VALUE"""),778.0)</f>
        <v>778</v>
      </c>
      <c r="C2228" s="10">
        <f>IFERROR(__xludf.DUMMYFUNCTION("""COMPUTED_VALUE"""),9266.0)</f>
        <v>9266</v>
      </c>
      <c r="D2228" s="5">
        <f>IFERROR(__xludf.DUMMYFUNCTION("""COMPUTED_VALUE"""),0.3006597549481621)</f>
        <v>0.3006597549</v>
      </c>
      <c r="E2228" s="5">
        <f>IFERROR(__xludf.DUMMYFUNCTION("""COMPUTED_VALUE"""),0.13089066918001885)</f>
        <v>0.1308906692</v>
      </c>
      <c r="F2228" s="5">
        <f>IFERROR(__xludf.DUMMYFUNCTION("""COMPUTED_VALUE"""),0.20629123468426014)</f>
        <v>0.2062912347</v>
      </c>
      <c r="G2228" s="5">
        <f>IFERROR(__xludf.DUMMYFUNCTION("""COMPUTED_VALUE"""),0.176248821866164)</f>
        <v>0.1762488219</v>
      </c>
      <c r="H2228" s="5">
        <f>IFERROR(__xludf.DUMMYFUNCTION("""COMPUTED_VALUE"""),0.5899486007995431)</f>
        <v>0.5899486008</v>
      </c>
      <c r="I2228" s="11">
        <f>IFERROR(__xludf.DUMMYFUNCTION("""COMPUTED_VALUE"""),6000.6282124500285)</f>
        <v>6000.628212</v>
      </c>
      <c r="J2228" s="10">
        <f>IFERROR(__xludf.DUMMYFUNCTION("""COMPUTED_VALUE"""),4.0)</f>
        <v>4</v>
      </c>
      <c r="K2228" s="5">
        <f>IFERROR(__xludf.DUMMYFUNCTION("""COMPUTED_VALUE"""),0.005141388174807198)</f>
        <v>0.005141388175</v>
      </c>
      <c r="L2228" s="10">
        <f>IFERROR(__xludf.DUMMYFUNCTION("""COMPUTED_VALUE"""),778.0)</f>
        <v>778</v>
      </c>
      <c r="M2228" s="5">
        <f>IFERROR(__xludf.DUMMYFUNCTION("""COMPUTED_VALUE"""),1.0)</f>
        <v>1</v>
      </c>
    </row>
    <row r="2229">
      <c r="A2229" s="10" t="str">
        <f>IFERROR(__xludf.DUMMYFUNCTION("""COMPUTED_VALUE"""),"青鳳無我")</f>
        <v>青鳳無我</v>
      </c>
      <c r="B2229" s="10">
        <f>IFERROR(__xludf.DUMMYFUNCTION("""COMPUTED_VALUE"""),587.0)</f>
        <v>587</v>
      </c>
      <c r="C2229" s="10">
        <f>IFERROR(__xludf.DUMMYFUNCTION("""COMPUTED_VALUE"""),6829.0)</f>
        <v>6829</v>
      </c>
      <c r="D2229" s="5">
        <f>IFERROR(__xludf.DUMMYFUNCTION("""COMPUTED_VALUE"""),0.31384171739826977)</f>
        <v>0.3138417174</v>
      </c>
      <c r="E2229" s="5">
        <f>IFERROR(__xludf.DUMMYFUNCTION("""COMPUTED_VALUE"""),0.13088753604613906)</f>
        <v>0.130887536</v>
      </c>
      <c r="F2229" s="5">
        <f>IFERROR(__xludf.DUMMYFUNCTION("""COMPUTED_VALUE"""),0.20281960909964755)</f>
        <v>0.2028196091</v>
      </c>
      <c r="G2229" s="5">
        <f>IFERROR(__xludf.DUMMYFUNCTION("""COMPUTED_VALUE"""),0.1768663889778917)</f>
        <v>0.176866389</v>
      </c>
      <c r="H2229" s="5">
        <f>IFERROR(__xludf.DUMMYFUNCTION("""COMPUTED_VALUE"""),0.5955766192733017)</f>
        <v>0.5955766193</v>
      </c>
      <c r="I2229" s="11">
        <f>IFERROR(__xludf.DUMMYFUNCTION("""COMPUTED_VALUE"""),5820.221169036335)</f>
        <v>5820.221169</v>
      </c>
      <c r="J2229" s="10">
        <f>IFERROR(__xludf.DUMMYFUNCTION("""COMPUTED_VALUE"""),0.0)</f>
        <v>0</v>
      </c>
      <c r="K2229" s="5">
        <f>IFERROR(__xludf.DUMMYFUNCTION("""COMPUTED_VALUE"""),0.0)</f>
        <v>0</v>
      </c>
      <c r="L2229" s="10">
        <f>IFERROR(__xludf.DUMMYFUNCTION("""COMPUTED_VALUE"""),587.0)</f>
        <v>587</v>
      </c>
      <c r="M2229" s="5">
        <f>IFERROR(__xludf.DUMMYFUNCTION("""COMPUTED_VALUE"""),1.0)</f>
        <v>1</v>
      </c>
    </row>
    <row r="2230">
      <c r="A2230" s="10" t="str">
        <f>IFERROR(__xludf.DUMMYFUNCTION("""COMPUTED_VALUE"""),"水海智光")</f>
        <v>水海智光</v>
      </c>
      <c r="B2230" s="10">
        <f>IFERROR(__xludf.DUMMYFUNCTION("""COMPUTED_VALUE"""),211.0)</f>
        <v>211</v>
      </c>
      <c r="C2230" s="10">
        <f>IFERROR(__xludf.DUMMYFUNCTION("""COMPUTED_VALUE"""),2488.0)</f>
        <v>2488</v>
      </c>
      <c r="D2230" s="5">
        <f>IFERROR(__xludf.DUMMYFUNCTION("""COMPUTED_VALUE"""),0.40360122968818624)</f>
        <v>0.4036012297</v>
      </c>
      <c r="E2230" s="5">
        <f>IFERROR(__xludf.DUMMYFUNCTION("""COMPUTED_VALUE"""),0.13087395696091347)</f>
        <v>0.130873957</v>
      </c>
      <c r="F2230" s="5">
        <f>IFERROR(__xludf.DUMMYFUNCTION("""COMPUTED_VALUE"""),0.22880983750548967)</f>
        <v>0.2288098375</v>
      </c>
      <c r="G2230" s="5">
        <f>IFERROR(__xludf.DUMMYFUNCTION("""COMPUTED_VALUE"""),0.16512955643390426)</f>
        <v>0.1651295564</v>
      </c>
      <c r="H2230" s="5">
        <f>IFERROR(__xludf.DUMMYFUNCTION("""COMPUTED_VALUE"""),0.6180422264875239)</f>
        <v>0.6180422265</v>
      </c>
      <c r="I2230" s="11">
        <f>IFERROR(__xludf.DUMMYFUNCTION("""COMPUTED_VALUE"""),4949.520153550864)</f>
        <v>4949.520154</v>
      </c>
      <c r="J2230" s="10">
        <f>IFERROR(__xludf.DUMMYFUNCTION("""COMPUTED_VALUE"""),0.0)</f>
        <v>0</v>
      </c>
      <c r="K2230" s="5">
        <f>IFERROR(__xludf.DUMMYFUNCTION("""COMPUTED_VALUE"""),0.0)</f>
        <v>0</v>
      </c>
      <c r="L2230" s="10">
        <f>IFERROR(__xludf.DUMMYFUNCTION("""COMPUTED_VALUE"""),205.0)</f>
        <v>205</v>
      </c>
      <c r="M2230" s="5">
        <f>IFERROR(__xludf.DUMMYFUNCTION("""COMPUTED_VALUE"""),0.9715639810426541)</f>
        <v>0.971563981</v>
      </c>
    </row>
    <row r="2231">
      <c r="A2231" s="10" t="str">
        <f>IFERROR(__xludf.DUMMYFUNCTION("""COMPUTED_VALUE"""),"mjハル")</f>
        <v>mjハル</v>
      </c>
      <c r="B2231" s="10">
        <f>IFERROR(__xludf.DUMMYFUNCTION("""COMPUTED_VALUE"""),119.0)</f>
        <v>119</v>
      </c>
      <c r="C2231" s="10">
        <f>IFERROR(__xludf.DUMMYFUNCTION("""COMPUTED_VALUE"""),1418.0)</f>
        <v>1418</v>
      </c>
      <c r="D2231" s="5">
        <f>IFERROR(__xludf.DUMMYFUNCTION("""COMPUTED_VALUE"""),0.3741339491916859)</f>
        <v>0.3741339492</v>
      </c>
      <c r="E2231" s="5">
        <f>IFERROR(__xludf.DUMMYFUNCTION("""COMPUTED_VALUE"""),0.1308698999230177)</f>
        <v>0.1308698999</v>
      </c>
      <c r="F2231" s="5">
        <f>IFERROR(__xludf.DUMMYFUNCTION("""COMPUTED_VALUE"""),0.17090069284064666)</f>
        <v>0.1709006928</v>
      </c>
      <c r="G2231" s="5">
        <f>IFERROR(__xludf.DUMMYFUNCTION("""COMPUTED_VALUE"""),0.1401077752117013)</f>
        <v>0.1401077752</v>
      </c>
      <c r="H2231" s="5">
        <f>IFERROR(__xludf.DUMMYFUNCTION("""COMPUTED_VALUE"""),0.5585585585585585)</f>
        <v>0.5585585586</v>
      </c>
      <c r="I2231" s="11">
        <f>IFERROR(__xludf.DUMMYFUNCTION("""COMPUTED_VALUE"""),5024.774774774774)</f>
        <v>5024.774775</v>
      </c>
      <c r="J2231" s="10">
        <f>IFERROR(__xludf.DUMMYFUNCTION("""COMPUTED_VALUE"""),0.0)</f>
        <v>0</v>
      </c>
      <c r="K2231" s="5">
        <f>IFERROR(__xludf.DUMMYFUNCTION("""COMPUTED_VALUE"""),0.0)</f>
        <v>0</v>
      </c>
      <c r="L2231" s="10">
        <f>IFERROR(__xludf.DUMMYFUNCTION("""COMPUTED_VALUE"""),119.0)</f>
        <v>119</v>
      </c>
      <c r="M2231" s="5">
        <f>IFERROR(__xludf.DUMMYFUNCTION("""COMPUTED_VALUE"""),1.0)</f>
        <v>1</v>
      </c>
    </row>
    <row r="2232">
      <c r="A2232" s="10" t="str">
        <f>IFERROR(__xludf.DUMMYFUNCTION("""COMPUTED_VALUE"""),"やめてけれ４")</f>
        <v>やめてけれ４</v>
      </c>
      <c r="B2232" s="10">
        <f>IFERROR(__xludf.DUMMYFUNCTION("""COMPUTED_VALUE"""),451.0)</f>
        <v>451</v>
      </c>
      <c r="C2232" s="10">
        <f>IFERROR(__xludf.DUMMYFUNCTION("""COMPUTED_VALUE"""),5281.0)</f>
        <v>5281</v>
      </c>
      <c r="D2232" s="5">
        <f>IFERROR(__xludf.DUMMYFUNCTION("""COMPUTED_VALUE"""),0.30455486542443067)</f>
        <v>0.3045548654</v>
      </c>
      <c r="E2232" s="5">
        <f>IFERROR(__xludf.DUMMYFUNCTION("""COMPUTED_VALUE"""),0.1308488612836439)</f>
        <v>0.1308488613</v>
      </c>
      <c r="F2232" s="5">
        <f>IFERROR(__xludf.DUMMYFUNCTION("""COMPUTED_VALUE"""),0.20848861283643894)</f>
        <v>0.2084886128</v>
      </c>
      <c r="G2232" s="5">
        <f>IFERROR(__xludf.DUMMYFUNCTION("""COMPUTED_VALUE"""),0.16107660455486542)</f>
        <v>0.1610766046</v>
      </c>
      <c r="H2232" s="5">
        <f>IFERROR(__xludf.DUMMYFUNCTION("""COMPUTED_VALUE"""),0.5938430983118173)</f>
        <v>0.5938430983</v>
      </c>
      <c r="I2232" s="11">
        <f>IFERROR(__xludf.DUMMYFUNCTION("""COMPUTED_VALUE"""),6124.329692154915)</f>
        <v>6124.329692</v>
      </c>
      <c r="J2232" s="10">
        <f>IFERROR(__xludf.DUMMYFUNCTION("""COMPUTED_VALUE"""),1.0)</f>
        <v>1</v>
      </c>
      <c r="K2232" s="5">
        <f>IFERROR(__xludf.DUMMYFUNCTION("""COMPUTED_VALUE"""),0.0022172949002217295)</f>
        <v>0.0022172949</v>
      </c>
      <c r="L2232" s="10">
        <f>IFERROR(__xludf.DUMMYFUNCTION("""COMPUTED_VALUE"""),0.0)</f>
        <v>0</v>
      </c>
      <c r="M2232" s="5">
        <f>IFERROR(__xludf.DUMMYFUNCTION("""COMPUTED_VALUE"""),0.0)</f>
        <v>0</v>
      </c>
    </row>
    <row r="2233">
      <c r="A2233" s="10" t="str">
        <f>IFERROR(__xludf.DUMMYFUNCTION("""COMPUTED_VALUE"""),"♪ウサギ♪")</f>
        <v>♪ウサギ♪</v>
      </c>
      <c r="B2233" s="10">
        <f>IFERROR(__xludf.DUMMYFUNCTION("""COMPUTED_VALUE"""),1338.0)</f>
        <v>1338</v>
      </c>
      <c r="C2233" s="10">
        <f>IFERROR(__xludf.DUMMYFUNCTION("""COMPUTED_VALUE"""),15821.0)</f>
        <v>15821</v>
      </c>
      <c r="D2233" s="5">
        <f>IFERROR(__xludf.DUMMYFUNCTION("""COMPUTED_VALUE"""),0.31215908306290135)</f>
        <v>0.3121590831</v>
      </c>
      <c r="E2233" s="5">
        <f>IFERROR(__xludf.DUMMYFUNCTION("""COMPUTED_VALUE"""),0.13084305737761515)</f>
        <v>0.1308430574</v>
      </c>
      <c r="F2233" s="5">
        <f>IFERROR(__xludf.DUMMYFUNCTION("""COMPUTED_VALUE"""),0.19319201822826762)</f>
        <v>0.1931920182</v>
      </c>
      <c r="G2233" s="5">
        <f>IFERROR(__xludf.DUMMYFUNCTION("""COMPUTED_VALUE"""),0.15362839190775393)</f>
        <v>0.1536283919</v>
      </c>
      <c r="H2233" s="5">
        <f>IFERROR(__xludf.DUMMYFUNCTION("""COMPUTED_VALUE"""),0.590421729807005)</f>
        <v>0.5904217298</v>
      </c>
      <c r="I2233" s="11">
        <f>IFERROR(__xludf.DUMMYFUNCTION("""COMPUTED_VALUE"""),6054.002859185132)</f>
        <v>6054.002859</v>
      </c>
      <c r="J2233" s="10">
        <f>IFERROR(__xludf.DUMMYFUNCTION("""COMPUTED_VALUE"""),5.0)</f>
        <v>5</v>
      </c>
      <c r="K2233" s="5">
        <f>IFERROR(__xludf.DUMMYFUNCTION("""COMPUTED_VALUE"""),0.0037369207772795215)</f>
        <v>0.003736920777</v>
      </c>
      <c r="L2233" s="10">
        <f>IFERROR(__xludf.DUMMYFUNCTION("""COMPUTED_VALUE"""),0.0)</f>
        <v>0</v>
      </c>
      <c r="M2233" s="5">
        <f>IFERROR(__xludf.DUMMYFUNCTION("""COMPUTED_VALUE"""),0.0)</f>
        <v>0</v>
      </c>
    </row>
    <row r="2234">
      <c r="A2234" s="10" t="str">
        <f>IFERROR(__xludf.DUMMYFUNCTION("""COMPUTED_VALUE"""),"アルデンテ")</f>
        <v>アルデンテ</v>
      </c>
      <c r="B2234" s="10">
        <f>IFERROR(__xludf.DUMMYFUNCTION("""COMPUTED_VALUE"""),181.0)</f>
        <v>181</v>
      </c>
      <c r="C2234" s="10">
        <f>IFERROR(__xludf.DUMMYFUNCTION("""COMPUTED_VALUE"""),2069.0)</f>
        <v>2069</v>
      </c>
      <c r="D2234" s="5">
        <f>IFERROR(__xludf.DUMMYFUNCTION("""COMPUTED_VALUE"""),0.3453389830508475)</f>
        <v>0.3453389831</v>
      </c>
      <c r="E2234" s="5">
        <f>IFERROR(__xludf.DUMMYFUNCTION("""COMPUTED_VALUE"""),0.1308262711864407)</f>
        <v>0.1308262712</v>
      </c>
      <c r="F2234" s="5">
        <f>IFERROR(__xludf.DUMMYFUNCTION("""COMPUTED_VALUE"""),0.20709745762711865)</f>
        <v>0.2070974576</v>
      </c>
      <c r="G2234" s="5">
        <f>IFERROR(__xludf.DUMMYFUNCTION("""COMPUTED_VALUE"""),0.1652542372881356)</f>
        <v>0.1652542373</v>
      </c>
      <c r="H2234" s="5">
        <f>IFERROR(__xludf.DUMMYFUNCTION("""COMPUTED_VALUE"""),0.6163682864450127)</f>
        <v>0.6163682864</v>
      </c>
      <c r="I2234" s="11">
        <f>IFERROR(__xludf.DUMMYFUNCTION("""COMPUTED_VALUE"""),5582.608695652174)</f>
        <v>5582.608696</v>
      </c>
      <c r="J2234" s="10">
        <f>IFERROR(__xludf.DUMMYFUNCTION("""COMPUTED_VALUE"""),0.0)</f>
        <v>0</v>
      </c>
      <c r="K2234" s="5">
        <f>IFERROR(__xludf.DUMMYFUNCTION("""COMPUTED_VALUE"""),0.0)</f>
        <v>0</v>
      </c>
      <c r="L2234" s="10">
        <f>IFERROR(__xludf.DUMMYFUNCTION("""COMPUTED_VALUE"""),181.0)</f>
        <v>181</v>
      </c>
      <c r="M2234" s="5">
        <f>IFERROR(__xludf.DUMMYFUNCTION("""COMPUTED_VALUE"""),1.0)</f>
        <v>1</v>
      </c>
    </row>
    <row r="2235">
      <c r="A2235" s="10" t="str">
        <f>IFERROR(__xludf.DUMMYFUNCTION("""COMPUTED_VALUE"""),"コーラください")</f>
        <v>コーラください</v>
      </c>
      <c r="B2235" s="10">
        <f>IFERROR(__xludf.DUMMYFUNCTION("""COMPUTED_VALUE"""),1330.0)</f>
        <v>1330</v>
      </c>
      <c r="C2235" s="10">
        <f>IFERROR(__xludf.DUMMYFUNCTION("""COMPUTED_VALUE"""),15578.0)</f>
        <v>15578</v>
      </c>
      <c r="D2235" s="5">
        <f>IFERROR(__xludf.DUMMYFUNCTION("""COMPUTED_VALUE"""),0.38910724312184164)</f>
        <v>0.3891072431</v>
      </c>
      <c r="E2235" s="5">
        <f>IFERROR(__xludf.DUMMYFUNCTION("""COMPUTED_VALUE"""),0.1308253790005615)</f>
        <v>0.130825379</v>
      </c>
      <c r="F2235" s="5">
        <f>IFERROR(__xludf.DUMMYFUNCTION("""COMPUTED_VALUE"""),0.22361033127456484)</f>
        <v>0.2236103313</v>
      </c>
      <c r="G2235" s="5">
        <f>IFERROR(__xludf.DUMMYFUNCTION("""COMPUTED_VALUE"""),0.18957046603032005)</f>
        <v>0.189570466</v>
      </c>
      <c r="H2235" s="5">
        <f>IFERROR(__xludf.DUMMYFUNCTION("""COMPUTED_VALUE"""),0.59353421217828)</f>
        <v>0.5935342122</v>
      </c>
      <c r="I2235" s="11">
        <f>IFERROR(__xludf.DUMMYFUNCTION("""COMPUTED_VALUE"""),5274.419334588826)</f>
        <v>5274.419335</v>
      </c>
      <c r="J2235" s="10">
        <f>IFERROR(__xludf.DUMMYFUNCTION("""COMPUTED_VALUE"""),1.0)</f>
        <v>1</v>
      </c>
      <c r="K2235" s="5">
        <f>IFERROR(__xludf.DUMMYFUNCTION("""COMPUTED_VALUE"""),7.518796992481203E-4)</f>
        <v>0.0007518796992</v>
      </c>
      <c r="L2235" s="10">
        <f>IFERROR(__xludf.DUMMYFUNCTION("""COMPUTED_VALUE"""),1330.0)</f>
        <v>1330</v>
      </c>
      <c r="M2235" s="5">
        <f>IFERROR(__xludf.DUMMYFUNCTION("""COMPUTED_VALUE"""),1.0)</f>
        <v>1</v>
      </c>
    </row>
    <row r="2236">
      <c r="A2236" s="10" t="str">
        <f>IFERROR(__xludf.DUMMYFUNCTION("""COMPUTED_VALUE"""),"アルテミス")</f>
        <v>アルテミス</v>
      </c>
      <c r="B2236" s="10">
        <f>IFERROR(__xludf.DUMMYFUNCTION("""COMPUTED_VALUE"""),1118.0)</f>
        <v>1118</v>
      </c>
      <c r="C2236" s="10">
        <f>IFERROR(__xludf.DUMMYFUNCTION("""COMPUTED_VALUE"""),12890.0)</f>
        <v>12890</v>
      </c>
      <c r="D2236" s="5">
        <f>IFERROR(__xludf.DUMMYFUNCTION("""COMPUTED_VALUE"""),0.32891607203533807)</f>
        <v>0.328916072</v>
      </c>
      <c r="E2236" s="5">
        <f>IFERROR(__xludf.DUMMYFUNCTION("""COMPUTED_VALUE"""),0.1308188922867822)</f>
        <v>0.1308188923</v>
      </c>
      <c r="F2236" s="5">
        <f>IFERROR(__xludf.DUMMYFUNCTION("""COMPUTED_VALUE"""),0.21151885830784914)</f>
        <v>0.2115188583</v>
      </c>
      <c r="G2236" s="5">
        <f>IFERROR(__xludf.DUMMYFUNCTION("""COMPUTED_VALUE"""),0.17516139993204213)</f>
        <v>0.1751613999</v>
      </c>
      <c r="H2236" s="5">
        <f>IFERROR(__xludf.DUMMYFUNCTION("""COMPUTED_VALUE"""),0.6104417670682731)</f>
        <v>0.6104417671</v>
      </c>
      <c r="I2236" s="11">
        <f>IFERROR(__xludf.DUMMYFUNCTION("""COMPUTED_VALUE"""),5646.746987951808)</f>
        <v>5646.746988</v>
      </c>
      <c r="J2236" s="10">
        <f>IFERROR(__xludf.DUMMYFUNCTION("""COMPUTED_VALUE"""),2.0)</f>
        <v>2</v>
      </c>
      <c r="K2236" s="5">
        <f>IFERROR(__xludf.DUMMYFUNCTION("""COMPUTED_VALUE"""),0.0017889087656529517)</f>
        <v>0.001788908766</v>
      </c>
      <c r="L2236" s="10">
        <f>IFERROR(__xludf.DUMMYFUNCTION("""COMPUTED_VALUE"""),1118.0)</f>
        <v>1118</v>
      </c>
      <c r="M2236" s="5">
        <f>IFERROR(__xludf.DUMMYFUNCTION("""COMPUTED_VALUE"""),1.0)</f>
        <v>1</v>
      </c>
    </row>
    <row r="2237">
      <c r="A2237" s="10" t="str">
        <f>IFERROR(__xludf.DUMMYFUNCTION("""COMPUTED_VALUE"""),"sinononu")</f>
        <v>sinononu</v>
      </c>
      <c r="B2237" s="10">
        <f>IFERROR(__xludf.DUMMYFUNCTION("""COMPUTED_VALUE"""),973.0)</f>
        <v>973</v>
      </c>
      <c r="C2237" s="10">
        <f>IFERROR(__xludf.DUMMYFUNCTION("""COMPUTED_VALUE"""),11568.0)</f>
        <v>11568</v>
      </c>
      <c r="D2237" s="5">
        <f>IFERROR(__xludf.DUMMYFUNCTION("""COMPUTED_VALUE"""),0.3895233600755073)</f>
        <v>0.3895233601</v>
      </c>
      <c r="E2237" s="5">
        <f>IFERROR(__xludf.DUMMYFUNCTION("""COMPUTED_VALUE"""),0.13081642284096273)</f>
        <v>0.1308164228</v>
      </c>
      <c r="F2237" s="5">
        <f>IFERROR(__xludf.DUMMYFUNCTION("""COMPUTED_VALUE"""),0.20773949976403963)</f>
        <v>0.2077394998</v>
      </c>
      <c r="G2237" s="5">
        <f>IFERROR(__xludf.DUMMYFUNCTION("""COMPUTED_VALUE"""),0.15922605002359605)</f>
        <v>0.15922605</v>
      </c>
      <c r="H2237" s="5">
        <f>IFERROR(__xludf.DUMMYFUNCTION("""COMPUTED_VALUE"""),0.5842798727850976)</f>
        <v>0.5842798728</v>
      </c>
      <c r="I2237" s="11">
        <f>IFERROR(__xludf.DUMMYFUNCTION("""COMPUTED_VALUE"""),5712.221717401181)</f>
        <v>5712.221717</v>
      </c>
      <c r="J2237" s="10">
        <f>IFERROR(__xludf.DUMMYFUNCTION("""COMPUTED_VALUE"""),3.0)</f>
        <v>3</v>
      </c>
      <c r="K2237" s="5">
        <f>IFERROR(__xludf.DUMMYFUNCTION("""COMPUTED_VALUE"""),0.003083247687564234)</f>
        <v>0.003083247688</v>
      </c>
      <c r="L2237" s="10">
        <f>IFERROR(__xludf.DUMMYFUNCTION("""COMPUTED_VALUE"""),134.0)</f>
        <v>134</v>
      </c>
      <c r="M2237" s="5">
        <f>IFERROR(__xludf.DUMMYFUNCTION("""COMPUTED_VALUE"""),0.13771839671120248)</f>
        <v>0.1377183967</v>
      </c>
    </row>
    <row r="2238">
      <c r="A2238" s="10" t="str">
        <f>IFERROR(__xludf.DUMMYFUNCTION("""COMPUTED_VALUE"""),"monokea")</f>
        <v>monokea</v>
      </c>
      <c r="B2238" s="10">
        <f>IFERROR(__xludf.DUMMYFUNCTION("""COMPUTED_VALUE"""),373.0)</f>
        <v>373</v>
      </c>
      <c r="C2238" s="10">
        <f>IFERROR(__xludf.DUMMYFUNCTION("""COMPUTED_VALUE"""),4356.0)</f>
        <v>4356</v>
      </c>
      <c r="D2238" s="5">
        <f>IFERROR(__xludf.DUMMYFUNCTION("""COMPUTED_VALUE"""),0.3291488827516947)</f>
        <v>0.3291488828</v>
      </c>
      <c r="E2238" s="5">
        <f>IFERROR(__xludf.DUMMYFUNCTION("""COMPUTED_VALUE"""),0.1308059251820236)</f>
        <v>0.1308059252</v>
      </c>
      <c r="F2238" s="5">
        <f>IFERROR(__xludf.DUMMYFUNCTION("""COMPUTED_VALUE"""),0.19784082349987447)</f>
        <v>0.1978408235</v>
      </c>
      <c r="G2238" s="5">
        <f>IFERROR(__xludf.DUMMYFUNCTION("""COMPUTED_VALUE"""),0.15239769018327892)</f>
        <v>0.1523976902</v>
      </c>
      <c r="H2238" s="5">
        <f>IFERROR(__xludf.DUMMYFUNCTION("""COMPUTED_VALUE"""),0.6091370558375635)</f>
        <v>0.6091370558</v>
      </c>
      <c r="I2238" s="11">
        <f>IFERROR(__xludf.DUMMYFUNCTION("""COMPUTED_VALUE"""),6194.670050761421)</f>
        <v>6194.670051</v>
      </c>
      <c r="J2238" s="10">
        <f>IFERROR(__xludf.DUMMYFUNCTION("""COMPUTED_VALUE"""),1.0)</f>
        <v>1</v>
      </c>
      <c r="K2238" s="5">
        <f>IFERROR(__xludf.DUMMYFUNCTION("""COMPUTED_VALUE"""),0.002680965147453083)</f>
        <v>0.002680965147</v>
      </c>
      <c r="L2238" s="10">
        <f>IFERROR(__xludf.DUMMYFUNCTION("""COMPUTED_VALUE"""),373.0)</f>
        <v>373</v>
      </c>
      <c r="M2238" s="5">
        <f>IFERROR(__xludf.DUMMYFUNCTION("""COMPUTED_VALUE"""),1.0)</f>
        <v>1</v>
      </c>
    </row>
    <row r="2239">
      <c r="A2239" s="10" t="str">
        <f>IFERROR(__xludf.DUMMYFUNCTION("""COMPUTED_VALUE"""),"zzyy")</f>
        <v>zzyy</v>
      </c>
      <c r="B2239" s="10">
        <f>IFERROR(__xludf.DUMMYFUNCTION("""COMPUTED_VALUE"""),418.0)</f>
        <v>418</v>
      </c>
      <c r="C2239" s="10">
        <f>IFERROR(__xludf.DUMMYFUNCTION("""COMPUTED_VALUE"""),4875.0)</f>
        <v>4875</v>
      </c>
      <c r="D2239" s="5">
        <f>IFERROR(__xludf.DUMMYFUNCTION("""COMPUTED_VALUE"""),0.3892752972851694)</f>
        <v>0.3892752973</v>
      </c>
      <c r="E2239" s="5">
        <f>IFERROR(__xludf.DUMMYFUNCTION("""COMPUTED_VALUE"""),0.13080547453444022)</f>
        <v>0.1308054745</v>
      </c>
      <c r="F2239" s="5">
        <f>IFERROR(__xludf.DUMMYFUNCTION("""COMPUTED_VALUE"""),0.20529504150774064)</f>
        <v>0.2052950415</v>
      </c>
      <c r="G2239" s="5">
        <f>IFERROR(__xludf.DUMMYFUNCTION("""COMPUTED_VALUE"""),0.18240969261835316)</f>
        <v>0.1824096926</v>
      </c>
      <c r="H2239" s="5">
        <f>IFERROR(__xludf.DUMMYFUNCTION("""COMPUTED_VALUE"""),0.6174863387978142)</f>
        <v>0.6174863388</v>
      </c>
      <c r="I2239" s="11">
        <f>IFERROR(__xludf.DUMMYFUNCTION("""COMPUTED_VALUE"""),5491.693989071038)</f>
        <v>5491.693989</v>
      </c>
      <c r="J2239" s="10">
        <f>IFERROR(__xludf.DUMMYFUNCTION("""COMPUTED_VALUE"""),1.0)</f>
        <v>1</v>
      </c>
      <c r="K2239" s="5">
        <f>IFERROR(__xludf.DUMMYFUNCTION("""COMPUTED_VALUE"""),0.0023923444976076554)</f>
        <v>0.002392344498</v>
      </c>
      <c r="L2239" s="10">
        <f>IFERROR(__xludf.DUMMYFUNCTION("""COMPUTED_VALUE"""),418.0)</f>
        <v>418</v>
      </c>
      <c r="M2239" s="5">
        <f>IFERROR(__xludf.DUMMYFUNCTION("""COMPUTED_VALUE"""),1.0)</f>
        <v>1</v>
      </c>
    </row>
    <row r="2240">
      <c r="A2240" s="10" t="str">
        <f>IFERROR(__xludf.DUMMYFUNCTION("""COMPUTED_VALUE"""),"yj-cheki")</f>
        <v>yj-cheki</v>
      </c>
      <c r="B2240" s="10">
        <f>IFERROR(__xludf.DUMMYFUNCTION("""COMPUTED_VALUE"""),793.0)</f>
        <v>793</v>
      </c>
      <c r="C2240" s="10">
        <f>IFERROR(__xludf.DUMMYFUNCTION("""COMPUTED_VALUE"""),9379.0)</f>
        <v>9379</v>
      </c>
      <c r="D2240" s="5">
        <f>IFERROR(__xludf.DUMMYFUNCTION("""COMPUTED_VALUE"""),0.3601211274167249)</f>
        <v>0.3601211274</v>
      </c>
      <c r="E2240" s="5">
        <f>IFERROR(__xludf.DUMMYFUNCTION("""COMPUTED_VALUE"""),0.13079431632890753)</f>
        <v>0.1307943163</v>
      </c>
      <c r="F2240" s="5">
        <f>IFERROR(__xludf.DUMMYFUNCTION("""COMPUTED_VALUE"""),0.19310505474027487)</f>
        <v>0.1931050547</v>
      </c>
      <c r="G2240" s="5">
        <f>IFERROR(__xludf.DUMMYFUNCTION("""COMPUTED_VALUE"""),0.11390635918937805)</f>
        <v>0.1139063592</v>
      </c>
      <c r="H2240" s="5">
        <f>IFERROR(__xludf.DUMMYFUNCTION("""COMPUTED_VALUE"""),0.6212303980699638)</f>
        <v>0.6212303981</v>
      </c>
      <c r="I2240" s="11">
        <f>IFERROR(__xludf.DUMMYFUNCTION("""COMPUTED_VALUE"""),5491.013268998794)</f>
        <v>5491.013269</v>
      </c>
      <c r="J2240" s="10">
        <f>IFERROR(__xludf.DUMMYFUNCTION("""COMPUTED_VALUE"""),2.0)</f>
        <v>2</v>
      </c>
      <c r="K2240" s="5">
        <f>IFERROR(__xludf.DUMMYFUNCTION("""COMPUTED_VALUE"""),0.0025220680958385876)</f>
        <v>0.002522068096</v>
      </c>
      <c r="L2240" s="10">
        <f>IFERROR(__xludf.DUMMYFUNCTION("""COMPUTED_VALUE"""),793.0)</f>
        <v>793</v>
      </c>
      <c r="M2240" s="5">
        <f>IFERROR(__xludf.DUMMYFUNCTION("""COMPUTED_VALUE"""),1.0)</f>
        <v>1</v>
      </c>
    </row>
    <row r="2241">
      <c r="A2241" s="10" t="str">
        <f>IFERROR(__xludf.DUMMYFUNCTION("""COMPUTED_VALUE"""),"C")</f>
        <v>C</v>
      </c>
      <c r="B2241" s="10">
        <f>IFERROR(__xludf.DUMMYFUNCTION("""COMPUTED_VALUE"""),145.0)</f>
        <v>145</v>
      </c>
      <c r="C2241" s="10">
        <f>IFERROR(__xludf.DUMMYFUNCTION("""COMPUTED_VALUE"""),1743.0)</f>
        <v>1743</v>
      </c>
      <c r="D2241" s="5">
        <f>IFERROR(__xludf.DUMMYFUNCTION("""COMPUTED_VALUE"""),0.37734668335419275)</f>
        <v>0.3773466834</v>
      </c>
      <c r="E2241" s="5">
        <f>IFERROR(__xludf.DUMMYFUNCTION("""COMPUTED_VALUE"""),0.13078848560700876)</f>
        <v>0.1307884856</v>
      </c>
      <c r="F2241" s="5">
        <f>IFERROR(__xludf.DUMMYFUNCTION("""COMPUTED_VALUE"""),0.1983729662077597)</f>
        <v>0.1983729662</v>
      </c>
      <c r="G2241" s="5">
        <f>IFERROR(__xludf.DUMMYFUNCTION("""COMPUTED_VALUE"""),0.1858573216520651)</f>
        <v>0.1858573217</v>
      </c>
      <c r="H2241" s="5">
        <f>IFERROR(__xludf.DUMMYFUNCTION("""COMPUTED_VALUE"""),0.5899053627760252)</f>
        <v>0.5899053628</v>
      </c>
      <c r="I2241" s="11">
        <f>IFERROR(__xludf.DUMMYFUNCTION("""COMPUTED_VALUE"""),5338.801261829653)</f>
        <v>5338.801262</v>
      </c>
      <c r="J2241" s="10">
        <f>IFERROR(__xludf.DUMMYFUNCTION("""COMPUTED_VALUE"""),1.0)</f>
        <v>1</v>
      </c>
      <c r="K2241" s="5">
        <f>IFERROR(__xludf.DUMMYFUNCTION("""COMPUTED_VALUE"""),0.006896551724137931)</f>
        <v>0.006896551724</v>
      </c>
      <c r="L2241" s="10">
        <f>IFERROR(__xludf.DUMMYFUNCTION("""COMPUTED_VALUE"""),145.0)</f>
        <v>145</v>
      </c>
      <c r="M2241" s="5">
        <f>IFERROR(__xludf.DUMMYFUNCTION("""COMPUTED_VALUE"""),1.0)</f>
        <v>1</v>
      </c>
    </row>
    <row r="2242">
      <c r="A2242" s="10" t="str">
        <f>IFERROR(__xludf.DUMMYFUNCTION("""COMPUTED_VALUE"""),"おまつり")</f>
        <v>おまつり</v>
      </c>
      <c r="B2242" s="10">
        <f>IFERROR(__xludf.DUMMYFUNCTION("""COMPUTED_VALUE"""),361.0)</f>
        <v>361</v>
      </c>
      <c r="C2242" s="10">
        <f>IFERROR(__xludf.DUMMYFUNCTION("""COMPUTED_VALUE"""),4337.0)</f>
        <v>4337</v>
      </c>
      <c r="D2242" s="5">
        <f>IFERROR(__xludf.DUMMYFUNCTION("""COMPUTED_VALUE"""),0.34079476861167)</f>
        <v>0.3407947686</v>
      </c>
      <c r="E2242" s="5">
        <f>IFERROR(__xludf.DUMMYFUNCTION("""COMPUTED_VALUE"""),0.13078470824949698)</f>
        <v>0.1307847082</v>
      </c>
      <c r="F2242" s="5">
        <f>IFERROR(__xludf.DUMMYFUNCTION("""COMPUTED_VALUE"""),0.1858651911468813)</f>
        <v>0.1858651911</v>
      </c>
      <c r="G2242" s="5">
        <f>IFERROR(__xludf.DUMMYFUNCTION("""COMPUTED_VALUE"""),0.15140845070422534)</f>
        <v>0.1514084507</v>
      </c>
      <c r="H2242" s="5">
        <f>IFERROR(__xludf.DUMMYFUNCTION("""COMPUTED_VALUE"""),0.584573748308525)</f>
        <v>0.5845737483</v>
      </c>
      <c r="I2242" s="11">
        <f>IFERROR(__xludf.DUMMYFUNCTION("""COMPUTED_VALUE"""),5560.893098782138)</f>
        <v>5560.893099</v>
      </c>
      <c r="J2242" s="10">
        <f>IFERROR(__xludf.DUMMYFUNCTION("""COMPUTED_VALUE"""),0.0)</f>
        <v>0</v>
      </c>
      <c r="K2242" s="5">
        <f>IFERROR(__xludf.DUMMYFUNCTION("""COMPUTED_VALUE"""),0.0)</f>
        <v>0</v>
      </c>
      <c r="L2242" s="10">
        <f>IFERROR(__xludf.DUMMYFUNCTION("""COMPUTED_VALUE"""),292.0)</f>
        <v>292</v>
      </c>
      <c r="M2242" s="5">
        <f>IFERROR(__xludf.DUMMYFUNCTION("""COMPUTED_VALUE"""),0.8088642659279779)</f>
        <v>0.8088642659</v>
      </c>
    </row>
    <row r="2243">
      <c r="A2243" s="10" t="str">
        <f>IFERROR(__xludf.DUMMYFUNCTION("""COMPUTED_VALUE"""),"チュッパチャプス")</f>
        <v>チュッパチャプス</v>
      </c>
      <c r="B2243" s="10">
        <f>IFERROR(__xludf.DUMMYFUNCTION("""COMPUTED_VALUE"""),2586.0)</f>
        <v>2586</v>
      </c>
      <c r="C2243" s="10">
        <f>IFERROR(__xludf.DUMMYFUNCTION("""COMPUTED_VALUE"""),30518.0)</f>
        <v>30518</v>
      </c>
      <c r="D2243" s="5">
        <f>IFERROR(__xludf.DUMMYFUNCTION("""COMPUTED_VALUE"""),0.3635973077473865)</f>
        <v>0.3635973077</v>
      </c>
      <c r="E2243" s="5">
        <f>IFERROR(__xludf.DUMMYFUNCTION("""COMPUTED_VALUE"""),0.13078189889732206)</f>
        <v>0.1307818989</v>
      </c>
      <c r="F2243" s="5">
        <f>IFERROR(__xludf.DUMMYFUNCTION("""COMPUTED_VALUE"""),0.21283832163826436)</f>
        <v>0.2128383216</v>
      </c>
      <c r="G2243" s="5">
        <f>IFERROR(__xludf.DUMMYFUNCTION("""COMPUTED_VALUE"""),0.1690892166690534)</f>
        <v>0.1690892167</v>
      </c>
      <c r="H2243" s="5">
        <f>IFERROR(__xludf.DUMMYFUNCTION("""COMPUTED_VALUE"""),0.5956265769554248)</f>
        <v>0.595626577</v>
      </c>
      <c r="I2243" s="11">
        <f>IFERROR(__xludf.DUMMYFUNCTION("""COMPUTED_VALUE"""),5683.49873843566)</f>
        <v>5683.498738</v>
      </c>
      <c r="J2243" s="10">
        <f>IFERROR(__xludf.DUMMYFUNCTION("""COMPUTED_VALUE"""),8.0)</f>
        <v>8</v>
      </c>
      <c r="K2243" s="5">
        <f>IFERROR(__xludf.DUMMYFUNCTION("""COMPUTED_VALUE"""),0.0030935808197989174)</f>
        <v>0.00309358082</v>
      </c>
      <c r="L2243" s="10">
        <f>IFERROR(__xludf.DUMMYFUNCTION("""COMPUTED_VALUE"""),0.0)</f>
        <v>0</v>
      </c>
      <c r="M2243" s="5">
        <f>IFERROR(__xludf.DUMMYFUNCTION("""COMPUTED_VALUE"""),0.0)</f>
        <v>0</v>
      </c>
    </row>
    <row r="2244">
      <c r="A2244" s="10" t="str">
        <f>IFERROR(__xludf.DUMMYFUNCTION("""COMPUTED_VALUE"""),"エルキチ")</f>
        <v>エルキチ</v>
      </c>
      <c r="B2244" s="10">
        <f>IFERROR(__xludf.DUMMYFUNCTION("""COMPUTED_VALUE"""),666.0)</f>
        <v>666</v>
      </c>
      <c r="C2244" s="10">
        <f>IFERROR(__xludf.DUMMYFUNCTION("""COMPUTED_VALUE"""),7823.0)</f>
        <v>7823</v>
      </c>
      <c r="D2244" s="5">
        <f>IFERROR(__xludf.DUMMYFUNCTION("""COMPUTED_VALUE"""),0.366075171161101)</f>
        <v>0.3660751712</v>
      </c>
      <c r="E2244" s="5">
        <f>IFERROR(__xludf.DUMMYFUNCTION("""COMPUTED_VALUE"""),0.1307810535140422)</f>
        <v>0.1307810535</v>
      </c>
      <c r="F2244" s="5">
        <f>IFERROR(__xludf.DUMMYFUNCTION("""COMPUTED_VALUE"""),0.22788878021517395)</f>
        <v>0.2278887802</v>
      </c>
      <c r="G2244" s="5">
        <f>IFERROR(__xludf.DUMMYFUNCTION("""COMPUTED_VALUE"""),0.1742350146709515)</f>
        <v>0.1742350147</v>
      </c>
      <c r="H2244" s="5">
        <f>IFERROR(__xludf.DUMMYFUNCTION("""COMPUTED_VALUE"""),0.6284488044144696)</f>
        <v>0.6284488044</v>
      </c>
      <c r="I2244" s="11">
        <f>IFERROR(__xludf.DUMMYFUNCTION("""COMPUTED_VALUE"""),5404.2918454935625)</f>
        <v>5404.291845</v>
      </c>
      <c r="J2244" s="10">
        <f>IFERROR(__xludf.DUMMYFUNCTION("""COMPUTED_VALUE"""),0.0)</f>
        <v>0</v>
      </c>
      <c r="K2244" s="5">
        <f>IFERROR(__xludf.DUMMYFUNCTION("""COMPUTED_VALUE"""),0.0)</f>
        <v>0</v>
      </c>
      <c r="L2244" s="10">
        <f>IFERROR(__xludf.DUMMYFUNCTION("""COMPUTED_VALUE"""),616.0)</f>
        <v>616</v>
      </c>
      <c r="M2244" s="5">
        <f>IFERROR(__xludf.DUMMYFUNCTION("""COMPUTED_VALUE"""),0.924924924924925)</f>
        <v>0.9249249249</v>
      </c>
    </row>
    <row r="2245">
      <c r="A2245" s="10" t="str">
        <f>IFERROR(__xludf.DUMMYFUNCTION("""COMPUTED_VALUE"""),"amaika")</f>
        <v>amaika</v>
      </c>
      <c r="B2245" s="10">
        <f>IFERROR(__xludf.DUMMYFUNCTION("""COMPUTED_VALUE"""),1026.0)</f>
        <v>1026</v>
      </c>
      <c r="C2245" s="10">
        <f>IFERROR(__xludf.DUMMYFUNCTION("""COMPUTED_VALUE"""),11976.0)</f>
        <v>11976</v>
      </c>
      <c r="D2245" s="5">
        <f>IFERROR(__xludf.DUMMYFUNCTION("""COMPUTED_VALUE"""),0.3275799086757991)</f>
        <v>0.3275799087</v>
      </c>
      <c r="E2245" s="5">
        <f>IFERROR(__xludf.DUMMYFUNCTION("""COMPUTED_VALUE"""),0.13077625570776255)</f>
        <v>0.1307762557</v>
      </c>
      <c r="F2245" s="5">
        <f>IFERROR(__xludf.DUMMYFUNCTION("""COMPUTED_VALUE"""),0.20310502283105022)</f>
        <v>0.2031050228</v>
      </c>
      <c r="G2245" s="5">
        <f>IFERROR(__xludf.DUMMYFUNCTION("""COMPUTED_VALUE"""),0.1917808219178082)</f>
        <v>0.1917808219</v>
      </c>
      <c r="H2245" s="5">
        <f>IFERROR(__xludf.DUMMYFUNCTION("""COMPUTED_VALUE"""),0.5899280575539568)</f>
        <v>0.5899280576</v>
      </c>
      <c r="I2245" s="11">
        <f>IFERROR(__xludf.DUMMYFUNCTION("""COMPUTED_VALUE"""),5873.201438848921)</f>
        <v>5873.201439</v>
      </c>
      <c r="J2245" s="10">
        <f>IFERROR(__xludf.DUMMYFUNCTION("""COMPUTED_VALUE"""),1.0)</f>
        <v>1</v>
      </c>
      <c r="K2245" s="5">
        <f>IFERROR(__xludf.DUMMYFUNCTION("""COMPUTED_VALUE"""),9.746588693957114E-4)</f>
        <v>0.0009746588694</v>
      </c>
      <c r="L2245" s="10">
        <f>IFERROR(__xludf.DUMMYFUNCTION("""COMPUTED_VALUE"""),495.0)</f>
        <v>495</v>
      </c>
      <c r="M2245" s="5">
        <f>IFERROR(__xludf.DUMMYFUNCTION("""COMPUTED_VALUE"""),0.4824561403508772)</f>
        <v>0.4824561404</v>
      </c>
    </row>
    <row r="2246">
      <c r="A2246" s="10" t="str">
        <f>IFERROR(__xludf.DUMMYFUNCTION("""COMPUTED_VALUE"""),"shockman")</f>
        <v>shockman</v>
      </c>
      <c r="B2246" s="10">
        <f>IFERROR(__xludf.DUMMYFUNCTION("""COMPUTED_VALUE"""),247.0)</f>
        <v>247</v>
      </c>
      <c r="C2246" s="10">
        <f>IFERROR(__xludf.DUMMYFUNCTION("""COMPUTED_VALUE"""),2954.0)</f>
        <v>2954</v>
      </c>
      <c r="D2246" s="5">
        <f>IFERROR(__xludf.DUMMYFUNCTION("""COMPUTED_VALUE"""),0.4558551902475065)</f>
        <v>0.4558551902</v>
      </c>
      <c r="E2246" s="5">
        <f>IFERROR(__xludf.DUMMYFUNCTION("""COMPUTED_VALUE"""),0.13077207240487626)</f>
        <v>0.1307720724</v>
      </c>
      <c r="F2246" s="5">
        <f>IFERROR(__xludf.DUMMYFUNCTION("""COMPUTED_VALUE"""),0.20206871074990765)</f>
        <v>0.2020687107</v>
      </c>
      <c r="G2246" s="5">
        <f>IFERROR(__xludf.DUMMYFUNCTION("""COMPUTED_VALUE"""),0.13040265977096416)</f>
        <v>0.1304026598</v>
      </c>
      <c r="H2246" s="5">
        <f>IFERROR(__xludf.DUMMYFUNCTION("""COMPUTED_VALUE"""),0.6014625228519196)</f>
        <v>0.6014625229</v>
      </c>
      <c r="I2246" s="11">
        <f>IFERROR(__xludf.DUMMYFUNCTION("""COMPUTED_VALUE"""),5475.137111517368)</f>
        <v>5475.137112</v>
      </c>
      <c r="J2246" s="10">
        <f>IFERROR(__xludf.DUMMYFUNCTION("""COMPUTED_VALUE"""),0.0)</f>
        <v>0</v>
      </c>
      <c r="K2246" s="5">
        <f>IFERROR(__xludf.DUMMYFUNCTION("""COMPUTED_VALUE"""),0.0)</f>
        <v>0</v>
      </c>
      <c r="L2246" s="10">
        <f>IFERROR(__xludf.DUMMYFUNCTION("""COMPUTED_VALUE"""),247.0)</f>
        <v>247</v>
      </c>
      <c r="M2246" s="5">
        <f>IFERROR(__xludf.DUMMYFUNCTION("""COMPUTED_VALUE"""),1.0)</f>
        <v>1</v>
      </c>
    </row>
    <row r="2247">
      <c r="A2247" s="10" t="str">
        <f>IFERROR(__xludf.DUMMYFUNCTION("""COMPUTED_VALUE"""),"VaNo")</f>
        <v>VaNo</v>
      </c>
      <c r="B2247" s="10">
        <f>IFERROR(__xludf.DUMMYFUNCTION("""COMPUTED_VALUE"""),1065.0)</f>
        <v>1065</v>
      </c>
      <c r="C2247" s="10">
        <f>IFERROR(__xludf.DUMMYFUNCTION("""COMPUTED_VALUE"""),12314.0)</f>
        <v>12314</v>
      </c>
      <c r="D2247" s="5">
        <f>IFERROR(__xludf.DUMMYFUNCTION("""COMPUTED_VALUE"""),0.2562005511601031)</f>
        <v>0.2562005512</v>
      </c>
      <c r="E2247" s="5">
        <f>IFERROR(__xludf.DUMMYFUNCTION("""COMPUTED_VALUE"""),0.1307671793048271)</f>
        <v>0.1307671793</v>
      </c>
      <c r="F2247" s="5">
        <f>IFERROR(__xludf.DUMMYFUNCTION("""COMPUTED_VALUE"""),0.20144012801137878)</f>
        <v>0.201440128</v>
      </c>
      <c r="G2247" s="5">
        <f>IFERROR(__xludf.DUMMYFUNCTION("""COMPUTED_VALUE"""),0.17139301271224108)</f>
        <v>0.1713930127</v>
      </c>
      <c r="H2247" s="5">
        <f>IFERROR(__xludf.DUMMYFUNCTION("""COMPUTED_VALUE"""),0.5798764342453663)</f>
        <v>0.5798764342</v>
      </c>
      <c r="I2247" s="11">
        <f>IFERROR(__xludf.DUMMYFUNCTION("""COMPUTED_VALUE"""),6050.044130626655)</f>
        <v>6050.044131</v>
      </c>
      <c r="J2247" s="10">
        <f>IFERROR(__xludf.DUMMYFUNCTION("""COMPUTED_VALUE"""),3.0)</f>
        <v>3</v>
      </c>
      <c r="K2247" s="5">
        <f>IFERROR(__xludf.DUMMYFUNCTION("""COMPUTED_VALUE"""),0.0028169014084507044)</f>
        <v>0.002816901408</v>
      </c>
      <c r="L2247" s="10">
        <f>IFERROR(__xludf.DUMMYFUNCTION("""COMPUTED_VALUE"""),1065.0)</f>
        <v>1065</v>
      </c>
      <c r="M2247" s="5">
        <f>IFERROR(__xludf.DUMMYFUNCTION("""COMPUTED_VALUE"""),1.0)</f>
        <v>1</v>
      </c>
    </row>
    <row r="2248">
      <c r="A2248" s="10" t="str">
        <f>IFERROR(__xludf.DUMMYFUNCTION("""COMPUTED_VALUE"""),"ゴンゴンダンス")</f>
        <v>ゴンゴンダンス</v>
      </c>
      <c r="B2248" s="10">
        <f>IFERROR(__xludf.DUMMYFUNCTION("""COMPUTED_VALUE"""),421.0)</f>
        <v>421</v>
      </c>
      <c r="C2248" s="10">
        <f>IFERROR(__xludf.DUMMYFUNCTION("""COMPUTED_VALUE"""),4933.0)</f>
        <v>4933</v>
      </c>
      <c r="D2248" s="5">
        <f>IFERROR(__xludf.DUMMYFUNCTION("""COMPUTED_VALUE"""),0.3320035460992908)</f>
        <v>0.3320035461</v>
      </c>
      <c r="E2248" s="5">
        <f>IFERROR(__xludf.DUMMYFUNCTION("""COMPUTED_VALUE"""),0.13076241134751773)</f>
        <v>0.1307624113</v>
      </c>
      <c r="F2248" s="5">
        <f>IFERROR(__xludf.DUMMYFUNCTION("""COMPUTED_VALUE"""),0.21453900709219859)</f>
        <v>0.2145390071</v>
      </c>
      <c r="G2248" s="5">
        <f>IFERROR(__xludf.DUMMYFUNCTION("""COMPUTED_VALUE"""),0.17043439716312056)</f>
        <v>0.1704343972</v>
      </c>
      <c r="H2248" s="5">
        <f>IFERROR(__xludf.DUMMYFUNCTION("""COMPUTED_VALUE"""),0.6157024793388429)</f>
        <v>0.6157024793</v>
      </c>
      <c r="I2248" s="11">
        <f>IFERROR(__xludf.DUMMYFUNCTION("""COMPUTED_VALUE"""),5664.979338842975)</f>
        <v>5664.979339</v>
      </c>
      <c r="J2248" s="10">
        <f>IFERROR(__xludf.DUMMYFUNCTION("""COMPUTED_VALUE"""),0.0)</f>
        <v>0</v>
      </c>
      <c r="K2248" s="5">
        <f>IFERROR(__xludf.DUMMYFUNCTION("""COMPUTED_VALUE"""),0.0)</f>
        <v>0</v>
      </c>
      <c r="L2248" s="10">
        <f>IFERROR(__xludf.DUMMYFUNCTION("""COMPUTED_VALUE"""),420.0)</f>
        <v>420</v>
      </c>
      <c r="M2248" s="5">
        <f>IFERROR(__xludf.DUMMYFUNCTION("""COMPUTED_VALUE"""),0.997624703087886)</f>
        <v>0.9976247031</v>
      </c>
    </row>
    <row r="2249">
      <c r="A2249" s="10" t="str">
        <f>IFERROR(__xludf.DUMMYFUNCTION("""COMPUTED_VALUE"""),"清々しい放銃")</f>
        <v>清々しい放銃</v>
      </c>
      <c r="B2249" s="10">
        <f>IFERROR(__xludf.DUMMYFUNCTION("""COMPUTED_VALUE"""),561.0)</f>
        <v>561</v>
      </c>
      <c r="C2249" s="10">
        <f>IFERROR(__xludf.DUMMYFUNCTION("""COMPUTED_VALUE"""),6549.0)</f>
        <v>6549</v>
      </c>
      <c r="D2249" s="5">
        <f>IFERROR(__xludf.DUMMYFUNCTION("""COMPUTED_VALUE"""),0.36773547094188375)</f>
        <v>0.3677354709</v>
      </c>
      <c r="E2249" s="5">
        <f>IFERROR(__xludf.DUMMYFUNCTION("""COMPUTED_VALUE"""),0.13076152304609218)</f>
        <v>0.130761523</v>
      </c>
      <c r="F2249" s="5">
        <f>IFERROR(__xludf.DUMMYFUNCTION("""COMPUTED_VALUE"""),0.2070808283233133)</f>
        <v>0.2070808283</v>
      </c>
      <c r="G2249" s="5">
        <f>IFERROR(__xludf.DUMMYFUNCTION("""COMPUTED_VALUE"""),0.16315965263861054)</f>
        <v>0.1631596526</v>
      </c>
      <c r="H2249" s="5">
        <f>IFERROR(__xludf.DUMMYFUNCTION("""COMPUTED_VALUE"""),0.6040322580645161)</f>
        <v>0.6040322581</v>
      </c>
      <c r="I2249" s="11">
        <f>IFERROR(__xludf.DUMMYFUNCTION("""COMPUTED_VALUE"""),5638.951612903225)</f>
        <v>5638.951613</v>
      </c>
      <c r="J2249" s="10">
        <f>IFERROR(__xludf.DUMMYFUNCTION("""COMPUTED_VALUE"""),1.0)</f>
        <v>1</v>
      </c>
      <c r="K2249" s="5">
        <f>IFERROR(__xludf.DUMMYFUNCTION("""COMPUTED_VALUE"""),0.0017825311942959)</f>
        <v>0.001782531194</v>
      </c>
      <c r="L2249" s="10">
        <f>IFERROR(__xludf.DUMMYFUNCTION("""COMPUTED_VALUE"""),561.0)</f>
        <v>561</v>
      </c>
      <c r="M2249" s="5">
        <f>IFERROR(__xludf.DUMMYFUNCTION("""COMPUTED_VALUE"""),1.0)</f>
        <v>1</v>
      </c>
    </row>
    <row r="2250">
      <c r="A2250" s="10" t="str">
        <f>IFERROR(__xludf.DUMMYFUNCTION("""COMPUTED_VALUE"""),"山下ダイスケ")</f>
        <v>山下ダイスケ</v>
      </c>
      <c r="B2250" s="10">
        <f>IFERROR(__xludf.DUMMYFUNCTION("""COMPUTED_VALUE"""),125.0)</f>
        <v>125</v>
      </c>
      <c r="C2250" s="10">
        <f>IFERROR(__xludf.DUMMYFUNCTION("""COMPUTED_VALUE"""),1471.0)</f>
        <v>1471</v>
      </c>
      <c r="D2250" s="5">
        <f>IFERROR(__xludf.DUMMYFUNCTION("""COMPUTED_VALUE"""),0.35958395245170877)</f>
        <v>0.3595839525</v>
      </c>
      <c r="E2250" s="5">
        <f>IFERROR(__xludf.DUMMYFUNCTION("""COMPUTED_VALUE"""),0.13075780089153047)</f>
        <v>0.1307578009</v>
      </c>
      <c r="F2250" s="5">
        <f>IFERROR(__xludf.DUMMYFUNCTION("""COMPUTED_VALUE"""),0.20579494799405645)</f>
        <v>0.205794948</v>
      </c>
      <c r="G2250" s="5">
        <f>IFERROR(__xludf.DUMMYFUNCTION("""COMPUTED_VALUE"""),0.14041604754829123)</f>
        <v>0.1404160475</v>
      </c>
      <c r="H2250" s="5">
        <f>IFERROR(__xludf.DUMMYFUNCTION("""COMPUTED_VALUE"""),0.631768953068592)</f>
        <v>0.6317689531</v>
      </c>
      <c r="I2250" s="11">
        <f>IFERROR(__xludf.DUMMYFUNCTION("""COMPUTED_VALUE"""),5529.241877256318)</f>
        <v>5529.241877</v>
      </c>
      <c r="J2250" s="10">
        <f>IFERROR(__xludf.DUMMYFUNCTION("""COMPUTED_VALUE"""),1.0)</f>
        <v>1</v>
      </c>
      <c r="K2250" s="5">
        <f>IFERROR(__xludf.DUMMYFUNCTION("""COMPUTED_VALUE"""),0.008)</f>
        <v>0.008</v>
      </c>
      <c r="L2250" s="10">
        <f>IFERROR(__xludf.DUMMYFUNCTION("""COMPUTED_VALUE"""),125.0)</f>
        <v>125</v>
      </c>
      <c r="M2250" s="5">
        <f>IFERROR(__xludf.DUMMYFUNCTION("""COMPUTED_VALUE"""),1.0)</f>
        <v>1</v>
      </c>
    </row>
    <row r="2251">
      <c r="A2251" s="10" t="str">
        <f>IFERROR(__xludf.DUMMYFUNCTION("""COMPUTED_VALUE"""),"#Silver")</f>
        <v>#Silver</v>
      </c>
      <c r="B2251" s="10">
        <f>IFERROR(__xludf.DUMMYFUNCTION("""COMPUTED_VALUE"""),2461.0)</f>
        <v>2461</v>
      </c>
      <c r="C2251" s="10">
        <f>IFERROR(__xludf.DUMMYFUNCTION("""COMPUTED_VALUE"""),28725.0)</f>
        <v>28725</v>
      </c>
      <c r="D2251" s="5">
        <f>IFERROR(__xludf.DUMMYFUNCTION("""COMPUTED_VALUE"""),0.35977002741395064)</f>
        <v>0.3597700274</v>
      </c>
      <c r="E2251" s="5">
        <f>IFERROR(__xludf.DUMMYFUNCTION("""COMPUTED_VALUE"""),0.13074931465123363)</f>
        <v>0.1307493147</v>
      </c>
      <c r="F2251" s="5">
        <f>IFERROR(__xludf.DUMMYFUNCTION("""COMPUTED_VALUE"""),0.2242232713981115)</f>
        <v>0.2242232714</v>
      </c>
      <c r="G2251" s="5">
        <f>IFERROR(__xludf.DUMMYFUNCTION("""COMPUTED_VALUE"""),0.13893542491623515)</f>
        <v>0.1389354249</v>
      </c>
      <c r="H2251" s="5">
        <f>IFERROR(__xludf.DUMMYFUNCTION("""COMPUTED_VALUE"""),0.6046867040244523)</f>
        <v>0.604686704</v>
      </c>
      <c r="I2251" s="11">
        <f>IFERROR(__xludf.DUMMYFUNCTION("""COMPUTED_VALUE"""),5468.110035659704)</f>
        <v>5468.110036</v>
      </c>
      <c r="J2251" s="10">
        <f>IFERROR(__xludf.DUMMYFUNCTION("""COMPUTED_VALUE"""),7.0)</f>
        <v>7</v>
      </c>
      <c r="K2251" s="5">
        <f>IFERROR(__xludf.DUMMYFUNCTION("""COMPUTED_VALUE"""),0.0028443722064201544)</f>
        <v>0.002844372206</v>
      </c>
      <c r="L2251" s="10">
        <f>IFERROR(__xludf.DUMMYFUNCTION("""COMPUTED_VALUE"""),2461.0)</f>
        <v>2461</v>
      </c>
      <c r="M2251" s="5">
        <f>IFERROR(__xludf.DUMMYFUNCTION("""COMPUTED_VALUE"""),1.0)</f>
        <v>1</v>
      </c>
    </row>
    <row r="2252">
      <c r="A2252" s="10" t="str">
        <f>IFERROR(__xludf.DUMMYFUNCTION("""COMPUTED_VALUE"""),"白百合古酒")</f>
        <v>白百合古酒</v>
      </c>
      <c r="B2252" s="10">
        <f>IFERROR(__xludf.DUMMYFUNCTION("""COMPUTED_VALUE"""),226.0)</f>
        <v>226</v>
      </c>
      <c r="C2252" s="10">
        <f>IFERROR(__xludf.DUMMYFUNCTION("""COMPUTED_VALUE"""),2643.0)</f>
        <v>2643</v>
      </c>
      <c r="D2252" s="5">
        <f>IFERROR(__xludf.DUMMYFUNCTION("""COMPUTED_VALUE"""),0.3442283822920976)</f>
        <v>0.3442283823</v>
      </c>
      <c r="E2252" s="5">
        <f>IFERROR(__xludf.DUMMYFUNCTION("""COMPUTED_VALUE"""),0.1307405875051717)</f>
        <v>0.1307405875</v>
      </c>
      <c r="F2252" s="5">
        <f>IFERROR(__xludf.DUMMYFUNCTION("""COMPUTED_VALUE"""),0.19031857674803476)</f>
        <v>0.1903185767</v>
      </c>
      <c r="G2252" s="5">
        <f>IFERROR(__xludf.DUMMYFUNCTION("""COMPUTED_VALUE"""),0.16549441456350847)</f>
        <v>0.1654944146</v>
      </c>
      <c r="H2252" s="5">
        <f>IFERROR(__xludf.DUMMYFUNCTION("""COMPUTED_VALUE"""),0.6152173913043478)</f>
        <v>0.6152173913</v>
      </c>
      <c r="I2252" s="11">
        <f>IFERROR(__xludf.DUMMYFUNCTION("""COMPUTED_VALUE"""),5556.521739130435)</f>
        <v>5556.521739</v>
      </c>
      <c r="J2252" s="10">
        <f>IFERROR(__xludf.DUMMYFUNCTION("""COMPUTED_VALUE"""),0.0)</f>
        <v>0</v>
      </c>
      <c r="K2252" s="5">
        <f>IFERROR(__xludf.DUMMYFUNCTION("""COMPUTED_VALUE"""),0.0)</f>
        <v>0</v>
      </c>
      <c r="L2252" s="10">
        <f>IFERROR(__xludf.DUMMYFUNCTION("""COMPUTED_VALUE"""),226.0)</f>
        <v>226</v>
      </c>
      <c r="M2252" s="5">
        <f>IFERROR(__xludf.DUMMYFUNCTION("""COMPUTED_VALUE"""),1.0)</f>
        <v>1</v>
      </c>
    </row>
    <row r="2253">
      <c r="A2253" s="10" t="str">
        <f>IFERROR(__xludf.DUMMYFUNCTION("""COMPUTED_VALUE"""),"ざわわん")</f>
        <v>ざわわん</v>
      </c>
      <c r="B2253" s="10">
        <f>IFERROR(__xludf.DUMMYFUNCTION("""COMPUTED_VALUE"""),978.0)</f>
        <v>978</v>
      </c>
      <c r="C2253" s="10">
        <f>IFERROR(__xludf.DUMMYFUNCTION("""COMPUTED_VALUE"""),11519.0)</f>
        <v>11519</v>
      </c>
      <c r="D2253" s="5">
        <f>IFERROR(__xludf.DUMMYFUNCTION("""COMPUTED_VALUE"""),0.34911298738260127)</f>
        <v>0.3491129874</v>
      </c>
      <c r="E2253" s="5">
        <f>IFERROR(__xludf.DUMMYFUNCTION("""COMPUTED_VALUE"""),0.1307276349492458)</f>
        <v>0.1307276349</v>
      </c>
      <c r="F2253" s="5">
        <f>IFERROR(__xludf.DUMMYFUNCTION("""COMPUTED_VALUE"""),0.21866995541219997)</f>
        <v>0.2186699554</v>
      </c>
      <c r="G2253" s="5">
        <f>IFERROR(__xludf.DUMMYFUNCTION("""COMPUTED_VALUE"""),0.18271511241817665)</f>
        <v>0.1827151124</v>
      </c>
      <c r="H2253" s="5">
        <f>IFERROR(__xludf.DUMMYFUNCTION("""COMPUTED_VALUE"""),0.5874186550976139)</f>
        <v>0.5874186551</v>
      </c>
      <c r="I2253" s="11">
        <f>IFERROR(__xludf.DUMMYFUNCTION("""COMPUTED_VALUE"""),5504.208242950109)</f>
        <v>5504.208243</v>
      </c>
      <c r="J2253" s="10">
        <f>IFERROR(__xludf.DUMMYFUNCTION("""COMPUTED_VALUE"""),0.0)</f>
        <v>0</v>
      </c>
      <c r="K2253" s="5">
        <f>IFERROR(__xludf.DUMMYFUNCTION("""COMPUTED_VALUE"""),0.0)</f>
        <v>0</v>
      </c>
      <c r="L2253" s="10">
        <f>IFERROR(__xludf.DUMMYFUNCTION("""COMPUTED_VALUE"""),975.0)</f>
        <v>975</v>
      </c>
      <c r="M2253" s="5">
        <f>IFERROR(__xludf.DUMMYFUNCTION("""COMPUTED_VALUE"""),0.9969325153374233)</f>
        <v>0.9969325153</v>
      </c>
    </row>
    <row r="2254">
      <c r="A2254" s="10" t="str">
        <f>IFERROR(__xludf.DUMMYFUNCTION("""COMPUTED_VALUE"""),"やめてよしお")</f>
        <v>やめてよしお</v>
      </c>
      <c r="B2254" s="10">
        <f>IFERROR(__xludf.DUMMYFUNCTION("""COMPUTED_VALUE"""),323.0)</f>
        <v>323</v>
      </c>
      <c r="C2254" s="10">
        <f>IFERROR(__xludf.DUMMYFUNCTION("""COMPUTED_VALUE"""),3750.0)</f>
        <v>3750</v>
      </c>
      <c r="D2254" s="5">
        <f>IFERROR(__xludf.DUMMYFUNCTION("""COMPUTED_VALUE"""),0.2810037934053108)</f>
        <v>0.2810037934</v>
      </c>
      <c r="E2254" s="5">
        <f>IFERROR(__xludf.DUMMYFUNCTION("""COMPUTED_VALUE"""),0.13072658301721624)</f>
        <v>0.130726583</v>
      </c>
      <c r="F2254" s="5">
        <f>IFERROR(__xludf.DUMMYFUNCTION("""COMPUTED_VALUE"""),0.20105048147067406)</f>
        <v>0.2010504815</v>
      </c>
      <c r="G2254" s="5">
        <f>IFERROR(__xludf.DUMMYFUNCTION("""COMPUTED_VALUE"""),0.17508024511234316)</f>
        <v>0.1750802451</v>
      </c>
      <c r="H2254" s="5">
        <f>IFERROR(__xludf.DUMMYFUNCTION("""COMPUTED_VALUE"""),0.6008708272859217)</f>
        <v>0.6008708273</v>
      </c>
      <c r="I2254" s="11">
        <f>IFERROR(__xludf.DUMMYFUNCTION("""COMPUTED_VALUE"""),6424.673439767779)</f>
        <v>6424.67344</v>
      </c>
      <c r="J2254" s="10">
        <f>IFERROR(__xludf.DUMMYFUNCTION("""COMPUTED_VALUE"""),0.0)</f>
        <v>0</v>
      </c>
      <c r="K2254" s="5">
        <f>IFERROR(__xludf.DUMMYFUNCTION("""COMPUTED_VALUE"""),0.0)</f>
        <v>0</v>
      </c>
      <c r="L2254" s="10">
        <f>IFERROR(__xludf.DUMMYFUNCTION("""COMPUTED_VALUE"""),0.0)</f>
        <v>0</v>
      </c>
      <c r="M2254" s="5">
        <f>IFERROR(__xludf.DUMMYFUNCTION("""COMPUTED_VALUE"""),0.0)</f>
        <v>0</v>
      </c>
    </row>
    <row r="2255">
      <c r="A2255" s="10" t="str">
        <f>IFERROR(__xludf.DUMMYFUNCTION("""COMPUTED_VALUE"""),"角煮モード")</f>
        <v>角煮モード</v>
      </c>
      <c r="B2255" s="10">
        <f>IFERROR(__xludf.DUMMYFUNCTION("""COMPUTED_VALUE"""),199.0)</f>
        <v>199</v>
      </c>
      <c r="C2255" s="10">
        <f>IFERROR(__xludf.DUMMYFUNCTION("""COMPUTED_VALUE"""),2295.0)</f>
        <v>2295</v>
      </c>
      <c r="D2255" s="5">
        <f>IFERROR(__xludf.DUMMYFUNCTION("""COMPUTED_VALUE"""),0.1965648854961832)</f>
        <v>0.1965648855</v>
      </c>
      <c r="E2255" s="5">
        <f>IFERROR(__xludf.DUMMYFUNCTION("""COMPUTED_VALUE"""),0.13072519083969467)</f>
        <v>0.1307251908</v>
      </c>
      <c r="F2255" s="5">
        <f>IFERROR(__xludf.DUMMYFUNCTION("""COMPUTED_VALUE"""),0.18654580152671757)</f>
        <v>0.1865458015</v>
      </c>
      <c r="G2255" s="5">
        <f>IFERROR(__xludf.DUMMYFUNCTION("""COMPUTED_VALUE"""),0.17318702290076335)</f>
        <v>0.1731870229</v>
      </c>
      <c r="H2255" s="5">
        <f>IFERROR(__xludf.DUMMYFUNCTION("""COMPUTED_VALUE"""),0.5882352941176471)</f>
        <v>0.5882352941</v>
      </c>
      <c r="I2255" s="11">
        <f>IFERROR(__xludf.DUMMYFUNCTION("""COMPUTED_VALUE"""),5994.62915601023)</f>
        <v>5994.629156</v>
      </c>
      <c r="J2255" s="10">
        <f>IFERROR(__xludf.DUMMYFUNCTION("""COMPUTED_VALUE"""),0.0)</f>
        <v>0</v>
      </c>
      <c r="K2255" s="5">
        <f>IFERROR(__xludf.DUMMYFUNCTION("""COMPUTED_VALUE"""),0.0)</f>
        <v>0</v>
      </c>
      <c r="L2255" s="10">
        <f>IFERROR(__xludf.DUMMYFUNCTION("""COMPUTED_VALUE"""),199.0)</f>
        <v>199</v>
      </c>
      <c r="M2255" s="5">
        <f>IFERROR(__xludf.DUMMYFUNCTION("""COMPUTED_VALUE"""),1.0)</f>
        <v>1</v>
      </c>
    </row>
    <row r="2256">
      <c r="A2256" s="10" t="str">
        <f>IFERROR(__xludf.DUMMYFUNCTION("""COMPUTED_VALUE"""),"安眠マクラ")</f>
        <v>安眠マクラ</v>
      </c>
      <c r="B2256" s="10">
        <f>IFERROR(__xludf.DUMMYFUNCTION("""COMPUTED_VALUE"""),2844.0)</f>
        <v>2844</v>
      </c>
      <c r="C2256" s="10">
        <f>IFERROR(__xludf.DUMMYFUNCTION("""COMPUTED_VALUE"""),33703.0)</f>
        <v>33703</v>
      </c>
      <c r="D2256" s="5">
        <f>IFERROR(__xludf.DUMMYFUNCTION("""COMPUTED_VALUE"""),0.430862957322013)</f>
        <v>0.4308629573</v>
      </c>
      <c r="E2256" s="5">
        <f>IFERROR(__xludf.DUMMYFUNCTION("""COMPUTED_VALUE"""),0.13072361385657344)</f>
        <v>0.1307236139</v>
      </c>
      <c r="F2256" s="5">
        <f>IFERROR(__xludf.DUMMYFUNCTION("""COMPUTED_VALUE"""),0.22547717035548787)</f>
        <v>0.2254771704</v>
      </c>
      <c r="G2256" s="5">
        <f>IFERROR(__xludf.DUMMYFUNCTION("""COMPUTED_VALUE"""),0.17249424803136848)</f>
        <v>0.172494248</v>
      </c>
      <c r="H2256" s="5">
        <f>IFERROR(__xludf.DUMMYFUNCTION("""COMPUTED_VALUE"""),0.5893935038804254)</f>
        <v>0.5893935039</v>
      </c>
      <c r="I2256" s="11">
        <f>IFERROR(__xludf.DUMMYFUNCTION("""COMPUTED_VALUE"""),5003.061224489796)</f>
        <v>5003.061224</v>
      </c>
      <c r="J2256" s="10">
        <f>IFERROR(__xludf.DUMMYFUNCTION("""COMPUTED_VALUE"""),2.0)</f>
        <v>2</v>
      </c>
      <c r="K2256" s="5">
        <f>IFERROR(__xludf.DUMMYFUNCTION("""COMPUTED_VALUE"""),7.032348804500703E-4)</f>
        <v>0.0007032348805</v>
      </c>
      <c r="L2256" s="10">
        <f>IFERROR(__xludf.DUMMYFUNCTION("""COMPUTED_VALUE"""),1439.0)</f>
        <v>1439</v>
      </c>
      <c r="M2256" s="5">
        <f>IFERROR(__xludf.DUMMYFUNCTION("""COMPUTED_VALUE"""),0.5059774964838256)</f>
        <v>0.5059774965</v>
      </c>
    </row>
    <row r="2257">
      <c r="A2257" s="10" t="str">
        <f>IFERROR(__xludf.DUMMYFUNCTION("""COMPUTED_VALUE"""),"HA-RU")</f>
        <v>HA-RU</v>
      </c>
      <c r="B2257" s="10">
        <f>IFERROR(__xludf.DUMMYFUNCTION("""COMPUTED_VALUE"""),541.0)</f>
        <v>541</v>
      </c>
      <c r="C2257" s="10">
        <f>IFERROR(__xludf.DUMMYFUNCTION("""COMPUTED_VALUE"""),6416.0)</f>
        <v>6416</v>
      </c>
      <c r="D2257" s="5">
        <f>IFERROR(__xludf.DUMMYFUNCTION("""COMPUTED_VALUE"""),0.4326808510638298)</f>
        <v>0.4326808511</v>
      </c>
      <c r="E2257" s="5">
        <f>IFERROR(__xludf.DUMMYFUNCTION("""COMPUTED_VALUE"""),0.13072340425531914)</f>
        <v>0.1307234043</v>
      </c>
      <c r="F2257" s="5">
        <f>IFERROR(__xludf.DUMMYFUNCTION("""COMPUTED_VALUE"""),0.21753191489361703)</f>
        <v>0.2175319149</v>
      </c>
      <c r="G2257" s="5">
        <f>IFERROR(__xludf.DUMMYFUNCTION("""COMPUTED_VALUE"""),0.17668085106382977)</f>
        <v>0.1766808511</v>
      </c>
      <c r="H2257" s="5">
        <f>IFERROR(__xludf.DUMMYFUNCTION("""COMPUTED_VALUE"""),0.6056338028169014)</f>
        <v>0.6056338028</v>
      </c>
      <c r="I2257" s="11">
        <f>IFERROR(__xludf.DUMMYFUNCTION("""COMPUTED_VALUE"""),5640.062597809077)</f>
        <v>5640.062598</v>
      </c>
      <c r="J2257" s="10">
        <f>IFERROR(__xludf.DUMMYFUNCTION("""COMPUTED_VALUE"""),0.0)</f>
        <v>0</v>
      </c>
      <c r="K2257" s="5">
        <f>IFERROR(__xludf.DUMMYFUNCTION("""COMPUTED_VALUE"""),0.0)</f>
        <v>0</v>
      </c>
      <c r="L2257" s="10">
        <f>IFERROR(__xludf.DUMMYFUNCTION("""COMPUTED_VALUE"""),541.0)</f>
        <v>541</v>
      </c>
      <c r="M2257" s="5">
        <f>IFERROR(__xludf.DUMMYFUNCTION("""COMPUTED_VALUE"""),1.0)</f>
        <v>1</v>
      </c>
    </row>
    <row r="2258">
      <c r="A2258" s="10" t="str">
        <f>IFERROR(__xludf.DUMMYFUNCTION("""COMPUTED_VALUE"""),"継花三澄☆")</f>
        <v>継花三澄☆</v>
      </c>
      <c r="B2258" s="10">
        <f>IFERROR(__xludf.DUMMYFUNCTION("""COMPUTED_VALUE"""),752.0)</f>
        <v>752</v>
      </c>
      <c r="C2258" s="10">
        <f>IFERROR(__xludf.DUMMYFUNCTION("""COMPUTED_VALUE"""),8854.0)</f>
        <v>8854</v>
      </c>
      <c r="D2258" s="5">
        <f>IFERROR(__xludf.DUMMYFUNCTION("""COMPUTED_VALUE"""),0.3841026906936559)</f>
        <v>0.3841026907</v>
      </c>
      <c r="E2258" s="5">
        <f>IFERROR(__xludf.DUMMYFUNCTION("""COMPUTED_VALUE"""),0.13070846704517403)</f>
        <v>0.130708467</v>
      </c>
      <c r="F2258" s="5">
        <f>IFERROR(__xludf.DUMMYFUNCTION("""COMPUTED_VALUE"""),0.20809676623056036)</f>
        <v>0.2080967662</v>
      </c>
      <c r="G2258" s="5">
        <f>IFERROR(__xludf.DUMMYFUNCTION("""COMPUTED_VALUE"""),0.1711922981979758)</f>
        <v>0.1711922982</v>
      </c>
      <c r="H2258" s="5">
        <f>IFERROR(__xludf.DUMMYFUNCTION("""COMPUTED_VALUE"""),0.5836298932384342)</f>
        <v>0.5836298932</v>
      </c>
      <c r="I2258" s="11">
        <f>IFERROR(__xludf.DUMMYFUNCTION("""COMPUTED_VALUE"""),5652.253855278766)</f>
        <v>5652.253855</v>
      </c>
      <c r="J2258" s="10">
        <f>IFERROR(__xludf.DUMMYFUNCTION("""COMPUTED_VALUE"""),1.0)</f>
        <v>1</v>
      </c>
      <c r="K2258" s="5">
        <f>IFERROR(__xludf.DUMMYFUNCTION("""COMPUTED_VALUE"""),0.0013297872340425532)</f>
        <v>0.001329787234</v>
      </c>
      <c r="L2258" s="10">
        <f>IFERROR(__xludf.DUMMYFUNCTION("""COMPUTED_VALUE"""),701.0)</f>
        <v>701</v>
      </c>
      <c r="M2258" s="5">
        <f>IFERROR(__xludf.DUMMYFUNCTION("""COMPUTED_VALUE"""),0.9321808510638298)</f>
        <v>0.9321808511</v>
      </c>
    </row>
    <row r="2259">
      <c r="A2259" s="10" t="str">
        <f>IFERROR(__xludf.DUMMYFUNCTION("""COMPUTED_VALUE"""),"Gladius+")</f>
        <v>Gladius+</v>
      </c>
      <c r="B2259" s="10">
        <f>IFERROR(__xludf.DUMMYFUNCTION("""COMPUTED_VALUE"""),194.0)</f>
        <v>194</v>
      </c>
      <c r="C2259" s="10">
        <f>IFERROR(__xludf.DUMMYFUNCTION("""COMPUTED_VALUE"""),2298.0)</f>
        <v>2298</v>
      </c>
      <c r="D2259" s="5">
        <f>IFERROR(__xludf.DUMMYFUNCTION("""COMPUTED_VALUE"""),0.3588403041825095)</f>
        <v>0.3588403042</v>
      </c>
      <c r="E2259" s="5">
        <f>IFERROR(__xludf.DUMMYFUNCTION("""COMPUTED_VALUE"""),0.13070342205323193)</f>
        <v>0.1307034221</v>
      </c>
      <c r="F2259" s="5">
        <f>IFERROR(__xludf.DUMMYFUNCTION("""COMPUTED_VALUE"""),0.2224334600760456)</f>
        <v>0.2224334601</v>
      </c>
      <c r="G2259" s="5">
        <f>IFERROR(__xludf.DUMMYFUNCTION("""COMPUTED_VALUE"""),0.20912547528517111)</f>
        <v>0.2091254753</v>
      </c>
      <c r="H2259" s="5">
        <f>IFERROR(__xludf.DUMMYFUNCTION("""COMPUTED_VALUE"""),0.5726495726495726)</f>
        <v>0.5726495726</v>
      </c>
      <c r="I2259" s="11">
        <f>IFERROR(__xludf.DUMMYFUNCTION("""COMPUTED_VALUE"""),5457.9059829059825)</f>
        <v>5457.905983</v>
      </c>
      <c r="J2259" s="10">
        <f>IFERROR(__xludf.DUMMYFUNCTION("""COMPUTED_VALUE"""),1.0)</f>
        <v>1</v>
      </c>
      <c r="K2259" s="5">
        <f>IFERROR(__xludf.DUMMYFUNCTION("""COMPUTED_VALUE"""),0.005154639175257732)</f>
        <v>0.005154639175</v>
      </c>
      <c r="L2259" s="10">
        <f>IFERROR(__xludf.DUMMYFUNCTION("""COMPUTED_VALUE"""),180.0)</f>
        <v>180</v>
      </c>
      <c r="M2259" s="5">
        <f>IFERROR(__xludf.DUMMYFUNCTION("""COMPUTED_VALUE"""),0.9278350515463918)</f>
        <v>0.9278350515</v>
      </c>
    </row>
    <row r="2260">
      <c r="A2260" s="10" t="str">
        <f>IFERROR(__xludf.DUMMYFUNCTION("""COMPUTED_VALUE"""),"C-ビック")</f>
        <v>C-ビック</v>
      </c>
      <c r="B2260" s="10">
        <f>IFERROR(__xludf.DUMMYFUNCTION("""COMPUTED_VALUE"""),416.0)</f>
        <v>416</v>
      </c>
      <c r="C2260" s="10">
        <f>IFERROR(__xludf.DUMMYFUNCTION("""COMPUTED_VALUE"""),5022.0)</f>
        <v>5022</v>
      </c>
      <c r="D2260" s="5">
        <f>IFERROR(__xludf.DUMMYFUNCTION("""COMPUTED_VALUE"""),0.3300043421623969)</f>
        <v>0.3300043422</v>
      </c>
      <c r="E2260" s="5">
        <f>IFERROR(__xludf.DUMMYFUNCTION("""COMPUTED_VALUE"""),0.13069908814589665)</f>
        <v>0.1306990881</v>
      </c>
      <c r="F2260" s="5">
        <f>IFERROR(__xludf.DUMMYFUNCTION("""COMPUTED_VALUE"""),0.20885801128962223)</f>
        <v>0.2088580113</v>
      </c>
      <c r="G2260" s="5">
        <f>IFERROR(__xludf.DUMMYFUNCTION("""COMPUTED_VALUE"""),0.1715154146765089)</f>
        <v>0.1715154147</v>
      </c>
      <c r="H2260" s="5">
        <f>IFERROR(__xludf.DUMMYFUNCTION("""COMPUTED_VALUE"""),0.5706860706860707)</f>
        <v>0.5706860707</v>
      </c>
      <c r="I2260" s="11">
        <f>IFERROR(__xludf.DUMMYFUNCTION("""COMPUTED_VALUE"""),5379.106029106029)</f>
        <v>5379.106029</v>
      </c>
      <c r="J2260" s="10">
        <f>IFERROR(__xludf.DUMMYFUNCTION("""COMPUTED_VALUE"""),0.0)</f>
        <v>0</v>
      </c>
      <c r="K2260" s="5">
        <f>IFERROR(__xludf.DUMMYFUNCTION("""COMPUTED_VALUE"""),0.0)</f>
        <v>0</v>
      </c>
      <c r="L2260" s="10">
        <f>IFERROR(__xludf.DUMMYFUNCTION("""COMPUTED_VALUE"""),416.0)</f>
        <v>416</v>
      </c>
      <c r="M2260" s="5">
        <f>IFERROR(__xludf.DUMMYFUNCTION("""COMPUTED_VALUE"""),1.0)</f>
        <v>1</v>
      </c>
    </row>
    <row r="2261">
      <c r="A2261" s="10" t="str">
        <f>IFERROR(__xludf.DUMMYFUNCTION("""COMPUTED_VALUE"""),"Ryao")</f>
        <v>Ryao</v>
      </c>
      <c r="B2261" s="10">
        <f>IFERROR(__xludf.DUMMYFUNCTION("""COMPUTED_VALUE"""),554.0)</f>
        <v>554</v>
      </c>
      <c r="C2261" s="10">
        <f>IFERROR(__xludf.DUMMYFUNCTION("""COMPUTED_VALUE"""),6354.0)</f>
        <v>6354</v>
      </c>
      <c r="D2261" s="5">
        <f>IFERROR(__xludf.DUMMYFUNCTION("""COMPUTED_VALUE"""),0.36379310344827587)</f>
        <v>0.3637931034</v>
      </c>
      <c r="E2261" s="5">
        <f>IFERROR(__xludf.DUMMYFUNCTION("""COMPUTED_VALUE"""),0.1306896551724138)</f>
        <v>0.1306896552</v>
      </c>
      <c r="F2261" s="5">
        <f>IFERROR(__xludf.DUMMYFUNCTION("""COMPUTED_VALUE"""),0.21620689655172415)</f>
        <v>0.2162068966</v>
      </c>
      <c r="G2261" s="5">
        <f>IFERROR(__xludf.DUMMYFUNCTION("""COMPUTED_VALUE"""),0.20293103448275862)</f>
        <v>0.2029310345</v>
      </c>
      <c r="H2261" s="5">
        <f>IFERROR(__xludf.DUMMYFUNCTION("""COMPUTED_VALUE"""),0.5606060606060606)</f>
        <v>0.5606060606</v>
      </c>
      <c r="I2261" s="11">
        <f>IFERROR(__xludf.DUMMYFUNCTION("""COMPUTED_VALUE"""),6050.637958532695)</f>
        <v>6050.637959</v>
      </c>
      <c r="J2261" s="10">
        <f>IFERROR(__xludf.DUMMYFUNCTION("""COMPUTED_VALUE"""),1.0)</f>
        <v>1</v>
      </c>
      <c r="K2261" s="5">
        <f>IFERROR(__xludf.DUMMYFUNCTION("""COMPUTED_VALUE"""),0.0018050541516245488)</f>
        <v>0.001805054152</v>
      </c>
      <c r="L2261" s="10">
        <f>IFERROR(__xludf.DUMMYFUNCTION("""COMPUTED_VALUE"""),554.0)</f>
        <v>554</v>
      </c>
      <c r="M2261" s="5">
        <f>IFERROR(__xludf.DUMMYFUNCTION("""COMPUTED_VALUE"""),1.0)</f>
        <v>1</v>
      </c>
    </row>
    <row r="2262">
      <c r="A2262" s="10" t="str">
        <f>IFERROR(__xludf.DUMMYFUNCTION("""COMPUTED_VALUE"""),"つきのねこ")</f>
        <v>つきのねこ</v>
      </c>
      <c r="B2262" s="10">
        <f>IFERROR(__xludf.DUMMYFUNCTION("""COMPUTED_VALUE"""),235.0)</f>
        <v>235</v>
      </c>
      <c r="C2262" s="10">
        <f>IFERROR(__xludf.DUMMYFUNCTION("""COMPUTED_VALUE"""),2806.0)</f>
        <v>2806</v>
      </c>
      <c r="D2262" s="5">
        <f>IFERROR(__xludf.DUMMYFUNCTION("""COMPUTED_VALUE"""),0.33022170361726955)</f>
        <v>0.3302217036</v>
      </c>
      <c r="E2262" s="5">
        <f>IFERROR(__xludf.DUMMYFUNCTION("""COMPUTED_VALUE"""),0.1306884480746791)</f>
        <v>0.1306884481</v>
      </c>
      <c r="F2262" s="5">
        <f>IFERROR(__xludf.DUMMYFUNCTION("""COMPUTED_VALUE"""),0.19175418125243096)</f>
        <v>0.1917541813</v>
      </c>
      <c r="G2262" s="5">
        <f>IFERROR(__xludf.DUMMYFUNCTION("""COMPUTED_VALUE"""),0.11979774406845585)</f>
        <v>0.1197977441</v>
      </c>
      <c r="H2262" s="5">
        <f>IFERROR(__xludf.DUMMYFUNCTION("""COMPUTED_VALUE"""),0.6490872210953347)</f>
        <v>0.6490872211</v>
      </c>
      <c r="I2262" s="11">
        <f>IFERROR(__xludf.DUMMYFUNCTION("""COMPUTED_VALUE"""),5408.722109533469)</f>
        <v>5408.72211</v>
      </c>
      <c r="J2262" s="10">
        <f>IFERROR(__xludf.DUMMYFUNCTION("""COMPUTED_VALUE"""),0.0)</f>
        <v>0</v>
      </c>
      <c r="K2262" s="5">
        <f>IFERROR(__xludf.DUMMYFUNCTION("""COMPUTED_VALUE"""),0.0)</f>
        <v>0</v>
      </c>
      <c r="L2262" s="10">
        <f>IFERROR(__xludf.DUMMYFUNCTION("""COMPUTED_VALUE"""),235.0)</f>
        <v>235</v>
      </c>
      <c r="M2262" s="5">
        <f>IFERROR(__xludf.DUMMYFUNCTION("""COMPUTED_VALUE"""),1.0)</f>
        <v>1</v>
      </c>
    </row>
    <row r="2263">
      <c r="A2263" s="10" t="str">
        <f>IFERROR(__xludf.DUMMYFUNCTION("""COMPUTED_VALUE"""),"諸葛亮")</f>
        <v>諸葛亮</v>
      </c>
      <c r="B2263" s="10">
        <f>IFERROR(__xludf.DUMMYFUNCTION("""COMPUTED_VALUE"""),991.0)</f>
        <v>991</v>
      </c>
      <c r="C2263" s="10">
        <f>IFERROR(__xludf.DUMMYFUNCTION("""COMPUTED_VALUE"""),11559.0)</f>
        <v>11559</v>
      </c>
      <c r="D2263" s="5">
        <f>IFERROR(__xludf.DUMMYFUNCTION("""COMPUTED_VALUE"""),0.3621309613928842)</f>
        <v>0.3621309614</v>
      </c>
      <c r="E2263" s="5">
        <f>IFERROR(__xludf.DUMMYFUNCTION("""COMPUTED_VALUE"""),0.1306775170325511)</f>
        <v>0.130677517</v>
      </c>
      <c r="F2263" s="5">
        <f>IFERROR(__xludf.DUMMYFUNCTION("""COMPUTED_VALUE"""),0.21782740348221044)</f>
        <v>0.2178274035</v>
      </c>
      <c r="G2263" s="5">
        <f>IFERROR(__xludf.DUMMYFUNCTION("""COMPUTED_VALUE"""),0.1607683573050719)</f>
        <v>0.1607683573</v>
      </c>
      <c r="H2263" s="5">
        <f>IFERROR(__xludf.DUMMYFUNCTION("""COMPUTED_VALUE"""),0.6064291920069504)</f>
        <v>0.606429192</v>
      </c>
      <c r="I2263" s="11">
        <f>IFERROR(__xludf.DUMMYFUNCTION("""COMPUTED_VALUE"""),5647.35013032146)</f>
        <v>5647.35013</v>
      </c>
      <c r="J2263" s="10">
        <f>IFERROR(__xludf.DUMMYFUNCTION("""COMPUTED_VALUE"""),3.0)</f>
        <v>3</v>
      </c>
      <c r="K2263" s="5">
        <f>IFERROR(__xludf.DUMMYFUNCTION("""COMPUTED_VALUE"""),0.0030272452068617556)</f>
        <v>0.003027245207</v>
      </c>
      <c r="L2263" s="10">
        <f>IFERROR(__xludf.DUMMYFUNCTION("""COMPUTED_VALUE"""),391.0)</f>
        <v>391</v>
      </c>
      <c r="M2263" s="5">
        <f>IFERROR(__xludf.DUMMYFUNCTION("""COMPUTED_VALUE"""),0.39455095862764883)</f>
        <v>0.3945509586</v>
      </c>
    </row>
    <row r="2264">
      <c r="A2264" s="10" t="str">
        <f>IFERROR(__xludf.DUMMYFUNCTION("""COMPUTED_VALUE"""),"piyoemon")</f>
        <v>piyoemon</v>
      </c>
      <c r="B2264" s="10">
        <f>IFERROR(__xludf.DUMMYFUNCTION("""COMPUTED_VALUE"""),387.0)</f>
        <v>387</v>
      </c>
      <c r="C2264" s="10">
        <f>IFERROR(__xludf.DUMMYFUNCTION("""COMPUTED_VALUE"""),4550.0)</f>
        <v>4550</v>
      </c>
      <c r="D2264" s="5">
        <f>IFERROR(__xludf.DUMMYFUNCTION("""COMPUTED_VALUE"""),0.3872207542637521)</f>
        <v>0.3872207543</v>
      </c>
      <c r="E2264" s="5">
        <f>IFERROR(__xludf.DUMMYFUNCTION("""COMPUTED_VALUE"""),0.13067499399471535)</f>
        <v>0.130674994</v>
      </c>
      <c r="F2264" s="5">
        <f>IFERROR(__xludf.DUMMYFUNCTION("""COMPUTED_VALUE"""),0.20850348306509728)</f>
        <v>0.2085034831</v>
      </c>
      <c r="G2264" s="5">
        <f>IFERROR(__xludf.DUMMYFUNCTION("""COMPUTED_VALUE"""),0.15109296180638962)</f>
        <v>0.1510929618</v>
      </c>
      <c r="H2264" s="5">
        <f>IFERROR(__xludf.DUMMYFUNCTION("""COMPUTED_VALUE"""),0.5887096774193549)</f>
        <v>0.5887096774</v>
      </c>
      <c r="I2264" s="11">
        <f>IFERROR(__xludf.DUMMYFUNCTION("""COMPUTED_VALUE"""),5379.8387096774195)</f>
        <v>5379.83871</v>
      </c>
      <c r="J2264" s="10">
        <f>IFERROR(__xludf.DUMMYFUNCTION("""COMPUTED_VALUE"""),0.0)</f>
        <v>0</v>
      </c>
      <c r="K2264" s="5">
        <f>IFERROR(__xludf.DUMMYFUNCTION("""COMPUTED_VALUE"""),0.0)</f>
        <v>0</v>
      </c>
      <c r="L2264" s="10">
        <f>IFERROR(__xludf.DUMMYFUNCTION("""COMPUTED_VALUE"""),387.0)</f>
        <v>387</v>
      </c>
      <c r="M2264" s="5">
        <f>IFERROR(__xludf.DUMMYFUNCTION("""COMPUTED_VALUE"""),1.0)</f>
        <v>1</v>
      </c>
    </row>
    <row r="2265">
      <c r="A2265" s="10" t="str">
        <f>IFERROR(__xludf.DUMMYFUNCTION("""COMPUTED_VALUE"""),"まりぷぅのファン")</f>
        <v>まりぷぅのファン</v>
      </c>
      <c r="B2265" s="10">
        <f>IFERROR(__xludf.DUMMYFUNCTION("""COMPUTED_VALUE"""),374.0)</f>
        <v>374</v>
      </c>
      <c r="C2265" s="10">
        <f>IFERROR(__xludf.DUMMYFUNCTION("""COMPUTED_VALUE"""),4430.0)</f>
        <v>4430</v>
      </c>
      <c r="D2265" s="5">
        <f>IFERROR(__xludf.DUMMYFUNCTION("""COMPUTED_VALUE"""),0.35009861932938857)</f>
        <v>0.3500986193</v>
      </c>
      <c r="E2265" s="5">
        <f>IFERROR(__xludf.DUMMYFUNCTION("""COMPUTED_VALUE"""),0.1306706114398422)</f>
        <v>0.1306706114</v>
      </c>
      <c r="F2265" s="5">
        <f>IFERROR(__xludf.DUMMYFUNCTION("""COMPUTED_VALUE"""),0.21277120315581854)</f>
        <v>0.2127712032</v>
      </c>
      <c r="G2265" s="5">
        <f>IFERROR(__xludf.DUMMYFUNCTION("""COMPUTED_VALUE"""),0.1873767258382643)</f>
        <v>0.1873767258</v>
      </c>
      <c r="H2265" s="5">
        <f>IFERROR(__xludf.DUMMYFUNCTION("""COMPUTED_VALUE"""),0.6048667439165701)</f>
        <v>0.6048667439</v>
      </c>
      <c r="I2265" s="11">
        <f>IFERROR(__xludf.DUMMYFUNCTION("""COMPUTED_VALUE"""),5763.8470451911935)</f>
        <v>5763.847045</v>
      </c>
      <c r="J2265" s="10">
        <f>IFERROR(__xludf.DUMMYFUNCTION("""COMPUTED_VALUE"""),1.0)</f>
        <v>1</v>
      </c>
      <c r="K2265" s="5">
        <f>IFERROR(__xludf.DUMMYFUNCTION("""COMPUTED_VALUE"""),0.00267379679144385)</f>
        <v>0.002673796791</v>
      </c>
      <c r="L2265" s="10">
        <f>IFERROR(__xludf.DUMMYFUNCTION("""COMPUTED_VALUE"""),374.0)</f>
        <v>374</v>
      </c>
      <c r="M2265" s="5">
        <f>IFERROR(__xludf.DUMMYFUNCTION("""COMPUTED_VALUE"""),1.0)</f>
        <v>1</v>
      </c>
    </row>
    <row r="2266">
      <c r="A2266" s="10" t="str">
        <f>IFERROR(__xludf.DUMMYFUNCTION("""COMPUTED_VALUE"""),"メキロス")</f>
        <v>メキロス</v>
      </c>
      <c r="B2266" s="10">
        <f>IFERROR(__xludf.DUMMYFUNCTION("""COMPUTED_VALUE"""),1059.0)</f>
        <v>1059</v>
      </c>
      <c r="C2266" s="10">
        <f>IFERROR(__xludf.DUMMYFUNCTION("""COMPUTED_VALUE"""),12416.0)</f>
        <v>12416</v>
      </c>
      <c r="D2266" s="5">
        <f>IFERROR(__xludf.DUMMYFUNCTION("""COMPUTED_VALUE"""),0.40882275248745265)</f>
        <v>0.4088227525</v>
      </c>
      <c r="E2266" s="5">
        <f>IFERROR(__xludf.DUMMYFUNCTION("""COMPUTED_VALUE"""),0.13066831029321124)</f>
        <v>0.1306683103</v>
      </c>
      <c r="F2266" s="5">
        <f>IFERROR(__xludf.DUMMYFUNCTION("""COMPUTED_VALUE"""),0.21114731002905696)</f>
        <v>0.21114731</v>
      </c>
      <c r="G2266" s="5">
        <f>IFERROR(__xludf.DUMMYFUNCTION("""COMPUTED_VALUE"""),0.15276921722285816)</f>
        <v>0.1527692172</v>
      </c>
      <c r="H2266" s="5">
        <f>IFERROR(__xludf.DUMMYFUNCTION("""COMPUTED_VALUE"""),0.6238532110091743)</f>
        <v>0.623853211</v>
      </c>
      <c r="I2266" s="11">
        <f>IFERROR(__xludf.DUMMYFUNCTION("""COMPUTED_VALUE"""),5186.321934945789)</f>
        <v>5186.321935</v>
      </c>
      <c r="J2266" s="10">
        <f>IFERROR(__xludf.DUMMYFUNCTION("""COMPUTED_VALUE"""),1.0)</f>
        <v>1</v>
      </c>
      <c r="K2266" s="5">
        <f>IFERROR(__xludf.DUMMYFUNCTION("""COMPUTED_VALUE"""),9.442870632672333E-4)</f>
        <v>0.0009442870633</v>
      </c>
      <c r="L2266" s="10">
        <f>IFERROR(__xludf.DUMMYFUNCTION("""COMPUTED_VALUE"""),851.0)</f>
        <v>851</v>
      </c>
      <c r="M2266" s="5">
        <f>IFERROR(__xludf.DUMMYFUNCTION("""COMPUTED_VALUE"""),0.8035882908404155)</f>
        <v>0.8035882908</v>
      </c>
    </row>
    <row r="2267">
      <c r="A2267" s="10" t="str">
        <f>IFERROR(__xludf.DUMMYFUNCTION("""COMPUTED_VALUE"""),"kamoshin")</f>
        <v>kamoshin</v>
      </c>
      <c r="B2267" s="10">
        <f>IFERROR(__xludf.DUMMYFUNCTION("""COMPUTED_VALUE"""),631.0)</f>
        <v>631</v>
      </c>
      <c r="C2267" s="10">
        <f>IFERROR(__xludf.DUMMYFUNCTION("""COMPUTED_VALUE"""),7381.0)</f>
        <v>7381</v>
      </c>
      <c r="D2267" s="5">
        <f>IFERROR(__xludf.DUMMYFUNCTION("""COMPUTED_VALUE"""),0.38281481481481483)</f>
        <v>0.3828148148</v>
      </c>
      <c r="E2267" s="5">
        <f>IFERROR(__xludf.DUMMYFUNCTION("""COMPUTED_VALUE"""),0.13066666666666665)</f>
        <v>0.1306666667</v>
      </c>
      <c r="F2267" s="5">
        <f>IFERROR(__xludf.DUMMYFUNCTION("""COMPUTED_VALUE"""),0.21481481481481482)</f>
        <v>0.2148148148</v>
      </c>
      <c r="G2267" s="5">
        <f>IFERROR(__xludf.DUMMYFUNCTION("""COMPUTED_VALUE"""),0.17925925925925926)</f>
        <v>0.1792592593</v>
      </c>
      <c r="H2267" s="5">
        <f>IFERROR(__xludf.DUMMYFUNCTION("""COMPUTED_VALUE"""),0.6089655172413793)</f>
        <v>0.6089655172</v>
      </c>
      <c r="I2267" s="11">
        <f>IFERROR(__xludf.DUMMYFUNCTION("""COMPUTED_VALUE"""),5574.0)</f>
        <v>5574</v>
      </c>
      <c r="J2267" s="10">
        <f>IFERROR(__xludf.DUMMYFUNCTION("""COMPUTED_VALUE"""),1.0)</f>
        <v>1</v>
      </c>
      <c r="K2267" s="5">
        <f>IFERROR(__xludf.DUMMYFUNCTION("""COMPUTED_VALUE"""),0.001584786053882726)</f>
        <v>0.001584786054</v>
      </c>
      <c r="L2267" s="10">
        <f>IFERROR(__xludf.DUMMYFUNCTION("""COMPUTED_VALUE"""),631.0)</f>
        <v>631</v>
      </c>
      <c r="M2267" s="5">
        <f>IFERROR(__xludf.DUMMYFUNCTION("""COMPUTED_VALUE"""),1.0)</f>
        <v>1</v>
      </c>
    </row>
    <row r="2268">
      <c r="A2268" s="10" t="str">
        <f>IFERROR(__xludf.DUMMYFUNCTION("""COMPUTED_VALUE"""),"コマツの酒")</f>
        <v>コマツの酒</v>
      </c>
      <c r="B2268" s="10">
        <f>IFERROR(__xludf.DUMMYFUNCTION("""COMPUTED_VALUE"""),766.0)</f>
        <v>766</v>
      </c>
      <c r="C2268" s="10">
        <f>IFERROR(__xludf.DUMMYFUNCTION("""COMPUTED_VALUE"""),8940.0)</f>
        <v>8940</v>
      </c>
      <c r="D2268" s="5">
        <f>IFERROR(__xludf.DUMMYFUNCTION("""COMPUTED_VALUE"""),0.3073158796183019)</f>
        <v>0.3073158796</v>
      </c>
      <c r="E2268" s="5">
        <f>IFERROR(__xludf.DUMMYFUNCTION("""COMPUTED_VALUE"""),0.13065818448739908)</f>
        <v>0.1306581845</v>
      </c>
      <c r="F2268" s="5">
        <f>IFERROR(__xludf.DUMMYFUNCTION("""COMPUTED_VALUE"""),0.2068754587717152)</f>
        <v>0.2068754588</v>
      </c>
      <c r="G2268" s="5">
        <f>IFERROR(__xludf.DUMMYFUNCTION("""COMPUTED_VALUE"""),0.18424272082211893)</f>
        <v>0.1842427208</v>
      </c>
      <c r="H2268" s="5">
        <f>IFERROR(__xludf.DUMMYFUNCTION("""COMPUTED_VALUE"""),0.5919574216439977)</f>
        <v>0.5919574216</v>
      </c>
      <c r="I2268" s="11">
        <f>IFERROR(__xludf.DUMMYFUNCTION("""COMPUTED_VALUE"""),5811.76818450621)</f>
        <v>5811.768185</v>
      </c>
      <c r="J2268" s="10">
        <f>IFERROR(__xludf.DUMMYFUNCTION("""COMPUTED_VALUE"""),0.0)</f>
        <v>0</v>
      </c>
      <c r="K2268" s="5">
        <f>IFERROR(__xludf.DUMMYFUNCTION("""COMPUTED_VALUE"""),0.0)</f>
        <v>0</v>
      </c>
      <c r="L2268" s="10">
        <f>IFERROR(__xludf.DUMMYFUNCTION("""COMPUTED_VALUE"""),764.0)</f>
        <v>764</v>
      </c>
      <c r="M2268" s="5">
        <f>IFERROR(__xludf.DUMMYFUNCTION("""COMPUTED_VALUE"""),0.9973890339425587)</f>
        <v>0.9973890339</v>
      </c>
    </row>
    <row r="2269">
      <c r="A2269" s="10" t="str">
        <f>IFERROR(__xludf.DUMMYFUNCTION("""COMPUTED_VALUE"""),"sunabaku")</f>
        <v>sunabaku</v>
      </c>
      <c r="B2269" s="10">
        <f>IFERROR(__xludf.DUMMYFUNCTION("""COMPUTED_VALUE"""),568.0)</f>
        <v>568</v>
      </c>
      <c r="C2269" s="10">
        <f>IFERROR(__xludf.DUMMYFUNCTION("""COMPUTED_VALUE"""),6592.0)</f>
        <v>6592</v>
      </c>
      <c r="D2269" s="5">
        <f>IFERROR(__xludf.DUMMYFUNCTION("""COMPUTED_VALUE"""),0.3059428950863214)</f>
        <v>0.3059428951</v>
      </c>
      <c r="E2269" s="5">
        <f>IFERROR(__xludf.DUMMYFUNCTION("""COMPUTED_VALUE"""),0.13064409030544488)</f>
        <v>0.1306440903</v>
      </c>
      <c r="F2269" s="5">
        <f>IFERROR(__xludf.DUMMYFUNCTION("""COMPUTED_VALUE"""),0.20368525896414344)</f>
        <v>0.203685259</v>
      </c>
      <c r="G2269" s="5">
        <f>IFERROR(__xludf.DUMMYFUNCTION("""COMPUTED_VALUE"""),0.15355245683930943)</f>
        <v>0.1535524568</v>
      </c>
      <c r="H2269" s="5">
        <f>IFERROR(__xludf.DUMMYFUNCTION("""COMPUTED_VALUE"""),0.5957620211898941)</f>
        <v>0.5957620212</v>
      </c>
      <c r="I2269" s="11">
        <f>IFERROR(__xludf.DUMMYFUNCTION("""COMPUTED_VALUE"""),5770.904645476772)</f>
        <v>5770.904645</v>
      </c>
      <c r="J2269" s="10">
        <f>IFERROR(__xludf.DUMMYFUNCTION("""COMPUTED_VALUE"""),2.0)</f>
        <v>2</v>
      </c>
      <c r="K2269" s="5">
        <f>IFERROR(__xludf.DUMMYFUNCTION("""COMPUTED_VALUE"""),0.0035211267605633804)</f>
        <v>0.003521126761</v>
      </c>
      <c r="L2269" s="10">
        <f>IFERROR(__xludf.DUMMYFUNCTION("""COMPUTED_VALUE"""),568.0)</f>
        <v>568</v>
      </c>
      <c r="M2269" s="5">
        <f>IFERROR(__xludf.DUMMYFUNCTION("""COMPUTED_VALUE"""),1.0)</f>
        <v>1</v>
      </c>
    </row>
    <row r="2270">
      <c r="A2270" s="10" t="str">
        <f>IFERROR(__xludf.DUMMYFUNCTION("""COMPUTED_VALUE"""),"光りもの親方")</f>
        <v>光りもの親方</v>
      </c>
      <c r="B2270" s="10">
        <f>IFERROR(__xludf.DUMMYFUNCTION("""COMPUTED_VALUE"""),453.0)</f>
        <v>453</v>
      </c>
      <c r="C2270" s="10">
        <f>IFERROR(__xludf.DUMMYFUNCTION("""COMPUTED_VALUE"""),5107.0)</f>
        <v>5107</v>
      </c>
      <c r="D2270" s="5">
        <f>IFERROR(__xludf.DUMMYFUNCTION("""COMPUTED_VALUE"""),0.38053287494628274)</f>
        <v>0.3805328749</v>
      </c>
      <c r="E2270" s="5">
        <f>IFERROR(__xludf.DUMMYFUNCTION("""COMPUTED_VALUE"""),0.13064030941125912)</f>
        <v>0.1306403094</v>
      </c>
      <c r="F2270" s="5">
        <f>IFERROR(__xludf.DUMMYFUNCTION("""COMPUTED_VALUE"""),0.21422432316287066)</f>
        <v>0.2142243232</v>
      </c>
      <c r="G2270" s="5">
        <f>IFERROR(__xludf.DUMMYFUNCTION("""COMPUTED_VALUE"""),0.15298667812634292)</f>
        <v>0.1529866781</v>
      </c>
      <c r="H2270" s="5">
        <f>IFERROR(__xludf.DUMMYFUNCTION("""COMPUTED_VALUE"""),0.5937813440320963)</f>
        <v>0.593781344</v>
      </c>
      <c r="I2270" s="11">
        <f>IFERROR(__xludf.DUMMYFUNCTION("""COMPUTED_VALUE"""),5517.552657973922)</f>
        <v>5517.552658</v>
      </c>
      <c r="J2270" s="10">
        <f>IFERROR(__xludf.DUMMYFUNCTION("""COMPUTED_VALUE"""),0.0)</f>
        <v>0</v>
      </c>
      <c r="K2270" s="5">
        <f>IFERROR(__xludf.DUMMYFUNCTION("""COMPUTED_VALUE"""),0.0)</f>
        <v>0</v>
      </c>
      <c r="L2270" s="10">
        <f>IFERROR(__xludf.DUMMYFUNCTION("""COMPUTED_VALUE"""),453.0)</f>
        <v>453</v>
      </c>
      <c r="M2270" s="5">
        <f>IFERROR(__xludf.DUMMYFUNCTION("""COMPUTED_VALUE"""),1.0)</f>
        <v>1</v>
      </c>
    </row>
    <row r="2271">
      <c r="A2271" s="10" t="str">
        <f>IFERROR(__xludf.DUMMYFUNCTION("""COMPUTED_VALUE"""),"六部圭")</f>
        <v>六部圭</v>
      </c>
      <c r="B2271" s="10">
        <f>IFERROR(__xludf.DUMMYFUNCTION("""COMPUTED_VALUE"""),819.0)</f>
        <v>819</v>
      </c>
      <c r="C2271" s="10">
        <f>IFERROR(__xludf.DUMMYFUNCTION("""COMPUTED_VALUE"""),9569.0)</f>
        <v>9569</v>
      </c>
      <c r="D2271" s="5">
        <f>IFERROR(__xludf.DUMMYFUNCTION("""COMPUTED_VALUE"""),0.3387428571428571)</f>
        <v>0.3387428571</v>
      </c>
      <c r="E2271" s="5">
        <f>IFERROR(__xludf.DUMMYFUNCTION("""COMPUTED_VALUE"""),0.13062857142857143)</f>
        <v>0.1306285714</v>
      </c>
      <c r="F2271" s="5">
        <f>IFERROR(__xludf.DUMMYFUNCTION("""COMPUTED_VALUE"""),0.20491428571428572)</f>
        <v>0.2049142857</v>
      </c>
      <c r="G2271" s="5">
        <f>IFERROR(__xludf.DUMMYFUNCTION("""COMPUTED_VALUE"""),0.1656)</f>
        <v>0.1656</v>
      </c>
      <c r="H2271" s="5">
        <f>IFERROR(__xludf.DUMMYFUNCTION("""COMPUTED_VALUE"""),0.6051310652537646)</f>
        <v>0.6051310653</v>
      </c>
      <c r="I2271" s="11">
        <f>IFERROR(__xludf.DUMMYFUNCTION("""COMPUTED_VALUE"""),5743.502509760178)</f>
        <v>5743.50251</v>
      </c>
      <c r="J2271" s="10">
        <f>IFERROR(__xludf.DUMMYFUNCTION("""COMPUTED_VALUE"""),1.0)</f>
        <v>1</v>
      </c>
      <c r="K2271" s="5">
        <f>IFERROR(__xludf.DUMMYFUNCTION("""COMPUTED_VALUE"""),0.001221001221001221)</f>
        <v>0.001221001221</v>
      </c>
      <c r="L2271" s="10">
        <f>IFERROR(__xludf.DUMMYFUNCTION("""COMPUTED_VALUE"""),819.0)</f>
        <v>819</v>
      </c>
      <c r="M2271" s="5">
        <f>IFERROR(__xludf.DUMMYFUNCTION("""COMPUTED_VALUE"""),1.0)</f>
        <v>1</v>
      </c>
    </row>
    <row r="2272">
      <c r="A2272" s="10" t="str">
        <f>IFERROR(__xludf.DUMMYFUNCTION("""COMPUTED_VALUE"""),"millreef")</f>
        <v>millreef</v>
      </c>
      <c r="B2272" s="10">
        <f>IFERROR(__xludf.DUMMYFUNCTION("""COMPUTED_VALUE"""),805.0)</f>
        <v>805</v>
      </c>
      <c r="C2272" s="10">
        <f>IFERROR(__xludf.DUMMYFUNCTION("""COMPUTED_VALUE"""),9356.0)</f>
        <v>9356</v>
      </c>
      <c r="D2272" s="5">
        <f>IFERROR(__xludf.DUMMYFUNCTION("""COMPUTED_VALUE"""),0.3852181031458309)</f>
        <v>0.3852181031</v>
      </c>
      <c r="E2272" s="5">
        <f>IFERROR(__xludf.DUMMYFUNCTION("""COMPUTED_VALUE"""),0.1306279967255292)</f>
        <v>0.1306279967</v>
      </c>
      <c r="F2272" s="5">
        <f>IFERROR(__xludf.DUMMYFUNCTION("""COMPUTED_VALUE"""),0.22172845281253656)</f>
        <v>0.2217284528</v>
      </c>
      <c r="G2272" s="5">
        <f>IFERROR(__xludf.DUMMYFUNCTION("""COMPUTED_VALUE"""),0.17401473511869955)</f>
        <v>0.1740147351</v>
      </c>
      <c r="H2272" s="5">
        <f>IFERROR(__xludf.DUMMYFUNCTION("""COMPUTED_VALUE"""),0.6107594936708861)</f>
        <v>0.6107594937</v>
      </c>
      <c r="I2272" s="11">
        <f>IFERROR(__xludf.DUMMYFUNCTION("""COMPUTED_VALUE"""),5580.221518987341)</f>
        <v>5580.221519</v>
      </c>
      <c r="J2272" s="10">
        <f>IFERROR(__xludf.DUMMYFUNCTION("""COMPUTED_VALUE"""),2.0)</f>
        <v>2</v>
      </c>
      <c r="K2272" s="5">
        <f>IFERROR(__xludf.DUMMYFUNCTION("""COMPUTED_VALUE"""),0.002484472049689441)</f>
        <v>0.00248447205</v>
      </c>
      <c r="L2272" s="10">
        <f>IFERROR(__xludf.DUMMYFUNCTION("""COMPUTED_VALUE"""),805.0)</f>
        <v>805</v>
      </c>
      <c r="M2272" s="5">
        <f>IFERROR(__xludf.DUMMYFUNCTION("""COMPUTED_VALUE"""),1.0)</f>
        <v>1</v>
      </c>
    </row>
    <row r="2273">
      <c r="A2273" s="10" t="str">
        <f>IFERROR(__xludf.DUMMYFUNCTION("""COMPUTED_VALUE"""),"英国売却")</f>
        <v>英国売却</v>
      </c>
      <c r="B2273" s="10">
        <f>IFERROR(__xludf.DUMMYFUNCTION("""COMPUTED_VALUE"""),1064.0)</f>
        <v>1064</v>
      </c>
      <c r="C2273" s="10">
        <f>IFERROR(__xludf.DUMMYFUNCTION("""COMPUTED_VALUE"""),12547.0)</f>
        <v>12547</v>
      </c>
      <c r="D2273" s="5">
        <f>IFERROR(__xludf.DUMMYFUNCTION("""COMPUTED_VALUE"""),0.32413132456675087)</f>
        <v>0.3241313246</v>
      </c>
      <c r="E2273" s="5">
        <f>IFERROR(__xludf.DUMMYFUNCTION("""COMPUTED_VALUE"""),0.13062788469912043)</f>
        <v>0.1306278847</v>
      </c>
      <c r="F2273" s="5">
        <f>IFERROR(__xludf.DUMMYFUNCTION("""COMPUTED_VALUE"""),0.23182095271270575)</f>
        <v>0.2318209527</v>
      </c>
      <c r="G2273" s="5">
        <f>IFERROR(__xludf.DUMMYFUNCTION("""COMPUTED_VALUE"""),0.1639815379256292)</f>
        <v>0.1639815379</v>
      </c>
      <c r="H2273" s="5">
        <f>IFERROR(__xludf.DUMMYFUNCTION("""COMPUTED_VALUE"""),0.5939143501126972)</f>
        <v>0.5939143501</v>
      </c>
      <c r="I2273" s="11">
        <f>IFERROR(__xludf.DUMMYFUNCTION("""COMPUTED_VALUE"""),5751.953418482344)</f>
        <v>5751.953418</v>
      </c>
      <c r="J2273" s="10">
        <f>IFERROR(__xludf.DUMMYFUNCTION("""COMPUTED_VALUE"""),3.0)</f>
        <v>3</v>
      </c>
      <c r="K2273" s="5">
        <f>IFERROR(__xludf.DUMMYFUNCTION("""COMPUTED_VALUE"""),0.002819548872180451)</f>
        <v>0.002819548872</v>
      </c>
      <c r="L2273" s="10">
        <f>IFERROR(__xludf.DUMMYFUNCTION("""COMPUTED_VALUE"""),1064.0)</f>
        <v>1064</v>
      </c>
      <c r="M2273" s="5">
        <f>IFERROR(__xludf.DUMMYFUNCTION("""COMPUTED_VALUE"""),1.0)</f>
        <v>1</v>
      </c>
    </row>
    <row r="2274">
      <c r="A2274" s="10" t="str">
        <f>IFERROR(__xludf.DUMMYFUNCTION("""COMPUTED_VALUE"""),"うにゅほ！")</f>
        <v>うにゅほ！</v>
      </c>
      <c r="B2274" s="10">
        <f>IFERROR(__xludf.DUMMYFUNCTION("""COMPUTED_VALUE"""),2065.0)</f>
        <v>2065</v>
      </c>
      <c r="C2274" s="10">
        <f>IFERROR(__xludf.DUMMYFUNCTION("""COMPUTED_VALUE"""),23990.0)</f>
        <v>23990</v>
      </c>
      <c r="D2274" s="5">
        <f>IFERROR(__xludf.DUMMYFUNCTION("""COMPUTED_VALUE"""),0.35621436716077537)</f>
        <v>0.3562143672</v>
      </c>
      <c r="E2274" s="5">
        <f>IFERROR(__xludf.DUMMYFUNCTION("""COMPUTED_VALUE"""),0.13062713797035347)</f>
        <v>0.130627138</v>
      </c>
      <c r="F2274" s="5">
        <f>IFERROR(__xludf.DUMMYFUNCTION("""COMPUTED_VALUE"""),0.21468643101482326)</f>
        <v>0.214686431</v>
      </c>
      <c r="G2274" s="5">
        <f>IFERROR(__xludf.DUMMYFUNCTION("""COMPUTED_VALUE"""),0.19156214367160776)</f>
        <v>0.1915621437</v>
      </c>
      <c r="H2274" s="5">
        <f>IFERROR(__xludf.DUMMYFUNCTION("""COMPUTED_VALUE"""),0.5833864457191417)</f>
        <v>0.5833864457</v>
      </c>
      <c r="I2274" s="11">
        <f>IFERROR(__xludf.DUMMYFUNCTION("""COMPUTED_VALUE"""),5684.873592521776)</f>
        <v>5684.873593</v>
      </c>
      <c r="J2274" s="10">
        <f>IFERROR(__xludf.DUMMYFUNCTION("""COMPUTED_VALUE"""),3.0)</f>
        <v>3</v>
      </c>
      <c r="K2274" s="5">
        <f>IFERROR(__xludf.DUMMYFUNCTION("""COMPUTED_VALUE"""),0.0014527845036319612)</f>
        <v>0.001452784504</v>
      </c>
      <c r="L2274" s="10">
        <f>IFERROR(__xludf.DUMMYFUNCTION("""COMPUTED_VALUE"""),2065.0)</f>
        <v>2065</v>
      </c>
      <c r="M2274" s="5">
        <f>IFERROR(__xludf.DUMMYFUNCTION("""COMPUTED_VALUE"""),1.0)</f>
        <v>1</v>
      </c>
    </row>
    <row r="2275">
      <c r="A2275" s="10" t="str">
        <f>IFERROR(__xludf.DUMMYFUNCTION("""COMPUTED_VALUE"""),"さるとら")</f>
        <v>さるとら</v>
      </c>
      <c r="B2275" s="10">
        <f>IFERROR(__xludf.DUMMYFUNCTION("""COMPUTED_VALUE"""),297.0)</f>
        <v>297</v>
      </c>
      <c r="C2275" s="10">
        <f>IFERROR(__xludf.DUMMYFUNCTION("""COMPUTED_VALUE"""),3474.0)</f>
        <v>3474</v>
      </c>
      <c r="D2275" s="5">
        <f>IFERROR(__xludf.DUMMYFUNCTION("""COMPUTED_VALUE"""),0.2798237330815235)</f>
        <v>0.2798237331</v>
      </c>
      <c r="E2275" s="5">
        <f>IFERROR(__xludf.DUMMYFUNCTION("""COMPUTED_VALUE"""),0.1306263770853006)</f>
        <v>0.1306263771</v>
      </c>
      <c r="F2275" s="5">
        <f>IFERROR(__xludf.DUMMYFUNCTION("""COMPUTED_VALUE"""),0.19137551148882595)</f>
        <v>0.1913755115</v>
      </c>
      <c r="G2275" s="5">
        <f>IFERROR(__xludf.DUMMYFUNCTION("""COMPUTED_VALUE"""),0.19263456090651557)</f>
        <v>0.1926345609</v>
      </c>
      <c r="H2275" s="5">
        <f>IFERROR(__xludf.DUMMYFUNCTION("""COMPUTED_VALUE"""),0.5592105263157895)</f>
        <v>0.5592105263</v>
      </c>
      <c r="I2275" s="11">
        <f>IFERROR(__xludf.DUMMYFUNCTION("""COMPUTED_VALUE"""),5954.276315789473)</f>
        <v>5954.276316</v>
      </c>
      <c r="J2275" s="10">
        <f>IFERROR(__xludf.DUMMYFUNCTION("""COMPUTED_VALUE"""),1.0)</f>
        <v>1</v>
      </c>
      <c r="K2275" s="5">
        <f>IFERROR(__xludf.DUMMYFUNCTION("""COMPUTED_VALUE"""),0.003367003367003367)</f>
        <v>0.003367003367</v>
      </c>
      <c r="L2275" s="10">
        <f>IFERROR(__xludf.DUMMYFUNCTION("""COMPUTED_VALUE"""),297.0)</f>
        <v>297</v>
      </c>
      <c r="M2275" s="5">
        <f>IFERROR(__xludf.DUMMYFUNCTION("""COMPUTED_VALUE"""),1.0)</f>
        <v>1</v>
      </c>
    </row>
    <row r="2276">
      <c r="A2276" s="10" t="str">
        <f>IFERROR(__xludf.DUMMYFUNCTION("""COMPUTED_VALUE"""),"KoH")</f>
        <v>KoH</v>
      </c>
      <c r="B2276" s="10">
        <f>IFERROR(__xludf.DUMMYFUNCTION("""COMPUTED_VALUE"""),746.0)</f>
        <v>746</v>
      </c>
      <c r="C2276" s="10">
        <f>IFERROR(__xludf.DUMMYFUNCTION("""COMPUTED_VALUE"""),8670.0)</f>
        <v>8670</v>
      </c>
      <c r="D2276" s="5">
        <f>IFERROR(__xludf.DUMMYFUNCTION("""COMPUTED_VALUE"""),0.3052751135790005)</f>
        <v>0.3052751136</v>
      </c>
      <c r="E2276" s="5">
        <f>IFERROR(__xludf.DUMMYFUNCTION("""COMPUTED_VALUE"""),0.1306158505805149)</f>
        <v>0.1306158506</v>
      </c>
      <c r="F2276" s="5">
        <f>IFERROR(__xludf.DUMMYFUNCTION("""COMPUTED_VALUE"""),0.20053003533568906)</f>
        <v>0.2005300353</v>
      </c>
      <c r="G2276" s="5">
        <f>IFERROR(__xludf.DUMMYFUNCTION("""COMPUTED_VALUE"""),0.18652195860676427)</f>
        <v>0.1865219586</v>
      </c>
      <c r="H2276" s="5">
        <f>IFERROR(__xludf.DUMMYFUNCTION("""COMPUTED_VALUE"""),0.5909376966645689)</f>
        <v>0.5909376967</v>
      </c>
      <c r="I2276" s="11">
        <f>IFERROR(__xludf.DUMMYFUNCTION("""COMPUTED_VALUE"""),5987.539332913782)</f>
        <v>5987.539333</v>
      </c>
      <c r="J2276" s="10">
        <f>IFERROR(__xludf.DUMMYFUNCTION("""COMPUTED_VALUE"""),1.0)</f>
        <v>1</v>
      </c>
      <c r="K2276" s="5">
        <f>IFERROR(__xludf.DUMMYFUNCTION("""COMPUTED_VALUE"""),0.0013404825737265416)</f>
        <v>0.001340482574</v>
      </c>
      <c r="L2276" s="10">
        <f>IFERROR(__xludf.DUMMYFUNCTION("""COMPUTED_VALUE"""),178.0)</f>
        <v>178</v>
      </c>
      <c r="M2276" s="5">
        <f>IFERROR(__xludf.DUMMYFUNCTION("""COMPUTED_VALUE"""),0.2386058981233244)</f>
        <v>0.2386058981</v>
      </c>
    </row>
    <row r="2277">
      <c r="A2277" s="10" t="str">
        <f>IFERROR(__xludf.DUMMYFUNCTION("""COMPUTED_VALUE"""),"麻雀たのし")</f>
        <v>麻雀たのし</v>
      </c>
      <c r="B2277" s="10">
        <f>IFERROR(__xludf.DUMMYFUNCTION("""COMPUTED_VALUE"""),931.0)</f>
        <v>931</v>
      </c>
      <c r="C2277" s="10">
        <f>IFERROR(__xludf.DUMMYFUNCTION("""COMPUTED_VALUE"""),10999.0)</f>
        <v>10999</v>
      </c>
      <c r="D2277" s="5">
        <f>IFERROR(__xludf.DUMMYFUNCTION("""COMPUTED_VALUE"""),0.3499205403257847)</f>
        <v>0.3499205403</v>
      </c>
      <c r="E2277" s="5">
        <f>IFERROR(__xludf.DUMMYFUNCTION("""COMPUTED_VALUE"""),0.13061183949145808)</f>
        <v>0.1306118395</v>
      </c>
      <c r="F2277" s="5">
        <f>IFERROR(__xludf.DUMMYFUNCTION("""COMPUTED_VALUE"""),0.20788637266587207)</f>
        <v>0.2078863727</v>
      </c>
      <c r="G2277" s="5">
        <f>IFERROR(__xludf.DUMMYFUNCTION("""COMPUTED_VALUE"""),0.15603893524036552)</f>
        <v>0.1560389352</v>
      </c>
      <c r="H2277" s="5">
        <f>IFERROR(__xludf.DUMMYFUNCTION("""COMPUTED_VALUE"""),0.5728619206880077)</f>
        <v>0.5728619207</v>
      </c>
      <c r="I2277" s="11">
        <f>IFERROR(__xludf.DUMMYFUNCTION("""COMPUTED_VALUE"""),5821.070234113712)</f>
        <v>5821.070234</v>
      </c>
      <c r="J2277" s="10">
        <f>IFERROR(__xludf.DUMMYFUNCTION("""COMPUTED_VALUE"""),0.0)</f>
        <v>0</v>
      </c>
      <c r="K2277" s="5">
        <f>IFERROR(__xludf.DUMMYFUNCTION("""COMPUTED_VALUE"""),0.0)</f>
        <v>0</v>
      </c>
      <c r="L2277" s="10">
        <f>IFERROR(__xludf.DUMMYFUNCTION("""COMPUTED_VALUE"""),261.0)</f>
        <v>261</v>
      </c>
      <c r="M2277" s="5">
        <f>IFERROR(__xludf.DUMMYFUNCTION("""COMPUTED_VALUE"""),0.280343716433942)</f>
        <v>0.2803437164</v>
      </c>
    </row>
    <row r="2278">
      <c r="A2278" s="10" t="str">
        <f>IFERROR(__xludf.DUMMYFUNCTION("""COMPUTED_VALUE"""),"田所きらい")</f>
        <v>田所きらい</v>
      </c>
      <c r="B2278" s="10">
        <f>IFERROR(__xludf.DUMMYFUNCTION("""COMPUTED_VALUE"""),1430.0)</f>
        <v>1430</v>
      </c>
      <c r="C2278" s="10">
        <f>IFERROR(__xludf.DUMMYFUNCTION("""COMPUTED_VALUE"""),16475.0)</f>
        <v>16475</v>
      </c>
      <c r="D2278" s="5">
        <f>IFERROR(__xludf.DUMMYFUNCTION("""COMPUTED_VALUE"""),0.28494516450648055)</f>
        <v>0.2849451645</v>
      </c>
      <c r="E2278" s="5">
        <f>IFERROR(__xludf.DUMMYFUNCTION("""COMPUTED_VALUE"""),0.13060817547357925)</f>
        <v>0.1306081755</v>
      </c>
      <c r="F2278" s="5">
        <f>IFERROR(__xludf.DUMMYFUNCTION("""COMPUTED_VALUE"""),0.21309405117979396)</f>
        <v>0.2130940512</v>
      </c>
      <c r="G2278" s="5">
        <f>IFERROR(__xludf.DUMMYFUNCTION("""COMPUTED_VALUE"""),0.21296111665004985)</f>
        <v>0.2129611167</v>
      </c>
      <c r="H2278" s="5">
        <f>IFERROR(__xludf.DUMMYFUNCTION("""COMPUTED_VALUE"""),0.5879600748596382)</f>
        <v>0.5879600749</v>
      </c>
      <c r="I2278" s="11">
        <f>IFERROR(__xludf.DUMMYFUNCTION("""COMPUTED_VALUE"""),5911.322520274485)</f>
        <v>5911.32252</v>
      </c>
      <c r="J2278" s="10">
        <f>IFERROR(__xludf.DUMMYFUNCTION("""COMPUTED_VALUE"""),0.0)</f>
        <v>0</v>
      </c>
      <c r="K2278" s="5">
        <f>IFERROR(__xludf.DUMMYFUNCTION("""COMPUTED_VALUE"""),0.0)</f>
        <v>0</v>
      </c>
      <c r="L2278" s="10">
        <f>IFERROR(__xludf.DUMMYFUNCTION("""COMPUTED_VALUE"""),0.0)</f>
        <v>0</v>
      </c>
      <c r="M2278" s="5">
        <f>IFERROR(__xludf.DUMMYFUNCTION("""COMPUTED_VALUE"""),0.0)</f>
        <v>0</v>
      </c>
    </row>
    <row r="2279">
      <c r="A2279" s="10" t="str">
        <f>IFERROR(__xludf.DUMMYFUNCTION("""COMPUTED_VALUE"""),"アイスてぃー")</f>
        <v>アイスてぃー</v>
      </c>
      <c r="B2279" s="10">
        <f>IFERROR(__xludf.DUMMYFUNCTION("""COMPUTED_VALUE"""),235.0)</f>
        <v>235</v>
      </c>
      <c r="C2279" s="10">
        <f>IFERROR(__xludf.DUMMYFUNCTION("""COMPUTED_VALUE"""),2808.0)</f>
        <v>2808</v>
      </c>
      <c r="D2279" s="5">
        <f>IFERROR(__xludf.DUMMYFUNCTION("""COMPUTED_VALUE"""),0.3330742324135251)</f>
        <v>0.3330742324</v>
      </c>
      <c r="E2279" s="5">
        <f>IFERROR(__xludf.DUMMYFUNCTION("""COMPUTED_VALUE"""),0.13058686358336571)</f>
        <v>0.1305868636</v>
      </c>
      <c r="F2279" s="5">
        <f>IFERROR(__xludf.DUMMYFUNCTION("""COMPUTED_VALUE"""),0.19976680917217257)</f>
        <v>0.1997668092</v>
      </c>
      <c r="G2279" s="5">
        <f>IFERROR(__xludf.DUMMYFUNCTION("""COMPUTED_VALUE"""),0.17644772638942868)</f>
        <v>0.1764477264</v>
      </c>
      <c r="H2279" s="5">
        <f>IFERROR(__xludf.DUMMYFUNCTION("""COMPUTED_VALUE"""),0.6050583657587548)</f>
        <v>0.6050583658</v>
      </c>
      <c r="I2279" s="11">
        <f>IFERROR(__xludf.DUMMYFUNCTION("""COMPUTED_VALUE"""),5666.536964980544)</f>
        <v>5666.536965</v>
      </c>
      <c r="J2279" s="10">
        <f>IFERROR(__xludf.DUMMYFUNCTION("""COMPUTED_VALUE"""),0.0)</f>
        <v>0</v>
      </c>
      <c r="K2279" s="5">
        <f>IFERROR(__xludf.DUMMYFUNCTION("""COMPUTED_VALUE"""),0.0)</f>
        <v>0</v>
      </c>
      <c r="L2279" s="10">
        <f>IFERROR(__xludf.DUMMYFUNCTION("""COMPUTED_VALUE"""),235.0)</f>
        <v>235</v>
      </c>
      <c r="M2279" s="5">
        <f>IFERROR(__xludf.DUMMYFUNCTION("""COMPUTED_VALUE"""),1.0)</f>
        <v>1</v>
      </c>
    </row>
    <row r="2280">
      <c r="A2280" s="10" t="str">
        <f>IFERROR(__xludf.DUMMYFUNCTION("""COMPUTED_VALUE"""),"藤原とうふ店")</f>
        <v>藤原とうふ店</v>
      </c>
      <c r="B2280" s="10">
        <f>IFERROR(__xludf.DUMMYFUNCTION("""COMPUTED_VALUE"""),264.0)</f>
        <v>264</v>
      </c>
      <c r="C2280" s="10">
        <f>IFERROR(__xludf.DUMMYFUNCTION("""COMPUTED_VALUE"""),3128.0)</f>
        <v>3128</v>
      </c>
      <c r="D2280" s="5">
        <f>IFERROR(__xludf.DUMMYFUNCTION("""COMPUTED_VALUE"""),0.2838687150837989)</f>
        <v>0.2838687151</v>
      </c>
      <c r="E2280" s="5">
        <f>IFERROR(__xludf.DUMMYFUNCTION("""COMPUTED_VALUE"""),0.13058659217877094)</f>
        <v>0.1305865922</v>
      </c>
      <c r="F2280" s="5">
        <f>IFERROR(__xludf.DUMMYFUNCTION("""COMPUTED_VALUE"""),0.18016759776536312)</f>
        <v>0.1801675978</v>
      </c>
      <c r="G2280" s="5">
        <f>IFERROR(__xludf.DUMMYFUNCTION("""COMPUTED_VALUE"""),0.15467877094972068)</f>
        <v>0.1546787709</v>
      </c>
      <c r="H2280" s="5">
        <f>IFERROR(__xludf.DUMMYFUNCTION("""COMPUTED_VALUE"""),0.6007751937984496)</f>
        <v>0.6007751938</v>
      </c>
      <c r="I2280" s="11">
        <f>IFERROR(__xludf.DUMMYFUNCTION("""COMPUTED_VALUE"""),5686.240310077519)</f>
        <v>5686.24031</v>
      </c>
      <c r="J2280" s="10">
        <f>IFERROR(__xludf.DUMMYFUNCTION("""COMPUTED_VALUE"""),0.0)</f>
        <v>0</v>
      </c>
      <c r="K2280" s="5">
        <f>IFERROR(__xludf.DUMMYFUNCTION("""COMPUTED_VALUE"""),0.0)</f>
        <v>0</v>
      </c>
      <c r="L2280" s="10">
        <f>IFERROR(__xludf.DUMMYFUNCTION("""COMPUTED_VALUE"""),262.0)</f>
        <v>262</v>
      </c>
      <c r="M2280" s="5">
        <f>IFERROR(__xludf.DUMMYFUNCTION("""COMPUTED_VALUE"""),0.9924242424242424)</f>
        <v>0.9924242424</v>
      </c>
    </row>
    <row r="2281">
      <c r="A2281" s="10" t="str">
        <f>IFERROR(__xludf.DUMMYFUNCTION("""COMPUTED_VALUE"""),"liebe")</f>
        <v>liebe</v>
      </c>
      <c r="B2281" s="10">
        <f>IFERROR(__xludf.DUMMYFUNCTION("""COMPUTED_VALUE"""),564.0)</f>
        <v>564</v>
      </c>
      <c r="C2281" s="10">
        <f>IFERROR(__xludf.DUMMYFUNCTION("""COMPUTED_VALUE"""),6545.0)</f>
        <v>6545</v>
      </c>
      <c r="D2281" s="5">
        <f>IFERROR(__xludf.DUMMYFUNCTION("""COMPUTED_VALUE"""),0.3917405116201304)</f>
        <v>0.3917405116</v>
      </c>
      <c r="E2281" s="5">
        <f>IFERROR(__xludf.DUMMYFUNCTION("""COMPUTED_VALUE"""),0.13058017054004348)</f>
        <v>0.1305801705</v>
      </c>
      <c r="F2281" s="5">
        <f>IFERROR(__xludf.DUMMYFUNCTION("""COMPUTED_VALUE"""),0.20866075907038956)</f>
        <v>0.2086607591</v>
      </c>
      <c r="G2281" s="5">
        <f>IFERROR(__xludf.DUMMYFUNCTION("""COMPUTED_VALUE"""),0.16084266845009196)</f>
        <v>0.1608426685</v>
      </c>
      <c r="H2281" s="5">
        <f>IFERROR(__xludf.DUMMYFUNCTION("""COMPUTED_VALUE"""),0.6097756410256411)</f>
        <v>0.609775641</v>
      </c>
      <c r="I2281" s="11">
        <f>IFERROR(__xludf.DUMMYFUNCTION("""COMPUTED_VALUE"""),5583.733974358975)</f>
        <v>5583.733974</v>
      </c>
      <c r="J2281" s="10">
        <f>IFERROR(__xludf.DUMMYFUNCTION("""COMPUTED_VALUE"""),1.0)</f>
        <v>1</v>
      </c>
      <c r="K2281" s="5">
        <f>IFERROR(__xludf.DUMMYFUNCTION("""COMPUTED_VALUE"""),0.0017730496453900709)</f>
        <v>0.001773049645</v>
      </c>
      <c r="L2281" s="10">
        <f>IFERROR(__xludf.DUMMYFUNCTION("""COMPUTED_VALUE"""),0.0)</f>
        <v>0</v>
      </c>
      <c r="M2281" s="5">
        <f>IFERROR(__xludf.DUMMYFUNCTION("""COMPUTED_VALUE"""),0.0)</f>
        <v>0</v>
      </c>
    </row>
    <row r="2282">
      <c r="A2282" s="10" t="str">
        <f>IFERROR(__xludf.DUMMYFUNCTION("""COMPUTED_VALUE"""),"onemore")</f>
        <v>onemore</v>
      </c>
      <c r="B2282" s="10">
        <f>IFERROR(__xludf.DUMMYFUNCTION("""COMPUTED_VALUE"""),150.0)</f>
        <v>150</v>
      </c>
      <c r="C2282" s="10">
        <f>IFERROR(__xludf.DUMMYFUNCTION("""COMPUTED_VALUE"""),1743.0)</f>
        <v>1743</v>
      </c>
      <c r="D2282" s="5">
        <f>IFERROR(__xludf.DUMMYFUNCTION("""COMPUTED_VALUE"""),0.32642812303829255)</f>
        <v>0.326428123</v>
      </c>
      <c r="E2282" s="5">
        <f>IFERROR(__xludf.DUMMYFUNCTION("""COMPUTED_VALUE"""),0.13057124921531701)</f>
        <v>0.1305712492</v>
      </c>
      <c r="F2282" s="5">
        <f>IFERROR(__xludf.DUMMYFUNCTION("""COMPUTED_VALUE"""),0.20401757689893282)</f>
        <v>0.2040175769</v>
      </c>
      <c r="G2282" s="5">
        <f>IFERROR(__xludf.DUMMYFUNCTION("""COMPUTED_VALUE"""),0.18141870684243566)</f>
        <v>0.1814187068</v>
      </c>
      <c r="H2282" s="5">
        <f>IFERROR(__xludf.DUMMYFUNCTION("""COMPUTED_VALUE"""),0.56)</f>
        <v>0.56</v>
      </c>
      <c r="I2282" s="11">
        <f>IFERROR(__xludf.DUMMYFUNCTION("""COMPUTED_VALUE"""),5642.7692307692305)</f>
        <v>5642.769231</v>
      </c>
      <c r="J2282" s="10">
        <f>IFERROR(__xludf.DUMMYFUNCTION("""COMPUTED_VALUE"""),1.0)</f>
        <v>1</v>
      </c>
      <c r="K2282" s="5">
        <f>IFERROR(__xludf.DUMMYFUNCTION("""COMPUTED_VALUE"""),0.006666666666666667)</f>
        <v>0.006666666667</v>
      </c>
      <c r="L2282" s="10">
        <f>IFERROR(__xludf.DUMMYFUNCTION("""COMPUTED_VALUE"""),150.0)</f>
        <v>150</v>
      </c>
      <c r="M2282" s="5">
        <f>IFERROR(__xludf.DUMMYFUNCTION("""COMPUTED_VALUE"""),1.0)</f>
        <v>1</v>
      </c>
    </row>
    <row r="2283">
      <c r="A2283" s="10" t="str">
        <f>IFERROR(__xludf.DUMMYFUNCTION("""COMPUTED_VALUE"""),"dearuka")</f>
        <v>dearuka</v>
      </c>
      <c r="B2283" s="10">
        <f>IFERROR(__xludf.DUMMYFUNCTION("""COMPUTED_VALUE"""),701.0)</f>
        <v>701</v>
      </c>
      <c r="C2283" s="10">
        <f>IFERROR(__xludf.DUMMYFUNCTION("""COMPUTED_VALUE"""),8130.0)</f>
        <v>8130</v>
      </c>
      <c r="D2283" s="5">
        <f>IFERROR(__xludf.DUMMYFUNCTION("""COMPUTED_VALUE"""),0.31255889083322114)</f>
        <v>0.3125588908</v>
      </c>
      <c r="E2283" s="5">
        <f>IFERROR(__xludf.DUMMYFUNCTION("""COMPUTED_VALUE"""),0.13056939022748687)</f>
        <v>0.1305693902</v>
      </c>
      <c r="F2283" s="5">
        <f>IFERROR(__xludf.DUMMYFUNCTION("""COMPUTED_VALUE"""),0.2124108224525508)</f>
        <v>0.2124108225</v>
      </c>
      <c r="G2283" s="5">
        <f>IFERROR(__xludf.DUMMYFUNCTION("""COMPUTED_VALUE"""),0.17997038632386594)</f>
        <v>0.1799703863</v>
      </c>
      <c r="H2283" s="5">
        <f>IFERROR(__xludf.DUMMYFUNCTION("""COMPUTED_VALUE"""),0.6045627376425855)</f>
        <v>0.6045627376</v>
      </c>
      <c r="I2283" s="11">
        <f>IFERROR(__xludf.DUMMYFUNCTION("""COMPUTED_VALUE"""),5745.247148288973)</f>
        <v>5745.247148</v>
      </c>
      <c r="J2283" s="10">
        <f>IFERROR(__xludf.DUMMYFUNCTION("""COMPUTED_VALUE"""),1.0)</f>
        <v>1</v>
      </c>
      <c r="K2283" s="5">
        <f>IFERROR(__xludf.DUMMYFUNCTION("""COMPUTED_VALUE"""),0.0014265335235378032)</f>
        <v>0.001426533524</v>
      </c>
      <c r="L2283" s="10">
        <f>IFERROR(__xludf.DUMMYFUNCTION("""COMPUTED_VALUE"""),701.0)</f>
        <v>701</v>
      </c>
      <c r="M2283" s="5">
        <f>IFERROR(__xludf.DUMMYFUNCTION("""COMPUTED_VALUE"""),1.0)</f>
        <v>1</v>
      </c>
    </row>
    <row r="2284">
      <c r="A2284" s="10" t="str">
        <f>IFERROR(__xludf.DUMMYFUNCTION("""COMPUTED_VALUE"""),"試練ノ龍・改")</f>
        <v>試練ノ龍・改</v>
      </c>
      <c r="B2284" s="10">
        <f>IFERROR(__xludf.DUMMYFUNCTION("""COMPUTED_VALUE"""),372.0)</f>
        <v>372</v>
      </c>
      <c r="C2284" s="10">
        <f>IFERROR(__xludf.DUMMYFUNCTION("""COMPUTED_VALUE"""),4324.0)</f>
        <v>4324</v>
      </c>
      <c r="D2284" s="5">
        <f>IFERROR(__xludf.DUMMYFUNCTION("""COMPUTED_VALUE"""),0.2882085020242915)</f>
        <v>0.288208502</v>
      </c>
      <c r="E2284" s="5">
        <f>IFERROR(__xludf.DUMMYFUNCTION("""COMPUTED_VALUE"""),0.1305668016194332)</f>
        <v>0.1305668016</v>
      </c>
      <c r="F2284" s="5">
        <f>IFERROR(__xludf.DUMMYFUNCTION("""COMPUTED_VALUE"""),0.2049595141700405)</f>
        <v>0.2049595142</v>
      </c>
      <c r="G2284" s="5">
        <f>IFERROR(__xludf.DUMMYFUNCTION("""COMPUTED_VALUE"""),0.16067813765182187)</f>
        <v>0.1606781377</v>
      </c>
      <c r="H2284" s="5">
        <f>IFERROR(__xludf.DUMMYFUNCTION("""COMPUTED_VALUE"""),0.6172839506172839)</f>
        <v>0.6172839506</v>
      </c>
      <c r="I2284" s="11">
        <f>IFERROR(__xludf.DUMMYFUNCTION("""COMPUTED_VALUE"""),5925.925925925926)</f>
        <v>5925.925926</v>
      </c>
      <c r="J2284" s="10">
        <f>IFERROR(__xludf.DUMMYFUNCTION("""COMPUTED_VALUE"""),1.0)</f>
        <v>1</v>
      </c>
      <c r="K2284" s="5">
        <f>IFERROR(__xludf.DUMMYFUNCTION("""COMPUTED_VALUE"""),0.002688172043010753)</f>
        <v>0.002688172043</v>
      </c>
      <c r="L2284" s="10">
        <f>IFERROR(__xludf.DUMMYFUNCTION("""COMPUTED_VALUE"""),372.0)</f>
        <v>372</v>
      </c>
      <c r="M2284" s="5">
        <f>IFERROR(__xludf.DUMMYFUNCTION("""COMPUTED_VALUE"""),1.0)</f>
        <v>1</v>
      </c>
    </row>
    <row r="2285">
      <c r="A2285" s="10" t="str">
        <f>IFERROR(__xludf.DUMMYFUNCTION("""COMPUTED_VALUE"""),"ひぐち")</f>
        <v>ひぐち</v>
      </c>
      <c r="B2285" s="10">
        <f>IFERROR(__xludf.DUMMYFUNCTION("""COMPUTED_VALUE"""),4759.0)</f>
        <v>4759</v>
      </c>
      <c r="C2285" s="10">
        <f>IFERROR(__xludf.DUMMYFUNCTION("""COMPUTED_VALUE"""),55488.0)</f>
        <v>55488</v>
      </c>
      <c r="D2285" s="5">
        <f>IFERROR(__xludf.DUMMYFUNCTION("""COMPUTED_VALUE"""),0.3146326558773088)</f>
        <v>0.3146326559</v>
      </c>
      <c r="E2285" s="5">
        <f>IFERROR(__xludf.DUMMYFUNCTION("""COMPUTED_VALUE"""),0.13055648642788148)</f>
        <v>0.1305564864</v>
      </c>
      <c r="F2285" s="5">
        <f>IFERROR(__xludf.DUMMYFUNCTION("""COMPUTED_VALUE"""),0.21096414279800507)</f>
        <v>0.2109641428</v>
      </c>
      <c r="G2285" s="5">
        <f>IFERROR(__xludf.DUMMYFUNCTION("""COMPUTED_VALUE"""),0.17556033038301563)</f>
        <v>0.1755603304</v>
      </c>
      <c r="H2285" s="5">
        <f>IFERROR(__xludf.DUMMYFUNCTION("""COMPUTED_VALUE"""),0.5968043356381985)</f>
        <v>0.5968043356</v>
      </c>
      <c r="I2285" s="11">
        <f>IFERROR(__xludf.DUMMYFUNCTION("""COMPUTED_VALUE"""),5822.593907680807)</f>
        <v>5822.593908</v>
      </c>
      <c r="J2285" s="10">
        <f>IFERROR(__xludf.DUMMYFUNCTION("""COMPUTED_VALUE"""),10.0)</f>
        <v>10</v>
      </c>
      <c r="K2285" s="5">
        <f>IFERROR(__xludf.DUMMYFUNCTION("""COMPUTED_VALUE"""),0.002101281781886951)</f>
        <v>0.002101281782</v>
      </c>
      <c r="L2285" s="10">
        <f>IFERROR(__xludf.DUMMYFUNCTION("""COMPUTED_VALUE"""),4759.0)</f>
        <v>4759</v>
      </c>
      <c r="M2285" s="5">
        <f>IFERROR(__xludf.DUMMYFUNCTION("""COMPUTED_VALUE"""),1.0)</f>
        <v>1</v>
      </c>
    </row>
    <row r="2286">
      <c r="A2286" s="10" t="str">
        <f>IFERROR(__xludf.DUMMYFUNCTION("""COMPUTED_VALUE"""),"G雀")</f>
        <v>G雀</v>
      </c>
      <c r="B2286" s="10">
        <f>IFERROR(__xludf.DUMMYFUNCTION("""COMPUTED_VALUE"""),1870.0)</f>
        <v>1870</v>
      </c>
      <c r="C2286" s="10">
        <f>IFERROR(__xludf.DUMMYFUNCTION("""COMPUTED_VALUE"""),21887.0)</f>
        <v>21887</v>
      </c>
      <c r="D2286" s="5">
        <f>IFERROR(__xludf.DUMMYFUNCTION("""COMPUTED_VALUE"""),0.30494080031972826)</f>
        <v>0.3049408003</v>
      </c>
      <c r="E2286" s="5">
        <f>IFERROR(__xludf.DUMMYFUNCTION("""COMPUTED_VALUE"""),0.13053904181445772)</f>
        <v>0.1305390418</v>
      </c>
      <c r="F2286" s="5">
        <f>IFERROR(__xludf.DUMMYFUNCTION("""COMPUTED_VALUE"""),0.2053254733476545)</f>
        <v>0.2053254733</v>
      </c>
      <c r="G2286" s="5">
        <f>IFERROR(__xludf.DUMMYFUNCTION("""COMPUTED_VALUE"""),0.1584153469550882)</f>
        <v>0.158415347</v>
      </c>
      <c r="H2286" s="5">
        <f>IFERROR(__xludf.DUMMYFUNCTION("""COMPUTED_VALUE"""),0.5978102189781022)</f>
        <v>0.597810219</v>
      </c>
      <c r="I2286" s="11">
        <f>IFERROR(__xludf.DUMMYFUNCTION("""COMPUTED_VALUE"""),6174.841849148418)</f>
        <v>6174.841849</v>
      </c>
      <c r="J2286" s="10">
        <f>IFERROR(__xludf.DUMMYFUNCTION("""COMPUTED_VALUE"""),15.0)</f>
        <v>15</v>
      </c>
      <c r="K2286" s="5">
        <f>IFERROR(__xludf.DUMMYFUNCTION("""COMPUTED_VALUE"""),0.008021390374331552)</f>
        <v>0.008021390374</v>
      </c>
      <c r="L2286" s="10">
        <f>IFERROR(__xludf.DUMMYFUNCTION("""COMPUTED_VALUE"""),1870.0)</f>
        <v>1870</v>
      </c>
      <c r="M2286" s="5">
        <f>IFERROR(__xludf.DUMMYFUNCTION("""COMPUTED_VALUE"""),1.0)</f>
        <v>1</v>
      </c>
    </row>
    <row r="2287">
      <c r="A2287" s="10" t="str">
        <f>IFERROR(__xludf.DUMMYFUNCTION("""COMPUTED_VALUE"""),"白紙委任状")</f>
        <v>白紙委任状</v>
      </c>
      <c r="B2287" s="10">
        <f>IFERROR(__xludf.DUMMYFUNCTION("""COMPUTED_VALUE"""),124.0)</f>
        <v>124</v>
      </c>
      <c r="C2287" s="10">
        <f>IFERROR(__xludf.DUMMYFUNCTION("""COMPUTED_VALUE"""),1411.0)</f>
        <v>1411</v>
      </c>
      <c r="D2287" s="5">
        <f>IFERROR(__xludf.DUMMYFUNCTION("""COMPUTED_VALUE"""),0.28205128205128205)</f>
        <v>0.2820512821</v>
      </c>
      <c r="E2287" s="5">
        <f>IFERROR(__xludf.DUMMYFUNCTION("""COMPUTED_VALUE"""),0.13053613053613053)</f>
        <v>0.1305361305</v>
      </c>
      <c r="F2287" s="5">
        <f>IFERROR(__xludf.DUMMYFUNCTION("""COMPUTED_VALUE"""),0.20590520590520592)</f>
        <v>0.2059052059</v>
      </c>
      <c r="G2287" s="5">
        <f>IFERROR(__xludf.DUMMYFUNCTION("""COMPUTED_VALUE"""),0.17560217560217561)</f>
        <v>0.1756021756</v>
      </c>
      <c r="H2287" s="5">
        <f>IFERROR(__xludf.DUMMYFUNCTION("""COMPUTED_VALUE"""),0.6188679245283019)</f>
        <v>0.6188679245</v>
      </c>
      <c r="I2287" s="11">
        <f>IFERROR(__xludf.DUMMYFUNCTION("""COMPUTED_VALUE"""),5608.679245283019)</f>
        <v>5608.679245</v>
      </c>
      <c r="J2287" s="10">
        <f>IFERROR(__xludf.DUMMYFUNCTION("""COMPUTED_VALUE"""),0.0)</f>
        <v>0</v>
      </c>
      <c r="K2287" s="5">
        <f>IFERROR(__xludf.DUMMYFUNCTION("""COMPUTED_VALUE"""),0.0)</f>
        <v>0</v>
      </c>
      <c r="L2287" s="10">
        <f>IFERROR(__xludf.DUMMYFUNCTION("""COMPUTED_VALUE"""),124.0)</f>
        <v>124</v>
      </c>
      <c r="M2287" s="5">
        <f>IFERROR(__xludf.DUMMYFUNCTION("""COMPUTED_VALUE"""),1.0)</f>
        <v>1</v>
      </c>
    </row>
    <row r="2288">
      <c r="A2288" s="10" t="str">
        <f>IFERROR(__xludf.DUMMYFUNCTION("""COMPUTED_VALUE"""),"西野七瀬")</f>
        <v>西野七瀬</v>
      </c>
      <c r="B2288" s="10">
        <f>IFERROR(__xludf.DUMMYFUNCTION("""COMPUTED_VALUE"""),782.0)</f>
        <v>782</v>
      </c>
      <c r="C2288" s="10">
        <f>IFERROR(__xludf.DUMMYFUNCTION("""COMPUTED_VALUE"""),9301.0)</f>
        <v>9301</v>
      </c>
      <c r="D2288" s="5">
        <f>IFERROR(__xludf.DUMMYFUNCTION("""COMPUTED_VALUE"""),0.3397112337128771)</f>
        <v>0.3397112337</v>
      </c>
      <c r="E2288" s="5">
        <f>IFERROR(__xludf.DUMMYFUNCTION("""COMPUTED_VALUE"""),0.13053175255311655)</f>
        <v>0.1305317526</v>
      </c>
      <c r="F2288" s="5">
        <f>IFERROR(__xludf.DUMMYFUNCTION("""COMPUTED_VALUE"""),0.2076534804554525)</f>
        <v>0.2076534805</v>
      </c>
      <c r="G2288" s="5">
        <f>IFERROR(__xludf.DUMMYFUNCTION("""COMPUTED_VALUE"""),0.1516609930743045)</f>
        <v>0.1516609931</v>
      </c>
      <c r="H2288" s="5">
        <f>IFERROR(__xludf.DUMMYFUNCTION("""COMPUTED_VALUE"""),0.6212549462973431)</f>
        <v>0.6212549463</v>
      </c>
      <c r="I2288" s="11">
        <f>IFERROR(__xludf.DUMMYFUNCTION("""COMPUTED_VALUE"""),5317.35443753533)</f>
        <v>5317.354438</v>
      </c>
      <c r="J2288" s="10">
        <f>IFERROR(__xludf.DUMMYFUNCTION("""COMPUTED_VALUE"""),1.0)</f>
        <v>1</v>
      </c>
      <c r="K2288" s="5">
        <f>IFERROR(__xludf.DUMMYFUNCTION("""COMPUTED_VALUE"""),0.0012787723785166241)</f>
        <v>0.001278772379</v>
      </c>
      <c r="L2288" s="10">
        <f>IFERROR(__xludf.DUMMYFUNCTION("""COMPUTED_VALUE"""),782.0)</f>
        <v>782</v>
      </c>
      <c r="M2288" s="5">
        <f>IFERROR(__xludf.DUMMYFUNCTION("""COMPUTED_VALUE"""),1.0)</f>
        <v>1</v>
      </c>
    </row>
    <row r="2289">
      <c r="A2289" s="10" t="str">
        <f>IFERROR(__xludf.DUMMYFUNCTION("""COMPUTED_VALUE"""),"IWAPIN")</f>
        <v>IWAPIN</v>
      </c>
      <c r="B2289" s="10">
        <f>IFERROR(__xludf.DUMMYFUNCTION("""COMPUTED_VALUE"""),460.0)</f>
        <v>460</v>
      </c>
      <c r="C2289" s="10">
        <f>IFERROR(__xludf.DUMMYFUNCTION("""COMPUTED_VALUE"""),5372.0)</f>
        <v>5372</v>
      </c>
      <c r="D2289" s="5">
        <f>IFERROR(__xludf.DUMMYFUNCTION("""COMPUTED_VALUE"""),0.32125407166123776)</f>
        <v>0.3212540717</v>
      </c>
      <c r="E2289" s="5">
        <f>IFERROR(__xludf.DUMMYFUNCTION("""COMPUTED_VALUE"""),0.13049674267100977)</f>
        <v>0.1304967427</v>
      </c>
      <c r="F2289" s="5">
        <f>IFERROR(__xludf.DUMMYFUNCTION("""COMPUTED_VALUE"""),0.21355863192182412)</f>
        <v>0.2135586319</v>
      </c>
      <c r="G2289" s="5">
        <f>IFERROR(__xludf.DUMMYFUNCTION("""COMPUTED_VALUE"""),0.18281758957654723)</f>
        <v>0.1828175896</v>
      </c>
      <c r="H2289" s="5">
        <f>IFERROR(__xludf.DUMMYFUNCTION("""COMPUTED_VALUE"""),0.6005719733079123)</f>
        <v>0.6005719733</v>
      </c>
      <c r="I2289" s="11">
        <f>IFERROR(__xludf.DUMMYFUNCTION("""COMPUTED_VALUE"""),5535.367016205911)</f>
        <v>5535.367016</v>
      </c>
      <c r="J2289" s="10">
        <f>IFERROR(__xludf.DUMMYFUNCTION("""COMPUTED_VALUE"""),0.0)</f>
        <v>0</v>
      </c>
      <c r="K2289" s="5">
        <f>IFERROR(__xludf.DUMMYFUNCTION("""COMPUTED_VALUE"""),0.0)</f>
        <v>0</v>
      </c>
      <c r="L2289" s="10">
        <f>IFERROR(__xludf.DUMMYFUNCTION("""COMPUTED_VALUE"""),460.0)</f>
        <v>460</v>
      </c>
      <c r="M2289" s="5">
        <f>IFERROR(__xludf.DUMMYFUNCTION("""COMPUTED_VALUE"""),1.0)</f>
        <v>1</v>
      </c>
    </row>
    <row r="2290">
      <c r="A2290" s="10" t="str">
        <f>IFERROR(__xludf.DUMMYFUNCTION("""COMPUTED_VALUE"""),"riouchan")</f>
        <v>riouchan</v>
      </c>
      <c r="B2290" s="10">
        <f>IFERROR(__xludf.DUMMYFUNCTION("""COMPUTED_VALUE"""),1419.0)</f>
        <v>1419</v>
      </c>
      <c r="C2290" s="10">
        <f>IFERROR(__xludf.DUMMYFUNCTION("""COMPUTED_VALUE"""),16822.0)</f>
        <v>16822</v>
      </c>
      <c r="D2290" s="5">
        <f>IFERROR(__xludf.DUMMYFUNCTION("""COMPUTED_VALUE"""),0.463481140037655)</f>
        <v>0.46348114</v>
      </c>
      <c r="E2290" s="5">
        <f>IFERROR(__xludf.DUMMYFUNCTION("""COMPUTED_VALUE"""),0.13049405959877947)</f>
        <v>0.1304940596</v>
      </c>
      <c r="F2290" s="5">
        <f>IFERROR(__xludf.DUMMYFUNCTION("""COMPUTED_VALUE"""),0.22839706550671948)</f>
        <v>0.2283970655</v>
      </c>
      <c r="G2290" s="5">
        <f>IFERROR(__xludf.DUMMYFUNCTION("""COMPUTED_VALUE"""),0.18730117509576055)</f>
        <v>0.1873011751</v>
      </c>
      <c r="H2290" s="5">
        <f>IFERROR(__xludf.DUMMYFUNCTION("""COMPUTED_VALUE"""),0.5960773166571915)</f>
        <v>0.5960773167</v>
      </c>
      <c r="I2290" s="11">
        <f>IFERROR(__xludf.DUMMYFUNCTION("""COMPUTED_VALUE"""),5128.65264354747)</f>
        <v>5128.652644</v>
      </c>
      <c r="J2290" s="10">
        <f>IFERROR(__xludf.DUMMYFUNCTION("""COMPUTED_VALUE"""),5.0)</f>
        <v>5</v>
      </c>
      <c r="K2290" s="5">
        <f>IFERROR(__xludf.DUMMYFUNCTION("""COMPUTED_VALUE"""),0.0035236081747709656)</f>
        <v>0.003523608175</v>
      </c>
      <c r="L2290" s="10">
        <f>IFERROR(__xludf.DUMMYFUNCTION("""COMPUTED_VALUE"""),1417.0)</f>
        <v>1417</v>
      </c>
      <c r="M2290" s="5">
        <f>IFERROR(__xludf.DUMMYFUNCTION("""COMPUTED_VALUE"""),0.9985905567300916)</f>
        <v>0.9985905567</v>
      </c>
    </row>
    <row r="2291">
      <c r="A2291" s="10" t="str">
        <f>IFERROR(__xludf.DUMMYFUNCTION("""COMPUTED_VALUE"""),"akibaban")</f>
        <v>akibaban</v>
      </c>
      <c r="B2291" s="10">
        <f>IFERROR(__xludf.DUMMYFUNCTION("""COMPUTED_VALUE"""),109.0)</f>
        <v>109</v>
      </c>
      <c r="C2291" s="10">
        <f>IFERROR(__xludf.DUMMYFUNCTION("""COMPUTED_VALUE"""),1274.0)</f>
        <v>1274</v>
      </c>
      <c r="D2291" s="5">
        <f>IFERROR(__xludf.DUMMYFUNCTION("""COMPUTED_VALUE"""),0.3502145922746781)</f>
        <v>0.3502145923</v>
      </c>
      <c r="E2291" s="5">
        <f>IFERROR(__xludf.DUMMYFUNCTION("""COMPUTED_VALUE"""),0.13047210300429185)</f>
        <v>0.130472103</v>
      </c>
      <c r="F2291" s="5">
        <f>IFERROR(__xludf.DUMMYFUNCTION("""COMPUTED_VALUE"""),0.21630901287553647)</f>
        <v>0.2163090129</v>
      </c>
      <c r="G2291" s="5">
        <f>IFERROR(__xludf.DUMMYFUNCTION("""COMPUTED_VALUE"""),0.18025751072961374)</f>
        <v>0.1802575107</v>
      </c>
      <c r="H2291" s="5">
        <f>IFERROR(__xludf.DUMMYFUNCTION("""COMPUTED_VALUE"""),0.6190476190476191)</f>
        <v>0.619047619</v>
      </c>
      <c r="I2291" s="11">
        <f>IFERROR(__xludf.DUMMYFUNCTION("""COMPUTED_VALUE"""),5525.0)</f>
        <v>5525</v>
      </c>
      <c r="J2291" s="10">
        <f>IFERROR(__xludf.DUMMYFUNCTION("""COMPUTED_VALUE"""),0.0)</f>
        <v>0</v>
      </c>
      <c r="K2291" s="5">
        <f>IFERROR(__xludf.DUMMYFUNCTION("""COMPUTED_VALUE"""),0.0)</f>
        <v>0</v>
      </c>
      <c r="L2291" s="10">
        <f>IFERROR(__xludf.DUMMYFUNCTION("""COMPUTED_VALUE"""),109.0)</f>
        <v>109</v>
      </c>
      <c r="M2291" s="5">
        <f>IFERROR(__xludf.DUMMYFUNCTION("""COMPUTED_VALUE"""),1.0)</f>
        <v>1</v>
      </c>
    </row>
    <row r="2292">
      <c r="A2292" s="10" t="str">
        <f>IFERROR(__xludf.DUMMYFUNCTION("""COMPUTED_VALUE"""),"ぱるこし")</f>
        <v>ぱるこし</v>
      </c>
      <c r="B2292" s="10">
        <f>IFERROR(__xludf.DUMMYFUNCTION("""COMPUTED_VALUE"""),616.0)</f>
        <v>616</v>
      </c>
      <c r="C2292" s="10">
        <f>IFERROR(__xludf.DUMMYFUNCTION("""COMPUTED_VALUE"""),7139.0)</f>
        <v>7139</v>
      </c>
      <c r="D2292" s="5">
        <f>IFERROR(__xludf.DUMMYFUNCTION("""COMPUTED_VALUE"""),0.338341254024222)</f>
        <v>0.338341254</v>
      </c>
      <c r="E2292" s="5">
        <f>IFERROR(__xludf.DUMMYFUNCTION("""COMPUTED_VALUE"""),0.13046144412080332)</f>
        <v>0.1304614441</v>
      </c>
      <c r="F2292" s="5">
        <f>IFERROR(__xludf.DUMMYFUNCTION("""COMPUTED_VALUE"""),0.20941284684960906)</f>
        <v>0.2094128468</v>
      </c>
      <c r="G2292" s="5">
        <f>IFERROR(__xludf.DUMMYFUNCTION("""COMPUTED_VALUE"""),0.17476621186570596)</f>
        <v>0.1747662119</v>
      </c>
      <c r="H2292" s="5">
        <f>IFERROR(__xludf.DUMMYFUNCTION("""COMPUTED_VALUE"""),0.6032210834553441)</f>
        <v>0.6032210835</v>
      </c>
      <c r="I2292" s="11">
        <f>IFERROR(__xludf.DUMMYFUNCTION("""COMPUTED_VALUE"""),5639.09224011713)</f>
        <v>5639.09224</v>
      </c>
      <c r="J2292" s="10">
        <f>IFERROR(__xludf.DUMMYFUNCTION("""COMPUTED_VALUE"""),0.0)</f>
        <v>0</v>
      </c>
      <c r="K2292" s="5">
        <f>IFERROR(__xludf.DUMMYFUNCTION("""COMPUTED_VALUE"""),0.0)</f>
        <v>0</v>
      </c>
      <c r="L2292" s="10">
        <f>IFERROR(__xludf.DUMMYFUNCTION("""COMPUTED_VALUE"""),604.0)</f>
        <v>604</v>
      </c>
      <c r="M2292" s="5">
        <f>IFERROR(__xludf.DUMMYFUNCTION("""COMPUTED_VALUE"""),0.9805194805194806)</f>
        <v>0.9805194805</v>
      </c>
    </row>
    <row r="2293">
      <c r="A2293" s="10" t="str">
        <f>IFERROR(__xludf.DUMMYFUNCTION("""COMPUTED_VALUE"""),"知将")</f>
        <v>知将</v>
      </c>
      <c r="B2293" s="10">
        <f>IFERROR(__xludf.DUMMYFUNCTION("""COMPUTED_VALUE"""),641.0)</f>
        <v>641</v>
      </c>
      <c r="C2293" s="10">
        <f>IFERROR(__xludf.DUMMYFUNCTION("""COMPUTED_VALUE"""),7440.0)</f>
        <v>7440</v>
      </c>
      <c r="D2293" s="5">
        <f>IFERROR(__xludf.DUMMYFUNCTION("""COMPUTED_VALUE"""),0.3237240770701574)</f>
        <v>0.3237240771</v>
      </c>
      <c r="E2293" s="5">
        <f>IFERROR(__xludf.DUMMYFUNCTION("""COMPUTED_VALUE"""),0.1304603618179144)</f>
        <v>0.1304603618</v>
      </c>
      <c r="F2293" s="5">
        <f>IFERROR(__xludf.DUMMYFUNCTION("""COMPUTED_VALUE"""),0.20017649654360936)</f>
        <v>0.2001764965</v>
      </c>
      <c r="G2293" s="5">
        <f>IFERROR(__xludf.DUMMYFUNCTION("""COMPUTED_VALUE"""),0.1701720841300191)</f>
        <v>0.1701720841</v>
      </c>
      <c r="H2293" s="5">
        <f>IFERROR(__xludf.DUMMYFUNCTION("""COMPUTED_VALUE"""),0.582659808963997)</f>
        <v>0.582659809</v>
      </c>
      <c r="I2293" s="11">
        <f>IFERROR(__xludf.DUMMYFUNCTION("""COMPUTED_VALUE"""),6294.121969140338)</f>
        <v>6294.121969</v>
      </c>
      <c r="J2293" s="10">
        <f>IFERROR(__xludf.DUMMYFUNCTION("""COMPUTED_VALUE"""),2.0)</f>
        <v>2</v>
      </c>
      <c r="K2293" s="5">
        <f>IFERROR(__xludf.DUMMYFUNCTION("""COMPUTED_VALUE"""),0.0031201248049922)</f>
        <v>0.003120124805</v>
      </c>
      <c r="L2293" s="10">
        <f>IFERROR(__xludf.DUMMYFUNCTION("""COMPUTED_VALUE"""),641.0)</f>
        <v>641</v>
      </c>
      <c r="M2293" s="5">
        <f>IFERROR(__xludf.DUMMYFUNCTION("""COMPUTED_VALUE"""),1.0)</f>
        <v>1</v>
      </c>
    </row>
    <row r="2294">
      <c r="A2294" s="10" t="str">
        <f>IFERROR(__xludf.DUMMYFUNCTION("""COMPUTED_VALUE"""),"のどごし〈生〉")</f>
        <v>のどごし〈生〉</v>
      </c>
      <c r="B2294" s="10">
        <f>IFERROR(__xludf.DUMMYFUNCTION("""COMPUTED_VALUE"""),1293.0)</f>
        <v>1293</v>
      </c>
      <c r="C2294" s="10">
        <f>IFERROR(__xludf.DUMMYFUNCTION("""COMPUTED_VALUE"""),15321.0)</f>
        <v>15321</v>
      </c>
      <c r="D2294" s="5">
        <f>IFERROR(__xludf.DUMMYFUNCTION("""COMPUTED_VALUE"""),0.3384659252922726)</f>
        <v>0.3384659253</v>
      </c>
      <c r="E2294" s="5">
        <f>IFERROR(__xludf.DUMMYFUNCTION("""COMPUTED_VALUE"""),0.13045337895637296)</f>
        <v>0.130453379</v>
      </c>
      <c r="F2294" s="5">
        <f>IFERROR(__xludf.DUMMYFUNCTION("""COMPUTED_VALUE"""),0.2055888223552894)</f>
        <v>0.2055888224</v>
      </c>
      <c r="G2294" s="5">
        <f>IFERROR(__xludf.DUMMYFUNCTION("""COMPUTED_VALUE"""),0.14100370687197034)</f>
        <v>0.1410037069</v>
      </c>
      <c r="H2294" s="5">
        <f>IFERROR(__xludf.DUMMYFUNCTION("""COMPUTED_VALUE"""),0.5901525658807212)</f>
        <v>0.5901525659</v>
      </c>
      <c r="I2294" s="11">
        <f>IFERROR(__xludf.DUMMYFUNCTION("""COMPUTED_VALUE"""),5646.844660194175)</f>
        <v>5646.84466</v>
      </c>
      <c r="J2294" s="10">
        <f>IFERROR(__xludf.DUMMYFUNCTION("""COMPUTED_VALUE"""),2.0)</f>
        <v>2</v>
      </c>
      <c r="K2294" s="5">
        <f>IFERROR(__xludf.DUMMYFUNCTION("""COMPUTED_VALUE"""),0.0015467904098994587)</f>
        <v>0.00154679041</v>
      </c>
      <c r="L2294" s="10">
        <f>IFERROR(__xludf.DUMMYFUNCTION("""COMPUTED_VALUE"""),1293.0)</f>
        <v>1293</v>
      </c>
      <c r="M2294" s="5">
        <f>IFERROR(__xludf.DUMMYFUNCTION("""COMPUTED_VALUE"""),1.0)</f>
        <v>1</v>
      </c>
    </row>
    <row r="2295">
      <c r="A2295" s="10" t="str">
        <f>IFERROR(__xludf.DUMMYFUNCTION("""COMPUTED_VALUE"""),"電気工事屋")</f>
        <v>電気工事屋</v>
      </c>
      <c r="B2295" s="10">
        <f>IFERROR(__xludf.DUMMYFUNCTION("""COMPUTED_VALUE"""),1463.0)</f>
        <v>1463</v>
      </c>
      <c r="C2295" s="10">
        <f>IFERROR(__xludf.DUMMYFUNCTION("""COMPUTED_VALUE"""),17032.0)</f>
        <v>17032</v>
      </c>
      <c r="D2295" s="5">
        <f>IFERROR(__xludf.DUMMYFUNCTION("""COMPUTED_VALUE"""),0.3887854068983236)</f>
        <v>0.3887854069</v>
      </c>
      <c r="E2295" s="5">
        <f>IFERROR(__xludf.DUMMYFUNCTION("""COMPUTED_VALUE"""),0.1304515383133149)</f>
        <v>0.1304515383</v>
      </c>
      <c r="F2295" s="5">
        <f>IFERROR(__xludf.DUMMYFUNCTION("""COMPUTED_VALUE"""),0.21696961911490784)</f>
        <v>0.2169696191</v>
      </c>
      <c r="G2295" s="5">
        <f>IFERROR(__xludf.DUMMYFUNCTION("""COMPUTED_VALUE"""),0.14220566510373178)</f>
        <v>0.1422056651</v>
      </c>
      <c r="H2295" s="5">
        <f>IFERROR(__xludf.DUMMYFUNCTION("""COMPUTED_VALUE"""),0.6127886323268206)</f>
        <v>0.6127886323</v>
      </c>
      <c r="I2295" s="11">
        <f>IFERROR(__xludf.DUMMYFUNCTION("""COMPUTED_VALUE"""),5354.677323860273)</f>
        <v>5354.677324</v>
      </c>
      <c r="J2295" s="10">
        <f>IFERROR(__xludf.DUMMYFUNCTION("""COMPUTED_VALUE"""),4.0)</f>
        <v>4</v>
      </c>
      <c r="K2295" s="5">
        <f>IFERROR(__xludf.DUMMYFUNCTION("""COMPUTED_VALUE"""),0.002734107997265892)</f>
        <v>0.002734107997</v>
      </c>
      <c r="L2295" s="10">
        <f>IFERROR(__xludf.DUMMYFUNCTION("""COMPUTED_VALUE"""),1463.0)</f>
        <v>1463</v>
      </c>
      <c r="M2295" s="5">
        <f>IFERROR(__xludf.DUMMYFUNCTION("""COMPUTED_VALUE"""),1.0)</f>
        <v>1</v>
      </c>
    </row>
    <row r="2296">
      <c r="A2296" s="10" t="str">
        <f>IFERROR(__xludf.DUMMYFUNCTION("""COMPUTED_VALUE"""),"エスカルゴン")</f>
        <v>エスカルゴン</v>
      </c>
      <c r="B2296" s="10">
        <f>IFERROR(__xludf.DUMMYFUNCTION("""COMPUTED_VALUE"""),1029.0)</f>
        <v>1029</v>
      </c>
      <c r="C2296" s="10">
        <f>IFERROR(__xludf.DUMMYFUNCTION("""COMPUTED_VALUE"""),12037.0)</f>
        <v>12037</v>
      </c>
      <c r="D2296" s="5">
        <f>IFERROR(__xludf.DUMMYFUNCTION("""COMPUTED_VALUE"""),0.38026889534883723)</f>
        <v>0.3802688953</v>
      </c>
      <c r="E2296" s="5">
        <f>IFERROR(__xludf.DUMMYFUNCTION("""COMPUTED_VALUE"""),0.13045058139534885)</f>
        <v>0.1304505814</v>
      </c>
      <c r="F2296" s="5">
        <f>IFERROR(__xludf.DUMMYFUNCTION("""COMPUTED_VALUE"""),0.22029433139534885)</f>
        <v>0.2202943314</v>
      </c>
      <c r="G2296" s="5">
        <f>IFERROR(__xludf.DUMMYFUNCTION("""COMPUTED_VALUE"""),0.16197311046511628)</f>
        <v>0.1619731105</v>
      </c>
      <c r="H2296" s="5">
        <f>IFERROR(__xludf.DUMMYFUNCTION("""COMPUTED_VALUE"""),0.5921649484536082)</f>
        <v>0.5921649485</v>
      </c>
      <c r="I2296" s="11">
        <f>IFERROR(__xludf.DUMMYFUNCTION("""COMPUTED_VALUE"""),5805.525773195876)</f>
        <v>5805.525773</v>
      </c>
      <c r="J2296" s="10">
        <f>IFERROR(__xludf.DUMMYFUNCTION("""COMPUTED_VALUE"""),2.0)</f>
        <v>2</v>
      </c>
      <c r="K2296" s="5">
        <f>IFERROR(__xludf.DUMMYFUNCTION("""COMPUTED_VALUE"""),0.001943634596695821)</f>
        <v>0.001943634597</v>
      </c>
      <c r="L2296" s="10">
        <f>IFERROR(__xludf.DUMMYFUNCTION("""COMPUTED_VALUE"""),1029.0)</f>
        <v>1029</v>
      </c>
      <c r="M2296" s="5">
        <f>IFERROR(__xludf.DUMMYFUNCTION("""COMPUTED_VALUE"""),1.0)</f>
        <v>1</v>
      </c>
    </row>
    <row r="2297">
      <c r="A2297" s="10" t="str">
        <f>IFERROR(__xludf.DUMMYFUNCTION("""COMPUTED_VALUE"""),"どうでしよう")</f>
        <v>どうでしよう</v>
      </c>
      <c r="B2297" s="10">
        <f>IFERROR(__xludf.DUMMYFUNCTION("""COMPUTED_VALUE"""),319.0)</f>
        <v>319</v>
      </c>
      <c r="C2297" s="10">
        <f>IFERROR(__xludf.DUMMYFUNCTION("""COMPUTED_VALUE"""),3715.0)</f>
        <v>3715</v>
      </c>
      <c r="D2297" s="5">
        <f>IFERROR(__xludf.DUMMYFUNCTION("""COMPUTED_VALUE"""),0.34334511189634864)</f>
        <v>0.3433451119</v>
      </c>
      <c r="E2297" s="5">
        <f>IFERROR(__xludf.DUMMYFUNCTION("""COMPUTED_VALUE"""),0.13044758539458187)</f>
        <v>0.1304475854</v>
      </c>
      <c r="F2297" s="5">
        <f>IFERROR(__xludf.DUMMYFUNCTION("""COMPUTED_VALUE"""),0.19935217903415783)</f>
        <v>0.199352179</v>
      </c>
      <c r="G2297" s="5">
        <f>IFERROR(__xludf.DUMMYFUNCTION("""COMPUTED_VALUE"""),0.1498822143698469)</f>
        <v>0.1498822144</v>
      </c>
      <c r="H2297" s="5">
        <f>IFERROR(__xludf.DUMMYFUNCTION("""COMPUTED_VALUE"""),0.6100443131462334)</f>
        <v>0.6100443131</v>
      </c>
      <c r="I2297" s="11">
        <f>IFERROR(__xludf.DUMMYFUNCTION("""COMPUTED_VALUE"""),5603.397341211226)</f>
        <v>5603.397341</v>
      </c>
      <c r="J2297" s="10">
        <f>IFERROR(__xludf.DUMMYFUNCTION("""COMPUTED_VALUE"""),0.0)</f>
        <v>0</v>
      </c>
      <c r="K2297" s="5">
        <f>IFERROR(__xludf.DUMMYFUNCTION("""COMPUTED_VALUE"""),0.0)</f>
        <v>0</v>
      </c>
      <c r="L2297" s="10">
        <f>IFERROR(__xludf.DUMMYFUNCTION("""COMPUTED_VALUE"""),211.0)</f>
        <v>211</v>
      </c>
      <c r="M2297" s="5">
        <f>IFERROR(__xludf.DUMMYFUNCTION("""COMPUTED_VALUE"""),0.6614420062695925)</f>
        <v>0.6614420063</v>
      </c>
    </row>
    <row r="2298">
      <c r="A2298" s="10" t="str">
        <f>IFERROR(__xludf.DUMMYFUNCTION("""COMPUTED_VALUE"""),"7fukujin")</f>
        <v>7fukujin</v>
      </c>
      <c r="B2298" s="10">
        <f>IFERROR(__xludf.DUMMYFUNCTION("""COMPUTED_VALUE"""),565.0)</f>
        <v>565</v>
      </c>
      <c r="C2298" s="10">
        <f>IFERROR(__xludf.DUMMYFUNCTION("""COMPUTED_VALUE"""),6537.0)</f>
        <v>6537</v>
      </c>
      <c r="D2298" s="5">
        <f>IFERROR(__xludf.DUMMYFUNCTION("""COMPUTED_VALUE"""),0.3178164768921634)</f>
        <v>0.3178164769</v>
      </c>
      <c r="E2298" s="5">
        <f>IFERROR(__xludf.DUMMYFUNCTION("""COMPUTED_VALUE"""),0.13044206296048225)</f>
        <v>0.130442063</v>
      </c>
      <c r="F2298" s="5">
        <f>IFERROR(__xludf.DUMMYFUNCTION("""COMPUTED_VALUE"""),0.21935699933020764)</f>
        <v>0.2193569993</v>
      </c>
      <c r="G2298" s="5">
        <f>IFERROR(__xludf.DUMMYFUNCTION("""COMPUTED_VALUE"""),0.15405224380442062)</f>
        <v>0.1540522438</v>
      </c>
      <c r="H2298" s="5">
        <f>IFERROR(__xludf.DUMMYFUNCTION("""COMPUTED_VALUE"""),0.6282442748091603)</f>
        <v>0.6282442748</v>
      </c>
      <c r="I2298" s="11">
        <f>IFERROR(__xludf.DUMMYFUNCTION("""COMPUTED_VALUE"""),5549.694656488549)</f>
        <v>5549.694656</v>
      </c>
      <c r="J2298" s="10">
        <f>IFERROR(__xludf.DUMMYFUNCTION("""COMPUTED_VALUE"""),3.0)</f>
        <v>3</v>
      </c>
      <c r="K2298" s="5">
        <f>IFERROR(__xludf.DUMMYFUNCTION("""COMPUTED_VALUE"""),0.005309734513274336)</f>
        <v>0.005309734513</v>
      </c>
      <c r="L2298" s="10">
        <f>IFERROR(__xludf.DUMMYFUNCTION("""COMPUTED_VALUE"""),565.0)</f>
        <v>565</v>
      </c>
      <c r="M2298" s="5">
        <f>IFERROR(__xludf.DUMMYFUNCTION("""COMPUTED_VALUE"""),1.0)</f>
        <v>1</v>
      </c>
    </row>
    <row r="2299">
      <c r="A2299" s="10" t="str">
        <f>IFERROR(__xludf.DUMMYFUNCTION("""COMPUTED_VALUE"""),"清張")</f>
        <v>清張</v>
      </c>
      <c r="B2299" s="10">
        <f>IFERROR(__xludf.DUMMYFUNCTION("""COMPUTED_VALUE"""),587.0)</f>
        <v>587</v>
      </c>
      <c r="C2299" s="10">
        <f>IFERROR(__xludf.DUMMYFUNCTION("""COMPUTED_VALUE"""),6927.0)</f>
        <v>6927</v>
      </c>
      <c r="D2299" s="5">
        <f>IFERROR(__xludf.DUMMYFUNCTION("""COMPUTED_VALUE"""),0.3673501577287066)</f>
        <v>0.3673501577</v>
      </c>
      <c r="E2299" s="5">
        <f>IFERROR(__xludf.DUMMYFUNCTION("""COMPUTED_VALUE"""),0.13044164037854888)</f>
        <v>0.1304416404</v>
      </c>
      <c r="F2299" s="5">
        <f>IFERROR(__xludf.DUMMYFUNCTION("""COMPUTED_VALUE"""),0.21167192429022083)</f>
        <v>0.2116719243</v>
      </c>
      <c r="G2299" s="5">
        <f>IFERROR(__xludf.DUMMYFUNCTION("""COMPUTED_VALUE"""),0.1698738170347003)</f>
        <v>0.169873817</v>
      </c>
      <c r="H2299" s="5">
        <f>IFERROR(__xludf.DUMMYFUNCTION("""COMPUTED_VALUE"""),0.5946348733233979)</f>
        <v>0.5946348733</v>
      </c>
      <c r="I2299" s="11">
        <f>IFERROR(__xludf.DUMMYFUNCTION("""COMPUTED_VALUE"""),5801.415797317437)</f>
        <v>5801.415797</v>
      </c>
      <c r="J2299" s="10">
        <f>IFERROR(__xludf.DUMMYFUNCTION("""COMPUTED_VALUE"""),2.0)</f>
        <v>2</v>
      </c>
      <c r="K2299" s="5">
        <f>IFERROR(__xludf.DUMMYFUNCTION("""COMPUTED_VALUE"""),0.0034071550255536627)</f>
        <v>0.003407155026</v>
      </c>
      <c r="L2299" s="10">
        <f>IFERROR(__xludf.DUMMYFUNCTION("""COMPUTED_VALUE"""),587.0)</f>
        <v>587</v>
      </c>
      <c r="M2299" s="5">
        <f>IFERROR(__xludf.DUMMYFUNCTION("""COMPUTED_VALUE"""),1.0)</f>
        <v>1</v>
      </c>
    </row>
    <row r="2300">
      <c r="A2300" s="10" t="str">
        <f>IFERROR(__xludf.DUMMYFUNCTION("""COMPUTED_VALUE"""),"sho3010")</f>
        <v>sho3010</v>
      </c>
      <c r="B2300" s="10">
        <f>IFERROR(__xludf.DUMMYFUNCTION("""COMPUTED_VALUE"""),1313.0)</f>
        <v>1313</v>
      </c>
      <c r="C2300" s="10">
        <f>IFERROR(__xludf.DUMMYFUNCTION("""COMPUTED_VALUE"""),15350.0)</f>
        <v>15350</v>
      </c>
      <c r="D2300" s="5">
        <f>IFERROR(__xludf.DUMMYFUNCTION("""COMPUTED_VALUE"""),0.30889791265940014)</f>
        <v>0.3088979127</v>
      </c>
      <c r="E2300" s="5">
        <f>IFERROR(__xludf.DUMMYFUNCTION("""COMPUTED_VALUE"""),0.13044097741682695)</f>
        <v>0.1304409774</v>
      </c>
      <c r="F2300" s="5">
        <f>IFERROR(__xludf.DUMMYFUNCTION("""COMPUTED_VALUE"""),0.2047446035477666)</f>
        <v>0.2047446035</v>
      </c>
      <c r="G2300" s="5">
        <f>IFERROR(__xludf.DUMMYFUNCTION("""COMPUTED_VALUE"""),0.19056778513927478)</f>
        <v>0.1905677851</v>
      </c>
      <c r="H2300" s="5">
        <f>IFERROR(__xludf.DUMMYFUNCTION("""COMPUTED_VALUE"""),0.6016005567153793)</f>
        <v>0.6016005567</v>
      </c>
      <c r="I2300" s="11">
        <f>IFERROR(__xludf.DUMMYFUNCTION("""COMPUTED_VALUE"""),5927.870563674322)</f>
        <v>5927.870564</v>
      </c>
      <c r="J2300" s="10">
        <f>IFERROR(__xludf.DUMMYFUNCTION("""COMPUTED_VALUE"""),3.0)</f>
        <v>3</v>
      </c>
      <c r="K2300" s="5">
        <f>IFERROR(__xludf.DUMMYFUNCTION("""COMPUTED_VALUE"""),0.002284843869002285)</f>
        <v>0.002284843869</v>
      </c>
      <c r="L2300" s="10">
        <f>IFERROR(__xludf.DUMMYFUNCTION("""COMPUTED_VALUE"""),1313.0)</f>
        <v>1313</v>
      </c>
      <c r="M2300" s="5">
        <f>IFERROR(__xludf.DUMMYFUNCTION("""COMPUTED_VALUE"""),1.0)</f>
        <v>1</v>
      </c>
    </row>
    <row r="2301">
      <c r="A2301" s="10" t="str">
        <f>IFERROR(__xludf.DUMMYFUNCTION("""COMPUTED_VALUE"""),"健全理系男児")</f>
        <v>健全理系男児</v>
      </c>
      <c r="B2301" s="10">
        <f>IFERROR(__xludf.DUMMYFUNCTION("""COMPUTED_VALUE"""),1952.0)</f>
        <v>1952</v>
      </c>
      <c r="C2301" s="10">
        <f>IFERROR(__xludf.DUMMYFUNCTION("""COMPUTED_VALUE"""),23112.0)</f>
        <v>23112</v>
      </c>
      <c r="D2301" s="5">
        <f>IFERROR(__xludf.DUMMYFUNCTION("""COMPUTED_VALUE"""),0.38927221172022686)</f>
        <v>0.3892722117</v>
      </c>
      <c r="E2301" s="5">
        <f>IFERROR(__xludf.DUMMYFUNCTION("""COMPUTED_VALUE"""),0.13043478260869565)</f>
        <v>0.1304347826</v>
      </c>
      <c r="F2301" s="5">
        <f>IFERROR(__xludf.DUMMYFUNCTION("""COMPUTED_VALUE"""),0.21261814744801513)</f>
        <v>0.2126181474</v>
      </c>
      <c r="G2301" s="5">
        <f>IFERROR(__xludf.DUMMYFUNCTION("""COMPUTED_VALUE"""),0.16001890359168242)</f>
        <v>0.1600189036</v>
      </c>
      <c r="H2301" s="5">
        <f>IFERROR(__xludf.DUMMYFUNCTION("""COMPUTED_VALUE"""),0.6110246721493665)</f>
        <v>0.6110246721</v>
      </c>
      <c r="I2301" s="11">
        <f>IFERROR(__xludf.DUMMYFUNCTION("""COMPUTED_VALUE"""),5182.351633696377)</f>
        <v>5182.351634</v>
      </c>
      <c r="J2301" s="10">
        <f>IFERROR(__xludf.DUMMYFUNCTION("""COMPUTED_VALUE"""),2.0)</f>
        <v>2</v>
      </c>
      <c r="K2301" s="5">
        <f>IFERROR(__xludf.DUMMYFUNCTION("""COMPUTED_VALUE"""),0.0010245901639344263)</f>
        <v>0.001024590164</v>
      </c>
      <c r="L2301" s="10">
        <f>IFERROR(__xludf.DUMMYFUNCTION("""COMPUTED_VALUE"""),1952.0)</f>
        <v>1952</v>
      </c>
      <c r="M2301" s="5">
        <f>IFERROR(__xludf.DUMMYFUNCTION("""COMPUTED_VALUE"""),1.0)</f>
        <v>1</v>
      </c>
    </row>
    <row r="2302">
      <c r="A2302" s="10" t="str">
        <f>IFERROR(__xludf.DUMMYFUNCTION("""COMPUTED_VALUE"""),"akuled")</f>
        <v>akuled</v>
      </c>
      <c r="B2302" s="10">
        <f>IFERROR(__xludf.DUMMYFUNCTION("""COMPUTED_VALUE"""),124.0)</f>
        <v>124</v>
      </c>
      <c r="C2302" s="10">
        <f>IFERROR(__xludf.DUMMYFUNCTION("""COMPUTED_VALUE"""),1435.0)</f>
        <v>1435</v>
      </c>
      <c r="D2302" s="5">
        <f>IFERROR(__xludf.DUMMYFUNCTION("""COMPUTED_VALUE"""),0.3699466056445461)</f>
        <v>0.3699466056</v>
      </c>
      <c r="E2302" s="5">
        <f>IFERROR(__xludf.DUMMYFUNCTION("""COMPUTED_VALUE"""),0.13043478260869565)</f>
        <v>0.1304347826</v>
      </c>
      <c r="F2302" s="5">
        <f>IFERROR(__xludf.DUMMYFUNCTION("""COMPUTED_VALUE"""),0.2051868802440885)</f>
        <v>0.2051868802</v>
      </c>
      <c r="G2302" s="5">
        <f>IFERROR(__xludf.DUMMYFUNCTION("""COMPUTED_VALUE"""),0.15408085430968727)</f>
        <v>0.1540808543</v>
      </c>
      <c r="H2302" s="5">
        <f>IFERROR(__xludf.DUMMYFUNCTION("""COMPUTED_VALUE"""),0.5799256505576208)</f>
        <v>0.5799256506</v>
      </c>
      <c r="I2302" s="11">
        <f>IFERROR(__xludf.DUMMYFUNCTION("""COMPUTED_VALUE"""),5595.539033457249)</f>
        <v>5595.539033</v>
      </c>
      <c r="J2302" s="10">
        <f>IFERROR(__xludf.DUMMYFUNCTION("""COMPUTED_VALUE"""),0.0)</f>
        <v>0</v>
      </c>
      <c r="K2302" s="5">
        <f>IFERROR(__xludf.DUMMYFUNCTION("""COMPUTED_VALUE"""),0.0)</f>
        <v>0</v>
      </c>
      <c r="L2302" s="10">
        <f>IFERROR(__xludf.DUMMYFUNCTION("""COMPUTED_VALUE"""),124.0)</f>
        <v>124</v>
      </c>
      <c r="M2302" s="5">
        <f>IFERROR(__xludf.DUMMYFUNCTION("""COMPUTED_VALUE"""),1.0)</f>
        <v>1</v>
      </c>
    </row>
    <row r="2303">
      <c r="A2303" s="10" t="str">
        <f>IFERROR(__xludf.DUMMYFUNCTION("""COMPUTED_VALUE"""),"北風ダンゴ")</f>
        <v>北風ダンゴ</v>
      </c>
      <c r="B2303" s="10">
        <f>IFERROR(__xludf.DUMMYFUNCTION("""COMPUTED_VALUE"""),1865.0)</f>
        <v>1865</v>
      </c>
      <c r="C2303" s="10">
        <f>IFERROR(__xludf.DUMMYFUNCTION("""COMPUTED_VALUE"""),21722.0)</f>
        <v>21722</v>
      </c>
      <c r="D2303" s="5">
        <f>IFERROR(__xludf.DUMMYFUNCTION("""COMPUTED_VALUE"""),0.35680112806566955)</f>
        <v>0.3568011281</v>
      </c>
      <c r="E2303" s="5">
        <f>IFERROR(__xludf.DUMMYFUNCTION("""COMPUTED_VALUE"""),0.1304325930402377)</f>
        <v>0.130432593</v>
      </c>
      <c r="F2303" s="5">
        <f>IFERROR(__xludf.DUMMYFUNCTION("""COMPUTED_VALUE"""),0.23074986150979504)</f>
        <v>0.2307498615</v>
      </c>
      <c r="G2303" s="5">
        <f>IFERROR(__xludf.DUMMYFUNCTION("""COMPUTED_VALUE"""),0.16140403887797755)</f>
        <v>0.1614040389</v>
      </c>
      <c r="H2303" s="5">
        <f>IFERROR(__xludf.DUMMYFUNCTION("""COMPUTED_VALUE"""),0.5905718027062418)</f>
        <v>0.5905718027</v>
      </c>
      <c r="I2303" s="11">
        <f>IFERROR(__xludf.DUMMYFUNCTION("""COMPUTED_VALUE"""),5455.368834570057)</f>
        <v>5455.368835</v>
      </c>
      <c r="J2303" s="10">
        <f>IFERROR(__xludf.DUMMYFUNCTION("""COMPUTED_VALUE"""),6.0)</f>
        <v>6</v>
      </c>
      <c r="K2303" s="5">
        <f>IFERROR(__xludf.DUMMYFUNCTION("""COMPUTED_VALUE"""),0.0032171581769436996)</f>
        <v>0.003217158177</v>
      </c>
      <c r="L2303" s="10">
        <f>IFERROR(__xludf.DUMMYFUNCTION("""COMPUTED_VALUE"""),1865.0)</f>
        <v>1865</v>
      </c>
      <c r="M2303" s="5">
        <f>IFERROR(__xludf.DUMMYFUNCTION("""COMPUTED_VALUE"""),1.0)</f>
        <v>1</v>
      </c>
    </row>
    <row r="2304">
      <c r="A2304" s="10" t="str">
        <f>IFERROR(__xludf.DUMMYFUNCTION("""COMPUTED_VALUE"""),"呉育郎")</f>
        <v>呉育郎</v>
      </c>
      <c r="B2304" s="10">
        <f>IFERROR(__xludf.DUMMYFUNCTION("""COMPUTED_VALUE"""),438.0)</f>
        <v>438</v>
      </c>
      <c r="C2304" s="10">
        <f>IFERROR(__xludf.DUMMYFUNCTION("""COMPUTED_VALUE"""),5230.0)</f>
        <v>5230</v>
      </c>
      <c r="D2304" s="5">
        <f>IFERROR(__xludf.DUMMYFUNCTION("""COMPUTED_VALUE"""),0.32074290484140233)</f>
        <v>0.3207429048</v>
      </c>
      <c r="E2304" s="5">
        <f>IFERROR(__xludf.DUMMYFUNCTION("""COMPUTED_VALUE"""),0.13042570951585977)</f>
        <v>0.1304257095</v>
      </c>
      <c r="F2304" s="5">
        <f>IFERROR(__xludf.DUMMYFUNCTION("""COMPUTED_VALUE"""),0.19782971619365608)</f>
        <v>0.1978297162</v>
      </c>
      <c r="G2304" s="5">
        <f>IFERROR(__xludf.DUMMYFUNCTION("""COMPUTED_VALUE"""),0.166110183639399)</f>
        <v>0.1661101836</v>
      </c>
      <c r="H2304" s="5">
        <f>IFERROR(__xludf.DUMMYFUNCTION("""COMPUTED_VALUE"""),0.5949367088607594)</f>
        <v>0.5949367089</v>
      </c>
      <c r="I2304" s="11">
        <f>IFERROR(__xludf.DUMMYFUNCTION("""COMPUTED_VALUE"""),5538.9240506329115)</f>
        <v>5538.924051</v>
      </c>
      <c r="J2304" s="10">
        <f>IFERROR(__xludf.DUMMYFUNCTION("""COMPUTED_VALUE"""),0.0)</f>
        <v>0</v>
      </c>
      <c r="K2304" s="5">
        <f>IFERROR(__xludf.DUMMYFUNCTION("""COMPUTED_VALUE"""),0.0)</f>
        <v>0</v>
      </c>
      <c r="L2304" s="10">
        <f>IFERROR(__xludf.DUMMYFUNCTION("""COMPUTED_VALUE"""),438.0)</f>
        <v>438</v>
      </c>
      <c r="M2304" s="5">
        <f>IFERROR(__xludf.DUMMYFUNCTION("""COMPUTED_VALUE"""),1.0)</f>
        <v>1</v>
      </c>
    </row>
    <row r="2305">
      <c r="A2305" s="10" t="str">
        <f>IFERROR(__xludf.DUMMYFUNCTION("""COMPUTED_VALUE"""),"なんでもナーミン")</f>
        <v>なんでもナーミン</v>
      </c>
      <c r="B2305" s="10">
        <f>IFERROR(__xludf.DUMMYFUNCTION("""COMPUTED_VALUE"""),2978.0)</f>
        <v>2978</v>
      </c>
      <c r="C2305" s="10">
        <f>IFERROR(__xludf.DUMMYFUNCTION("""COMPUTED_VALUE"""),34675.0)</f>
        <v>34675</v>
      </c>
      <c r="D2305" s="5">
        <f>IFERROR(__xludf.DUMMYFUNCTION("""COMPUTED_VALUE"""),0.302836230558097)</f>
        <v>0.3028362306</v>
      </c>
      <c r="E2305" s="5">
        <f>IFERROR(__xludf.DUMMYFUNCTION("""COMPUTED_VALUE"""),0.1304224374546487)</f>
        <v>0.1304224375</v>
      </c>
      <c r="F2305" s="5">
        <f>IFERROR(__xludf.DUMMYFUNCTION("""COMPUTED_VALUE"""),0.20888412152569644)</f>
        <v>0.2088841215</v>
      </c>
      <c r="G2305" s="5">
        <f>IFERROR(__xludf.DUMMYFUNCTION("""COMPUTED_VALUE"""),0.20897876770672302)</f>
        <v>0.2089787677</v>
      </c>
      <c r="H2305" s="5">
        <f>IFERROR(__xludf.DUMMYFUNCTION("""COMPUTED_VALUE"""),0.5923576499018275)</f>
        <v>0.5923576499</v>
      </c>
      <c r="I2305" s="11">
        <f>IFERROR(__xludf.DUMMYFUNCTION("""COMPUTED_VALUE"""),6008.744902582692)</f>
        <v>6008.744903</v>
      </c>
      <c r="J2305" s="10">
        <f>IFERROR(__xludf.DUMMYFUNCTION("""COMPUTED_VALUE"""),5.0)</f>
        <v>5</v>
      </c>
      <c r="K2305" s="5">
        <f>IFERROR(__xludf.DUMMYFUNCTION("""COMPUTED_VALUE"""),0.0016789791806581598)</f>
        <v>0.001678979181</v>
      </c>
      <c r="L2305" s="10">
        <f>IFERROR(__xludf.DUMMYFUNCTION("""COMPUTED_VALUE"""),2974.0)</f>
        <v>2974</v>
      </c>
      <c r="M2305" s="5">
        <f>IFERROR(__xludf.DUMMYFUNCTION("""COMPUTED_VALUE"""),0.9986568166554735)</f>
        <v>0.9986568167</v>
      </c>
    </row>
    <row r="2306">
      <c r="A2306" s="10" t="str">
        <f>IFERROR(__xludf.DUMMYFUNCTION("""COMPUTED_VALUE"""),"t4c422")</f>
        <v>t4c422</v>
      </c>
      <c r="B2306" s="10">
        <f>IFERROR(__xludf.DUMMYFUNCTION("""COMPUTED_VALUE"""),178.0)</f>
        <v>178</v>
      </c>
      <c r="C2306" s="10">
        <f>IFERROR(__xludf.DUMMYFUNCTION("""COMPUTED_VALUE"""),2141.0)</f>
        <v>2141</v>
      </c>
      <c r="D2306" s="5">
        <f>IFERROR(__xludf.DUMMYFUNCTION("""COMPUTED_VALUE"""),0.3815588385124809)</f>
        <v>0.3815588385</v>
      </c>
      <c r="E2306" s="5">
        <f>IFERROR(__xludf.DUMMYFUNCTION("""COMPUTED_VALUE"""),0.130412633723892)</f>
        <v>0.1304126337</v>
      </c>
      <c r="F2306" s="5">
        <f>IFERROR(__xludf.DUMMYFUNCTION("""COMPUTED_VALUE"""),0.20020376974019358)</f>
        <v>0.2002037697</v>
      </c>
      <c r="G2306" s="5">
        <f>IFERROR(__xludf.DUMMYFUNCTION("""COMPUTED_VALUE"""),0.13092205807437596)</f>
        <v>0.1309220581</v>
      </c>
      <c r="H2306" s="5">
        <f>IFERROR(__xludf.DUMMYFUNCTION("""COMPUTED_VALUE"""),0.6055979643765903)</f>
        <v>0.6055979644</v>
      </c>
      <c r="I2306" s="11">
        <f>IFERROR(__xludf.DUMMYFUNCTION("""COMPUTED_VALUE"""),5216.539440203563)</f>
        <v>5216.53944</v>
      </c>
      <c r="J2306" s="10">
        <f>IFERROR(__xludf.DUMMYFUNCTION("""COMPUTED_VALUE"""),0.0)</f>
        <v>0</v>
      </c>
      <c r="K2306" s="5">
        <f>IFERROR(__xludf.DUMMYFUNCTION("""COMPUTED_VALUE"""),0.0)</f>
        <v>0</v>
      </c>
      <c r="L2306" s="10">
        <f>IFERROR(__xludf.DUMMYFUNCTION("""COMPUTED_VALUE"""),97.0)</f>
        <v>97</v>
      </c>
      <c r="M2306" s="5">
        <f>IFERROR(__xludf.DUMMYFUNCTION("""COMPUTED_VALUE"""),0.5449438202247191)</f>
        <v>0.5449438202</v>
      </c>
    </row>
    <row r="2307">
      <c r="A2307" s="10" t="str">
        <f>IFERROR(__xludf.DUMMYFUNCTION("""COMPUTED_VALUE"""),"風紀委員長なとり")</f>
        <v>風紀委員長なとり</v>
      </c>
      <c r="B2307" s="10">
        <f>IFERROR(__xludf.DUMMYFUNCTION("""COMPUTED_VALUE"""),132.0)</f>
        <v>132</v>
      </c>
      <c r="C2307" s="10">
        <f>IFERROR(__xludf.DUMMYFUNCTION("""COMPUTED_VALUE"""),1520.0)</f>
        <v>1520</v>
      </c>
      <c r="D2307" s="5">
        <f>IFERROR(__xludf.DUMMYFUNCTION("""COMPUTED_VALUE"""),0.20028818443804033)</f>
        <v>0.2002881844</v>
      </c>
      <c r="E2307" s="5">
        <f>IFERROR(__xludf.DUMMYFUNCTION("""COMPUTED_VALUE"""),0.1304034582132565)</f>
        <v>0.1304034582</v>
      </c>
      <c r="F2307" s="5">
        <f>IFERROR(__xludf.DUMMYFUNCTION("""COMPUTED_VALUE"""),0.18948126801152737)</f>
        <v>0.189481268</v>
      </c>
      <c r="G2307" s="5">
        <f>IFERROR(__xludf.DUMMYFUNCTION("""COMPUTED_VALUE"""),0.2298270893371758)</f>
        <v>0.2298270893</v>
      </c>
      <c r="H2307" s="5">
        <f>IFERROR(__xludf.DUMMYFUNCTION("""COMPUTED_VALUE"""),0.6045627376425855)</f>
        <v>0.6045627376</v>
      </c>
      <c r="I2307" s="11">
        <f>IFERROR(__xludf.DUMMYFUNCTION("""COMPUTED_VALUE"""),5993.155893536122)</f>
        <v>5993.155894</v>
      </c>
      <c r="J2307" s="10">
        <f>IFERROR(__xludf.DUMMYFUNCTION("""COMPUTED_VALUE"""),0.0)</f>
        <v>0</v>
      </c>
      <c r="K2307" s="5">
        <f>IFERROR(__xludf.DUMMYFUNCTION("""COMPUTED_VALUE"""),0.0)</f>
        <v>0</v>
      </c>
      <c r="L2307" s="10">
        <f>IFERROR(__xludf.DUMMYFUNCTION("""COMPUTED_VALUE"""),0.0)</f>
        <v>0</v>
      </c>
      <c r="M2307" s="5">
        <f>IFERROR(__xludf.DUMMYFUNCTION("""COMPUTED_VALUE"""),0.0)</f>
        <v>0</v>
      </c>
    </row>
    <row r="2308">
      <c r="A2308" s="10" t="str">
        <f>IFERROR(__xludf.DUMMYFUNCTION("""COMPUTED_VALUE"""),"沙羅野王花")</f>
        <v>沙羅野王花</v>
      </c>
      <c r="B2308" s="10">
        <f>IFERROR(__xludf.DUMMYFUNCTION("""COMPUTED_VALUE"""),231.0)</f>
        <v>231</v>
      </c>
      <c r="C2308" s="10">
        <f>IFERROR(__xludf.DUMMYFUNCTION("""COMPUTED_VALUE"""),2662.0)</f>
        <v>2662</v>
      </c>
      <c r="D2308" s="5">
        <f>IFERROR(__xludf.DUMMYFUNCTION("""COMPUTED_VALUE"""),0.4343891402714932)</f>
        <v>0.4343891403</v>
      </c>
      <c r="E2308" s="5">
        <f>IFERROR(__xludf.DUMMYFUNCTION("""COMPUTED_VALUE"""),0.13039901275195392)</f>
        <v>0.1303990128</v>
      </c>
      <c r="F2308" s="5">
        <f>IFERROR(__xludf.DUMMYFUNCTION("""COMPUTED_VALUE"""),0.20732208967503085)</f>
        <v>0.2073220897</v>
      </c>
      <c r="G2308" s="5">
        <f>IFERROR(__xludf.DUMMYFUNCTION("""COMPUTED_VALUE"""),0.15590292060880295)</f>
        <v>0.1559029206</v>
      </c>
      <c r="H2308" s="5">
        <f>IFERROR(__xludf.DUMMYFUNCTION("""COMPUTED_VALUE"""),0.5932539682539683)</f>
        <v>0.5932539683</v>
      </c>
      <c r="I2308" s="11">
        <f>IFERROR(__xludf.DUMMYFUNCTION("""COMPUTED_VALUE"""),5443.253968253968)</f>
        <v>5443.253968</v>
      </c>
      <c r="J2308" s="10">
        <f>IFERROR(__xludf.DUMMYFUNCTION("""COMPUTED_VALUE"""),0.0)</f>
        <v>0</v>
      </c>
      <c r="K2308" s="5">
        <f>IFERROR(__xludf.DUMMYFUNCTION("""COMPUTED_VALUE"""),0.0)</f>
        <v>0</v>
      </c>
      <c r="L2308" s="10">
        <f>IFERROR(__xludf.DUMMYFUNCTION("""COMPUTED_VALUE"""),0.0)</f>
        <v>0</v>
      </c>
      <c r="M2308" s="5">
        <f>IFERROR(__xludf.DUMMYFUNCTION("""COMPUTED_VALUE"""),0.0)</f>
        <v>0</v>
      </c>
    </row>
    <row r="2309">
      <c r="A2309" s="10" t="str">
        <f>IFERROR(__xludf.DUMMYFUNCTION("""COMPUTED_VALUE"""),"＝どらがし＝")</f>
        <v>＝どらがし＝</v>
      </c>
      <c r="B2309" s="10">
        <f>IFERROR(__xludf.DUMMYFUNCTION("""COMPUTED_VALUE"""),217.0)</f>
        <v>217</v>
      </c>
      <c r="C2309" s="10">
        <f>IFERROR(__xludf.DUMMYFUNCTION("""COMPUTED_VALUE"""),2510.0)</f>
        <v>2510</v>
      </c>
      <c r="D2309" s="5">
        <f>IFERROR(__xludf.DUMMYFUNCTION("""COMPUTED_VALUE"""),0.35891844744875706)</f>
        <v>0.3589184474</v>
      </c>
      <c r="E2309" s="5">
        <f>IFERROR(__xludf.DUMMYFUNCTION("""COMPUTED_VALUE"""),0.1303968600087222)</f>
        <v>0.13039686</v>
      </c>
      <c r="F2309" s="5">
        <f>IFERROR(__xludf.DUMMYFUNCTION("""COMPUTED_VALUE"""),0.2154382904491932)</f>
        <v>0.2154382904</v>
      </c>
      <c r="G2309" s="5">
        <f>IFERROR(__xludf.DUMMYFUNCTION("""COMPUTED_VALUE"""),0.1661578717836895)</f>
        <v>0.1661578718</v>
      </c>
      <c r="H2309" s="5">
        <f>IFERROR(__xludf.DUMMYFUNCTION("""COMPUTED_VALUE"""),0.5910931174089069)</f>
        <v>0.5910931174</v>
      </c>
      <c r="I2309" s="11">
        <f>IFERROR(__xludf.DUMMYFUNCTION("""COMPUTED_VALUE"""),5606.477732793523)</f>
        <v>5606.477733</v>
      </c>
      <c r="J2309" s="10">
        <f>IFERROR(__xludf.DUMMYFUNCTION("""COMPUTED_VALUE"""),0.0)</f>
        <v>0</v>
      </c>
      <c r="K2309" s="5">
        <f>IFERROR(__xludf.DUMMYFUNCTION("""COMPUTED_VALUE"""),0.0)</f>
        <v>0</v>
      </c>
      <c r="L2309" s="10">
        <f>IFERROR(__xludf.DUMMYFUNCTION("""COMPUTED_VALUE"""),0.0)</f>
        <v>0</v>
      </c>
      <c r="M2309" s="5">
        <f>IFERROR(__xludf.DUMMYFUNCTION("""COMPUTED_VALUE"""),0.0)</f>
        <v>0</v>
      </c>
    </row>
    <row r="2310">
      <c r="A2310" s="10" t="str">
        <f>IFERROR(__xludf.DUMMYFUNCTION("""COMPUTED_VALUE"""),"神託ノ妖術師")</f>
        <v>神託ノ妖術師</v>
      </c>
      <c r="B2310" s="10">
        <f>IFERROR(__xludf.DUMMYFUNCTION("""COMPUTED_VALUE"""),195.0)</f>
        <v>195</v>
      </c>
      <c r="C2310" s="10">
        <f>IFERROR(__xludf.DUMMYFUNCTION("""COMPUTED_VALUE"""),2258.0)</f>
        <v>2258</v>
      </c>
      <c r="D2310" s="5">
        <f>IFERROR(__xludf.DUMMYFUNCTION("""COMPUTED_VALUE"""),0.36694134755210855)</f>
        <v>0.3669413476</v>
      </c>
      <c r="E2310" s="5">
        <f>IFERROR(__xludf.DUMMYFUNCTION("""COMPUTED_VALUE"""),0.1303926320891905)</f>
        <v>0.1303926321</v>
      </c>
      <c r="F2310" s="5">
        <f>IFERROR(__xludf.DUMMYFUNCTION("""COMPUTED_VALUE"""),0.21376635967038293)</f>
        <v>0.2137663597</v>
      </c>
      <c r="G2310" s="5">
        <f>IFERROR(__xludf.DUMMYFUNCTION("""COMPUTED_VALUE"""),0.14396509936984975)</f>
        <v>0.1439650994</v>
      </c>
      <c r="H2310" s="5">
        <f>IFERROR(__xludf.DUMMYFUNCTION("""COMPUTED_VALUE"""),0.5963718820861678)</f>
        <v>0.5963718821</v>
      </c>
      <c r="I2310" s="11">
        <f>IFERROR(__xludf.DUMMYFUNCTION("""COMPUTED_VALUE"""),5655.78231292517)</f>
        <v>5655.782313</v>
      </c>
      <c r="J2310" s="10">
        <f>IFERROR(__xludf.DUMMYFUNCTION("""COMPUTED_VALUE"""),1.0)</f>
        <v>1</v>
      </c>
      <c r="K2310" s="5">
        <f>IFERROR(__xludf.DUMMYFUNCTION("""COMPUTED_VALUE"""),0.005128205128205128)</f>
        <v>0.005128205128</v>
      </c>
      <c r="L2310" s="10">
        <f>IFERROR(__xludf.DUMMYFUNCTION("""COMPUTED_VALUE"""),161.0)</f>
        <v>161</v>
      </c>
      <c r="M2310" s="5">
        <f>IFERROR(__xludf.DUMMYFUNCTION("""COMPUTED_VALUE"""),0.8256410256410256)</f>
        <v>0.8256410256</v>
      </c>
    </row>
    <row r="2311">
      <c r="A2311" s="10" t="str">
        <f>IFERROR(__xludf.DUMMYFUNCTION("""COMPUTED_VALUE"""),"オッパオ")</f>
        <v>オッパオ</v>
      </c>
      <c r="B2311" s="10">
        <f>IFERROR(__xludf.DUMMYFUNCTION("""COMPUTED_VALUE"""),962.0)</f>
        <v>962</v>
      </c>
      <c r="C2311" s="10">
        <f>IFERROR(__xludf.DUMMYFUNCTION("""COMPUTED_VALUE"""),11308.0)</f>
        <v>11308</v>
      </c>
      <c r="D2311" s="5">
        <f>IFERROR(__xludf.DUMMYFUNCTION("""COMPUTED_VALUE"""),0.37193118113280493)</f>
        <v>0.3719311811</v>
      </c>
      <c r="E2311" s="5">
        <f>IFERROR(__xludf.DUMMYFUNCTION("""COMPUTED_VALUE"""),0.13038855596365745)</f>
        <v>0.130388556</v>
      </c>
      <c r="F2311" s="5">
        <f>IFERROR(__xludf.DUMMYFUNCTION("""COMPUTED_VALUE"""),0.22056833558863329)</f>
        <v>0.2205683356</v>
      </c>
      <c r="G2311" s="5">
        <f>IFERROR(__xludf.DUMMYFUNCTION("""COMPUTED_VALUE"""),0.19572781751401508)</f>
        <v>0.1957278175</v>
      </c>
      <c r="H2311" s="5">
        <f>IFERROR(__xludf.DUMMYFUNCTION("""COMPUTED_VALUE"""),0.5788781770376863)</f>
        <v>0.578878177</v>
      </c>
      <c r="I2311" s="11">
        <f>IFERROR(__xludf.DUMMYFUNCTION("""COMPUTED_VALUE"""),5638.4312007011395)</f>
        <v>5638.431201</v>
      </c>
      <c r="J2311" s="10">
        <f>IFERROR(__xludf.DUMMYFUNCTION("""COMPUTED_VALUE"""),1.0)</f>
        <v>1</v>
      </c>
      <c r="K2311" s="5">
        <f>IFERROR(__xludf.DUMMYFUNCTION("""COMPUTED_VALUE"""),0.0010395010395010396)</f>
        <v>0.00103950104</v>
      </c>
      <c r="L2311" s="10">
        <f>IFERROR(__xludf.DUMMYFUNCTION("""COMPUTED_VALUE"""),962.0)</f>
        <v>962</v>
      </c>
      <c r="M2311" s="5">
        <f>IFERROR(__xludf.DUMMYFUNCTION("""COMPUTED_VALUE"""),1.0)</f>
        <v>1</v>
      </c>
    </row>
    <row r="2312">
      <c r="A2312" s="10" t="str">
        <f>IFERROR(__xludf.DUMMYFUNCTION("""COMPUTED_VALUE"""),"完全感覚D")</f>
        <v>完全感覚D</v>
      </c>
      <c r="B2312" s="10">
        <f>IFERROR(__xludf.DUMMYFUNCTION("""COMPUTED_VALUE"""),828.0)</f>
        <v>828</v>
      </c>
      <c r="C2312" s="10">
        <f>IFERROR(__xludf.DUMMYFUNCTION("""COMPUTED_VALUE"""),9740.0)</f>
        <v>9740</v>
      </c>
      <c r="D2312" s="5">
        <f>IFERROR(__xludf.DUMMYFUNCTION("""COMPUTED_VALUE"""),0.45489228007181326)</f>
        <v>0.4548922801</v>
      </c>
      <c r="E2312" s="5">
        <f>IFERROR(__xludf.DUMMYFUNCTION("""COMPUTED_VALUE"""),0.13038599640933574)</f>
        <v>0.1303859964</v>
      </c>
      <c r="F2312" s="5">
        <f>IFERROR(__xludf.DUMMYFUNCTION("""COMPUTED_VALUE"""),0.2199281867145422)</f>
        <v>0.2199281867</v>
      </c>
      <c r="G2312" s="5">
        <f>IFERROR(__xludf.DUMMYFUNCTION("""COMPUTED_VALUE"""),0.18121633752244165)</f>
        <v>0.1812163375</v>
      </c>
      <c r="H2312" s="5">
        <f>IFERROR(__xludf.DUMMYFUNCTION("""COMPUTED_VALUE"""),0.601530612244898)</f>
        <v>0.6015306122</v>
      </c>
      <c r="I2312" s="11">
        <f>IFERROR(__xludf.DUMMYFUNCTION("""COMPUTED_VALUE"""),5232.091836734694)</f>
        <v>5232.091837</v>
      </c>
      <c r="J2312" s="10">
        <f>IFERROR(__xludf.DUMMYFUNCTION("""COMPUTED_VALUE"""),0.0)</f>
        <v>0</v>
      </c>
      <c r="K2312" s="5">
        <f>IFERROR(__xludf.DUMMYFUNCTION("""COMPUTED_VALUE"""),0.0)</f>
        <v>0</v>
      </c>
      <c r="L2312" s="10">
        <f>IFERROR(__xludf.DUMMYFUNCTION("""COMPUTED_VALUE"""),828.0)</f>
        <v>828</v>
      </c>
      <c r="M2312" s="5">
        <f>IFERROR(__xludf.DUMMYFUNCTION("""COMPUTED_VALUE"""),1.0)</f>
        <v>1</v>
      </c>
    </row>
    <row r="2313">
      <c r="A2313" s="10" t="str">
        <f>IFERROR(__xludf.DUMMYFUNCTION("""COMPUTED_VALUE"""),"けつねこ")</f>
        <v>けつねこ</v>
      </c>
      <c r="B2313" s="10">
        <f>IFERROR(__xludf.DUMMYFUNCTION("""COMPUTED_VALUE"""),638.0)</f>
        <v>638</v>
      </c>
      <c r="C2313" s="10">
        <f>IFERROR(__xludf.DUMMYFUNCTION("""COMPUTED_VALUE"""),7311.0)</f>
        <v>7311</v>
      </c>
      <c r="D2313" s="5">
        <f>IFERROR(__xludf.DUMMYFUNCTION("""COMPUTED_VALUE"""),0.3097557320545482)</f>
        <v>0.3097557321</v>
      </c>
      <c r="E2313" s="5">
        <f>IFERROR(__xludf.DUMMYFUNCTION("""COMPUTED_VALUE"""),0.13037614266446876)</f>
        <v>0.1303761427</v>
      </c>
      <c r="F2313" s="5">
        <f>IFERROR(__xludf.DUMMYFUNCTION("""COMPUTED_VALUE"""),0.20560467555821968)</f>
        <v>0.2056046756</v>
      </c>
      <c r="G2313" s="5">
        <f>IFERROR(__xludf.DUMMYFUNCTION("""COMPUTED_VALUE"""),0.17623257904990258)</f>
        <v>0.176232579</v>
      </c>
      <c r="H2313" s="5">
        <f>IFERROR(__xludf.DUMMYFUNCTION("""COMPUTED_VALUE"""),0.6056851311953353)</f>
        <v>0.6056851312</v>
      </c>
      <c r="I2313" s="11">
        <f>IFERROR(__xludf.DUMMYFUNCTION("""COMPUTED_VALUE"""),5969.314868804665)</f>
        <v>5969.314869</v>
      </c>
      <c r="J2313" s="10">
        <f>IFERROR(__xludf.DUMMYFUNCTION("""COMPUTED_VALUE"""),2.0)</f>
        <v>2</v>
      </c>
      <c r="K2313" s="5">
        <f>IFERROR(__xludf.DUMMYFUNCTION("""COMPUTED_VALUE"""),0.003134796238244514)</f>
        <v>0.003134796238</v>
      </c>
      <c r="L2313" s="10">
        <f>IFERROR(__xludf.DUMMYFUNCTION("""COMPUTED_VALUE"""),0.0)</f>
        <v>0</v>
      </c>
      <c r="M2313" s="5">
        <f>IFERROR(__xludf.DUMMYFUNCTION("""COMPUTED_VALUE"""),0.0)</f>
        <v>0</v>
      </c>
    </row>
    <row r="2314">
      <c r="A2314" s="10" t="str">
        <f>IFERROR(__xludf.DUMMYFUNCTION("""COMPUTED_VALUE"""),"因幡の黄兎")</f>
        <v>因幡の黄兎</v>
      </c>
      <c r="B2314" s="10">
        <f>IFERROR(__xludf.DUMMYFUNCTION("""COMPUTED_VALUE"""),128.0)</f>
        <v>128</v>
      </c>
      <c r="C2314" s="10">
        <f>IFERROR(__xludf.DUMMYFUNCTION("""COMPUTED_VALUE"""),1501.0)</f>
        <v>1501</v>
      </c>
      <c r="D2314" s="5">
        <f>IFERROR(__xludf.DUMMYFUNCTION("""COMPUTED_VALUE"""),0.30444282592862343)</f>
        <v>0.3044428259</v>
      </c>
      <c r="E2314" s="5">
        <f>IFERROR(__xludf.DUMMYFUNCTION("""COMPUTED_VALUE"""),0.1303714493809177)</f>
        <v>0.1303714494</v>
      </c>
      <c r="F2314" s="5">
        <f>IFERROR(__xludf.DUMMYFUNCTION("""COMPUTED_VALUE"""),0.20611798980335033)</f>
        <v>0.2061179898</v>
      </c>
      <c r="G2314" s="5">
        <f>IFERROR(__xludf.DUMMYFUNCTION("""COMPUTED_VALUE"""),0.19810633648943918)</f>
        <v>0.1981063365</v>
      </c>
      <c r="H2314" s="5">
        <f>IFERROR(__xludf.DUMMYFUNCTION("""COMPUTED_VALUE"""),0.607773851590106)</f>
        <v>0.6077738516</v>
      </c>
      <c r="I2314" s="11">
        <f>IFERROR(__xludf.DUMMYFUNCTION("""COMPUTED_VALUE"""),5837.809187279152)</f>
        <v>5837.809187</v>
      </c>
      <c r="J2314" s="10">
        <f>IFERROR(__xludf.DUMMYFUNCTION("""COMPUTED_VALUE"""),0.0)</f>
        <v>0</v>
      </c>
      <c r="K2314" s="5">
        <f>IFERROR(__xludf.DUMMYFUNCTION("""COMPUTED_VALUE"""),0.0)</f>
        <v>0</v>
      </c>
      <c r="L2314" s="10">
        <f>IFERROR(__xludf.DUMMYFUNCTION("""COMPUTED_VALUE"""),128.0)</f>
        <v>128</v>
      </c>
      <c r="M2314" s="5">
        <f>IFERROR(__xludf.DUMMYFUNCTION("""COMPUTED_VALUE"""),1.0)</f>
        <v>1</v>
      </c>
    </row>
    <row r="2315">
      <c r="A2315" s="10" t="str">
        <f>IFERROR(__xludf.DUMMYFUNCTION("""COMPUTED_VALUE"""),"31jin")</f>
        <v>31jin</v>
      </c>
      <c r="B2315" s="10">
        <f>IFERROR(__xludf.DUMMYFUNCTION("""COMPUTED_VALUE"""),3385.0)</f>
        <v>3385</v>
      </c>
      <c r="C2315" s="10">
        <f>IFERROR(__xludf.DUMMYFUNCTION("""COMPUTED_VALUE"""),39845.0)</f>
        <v>39845</v>
      </c>
      <c r="D2315" s="5">
        <f>IFERROR(__xludf.DUMMYFUNCTION("""COMPUTED_VALUE"""),0.39827207899067474)</f>
        <v>0.398272079</v>
      </c>
      <c r="E2315" s="5">
        <f>IFERROR(__xludf.DUMMYFUNCTION("""COMPUTED_VALUE"""),0.13036204059243006)</f>
        <v>0.1303620406</v>
      </c>
      <c r="F2315" s="5">
        <f>IFERROR(__xludf.DUMMYFUNCTION("""COMPUTED_VALUE"""),0.22419089413055404)</f>
        <v>0.2241908941</v>
      </c>
      <c r="G2315" s="5">
        <f>IFERROR(__xludf.DUMMYFUNCTION("""COMPUTED_VALUE"""),0.18165112452002194)</f>
        <v>0.1816511245</v>
      </c>
      <c r="H2315" s="5">
        <f>IFERROR(__xludf.DUMMYFUNCTION("""COMPUTED_VALUE"""),0.5931000734034745)</f>
        <v>0.5931000734</v>
      </c>
      <c r="I2315" s="11">
        <f>IFERROR(__xludf.DUMMYFUNCTION("""COMPUTED_VALUE"""),5371.4215806214825)</f>
        <v>5371.421581</v>
      </c>
      <c r="J2315" s="10">
        <f>IFERROR(__xludf.DUMMYFUNCTION("""COMPUTED_VALUE"""),4.0)</f>
        <v>4</v>
      </c>
      <c r="K2315" s="5">
        <f>IFERROR(__xludf.DUMMYFUNCTION("""COMPUTED_VALUE"""),0.0011816838995568684)</f>
        <v>0.0011816839</v>
      </c>
      <c r="L2315" s="10">
        <f>IFERROR(__xludf.DUMMYFUNCTION("""COMPUTED_VALUE"""),30.0)</f>
        <v>30</v>
      </c>
      <c r="M2315" s="5">
        <f>IFERROR(__xludf.DUMMYFUNCTION("""COMPUTED_VALUE"""),0.008862629246676515)</f>
        <v>0.008862629247</v>
      </c>
    </row>
    <row r="2316">
      <c r="A2316" s="10" t="str">
        <f>IFERROR(__xludf.DUMMYFUNCTION("""COMPUTED_VALUE"""),"zhouyi")</f>
        <v>zhouyi</v>
      </c>
      <c r="B2316" s="10">
        <f>IFERROR(__xludf.DUMMYFUNCTION("""COMPUTED_VALUE"""),1639.0)</f>
        <v>1639</v>
      </c>
      <c r="C2316" s="10">
        <f>IFERROR(__xludf.DUMMYFUNCTION("""COMPUTED_VALUE"""),19198.0)</f>
        <v>19198</v>
      </c>
      <c r="D2316" s="5">
        <f>IFERROR(__xludf.DUMMYFUNCTION("""COMPUTED_VALUE"""),0.3964348767014067)</f>
        <v>0.3964348767</v>
      </c>
      <c r="E2316" s="5">
        <f>IFERROR(__xludf.DUMMYFUNCTION("""COMPUTED_VALUE"""),0.1303604988894584)</f>
        <v>0.1303604989</v>
      </c>
      <c r="F2316" s="5">
        <f>IFERROR(__xludf.DUMMYFUNCTION("""COMPUTED_VALUE"""),0.21686884218919072)</f>
        <v>0.2168688422</v>
      </c>
      <c r="G2316" s="5">
        <f>IFERROR(__xludf.DUMMYFUNCTION("""COMPUTED_VALUE"""),0.16048749928811434)</f>
        <v>0.1604874993</v>
      </c>
      <c r="H2316" s="5">
        <f>IFERROR(__xludf.DUMMYFUNCTION("""COMPUTED_VALUE"""),0.6037289915966386)</f>
        <v>0.6037289916</v>
      </c>
      <c r="I2316" s="11">
        <f>IFERROR(__xludf.DUMMYFUNCTION("""COMPUTED_VALUE"""),5365.283613445378)</f>
        <v>5365.283613</v>
      </c>
      <c r="J2316" s="10">
        <f>IFERROR(__xludf.DUMMYFUNCTION("""COMPUTED_VALUE"""),5.0)</f>
        <v>5</v>
      </c>
      <c r="K2316" s="5">
        <f>IFERROR(__xludf.DUMMYFUNCTION("""COMPUTED_VALUE"""),0.003050640634533252)</f>
        <v>0.003050640635</v>
      </c>
      <c r="L2316" s="10">
        <f>IFERROR(__xludf.DUMMYFUNCTION("""COMPUTED_VALUE"""),1639.0)</f>
        <v>1639</v>
      </c>
      <c r="M2316" s="5">
        <f>IFERROR(__xludf.DUMMYFUNCTION("""COMPUTED_VALUE"""),1.0)</f>
        <v>1</v>
      </c>
    </row>
    <row r="2317">
      <c r="A2317" s="10" t="str">
        <f>IFERROR(__xludf.DUMMYFUNCTION("""COMPUTED_VALUE"""),"ヒメ")</f>
        <v>ヒメ</v>
      </c>
      <c r="B2317" s="10">
        <f>IFERROR(__xludf.DUMMYFUNCTION("""COMPUTED_VALUE"""),692.0)</f>
        <v>692</v>
      </c>
      <c r="C2317" s="10">
        <f>IFERROR(__xludf.DUMMYFUNCTION("""COMPUTED_VALUE"""),8164.0)</f>
        <v>8164</v>
      </c>
      <c r="D2317" s="5">
        <f>IFERROR(__xludf.DUMMYFUNCTION("""COMPUTED_VALUE"""),0.2528104925053533)</f>
        <v>0.2528104925</v>
      </c>
      <c r="E2317" s="5">
        <f>IFERROR(__xludf.DUMMYFUNCTION("""COMPUTED_VALUE"""),0.13035331905781586)</f>
        <v>0.1303533191</v>
      </c>
      <c r="F2317" s="5">
        <f>IFERROR(__xludf.DUMMYFUNCTION("""COMPUTED_VALUE"""),0.19660064239828695)</f>
        <v>0.1966006424</v>
      </c>
      <c r="G2317" s="5">
        <f>IFERROR(__xludf.DUMMYFUNCTION("""COMPUTED_VALUE"""),0.19646680942184155)</f>
        <v>0.1964668094</v>
      </c>
      <c r="H2317" s="5">
        <f>IFERROR(__xludf.DUMMYFUNCTION("""COMPUTED_VALUE"""),0.5670524166099388)</f>
        <v>0.5670524166</v>
      </c>
      <c r="I2317" s="11">
        <f>IFERROR(__xludf.DUMMYFUNCTION("""COMPUTED_VALUE"""),5862.6276378488765)</f>
        <v>5862.627638</v>
      </c>
      <c r="J2317" s="10">
        <f>IFERROR(__xludf.DUMMYFUNCTION("""COMPUTED_VALUE"""),4.0)</f>
        <v>4</v>
      </c>
      <c r="K2317" s="5">
        <f>IFERROR(__xludf.DUMMYFUNCTION("""COMPUTED_VALUE"""),0.005780346820809248)</f>
        <v>0.005780346821</v>
      </c>
      <c r="L2317" s="10">
        <f>IFERROR(__xludf.DUMMYFUNCTION("""COMPUTED_VALUE"""),692.0)</f>
        <v>692</v>
      </c>
      <c r="M2317" s="5">
        <f>IFERROR(__xludf.DUMMYFUNCTION("""COMPUTED_VALUE"""),1.0)</f>
        <v>1</v>
      </c>
    </row>
    <row r="2318">
      <c r="A2318" s="10" t="str">
        <f>IFERROR(__xludf.DUMMYFUNCTION("""COMPUTED_VALUE"""),"Ａ＆Ｇ")</f>
        <v>Ａ＆Ｇ</v>
      </c>
      <c r="B2318" s="10">
        <f>IFERROR(__xludf.DUMMYFUNCTION("""COMPUTED_VALUE"""),307.0)</f>
        <v>307</v>
      </c>
      <c r="C2318" s="10">
        <f>IFERROR(__xludf.DUMMYFUNCTION("""COMPUTED_VALUE"""),3637.0)</f>
        <v>3637</v>
      </c>
      <c r="D2318" s="5">
        <f>IFERROR(__xludf.DUMMYFUNCTION("""COMPUTED_VALUE"""),0.36366366366366365)</f>
        <v>0.3636636637</v>
      </c>
      <c r="E2318" s="5">
        <f>IFERROR(__xludf.DUMMYFUNCTION("""COMPUTED_VALUE"""),0.13033033033033034)</f>
        <v>0.1303303303</v>
      </c>
      <c r="F2318" s="5">
        <f>IFERROR(__xludf.DUMMYFUNCTION("""COMPUTED_VALUE"""),0.19789789789789788)</f>
        <v>0.1978978979</v>
      </c>
      <c r="G2318" s="5">
        <f>IFERROR(__xludf.DUMMYFUNCTION("""COMPUTED_VALUE"""),0.16816816816816818)</f>
        <v>0.1681681682</v>
      </c>
      <c r="H2318" s="5">
        <f>IFERROR(__xludf.DUMMYFUNCTION("""COMPUTED_VALUE"""),0.5538694992412747)</f>
        <v>0.5538694992</v>
      </c>
      <c r="I2318" s="11">
        <f>IFERROR(__xludf.DUMMYFUNCTION("""COMPUTED_VALUE"""),5306.373292867982)</f>
        <v>5306.373293</v>
      </c>
      <c r="J2318" s="10">
        <f>IFERROR(__xludf.DUMMYFUNCTION("""COMPUTED_VALUE"""),0.0)</f>
        <v>0</v>
      </c>
      <c r="K2318" s="5">
        <f>IFERROR(__xludf.DUMMYFUNCTION("""COMPUTED_VALUE"""),0.0)</f>
        <v>0</v>
      </c>
      <c r="L2318" s="10">
        <f>IFERROR(__xludf.DUMMYFUNCTION("""COMPUTED_VALUE"""),307.0)</f>
        <v>307</v>
      </c>
      <c r="M2318" s="5">
        <f>IFERROR(__xludf.DUMMYFUNCTION("""COMPUTED_VALUE"""),1.0)</f>
        <v>1</v>
      </c>
    </row>
    <row r="2319">
      <c r="A2319" s="10" t="str">
        <f>IFERROR(__xludf.DUMMYFUNCTION("""COMPUTED_VALUE"""),"にょ")</f>
        <v>にょ</v>
      </c>
      <c r="B2319" s="10">
        <f>IFERROR(__xludf.DUMMYFUNCTION("""COMPUTED_VALUE"""),150.0)</f>
        <v>150</v>
      </c>
      <c r="C2319" s="10">
        <f>IFERROR(__xludf.DUMMYFUNCTION("""COMPUTED_VALUE"""),1769.0)</f>
        <v>1769</v>
      </c>
      <c r="D2319" s="5">
        <f>IFERROR(__xludf.DUMMYFUNCTION("""COMPUTED_VALUE"""),0.36009882643607166)</f>
        <v>0.3600988264</v>
      </c>
      <c r="E2319" s="5">
        <f>IFERROR(__xludf.DUMMYFUNCTION("""COMPUTED_VALUE"""),0.13032736256948735)</f>
        <v>0.1303273626</v>
      </c>
      <c r="F2319" s="5">
        <f>IFERROR(__xludf.DUMMYFUNCTION("""COMPUTED_VALUE"""),0.2124768375540457)</f>
        <v>0.2124768376</v>
      </c>
      <c r="G2319" s="5">
        <f>IFERROR(__xludf.DUMMYFUNCTION("""COMPUTED_VALUE"""),0.16429894996911673)</f>
        <v>0.16429895</v>
      </c>
      <c r="H2319" s="5">
        <f>IFERROR(__xludf.DUMMYFUNCTION("""COMPUTED_VALUE"""),0.6308139534883721)</f>
        <v>0.6308139535</v>
      </c>
      <c r="I2319" s="11">
        <f>IFERROR(__xludf.DUMMYFUNCTION("""COMPUTED_VALUE"""),5540.697674418605)</f>
        <v>5540.697674</v>
      </c>
      <c r="J2319" s="10">
        <f>IFERROR(__xludf.DUMMYFUNCTION("""COMPUTED_VALUE"""),0.0)</f>
        <v>0</v>
      </c>
      <c r="K2319" s="5">
        <f>IFERROR(__xludf.DUMMYFUNCTION("""COMPUTED_VALUE"""),0.0)</f>
        <v>0</v>
      </c>
      <c r="L2319" s="10">
        <f>IFERROR(__xludf.DUMMYFUNCTION("""COMPUTED_VALUE"""),0.0)</f>
        <v>0</v>
      </c>
      <c r="M2319" s="5">
        <f>IFERROR(__xludf.DUMMYFUNCTION("""COMPUTED_VALUE"""),0.0)</f>
        <v>0</v>
      </c>
    </row>
    <row r="2320">
      <c r="A2320" s="10" t="str">
        <f>IFERROR(__xludf.DUMMYFUNCTION("""COMPUTED_VALUE"""),"info123")</f>
        <v>info123</v>
      </c>
      <c r="B2320" s="10">
        <f>IFERROR(__xludf.DUMMYFUNCTION("""COMPUTED_VALUE"""),1805.0)</f>
        <v>1805</v>
      </c>
      <c r="C2320" s="10">
        <f>IFERROR(__xludf.DUMMYFUNCTION("""COMPUTED_VALUE"""),21395.0)</f>
        <v>21395</v>
      </c>
      <c r="D2320" s="5">
        <f>IFERROR(__xludf.DUMMYFUNCTION("""COMPUTED_VALUE"""),0.32378764675855026)</f>
        <v>0.3237876468</v>
      </c>
      <c r="E2320" s="5">
        <f>IFERROR(__xludf.DUMMYFUNCTION("""COMPUTED_VALUE"""),0.13032159264931087)</f>
        <v>0.1303215926</v>
      </c>
      <c r="F2320" s="5">
        <f>IFERROR(__xludf.DUMMYFUNCTION("""COMPUTED_VALUE"""),0.21388463501786625)</f>
        <v>0.213884635</v>
      </c>
      <c r="G2320" s="5">
        <f>IFERROR(__xludf.DUMMYFUNCTION("""COMPUTED_VALUE"""),0.15997958141909138)</f>
        <v>0.1599795814</v>
      </c>
      <c r="H2320" s="5">
        <f>IFERROR(__xludf.DUMMYFUNCTION("""COMPUTED_VALUE"""),0.6150357995226731)</f>
        <v>0.6150357995</v>
      </c>
      <c r="I2320" s="11">
        <f>IFERROR(__xludf.DUMMYFUNCTION("""COMPUTED_VALUE"""),5612.91169451074)</f>
        <v>5612.911695</v>
      </c>
      <c r="J2320" s="10">
        <f>IFERROR(__xludf.DUMMYFUNCTION("""COMPUTED_VALUE"""),4.0)</f>
        <v>4</v>
      </c>
      <c r="K2320" s="5">
        <f>IFERROR(__xludf.DUMMYFUNCTION("""COMPUTED_VALUE"""),0.00221606648199446)</f>
        <v>0.002216066482</v>
      </c>
      <c r="L2320" s="10">
        <f>IFERROR(__xludf.DUMMYFUNCTION("""COMPUTED_VALUE"""),1805.0)</f>
        <v>1805</v>
      </c>
      <c r="M2320" s="5">
        <f>IFERROR(__xludf.DUMMYFUNCTION("""COMPUTED_VALUE"""),1.0)</f>
        <v>1</v>
      </c>
    </row>
    <row r="2321">
      <c r="A2321" s="10" t="str">
        <f>IFERROR(__xludf.DUMMYFUNCTION("""COMPUTED_VALUE"""),"Tifosi")</f>
        <v>Tifosi</v>
      </c>
      <c r="B2321" s="10">
        <f>IFERROR(__xludf.DUMMYFUNCTION("""COMPUTED_VALUE"""),180.0)</f>
        <v>180</v>
      </c>
      <c r="C2321" s="10">
        <f>IFERROR(__xludf.DUMMYFUNCTION("""COMPUTED_VALUE"""),2060.0)</f>
        <v>2060</v>
      </c>
      <c r="D2321" s="5">
        <f>IFERROR(__xludf.DUMMYFUNCTION("""COMPUTED_VALUE"""),0.3797872340425532)</f>
        <v>0.379787234</v>
      </c>
      <c r="E2321" s="5">
        <f>IFERROR(__xludf.DUMMYFUNCTION("""COMPUTED_VALUE"""),0.13031914893617022)</f>
        <v>0.1303191489</v>
      </c>
      <c r="F2321" s="5">
        <f>IFERROR(__xludf.DUMMYFUNCTION("""COMPUTED_VALUE"""),0.21117021276595746)</f>
        <v>0.2111702128</v>
      </c>
      <c r="G2321" s="5">
        <f>IFERROR(__xludf.DUMMYFUNCTION("""COMPUTED_VALUE"""),0.17819148936170212)</f>
        <v>0.1781914894</v>
      </c>
      <c r="H2321" s="5">
        <f>IFERROR(__xludf.DUMMYFUNCTION("""COMPUTED_VALUE"""),0.5591939546599496)</f>
        <v>0.5591939547</v>
      </c>
      <c r="I2321" s="11">
        <f>IFERROR(__xludf.DUMMYFUNCTION("""COMPUTED_VALUE"""),5248.866498740555)</f>
        <v>5248.866499</v>
      </c>
      <c r="J2321" s="10">
        <f>IFERROR(__xludf.DUMMYFUNCTION("""COMPUTED_VALUE"""),2.0)</f>
        <v>2</v>
      </c>
      <c r="K2321" s="5">
        <f>IFERROR(__xludf.DUMMYFUNCTION("""COMPUTED_VALUE"""),0.011111111111111112)</f>
        <v>0.01111111111</v>
      </c>
      <c r="L2321" s="10">
        <f>IFERROR(__xludf.DUMMYFUNCTION("""COMPUTED_VALUE"""),180.0)</f>
        <v>180</v>
      </c>
      <c r="M2321" s="5">
        <f>IFERROR(__xludf.DUMMYFUNCTION("""COMPUTED_VALUE"""),1.0)</f>
        <v>1</v>
      </c>
    </row>
    <row r="2322">
      <c r="A2322" s="10" t="str">
        <f>IFERROR(__xludf.DUMMYFUNCTION("""COMPUTED_VALUE"""),"Tー市村")</f>
        <v>Tー市村</v>
      </c>
      <c r="B2322" s="10">
        <f>IFERROR(__xludf.DUMMYFUNCTION("""COMPUTED_VALUE"""),1203.0)</f>
        <v>1203</v>
      </c>
      <c r="C2322" s="10">
        <f>IFERROR(__xludf.DUMMYFUNCTION("""COMPUTED_VALUE"""),14064.0)</f>
        <v>14064</v>
      </c>
      <c r="D2322" s="5">
        <f>IFERROR(__xludf.DUMMYFUNCTION("""COMPUTED_VALUE"""),0.32073711219967344)</f>
        <v>0.3207371122</v>
      </c>
      <c r="E2322" s="5">
        <f>IFERROR(__xludf.DUMMYFUNCTION("""COMPUTED_VALUE"""),0.13031646061737034)</f>
        <v>0.1303164606</v>
      </c>
      <c r="F2322" s="5">
        <f>IFERROR(__xludf.DUMMYFUNCTION("""COMPUTED_VALUE"""),0.19671876214913303)</f>
        <v>0.1967187621</v>
      </c>
      <c r="G2322" s="5">
        <f>IFERROR(__xludf.DUMMYFUNCTION("""COMPUTED_VALUE"""),0.15994090661690383)</f>
        <v>0.1599409066</v>
      </c>
      <c r="H2322" s="5">
        <f>IFERROR(__xludf.DUMMYFUNCTION("""COMPUTED_VALUE"""),0.6090909090909091)</f>
        <v>0.6090909091</v>
      </c>
      <c r="I2322" s="11">
        <f>IFERROR(__xludf.DUMMYFUNCTION("""COMPUTED_VALUE"""),6246.640316205534)</f>
        <v>6246.640316</v>
      </c>
      <c r="J2322" s="10">
        <f>IFERROR(__xludf.DUMMYFUNCTION("""COMPUTED_VALUE"""),2.0)</f>
        <v>2</v>
      </c>
      <c r="K2322" s="5">
        <f>IFERROR(__xludf.DUMMYFUNCTION("""COMPUTED_VALUE"""),0.0016625103906899418)</f>
        <v>0.001662510391</v>
      </c>
      <c r="L2322" s="10">
        <f>IFERROR(__xludf.DUMMYFUNCTION("""COMPUTED_VALUE"""),1203.0)</f>
        <v>1203</v>
      </c>
      <c r="M2322" s="5">
        <f>IFERROR(__xludf.DUMMYFUNCTION("""COMPUTED_VALUE"""),1.0)</f>
        <v>1</v>
      </c>
    </row>
    <row r="2323">
      <c r="A2323" s="10" t="str">
        <f>IFERROR(__xludf.DUMMYFUNCTION("""COMPUTED_VALUE"""),"量産型ネコ型ロボ")</f>
        <v>量産型ネコ型ロボ</v>
      </c>
      <c r="B2323" s="10">
        <f>IFERROR(__xludf.DUMMYFUNCTION("""COMPUTED_VALUE"""),223.0)</f>
        <v>223</v>
      </c>
      <c r="C2323" s="10">
        <f>IFERROR(__xludf.DUMMYFUNCTION("""COMPUTED_VALUE"""),2671.0)</f>
        <v>2671</v>
      </c>
      <c r="D2323" s="5">
        <f>IFERROR(__xludf.DUMMYFUNCTION("""COMPUTED_VALUE"""),0.3786764705882353)</f>
        <v>0.3786764706</v>
      </c>
      <c r="E2323" s="5">
        <f>IFERROR(__xludf.DUMMYFUNCTION("""COMPUTED_VALUE"""),0.13031045751633988)</f>
        <v>0.1303104575</v>
      </c>
      <c r="F2323" s="5">
        <f>IFERROR(__xludf.DUMMYFUNCTION("""COMPUTED_VALUE"""),0.21609477124183007)</f>
        <v>0.2160947712</v>
      </c>
      <c r="G2323" s="5">
        <f>IFERROR(__xludf.DUMMYFUNCTION("""COMPUTED_VALUE"""),0.16789215686274508)</f>
        <v>0.1678921569</v>
      </c>
      <c r="H2323" s="5">
        <f>IFERROR(__xludf.DUMMYFUNCTION("""COMPUTED_VALUE"""),0.5727788279773157)</f>
        <v>0.572778828</v>
      </c>
      <c r="I2323" s="11">
        <f>IFERROR(__xludf.DUMMYFUNCTION("""COMPUTED_VALUE"""),5602.26843100189)</f>
        <v>5602.268431</v>
      </c>
      <c r="J2323" s="10">
        <f>IFERROR(__xludf.DUMMYFUNCTION("""COMPUTED_VALUE"""),3.0)</f>
        <v>3</v>
      </c>
      <c r="K2323" s="5">
        <f>IFERROR(__xludf.DUMMYFUNCTION("""COMPUTED_VALUE"""),0.013452914798206279)</f>
        <v>0.0134529148</v>
      </c>
      <c r="L2323" s="10">
        <f>IFERROR(__xludf.DUMMYFUNCTION("""COMPUTED_VALUE"""),223.0)</f>
        <v>223</v>
      </c>
      <c r="M2323" s="5">
        <f>IFERROR(__xludf.DUMMYFUNCTION("""COMPUTED_VALUE"""),1.0)</f>
        <v>1</v>
      </c>
    </row>
    <row r="2324">
      <c r="A2324" s="10" t="str">
        <f>IFERROR(__xludf.DUMMYFUNCTION("""COMPUTED_VALUE"""),"天江らいむ")</f>
        <v>天江らいむ</v>
      </c>
      <c r="B2324" s="10">
        <f>IFERROR(__xludf.DUMMYFUNCTION("""COMPUTED_VALUE"""),183.0)</f>
        <v>183</v>
      </c>
      <c r="C2324" s="10">
        <f>IFERROR(__xludf.DUMMYFUNCTION("""COMPUTED_VALUE"""),2163.0)</f>
        <v>2163</v>
      </c>
      <c r="D2324" s="5">
        <f>IFERROR(__xludf.DUMMYFUNCTION("""COMPUTED_VALUE"""),0.3202020202020202)</f>
        <v>0.3202020202</v>
      </c>
      <c r="E2324" s="5">
        <f>IFERROR(__xludf.DUMMYFUNCTION("""COMPUTED_VALUE"""),0.1303030303030303)</f>
        <v>0.1303030303</v>
      </c>
      <c r="F2324" s="5">
        <f>IFERROR(__xludf.DUMMYFUNCTION("""COMPUTED_VALUE"""),0.20202020202020202)</f>
        <v>0.202020202</v>
      </c>
      <c r="G2324" s="5">
        <f>IFERROR(__xludf.DUMMYFUNCTION("""COMPUTED_VALUE"""),0.17373737373737375)</f>
        <v>0.1737373737</v>
      </c>
      <c r="H2324" s="5">
        <f>IFERROR(__xludf.DUMMYFUNCTION("""COMPUTED_VALUE"""),0.59)</f>
        <v>0.59</v>
      </c>
      <c r="I2324" s="11">
        <f>IFERROR(__xludf.DUMMYFUNCTION("""COMPUTED_VALUE"""),5276.5)</f>
        <v>5276.5</v>
      </c>
      <c r="J2324" s="10">
        <f>IFERROR(__xludf.DUMMYFUNCTION("""COMPUTED_VALUE"""),0.0)</f>
        <v>0</v>
      </c>
      <c r="K2324" s="5">
        <f>IFERROR(__xludf.DUMMYFUNCTION("""COMPUTED_VALUE"""),0.0)</f>
        <v>0</v>
      </c>
      <c r="L2324" s="10">
        <f>IFERROR(__xludf.DUMMYFUNCTION("""COMPUTED_VALUE"""),183.0)</f>
        <v>183</v>
      </c>
      <c r="M2324" s="5">
        <f>IFERROR(__xludf.DUMMYFUNCTION("""COMPUTED_VALUE"""),1.0)</f>
        <v>1</v>
      </c>
    </row>
    <row r="2325">
      <c r="A2325" s="10" t="str">
        <f>IFERROR(__xludf.DUMMYFUNCTION("""COMPUTED_VALUE"""),"〓はやさか〓")</f>
        <v>〓はやさか〓</v>
      </c>
      <c r="B2325" s="10">
        <f>IFERROR(__xludf.DUMMYFUNCTION("""COMPUTED_VALUE"""),432.0)</f>
        <v>432</v>
      </c>
      <c r="C2325" s="10">
        <f>IFERROR(__xludf.DUMMYFUNCTION("""COMPUTED_VALUE"""),5083.0)</f>
        <v>5083</v>
      </c>
      <c r="D2325" s="5">
        <f>IFERROR(__xludf.DUMMYFUNCTION("""COMPUTED_VALUE"""),0.25134379703289617)</f>
        <v>0.251343797</v>
      </c>
      <c r="E2325" s="5">
        <f>IFERROR(__xludf.DUMMYFUNCTION("""COMPUTED_VALUE"""),0.13029456030961084)</f>
        <v>0.1302945603</v>
      </c>
      <c r="F2325" s="5">
        <f>IFERROR(__xludf.DUMMYFUNCTION("""COMPUTED_VALUE"""),0.19952698344442055)</f>
        <v>0.1995269834</v>
      </c>
      <c r="G2325" s="5">
        <f>IFERROR(__xludf.DUMMYFUNCTION("""COMPUTED_VALUE"""),0.14943023005805203)</f>
        <v>0.1494302301</v>
      </c>
      <c r="H2325" s="5">
        <f>IFERROR(__xludf.DUMMYFUNCTION("""COMPUTED_VALUE"""),0.6196120689655172)</f>
        <v>0.619612069</v>
      </c>
      <c r="I2325" s="11">
        <f>IFERROR(__xludf.DUMMYFUNCTION("""COMPUTED_VALUE"""),5520.258620689655)</f>
        <v>5520.258621</v>
      </c>
      <c r="J2325" s="10">
        <f>IFERROR(__xludf.DUMMYFUNCTION("""COMPUTED_VALUE"""),1.0)</f>
        <v>1</v>
      </c>
      <c r="K2325" s="5">
        <f>IFERROR(__xludf.DUMMYFUNCTION("""COMPUTED_VALUE"""),0.0023148148148148147)</f>
        <v>0.002314814815</v>
      </c>
      <c r="L2325" s="10">
        <f>IFERROR(__xludf.DUMMYFUNCTION("""COMPUTED_VALUE"""),432.0)</f>
        <v>432</v>
      </c>
      <c r="M2325" s="5">
        <f>IFERROR(__xludf.DUMMYFUNCTION("""COMPUTED_VALUE"""),1.0)</f>
        <v>1</v>
      </c>
    </row>
    <row r="2326">
      <c r="A2326" s="10" t="str">
        <f>IFERROR(__xludf.DUMMYFUNCTION("""COMPUTED_VALUE"""),"Nymph")</f>
        <v>Nymph</v>
      </c>
      <c r="B2326" s="10">
        <f>IFERROR(__xludf.DUMMYFUNCTION("""COMPUTED_VALUE"""),1407.0)</f>
        <v>1407</v>
      </c>
      <c r="C2326" s="10">
        <f>IFERROR(__xludf.DUMMYFUNCTION("""COMPUTED_VALUE"""),16450.0)</f>
        <v>16450</v>
      </c>
      <c r="D2326" s="5">
        <f>IFERROR(__xludf.DUMMYFUNCTION("""COMPUTED_VALUE"""),0.3425513527886725)</f>
        <v>0.3425513528</v>
      </c>
      <c r="E2326" s="5">
        <f>IFERROR(__xludf.DUMMYFUNCTION("""COMPUTED_VALUE"""),0.13029315960912052)</f>
        <v>0.1302931596</v>
      </c>
      <c r="F2326" s="5">
        <f>IFERROR(__xludf.DUMMYFUNCTION("""COMPUTED_VALUE"""),0.20228677790334373)</f>
        <v>0.2022867779</v>
      </c>
      <c r="G2326" s="5">
        <f>IFERROR(__xludf.DUMMYFUNCTION("""COMPUTED_VALUE"""),0.17104301003789138)</f>
        <v>0.17104301</v>
      </c>
      <c r="H2326" s="5">
        <f>IFERROR(__xludf.DUMMYFUNCTION("""COMPUTED_VALUE"""),0.583963194216234)</f>
        <v>0.5839631942</v>
      </c>
      <c r="I2326" s="11">
        <f>IFERROR(__xludf.DUMMYFUNCTION("""COMPUTED_VALUE"""),6077.357870522511)</f>
        <v>6077.357871</v>
      </c>
      <c r="J2326" s="10">
        <f>IFERROR(__xludf.DUMMYFUNCTION("""COMPUTED_VALUE"""),1.0)</f>
        <v>1</v>
      </c>
      <c r="K2326" s="5">
        <f>IFERROR(__xludf.DUMMYFUNCTION("""COMPUTED_VALUE"""),7.107320540156361E-4)</f>
        <v>0.000710732054</v>
      </c>
      <c r="L2326" s="10">
        <f>IFERROR(__xludf.DUMMYFUNCTION("""COMPUTED_VALUE"""),1384.0)</f>
        <v>1384</v>
      </c>
      <c r="M2326" s="5">
        <f>IFERROR(__xludf.DUMMYFUNCTION("""COMPUTED_VALUE"""),0.9836531627576404)</f>
        <v>0.9836531628</v>
      </c>
    </row>
    <row r="2327">
      <c r="A2327" s="10" t="str">
        <f>IFERROR(__xludf.DUMMYFUNCTION("""COMPUTED_VALUE"""),"あおいにゃん")</f>
        <v>あおいにゃん</v>
      </c>
      <c r="B2327" s="10">
        <f>IFERROR(__xludf.DUMMYFUNCTION("""COMPUTED_VALUE"""),133.0)</f>
        <v>133</v>
      </c>
      <c r="C2327" s="10">
        <f>IFERROR(__xludf.DUMMYFUNCTION("""COMPUTED_VALUE"""),1599.0)</f>
        <v>1599</v>
      </c>
      <c r="D2327" s="5">
        <f>IFERROR(__xludf.DUMMYFUNCTION("""COMPUTED_VALUE"""),0.36221009549795363)</f>
        <v>0.3622100955</v>
      </c>
      <c r="E2327" s="5">
        <f>IFERROR(__xludf.DUMMYFUNCTION("""COMPUTED_VALUE"""),0.13028649386084584)</f>
        <v>0.1302864939</v>
      </c>
      <c r="F2327" s="5">
        <f>IFERROR(__xludf.DUMMYFUNCTION("""COMPUTED_VALUE"""),0.21350613915416097)</f>
        <v>0.2135061392</v>
      </c>
      <c r="G2327" s="5">
        <f>IFERROR(__xludf.DUMMYFUNCTION("""COMPUTED_VALUE"""),0.169849931787176)</f>
        <v>0.1698499318</v>
      </c>
      <c r="H2327" s="5">
        <f>IFERROR(__xludf.DUMMYFUNCTION("""COMPUTED_VALUE"""),0.5910543130990416)</f>
        <v>0.5910543131</v>
      </c>
      <c r="I2327" s="11">
        <f>IFERROR(__xludf.DUMMYFUNCTION("""COMPUTED_VALUE"""),5433.546325878594)</f>
        <v>5433.546326</v>
      </c>
      <c r="J2327" s="10">
        <f>IFERROR(__xludf.DUMMYFUNCTION("""COMPUTED_VALUE"""),0.0)</f>
        <v>0</v>
      </c>
      <c r="K2327" s="5">
        <f>IFERROR(__xludf.DUMMYFUNCTION("""COMPUTED_VALUE"""),0.0)</f>
        <v>0</v>
      </c>
      <c r="L2327" s="10">
        <f>IFERROR(__xludf.DUMMYFUNCTION("""COMPUTED_VALUE"""),0.0)</f>
        <v>0</v>
      </c>
      <c r="M2327" s="5">
        <f>IFERROR(__xludf.DUMMYFUNCTION("""COMPUTED_VALUE"""),0.0)</f>
        <v>0</v>
      </c>
    </row>
    <row r="2328">
      <c r="A2328" s="10" t="str">
        <f>IFERROR(__xludf.DUMMYFUNCTION("""COMPUTED_VALUE"""),"ロードカナロア")</f>
        <v>ロードカナロア</v>
      </c>
      <c r="B2328" s="10">
        <f>IFERROR(__xludf.DUMMYFUNCTION("""COMPUTED_VALUE"""),274.0)</f>
        <v>274</v>
      </c>
      <c r="C2328" s="10">
        <f>IFERROR(__xludf.DUMMYFUNCTION("""COMPUTED_VALUE"""),3237.0)</f>
        <v>3237</v>
      </c>
      <c r="D2328" s="5">
        <f>IFERROR(__xludf.DUMMYFUNCTION("""COMPUTED_VALUE"""),0.377657779277759)</f>
        <v>0.3776577793</v>
      </c>
      <c r="E2328" s="5">
        <f>IFERROR(__xludf.DUMMYFUNCTION("""COMPUTED_VALUE"""),0.1302733715828552)</f>
        <v>0.1302733716</v>
      </c>
      <c r="F2328" s="5">
        <f>IFERROR(__xludf.DUMMYFUNCTION("""COMPUTED_VALUE"""),0.20755990550118122)</f>
        <v>0.2075599055</v>
      </c>
      <c r="G2328" s="5">
        <f>IFERROR(__xludf.DUMMYFUNCTION("""COMPUTED_VALUE"""),0.17448531893351332)</f>
        <v>0.1744853189</v>
      </c>
      <c r="H2328" s="5">
        <f>IFERROR(__xludf.DUMMYFUNCTION("""COMPUTED_VALUE"""),0.5382113821138211)</f>
        <v>0.5382113821</v>
      </c>
      <c r="I2328" s="11">
        <f>IFERROR(__xludf.DUMMYFUNCTION("""COMPUTED_VALUE"""),5646.666666666667)</f>
        <v>5646.666667</v>
      </c>
      <c r="J2328" s="10">
        <f>IFERROR(__xludf.DUMMYFUNCTION("""COMPUTED_VALUE"""),2.0)</f>
        <v>2</v>
      </c>
      <c r="K2328" s="5">
        <f>IFERROR(__xludf.DUMMYFUNCTION("""COMPUTED_VALUE"""),0.0072992700729927005)</f>
        <v>0.007299270073</v>
      </c>
      <c r="L2328" s="10">
        <f>IFERROR(__xludf.DUMMYFUNCTION("""COMPUTED_VALUE"""),274.0)</f>
        <v>274</v>
      </c>
      <c r="M2328" s="5">
        <f>IFERROR(__xludf.DUMMYFUNCTION("""COMPUTED_VALUE"""),1.0)</f>
        <v>1</v>
      </c>
    </row>
    <row r="2329">
      <c r="A2329" s="10" t="str">
        <f>IFERROR(__xludf.DUMMYFUNCTION("""COMPUTED_VALUE"""),"jill")</f>
        <v>jill</v>
      </c>
      <c r="B2329" s="10">
        <f>IFERROR(__xludf.DUMMYFUNCTION("""COMPUTED_VALUE"""),181.0)</f>
        <v>181</v>
      </c>
      <c r="C2329" s="10">
        <f>IFERROR(__xludf.DUMMYFUNCTION("""COMPUTED_VALUE"""),2054.0)</f>
        <v>2054</v>
      </c>
      <c r="D2329" s="5">
        <f>IFERROR(__xludf.DUMMYFUNCTION("""COMPUTED_VALUE"""),0.3539775760811532)</f>
        <v>0.3539775761</v>
      </c>
      <c r="E2329" s="5">
        <f>IFERROR(__xludf.DUMMYFUNCTION("""COMPUTED_VALUE"""),0.13027229044313934)</f>
        <v>0.1302722904</v>
      </c>
      <c r="F2329" s="5">
        <f>IFERROR(__xludf.DUMMYFUNCTION("""COMPUTED_VALUE"""),0.21195942338494395)</f>
        <v>0.2119594234</v>
      </c>
      <c r="G2329" s="5">
        <f>IFERROR(__xludf.DUMMYFUNCTION("""COMPUTED_VALUE"""),0.16657768286171917)</f>
        <v>0.1665776829</v>
      </c>
      <c r="H2329" s="5">
        <f>IFERROR(__xludf.DUMMYFUNCTION("""COMPUTED_VALUE"""),0.5340050377833753)</f>
        <v>0.5340050378</v>
      </c>
      <c r="I2329" s="11">
        <f>IFERROR(__xludf.DUMMYFUNCTION("""COMPUTED_VALUE"""),6031.738035264483)</f>
        <v>6031.738035</v>
      </c>
      <c r="J2329" s="10">
        <f>IFERROR(__xludf.DUMMYFUNCTION("""COMPUTED_VALUE"""),1.0)</f>
        <v>1</v>
      </c>
      <c r="K2329" s="5">
        <f>IFERROR(__xludf.DUMMYFUNCTION("""COMPUTED_VALUE"""),0.0055248618784530384)</f>
        <v>0.005524861878</v>
      </c>
      <c r="L2329" s="10">
        <f>IFERROR(__xludf.DUMMYFUNCTION("""COMPUTED_VALUE"""),181.0)</f>
        <v>181</v>
      </c>
      <c r="M2329" s="5">
        <f>IFERROR(__xludf.DUMMYFUNCTION("""COMPUTED_VALUE"""),1.0)</f>
        <v>1</v>
      </c>
    </row>
    <row r="2330">
      <c r="A2330" s="10" t="str">
        <f>IFERROR(__xludf.DUMMYFUNCTION("""COMPUTED_VALUE"""),"(Γ・ω・)Γ")</f>
        <v>(Γ・ω・)Γ</v>
      </c>
      <c r="B2330" s="10">
        <f>IFERROR(__xludf.DUMMYFUNCTION("""COMPUTED_VALUE"""),100.0)</f>
        <v>100</v>
      </c>
      <c r="C2330" s="10">
        <f>IFERROR(__xludf.DUMMYFUNCTION("""COMPUTED_VALUE"""),1098.0)</f>
        <v>1098</v>
      </c>
      <c r="D2330" s="5">
        <f>IFERROR(__xludf.DUMMYFUNCTION("""COMPUTED_VALUE"""),0.3937875751503006)</f>
        <v>0.3937875752</v>
      </c>
      <c r="E2330" s="5">
        <f>IFERROR(__xludf.DUMMYFUNCTION("""COMPUTED_VALUE"""),0.13026052104208416)</f>
        <v>0.130260521</v>
      </c>
      <c r="F2330" s="5">
        <f>IFERROR(__xludf.DUMMYFUNCTION("""COMPUTED_VALUE"""),0.19138276553106212)</f>
        <v>0.1913827655</v>
      </c>
      <c r="G2330" s="5">
        <f>IFERROR(__xludf.DUMMYFUNCTION("""COMPUTED_VALUE"""),0.17234468937875752)</f>
        <v>0.1723446894</v>
      </c>
      <c r="H2330" s="5">
        <f>IFERROR(__xludf.DUMMYFUNCTION("""COMPUTED_VALUE"""),0.6073298429319371)</f>
        <v>0.6073298429</v>
      </c>
      <c r="I2330" s="11">
        <f>IFERROR(__xludf.DUMMYFUNCTION("""COMPUTED_VALUE"""),5628.795811518325)</f>
        <v>5628.795812</v>
      </c>
      <c r="J2330" s="10">
        <f>IFERROR(__xludf.DUMMYFUNCTION("""COMPUTED_VALUE"""),0.0)</f>
        <v>0</v>
      </c>
      <c r="K2330" s="5">
        <f>IFERROR(__xludf.DUMMYFUNCTION("""COMPUTED_VALUE"""),0.0)</f>
        <v>0</v>
      </c>
      <c r="L2330" s="10">
        <f>IFERROR(__xludf.DUMMYFUNCTION("""COMPUTED_VALUE"""),3.0)</f>
        <v>3</v>
      </c>
      <c r="M2330" s="5">
        <f>IFERROR(__xludf.DUMMYFUNCTION("""COMPUTED_VALUE"""),0.03)</f>
        <v>0.03</v>
      </c>
    </row>
    <row r="2331">
      <c r="A2331" s="10" t="str">
        <f>IFERROR(__xludf.DUMMYFUNCTION("""COMPUTED_VALUE"""),"【nesta】")</f>
        <v>【nesta】</v>
      </c>
      <c r="B2331" s="10">
        <f>IFERROR(__xludf.DUMMYFUNCTION("""COMPUTED_VALUE"""),345.0)</f>
        <v>345</v>
      </c>
      <c r="C2331" s="10">
        <f>IFERROR(__xludf.DUMMYFUNCTION("""COMPUTED_VALUE"""),4076.0)</f>
        <v>4076</v>
      </c>
      <c r="D2331" s="5">
        <f>IFERROR(__xludf.DUMMYFUNCTION("""COMPUTED_VALUE"""),0.3596890913964085)</f>
        <v>0.3596890914</v>
      </c>
      <c r="E2331" s="5">
        <f>IFERROR(__xludf.DUMMYFUNCTION("""COMPUTED_VALUE"""),0.1302599839185205)</f>
        <v>0.1302599839</v>
      </c>
      <c r="F2331" s="5">
        <f>IFERROR(__xludf.DUMMYFUNCTION("""COMPUTED_VALUE"""),0.19297775395336372)</f>
        <v>0.192977754</v>
      </c>
      <c r="G2331" s="5">
        <f>IFERROR(__xludf.DUMMYFUNCTION("""COMPUTED_VALUE"""),0.16965960868399893)</f>
        <v>0.1696596087</v>
      </c>
      <c r="H2331" s="5">
        <f>IFERROR(__xludf.DUMMYFUNCTION("""COMPUTED_VALUE"""),0.5958333333333333)</f>
        <v>0.5958333333</v>
      </c>
      <c r="I2331" s="11">
        <f>IFERROR(__xludf.DUMMYFUNCTION("""COMPUTED_VALUE"""),5305.277777777777)</f>
        <v>5305.277778</v>
      </c>
      <c r="J2331" s="10">
        <f>IFERROR(__xludf.DUMMYFUNCTION("""COMPUTED_VALUE"""),0.0)</f>
        <v>0</v>
      </c>
      <c r="K2331" s="5">
        <f>IFERROR(__xludf.DUMMYFUNCTION("""COMPUTED_VALUE"""),0.0)</f>
        <v>0</v>
      </c>
      <c r="L2331" s="10">
        <f>IFERROR(__xludf.DUMMYFUNCTION("""COMPUTED_VALUE"""),6.0)</f>
        <v>6</v>
      </c>
      <c r="M2331" s="5">
        <f>IFERROR(__xludf.DUMMYFUNCTION("""COMPUTED_VALUE"""),0.017391304347826087)</f>
        <v>0.01739130435</v>
      </c>
    </row>
    <row r="2332">
      <c r="A2332" s="10" t="str">
        <f>IFERROR(__xludf.DUMMYFUNCTION("""COMPUTED_VALUE"""),"neko31")</f>
        <v>neko31</v>
      </c>
      <c r="B2332" s="10">
        <f>IFERROR(__xludf.DUMMYFUNCTION("""COMPUTED_VALUE"""),122.0)</f>
        <v>122</v>
      </c>
      <c r="C2332" s="10">
        <f>IFERROR(__xludf.DUMMYFUNCTION("""COMPUTED_VALUE"""),1435.0)</f>
        <v>1435</v>
      </c>
      <c r="D2332" s="5">
        <f>IFERROR(__xludf.DUMMYFUNCTION("""COMPUTED_VALUE"""),0.38004569687738005)</f>
        <v>0.3800456969</v>
      </c>
      <c r="E2332" s="5">
        <f>IFERROR(__xludf.DUMMYFUNCTION("""COMPUTED_VALUE"""),0.13023610053313023)</f>
        <v>0.1302361005</v>
      </c>
      <c r="F2332" s="5">
        <f>IFERROR(__xludf.DUMMYFUNCTION("""COMPUTED_VALUE"""),0.22162985529322163)</f>
        <v>0.2216298553</v>
      </c>
      <c r="G2332" s="5">
        <f>IFERROR(__xludf.DUMMYFUNCTION("""COMPUTED_VALUE"""),0.17974105102817975)</f>
        <v>0.179741051</v>
      </c>
      <c r="H2332" s="5">
        <f>IFERROR(__xludf.DUMMYFUNCTION("""COMPUTED_VALUE"""),0.6357388316151202)</f>
        <v>0.6357388316</v>
      </c>
      <c r="I2332" s="11">
        <f>IFERROR(__xludf.DUMMYFUNCTION("""COMPUTED_VALUE"""),4784.192439862543)</f>
        <v>4784.19244</v>
      </c>
      <c r="J2332" s="10">
        <f>IFERROR(__xludf.DUMMYFUNCTION("""COMPUTED_VALUE"""),0.0)</f>
        <v>0</v>
      </c>
      <c r="K2332" s="5">
        <f>IFERROR(__xludf.DUMMYFUNCTION("""COMPUTED_VALUE"""),0.0)</f>
        <v>0</v>
      </c>
      <c r="L2332" s="10">
        <f>IFERROR(__xludf.DUMMYFUNCTION("""COMPUTED_VALUE"""),0.0)</f>
        <v>0</v>
      </c>
      <c r="M2332" s="5">
        <f>IFERROR(__xludf.DUMMYFUNCTION("""COMPUTED_VALUE"""),0.0)</f>
        <v>0</v>
      </c>
    </row>
    <row r="2333">
      <c r="A2333" s="10" t="str">
        <f>IFERROR(__xludf.DUMMYFUNCTION("""COMPUTED_VALUE"""),"ビタミンの夏V2")</f>
        <v>ビタミンの夏V2</v>
      </c>
      <c r="B2333" s="10">
        <f>IFERROR(__xludf.DUMMYFUNCTION("""COMPUTED_VALUE"""),313.0)</f>
        <v>313</v>
      </c>
      <c r="C2333" s="10">
        <f>IFERROR(__xludf.DUMMYFUNCTION("""COMPUTED_VALUE"""),3615.0)</f>
        <v>3615</v>
      </c>
      <c r="D2333" s="5">
        <f>IFERROR(__xludf.DUMMYFUNCTION("""COMPUTED_VALUE"""),0.34615384615384615)</f>
        <v>0.3461538462</v>
      </c>
      <c r="E2333" s="5">
        <f>IFERROR(__xludf.DUMMYFUNCTION("""COMPUTED_VALUE"""),0.13022410660205935)</f>
        <v>0.1302241066</v>
      </c>
      <c r="F2333" s="5">
        <f>IFERROR(__xludf.DUMMYFUNCTION("""COMPUTED_VALUE"""),0.21562689279224712)</f>
        <v>0.2156268928</v>
      </c>
      <c r="G2333" s="5">
        <f>IFERROR(__xludf.DUMMYFUNCTION("""COMPUTED_VALUE"""),0.17534827377347062)</f>
        <v>0.1753482738</v>
      </c>
      <c r="H2333" s="5">
        <f>IFERROR(__xludf.DUMMYFUNCTION("""COMPUTED_VALUE"""),0.5730337078651685)</f>
        <v>0.5730337079</v>
      </c>
      <c r="I2333" s="11">
        <f>IFERROR(__xludf.DUMMYFUNCTION("""COMPUTED_VALUE"""),5375.0)</f>
        <v>5375</v>
      </c>
      <c r="J2333" s="10">
        <f>IFERROR(__xludf.DUMMYFUNCTION("""COMPUTED_VALUE"""),0.0)</f>
        <v>0</v>
      </c>
      <c r="K2333" s="5">
        <f>IFERROR(__xludf.DUMMYFUNCTION("""COMPUTED_VALUE"""),0.0)</f>
        <v>0</v>
      </c>
      <c r="L2333" s="10">
        <f>IFERROR(__xludf.DUMMYFUNCTION("""COMPUTED_VALUE"""),313.0)</f>
        <v>313</v>
      </c>
      <c r="M2333" s="5">
        <f>IFERROR(__xludf.DUMMYFUNCTION("""COMPUTED_VALUE"""),1.0)</f>
        <v>1</v>
      </c>
    </row>
    <row r="2334">
      <c r="A2334" s="10" t="str">
        <f>IFERROR(__xludf.DUMMYFUNCTION("""COMPUTED_VALUE"""),"白髪鬼")</f>
        <v>白髪鬼</v>
      </c>
      <c r="B2334" s="10">
        <f>IFERROR(__xludf.DUMMYFUNCTION("""COMPUTED_VALUE"""),2413.0)</f>
        <v>2413</v>
      </c>
      <c r="C2334" s="10">
        <f>IFERROR(__xludf.DUMMYFUNCTION("""COMPUTED_VALUE"""),27992.0)</f>
        <v>27992</v>
      </c>
      <c r="D2334" s="5">
        <f>IFERROR(__xludf.DUMMYFUNCTION("""COMPUTED_VALUE"""),0.3318347081590367)</f>
        <v>0.3318347082</v>
      </c>
      <c r="E2334" s="5">
        <f>IFERROR(__xludf.DUMMYFUNCTION("""COMPUTED_VALUE"""),0.13022401188474922)</f>
        <v>0.1302240119</v>
      </c>
      <c r="F2334" s="5">
        <f>IFERROR(__xludf.DUMMYFUNCTION("""COMPUTED_VALUE"""),0.2152156065522499)</f>
        <v>0.2152156066</v>
      </c>
      <c r="G2334" s="5">
        <f>IFERROR(__xludf.DUMMYFUNCTION("""COMPUTED_VALUE"""),0.13706556159349467)</f>
        <v>0.1370655616</v>
      </c>
      <c r="H2334" s="5">
        <f>IFERROR(__xludf.DUMMYFUNCTION("""COMPUTED_VALUE"""),0.6147138964577656)</f>
        <v>0.6147138965</v>
      </c>
      <c r="I2334" s="11">
        <f>IFERROR(__xludf.DUMMYFUNCTION("""COMPUTED_VALUE"""),5718.546775658492)</f>
        <v>5718.546776</v>
      </c>
      <c r="J2334" s="10">
        <f>IFERROR(__xludf.DUMMYFUNCTION("""COMPUTED_VALUE"""),3.0)</f>
        <v>3</v>
      </c>
      <c r="K2334" s="5">
        <f>IFERROR(__xludf.DUMMYFUNCTION("""COMPUTED_VALUE"""),0.0012432656444260257)</f>
        <v>0.001243265644</v>
      </c>
      <c r="L2334" s="10">
        <f>IFERROR(__xludf.DUMMYFUNCTION("""COMPUTED_VALUE"""),2413.0)</f>
        <v>2413</v>
      </c>
      <c r="M2334" s="5">
        <f>IFERROR(__xludf.DUMMYFUNCTION("""COMPUTED_VALUE"""),1.0)</f>
        <v>1</v>
      </c>
    </row>
    <row r="2335">
      <c r="A2335" s="10" t="str">
        <f>IFERROR(__xludf.DUMMYFUNCTION("""COMPUTED_VALUE"""),"ペチョーリンチー")</f>
        <v>ペチョーリンチー</v>
      </c>
      <c r="B2335" s="10">
        <f>IFERROR(__xludf.DUMMYFUNCTION("""COMPUTED_VALUE"""),531.0)</f>
        <v>531</v>
      </c>
      <c r="C2335" s="10">
        <f>IFERROR(__xludf.DUMMYFUNCTION("""COMPUTED_VALUE"""),6360.0)</f>
        <v>6360</v>
      </c>
      <c r="D2335" s="5">
        <f>IFERROR(__xludf.DUMMYFUNCTION("""COMPUTED_VALUE"""),0.399210842340024)</f>
        <v>0.3992108423</v>
      </c>
      <c r="E2335" s="5">
        <f>IFERROR(__xludf.DUMMYFUNCTION("""COMPUTED_VALUE"""),0.13021101389603706)</f>
        <v>0.1302110139</v>
      </c>
      <c r="F2335" s="5">
        <f>IFERROR(__xludf.DUMMYFUNCTION("""COMPUTED_VALUE"""),0.20398009950248755)</f>
        <v>0.2039800995</v>
      </c>
      <c r="G2335" s="5">
        <f>IFERROR(__xludf.DUMMYFUNCTION("""COMPUTED_VALUE"""),0.15165551552581918)</f>
        <v>0.1516555155</v>
      </c>
      <c r="H2335" s="5">
        <f>IFERROR(__xludf.DUMMYFUNCTION("""COMPUTED_VALUE"""),0.5887300252312868)</f>
        <v>0.5887300252</v>
      </c>
      <c r="I2335" s="11">
        <f>IFERROR(__xludf.DUMMYFUNCTION("""COMPUTED_VALUE"""),5402.186711522288)</f>
        <v>5402.186712</v>
      </c>
      <c r="J2335" s="10">
        <f>IFERROR(__xludf.DUMMYFUNCTION("""COMPUTED_VALUE"""),2.0)</f>
        <v>2</v>
      </c>
      <c r="K2335" s="5">
        <f>IFERROR(__xludf.DUMMYFUNCTION("""COMPUTED_VALUE"""),0.003766478342749529)</f>
        <v>0.003766478343</v>
      </c>
      <c r="L2335" s="10">
        <f>IFERROR(__xludf.DUMMYFUNCTION("""COMPUTED_VALUE"""),90.0)</f>
        <v>90</v>
      </c>
      <c r="M2335" s="5">
        <f>IFERROR(__xludf.DUMMYFUNCTION("""COMPUTED_VALUE"""),0.1694915254237288)</f>
        <v>0.1694915254</v>
      </c>
    </row>
    <row r="2336">
      <c r="A2336" s="10" t="str">
        <f>IFERROR(__xludf.DUMMYFUNCTION("""COMPUTED_VALUE"""),"にくきゅう@@")</f>
        <v>にくきゅう@@</v>
      </c>
      <c r="B2336" s="10">
        <f>IFERROR(__xludf.DUMMYFUNCTION("""COMPUTED_VALUE"""),376.0)</f>
        <v>376</v>
      </c>
      <c r="C2336" s="10">
        <f>IFERROR(__xludf.DUMMYFUNCTION("""COMPUTED_VALUE"""),4393.0)</f>
        <v>4393</v>
      </c>
      <c r="D2336" s="5">
        <f>IFERROR(__xludf.DUMMYFUNCTION("""COMPUTED_VALUE"""),0.39108787652476973)</f>
        <v>0.3910878765</v>
      </c>
      <c r="E2336" s="5">
        <f>IFERROR(__xludf.DUMMYFUNCTION("""COMPUTED_VALUE"""),0.1301966641772467)</f>
        <v>0.1301966642</v>
      </c>
      <c r="F2336" s="5">
        <f>IFERROR(__xludf.DUMMYFUNCTION("""COMPUTED_VALUE"""),0.21832213094349018)</f>
        <v>0.2183221309</v>
      </c>
      <c r="G2336" s="5">
        <f>IFERROR(__xludf.DUMMYFUNCTION("""COMPUTED_VALUE"""),0.18521284540702015)</f>
        <v>0.1852128454</v>
      </c>
      <c r="H2336" s="5">
        <f>IFERROR(__xludf.DUMMYFUNCTION("""COMPUTED_VALUE"""),0.572405929304447)</f>
        <v>0.5724059293</v>
      </c>
      <c r="I2336" s="11">
        <f>IFERROR(__xludf.DUMMYFUNCTION("""COMPUTED_VALUE"""),5552.451539338655)</f>
        <v>5552.451539</v>
      </c>
      <c r="J2336" s="10">
        <f>IFERROR(__xludf.DUMMYFUNCTION("""COMPUTED_VALUE"""),0.0)</f>
        <v>0</v>
      </c>
      <c r="K2336" s="5">
        <f>IFERROR(__xludf.DUMMYFUNCTION("""COMPUTED_VALUE"""),0.0)</f>
        <v>0</v>
      </c>
      <c r="L2336" s="10">
        <f>IFERROR(__xludf.DUMMYFUNCTION("""COMPUTED_VALUE"""),0.0)</f>
        <v>0</v>
      </c>
      <c r="M2336" s="5">
        <f>IFERROR(__xludf.DUMMYFUNCTION("""COMPUTED_VALUE"""),0.0)</f>
        <v>0</v>
      </c>
    </row>
    <row r="2337">
      <c r="A2337" s="10" t="str">
        <f>IFERROR(__xludf.DUMMYFUNCTION("""COMPUTED_VALUE"""),"ケロンパス")</f>
        <v>ケロンパス</v>
      </c>
      <c r="B2337" s="10">
        <f>IFERROR(__xludf.DUMMYFUNCTION("""COMPUTED_VALUE"""),156.0)</f>
        <v>156</v>
      </c>
      <c r="C2337" s="10">
        <f>IFERROR(__xludf.DUMMYFUNCTION("""COMPUTED_VALUE"""),1892.0)</f>
        <v>1892</v>
      </c>
      <c r="D2337" s="5">
        <f>IFERROR(__xludf.DUMMYFUNCTION("""COMPUTED_VALUE"""),0.3577188940092166)</f>
        <v>0.357718894</v>
      </c>
      <c r="E2337" s="5">
        <f>IFERROR(__xludf.DUMMYFUNCTION("""COMPUTED_VALUE"""),0.13018433179723501)</f>
        <v>0.1301843318</v>
      </c>
      <c r="F2337" s="5">
        <f>IFERROR(__xludf.DUMMYFUNCTION("""COMPUTED_VALUE"""),0.19988479262672812)</f>
        <v>0.1998847926</v>
      </c>
      <c r="G2337" s="5">
        <f>IFERROR(__xludf.DUMMYFUNCTION("""COMPUTED_VALUE"""),0.17050691244239632)</f>
        <v>0.1705069124</v>
      </c>
      <c r="H2337" s="5">
        <f>IFERROR(__xludf.DUMMYFUNCTION("""COMPUTED_VALUE"""),0.5878962536023055)</f>
        <v>0.5878962536</v>
      </c>
      <c r="I2337" s="11">
        <f>IFERROR(__xludf.DUMMYFUNCTION("""COMPUTED_VALUE"""),5518.155619596542)</f>
        <v>5518.15562</v>
      </c>
      <c r="J2337" s="10">
        <f>IFERROR(__xludf.DUMMYFUNCTION("""COMPUTED_VALUE"""),1.0)</f>
        <v>1</v>
      </c>
      <c r="K2337" s="5">
        <f>IFERROR(__xludf.DUMMYFUNCTION("""COMPUTED_VALUE"""),0.00641025641025641)</f>
        <v>0.00641025641</v>
      </c>
      <c r="L2337" s="10">
        <f>IFERROR(__xludf.DUMMYFUNCTION("""COMPUTED_VALUE"""),156.0)</f>
        <v>156</v>
      </c>
      <c r="M2337" s="5">
        <f>IFERROR(__xludf.DUMMYFUNCTION("""COMPUTED_VALUE"""),1.0)</f>
        <v>1</v>
      </c>
    </row>
    <row r="2338">
      <c r="A2338" s="10" t="str">
        <f>IFERROR(__xludf.DUMMYFUNCTION("""COMPUTED_VALUE"""),"ミヒャエル")</f>
        <v>ミヒャエル</v>
      </c>
      <c r="B2338" s="10">
        <f>IFERROR(__xludf.DUMMYFUNCTION("""COMPUTED_VALUE"""),1008.0)</f>
        <v>1008</v>
      </c>
      <c r="C2338" s="10">
        <f>IFERROR(__xludf.DUMMYFUNCTION("""COMPUTED_VALUE"""),11762.0)</f>
        <v>11762</v>
      </c>
      <c r="D2338" s="5">
        <f>IFERROR(__xludf.DUMMYFUNCTION("""COMPUTED_VALUE"""),0.36944392784080343)</f>
        <v>0.3694439278</v>
      </c>
      <c r="E2338" s="5">
        <f>IFERROR(__xludf.DUMMYFUNCTION("""COMPUTED_VALUE"""),0.1301841175376604)</f>
        <v>0.1301841175</v>
      </c>
      <c r="F2338" s="5">
        <f>IFERROR(__xludf.DUMMYFUNCTION("""COMPUTED_VALUE"""),0.21350195276176306)</f>
        <v>0.2135019528</v>
      </c>
      <c r="G2338" s="5">
        <f>IFERROR(__xludf.DUMMYFUNCTION("""COMPUTED_VALUE"""),0.18151385530965222)</f>
        <v>0.1815138553</v>
      </c>
      <c r="H2338" s="5">
        <f>IFERROR(__xludf.DUMMYFUNCTION("""COMPUTED_VALUE"""),0.5940766550522648)</f>
        <v>0.5940766551</v>
      </c>
      <c r="I2338" s="11">
        <f>IFERROR(__xludf.DUMMYFUNCTION("""COMPUTED_VALUE"""),5581.794425087108)</f>
        <v>5581.794425</v>
      </c>
      <c r="J2338" s="10">
        <f>IFERROR(__xludf.DUMMYFUNCTION("""COMPUTED_VALUE"""),3.0)</f>
        <v>3</v>
      </c>
      <c r="K2338" s="5">
        <f>IFERROR(__xludf.DUMMYFUNCTION("""COMPUTED_VALUE"""),0.002976190476190476)</f>
        <v>0.002976190476</v>
      </c>
      <c r="L2338" s="10">
        <f>IFERROR(__xludf.DUMMYFUNCTION("""COMPUTED_VALUE"""),1008.0)</f>
        <v>1008</v>
      </c>
      <c r="M2338" s="5">
        <f>IFERROR(__xludf.DUMMYFUNCTION("""COMPUTED_VALUE"""),1.0)</f>
        <v>1</v>
      </c>
    </row>
    <row r="2339">
      <c r="A2339" s="10" t="str">
        <f>IFERROR(__xludf.DUMMYFUNCTION("""COMPUTED_VALUE"""),"bangard")</f>
        <v>bangard</v>
      </c>
      <c r="B2339" s="10">
        <f>IFERROR(__xludf.DUMMYFUNCTION("""COMPUTED_VALUE"""),863.0)</f>
        <v>863</v>
      </c>
      <c r="C2339" s="10">
        <f>IFERROR(__xludf.DUMMYFUNCTION("""COMPUTED_VALUE"""),10044.0)</f>
        <v>10044</v>
      </c>
      <c r="D2339" s="5">
        <f>IFERROR(__xludf.DUMMYFUNCTION("""COMPUTED_VALUE"""),0.3269796318483825)</f>
        <v>0.3269796318</v>
      </c>
      <c r="E2339" s="5">
        <f>IFERROR(__xludf.DUMMYFUNCTION("""COMPUTED_VALUE"""),0.13016011327742075)</f>
        <v>0.1301601133</v>
      </c>
      <c r="F2339" s="5">
        <f>IFERROR(__xludf.DUMMYFUNCTION("""COMPUTED_VALUE"""),0.2049885633373271)</f>
        <v>0.2049885633</v>
      </c>
      <c r="G2339" s="5">
        <f>IFERROR(__xludf.DUMMYFUNCTION("""COMPUTED_VALUE"""),0.20934538721272192)</f>
        <v>0.2093453872</v>
      </c>
      <c r="H2339" s="5">
        <f>IFERROR(__xludf.DUMMYFUNCTION("""COMPUTED_VALUE"""),0.6025504782146652)</f>
        <v>0.6025504782</v>
      </c>
      <c r="I2339" s="11">
        <f>IFERROR(__xludf.DUMMYFUNCTION("""COMPUTED_VALUE"""),5717.321997874601)</f>
        <v>5717.321998</v>
      </c>
      <c r="J2339" s="10">
        <f>IFERROR(__xludf.DUMMYFUNCTION("""COMPUTED_VALUE"""),1.0)</f>
        <v>1</v>
      </c>
      <c r="K2339" s="5">
        <f>IFERROR(__xludf.DUMMYFUNCTION("""COMPUTED_VALUE"""),0.0011587485515643105)</f>
        <v>0.001158748552</v>
      </c>
      <c r="L2339" s="10">
        <f>IFERROR(__xludf.DUMMYFUNCTION("""COMPUTED_VALUE"""),451.0)</f>
        <v>451</v>
      </c>
      <c r="M2339" s="5">
        <f>IFERROR(__xludf.DUMMYFUNCTION("""COMPUTED_VALUE"""),0.522595596755504)</f>
        <v>0.5225955968</v>
      </c>
    </row>
    <row r="2340">
      <c r="A2340" s="10" t="str">
        <f>IFERROR(__xludf.DUMMYFUNCTION("""COMPUTED_VALUE"""),"仲川翔")</f>
        <v>仲川翔</v>
      </c>
      <c r="B2340" s="10">
        <f>IFERROR(__xludf.DUMMYFUNCTION("""COMPUTED_VALUE"""),2104.0)</f>
        <v>2104</v>
      </c>
      <c r="C2340" s="10">
        <f>IFERROR(__xludf.DUMMYFUNCTION("""COMPUTED_VALUE"""),24915.0)</f>
        <v>24915</v>
      </c>
      <c r="D2340" s="5">
        <f>IFERROR(__xludf.DUMMYFUNCTION("""COMPUTED_VALUE"""),0.33431239314365874)</f>
        <v>0.3343123931</v>
      </c>
      <c r="E2340" s="5">
        <f>IFERROR(__xludf.DUMMYFUNCTION("""COMPUTED_VALUE"""),0.13015650344132218)</f>
        <v>0.1301565034</v>
      </c>
      <c r="F2340" s="5">
        <f>IFERROR(__xludf.DUMMYFUNCTION("""COMPUTED_VALUE"""),0.2078383236157994)</f>
        <v>0.2078383236</v>
      </c>
      <c r="G2340" s="5">
        <f>IFERROR(__xludf.DUMMYFUNCTION("""COMPUTED_VALUE"""),0.12436982157730919)</f>
        <v>0.1243698216</v>
      </c>
      <c r="H2340" s="5">
        <f>IFERROR(__xludf.DUMMYFUNCTION("""COMPUTED_VALUE"""),0.6173802995148703)</f>
        <v>0.6173802995</v>
      </c>
      <c r="I2340" s="11">
        <f>IFERROR(__xludf.DUMMYFUNCTION("""COMPUTED_VALUE"""),5482.30331153765)</f>
        <v>5482.303312</v>
      </c>
      <c r="J2340" s="10">
        <f>IFERROR(__xludf.DUMMYFUNCTION("""COMPUTED_VALUE"""),6.0)</f>
        <v>6</v>
      </c>
      <c r="K2340" s="5">
        <f>IFERROR(__xludf.DUMMYFUNCTION("""COMPUTED_VALUE"""),0.0028517110266159697)</f>
        <v>0.002851711027</v>
      </c>
      <c r="L2340" s="10">
        <f>IFERROR(__xludf.DUMMYFUNCTION("""COMPUTED_VALUE"""),2104.0)</f>
        <v>2104</v>
      </c>
      <c r="M2340" s="5">
        <f>IFERROR(__xludf.DUMMYFUNCTION("""COMPUTED_VALUE"""),1.0)</f>
        <v>1</v>
      </c>
    </row>
    <row r="2341">
      <c r="A2341" s="10" t="str">
        <f>IFERROR(__xludf.DUMMYFUNCTION("""COMPUTED_VALUE"""),"シュウゾウ先生")</f>
        <v>シュウゾウ先生</v>
      </c>
      <c r="B2341" s="10">
        <f>IFERROR(__xludf.DUMMYFUNCTION("""COMPUTED_VALUE"""),239.0)</f>
        <v>239</v>
      </c>
      <c r="C2341" s="10">
        <f>IFERROR(__xludf.DUMMYFUNCTION("""COMPUTED_VALUE"""),2859.0)</f>
        <v>2859</v>
      </c>
      <c r="D2341" s="5">
        <f>IFERROR(__xludf.DUMMYFUNCTION("""COMPUTED_VALUE"""),0.32709923664122137)</f>
        <v>0.3270992366</v>
      </c>
      <c r="E2341" s="5">
        <f>IFERROR(__xludf.DUMMYFUNCTION("""COMPUTED_VALUE"""),0.1301526717557252)</f>
        <v>0.1301526718</v>
      </c>
      <c r="F2341" s="5">
        <f>IFERROR(__xludf.DUMMYFUNCTION("""COMPUTED_VALUE"""),0.1984732824427481)</f>
        <v>0.1984732824</v>
      </c>
      <c r="G2341" s="5">
        <f>IFERROR(__xludf.DUMMYFUNCTION("""COMPUTED_VALUE"""),0.13587786259541984)</f>
        <v>0.1358778626</v>
      </c>
      <c r="H2341" s="5">
        <f>IFERROR(__xludf.DUMMYFUNCTION("""COMPUTED_VALUE"""),0.551923076923077)</f>
        <v>0.5519230769</v>
      </c>
      <c r="I2341" s="11">
        <f>IFERROR(__xludf.DUMMYFUNCTION("""COMPUTED_VALUE"""),5620.7692307692305)</f>
        <v>5620.769231</v>
      </c>
      <c r="J2341" s="10">
        <f>IFERROR(__xludf.DUMMYFUNCTION("""COMPUTED_VALUE"""),0.0)</f>
        <v>0</v>
      </c>
      <c r="K2341" s="5">
        <f>IFERROR(__xludf.DUMMYFUNCTION("""COMPUTED_VALUE"""),0.0)</f>
        <v>0</v>
      </c>
      <c r="L2341" s="10">
        <f>IFERROR(__xludf.DUMMYFUNCTION("""COMPUTED_VALUE"""),181.0)</f>
        <v>181</v>
      </c>
      <c r="M2341" s="5">
        <f>IFERROR(__xludf.DUMMYFUNCTION("""COMPUTED_VALUE"""),0.7573221757322176)</f>
        <v>0.7573221757</v>
      </c>
    </row>
    <row r="2342">
      <c r="A2342" s="10" t="str">
        <f>IFERROR(__xludf.DUMMYFUNCTION("""COMPUTED_VALUE"""),"orange33")</f>
        <v>orange33</v>
      </c>
      <c r="B2342" s="10">
        <f>IFERROR(__xludf.DUMMYFUNCTION("""COMPUTED_VALUE"""),285.0)</f>
        <v>285</v>
      </c>
      <c r="C2342" s="10">
        <f>IFERROR(__xludf.DUMMYFUNCTION("""COMPUTED_VALUE"""),3297.0)</f>
        <v>3297</v>
      </c>
      <c r="D2342" s="5">
        <f>IFERROR(__xludf.DUMMYFUNCTION("""COMPUTED_VALUE"""),0.3559096945551129)</f>
        <v>0.3559096946</v>
      </c>
      <c r="E2342" s="5">
        <f>IFERROR(__xludf.DUMMYFUNCTION("""COMPUTED_VALUE"""),0.1301460823373174)</f>
        <v>0.1301460823</v>
      </c>
      <c r="F2342" s="5">
        <f>IFERROR(__xludf.DUMMYFUNCTION("""COMPUTED_VALUE"""),0.21613545816733068)</f>
        <v>0.2161354582</v>
      </c>
      <c r="G2342" s="5">
        <f>IFERROR(__xludf.DUMMYFUNCTION("""COMPUTED_VALUE"""),0.18625498007968128)</f>
        <v>0.1862549801</v>
      </c>
      <c r="H2342" s="5">
        <f>IFERROR(__xludf.DUMMYFUNCTION("""COMPUTED_VALUE"""),0.6067588325652842)</f>
        <v>0.6067588326</v>
      </c>
      <c r="I2342" s="11">
        <f>IFERROR(__xludf.DUMMYFUNCTION("""COMPUTED_VALUE"""),5501.075268817204)</f>
        <v>5501.075269</v>
      </c>
      <c r="J2342" s="10">
        <f>IFERROR(__xludf.DUMMYFUNCTION("""COMPUTED_VALUE"""),0.0)</f>
        <v>0</v>
      </c>
      <c r="K2342" s="5">
        <f>IFERROR(__xludf.DUMMYFUNCTION("""COMPUTED_VALUE"""),0.0)</f>
        <v>0</v>
      </c>
      <c r="L2342" s="10">
        <f>IFERROR(__xludf.DUMMYFUNCTION("""COMPUTED_VALUE"""),285.0)</f>
        <v>285</v>
      </c>
      <c r="M2342" s="5">
        <f>IFERROR(__xludf.DUMMYFUNCTION("""COMPUTED_VALUE"""),1.0)</f>
        <v>1</v>
      </c>
    </row>
    <row r="2343">
      <c r="A2343" s="10" t="str">
        <f>IFERROR(__xludf.DUMMYFUNCTION("""COMPUTED_VALUE"""),"Leonardo")</f>
        <v>Leonardo</v>
      </c>
      <c r="B2343" s="10">
        <f>IFERROR(__xludf.DUMMYFUNCTION("""COMPUTED_VALUE"""),353.0)</f>
        <v>353</v>
      </c>
      <c r="C2343" s="10">
        <f>IFERROR(__xludf.DUMMYFUNCTION("""COMPUTED_VALUE"""),4172.0)</f>
        <v>4172</v>
      </c>
      <c r="D2343" s="5">
        <f>IFERROR(__xludf.DUMMYFUNCTION("""COMPUTED_VALUE"""),0.3616129876931134)</f>
        <v>0.3616129877</v>
      </c>
      <c r="E2343" s="5">
        <f>IFERROR(__xludf.DUMMYFUNCTION("""COMPUTED_VALUE"""),0.1301387797852841)</f>
        <v>0.1301387798</v>
      </c>
      <c r="F2343" s="5">
        <f>IFERROR(__xludf.DUMMYFUNCTION("""COMPUTED_VALUE"""),0.21785807803089813)</f>
        <v>0.217858078</v>
      </c>
      <c r="G2343" s="5">
        <f>IFERROR(__xludf.DUMMYFUNCTION("""COMPUTED_VALUE"""),0.14323121235925634)</f>
        <v>0.1432312124</v>
      </c>
      <c r="H2343" s="5">
        <f>IFERROR(__xludf.DUMMYFUNCTION("""COMPUTED_VALUE"""),0.5997596153846154)</f>
        <v>0.5997596154</v>
      </c>
      <c r="I2343" s="11">
        <f>IFERROR(__xludf.DUMMYFUNCTION("""COMPUTED_VALUE"""),5480.528846153846)</f>
        <v>5480.528846</v>
      </c>
      <c r="J2343" s="10">
        <f>IFERROR(__xludf.DUMMYFUNCTION("""COMPUTED_VALUE"""),3.0)</f>
        <v>3</v>
      </c>
      <c r="K2343" s="5">
        <f>IFERROR(__xludf.DUMMYFUNCTION("""COMPUTED_VALUE"""),0.0084985835694051)</f>
        <v>0.008498583569</v>
      </c>
      <c r="L2343" s="10">
        <f>IFERROR(__xludf.DUMMYFUNCTION("""COMPUTED_VALUE"""),353.0)</f>
        <v>353</v>
      </c>
      <c r="M2343" s="5">
        <f>IFERROR(__xludf.DUMMYFUNCTION("""COMPUTED_VALUE"""),1.0)</f>
        <v>1</v>
      </c>
    </row>
    <row r="2344">
      <c r="A2344" s="10" t="str">
        <f>IFERROR(__xludf.DUMMYFUNCTION("""COMPUTED_VALUE"""),"ひっぴー")</f>
        <v>ひっぴー</v>
      </c>
      <c r="B2344" s="10">
        <f>IFERROR(__xludf.DUMMYFUNCTION("""COMPUTED_VALUE"""),172.0)</f>
        <v>172</v>
      </c>
      <c r="C2344" s="10">
        <f>IFERROR(__xludf.DUMMYFUNCTION("""COMPUTED_VALUE"""),2047.0)</f>
        <v>2047</v>
      </c>
      <c r="D2344" s="5">
        <f>IFERROR(__xludf.DUMMYFUNCTION("""COMPUTED_VALUE"""),0.272)</f>
        <v>0.272</v>
      </c>
      <c r="E2344" s="5">
        <f>IFERROR(__xludf.DUMMYFUNCTION("""COMPUTED_VALUE"""),0.13013333333333332)</f>
        <v>0.1301333333</v>
      </c>
      <c r="F2344" s="5">
        <f>IFERROR(__xludf.DUMMYFUNCTION("""COMPUTED_VALUE"""),0.19093333333333334)</f>
        <v>0.1909333333</v>
      </c>
      <c r="G2344" s="5">
        <f>IFERROR(__xludf.DUMMYFUNCTION("""COMPUTED_VALUE"""),0.16746666666666668)</f>
        <v>0.1674666667</v>
      </c>
      <c r="H2344" s="5">
        <f>IFERROR(__xludf.DUMMYFUNCTION("""COMPUTED_VALUE"""),0.6089385474860335)</f>
        <v>0.6089385475</v>
      </c>
      <c r="I2344" s="11">
        <f>IFERROR(__xludf.DUMMYFUNCTION("""COMPUTED_VALUE"""),5612.849162011174)</f>
        <v>5612.849162</v>
      </c>
      <c r="J2344" s="10">
        <f>IFERROR(__xludf.DUMMYFUNCTION("""COMPUTED_VALUE"""),0.0)</f>
        <v>0</v>
      </c>
      <c r="K2344" s="5">
        <f>IFERROR(__xludf.DUMMYFUNCTION("""COMPUTED_VALUE"""),0.0)</f>
        <v>0</v>
      </c>
      <c r="L2344" s="10">
        <f>IFERROR(__xludf.DUMMYFUNCTION("""COMPUTED_VALUE"""),172.0)</f>
        <v>172</v>
      </c>
      <c r="M2344" s="5">
        <f>IFERROR(__xludf.DUMMYFUNCTION("""COMPUTED_VALUE"""),1.0)</f>
        <v>1</v>
      </c>
    </row>
    <row r="2345">
      <c r="A2345" s="10" t="str">
        <f>IFERROR(__xludf.DUMMYFUNCTION("""COMPUTED_VALUE"""),"SPさはら")</f>
        <v>SPさはら</v>
      </c>
      <c r="B2345" s="10">
        <f>IFERROR(__xludf.DUMMYFUNCTION("""COMPUTED_VALUE"""),352.0)</f>
        <v>352</v>
      </c>
      <c r="C2345" s="10">
        <f>IFERROR(__xludf.DUMMYFUNCTION("""COMPUTED_VALUE"""),4079.0)</f>
        <v>4079</v>
      </c>
      <c r="D2345" s="5">
        <f>IFERROR(__xludf.DUMMYFUNCTION("""COMPUTED_VALUE"""),0.3598068151328146)</f>
        <v>0.3598068151</v>
      </c>
      <c r="E2345" s="5">
        <f>IFERROR(__xludf.DUMMYFUNCTION("""COMPUTED_VALUE"""),0.13013147303461228)</f>
        <v>0.130131473</v>
      </c>
      <c r="F2345" s="5">
        <f>IFERROR(__xludf.DUMMYFUNCTION("""COMPUTED_VALUE"""),0.19425811644754495)</f>
        <v>0.1942581164</v>
      </c>
      <c r="G2345" s="5">
        <f>IFERROR(__xludf.DUMMYFUNCTION("""COMPUTED_VALUE"""),0.145961899651194)</f>
        <v>0.1459618997</v>
      </c>
      <c r="H2345" s="5">
        <f>IFERROR(__xludf.DUMMYFUNCTION("""COMPUTED_VALUE"""),0.611878453038674)</f>
        <v>0.611878453</v>
      </c>
      <c r="I2345" s="11">
        <f>IFERROR(__xludf.DUMMYFUNCTION("""COMPUTED_VALUE"""),5519.613259668508)</f>
        <v>5519.61326</v>
      </c>
      <c r="J2345" s="10">
        <f>IFERROR(__xludf.DUMMYFUNCTION("""COMPUTED_VALUE"""),0.0)</f>
        <v>0</v>
      </c>
      <c r="K2345" s="5">
        <f>IFERROR(__xludf.DUMMYFUNCTION("""COMPUTED_VALUE"""),0.0)</f>
        <v>0</v>
      </c>
      <c r="L2345" s="10">
        <f>IFERROR(__xludf.DUMMYFUNCTION("""COMPUTED_VALUE"""),352.0)</f>
        <v>352</v>
      </c>
      <c r="M2345" s="5">
        <f>IFERROR(__xludf.DUMMYFUNCTION("""COMPUTED_VALUE"""),1.0)</f>
        <v>1</v>
      </c>
    </row>
    <row r="2346">
      <c r="A2346" s="10" t="str">
        <f>IFERROR(__xludf.DUMMYFUNCTION("""COMPUTED_VALUE"""),"しゃくじー")</f>
        <v>しゃくじー</v>
      </c>
      <c r="B2346" s="10">
        <f>IFERROR(__xludf.DUMMYFUNCTION("""COMPUTED_VALUE"""),561.0)</f>
        <v>561</v>
      </c>
      <c r="C2346" s="10">
        <f>IFERROR(__xludf.DUMMYFUNCTION("""COMPUTED_VALUE"""),6609.0)</f>
        <v>6609</v>
      </c>
      <c r="D2346" s="5">
        <f>IFERROR(__xludf.DUMMYFUNCTION("""COMPUTED_VALUE"""),0.3326719576719577)</f>
        <v>0.3326719577</v>
      </c>
      <c r="E2346" s="5">
        <f>IFERROR(__xludf.DUMMYFUNCTION("""COMPUTED_VALUE"""),0.13012566137566137)</f>
        <v>0.1301256614</v>
      </c>
      <c r="F2346" s="5">
        <f>IFERROR(__xludf.DUMMYFUNCTION("""COMPUTED_VALUE"""),0.21378968253968253)</f>
        <v>0.2137896825</v>
      </c>
      <c r="G2346" s="5">
        <f>IFERROR(__xludf.DUMMYFUNCTION("""COMPUTED_VALUE"""),0.19328703703703703)</f>
        <v>0.193287037</v>
      </c>
      <c r="H2346" s="5">
        <f>IFERROR(__xludf.DUMMYFUNCTION("""COMPUTED_VALUE"""),0.6047950502706884)</f>
        <v>0.6047950503</v>
      </c>
      <c r="I2346" s="11">
        <f>IFERROR(__xludf.DUMMYFUNCTION("""COMPUTED_VALUE"""),5649.265274555298)</f>
        <v>5649.265275</v>
      </c>
      <c r="J2346" s="10">
        <f>IFERROR(__xludf.DUMMYFUNCTION("""COMPUTED_VALUE"""),0.0)</f>
        <v>0</v>
      </c>
      <c r="K2346" s="5">
        <f>IFERROR(__xludf.DUMMYFUNCTION("""COMPUTED_VALUE"""),0.0)</f>
        <v>0</v>
      </c>
      <c r="L2346" s="10">
        <f>IFERROR(__xludf.DUMMYFUNCTION("""COMPUTED_VALUE"""),561.0)</f>
        <v>561</v>
      </c>
      <c r="M2346" s="5">
        <f>IFERROR(__xludf.DUMMYFUNCTION("""COMPUTED_VALUE"""),1.0)</f>
        <v>1</v>
      </c>
    </row>
    <row r="2347">
      <c r="A2347" s="10" t="str">
        <f>IFERROR(__xludf.DUMMYFUNCTION("""COMPUTED_VALUE"""),"shoes")</f>
        <v>shoes</v>
      </c>
      <c r="B2347" s="10">
        <f>IFERROR(__xludf.DUMMYFUNCTION("""COMPUTED_VALUE"""),417.0)</f>
        <v>417</v>
      </c>
      <c r="C2347" s="10">
        <f>IFERROR(__xludf.DUMMYFUNCTION("""COMPUTED_VALUE"""),4905.0)</f>
        <v>4905</v>
      </c>
      <c r="D2347" s="5">
        <f>IFERROR(__xludf.DUMMYFUNCTION("""COMPUTED_VALUE"""),0.27829768270944744)</f>
        <v>0.2782976827</v>
      </c>
      <c r="E2347" s="5">
        <f>IFERROR(__xludf.DUMMYFUNCTION("""COMPUTED_VALUE"""),0.13012477718360071)</f>
        <v>0.1301247772</v>
      </c>
      <c r="F2347" s="5">
        <f>IFERROR(__xludf.DUMMYFUNCTION("""COMPUTED_VALUE"""),0.2038770053475936)</f>
        <v>0.2038770053</v>
      </c>
      <c r="G2347" s="5">
        <f>IFERROR(__xludf.DUMMYFUNCTION("""COMPUTED_VALUE"""),0.1751336898395722)</f>
        <v>0.1751336898</v>
      </c>
      <c r="H2347" s="5">
        <f>IFERROR(__xludf.DUMMYFUNCTION("""COMPUTED_VALUE"""),0.5956284153005464)</f>
        <v>0.5956284153</v>
      </c>
      <c r="I2347" s="11">
        <f>IFERROR(__xludf.DUMMYFUNCTION("""COMPUTED_VALUE"""),6026.0109289617485)</f>
        <v>6026.010929</v>
      </c>
      <c r="J2347" s="10">
        <f>IFERROR(__xludf.DUMMYFUNCTION("""COMPUTED_VALUE"""),1.0)</f>
        <v>1</v>
      </c>
      <c r="K2347" s="5">
        <f>IFERROR(__xludf.DUMMYFUNCTION("""COMPUTED_VALUE"""),0.002398081534772182)</f>
        <v>0.002398081535</v>
      </c>
      <c r="L2347" s="10">
        <f>IFERROR(__xludf.DUMMYFUNCTION("""COMPUTED_VALUE"""),417.0)</f>
        <v>417</v>
      </c>
      <c r="M2347" s="5">
        <f>IFERROR(__xludf.DUMMYFUNCTION("""COMPUTED_VALUE"""),1.0)</f>
        <v>1</v>
      </c>
    </row>
    <row r="2348">
      <c r="A2348" s="10" t="str">
        <f>IFERROR(__xludf.DUMMYFUNCTION("""COMPUTED_VALUE"""),"zeldina")</f>
        <v>zeldina</v>
      </c>
      <c r="B2348" s="10">
        <f>IFERROR(__xludf.DUMMYFUNCTION("""COMPUTED_VALUE"""),2546.0)</f>
        <v>2546</v>
      </c>
      <c r="C2348" s="10">
        <f>IFERROR(__xludf.DUMMYFUNCTION("""COMPUTED_VALUE"""),30006.0)</f>
        <v>30006</v>
      </c>
      <c r="D2348" s="5">
        <f>IFERROR(__xludf.DUMMYFUNCTION("""COMPUTED_VALUE"""),0.38324836125273126)</f>
        <v>0.3832483613</v>
      </c>
      <c r="E2348" s="5">
        <f>IFERROR(__xludf.DUMMYFUNCTION("""COMPUTED_VALUE"""),0.13011653313911142)</f>
        <v>0.1301165331</v>
      </c>
      <c r="F2348" s="5">
        <f>IFERROR(__xludf.DUMMYFUNCTION("""COMPUTED_VALUE"""),0.21260014566642388)</f>
        <v>0.2126001457</v>
      </c>
      <c r="G2348" s="5">
        <f>IFERROR(__xludf.DUMMYFUNCTION("""COMPUTED_VALUE"""),0.1581209031318281)</f>
        <v>0.1581209031</v>
      </c>
      <c r="H2348" s="5">
        <f>IFERROR(__xludf.DUMMYFUNCTION("""COMPUTED_VALUE"""),0.5954093867762933)</f>
        <v>0.5954093868</v>
      </c>
      <c r="I2348" s="11">
        <f>IFERROR(__xludf.DUMMYFUNCTION("""COMPUTED_VALUE"""),5334.669407331277)</f>
        <v>5334.669407</v>
      </c>
      <c r="J2348" s="10">
        <f>IFERROR(__xludf.DUMMYFUNCTION("""COMPUTED_VALUE"""),8.0)</f>
        <v>8</v>
      </c>
      <c r="K2348" s="5">
        <f>IFERROR(__xludf.DUMMYFUNCTION("""COMPUTED_VALUE"""),0.003142183817753339)</f>
        <v>0.003142183818</v>
      </c>
      <c r="L2348" s="10">
        <f>IFERROR(__xludf.DUMMYFUNCTION("""COMPUTED_VALUE"""),2546.0)</f>
        <v>2546</v>
      </c>
      <c r="M2348" s="5">
        <f>IFERROR(__xludf.DUMMYFUNCTION("""COMPUTED_VALUE"""),1.0)</f>
        <v>1</v>
      </c>
    </row>
    <row r="2349">
      <c r="A2349" s="10" t="str">
        <f>IFERROR(__xludf.DUMMYFUNCTION("""COMPUTED_VALUE"""),"3WARI")</f>
        <v>3WARI</v>
      </c>
      <c r="B2349" s="10">
        <f>IFERROR(__xludf.DUMMYFUNCTION("""COMPUTED_VALUE"""),1185.0)</f>
        <v>1185</v>
      </c>
      <c r="C2349" s="10">
        <f>IFERROR(__xludf.DUMMYFUNCTION("""COMPUTED_VALUE"""),14043.0)</f>
        <v>14043</v>
      </c>
      <c r="D2349" s="5">
        <f>IFERROR(__xludf.DUMMYFUNCTION("""COMPUTED_VALUE"""),0.3849743350443304)</f>
        <v>0.384974335</v>
      </c>
      <c r="E2349" s="5">
        <f>IFERROR(__xludf.DUMMYFUNCTION("""COMPUTED_VALUE"""),0.13011354798568983)</f>
        <v>0.130113548</v>
      </c>
      <c r="F2349" s="5">
        <f>IFERROR(__xludf.DUMMYFUNCTION("""COMPUTED_VALUE"""),0.2214963446881319)</f>
        <v>0.2214963447</v>
      </c>
      <c r="G2349" s="5">
        <f>IFERROR(__xludf.DUMMYFUNCTION("""COMPUTED_VALUE"""),0.1648001244361487)</f>
        <v>0.1648001244</v>
      </c>
      <c r="H2349" s="5">
        <f>IFERROR(__xludf.DUMMYFUNCTION("""COMPUTED_VALUE"""),0.6000702247191011)</f>
        <v>0.6000702247</v>
      </c>
      <c r="I2349" s="11">
        <f>IFERROR(__xludf.DUMMYFUNCTION("""COMPUTED_VALUE"""),5236.551966292135)</f>
        <v>5236.551966</v>
      </c>
      <c r="J2349" s="10">
        <f>IFERROR(__xludf.DUMMYFUNCTION("""COMPUTED_VALUE"""),0.0)</f>
        <v>0</v>
      </c>
      <c r="K2349" s="5">
        <f>IFERROR(__xludf.DUMMYFUNCTION("""COMPUTED_VALUE"""),0.0)</f>
        <v>0</v>
      </c>
      <c r="L2349" s="10">
        <f>IFERROR(__xludf.DUMMYFUNCTION("""COMPUTED_VALUE"""),1185.0)</f>
        <v>1185</v>
      </c>
      <c r="M2349" s="5">
        <f>IFERROR(__xludf.DUMMYFUNCTION("""COMPUTED_VALUE"""),1.0)</f>
        <v>1</v>
      </c>
    </row>
    <row r="2350">
      <c r="A2350" s="10" t="str">
        <f>IFERROR(__xludf.DUMMYFUNCTION("""COMPUTED_VALUE"""),"blessed")</f>
        <v>blessed</v>
      </c>
      <c r="B2350" s="10">
        <f>IFERROR(__xludf.DUMMYFUNCTION("""COMPUTED_VALUE"""),463.0)</f>
        <v>463</v>
      </c>
      <c r="C2350" s="10">
        <f>IFERROR(__xludf.DUMMYFUNCTION("""COMPUTED_VALUE"""),5436.0)</f>
        <v>5436</v>
      </c>
      <c r="D2350" s="5">
        <f>IFERROR(__xludf.DUMMYFUNCTION("""COMPUTED_VALUE"""),0.27428111803740196)</f>
        <v>0.274281118</v>
      </c>
      <c r="E2350" s="5">
        <f>IFERROR(__xludf.DUMMYFUNCTION("""COMPUTED_VALUE"""),0.13010255379046853)</f>
        <v>0.1301025538</v>
      </c>
      <c r="F2350" s="5">
        <f>IFERROR(__xludf.DUMMYFUNCTION("""COMPUTED_VALUE"""),0.1952543736175347)</f>
        <v>0.1952543736</v>
      </c>
      <c r="G2350" s="5">
        <f>IFERROR(__xludf.DUMMYFUNCTION("""COMPUTED_VALUE"""),0.17212949929619947)</f>
        <v>0.1721294993</v>
      </c>
      <c r="H2350" s="5">
        <f>IFERROR(__xludf.DUMMYFUNCTION("""COMPUTED_VALUE"""),0.5818743563336766)</f>
        <v>0.5818743563</v>
      </c>
      <c r="I2350" s="11">
        <f>IFERROR(__xludf.DUMMYFUNCTION("""COMPUTED_VALUE"""),6027.806385169928)</f>
        <v>6027.806385</v>
      </c>
      <c r="J2350" s="10">
        <f>IFERROR(__xludf.DUMMYFUNCTION("""COMPUTED_VALUE"""),3.0)</f>
        <v>3</v>
      </c>
      <c r="K2350" s="5">
        <f>IFERROR(__xludf.DUMMYFUNCTION("""COMPUTED_VALUE"""),0.0064794816414686825)</f>
        <v>0.006479481641</v>
      </c>
      <c r="L2350" s="10">
        <f>IFERROR(__xludf.DUMMYFUNCTION("""COMPUTED_VALUE"""),463.0)</f>
        <v>463</v>
      </c>
      <c r="M2350" s="5">
        <f>IFERROR(__xludf.DUMMYFUNCTION("""COMPUTED_VALUE"""),1.0)</f>
        <v>1</v>
      </c>
    </row>
    <row r="2351">
      <c r="A2351" s="10" t="str">
        <f>IFERROR(__xludf.DUMMYFUNCTION("""COMPUTED_VALUE"""),"mindmap")</f>
        <v>mindmap</v>
      </c>
      <c r="B2351" s="10">
        <f>IFERROR(__xludf.DUMMYFUNCTION("""COMPUTED_VALUE"""),568.0)</f>
        <v>568</v>
      </c>
      <c r="C2351" s="10">
        <f>IFERROR(__xludf.DUMMYFUNCTION("""COMPUTED_VALUE"""),6687.0)</f>
        <v>6687</v>
      </c>
      <c r="D2351" s="5">
        <f>IFERROR(__xludf.DUMMYFUNCTION("""COMPUTED_VALUE"""),0.33077300212453015)</f>
        <v>0.3307730021</v>
      </c>
      <c r="E2351" s="5">
        <f>IFERROR(__xludf.DUMMYFUNCTION("""COMPUTED_VALUE"""),0.1300866154600425)</f>
        <v>0.1300866155</v>
      </c>
      <c r="F2351" s="5">
        <f>IFERROR(__xludf.DUMMYFUNCTION("""COMPUTED_VALUE"""),0.2015035136460206)</f>
        <v>0.2015035136</v>
      </c>
      <c r="G2351" s="5">
        <f>IFERROR(__xludf.DUMMYFUNCTION("""COMPUTED_VALUE"""),0.16881843438470337)</f>
        <v>0.1688184344</v>
      </c>
      <c r="H2351" s="5">
        <f>IFERROR(__xludf.DUMMYFUNCTION("""COMPUTED_VALUE"""),0.6147607461476075)</f>
        <v>0.6147607461</v>
      </c>
      <c r="I2351" s="11">
        <f>IFERROR(__xludf.DUMMYFUNCTION("""COMPUTED_VALUE"""),5845.823195458232)</f>
        <v>5845.823195</v>
      </c>
      <c r="J2351" s="10">
        <f>IFERROR(__xludf.DUMMYFUNCTION("""COMPUTED_VALUE"""),3.0)</f>
        <v>3</v>
      </c>
      <c r="K2351" s="5">
        <f>IFERROR(__xludf.DUMMYFUNCTION("""COMPUTED_VALUE"""),0.00528169014084507)</f>
        <v>0.005281690141</v>
      </c>
      <c r="L2351" s="10">
        <f>IFERROR(__xludf.DUMMYFUNCTION("""COMPUTED_VALUE"""),568.0)</f>
        <v>568</v>
      </c>
      <c r="M2351" s="5">
        <f>IFERROR(__xludf.DUMMYFUNCTION("""COMPUTED_VALUE"""),1.0)</f>
        <v>1</v>
      </c>
    </row>
    <row r="2352">
      <c r="A2352" s="10" t="str">
        <f>IFERROR(__xludf.DUMMYFUNCTION("""COMPUTED_VALUE"""),"ピカ様")</f>
        <v>ピカ様</v>
      </c>
      <c r="B2352" s="10">
        <f>IFERROR(__xludf.DUMMYFUNCTION("""COMPUTED_VALUE"""),1486.0)</f>
        <v>1486</v>
      </c>
      <c r="C2352" s="10">
        <f>IFERROR(__xludf.DUMMYFUNCTION("""COMPUTED_VALUE"""),17214.0)</f>
        <v>17214</v>
      </c>
      <c r="D2352" s="5">
        <f>IFERROR(__xludf.DUMMYFUNCTION("""COMPUTED_VALUE"""),0.3076678535096643)</f>
        <v>0.3076678535</v>
      </c>
      <c r="E2352" s="5">
        <f>IFERROR(__xludf.DUMMYFUNCTION("""COMPUTED_VALUE"""),0.13008646998982706)</f>
        <v>0.13008647</v>
      </c>
      <c r="F2352" s="5">
        <f>IFERROR(__xludf.DUMMYFUNCTION("""COMPUTED_VALUE"""),0.20790946083418108)</f>
        <v>0.2079094608</v>
      </c>
      <c r="G2352" s="5">
        <f>IFERROR(__xludf.DUMMYFUNCTION("""COMPUTED_VALUE"""),0.20142421159715157)</f>
        <v>0.2014242116</v>
      </c>
      <c r="H2352" s="5">
        <f>IFERROR(__xludf.DUMMYFUNCTION("""COMPUTED_VALUE"""),0.5862385321100917)</f>
        <v>0.5862385321</v>
      </c>
      <c r="I2352" s="11">
        <f>IFERROR(__xludf.DUMMYFUNCTION("""COMPUTED_VALUE"""),6114.617737003058)</f>
        <v>6114.617737</v>
      </c>
      <c r="J2352" s="10">
        <f>IFERROR(__xludf.DUMMYFUNCTION("""COMPUTED_VALUE"""),1.0)</f>
        <v>1</v>
      </c>
      <c r="K2352" s="5">
        <f>IFERROR(__xludf.DUMMYFUNCTION("""COMPUTED_VALUE"""),6.729475100942127E-4)</f>
        <v>0.0006729475101</v>
      </c>
      <c r="L2352" s="10">
        <f>IFERROR(__xludf.DUMMYFUNCTION("""COMPUTED_VALUE"""),1486.0)</f>
        <v>1486</v>
      </c>
      <c r="M2352" s="5">
        <f>IFERROR(__xludf.DUMMYFUNCTION("""COMPUTED_VALUE"""),1.0)</f>
        <v>1</v>
      </c>
    </row>
    <row r="2353">
      <c r="A2353" s="10" t="str">
        <f>IFERROR(__xludf.DUMMYFUNCTION("""COMPUTED_VALUE"""),"しまだま")</f>
        <v>しまだま</v>
      </c>
      <c r="B2353" s="10">
        <f>IFERROR(__xludf.DUMMYFUNCTION("""COMPUTED_VALUE"""),601.0)</f>
        <v>601</v>
      </c>
      <c r="C2353" s="10">
        <f>IFERROR(__xludf.DUMMYFUNCTION("""COMPUTED_VALUE"""),7066.0)</f>
        <v>7066</v>
      </c>
      <c r="D2353" s="5">
        <f>IFERROR(__xludf.DUMMYFUNCTION("""COMPUTED_VALUE"""),0.3102861562258314)</f>
        <v>0.3102861562</v>
      </c>
      <c r="E2353" s="5">
        <f>IFERROR(__xludf.DUMMYFUNCTION("""COMPUTED_VALUE"""),0.13008507347254447)</f>
        <v>0.1300850735</v>
      </c>
      <c r="F2353" s="5">
        <f>IFERROR(__xludf.DUMMYFUNCTION("""COMPUTED_VALUE"""),0.20696055684454756)</f>
        <v>0.2069605568</v>
      </c>
      <c r="G2353" s="5">
        <f>IFERROR(__xludf.DUMMYFUNCTION("""COMPUTED_VALUE"""),0.1480278422273782)</f>
        <v>0.1480278422</v>
      </c>
      <c r="H2353" s="5">
        <f>IFERROR(__xludf.DUMMYFUNCTION("""COMPUTED_VALUE"""),0.6218236173393124)</f>
        <v>0.6218236173</v>
      </c>
      <c r="I2353" s="11">
        <f>IFERROR(__xludf.DUMMYFUNCTION("""COMPUTED_VALUE"""),5884.08071748879)</f>
        <v>5884.080717</v>
      </c>
      <c r="J2353" s="10">
        <f>IFERROR(__xludf.DUMMYFUNCTION("""COMPUTED_VALUE"""),1.0)</f>
        <v>1</v>
      </c>
      <c r="K2353" s="5">
        <f>IFERROR(__xludf.DUMMYFUNCTION("""COMPUTED_VALUE"""),0.0016638935108153079)</f>
        <v>0.001663893511</v>
      </c>
      <c r="L2353" s="10">
        <f>IFERROR(__xludf.DUMMYFUNCTION("""COMPUTED_VALUE"""),601.0)</f>
        <v>601</v>
      </c>
      <c r="M2353" s="5">
        <f>IFERROR(__xludf.DUMMYFUNCTION("""COMPUTED_VALUE"""),1.0)</f>
        <v>1</v>
      </c>
    </row>
    <row r="2354">
      <c r="A2354" s="10" t="str">
        <f>IFERROR(__xludf.DUMMYFUNCTION("""COMPUTED_VALUE"""),"fuji")</f>
        <v>fuji</v>
      </c>
      <c r="B2354" s="10">
        <f>IFERROR(__xludf.DUMMYFUNCTION("""COMPUTED_VALUE"""),239.0)</f>
        <v>239</v>
      </c>
      <c r="C2354" s="10">
        <f>IFERROR(__xludf.DUMMYFUNCTION("""COMPUTED_VALUE"""),2876.0)</f>
        <v>2876</v>
      </c>
      <c r="D2354" s="5">
        <f>IFERROR(__xludf.DUMMYFUNCTION("""COMPUTED_VALUE"""),0.3253697383390216)</f>
        <v>0.3253697383</v>
      </c>
      <c r="E2354" s="5">
        <f>IFERROR(__xludf.DUMMYFUNCTION("""COMPUTED_VALUE"""),0.13007205157375806)</f>
        <v>0.1300720516</v>
      </c>
      <c r="F2354" s="5">
        <f>IFERROR(__xludf.DUMMYFUNCTION("""COMPUTED_VALUE"""),0.20288206295032232)</f>
        <v>0.202882063</v>
      </c>
      <c r="G2354" s="5">
        <f>IFERROR(__xludf.DUMMYFUNCTION("""COMPUTED_VALUE"""),0.1812665908229048)</f>
        <v>0.1812665908</v>
      </c>
      <c r="H2354" s="5">
        <f>IFERROR(__xludf.DUMMYFUNCTION("""COMPUTED_VALUE"""),0.594392523364486)</f>
        <v>0.5943925234</v>
      </c>
      <c r="I2354" s="11">
        <f>IFERROR(__xludf.DUMMYFUNCTION("""COMPUTED_VALUE"""),5594.392523364486)</f>
        <v>5594.392523</v>
      </c>
      <c r="J2354" s="10">
        <f>IFERROR(__xludf.DUMMYFUNCTION("""COMPUTED_VALUE"""),0.0)</f>
        <v>0</v>
      </c>
      <c r="K2354" s="5">
        <f>IFERROR(__xludf.DUMMYFUNCTION("""COMPUTED_VALUE"""),0.0)</f>
        <v>0</v>
      </c>
      <c r="L2354" s="10">
        <f>IFERROR(__xludf.DUMMYFUNCTION("""COMPUTED_VALUE"""),239.0)</f>
        <v>239</v>
      </c>
      <c r="M2354" s="5">
        <f>IFERROR(__xludf.DUMMYFUNCTION("""COMPUTED_VALUE"""),1.0)</f>
        <v>1</v>
      </c>
    </row>
    <row r="2355">
      <c r="A2355" s="10" t="str">
        <f>IFERROR(__xludf.DUMMYFUNCTION("""COMPUTED_VALUE"""),"you777")</f>
        <v>you777</v>
      </c>
      <c r="B2355" s="10">
        <f>IFERROR(__xludf.DUMMYFUNCTION("""COMPUTED_VALUE"""),218.0)</f>
        <v>218</v>
      </c>
      <c r="C2355" s="10">
        <f>IFERROR(__xludf.DUMMYFUNCTION("""COMPUTED_VALUE"""),2586.0)</f>
        <v>2586</v>
      </c>
      <c r="D2355" s="5">
        <f>IFERROR(__xludf.DUMMYFUNCTION("""COMPUTED_VALUE"""),0.3796452702702703)</f>
        <v>0.3796452703</v>
      </c>
      <c r="E2355" s="5">
        <f>IFERROR(__xludf.DUMMYFUNCTION("""COMPUTED_VALUE"""),0.13006756756756757)</f>
        <v>0.1300675676</v>
      </c>
      <c r="F2355" s="5">
        <f>IFERROR(__xludf.DUMMYFUNCTION("""COMPUTED_VALUE"""),0.22170608108108109)</f>
        <v>0.2217060811</v>
      </c>
      <c r="G2355" s="5">
        <f>IFERROR(__xludf.DUMMYFUNCTION("""COMPUTED_VALUE"""),0.15498310810810811)</f>
        <v>0.1549831081</v>
      </c>
      <c r="H2355" s="5">
        <f>IFERROR(__xludf.DUMMYFUNCTION("""COMPUTED_VALUE"""),0.5714285714285714)</f>
        <v>0.5714285714</v>
      </c>
      <c r="I2355" s="11">
        <f>IFERROR(__xludf.DUMMYFUNCTION("""COMPUTED_VALUE"""),5352.571428571428)</f>
        <v>5352.571429</v>
      </c>
      <c r="J2355" s="10">
        <f>IFERROR(__xludf.DUMMYFUNCTION("""COMPUTED_VALUE"""),0.0)</f>
        <v>0</v>
      </c>
      <c r="K2355" s="5">
        <f>IFERROR(__xludf.DUMMYFUNCTION("""COMPUTED_VALUE"""),0.0)</f>
        <v>0</v>
      </c>
      <c r="L2355" s="10">
        <f>IFERROR(__xludf.DUMMYFUNCTION("""COMPUTED_VALUE"""),218.0)</f>
        <v>218</v>
      </c>
      <c r="M2355" s="5">
        <f>IFERROR(__xludf.DUMMYFUNCTION("""COMPUTED_VALUE"""),1.0)</f>
        <v>1</v>
      </c>
    </row>
    <row r="2356">
      <c r="A2356" s="10" t="str">
        <f>IFERROR(__xludf.DUMMYFUNCTION("""COMPUTED_VALUE"""),"NISHIの弟子")</f>
        <v>NISHIの弟子</v>
      </c>
      <c r="B2356" s="10">
        <f>IFERROR(__xludf.DUMMYFUNCTION("""COMPUTED_VALUE"""),188.0)</f>
        <v>188</v>
      </c>
      <c r="C2356" s="10">
        <f>IFERROR(__xludf.DUMMYFUNCTION("""COMPUTED_VALUE"""),2164.0)</f>
        <v>2164</v>
      </c>
      <c r="D2356" s="5">
        <f>IFERROR(__xludf.DUMMYFUNCTION("""COMPUTED_VALUE"""),0.2940283400809717)</f>
        <v>0.2940283401</v>
      </c>
      <c r="E2356" s="5">
        <f>IFERROR(__xludf.DUMMYFUNCTION("""COMPUTED_VALUE"""),0.13006072874493926)</f>
        <v>0.1300607287</v>
      </c>
      <c r="F2356" s="5">
        <f>IFERROR(__xludf.DUMMYFUNCTION("""COMPUTED_VALUE"""),0.20040485829959515)</f>
        <v>0.2004048583</v>
      </c>
      <c r="G2356" s="5">
        <f>IFERROR(__xludf.DUMMYFUNCTION("""COMPUTED_VALUE"""),0.2216599190283401)</f>
        <v>0.221659919</v>
      </c>
      <c r="H2356" s="5">
        <f>IFERROR(__xludf.DUMMYFUNCTION("""COMPUTED_VALUE"""),0.5681818181818182)</f>
        <v>0.5681818182</v>
      </c>
      <c r="I2356" s="11">
        <f>IFERROR(__xludf.DUMMYFUNCTION("""COMPUTED_VALUE"""),5643.434343434344)</f>
        <v>5643.434343</v>
      </c>
      <c r="J2356" s="10">
        <f>IFERROR(__xludf.DUMMYFUNCTION("""COMPUTED_VALUE"""),1.0)</f>
        <v>1</v>
      </c>
      <c r="K2356" s="5">
        <f>IFERROR(__xludf.DUMMYFUNCTION("""COMPUTED_VALUE"""),0.005319148936170213)</f>
        <v>0.005319148936</v>
      </c>
      <c r="L2356" s="10">
        <f>IFERROR(__xludf.DUMMYFUNCTION("""COMPUTED_VALUE"""),188.0)</f>
        <v>188</v>
      </c>
      <c r="M2356" s="5">
        <f>IFERROR(__xludf.DUMMYFUNCTION("""COMPUTED_VALUE"""),1.0)</f>
        <v>1</v>
      </c>
    </row>
    <row r="2357">
      <c r="A2357" s="10" t="str">
        <f>IFERROR(__xludf.DUMMYFUNCTION("""COMPUTED_VALUE"""),"Drawdown")</f>
        <v>Drawdown</v>
      </c>
      <c r="B2357" s="10">
        <f>IFERROR(__xludf.DUMMYFUNCTION("""COMPUTED_VALUE"""),524.0)</f>
        <v>524</v>
      </c>
      <c r="C2357" s="10">
        <f>IFERROR(__xludf.DUMMYFUNCTION("""COMPUTED_VALUE"""),6122.0)</f>
        <v>6122</v>
      </c>
      <c r="D2357" s="5">
        <f>IFERROR(__xludf.DUMMYFUNCTION("""COMPUTED_VALUE"""),0.40425151839942836)</f>
        <v>0.4042515184</v>
      </c>
      <c r="E2357" s="5">
        <f>IFERROR(__xludf.DUMMYFUNCTION("""COMPUTED_VALUE"""),0.13004644515898536)</f>
        <v>0.1300464452</v>
      </c>
      <c r="F2357" s="5">
        <f>IFERROR(__xludf.DUMMYFUNCTION("""COMPUTED_VALUE"""),0.21543408360128619)</f>
        <v>0.2154340836</v>
      </c>
      <c r="G2357" s="5">
        <f>IFERROR(__xludf.DUMMYFUNCTION("""COMPUTED_VALUE"""),0.17327617006073598)</f>
        <v>0.1732761701</v>
      </c>
      <c r="H2357" s="5">
        <f>IFERROR(__xludf.DUMMYFUNCTION("""COMPUTED_VALUE"""),0.5945273631840796)</f>
        <v>0.5945273632</v>
      </c>
      <c r="I2357" s="11">
        <f>IFERROR(__xludf.DUMMYFUNCTION("""COMPUTED_VALUE"""),5489.966832504146)</f>
        <v>5489.966833</v>
      </c>
      <c r="J2357" s="10">
        <f>IFERROR(__xludf.DUMMYFUNCTION("""COMPUTED_VALUE"""),1.0)</f>
        <v>1</v>
      </c>
      <c r="K2357" s="5">
        <f>IFERROR(__xludf.DUMMYFUNCTION("""COMPUTED_VALUE"""),0.0019083969465648854)</f>
        <v>0.001908396947</v>
      </c>
      <c r="L2357" s="10">
        <f>IFERROR(__xludf.DUMMYFUNCTION("""COMPUTED_VALUE"""),522.0)</f>
        <v>522</v>
      </c>
      <c r="M2357" s="5">
        <f>IFERROR(__xludf.DUMMYFUNCTION("""COMPUTED_VALUE"""),0.9961832061068703)</f>
        <v>0.9961832061</v>
      </c>
    </row>
    <row r="2358">
      <c r="A2358" s="10" t="str">
        <f>IFERROR(__xludf.DUMMYFUNCTION("""COMPUTED_VALUE"""),"adson")</f>
        <v>adson</v>
      </c>
      <c r="B2358" s="10">
        <f>IFERROR(__xludf.DUMMYFUNCTION("""COMPUTED_VALUE"""),107.0)</f>
        <v>107</v>
      </c>
      <c r="C2358" s="10">
        <f>IFERROR(__xludf.DUMMYFUNCTION("""COMPUTED_VALUE"""),1222.0)</f>
        <v>1222</v>
      </c>
      <c r="D2358" s="5">
        <f>IFERROR(__xludf.DUMMYFUNCTION("""COMPUTED_VALUE"""),0.3704035874439462)</f>
        <v>0.3704035874</v>
      </c>
      <c r="E2358" s="5">
        <f>IFERROR(__xludf.DUMMYFUNCTION("""COMPUTED_VALUE"""),0.13004484304932734)</f>
        <v>0.130044843</v>
      </c>
      <c r="F2358" s="5">
        <f>IFERROR(__xludf.DUMMYFUNCTION("""COMPUTED_VALUE"""),0.22511210762331837)</f>
        <v>0.2251121076</v>
      </c>
      <c r="G2358" s="5">
        <f>IFERROR(__xludf.DUMMYFUNCTION("""COMPUTED_VALUE"""),0.18475336322869956)</f>
        <v>0.1847533632</v>
      </c>
      <c r="H2358" s="5">
        <f>IFERROR(__xludf.DUMMYFUNCTION("""COMPUTED_VALUE"""),0.5776892430278885)</f>
        <v>0.577689243</v>
      </c>
      <c r="I2358" s="11">
        <f>IFERROR(__xludf.DUMMYFUNCTION("""COMPUTED_VALUE"""),5430.677290836654)</f>
        <v>5430.677291</v>
      </c>
      <c r="J2358" s="10">
        <f>IFERROR(__xludf.DUMMYFUNCTION("""COMPUTED_VALUE"""),0.0)</f>
        <v>0</v>
      </c>
      <c r="K2358" s="5">
        <f>IFERROR(__xludf.DUMMYFUNCTION("""COMPUTED_VALUE"""),0.0)</f>
        <v>0</v>
      </c>
      <c r="L2358" s="10">
        <f>IFERROR(__xludf.DUMMYFUNCTION("""COMPUTED_VALUE"""),22.0)</f>
        <v>22</v>
      </c>
      <c r="M2358" s="5">
        <f>IFERROR(__xludf.DUMMYFUNCTION("""COMPUTED_VALUE"""),0.205607476635514)</f>
        <v>0.2056074766</v>
      </c>
    </row>
    <row r="2359">
      <c r="A2359" s="10" t="str">
        <f>IFERROR(__xludf.DUMMYFUNCTION("""COMPUTED_VALUE"""),"NanoNano")</f>
        <v>NanoNano</v>
      </c>
      <c r="B2359" s="10">
        <f>IFERROR(__xludf.DUMMYFUNCTION("""COMPUTED_VALUE"""),114.0)</f>
        <v>114</v>
      </c>
      <c r="C2359" s="10">
        <f>IFERROR(__xludf.DUMMYFUNCTION("""COMPUTED_VALUE"""),1329.0)</f>
        <v>1329</v>
      </c>
      <c r="D2359" s="5">
        <f>IFERROR(__xludf.DUMMYFUNCTION("""COMPUTED_VALUE"""),0.43045267489711936)</f>
        <v>0.4304526749</v>
      </c>
      <c r="E2359" s="5">
        <f>IFERROR(__xludf.DUMMYFUNCTION("""COMPUTED_VALUE"""),0.13004115226337448)</f>
        <v>0.1300411523</v>
      </c>
      <c r="F2359" s="5">
        <f>IFERROR(__xludf.DUMMYFUNCTION("""COMPUTED_VALUE"""),0.1868312757201646)</f>
        <v>0.1868312757</v>
      </c>
      <c r="G2359" s="5">
        <f>IFERROR(__xludf.DUMMYFUNCTION("""COMPUTED_VALUE"""),0.13333333333333333)</f>
        <v>0.1333333333</v>
      </c>
      <c r="H2359" s="5">
        <f>IFERROR(__xludf.DUMMYFUNCTION("""COMPUTED_VALUE"""),0.6740088105726872)</f>
        <v>0.6740088106</v>
      </c>
      <c r="I2359" s="11">
        <f>IFERROR(__xludf.DUMMYFUNCTION("""COMPUTED_VALUE"""),5271.806167400881)</f>
        <v>5271.806167</v>
      </c>
      <c r="J2359" s="10">
        <f>IFERROR(__xludf.DUMMYFUNCTION("""COMPUTED_VALUE"""),0.0)</f>
        <v>0</v>
      </c>
      <c r="K2359" s="5">
        <f>IFERROR(__xludf.DUMMYFUNCTION("""COMPUTED_VALUE"""),0.0)</f>
        <v>0</v>
      </c>
      <c r="L2359" s="10">
        <f>IFERROR(__xludf.DUMMYFUNCTION("""COMPUTED_VALUE"""),114.0)</f>
        <v>114</v>
      </c>
      <c r="M2359" s="5">
        <f>IFERROR(__xludf.DUMMYFUNCTION("""COMPUTED_VALUE"""),1.0)</f>
        <v>1</v>
      </c>
    </row>
    <row r="2360">
      <c r="A2360" s="10" t="str">
        <f>IFERROR(__xludf.DUMMYFUNCTION("""COMPUTED_VALUE"""),"我妻由乃")</f>
        <v>我妻由乃</v>
      </c>
      <c r="B2360" s="10">
        <f>IFERROR(__xludf.DUMMYFUNCTION("""COMPUTED_VALUE"""),438.0)</f>
        <v>438</v>
      </c>
      <c r="C2360" s="10">
        <f>IFERROR(__xludf.DUMMYFUNCTION("""COMPUTED_VALUE"""),5029.0)</f>
        <v>5029</v>
      </c>
      <c r="D2360" s="5">
        <f>IFERROR(__xludf.DUMMYFUNCTION("""COMPUTED_VALUE"""),0.4236549771291658)</f>
        <v>0.4236549771</v>
      </c>
      <c r="E2360" s="5">
        <f>IFERROR(__xludf.DUMMYFUNCTION("""COMPUTED_VALUE"""),0.13003702896972338)</f>
        <v>0.130037029</v>
      </c>
      <c r="F2360" s="5">
        <f>IFERROR(__xludf.DUMMYFUNCTION("""COMPUTED_VALUE"""),0.2304508821607493)</f>
        <v>0.2304508822</v>
      </c>
      <c r="G2360" s="5">
        <f>IFERROR(__xludf.DUMMYFUNCTION("""COMPUTED_VALUE"""),0.17621433238945763)</f>
        <v>0.1762143324</v>
      </c>
      <c r="H2360" s="5">
        <f>IFERROR(__xludf.DUMMYFUNCTION("""COMPUTED_VALUE"""),0.5935727788279773)</f>
        <v>0.5935727788</v>
      </c>
      <c r="I2360" s="11">
        <f>IFERROR(__xludf.DUMMYFUNCTION("""COMPUTED_VALUE"""),5432.797731568998)</f>
        <v>5432.797732</v>
      </c>
      <c r="J2360" s="10">
        <f>IFERROR(__xludf.DUMMYFUNCTION("""COMPUTED_VALUE"""),3.0)</f>
        <v>3</v>
      </c>
      <c r="K2360" s="5">
        <f>IFERROR(__xludf.DUMMYFUNCTION("""COMPUTED_VALUE"""),0.00684931506849315)</f>
        <v>0.006849315068</v>
      </c>
      <c r="L2360" s="10">
        <f>IFERROR(__xludf.DUMMYFUNCTION("""COMPUTED_VALUE"""),0.0)</f>
        <v>0</v>
      </c>
      <c r="M2360" s="5">
        <f>IFERROR(__xludf.DUMMYFUNCTION("""COMPUTED_VALUE"""),0.0)</f>
        <v>0</v>
      </c>
    </row>
    <row r="2361">
      <c r="A2361" s="10" t="str">
        <f>IFERROR(__xludf.DUMMYFUNCTION("""COMPUTED_VALUE"""),"やめてけれ５")</f>
        <v>やめてけれ５</v>
      </c>
      <c r="B2361" s="10">
        <f>IFERROR(__xludf.DUMMYFUNCTION("""COMPUTED_VALUE"""),536.0)</f>
        <v>536</v>
      </c>
      <c r="C2361" s="10">
        <f>IFERROR(__xludf.DUMMYFUNCTION("""COMPUTED_VALUE"""),6258.0)</f>
        <v>6258</v>
      </c>
      <c r="D2361" s="5">
        <f>IFERROR(__xludf.DUMMYFUNCTION("""COMPUTED_VALUE"""),0.27088430618664805)</f>
        <v>0.2708843062</v>
      </c>
      <c r="E2361" s="5">
        <f>IFERROR(__xludf.DUMMYFUNCTION("""COMPUTED_VALUE"""),0.13002446696959105)</f>
        <v>0.130024467</v>
      </c>
      <c r="F2361" s="5">
        <f>IFERROR(__xludf.DUMMYFUNCTION("""COMPUTED_VALUE"""),0.2011534428521496)</f>
        <v>0.2011534429</v>
      </c>
      <c r="G2361" s="5">
        <f>IFERROR(__xludf.DUMMYFUNCTION("""COMPUTED_VALUE"""),0.18996854246766864)</f>
        <v>0.1899685425</v>
      </c>
      <c r="H2361" s="5">
        <f>IFERROR(__xludf.DUMMYFUNCTION("""COMPUTED_VALUE"""),0.58123370981755)</f>
        <v>0.5812337098</v>
      </c>
      <c r="I2361" s="11">
        <f>IFERROR(__xludf.DUMMYFUNCTION("""COMPUTED_VALUE"""),6256.733275412685)</f>
        <v>6256.733275</v>
      </c>
      <c r="J2361" s="10">
        <f>IFERROR(__xludf.DUMMYFUNCTION("""COMPUTED_VALUE"""),1.0)</f>
        <v>1</v>
      </c>
      <c r="K2361" s="5">
        <f>IFERROR(__xludf.DUMMYFUNCTION("""COMPUTED_VALUE"""),0.0018656716417910447)</f>
        <v>0.001865671642</v>
      </c>
      <c r="L2361" s="10">
        <f>IFERROR(__xludf.DUMMYFUNCTION("""COMPUTED_VALUE"""),0.0)</f>
        <v>0</v>
      </c>
      <c r="M2361" s="5">
        <f>IFERROR(__xludf.DUMMYFUNCTION("""COMPUTED_VALUE"""),0.0)</f>
        <v>0</v>
      </c>
    </row>
    <row r="2362">
      <c r="A2362" s="10" t="str">
        <f>IFERROR(__xludf.DUMMYFUNCTION("""COMPUTED_VALUE"""),"カザラキ")</f>
        <v>カザラキ</v>
      </c>
      <c r="B2362" s="10">
        <f>IFERROR(__xludf.DUMMYFUNCTION("""COMPUTED_VALUE"""),273.0)</f>
        <v>273</v>
      </c>
      <c r="C2362" s="10">
        <f>IFERROR(__xludf.DUMMYFUNCTION("""COMPUTED_VALUE"""),3188.0)</f>
        <v>3188</v>
      </c>
      <c r="D2362" s="5">
        <f>IFERROR(__xludf.DUMMYFUNCTION("""COMPUTED_VALUE"""),0.33276157804459694)</f>
        <v>0.332761578</v>
      </c>
      <c r="E2362" s="5">
        <f>IFERROR(__xludf.DUMMYFUNCTION("""COMPUTED_VALUE"""),0.1300171526586621)</f>
        <v>0.1300171527</v>
      </c>
      <c r="F2362" s="5">
        <f>IFERROR(__xludf.DUMMYFUNCTION("""COMPUTED_VALUE"""),0.21543739279588336)</f>
        <v>0.2154373928</v>
      </c>
      <c r="G2362" s="5">
        <f>IFERROR(__xludf.DUMMYFUNCTION("""COMPUTED_VALUE"""),0.1941680960548885)</f>
        <v>0.1941680961</v>
      </c>
      <c r="H2362" s="5">
        <f>IFERROR(__xludf.DUMMYFUNCTION("""COMPUTED_VALUE"""),0.5875796178343949)</f>
        <v>0.5875796178</v>
      </c>
      <c r="I2362" s="11">
        <f>IFERROR(__xludf.DUMMYFUNCTION("""COMPUTED_VALUE"""),6134.394904458599)</f>
        <v>6134.394904</v>
      </c>
      <c r="J2362" s="10">
        <f>IFERROR(__xludf.DUMMYFUNCTION("""COMPUTED_VALUE"""),0.0)</f>
        <v>0</v>
      </c>
      <c r="K2362" s="5">
        <f>IFERROR(__xludf.DUMMYFUNCTION("""COMPUTED_VALUE"""),0.0)</f>
        <v>0</v>
      </c>
      <c r="L2362" s="10">
        <f>IFERROR(__xludf.DUMMYFUNCTION("""COMPUTED_VALUE"""),273.0)</f>
        <v>273</v>
      </c>
      <c r="M2362" s="5">
        <f>IFERROR(__xludf.DUMMYFUNCTION("""COMPUTED_VALUE"""),1.0)</f>
        <v>1</v>
      </c>
    </row>
    <row r="2363">
      <c r="A2363" s="10" t="str">
        <f>IFERROR(__xludf.DUMMYFUNCTION("""COMPUTED_VALUE"""),"スマ")</f>
        <v>スマ</v>
      </c>
      <c r="B2363" s="10">
        <f>IFERROR(__xludf.DUMMYFUNCTION("""COMPUTED_VALUE"""),241.0)</f>
        <v>241</v>
      </c>
      <c r="C2363" s="10">
        <f>IFERROR(__xludf.DUMMYFUNCTION("""COMPUTED_VALUE"""),2833.0)</f>
        <v>2833</v>
      </c>
      <c r="D2363" s="5">
        <f>IFERROR(__xludf.DUMMYFUNCTION("""COMPUTED_VALUE"""),0.32330246913580246)</f>
        <v>0.3233024691</v>
      </c>
      <c r="E2363" s="5">
        <f>IFERROR(__xludf.DUMMYFUNCTION("""COMPUTED_VALUE"""),0.13001543209876543)</f>
        <v>0.1300154321</v>
      </c>
      <c r="F2363" s="5">
        <f>IFERROR(__xludf.DUMMYFUNCTION("""COMPUTED_VALUE"""),0.20679012345679013)</f>
        <v>0.2067901235</v>
      </c>
      <c r="G2363" s="5">
        <f>IFERROR(__xludf.DUMMYFUNCTION("""COMPUTED_VALUE"""),0.15856481481481483)</f>
        <v>0.1585648148</v>
      </c>
      <c r="H2363" s="5">
        <f>IFERROR(__xludf.DUMMYFUNCTION("""COMPUTED_VALUE"""),0.5932835820895522)</f>
        <v>0.5932835821</v>
      </c>
      <c r="I2363" s="11">
        <f>IFERROR(__xludf.DUMMYFUNCTION("""COMPUTED_VALUE"""),5487.5)</f>
        <v>5487.5</v>
      </c>
      <c r="J2363" s="10">
        <f>IFERROR(__xludf.DUMMYFUNCTION("""COMPUTED_VALUE"""),0.0)</f>
        <v>0</v>
      </c>
      <c r="K2363" s="5">
        <f>IFERROR(__xludf.DUMMYFUNCTION("""COMPUTED_VALUE"""),0.0)</f>
        <v>0</v>
      </c>
      <c r="L2363" s="10">
        <f>IFERROR(__xludf.DUMMYFUNCTION("""COMPUTED_VALUE"""),27.0)</f>
        <v>27</v>
      </c>
      <c r="M2363" s="5">
        <f>IFERROR(__xludf.DUMMYFUNCTION("""COMPUTED_VALUE"""),0.11203319502074689)</f>
        <v>0.112033195</v>
      </c>
    </row>
    <row r="2364">
      <c r="A2364" s="10" t="str">
        <f>IFERROR(__xludf.DUMMYFUNCTION("""COMPUTED_VALUE"""),"白夜凜音")</f>
        <v>白夜凜音</v>
      </c>
      <c r="B2364" s="10">
        <f>IFERROR(__xludf.DUMMYFUNCTION("""COMPUTED_VALUE"""),197.0)</f>
        <v>197</v>
      </c>
      <c r="C2364" s="10">
        <f>IFERROR(__xludf.DUMMYFUNCTION("""COMPUTED_VALUE"""),2266.0)</f>
        <v>2266</v>
      </c>
      <c r="D2364" s="5">
        <f>IFERROR(__xludf.DUMMYFUNCTION("""COMPUTED_VALUE"""),0.3818269695505075)</f>
        <v>0.3818269696</v>
      </c>
      <c r="E2364" s="5">
        <f>IFERROR(__xludf.DUMMYFUNCTION("""COMPUTED_VALUE"""),0.13001449975833737)</f>
        <v>0.1300144998</v>
      </c>
      <c r="F2364" s="5">
        <f>IFERROR(__xludf.DUMMYFUNCTION("""COMPUTED_VALUE"""),0.20927984533591107)</f>
        <v>0.2092798453</v>
      </c>
      <c r="G2364" s="5">
        <f>IFERROR(__xludf.DUMMYFUNCTION("""COMPUTED_VALUE"""),0.17254712421459642)</f>
        <v>0.1725471242</v>
      </c>
      <c r="H2364" s="5">
        <f>IFERROR(__xludf.DUMMYFUNCTION("""COMPUTED_VALUE"""),0.6235565819861432)</f>
        <v>0.623556582</v>
      </c>
      <c r="I2364" s="11">
        <f>IFERROR(__xludf.DUMMYFUNCTION("""COMPUTED_VALUE"""),5343.64896073903)</f>
        <v>5343.648961</v>
      </c>
      <c r="J2364" s="10">
        <f>IFERROR(__xludf.DUMMYFUNCTION("""COMPUTED_VALUE"""),0.0)</f>
        <v>0</v>
      </c>
      <c r="K2364" s="5">
        <f>IFERROR(__xludf.DUMMYFUNCTION("""COMPUTED_VALUE"""),0.0)</f>
        <v>0</v>
      </c>
      <c r="L2364" s="10">
        <f>IFERROR(__xludf.DUMMYFUNCTION("""COMPUTED_VALUE"""),0.0)</f>
        <v>0</v>
      </c>
      <c r="M2364" s="5">
        <f>IFERROR(__xludf.DUMMYFUNCTION("""COMPUTED_VALUE"""),0.0)</f>
        <v>0</v>
      </c>
    </row>
    <row r="2365">
      <c r="A2365" s="10" t="str">
        <f>IFERROR(__xludf.DUMMYFUNCTION("""COMPUTED_VALUE"""),"FCPTK")</f>
        <v>FCPTK</v>
      </c>
      <c r="B2365" s="10">
        <f>IFERROR(__xludf.DUMMYFUNCTION("""COMPUTED_VALUE"""),1013.0)</f>
        <v>1013</v>
      </c>
      <c r="C2365" s="10">
        <f>IFERROR(__xludf.DUMMYFUNCTION("""COMPUTED_VALUE"""),12058.0)</f>
        <v>12058</v>
      </c>
      <c r="D2365" s="5">
        <f>IFERROR(__xludf.DUMMYFUNCTION("""COMPUTED_VALUE"""),0.3993662290629244)</f>
        <v>0.3993662291</v>
      </c>
      <c r="E2365" s="5">
        <f>IFERROR(__xludf.DUMMYFUNCTION("""COMPUTED_VALUE"""),0.13001358080579448)</f>
        <v>0.1300135808</v>
      </c>
      <c r="F2365" s="5">
        <f>IFERROR(__xludf.DUMMYFUNCTION("""COMPUTED_VALUE"""),0.2266183793571752)</f>
        <v>0.2266183794</v>
      </c>
      <c r="G2365" s="5">
        <f>IFERROR(__xludf.DUMMYFUNCTION("""COMPUTED_VALUE"""),0.17166138524219104)</f>
        <v>0.1716613852</v>
      </c>
      <c r="H2365" s="5">
        <f>IFERROR(__xludf.DUMMYFUNCTION("""COMPUTED_VALUE"""),0.5777067518977227)</f>
        <v>0.5777067519</v>
      </c>
      <c r="I2365" s="11">
        <f>IFERROR(__xludf.DUMMYFUNCTION("""COMPUTED_VALUE"""),5087.3751498202155)</f>
        <v>5087.37515</v>
      </c>
      <c r="J2365" s="10">
        <f>IFERROR(__xludf.DUMMYFUNCTION("""COMPUTED_VALUE"""),1.0)</f>
        <v>1</v>
      </c>
      <c r="K2365" s="5">
        <f>IFERROR(__xludf.DUMMYFUNCTION("""COMPUTED_VALUE"""),9.871668311944718E-4)</f>
        <v>0.0009871668312</v>
      </c>
      <c r="L2365" s="10">
        <f>IFERROR(__xludf.DUMMYFUNCTION("""COMPUTED_VALUE"""),1013.0)</f>
        <v>1013</v>
      </c>
      <c r="M2365" s="5">
        <f>IFERROR(__xludf.DUMMYFUNCTION("""COMPUTED_VALUE"""),1.0)</f>
        <v>1</v>
      </c>
    </row>
    <row r="2366">
      <c r="A2366" s="10" t="str">
        <f>IFERROR(__xludf.DUMMYFUNCTION("""COMPUTED_VALUE"""),"・歌舞伎町・")</f>
        <v>・歌舞伎町・</v>
      </c>
      <c r="B2366" s="10">
        <f>IFERROR(__xludf.DUMMYFUNCTION("""COMPUTED_VALUE"""),447.0)</f>
        <v>447</v>
      </c>
      <c r="C2366" s="10">
        <f>IFERROR(__xludf.DUMMYFUNCTION("""COMPUTED_VALUE"""),5239.0)</f>
        <v>5239</v>
      </c>
      <c r="D2366" s="5">
        <f>IFERROR(__xludf.DUMMYFUNCTION("""COMPUTED_VALUE"""),0.375)</f>
        <v>0.375</v>
      </c>
      <c r="E2366" s="5">
        <f>IFERROR(__xludf.DUMMYFUNCTION("""COMPUTED_VALUE"""),0.13000834724540902)</f>
        <v>0.1300083472</v>
      </c>
      <c r="F2366" s="5">
        <f>IFERROR(__xludf.DUMMYFUNCTION("""COMPUTED_VALUE"""),0.22537562604340566)</f>
        <v>0.225375626</v>
      </c>
      <c r="G2366" s="5">
        <f>IFERROR(__xludf.DUMMYFUNCTION("""COMPUTED_VALUE"""),0.166110183639399)</f>
        <v>0.1661101836</v>
      </c>
      <c r="H2366" s="5">
        <f>IFERROR(__xludf.DUMMYFUNCTION("""COMPUTED_VALUE"""),0.6148148148148148)</f>
        <v>0.6148148148</v>
      </c>
      <c r="I2366" s="11">
        <f>IFERROR(__xludf.DUMMYFUNCTION("""COMPUTED_VALUE"""),5437.685185185185)</f>
        <v>5437.685185</v>
      </c>
      <c r="J2366" s="10">
        <f>IFERROR(__xludf.DUMMYFUNCTION("""COMPUTED_VALUE"""),0.0)</f>
        <v>0</v>
      </c>
      <c r="K2366" s="5">
        <f>IFERROR(__xludf.DUMMYFUNCTION("""COMPUTED_VALUE"""),0.0)</f>
        <v>0</v>
      </c>
      <c r="L2366" s="10">
        <f>IFERROR(__xludf.DUMMYFUNCTION("""COMPUTED_VALUE"""),447.0)</f>
        <v>447</v>
      </c>
      <c r="M2366" s="5">
        <f>IFERROR(__xludf.DUMMYFUNCTION("""COMPUTED_VALUE"""),1.0)</f>
        <v>1</v>
      </c>
    </row>
    <row r="2367">
      <c r="A2367" s="10" t="str">
        <f>IFERROR(__xludf.DUMMYFUNCTION("""COMPUTED_VALUE"""),"Noie")</f>
        <v>Noie</v>
      </c>
      <c r="B2367" s="10">
        <f>IFERROR(__xludf.DUMMYFUNCTION("""COMPUTED_VALUE"""),517.0)</f>
        <v>517</v>
      </c>
      <c r="C2367" s="10">
        <f>IFERROR(__xludf.DUMMYFUNCTION("""COMPUTED_VALUE"""),6040.0)</f>
        <v>6040</v>
      </c>
      <c r="D2367" s="5">
        <f>IFERROR(__xludf.DUMMYFUNCTION("""COMPUTED_VALUE"""),0.2989317399963788)</f>
        <v>0.29893174</v>
      </c>
      <c r="E2367" s="5">
        <f>IFERROR(__xludf.DUMMYFUNCTION("""COMPUTED_VALUE"""),0.13000181061017563)</f>
        <v>0.1300018106</v>
      </c>
      <c r="F2367" s="5">
        <f>IFERROR(__xludf.DUMMYFUNCTION("""COMPUTED_VALUE"""),0.19934818033677348)</f>
        <v>0.1993481803</v>
      </c>
      <c r="G2367" s="5">
        <f>IFERROR(__xludf.DUMMYFUNCTION("""COMPUTED_VALUE"""),0.17255114973746152)</f>
        <v>0.1725511497</v>
      </c>
      <c r="H2367" s="5">
        <f>IFERROR(__xludf.DUMMYFUNCTION("""COMPUTED_VALUE"""),0.5812897366030881)</f>
        <v>0.5812897366</v>
      </c>
      <c r="I2367" s="11">
        <f>IFERROR(__xludf.DUMMYFUNCTION("""COMPUTED_VALUE"""),6009.264305177112)</f>
        <v>6009.264305</v>
      </c>
      <c r="J2367" s="10">
        <f>IFERROR(__xludf.DUMMYFUNCTION("""COMPUTED_VALUE"""),1.0)</f>
        <v>1</v>
      </c>
      <c r="K2367" s="5">
        <f>IFERROR(__xludf.DUMMYFUNCTION("""COMPUTED_VALUE"""),0.0019342359767891683)</f>
        <v>0.001934235977</v>
      </c>
      <c r="L2367" s="10">
        <f>IFERROR(__xludf.DUMMYFUNCTION("""COMPUTED_VALUE"""),430.0)</f>
        <v>430</v>
      </c>
      <c r="M2367" s="5">
        <f>IFERROR(__xludf.DUMMYFUNCTION("""COMPUTED_VALUE"""),0.8317214700193424)</f>
        <v>0.83172147</v>
      </c>
    </row>
    <row r="2368">
      <c r="A2368" s="10" t="str">
        <f>IFERROR(__xludf.DUMMYFUNCTION("""COMPUTED_VALUE"""),"かき")</f>
        <v>かき</v>
      </c>
      <c r="B2368" s="10">
        <f>IFERROR(__xludf.DUMMYFUNCTION("""COMPUTED_VALUE"""),1993.0)</f>
        <v>1993</v>
      </c>
      <c r="C2368" s="10">
        <f>IFERROR(__xludf.DUMMYFUNCTION("""COMPUTED_VALUE"""),23525.0)</f>
        <v>23525</v>
      </c>
      <c r="D2368" s="5">
        <f>IFERROR(__xludf.DUMMYFUNCTION("""COMPUTED_VALUE"""),0.3907207876648709)</f>
        <v>0.3907207877</v>
      </c>
      <c r="E2368" s="5">
        <f>IFERROR(__xludf.DUMMYFUNCTION("""COMPUTED_VALUE"""),0.12999256919933122)</f>
        <v>0.1299925692</v>
      </c>
      <c r="F2368" s="5">
        <f>IFERROR(__xludf.DUMMYFUNCTION("""COMPUTED_VALUE"""),0.21702582203232398)</f>
        <v>0.217025822</v>
      </c>
      <c r="G2368" s="5">
        <f>IFERROR(__xludf.DUMMYFUNCTION("""COMPUTED_VALUE"""),0.16092327698309492)</f>
        <v>0.160923277</v>
      </c>
      <c r="H2368" s="5">
        <f>IFERROR(__xludf.DUMMYFUNCTION("""COMPUTED_VALUE"""),0.6113845495399102)</f>
        <v>0.6113845495</v>
      </c>
      <c r="I2368" s="11">
        <f>IFERROR(__xludf.DUMMYFUNCTION("""COMPUTED_VALUE"""),5440.166916327841)</f>
        <v>5440.166916</v>
      </c>
      <c r="J2368" s="10">
        <f>IFERROR(__xludf.DUMMYFUNCTION("""COMPUTED_VALUE"""),3.0)</f>
        <v>3</v>
      </c>
      <c r="K2368" s="5">
        <f>IFERROR(__xludf.DUMMYFUNCTION("""COMPUTED_VALUE"""),0.0015052684395383843)</f>
        <v>0.00150526844</v>
      </c>
      <c r="L2368" s="10">
        <f>IFERROR(__xludf.DUMMYFUNCTION("""COMPUTED_VALUE"""),1993.0)</f>
        <v>1993</v>
      </c>
      <c r="M2368" s="5">
        <f>IFERROR(__xludf.DUMMYFUNCTION("""COMPUTED_VALUE"""),1.0)</f>
        <v>1</v>
      </c>
    </row>
    <row r="2369">
      <c r="A2369" s="10" t="str">
        <f>IFERROR(__xludf.DUMMYFUNCTION("""COMPUTED_VALUE"""),"doooowy")</f>
        <v>doooowy</v>
      </c>
      <c r="B2369" s="10">
        <f>IFERROR(__xludf.DUMMYFUNCTION("""COMPUTED_VALUE"""),2021.0)</f>
        <v>2021</v>
      </c>
      <c r="C2369" s="10">
        <f>IFERROR(__xludf.DUMMYFUNCTION("""COMPUTED_VALUE"""),24061.0)</f>
        <v>24061</v>
      </c>
      <c r="D2369" s="5">
        <f>IFERROR(__xludf.DUMMYFUNCTION("""COMPUTED_VALUE"""),0.3534029038112523)</f>
        <v>0.3534029038</v>
      </c>
      <c r="E2369" s="5">
        <f>IFERROR(__xludf.DUMMYFUNCTION("""COMPUTED_VALUE"""),0.12999092558983666)</f>
        <v>0.1299909256</v>
      </c>
      <c r="F2369" s="5">
        <f>IFERROR(__xludf.DUMMYFUNCTION("""COMPUTED_VALUE"""),0.21855716878402903)</f>
        <v>0.2185571688</v>
      </c>
      <c r="G2369" s="5">
        <f>IFERROR(__xludf.DUMMYFUNCTION("""COMPUTED_VALUE"""),0.17304900181488203)</f>
        <v>0.1730490018</v>
      </c>
      <c r="H2369" s="5">
        <f>IFERROR(__xludf.DUMMYFUNCTION("""COMPUTED_VALUE"""),0.60597882499481)</f>
        <v>0.605978825</v>
      </c>
      <c r="I2369" s="11">
        <f>IFERROR(__xludf.DUMMYFUNCTION("""COMPUTED_VALUE"""),5316.483288353747)</f>
        <v>5316.483288</v>
      </c>
      <c r="J2369" s="10">
        <f>IFERROR(__xludf.DUMMYFUNCTION("""COMPUTED_VALUE"""),5.0)</f>
        <v>5</v>
      </c>
      <c r="K2369" s="5">
        <f>IFERROR(__xludf.DUMMYFUNCTION("""COMPUTED_VALUE"""),0.002474022761009401)</f>
        <v>0.002474022761</v>
      </c>
      <c r="L2369" s="10">
        <f>IFERROR(__xludf.DUMMYFUNCTION("""COMPUTED_VALUE"""),2021.0)</f>
        <v>2021</v>
      </c>
      <c r="M2369" s="5">
        <f>IFERROR(__xludf.DUMMYFUNCTION("""COMPUTED_VALUE"""),1.0)</f>
        <v>1</v>
      </c>
    </row>
    <row r="2370">
      <c r="A2370" s="10" t="str">
        <f>IFERROR(__xludf.DUMMYFUNCTION("""COMPUTED_VALUE"""),"HIBIKIN")</f>
        <v>HIBIKIN</v>
      </c>
      <c r="B2370" s="10">
        <f>IFERROR(__xludf.DUMMYFUNCTION("""COMPUTED_VALUE"""),529.0)</f>
        <v>529</v>
      </c>
      <c r="C2370" s="10">
        <f>IFERROR(__xludf.DUMMYFUNCTION("""COMPUTED_VALUE"""),6122.0)</f>
        <v>6122</v>
      </c>
      <c r="D2370" s="5">
        <f>IFERROR(__xludf.DUMMYFUNCTION("""COMPUTED_VALUE"""),0.3726086179152512)</f>
        <v>0.3726086179</v>
      </c>
      <c r="E2370" s="5">
        <f>IFERROR(__xludf.DUMMYFUNCTION("""COMPUTED_VALUE"""),0.1299839084569998)</f>
        <v>0.1299839085</v>
      </c>
      <c r="F2370" s="5">
        <f>IFERROR(__xludf.DUMMYFUNCTION("""COMPUTED_VALUE"""),0.20328982656892544)</f>
        <v>0.2032898266</v>
      </c>
      <c r="G2370" s="5">
        <f>IFERROR(__xludf.DUMMYFUNCTION("""COMPUTED_VALUE"""),0.16091543000178796)</f>
        <v>0.16091543</v>
      </c>
      <c r="H2370" s="5">
        <f>IFERROR(__xludf.DUMMYFUNCTION("""COMPUTED_VALUE"""),0.6094986807387863)</f>
        <v>0.6094986807</v>
      </c>
      <c r="I2370" s="11">
        <f>IFERROR(__xludf.DUMMYFUNCTION("""COMPUTED_VALUE"""),6143.359718557608)</f>
        <v>6143.359719</v>
      </c>
      <c r="J2370" s="10">
        <f>IFERROR(__xludf.DUMMYFUNCTION("""COMPUTED_VALUE"""),2.0)</f>
        <v>2</v>
      </c>
      <c r="K2370" s="5">
        <f>IFERROR(__xludf.DUMMYFUNCTION("""COMPUTED_VALUE"""),0.003780718336483932)</f>
        <v>0.003780718336</v>
      </c>
      <c r="L2370" s="10">
        <f>IFERROR(__xludf.DUMMYFUNCTION("""COMPUTED_VALUE"""),529.0)</f>
        <v>529</v>
      </c>
      <c r="M2370" s="5">
        <f>IFERROR(__xludf.DUMMYFUNCTION("""COMPUTED_VALUE"""),1.0)</f>
        <v>1</v>
      </c>
    </row>
    <row r="2371">
      <c r="A2371" s="10" t="str">
        <f>IFERROR(__xludf.DUMMYFUNCTION("""COMPUTED_VALUE"""),"♯みや♯")</f>
        <v>♯みや♯</v>
      </c>
      <c r="B2371" s="10">
        <f>IFERROR(__xludf.DUMMYFUNCTION("""COMPUTED_VALUE"""),223.0)</f>
        <v>223</v>
      </c>
      <c r="C2371" s="10">
        <f>IFERROR(__xludf.DUMMYFUNCTION("""COMPUTED_VALUE"""),2608.0)</f>
        <v>2608</v>
      </c>
      <c r="D2371" s="5">
        <f>IFERROR(__xludf.DUMMYFUNCTION("""COMPUTED_VALUE"""),0.32914046121593293)</f>
        <v>0.3291404612</v>
      </c>
      <c r="E2371" s="5">
        <f>IFERROR(__xludf.DUMMYFUNCTION("""COMPUTED_VALUE"""),0.129979035639413)</f>
        <v>0.1299790356</v>
      </c>
      <c r="F2371" s="5">
        <f>IFERROR(__xludf.DUMMYFUNCTION("""COMPUTED_VALUE"""),0.2222222222222222)</f>
        <v>0.2222222222</v>
      </c>
      <c r="G2371" s="5">
        <f>IFERROR(__xludf.DUMMYFUNCTION("""COMPUTED_VALUE"""),0.1949685534591195)</f>
        <v>0.1949685535</v>
      </c>
      <c r="H2371" s="5">
        <f>IFERROR(__xludf.DUMMYFUNCTION("""COMPUTED_VALUE"""),0.590566037735849)</f>
        <v>0.5905660377</v>
      </c>
      <c r="I2371" s="11">
        <f>IFERROR(__xludf.DUMMYFUNCTION("""COMPUTED_VALUE"""),5922.641509433963)</f>
        <v>5922.641509</v>
      </c>
      <c r="J2371" s="10">
        <f>IFERROR(__xludf.DUMMYFUNCTION("""COMPUTED_VALUE"""),0.0)</f>
        <v>0</v>
      </c>
      <c r="K2371" s="5">
        <f>IFERROR(__xludf.DUMMYFUNCTION("""COMPUTED_VALUE"""),0.0)</f>
        <v>0</v>
      </c>
      <c r="L2371" s="10">
        <f>IFERROR(__xludf.DUMMYFUNCTION("""COMPUTED_VALUE"""),87.0)</f>
        <v>87</v>
      </c>
      <c r="M2371" s="5">
        <f>IFERROR(__xludf.DUMMYFUNCTION("""COMPUTED_VALUE"""),0.3901345291479821)</f>
        <v>0.3901345291</v>
      </c>
    </row>
    <row r="2372">
      <c r="A2372" s="10" t="str">
        <f>IFERROR(__xludf.DUMMYFUNCTION("""COMPUTED_VALUE"""),"リスッチ")</f>
        <v>リスッチ</v>
      </c>
      <c r="B2372" s="10">
        <f>IFERROR(__xludf.DUMMYFUNCTION("""COMPUTED_VALUE"""),567.0)</f>
        <v>567</v>
      </c>
      <c r="C2372" s="10">
        <f>IFERROR(__xludf.DUMMYFUNCTION("""COMPUTED_VALUE"""),6684.0)</f>
        <v>6684</v>
      </c>
      <c r="D2372" s="5">
        <f>IFERROR(__xludf.DUMMYFUNCTION("""COMPUTED_VALUE"""),0.32564982834722905)</f>
        <v>0.3256498283</v>
      </c>
      <c r="E2372" s="5">
        <f>IFERROR(__xludf.DUMMYFUNCTION("""COMPUTED_VALUE"""),0.12996566944580676)</f>
        <v>0.1299656694</v>
      </c>
      <c r="F2372" s="5">
        <f>IFERROR(__xludf.DUMMYFUNCTION("""COMPUTED_VALUE"""),0.19666503187837175)</f>
        <v>0.1966650319</v>
      </c>
      <c r="G2372" s="5">
        <f>IFERROR(__xludf.DUMMYFUNCTION("""COMPUTED_VALUE"""),0.16151708353768188)</f>
        <v>0.1615170835</v>
      </c>
      <c r="H2372" s="5">
        <f>IFERROR(__xludf.DUMMYFUNCTION("""COMPUTED_VALUE"""),0.5785536159600998)</f>
        <v>0.578553616</v>
      </c>
      <c r="I2372" s="11">
        <f>IFERROR(__xludf.DUMMYFUNCTION("""COMPUTED_VALUE"""),5999.251870324189)</f>
        <v>5999.25187</v>
      </c>
      <c r="J2372" s="10">
        <f>IFERROR(__xludf.DUMMYFUNCTION("""COMPUTED_VALUE"""),2.0)</f>
        <v>2</v>
      </c>
      <c r="K2372" s="5">
        <f>IFERROR(__xludf.DUMMYFUNCTION("""COMPUTED_VALUE"""),0.003527336860670194)</f>
        <v>0.003527336861</v>
      </c>
      <c r="L2372" s="10">
        <f>IFERROR(__xludf.DUMMYFUNCTION("""COMPUTED_VALUE"""),181.0)</f>
        <v>181</v>
      </c>
      <c r="M2372" s="5">
        <f>IFERROR(__xludf.DUMMYFUNCTION("""COMPUTED_VALUE"""),0.31922398589065254)</f>
        <v>0.3192239859</v>
      </c>
    </row>
    <row r="2373">
      <c r="A2373" s="10" t="str">
        <f>IFERROR(__xludf.DUMMYFUNCTION("""COMPUTED_VALUE"""),"het")</f>
        <v>het</v>
      </c>
      <c r="B2373" s="10">
        <f>IFERROR(__xludf.DUMMYFUNCTION("""COMPUTED_VALUE"""),4340.0)</f>
        <v>4340</v>
      </c>
      <c r="C2373" s="10">
        <f>IFERROR(__xludf.DUMMYFUNCTION("""COMPUTED_VALUE"""),50670.0)</f>
        <v>50670</v>
      </c>
      <c r="D2373" s="5">
        <f>IFERROR(__xludf.DUMMYFUNCTION("""COMPUTED_VALUE"""),0.34903949924454997)</f>
        <v>0.3490394992</v>
      </c>
      <c r="E2373" s="5">
        <f>IFERROR(__xludf.DUMMYFUNCTION("""COMPUTED_VALUE"""),0.1299589898553853)</f>
        <v>0.1299589899</v>
      </c>
      <c r="F2373" s="5">
        <f>IFERROR(__xludf.DUMMYFUNCTION("""COMPUTED_VALUE"""),0.2119576947981869)</f>
        <v>0.2119576948</v>
      </c>
      <c r="G2373" s="5">
        <f>IFERROR(__xludf.DUMMYFUNCTION("""COMPUTED_VALUE"""),0.17943017483272178)</f>
        <v>0.1794301748</v>
      </c>
      <c r="H2373" s="5">
        <f>IFERROR(__xludf.DUMMYFUNCTION("""COMPUTED_VALUE"""),0.5936863543788188)</f>
        <v>0.5936863544</v>
      </c>
      <c r="I2373" s="11">
        <f>IFERROR(__xludf.DUMMYFUNCTION("""COMPUTED_VALUE"""),5663.177189409369)</f>
        <v>5663.177189</v>
      </c>
      <c r="J2373" s="10">
        <f>IFERROR(__xludf.DUMMYFUNCTION("""COMPUTED_VALUE"""),8.0)</f>
        <v>8</v>
      </c>
      <c r="K2373" s="5">
        <f>IFERROR(__xludf.DUMMYFUNCTION("""COMPUTED_VALUE"""),0.0018433179723502304)</f>
        <v>0.001843317972</v>
      </c>
      <c r="L2373" s="10">
        <f>IFERROR(__xludf.DUMMYFUNCTION("""COMPUTED_VALUE"""),4340.0)</f>
        <v>4340</v>
      </c>
      <c r="M2373" s="5">
        <f>IFERROR(__xludf.DUMMYFUNCTION("""COMPUTED_VALUE"""),1.0)</f>
        <v>1</v>
      </c>
    </row>
    <row r="2374">
      <c r="A2374" s="10" t="str">
        <f>IFERROR(__xludf.DUMMYFUNCTION("""COMPUTED_VALUE"""),"erogreen")</f>
        <v>erogreen</v>
      </c>
      <c r="B2374" s="10">
        <f>IFERROR(__xludf.DUMMYFUNCTION("""COMPUTED_VALUE"""),483.0)</f>
        <v>483</v>
      </c>
      <c r="C2374" s="10">
        <f>IFERROR(__xludf.DUMMYFUNCTION("""COMPUTED_VALUE"""),5654.0)</f>
        <v>5654</v>
      </c>
      <c r="D2374" s="5">
        <f>IFERROR(__xludf.DUMMYFUNCTION("""COMPUTED_VALUE"""),0.30690388706246374)</f>
        <v>0.3069038871</v>
      </c>
      <c r="E2374" s="5">
        <f>IFERROR(__xludf.DUMMYFUNCTION("""COMPUTED_VALUE"""),0.12995552117578804)</f>
        <v>0.1299555212</v>
      </c>
      <c r="F2374" s="5">
        <f>IFERROR(__xludf.DUMMYFUNCTION("""COMPUTED_VALUE"""),0.21601237671630247)</f>
        <v>0.2160123767</v>
      </c>
      <c r="G2374" s="5">
        <f>IFERROR(__xludf.DUMMYFUNCTION("""COMPUTED_VALUE"""),0.17540127634886868)</f>
        <v>0.1754012763</v>
      </c>
      <c r="H2374" s="5">
        <f>IFERROR(__xludf.DUMMYFUNCTION("""COMPUTED_VALUE"""),0.5926589077887198)</f>
        <v>0.5926589078</v>
      </c>
      <c r="I2374" s="11">
        <f>IFERROR(__xludf.DUMMYFUNCTION("""COMPUTED_VALUE"""),5759.9820948970455)</f>
        <v>5759.982095</v>
      </c>
      <c r="J2374" s="10">
        <f>IFERROR(__xludf.DUMMYFUNCTION("""COMPUTED_VALUE"""),1.0)</f>
        <v>1</v>
      </c>
      <c r="K2374" s="5">
        <f>IFERROR(__xludf.DUMMYFUNCTION("""COMPUTED_VALUE"""),0.002070393374741201)</f>
        <v>0.002070393375</v>
      </c>
      <c r="L2374" s="10">
        <f>IFERROR(__xludf.DUMMYFUNCTION("""COMPUTED_VALUE"""),483.0)</f>
        <v>483</v>
      </c>
      <c r="M2374" s="5">
        <f>IFERROR(__xludf.DUMMYFUNCTION("""COMPUTED_VALUE"""),1.0)</f>
        <v>1</v>
      </c>
    </row>
    <row r="2375">
      <c r="A2375" s="10" t="str">
        <f>IFERROR(__xludf.DUMMYFUNCTION("""COMPUTED_VALUE"""),"熱烈歓迎蛇者")</f>
        <v>熱烈歓迎蛇者</v>
      </c>
      <c r="B2375" s="10">
        <f>IFERROR(__xludf.DUMMYFUNCTION("""COMPUTED_VALUE"""),117.0)</f>
        <v>117</v>
      </c>
      <c r="C2375" s="10">
        <f>IFERROR(__xludf.DUMMYFUNCTION("""COMPUTED_VALUE"""),1379.0)</f>
        <v>1379</v>
      </c>
      <c r="D2375" s="5">
        <f>IFERROR(__xludf.DUMMYFUNCTION("""COMPUTED_VALUE"""),0.36053882725832015)</f>
        <v>0.3605388273</v>
      </c>
      <c r="E2375" s="5">
        <f>IFERROR(__xludf.DUMMYFUNCTION("""COMPUTED_VALUE"""),0.12995245641838352)</f>
        <v>0.1299524564</v>
      </c>
      <c r="F2375" s="5">
        <f>IFERROR(__xludf.DUMMYFUNCTION("""COMPUTED_VALUE"""),0.21315372424722662)</f>
        <v>0.2131537242</v>
      </c>
      <c r="G2375" s="5">
        <f>IFERROR(__xludf.DUMMYFUNCTION("""COMPUTED_VALUE"""),0.20839936608557844)</f>
        <v>0.2083993661</v>
      </c>
      <c r="H2375" s="5">
        <f>IFERROR(__xludf.DUMMYFUNCTION("""COMPUTED_VALUE"""),0.5985130111524164)</f>
        <v>0.5985130112</v>
      </c>
      <c r="I2375" s="11">
        <f>IFERROR(__xludf.DUMMYFUNCTION("""COMPUTED_VALUE"""),5339.033457249071)</f>
        <v>5339.033457</v>
      </c>
      <c r="J2375" s="10">
        <f>IFERROR(__xludf.DUMMYFUNCTION("""COMPUTED_VALUE"""),2.0)</f>
        <v>2</v>
      </c>
      <c r="K2375" s="5">
        <f>IFERROR(__xludf.DUMMYFUNCTION("""COMPUTED_VALUE"""),0.017094017094017096)</f>
        <v>0.01709401709</v>
      </c>
      <c r="L2375" s="10">
        <f>IFERROR(__xludf.DUMMYFUNCTION("""COMPUTED_VALUE"""),117.0)</f>
        <v>117</v>
      </c>
      <c r="M2375" s="5">
        <f>IFERROR(__xludf.DUMMYFUNCTION("""COMPUTED_VALUE"""),1.0)</f>
        <v>1</v>
      </c>
    </row>
    <row r="2376">
      <c r="A2376" s="10" t="str">
        <f>IFERROR(__xludf.DUMMYFUNCTION("""COMPUTED_VALUE"""),"Dingo")</f>
        <v>Dingo</v>
      </c>
      <c r="B2376" s="10">
        <f>IFERROR(__xludf.DUMMYFUNCTION("""COMPUTED_VALUE"""),510.0)</f>
        <v>510</v>
      </c>
      <c r="C2376" s="10">
        <f>IFERROR(__xludf.DUMMYFUNCTION("""COMPUTED_VALUE"""),5912.0)</f>
        <v>5912</v>
      </c>
      <c r="D2376" s="5">
        <f>IFERROR(__xludf.DUMMYFUNCTION("""COMPUTED_VALUE"""),0.3341355053683821)</f>
        <v>0.3341355054</v>
      </c>
      <c r="E2376" s="5">
        <f>IFERROR(__xludf.DUMMYFUNCTION("""COMPUTED_VALUE"""),0.12995186967789707)</f>
        <v>0.1299518697</v>
      </c>
      <c r="F2376" s="5">
        <f>IFERROR(__xludf.DUMMYFUNCTION("""COMPUTED_VALUE"""),0.21140318400592373)</f>
        <v>0.211403184</v>
      </c>
      <c r="G2376" s="5">
        <f>IFERROR(__xludf.DUMMYFUNCTION("""COMPUTED_VALUE"""),0.158830062939652)</f>
        <v>0.1588300629</v>
      </c>
      <c r="H2376" s="5">
        <f>IFERROR(__xludf.DUMMYFUNCTION("""COMPUTED_VALUE"""),0.5928196147110333)</f>
        <v>0.5928196147</v>
      </c>
      <c r="I2376" s="11">
        <f>IFERROR(__xludf.DUMMYFUNCTION("""COMPUTED_VALUE"""),5458.493870402802)</f>
        <v>5458.49387</v>
      </c>
      <c r="J2376" s="10">
        <f>IFERROR(__xludf.DUMMYFUNCTION("""COMPUTED_VALUE"""),0.0)</f>
        <v>0</v>
      </c>
      <c r="K2376" s="5">
        <f>IFERROR(__xludf.DUMMYFUNCTION("""COMPUTED_VALUE"""),0.0)</f>
        <v>0</v>
      </c>
      <c r="L2376" s="10">
        <f>IFERROR(__xludf.DUMMYFUNCTION("""COMPUTED_VALUE"""),510.0)</f>
        <v>510</v>
      </c>
      <c r="M2376" s="5">
        <f>IFERROR(__xludf.DUMMYFUNCTION("""COMPUTED_VALUE"""),1.0)</f>
        <v>1</v>
      </c>
    </row>
    <row r="2377">
      <c r="A2377" s="10" t="str">
        <f>IFERROR(__xludf.DUMMYFUNCTION("""COMPUTED_VALUE"""),"リョオ")</f>
        <v>リョオ</v>
      </c>
      <c r="B2377" s="10">
        <f>IFERROR(__xludf.DUMMYFUNCTION("""COMPUTED_VALUE"""),354.0)</f>
        <v>354</v>
      </c>
      <c r="C2377" s="10">
        <f>IFERROR(__xludf.DUMMYFUNCTION("""COMPUTED_VALUE"""),4194.0)</f>
        <v>4194</v>
      </c>
      <c r="D2377" s="5">
        <f>IFERROR(__xludf.DUMMYFUNCTION("""COMPUTED_VALUE"""),0.40260416666666665)</f>
        <v>0.4026041667</v>
      </c>
      <c r="E2377" s="5">
        <f>IFERROR(__xludf.DUMMYFUNCTION("""COMPUTED_VALUE"""),0.12994791666666666)</f>
        <v>0.1299479167</v>
      </c>
      <c r="F2377" s="5">
        <f>IFERROR(__xludf.DUMMYFUNCTION("""COMPUTED_VALUE"""),0.22578125)</f>
        <v>0.22578125</v>
      </c>
      <c r="G2377" s="5">
        <f>IFERROR(__xludf.DUMMYFUNCTION("""COMPUTED_VALUE"""),0.16614583333333333)</f>
        <v>0.1661458333</v>
      </c>
      <c r="H2377" s="5">
        <f>IFERROR(__xludf.DUMMYFUNCTION("""COMPUTED_VALUE"""),0.5963091118800461)</f>
        <v>0.5963091119</v>
      </c>
      <c r="I2377" s="11">
        <f>IFERROR(__xludf.DUMMYFUNCTION("""COMPUTED_VALUE"""),5296.309111880046)</f>
        <v>5296.309112</v>
      </c>
      <c r="J2377" s="10">
        <f>IFERROR(__xludf.DUMMYFUNCTION("""COMPUTED_VALUE"""),0.0)</f>
        <v>0</v>
      </c>
      <c r="K2377" s="5">
        <f>IFERROR(__xludf.DUMMYFUNCTION("""COMPUTED_VALUE"""),0.0)</f>
        <v>0</v>
      </c>
      <c r="L2377" s="10">
        <f>IFERROR(__xludf.DUMMYFUNCTION("""COMPUTED_VALUE"""),354.0)</f>
        <v>354</v>
      </c>
      <c r="M2377" s="5">
        <f>IFERROR(__xludf.DUMMYFUNCTION("""COMPUTED_VALUE"""),1.0)</f>
        <v>1</v>
      </c>
    </row>
    <row r="2378">
      <c r="A2378" s="10" t="str">
        <f>IFERROR(__xludf.DUMMYFUNCTION("""COMPUTED_VALUE"""),"天女ちゃん*⌒☆")</f>
        <v>天女ちゃん*⌒☆</v>
      </c>
      <c r="B2378" s="10">
        <f>IFERROR(__xludf.DUMMYFUNCTION("""COMPUTED_VALUE"""),170.0)</f>
        <v>170</v>
      </c>
      <c r="C2378" s="10">
        <f>IFERROR(__xludf.DUMMYFUNCTION("""COMPUTED_VALUE"""),2017.0)</f>
        <v>2017</v>
      </c>
      <c r="D2378" s="5">
        <f>IFERROR(__xludf.DUMMYFUNCTION("""COMPUTED_VALUE"""),0.3345966432051976)</f>
        <v>0.3345966432</v>
      </c>
      <c r="E2378" s="5">
        <f>IFERROR(__xludf.DUMMYFUNCTION("""COMPUTED_VALUE"""),0.12994044396318355)</f>
        <v>0.129940444</v>
      </c>
      <c r="F2378" s="5">
        <f>IFERROR(__xludf.DUMMYFUNCTION("""COMPUTED_VALUE"""),0.2333513806172171)</f>
        <v>0.2333513806</v>
      </c>
      <c r="G2378" s="5">
        <f>IFERROR(__xludf.DUMMYFUNCTION("""COMPUTED_VALUE"""),0.2441797509474824)</f>
        <v>0.2441797509</v>
      </c>
      <c r="H2378" s="5">
        <f>IFERROR(__xludf.DUMMYFUNCTION("""COMPUTED_VALUE"""),0.6078886310904872)</f>
        <v>0.6078886311</v>
      </c>
      <c r="I2378" s="11">
        <f>IFERROR(__xludf.DUMMYFUNCTION("""COMPUTED_VALUE"""),5583.294663573086)</f>
        <v>5583.294664</v>
      </c>
      <c r="J2378" s="10">
        <f>IFERROR(__xludf.DUMMYFUNCTION("""COMPUTED_VALUE"""),0.0)</f>
        <v>0</v>
      </c>
      <c r="K2378" s="5">
        <f>IFERROR(__xludf.DUMMYFUNCTION("""COMPUTED_VALUE"""),0.0)</f>
        <v>0</v>
      </c>
      <c r="L2378" s="10">
        <f>IFERROR(__xludf.DUMMYFUNCTION("""COMPUTED_VALUE"""),0.0)</f>
        <v>0</v>
      </c>
      <c r="M2378" s="5">
        <f>IFERROR(__xludf.DUMMYFUNCTION("""COMPUTED_VALUE"""),0.0)</f>
        <v>0</v>
      </c>
    </row>
    <row r="2379">
      <c r="A2379" s="10" t="str">
        <f>IFERROR(__xludf.DUMMYFUNCTION("""COMPUTED_VALUE"""),"くっすん")</f>
        <v>くっすん</v>
      </c>
      <c r="B2379" s="10">
        <f>IFERROR(__xludf.DUMMYFUNCTION("""COMPUTED_VALUE"""),155.0)</f>
        <v>155</v>
      </c>
      <c r="C2379" s="10">
        <f>IFERROR(__xludf.DUMMYFUNCTION("""COMPUTED_VALUE"""),1825.0)</f>
        <v>1825</v>
      </c>
      <c r="D2379" s="5">
        <f>IFERROR(__xludf.DUMMYFUNCTION("""COMPUTED_VALUE"""),0.307185628742515)</f>
        <v>0.3071856287</v>
      </c>
      <c r="E2379" s="5">
        <f>IFERROR(__xludf.DUMMYFUNCTION("""COMPUTED_VALUE"""),0.12994011976047903)</f>
        <v>0.1299401198</v>
      </c>
      <c r="F2379" s="5">
        <f>IFERROR(__xludf.DUMMYFUNCTION("""COMPUTED_VALUE"""),0.18862275449101795)</f>
        <v>0.1886227545</v>
      </c>
      <c r="G2379" s="5">
        <f>IFERROR(__xludf.DUMMYFUNCTION("""COMPUTED_VALUE"""),0.14011976047904193)</f>
        <v>0.1401197605</v>
      </c>
      <c r="H2379" s="5">
        <f>IFERROR(__xludf.DUMMYFUNCTION("""COMPUTED_VALUE"""),0.5968253968253968)</f>
        <v>0.5968253968</v>
      </c>
      <c r="I2379" s="11">
        <f>IFERROR(__xludf.DUMMYFUNCTION("""COMPUTED_VALUE"""),5773.9682539682535)</f>
        <v>5773.968254</v>
      </c>
      <c r="J2379" s="10">
        <f>IFERROR(__xludf.DUMMYFUNCTION("""COMPUTED_VALUE"""),0.0)</f>
        <v>0</v>
      </c>
      <c r="K2379" s="5">
        <f>IFERROR(__xludf.DUMMYFUNCTION("""COMPUTED_VALUE"""),0.0)</f>
        <v>0</v>
      </c>
      <c r="L2379" s="10">
        <f>IFERROR(__xludf.DUMMYFUNCTION("""COMPUTED_VALUE"""),155.0)</f>
        <v>155</v>
      </c>
      <c r="M2379" s="5">
        <f>IFERROR(__xludf.DUMMYFUNCTION("""COMPUTED_VALUE"""),1.0)</f>
        <v>1</v>
      </c>
    </row>
    <row r="2380">
      <c r="A2380" s="10" t="str">
        <f>IFERROR(__xludf.DUMMYFUNCTION("""COMPUTED_VALUE"""),"連刻")</f>
        <v>連刻</v>
      </c>
      <c r="B2380" s="10">
        <f>IFERROR(__xludf.DUMMYFUNCTION("""COMPUTED_VALUE"""),1025.0)</f>
        <v>1025</v>
      </c>
      <c r="C2380" s="10">
        <f>IFERROR(__xludf.DUMMYFUNCTION("""COMPUTED_VALUE"""),12146.0)</f>
        <v>12146</v>
      </c>
      <c r="D2380" s="5">
        <f>IFERROR(__xludf.DUMMYFUNCTION("""COMPUTED_VALUE"""),0.37442676018343674)</f>
        <v>0.3744267602</v>
      </c>
      <c r="E2380" s="5">
        <f>IFERROR(__xludf.DUMMYFUNCTION("""COMPUTED_VALUE"""),0.1299343584210053)</f>
        <v>0.1299343584</v>
      </c>
      <c r="F2380" s="5">
        <f>IFERROR(__xludf.DUMMYFUNCTION("""COMPUTED_VALUE"""),0.2130204118334682)</f>
        <v>0.2130204118</v>
      </c>
      <c r="G2380" s="5">
        <f>IFERROR(__xludf.DUMMYFUNCTION("""COMPUTED_VALUE"""),0.15538171027785272)</f>
        <v>0.1553817103</v>
      </c>
      <c r="H2380" s="5">
        <f>IFERROR(__xludf.DUMMYFUNCTION("""COMPUTED_VALUE"""),0.6082735331363445)</f>
        <v>0.6082735331</v>
      </c>
      <c r="I2380" s="11">
        <f>IFERROR(__xludf.DUMMYFUNCTION("""COMPUTED_VALUE"""),5354.2845082313215)</f>
        <v>5354.284508</v>
      </c>
      <c r="J2380" s="10">
        <f>IFERROR(__xludf.DUMMYFUNCTION("""COMPUTED_VALUE"""),0.0)</f>
        <v>0</v>
      </c>
      <c r="K2380" s="5">
        <f>IFERROR(__xludf.DUMMYFUNCTION("""COMPUTED_VALUE"""),0.0)</f>
        <v>0</v>
      </c>
      <c r="L2380" s="10">
        <f>IFERROR(__xludf.DUMMYFUNCTION("""COMPUTED_VALUE"""),1025.0)</f>
        <v>1025</v>
      </c>
      <c r="M2380" s="5">
        <f>IFERROR(__xludf.DUMMYFUNCTION("""COMPUTED_VALUE"""),1.0)</f>
        <v>1</v>
      </c>
    </row>
    <row r="2381">
      <c r="A2381" s="10" t="str">
        <f>IFERROR(__xludf.DUMMYFUNCTION("""COMPUTED_VALUE"""),"真かにマジン")</f>
        <v>真かにマジン</v>
      </c>
      <c r="B2381" s="10">
        <f>IFERROR(__xludf.DUMMYFUNCTION("""COMPUTED_VALUE"""),871.0)</f>
        <v>871</v>
      </c>
      <c r="C2381" s="10">
        <f>IFERROR(__xludf.DUMMYFUNCTION("""COMPUTED_VALUE"""),10315.0)</f>
        <v>10315</v>
      </c>
      <c r="D2381" s="5">
        <f>IFERROR(__xludf.DUMMYFUNCTION("""COMPUTED_VALUE"""),0.3609699279966116)</f>
        <v>0.360969928</v>
      </c>
      <c r="E2381" s="5">
        <f>IFERROR(__xludf.DUMMYFUNCTION("""COMPUTED_VALUE"""),0.12992376111817028)</f>
        <v>0.1299237611</v>
      </c>
      <c r="F2381" s="5">
        <f>IFERROR(__xludf.DUMMYFUNCTION("""COMPUTED_VALUE"""),0.22141041931385005)</f>
        <v>0.2214104193</v>
      </c>
      <c r="G2381" s="5">
        <f>IFERROR(__xludf.DUMMYFUNCTION("""COMPUTED_VALUE"""),0.16613722998729352)</f>
        <v>0.16613723</v>
      </c>
      <c r="H2381" s="5">
        <f>IFERROR(__xludf.DUMMYFUNCTION("""COMPUTED_VALUE"""),0.5987565758010521)</f>
        <v>0.5987565758</v>
      </c>
      <c r="I2381" s="11">
        <f>IFERROR(__xludf.DUMMYFUNCTION("""COMPUTED_VALUE"""),5672.692491630799)</f>
        <v>5672.692492</v>
      </c>
      <c r="J2381" s="10">
        <f>IFERROR(__xludf.DUMMYFUNCTION("""COMPUTED_VALUE"""),4.0)</f>
        <v>4</v>
      </c>
      <c r="K2381" s="5">
        <f>IFERROR(__xludf.DUMMYFUNCTION("""COMPUTED_VALUE"""),0.004592422502870264)</f>
        <v>0.004592422503</v>
      </c>
      <c r="L2381" s="10">
        <f>IFERROR(__xludf.DUMMYFUNCTION("""COMPUTED_VALUE"""),871.0)</f>
        <v>871</v>
      </c>
      <c r="M2381" s="5">
        <f>IFERROR(__xludf.DUMMYFUNCTION("""COMPUTED_VALUE"""),1.0)</f>
        <v>1</v>
      </c>
    </row>
    <row r="2382">
      <c r="A2382" s="10" t="str">
        <f>IFERROR(__xludf.DUMMYFUNCTION("""COMPUTED_VALUE"""),"しょこしょこ")</f>
        <v>しょこしょこ</v>
      </c>
      <c r="B2382" s="10">
        <f>IFERROR(__xludf.DUMMYFUNCTION("""COMPUTED_VALUE"""),181.0)</f>
        <v>181</v>
      </c>
      <c r="C2382" s="10">
        <f>IFERROR(__xludf.DUMMYFUNCTION("""COMPUTED_VALUE"""),2067.0)</f>
        <v>2067</v>
      </c>
      <c r="D2382" s="5">
        <f>IFERROR(__xludf.DUMMYFUNCTION("""COMPUTED_VALUE"""),0.35949098621421)</f>
        <v>0.3594909862</v>
      </c>
      <c r="E2382" s="5">
        <f>IFERROR(__xludf.DUMMYFUNCTION("""COMPUTED_VALUE"""),0.12990455991516436)</f>
        <v>0.1299045599</v>
      </c>
      <c r="F2382" s="5">
        <f>IFERROR(__xludf.DUMMYFUNCTION("""COMPUTED_VALUE"""),0.2200424178154825)</f>
        <v>0.2200424178</v>
      </c>
      <c r="G2382" s="5">
        <f>IFERROR(__xludf.DUMMYFUNCTION("""COMPUTED_VALUE"""),0.14528101802757157)</f>
        <v>0.145281018</v>
      </c>
      <c r="H2382" s="5">
        <f>IFERROR(__xludf.DUMMYFUNCTION("""COMPUTED_VALUE"""),0.5879518072289157)</f>
        <v>0.5879518072</v>
      </c>
      <c r="I2382" s="11">
        <f>IFERROR(__xludf.DUMMYFUNCTION("""COMPUTED_VALUE"""),5698.0722891566265)</f>
        <v>5698.072289</v>
      </c>
      <c r="J2382" s="10">
        <f>IFERROR(__xludf.DUMMYFUNCTION("""COMPUTED_VALUE"""),2.0)</f>
        <v>2</v>
      </c>
      <c r="K2382" s="5">
        <f>IFERROR(__xludf.DUMMYFUNCTION("""COMPUTED_VALUE"""),0.011049723756906077)</f>
        <v>0.01104972376</v>
      </c>
      <c r="L2382" s="10">
        <f>IFERROR(__xludf.DUMMYFUNCTION("""COMPUTED_VALUE"""),181.0)</f>
        <v>181</v>
      </c>
      <c r="M2382" s="5">
        <f>IFERROR(__xludf.DUMMYFUNCTION("""COMPUTED_VALUE"""),1.0)</f>
        <v>1</v>
      </c>
    </row>
    <row r="2383">
      <c r="A2383" s="10" t="str">
        <f>IFERROR(__xludf.DUMMYFUNCTION("""COMPUTED_VALUE"""),"えーちゃん")</f>
        <v>えーちゃん</v>
      </c>
      <c r="B2383" s="10">
        <f>IFERROR(__xludf.DUMMYFUNCTION("""COMPUTED_VALUE"""),596.0)</f>
        <v>596</v>
      </c>
      <c r="C2383" s="10">
        <f>IFERROR(__xludf.DUMMYFUNCTION("""COMPUTED_VALUE"""),7070.0)</f>
        <v>7070</v>
      </c>
      <c r="D2383" s="5">
        <f>IFERROR(__xludf.DUMMYFUNCTION("""COMPUTED_VALUE"""),0.35449490268767375)</f>
        <v>0.3544949027</v>
      </c>
      <c r="E2383" s="5">
        <f>IFERROR(__xludf.DUMMYFUNCTION("""COMPUTED_VALUE"""),0.12990423231387085)</f>
        <v>0.1299042323</v>
      </c>
      <c r="F2383" s="5">
        <f>IFERROR(__xludf.DUMMYFUNCTION("""COMPUTED_VALUE"""),0.21702193388940377)</f>
        <v>0.2170219339</v>
      </c>
      <c r="G2383" s="5">
        <f>IFERROR(__xludf.DUMMYFUNCTION("""COMPUTED_VALUE"""),0.17732468334877974)</f>
        <v>0.1773246833</v>
      </c>
      <c r="H2383" s="5">
        <f>IFERROR(__xludf.DUMMYFUNCTION("""COMPUTED_VALUE"""),0.5879003558718862)</f>
        <v>0.5879003559</v>
      </c>
      <c r="I2383" s="11">
        <f>IFERROR(__xludf.DUMMYFUNCTION("""COMPUTED_VALUE"""),5533.38078291815)</f>
        <v>5533.380783</v>
      </c>
      <c r="J2383" s="10">
        <f>IFERROR(__xludf.DUMMYFUNCTION("""COMPUTED_VALUE"""),1.0)</f>
        <v>1</v>
      </c>
      <c r="K2383" s="5">
        <f>IFERROR(__xludf.DUMMYFUNCTION("""COMPUTED_VALUE"""),0.0016778523489932886)</f>
        <v>0.001677852349</v>
      </c>
      <c r="L2383" s="10">
        <f>IFERROR(__xludf.DUMMYFUNCTION("""COMPUTED_VALUE"""),0.0)</f>
        <v>0</v>
      </c>
      <c r="M2383" s="5">
        <f>IFERROR(__xludf.DUMMYFUNCTION("""COMPUTED_VALUE"""),0.0)</f>
        <v>0</v>
      </c>
    </row>
    <row r="2384">
      <c r="A2384" s="10" t="str">
        <f>IFERROR(__xludf.DUMMYFUNCTION("""COMPUTED_VALUE"""),"琴浦春香")</f>
        <v>琴浦春香</v>
      </c>
      <c r="B2384" s="10">
        <f>IFERROR(__xludf.DUMMYFUNCTION("""COMPUTED_VALUE"""),2323.0)</f>
        <v>2323</v>
      </c>
      <c r="C2384" s="10">
        <f>IFERROR(__xludf.DUMMYFUNCTION("""COMPUTED_VALUE"""),27280.0)</f>
        <v>27280</v>
      </c>
      <c r="D2384" s="5">
        <f>IFERROR(__xludf.DUMMYFUNCTION("""COMPUTED_VALUE"""),0.33850222382497897)</f>
        <v>0.3385022238</v>
      </c>
      <c r="E2384" s="5">
        <f>IFERROR(__xludf.DUMMYFUNCTION("""COMPUTED_VALUE"""),0.12990343390631887)</f>
        <v>0.1299034339</v>
      </c>
      <c r="F2384" s="5">
        <f>IFERROR(__xludf.DUMMYFUNCTION("""COMPUTED_VALUE"""),0.21797491685699402)</f>
        <v>0.2179749169</v>
      </c>
      <c r="G2384" s="5">
        <f>IFERROR(__xludf.DUMMYFUNCTION("""COMPUTED_VALUE"""),0.1664462876146973)</f>
        <v>0.1664462876</v>
      </c>
      <c r="H2384" s="5">
        <f>IFERROR(__xludf.DUMMYFUNCTION("""COMPUTED_VALUE"""),0.6022058823529411)</f>
        <v>0.6022058824</v>
      </c>
      <c r="I2384" s="11">
        <f>IFERROR(__xludf.DUMMYFUNCTION("""COMPUTED_VALUE"""),5382.095588235294)</f>
        <v>5382.095588</v>
      </c>
      <c r="J2384" s="10">
        <f>IFERROR(__xludf.DUMMYFUNCTION("""COMPUTED_VALUE"""),4.0)</f>
        <v>4</v>
      </c>
      <c r="K2384" s="5">
        <f>IFERROR(__xludf.DUMMYFUNCTION("""COMPUTED_VALUE"""),0.0017219113215669393)</f>
        <v>0.001721911322</v>
      </c>
      <c r="L2384" s="10">
        <f>IFERROR(__xludf.DUMMYFUNCTION("""COMPUTED_VALUE"""),163.0)</f>
        <v>163</v>
      </c>
      <c r="M2384" s="5">
        <f>IFERROR(__xludf.DUMMYFUNCTION("""COMPUTED_VALUE"""),0.07016788635385278)</f>
        <v>0.07016788635</v>
      </c>
    </row>
    <row r="2385">
      <c r="A2385" s="10" t="str">
        <f>IFERROR(__xludf.DUMMYFUNCTION("""COMPUTED_VALUE"""),"NEZU77")</f>
        <v>NEZU77</v>
      </c>
      <c r="B2385" s="10">
        <f>IFERROR(__xludf.DUMMYFUNCTION("""COMPUTED_VALUE"""),298.0)</f>
        <v>298</v>
      </c>
      <c r="C2385" s="10">
        <f>IFERROR(__xludf.DUMMYFUNCTION("""COMPUTED_VALUE"""),3562.0)</f>
        <v>3562</v>
      </c>
      <c r="D2385" s="5">
        <f>IFERROR(__xludf.DUMMYFUNCTION("""COMPUTED_VALUE"""),0.3400735294117647)</f>
        <v>0.3400735294</v>
      </c>
      <c r="E2385" s="5">
        <f>IFERROR(__xludf.DUMMYFUNCTION("""COMPUTED_VALUE"""),0.12990196078431374)</f>
        <v>0.1299019608</v>
      </c>
      <c r="F2385" s="5">
        <f>IFERROR(__xludf.DUMMYFUNCTION("""COMPUTED_VALUE"""),0.20159313725490197)</f>
        <v>0.2015931373</v>
      </c>
      <c r="G2385" s="5">
        <f>IFERROR(__xludf.DUMMYFUNCTION("""COMPUTED_VALUE"""),0.15962009803921567)</f>
        <v>0.159620098</v>
      </c>
      <c r="H2385" s="5">
        <f>IFERROR(__xludf.DUMMYFUNCTION("""COMPUTED_VALUE"""),0.5820668693009119)</f>
        <v>0.5820668693</v>
      </c>
      <c r="I2385" s="11">
        <f>IFERROR(__xludf.DUMMYFUNCTION("""COMPUTED_VALUE"""),5850.911854103343)</f>
        <v>5850.911854</v>
      </c>
      <c r="J2385" s="10">
        <f>IFERROR(__xludf.DUMMYFUNCTION("""COMPUTED_VALUE"""),2.0)</f>
        <v>2</v>
      </c>
      <c r="K2385" s="5">
        <f>IFERROR(__xludf.DUMMYFUNCTION("""COMPUTED_VALUE"""),0.006711409395973154)</f>
        <v>0.006711409396</v>
      </c>
      <c r="L2385" s="10">
        <f>IFERROR(__xludf.DUMMYFUNCTION("""COMPUTED_VALUE"""),298.0)</f>
        <v>298</v>
      </c>
      <c r="M2385" s="5">
        <f>IFERROR(__xludf.DUMMYFUNCTION("""COMPUTED_VALUE"""),1.0)</f>
        <v>1</v>
      </c>
    </row>
    <row r="2386">
      <c r="A2386" s="10" t="str">
        <f>IFERROR(__xludf.DUMMYFUNCTION("""COMPUTED_VALUE"""),"湊の釣師")</f>
        <v>湊の釣師</v>
      </c>
      <c r="B2386" s="10">
        <f>IFERROR(__xludf.DUMMYFUNCTION("""COMPUTED_VALUE"""),1498.0)</f>
        <v>1498</v>
      </c>
      <c r="C2386" s="10">
        <f>IFERROR(__xludf.DUMMYFUNCTION("""COMPUTED_VALUE"""),17680.0)</f>
        <v>17680</v>
      </c>
      <c r="D2386" s="5">
        <f>IFERROR(__xludf.DUMMYFUNCTION("""COMPUTED_VALUE"""),0.36237795080954144)</f>
        <v>0.3623779508</v>
      </c>
      <c r="E2386" s="5">
        <f>IFERROR(__xludf.DUMMYFUNCTION("""COMPUTED_VALUE"""),0.12989741688295636)</f>
        <v>0.1298974169</v>
      </c>
      <c r="F2386" s="5">
        <f>IFERROR(__xludf.DUMMYFUNCTION("""COMPUTED_VALUE"""),0.2099864046471388)</f>
        <v>0.2099864046</v>
      </c>
      <c r="G2386" s="5">
        <f>IFERROR(__xludf.DUMMYFUNCTION("""COMPUTED_VALUE"""),0.15708812260536398)</f>
        <v>0.1570881226</v>
      </c>
      <c r="H2386" s="5">
        <f>IFERROR(__xludf.DUMMYFUNCTION("""COMPUTED_VALUE"""),0.590641553855209)</f>
        <v>0.5906415539</v>
      </c>
      <c r="I2386" s="11">
        <f>IFERROR(__xludf.DUMMYFUNCTION("""COMPUTED_VALUE"""),5677.51618599176)</f>
        <v>5677.516186</v>
      </c>
      <c r="J2386" s="10">
        <f>IFERROR(__xludf.DUMMYFUNCTION("""COMPUTED_VALUE"""),3.0)</f>
        <v>3</v>
      </c>
      <c r="K2386" s="5">
        <f>IFERROR(__xludf.DUMMYFUNCTION("""COMPUTED_VALUE"""),0.0020026702269692926)</f>
        <v>0.002002670227</v>
      </c>
      <c r="L2386" s="10">
        <f>IFERROR(__xludf.DUMMYFUNCTION("""COMPUTED_VALUE"""),1463.0)</f>
        <v>1463</v>
      </c>
      <c r="M2386" s="5">
        <f>IFERROR(__xludf.DUMMYFUNCTION("""COMPUTED_VALUE"""),0.9766355140186916)</f>
        <v>0.976635514</v>
      </c>
    </row>
    <row r="2387">
      <c r="A2387" s="10" t="str">
        <f>IFERROR(__xludf.DUMMYFUNCTION("""COMPUTED_VALUE"""),"DSC")</f>
        <v>DSC</v>
      </c>
      <c r="B2387" s="10">
        <f>IFERROR(__xludf.DUMMYFUNCTION("""COMPUTED_VALUE"""),335.0)</f>
        <v>335</v>
      </c>
      <c r="C2387" s="10">
        <f>IFERROR(__xludf.DUMMYFUNCTION("""COMPUTED_VALUE"""),4000.0)</f>
        <v>4000</v>
      </c>
      <c r="D2387" s="5">
        <f>IFERROR(__xludf.DUMMYFUNCTION("""COMPUTED_VALUE"""),0.4030013642564802)</f>
        <v>0.4030013643</v>
      </c>
      <c r="E2387" s="5">
        <f>IFERROR(__xludf.DUMMYFUNCTION("""COMPUTED_VALUE"""),0.12987721691678036)</f>
        <v>0.1298772169</v>
      </c>
      <c r="F2387" s="5">
        <f>IFERROR(__xludf.DUMMYFUNCTION("""COMPUTED_VALUE"""),0.21637107776261938)</f>
        <v>0.2163710778</v>
      </c>
      <c r="G2387" s="5">
        <f>IFERROR(__xludf.DUMMYFUNCTION("""COMPUTED_VALUE"""),0.1582537517053206)</f>
        <v>0.1582537517</v>
      </c>
      <c r="H2387" s="5">
        <f>IFERROR(__xludf.DUMMYFUNCTION("""COMPUTED_VALUE"""),0.5825977301387137)</f>
        <v>0.5825977301</v>
      </c>
      <c r="I2387" s="11">
        <f>IFERROR(__xludf.DUMMYFUNCTION("""COMPUTED_VALUE"""),5531.147540983607)</f>
        <v>5531.147541</v>
      </c>
      <c r="J2387" s="10">
        <f>IFERROR(__xludf.DUMMYFUNCTION("""COMPUTED_VALUE"""),1.0)</f>
        <v>1</v>
      </c>
      <c r="K2387" s="5">
        <f>IFERROR(__xludf.DUMMYFUNCTION("""COMPUTED_VALUE"""),0.0029850746268656717)</f>
        <v>0.002985074627</v>
      </c>
      <c r="L2387" s="10">
        <f>IFERROR(__xludf.DUMMYFUNCTION("""COMPUTED_VALUE"""),0.0)</f>
        <v>0</v>
      </c>
      <c r="M2387" s="5">
        <f>IFERROR(__xludf.DUMMYFUNCTION("""COMPUTED_VALUE"""),0.0)</f>
        <v>0</v>
      </c>
    </row>
    <row r="2388">
      <c r="A2388" s="10" t="str">
        <f>IFERROR(__xludf.DUMMYFUNCTION("""COMPUTED_VALUE"""),"kantuu")</f>
        <v>kantuu</v>
      </c>
      <c r="B2388" s="10">
        <f>IFERROR(__xludf.DUMMYFUNCTION("""COMPUTED_VALUE"""),157.0)</f>
        <v>157</v>
      </c>
      <c r="C2388" s="10">
        <f>IFERROR(__xludf.DUMMYFUNCTION("""COMPUTED_VALUE"""),1851.0)</f>
        <v>1851</v>
      </c>
      <c r="D2388" s="5">
        <f>IFERROR(__xludf.DUMMYFUNCTION("""COMPUTED_VALUE"""),0.35064935064935066)</f>
        <v>0.3506493506</v>
      </c>
      <c r="E2388" s="5">
        <f>IFERROR(__xludf.DUMMYFUNCTION("""COMPUTED_VALUE"""),0.12987012987012986)</f>
        <v>0.1298701299</v>
      </c>
      <c r="F2388" s="5">
        <f>IFERROR(__xludf.DUMMYFUNCTION("""COMPUTED_VALUE"""),0.18831168831168832)</f>
        <v>0.1883116883</v>
      </c>
      <c r="G2388" s="5">
        <f>IFERROR(__xludf.DUMMYFUNCTION("""COMPUTED_VALUE"""),0.16765053128689492)</f>
        <v>0.1676505313</v>
      </c>
      <c r="H2388" s="5">
        <f>IFERROR(__xludf.DUMMYFUNCTION("""COMPUTED_VALUE"""),0.5391849529780565)</f>
        <v>0.539184953</v>
      </c>
      <c r="I2388" s="11">
        <f>IFERROR(__xludf.DUMMYFUNCTION("""COMPUTED_VALUE"""),5314.733542319749)</f>
        <v>5314.733542</v>
      </c>
      <c r="J2388" s="10">
        <f>IFERROR(__xludf.DUMMYFUNCTION("""COMPUTED_VALUE"""),0.0)</f>
        <v>0</v>
      </c>
      <c r="K2388" s="5">
        <f>IFERROR(__xludf.DUMMYFUNCTION("""COMPUTED_VALUE"""),0.0)</f>
        <v>0</v>
      </c>
      <c r="L2388" s="10">
        <f>IFERROR(__xludf.DUMMYFUNCTION("""COMPUTED_VALUE"""),157.0)</f>
        <v>157</v>
      </c>
      <c r="M2388" s="5">
        <f>IFERROR(__xludf.DUMMYFUNCTION("""COMPUTED_VALUE"""),1.0)</f>
        <v>1</v>
      </c>
    </row>
    <row r="2389">
      <c r="A2389" s="10" t="str">
        <f>IFERROR(__xludf.DUMMYFUNCTION("""COMPUTED_VALUE"""),"（∪＾ω＾)☆")</f>
        <v>（∪＾ω＾)☆</v>
      </c>
      <c r="B2389" s="10">
        <f>IFERROR(__xludf.DUMMYFUNCTION("""COMPUTED_VALUE"""),716.0)</f>
        <v>716</v>
      </c>
      <c r="C2389" s="10">
        <f>IFERROR(__xludf.DUMMYFUNCTION("""COMPUTED_VALUE"""),8470.0)</f>
        <v>8470</v>
      </c>
      <c r="D2389" s="5">
        <f>IFERROR(__xludf.DUMMYFUNCTION("""COMPUTED_VALUE"""),0.40301779726592724)</f>
        <v>0.4030177973</v>
      </c>
      <c r="E2389" s="5">
        <f>IFERROR(__xludf.DUMMYFUNCTION("""COMPUTED_VALUE"""),0.1298684549909724)</f>
        <v>0.129868455</v>
      </c>
      <c r="F2389" s="5">
        <f>IFERROR(__xludf.DUMMYFUNCTION("""COMPUTED_VALUE"""),0.22672169202992004)</f>
        <v>0.226721692</v>
      </c>
      <c r="G2389" s="5">
        <f>IFERROR(__xludf.DUMMYFUNCTION("""COMPUTED_VALUE"""),0.1689450606138767)</f>
        <v>0.1689450606</v>
      </c>
      <c r="H2389" s="5">
        <f>IFERROR(__xludf.DUMMYFUNCTION("""COMPUTED_VALUE"""),0.5949943117178612)</f>
        <v>0.5949943117</v>
      </c>
      <c r="I2389" s="11">
        <f>IFERROR(__xludf.DUMMYFUNCTION("""COMPUTED_VALUE"""),5327.929465301479)</f>
        <v>5327.929465</v>
      </c>
      <c r="J2389" s="10">
        <f>IFERROR(__xludf.DUMMYFUNCTION("""COMPUTED_VALUE"""),2.0)</f>
        <v>2</v>
      </c>
      <c r="K2389" s="5">
        <f>IFERROR(__xludf.DUMMYFUNCTION("""COMPUTED_VALUE"""),0.002793296089385475)</f>
        <v>0.002793296089</v>
      </c>
      <c r="L2389" s="10">
        <f>IFERROR(__xludf.DUMMYFUNCTION("""COMPUTED_VALUE"""),0.0)</f>
        <v>0</v>
      </c>
      <c r="M2389" s="5">
        <f>IFERROR(__xludf.DUMMYFUNCTION("""COMPUTED_VALUE"""),0.0)</f>
        <v>0</v>
      </c>
    </row>
    <row r="2390">
      <c r="A2390" s="10" t="str">
        <f>IFERROR(__xludf.DUMMYFUNCTION("""COMPUTED_VALUE"""),"ぽんこつ阿賀野姉")</f>
        <v>ぽんこつ阿賀野姉</v>
      </c>
      <c r="B2390" s="10">
        <f>IFERROR(__xludf.DUMMYFUNCTION("""COMPUTED_VALUE"""),1462.0)</f>
        <v>1462</v>
      </c>
      <c r="C2390" s="10">
        <f>IFERROR(__xludf.DUMMYFUNCTION("""COMPUTED_VALUE"""),17101.0)</f>
        <v>17101</v>
      </c>
      <c r="D2390" s="5">
        <f>IFERROR(__xludf.DUMMYFUNCTION("""COMPUTED_VALUE"""),0.39753181149689876)</f>
        <v>0.3975318115</v>
      </c>
      <c r="E2390" s="5">
        <f>IFERROR(__xludf.DUMMYFUNCTION("""COMPUTED_VALUE"""),0.12986763859581815)</f>
        <v>0.1298676386</v>
      </c>
      <c r="F2390" s="5">
        <f>IFERROR(__xludf.DUMMYFUNCTION("""COMPUTED_VALUE"""),0.2093484238122642)</f>
        <v>0.2093484238</v>
      </c>
      <c r="G2390" s="5">
        <f>IFERROR(__xludf.DUMMYFUNCTION("""COMPUTED_VALUE"""),0.15602020589551763)</f>
        <v>0.1560202059</v>
      </c>
      <c r="H2390" s="5">
        <f>IFERROR(__xludf.DUMMYFUNCTION("""COMPUTED_VALUE"""),0.5855222968845449)</f>
        <v>0.5855222969</v>
      </c>
      <c r="I2390" s="11">
        <f>IFERROR(__xludf.DUMMYFUNCTION("""COMPUTED_VALUE"""),5570.52535125229)</f>
        <v>5570.525351</v>
      </c>
      <c r="J2390" s="10">
        <f>IFERROR(__xludf.DUMMYFUNCTION("""COMPUTED_VALUE"""),4.0)</f>
        <v>4</v>
      </c>
      <c r="K2390" s="5">
        <f>IFERROR(__xludf.DUMMYFUNCTION("""COMPUTED_VALUE"""),0.0027359781121751026)</f>
        <v>0.002735978112</v>
      </c>
      <c r="L2390" s="10">
        <f>IFERROR(__xludf.DUMMYFUNCTION("""COMPUTED_VALUE"""),0.0)</f>
        <v>0</v>
      </c>
      <c r="M2390" s="5">
        <f>IFERROR(__xludf.DUMMYFUNCTION("""COMPUTED_VALUE"""),0.0)</f>
        <v>0</v>
      </c>
    </row>
    <row r="2391">
      <c r="A2391" s="10" t="str">
        <f>IFERROR(__xludf.DUMMYFUNCTION("""COMPUTED_VALUE"""),"嶺上閉花")</f>
        <v>嶺上閉花</v>
      </c>
      <c r="B2391" s="10">
        <f>IFERROR(__xludf.DUMMYFUNCTION("""COMPUTED_VALUE"""),128.0)</f>
        <v>128</v>
      </c>
      <c r="C2391" s="10">
        <f>IFERROR(__xludf.DUMMYFUNCTION("""COMPUTED_VALUE"""),1491.0)</f>
        <v>1491</v>
      </c>
      <c r="D2391" s="5">
        <f>IFERROR(__xludf.DUMMYFUNCTION("""COMPUTED_VALUE"""),0.36537050623624356)</f>
        <v>0.3653705062</v>
      </c>
      <c r="E2391" s="5">
        <f>IFERROR(__xludf.DUMMYFUNCTION("""COMPUTED_VALUE"""),0.12986060161408658)</f>
        <v>0.1298606016</v>
      </c>
      <c r="F2391" s="5">
        <f>IFERROR(__xludf.DUMMYFUNCTION("""COMPUTED_VALUE"""),0.20983125458547322)</f>
        <v>0.2098312546</v>
      </c>
      <c r="G2391" s="5">
        <f>IFERROR(__xludf.DUMMYFUNCTION("""COMPUTED_VALUE"""),0.1636096845194424)</f>
        <v>0.1636096845</v>
      </c>
      <c r="H2391" s="5">
        <f>IFERROR(__xludf.DUMMYFUNCTION("""COMPUTED_VALUE"""),0.534965034965035)</f>
        <v>0.534965035</v>
      </c>
      <c r="I2391" s="11">
        <f>IFERROR(__xludf.DUMMYFUNCTION("""COMPUTED_VALUE"""),5560.48951048951)</f>
        <v>5560.48951</v>
      </c>
      <c r="J2391" s="10">
        <f>IFERROR(__xludf.DUMMYFUNCTION("""COMPUTED_VALUE"""),0.0)</f>
        <v>0</v>
      </c>
      <c r="K2391" s="5">
        <f>IFERROR(__xludf.DUMMYFUNCTION("""COMPUTED_VALUE"""),0.0)</f>
        <v>0</v>
      </c>
      <c r="L2391" s="10">
        <f>IFERROR(__xludf.DUMMYFUNCTION("""COMPUTED_VALUE"""),83.0)</f>
        <v>83</v>
      </c>
      <c r="M2391" s="5">
        <f>IFERROR(__xludf.DUMMYFUNCTION("""COMPUTED_VALUE"""),0.6484375)</f>
        <v>0.6484375</v>
      </c>
    </row>
    <row r="2392">
      <c r="A2392" s="10" t="str">
        <f>IFERROR(__xludf.DUMMYFUNCTION("""COMPUTED_VALUE"""),"及川冰麗")</f>
        <v>及川冰麗</v>
      </c>
      <c r="B2392" s="10">
        <f>IFERROR(__xludf.DUMMYFUNCTION("""COMPUTED_VALUE"""),3087.0)</f>
        <v>3087</v>
      </c>
      <c r="C2392" s="10">
        <f>IFERROR(__xludf.DUMMYFUNCTION("""COMPUTED_VALUE"""),36292.0)</f>
        <v>36292</v>
      </c>
      <c r="D2392" s="5">
        <f>IFERROR(__xludf.DUMMYFUNCTION("""COMPUTED_VALUE"""),0.3762987501882247)</f>
        <v>0.3762987502</v>
      </c>
      <c r="E2392" s="5">
        <f>IFERROR(__xludf.DUMMYFUNCTION("""COMPUTED_VALUE"""),0.12985996084926968)</f>
        <v>0.1298599608</v>
      </c>
      <c r="F2392" s="5">
        <f>IFERROR(__xludf.DUMMYFUNCTION("""COMPUTED_VALUE"""),0.20978768257792502)</f>
        <v>0.2097876826</v>
      </c>
      <c r="G2392" s="5">
        <f>IFERROR(__xludf.DUMMYFUNCTION("""COMPUTED_VALUE"""),0.16232495106158712)</f>
        <v>0.1623249511</v>
      </c>
      <c r="H2392" s="5">
        <f>IFERROR(__xludf.DUMMYFUNCTION("""COMPUTED_VALUE"""),0.5839793281653747)</f>
        <v>0.5839793282</v>
      </c>
      <c r="I2392" s="11">
        <f>IFERROR(__xludf.DUMMYFUNCTION("""COMPUTED_VALUE"""),5478.308929084123)</f>
        <v>5478.308929</v>
      </c>
      <c r="J2392" s="10">
        <f>IFERROR(__xludf.DUMMYFUNCTION("""COMPUTED_VALUE"""),5.0)</f>
        <v>5</v>
      </c>
      <c r="K2392" s="5">
        <f>IFERROR(__xludf.DUMMYFUNCTION("""COMPUTED_VALUE"""),0.0016196954972465176)</f>
        <v>0.001619695497</v>
      </c>
      <c r="L2392" s="10">
        <f>IFERROR(__xludf.DUMMYFUNCTION("""COMPUTED_VALUE"""),1552.0)</f>
        <v>1552</v>
      </c>
      <c r="M2392" s="5">
        <f>IFERROR(__xludf.DUMMYFUNCTION("""COMPUTED_VALUE"""),0.502753482345319)</f>
        <v>0.5027534823</v>
      </c>
    </row>
    <row r="2393">
      <c r="A2393" s="10" t="str">
        <f>IFERROR(__xludf.DUMMYFUNCTION("""COMPUTED_VALUE"""),"浩宮")</f>
        <v>浩宮</v>
      </c>
      <c r="B2393" s="10">
        <f>IFERROR(__xludf.DUMMYFUNCTION("""COMPUTED_VALUE"""),204.0)</f>
        <v>204</v>
      </c>
      <c r="C2393" s="10">
        <f>IFERROR(__xludf.DUMMYFUNCTION("""COMPUTED_VALUE"""),2345.0)</f>
        <v>2345</v>
      </c>
      <c r="D2393" s="5">
        <f>IFERROR(__xludf.DUMMYFUNCTION("""COMPUTED_VALUE"""),0.3353573096683793)</f>
        <v>0.3353573097</v>
      </c>
      <c r="E2393" s="5">
        <f>IFERROR(__xludf.DUMMYFUNCTION("""COMPUTED_VALUE"""),0.12984586641756188)</f>
        <v>0.1298458664</v>
      </c>
      <c r="F2393" s="5">
        <f>IFERROR(__xludf.DUMMYFUNCTION("""COMPUTED_VALUE"""),0.1952358710882765)</f>
        <v>0.1952358711</v>
      </c>
      <c r="G2393" s="5">
        <f>IFERROR(__xludf.DUMMYFUNCTION("""COMPUTED_VALUE"""),0.1835590845399346)</f>
        <v>0.1835590845</v>
      </c>
      <c r="H2393" s="5">
        <f>IFERROR(__xludf.DUMMYFUNCTION("""COMPUTED_VALUE"""),0.569377990430622)</f>
        <v>0.5693779904</v>
      </c>
      <c r="I2393" s="11">
        <f>IFERROR(__xludf.DUMMYFUNCTION("""COMPUTED_VALUE"""),5864.593301435407)</f>
        <v>5864.593301</v>
      </c>
      <c r="J2393" s="10">
        <f>IFERROR(__xludf.DUMMYFUNCTION("""COMPUTED_VALUE"""),1.0)</f>
        <v>1</v>
      </c>
      <c r="K2393" s="5">
        <f>IFERROR(__xludf.DUMMYFUNCTION("""COMPUTED_VALUE"""),0.004901960784313725)</f>
        <v>0.004901960784</v>
      </c>
      <c r="L2393" s="10">
        <f>IFERROR(__xludf.DUMMYFUNCTION("""COMPUTED_VALUE"""),204.0)</f>
        <v>204</v>
      </c>
      <c r="M2393" s="5">
        <f>IFERROR(__xludf.DUMMYFUNCTION("""COMPUTED_VALUE"""),1.0)</f>
        <v>1</v>
      </c>
    </row>
    <row r="2394">
      <c r="A2394" s="10" t="str">
        <f>IFERROR(__xludf.DUMMYFUNCTION("""COMPUTED_VALUE"""),"よろめきGTI")</f>
        <v>よろめきGTI</v>
      </c>
      <c r="B2394" s="10">
        <f>IFERROR(__xludf.DUMMYFUNCTION("""COMPUTED_VALUE"""),129.0)</f>
        <v>129</v>
      </c>
      <c r="C2394" s="10">
        <f>IFERROR(__xludf.DUMMYFUNCTION("""COMPUTED_VALUE"""),1523.0)</f>
        <v>1523</v>
      </c>
      <c r="D2394" s="5">
        <f>IFERROR(__xludf.DUMMYFUNCTION("""COMPUTED_VALUE"""),0.2855093256814921)</f>
        <v>0.2855093257</v>
      </c>
      <c r="E2394" s="5">
        <f>IFERROR(__xludf.DUMMYFUNCTION("""COMPUTED_VALUE"""),0.12984218077474893)</f>
        <v>0.1298421808</v>
      </c>
      <c r="F2394" s="5">
        <f>IFERROR(__xludf.DUMMYFUNCTION("""COMPUTED_VALUE"""),0.20014347202295552)</f>
        <v>0.200143472</v>
      </c>
      <c r="G2394" s="5">
        <f>IFERROR(__xludf.DUMMYFUNCTION("""COMPUTED_VALUE"""),0.16642754662840745)</f>
        <v>0.1664275466</v>
      </c>
      <c r="H2394" s="5">
        <f>IFERROR(__xludf.DUMMYFUNCTION("""COMPUTED_VALUE"""),0.6236559139784946)</f>
        <v>0.623655914</v>
      </c>
      <c r="I2394" s="11">
        <f>IFERROR(__xludf.DUMMYFUNCTION("""COMPUTED_VALUE"""),5465.591397849463)</f>
        <v>5465.591398</v>
      </c>
      <c r="J2394" s="10">
        <f>IFERROR(__xludf.DUMMYFUNCTION("""COMPUTED_VALUE"""),0.0)</f>
        <v>0</v>
      </c>
      <c r="K2394" s="5">
        <f>IFERROR(__xludf.DUMMYFUNCTION("""COMPUTED_VALUE"""),0.0)</f>
        <v>0</v>
      </c>
      <c r="L2394" s="10">
        <f>IFERROR(__xludf.DUMMYFUNCTION("""COMPUTED_VALUE"""),129.0)</f>
        <v>129</v>
      </c>
      <c r="M2394" s="5">
        <f>IFERROR(__xludf.DUMMYFUNCTION("""COMPUTED_VALUE"""),1.0)</f>
        <v>1</v>
      </c>
    </row>
    <row r="2395">
      <c r="A2395" s="10" t="str">
        <f>IFERROR(__xludf.DUMMYFUNCTION("""COMPUTED_VALUE"""),"毛原毛一")</f>
        <v>毛原毛一</v>
      </c>
      <c r="B2395" s="10">
        <f>IFERROR(__xludf.DUMMYFUNCTION("""COMPUTED_VALUE"""),415.0)</f>
        <v>415</v>
      </c>
      <c r="C2395" s="10">
        <f>IFERROR(__xludf.DUMMYFUNCTION("""COMPUTED_VALUE"""),4805.0)</f>
        <v>4805</v>
      </c>
      <c r="D2395" s="5">
        <f>IFERROR(__xludf.DUMMYFUNCTION("""COMPUTED_VALUE"""),0.38246013667425965)</f>
        <v>0.3824601367</v>
      </c>
      <c r="E2395" s="5">
        <f>IFERROR(__xludf.DUMMYFUNCTION("""COMPUTED_VALUE"""),0.12984054669703873)</f>
        <v>0.1298405467</v>
      </c>
      <c r="F2395" s="5">
        <f>IFERROR(__xludf.DUMMYFUNCTION("""COMPUTED_VALUE"""),0.21389521640091116)</f>
        <v>0.2138952164</v>
      </c>
      <c r="G2395" s="5">
        <f>IFERROR(__xludf.DUMMYFUNCTION("""COMPUTED_VALUE"""),0.21435079726651482)</f>
        <v>0.2143507973</v>
      </c>
      <c r="H2395" s="5">
        <f>IFERROR(__xludf.DUMMYFUNCTION("""COMPUTED_VALUE"""),0.6048988285410011)</f>
        <v>0.6048988285</v>
      </c>
      <c r="I2395" s="11">
        <f>IFERROR(__xludf.DUMMYFUNCTION("""COMPUTED_VALUE"""),5878.807241746539)</f>
        <v>5878.807242</v>
      </c>
      <c r="J2395" s="10">
        <f>IFERROR(__xludf.DUMMYFUNCTION("""COMPUTED_VALUE"""),1.0)</f>
        <v>1</v>
      </c>
      <c r="K2395" s="5">
        <f>IFERROR(__xludf.DUMMYFUNCTION("""COMPUTED_VALUE"""),0.0024096385542168677)</f>
        <v>0.002409638554</v>
      </c>
      <c r="L2395" s="10">
        <f>IFERROR(__xludf.DUMMYFUNCTION("""COMPUTED_VALUE"""),0.0)</f>
        <v>0</v>
      </c>
      <c r="M2395" s="5">
        <f>IFERROR(__xludf.DUMMYFUNCTION("""COMPUTED_VALUE"""),0.0)</f>
        <v>0</v>
      </c>
    </row>
    <row r="2396">
      <c r="A2396" s="10" t="str">
        <f>IFERROR(__xludf.DUMMYFUNCTION("""COMPUTED_VALUE"""),"ミトフクロウ")</f>
        <v>ミトフクロウ</v>
      </c>
      <c r="B2396" s="10">
        <f>IFERROR(__xludf.DUMMYFUNCTION("""COMPUTED_VALUE"""),489.0)</f>
        <v>489</v>
      </c>
      <c r="C2396" s="10">
        <f>IFERROR(__xludf.DUMMYFUNCTION("""COMPUTED_VALUE"""),5765.0)</f>
        <v>5765</v>
      </c>
      <c r="D2396" s="5">
        <f>IFERROR(__xludf.DUMMYFUNCTION("""COMPUTED_VALUE"""),0.36637604245640637)</f>
        <v>0.3663760425</v>
      </c>
      <c r="E2396" s="5">
        <f>IFERROR(__xludf.DUMMYFUNCTION("""COMPUTED_VALUE"""),0.12983320697498105)</f>
        <v>0.129833207</v>
      </c>
      <c r="F2396" s="5">
        <f>IFERROR(__xludf.DUMMYFUNCTION("""COMPUTED_VALUE"""),0.22100075815011372)</f>
        <v>0.2210007582</v>
      </c>
      <c r="G2396" s="5">
        <f>IFERROR(__xludf.DUMMYFUNCTION("""COMPUTED_VALUE"""),0.21341925701288855)</f>
        <v>0.213419257</v>
      </c>
      <c r="H2396" s="5">
        <f>IFERROR(__xludf.DUMMYFUNCTION("""COMPUTED_VALUE"""),0.5900514579759862)</f>
        <v>0.590051458</v>
      </c>
      <c r="I2396" s="11">
        <f>IFERROR(__xludf.DUMMYFUNCTION("""COMPUTED_VALUE"""),5325.98627787307)</f>
        <v>5325.986278</v>
      </c>
      <c r="J2396" s="10">
        <f>IFERROR(__xludf.DUMMYFUNCTION("""COMPUTED_VALUE"""),1.0)</f>
        <v>1</v>
      </c>
      <c r="K2396" s="5">
        <f>IFERROR(__xludf.DUMMYFUNCTION("""COMPUTED_VALUE"""),0.002044989775051125)</f>
        <v>0.002044989775</v>
      </c>
      <c r="L2396" s="10">
        <f>IFERROR(__xludf.DUMMYFUNCTION("""COMPUTED_VALUE"""),358.0)</f>
        <v>358</v>
      </c>
      <c r="M2396" s="5">
        <f>IFERROR(__xludf.DUMMYFUNCTION("""COMPUTED_VALUE"""),0.7321063394683026)</f>
        <v>0.7321063395</v>
      </c>
    </row>
    <row r="2397">
      <c r="A2397" s="10" t="str">
        <f>IFERROR(__xludf.DUMMYFUNCTION("""COMPUTED_VALUE"""),"roussea")</f>
        <v>roussea</v>
      </c>
      <c r="B2397" s="10">
        <f>IFERROR(__xludf.DUMMYFUNCTION("""COMPUTED_VALUE"""),173.0)</f>
        <v>173</v>
      </c>
      <c r="C2397" s="10">
        <f>IFERROR(__xludf.DUMMYFUNCTION("""COMPUTED_VALUE"""),2068.0)</f>
        <v>2068</v>
      </c>
      <c r="D2397" s="5">
        <f>IFERROR(__xludf.DUMMYFUNCTION("""COMPUTED_VALUE"""),0.28179419525065963)</f>
        <v>0.2817941953</v>
      </c>
      <c r="E2397" s="5">
        <f>IFERROR(__xludf.DUMMYFUNCTION("""COMPUTED_VALUE"""),0.12981530343007916)</f>
        <v>0.1298153034</v>
      </c>
      <c r="F2397" s="5">
        <f>IFERROR(__xludf.DUMMYFUNCTION("""COMPUTED_VALUE"""),0.19683377308707123)</f>
        <v>0.1968337731</v>
      </c>
      <c r="G2397" s="5">
        <f>IFERROR(__xludf.DUMMYFUNCTION("""COMPUTED_VALUE"""),0.14142480211081795)</f>
        <v>0.1414248021</v>
      </c>
      <c r="H2397" s="5">
        <f>IFERROR(__xludf.DUMMYFUNCTION("""COMPUTED_VALUE"""),0.5764075067024129)</f>
        <v>0.5764075067</v>
      </c>
      <c r="I2397" s="11">
        <f>IFERROR(__xludf.DUMMYFUNCTION("""COMPUTED_VALUE"""),5621.71581769437)</f>
        <v>5621.715818</v>
      </c>
      <c r="J2397" s="10">
        <f>IFERROR(__xludf.DUMMYFUNCTION("""COMPUTED_VALUE"""),1.0)</f>
        <v>1</v>
      </c>
      <c r="K2397" s="5">
        <f>IFERROR(__xludf.DUMMYFUNCTION("""COMPUTED_VALUE"""),0.005780346820809248)</f>
        <v>0.005780346821</v>
      </c>
      <c r="L2397" s="10">
        <f>IFERROR(__xludf.DUMMYFUNCTION("""COMPUTED_VALUE"""),173.0)</f>
        <v>173</v>
      </c>
      <c r="M2397" s="5">
        <f>IFERROR(__xludf.DUMMYFUNCTION("""COMPUTED_VALUE"""),1.0)</f>
        <v>1</v>
      </c>
    </row>
    <row r="2398">
      <c r="A2398" s="10" t="str">
        <f>IFERROR(__xludf.DUMMYFUNCTION("""COMPUTED_VALUE"""),"ボコボコなっちょ")</f>
        <v>ボコボコなっちょ</v>
      </c>
      <c r="B2398" s="10">
        <f>IFERROR(__xludf.DUMMYFUNCTION("""COMPUTED_VALUE"""),123.0)</f>
        <v>123</v>
      </c>
      <c r="C2398" s="10">
        <f>IFERROR(__xludf.DUMMYFUNCTION("""COMPUTED_VALUE"""),1448.0)</f>
        <v>1448</v>
      </c>
      <c r="D2398" s="5">
        <f>IFERROR(__xludf.DUMMYFUNCTION("""COMPUTED_VALUE"""),0.3011320754716981)</f>
        <v>0.3011320755</v>
      </c>
      <c r="E2398" s="5">
        <f>IFERROR(__xludf.DUMMYFUNCTION("""COMPUTED_VALUE"""),0.129811320754717)</f>
        <v>0.1298113208</v>
      </c>
      <c r="F2398" s="5">
        <f>IFERROR(__xludf.DUMMYFUNCTION("""COMPUTED_VALUE"""),0.18716981132075472)</f>
        <v>0.1871698113</v>
      </c>
      <c r="G2398" s="5">
        <f>IFERROR(__xludf.DUMMYFUNCTION("""COMPUTED_VALUE"""),0.1811320754716981)</f>
        <v>0.1811320755</v>
      </c>
      <c r="H2398" s="5">
        <f>IFERROR(__xludf.DUMMYFUNCTION("""COMPUTED_VALUE"""),0.5887096774193549)</f>
        <v>0.5887096774</v>
      </c>
      <c r="I2398" s="11">
        <f>IFERROR(__xludf.DUMMYFUNCTION("""COMPUTED_VALUE"""),5504.8387096774195)</f>
        <v>5504.83871</v>
      </c>
      <c r="J2398" s="10">
        <f>IFERROR(__xludf.DUMMYFUNCTION("""COMPUTED_VALUE"""),0.0)</f>
        <v>0</v>
      </c>
      <c r="K2398" s="5">
        <f>IFERROR(__xludf.DUMMYFUNCTION("""COMPUTED_VALUE"""),0.0)</f>
        <v>0</v>
      </c>
      <c r="L2398" s="10">
        <f>IFERROR(__xludf.DUMMYFUNCTION("""COMPUTED_VALUE"""),123.0)</f>
        <v>123</v>
      </c>
      <c r="M2398" s="5">
        <f>IFERROR(__xludf.DUMMYFUNCTION("""COMPUTED_VALUE"""),1.0)</f>
        <v>1</v>
      </c>
    </row>
    <row r="2399">
      <c r="A2399" s="10" t="str">
        <f>IFERROR(__xludf.DUMMYFUNCTION("""COMPUTED_VALUE"""),"斉須莉玖")</f>
        <v>斉須莉玖</v>
      </c>
      <c r="B2399" s="10">
        <f>IFERROR(__xludf.DUMMYFUNCTION("""COMPUTED_VALUE"""),101.0)</f>
        <v>101</v>
      </c>
      <c r="C2399" s="10">
        <f>IFERROR(__xludf.DUMMYFUNCTION("""COMPUTED_VALUE"""),1141.0)</f>
        <v>1141</v>
      </c>
      <c r="D2399" s="5">
        <f>IFERROR(__xludf.DUMMYFUNCTION("""COMPUTED_VALUE"""),0.3153846153846154)</f>
        <v>0.3153846154</v>
      </c>
      <c r="E2399" s="5">
        <f>IFERROR(__xludf.DUMMYFUNCTION("""COMPUTED_VALUE"""),0.12980769230769232)</f>
        <v>0.1298076923</v>
      </c>
      <c r="F2399" s="5">
        <f>IFERROR(__xludf.DUMMYFUNCTION("""COMPUTED_VALUE"""),0.19903846153846153)</f>
        <v>0.1990384615</v>
      </c>
      <c r="G2399" s="5">
        <f>IFERROR(__xludf.DUMMYFUNCTION("""COMPUTED_VALUE"""),0.17115384615384616)</f>
        <v>0.1711538462</v>
      </c>
      <c r="H2399" s="5">
        <f>IFERROR(__xludf.DUMMYFUNCTION("""COMPUTED_VALUE"""),0.5603864734299517)</f>
        <v>0.5603864734</v>
      </c>
      <c r="I2399" s="11">
        <f>IFERROR(__xludf.DUMMYFUNCTION("""COMPUTED_VALUE"""),5182.125603864734)</f>
        <v>5182.125604</v>
      </c>
      <c r="J2399" s="10">
        <f>IFERROR(__xludf.DUMMYFUNCTION("""COMPUTED_VALUE"""),0.0)</f>
        <v>0</v>
      </c>
      <c r="K2399" s="5">
        <f>IFERROR(__xludf.DUMMYFUNCTION("""COMPUTED_VALUE"""),0.0)</f>
        <v>0</v>
      </c>
      <c r="L2399" s="10">
        <f>IFERROR(__xludf.DUMMYFUNCTION("""COMPUTED_VALUE"""),0.0)</f>
        <v>0</v>
      </c>
      <c r="M2399" s="5">
        <f>IFERROR(__xludf.DUMMYFUNCTION("""COMPUTED_VALUE"""),0.0)</f>
        <v>0</v>
      </c>
    </row>
    <row r="2400">
      <c r="A2400" s="10" t="str">
        <f>IFERROR(__xludf.DUMMYFUNCTION("""COMPUTED_VALUE"""),"ぱみゅの愚息")</f>
        <v>ぱみゅの愚息</v>
      </c>
      <c r="B2400" s="10">
        <f>IFERROR(__xludf.DUMMYFUNCTION("""COMPUTED_VALUE"""),155.0)</f>
        <v>155</v>
      </c>
      <c r="C2400" s="10">
        <f>IFERROR(__xludf.DUMMYFUNCTION("""COMPUTED_VALUE"""),1819.0)</f>
        <v>1819</v>
      </c>
      <c r="D2400" s="5">
        <f>IFERROR(__xludf.DUMMYFUNCTION("""COMPUTED_VALUE"""),0.42007211538461536)</f>
        <v>0.4200721154</v>
      </c>
      <c r="E2400" s="5">
        <f>IFERROR(__xludf.DUMMYFUNCTION("""COMPUTED_VALUE"""),0.12980769230769232)</f>
        <v>0.1298076923</v>
      </c>
      <c r="F2400" s="5">
        <f>IFERROR(__xludf.DUMMYFUNCTION("""COMPUTED_VALUE"""),0.21574519230769232)</f>
        <v>0.2157451923</v>
      </c>
      <c r="G2400" s="5">
        <f>IFERROR(__xludf.DUMMYFUNCTION("""COMPUTED_VALUE"""),0.16165865384615385)</f>
        <v>0.1616586538</v>
      </c>
      <c r="H2400" s="5">
        <f>IFERROR(__xludf.DUMMYFUNCTION("""COMPUTED_VALUE"""),0.5877437325905293)</f>
        <v>0.5877437326</v>
      </c>
      <c r="I2400" s="11">
        <f>IFERROR(__xludf.DUMMYFUNCTION("""COMPUTED_VALUE"""),5577.994428969359)</f>
        <v>5577.994429</v>
      </c>
      <c r="J2400" s="10">
        <f>IFERROR(__xludf.DUMMYFUNCTION("""COMPUTED_VALUE"""),1.0)</f>
        <v>1</v>
      </c>
      <c r="K2400" s="5">
        <f>IFERROR(__xludf.DUMMYFUNCTION("""COMPUTED_VALUE"""),0.0064516129032258064)</f>
        <v>0.006451612903</v>
      </c>
      <c r="L2400" s="10">
        <f>IFERROR(__xludf.DUMMYFUNCTION("""COMPUTED_VALUE"""),155.0)</f>
        <v>155</v>
      </c>
      <c r="M2400" s="5">
        <f>IFERROR(__xludf.DUMMYFUNCTION("""COMPUTED_VALUE"""),1.0)</f>
        <v>1</v>
      </c>
    </row>
    <row r="2401">
      <c r="A2401" s="10" t="str">
        <f>IFERROR(__xludf.DUMMYFUNCTION("""COMPUTED_VALUE"""),"CP03")</f>
        <v>CP03</v>
      </c>
      <c r="B2401" s="10">
        <f>IFERROR(__xludf.DUMMYFUNCTION("""COMPUTED_VALUE"""),686.0)</f>
        <v>686</v>
      </c>
      <c r="C2401" s="10">
        <f>IFERROR(__xludf.DUMMYFUNCTION("""COMPUTED_VALUE"""),8051.0)</f>
        <v>8051</v>
      </c>
      <c r="D2401" s="5">
        <f>IFERROR(__xludf.DUMMYFUNCTION("""COMPUTED_VALUE"""),0.38832315003394435)</f>
        <v>0.38832315</v>
      </c>
      <c r="E2401" s="5">
        <f>IFERROR(__xludf.DUMMYFUNCTION("""COMPUTED_VALUE"""),0.12980312287847928)</f>
        <v>0.1298031229</v>
      </c>
      <c r="F2401" s="5">
        <f>IFERROR(__xludf.DUMMYFUNCTION("""COMPUTED_VALUE"""),0.20936863543788187)</f>
        <v>0.2093686354</v>
      </c>
      <c r="G2401" s="5">
        <f>IFERROR(__xludf.DUMMYFUNCTION("""COMPUTED_VALUE"""),0.12382892057026476)</f>
        <v>0.1238289206</v>
      </c>
      <c r="H2401" s="5">
        <f>IFERROR(__xludf.DUMMYFUNCTION("""COMPUTED_VALUE"""),0.6115434500648509)</f>
        <v>0.6115434501</v>
      </c>
      <c r="I2401" s="11">
        <f>IFERROR(__xludf.DUMMYFUNCTION("""COMPUTED_VALUE"""),5367.250324254215)</f>
        <v>5367.250324</v>
      </c>
      <c r="J2401" s="10">
        <f>IFERROR(__xludf.DUMMYFUNCTION("""COMPUTED_VALUE"""),2.0)</f>
        <v>2</v>
      </c>
      <c r="K2401" s="5">
        <f>IFERROR(__xludf.DUMMYFUNCTION("""COMPUTED_VALUE"""),0.0029154518950437317)</f>
        <v>0.002915451895</v>
      </c>
      <c r="L2401" s="10">
        <f>IFERROR(__xludf.DUMMYFUNCTION("""COMPUTED_VALUE"""),686.0)</f>
        <v>686</v>
      </c>
      <c r="M2401" s="5">
        <f>IFERROR(__xludf.DUMMYFUNCTION("""COMPUTED_VALUE"""),1.0)</f>
        <v>1</v>
      </c>
    </row>
    <row r="2402">
      <c r="A2402" s="10" t="str">
        <f>IFERROR(__xludf.DUMMYFUNCTION("""COMPUTED_VALUE"""),"操")</f>
        <v>操</v>
      </c>
      <c r="B2402" s="10">
        <f>IFERROR(__xludf.DUMMYFUNCTION("""COMPUTED_VALUE"""),2264.0)</f>
        <v>2264</v>
      </c>
      <c r="C2402" s="10">
        <f>IFERROR(__xludf.DUMMYFUNCTION("""COMPUTED_VALUE"""),26517.0)</f>
        <v>26517</v>
      </c>
      <c r="D2402" s="5">
        <f>IFERROR(__xludf.DUMMYFUNCTION("""COMPUTED_VALUE"""),0.2313940543437925)</f>
        <v>0.2313940543</v>
      </c>
      <c r="E2402" s="5">
        <f>IFERROR(__xludf.DUMMYFUNCTION("""COMPUTED_VALUE"""),0.12979837545870615)</f>
        <v>0.1297983755</v>
      </c>
      <c r="F2402" s="5">
        <f>IFERROR(__xludf.DUMMYFUNCTION("""COMPUTED_VALUE"""),0.18843029728281038)</f>
        <v>0.1884302973</v>
      </c>
      <c r="G2402" s="5">
        <f>IFERROR(__xludf.DUMMYFUNCTION("""COMPUTED_VALUE"""),0.17919432647507524)</f>
        <v>0.1791943265</v>
      </c>
      <c r="H2402" s="5">
        <f>IFERROR(__xludf.DUMMYFUNCTION("""COMPUTED_VALUE"""),0.575054704595186)</f>
        <v>0.5750547046</v>
      </c>
      <c r="I2402" s="11">
        <f>IFERROR(__xludf.DUMMYFUNCTION("""COMPUTED_VALUE"""),6530.065645514223)</f>
        <v>6530.065646</v>
      </c>
      <c r="J2402" s="10">
        <f>IFERROR(__xludf.DUMMYFUNCTION("""COMPUTED_VALUE"""),6.0)</f>
        <v>6</v>
      </c>
      <c r="K2402" s="5">
        <f>IFERROR(__xludf.DUMMYFUNCTION("""COMPUTED_VALUE"""),0.00265017667844523)</f>
        <v>0.002650176678</v>
      </c>
      <c r="L2402" s="10">
        <f>IFERROR(__xludf.DUMMYFUNCTION("""COMPUTED_VALUE"""),2264.0)</f>
        <v>2264</v>
      </c>
      <c r="M2402" s="5">
        <f>IFERROR(__xludf.DUMMYFUNCTION("""COMPUTED_VALUE"""),1.0)</f>
        <v>1</v>
      </c>
    </row>
    <row r="2403">
      <c r="A2403" s="10" t="str">
        <f>IFERROR(__xludf.DUMMYFUNCTION("""COMPUTED_VALUE"""),"倫理")</f>
        <v>倫理</v>
      </c>
      <c r="B2403" s="10">
        <f>IFERROR(__xludf.DUMMYFUNCTION("""COMPUTED_VALUE"""),284.0)</f>
        <v>284</v>
      </c>
      <c r="C2403" s="10">
        <f>IFERROR(__xludf.DUMMYFUNCTION("""COMPUTED_VALUE"""),3358.0)</f>
        <v>3358</v>
      </c>
      <c r="D2403" s="5">
        <f>IFERROR(__xludf.DUMMYFUNCTION("""COMPUTED_VALUE"""),0.3903708523096942)</f>
        <v>0.3903708523</v>
      </c>
      <c r="E2403" s="5">
        <f>IFERROR(__xludf.DUMMYFUNCTION("""COMPUTED_VALUE"""),0.12979830839297332)</f>
        <v>0.1297983084</v>
      </c>
      <c r="F2403" s="5">
        <f>IFERROR(__xludf.DUMMYFUNCTION("""COMPUTED_VALUE"""),0.21210149642160053)</f>
        <v>0.2121014964</v>
      </c>
      <c r="G2403" s="5">
        <f>IFERROR(__xludf.DUMMYFUNCTION("""COMPUTED_VALUE"""),0.1405335068314899)</f>
        <v>0.1405335068</v>
      </c>
      <c r="H2403" s="5">
        <f>IFERROR(__xludf.DUMMYFUNCTION("""COMPUTED_VALUE"""),0.6441717791411042)</f>
        <v>0.6441717791</v>
      </c>
      <c r="I2403" s="11">
        <f>IFERROR(__xludf.DUMMYFUNCTION("""COMPUTED_VALUE"""),5476.226993865031)</f>
        <v>5476.226994</v>
      </c>
      <c r="J2403" s="10">
        <f>IFERROR(__xludf.DUMMYFUNCTION("""COMPUTED_VALUE"""),0.0)</f>
        <v>0</v>
      </c>
      <c r="K2403" s="5">
        <f>IFERROR(__xludf.DUMMYFUNCTION("""COMPUTED_VALUE"""),0.0)</f>
        <v>0</v>
      </c>
      <c r="L2403" s="10">
        <f>IFERROR(__xludf.DUMMYFUNCTION("""COMPUTED_VALUE"""),284.0)</f>
        <v>284</v>
      </c>
      <c r="M2403" s="5">
        <f>IFERROR(__xludf.DUMMYFUNCTION("""COMPUTED_VALUE"""),1.0)</f>
        <v>1</v>
      </c>
    </row>
    <row r="2404">
      <c r="A2404" s="10" t="str">
        <f>IFERROR(__xludf.DUMMYFUNCTION("""COMPUTED_VALUE"""),"いいぞ")</f>
        <v>いいぞ</v>
      </c>
      <c r="B2404" s="10">
        <f>IFERROR(__xludf.DUMMYFUNCTION("""COMPUTED_VALUE"""),793.0)</f>
        <v>793</v>
      </c>
      <c r="C2404" s="10">
        <f>IFERROR(__xludf.DUMMYFUNCTION("""COMPUTED_VALUE"""),9291.0)</f>
        <v>9291</v>
      </c>
      <c r="D2404" s="5">
        <f>IFERROR(__xludf.DUMMYFUNCTION("""COMPUTED_VALUE"""),0.3345493057189927)</f>
        <v>0.3345493057</v>
      </c>
      <c r="E2404" s="5">
        <f>IFERROR(__xludf.DUMMYFUNCTION("""COMPUTED_VALUE"""),0.12979524594022124)</f>
        <v>0.1297952459</v>
      </c>
      <c r="F2404" s="5">
        <f>IFERROR(__xludf.DUMMYFUNCTION("""COMPUTED_VALUE"""),0.2159331607437044)</f>
        <v>0.2159331607</v>
      </c>
      <c r="G2404" s="5">
        <f>IFERROR(__xludf.DUMMYFUNCTION("""COMPUTED_VALUE"""),0.18627912449988232)</f>
        <v>0.1862791245</v>
      </c>
      <c r="H2404" s="5">
        <f>IFERROR(__xludf.DUMMYFUNCTION("""COMPUTED_VALUE"""),0.5983651226158038)</f>
        <v>0.5983651226</v>
      </c>
      <c r="I2404" s="11">
        <f>IFERROR(__xludf.DUMMYFUNCTION("""COMPUTED_VALUE"""),5644.25068119891)</f>
        <v>5644.250681</v>
      </c>
      <c r="J2404" s="10">
        <f>IFERROR(__xludf.DUMMYFUNCTION("""COMPUTED_VALUE"""),1.0)</f>
        <v>1</v>
      </c>
      <c r="K2404" s="5">
        <f>IFERROR(__xludf.DUMMYFUNCTION("""COMPUTED_VALUE"""),0.0012610340479192938)</f>
        <v>0.001261034048</v>
      </c>
      <c r="L2404" s="10">
        <f>IFERROR(__xludf.DUMMYFUNCTION("""COMPUTED_VALUE"""),787.0)</f>
        <v>787</v>
      </c>
      <c r="M2404" s="5">
        <f>IFERROR(__xludf.DUMMYFUNCTION("""COMPUTED_VALUE"""),0.9924337957124842)</f>
        <v>0.9924337957</v>
      </c>
    </row>
    <row r="2405">
      <c r="A2405" s="10" t="str">
        <f>IFERROR(__xludf.DUMMYFUNCTION("""COMPUTED_VALUE"""),"Tiefa")</f>
        <v>Tiefa</v>
      </c>
      <c r="B2405" s="10">
        <f>IFERROR(__xludf.DUMMYFUNCTION("""COMPUTED_VALUE"""),134.0)</f>
        <v>134</v>
      </c>
      <c r="C2405" s="10">
        <f>IFERROR(__xludf.DUMMYFUNCTION("""COMPUTED_VALUE"""),1598.0)</f>
        <v>1598</v>
      </c>
      <c r="D2405" s="5">
        <f>IFERROR(__xludf.DUMMYFUNCTION("""COMPUTED_VALUE"""),0.3797814207650273)</f>
        <v>0.3797814208</v>
      </c>
      <c r="E2405" s="5">
        <f>IFERROR(__xludf.DUMMYFUNCTION("""COMPUTED_VALUE"""),0.12978142076502733)</f>
        <v>0.1297814208</v>
      </c>
      <c r="F2405" s="5">
        <f>IFERROR(__xludf.DUMMYFUNCTION("""COMPUTED_VALUE"""),0.21379781420765026)</f>
        <v>0.2137978142</v>
      </c>
      <c r="G2405" s="5">
        <f>IFERROR(__xludf.DUMMYFUNCTION("""COMPUTED_VALUE"""),0.1912568306010929)</f>
        <v>0.1912568306</v>
      </c>
      <c r="H2405" s="5">
        <f>IFERROR(__xludf.DUMMYFUNCTION("""COMPUTED_VALUE"""),0.6293929712460063)</f>
        <v>0.6293929712</v>
      </c>
      <c r="I2405" s="11">
        <f>IFERROR(__xludf.DUMMYFUNCTION("""COMPUTED_VALUE"""),5828.753993610224)</f>
        <v>5828.753994</v>
      </c>
      <c r="J2405" s="10">
        <f>IFERROR(__xludf.DUMMYFUNCTION("""COMPUTED_VALUE"""),2.0)</f>
        <v>2</v>
      </c>
      <c r="K2405" s="5">
        <f>IFERROR(__xludf.DUMMYFUNCTION("""COMPUTED_VALUE"""),0.014925373134328358)</f>
        <v>0.01492537313</v>
      </c>
      <c r="L2405" s="10">
        <f>IFERROR(__xludf.DUMMYFUNCTION("""COMPUTED_VALUE"""),134.0)</f>
        <v>134</v>
      </c>
      <c r="M2405" s="5">
        <f>IFERROR(__xludf.DUMMYFUNCTION("""COMPUTED_VALUE"""),1.0)</f>
        <v>1</v>
      </c>
    </row>
    <row r="2406">
      <c r="A2406" s="10" t="str">
        <f>IFERROR(__xludf.DUMMYFUNCTION("""COMPUTED_VALUE"""),"チップコレクター")</f>
        <v>チップコレクター</v>
      </c>
      <c r="B2406" s="10">
        <f>IFERROR(__xludf.DUMMYFUNCTION("""COMPUTED_VALUE"""),2360.0)</f>
        <v>2360</v>
      </c>
      <c r="C2406" s="10">
        <f>IFERROR(__xludf.DUMMYFUNCTION("""COMPUTED_VALUE"""),27326.0)</f>
        <v>27326</v>
      </c>
      <c r="D2406" s="5">
        <f>IFERROR(__xludf.DUMMYFUNCTION("""COMPUTED_VALUE"""),0.3234398782343988)</f>
        <v>0.3234398782</v>
      </c>
      <c r="E2406" s="5">
        <f>IFERROR(__xludf.DUMMYFUNCTION("""COMPUTED_VALUE"""),0.12977649603460706)</f>
        <v>0.129776496</v>
      </c>
      <c r="F2406" s="5">
        <f>IFERROR(__xludf.DUMMYFUNCTION("""COMPUTED_VALUE"""),0.21689497716894976)</f>
        <v>0.2168949772</v>
      </c>
      <c r="G2406" s="5">
        <f>IFERROR(__xludf.DUMMYFUNCTION("""COMPUTED_VALUE"""),0.18276856524873827)</f>
        <v>0.1827685652</v>
      </c>
      <c r="H2406" s="5">
        <f>IFERROR(__xludf.DUMMYFUNCTION("""COMPUTED_VALUE"""),0.5892890120036934)</f>
        <v>0.589289012</v>
      </c>
      <c r="I2406" s="11">
        <f>IFERROR(__xludf.DUMMYFUNCTION("""COMPUTED_VALUE"""),5702.58541089566)</f>
        <v>5702.585411</v>
      </c>
      <c r="J2406" s="10">
        <f>IFERROR(__xludf.DUMMYFUNCTION("""COMPUTED_VALUE"""),6.0)</f>
        <v>6</v>
      </c>
      <c r="K2406" s="5">
        <f>IFERROR(__xludf.DUMMYFUNCTION("""COMPUTED_VALUE"""),0.002542372881355932)</f>
        <v>0.002542372881</v>
      </c>
      <c r="L2406" s="10">
        <f>IFERROR(__xludf.DUMMYFUNCTION("""COMPUTED_VALUE"""),2360.0)</f>
        <v>2360</v>
      </c>
      <c r="M2406" s="5">
        <f>IFERROR(__xludf.DUMMYFUNCTION("""COMPUTED_VALUE"""),1.0)</f>
        <v>1</v>
      </c>
    </row>
    <row r="2407">
      <c r="A2407" s="10" t="str">
        <f>IFERROR(__xludf.DUMMYFUNCTION("""COMPUTED_VALUE"""),"taka-116")</f>
        <v>taka-116</v>
      </c>
      <c r="B2407" s="10">
        <f>IFERROR(__xludf.DUMMYFUNCTION("""COMPUTED_VALUE"""),1137.0)</f>
        <v>1137</v>
      </c>
      <c r="C2407" s="10">
        <f>IFERROR(__xludf.DUMMYFUNCTION("""COMPUTED_VALUE"""),13189.0)</f>
        <v>13189</v>
      </c>
      <c r="D2407" s="5">
        <f>IFERROR(__xludf.DUMMYFUNCTION("""COMPUTED_VALUE"""),0.3861599734483903)</f>
        <v>0.3861599734</v>
      </c>
      <c r="E2407" s="5">
        <f>IFERROR(__xludf.DUMMYFUNCTION("""COMPUTED_VALUE"""),0.1297709923664122)</f>
        <v>0.1297709924</v>
      </c>
      <c r="F2407" s="5">
        <f>IFERROR(__xludf.DUMMYFUNCTION("""COMPUTED_VALUE"""),0.21000663790242283)</f>
        <v>0.2100066379</v>
      </c>
      <c r="G2407" s="5">
        <f>IFERROR(__xludf.DUMMYFUNCTION("""COMPUTED_VALUE"""),0.1656156654497179)</f>
        <v>0.1656156654</v>
      </c>
      <c r="H2407" s="5">
        <f>IFERROR(__xludf.DUMMYFUNCTION("""COMPUTED_VALUE"""),0.6041090478071909)</f>
        <v>0.6041090478</v>
      </c>
      <c r="I2407" s="11">
        <f>IFERROR(__xludf.DUMMYFUNCTION("""COMPUTED_VALUE"""),5436.90241011458)</f>
        <v>5436.90241</v>
      </c>
      <c r="J2407" s="10">
        <f>IFERROR(__xludf.DUMMYFUNCTION("""COMPUTED_VALUE"""),2.0)</f>
        <v>2</v>
      </c>
      <c r="K2407" s="5">
        <f>IFERROR(__xludf.DUMMYFUNCTION("""COMPUTED_VALUE"""),0.001759014951627089)</f>
        <v>0.001759014952</v>
      </c>
      <c r="L2407" s="10">
        <f>IFERROR(__xludf.DUMMYFUNCTION("""COMPUTED_VALUE"""),1137.0)</f>
        <v>1137</v>
      </c>
      <c r="M2407" s="5">
        <f>IFERROR(__xludf.DUMMYFUNCTION("""COMPUTED_VALUE"""),1.0)</f>
        <v>1</v>
      </c>
    </row>
    <row r="2408">
      <c r="A2408" s="10" t="str">
        <f>IFERROR(__xludf.DUMMYFUNCTION("""COMPUTED_VALUE"""),"ジェリー・マウス")</f>
        <v>ジェリー・マウス</v>
      </c>
      <c r="B2408" s="10">
        <f>IFERROR(__xludf.DUMMYFUNCTION("""COMPUTED_VALUE"""),419.0)</f>
        <v>419</v>
      </c>
      <c r="C2408" s="10">
        <f>IFERROR(__xludf.DUMMYFUNCTION("""COMPUTED_VALUE"""),4881.0)</f>
        <v>4881</v>
      </c>
      <c r="D2408" s="5">
        <f>IFERROR(__xludf.DUMMYFUNCTION("""COMPUTED_VALUE"""),0.3695652173913043)</f>
        <v>0.3695652174</v>
      </c>
      <c r="E2408" s="5">
        <f>IFERROR(__xludf.DUMMYFUNCTION("""COMPUTED_VALUE"""),0.12976243836844464)</f>
        <v>0.1297624384</v>
      </c>
      <c r="F2408" s="5">
        <f>IFERROR(__xludf.DUMMYFUNCTION("""COMPUTED_VALUE"""),0.20887494397131331)</f>
        <v>0.208874944</v>
      </c>
      <c r="G2408" s="5">
        <f>IFERROR(__xludf.DUMMYFUNCTION("""COMPUTED_VALUE"""),0.16337965038099506)</f>
        <v>0.1633796504</v>
      </c>
      <c r="H2408" s="5">
        <f>IFERROR(__xludf.DUMMYFUNCTION("""COMPUTED_VALUE"""),0.6094420600858369)</f>
        <v>0.6094420601</v>
      </c>
      <c r="I2408" s="11">
        <f>IFERROR(__xludf.DUMMYFUNCTION("""COMPUTED_VALUE"""),6003.540772532189)</f>
        <v>6003.540773</v>
      </c>
      <c r="J2408" s="10">
        <f>IFERROR(__xludf.DUMMYFUNCTION("""COMPUTED_VALUE"""),2.0)</f>
        <v>2</v>
      </c>
      <c r="K2408" s="5">
        <f>IFERROR(__xludf.DUMMYFUNCTION("""COMPUTED_VALUE"""),0.00477326968973747)</f>
        <v>0.00477326969</v>
      </c>
      <c r="L2408" s="10">
        <f>IFERROR(__xludf.DUMMYFUNCTION("""COMPUTED_VALUE"""),419.0)</f>
        <v>419</v>
      </c>
      <c r="M2408" s="5">
        <f>IFERROR(__xludf.DUMMYFUNCTION("""COMPUTED_VALUE"""),1.0)</f>
        <v>1</v>
      </c>
    </row>
    <row r="2409">
      <c r="A2409" s="10" t="str">
        <f>IFERROR(__xludf.DUMMYFUNCTION("""COMPUTED_VALUE"""),"鉄貞")</f>
        <v>鉄貞</v>
      </c>
      <c r="B2409" s="10">
        <f>IFERROR(__xludf.DUMMYFUNCTION("""COMPUTED_VALUE"""),2227.0)</f>
        <v>2227</v>
      </c>
      <c r="C2409" s="10">
        <f>IFERROR(__xludf.DUMMYFUNCTION("""COMPUTED_VALUE"""),25886.0)</f>
        <v>25886</v>
      </c>
      <c r="D2409" s="5">
        <f>IFERROR(__xludf.DUMMYFUNCTION("""COMPUTED_VALUE"""),0.3663299378671964)</f>
        <v>0.3663299379</v>
      </c>
      <c r="E2409" s="5">
        <f>IFERROR(__xludf.DUMMYFUNCTION("""COMPUTED_VALUE"""),0.1297603449004607)</f>
        <v>0.1297603449</v>
      </c>
      <c r="F2409" s="5">
        <f>IFERROR(__xludf.DUMMYFUNCTION("""COMPUTED_VALUE"""),0.20943404201361004)</f>
        <v>0.209434042</v>
      </c>
      <c r="G2409" s="5">
        <f>IFERROR(__xludf.DUMMYFUNCTION("""COMPUTED_VALUE"""),0.17743776152838242)</f>
        <v>0.1774377615</v>
      </c>
      <c r="H2409" s="5">
        <f>IFERROR(__xludf.DUMMYFUNCTION("""COMPUTED_VALUE"""),0.6040363269424823)</f>
        <v>0.6040363269</v>
      </c>
      <c r="I2409" s="11">
        <f>IFERROR(__xludf.DUMMYFUNCTION("""COMPUTED_VALUE"""),5543.652875882946)</f>
        <v>5543.652876</v>
      </c>
      <c r="J2409" s="10">
        <f>IFERROR(__xludf.DUMMYFUNCTION("""COMPUTED_VALUE"""),4.0)</f>
        <v>4</v>
      </c>
      <c r="K2409" s="5">
        <f>IFERROR(__xludf.DUMMYFUNCTION("""COMPUTED_VALUE"""),0.001796138302649304)</f>
        <v>0.001796138303</v>
      </c>
      <c r="L2409" s="10">
        <f>IFERROR(__xludf.DUMMYFUNCTION("""COMPUTED_VALUE"""),2227.0)</f>
        <v>2227</v>
      </c>
      <c r="M2409" s="5">
        <f>IFERROR(__xludf.DUMMYFUNCTION("""COMPUTED_VALUE"""),1.0)</f>
        <v>1</v>
      </c>
    </row>
    <row r="2410">
      <c r="A2410" s="10" t="str">
        <f>IFERROR(__xludf.DUMMYFUNCTION("""COMPUTED_VALUE"""),"円筒")</f>
        <v>円筒</v>
      </c>
      <c r="B2410" s="10">
        <f>IFERROR(__xludf.DUMMYFUNCTION("""COMPUTED_VALUE"""),328.0)</f>
        <v>328</v>
      </c>
      <c r="C2410" s="10">
        <f>IFERROR(__xludf.DUMMYFUNCTION("""COMPUTED_VALUE"""),3850.0)</f>
        <v>3850</v>
      </c>
      <c r="D2410" s="5">
        <f>IFERROR(__xludf.DUMMYFUNCTION("""COMPUTED_VALUE"""),0.3205565019875071)</f>
        <v>0.320556502</v>
      </c>
      <c r="E2410" s="5">
        <f>IFERROR(__xludf.DUMMYFUNCTION("""COMPUTED_VALUE"""),0.12975582055650198)</f>
        <v>0.1297558206</v>
      </c>
      <c r="F2410" s="5">
        <f>IFERROR(__xludf.DUMMYFUNCTION("""COMPUTED_VALUE"""),0.20783645655877342)</f>
        <v>0.2078364566</v>
      </c>
      <c r="G2410" s="5">
        <f>IFERROR(__xludf.DUMMYFUNCTION("""COMPUTED_VALUE"""),0.18228279386712096)</f>
        <v>0.1822827939</v>
      </c>
      <c r="H2410" s="5">
        <f>IFERROR(__xludf.DUMMYFUNCTION("""COMPUTED_VALUE"""),0.5915300546448088)</f>
        <v>0.5915300546</v>
      </c>
      <c r="I2410" s="11">
        <f>IFERROR(__xludf.DUMMYFUNCTION("""COMPUTED_VALUE"""),5849.31693989071)</f>
        <v>5849.31694</v>
      </c>
      <c r="J2410" s="10">
        <f>IFERROR(__xludf.DUMMYFUNCTION("""COMPUTED_VALUE"""),2.0)</f>
        <v>2</v>
      </c>
      <c r="K2410" s="5">
        <f>IFERROR(__xludf.DUMMYFUNCTION("""COMPUTED_VALUE"""),0.006097560975609756)</f>
        <v>0.006097560976</v>
      </c>
      <c r="L2410" s="10">
        <f>IFERROR(__xludf.DUMMYFUNCTION("""COMPUTED_VALUE"""),328.0)</f>
        <v>328</v>
      </c>
      <c r="M2410" s="5">
        <f>IFERROR(__xludf.DUMMYFUNCTION("""COMPUTED_VALUE"""),1.0)</f>
        <v>1</v>
      </c>
    </row>
    <row r="2411">
      <c r="A2411" s="10" t="str">
        <f>IFERROR(__xludf.DUMMYFUNCTION("""COMPUTED_VALUE"""),"（＊＞＜）")</f>
        <v>（＊＞＜）</v>
      </c>
      <c r="B2411" s="10">
        <f>IFERROR(__xludf.DUMMYFUNCTION("""COMPUTED_VALUE"""),1345.0)</f>
        <v>1345</v>
      </c>
      <c r="C2411" s="10">
        <f>IFERROR(__xludf.DUMMYFUNCTION("""COMPUTED_VALUE"""),15780.0)</f>
        <v>15780</v>
      </c>
      <c r="D2411" s="5">
        <f>IFERROR(__xludf.DUMMYFUNCTION("""COMPUTED_VALUE"""),0.3309317630758573)</f>
        <v>0.3309317631</v>
      </c>
      <c r="E2411" s="5">
        <f>IFERROR(__xludf.DUMMYFUNCTION("""COMPUTED_VALUE"""),0.12975406996882577)</f>
        <v>0.12975407</v>
      </c>
      <c r="F2411" s="5">
        <f>IFERROR(__xludf.DUMMYFUNCTION("""COMPUTED_VALUE"""),0.21849670938690682)</f>
        <v>0.2184967094</v>
      </c>
      <c r="G2411" s="5">
        <f>IFERROR(__xludf.DUMMYFUNCTION("""COMPUTED_VALUE"""),0.15344648423969517)</f>
        <v>0.1534464842</v>
      </c>
      <c r="H2411" s="5">
        <f>IFERROR(__xludf.DUMMYFUNCTION("""COMPUTED_VALUE"""),0.6201648700063411)</f>
        <v>0.62016487</v>
      </c>
      <c r="I2411" s="11">
        <f>IFERROR(__xludf.DUMMYFUNCTION("""COMPUTED_VALUE"""),5555.611921369689)</f>
        <v>5555.611921</v>
      </c>
      <c r="J2411" s="10">
        <f>IFERROR(__xludf.DUMMYFUNCTION("""COMPUTED_VALUE"""),1.0)</f>
        <v>1</v>
      </c>
      <c r="K2411" s="5">
        <f>IFERROR(__xludf.DUMMYFUNCTION("""COMPUTED_VALUE"""),7.434944237918215E-4)</f>
        <v>0.0007434944238</v>
      </c>
      <c r="L2411" s="10">
        <f>IFERROR(__xludf.DUMMYFUNCTION("""COMPUTED_VALUE"""),1308.0)</f>
        <v>1308</v>
      </c>
      <c r="M2411" s="5">
        <f>IFERROR(__xludf.DUMMYFUNCTION("""COMPUTED_VALUE"""),0.9724907063197026)</f>
        <v>0.9724907063</v>
      </c>
    </row>
    <row r="2412">
      <c r="A2412" s="10" t="str">
        <f>IFERROR(__xludf.DUMMYFUNCTION("""COMPUTED_VALUE"""),"ritsuca＊")</f>
        <v>ritsuca＊</v>
      </c>
      <c r="B2412" s="10">
        <f>IFERROR(__xludf.DUMMYFUNCTION("""COMPUTED_VALUE"""),227.0)</f>
        <v>227</v>
      </c>
      <c r="C2412" s="10">
        <f>IFERROR(__xludf.DUMMYFUNCTION("""COMPUTED_VALUE"""),2647.0)</f>
        <v>2647</v>
      </c>
      <c r="D2412" s="5">
        <f>IFERROR(__xludf.DUMMYFUNCTION("""COMPUTED_VALUE"""),0.34049586776859503)</f>
        <v>0.3404958678</v>
      </c>
      <c r="E2412" s="5">
        <f>IFERROR(__xludf.DUMMYFUNCTION("""COMPUTED_VALUE"""),0.12975206611570247)</f>
        <v>0.1297520661</v>
      </c>
      <c r="F2412" s="5">
        <f>IFERROR(__xludf.DUMMYFUNCTION("""COMPUTED_VALUE"""),0.2)</f>
        <v>0.2</v>
      </c>
      <c r="G2412" s="5">
        <f>IFERROR(__xludf.DUMMYFUNCTION("""COMPUTED_VALUE"""),0.1871900826446281)</f>
        <v>0.1871900826</v>
      </c>
      <c r="H2412" s="5">
        <f>IFERROR(__xludf.DUMMYFUNCTION("""COMPUTED_VALUE"""),0.6115702479338843)</f>
        <v>0.6115702479</v>
      </c>
      <c r="I2412" s="11">
        <f>IFERROR(__xludf.DUMMYFUNCTION("""COMPUTED_VALUE"""),5524.586776859504)</f>
        <v>5524.586777</v>
      </c>
      <c r="J2412" s="10">
        <f>IFERROR(__xludf.DUMMYFUNCTION("""COMPUTED_VALUE"""),0.0)</f>
        <v>0</v>
      </c>
      <c r="K2412" s="5">
        <f>IFERROR(__xludf.DUMMYFUNCTION("""COMPUTED_VALUE"""),0.0)</f>
        <v>0</v>
      </c>
      <c r="L2412" s="10">
        <f>IFERROR(__xludf.DUMMYFUNCTION("""COMPUTED_VALUE"""),0.0)</f>
        <v>0</v>
      </c>
      <c r="M2412" s="5">
        <f>IFERROR(__xludf.DUMMYFUNCTION("""COMPUTED_VALUE"""),0.0)</f>
        <v>0</v>
      </c>
    </row>
    <row r="2413">
      <c r="A2413" s="10" t="str">
        <f>IFERROR(__xludf.DUMMYFUNCTION("""COMPUTED_VALUE"""),"coa")</f>
        <v>coa</v>
      </c>
      <c r="B2413" s="10">
        <f>IFERROR(__xludf.DUMMYFUNCTION("""COMPUTED_VALUE"""),2211.0)</f>
        <v>2211</v>
      </c>
      <c r="C2413" s="10">
        <f>IFERROR(__xludf.DUMMYFUNCTION("""COMPUTED_VALUE"""),26066.0)</f>
        <v>26066</v>
      </c>
      <c r="D2413" s="5">
        <f>IFERROR(__xludf.DUMMYFUNCTION("""COMPUTED_VALUE"""),0.34977992035212746)</f>
        <v>0.3497799204</v>
      </c>
      <c r="E2413" s="5">
        <f>IFERROR(__xludf.DUMMYFUNCTION("""COMPUTED_VALUE"""),0.12974219241249213)</f>
        <v>0.1297421924</v>
      </c>
      <c r="F2413" s="5">
        <f>IFERROR(__xludf.DUMMYFUNCTION("""COMPUTED_VALUE"""),0.2166422133724586)</f>
        <v>0.2166422134</v>
      </c>
      <c r="G2413" s="5">
        <f>IFERROR(__xludf.DUMMYFUNCTION("""COMPUTED_VALUE"""),0.16428421714525257)</f>
        <v>0.1642842171</v>
      </c>
      <c r="H2413" s="5">
        <f>IFERROR(__xludf.DUMMYFUNCTION("""COMPUTED_VALUE"""),0.6064241486068112)</f>
        <v>0.6064241486</v>
      </c>
      <c r="I2413" s="11">
        <f>IFERROR(__xludf.DUMMYFUNCTION("""COMPUTED_VALUE"""),5502.476780185759)</f>
        <v>5502.47678</v>
      </c>
      <c r="J2413" s="10">
        <f>IFERROR(__xludf.DUMMYFUNCTION("""COMPUTED_VALUE"""),3.0)</f>
        <v>3</v>
      </c>
      <c r="K2413" s="5">
        <f>IFERROR(__xludf.DUMMYFUNCTION("""COMPUTED_VALUE"""),0.0013568521031207597)</f>
        <v>0.001356852103</v>
      </c>
      <c r="L2413" s="10">
        <f>IFERROR(__xludf.DUMMYFUNCTION("""COMPUTED_VALUE"""),2211.0)</f>
        <v>2211</v>
      </c>
      <c r="M2413" s="5">
        <f>IFERROR(__xludf.DUMMYFUNCTION("""COMPUTED_VALUE"""),1.0)</f>
        <v>1</v>
      </c>
    </row>
    <row r="2414">
      <c r="A2414" s="10" t="str">
        <f>IFERROR(__xludf.DUMMYFUNCTION("""COMPUTED_VALUE"""),"盗賊")</f>
        <v>盗賊</v>
      </c>
      <c r="B2414" s="10">
        <f>IFERROR(__xludf.DUMMYFUNCTION("""COMPUTED_VALUE"""),154.0)</f>
        <v>154</v>
      </c>
      <c r="C2414" s="10">
        <f>IFERROR(__xludf.DUMMYFUNCTION("""COMPUTED_VALUE"""),1842.0)</f>
        <v>1842</v>
      </c>
      <c r="D2414" s="5">
        <f>IFERROR(__xludf.DUMMYFUNCTION("""COMPUTED_VALUE"""),0.36492890995260663)</f>
        <v>0.36492891</v>
      </c>
      <c r="E2414" s="5">
        <f>IFERROR(__xludf.DUMMYFUNCTION("""COMPUTED_VALUE"""),0.129739336492891)</f>
        <v>0.1297393365</v>
      </c>
      <c r="F2414" s="5">
        <f>IFERROR(__xludf.DUMMYFUNCTION("""COMPUTED_VALUE"""),0.21800947867298578)</f>
        <v>0.2180094787</v>
      </c>
      <c r="G2414" s="5">
        <f>IFERROR(__xludf.DUMMYFUNCTION("""COMPUTED_VALUE"""),0.18009478672985782)</f>
        <v>0.1800947867</v>
      </c>
      <c r="H2414" s="5">
        <f>IFERROR(__xludf.DUMMYFUNCTION("""COMPUTED_VALUE"""),0.6005434782608695)</f>
        <v>0.6005434783</v>
      </c>
      <c r="I2414" s="11">
        <f>IFERROR(__xludf.DUMMYFUNCTION("""COMPUTED_VALUE"""),5128.804347826087)</f>
        <v>5128.804348</v>
      </c>
      <c r="J2414" s="10">
        <f>IFERROR(__xludf.DUMMYFUNCTION("""COMPUTED_VALUE"""),0.0)</f>
        <v>0</v>
      </c>
      <c r="K2414" s="5">
        <f>IFERROR(__xludf.DUMMYFUNCTION("""COMPUTED_VALUE"""),0.0)</f>
        <v>0</v>
      </c>
      <c r="L2414" s="10">
        <f>IFERROR(__xludf.DUMMYFUNCTION("""COMPUTED_VALUE"""),154.0)</f>
        <v>154</v>
      </c>
      <c r="M2414" s="5">
        <f>IFERROR(__xludf.DUMMYFUNCTION("""COMPUTED_VALUE"""),1.0)</f>
        <v>1</v>
      </c>
    </row>
    <row r="2415">
      <c r="A2415" s="10" t="str">
        <f>IFERROR(__xludf.DUMMYFUNCTION("""COMPUTED_VALUE"""),"【上埜久】")</f>
        <v>【上埜久】</v>
      </c>
      <c r="B2415" s="10">
        <f>IFERROR(__xludf.DUMMYFUNCTION("""COMPUTED_VALUE"""),223.0)</f>
        <v>223</v>
      </c>
      <c r="C2415" s="10">
        <f>IFERROR(__xludf.DUMMYFUNCTION("""COMPUTED_VALUE"""),2597.0)</f>
        <v>2597</v>
      </c>
      <c r="D2415" s="5">
        <f>IFERROR(__xludf.DUMMYFUNCTION("""COMPUTED_VALUE"""),0.37784330244313397)</f>
        <v>0.3778433024</v>
      </c>
      <c r="E2415" s="5">
        <f>IFERROR(__xludf.DUMMYFUNCTION("""COMPUTED_VALUE"""),0.12973883740522324)</f>
        <v>0.1297388374</v>
      </c>
      <c r="F2415" s="5">
        <f>IFERROR(__xludf.DUMMYFUNCTION("""COMPUTED_VALUE"""),0.21061499578770007)</f>
        <v>0.2106149958</v>
      </c>
      <c r="G2415" s="5">
        <f>IFERROR(__xludf.DUMMYFUNCTION("""COMPUTED_VALUE"""),0.15838247683235046)</f>
        <v>0.1583824768</v>
      </c>
      <c r="H2415" s="5">
        <f>IFERROR(__xludf.DUMMYFUNCTION("""COMPUTED_VALUE"""),0.58)</f>
        <v>0.58</v>
      </c>
      <c r="I2415" s="11">
        <f>IFERROR(__xludf.DUMMYFUNCTION("""COMPUTED_VALUE"""),5508.0)</f>
        <v>5508</v>
      </c>
      <c r="J2415" s="10">
        <f>IFERROR(__xludf.DUMMYFUNCTION("""COMPUTED_VALUE"""),1.0)</f>
        <v>1</v>
      </c>
      <c r="K2415" s="5">
        <f>IFERROR(__xludf.DUMMYFUNCTION("""COMPUTED_VALUE"""),0.004484304932735426)</f>
        <v>0.004484304933</v>
      </c>
      <c r="L2415" s="10">
        <f>IFERROR(__xludf.DUMMYFUNCTION("""COMPUTED_VALUE"""),0.0)</f>
        <v>0</v>
      </c>
      <c r="M2415" s="5">
        <f>IFERROR(__xludf.DUMMYFUNCTION("""COMPUTED_VALUE"""),0.0)</f>
        <v>0</v>
      </c>
    </row>
    <row r="2416">
      <c r="A2416" s="10" t="str">
        <f>IFERROR(__xludf.DUMMYFUNCTION("""COMPUTED_VALUE"""),"お妙＠ごえてぃあ")</f>
        <v>お妙＠ごえてぃあ</v>
      </c>
      <c r="B2416" s="10">
        <f>IFERROR(__xludf.DUMMYFUNCTION("""COMPUTED_VALUE"""),368.0)</f>
        <v>368</v>
      </c>
      <c r="C2416" s="10">
        <f>IFERROR(__xludf.DUMMYFUNCTION("""COMPUTED_VALUE"""),4307.0)</f>
        <v>4307</v>
      </c>
      <c r="D2416" s="5">
        <f>IFERROR(__xludf.DUMMYFUNCTION("""COMPUTED_VALUE"""),0.343995938055344)</f>
        <v>0.3439959381</v>
      </c>
      <c r="E2416" s="5">
        <f>IFERROR(__xludf.DUMMYFUNCTION("""COMPUTED_VALUE"""),0.12972835745112973)</f>
        <v>0.1297283575</v>
      </c>
      <c r="F2416" s="5">
        <f>IFERROR(__xludf.DUMMYFUNCTION("""COMPUTED_VALUE"""),0.21832952526021834)</f>
        <v>0.2183295253</v>
      </c>
      <c r="G2416" s="5">
        <f>IFERROR(__xludf.DUMMYFUNCTION("""COMPUTED_VALUE"""),0.18507235338918507)</f>
        <v>0.1850723534</v>
      </c>
      <c r="H2416" s="5">
        <f>IFERROR(__xludf.DUMMYFUNCTION("""COMPUTED_VALUE"""),0.5895348837209302)</f>
        <v>0.5895348837</v>
      </c>
      <c r="I2416" s="11">
        <f>IFERROR(__xludf.DUMMYFUNCTION("""COMPUTED_VALUE"""),5626.395348837209)</f>
        <v>5626.395349</v>
      </c>
      <c r="J2416" s="10">
        <f>IFERROR(__xludf.DUMMYFUNCTION("""COMPUTED_VALUE"""),2.0)</f>
        <v>2</v>
      </c>
      <c r="K2416" s="5">
        <f>IFERROR(__xludf.DUMMYFUNCTION("""COMPUTED_VALUE"""),0.005434782608695652)</f>
        <v>0.005434782609</v>
      </c>
      <c r="L2416" s="10">
        <f>IFERROR(__xludf.DUMMYFUNCTION("""COMPUTED_VALUE"""),39.0)</f>
        <v>39</v>
      </c>
      <c r="M2416" s="5">
        <f>IFERROR(__xludf.DUMMYFUNCTION("""COMPUTED_VALUE"""),0.10597826086956522)</f>
        <v>0.1059782609</v>
      </c>
    </row>
    <row r="2417">
      <c r="A2417" s="10" t="str">
        <f>IFERROR(__xludf.DUMMYFUNCTION("""COMPUTED_VALUE"""),"鯉に恋")</f>
        <v>鯉に恋</v>
      </c>
      <c r="B2417" s="10">
        <f>IFERROR(__xludf.DUMMYFUNCTION("""COMPUTED_VALUE"""),796.0)</f>
        <v>796</v>
      </c>
      <c r="C2417" s="10">
        <f>IFERROR(__xludf.DUMMYFUNCTION("""COMPUTED_VALUE"""),9453.0)</f>
        <v>9453</v>
      </c>
      <c r="D2417" s="5">
        <f>IFERROR(__xludf.DUMMYFUNCTION("""COMPUTED_VALUE"""),0.36756382118516806)</f>
        <v>0.3675638212</v>
      </c>
      <c r="E2417" s="5">
        <f>IFERROR(__xludf.DUMMYFUNCTION("""COMPUTED_VALUE"""),0.12972161256786416)</f>
        <v>0.1297216126</v>
      </c>
      <c r="F2417" s="5">
        <f>IFERROR(__xludf.DUMMYFUNCTION("""COMPUTED_VALUE"""),0.20307265796465288)</f>
        <v>0.203072658</v>
      </c>
      <c r="G2417" s="5">
        <f>IFERROR(__xludf.DUMMYFUNCTION("""COMPUTED_VALUE"""),0.15813792306803742)</f>
        <v>0.1581379231</v>
      </c>
      <c r="H2417" s="5">
        <f>IFERROR(__xludf.DUMMYFUNCTION("""COMPUTED_VALUE"""),0.5830489192263937)</f>
        <v>0.5830489192</v>
      </c>
      <c r="I2417" s="11">
        <f>IFERROR(__xludf.DUMMYFUNCTION("""COMPUTED_VALUE"""),5599.601820250285)</f>
        <v>5599.60182</v>
      </c>
      <c r="J2417" s="10">
        <f>IFERROR(__xludf.DUMMYFUNCTION("""COMPUTED_VALUE"""),3.0)</f>
        <v>3</v>
      </c>
      <c r="K2417" s="5">
        <f>IFERROR(__xludf.DUMMYFUNCTION("""COMPUTED_VALUE"""),0.0037688442211055275)</f>
        <v>0.003768844221</v>
      </c>
      <c r="L2417" s="10">
        <f>IFERROR(__xludf.DUMMYFUNCTION("""COMPUTED_VALUE"""),796.0)</f>
        <v>796</v>
      </c>
      <c r="M2417" s="5">
        <f>IFERROR(__xludf.DUMMYFUNCTION("""COMPUTED_VALUE"""),1.0)</f>
        <v>1</v>
      </c>
    </row>
    <row r="2418">
      <c r="A2418" s="10" t="str">
        <f>IFERROR(__xludf.DUMMYFUNCTION("""COMPUTED_VALUE"""),"麦子tz")</f>
        <v>麦子tz</v>
      </c>
      <c r="B2418" s="10">
        <f>IFERROR(__xludf.DUMMYFUNCTION("""COMPUTED_VALUE"""),1576.0)</f>
        <v>1576</v>
      </c>
      <c r="C2418" s="10">
        <f>IFERROR(__xludf.DUMMYFUNCTION("""COMPUTED_VALUE"""),18551.0)</f>
        <v>18551</v>
      </c>
      <c r="D2418" s="5">
        <f>IFERROR(__xludf.DUMMYFUNCTION("""COMPUTED_VALUE"""),0.3293078055964654)</f>
        <v>0.3293078056</v>
      </c>
      <c r="E2418" s="5">
        <f>IFERROR(__xludf.DUMMYFUNCTION("""COMPUTED_VALUE"""),0.129720176730486)</f>
        <v>0.1297201767</v>
      </c>
      <c r="F2418" s="5">
        <f>IFERROR(__xludf.DUMMYFUNCTION("""COMPUTED_VALUE"""),0.2033578792341679)</f>
        <v>0.2033578792</v>
      </c>
      <c r="G2418" s="5">
        <f>IFERROR(__xludf.DUMMYFUNCTION("""COMPUTED_VALUE"""),0.16418262150220914)</f>
        <v>0.1641826215</v>
      </c>
      <c r="H2418" s="5">
        <f>IFERROR(__xludf.DUMMYFUNCTION("""COMPUTED_VALUE"""),0.6161645422943222)</f>
        <v>0.6161645423</v>
      </c>
      <c r="I2418" s="11">
        <f>IFERROR(__xludf.DUMMYFUNCTION("""COMPUTED_VALUE"""),5851.535341830822)</f>
        <v>5851.535342</v>
      </c>
      <c r="J2418" s="10">
        <f>IFERROR(__xludf.DUMMYFUNCTION("""COMPUTED_VALUE"""),1.0)</f>
        <v>1</v>
      </c>
      <c r="K2418" s="5">
        <f>IFERROR(__xludf.DUMMYFUNCTION("""COMPUTED_VALUE"""),6.345177664974619E-4)</f>
        <v>0.0006345177665</v>
      </c>
      <c r="L2418" s="10">
        <f>IFERROR(__xludf.DUMMYFUNCTION("""COMPUTED_VALUE"""),1566.0)</f>
        <v>1566</v>
      </c>
      <c r="M2418" s="5">
        <f>IFERROR(__xludf.DUMMYFUNCTION("""COMPUTED_VALUE"""),0.9936548223350253)</f>
        <v>0.9936548223</v>
      </c>
    </row>
    <row r="2419">
      <c r="A2419" s="10" t="str">
        <f>IFERROR(__xludf.DUMMYFUNCTION("""COMPUTED_VALUE"""),"くくみん")</f>
        <v>くくみん</v>
      </c>
      <c r="B2419" s="10">
        <f>IFERROR(__xludf.DUMMYFUNCTION("""COMPUTED_VALUE"""),600.0)</f>
        <v>600</v>
      </c>
      <c r="C2419" s="10">
        <f>IFERROR(__xludf.DUMMYFUNCTION("""COMPUTED_VALUE"""),7045.0)</f>
        <v>7045</v>
      </c>
      <c r="D2419" s="5">
        <f>IFERROR(__xludf.DUMMYFUNCTION("""COMPUTED_VALUE"""),0.3543832428238945)</f>
        <v>0.3543832428</v>
      </c>
      <c r="E2419" s="5">
        <f>IFERROR(__xludf.DUMMYFUNCTION("""COMPUTED_VALUE"""),0.12971295577967418)</f>
        <v>0.1297129558</v>
      </c>
      <c r="F2419" s="5">
        <f>IFERROR(__xludf.DUMMYFUNCTION("""COMPUTED_VALUE"""),0.21536074476338246)</f>
        <v>0.2153607448</v>
      </c>
      <c r="G2419" s="5">
        <f>IFERROR(__xludf.DUMMYFUNCTION("""COMPUTED_VALUE"""),0.16012412723041117)</f>
        <v>0.1601241272</v>
      </c>
      <c r="H2419" s="5">
        <f>IFERROR(__xludf.DUMMYFUNCTION("""COMPUTED_VALUE"""),0.5972622478386167)</f>
        <v>0.5972622478</v>
      </c>
      <c r="I2419" s="11">
        <f>IFERROR(__xludf.DUMMYFUNCTION("""COMPUTED_VALUE"""),5678.242074927954)</f>
        <v>5678.242075</v>
      </c>
      <c r="J2419" s="10">
        <f>IFERROR(__xludf.DUMMYFUNCTION("""COMPUTED_VALUE"""),3.0)</f>
        <v>3</v>
      </c>
      <c r="K2419" s="5">
        <f>IFERROR(__xludf.DUMMYFUNCTION("""COMPUTED_VALUE"""),0.005)</f>
        <v>0.005</v>
      </c>
      <c r="L2419" s="10">
        <f>IFERROR(__xludf.DUMMYFUNCTION("""COMPUTED_VALUE"""),600.0)</f>
        <v>600</v>
      </c>
      <c r="M2419" s="5">
        <f>IFERROR(__xludf.DUMMYFUNCTION("""COMPUTED_VALUE"""),1.0)</f>
        <v>1</v>
      </c>
    </row>
    <row r="2420">
      <c r="A2420" s="10" t="str">
        <f>IFERROR(__xludf.DUMMYFUNCTION("""COMPUTED_VALUE"""),"なるとさん")</f>
        <v>なるとさん</v>
      </c>
      <c r="B2420" s="10">
        <f>IFERROR(__xludf.DUMMYFUNCTION("""COMPUTED_VALUE"""),180.0)</f>
        <v>180</v>
      </c>
      <c r="C2420" s="10">
        <f>IFERROR(__xludf.DUMMYFUNCTION("""COMPUTED_VALUE"""),2146.0)</f>
        <v>2146</v>
      </c>
      <c r="D2420" s="5">
        <f>IFERROR(__xludf.DUMMYFUNCTION("""COMPUTED_VALUE"""),0.31536113936927773)</f>
        <v>0.3153611394</v>
      </c>
      <c r="E2420" s="5">
        <f>IFERROR(__xludf.DUMMYFUNCTION("""COMPUTED_VALUE"""),0.12970498474059003)</f>
        <v>0.1297049847</v>
      </c>
      <c r="F2420" s="5">
        <f>IFERROR(__xludf.DUMMYFUNCTION("""COMPUTED_VALUE"""),0.22380467955239064)</f>
        <v>0.2238046796</v>
      </c>
      <c r="G2420" s="5">
        <f>IFERROR(__xludf.DUMMYFUNCTION("""COMPUTED_VALUE"""),0.17599186164801628)</f>
        <v>0.1759918616</v>
      </c>
      <c r="H2420" s="5">
        <f>IFERROR(__xludf.DUMMYFUNCTION("""COMPUTED_VALUE"""),0.6022727272727273)</f>
        <v>0.6022727273</v>
      </c>
      <c r="I2420" s="11">
        <f>IFERROR(__xludf.DUMMYFUNCTION("""COMPUTED_VALUE"""),5520.454545454545)</f>
        <v>5520.454545</v>
      </c>
      <c r="J2420" s="10">
        <f>IFERROR(__xludf.DUMMYFUNCTION("""COMPUTED_VALUE"""),0.0)</f>
        <v>0</v>
      </c>
      <c r="K2420" s="5">
        <f>IFERROR(__xludf.DUMMYFUNCTION("""COMPUTED_VALUE"""),0.0)</f>
        <v>0</v>
      </c>
      <c r="L2420" s="10">
        <f>IFERROR(__xludf.DUMMYFUNCTION("""COMPUTED_VALUE"""),104.0)</f>
        <v>104</v>
      </c>
      <c r="M2420" s="5">
        <f>IFERROR(__xludf.DUMMYFUNCTION("""COMPUTED_VALUE"""),0.5777777777777777)</f>
        <v>0.5777777778</v>
      </c>
    </row>
    <row r="2421">
      <c r="A2421" s="10" t="str">
        <f>IFERROR(__xludf.DUMMYFUNCTION("""COMPUTED_VALUE"""),"wata3510")</f>
        <v>wata3510</v>
      </c>
      <c r="B2421" s="10">
        <f>IFERROR(__xludf.DUMMYFUNCTION("""COMPUTED_VALUE"""),1118.0)</f>
        <v>1118</v>
      </c>
      <c r="C2421" s="10">
        <f>IFERROR(__xludf.DUMMYFUNCTION("""COMPUTED_VALUE"""),12992.0)</f>
        <v>12992</v>
      </c>
      <c r="D2421" s="5">
        <f>IFERROR(__xludf.DUMMYFUNCTION("""COMPUTED_VALUE"""),0.31084722924035707)</f>
        <v>0.3108472292</v>
      </c>
      <c r="E2421" s="5">
        <f>IFERROR(__xludf.DUMMYFUNCTION("""COMPUTED_VALUE"""),0.12969513222166076)</f>
        <v>0.1296951322</v>
      </c>
      <c r="F2421" s="5">
        <f>IFERROR(__xludf.DUMMYFUNCTION("""COMPUTED_VALUE"""),0.20498568300488462)</f>
        <v>0.204985683</v>
      </c>
      <c r="G2421" s="5">
        <f>IFERROR(__xludf.DUMMYFUNCTION("""COMPUTED_VALUE"""),0.17567795182752233)</f>
        <v>0.1756779518</v>
      </c>
      <c r="H2421" s="5">
        <f>IFERROR(__xludf.DUMMYFUNCTION("""COMPUTED_VALUE"""),0.6076417419884963)</f>
        <v>0.607641742</v>
      </c>
      <c r="I2421" s="11">
        <f>IFERROR(__xludf.DUMMYFUNCTION("""COMPUTED_VALUE"""),6011.421528348397)</f>
        <v>6011.421528</v>
      </c>
      <c r="J2421" s="10">
        <f>IFERROR(__xludf.DUMMYFUNCTION("""COMPUTED_VALUE"""),4.0)</f>
        <v>4</v>
      </c>
      <c r="K2421" s="5">
        <f>IFERROR(__xludf.DUMMYFUNCTION("""COMPUTED_VALUE"""),0.0035778175313059034)</f>
        <v>0.003577817531</v>
      </c>
      <c r="L2421" s="10">
        <f>IFERROR(__xludf.DUMMYFUNCTION("""COMPUTED_VALUE"""),1118.0)</f>
        <v>1118</v>
      </c>
      <c r="M2421" s="5">
        <f>IFERROR(__xludf.DUMMYFUNCTION("""COMPUTED_VALUE"""),1.0)</f>
        <v>1</v>
      </c>
    </row>
    <row r="2422">
      <c r="A2422" s="10" t="str">
        <f>IFERROR(__xludf.DUMMYFUNCTION("""COMPUTED_VALUE"""),"GYM")</f>
        <v>GYM</v>
      </c>
      <c r="B2422" s="10">
        <f>IFERROR(__xludf.DUMMYFUNCTION("""COMPUTED_VALUE"""),587.0)</f>
        <v>587</v>
      </c>
      <c r="C2422" s="10">
        <f>IFERROR(__xludf.DUMMYFUNCTION("""COMPUTED_VALUE"""),6902.0)</f>
        <v>6902</v>
      </c>
      <c r="D2422" s="5">
        <f>IFERROR(__xludf.DUMMYFUNCTION("""COMPUTED_VALUE"""),0.3412509897070467)</f>
        <v>0.3412509897</v>
      </c>
      <c r="E2422" s="5">
        <f>IFERROR(__xludf.DUMMYFUNCTION("""COMPUTED_VALUE"""),0.12969121140142517)</f>
        <v>0.1296912114</v>
      </c>
      <c r="F2422" s="5">
        <f>IFERROR(__xludf.DUMMYFUNCTION("""COMPUTED_VALUE"""),0.18986539984164688)</f>
        <v>0.1898653998</v>
      </c>
      <c r="G2422" s="5">
        <f>IFERROR(__xludf.DUMMYFUNCTION("""COMPUTED_VALUE"""),0.14061757719714965)</f>
        <v>0.1406175772</v>
      </c>
      <c r="H2422" s="5">
        <f>IFERROR(__xludf.DUMMYFUNCTION("""COMPUTED_VALUE"""),0.6155129274395329)</f>
        <v>0.6155129274</v>
      </c>
      <c r="I2422" s="11">
        <f>IFERROR(__xludf.DUMMYFUNCTION("""COMPUTED_VALUE"""),5451.042535446205)</f>
        <v>5451.042535</v>
      </c>
      <c r="J2422" s="10">
        <f>IFERROR(__xludf.DUMMYFUNCTION("""COMPUTED_VALUE"""),0.0)</f>
        <v>0</v>
      </c>
      <c r="K2422" s="5">
        <f>IFERROR(__xludf.DUMMYFUNCTION("""COMPUTED_VALUE"""),0.0)</f>
        <v>0</v>
      </c>
      <c r="L2422" s="10">
        <f>IFERROR(__xludf.DUMMYFUNCTION("""COMPUTED_VALUE"""),587.0)</f>
        <v>587</v>
      </c>
      <c r="M2422" s="5">
        <f>IFERROR(__xludf.DUMMYFUNCTION("""COMPUTED_VALUE"""),1.0)</f>
        <v>1</v>
      </c>
    </row>
    <row r="2423">
      <c r="A2423" s="10" t="str">
        <f>IFERROR(__xludf.DUMMYFUNCTION("""COMPUTED_VALUE"""),"365歩")</f>
        <v>365歩</v>
      </c>
      <c r="B2423" s="10">
        <f>IFERROR(__xludf.DUMMYFUNCTION("""COMPUTED_VALUE"""),228.0)</f>
        <v>228</v>
      </c>
      <c r="C2423" s="10">
        <f>IFERROR(__xludf.DUMMYFUNCTION("""COMPUTED_VALUE"""),2680.0)</f>
        <v>2680</v>
      </c>
      <c r="D2423" s="5">
        <f>IFERROR(__xludf.DUMMYFUNCTION("""COMPUTED_VALUE"""),0.316068515497553)</f>
        <v>0.3160685155</v>
      </c>
      <c r="E2423" s="5">
        <f>IFERROR(__xludf.DUMMYFUNCTION("""COMPUTED_VALUE"""),0.12969004893964112)</f>
        <v>0.1296900489</v>
      </c>
      <c r="F2423" s="5">
        <f>IFERROR(__xludf.DUMMYFUNCTION("""COMPUTED_VALUE"""),0.1969820554649266)</f>
        <v>0.1969820555</v>
      </c>
      <c r="G2423" s="5">
        <f>IFERROR(__xludf.DUMMYFUNCTION("""COMPUTED_VALUE"""),0.18882544861337683)</f>
        <v>0.1888254486</v>
      </c>
      <c r="H2423" s="5">
        <f>IFERROR(__xludf.DUMMYFUNCTION("""COMPUTED_VALUE"""),0.5507246376811594)</f>
        <v>0.5507246377</v>
      </c>
      <c r="I2423" s="11">
        <f>IFERROR(__xludf.DUMMYFUNCTION("""COMPUTED_VALUE"""),6150.517598343686)</f>
        <v>6150.517598</v>
      </c>
      <c r="J2423" s="10">
        <f>IFERROR(__xludf.DUMMYFUNCTION("""COMPUTED_VALUE"""),0.0)</f>
        <v>0</v>
      </c>
      <c r="K2423" s="5">
        <f>IFERROR(__xludf.DUMMYFUNCTION("""COMPUTED_VALUE"""),0.0)</f>
        <v>0</v>
      </c>
      <c r="L2423" s="10">
        <f>IFERROR(__xludf.DUMMYFUNCTION("""COMPUTED_VALUE"""),228.0)</f>
        <v>228</v>
      </c>
      <c r="M2423" s="5">
        <f>IFERROR(__xludf.DUMMYFUNCTION("""COMPUTED_VALUE"""),1.0)</f>
        <v>1</v>
      </c>
    </row>
    <row r="2424">
      <c r="A2424" s="10" t="str">
        <f>IFERROR(__xludf.DUMMYFUNCTION("""COMPUTED_VALUE"""),"3年間木暮公延⑤")</f>
        <v>3年間木暮公延⑤</v>
      </c>
      <c r="B2424" s="10">
        <f>IFERROR(__xludf.DUMMYFUNCTION("""COMPUTED_VALUE"""),2853.0)</f>
        <v>2853</v>
      </c>
      <c r="C2424" s="10">
        <f>IFERROR(__xludf.DUMMYFUNCTION("""COMPUTED_VALUE"""),33376.0)</f>
        <v>33376</v>
      </c>
      <c r="D2424" s="5">
        <f>IFERROR(__xludf.DUMMYFUNCTION("""COMPUTED_VALUE"""),0.3202175408708187)</f>
        <v>0.3202175409</v>
      </c>
      <c r="E2424" s="5">
        <f>IFERROR(__xludf.DUMMYFUNCTION("""COMPUTED_VALUE"""),0.12967270582839172)</f>
        <v>0.1296727058</v>
      </c>
      <c r="F2424" s="5">
        <f>IFERROR(__xludf.DUMMYFUNCTION("""COMPUTED_VALUE"""),0.20502571831078203)</f>
        <v>0.2050257183</v>
      </c>
      <c r="G2424" s="5">
        <f>IFERROR(__xludf.DUMMYFUNCTION("""COMPUTED_VALUE"""),0.16263145824460243)</f>
        <v>0.1626314582</v>
      </c>
      <c r="H2424" s="5">
        <f>IFERROR(__xludf.DUMMYFUNCTION("""COMPUTED_VALUE"""),0.5862895493767977)</f>
        <v>0.5862895494</v>
      </c>
      <c r="I2424" s="11">
        <f>IFERROR(__xludf.DUMMYFUNCTION("""COMPUTED_VALUE"""),5830.872483221477)</f>
        <v>5830.872483</v>
      </c>
      <c r="J2424" s="10">
        <f>IFERROR(__xludf.DUMMYFUNCTION("""COMPUTED_VALUE"""),8.0)</f>
        <v>8</v>
      </c>
      <c r="K2424" s="5">
        <f>IFERROR(__xludf.DUMMYFUNCTION("""COMPUTED_VALUE"""),0.0028040658955485456)</f>
        <v>0.002804065896</v>
      </c>
      <c r="L2424" s="10">
        <f>IFERROR(__xludf.DUMMYFUNCTION("""COMPUTED_VALUE"""),2847.0)</f>
        <v>2847</v>
      </c>
      <c r="M2424" s="5">
        <f>IFERROR(__xludf.DUMMYFUNCTION("""COMPUTED_VALUE"""),0.9978969505783386)</f>
        <v>0.9978969506</v>
      </c>
    </row>
    <row r="2425">
      <c r="A2425" s="10" t="str">
        <f>IFERROR(__xludf.DUMMYFUNCTION("""COMPUTED_VALUE"""),"びんびん")</f>
        <v>びんびん</v>
      </c>
      <c r="B2425" s="10">
        <f>IFERROR(__xludf.DUMMYFUNCTION("""COMPUTED_VALUE"""),400.0)</f>
        <v>400</v>
      </c>
      <c r="C2425" s="10">
        <f>IFERROR(__xludf.DUMMYFUNCTION("""COMPUTED_VALUE"""),4734.0)</f>
        <v>4734</v>
      </c>
      <c r="D2425" s="5">
        <f>IFERROR(__xludf.DUMMYFUNCTION("""COMPUTED_VALUE"""),0.3740193816335948)</f>
        <v>0.3740193816</v>
      </c>
      <c r="E2425" s="5">
        <f>IFERROR(__xludf.DUMMYFUNCTION("""COMPUTED_VALUE"""),0.12967235809875405)</f>
        <v>0.1296723581</v>
      </c>
      <c r="F2425" s="5">
        <f>IFERROR(__xludf.DUMMYFUNCTION("""COMPUTED_VALUE"""),0.2083525611444393)</f>
        <v>0.2083525611</v>
      </c>
      <c r="G2425" s="5">
        <f>IFERROR(__xludf.DUMMYFUNCTION("""COMPUTED_VALUE"""),0.17212736502076603)</f>
        <v>0.172127365</v>
      </c>
      <c r="H2425" s="5">
        <f>IFERROR(__xludf.DUMMYFUNCTION("""COMPUTED_VALUE"""),0.6057585825027686)</f>
        <v>0.6057585825</v>
      </c>
      <c r="I2425" s="11">
        <f>IFERROR(__xludf.DUMMYFUNCTION("""COMPUTED_VALUE"""),5357.585825027685)</f>
        <v>5357.585825</v>
      </c>
      <c r="J2425" s="10">
        <f>IFERROR(__xludf.DUMMYFUNCTION("""COMPUTED_VALUE"""),1.0)</f>
        <v>1</v>
      </c>
      <c r="K2425" s="5">
        <f>IFERROR(__xludf.DUMMYFUNCTION("""COMPUTED_VALUE"""),0.0025)</f>
        <v>0.0025</v>
      </c>
      <c r="L2425" s="10">
        <f>IFERROR(__xludf.DUMMYFUNCTION("""COMPUTED_VALUE"""),400.0)</f>
        <v>400</v>
      </c>
      <c r="M2425" s="5">
        <f>IFERROR(__xludf.DUMMYFUNCTION("""COMPUTED_VALUE"""),1.0)</f>
        <v>1</v>
      </c>
    </row>
    <row r="2426">
      <c r="A2426" s="10" t="str">
        <f>IFERROR(__xludf.DUMMYFUNCTION("""COMPUTED_VALUE"""),"current")</f>
        <v>current</v>
      </c>
      <c r="B2426" s="10">
        <f>IFERROR(__xludf.DUMMYFUNCTION("""COMPUTED_VALUE"""),390.0)</f>
        <v>390</v>
      </c>
      <c r="C2426" s="10">
        <f>IFERROR(__xludf.DUMMYFUNCTION("""COMPUTED_VALUE"""),4547.0)</f>
        <v>4547</v>
      </c>
      <c r="D2426" s="5">
        <f>IFERROR(__xludf.DUMMYFUNCTION("""COMPUTED_VALUE"""),0.35530430598989654)</f>
        <v>0.355304306</v>
      </c>
      <c r="E2426" s="5">
        <f>IFERROR(__xludf.DUMMYFUNCTION("""COMPUTED_VALUE"""),0.12966081308636035)</f>
        <v>0.1296608131</v>
      </c>
      <c r="F2426" s="5">
        <f>IFERROR(__xludf.DUMMYFUNCTION("""COMPUTED_VALUE"""),0.21121000721674285)</f>
        <v>0.2112100072</v>
      </c>
      <c r="G2426" s="5">
        <f>IFERROR(__xludf.DUMMYFUNCTION("""COMPUTED_VALUE"""),0.1895597786865528)</f>
        <v>0.1895597787</v>
      </c>
      <c r="H2426" s="5">
        <f>IFERROR(__xludf.DUMMYFUNCTION("""COMPUTED_VALUE"""),0.5876993166287016)</f>
        <v>0.5876993166</v>
      </c>
      <c r="I2426" s="11">
        <f>IFERROR(__xludf.DUMMYFUNCTION("""COMPUTED_VALUE"""),5514.692482915718)</f>
        <v>5514.692483</v>
      </c>
      <c r="J2426" s="10">
        <f>IFERROR(__xludf.DUMMYFUNCTION("""COMPUTED_VALUE"""),0.0)</f>
        <v>0</v>
      </c>
      <c r="K2426" s="5">
        <f>IFERROR(__xludf.DUMMYFUNCTION("""COMPUTED_VALUE"""),0.0)</f>
        <v>0</v>
      </c>
      <c r="L2426" s="10">
        <f>IFERROR(__xludf.DUMMYFUNCTION("""COMPUTED_VALUE"""),390.0)</f>
        <v>390</v>
      </c>
      <c r="M2426" s="5">
        <f>IFERROR(__xludf.DUMMYFUNCTION("""COMPUTED_VALUE"""),1.0)</f>
        <v>1</v>
      </c>
    </row>
    <row r="2427">
      <c r="A2427" s="10" t="str">
        <f>IFERROR(__xludf.DUMMYFUNCTION("""COMPUTED_VALUE"""),"もんじゃ")</f>
        <v>もんじゃ</v>
      </c>
      <c r="B2427" s="10">
        <f>IFERROR(__xludf.DUMMYFUNCTION("""COMPUTED_VALUE"""),247.0)</f>
        <v>247</v>
      </c>
      <c r="C2427" s="10">
        <f>IFERROR(__xludf.DUMMYFUNCTION("""COMPUTED_VALUE"""),2877.0)</f>
        <v>2877</v>
      </c>
      <c r="D2427" s="5">
        <f>IFERROR(__xludf.DUMMYFUNCTION("""COMPUTED_VALUE"""),0.42433460076045626)</f>
        <v>0.4243346008</v>
      </c>
      <c r="E2427" s="5">
        <f>IFERROR(__xludf.DUMMYFUNCTION("""COMPUTED_VALUE"""),0.12965779467680608)</f>
        <v>0.1296577947</v>
      </c>
      <c r="F2427" s="5">
        <f>IFERROR(__xludf.DUMMYFUNCTION("""COMPUTED_VALUE"""),0.19771863117870722)</f>
        <v>0.1977186312</v>
      </c>
      <c r="G2427" s="5">
        <f>IFERROR(__xludf.DUMMYFUNCTION("""COMPUTED_VALUE"""),0.15931558935361217)</f>
        <v>0.1593155894</v>
      </c>
      <c r="H2427" s="5">
        <f>IFERROR(__xludf.DUMMYFUNCTION("""COMPUTED_VALUE"""),0.5980769230769231)</f>
        <v>0.5980769231</v>
      </c>
      <c r="I2427" s="11">
        <f>IFERROR(__xludf.DUMMYFUNCTION("""COMPUTED_VALUE"""),5320.576923076923)</f>
        <v>5320.576923</v>
      </c>
      <c r="J2427" s="10">
        <f>IFERROR(__xludf.DUMMYFUNCTION("""COMPUTED_VALUE"""),0.0)</f>
        <v>0</v>
      </c>
      <c r="K2427" s="5">
        <f>IFERROR(__xludf.DUMMYFUNCTION("""COMPUTED_VALUE"""),0.0)</f>
        <v>0</v>
      </c>
      <c r="L2427" s="10">
        <f>IFERROR(__xludf.DUMMYFUNCTION("""COMPUTED_VALUE"""),247.0)</f>
        <v>247</v>
      </c>
      <c r="M2427" s="5">
        <f>IFERROR(__xludf.DUMMYFUNCTION("""COMPUTED_VALUE"""),1.0)</f>
        <v>1</v>
      </c>
    </row>
    <row r="2428">
      <c r="A2428" s="10" t="str">
        <f>IFERROR(__xludf.DUMMYFUNCTION("""COMPUTED_VALUE"""),"hikaru22")</f>
        <v>hikaru22</v>
      </c>
      <c r="B2428" s="10">
        <f>IFERROR(__xludf.DUMMYFUNCTION("""COMPUTED_VALUE"""),207.0)</f>
        <v>207</v>
      </c>
      <c r="C2428" s="10">
        <f>IFERROR(__xludf.DUMMYFUNCTION("""COMPUTED_VALUE"""),2390.0)</f>
        <v>2390</v>
      </c>
      <c r="D2428" s="5">
        <f>IFERROR(__xludf.DUMMYFUNCTION("""COMPUTED_VALUE"""),0.29592304168575356)</f>
        <v>0.2959230417</v>
      </c>
      <c r="E2428" s="5">
        <f>IFERROR(__xludf.DUMMYFUNCTION("""COMPUTED_VALUE"""),0.12963811268896014)</f>
        <v>0.1296381127</v>
      </c>
      <c r="F2428" s="5">
        <f>IFERROR(__xludf.DUMMYFUNCTION("""COMPUTED_VALUE"""),0.20659642693541)</f>
        <v>0.2065964269</v>
      </c>
      <c r="G2428" s="5">
        <f>IFERROR(__xludf.DUMMYFUNCTION("""COMPUTED_VALUE"""),0.18140174072377463)</f>
        <v>0.1814017407</v>
      </c>
      <c r="H2428" s="5">
        <f>IFERROR(__xludf.DUMMYFUNCTION("""COMPUTED_VALUE"""),0.565410199556541)</f>
        <v>0.5654101996</v>
      </c>
      <c r="I2428" s="11">
        <f>IFERROR(__xludf.DUMMYFUNCTION("""COMPUTED_VALUE"""),6173.170731707317)</f>
        <v>6173.170732</v>
      </c>
      <c r="J2428" s="10">
        <f>IFERROR(__xludf.DUMMYFUNCTION("""COMPUTED_VALUE"""),0.0)</f>
        <v>0</v>
      </c>
      <c r="K2428" s="5">
        <f>IFERROR(__xludf.DUMMYFUNCTION("""COMPUTED_VALUE"""),0.0)</f>
        <v>0</v>
      </c>
      <c r="L2428" s="10">
        <f>IFERROR(__xludf.DUMMYFUNCTION("""COMPUTED_VALUE"""),207.0)</f>
        <v>207</v>
      </c>
      <c r="M2428" s="5">
        <f>IFERROR(__xludf.DUMMYFUNCTION("""COMPUTED_VALUE"""),1.0)</f>
        <v>1</v>
      </c>
    </row>
    <row r="2429">
      <c r="A2429" s="10" t="str">
        <f>IFERROR(__xludf.DUMMYFUNCTION("""COMPUTED_VALUE"""),"でこのふ")</f>
        <v>でこのふ</v>
      </c>
      <c r="B2429" s="10">
        <f>IFERROR(__xludf.DUMMYFUNCTION("""COMPUTED_VALUE"""),1081.0)</f>
        <v>1081</v>
      </c>
      <c r="C2429" s="10">
        <f>IFERROR(__xludf.DUMMYFUNCTION("""COMPUTED_VALUE"""),12598.0)</f>
        <v>12598</v>
      </c>
      <c r="D2429" s="5">
        <f>IFERROR(__xludf.DUMMYFUNCTION("""COMPUTED_VALUE"""),0.2914821568116697)</f>
        <v>0.2914821568</v>
      </c>
      <c r="E2429" s="5">
        <f>IFERROR(__xludf.DUMMYFUNCTION("""COMPUTED_VALUE"""),0.12963445341668836)</f>
        <v>0.1296344534</v>
      </c>
      <c r="F2429" s="5">
        <f>IFERROR(__xludf.DUMMYFUNCTION("""COMPUTED_VALUE"""),0.20283059824607103)</f>
        <v>0.2028305982</v>
      </c>
      <c r="G2429" s="5">
        <f>IFERROR(__xludf.DUMMYFUNCTION("""COMPUTED_VALUE"""),0.16297646956672746)</f>
        <v>0.1629764696</v>
      </c>
      <c r="H2429" s="5">
        <f>IFERROR(__xludf.DUMMYFUNCTION("""COMPUTED_VALUE"""),0.5933219178082192)</f>
        <v>0.5933219178</v>
      </c>
      <c r="I2429" s="11">
        <f>IFERROR(__xludf.DUMMYFUNCTION("""COMPUTED_VALUE"""),5987.671232876713)</f>
        <v>5987.671233</v>
      </c>
      <c r="J2429" s="10">
        <f>IFERROR(__xludf.DUMMYFUNCTION("""COMPUTED_VALUE"""),2.0)</f>
        <v>2</v>
      </c>
      <c r="K2429" s="5">
        <f>IFERROR(__xludf.DUMMYFUNCTION("""COMPUTED_VALUE"""),0.0018501387604070306)</f>
        <v>0.00185013876</v>
      </c>
      <c r="L2429" s="10">
        <f>IFERROR(__xludf.DUMMYFUNCTION("""COMPUTED_VALUE"""),1081.0)</f>
        <v>1081</v>
      </c>
      <c r="M2429" s="5">
        <f>IFERROR(__xludf.DUMMYFUNCTION("""COMPUTED_VALUE"""),1.0)</f>
        <v>1</v>
      </c>
    </row>
    <row r="2430">
      <c r="A2430" s="10" t="str">
        <f>IFERROR(__xludf.DUMMYFUNCTION("""COMPUTED_VALUE"""),"銀色いがぐり")</f>
        <v>銀色いがぐり</v>
      </c>
      <c r="B2430" s="10">
        <f>IFERROR(__xludf.DUMMYFUNCTION("""COMPUTED_VALUE"""),5287.0)</f>
        <v>5287</v>
      </c>
      <c r="C2430" s="10">
        <f>IFERROR(__xludf.DUMMYFUNCTION("""COMPUTED_VALUE"""),61587.0)</f>
        <v>61587</v>
      </c>
      <c r="D2430" s="5">
        <f>IFERROR(__xludf.DUMMYFUNCTION("""COMPUTED_VALUE"""),0.38385435168738896)</f>
        <v>0.3838543517</v>
      </c>
      <c r="E2430" s="5">
        <f>IFERROR(__xludf.DUMMYFUNCTION("""COMPUTED_VALUE"""),0.12962699822380105)</f>
        <v>0.1296269982</v>
      </c>
      <c r="F2430" s="5">
        <f>IFERROR(__xludf.DUMMYFUNCTION("""COMPUTED_VALUE"""),0.22653641207815275)</f>
        <v>0.2265364121</v>
      </c>
      <c r="G2430" s="5">
        <f>IFERROR(__xludf.DUMMYFUNCTION("""COMPUTED_VALUE"""),0.1494316163410302)</f>
        <v>0.1494316163</v>
      </c>
      <c r="H2430" s="5">
        <f>IFERROR(__xludf.DUMMYFUNCTION("""COMPUTED_VALUE"""),0.6101615179551513)</f>
        <v>0.610161518</v>
      </c>
      <c r="I2430" s="11">
        <f>IFERROR(__xludf.DUMMYFUNCTION("""COMPUTED_VALUE"""),5545.115257958288)</f>
        <v>5545.115258</v>
      </c>
      <c r="J2430" s="10">
        <f>IFERROR(__xludf.DUMMYFUNCTION("""COMPUTED_VALUE"""),14.0)</f>
        <v>14</v>
      </c>
      <c r="K2430" s="5">
        <f>IFERROR(__xludf.DUMMYFUNCTION("""COMPUTED_VALUE"""),0.0026480045394363535)</f>
        <v>0.002648004539</v>
      </c>
      <c r="L2430" s="10">
        <f>IFERROR(__xludf.DUMMYFUNCTION("""COMPUTED_VALUE"""),5287.0)</f>
        <v>5287</v>
      </c>
      <c r="M2430" s="5">
        <f>IFERROR(__xludf.DUMMYFUNCTION("""COMPUTED_VALUE"""),1.0)</f>
        <v>1</v>
      </c>
    </row>
    <row r="2431">
      <c r="A2431" s="10" t="str">
        <f>IFERROR(__xludf.DUMMYFUNCTION("""COMPUTED_VALUE"""),"いちぞう")</f>
        <v>いちぞう</v>
      </c>
      <c r="B2431" s="10">
        <f>IFERROR(__xludf.DUMMYFUNCTION("""COMPUTED_VALUE"""),850.0)</f>
        <v>850</v>
      </c>
      <c r="C2431" s="10">
        <f>IFERROR(__xludf.DUMMYFUNCTION("""COMPUTED_VALUE"""),9884.0)</f>
        <v>9884</v>
      </c>
      <c r="D2431" s="5">
        <f>IFERROR(__xludf.DUMMYFUNCTION("""COMPUTED_VALUE"""),0.3329643568740314)</f>
        <v>0.3329643569</v>
      </c>
      <c r="E2431" s="5">
        <f>IFERROR(__xludf.DUMMYFUNCTION("""COMPUTED_VALUE"""),0.12962143015275626)</f>
        <v>0.1296214302</v>
      </c>
      <c r="F2431" s="5">
        <f>IFERROR(__xludf.DUMMYFUNCTION("""COMPUTED_VALUE"""),0.20566747841487712)</f>
        <v>0.2056674784</v>
      </c>
      <c r="G2431" s="5">
        <f>IFERROR(__xludf.DUMMYFUNCTION("""COMPUTED_VALUE"""),0.17600177108700465)</f>
        <v>0.1760017711</v>
      </c>
      <c r="H2431" s="5">
        <f>IFERROR(__xludf.DUMMYFUNCTION("""COMPUTED_VALUE"""),0.5877287405812702)</f>
        <v>0.5877287406</v>
      </c>
      <c r="I2431" s="11">
        <f>IFERROR(__xludf.DUMMYFUNCTION("""COMPUTED_VALUE"""),5710.010764262648)</f>
        <v>5710.010764</v>
      </c>
      <c r="J2431" s="10">
        <f>IFERROR(__xludf.DUMMYFUNCTION("""COMPUTED_VALUE"""),3.0)</f>
        <v>3</v>
      </c>
      <c r="K2431" s="5">
        <f>IFERROR(__xludf.DUMMYFUNCTION("""COMPUTED_VALUE"""),0.0035294117647058825)</f>
        <v>0.003529411765</v>
      </c>
      <c r="L2431" s="10">
        <f>IFERROR(__xludf.DUMMYFUNCTION("""COMPUTED_VALUE"""),648.0)</f>
        <v>648</v>
      </c>
      <c r="M2431" s="5">
        <f>IFERROR(__xludf.DUMMYFUNCTION("""COMPUTED_VALUE"""),0.7623529411764706)</f>
        <v>0.7623529412</v>
      </c>
    </row>
    <row r="2432">
      <c r="A2432" s="10" t="str">
        <f>IFERROR(__xludf.DUMMYFUNCTION("""COMPUTED_VALUE"""),"22148")</f>
        <v>22148</v>
      </c>
      <c r="B2432" s="10">
        <f>IFERROR(__xludf.DUMMYFUNCTION("""COMPUTED_VALUE"""),438.0)</f>
        <v>438</v>
      </c>
      <c r="C2432" s="10">
        <f>IFERROR(__xludf.DUMMYFUNCTION("""COMPUTED_VALUE"""),5121.0)</f>
        <v>5121</v>
      </c>
      <c r="D2432" s="5">
        <f>IFERROR(__xludf.DUMMYFUNCTION("""COMPUTED_VALUE"""),0.3478539397821909)</f>
        <v>0.3478539398</v>
      </c>
      <c r="E2432" s="5">
        <f>IFERROR(__xludf.DUMMYFUNCTION("""COMPUTED_VALUE"""),0.12961776638906683)</f>
        <v>0.1296177664</v>
      </c>
      <c r="F2432" s="5">
        <f>IFERROR(__xludf.DUMMYFUNCTION("""COMPUTED_VALUE"""),0.22314755498612002)</f>
        <v>0.223147555</v>
      </c>
      <c r="G2432" s="5">
        <f>IFERROR(__xludf.DUMMYFUNCTION("""COMPUTED_VALUE"""),0.18898142216527866)</f>
        <v>0.1889814222</v>
      </c>
      <c r="H2432" s="5">
        <f>IFERROR(__xludf.DUMMYFUNCTION("""COMPUTED_VALUE"""),0.6114832535885167)</f>
        <v>0.6114832536</v>
      </c>
      <c r="I2432" s="11">
        <f>IFERROR(__xludf.DUMMYFUNCTION("""COMPUTED_VALUE"""),5616.172248803828)</f>
        <v>5616.172249</v>
      </c>
      <c r="J2432" s="10">
        <f>IFERROR(__xludf.DUMMYFUNCTION("""COMPUTED_VALUE"""),1.0)</f>
        <v>1</v>
      </c>
      <c r="K2432" s="5">
        <f>IFERROR(__xludf.DUMMYFUNCTION("""COMPUTED_VALUE"""),0.00228310502283105)</f>
        <v>0.002283105023</v>
      </c>
      <c r="L2432" s="10">
        <f>IFERROR(__xludf.DUMMYFUNCTION("""COMPUTED_VALUE"""),438.0)</f>
        <v>438</v>
      </c>
      <c r="M2432" s="5">
        <f>IFERROR(__xludf.DUMMYFUNCTION("""COMPUTED_VALUE"""),1.0)</f>
        <v>1</v>
      </c>
    </row>
    <row r="2433">
      <c r="A2433" s="10" t="str">
        <f>IFERROR(__xludf.DUMMYFUNCTION("""COMPUTED_VALUE"""),"PUYOPOP")</f>
        <v>PUYOPOP</v>
      </c>
      <c r="B2433" s="10">
        <f>IFERROR(__xludf.DUMMYFUNCTION("""COMPUTED_VALUE"""),167.0)</f>
        <v>167</v>
      </c>
      <c r="C2433" s="10">
        <f>IFERROR(__xludf.DUMMYFUNCTION("""COMPUTED_VALUE"""),1957.0)</f>
        <v>1957</v>
      </c>
      <c r="D2433" s="5">
        <f>IFERROR(__xludf.DUMMYFUNCTION("""COMPUTED_VALUE"""),0.3407821229050279)</f>
        <v>0.3407821229</v>
      </c>
      <c r="E2433" s="5">
        <f>IFERROR(__xludf.DUMMYFUNCTION("""COMPUTED_VALUE"""),0.12960893854748604)</f>
        <v>0.1296089385</v>
      </c>
      <c r="F2433" s="5">
        <f>IFERROR(__xludf.DUMMYFUNCTION("""COMPUTED_VALUE"""),0.19664804469273742)</f>
        <v>0.1966480447</v>
      </c>
      <c r="G2433" s="5">
        <f>IFERROR(__xludf.DUMMYFUNCTION("""COMPUTED_VALUE"""),0.15810055865921788)</f>
        <v>0.1581005587</v>
      </c>
      <c r="H2433" s="5">
        <f>IFERROR(__xludf.DUMMYFUNCTION("""COMPUTED_VALUE"""),0.6164772727272727)</f>
        <v>0.6164772727</v>
      </c>
      <c r="I2433" s="11">
        <f>IFERROR(__xludf.DUMMYFUNCTION("""COMPUTED_VALUE"""),5398.295454545455)</f>
        <v>5398.295455</v>
      </c>
      <c r="J2433" s="10">
        <f>IFERROR(__xludf.DUMMYFUNCTION("""COMPUTED_VALUE"""),0.0)</f>
        <v>0</v>
      </c>
      <c r="K2433" s="5">
        <f>IFERROR(__xludf.DUMMYFUNCTION("""COMPUTED_VALUE"""),0.0)</f>
        <v>0</v>
      </c>
      <c r="L2433" s="10">
        <f>IFERROR(__xludf.DUMMYFUNCTION("""COMPUTED_VALUE"""),167.0)</f>
        <v>167</v>
      </c>
      <c r="M2433" s="5">
        <f>IFERROR(__xludf.DUMMYFUNCTION("""COMPUTED_VALUE"""),1.0)</f>
        <v>1</v>
      </c>
    </row>
    <row r="2434">
      <c r="A2434" s="10" t="str">
        <f>IFERROR(__xludf.DUMMYFUNCTION("""COMPUTED_VALUE"""),"G.Y.M")</f>
        <v>G.Y.M</v>
      </c>
      <c r="B2434" s="10">
        <f>IFERROR(__xludf.DUMMYFUNCTION("""COMPUTED_VALUE"""),572.0)</f>
        <v>572</v>
      </c>
      <c r="C2434" s="10">
        <f>IFERROR(__xludf.DUMMYFUNCTION("""COMPUTED_VALUE"""),6737.0)</f>
        <v>6737</v>
      </c>
      <c r="D2434" s="5">
        <f>IFERROR(__xludf.DUMMYFUNCTION("""COMPUTED_VALUE"""),0.3623682076236821)</f>
        <v>0.3623682076</v>
      </c>
      <c r="E2434" s="5">
        <f>IFERROR(__xludf.DUMMYFUNCTION("""COMPUTED_VALUE"""),0.12960259529602594)</f>
        <v>0.1296025953</v>
      </c>
      <c r="F2434" s="5">
        <f>IFERROR(__xludf.DUMMYFUNCTION("""COMPUTED_VALUE"""),0.21816707218167072)</f>
        <v>0.2181670722</v>
      </c>
      <c r="G2434" s="5">
        <f>IFERROR(__xludf.DUMMYFUNCTION("""COMPUTED_VALUE"""),0.17664233576642335)</f>
        <v>0.1766423358</v>
      </c>
      <c r="H2434" s="5">
        <f>IFERROR(__xludf.DUMMYFUNCTION("""COMPUTED_VALUE"""),0.5814126394052045)</f>
        <v>0.5814126394</v>
      </c>
      <c r="I2434" s="11">
        <f>IFERROR(__xludf.DUMMYFUNCTION("""COMPUTED_VALUE"""),5396.133828996282)</f>
        <v>5396.133829</v>
      </c>
      <c r="J2434" s="10">
        <f>IFERROR(__xludf.DUMMYFUNCTION("""COMPUTED_VALUE"""),0.0)</f>
        <v>0</v>
      </c>
      <c r="K2434" s="5">
        <f>IFERROR(__xludf.DUMMYFUNCTION("""COMPUTED_VALUE"""),0.0)</f>
        <v>0</v>
      </c>
      <c r="L2434" s="10">
        <f>IFERROR(__xludf.DUMMYFUNCTION("""COMPUTED_VALUE"""),572.0)</f>
        <v>572</v>
      </c>
      <c r="M2434" s="5">
        <f>IFERROR(__xludf.DUMMYFUNCTION("""COMPUTED_VALUE"""),1.0)</f>
        <v>1</v>
      </c>
    </row>
    <row r="2435">
      <c r="A2435" s="10" t="str">
        <f>IFERROR(__xludf.DUMMYFUNCTION("""COMPUTED_VALUE"""),"改悛一号")</f>
        <v>改悛一号</v>
      </c>
      <c r="B2435" s="10">
        <f>IFERROR(__xludf.DUMMYFUNCTION("""COMPUTED_VALUE"""),1451.0)</f>
        <v>1451</v>
      </c>
      <c r="C2435" s="10">
        <f>IFERROR(__xludf.DUMMYFUNCTION("""COMPUTED_VALUE"""),16999.0)</f>
        <v>16999</v>
      </c>
      <c r="D2435" s="5">
        <f>IFERROR(__xludf.DUMMYFUNCTION("""COMPUTED_VALUE"""),0.3184975559557499)</f>
        <v>0.318497556</v>
      </c>
      <c r="E2435" s="5">
        <f>IFERROR(__xludf.DUMMYFUNCTION("""COMPUTED_VALUE"""),0.12959866220735786)</f>
        <v>0.1295986622</v>
      </c>
      <c r="F2435" s="5">
        <f>IFERROR(__xludf.DUMMYFUNCTION("""COMPUTED_VALUE"""),0.2188705942886545)</f>
        <v>0.2188705943</v>
      </c>
      <c r="G2435" s="5">
        <f>IFERROR(__xludf.DUMMYFUNCTION("""COMPUTED_VALUE"""),0.21514021095960895)</f>
        <v>0.215140211</v>
      </c>
      <c r="H2435" s="5">
        <f>IFERROR(__xludf.DUMMYFUNCTION("""COMPUTED_VALUE"""),0.5815456949750221)</f>
        <v>0.581545695</v>
      </c>
      <c r="I2435" s="11">
        <f>IFERROR(__xludf.DUMMYFUNCTION("""COMPUTED_VALUE"""),5809.168380840435)</f>
        <v>5809.168381</v>
      </c>
      <c r="J2435" s="10">
        <f>IFERROR(__xludf.DUMMYFUNCTION("""COMPUTED_VALUE"""),1.0)</f>
        <v>1</v>
      </c>
      <c r="K2435" s="5">
        <f>IFERROR(__xludf.DUMMYFUNCTION("""COMPUTED_VALUE"""),6.891798759476223E-4)</f>
        <v>0.0006891798759</v>
      </c>
      <c r="L2435" s="10">
        <f>IFERROR(__xludf.DUMMYFUNCTION("""COMPUTED_VALUE"""),1451.0)</f>
        <v>1451</v>
      </c>
      <c r="M2435" s="5">
        <f>IFERROR(__xludf.DUMMYFUNCTION("""COMPUTED_VALUE"""),1.0)</f>
        <v>1</v>
      </c>
    </row>
    <row r="2436">
      <c r="A2436" s="10" t="str">
        <f>IFERROR(__xludf.DUMMYFUNCTION("""COMPUTED_VALUE"""),"魅せられない麻雀")</f>
        <v>魅せられない麻雀</v>
      </c>
      <c r="B2436" s="10">
        <f>IFERROR(__xludf.DUMMYFUNCTION("""COMPUTED_VALUE"""),513.0)</f>
        <v>513</v>
      </c>
      <c r="C2436" s="10">
        <f>IFERROR(__xludf.DUMMYFUNCTION("""COMPUTED_VALUE"""),6115.0)</f>
        <v>6115</v>
      </c>
      <c r="D2436" s="5">
        <f>IFERROR(__xludf.DUMMYFUNCTION("""COMPUTED_VALUE"""),0.3609425205283827)</f>
        <v>0.3609425205</v>
      </c>
      <c r="E2436" s="5">
        <f>IFERROR(__xludf.DUMMYFUNCTION("""COMPUTED_VALUE"""),0.12959657265262406)</f>
        <v>0.1295965727</v>
      </c>
      <c r="F2436" s="5">
        <f>IFERROR(__xludf.DUMMYFUNCTION("""COMPUTED_VALUE"""),0.21135308818279186)</f>
        <v>0.2113530882</v>
      </c>
      <c r="G2436" s="5">
        <f>IFERROR(__xludf.DUMMYFUNCTION("""COMPUTED_VALUE"""),0.17243841485183864)</f>
        <v>0.1724384149</v>
      </c>
      <c r="H2436" s="5">
        <f>IFERROR(__xludf.DUMMYFUNCTION("""COMPUTED_VALUE"""),0.6097972972972973)</f>
        <v>0.6097972973</v>
      </c>
      <c r="I2436" s="11">
        <f>IFERROR(__xludf.DUMMYFUNCTION("""COMPUTED_VALUE"""),5621.199324324324)</f>
        <v>5621.199324</v>
      </c>
      <c r="J2436" s="10">
        <f>IFERROR(__xludf.DUMMYFUNCTION("""COMPUTED_VALUE"""),1.0)</f>
        <v>1</v>
      </c>
      <c r="K2436" s="5">
        <f>IFERROR(__xludf.DUMMYFUNCTION("""COMPUTED_VALUE"""),0.001949317738791423)</f>
        <v>0.001949317739</v>
      </c>
      <c r="L2436" s="10">
        <f>IFERROR(__xludf.DUMMYFUNCTION("""COMPUTED_VALUE"""),513.0)</f>
        <v>513</v>
      </c>
      <c r="M2436" s="5">
        <f>IFERROR(__xludf.DUMMYFUNCTION("""COMPUTED_VALUE"""),1.0)</f>
        <v>1</v>
      </c>
    </row>
    <row r="2437">
      <c r="A2437" s="10" t="str">
        <f>IFERROR(__xludf.DUMMYFUNCTION("""COMPUTED_VALUE"""),"ビチャ山ビチャ男")</f>
        <v>ビチャ山ビチャ男</v>
      </c>
      <c r="B2437" s="10">
        <f>IFERROR(__xludf.DUMMYFUNCTION("""COMPUTED_VALUE"""),650.0)</f>
        <v>650</v>
      </c>
      <c r="C2437" s="10">
        <f>IFERROR(__xludf.DUMMYFUNCTION("""COMPUTED_VALUE"""),7688.0)</f>
        <v>7688</v>
      </c>
      <c r="D2437" s="5">
        <f>IFERROR(__xludf.DUMMYFUNCTION("""COMPUTED_VALUE"""),0.36018755328218244)</f>
        <v>0.3601875533</v>
      </c>
      <c r="E2437" s="5">
        <f>IFERROR(__xludf.DUMMYFUNCTION("""COMPUTED_VALUE"""),0.12958226768968456)</f>
        <v>0.1295822677</v>
      </c>
      <c r="F2437" s="5">
        <f>IFERROR(__xludf.DUMMYFUNCTION("""COMPUTED_VALUE"""),0.20105143506678033)</f>
        <v>0.2010514351</v>
      </c>
      <c r="G2437" s="5">
        <f>IFERROR(__xludf.DUMMYFUNCTION("""COMPUTED_VALUE"""),0.17306052855924978)</f>
        <v>0.1730605286</v>
      </c>
      <c r="H2437" s="5">
        <f>IFERROR(__xludf.DUMMYFUNCTION("""COMPUTED_VALUE"""),0.5816254416961131)</f>
        <v>0.5816254417</v>
      </c>
      <c r="I2437" s="11">
        <f>IFERROR(__xludf.DUMMYFUNCTION("""COMPUTED_VALUE"""),5871.4487632508835)</f>
        <v>5871.448763</v>
      </c>
      <c r="J2437" s="10">
        <f>IFERROR(__xludf.DUMMYFUNCTION("""COMPUTED_VALUE"""),3.0)</f>
        <v>3</v>
      </c>
      <c r="K2437" s="5">
        <f>IFERROR(__xludf.DUMMYFUNCTION("""COMPUTED_VALUE"""),0.004615384615384616)</f>
        <v>0.004615384615</v>
      </c>
      <c r="L2437" s="10">
        <f>IFERROR(__xludf.DUMMYFUNCTION("""COMPUTED_VALUE"""),650.0)</f>
        <v>650</v>
      </c>
      <c r="M2437" s="5">
        <f>IFERROR(__xludf.DUMMYFUNCTION("""COMPUTED_VALUE"""),1.0)</f>
        <v>1</v>
      </c>
    </row>
    <row r="2438">
      <c r="A2438" s="10" t="str">
        <f>IFERROR(__xludf.DUMMYFUNCTION("""COMPUTED_VALUE"""),"hayatti@")</f>
        <v>hayatti@</v>
      </c>
      <c r="B2438" s="10">
        <f>IFERROR(__xludf.DUMMYFUNCTION("""COMPUTED_VALUE"""),269.0)</f>
        <v>269</v>
      </c>
      <c r="C2438" s="10">
        <f>IFERROR(__xludf.DUMMYFUNCTION("""COMPUTED_VALUE"""),3140.0)</f>
        <v>3140</v>
      </c>
      <c r="D2438" s="5">
        <f>IFERROR(__xludf.DUMMYFUNCTION("""COMPUTED_VALUE"""),0.3838383838383838)</f>
        <v>0.3838383838</v>
      </c>
      <c r="E2438" s="5">
        <f>IFERROR(__xludf.DUMMYFUNCTION("""COMPUTED_VALUE"""),0.12957157784743992)</f>
        <v>0.1295715778</v>
      </c>
      <c r="F2438" s="5">
        <f>IFERROR(__xludf.DUMMYFUNCTION("""COMPUTED_VALUE"""),0.20654824103099964)</f>
        <v>0.206548241</v>
      </c>
      <c r="G2438" s="5">
        <f>IFERROR(__xludf.DUMMYFUNCTION("""COMPUTED_VALUE"""),0.1281783350748868)</f>
        <v>0.1281783351</v>
      </c>
      <c r="H2438" s="5">
        <f>IFERROR(__xludf.DUMMYFUNCTION("""COMPUTED_VALUE"""),0.6205733558178752)</f>
        <v>0.6205733558</v>
      </c>
      <c r="I2438" s="11">
        <f>IFERROR(__xludf.DUMMYFUNCTION("""COMPUTED_VALUE"""),5192.074198988195)</f>
        <v>5192.074199</v>
      </c>
      <c r="J2438" s="10">
        <f>IFERROR(__xludf.DUMMYFUNCTION("""COMPUTED_VALUE"""),0.0)</f>
        <v>0</v>
      </c>
      <c r="K2438" s="5">
        <f>IFERROR(__xludf.DUMMYFUNCTION("""COMPUTED_VALUE"""),0.0)</f>
        <v>0</v>
      </c>
      <c r="L2438" s="10">
        <f>IFERROR(__xludf.DUMMYFUNCTION("""COMPUTED_VALUE"""),269.0)</f>
        <v>269</v>
      </c>
      <c r="M2438" s="5">
        <f>IFERROR(__xludf.DUMMYFUNCTION("""COMPUTED_VALUE"""),1.0)</f>
        <v>1</v>
      </c>
    </row>
    <row r="2439">
      <c r="A2439" s="10" t="str">
        <f>IFERROR(__xludf.DUMMYFUNCTION("""COMPUTED_VALUE"""),"氷柱")</f>
        <v>氷柱</v>
      </c>
      <c r="B2439" s="10">
        <f>IFERROR(__xludf.DUMMYFUNCTION("""COMPUTED_VALUE"""),1225.0)</f>
        <v>1225</v>
      </c>
      <c r="C2439" s="10">
        <f>IFERROR(__xludf.DUMMYFUNCTION("""COMPUTED_VALUE"""),14401.0)</f>
        <v>14401</v>
      </c>
      <c r="D2439" s="5">
        <f>IFERROR(__xludf.DUMMYFUNCTION("""COMPUTED_VALUE"""),0.40141165755919855)</f>
        <v>0.4014116576</v>
      </c>
      <c r="E2439" s="5">
        <f>IFERROR(__xludf.DUMMYFUNCTION("""COMPUTED_VALUE"""),0.12955373406193077)</f>
        <v>0.1295537341</v>
      </c>
      <c r="F2439" s="5">
        <f>IFERROR(__xludf.DUMMYFUNCTION("""COMPUTED_VALUE"""),0.20931997571341834)</f>
        <v>0.2093199757</v>
      </c>
      <c r="G2439" s="5">
        <f>IFERROR(__xludf.DUMMYFUNCTION("""COMPUTED_VALUE"""),0.17334547662416516)</f>
        <v>0.1733454766</v>
      </c>
      <c r="H2439" s="5">
        <f>IFERROR(__xludf.DUMMYFUNCTION("""COMPUTED_VALUE"""),0.5870195794053662)</f>
        <v>0.5870195794</v>
      </c>
      <c r="I2439" s="11">
        <f>IFERROR(__xludf.DUMMYFUNCTION("""COMPUTED_VALUE"""),5554.967367657723)</f>
        <v>5554.967368</v>
      </c>
      <c r="J2439" s="10">
        <f>IFERROR(__xludf.DUMMYFUNCTION("""COMPUTED_VALUE"""),2.0)</f>
        <v>2</v>
      </c>
      <c r="K2439" s="5">
        <f>IFERROR(__xludf.DUMMYFUNCTION("""COMPUTED_VALUE"""),0.0016326530612244899)</f>
        <v>0.001632653061</v>
      </c>
      <c r="L2439" s="10">
        <f>IFERROR(__xludf.DUMMYFUNCTION("""COMPUTED_VALUE"""),1225.0)</f>
        <v>1225</v>
      </c>
      <c r="M2439" s="5">
        <f>IFERROR(__xludf.DUMMYFUNCTION("""COMPUTED_VALUE"""),1.0)</f>
        <v>1</v>
      </c>
    </row>
    <row r="2440">
      <c r="A2440" s="10" t="str">
        <f>IFERROR(__xludf.DUMMYFUNCTION("""COMPUTED_VALUE"""),"蓮山")</f>
        <v>蓮山</v>
      </c>
      <c r="B2440" s="10">
        <f>IFERROR(__xludf.DUMMYFUNCTION("""COMPUTED_VALUE"""),315.0)</f>
        <v>315</v>
      </c>
      <c r="C2440" s="10">
        <f>IFERROR(__xludf.DUMMYFUNCTION("""COMPUTED_VALUE"""),3665.0)</f>
        <v>3665</v>
      </c>
      <c r="D2440" s="5">
        <f>IFERROR(__xludf.DUMMYFUNCTION("""COMPUTED_VALUE"""),0.3146268656716418)</f>
        <v>0.3146268657</v>
      </c>
      <c r="E2440" s="5">
        <f>IFERROR(__xludf.DUMMYFUNCTION("""COMPUTED_VALUE"""),0.12955223880597014)</f>
        <v>0.1295522388</v>
      </c>
      <c r="F2440" s="5">
        <f>IFERROR(__xludf.DUMMYFUNCTION("""COMPUTED_VALUE"""),0.20149253731343283)</f>
        <v>0.2014925373</v>
      </c>
      <c r="G2440" s="5">
        <f>IFERROR(__xludf.DUMMYFUNCTION("""COMPUTED_VALUE"""),0.17582089552238805)</f>
        <v>0.1758208955</v>
      </c>
      <c r="H2440" s="5">
        <f>IFERROR(__xludf.DUMMYFUNCTION("""COMPUTED_VALUE"""),0.6014814814814815)</f>
        <v>0.6014814815</v>
      </c>
      <c r="I2440" s="11">
        <f>IFERROR(__xludf.DUMMYFUNCTION("""COMPUTED_VALUE"""),5523.7037037037035)</f>
        <v>5523.703704</v>
      </c>
      <c r="J2440" s="10">
        <f>IFERROR(__xludf.DUMMYFUNCTION("""COMPUTED_VALUE"""),1.0)</f>
        <v>1</v>
      </c>
      <c r="K2440" s="5">
        <f>IFERROR(__xludf.DUMMYFUNCTION("""COMPUTED_VALUE"""),0.0031746031746031746)</f>
        <v>0.003174603175</v>
      </c>
      <c r="L2440" s="10">
        <f>IFERROR(__xludf.DUMMYFUNCTION("""COMPUTED_VALUE"""),310.0)</f>
        <v>310</v>
      </c>
      <c r="M2440" s="5">
        <f>IFERROR(__xludf.DUMMYFUNCTION("""COMPUTED_VALUE"""),0.9841269841269841)</f>
        <v>0.9841269841</v>
      </c>
    </row>
    <row r="2441">
      <c r="A2441" s="10" t="str">
        <f>IFERROR(__xludf.DUMMYFUNCTION("""COMPUTED_VALUE"""),"竜騎士")</f>
        <v>竜騎士</v>
      </c>
      <c r="B2441" s="10">
        <f>IFERROR(__xludf.DUMMYFUNCTION("""COMPUTED_VALUE"""),127.0)</f>
        <v>127</v>
      </c>
      <c r="C2441" s="10">
        <f>IFERROR(__xludf.DUMMYFUNCTION("""COMPUTED_VALUE"""),1501.0)</f>
        <v>1501</v>
      </c>
      <c r="D2441" s="5">
        <f>IFERROR(__xludf.DUMMYFUNCTION("""COMPUTED_VALUE"""),0.3311499272197962)</f>
        <v>0.3311499272</v>
      </c>
      <c r="E2441" s="5">
        <f>IFERROR(__xludf.DUMMYFUNCTION("""COMPUTED_VALUE"""),0.12954876273653565)</f>
        <v>0.1295487627</v>
      </c>
      <c r="F2441" s="5">
        <f>IFERROR(__xludf.DUMMYFUNCTION("""COMPUTED_VALUE"""),0.20087336244541484)</f>
        <v>0.2008733624</v>
      </c>
      <c r="G2441" s="5">
        <f>IFERROR(__xludf.DUMMYFUNCTION("""COMPUTED_VALUE"""),0.19868995633187772)</f>
        <v>0.1986899563</v>
      </c>
      <c r="H2441" s="5">
        <f>IFERROR(__xludf.DUMMYFUNCTION("""COMPUTED_VALUE"""),0.5833333333333334)</f>
        <v>0.5833333333</v>
      </c>
      <c r="I2441" s="11">
        <f>IFERROR(__xludf.DUMMYFUNCTION("""COMPUTED_VALUE"""),6052.536231884058)</f>
        <v>6052.536232</v>
      </c>
      <c r="J2441" s="10">
        <f>IFERROR(__xludf.DUMMYFUNCTION("""COMPUTED_VALUE"""),0.0)</f>
        <v>0</v>
      </c>
      <c r="K2441" s="5">
        <f>IFERROR(__xludf.DUMMYFUNCTION("""COMPUTED_VALUE"""),0.0)</f>
        <v>0</v>
      </c>
      <c r="L2441" s="10">
        <f>IFERROR(__xludf.DUMMYFUNCTION("""COMPUTED_VALUE"""),127.0)</f>
        <v>127</v>
      </c>
      <c r="M2441" s="5">
        <f>IFERROR(__xludf.DUMMYFUNCTION("""COMPUTED_VALUE"""),1.0)</f>
        <v>1</v>
      </c>
    </row>
    <row r="2442">
      <c r="A2442" s="10" t="str">
        <f>IFERROR(__xludf.DUMMYFUNCTION("""COMPUTED_VALUE"""),"ザブングル")</f>
        <v>ザブングル</v>
      </c>
      <c r="B2442" s="10">
        <f>IFERROR(__xludf.DUMMYFUNCTION("""COMPUTED_VALUE"""),293.0)</f>
        <v>293</v>
      </c>
      <c r="C2442" s="10">
        <f>IFERROR(__xludf.DUMMYFUNCTION("""COMPUTED_VALUE"""),3512.0)</f>
        <v>3512</v>
      </c>
      <c r="D2442" s="5">
        <f>IFERROR(__xludf.DUMMYFUNCTION("""COMPUTED_VALUE"""),0.2786579683131407)</f>
        <v>0.2786579683</v>
      </c>
      <c r="E2442" s="5">
        <f>IFERROR(__xludf.DUMMYFUNCTION("""COMPUTED_VALUE"""),0.12954333643988816)</f>
        <v>0.1295433364</v>
      </c>
      <c r="F2442" s="5">
        <f>IFERROR(__xludf.DUMMYFUNCTION("""COMPUTED_VALUE"""),0.22615719167443304)</f>
        <v>0.2261571917</v>
      </c>
      <c r="G2442" s="5">
        <f>IFERROR(__xludf.DUMMYFUNCTION("""COMPUTED_VALUE"""),0.1708605156881019)</f>
        <v>0.1708605157</v>
      </c>
      <c r="H2442" s="5">
        <f>IFERROR(__xludf.DUMMYFUNCTION("""COMPUTED_VALUE"""),0.5879120879120879)</f>
        <v>0.5879120879</v>
      </c>
      <c r="I2442" s="11">
        <f>IFERROR(__xludf.DUMMYFUNCTION("""COMPUTED_VALUE"""),5604.67032967033)</f>
        <v>5604.67033</v>
      </c>
      <c r="J2442" s="10">
        <f>IFERROR(__xludf.DUMMYFUNCTION("""COMPUTED_VALUE"""),2.0)</f>
        <v>2</v>
      </c>
      <c r="K2442" s="5">
        <f>IFERROR(__xludf.DUMMYFUNCTION("""COMPUTED_VALUE"""),0.006825938566552901)</f>
        <v>0.006825938567</v>
      </c>
      <c r="L2442" s="10">
        <f>IFERROR(__xludf.DUMMYFUNCTION("""COMPUTED_VALUE"""),0.0)</f>
        <v>0</v>
      </c>
      <c r="M2442" s="5">
        <f>IFERROR(__xludf.DUMMYFUNCTION("""COMPUTED_VALUE"""),0.0)</f>
        <v>0</v>
      </c>
    </row>
    <row r="2443">
      <c r="A2443" s="10" t="str">
        <f>IFERROR(__xludf.DUMMYFUNCTION("""COMPUTED_VALUE"""),"二階堂瑠美の使者")</f>
        <v>二階堂瑠美の使者</v>
      </c>
      <c r="B2443" s="10">
        <f>IFERROR(__xludf.DUMMYFUNCTION("""COMPUTED_VALUE"""),808.0)</f>
        <v>808</v>
      </c>
      <c r="C2443" s="10">
        <f>IFERROR(__xludf.DUMMYFUNCTION("""COMPUTED_VALUE"""),9493.0)</f>
        <v>9493</v>
      </c>
      <c r="D2443" s="5">
        <f>IFERROR(__xludf.DUMMYFUNCTION("""COMPUTED_VALUE"""),0.3160621761658031)</f>
        <v>0.3160621762</v>
      </c>
      <c r="E2443" s="5">
        <f>IFERROR(__xludf.DUMMYFUNCTION("""COMPUTED_VALUE"""),0.12953367875647667)</f>
        <v>0.1295336788</v>
      </c>
      <c r="F2443" s="5">
        <f>IFERROR(__xludf.DUMMYFUNCTION("""COMPUTED_VALUE"""),0.20276338514680484)</f>
        <v>0.2027633851</v>
      </c>
      <c r="G2443" s="5">
        <f>IFERROR(__xludf.DUMMYFUNCTION("""COMPUTED_VALUE"""),0.1877950489349453)</f>
        <v>0.1877950489</v>
      </c>
      <c r="H2443" s="5">
        <f>IFERROR(__xludf.DUMMYFUNCTION("""COMPUTED_VALUE"""),0.5820556501987507)</f>
        <v>0.5820556502</v>
      </c>
      <c r="I2443" s="11">
        <f>IFERROR(__xludf.DUMMYFUNCTION("""COMPUTED_VALUE"""),5658.205565019875)</f>
        <v>5658.205565</v>
      </c>
      <c r="J2443" s="10">
        <f>IFERROR(__xludf.DUMMYFUNCTION("""COMPUTED_VALUE"""),1.0)</f>
        <v>1</v>
      </c>
      <c r="K2443" s="5">
        <f>IFERROR(__xludf.DUMMYFUNCTION("""COMPUTED_VALUE"""),0.0012376237623762376)</f>
        <v>0.001237623762</v>
      </c>
      <c r="L2443" s="10">
        <f>IFERROR(__xludf.DUMMYFUNCTION("""COMPUTED_VALUE"""),808.0)</f>
        <v>808</v>
      </c>
      <c r="M2443" s="5">
        <f>IFERROR(__xludf.DUMMYFUNCTION("""COMPUTED_VALUE"""),1.0)</f>
        <v>1</v>
      </c>
    </row>
    <row r="2444">
      <c r="A2444" s="10" t="str">
        <f>IFERROR(__xludf.DUMMYFUNCTION("""COMPUTED_VALUE"""),"Jan-Mach")</f>
        <v>Jan-Mach</v>
      </c>
      <c r="B2444" s="10">
        <f>IFERROR(__xludf.DUMMYFUNCTION("""COMPUTED_VALUE"""),3931.0)</f>
        <v>3931</v>
      </c>
      <c r="C2444" s="10">
        <f>IFERROR(__xludf.DUMMYFUNCTION("""COMPUTED_VALUE"""),46168.0)</f>
        <v>46168</v>
      </c>
      <c r="D2444" s="5">
        <f>IFERROR(__xludf.DUMMYFUNCTION("""COMPUTED_VALUE"""),0.41231621564031534)</f>
        <v>0.4123162156</v>
      </c>
      <c r="E2444" s="5">
        <f>IFERROR(__xludf.DUMMYFUNCTION("""COMPUTED_VALUE"""),0.1295309799464924)</f>
        <v>0.1295309799</v>
      </c>
      <c r="F2444" s="5">
        <f>IFERROR(__xludf.DUMMYFUNCTION("""COMPUTED_VALUE"""),0.21874186140114119)</f>
        <v>0.2187418614</v>
      </c>
      <c r="G2444" s="5">
        <f>IFERROR(__xludf.DUMMYFUNCTION("""COMPUTED_VALUE"""),0.13357956294244383)</f>
        <v>0.1335795629</v>
      </c>
      <c r="H2444" s="5">
        <f>IFERROR(__xludf.DUMMYFUNCTION("""COMPUTED_VALUE"""),0.6050438359129776)</f>
        <v>0.6050438359</v>
      </c>
      <c r="I2444" s="11">
        <f>IFERROR(__xludf.DUMMYFUNCTION("""COMPUTED_VALUE"""),5586.308041995887)</f>
        <v>5586.308042</v>
      </c>
      <c r="J2444" s="10">
        <f>IFERROR(__xludf.DUMMYFUNCTION("""COMPUTED_VALUE"""),14.0)</f>
        <v>14</v>
      </c>
      <c r="K2444" s="5">
        <f>IFERROR(__xludf.DUMMYFUNCTION("""COMPUTED_VALUE"""),0.0035614347494276268)</f>
        <v>0.003561434749</v>
      </c>
      <c r="L2444" s="10">
        <f>IFERROR(__xludf.DUMMYFUNCTION("""COMPUTED_VALUE"""),3931.0)</f>
        <v>3931</v>
      </c>
      <c r="M2444" s="5">
        <f>IFERROR(__xludf.DUMMYFUNCTION("""COMPUTED_VALUE"""),1.0)</f>
        <v>1</v>
      </c>
    </row>
    <row r="2445">
      <c r="A2445" s="10" t="str">
        <f>IFERROR(__xludf.DUMMYFUNCTION("""COMPUTED_VALUE"""),"僕らの味方ゾンビ")</f>
        <v>僕らの味方ゾンビ</v>
      </c>
      <c r="B2445" s="10">
        <f>IFERROR(__xludf.DUMMYFUNCTION("""COMPUTED_VALUE"""),479.0)</f>
        <v>479</v>
      </c>
      <c r="C2445" s="10">
        <f>IFERROR(__xludf.DUMMYFUNCTION("""COMPUTED_VALUE"""),5544.0)</f>
        <v>5544</v>
      </c>
      <c r="D2445" s="5">
        <f>IFERROR(__xludf.DUMMYFUNCTION("""COMPUTED_VALUE"""),0.33840078973346494)</f>
        <v>0.3384007897</v>
      </c>
      <c r="E2445" s="5">
        <f>IFERROR(__xludf.DUMMYFUNCTION("""COMPUTED_VALUE"""),0.12951628825271472)</f>
        <v>0.1295162883</v>
      </c>
      <c r="F2445" s="5">
        <f>IFERROR(__xludf.DUMMYFUNCTION("""COMPUTED_VALUE"""),0.21678183613030602)</f>
        <v>0.2167818361</v>
      </c>
      <c r="G2445" s="5">
        <f>IFERROR(__xludf.DUMMYFUNCTION("""COMPUTED_VALUE"""),0.18321816386969397)</f>
        <v>0.1832181639</v>
      </c>
      <c r="H2445" s="5">
        <f>IFERROR(__xludf.DUMMYFUNCTION("""COMPUTED_VALUE"""),0.6083788706739527)</f>
        <v>0.6083788707</v>
      </c>
      <c r="I2445" s="11">
        <f>IFERROR(__xludf.DUMMYFUNCTION("""COMPUTED_VALUE"""),5660.2914389799635)</f>
        <v>5660.291439</v>
      </c>
      <c r="J2445" s="10">
        <f>IFERROR(__xludf.DUMMYFUNCTION("""COMPUTED_VALUE"""),1.0)</f>
        <v>1</v>
      </c>
      <c r="K2445" s="5">
        <f>IFERROR(__xludf.DUMMYFUNCTION("""COMPUTED_VALUE"""),0.0020876826722338203)</f>
        <v>0.002087682672</v>
      </c>
      <c r="L2445" s="10">
        <f>IFERROR(__xludf.DUMMYFUNCTION("""COMPUTED_VALUE"""),119.0)</f>
        <v>119</v>
      </c>
      <c r="M2445" s="5">
        <f>IFERROR(__xludf.DUMMYFUNCTION("""COMPUTED_VALUE"""),0.24843423799582465)</f>
        <v>0.248434238</v>
      </c>
    </row>
    <row r="2446">
      <c r="A2446" s="10" t="str">
        <f>IFERROR(__xludf.DUMMYFUNCTION("""COMPUTED_VALUE"""),"gayuny")</f>
        <v>gayuny</v>
      </c>
      <c r="B2446" s="10">
        <f>IFERROR(__xludf.DUMMYFUNCTION("""COMPUTED_VALUE"""),1395.0)</f>
        <v>1395</v>
      </c>
      <c r="C2446" s="10">
        <f>IFERROR(__xludf.DUMMYFUNCTION("""COMPUTED_VALUE"""),16135.0)</f>
        <v>16135</v>
      </c>
      <c r="D2446" s="5">
        <f>IFERROR(__xludf.DUMMYFUNCTION("""COMPUTED_VALUE"""),0.3369742198100407)</f>
        <v>0.3369742198</v>
      </c>
      <c r="E2446" s="5">
        <f>IFERROR(__xludf.DUMMYFUNCTION("""COMPUTED_VALUE"""),0.12951153324287654)</f>
        <v>0.1295115332</v>
      </c>
      <c r="F2446" s="5">
        <f>IFERROR(__xludf.DUMMYFUNCTION("""COMPUTED_VALUE"""),0.21227951153324287)</f>
        <v>0.2122795115</v>
      </c>
      <c r="G2446" s="5">
        <f>IFERROR(__xludf.DUMMYFUNCTION("""COMPUTED_VALUE"""),0.16974219810040705)</f>
        <v>0.1697421981</v>
      </c>
      <c r="H2446" s="5">
        <f>IFERROR(__xludf.DUMMYFUNCTION("""COMPUTED_VALUE"""),0.5931607542345797)</f>
        <v>0.5931607542</v>
      </c>
      <c r="I2446" s="11">
        <f>IFERROR(__xludf.DUMMYFUNCTION("""COMPUTED_VALUE"""),5612.368168744008)</f>
        <v>5612.368169</v>
      </c>
      <c r="J2446" s="10">
        <f>IFERROR(__xludf.DUMMYFUNCTION("""COMPUTED_VALUE"""),8.0)</f>
        <v>8</v>
      </c>
      <c r="K2446" s="5">
        <f>IFERROR(__xludf.DUMMYFUNCTION("""COMPUTED_VALUE"""),0.005734767025089606)</f>
        <v>0.005734767025</v>
      </c>
      <c r="L2446" s="10">
        <f>IFERROR(__xludf.DUMMYFUNCTION("""COMPUTED_VALUE"""),1395.0)</f>
        <v>1395</v>
      </c>
      <c r="M2446" s="5">
        <f>IFERROR(__xludf.DUMMYFUNCTION("""COMPUTED_VALUE"""),1.0)</f>
        <v>1</v>
      </c>
    </row>
    <row r="2447">
      <c r="A2447" s="10" t="str">
        <f>IFERROR(__xludf.DUMMYFUNCTION("""COMPUTED_VALUE"""),"narajinn")</f>
        <v>narajinn</v>
      </c>
      <c r="B2447" s="10">
        <f>IFERROR(__xludf.DUMMYFUNCTION("""COMPUTED_VALUE"""),607.0)</f>
        <v>607</v>
      </c>
      <c r="C2447" s="10">
        <f>IFERROR(__xludf.DUMMYFUNCTION("""COMPUTED_VALUE"""),7093.0)</f>
        <v>7093</v>
      </c>
      <c r="D2447" s="5">
        <f>IFERROR(__xludf.DUMMYFUNCTION("""COMPUTED_VALUE"""),0.375886524822695)</f>
        <v>0.3758865248</v>
      </c>
      <c r="E2447" s="5">
        <f>IFERROR(__xludf.DUMMYFUNCTION("""COMPUTED_VALUE"""),0.12950971322849214)</f>
        <v>0.1295097132</v>
      </c>
      <c r="F2447" s="5">
        <f>IFERROR(__xludf.DUMMYFUNCTION("""COMPUTED_VALUE"""),0.20814061054579094)</f>
        <v>0.2081406105</v>
      </c>
      <c r="G2447" s="5">
        <f>IFERROR(__xludf.DUMMYFUNCTION("""COMPUTED_VALUE"""),0.1645081714461918)</f>
        <v>0.1645081714</v>
      </c>
      <c r="H2447" s="5">
        <f>IFERROR(__xludf.DUMMYFUNCTION("""COMPUTED_VALUE"""),0.6185185185185185)</f>
        <v>0.6185185185</v>
      </c>
      <c r="I2447" s="11">
        <f>IFERROR(__xludf.DUMMYFUNCTION("""COMPUTED_VALUE"""),5134.148148148148)</f>
        <v>5134.148148</v>
      </c>
      <c r="J2447" s="10">
        <f>IFERROR(__xludf.DUMMYFUNCTION("""COMPUTED_VALUE"""),0.0)</f>
        <v>0</v>
      </c>
      <c r="K2447" s="5">
        <f>IFERROR(__xludf.DUMMYFUNCTION("""COMPUTED_VALUE"""),0.0)</f>
        <v>0</v>
      </c>
      <c r="L2447" s="10">
        <f>IFERROR(__xludf.DUMMYFUNCTION("""COMPUTED_VALUE"""),607.0)</f>
        <v>607</v>
      </c>
      <c r="M2447" s="5">
        <f>IFERROR(__xludf.DUMMYFUNCTION("""COMPUTED_VALUE"""),1.0)</f>
        <v>1</v>
      </c>
    </row>
    <row r="2448">
      <c r="A2448" s="10" t="str">
        <f>IFERROR(__xludf.DUMMYFUNCTION("""COMPUTED_VALUE"""),"田中☆星人")</f>
        <v>田中☆星人</v>
      </c>
      <c r="B2448" s="10">
        <f>IFERROR(__xludf.DUMMYFUNCTION("""COMPUTED_VALUE"""),637.0)</f>
        <v>637</v>
      </c>
      <c r="C2448" s="10">
        <f>IFERROR(__xludf.DUMMYFUNCTION("""COMPUTED_VALUE"""),7463.0)</f>
        <v>7463</v>
      </c>
      <c r="D2448" s="5">
        <f>IFERROR(__xludf.DUMMYFUNCTION("""COMPUTED_VALUE"""),0.4157632581306768)</f>
        <v>0.4157632581</v>
      </c>
      <c r="E2448" s="5">
        <f>IFERROR(__xludf.DUMMYFUNCTION("""COMPUTED_VALUE"""),0.1295048344564899)</f>
        <v>0.1295048345</v>
      </c>
      <c r="F2448" s="5">
        <f>IFERROR(__xludf.DUMMYFUNCTION("""COMPUTED_VALUE"""),0.20949311456196895)</f>
        <v>0.2094931146</v>
      </c>
      <c r="G2448" s="5">
        <f>IFERROR(__xludf.DUMMYFUNCTION("""COMPUTED_VALUE"""),0.16012305889246997)</f>
        <v>0.1601230589</v>
      </c>
      <c r="H2448" s="5">
        <f>IFERROR(__xludf.DUMMYFUNCTION("""COMPUTED_VALUE"""),0.586013986013986)</f>
        <v>0.586013986</v>
      </c>
      <c r="I2448" s="11">
        <f>IFERROR(__xludf.DUMMYFUNCTION("""COMPUTED_VALUE"""),5519.8601398601395)</f>
        <v>5519.86014</v>
      </c>
      <c r="J2448" s="10">
        <f>IFERROR(__xludf.DUMMYFUNCTION("""COMPUTED_VALUE"""),1.0)</f>
        <v>1</v>
      </c>
      <c r="K2448" s="5">
        <f>IFERROR(__xludf.DUMMYFUNCTION("""COMPUTED_VALUE"""),0.0015698587127158557)</f>
        <v>0.001569858713</v>
      </c>
      <c r="L2448" s="10">
        <f>IFERROR(__xludf.DUMMYFUNCTION("""COMPUTED_VALUE"""),637.0)</f>
        <v>637</v>
      </c>
      <c r="M2448" s="5">
        <f>IFERROR(__xludf.DUMMYFUNCTION("""COMPUTED_VALUE"""),1.0)</f>
        <v>1</v>
      </c>
    </row>
    <row r="2449">
      <c r="A2449" s="10" t="str">
        <f>IFERROR(__xludf.DUMMYFUNCTION("""COMPUTED_VALUE"""),"pamera")</f>
        <v>pamera</v>
      </c>
      <c r="B2449" s="10">
        <f>IFERROR(__xludf.DUMMYFUNCTION("""COMPUTED_VALUE"""),537.0)</f>
        <v>537</v>
      </c>
      <c r="C2449" s="10">
        <f>IFERROR(__xludf.DUMMYFUNCTION("""COMPUTED_VALUE"""),6282.0)</f>
        <v>6282</v>
      </c>
      <c r="D2449" s="5">
        <f>IFERROR(__xludf.DUMMYFUNCTION("""COMPUTED_VALUE"""),0.35300261096605745)</f>
        <v>0.353002611</v>
      </c>
      <c r="E2449" s="5">
        <f>IFERROR(__xludf.DUMMYFUNCTION("""COMPUTED_VALUE"""),0.12950391644908615)</f>
        <v>0.1295039164</v>
      </c>
      <c r="F2449" s="5">
        <f>IFERROR(__xludf.DUMMYFUNCTION("""COMPUTED_VALUE"""),0.20905134899912967)</f>
        <v>0.209051349</v>
      </c>
      <c r="G2449" s="5">
        <f>IFERROR(__xludf.DUMMYFUNCTION("""COMPUTED_VALUE"""),0.1801566579634465)</f>
        <v>0.180156658</v>
      </c>
      <c r="H2449" s="5">
        <f>IFERROR(__xludf.DUMMYFUNCTION("""COMPUTED_VALUE"""),0.6236469608659451)</f>
        <v>0.6236469609</v>
      </c>
      <c r="I2449" s="11">
        <f>IFERROR(__xludf.DUMMYFUNCTION("""COMPUTED_VALUE"""),5746.711074104913)</f>
        <v>5746.711074</v>
      </c>
      <c r="J2449" s="10">
        <f>IFERROR(__xludf.DUMMYFUNCTION("""COMPUTED_VALUE"""),0.0)</f>
        <v>0</v>
      </c>
      <c r="K2449" s="5">
        <f>IFERROR(__xludf.DUMMYFUNCTION("""COMPUTED_VALUE"""),0.0)</f>
        <v>0</v>
      </c>
      <c r="L2449" s="10">
        <f>IFERROR(__xludf.DUMMYFUNCTION("""COMPUTED_VALUE"""),537.0)</f>
        <v>537</v>
      </c>
      <c r="M2449" s="5">
        <f>IFERROR(__xludf.DUMMYFUNCTION("""COMPUTED_VALUE"""),1.0)</f>
        <v>1</v>
      </c>
    </row>
    <row r="2450">
      <c r="A2450" s="10" t="str">
        <f>IFERROR(__xludf.DUMMYFUNCTION("""COMPUTED_VALUE"""),"87sef")</f>
        <v>87sef</v>
      </c>
      <c r="B2450" s="10">
        <f>IFERROR(__xludf.DUMMYFUNCTION("""COMPUTED_VALUE"""),1480.0)</f>
        <v>1480</v>
      </c>
      <c r="C2450" s="10">
        <f>IFERROR(__xludf.DUMMYFUNCTION("""COMPUTED_VALUE"""),17480.0)</f>
        <v>17480</v>
      </c>
      <c r="D2450" s="5">
        <f>IFERROR(__xludf.DUMMYFUNCTION("""COMPUTED_VALUE"""),0.3901875)</f>
        <v>0.3901875</v>
      </c>
      <c r="E2450" s="5">
        <f>IFERROR(__xludf.DUMMYFUNCTION("""COMPUTED_VALUE"""),0.1295)</f>
        <v>0.1295</v>
      </c>
      <c r="F2450" s="5">
        <f>IFERROR(__xludf.DUMMYFUNCTION("""COMPUTED_VALUE"""),0.211875)</f>
        <v>0.211875</v>
      </c>
      <c r="G2450" s="5">
        <f>IFERROR(__xludf.DUMMYFUNCTION("""COMPUTED_VALUE"""),0.1694375)</f>
        <v>0.1694375</v>
      </c>
      <c r="H2450" s="5">
        <f>IFERROR(__xludf.DUMMYFUNCTION("""COMPUTED_VALUE"""),0.5920353982300885)</f>
        <v>0.5920353982</v>
      </c>
      <c r="I2450" s="11">
        <f>IFERROR(__xludf.DUMMYFUNCTION("""COMPUTED_VALUE"""),5545.693215339233)</f>
        <v>5545.693215</v>
      </c>
      <c r="J2450" s="10">
        <f>IFERROR(__xludf.DUMMYFUNCTION("""COMPUTED_VALUE"""),4.0)</f>
        <v>4</v>
      </c>
      <c r="K2450" s="5">
        <f>IFERROR(__xludf.DUMMYFUNCTION("""COMPUTED_VALUE"""),0.002702702702702703)</f>
        <v>0.002702702703</v>
      </c>
      <c r="L2450" s="10">
        <f>IFERROR(__xludf.DUMMYFUNCTION("""COMPUTED_VALUE"""),916.0)</f>
        <v>916</v>
      </c>
      <c r="M2450" s="5">
        <f>IFERROR(__xludf.DUMMYFUNCTION("""COMPUTED_VALUE"""),0.6189189189189189)</f>
        <v>0.6189189189</v>
      </c>
    </row>
    <row r="2451">
      <c r="A2451" s="10" t="str">
        <f>IFERROR(__xludf.DUMMYFUNCTION("""COMPUTED_VALUE"""),"牧場の少女")</f>
        <v>牧場の少女</v>
      </c>
      <c r="B2451" s="10">
        <f>IFERROR(__xludf.DUMMYFUNCTION("""COMPUTED_VALUE"""),2044.0)</f>
        <v>2044</v>
      </c>
      <c r="C2451" s="10">
        <f>IFERROR(__xludf.DUMMYFUNCTION("""COMPUTED_VALUE"""),23798.0)</f>
        <v>23798</v>
      </c>
      <c r="D2451" s="5">
        <f>IFERROR(__xludf.DUMMYFUNCTION("""COMPUTED_VALUE"""),0.324813827342098)</f>
        <v>0.3248138273</v>
      </c>
      <c r="E2451" s="5">
        <f>IFERROR(__xludf.DUMMYFUNCTION("""COMPUTED_VALUE"""),0.12949342649627654)</f>
        <v>0.1294934265</v>
      </c>
      <c r="F2451" s="5">
        <f>IFERROR(__xludf.DUMMYFUNCTION("""COMPUTED_VALUE"""),0.20777787993012778)</f>
        <v>0.2077778799</v>
      </c>
      <c r="G2451" s="5">
        <f>IFERROR(__xludf.DUMMYFUNCTION("""COMPUTED_VALUE"""),0.18548312953939505)</f>
        <v>0.1854831295</v>
      </c>
      <c r="H2451" s="5">
        <f>IFERROR(__xludf.DUMMYFUNCTION("""COMPUTED_VALUE"""),0.6035398230088496)</f>
        <v>0.603539823</v>
      </c>
      <c r="I2451" s="11">
        <f>IFERROR(__xludf.DUMMYFUNCTION("""COMPUTED_VALUE"""),5867.721238938053)</f>
        <v>5867.721239</v>
      </c>
      <c r="J2451" s="10">
        <f>IFERROR(__xludf.DUMMYFUNCTION("""COMPUTED_VALUE"""),3.0)</f>
        <v>3</v>
      </c>
      <c r="K2451" s="5">
        <f>IFERROR(__xludf.DUMMYFUNCTION("""COMPUTED_VALUE"""),0.0014677103718199608)</f>
        <v>0.001467710372</v>
      </c>
      <c r="L2451" s="10">
        <f>IFERROR(__xludf.DUMMYFUNCTION("""COMPUTED_VALUE"""),1758.0)</f>
        <v>1758</v>
      </c>
      <c r="M2451" s="5">
        <f>IFERROR(__xludf.DUMMYFUNCTION("""COMPUTED_VALUE"""),0.860078277886497)</f>
        <v>0.8600782779</v>
      </c>
    </row>
    <row r="2452">
      <c r="A2452" s="10" t="str">
        <f>IFERROR(__xludf.DUMMYFUNCTION("""COMPUTED_VALUE"""),"塩音ルト")</f>
        <v>塩音ルト</v>
      </c>
      <c r="B2452" s="10">
        <f>IFERROR(__xludf.DUMMYFUNCTION("""COMPUTED_VALUE"""),706.0)</f>
        <v>706</v>
      </c>
      <c r="C2452" s="10">
        <f>IFERROR(__xludf.DUMMYFUNCTION("""COMPUTED_VALUE"""),8174.0)</f>
        <v>8174</v>
      </c>
      <c r="D2452" s="5">
        <f>IFERROR(__xludf.DUMMYFUNCTION("""COMPUTED_VALUE"""),0.3749330476700589)</f>
        <v>0.3749330477</v>
      </c>
      <c r="E2452" s="5">
        <f>IFERROR(__xludf.DUMMYFUNCTION("""COMPUTED_VALUE"""),0.12948580610605248)</f>
        <v>0.1294858061</v>
      </c>
      <c r="F2452" s="5">
        <f>IFERROR(__xludf.DUMMYFUNCTION("""COMPUTED_VALUE"""),0.22388859132297803)</f>
        <v>0.2238885913</v>
      </c>
      <c r="G2452" s="5">
        <f>IFERROR(__xludf.DUMMYFUNCTION("""COMPUTED_VALUE"""),0.1709962506695233)</f>
        <v>0.1709962507</v>
      </c>
      <c r="H2452" s="5">
        <f>IFERROR(__xludf.DUMMYFUNCTION("""COMPUTED_VALUE"""),0.6052631578947368)</f>
        <v>0.6052631579</v>
      </c>
      <c r="I2452" s="11">
        <f>IFERROR(__xludf.DUMMYFUNCTION("""COMPUTED_VALUE"""),5622.667464114833)</f>
        <v>5622.667464</v>
      </c>
      <c r="J2452" s="10">
        <f>IFERROR(__xludf.DUMMYFUNCTION("""COMPUTED_VALUE"""),1.0)</f>
        <v>1</v>
      </c>
      <c r="K2452" s="5">
        <f>IFERROR(__xludf.DUMMYFUNCTION("""COMPUTED_VALUE"""),0.00141643059490085)</f>
        <v>0.001416430595</v>
      </c>
      <c r="L2452" s="10">
        <f>IFERROR(__xludf.DUMMYFUNCTION("""COMPUTED_VALUE"""),0.0)</f>
        <v>0</v>
      </c>
      <c r="M2452" s="5">
        <f>IFERROR(__xludf.DUMMYFUNCTION("""COMPUTED_VALUE"""),0.0)</f>
        <v>0</v>
      </c>
    </row>
    <row r="2453">
      <c r="A2453" s="10" t="str">
        <f>IFERROR(__xludf.DUMMYFUNCTION("""COMPUTED_VALUE"""),"よこ@c")</f>
        <v>よこ@c</v>
      </c>
      <c r="B2453" s="10">
        <f>IFERROR(__xludf.DUMMYFUNCTION("""COMPUTED_VALUE"""),3201.0)</f>
        <v>3201</v>
      </c>
      <c r="C2453" s="10">
        <f>IFERROR(__xludf.DUMMYFUNCTION("""COMPUTED_VALUE"""),37360.0)</f>
        <v>37360</v>
      </c>
      <c r="D2453" s="5">
        <f>IFERROR(__xludf.DUMMYFUNCTION("""COMPUTED_VALUE"""),0.35062501829678855)</f>
        <v>0.3506250183</v>
      </c>
      <c r="E2453" s="5">
        <f>IFERROR(__xludf.DUMMYFUNCTION("""COMPUTED_VALUE"""),0.12948271319418017)</f>
        <v>0.1294827132</v>
      </c>
      <c r="F2453" s="5">
        <f>IFERROR(__xludf.DUMMYFUNCTION("""COMPUTED_VALUE"""),0.21391141426856758)</f>
        <v>0.2139114143</v>
      </c>
      <c r="G2453" s="5">
        <f>IFERROR(__xludf.DUMMYFUNCTION("""COMPUTED_VALUE"""),0.15881612459381128)</f>
        <v>0.1588161246</v>
      </c>
      <c r="H2453" s="5">
        <f>IFERROR(__xludf.DUMMYFUNCTION("""COMPUTED_VALUE"""),0.6021623101135897)</f>
        <v>0.6021623101</v>
      </c>
      <c r="I2453" s="11">
        <f>IFERROR(__xludf.DUMMYFUNCTION("""COMPUTED_VALUE"""),5632.61256329547)</f>
        <v>5632.612563</v>
      </c>
      <c r="J2453" s="10">
        <f>IFERROR(__xludf.DUMMYFUNCTION("""COMPUTED_VALUE"""),10.0)</f>
        <v>10</v>
      </c>
      <c r="K2453" s="5">
        <f>IFERROR(__xludf.DUMMYFUNCTION("""COMPUTED_VALUE"""),0.003124023742580444)</f>
        <v>0.003124023743</v>
      </c>
      <c r="L2453" s="10">
        <f>IFERROR(__xludf.DUMMYFUNCTION("""COMPUTED_VALUE"""),13.0)</f>
        <v>13</v>
      </c>
      <c r="M2453" s="5">
        <f>IFERROR(__xludf.DUMMYFUNCTION("""COMPUTED_VALUE"""),0.004061230865354577)</f>
        <v>0.004061230865</v>
      </c>
    </row>
    <row r="2454">
      <c r="A2454" s="10" t="str">
        <f>IFERROR(__xludf.DUMMYFUNCTION("""COMPUTED_VALUE"""),"ruly0208")</f>
        <v>ruly0208</v>
      </c>
      <c r="B2454" s="10">
        <f>IFERROR(__xludf.DUMMYFUNCTION("""COMPUTED_VALUE"""),629.0)</f>
        <v>629</v>
      </c>
      <c r="C2454" s="10">
        <f>IFERROR(__xludf.DUMMYFUNCTION("""COMPUTED_VALUE"""),7449.0)</f>
        <v>7449</v>
      </c>
      <c r="D2454" s="5">
        <f>IFERROR(__xludf.DUMMYFUNCTION("""COMPUTED_VALUE"""),0.3435483870967742)</f>
        <v>0.3435483871</v>
      </c>
      <c r="E2454" s="5">
        <f>IFERROR(__xludf.DUMMYFUNCTION("""COMPUTED_VALUE"""),0.12947214076246336)</f>
        <v>0.1294721408</v>
      </c>
      <c r="F2454" s="5">
        <f>IFERROR(__xludf.DUMMYFUNCTION("""COMPUTED_VALUE"""),0.20234604105571846)</f>
        <v>0.2023460411</v>
      </c>
      <c r="G2454" s="5">
        <f>IFERROR(__xludf.DUMMYFUNCTION("""COMPUTED_VALUE"""),0.18695014662756598)</f>
        <v>0.1869501466</v>
      </c>
      <c r="H2454" s="5">
        <f>IFERROR(__xludf.DUMMYFUNCTION("""COMPUTED_VALUE"""),0.5891304347826087)</f>
        <v>0.5891304348</v>
      </c>
      <c r="I2454" s="11">
        <f>IFERROR(__xludf.DUMMYFUNCTION("""COMPUTED_VALUE"""),5751.884057971014)</f>
        <v>5751.884058</v>
      </c>
      <c r="J2454" s="10">
        <f>IFERROR(__xludf.DUMMYFUNCTION("""COMPUTED_VALUE"""),0.0)</f>
        <v>0</v>
      </c>
      <c r="K2454" s="5">
        <f>IFERROR(__xludf.DUMMYFUNCTION("""COMPUTED_VALUE"""),0.0)</f>
        <v>0</v>
      </c>
      <c r="L2454" s="10">
        <f>IFERROR(__xludf.DUMMYFUNCTION("""COMPUTED_VALUE"""),629.0)</f>
        <v>629</v>
      </c>
      <c r="M2454" s="5">
        <f>IFERROR(__xludf.DUMMYFUNCTION("""COMPUTED_VALUE"""),1.0)</f>
        <v>1</v>
      </c>
    </row>
    <row r="2455">
      <c r="A2455" s="10" t="str">
        <f>IFERROR(__xludf.DUMMYFUNCTION("""COMPUTED_VALUE"""),"あっきーにゃん")</f>
        <v>あっきーにゃん</v>
      </c>
      <c r="B2455" s="10">
        <f>IFERROR(__xludf.DUMMYFUNCTION("""COMPUTED_VALUE"""),2648.0)</f>
        <v>2648</v>
      </c>
      <c r="C2455" s="10">
        <f>IFERROR(__xludf.DUMMYFUNCTION("""COMPUTED_VALUE"""),30917.0)</f>
        <v>30917</v>
      </c>
      <c r="D2455" s="5">
        <f>IFERROR(__xludf.DUMMYFUNCTION("""COMPUTED_VALUE"""),0.3250203403020977)</f>
        <v>0.3250203403</v>
      </c>
      <c r="E2455" s="5">
        <f>IFERROR(__xludf.DUMMYFUNCTION("""COMPUTED_VALUE"""),0.12947044465669108)</f>
        <v>0.1294704447</v>
      </c>
      <c r="F2455" s="5">
        <f>IFERROR(__xludf.DUMMYFUNCTION("""COMPUTED_VALUE"""),0.21327248929923237)</f>
        <v>0.2132724893</v>
      </c>
      <c r="G2455" s="5">
        <f>IFERROR(__xludf.DUMMYFUNCTION("""COMPUTED_VALUE"""),0.18210760904170648)</f>
        <v>0.182107609</v>
      </c>
      <c r="H2455" s="5">
        <f>IFERROR(__xludf.DUMMYFUNCTION("""COMPUTED_VALUE"""),0.5923038646541715)</f>
        <v>0.5923038647</v>
      </c>
      <c r="I2455" s="11">
        <f>IFERROR(__xludf.DUMMYFUNCTION("""COMPUTED_VALUE"""),5729.955216453806)</f>
        <v>5729.955216</v>
      </c>
      <c r="J2455" s="10">
        <f>IFERROR(__xludf.DUMMYFUNCTION("""COMPUTED_VALUE"""),6.0)</f>
        <v>6</v>
      </c>
      <c r="K2455" s="5">
        <f>IFERROR(__xludf.DUMMYFUNCTION("""COMPUTED_VALUE"""),0.0022658610271903325)</f>
        <v>0.002265861027</v>
      </c>
      <c r="L2455" s="10">
        <f>IFERROR(__xludf.DUMMYFUNCTION("""COMPUTED_VALUE"""),2610.0)</f>
        <v>2610</v>
      </c>
      <c r="M2455" s="5">
        <f>IFERROR(__xludf.DUMMYFUNCTION("""COMPUTED_VALUE"""),0.9856495468277946)</f>
        <v>0.9856495468</v>
      </c>
    </row>
    <row r="2456">
      <c r="A2456" s="10" t="str">
        <f>IFERROR(__xludf.DUMMYFUNCTION("""COMPUTED_VALUE"""),"ロンブー１号")</f>
        <v>ロンブー１号</v>
      </c>
      <c r="B2456" s="10">
        <f>IFERROR(__xludf.DUMMYFUNCTION("""COMPUTED_VALUE"""),269.0)</f>
        <v>269</v>
      </c>
      <c r="C2456" s="10">
        <f>IFERROR(__xludf.DUMMYFUNCTION("""COMPUTED_VALUE"""),3235.0)</f>
        <v>3235</v>
      </c>
      <c r="D2456" s="5">
        <f>IFERROR(__xludf.DUMMYFUNCTION("""COMPUTED_VALUE"""),0.34996628455832773)</f>
        <v>0.3499662846</v>
      </c>
      <c r="E2456" s="5">
        <f>IFERROR(__xludf.DUMMYFUNCTION("""COMPUTED_VALUE"""),0.1294672960215779)</f>
        <v>0.129467296</v>
      </c>
      <c r="F2456" s="5">
        <f>IFERROR(__xludf.DUMMYFUNCTION("""COMPUTED_VALUE"""),0.20397842211732975)</f>
        <v>0.2039784221</v>
      </c>
      <c r="G2456" s="5">
        <f>IFERROR(__xludf.DUMMYFUNCTION("""COMPUTED_VALUE"""),0.14969656102494944)</f>
        <v>0.149696561</v>
      </c>
      <c r="H2456" s="5">
        <f>IFERROR(__xludf.DUMMYFUNCTION("""COMPUTED_VALUE"""),0.5851239669421487)</f>
        <v>0.5851239669</v>
      </c>
      <c r="I2456" s="11">
        <f>IFERROR(__xludf.DUMMYFUNCTION("""COMPUTED_VALUE"""),5324.1322314049585)</f>
        <v>5324.132231</v>
      </c>
      <c r="J2456" s="10">
        <f>IFERROR(__xludf.DUMMYFUNCTION("""COMPUTED_VALUE"""),1.0)</f>
        <v>1</v>
      </c>
      <c r="K2456" s="5">
        <f>IFERROR(__xludf.DUMMYFUNCTION("""COMPUTED_VALUE"""),0.0037174721189591076)</f>
        <v>0.003717472119</v>
      </c>
      <c r="L2456" s="10">
        <f>IFERROR(__xludf.DUMMYFUNCTION("""COMPUTED_VALUE"""),269.0)</f>
        <v>269</v>
      </c>
      <c r="M2456" s="5">
        <f>IFERROR(__xludf.DUMMYFUNCTION("""COMPUTED_VALUE"""),1.0)</f>
        <v>1</v>
      </c>
    </row>
    <row r="2457">
      <c r="A2457" s="10" t="str">
        <f>IFERROR(__xludf.DUMMYFUNCTION("""COMPUTED_VALUE"""),"あだつ")</f>
        <v>あだつ</v>
      </c>
      <c r="B2457" s="10">
        <f>IFERROR(__xludf.DUMMYFUNCTION("""COMPUTED_VALUE"""),381.0)</f>
        <v>381</v>
      </c>
      <c r="C2457" s="10">
        <f>IFERROR(__xludf.DUMMYFUNCTION("""COMPUTED_VALUE"""),4475.0)</f>
        <v>4475</v>
      </c>
      <c r="D2457" s="5">
        <f>IFERROR(__xludf.DUMMYFUNCTION("""COMPUTED_VALUE"""),0.373961895456766)</f>
        <v>0.3739618955</v>
      </c>
      <c r="E2457" s="5">
        <f>IFERROR(__xludf.DUMMYFUNCTION("""COMPUTED_VALUE"""),0.12945774303859306)</f>
        <v>0.129457743</v>
      </c>
      <c r="F2457" s="5">
        <f>IFERROR(__xludf.DUMMYFUNCTION("""COMPUTED_VALUE"""),0.21910112359550563)</f>
        <v>0.2191011236</v>
      </c>
      <c r="G2457" s="5">
        <f>IFERROR(__xludf.DUMMYFUNCTION("""COMPUTED_VALUE"""),0.18734733756717148)</f>
        <v>0.1873473376</v>
      </c>
      <c r="H2457" s="5">
        <f>IFERROR(__xludf.DUMMYFUNCTION("""COMPUTED_VALUE"""),0.5529542920847269)</f>
        <v>0.5529542921</v>
      </c>
      <c r="I2457" s="11">
        <f>IFERROR(__xludf.DUMMYFUNCTION("""COMPUTED_VALUE"""),5546.934225195095)</f>
        <v>5546.934225</v>
      </c>
      <c r="J2457" s="10">
        <f>IFERROR(__xludf.DUMMYFUNCTION("""COMPUTED_VALUE"""),0.0)</f>
        <v>0</v>
      </c>
      <c r="K2457" s="5">
        <f>IFERROR(__xludf.DUMMYFUNCTION("""COMPUTED_VALUE"""),0.0)</f>
        <v>0</v>
      </c>
      <c r="L2457" s="10">
        <f>IFERROR(__xludf.DUMMYFUNCTION("""COMPUTED_VALUE"""),381.0)</f>
        <v>381</v>
      </c>
      <c r="M2457" s="5">
        <f>IFERROR(__xludf.DUMMYFUNCTION("""COMPUTED_VALUE"""),1.0)</f>
        <v>1</v>
      </c>
    </row>
    <row r="2458">
      <c r="A2458" s="10" t="str">
        <f>IFERROR(__xludf.DUMMYFUNCTION("""COMPUTED_VALUE"""),"竹野郎☆")</f>
        <v>竹野郎☆</v>
      </c>
      <c r="B2458" s="10">
        <f>IFERROR(__xludf.DUMMYFUNCTION("""COMPUTED_VALUE"""),169.0)</f>
        <v>169</v>
      </c>
      <c r="C2458" s="10">
        <f>IFERROR(__xludf.DUMMYFUNCTION("""COMPUTED_VALUE"""),2023.0)</f>
        <v>2023</v>
      </c>
      <c r="D2458" s="5">
        <f>IFERROR(__xludf.DUMMYFUNCTION("""COMPUTED_VALUE"""),0.4482200647249191)</f>
        <v>0.4482200647</v>
      </c>
      <c r="E2458" s="5">
        <f>IFERROR(__xludf.DUMMYFUNCTION("""COMPUTED_VALUE"""),0.12944983818770225)</f>
        <v>0.1294498382</v>
      </c>
      <c r="F2458" s="5">
        <f>IFERROR(__xludf.DUMMYFUNCTION("""COMPUTED_VALUE"""),0.22006472491909385)</f>
        <v>0.2200647249</v>
      </c>
      <c r="G2458" s="5">
        <f>IFERROR(__xludf.DUMMYFUNCTION("""COMPUTED_VALUE"""),0.16828478964401294)</f>
        <v>0.1682847896</v>
      </c>
      <c r="H2458" s="5">
        <f>IFERROR(__xludf.DUMMYFUNCTION("""COMPUTED_VALUE"""),0.5955882352941176)</f>
        <v>0.5955882353</v>
      </c>
      <c r="I2458" s="11">
        <f>IFERROR(__xludf.DUMMYFUNCTION("""COMPUTED_VALUE"""),5528.921568627451)</f>
        <v>5528.921569</v>
      </c>
      <c r="J2458" s="10">
        <f>IFERROR(__xludf.DUMMYFUNCTION("""COMPUTED_VALUE"""),1.0)</f>
        <v>1</v>
      </c>
      <c r="K2458" s="5">
        <f>IFERROR(__xludf.DUMMYFUNCTION("""COMPUTED_VALUE"""),0.005917159763313609)</f>
        <v>0.005917159763</v>
      </c>
      <c r="L2458" s="10">
        <f>IFERROR(__xludf.DUMMYFUNCTION("""COMPUTED_VALUE"""),141.0)</f>
        <v>141</v>
      </c>
      <c r="M2458" s="5">
        <f>IFERROR(__xludf.DUMMYFUNCTION("""COMPUTED_VALUE"""),0.834319526627219)</f>
        <v>0.8343195266</v>
      </c>
    </row>
    <row r="2459">
      <c r="A2459" s="10" t="str">
        <f>IFERROR(__xludf.DUMMYFUNCTION("""COMPUTED_VALUE"""),"てちよ")</f>
        <v>てちよ</v>
      </c>
      <c r="B2459" s="10">
        <f>IFERROR(__xludf.DUMMYFUNCTION("""COMPUTED_VALUE"""),160.0)</f>
        <v>160</v>
      </c>
      <c r="C2459" s="10">
        <f>IFERROR(__xludf.DUMMYFUNCTION("""COMPUTED_VALUE"""),1906.0)</f>
        <v>1906</v>
      </c>
      <c r="D2459" s="5">
        <f>IFERROR(__xludf.DUMMYFUNCTION("""COMPUTED_VALUE"""),0.2898052691867125)</f>
        <v>0.2898052692</v>
      </c>
      <c r="E2459" s="5">
        <f>IFERROR(__xludf.DUMMYFUNCTION("""COMPUTED_VALUE"""),0.12943871706758306)</f>
        <v>0.1294387171</v>
      </c>
      <c r="F2459" s="5">
        <f>IFERROR(__xludf.DUMMYFUNCTION("""COMPUTED_VALUE"""),0.18785796105383734)</f>
        <v>0.1878579611</v>
      </c>
      <c r="G2459" s="5">
        <f>IFERROR(__xludf.DUMMYFUNCTION("""COMPUTED_VALUE"""),0.17411225658648338)</f>
        <v>0.1741122566</v>
      </c>
      <c r="H2459" s="5">
        <f>IFERROR(__xludf.DUMMYFUNCTION("""COMPUTED_VALUE"""),0.573170731707317)</f>
        <v>0.5731707317</v>
      </c>
      <c r="I2459" s="11">
        <f>IFERROR(__xludf.DUMMYFUNCTION("""COMPUTED_VALUE"""),5987.5)</f>
        <v>5987.5</v>
      </c>
      <c r="J2459" s="10">
        <f>IFERROR(__xludf.DUMMYFUNCTION("""COMPUTED_VALUE"""),0.0)</f>
        <v>0</v>
      </c>
      <c r="K2459" s="5">
        <f>IFERROR(__xludf.DUMMYFUNCTION("""COMPUTED_VALUE"""),0.0)</f>
        <v>0</v>
      </c>
      <c r="L2459" s="10">
        <f>IFERROR(__xludf.DUMMYFUNCTION("""COMPUTED_VALUE"""),160.0)</f>
        <v>160</v>
      </c>
      <c r="M2459" s="5">
        <f>IFERROR(__xludf.DUMMYFUNCTION("""COMPUTED_VALUE"""),1.0)</f>
        <v>1</v>
      </c>
    </row>
    <row r="2460">
      <c r="A2460" s="10" t="str">
        <f>IFERROR(__xludf.DUMMYFUNCTION("""COMPUTED_VALUE"""),"SHISUKE")</f>
        <v>SHISUKE</v>
      </c>
      <c r="B2460" s="10">
        <f>IFERROR(__xludf.DUMMYFUNCTION("""COMPUTED_VALUE"""),2178.0)</f>
        <v>2178</v>
      </c>
      <c r="C2460" s="10">
        <f>IFERROR(__xludf.DUMMYFUNCTION("""COMPUTED_VALUE"""),25595.0)</f>
        <v>25595</v>
      </c>
      <c r="D2460" s="5">
        <f>IFERROR(__xludf.DUMMYFUNCTION("""COMPUTED_VALUE"""),0.3475253021309305)</f>
        <v>0.3475253021</v>
      </c>
      <c r="E2460" s="5">
        <f>IFERROR(__xludf.DUMMYFUNCTION("""COMPUTED_VALUE"""),0.12943587991630012)</f>
        <v>0.1294358799</v>
      </c>
      <c r="F2460" s="5">
        <f>IFERROR(__xludf.DUMMYFUNCTION("""COMPUTED_VALUE"""),0.20903617030362556)</f>
        <v>0.2090361703</v>
      </c>
      <c r="G2460" s="5">
        <f>IFERROR(__xludf.DUMMYFUNCTION("""COMPUTED_VALUE"""),0.1599265490882692)</f>
        <v>0.1599265491</v>
      </c>
      <c r="H2460" s="5">
        <f>IFERROR(__xludf.DUMMYFUNCTION("""COMPUTED_VALUE"""),0.5895812053115423)</f>
        <v>0.5895812053</v>
      </c>
      <c r="I2460" s="11">
        <f>IFERROR(__xludf.DUMMYFUNCTION("""COMPUTED_VALUE"""),5587.9468845760985)</f>
        <v>5587.946885</v>
      </c>
      <c r="J2460" s="10">
        <f>IFERROR(__xludf.DUMMYFUNCTION("""COMPUTED_VALUE"""),5.0)</f>
        <v>5</v>
      </c>
      <c r="K2460" s="5">
        <f>IFERROR(__xludf.DUMMYFUNCTION("""COMPUTED_VALUE"""),0.002295684113865932)</f>
        <v>0.002295684114</v>
      </c>
      <c r="L2460" s="10">
        <f>IFERROR(__xludf.DUMMYFUNCTION("""COMPUTED_VALUE"""),2178.0)</f>
        <v>2178</v>
      </c>
      <c r="M2460" s="5">
        <f>IFERROR(__xludf.DUMMYFUNCTION("""COMPUTED_VALUE"""),1.0)</f>
        <v>1</v>
      </c>
    </row>
    <row r="2461">
      <c r="A2461" s="10" t="str">
        <f>IFERROR(__xludf.DUMMYFUNCTION("""COMPUTED_VALUE"""),"apopoi")</f>
        <v>apopoi</v>
      </c>
      <c r="B2461" s="10">
        <f>IFERROR(__xludf.DUMMYFUNCTION("""COMPUTED_VALUE"""),172.0)</f>
        <v>172</v>
      </c>
      <c r="C2461" s="10">
        <f>IFERROR(__xludf.DUMMYFUNCTION("""COMPUTED_VALUE"""),2011.0)</f>
        <v>2011</v>
      </c>
      <c r="D2461" s="5">
        <f>IFERROR(__xludf.DUMMYFUNCTION("""COMPUTED_VALUE"""),0.2642740619902121)</f>
        <v>0.264274062</v>
      </c>
      <c r="E2461" s="5">
        <f>IFERROR(__xludf.DUMMYFUNCTION("""COMPUTED_VALUE"""),0.12941816204458945)</f>
        <v>0.129418162</v>
      </c>
      <c r="F2461" s="5">
        <f>IFERROR(__xludf.DUMMYFUNCTION("""COMPUTED_VALUE"""),0.2011963023382273)</f>
        <v>0.2011963023</v>
      </c>
      <c r="G2461" s="5">
        <f>IFERROR(__xludf.DUMMYFUNCTION("""COMPUTED_VALUE"""),0.1789015769439913)</f>
        <v>0.1789015769</v>
      </c>
      <c r="H2461" s="5">
        <f>IFERROR(__xludf.DUMMYFUNCTION("""COMPUTED_VALUE"""),0.5891891891891892)</f>
        <v>0.5891891892</v>
      </c>
      <c r="I2461" s="11">
        <f>IFERROR(__xludf.DUMMYFUNCTION("""COMPUTED_VALUE"""),5727.2972972972975)</f>
        <v>5727.297297</v>
      </c>
      <c r="J2461" s="10">
        <f>IFERROR(__xludf.DUMMYFUNCTION("""COMPUTED_VALUE"""),0.0)</f>
        <v>0</v>
      </c>
      <c r="K2461" s="5">
        <f>IFERROR(__xludf.DUMMYFUNCTION("""COMPUTED_VALUE"""),0.0)</f>
        <v>0</v>
      </c>
      <c r="L2461" s="10">
        <f>IFERROR(__xludf.DUMMYFUNCTION("""COMPUTED_VALUE"""),172.0)</f>
        <v>172</v>
      </c>
      <c r="M2461" s="5">
        <f>IFERROR(__xludf.DUMMYFUNCTION("""COMPUTED_VALUE"""),1.0)</f>
        <v>1</v>
      </c>
    </row>
    <row r="2462">
      <c r="A2462" s="10" t="str">
        <f>IFERROR(__xludf.DUMMYFUNCTION("""COMPUTED_VALUE"""),"倉橋＠事務")</f>
        <v>倉橋＠事務</v>
      </c>
      <c r="B2462" s="10">
        <f>IFERROR(__xludf.DUMMYFUNCTION("""COMPUTED_VALUE"""),2994.0)</f>
        <v>2994</v>
      </c>
      <c r="C2462" s="10">
        <f>IFERROR(__xludf.DUMMYFUNCTION("""COMPUTED_VALUE"""),35039.0)</f>
        <v>35039</v>
      </c>
      <c r="D2462" s="5">
        <f>IFERROR(__xludf.DUMMYFUNCTION("""COMPUTED_VALUE"""),0.3109377437977844)</f>
        <v>0.3109377438</v>
      </c>
      <c r="E2462" s="5">
        <f>IFERROR(__xludf.DUMMYFUNCTION("""COMPUTED_VALUE"""),0.12941176470588237)</f>
        <v>0.1294117647</v>
      </c>
      <c r="F2462" s="5">
        <f>IFERROR(__xludf.DUMMYFUNCTION("""COMPUTED_VALUE"""),0.20333905445467312)</f>
        <v>0.2033390545</v>
      </c>
      <c r="G2462" s="5">
        <f>IFERROR(__xludf.DUMMYFUNCTION("""COMPUTED_VALUE"""),0.1909814323607427)</f>
        <v>0.1909814324</v>
      </c>
      <c r="H2462" s="5">
        <f>IFERROR(__xludf.DUMMYFUNCTION("""COMPUTED_VALUE"""),0.5860957642725598)</f>
        <v>0.5860957643</v>
      </c>
      <c r="I2462" s="11">
        <f>IFERROR(__xludf.DUMMYFUNCTION("""COMPUTED_VALUE"""),5943.937998772253)</f>
        <v>5943.937999</v>
      </c>
      <c r="J2462" s="10">
        <f>IFERROR(__xludf.DUMMYFUNCTION("""COMPUTED_VALUE"""),8.0)</f>
        <v>8</v>
      </c>
      <c r="K2462" s="5">
        <f>IFERROR(__xludf.DUMMYFUNCTION("""COMPUTED_VALUE"""),0.0026720106880427524)</f>
        <v>0.002672010688</v>
      </c>
      <c r="L2462" s="10">
        <f>IFERROR(__xludf.DUMMYFUNCTION("""COMPUTED_VALUE"""),2958.0)</f>
        <v>2958</v>
      </c>
      <c r="M2462" s="5">
        <f>IFERROR(__xludf.DUMMYFUNCTION("""COMPUTED_VALUE"""),0.9879759519038076)</f>
        <v>0.9879759519</v>
      </c>
    </row>
    <row r="2463">
      <c r="A2463" s="10" t="str">
        <f>IFERROR(__xludf.DUMMYFUNCTION("""COMPUTED_VALUE"""),"Gurenn")</f>
        <v>Gurenn</v>
      </c>
      <c r="B2463" s="10">
        <f>IFERROR(__xludf.DUMMYFUNCTION("""COMPUTED_VALUE"""),841.0)</f>
        <v>841</v>
      </c>
      <c r="C2463" s="10">
        <f>IFERROR(__xludf.DUMMYFUNCTION("""COMPUTED_VALUE"""),9944.0)</f>
        <v>9944</v>
      </c>
      <c r="D2463" s="5">
        <f>IFERROR(__xludf.DUMMYFUNCTION("""COMPUTED_VALUE"""),0.37657914973085793)</f>
        <v>0.3765791497</v>
      </c>
      <c r="E2463" s="5">
        <f>IFERROR(__xludf.DUMMYFUNCTION("""COMPUTED_VALUE"""),0.1294078875096122)</f>
        <v>0.1294078875</v>
      </c>
      <c r="F2463" s="5">
        <f>IFERROR(__xludf.DUMMYFUNCTION("""COMPUTED_VALUE"""),0.21608261012852906)</f>
        <v>0.2160826101</v>
      </c>
      <c r="G2463" s="5">
        <f>IFERROR(__xludf.DUMMYFUNCTION("""COMPUTED_VALUE"""),0.17576623091288587)</f>
        <v>0.1757662309</v>
      </c>
      <c r="H2463" s="5">
        <f>IFERROR(__xludf.DUMMYFUNCTION("""COMPUTED_VALUE"""),0.6110828673106253)</f>
        <v>0.6110828673</v>
      </c>
      <c r="I2463" s="11">
        <f>IFERROR(__xludf.DUMMYFUNCTION("""COMPUTED_VALUE"""),5290.899847483477)</f>
        <v>5290.899847</v>
      </c>
      <c r="J2463" s="10">
        <f>IFERROR(__xludf.DUMMYFUNCTION("""COMPUTED_VALUE"""),0.0)</f>
        <v>0</v>
      </c>
      <c r="K2463" s="5">
        <f>IFERROR(__xludf.DUMMYFUNCTION("""COMPUTED_VALUE"""),0.0)</f>
        <v>0</v>
      </c>
      <c r="L2463" s="10">
        <f>IFERROR(__xludf.DUMMYFUNCTION("""COMPUTED_VALUE"""),841.0)</f>
        <v>841</v>
      </c>
      <c r="M2463" s="5">
        <f>IFERROR(__xludf.DUMMYFUNCTION("""COMPUTED_VALUE"""),1.0)</f>
        <v>1</v>
      </c>
    </row>
    <row r="2464">
      <c r="A2464" s="10" t="str">
        <f>IFERROR(__xludf.DUMMYFUNCTION("""COMPUTED_VALUE"""),"みさお")</f>
        <v>みさお</v>
      </c>
      <c r="B2464" s="10">
        <f>IFERROR(__xludf.DUMMYFUNCTION("""COMPUTED_VALUE"""),606.0)</f>
        <v>606</v>
      </c>
      <c r="C2464" s="10">
        <f>IFERROR(__xludf.DUMMYFUNCTION("""COMPUTED_VALUE"""),7059.0)</f>
        <v>7059</v>
      </c>
      <c r="D2464" s="5">
        <f>IFERROR(__xludf.DUMMYFUNCTION("""COMPUTED_VALUE"""),0.21199442119944212)</f>
        <v>0.2119944212</v>
      </c>
      <c r="E2464" s="5">
        <f>IFERROR(__xludf.DUMMYFUNCTION("""COMPUTED_VALUE"""),0.12939717960638464)</f>
        <v>0.1293971796</v>
      </c>
      <c r="F2464" s="5">
        <f>IFERROR(__xludf.DUMMYFUNCTION("""COMPUTED_VALUE"""),0.17356268402293507)</f>
        <v>0.173562684</v>
      </c>
      <c r="G2464" s="5">
        <f>IFERROR(__xludf.DUMMYFUNCTION("""COMPUTED_VALUE"""),0.17263288392995507)</f>
        <v>0.1726328839</v>
      </c>
      <c r="H2464" s="5">
        <f>IFERROR(__xludf.DUMMYFUNCTION("""COMPUTED_VALUE"""),0.5821428571428572)</f>
        <v>0.5821428571</v>
      </c>
      <c r="I2464" s="11">
        <f>IFERROR(__xludf.DUMMYFUNCTION("""COMPUTED_VALUE"""),6907.589285714285)</f>
        <v>6907.589286</v>
      </c>
      <c r="J2464" s="10">
        <f>IFERROR(__xludf.DUMMYFUNCTION("""COMPUTED_VALUE"""),1.0)</f>
        <v>1</v>
      </c>
      <c r="K2464" s="5">
        <f>IFERROR(__xludf.DUMMYFUNCTION("""COMPUTED_VALUE"""),0.0016501650165016502)</f>
        <v>0.001650165017</v>
      </c>
      <c r="L2464" s="10">
        <f>IFERROR(__xludf.DUMMYFUNCTION("""COMPUTED_VALUE"""),0.0)</f>
        <v>0</v>
      </c>
      <c r="M2464" s="5">
        <f>IFERROR(__xludf.DUMMYFUNCTION("""COMPUTED_VALUE"""),0.0)</f>
        <v>0</v>
      </c>
    </row>
    <row r="2465">
      <c r="A2465" s="10" t="str">
        <f>IFERROR(__xludf.DUMMYFUNCTION("""COMPUTED_VALUE"""),"つぼみ。")</f>
        <v>つぼみ。</v>
      </c>
      <c r="B2465" s="10">
        <f>IFERROR(__xludf.DUMMYFUNCTION("""COMPUTED_VALUE"""),347.0)</f>
        <v>347</v>
      </c>
      <c r="C2465" s="10">
        <f>IFERROR(__xludf.DUMMYFUNCTION("""COMPUTED_VALUE"""),4065.0)</f>
        <v>4065</v>
      </c>
      <c r="D2465" s="5">
        <f>IFERROR(__xludf.DUMMYFUNCTION("""COMPUTED_VALUE"""),0.36363636363636365)</f>
        <v>0.3636363636</v>
      </c>
      <c r="E2465" s="5">
        <f>IFERROR(__xludf.DUMMYFUNCTION("""COMPUTED_VALUE"""),0.12937062937062938)</f>
        <v>0.1293706294</v>
      </c>
      <c r="F2465" s="5">
        <f>IFERROR(__xludf.DUMMYFUNCTION("""COMPUTED_VALUE"""),0.22189349112426035)</f>
        <v>0.2218934911</v>
      </c>
      <c r="G2465" s="5">
        <f>IFERROR(__xludf.DUMMYFUNCTION("""COMPUTED_VALUE"""),0.19768692845615923)</f>
        <v>0.1976869285</v>
      </c>
      <c r="H2465" s="5">
        <f>IFERROR(__xludf.DUMMYFUNCTION("""COMPUTED_VALUE"""),0.6121212121212121)</f>
        <v>0.6121212121</v>
      </c>
      <c r="I2465" s="11">
        <f>IFERROR(__xludf.DUMMYFUNCTION("""COMPUTED_VALUE"""),5671.272727272727)</f>
        <v>5671.272727</v>
      </c>
      <c r="J2465" s="10">
        <f>IFERROR(__xludf.DUMMYFUNCTION("""COMPUTED_VALUE"""),0.0)</f>
        <v>0</v>
      </c>
      <c r="K2465" s="5">
        <f>IFERROR(__xludf.DUMMYFUNCTION("""COMPUTED_VALUE"""),0.0)</f>
        <v>0</v>
      </c>
      <c r="L2465" s="10">
        <f>IFERROR(__xludf.DUMMYFUNCTION("""COMPUTED_VALUE"""),347.0)</f>
        <v>347</v>
      </c>
      <c r="M2465" s="5">
        <f>IFERROR(__xludf.DUMMYFUNCTION("""COMPUTED_VALUE"""),1.0)</f>
        <v>1</v>
      </c>
    </row>
    <row r="2466">
      <c r="A2466" s="10" t="str">
        <f>IFERROR(__xludf.DUMMYFUNCTION("""COMPUTED_VALUE"""),"けん1970")</f>
        <v>けん1970</v>
      </c>
      <c r="B2466" s="10">
        <f>IFERROR(__xludf.DUMMYFUNCTION("""COMPUTED_VALUE"""),6678.0)</f>
        <v>6678</v>
      </c>
      <c r="C2466" s="10">
        <f>IFERROR(__xludf.DUMMYFUNCTION("""COMPUTED_VALUE"""),79021.0)</f>
        <v>79021</v>
      </c>
      <c r="D2466" s="5">
        <f>IFERROR(__xludf.DUMMYFUNCTION("""COMPUTED_VALUE"""),0.30815697441355766)</f>
        <v>0.3081569744</v>
      </c>
      <c r="E2466" s="5">
        <f>IFERROR(__xludf.DUMMYFUNCTION("""COMPUTED_VALUE"""),0.12936980772154874)</f>
        <v>0.1293698077</v>
      </c>
      <c r="F2466" s="5">
        <f>IFERROR(__xludf.DUMMYFUNCTION("""COMPUTED_VALUE"""),0.2067097023900032)</f>
        <v>0.2067097024</v>
      </c>
      <c r="G2466" s="5">
        <f>IFERROR(__xludf.DUMMYFUNCTION("""COMPUTED_VALUE"""),0.15220546562901732)</f>
        <v>0.1522054656</v>
      </c>
      <c r="H2466" s="5">
        <f>IFERROR(__xludf.DUMMYFUNCTION("""COMPUTED_VALUE"""),0.6023806339440952)</f>
        <v>0.6023806339</v>
      </c>
      <c r="I2466" s="11">
        <f>IFERROR(__xludf.DUMMYFUNCTION("""COMPUTED_VALUE"""),5807.690250100308)</f>
        <v>5807.69025</v>
      </c>
      <c r="J2466" s="10">
        <f>IFERROR(__xludf.DUMMYFUNCTION("""COMPUTED_VALUE"""),18.0)</f>
        <v>18</v>
      </c>
      <c r="K2466" s="5">
        <f>IFERROR(__xludf.DUMMYFUNCTION("""COMPUTED_VALUE"""),0.0026954177897574125)</f>
        <v>0.00269541779</v>
      </c>
      <c r="L2466" s="10">
        <f>IFERROR(__xludf.DUMMYFUNCTION("""COMPUTED_VALUE"""),6678.0)</f>
        <v>6678</v>
      </c>
      <c r="M2466" s="5">
        <f>IFERROR(__xludf.DUMMYFUNCTION("""COMPUTED_VALUE"""),1.0)</f>
        <v>1</v>
      </c>
    </row>
    <row r="2467">
      <c r="A2467" s="10" t="str">
        <f>IFERROR(__xludf.DUMMYFUNCTION("""COMPUTED_VALUE"""),"もじゃもじゃ")</f>
        <v>もじゃもじゃ</v>
      </c>
      <c r="B2467" s="10">
        <f>IFERROR(__xludf.DUMMYFUNCTION("""COMPUTED_VALUE"""),210.0)</f>
        <v>210</v>
      </c>
      <c r="C2467" s="10">
        <f>IFERROR(__xludf.DUMMYFUNCTION("""COMPUTED_VALUE"""),2444.0)</f>
        <v>2444</v>
      </c>
      <c r="D2467" s="5">
        <f>IFERROR(__xludf.DUMMYFUNCTION("""COMPUTED_VALUE"""),0.2981199641897941)</f>
        <v>0.2981199642</v>
      </c>
      <c r="E2467" s="5">
        <f>IFERROR(__xludf.DUMMYFUNCTION("""COMPUTED_VALUE"""),0.12936436884512087)</f>
        <v>0.1293643688</v>
      </c>
      <c r="F2467" s="5">
        <f>IFERROR(__xludf.DUMMYFUNCTION("""COMPUTED_VALUE"""),0.19382273948075202)</f>
        <v>0.1938227395</v>
      </c>
      <c r="G2467" s="5">
        <f>IFERROR(__xludf.DUMMYFUNCTION("""COMPUTED_VALUE"""),0.18487018800358102)</f>
        <v>0.184870188</v>
      </c>
      <c r="H2467" s="5">
        <f>IFERROR(__xludf.DUMMYFUNCTION("""COMPUTED_VALUE"""),0.581986143187067)</f>
        <v>0.5819861432</v>
      </c>
      <c r="I2467" s="11">
        <f>IFERROR(__xludf.DUMMYFUNCTION("""COMPUTED_VALUE"""),6251.039260969977)</f>
        <v>6251.039261</v>
      </c>
      <c r="J2467" s="10">
        <f>IFERROR(__xludf.DUMMYFUNCTION("""COMPUTED_VALUE"""),0.0)</f>
        <v>0</v>
      </c>
      <c r="K2467" s="5">
        <f>IFERROR(__xludf.DUMMYFUNCTION("""COMPUTED_VALUE"""),0.0)</f>
        <v>0</v>
      </c>
      <c r="L2467" s="10">
        <f>IFERROR(__xludf.DUMMYFUNCTION("""COMPUTED_VALUE"""),210.0)</f>
        <v>210</v>
      </c>
      <c r="M2467" s="5">
        <f>IFERROR(__xludf.DUMMYFUNCTION("""COMPUTED_VALUE"""),1.0)</f>
        <v>1</v>
      </c>
    </row>
    <row r="2468">
      <c r="A2468" s="10" t="str">
        <f>IFERROR(__xludf.DUMMYFUNCTION("""COMPUTED_VALUE"""),"ロンより証拠")</f>
        <v>ロンより証拠</v>
      </c>
      <c r="B2468" s="10">
        <f>IFERROR(__xludf.DUMMYFUNCTION("""COMPUTED_VALUE"""),2226.0)</f>
        <v>2226</v>
      </c>
      <c r="C2468" s="10">
        <f>IFERROR(__xludf.DUMMYFUNCTION("""COMPUTED_VALUE"""),26176.0)</f>
        <v>26176</v>
      </c>
      <c r="D2468" s="5">
        <f>IFERROR(__xludf.DUMMYFUNCTION("""COMPUTED_VALUE"""),0.22396659707724426)</f>
        <v>0.2239665971</v>
      </c>
      <c r="E2468" s="5">
        <f>IFERROR(__xludf.DUMMYFUNCTION("""COMPUTED_VALUE"""),0.1293528183716075)</f>
        <v>0.1293528184</v>
      </c>
      <c r="F2468" s="5">
        <f>IFERROR(__xludf.DUMMYFUNCTION("""COMPUTED_VALUE"""),0.20663883089770355)</f>
        <v>0.2066388309</v>
      </c>
      <c r="G2468" s="5">
        <f>IFERROR(__xludf.DUMMYFUNCTION("""COMPUTED_VALUE"""),0.1746972860125261)</f>
        <v>0.174697286</v>
      </c>
      <c r="H2468" s="5">
        <f>IFERROR(__xludf.DUMMYFUNCTION("""COMPUTED_VALUE"""),0.5962820771873105)</f>
        <v>0.5962820772</v>
      </c>
      <c r="I2468" s="11">
        <f>IFERROR(__xludf.DUMMYFUNCTION("""COMPUTED_VALUE"""),6004.081632653061)</f>
        <v>6004.081633</v>
      </c>
      <c r="J2468" s="10">
        <f>IFERROR(__xludf.DUMMYFUNCTION("""COMPUTED_VALUE"""),2.0)</f>
        <v>2</v>
      </c>
      <c r="K2468" s="5">
        <f>IFERROR(__xludf.DUMMYFUNCTION("""COMPUTED_VALUE"""),8.984725965858042E-4)</f>
        <v>0.0008984725966</v>
      </c>
      <c r="L2468" s="10">
        <f>IFERROR(__xludf.DUMMYFUNCTION("""COMPUTED_VALUE"""),2226.0)</f>
        <v>2226</v>
      </c>
      <c r="M2468" s="5">
        <f>IFERROR(__xludf.DUMMYFUNCTION("""COMPUTED_VALUE"""),1.0)</f>
        <v>1</v>
      </c>
    </row>
    <row r="2469">
      <c r="A2469" s="10" t="str">
        <f>IFERROR(__xludf.DUMMYFUNCTION("""COMPUTED_VALUE"""),"やまかい")</f>
        <v>やまかい</v>
      </c>
      <c r="B2469" s="10">
        <f>IFERROR(__xludf.DUMMYFUNCTION("""COMPUTED_VALUE"""),876.0)</f>
        <v>876</v>
      </c>
      <c r="C2469" s="10">
        <f>IFERROR(__xludf.DUMMYFUNCTION("""COMPUTED_VALUE"""),10238.0)</f>
        <v>10238</v>
      </c>
      <c r="D2469" s="5">
        <f>IFERROR(__xludf.DUMMYFUNCTION("""COMPUTED_VALUE"""),0.35697500534073917)</f>
        <v>0.3569750053</v>
      </c>
      <c r="E2469" s="5">
        <f>IFERROR(__xludf.DUMMYFUNCTION("""COMPUTED_VALUE"""),0.1293527024140141)</f>
        <v>0.1293527024</v>
      </c>
      <c r="F2469" s="5">
        <f>IFERROR(__xludf.DUMMYFUNCTION("""COMPUTED_VALUE"""),0.21897030549027985)</f>
        <v>0.2189703055</v>
      </c>
      <c r="G2469" s="5">
        <f>IFERROR(__xludf.DUMMYFUNCTION("""COMPUTED_VALUE"""),0.19718008972441786)</f>
        <v>0.1971800897</v>
      </c>
      <c r="H2469" s="5">
        <f>IFERROR(__xludf.DUMMYFUNCTION("""COMPUTED_VALUE"""),0.5965853658536585)</f>
        <v>0.5965853659</v>
      </c>
      <c r="I2469" s="11">
        <f>IFERROR(__xludf.DUMMYFUNCTION("""COMPUTED_VALUE"""),5634.390243902439)</f>
        <v>5634.390244</v>
      </c>
      <c r="J2469" s="10">
        <f>IFERROR(__xludf.DUMMYFUNCTION("""COMPUTED_VALUE"""),0.0)</f>
        <v>0</v>
      </c>
      <c r="K2469" s="5">
        <f>IFERROR(__xludf.DUMMYFUNCTION("""COMPUTED_VALUE"""),0.0)</f>
        <v>0</v>
      </c>
      <c r="L2469" s="10">
        <f>IFERROR(__xludf.DUMMYFUNCTION("""COMPUTED_VALUE"""),876.0)</f>
        <v>876</v>
      </c>
      <c r="M2469" s="5">
        <f>IFERROR(__xludf.DUMMYFUNCTION("""COMPUTED_VALUE"""),1.0)</f>
        <v>1</v>
      </c>
    </row>
    <row r="2470">
      <c r="A2470" s="10" t="str">
        <f>IFERROR(__xludf.DUMMYFUNCTION("""COMPUTED_VALUE"""),"ブッパ神")</f>
        <v>ブッパ神</v>
      </c>
      <c r="B2470" s="10">
        <f>IFERROR(__xludf.DUMMYFUNCTION("""COMPUTED_VALUE"""),631.0)</f>
        <v>631</v>
      </c>
      <c r="C2470" s="10">
        <f>IFERROR(__xludf.DUMMYFUNCTION("""COMPUTED_VALUE"""),7412.0)</f>
        <v>7412</v>
      </c>
      <c r="D2470" s="5">
        <f>IFERROR(__xludf.DUMMYFUNCTION("""COMPUTED_VALUE"""),0.2701666420881876)</f>
        <v>0.2701666421</v>
      </c>
      <c r="E2470" s="5">
        <f>IFERROR(__xludf.DUMMYFUNCTION("""COMPUTED_VALUE"""),0.12933195693850463)</f>
        <v>0.1293319569</v>
      </c>
      <c r="F2470" s="5">
        <f>IFERROR(__xludf.DUMMYFUNCTION("""COMPUTED_VALUE"""),0.2067541660522047)</f>
        <v>0.2067541661</v>
      </c>
      <c r="G2470" s="5">
        <f>IFERROR(__xludf.DUMMYFUNCTION("""COMPUTED_VALUE"""),0.1902374281079487)</f>
        <v>0.1902374281</v>
      </c>
      <c r="H2470" s="5">
        <f>IFERROR(__xludf.DUMMYFUNCTION("""COMPUTED_VALUE"""),0.6005706134094151)</f>
        <v>0.6005706134</v>
      </c>
      <c r="I2470" s="11">
        <f>IFERROR(__xludf.DUMMYFUNCTION("""COMPUTED_VALUE"""),5908.131241084166)</f>
        <v>5908.131241</v>
      </c>
      <c r="J2470" s="10">
        <f>IFERROR(__xludf.DUMMYFUNCTION("""COMPUTED_VALUE"""),4.0)</f>
        <v>4</v>
      </c>
      <c r="K2470" s="5">
        <f>IFERROR(__xludf.DUMMYFUNCTION("""COMPUTED_VALUE"""),0.006339144215530904)</f>
        <v>0.006339144216</v>
      </c>
      <c r="L2470" s="10">
        <f>IFERROR(__xludf.DUMMYFUNCTION("""COMPUTED_VALUE"""),631.0)</f>
        <v>631</v>
      </c>
      <c r="M2470" s="5">
        <f>IFERROR(__xludf.DUMMYFUNCTION("""COMPUTED_VALUE"""),1.0)</f>
        <v>1</v>
      </c>
    </row>
    <row r="2471">
      <c r="A2471" s="10" t="str">
        <f>IFERROR(__xludf.DUMMYFUNCTION("""COMPUTED_VALUE"""),"matigusa")</f>
        <v>matigusa</v>
      </c>
      <c r="B2471" s="10">
        <f>IFERROR(__xludf.DUMMYFUNCTION("""COMPUTED_VALUE"""),528.0)</f>
        <v>528</v>
      </c>
      <c r="C2471" s="10">
        <f>IFERROR(__xludf.DUMMYFUNCTION("""COMPUTED_VALUE"""),6242.0)</f>
        <v>6242</v>
      </c>
      <c r="D2471" s="5">
        <f>IFERROR(__xludf.DUMMYFUNCTION("""COMPUTED_VALUE"""),0.3545677283864193)</f>
        <v>0.3545677284</v>
      </c>
      <c r="E2471" s="5">
        <f>IFERROR(__xludf.DUMMYFUNCTION("""COMPUTED_VALUE"""),0.12933146657332867)</f>
        <v>0.1293314666</v>
      </c>
      <c r="F2471" s="5">
        <f>IFERROR(__xludf.DUMMYFUNCTION("""COMPUTED_VALUE"""),0.21543577178858944)</f>
        <v>0.2154357718</v>
      </c>
      <c r="G2471" s="5">
        <f>IFERROR(__xludf.DUMMYFUNCTION("""COMPUTED_VALUE"""),0.15540777038851944)</f>
        <v>0.1554077704</v>
      </c>
      <c r="H2471" s="5">
        <f>IFERROR(__xludf.DUMMYFUNCTION("""COMPUTED_VALUE"""),0.6051990251827782)</f>
        <v>0.6051990252</v>
      </c>
      <c r="I2471" s="11">
        <f>IFERROR(__xludf.DUMMYFUNCTION("""COMPUTED_VALUE"""),5594.151096669374)</f>
        <v>5594.151097</v>
      </c>
      <c r="J2471" s="10">
        <f>IFERROR(__xludf.DUMMYFUNCTION("""COMPUTED_VALUE"""),3.0)</f>
        <v>3</v>
      </c>
      <c r="K2471" s="5">
        <f>IFERROR(__xludf.DUMMYFUNCTION("""COMPUTED_VALUE"""),0.005681818181818182)</f>
        <v>0.005681818182</v>
      </c>
      <c r="L2471" s="10">
        <f>IFERROR(__xludf.DUMMYFUNCTION("""COMPUTED_VALUE"""),373.0)</f>
        <v>373</v>
      </c>
      <c r="M2471" s="5">
        <f>IFERROR(__xludf.DUMMYFUNCTION("""COMPUTED_VALUE"""),0.7064393939393939)</f>
        <v>0.7064393939</v>
      </c>
    </row>
    <row r="2472">
      <c r="A2472" s="10" t="str">
        <f>IFERROR(__xludf.DUMMYFUNCTION("""COMPUTED_VALUE"""),"grat")</f>
        <v>grat</v>
      </c>
      <c r="B2472" s="10">
        <f>IFERROR(__xludf.DUMMYFUNCTION("""COMPUTED_VALUE"""),419.0)</f>
        <v>419</v>
      </c>
      <c r="C2472" s="10">
        <f>IFERROR(__xludf.DUMMYFUNCTION("""COMPUTED_VALUE"""),4950.0)</f>
        <v>4950</v>
      </c>
      <c r="D2472" s="5">
        <f>IFERROR(__xludf.DUMMYFUNCTION("""COMPUTED_VALUE"""),0.3723239902891194)</f>
        <v>0.3723239903</v>
      </c>
      <c r="E2472" s="5">
        <f>IFERROR(__xludf.DUMMYFUNCTION("""COMPUTED_VALUE"""),0.12933127344956963)</f>
        <v>0.1293312734</v>
      </c>
      <c r="F2472" s="5">
        <f>IFERROR(__xludf.DUMMYFUNCTION("""COMPUTED_VALUE"""),0.20635621275656588)</f>
        <v>0.2063562128</v>
      </c>
      <c r="G2472" s="5">
        <f>IFERROR(__xludf.DUMMYFUNCTION("""COMPUTED_VALUE"""),0.15449128227764292)</f>
        <v>0.1544912823</v>
      </c>
      <c r="H2472" s="5">
        <f>IFERROR(__xludf.DUMMYFUNCTION("""COMPUTED_VALUE"""),0.6010695187165775)</f>
        <v>0.6010695187</v>
      </c>
      <c r="I2472" s="11">
        <f>IFERROR(__xludf.DUMMYFUNCTION("""COMPUTED_VALUE"""),5202.459893048128)</f>
        <v>5202.459893</v>
      </c>
      <c r="J2472" s="10">
        <f>IFERROR(__xludf.DUMMYFUNCTION("""COMPUTED_VALUE"""),0.0)</f>
        <v>0</v>
      </c>
      <c r="K2472" s="5">
        <f>IFERROR(__xludf.DUMMYFUNCTION("""COMPUTED_VALUE"""),0.0)</f>
        <v>0</v>
      </c>
      <c r="L2472" s="10">
        <f>IFERROR(__xludf.DUMMYFUNCTION("""COMPUTED_VALUE"""),419.0)</f>
        <v>419</v>
      </c>
      <c r="M2472" s="5">
        <f>IFERROR(__xludf.DUMMYFUNCTION("""COMPUTED_VALUE"""),1.0)</f>
        <v>1</v>
      </c>
    </row>
    <row r="2473">
      <c r="A2473" s="10" t="str">
        <f>IFERROR(__xludf.DUMMYFUNCTION("""COMPUTED_VALUE"""),"リ７リ２")</f>
        <v>リ７リ２</v>
      </c>
      <c r="B2473" s="10">
        <f>IFERROR(__xludf.DUMMYFUNCTION("""COMPUTED_VALUE"""),454.0)</f>
        <v>454</v>
      </c>
      <c r="C2473" s="10">
        <f>IFERROR(__xludf.DUMMYFUNCTION("""COMPUTED_VALUE"""),5217.0)</f>
        <v>5217</v>
      </c>
      <c r="D2473" s="5">
        <f>IFERROR(__xludf.DUMMYFUNCTION("""COMPUTED_VALUE"""),0.30694940163762335)</f>
        <v>0.3069494016</v>
      </c>
      <c r="E2473" s="5">
        <f>IFERROR(__xludf.DUMMYFUNCTION("""COMPUTED_VALUE"""),0.12933025404157045)</f>
        <v>0.129330254</v>
      </c>
      <c r="F2473" s="5">
        <f>IFERROR(__xludf.DUMMYFUNCTION("""COMPUTED_VALUE"""),0.21352089019525508)</f>
        <v>0.2135208902</v>
      </c>
      <c r="G2473" s="5">
        <f>IFERROR(__xludf.DUMMYFUNCTION("""COMPUTED_VALUE"""),0.16187276926306948)</f>
        <v>0.1618727693</v>
      </c>
      <c r="H2473" s="5">
        <f>IFERROR(__xludf.DUMMYFUNCTION("""COMPUTED_VALUE"""),0.5939036381514258)</f>
        <v>0.5939036382</v>
      </c>
      <c r="I2473" s="11">
        <f>IFERROR(__xludf.DUMMYFUNCTION("""COMPUTED_VALUE"""),5692.133726647001)</f>
        <v>5692.133727</v>
      </c>
      <c r="J2473" s="10">
        <f>IFERROR(__xludf.DUMMYFUNCTION("""COMPUTED_VALUE"""),2.0)</f>
        <v>2</v>
      </c>
      <c r="K2473" s="5">
        <f>IFERROR(__xludf.DUMMYFUNCTION("""COMPUTED_VALUE"""),0.004405286343612335)</f>
        <v>0.004405286344</v>
      </c>
      <c r="L2473" s="10">
        <f>IFERROR(__xludf.DUMMYFUNCTION("""COMPUTED_VALUE"""),0.0)</f>
        <v>0</v>
      </c>
      <c r="M2473" s="5">
        <f>IFERROR(__xludf.DUMMYFUNCTION("""COMPUTED_VALUE"""),0.0)</f>
        <v>0</v>
      </c>
    </row>
    <row r="2474">
      <c r="A2474" s="10" t="str">
        <f>IFERROR(__xludf.DUMMYFUNCTION("""COMPUTED_VALUE"""),"mouw")</f>
        <v>mouw</v>
      </c>
      <c r="B2474" s="10">
        <f>IFERROR(__xludf.DUMMYFUNCTION("""COMPUTED_VALUE"""),1345.0)</f>
        <v>1345</v>
      </c>
      <c r="C2474" s="10">
        <f>IFERROR(__xludf.DUMMYFUNCTION("""COMPUTED_VALUE"""),15743.0)</f>
        <v>15743</v>
      </c>
      <c r="D2474" s="5">
        <f>IFERROR(__xludf.DUMMYFUNCTION("""COMPUTED_VALUE"""),0.36678705375746634)</f>
        <v>0.3667870538</v>
      </c>
      <c r="E2474" s="5">
        <f>IFERROR(__xludf.DUMMYFUNCTION("""COMPUTED_VALUE"""),0.12932351715516044)</f>
        <v>0.1293235172</v>
      </c>
      <c r="F2474" s="5">
        <f>IFERROR(__xludf.DUMMYFUNCTION("""COMPUTED_VALUE"""),0.20009723572718432)</f>
        <v>0.2000972357</v>
      </c>
      <c r="G2474" s="5">
        <f>IFERROR(__xludf.DUMMYFUNCTION("""COMPUTED_VALUE"""),0.1834977080150021)</f>
        <v>0.183497708</v>
      </c>
      <c r="H2474" s="5">
        <f>IFERROR(__xludf.DUMMYFUNCTION("""COMPUTED_VALUE"""),0.5907670947587643)</f>
        <v>0.5907670948</v>
      </c>
      <c r="I2474" s="11">
        <f>IFERROR(__xludf.DUMMYFUNCTION("""COMPUTED_VALUE"""),6020.6525511975005)</f>
        <v>6020.652551</v>
      </c>
      <c r="J2474" s="10">
        <f>IFERROR(__xludf.DUMMYFUNCTION("""COMPUTED_VALUE"""),4.0)</f>
        <v>4</v>
      </c>
      <c r="K2474" s="5">
        <f>IFERROR(__xludf.DUMMYFUNCTION("""COMPUTED_VALUE"""),0.002973977695167286)</f>
        <v>0.002973977695</v>
      </c>
      <c r="L2474" s="10">
        <f>IFERROR(__xludf.DUMMYFUNCTION("""COMPUTED_VALUE"""),1345.0)</f>
        <v>1345</v>
      </c>
      <c r="M2474" s="5">
        <f>IFERROR(__xludf.DUMMYFUNCTION("""COMPUTED_VALUE"""),1.0)</f>
        <v>1</v>
      </c>
    </row>
    <row r="2475">
      <c r="A2475" s="10" t="str">
        <f>IFERROR(__xludf.DUMMYFUNCTION("""COMPUTED_VALUE"""),"釘宮病患者")</f>
        <v>釘宮病患者</v>
      </c>
      <c r="B2475" s="10">
        <f>IFERROR(__xludf.DUMMYFUNCTION("""COMPUTED_VALUE"""),1237.0)</f>
        <v>1237</v>
      </c>
      <c r="C2475" s="10">
        <f>IFERROR(__xludf.DUMMYFUNCTION("""COMPUTED_VALUE"""),14352.0)</f>
        <v>14352</v>
      </c>
      <c r="D2475" s="5">
        <f>IFERROR(__xludf.DUMMYFUNCTION("""COMPUTED_VALUE"""),0.38436904308044223)</f>
        <v>0.3843690431</v>
      </c>
      <c r="E2475" s="5">
        <f>IFERROR(__xludf.DUMMYFUNCTION("""COMPUTED_VALUE"""),0.1293175752954632)</f>
        <v>0.1293175753</v>
      </c>
      <c r="F2475" s="5">
        <f>IFERROR(__xludf.DUMMYFUNCTION("""COMPUTED_VALUE"""),0.22417079679756005)</f>
        <v>0.2241707968</v>
      </c>
      <c r="G2475" s="5">
        <f>IFERROR(__xludf.DUMMYFUNCTION("""COMPUTED_VALUE"""),0.15935951200914983)</f>
        <v>0.159359512</v>
      </c>
      <c r="H2475" s="5">
        <f>IFERROR(__xludf.DUMMYFUNCTION("""COMPUTED_VALUE"""),0.5908163265306122)</f>
        <v>0.5908163265</v>
      </c>
      <c r="I2475" s="11">
        <f>IFERROR(__xludf.DUMMYFUNCTION("""COMPUTED_VALUE"""),5583.197278911564)</f>
        <v>5583.197279</v>
      </c>
      <c r="J2475" s="10">
        <f>IFERROR(__xludf.DUMMYFUNCTION("""COMPUTED_VALUE"""),4.0)</f>
        <v>4</v>
      </c>
      <c r="K2475" s="5">
        <f>IFERROR(__xludf.DUMMYFUNCTION("""COMPUTED_VALUE"""),0.0032336297493936943)</f>
        <v>0.003233629749</v>
      </c>
      <c r="L2475" s="10">
        <f>IFERROR(__xludf.DUMMYFUNCTION("""COMPUTED_VALUE"""),207.0)</f>
        <v>207</v>
      </c>
      <c r="M2475" s="5">
        <f>IFERROR(__xludf.DUMMYFUNCTION("""COMPUTED_VALUE"""),0.16734033953112368)</f>
        <v>0.1673403395</v>
      </c>
    </row>
    <row r="2476">
      <c r="A2476" s="10" t="str">
        <f>IFERROR(__xludf.DUMMYFUNCTION("""COMPUTED_VALUE"""),"ねお・じゃっきー")</f>
        <v>ねお・じゃっきー</v>
      </c>
      <c r="B2476" s="10">
        <f>IFERROR(__xludf.DUMMYFUNCTION("""COMPUTED_VALUE"""),202.0)</f>
        <v>202</v>
      </c>
      <c r="C2476" s="10">
        <f>IFERROR(__xludf.DUMMYFUNCTION("""COMPUTED_VALUE"""),2375.0)</f>
        <v>2375</v>
      </c>
      <c r="D2476" s="5">
        <f>IFERROR(__xludf.DUMMYFUNCTION("""COMPUTED_VALUE"""),0.3041877588587207)</f>
        <v>0.3041877589</v>
      </c>
      <c r="E2476" s="5">
        <f>IFERROR(__xludf.DUMMYFUNCTION("""COMPUTED_VALUE"""),0.12931431201104465)</f>
        <v>0.129314312</v>
      </c>
      <c r="F2476" s="5">
        <f>IFERROR(__xludf.DUMMYFUNCTION("""COMPUTED_VALUE"""),0.2052462034054303)</f>
        <v>0.2052462034</v>
      </c>
      <c r="G2476" s="5">
        <f>IFERROR(__xludf.DUMMYFUNCTION("""COMPUTED_VALUE"""),0.1785549930971008)</f>
        <v>0.1785549931</v>
      </c>
      <c r="H2476" s="5">
        <f>IFERROR(__xludf.DUMMYFUNCTION("""COMPUTED_VALUE"""),0.6098654708520179)</f>
        <v>0.6098654709</v>
      </c>
      <c r="I2476" s="11">
        <f>IFERROR(__xludf.DUMMYFUNCTION("""COMPUTED_VALUE"""),5410.538116591928)</f>
        <v>5410.538117</v>
      </c>
      <c r="J2476" s="10">
        <f>IFERROR(__xludf.DUMMYFUNCTION("""COMPUTED_VALUE"""),0.0)</f>
        <v>0</v>
      </c>
      <c r="K2476" s="5">
        <f>IFERROR(__xludf.DUMMYFUNCTION("""COMPUTED_VALUE"""),0.0)</f>
        <v>0</v>
      </c>
      <c r="L2476" s="10">
        <f>IFERROR(__xludf.DUMMYFUNCTION("""COMPUTED_VALUE"""),202.0)</f>
        <v>202</v>
      </c>
      <c r="M2476" s="5">
        <f>IFERROR(__xludf.DUMMYFUNCTION("""COMPUTED_VALUE"""),1.0)</f>
        <v>1</v>
      </c>
    </row>
    <row r="2477">
      <c r="A2477" s="10" t="str">
        <f>IFERROR(__xludf.DUMMYFUNCTION("""COMPUTED_VALUE"""),"youalpha")</f>
        <v>youalpha</v>
      </c>
      <c r="B2477" s="10">
        <f>IFERROR(__xludf.DUMMYFUNCTION("""COMPUTED_VALUE"""),1653.0)</f>
        <v>1653</v>
      </c>
      <c r="C2477" s="10">
        <f>IFERROR(__xludf.DUMMYFUNCTION("""COMPUTED_VALUE"""),19234.0)</f>
        <v>19234</v>
      </c>
      <c r="D2477" s="5">
        <f>IFERROR(__xludf.DUMMYFUNCTION("""COMPUTED_VALUE"""),0.37802172800182016)</f>
        <v>0.378021728</v>
      </c>
      <c r="E2477" s="5">
        <f>IFERROR(__xludf.DUMMYFUNCTION("""COMPUTED_VALUE"""),0.12928729878846482)</f>
        <v>0.1292872988</v>
      </c>
      <c r="F2477" s="5">
        <f>IFERROR(__xludf.DUMMYFUNCTION("""COMPUTED_VALUE"""),0.21454979807747)</f>
        <v>0.2145497981</v>
      </c>
      <c r="G2477" s="5">
        <f>IFERROR(__xludf.DUMMYFUNCTION("""COMPUTED_VALUE"""),0.18144587907400034)</f>
        <v>0.1814458791</v>
      </c>
      <c r="H2477" s="5">
        <f>IFERROR(__xludf.DUMMYFUNCTION("""COMPUTED_VALUE"""),0.5986214209968187)</f>
        <v>0.598621421</v>
      </c>
      <c r="I2477" s="11">
        <f>IFERROR(__xludf.DUMMYFUNCTION("""COMPUTED_VALUE"""),5749.310710498409)</f>
        <v>5749.31071</v>
      </c>
      <c r="J2477" s="10">
        <f>IFERROR(__xludf.DUMMYFUNCTION("""COMPUTED_VALUE"""),5.0)</f>
        <v>5</v>
      </c>
      <c r="K2477" s="5">
        <f>IFERROR(__xludf.DUMMYFUNCTION("""COMPUTED_VALUE"""),0.0030248033877797943)</f>
        <v>0.003024803388</v>
      </c>
      <c r="L2477" s="10">
        <f>IFERROR(__xludf.DUMMYFUNCTION("""COMPUTED_VALUE"""),1653.0)</f>
        <v>1653</v>
      </c>
      <c r="M2477" s="5">
        <f>IFERROR(__xludf.DUMMYFUNCTION("""COMPUTED_VALUE"""),1.0)</f>
        <v>1</v>
      </c>
    </row>
    <row r="2478">
      <c r="A2478" s="10" t="str">
        <f>IFERROR(__xludf.DUMMYFUNCTION("""COMPUTED_VALUE"""),"鬼口まこと")</f>
        <v>鬼口まこと</v>
      </c>
      <c r="B2478" s="10">
        <f>IFERROR(__xludf.DUMMYFUNCTION("""COMPUTED_VALUE"""),581.0)</f>
        <v>581</v>
      </c>
      <c r="C2478" s="10">
        <f>IFERROR(__xludf.DUMMYFUNCTION("""COMPUTED_VALUE"""),6970.0)</f>
        <v>6970</v>
      </c>
      <c r="D2478" s="5">
        <f>IFERROR(__xludf.DUMMYFUNCTION("""COMPUTED_VALUE"""),0.40068868367506655)</f>
        <v>0.4006886837</v>
      </c>
      <c r="E2478" s="5">
        <f>IFERROR(__xludf.DUMMYFUNCTION("""COMPUTED_VALUE"""),0.12928470809203318)</f>
        <v>0.1292847081</v>
      </c>
      <c r="F2478" s="5">
        <f>IFERROR(__xludf.DUMMYFUNCTION("""COMPUTED_VALUE"""),0.21067459696353108)</f>
        <v>0.210674597</v>
      </c>
      <c r="G2478" s="5">
        <f>IFERROR(__xludf.DUMMYFUNCTION("""COMPUTED_VALUE"""),0.13069337924557833)</f>
        <v>0.1306933792</v>
      </c>
      <c r="H2478" s="5">
        <f>IFERROR(__xludf.DUMMYFUNCTION("""COMPUTED_VALUE"""),0.6270430906389302)</f>
        <v>0.6270430906</v>
      </c>
      <c r="I2478" s="11">
        <f>IFERROR(__xludf.DUMMYFUNCTION("""COMPUTED_VALUE"""),5352.897473997028)</f>
        <v>5352.897474</v>
      </c>
      <c r="J2478" s="10">
        <f>IFERROR(__xludf.DUMMYFUNCTION("""COMPUTED_VALUE"""),1.0)</f>
        <v>1</v>
      </c>
      <c r="K2478" s="5">
        <f>IFERROR(__xludf.DUMMYFUNCTION("""COMPUTED_VALUE"""),0.0017211703958691911)</f>
        <v>0.001721170396</v>
      </c>
      <c r="L2478" s="10">
        <f>IFERROR(__xludf.DUMMYFUNCTION("""COMPUTED_VALUE"""),581.0)</f>
        <v>581</v>
      </c>
      <c r="M2478" s="5">
        <f>IFERROR(__xludf.DUMMYFUNCTION("""COMPUTED_VALUE"""),1.0)</f>
        <v>1</v>
      </c>
    </row>
    <row r="2479">
      <c r="A2479" s="10" t="str">
        <f>IFERROR(__xludf.DUMMYFUNCTION("""COMPUTED_VALUE"""),"東風ぱいん")</f>
        <v>東風ぱいん</v>
      </c>
      <c r="B2479" s="10">
        <f>IFERROR(__xludf.DUMMYFUNCTION("""COMPUTED_VALUE"""),392.0)</f>
        <v>392</v>
      </c>
      <c r="C2479" s="10">
        <f>IFERROR(__xludf.DUMMYFUNCTION("""COMPUTED_VALUE"""),4562.0)</f>
        <v>4562</v>
      </c>
      <c r="D2479" s="5">
        <f>IFERROR(__xludf.DUMMYFUNCTION("""COMPUTED_VALUE"""),0.3752997601918465)</f>
        <v>0.3752997602</v>
      </c>
      <c r="E2479" s="5">
        <f>IFERROR(__xludf.DUMMYFUNCTION("""COMPUTED_VALUE"""),0.12925659472422063)</f>
        <v>0.1292565947</v>
      </c>
      <c r="F2479" s="5">
        <f>IFERROR(__xludf.DUMMYFUNCTION("""COMPUTED_VALUE"""),0.2143884892086331)</f>
        <v>0.2143884892</v>
      </c>
      <c r="G2479" s="5">
        <f>IFERROR(__xludf.DUMMYFUNCTION("""COMPUTED_VALUE"""),0.17937649880095924)</f>
        <v>0.1793764988</v>
      </c>
      <c r="H2479" s="5">
        <f>IFERROR(__xludf.DUMMYFUNCTION("""COMPUTED_VALUE"""),0.6029082774049217)</f>
        <v>0.6029082774</v>
      </c>
      <c r="I2479" s="11">
        <f>IFERROR(__xludf.DUMMYFUNCTION("""COMPUTED_VALUE"""),5510.96196868009)</f>
        <v>5510.961969</v>
      </c>
      <c r="J2479" s="10">
        <f>IFERROR(__xludf.DUMMYFUNCTION("""COMPUTED_VALUE"""),2.0)</f>
        <v>2</v>
      </c>
      <c r="K2479" s="5">
        <f>IFERROR(__xludf.DUMMYFUNCTION("""COMPUTED_VALUE"""),0.00510204081632653)</f>
        <v>0.005102040816</v>
      </c>
      <c r="L2479" s="10">
        <f>IFERROR(__xludf.DUMMYFUNCTION("""COMPUTED_VALUE"""),214.0)</f>
        <v>214</v>
      </c>
      <c r="M2479" s="5">
        <f>IFERROR(__xludf.DUMMYFUNCTION("""COMPUTED_VALUE"""),0.5459183673469388)</f>
        <v>0.5459183673</v>
      </c>
    </row>
    <row r="2480">
      <c r="A2480" s="10" t="str">
        <f>IFERROR(__xludf.DUMMYFUNCTION("""COMPUTED_VALUE"""),"灼眼のイッコウ")</f>
        <v>灼眼のイッコウ</v>
      </c>
      <c r="B2480" s="10">
        <f>IFERROR(__xludf.DUMMYFUNCTION("""COMPUTED_VALUE"""),353.0)</f>
        <v>353</v>
      </c>
      <c r="C2480" s="10">
        <f>IFERROR(__xludf.DUMMYFUNCTION("""COMPUTED_VALUE"""),4113.0)</f>
        <v>4113</v>
      </c>
      <c r="D2480" s="5">
        <f>IFERROR(__xludf.DUMMYFUNCTION("""COMPUTED_VALUE"""),0.3292553191489362)</f>
        <v>0.3292553191</v>
      </c>
      <c r="E2480" s="5">
        <f>IFERROR(__xludf.DUMMYFUNCTION("""COMPUTED_VALUE"""),0.12925531914893618)</f>
        <v>0.1292553191</v>
      </c>
      <c r="F2480" s="5">
        <f>IFERROR(__xludf.DUMMYFUNCTION("""COMPUTED_VALUE"""),0.21622340425531916)</f>
        <v>0.2162234043</v>
      </c>
      <c r="G2480" s="5">
        <f>IFERROR(__xludf.DUMMYFUNCTION("""COMPUTED_VALUE"""),0.17313829787234042)</f>
        <v>0.1731382979</v>
      </c>
      <c r="H2480" s="5">
        <f>IFERROR(__xludf.DUMMYFUNCTION("""COMPUTED_VALUE"""),0.6174661746617466)</f>
        <v>0.6174661747</v>
      </c>
      <c r="I2480" s="11">
        <f>IFERROR(__xludf.DUMMYFUNCTION("""COMPUTED_VALUE"""),5948.831488314883)</f>
        <v>5948.831488</v>
      </c>
      <c r="J2480" s="10">
        <f>IFERROR(__xludf.DUMMYFUNCTION("""COMPUTED_VALUE"""),3.0)</f>
        <v>3</v>
      </c>
      <c r="K2480" s="5">
        <f>IFERROR(__xludf.DUMMYFUNCTION("""COMPUTED_VALUE"""),0.0084985835694051)</f>
        <v>0.008498583569</v>
      </c>
      <c r="L2480" s="10">
        <f>IFERROR(__xludf.DUMMYFUNCTION("""COMPUTED_VALUE"""),353.0)</f>
        <v>353</v>
      </c>
      <c r="M2480" s="5">
        <f>IFERROR(__xludf.DUMMYFUNCTION("""COMPUTED_VALUE"""),1.0)</f>
        <v>1</v>
      </c>
    </row>
    <row r="2481">
      <c r="A2481" s="10" t="str">
        <f>IFERROR(__xludf.DUMMYFUNCTION("""COMPUTED_VALUE"""),"しょーたろ")</f>
        <v>しょーたろ</v>
      </c>
      <c r="B2481" s="10">
        <f>IFERROR(__xludf.DUMMYFUNCTION("""COMPUTED_VALUE"""),2642.0)</f>
        <v>2642</v>
      </c>
      <c r="C2481" s="10">
        <f>IFERROR(__xludf.DUMMYFUNCTION("""COMPUTED_VALUE"""),30750.0)</f>
        <v>30750</v>
      </c>
      <c r="D2481" s="5">
        <f>IFERROR(__xludf.DUMMYFUNCTION("""COMPUTED_VALUE"""),0.3528177031450121)</f>
        <v>0.3528177031</v>
      </c>
      <c r="E2481" s="5">
        <f>IFERROR(__xludf.DUMMYFUNCTION("""COMPUTED_VALUE"""),0.1292514586594564)</f>
        <v>0.1292514587</v>
      </c>
      <c r="F2481" s="5">
        <f>IFERROR(__xludf.DUMMYFUNCTION("""COMPUTED_VALUE"""),0.22637683221858546)</f>
        <v>0.2263768322</v>
      </c>
      <c r="G2481" s="5">
        <f>IFERROR(__xludf.DUMMYFUNCTION("""COMPUTED_VALUE"""),0.15892272662587165)</f>
        <v>0.1589227266</v>
      </c>
      <c r="H2481" s="5">
        <f>IFERROR(__xludf.DUMMYFUNCTION("""COMPUTED_VALUE"""),0.6033317617476033)</f>
        <v>0.6033317617</v>
      </c>
      <c r="I2481" s="11">
        <f>IFERROR(__xludf.DUMMYFUNCTION("""COMPUTED_VALUE"""),5392.299229922993)</f>
        <v>5392.29923</v>
      </c>
      <c r="J2481" s="10">
        <f>IFERROR(__xludf.DUMMYFUNCTION("""COMPUTED_VALUE"""),3.0)</f>
        <v>3</v>
      </c>
      <c r="K2481" s="5">
        <f>IFERROR(__xludf.DUMMYFUNCTION("""COMPUTED_VALUE"""),0.0011355034065102195)</f>
        <v>0.001135503407</v>
      </c>
      <c r="L2481" s="10">
        <f>IFERROR(__xludf.DUMMYFUNCTION("""COMPUTED_VALUE"""),2642.0)</f>
        <v>2642</v>
      </c>
      <c r="M2481" s="5">
        <f>IFERROR(__xludf.DUMMYFUNCTION("""COMPUTED_VALUE"""),1.0)</f>
        <v>1</v>
      </c>
    </row>
    <row r="2482">
      <c r="A2482" s="10" t="str">
        <f>IFERROR(__xludf.DUMMYFUNCTION("""COMPUTED_VALUE"""),"HACOO")</f>
        <v>HACOO</v>
      </c>
      <c r="B2482" s="10">
        <f>IFERROR(__xludf.DUMMYFUNCTION("""COMPUTED_VALUE"""),446.0)</f>
        <v>446</v>
      </c>
      <c r="C2482" s="10">
        <f>IFERROR(__xludf.DUMMYFUNCTION("""COMPUTED_VALUE"""),5274.0)</f>
        <v>5274</v>
      </c>
      <c r="D2482" s="5">
        <f>IFERROR(__xludf.DUMMYFUNCTION("""COMPUTED_VALUE"""),0.3494200497100249)</f>
        <v>0.3494200497</v>
      </c>
      <c r="E2482" s="5">
        <f>IFERROR(__xludf.DUMMYFUNCTION("""COMPUTED_VALUE"""),0.12924606462303231)</f>
        <v>0.1292460646</v>
      </c>
      <c r="F2482" s="5">
        <f>IFERROR(__xludf.DUMMYFUNCTION("""COMPUTED_VALUE"""),0.18993371996685998)</f>
        <v>0.18993372</v>
      </c>
      <c r="G2482" s="5">
        <f>IFERROR(__xludf.DUMMYFUNCTION("""COMPUTED_VALUE"""),0.16135045567522785)</f>
        <v>0.1613504557</v>
      </c>
      <c r="H2482" s="5">
        <f>IFERROR(__xludf.DUMMYFUNCTION("""COMPUTED_VALUE"""),0.6248636859323882)</f>
        <v>0.6248636859</v>
      </c>
      <c r="I2482" s="11">
        <f>IFERROR(__xludf.DUMMYFUNCTION("""COMPUTED_VALUE"""),5898.473282442748)</f>
        <v>5898.473282</v>
      </c>
      <c r="J2482" s="10">
        <f>IFERROR(__xludf.DUMMYFUNCTION("""COMPUTED_VALUE"""),2.0)</f>
        <v>2</v>
      </c>
      <c r="K2482" s="5">
        <f>IFERROR(__xludf.DUMMYFUNCTION("""COMPUTED_VALUE"""),0.004484304932735426)</f>
        <v>0.004484304933</v>
      </c>
      <c r="L2482" s="10">
        <f>IFERROR(__xludf.DUMMYFUNCTION("""COMPUTED_VALUE"""),446.0)</f>
        <v>446</v>
      </c>
      <c r="M2482" s="5">
        <f>IFERROR(__xludf.DUMMYFUNCTION("""COMPUTED_VALUE"""),1.0)</f>
        <v>1</v>
      </c>
    </row>
    <row r="2483">
      <c r="A2483" s="10" t="str">
        <f>IFERROR(__xludf.DUMMYFUNCTION("""COMPUTED_VALUE"""),"Ｗａｌｌｙ")</f>
        <v>Ｗａｌｌｙ</v>
      </c>
      <c r="B2483" s="10">
        <f>IFERROR(__xludf.DUMMYFUNCTION("""COMPUTED_VALUE"""),1274.0)</f>
        <v>1274</v>
      </c>
      <c r="C2483" s="10">
        <f>IFERROR(__xludf.DUMMYFUNCTION("""COMPUTED_VALUE"""),14753.0)</f>
        <v>14753</v>
      </c>
      <c r="D2483" s="5">
        <f>IFERROR(__xludf.DUMMYFUNCTION("""COMPUTED_VALUE"""),0.39290748571852513)</f>
        <v>0.3929074857</v>
      </c>
      <c r="E2483" s="5">
        <f>IFERROR(__xludf.DUMMYFUNCTION("""COMPUTED_VALUE"""),0.12923807404110096)</f>
        <v>0.129238074</v>
      </c>
      <c r="F2483" s="5">
        <f>IFERROR(__xludf.DUMMYFUNCTION("""COMPUTED_VALUE"""),0.21707841828028784)</f>
        <v>0.2170784183</v>
      </c>
      <c r="G2483" s="5">
        <f>IFERROR(__xludf.DUMMYFUNCTION("""COMPUTED_VALUE"""),0.1664811929668373)</f>
        <v>0.166481193</v>
      </c>
      <c r="H2483" s="5">
        <f>IFERROR(__xludf.DUMMYFUNCTION("""COMPUTED_VALUE"""),0.6045796308954203)</f>
        <v>0.6045796309</v>
      </c>
      <c r="I2483" s="11">
        <f>IFERROR(__xludf.DUMMYFUNCTION("""COMPUTED_VALUE"""),5714.798359535202)</f>
        <v>5714.79836</v>
      </c>
      <c r="J2483" s="10">
        <f>IFERROR(__xludf.DUMMYFUNCTION("""COMPUTED_VALUE"""),2.0)</f>
        <v>2</v>
      </c>
      <c r="K2483" s="5">
        <f>IFERROR(__xludf.DUMMYFUNCTION("""COMPUTED_VALUE"""),0.0015698587127158557)</f>
        <v>0.001569858713</v>
      </c>
      <c r="L2483" s="10">
        <f>IFERROR(__xludf.DUMMYFUNCTION("""COMPUTED_VALUE"""),1274.0)</f>
        <v>1274</v>
      </c>
      <c r="M2483" s="5">
        <f>IFERROR(__xludf.DUMMYFUNCTION("""COMPUTED_VALUE"""),1.0)</f>
        <v>1</v>
      </c>
    </row>
    <row r="2484">
      <c r="A2484" s="10" t="str">
        <f>IFERROR(__xludf.DUMMYFUNCTION("""COMPUTED_VALUE"""),"ユニシロ")</f>
        <v>ユニシロ</v>
      </c>
      <c r="B2484" s="10">
        <f>IFERROR(__xludf.DUMMYFUNCTION("""COMPUTED_VALUE"""),117.0)</f>
        <v>117</v>
      </c>
      <c r="C2484" s="10">
        <f>IFERROR(__xludf.DUMMYFUNCTION("""COMPUTED_VALUE"""),1386.0)</f>
        <v>1386</v>
      </c>
      <c r="D2484" s="5">
        <f>IFERROR(__xludf.DUMMYFUNCTION("""COMPUTED_VALUE"""),0.38455476753349094)</f>
        <v>0.3845547675</v>
      </c>
      <c r="E2484" s="5">
        <f>IFERROR(__xludf.DUMMYFUNCTION("""COMPUTED_VALUE"""),0.12923561859732072)</f>
        <v>0.1292356186</v>
      </c>
      <c r="F2484" s="5">
        <f>IFERROR(__xludf.DUMMYFUNCTION("""COMPUTED_VALUE"""),0.21670606776989756)</f>
        <v>0.2167060678</v>
      </c>
      <c r="G2484" s="5">
        <f>IFERROR(__xludf.DUMMYFUNCTION("""COMPUTED_VALUE"""),0.1426319936958235)</f>
        <v>0.1426319937</v>
      </c>
      <c r="H2484" s="5">
        <f>IFERROR(__xludf.DUMMYFUNCTION("""COMPUTED_VALUE"""),0.6036363636363636)</f>
        <v>0.6036363636</v>
      </c>
      <c r="I2484" s="11">
        <f>IFERROR(__xludf.DUMMYFUNCTION("""COMPUTED_VALUE"""),5624.0)</f>
        <v>5624</v>
      </c>
      <c r="J2484" s="10">
        <f>IFERROR(__xludf.DUMMYFUNCTION("""COMPUTED_VALUE"""),0.0)</f>
        <v>0</v>
      </c>
      <c r="K2484" s="5">
        <f>IFERROR(__xludf.DUMMYFUNCTION("""COMPUTED_VALUE"""),0.0)</f>
        <v>0</v>
      </c>
      <c r="L2484" s="10">
        <f>IFERROR(__xludf.DUMMYFUNCTION("""COMPUTED_VALUE"""),117.0)</f>
        <v>117</v>
      </c>
      <c r="M2484" s="5">
        <f>IFERROR(__xludf.DUMMYFUNCTION("""COMPUTED_VALUE"""),1.0)</f>
        <v>1</v>
      </c>
    </row>
    <row r="2485">
      <c r="A2485" s="10" t="str">
        <f>IFERROR(__xludf.DUMMYFUNCTION("""COMPUTED_VALUE"""),"はじめ一郎")</f>
        <v>はじめ一郎</v>
      </c>
      <c r="B2485" s="10">
        <f>IFERROR(__xludf.DUMMYFUNCTION("""COMPUTED_VALUE"""),224.0)</f>
        <v>224</v>
      </c>
      <c r="C2485" s="10">
        <f>IFERROR(__xludf.DUMMYFUNCTION("""COMPUTED_VALUE"""),2615.0)</f>
        <v>2615</v>
      </c>
      <c r="D2485" s="5">
        <f>IFERROR(__xludf.DUMMYFUNCTION("""COMPUTED_VALUE"""),0.396905060644082)</f>
        <v>0.3969050606</v>
      </c>
      <c r="E2485" s="5">
        <f>IFERROR(__xludf.DUMMYFUNCTION("""COMPUTED_VALUE"""),0.12923462986198245)</f>
        <v>0.1292346299</v>
      </c>
      <c r="F2485" s="5">
        <f>IFERROR(__xludf.DUMMYFUNCTION("""COMPUTED_VALUE"""),0.2245922208281054)</f>
        <v>0.2245922208</v>
      </c>
      <c r="G2485" s="5">
        <f>IFERROR(__xludf.DUMMYFUNCTION("""COMPUTED_VALUE"""),0.15265579255541614)</f>
        <v>0.1526557926</v>
      </c>
      <c r="H2485" s="5">
        <f>IFERROR(__xludf.DUMMYFUNCTION("""COMPUTED_VALUE"""),0.6182495344506518)</f>
        <v>0.6182495345</v>
      </c>
      <c r="I2485" s="11">
        <f>IFERROR(__xludf.DUMMYFUNCTION("""COMPUTED_VALUE"""),5378.957169459963)</f>
        <v>5378.957169</v>
      </c>
      <c r="J2485" s="10">
        <f>IFERROR(__xludf.DUMMYFUNCTION("""COMPUTED_VALUE"""),0.0)</f>
        <v>0</v>
      </c>
      <c r="K2485" s="5">
        <f>IFERROR(__xludf.DUMMYFUNCTION("""COMPUTED_VALUE"""),0.0)</f>
        <v>0</v>
      </c>
      <c r="L2485" s="10">
        <f>IFERROR(__xludf.DUMMYFUNCTION("""COMPUTED_VALUE"""),224.0)</f>
        <v>224</v>
      </c>
      <c r="M2485" s="5">
        <f>IFERROR(__xludf.DUMMYFUNCTION("""COMPUTED_VALUE"""),1.0)</f>
        <v>1</v>
      </c>
    </row>
    <row r="2486">
      <c r="A2486" s="10" t="str">
        <f>IFERROR(__xludf.DUMMYFUNCTION("""COMPUTED_VALUE"""),"ルアゴイフ")</f>
        <v>ルアゴイフ</v>
      </c>
      <c r="B2486" s="10">
        <f>IFERROR(__xludf.DUMMYFUNCTION("""COMPUTED_VALUE"""),1435.0)</f>
        <v>1435</v>
      </c>
      <c r="C2486" s="10">
        <f>IFERROR(__xludf.DUMMYFUNCTION("""COMPUTED_VALUE"""),16788.0)</f>
        <v>16788</v>
      </c>
      <c r="D2486" s="5">
        <f>IFERROR(__xludf.DUMMYFUNCTION("""COMPUTED_VALUE"""),0.3458607438285677)</f>
        <v>0.3458607438</v>
      </c>
      <c r="E2486" s="5">
        <f>IFERROR(__xludf.DUMMYFUNCTION("""COMPUTED_VALUE"""),0.1292255585227643)</f>
        <v>0.1292255585</v>
      </c>
      <c r="F2486" s="5">
        <f>IFERROR(__xludf.DUMMYFUNCTION("""COMPUTED_VALUE"""),0.2084934540480688)</f>
        <v>0.208493454</v>
      </c>
      <c r="G2486" s="5">
        <f>IFERROR(__xludf.DUMMYFUNCTION("""COMPUTED_VALUE"""),0.1804858985214616)</f>
        <v>0.1804858985</v>
      </c>
      <c r="H2486" s="5">
        <f>IFERROR(__xludf.DUMMYFUNCTION("""COMPUTED_VALUE"""),0.5954389253358325)</f>
        <v>0.5954389253</v>
      </c>
      <c r="I2486" s="11">
        <f>IFERROR(__xludf.DUMMYFUNCTION("""COMPUTED_VALUE"""),5773.914401749454)</f>
        <v>5773.914402</v>
      </c>
      <c r="J2486" s="10">
        <f>IFERROR(__xludf.DUMMYFUNCTION("""COMPUTED_VALUE"""),1.0)</f>
        <v>1</v>
      </c>
      <c r="K2486" s="5">
        <f>IFERROR(__xludf.DUMMYFUNCTION("""COMPUTED_VALUE"""),6.968641114982578E-4)</f>
        <v>0.0006968641115</v>
      </c>
      <c r="L2486" s="10">
        <f>IFERROR(__xludf.DUMMYFUNCTION("""COMPUTED_VALUE"""),1435.0)</f>
        <v>1435</v>
      </c>
      <c r="M2486" s="5">
        <f>IFERROR(__xludf.DUMMYFUNCTION("""COMPUTED_VALUE"""),1.0)</f>
        <v>1</v>
      </c>
    </row>
    <row r="2487">
      <c r="A2487" s="10" t="str">
        <f>IFERROR(__xludf.DUMMYFUNCTION("""COMPUTED_VALUE"""),"至如信モノ")</f>
        <v>至如信モノ</v>
      </c>
      <c r="B2487" s="10">
        <f>IFERROR(__xludf.DUMMYFUNCTION("""COMPUTED_VALUE"""),446.0)</f>
        <v>446</v>
      </c>
      <c r="C2487" s="10">
        <f>IFERROR(__xludf.DUMMYFUNCTION("""COMPUTED_VALUE"""),5151.0)</f>
        <v>5151</v>
      </c>
      <c r="D2487" s="5">
        <f>IFERROR(__xludf.DUMMYFUNCTION("""COMPUTED_VALUE"""),0.30839532412327314)</f>
        <v>0.3083953241</v>
      </c>
      <c r="E2487" s="5">
        <f>IFERROR(__xludf.DUMMYFUNCTION("""COMPUTED_VALUE"""),0.12922422954303933)</f>
        <v>0.1292242295</v>
      </c>
      <c r="F2487" s="5">
        <f>IFERROR(__xludf.DUMMYFUNCTION("""COMPUTED_VALUE"""),0.20807651434643995)</f>
        <v>0.2080765143</v>
      </c>
      <c r="G2487" s="5">
        <f>IFERROR(__xludf.DUMMYFUNCTION("""COMPUTED_VALUE"""),0.18597236981934112)</f>
        <v>0.1859723698</v>
      </c>
      <c r="H2487" s="5">
        <f>IFERROR(__xludf.DUMMYFUNCTION("""COMPUTED_VALUE"""),0.5914198161389173)</f>
        <v>0.5914198161</v>
      </c>
      <c r="I2487" s="11">
        <f>IFERROR(__xludf.DUMMYFUNCTION("""COMPUTED_VALUE"""),5850.663942798774)</f>
        <v>5850.663943</v>
      </c>
      <c r="J2487" s="10">
        <f>IFERROR(__xludf.DUMMYFUNCTION("""COMPUTED_VALUE"""),1.0)</f>
        <v>1</v>
      </c>
      <c r="K2487" s="5">
        <f>IFERROR(__xludf.DUMMYFUNCTION("""COMPUTED_VALUE"""),0.002242152466367713)</f>
        <v>0.002242152466</v>
      </c>
      <c r="L2487" s="10">
        <f>IFERROR(__xludf.DUMMYFUNCTION("""COMPUTED_VALUE"""),446.0)</f>
        <v>446</v>
      </c>
      <c r="M2487" s="5">
        <f>IFERROR(__xludf.DUMMYFUNCTION("""COMPUTED_VALUE"""),1.0)</f>
        <v>1</v>
      </c>
    </row>
    <row r="2488">
      <c r="A2488" s="10" t="str">
        <f>IFERROR(__xludf.DUMMYFUNCTION("""COMPUTED_VALUE"""),"Jimney")</f>
        <v>Jimney</v>
      </c>
      <c r="B2488" s="10">
        <f>IFERROR(__xludf.DUMMYFUNCTION("""COMPUTED_VALUE"""),220.0)</f>
        <v>220</v>
      </c>
      <c r="C2488" s="10">
        <f>IFERROR(__xludf.DUMMYFUNCTION("""COMPUTED_VALUE"""),2588.0)</f>
        <v>2588</v>
      </c>
      <c r="D2488" s="5">
        <f>IFERROR(__xludf.DUMMYFUNCTION("""COMPUTED_VALUE"""),0.3902027027027027)</f>
        <v>0.3902027027</v>
      </c>
      <c r="E2488" s="5">
        <f>IFERROR(__xludf.DUMMYFUNCTION("""COMPUTED_VALUE"""),0.12922297297297297)</f>
        <v>0.129222973</v>
      </c>
      <c r="F2488" s="5">
        <f>IFERROR(__xludf.DUMMYFUNCTION("""COMPUTED_VALUE"""),0.20270270270270271)</f>
        <v>0.2027027027</v>
      </c>
      <c r="G2488" s="5">
        <f>IFERROR(__xludf.DUMMYFUNCTION("""COMPUTED_VALUE"""),0.18032094594594594)</f>
        <v>0.1803209459</v>
      </c>
      <c r="H2488" s="5">
        <f>IFERROR(__xludf.DUMMYFUNCTION("""COMPUTED_VALUE"""),0.5729166666666666)</f>
        <v>0.5729166667</v>
      </c>
      <c r="I2488" s="11">
        <f>IFERROR(__xludf.DUMMYFUNCTION("""COMPUTED_VALUE"""),5197.291666666667)</f>
        <v>5197.291667</v>
      </c>
      <c r="J2488" s="10">
        <f>IFERROR(__xludf.DUMMYFUNCTION("""COMPUTED_VALUE"""),1.0)</f>
        <v>1</v>
      </c>
      <c r="K2488" s="5">
        <f>IFERROR(__xludf.DUMMYFUNCTION("""COMPUTED_VALUE"""),0.004545454545454545)</f>
        <v>0.004545454545</v>
      </c>
      <c r="L2488" s="10">
        <f>IFERROR(__xludf.DUMMYFUNCTION("""COMPUTED_VALUE"""),220.0)</f>
        <v>220</v>
      </c>
      <c r="M2488" s="5">
        <f>IFERROR(__xludf.DUMMYFUNCTION("""COMPUTED_VALUE"""),1.0)</f>
        <v>1</v>
      </c>
    </row>
    <row r="2489">
      <c r="A2489" s="10" t="str">
        <f>IFERROR(__xludf.DUMMYFUNCTION("""COMPUTED_VALUE"""),"長山大樹")</f>
        <v>長山大樹</v>
      </c>
      <c r="B2489" s="10">
        <f>IFERROR(__xludf.DUMMYFUNCTION("""COMPUTED_VALUE"""),1047.0)</f>
        <v>1047</v>
      </c>
      <c r="C2489" s="10">
        <f>IFERROR(__xludf.DUMMYFUNCTION("""COMPUTED_VALUE"""),12237.0)</f>
        <v>12237</v>
      </c>
      <c r="D2489" s="5">
        <f>IFERROR(__xludf.DUMMYFUNCTION("""COMPUTED_VALUE"""),0.36702412868632706)</f>
        <v>0.3670241287</v>
      </c>
      <c r="E2489" s="5">
        <f>IFERROR(__xludf.DUMMYFUNCTION("""COMPUTED_VALUE"""),0.12922252010723861)</f>
        <v>0.1292225201</v>
      </c>
      <c r="F2489" s="5">
        <f>IFERROR(__xludf.DUMMYFUNCTION("""COMPUTED_VALUE"""),0.21394101876675603)</f>
        <v>0.2139410188</v>
      </c>
      <c r="G2489" s="5">
        <f>IFERROR(__xludf.DUMMYFUNCTION("""COMPUTED_VALUE"""),0.18185880250223413)</f>
        <v>0.1818588025</v>
      </c>
      <c r="H2489" s="5">
        <f>IFERROR(__xludf.DUMMYFUNCTION("""COMPUTED_VALUE"""),0.5877192982456141)</f>
        <v>0.5877192982</v>
      </c>
      <c r="I2489" s="11">
        <f>IFERROR(__xludf.DUMMYFUNCTION("""COMPUTED_VALUE"""),5756.349206349207)</f>
        <v>5756.349206</v>
      </c>
      <c r="J2489" s="10">
        <f>IFERROR(__xludf.DUMMYFUNCTION("""COMPUTED_VALUE"""),0.0)</f>
        <v>0</v>
      </c>
      <c r="K2489" s="5">
        <f>IFERROR(__xludf.DUMMYFUNCTION("""COMPUTED_VALUE"""),0.0)</f>
        <v>0</v>
      </c>
      <c r="L2489" s="10">
        <f>IFERROR(__xludf.DUMMYFUNCTION("""COMPUTED_VALUE"""),1038.0)</f>
        <v>1038</v>
      </c>
      <c r="M2489" s="5">
        <f>IFERROR(__xludf.DUMMYFUNCTION("""COMPUTED_VALUE"""),0.9914040114613181)</f>
        <v>0.9914040115</v>
      </c>
    </row>
    <row r="2490">
      <c r="A2490" s="10" t="str">
        <f>IFERROR(__xludf.DUMMYFUNCTION("""COMPUTED_VALUE"""),"★愛彩★")</f>
        <v>★愛彩★</v>
      </c>
      <c r="B2490" s="10">
        <f>IFERROR(__xludf.DUMMYFUNCTION("""COMPUTED_VALUE"""),226.0)</f>
        <v>226</v>
      </c>
      <c r="C2490" s="10">
        <f>IFERROR(__xludf.DUMMYFUNCTION("""COMPUTED_VALUE"""),2656.0)</f>
        <v>2656</v>
      </c>
      <c r="D2490" s="5">
        <f>IFERROR(__xludf.DUMMYFUNCTION("""COMPUTED_VALUE"""),0.3592592592592593)</f>
        <v>0.3592592593</v>
      </c>
      <c r="E2490" s="5">
        <f>IFERROR(__xludf.DUMMYFUNCTION("""COMPUTED_VALUE"""),0.12921810699588476)</f>
        <v>0.129218107</v>
      </c>
      <c r="F2490" s="5">
        <f>IFERROR(__xludf.DUMMYFUNCTION("""COMPUTED_VALUE"""),0.20123456790123456)</f>
        <v>0.2012345679</v>
      </c>
      <c r="G2490" s="5">
        <f>IFERROR(__xludf.DUMMYFUNCTION("""COMPUTED_VALUE"""),0.12016460905349795)</f>
        <v>0.1201646091</v>
      </c>
      <c r="H2490" s="5">
        <f>IFERROR(__xludf.DUMMYFUNCTION("""COMPUTED_VALUE"""),0.6032719836400818)</f>
        <v>0.6032719836</v>
      </c>
      <c r="I2490" s="11">
        <f>IFERROR(__xludf.DUMMYFUNCTION("""COMPUTED_VALUE"""),5193.047034764826)</f>
        <v>5193.047035</v>
      </c>
      <c r="J2490" s="10">
        <f>IFERROR(__xludf.DUMMYFUNCTION("""COMPUTED_VALUE"""),1.0)</f>
        <v>1</v>
      </c>
      <c r="K2490" s="5">
        <f>IFERROR(__xludf.DUMMYFUNCTION("""COMPUTED_VALUE"""),0.004424778761061947)</f>
        <v>0.004424778761</v>
      </c>
      <c r="L2490" s="10">
        <f>IFERROR(__xludf.DUMMYFUNCTION("""COMPUTED_VALUE"""),0.0)</f>
        <v>0</v>
      </c>
      <c r="M2490" s="5">
        <f>IFERROR(__xludf.DUMMYFUNCTION("""COMPUTED_VALUE"""),0.0)</f>
        <v>0</v>
      </c>
    </row>
    <row r="2491">
      <c r="A2491" s="10" t="str">
        <f>IFERROR(__xludf.DUMMYFUNCTION("""COMPUTED_VALUE"""),"DQ3")</f>
        <v>DQ3</v>
      </c>
      <c r="B2491" s="10">
        <f>IFERROR(__xludf.DUMMYFUNCTION("""COMPUTED_VALUE"""),148.0)</f>
        <v>148</v>
      </c>
      <c r="C2491" s="10">
        <f>IFERROR(__xludf.DUMMYFUNCTION("""COMPUTED_VALUE"""),1719.0)</f>
        <v>1719</v>
      </c>
      <c r="D2491" s="5">
        <f>IFERROR(__xludf.DUMMYFUNCTION("""COMPUTED_VALUE"""),0.27562062380649266)</f>
        <v>0.2756206238</v>
      </c>
      <c r="E2491" s="5">
        <f>IFERROR(__xludf.DUMMYFUNCTION("""COMPUTED_VALUE"""),0.12921705919796309)</f>
        <v>0.1292170592</v>
      </c>
      <c r="F2491" s="5">
        <f>IFERROR(__xludf.DUMMYFUNCTION("""COMPUTED_VALUE"""),0.2024188415022279)</f>
        <v>0.2024188415</v>
      </c>
      <c r="G2491" s="5">
        <f>IFERROR(__xludf.DUMMYFUNCTION("""COMPUTED_VALUE"""),0.17441120305537874)</f>
        <v>0.1744112031</v>
      </c>
      <c r="H2491" s="5">
        <f>IFERROR(__xludf.DUMMYFUNCTION("""COMPUTED_VALUE"""),0.6163522012578616)</f>
        <v>0.6163522013</v>
      </c>
      <c r="I2491" s="11">
        <f>IFERROR(__xludf.DUMMYFUNCTION("""COMPUTED_VALUE"""),5607.547169811321)</f>
        <v>5607.54717</v>
      </c>
      <c r="J2491" s="10">
        <f>IFERROR(__xludf.DUMMYFUNCTION("""COMPUTED_VALUE"""),0.0)</f>
        <v>0</v>
      </c>
      <c r="K2491" s="5">
        <f>IFERROR(__xludf.DUMMYFUNCTION("""COMPUTED_VALUE"""),0.0)</f>
        <v>0</v>
      </c>
      <c r="L2491" s="10">
        <f>IFERROR(__xludf.DUMMYFUNCTION("""COMPUTED_VALUE"""),148.0)</f>
        <v>148</v>
      </c>
      <c r="M2491" s="5">
        <f>IFERROR(__xludf.DUMMYFUNCTION("""COMPUTED_VALUE"""),1.0)</f>
        <v>1</v>
      </c>
    </row>
    <row r="2492">
      <c r="A2492" s="10" t="str">
        <f>IFERROR(__xludf.DUMMYFUNCTION("""COMPUTED_VALUE"""),"阿修羅佳奈")</f>
        <v>阿修羅佳奈</v>
      </c>
      <c r="B2492" s="10">
        <f>IFERROR(__xludf.DUMMYFUNCTION("""COMPUTED_VALUE"""),429.0)</f>
        <v>429</v>
      </c>
      <c r="C2492" s="10">
        <f>IFERROR(__xludf.DUMMYFUNCTION("""COMPUTED_VALUE"""),4995.0)</f>
        <v>4995</v>
      </c>
      <c r="D2492" s="5">
        <f>IFERROR(__xludf.DUMMYFUNCTION("""COMPUTED_VALUE"""),0.3609286027157249)</f>
        <v>0.3609286027</v>
      </c>
      <c r="E2492" s="5">
        <f>IFERROR(__xludf.DUMMYFUNCTION("""COMPUTED_VALUE"""),0.12921594393342092)</f>
        <v>0.1292159439</v>
      </c>
      <c r="F2492" s="5">
        <f>IFERROR(__xludf.DUMMYFUNCTION("""COMPUTED_VALUE"""),0.20280332895313186)</f>
        <v>0.202803329</v>
      </c>
      <c r="G2492" s="5">
        <f>IFERROR(__xludf.DUMMYFUNCTION("""COMPUTED_VALUE"""),0.1574682435392028)</f>
        <v>0.1574682435</v>
      </c>
      <c r="H2492" s="5">
        <f>IFERROR(__xludf.DUMMYFUNCTION("""COMPUTED_VALUE"""),0.5863930885529157)</f>
        <v>0.5863930886</v>
      </c>
      <c r="I2492" s="11">
        <f>IFERROR(__xludf.DUMMYFUNCTION("""COMPUTED_VALUE"""),5995.140388768898)</f>
        <v>5995.140389</v>
      </c>
      <c r="J2492" s="10">
        <f>IFERROR(__xludf.DUMMYFUNCTION("""COMPUTED_VALUE"""),0.0)</f>
        <v>0</v>
      </c>
      <c r="K2492" s="5">
        <f>IFERROR(__xludf.DUMMYFUNCTION("""COMPUTED_VALUE"""),0.0)</f>
        <v>0</v>
      </c>
      <c r="L2492" s="10">
        <f>IFERROR(__xludf.DUMMYFUNCTION("""COMPUTED_VALUE"""),0.0)</f>
        <v>0</v>
      </c>
      <c r="M2492" s="5">
        <f>IFERROR(__xludf.DUMMYFUNCTION("""COMPUTED_VALUE"""),0.0)</f>
        <v>0</v>
      </c>
    </row>
    <row r="2493">
      <c r="A2493" s="10" t="str">
        <f>IFERROR(__xludf.DUMMYFUNCTION("""COMPUTED_VALUE"""),"ほしきゅー++")</f>
        <v>ほしきゅー++</v>
      </c>
      <c r="B2493" s="10">
        <f>IFERROR(__xludf.DUMMYFUNCTION("""COMPUTED_VALUE"""),129.0)</f>
        <v>129</v>
      </c>
      <c r="C2493" s="10">
        <f>IFERROR(__xludf.DUMMYFUNCTION("""COMPUTED_VALUE"""),1530.0)</f>
        <v>1530</v>
      </c>
      <c r="D2493" s="5">
        <f>IFERROR(__xludf.DUMMYFUNCTION("""COMPUTED_VALUE"""),0.38472519628836543)</f>
        <v>0.3847251963</v>
      </c>
      <c r="E2493" s="5">
        <f>IFERROR(__xludf.DUMMYFUNCTION("""COMPUTED_VALUE"""),0.12919343326195576)</f>
        <v>0.1291934333</v>
      </c>
      <c r="F2493" s="5">
        <f>IFERROR(__xludf.DUMMYFUNCTION("""COMPUTED_VALUE"""),0.20699500356887937)</f>
        <v>0.2069950036</v>
      </c>
      <c r="G2493" s="5">
        <f>IFERROR(__xludf.DUMMYFUNCTION("""COMPUTED_VALUE"""),0.18986438258386867)</f>
        <v>0.1898643826</v>
      </c>
      <c r="H2493" s="5">
        <f>IFERROR(__xludf.DUMMYFUNCTION("""COMPUTED_VALUE"""),0.5655172413793104)</f>
        <v>0.5655172414</v>
      </c>
      <c r="I2493" s="11">
        <f>IFERROR(__xludf.DUMMYFUNCTION("""COMPUTED_VALUE"""),5888.620689655172)</f>
        <v>5888.62069</v>
      </c>
      <c r="J2493" s="10">
        <f>IFERROR(__xludf.DUMMYFUNCTION("""COMPUTED_VALUE"""),1.0)</f>
        <v>1</v>
      </c>
      <c r="K2493" s="5">
        <f>IFERROR(__xludf.DUMMYFUNCTION("""COMPUTED_VALUE"""),0.007751937984496124)</f>
        <v>0.007751937984</v>
      </c>
      <c r="L2493" s="10">
        <f>IFERROR(__xludf.DUMMYFUNCTION("""COMPUTED_VALUE"""),129.0)</f>
        <v>129</v>
      </c>
      <c r="M2493" s="5">
        <f>IFERROR(__xludf.DUMMYFUNCTION("""COMPUTED_VALUE"""),1.0)</f>
        <v>1</v>
      </c>
    </row>
    <row r="2494">
      <c r="A2494" s="10" t="str">
        <f>IFERROR(__xludf.DUMMYFUNCTION("""COMPUTED_VALUE"""),"売られた花嫁")</f>
        <v>売られた花嫁</v>
      </c>
      <c r="B2494" s="10">
        <f>IFERROR(__xludf.DUMMYFUNCTION("""COMPUTED_VALUE"""),282.0)</f>
        <v>282</v>
      </c>
      <c r="C2494" s="10">
        <f>IFERROR(__xludf.DUMMYFUNCTION("""COMPUTED_VALUE"""),3324.0)</f>
        <v>3324</v>
      </c>
      <c r="D2494" s="5">
        <f>IFERROR(__xludf.DUMMYFUNCTION("""COMPUTED_VALUE"""),0.43129520052596976)</f>
        <v>0.4312952005</v>
      </c>
      <c r="E2494" s="5">
        <f>IFERROR(__xludf.DUMMYFUNCTION("""COMPUTED_VALUE"""),0.1291913214990138)</f>
        <v>0.1291913215</v>
      </c>
      <c r="F2494" s="5">
        <f>IFERROR(__xludf.DUMMYFUNCTION("""COMPUTED_VALUE"""),0.21499013806706113)</f>
        <v>0.2149901381</v>
      </c>
      <c r="G2494" s="5">
        <f>IFERROR(__xludf.DUMMYFUNCTION("""COMPUTED_VALUE"""),0.14003944773175542)</f>
        <v>0.1400394477</v>
      </c>
      <c r="H2494" s="5">
        <f>IFERROR(__xludf.DUMMYFUNCTION("""COMPUTED_VALUE"""),0.5749235474006116)</f>
        <v>0.5749235474</v>
      </c>
      <c r="I2494" s="11">
        <f>IFERROR(__xludf.DUMMYFUNCTION("""COMPUTED_VALUE"""),5277.522935779816)</f>
        <v>5277.522936</v>
      </c>
      <c r="J2494" s="10">
        <f>IFERROR(__xludf.DUMMYFUNCTION("""COMPUTED_VALUE"""),0.0)</f>
        <v>0</v>
      </c>
      <c r="K2494" s="5">
        <f>IFERROR(__xludf.DUMMYFUNCTION("""COMPUTED_VALUE"""),0.0)</f>
        <v>0</v>
      </c>
      <c r="L2494" s="10">
        <f>IFERROR(__xludf.DUMMYFUNCTION("""COMPUTED_VALUE"""),4.0)</f>
        <v>4</v>
      </c>
      <c r="M2494" s="5">
        <f>IFERROR(__xludf.DUMMYFUNCTION("""COMPUTED_VALUE"""),0.014184397163120567)</f>
        <v>0.01418439716</v>
      </c>
    </row>
    <row r="2495">
      <c r="A2495" s="10" t="str">
        <f>IFERROR(__xludf.DUMMYFUNCTION("""COMPUTED_VALUE"""),"よつば")</f>
        <v>よつば</v>
      </c>
      <c r="B2495" s="10">
        <f>IFERROR(__xludf.DUMMYFUNCTION("""COMPUTED_VALUE"""),581.0)</f>
        <v>581</v>
      </c>
      <c r="C2495" s="10">
        <f>IFERROR(__xludf.DUMMYFUNCTION("""COMPUTED_VALUE"""),6874.0)</f>
        <v>6874</v>
      </c>
      <c r="D2495" s="5">
        <f>IFERROR(__xludf.DUMMYFUNCTION("""COMPUTED_VALUE"""),0.32146829810901)</f>
        <v>0.3214682981</v>
      </c>
      <c r="E2495" s="5">
        <f>IFERROR(__xludf.DUMMYFUNCTION("""COMPUTED_VALUE"""),0.12919116478627046)</f>
        <v>0.1291911648</v>
      </c>
      <c r="F2495" s="5">
        <f>IFERROR(__xludf.DUMMYFUNCTION("""COMPUTED_VALUE"""),0.2010170030192277)</f>
        <v>0.201017003</v>
      </c>
      <c r="G2495" s="5">
        <f>IFERROR(__xludf.DUMMYFUNCTION("""COMPUTED_VALUE"""),0.18178928968695376)</f>
        <v>0.1817892897</v>
      </c>
      <c r="H2495" s="5">
        <f>IFERROR(__xludf.DUMMYFUNCTION("""COMPUTED_VALUE"""),0.616600790513834)</f>
        <v>0.6166007905</v>
      </c>
      <c r="I2495" s="11">
        <f>IFERROR(__xludf.DUMMYFUNCTION("""COMPUTED_VALUE"""),5486.561264822134)</f>
        <v>5486.561265</v>
      </c>
      <c r="J2495" s="10">
        <f>IFERROR(__xludf.DUMMYFUNCTION("""COMPUTED_VALUE"""),1.0)</f>
        <v>1</v>
      </c>
      <c r="K2495" s="5">
        <f>IFERROR(__xludf.DUMMYFUNCTION("""COMPUTED_VALUE"""),0.0017211703958691911)</f>
        <v>0.001721170396</v>
      </c>
      <c r="L2495" s="10">
        <f>IFERROR(__xludf.DUMMYFUNCTION("""COMPUTED_VALUE"""),0.0)</f>
        <v>0</v>
      </c>
      <c r="M2495" s="5">
        <f>IFERROR(__xludf.DUMMYFUNCTION("""COMPUTED_VALUE"""),0.0)</f>
        <v>0</v>
      </c>
    </row>
    <row r="2496">
      <c r="A2496" s="10" t="str">
        <f>IFERROR(__xludf.DUMMYFUNCTION("""COMPUTED_VALUE"""),"bigkuma")</f>
        <v>bigkuma</v>
      </c>
      <c r="B2496" s="10">
        <f>IFERROR(__xludf.DUMMYFUNCTION("""COMPUTED_VALUE"""),309.0)</f>
        <v>309</v>
      </c>
      <c r="C2496" s="10">
        <f>IFERROR(__xludf.DUMMYFUNCTION("""COMPUTED_VALUE"""),3630.0)</f>
        <v>3630</v>
      </c>
      <c r="D2496" s="5">
        <f>IFERROR(__xludf.DUMMYFUNCTION("""COMPUTED_VALUE"""),0.32761216501053897)</f>
        <v>0.327612165</v>
      </c>
      <c r="E2496" s="5">
        <f>IFERROR(__xludf.DUMMYFUNCTION("""COMPUTED_VALUE"""),0.12917795844625113)</f>
        <v>0.1291779584</v>
      </c>
      <c r="F2496" s="5">
        <f>IFERROR(__xludf.DUMMYFUNCTION("""COMPUTED_VALUE"""),0.19120746763023186)</f>
        <v>0.1912074676</v>
      </c>
      <c r="G2496" s="5">
        <f>IFERROR(__xludf.DUMMYFUNCTION("""COMPUTED_VALUE"""),0.1514604034929238)</f>
        <v>0.1514604035</v>
      </c>
      <c r="H2496" s="5">
        <f>IFERROR(__xludf.DUMMYFUNCTION("""COMPUTED_VALUE"""),0.5826771653543307)</f>
        <v>0.5826771654</v>
      </c>
      <c r="I2496" s="11">
        <f>IFERROR(__xludf.DUMMYFUNCTION("""COMPUTED_VALUE"""),5660.472440944882)</f>
        <v>5660.472441</v>
      </c>
      <c r="J2496" s="10">
        <f>IFERROR(__xludf.DUMMYFUNCTION("""COMPUTED_VALUE"""),0.0)</f>
        <v>0</v>
      </c>
      <c r="K2496" s="5">
        <f>IFERROR(__xludf.DUMMYFUNCTION("""COMPUTED_VALUE"""),0.0)</f>
        <v>0</v>
      </c>
      <c r="L2496" s="10">
        <f>IFERROR(__xludf.DUMMYFUNCTION("""COMPUTED_VALUE"""),309.0)</f>
        <v>309</v>
      </c>
      <c r="M2496" s="5">
        <f>IFERROR(__xludf.DUMMYFUNCTION("""COMPUTED_VALUE"""),1.0)</f>
        <v>1</v>
      </c>
    </row>
    <row r="2497">
      <c r="A2497" s="10" t="str">
        <f>IFERROR(__xludf.DUMMYFUNCTION("""COMPUTED_VALUE"""),"バッタ獣王位森２")</f>
        <v>バッタ獣王位森２</v>
      </c>
      <c r="B2497" s="10">
        <f>IFERROR(__xludf.DUMMYFUNCTION("""COMPUTED_VALUE"""),156.0)</f>
        <v>156</v>
      </c>
      <c r="C2497" s="10">
        <f>IFERROR(__xludf.DUMMYFUNCTION("""COMPUTED_VALUE"""),1867.0)</f>
        <v>1867</v>
      </c>
      <c r="D2497" s="5">
        <f>IFERROR(__xludf.DUMMYFUNCTION("""COMPUTED_VALUE"""),0.2513150204558738)</f>
        <v>0.2513150205</v>
      </c>
      <c r="E2497" s="5">
        <f>IFERROR(__xludf.DUMMYFUNCTION("""COMPUTED_VALUE"""),0.12916423144360023)</f>
        <v>0.1291642314</v>
      </c>
      <c r="F2497" s="5">
        <f>IFERROR(__xludf.DUMMYFUNCTION("""COMPUTED_VALUE"""),0.21274108708357686)</f>
        <v>0.2127410871</v>
      </c>
      <c r="G2497" s="5">
        <f>IFERROR(__xludf.DUMMYFUNCTION("""COMPUTED_VALUE"""),0.2016364699006429)</f>
        <v>0.2016364699</v>
      </c>
      <c r="H2497" s="5">
        <f>IFERROR(__xludf.DUMMYFUNCTION("""COMPUTED_VALUE"""),0.6346153846153846)</f>
        <v>0.6346153846</v>
      </c>
      <c r="I2497" s="11">
        <f>IFERROR(__xludf.DUMMYFUNCTION("""COMPUTED_VALUE"""),6055.219780219781)</f>
        <v>6055.21978</v>
      </c>
      <c r="J2497" s="10">
        <f>IFERROR(__xludf.DUMMYFUNCTION("""COMPUTED_VALUE"""),0.0)</f>
        <v>0</v>
      </c>
      <c r="K2497" s="5">
        <f>IFERROR(__xludf.DUMMYFUNCTION("""COMPUTED_VALUE"""),0.0)</f>
        <v>0</v>
      </c>
      <c r="L2497" s="10">
        <f>IFERROR(__xludf.DUMMYFUNCTION("""COMPUTED_VALUE"""),42.0)</f>
        <v>42</v>
      </c>
      <c r="M2497" s="5">
        <f>IFERROR(__xludf.DUMMYFUNCTION("""COMPUTED_VALUE"""),0.2692307692307692)</f>
        <v>0.2692307692</v>
      </c>
    </row>
    <row r="2498">
      <c r="A2498" s="10" t="str">
        <f>IFERROR(__xludf.DUMMYFUNCTION("""COMPUTED_VALUE"""),"神火")</f>
        <v>神火</v>
      </c>
      <c r="B2498" s="10">
        <f>IFERROR(__xludf.DUMMYFUNCTION("""COMPUTED_VALUE"""),165.0)</f>
        <v>165</v>
      </c>
      <c r="C2498" s="10">
        <f>IFERROR(__xludf.DUMMYFUNCTION("""COMPUTED_VALUE"""),1876.0)</f>
        <v>1876</v>
      </c>
      <c r="D2498" s="5">
        <f>IFERROR(__xludf.DUMMYFUNCTION("""COMPUTED_VALUE"""),0.3173582700175336)</f>
        <v>0.31735827</v>
      </c>
      <c r="E2498" s="5">
        <f>IFERROR(__xludf.DUMMYFUNCTION("""COMPUTED_VALUE"""),0.12916423144360023)</f>
        <v>0.1291642314</v>
      </c>
      <c r="F2498" s="5">
        <f>IFERROR(__xludf.DUMMYFUNCTION("""COMPUTED_VALUE"""),0.21566335476329632)</f>
        <v>0.2156633548</v>
      </c>
      <c r="G2498" s="5">
        <f>IFERROR(__xludf.DUMMYFUNCTION("""COMPUTED_VALUE"""),0.19988310929281122)</f>
        <v>0.1998831093</v>
      </c>
      <c r="H2498" s="5">
        <f>IFERROR(__xludf.DUMMYFUNCTION("""COMPUTED_VALUE"""),0.6070460704607046)</f>
        <v>0.6070460705</v>
      </c>
      <c r="I2498" s="11">
        <f>IFERROR(__xludf.DUMMYFUNCTION("""COMPUTED_VALUE"""),5795.934959349594)</f>
        <v>5795.934959</v>
      </c>
      <c r="J2498" s="10">
        <f>IFERROR(__xludf.DUMMYFUNCTION("""COMPUTED_VALUE"""),0.0)</f>
        <v>0</v>
      </c>
      <c r="K2498" s="5">
        <f>IFERROR(__xludf.DUMMYFUNCTION("""COMPUTED_VALUE"""),0.0)</f>
        <v>0</v>
      </c>
      <c r="L2498" s="10">
        <f>IFERROR(__xludf.DUMMYFUNCTION("""COMPUTED_VALUE"""),165.0)</f>
        <v>165</v>
      </c>
      <c r="M2498" s="5">
        <f>IFERROR(__xludf.DUMMYFUNCTION("""COMPUTED_VALUE"""),1.0)</f>
        <v>1</v>
      </c>
    </row>
    <row r="2499">
      <c r="A2499" s="10" t="str">
        <f>IFERROR(__xludf.DUMMYFUNCTION("""COMPUTED_VALUE"""),"絶対にゆるさない")</f>
        <v>絶対にゆるさない</v>
      </c>
      <c r="B2499" s="10">
        <f>IFERROR(__xludf.DUMMYFUNCTION("""COMPUTED_VALUE"""),283.0)</f>
        <v>283</v>
      </c>
      <c r="C2499" s="10">
        <f>IFERROR(__xludf.DUMMYFUNCTION("""COMPUTED_VALUE"""),3334.0)</f>
        <v>3334</v>
      </c>
      <c r="D2499" s="5">
        <f>IFERROR(__xludf.DUMMYFUNCTION("""COMPUTED_VALUE"""),0.40675188462799083)</f>
        <v>0.4067518846</v>
      </c>
      <c r="E2499" s="5">
        <f>IFERROR(__xludf.DUMMYFUNCTION("""COMPUTED_VALUE"""),0.1291379875450672)</f>
        <v>0.1291379875</v>
      </c>
      <c r="F2499" s="5">
        <f>IFERROR(__xludf.DUMMYFUNCTION("""COMPUTED_VALUE"""),0.2179613241560144)</f>
        <v>0.2179613242</v>
      </c>
      <c r="G2499" s="5">
        <f>IFERROR(__xludf.DUMMYFUNCTION("""COMPUTED_VALUE"""),0.162569649295313)</f>
        <v>0.1625696493</v>
      </c>
      <c r="H2499" s="5">
        <f>IFERROR(__xludf.DUMMYFUNCTION("""COMPUTED_VALUE"""),0.5804511278195489)</f>
        <v>0.5804511278</v>
      </c>
      <c r="I2499" s="11">
        <f>IFERROR(__xludf.DUMMYFUNCTION("""COMPUTED_VALUE"""),5129.022556390977)</f>
        <v>5129.022556</v>
      </c>
      <c r="J2499" s="10">
        <f>IFERROR(__xludf.DUMMYFUNCTION("""COMPUTED_VALUE"""),0.0)</f>
        <v>0</v>
      </c>
      <c r="K2499" s="5">
        <f>IFERROR(__xludf.DUMMYFUNCTION("""COMPUTED_VALUE"""),0.0)</f>
        <v>0</v>
      </c>
      <c r="L2499" s="10">
        <f>IFERROR(__xludf.DUMMYFUNCTION("""COMPUTED_VALUE"""),283.0)</f>
        <v>283</v>
      </c>
      <c r="M2499" s="5">
        <f>IFERROR(__xludf.DUMMYFUNCTION("""COMPUTED_VALUE"""),1.0)</f>
        <v>1</v>
      </c>
    </row>
    <row r="2500">
      <c r="A2500" s="10" t="str">
        <f>IFERROR(__xludf.DUMMYFUNCTION("""COMPUTED_VALUE"""),"なっち")</f>
        <v>なっち</v>
      </c>
      <c r="B2500" s="10">
        <f>IFERROR(__xludf.DUMMYFUNCTION("""COMPUTED_VALUE"""),198.0)</f>
        <v>198</v>
      </c>
      <c r="C2500" s="10">
        <f>IFERROR(__xludf.DUMMYFUNCTION("""COMPUTED_VALUE"""),2343.0)</f>
        <v>2343</v>
      </c>
      <c r="D2500" s="5">
        <f>IFERROR(__xludf.DUMMYFUNCTION("""COMPUTED_VALUE"""),0.33706293706293705)</f>
        <v>0.3370629371</v>
      </c>
      <c r="E2500" s="5">
        <f>IFERROR(__xludf.DUMMYFUNCTION("""COMPUTED_VALUE"""),0.12913752913752913)</f>
        <v>0.1291375291</v>
      </c>
      <c r="F2500" s="5">
        <f>IFERROR(__xludf.DUMMYFUNCTION("""COMPUTED_VALUE"""),0.1864801864801865)</f>
        <v>0.1864801865</v>
      </c>
      <c r="G2500" s="5">
        <f>IFERROR(__xludf.DUMMYFUNCTION("""COMPUTED_VALUE"""),0.16503496503496504)</f>
        <v>0.165034965</v>
      </c>
      <c r="H2500" s="5">
        <f>IFERROR(__xludf.DUMMYFUNCTION("""COMPUTED_VALUE"""),0.5525)</f>
        <v>0.5525</v>
      </c>
      <c r="I2500" s="11">
        <f>IFERROR(__xludf.DUMMYFUNCTION("""COMPUTED_VALUE"""),5766.25)</f>
        <v>5766.25</v>
      </c>
      <c r="J2500" s="10">
        <f>IFERROR(__xludf.DUMMYFUNCTION("""COMPUTED_VALUE"""),0.0)</f>
        <v>0</v>
      </c>
      <c r="K2500" s="5">
        <f>IFERROR(__xludf.DUMMYFUNCTION("""COMPUTED_VALUE"""),0.0)</f>
        <v>0</v>
      </c>
      <c r="L2500" s="10">
        <f>IFERROR(__xludf.DUMMYFUNCTION("""COMPUTED_VALUE"""),198.0)</f>
        <v>198</v>
      </c>
      <c r="M2500" s="5">
        <f>IFERROR(__xludf.DUMMYFUNCTION("""COMPUTED_VALUE"""),1.0)</f>
        <v>1</v>
      </c>
    </row>
    <row r="2501">
      <c r="A2501" s="10" t="str">
        <f>IFERROR(__xludf.DUMMYFUNCTION("""COMPUTED_VALUE"""),"ArmaYoko")</f>
        <v>ArmaYoko</v>
      </c>
      <c r="B2501" s="10">
        <f>IFERROR(__xludf.DUMMYFUNCTION("""COMPUTED_VALUE"""),468.0)</f>
        <v>468</v>
      </c>
      <c r="C2501" s="10">
        <f>IFERROR(__xludf.DUMMYFUNCTION("""COMPUTED_VALUE"""),5455.0)</f>
        <v>5455</v>
      </c>
      <c r="D2501" s="5">
        <f>IFERROR(__xludf.DUMMYFUNCTION("""COMPUTED_VALUE"""),0.39242029276117907)</f>
        <v>0.3924202928</v>
      </c>
      <c r="E2501" s="5">
        <f>IFERROR(__xludf.DUMMYFUNCTION("""COMPUTED_VALUE"""),0.12913575295769)</f>
        <v>0.129135753</v>
      </c>
      <c r="F2501" s="5">
        <f>IFERROR(__xludf.DUMMYFUNCTION("""COMPUTED_VALUE"""),0.2133547222779226)</f>
        <v>0.2133547223</v>
      </c>
      <c r="G2501" s="5">
        <f>IFERROR(__xludf.DUMMYFUNCTION("""COMPUTED_VALUE"""),0.18447964708241427)</f>
        <v>0.1844796471</v>
      </c>
      <c r="H2501" s="5">
        <f>IFERROR(__xludf.DUMMYFUNCTION("""COMPUTED_VALUE"""),0.6080827067669173)</f>
        <v>0.6080827068</v>
      </c>
      <c r="I2501" s="11">
        <f>IFERROR(__xludf.DUMMYFUNCTION("""COMPUTED_VALUE"""),5592.199248120301)</f>
        <v>5592.199248</v>
      </c>
      <c r="J2501" s="10">
        <f>IFERROR(__xludf.DUMMYFUNCTION("""COMPUTED_VALUE"""),1.0)</f>
        <v>1</v>
      </c>
      <c r="K2501" s="5">
        <f>IFERROR(__xludf.DUMMYFUNCTION("""COMPUTED_VALUE"""),0.002136752136752137)</f>
        <v>0.002136752137</v>
      </c>
      <c r="L2501" s="10">
        <f>IFERROR(__xludf.DUMMYFUNCTION("""COMPUTED_VALUE"""),0.0)</f>
        <v>0</v>
      </c>
      <c r="M2501" s="5">
        <f>IFERROR(__xludf.DUMMYFUNCTION("""COMPUTED_VALUE"""),0.0)</f>
        <v>0</v>
      </c>
    </row>
    <row r="2502">
      <c r="A2502" s="10" t="str">
        <f>IFERROR(__xludf.DUMMYFUNCTION("""COMPUTED_VALUE"""),"幻影の音")</f>
        <v>幻影の音</v>
      </c>
      <c r="B2502" s="10">
        <f>IFERROR(__xludf.DUMMYFUNCTION("""COMPUTED_VALUE"""),290.0)</f>
        <v>290</v>
      </c>
      <c r="C2502" s="10">
        <f>IFERROR(__xludf.DUMMYFUNCTION("""COMPUTED_VALUE"""),3318.0)</f>
        <v>3318</v>
      </c>
      <c r="D2502" s="5">
        <f>IFERROR(__xludf.DUMMYFUNCTION("""COMPUTED_VALUE"""),0.34313077939233816)</f>
        <v>0.3431307794</v>
      </c>
      <c r="E2502" s="5">
        <f>IFERROR(__xludf.DUMMYFUNCTION("""COMPUTED_VALUE"""),0.12912813738441214)</f>
        <v>0.1291281374</v>
      </c>
      <c r="F2502" s="5">
        <f>IFERROR(__xludf.DUMMYFUNCTION("""COMPUTED_VALUE"""),0.21466314398943198)</f>
        <v>0.214663144</v>
      </c>
      <c r="G2502" s="5">
        <f>IFERROR(__xludf.DUMMYFUNCTION("""COMPUTED_VALUE"""),0.19848084544253633)</f>
        <v>0.1984808454</v>
      </c>
      <c r="H2502" s="5">
        <f>IFERROR(__xludf.DUMMYFUNCTION("""COMPUTED_VALUE"""),0.5538461538461539)</f>
        <v>0.5538461538</v>
      </c>
      <c r="I2502" s="11">
        <f>IFERROR(__xludf.DUMMYFUNCTION("""COMPUTED_VALUE"""),6179.692307692308)</f>
        <v>6179.692308</v>
      </c>
      <c r="J2502" s="10">
        <f>IFERROR(__xludf.DUMMYFUNCTION("""COMPUTED_VALUE"""),1.0)</f>
        <v>1</v>
      </c>
      <c r="K2502" s="5">
        <f>IFERROR(__xludf.DUMMYFUNCTION("""COMPUTED_VALUE"""),0.0034482758620689655)</f>
        <v>0.003448275862</v>
      </c>
      <c r="L2502" s="10">
        <f>IFERROR(__xludf.DUMMYFUNCTION("""COMPUTED_VALUE"""),0.0)</f>
        <v>0</v>
      </c>
      <c r="M2502" s="5">
        <f>IFERROR(__xludf.DUMMYFUNCTION("""COMPUTED_VALUE"""),0.0)</f>
        <v>0</v>
      </c>
    </row>
    <row r="2503">
      <c r="A2503" s="10" t="str">
        <f>IFERROR(__xludf.DUMMYFUNCTION("""COMPUTED_VALUE"""),"嫌んなった")</f>
        <v>嫌んなった</v>
      </c>
      <c r="B2503" s="10">
        <f>IFERROR(__xludf.DUMMYFUNCTION("""COMPUTED_VALUE"""),1058.0)</f>
        <v>1058</v>
      </c>
      <c r="C2503" s="10">
        <f>IFERROR(__xludf.DUMMYFUNCTION("""COMPUTED_VALUE"""),12303.0)</f>
        <v>12303</v>
      </c>
      <c r="D2503" s="5">
        <f>IFERROR(__xludf.DUMMYFUNCTION("""COMPUTED_VALUE"""),0.3421076033792797)</f>
        <v>0.3421076034</v>
      </c>
      <c r="E2503" s="5">
        <f>IFERROR(__xludf.DUMMYFUNCTION("""COMPUTED_VALUE"""),0.12912405513561584)</f>
        <v>0.1291240551</v>
      </c>
      <c r="F2503" s="5">
        <f>IFERROR(__xludf.DUMMYFUNCTION("""COMPUTED_VALUE"""),0.20702534459759894)</f>
        <v>0.2070253446</v>
      </c>
      <c r="G2503" s="5">
        <f>IFERROR(__xludf.DUMMYFUNCTION("""COMPUTED_VALUE"""),0.17092040907069808)</f>
        <v>0.1709204091</v>
      </c>
      <c r="H2503" s="5">
        <f>IFERROR(__xludf.DUMMYFUNCTION("""COMPUTED_VALUE"""),0.5919243986254296)</f>
        <v>0.5919243986</v>
      </c>
      <c r="I2503" s="11">
        <f>IFERROR(__xludf.DUMMYFUNCTION("""COMPUTED_VALUE"""),5798.582474226804)</f>
        <v>5798.582474</v>
      </c>
      <c r="J2503" s="10">
        <f>IFERROR(__xludf.DUMMYFUNCTION("""COMPUTED_VALUE"""),3.0)</f>
        <v>3</v>
      </c>
      <c r="K2503" s="5">
        <f>IFERROR(__xludf.DUMMYFUNCTION("""COMPUTED_VALUE"""),0.002835538752362949)</f>
        <v>0.002835538752</v>
      </c>
      <c r="L2503" s="10">
        <f>IFERROR(__xludf.DUMMYFUNCTION("""COMPUTED_VALUE"""),0.0)</f>
        <v>0</v>
      </c>
      <c r="M2503" s="5">
        <f>IFERROR(__xludf.DUMMYFUNCTION("""COMPUTED_VALUE"""),0.0)</f>
        <v>0</v>
      </c>
    </row>
    <row r="2504">
      <c r="A2504" s="10" t="str">
        <f>IFERROR(__xludf.DUMMYFUNCTION("""COMPUTED_VALUE"""),"呂姫")</f>
        <v>呂姫</v>
      </c>
      <c r="B2504" s="10">
        <f>IFERROR(__xludf.DUMMYFUNCTION("""COMPUTED_VALUE"""),1634.0)</f>
        <v>1634</v>
      </c>
      <c r="C2504" s="10">
        <f>IFERROR(__xludf.DUMMYFUNCTION("""COMPUTED_VALUE"""),19145.0)</f>
        <v>19145</v>
      </c>
      <c r="D2504" s="5">
        <f>IFERROR(__xludf.DUMMYFUNCTION("""COMPUTED_VALUE"""),0.36708354748443833)</f>
        <v>0.3670835475</v>
      </c>
      <c r="E2504" s="5">
        <f>IFERROR(__xludf.DUMMYFUNCTION("""COMPUTED_VALUE"""),0.1291188395865456)</f>
        <v>0.1291188396</v>
      </c>
      <c r="F2504" s="5">
        <f>IFERROR(__xludf.DUMMYFUNCTION("""COMPUTED_VALUE"""),0.22066129861230083)</f>
        <v>0.2206612986</v>
      </c>
      <c r="G2504" s="5">
        <f>IFERROR(__xludf.DUMMYFUNCTION("""COMPUTED_VALUE"""),0.16846553594883215)</f>
        <v>0.1684655359</v>
      </c>
      <c r="H2504" s="5">
        <f>IFERROR(__xludf.DUMMYFUNCTION("""COMPUTED_VALUE"""),0.6097308488612836)</f>
        <v>0.6097308489</v>
      </c>
      <c r="I2504" s="11">
        <f>IFERROR(__xludf.DUMMYFUNCTION("""COMPUTED_VALUE"""),5709.083850931677)</f>
        <v>5709.083851</v>
      </c>
      <c r="J2504" s="10">
        <f>IFERROR(__xludf.DUMMYFUNCTION("""COMPUTED_VALUE"""),4.0)</f>
        <v>4</v>
      </c>
      <c r="K2504" s="5">
        <f>IFERROR(__xludf.DUMMYFUNCTION("""COMPUTED_VALUE"""),0.0024479804161566705)</f>
        <v>0.002447980416</v>
      </c>
      <c r="L2504" s="10">
        <f>IFERROR(__xludf.DUMMYFUNCTION("""COMPUTED_VALUE"""),0.0)</f>
        <v>0</v>
      </c>
      <c r="M2504" s="5">
        <f>IFERROR(__xludf.DUMMYFUNCTION("""COMPUTED_VALUE"""),0.0)</f>
        <v>0</v>
      </c>
    </row>
    <row r="2505">
      <c r="A2505" s="10" t="str">
        <f>IFERROR(__xludf.DUMMYFUNCTION("""COMPUTED_VALUE"""),"えく＠zero")</f>
        <v>えく＠zero</v>
      </c>
      <c r="B2505" s="10">
        <f>IFERROR(__xludf.DUMMYFUNCTION("""COMPUTED_VALUE"""),218.0)</f>
        <v>218</v>
      </c>
      <c r="C2505" s="10">
        <f>IFERROR(__xludf.DUMMYFUNCTION("""COMPUTED_VALUE"""),2495.0)</f>
        <v>2495</v>
      </c>
      <c r="D2505" s="5">
        <f>IFERROR(__xludf.DUMMYFUNCTION("""COMPUTED_VALUE"""),0.3794466403162055)</f>
        <v>0.3794466403</v>
      </c>
      <c r="E2505" s="5">
        <f>IFERROR(__xludf.DUMMYFUNCTION("""COMPUTED_VALUE"""),0.12911725955204217)</f>
        <v>0.1291172596</v>
      </c>
      <c r="F2505" s="5">
        <f>IFERROR(__xludf.DUMMYFUNCTION("""COMPUTED_VALUE"""),0.19938515590689504)</f>
        <v>0.1993851559</v>
      </c>
      <c r="G2505" s="5">
        <f>IFERROR(__xludf.DUMMYFUNCTION("""COMPUTED_VALUE"""),0.14361001317523056)</f>
        <v>0.1436100132</v>
      </c>
      <c r="H2505" s="5">
        <f>IFERROR(__xludf.DUMMYFUNCTION("""COMPUTED_VALUE"""),0.6101321585903083)</f>
        <v>0.6101321586</v>
      </c>
      <c r="I2505" s="11">
        <f>IFERROR(__xludf.DUMMYFUNCTION("""COMPUTED_VALUE"""),5184.801762114537)</f>
        <v>5184.801762</v>
      </c>
      <c r="J2505" s="10">
        <f>IFERROR(__xludf.DUMMYFUNCTION("""COMPUTED_VALUE"""),0.0)</f>
        <v>0</v>
      </c>
      <c r="K2505" s="5">
        <f>IFERROR(__xludf.DUMMYFUNCTION("""COMPUTED_VALUE"""),0.0)</f>
        <v>0</v>
      </c>
      <c r="L2505" s="10">
        <f>IFERROR(__xludf.DUMMYFUNCTION("""COMPUTED_VALUE"""),218.0)</f>
        <v>218</v>
      </c>
      <c r="M2505" s="5">
        <f>IFERROR(__xludf.DUMMYFUNCTION("""COMPUTED_VALUE"""),1.0)</f>
        <v>1</v>
      </c>
    </row>
    <row r="2506">
      <c r="A2506" s="10" t="str">
        <f>IFERROR(__xludf.DUMMYFUNCTION("""COMPUTED_VALUE"""),"カメックス")</f>
        <v>カメックス</v>
      </c>
      <c r="B2506" s="10">
        <f>IFERROR(__xludf.DUMMYFUNCTION("""COMPUTED_VALUE"""),636.0)</f>
        <v>636</v>
      </c>
      <c r="C2506" s="10">
        <f>IFERROR(__xludf.DUMMYFUNCTION("""COMPUTED_VALUE"""),7382.0)</f>
        <v>7382</v>
      </c>
      <c r="D2506" s="5">
        <f>IFERROR(__xludf.DUMMYFUNCTION("""COMPUTED_VALUE"""),0.2949896234805811)</f>
        <v>0.2949896235</v>
      </c>
      <c r="E2506" s="5">
        <f>IFERROR(__xludf.DUMMYFUNCTION("""COMPUTED_VALUE"""),0.12911354876964126)</f>
        <v>0.1291135488</v>
      </c>
      <c r="F2506" s="5">
        <f>IFERROR(__xludf.DUMMYFUNCTION("""COMPUTED_VALUE"""),0.21257041209605693)</f>
        <v>0.2125704121</v>
      </c>
      <c r="G2506" s="5">
        <f>IFERROR(__xludf.DUMMYFUNCTION("""COMPUTED_VALUE"""),0.2127186480877557)</f>
        <v>0.2127186481</v>
      </c>
      <c r="H2506" s="5">
        <f>IFERROR(__xludf.DUMMYFUNCTION("""COMPUTED_VALUE"""),0.5690376569037657)</f>
        <v>0.5690376569</v>
      </c>
      <c r="I2506" s="11">
        <f>IFERROR(__xludf.DUMMYFUNCTION("""COMPUTED_VALUE"""),5934.030683403068)</f>
        <v>5934.030683</v>
      </c>
      <c r="J2506" s="10">
        <f>IFERROR(__xludf.DUMMYFUNCTION("""COMPUTED_VALUE"""),2.0)</f>
        <v>2</v>
      </c>
      <c r="K2506" s="5">
        <f>IFERROR(__xludf.DUMMYFUNCTION("""COMPUTED_VALUE"""),0.0031446540880503146)</f>
        <v>0.003144654088</v>
      </c>
      <c r="L2506" s="10">
        <f>IFERROR(__xludf.DUMMYFUNCTION("""COMPUTED_VALUE"""),539.0)</f>
        <v>539</v>
      </c>
      <c r="M2506" s="5">
        <f>IFERROR(__xludf.DUMMYFUNCTION("""COMPUTED_VALUE"""),0.8474842767295597)</f>
        <v>0.8474842767</v>
      </c>
    </row>
    <row r="2507">
      <c r="A2507" s="10" t="str">
        <f>IFERROR(__xludf.DUMMYFUNCTION("""COMPUTED_VALUE"""),"jon太郎")</f>
        <v>jon太郎</v>
      </c>
      <c r="B2507" s="10">
        <f>IFERROR(__xludf.DUMMYFUNCTION("""COMPUTED_VALUE"""),310.0)</f>
        <v>310</v>
      </c>
      <c r="C2507" s="10">
        <f>IFERROR(__xludf.DUMMYFUNCTION("""COMPUTED_VALUE"""),3695.0)</f>
        <v>3695</v>
      </c>
      <c r="D2507" s="5">
        <f>IFERROR(__xludf.DUMMYFUNCTION("""COMPUTED_VALUE"""),0.40590841949778433)</f>
        <v>0.4059084195</v>
      </c>
      <c r="E2507" s="5">
        <f>IFERROR(__xludf.DUMMYFUNCTION("""COMPUTED_VALUE"""),0.12909896602658788)</f>
        <v>0.129098966</v>
      </c>
      <c r="F2507" s="5">
        <f>IFERROR(__xludf.DUMMYFUNCTION("""COMPUTED_VALUE"""),0.21654357459379617)</f>
        <v>0.2165435746</v>
      </c>
      <c r="G2507" s="5">
        <f>IFERROR(__xludf.DUMMYFUNCTION("""COMPUTED_VALUE"""),0.17666174298375184)</f>
        <v>0.176661743</v>
      </c>
      <c r="H2507" s="5">
        <f>IFERROR(__xludf.DUMMYFUNCTION("""COMPUTED_VALUE"""),0.5497953615279673)</f>
        <v>0.5497953615</v>
      </c>
      <c r="I2507" s="11">
        <f>IFERROR(__xludf.DUMMYFUNCTION("""COMPUTED_VALUE"""),5429.467939972715)</f>
        <v>5429.46794</v>
      </c>
      <c r="J2507" s="10">
        <f>IFERROR(__xludf.DUMMYFUNCTION("""COMPUTED_VALUE"""),0.0)</f>
        <v>0</v>
      </c>
      <c r="K2507" s="5">
        <f>IFERROR(__xludf.DUMMYFUNCTION("""COMPUTED_VALUE"""),0.0)</f>
        <v>0</v>
      </c>
      <c r="L2507" s="10">
        <f>IFERROR(__xludf.DUMMYFUNCTION("""COMPUTED_VALUE"""),308.0)</f>
        <v>308</v>
      </c>
      <c r="M2507" s="5">
        <f>IFERROR(__xludf.DUMMYFUNCTION("""COMPUTED_VALUE"""),0.9935483870967742)</f>
        <v>0.9935483871</v>
      </c>
    </row>
    <row r="2508">
      <c r="A2508" s="10" t="str">
        <f>IFERROR(__xludf.DUMMYFUNCTION("""COMPUTED_VALUE"""),"れんたる")</f>
        <v>れんたる</v>
      </c>
      <c r="B2508" s="10">
        <f>IFERROR(__xludf.DUMMYFUNCTION("""COMPUTED_VALUE"""),246.0)</f>
        <v>246</v>
      </c>
      <c r="C2508" s="10">
        <f>IFERROR(__xludf.DUMMYFUNCTION("""COMPUTED_VALUE"""),2810.0)</f>
        <v>2810</v>
      </c>
      <c r="D2508" s="5">
        <f>IFERROR(__xludf.DUMMYFUNCTION("""COMPUTED_VALUE"""),0.374804992199688)</f>
        <v>0.3748049922</v>
      </c>
      <c r="E2508" s="5">
        <f>IFERROR(__xludf.DUMMYFUNCTION("""COMPUTED_VALUE"""),0.12909516380655225)</f>
        <v>0.1290951638</v>
      </c>
      <c r="F2508" s="5">
        <f>IFERROR(__xludf.DUMMYFUNCTION("""COMPUTED_VALUE"""),0.23010920436817472)</f>
        <v>0.2301092044</v>
      </c>
      <c r="G2508" s="5">
        <f>IFERROR(__xludf.DUMMYFUNCTION("""COMPUTED_VALUE"""),0.1797971918876755)</f>
        <v>0.1797971919</v>
      </c>
      <c r="H2508" s="5">
        <f>IFERROR(__xludf.DUMMYFUNCTION("""COMPUTED_VALUE"""),0.5830508474576271)</f>
        <v>0.5830508475</v>
      </c>
      <c r="I2508" s="11">
        <f>IFERROR(__xludf.DUMMYFUNCTION("""COMPUTED_VALUE"""),6053.559322033899)</f>
        <v>6053.559322</v>
      </c>
      <c r="J2508" s="10">
        <f>IFERROR(__xludf.DUMMYFUNCTION("""COMPUTED_VALUE"""),2.0)</f>
        <v>2</v>
      </c>
      <c r="K2508" s="5">
        <f>IFERROR(__xludf.DUMMYFUNCTION("""COMPUTED_VALUE"""),0.008130081300813009)</f>
        <v>0.008130081301</v>
      </c>
      <c r="L2508" s="10">
        <f>IFERROR(__xludf.DUMMYFUNCTION("""COMPUTED_VALUE"""),246.0)</f>
        <v>246</v>
      </c>
      <c r="M2508" s="5">
        <f>IFERROR(__xludf.DUMMYFUNCTION("""COMPUTED_VALUE"""),1.0)</f>
        <v>1</v>
      </c>
    </row>
    <row r="2509">
      <c r="A2509" s="10" t="str">
        <f>IFERROR(__xludf.DUMMYFUNCTION("""COMPUTED_VALUE"""),"CRダンチ")</f>
        <v>CRダンチ</v>
      </c>
      <c r="B2509" s="10">
        <f>IFERROR(__xludf.DUMMYFUNCTION("""COMPUTED_VALUE"""),226.0)</f>
        <v>226</v>
      </c>
      <c r="C2509" s="10">
        <f>IFERROR(__xludf.DUMMYFUNCTION("""COMPUTED_VALUE"""),2705.0)</f>
        <v>2705</v>
      </c>
      <c r="D2509" s="5">
        <f>IFERROR(__xludf.DUMMYFUNCTION("""COMPUTED_VALUE"""),0.318273497377975)</f>
        <v>0.3182734974</v>
      </c>
      <c r="E2509" s="5">
        <f>IFERROR(__xludf.DUMMYFUNCTION("""COMPUTED_VALUE"""),0.1290843081887858)</f>
        <v>0.1290843082</v>
      </c>
      <c r="F2509" s="5">
        <f>IFERROR(__xludf.DUMMYFUNCTION("""COMPUTED_VALUE"""),0.21258572004840662)</f>
        <v>0.21258572</v>
      </c>
      <c r="G2509" s="5">
        <f>IFERROR(__xludf.DUMMYFUNCTION("""COMPUTED_VALUE"""),0.18797902379991932)</f>
        <v>0.1879790238</v>
      </c>
      <c r="H2509" s="5">
        <f>IFERROR(__xludf.DUMMYFUNCTION("""COMPUTED_VALUE"""),0.5768500948766604)</f>
        <v>0.5768500949</v>
      </c>
      <c r="I2509" s="11">
        <f>IFERROR(__xludf.DUMMYFUNCTION("""COMPUTED_VALUE"""),5634.535104364327)</f>
        <v>5634.535104</v>
      </c>
      <c r="J2509" s="10">
        <f>IFERROR(__xludf.DUMMYFUNCTION("""COMPUTED_VALUE"""),0.0)</f>
        <v>0</v>
      </c>
      <c r="K2509" s="5">
        <f>IFERROR(__xludf.DUMMYFUNCTION("""COMPUTED_VALUE"""),0.0)</f>
        <v>0</v>
      </c>
      <c r="L2509" s="10">
        <f>IFERROR(__xludf.DUMMYFUNCTION("""COMPUTED_VALUE"""),226.0)</f>
        <v>226</v>
      </c>
      <c r="M2509" s="5">
        <f>IFERROR(__xludf.DUMMYFUNCTION("""COMPUTED_VALUE"""),1.0)</f>
        <v>1</v>
      </c>
    </row>
    <row r="2510">
      <c r="A2510" s="10" t="str">
        <f>IFERROR(__xludf.DUMMYFUNCTION("""COMPUTED_VALUE"""),"トラヴィス")</f>
        <v>トラヴィス</v>
      </c>
      <c r="B2510" s="10">
        <f>IFERROR(__xludf.DUMMYFUNCTION("""COMPUTED_VALUE"""),130.0)</f>
        <v>130</v>
      </c>
      <c r="C2510" s="10">
        <f>IFERROR(__xludf.DUMMYFUNCTION("""COMPUTED_VALUE"""),1509.0)</f>
        <v>1509</v>
      </c>
      <c r="D2510" s="5">
        <f>IFERROR(__xludf.DUMMYFUNCTION("""COMPUTED_VALUE"""),0.36620739666424945)</f>
        <v>0.3662073967</v>
      </c>
      <c r="E2510" s="5">
        <f>IFERROR(__xludf.DUMMYFUNCTION("""COMPUTED_VALUE"""),0.12907904278462654)</f>
        <v>0.1290790428</v>
      </c>
      <c r="F2510" s="5">
        <f>IFERROR(__xludf.DUMMYFUNCTION("""COMPUTED_VALUE"""),0.1994198694706309)</f>
        <v>0.1994198695</v>
      </c>
      <c r="G2510" s="5">
        <f>IFERROR(__xludf.DUMMYFUNCTION("""COMPUTED_VALUE"""),0.12037708484408992)</f>
        <v>0.1203770848</v>
      </c>
      <c r="H2510" s="5">
        <f>IFERROR(__xludf.DUMMYFUNCTION("""COMPUTED_VALUE"""),0.6)</f>
        <v>0.6</v>
      </c>
      <c r="I2510" s="11">
        <f>IFERROR(__xludf.DUMMYFUNCTION("""COMPUTED_VALUE"""),5674.909090909091)</f>
        <v>5674.909091</v>
      </c>
      <c r="J2510" s="10">
        <f>IFERROR(__xludf.DUMMYFUNCTION("""COMPUTED_VALUE"""),1.0)</f>
        <v>1</v>
      </c>
      <c r="K2510" s="5">
        <f>IFERROR(__xludf.DUMMYFUNCTION("""COMPUTED_VALUE"""),0.007692307692307693)</f>
        <v>0.007692307692</v>
      </c>
      <c r="L2510" s="10">
        <f>IFERROR(__xludf.DUMMYFUNCTION("""COMPUTED_VALUE"""),130.0)</f>
        <v>130</v>
      </c>
      <c r="M2510" s="5">
        <f>IFERROR(__xludf.DUMMYFUNCTION("""COMPUTED_VALUE"""),1.0)</f>
        <v>1</v>
      </c>
    </row>
    <row r="2511">
      <c r="A2511" s="10" t="str">
        <f>IFERROR(__xludf.DUMMYFUNCTION("""COMPUTED_VALUE"""),"二鳥修一")</f>
        <v>二鳥修一</v>
      </c>
      <c r="B2511" s="10">
        <f>IFERROR(__xludf.DUMMYFUNCTION("""COMPUTED_VALUE"""),487.0)</f>
        <v>487</v>
      </c>
      <c r="C2511" s="10">
        <f>IFERROR(__xludf.DUMMYFUNCTION("""COMPUTED_VALUE"""),5670.0)</f>
        <v>5670</v>
      </c>
      <c r="D2511" s="5">
        <f>IFERROR(__xludf.DUMMYFUNCTION("""COMPUTED_VALUE"""),0.32066370827705964)</f>
        <v>0.3206637083</v>
      </c>
      <c r="E2511" s="5">
        <f>IFERROR(__xludf.DUMMYFUNCTION("""COMPUTED_VALUE"""),0.129075824811885)</f>
        <v>0.1290758248</v>
      </c>
      <c r="F2511" s="5">
        <f>IFERROR(__xludf.DUMMYFUNCTION("""COMPUTED_VALUE"""),0.20779471348639783)</f>
        <v>0.2077947135</v>
      </c>
      <c r="G2511" s="5">
        <f>IFERROR(__xludf.DUMMYFUNCTION("""COMPUTED_VALUE"""),0.20374300598109202)</f>
        <v>0.203743006</v>
      </c>
      <c r="H2511" s="5">
        <f>IFERROR(__xludf.DUMMYFUNCTION("""COMPUTED_VALUE"""),0.5933147632311978)</f>
        <v>0.5933147632</v>
      </c>
      <c r="I2511" s="11">
        <f>IFERROR(__xludf.DUMMYFUNCTION("""COMPUTED_VALUE"""),6146.61095636026)</f>
        <v>6146.610956</v>
      </c>
      <c r="J2511" s="10">
        <f>IFERROR(__xludf.DUMMYFUNCTION("""COMPUTED_VALUE"""),0.0)</f>
        <v>0</v>
      </c>
      <c r="K2511" s="5">
        <f>IFERROR(__xludf.DUMMYFUNCTION("""COMPUTED_VALUE"""),0.0)</f>
        <v>0</v>
      </c>
      <c r="L2511" s="10">
        <f>IFERROR(__xludf.DUMMYFUNCTION("""COMPUTED_VALUE"""),487.0)</f>
        <v>487</v>
      </c>
      <c r="M2511" s="5">
        <f>IFERROR(__xludf.DUMMYFUNCTION("""COMPUTED_VALUE"""),1.0)</f>
        <v>1</v>
      </c>
    </row>
    <row r="2512">
      <c r="A2512" s="10" t="str">
        <f>IFERROR(__xludf.DUMMYFUNCTION("""COMPUTED_VALUE"""),"えんぺらー")</f>
        <v>えんぺらー</v>
      </c>
      <c r="B2512" s="10">
        <f>IFERROR(__xludf.DUMMYFUNCTION("""COMPUTED_VALUE"""),434.0)</f>
        <v>434</v>
      </c>
      <c r="C2512" s="10">
        <f>IFERROR(__xludf.DUMMYFUNCTION("""COMPUTED_VALUE"""),5044.0)</f>
        <v>5044</v>
      </c>
      <c r="D2512" s="5">
        <f>IFERROR(__xludf.DUMMYFUNCTION("""COMPUTED_VALUE"""),0.2785249457700651)</f>
        <v>0.2785249458</v>
      </c>
      <c r="E2512" s="5">
        <f>IFERROR(__xludf.DUMMYFUNCTION("""COMPUTED_VALUE"""),0.12906724511930587)</f>
        <v>0.1290672451</v>
      </c>
      <c r="F2512" s="5">
        <f>IFERROR(__xludf.DUMMYFUNCTION("""COMPUTED_VALUE"""),0.20455531453362255)</f>
        <v>0.2045553145</v>
      </c>
      <c r="G2512" s="5">
        <f>IFERROR(__xludf.DUMMYFUNCTION("""COMPUTED_VALUE"""),0.19718004338394793)</f>
        <v>0.1971800434</v>
      </c>
      <c r="H2512" s="5">
        <f>IFERROR(__xludf.DUMMYFUNCTION("""COMPUTED_VALUE"""),0.6055143160127253)</f>
        <v>0.605514316</v>
      </c>
      <c r="I2512" s="11">
        <f>IFERROR(__xludf.DUMMYFUNCTION("""COMPUTED_VALUE"""),6082.078472958643)</f>
        <v>6082.078473</v>
      </c>
      <c r="J2512" s="10">
        <f>IFERROR(__xludf.DUMMYFUNCTION("""COMPUTED_VALUE"""),3.0)</f>
        <v>3</v>
      </c>
      <c r="K2512" s="5">
        <f>IFERROR(__xludf.DUMMYFUNCTION("""COMPUTED_VALUE"""),0.0069124423963133645)</f>
        <v>0.006912442396</v>
      </c>
      <c r="L2512" s="10">
        <f>IFERROR(__xludf.DUMMYFUNCTION("""COMPUTED_VALUE"""),434.0)</f>
        <v>434</v>
      </c>
      <c r="M2512" s="5">
        <f>IFERROR(__xludf.DUMMYFUNCTION("""COMPUTED_VALUE"""),1.0)</f>
        <v>1</v>
      </c>
    </row>
    <row r="2513">
      <c r="A2513" s="10" t="str">
        <f>IFERROR(__xludf.DUMMYFUNCTION("""COMPUTED_VALUE"""),"☆タキオン★")</f>
        <v>☆タキオン★</v>
      </c>
      <c r="B2513" s="10">
        <f>IFERROR(__xludf.DUMMYFUNCTION("""COMPUTED_VALUE"""),1988.0)</f>
        <v>1988</v>
      </c>
      <c r="C2513" s="10">
        <f>IFERROR(__xludf.DUMMYFUNCTION("""COMPUTED_VALUE"""),23249.0)</f>
        <v>23249</v>
      </c>
      <c r="D2513" s="5">
        <f>IFERROR(__xludf.DUMMYFUNCTION("""COMPUTED_VALUE"""),0.3218098866469122)</f>
        <v>0.3218098866</v>
      </c>
      <c r="E2513" s="5">
        <f>IFERROR(__xludf.DUMMYFUNCTION("""COMPUTED_VALUE"""),0.12906260288791685)</f>
        <v>0.1290626029</v>
      </c>
      <c r="F2513" s="5">
        <f>IFERROR(__xludf.DUMMYFUNCTION("""COMPUTED_VALUE"""),0.21602934951319316)</f>
        <v>0.2160293495</v>
      </c>
      <c r="G2513" s="5">
        <f>IFERROR(__xludf.DUMMYFUNCTION("""COMPUTED_VALUE"""),0.20761017826066508)</f>
        <v>0.2076101783</v>
      </c>
      <c r="H2513" s="5">
        <f>IFERROR(__xludf.DUMMYFUNCTION("""COMPUTED_VALUE"""),0.5882865229697366)</f>
        <v>0.588286523</v>
      </c>
      <c r="I2513" s="11">
        <f>IFERROR(__xludf.DUMMYFUNCTION("""COMPUTED_VALUE"""),5608.6435880688)</f>
        <v>5608.643588</v>
      </c>
      <c r="J2513" s="10">
        <f>IFERROR(__xludf.DUMMYFUNCTION("""COMPUTED_VALUE"""),4.0)</f>
        <v>4</v>
      </c>
      <c r="K2513" s="5">
        <f>IFERROR(__xludf.DUMMYFUNCTION("""COMPUTED_VALUE"""),0.002012072434607646)</f>
        <v>0.002012072435</v>
      </c>
      <c r="L2513" s="10">
        <f>IFERROR(__xludf.DUMMYFUNCTION("""COMPUTED_VALUE"""),1984.0)</f>
        <v>1984</v>
      </c>
      <c r="M2513" s="5">
        <f>IFERROR(__xludf.DUMMYFUNCTION("""COMPUTED_VALUE"""),0.9979879275653923)</f>
        <v>0.9979879276</v>
      </c>
    </row>
    <row r="2514">
      <c r="A2514" s="10" t="str">
        <f>IFERROR(__xludf.DUMMYFUNCTION("""COMPUTED_VALUE"""),"cgf54858")</f>
        <v>cgf54858</v>
      </c>
      <c r="B2514" s="10">
        <f>IFERROR(__xludf.DUMMYFUNCTION("""COMPUTED_VALUE"""),455.0)</f>
        <v>455</v>
      </c>
      <c r="C2514" s="10">
        <f>IFERROR(__xludf.DUMMYFUNCTION("""COMPUTED_VALUE"""),5414.0)</f>
        <v>5414</v>
      </c>
      <c r="D2514" s="5">
        <f>IFERROR(__xludf.DUMMYFUNCTION("""COMPUTED_VALUE"""),0.32849364791288566)</f>
        <v>0.3284936479</v>
      </c>
      <c r="E2514" s="5">
        <f>IFERROR(__xludf.DUMMYFUNCTION("""COMPUTED_VALUE"""),0.12905827787860455)</f>
        <v>0.1290582779</v>
      </c>
      <c r="F2514" s="5">
        <f>IFERROR(__xludf.DUMMYFUNCTION("""COMPUTED_VALUE"""),0.22343214357733415)</f>
        <v>0.2234321436</v>
      </c>
      <c r="G2514" s="5">
        <f>IFERROR(__xludf.DUMMYFUNCTION("""COMPUTED_VALUE"""),0.14861867311958057)</f>
        <v>0.1486186731</v>
      </c>
      <c r="H2514" s="5">
        <f>IFERROR(__xludf.DUMMYFUNCTION("""COMPUTED_VALUE"""),0.5992779783393501)</f>
        <v>0.5992779783</v>
      </c>
      <c r="I2514" s="11">
        <f>IFERROR(__xludf.DUMMYFUNCTION("""COMPUTED_VALUE"""),5470.126353790613)</f>
        <v>5470.126354</v>
      </c>
      <c r="J2514" s="10">
        <f>IFERROR(__xludf.DUMMYFUNCTION("""COMPUTED_VALUE"""),1.0)</f>
        <v>1</v>
      </c>
      <c r="K2514" s="5">
        <f>IFERROR(__xludf.DUMMYFUNCTION("""COMPUTED_VALUE"""),0.002197802197802198)</f>
        <v>0.002197802198</v>
      </c>
      <c r="L2514" s="10">
        <f>IFERROR(__xludf.DUMMYFUNCTION("""COMPUTED_VALUE"""),455.0)</f>
        <v>455</v>
      </c>
      <c r="M2514" s="5">
        <f>IFERROR(__xludf.DUMMYFUNCTION("""COMPUTED_VALUE"""),1.0)</f>
        <v>1</v>
      </c>
    </row>
    <row r="2515">
      <c r="A2515" s="10" t="str">
        <f>IFERROR(__xludf.DUMMYFUNCTION("""COMPUTED_VALUE"""),"ARIALOVE")</f>
        <v>ARIALOVE</v>
      </c>
      <c r="B2515" s="10">
        <f>IFERROR(__xludf.DUMMYFUNCTION("""COMPUTED_VALUE"""),230.0)</f>
        <v>230</v>
      </c>
      <c r="C2515" s="10">
        <f>IFERROR(__xludf.DUMMYFUNCTION("""COMPUTED_VALUE"""),2725.0)</f>
        <v>2725</v>
      </c>
      <c r="D2515" s="5">
        <f>IFERROR(__xludf.DUMMYFUNCTION("""COMPUTED_VALUE"""),0.4132264529058116)</f>
        <v>0.4132264529</v>
      </c>
      <c r="E2515" s="5">
        <f>IFERROR(__xludf.DUMMYFUNCTION("""COMPUTED_VALUE"""),0.12905811623246494)</f>
        <v>0.1290581162</v>
      </c>
      <c r="F2515" s="5">
        <f>IFERROR(__xludf.DUMMYFUNCTION("""COMPUTED_VALUE"""),0.19959919839679358)</f>
        <v>0.1995991984</v>
      </c>
      <c r="G2515" s="5">
        <f>IFERROR(__xludf.DUMMYFUNCTION("""COMPUTED_VALUE"""),0.16432865731462926)</f>
        <v>0.1643286573</v>
      </c>
      <c r="H2515" s="5">
        <f>IFERROR(__xludf.DUMMYFUNCTION("""COMPUTED_VALUE"""),0.6044176706827309)</f>
        <v>0.6044176707</v>
      </c>
      <c r="I2515" s="11">
        <f>IFERROR(__xludf.DUMMYFUNCTION("""COMPUTED_VALUE"""),5553.012048192771)</f>
        <v>5553.012048</v>
      </c>
      <c r="J2515" s="10">
        <f>IFERROR(__xludf.DUMMYFUNCTION("""COMPUTED_VALUE"""),1.0)</f>
        <v>1</v>
      </c>
      <c r="K2515" s="5">
        <f>IFERROR(__xludf.DUMMYFUNCTION("""COMPUTED_VALUE"""),0.004347826086956522)</f>
        <v>0.004347826087</v>
      </c>
      <c r="L2515" s="10">
        <f>IFERROR(__xludf.DUMMYFUNCTION("""COMPUTED_VALUE"""),211.0)</f>
        <v>211</v>
      </c>
      <c r="M2515" s="5">
        <f>IFERROR(__xludf.DUMMYFUNCTION("""COMPUTED_VALUE"""),0.9173913043478261)</f>
        <v>0.9173913043</v>
      </c>
    </row>
    <row r="2516">
      <c r="A2516" s="10" t="str">
        <f>IFERROR(__xludf.DUMMYFUNCTION("""COMPUTED_VALUE"""),"ピィ810")</f>
        <v>ピィ810</v>
      </c>
      <c r="B2516" s="10">
        <f>IFERROR(__xludf.DUMMYFUNCTION("""COMPUTED_VALUE"""),1015.0)</f>
        <v>1015</v>
      </c>
      <c r="C2516" s="10">
        <f>IFERROR(__xludf.DUMMYFUNCTION("""COMPUTED_VALUE"""),11863.0)</f>
        <v>11863</v>
      </c>
      <c r="D2516" s="5">
        <f>IFERROR(__xludf.DUMMYFUNCTION("""COMPUTED_VALUE"""),0.32890855457227136)</f>
        <v>0.3289085546</v>
      </c>
      <c r="E2516" s="5">
        <f>IFERROR(__xludf.DUMMYFUNCTION("""COMPUTED_VALUE"""),0.1290560471976401)</f>
        <v>0.1290560472</v>
      </c>
      <c r="F2516" s="5">
        <f>IFERROR(__xludf.DUMMYFUNCTION("""COMPUTED_VALUE"""),0.21202064896755163)</f>
        <v>0.212020649</v>
      </c>
      <c r="G2516" s="5">
        <f>IFERROR(__xludf.DUMMYFUNCTION("""COMPUTED_VALUE"""),0.1898967551622419)</f>
        <v>0.1898967552</v>
      </c>
      <c r="H2516" s="5">
        <f>IFERROR(__xludf.DUMMYFUNCTION("""COMPUTED_VALUE"""),0.5760869565217391)</f>
        <v>0.5760869565</v>
      </c>
      <c r="I2516" s="11">
        <f>IFERROR(__xludf.DUMMYFUNCTION("""COMPUTED_VALUE"""),5825.521739130435)</f>
        <v>5825.521739</v>
      </c>
      <c r="J2516" s="10">
        <f>IFERROR(__xludf.DUMMYFUNCTION("""COMPUTED_VALUE"""),2.0)</f>
        <v>2</v>
      </c>
      <c r="K2516" s="5">
        <f>IFERROR(__xludf.DUMMYFUNCTION("""COMPUTED_VALUE"""),0.0019704433497536944)</f>
        <v>0.00197044335</v>
      </c>
      <c r="L2516" s="10">
        <f>IFERROR(__xludf.DUMMYFUNCTION("""COMPUTED_VALUE"""),1015.0)</f>
        <v>1015</v>
      </c>
      <c r="M2516" s="5">
        <f>IFERROR(__xludf.DUMMYFUNCTION("""COMPUTED_VALUE"""),1.0)</f>
        <v>1</v>
      </c>
    </row>
    <row r="2517">
      <c r="A2517" s="10" t="str">
        <f>IFERROR(__xludf.DUMMYFUNCTION("""COMPUTED_VALUE"""),"isakuya")</f>
        <v>isakuya</v>
      </c>
      <c r="B2517" s="10">
        <f>IFERROR(__xludf.DUMMYFUNCTION("""COMPUTED_VALUE"""),192.0)</f>
        <v>192</v>
      </c>
      <c r="C2517" s="10">
        <f>IFERROR(__xludf.DUMMYFUNCTION("""COMPUTED_VALUE"""),2292.0)</f>
        <v>2292</v>
      </c>
      <c r="D2517" s="5">
        <f>IFERROR(__xludf.DUMMYFUNCTION("""COMPUTED_VALUE"""),0.33095238095238094)</f>
        <v>0.330952381</v>
      </c>
      <c r="E2517" s="5">
        <f>IFERROR(__xludf.DUMMYFUNCTION("""COMPUTED_VALUE"""),0.12904761904761905)</f>
        <v>0.129047619</v>
      </c>
      <c r="F2517" s="5">
        <f>IFERROR(__xludf.DUMMYFUNCTION("""COMPUTED_VALUE"""),0.20476190476190476)</f>
        <v>0.2047619048</v>
      </c>
      <c r="G2517" s="5">
        <f>IFERROR(__xludf.DUMMYFUNCTION("""COMPUTED_VALUE"""),0.15285714285714286)</f>
        <v>0.1528571429</v>
      </c>
      <c r="H2517" s="5">
        <f>IFERROR(__xludf.DUMMYFUNCTION("""COMPUTED_VALUE"""),0.5767441860465117)</f>
        <v>0.576744186</v>
      </c>
      <c r="I2517" s="11">
        <f>IFERROR(__xludf.DUMMYFUNCTION("""COMPUTED_VALUE"""),5075.116279069767)</f>
        <v>5075.116279</v>
      </c>
      <c r="J2517" s="10">
        <f>IFERROR(__xludf.DUMMYFUNCTION("""COMPUTED_VALUE"""),1.0)</f>
        <v>1</v>
      </c>
      <c r="K2517" s="5">
        <f>IFERROR(__xludf.DUMMYFUNCTION("""COMPUTED_VALUE"""),0.005208333333333333)</f>
        <v>0.005208333333</v>
      </c>
      <c r="L2517" s="10">
        <f>IFERROR(__xludf.DUMMYFUNCTION("""COMPUTED_VALUE"""),140.0)</f>
        <v>140</v>
      </c>
      <c r="M2517" s="5">
        <f>IFERROR(__xludf.DUMMYFUNCTION("""COMPUTED_VALUE"""),0.7291666666666666)</f>
        <v>0.7291666667</v>
      </c>
    </row>
    <row r="2518">
      <c r="A2518" s="10" t="str">
        <f>IFERROR(__xludf.DUMMYFUNCTION("""COMPUTED_VALUE"""),"にむへい")</f>
        <v>にむへい</v>
      </c>
      <c r="B2518" s="10">
        <f>IFERROR(__xludf.DUMMYFUNCTION("""COMPUTED_VALUE"""),611.0)</f>
        <v>611</v>
      </c>
      <c r="C2518" s="10">
        <f>IFERROR(__xludf.DUMMYFUNCTION("""COMPUTED_VALUE"""),7159.0)</f>
        <v>7159</v>
      </c>
      <c r="D2518" s="5">
        <f>IFERROR(__xludf.DUMMYFUNCTION("""COMPUTED_VALUE"""),0.3527794746487477)</f>
        <v>0.3527794746</v>
      </c>
      <c r="E2518" s="5">
        <f>IFERROR(__xludf.DUMMYFUNCTION("""COMPUTED_VALUE"""),0.1290470372632865)</f>
        <v>0.1290470373</v>
      </c>
      <c r="F2518" s="5">
        <f>IFERROR(__xludf.DUMMYFUNCTION("""COMPUTED_VALUE"""),0.2105986560781918)</f>
        <v>0.2105986561</v>
      </c>
      <c r="G2518" s="5">
        <f>IFERROR(__xludf.DUMMYFUNCTION("""COMPUTED_VALUE"""),0.1704337202199145)</f>
        <v>0.1704337202</v>
      </c>
      <c r="H2518" s="5">
        <f>IFERROR(__xludf.DUMMYFUNCTION("""COMPUTED_VALUE"""),0.6134880348078318)</f>
        <v>0.6134880348</v>
      </c>
      <c r="I2518" s="11">
        <f>IFERROR(__xludf.DUMMYFUNCTION("""COMPUTED_VALUE"""),5527.048585931835)</f>
        <v>5527.048586</v>
      </c>
      <c r="J2518" s="10">
        <f>IFERROR(__xludf.DUMMYFUNCTION("""COMPUTED_VALUE"""),4.0)</f>
        <v>4</v>
      </c>
      <c r="K2518" s="5">
        <f>IFERROR(__xludf.DUMMYFUNCTION("""COMPUTED_VALUE"""),0.006546644844517185)</f>
        <v>0.006546644845</v>
      </c>
      <c r="L2518" s="10">
        <f>IFERROR(__xludf.DUMMYFUNCTION("""COMPUTED_VALUE"""),611.0)</f>
        <v>611</v>
      </c>
      <c r="M2518" s="5">
        <f>IFERROR(__xludf.DUMMYFUNCTION("""COMPUTED_VALUE"""),1.0)</f>
        <v>1</v>
      </c>
    </row>
    <row r="2519">
      <c r="A2519" s="10" t="str">
        <f>IFERROR(__xludf.DUMMYFUNCTION("""COMPUTED_VALUE"""),"雀極のへ")</f>
        <v>雀極のへ</v>
      </c>
      <c r="B2519" s="10">
        <f>IFERROR(__xludf.DUMMYFUNCTION("""COMPUTED_VALUE"""),1623.0)</f>
        <v>1623</v>
      </c>
      <c r="C2519" s="10">
        <f>IFERROR(__xludf.DUMMYFUNCTION("""COMPUTED_VALUE"""),18967.0)</f>
        <v>18967</v>
      </c>
      <c r="D2519" s="5">
        <f>IFERROR(__xludf.DUMMYFUNCTION("""COMPUTED_VALUE"""),0.38733856088560886)</f>
        <v>0.3873385609</v>
      </c>
      <c r="E2519" s="5">
        <f>IFERROR(__xludf.DUMMYFUNCTION("""COMPUTED_VALUE"""),0.1290359778597786)</f>
        <v>0.1290359779</v>
      </c>
      <c r="F2519" s="5">
        <f>IFERROR(__xludf.DUMMYFUNCTION("""COMPUTED_VALUE"""),0.20952490774907748)</f>
        <v>0.2095249077</v>
      </c>
      <c r="G2519" s="5">
        <f>IFERROR(__xludf.DUMMYFUNCTION("""COMPUTED_VALUE"""),0.19787822878228783)</f>
        <v>0.1978782288</v>
      </c>
      <c r="H2519" s="5">
        <f>IFERROR(__xludf.DUMMYFUNCTION("""COMPUTED_VALUE"""),0.5847550908090259)</f>
        <v>0.5847550908</v>
      </c>
      <c r="I2519" s="11">
        <f>IFERROR(__xludf.DUMMYFUNCTION("""COMPUTED_VALUE"""),5691.469455145845)</f>
        <v>5691.469455</v>
      </c>
      <c r="J2519" s="10">
        <f>IFERROR(__xludf.DUMMYFUNCTION("""COMPUTED_VALUE"""),5.0)</f>
        <v>5</v>
      </c>
      <c r="K2519" s="5">
        <f>IFERROR(__xludf.DUMMYFUNCTION("""COMPUTED_VALUE"""),0.0030807147258163892)</f>
        <v>0.003080714726</v>
      </c>
      <c r="L2519" s="10">
        <f>IFERROR(__xludf.DUMMYFUNCTION("""COMPUTED_VALUE"""),1557.0)</f>
        <v>1557</v>
      </c>
      <c r="M2519" s="5">
        <f>IFERROR(__xludf.DUMMYFUNCTION("""COMPUTED_VALUE"""),0.9593345656192237)</f>
        <v>0.9593345656</v>
      </c>
    </row>
    <row r="2520">
      <c r="A2520" s="10" t="str">
        <f>IFERROR(__xludf.DUMMYFUNCTION("""COMPUTED_VALUE"""),"飛沫")</f>
        <v>飛沫</v>
      </c>
      <c r="B2520" s="10">
        <f>IFERROR(__xludf.DUMMYFUNCTION("""COMPUTED_VALUE"""),726.0)</f>
        <v>726</v>
      </c>
      <c r="C2520" s="10">
        <f>IFERROR(__xludf.DUMMYFUNCTION("""COMPUTED_VALUE"""),8507.0)</f>
        <v>8507</v>
      </c>
      <c r="D2520" s="5">
        <f>IFERROR(__xludf.DUMMYFUNCTION("""COMPUTED_VALUE"""),0.3850404832283768)</f>
        <v>0.3850404832</v>
      </c>
      <c r="E2520" s="5">
        <f>IFERROR(__xludf.DUMMYFUNCTION("""COMPUTED_VALUE"""),0.12903225806451613)</f>
        <v>0.1290322581</v>
      </c>
      <c r="F2520" s="5">
        <f>IFERROR(__xludf.DUMMYFUNCTION("""COMPUTED_VALUE"""),0.21436833311913636)</f>
        <v>0.2143683331</v>
      </c>
      <c r="G2520" s="5">
        <f>IFERROR(__xludf.DUMMYFUNCTION("""COMPUTED_VALUE"""),0.15692070427965557)</f>
        <v>0.1569207043</v>
      </c>
      <c r="H2520" s="5">
        <f>IFERROR(__xludf.DUMMYFUNCTION("""COMPUTED_VALUE"""),0.5881294964028777)</f>
        <v>0.5881294964</v>
      </c>
      <c r="I2520" s="11">
        <f>IFERROR(__xludf.DUMMYFUNCTION("""COMPUTED_VALUE"""),5482.494004796163)</f>
        <v>5482.494005</v>
      </c>
      <c r="J2520" s="10">
        <f>IFERROR(__xludf.DUMMYFUNCTION("""COMPUTED_VALUE"""),1.0)</f>
        <v>1</v>
      </c>
      <c r="K2520" s="5">
        <f>IFERROR(__xludf.DUMMYFUNCTION("""COMPUTED_VALUE"""),0.0013774104683195593)</f>
        <v>0.001377410468</v>
      </c>
      <c r="L2520" s="10">
        <f>IFERROR(__xludf.DUMMYFUNCTION("""COMPUTED_VALUE"""),647.0)</f>
        <v>647</v>
      </c>
      <c r="M2520" s="5">
        <f>IFERROR(__xludf.DUMMYFUNCTION("""COMPUTED_VALUE"""),0.8911845730027548)</f>
        <v>0.891184573</v>
      </c>
    </row>
    <row r="2521">
      <c r="A2521" s="10" t="str">
        <f>IFERROR(__xludf.DUMMYFUNCTION("""COMPUTED_VALUE"""),"curetape")</f>
        <v>curetape</v>
      </c>
      <c r="B2521" s="10">
        <f>IFERROR(__xludf.DUMMYFUNCTION("""COMPUTED_VALUE"""),705.0)</f>
        <v>705</v>
      </c>
      <c r="C2521" s="10">
        <f>IFERROR(__xludf.DUMMYFUNCTION("""COMPUTED_VALUE"""),8153.0)</f>
        <v>8153</v>
      </c>
      <c r="D2521" s="5">
        <f>IFERROR(__xludf.DUMMYFUNCTION("""COMPUTED_VALUE"""),0.3277389903329753)</f>
        <v>0.3277389903</v>
      </c>
      <c r="E2521" s="5">
        <f>IFERROR(__xludf.DUMMYFUNCTION("""COMPUTED_VALUE"""),0.12902792696025778)</f>
        <v>0.129027927</v>
      </c>
      <c r="F2521" s="5">
        <f>IFERROR(__xludf.DUMMYFUNCTION("""COMPUTED_VALUE"""),0.20314178302900107)</f>
        <v>0.203141783</v>
      </c>
      <c r="G2521" s="5">
        <f>IFERROR(__xludf.DUMMYFUNCTION("""COMPUTED_VALUE"""),0.1742749731471536)</f>
        <v>0.1742749731</v>
      </c>
      <c r="H2521" s="5">
        <f>IFERROR(__xludf.DUMMYFUNCTION("""COMPUTED_VALUE"""),0.6007931262392597)</f>
        <v>0.6007931262</v>
      </c>
      <c r="I2521" s="11">
        <f>IFERROR(__xludf.DUMMYFUNCTION("""COMPUTED_VALUE"""),5694.183740912095)</f>
        <v>5694.183741</v>
      </c>
      <c r="J2521" s="10">
        <f>IFERROR(__xludf.DUMMYFUNCTION("""COMPUTED_VALUE"""),0.0)</f>
        <v>0</v>
      </c>
      <c r="K2521" s="5">
        <f>IFERROR(__xludf.DUMMYFUNCTION("""COMPUTED_VALUE"""),0.0)</f>
        <v>0</v>
      </c>
      <c r="L2521" s="10">
        <f>IFERROR(__xludf.DUMMYFUNCTION("""COMPUTED_VALUE"""),705.0)</f>
        <v>705</v>
      </c>
      <c r="M2521" s="5">
        <f>IFERROR(__xludf.DUMMYFUNCTION("""COMPUTED_VALUE"""),1.0)</f>
        <v>1</v>
      </c>
    </row>
    <row r="2522">
      <c r="A2522" s="10" t="str">
        <f>IFERROR(__xludf.DUMMYFUNCTION("""COMPUTED_VALUE"""),"てる")</f>
        <v>てる</v>
      </c>
      <c r="B2522" s="10">
        <f>IFERROR(__xludf.DUMMYFUNCTION("""COMPUTED_VALUE"""),752.0)</f>
        <v>752</v>
      </c>
      <c r="C2522" s="10">
        <f>IFERROR(__xludf.DUMMYFUNCTION("""COMPUTED_VALUE"""),8852.0)</f>
        <v>8852</v>
      </c>
      <c r="D2522" s="5">
        <f>IFERROR(__xludf.DUMMYFUNCTION("""COMPUTED_VALUE"""),0.3630864197530864)</f>
        <v>0.3630864198</v>
      </c>
      <c r="E2522" s="5">
        <f>IFERROR(__xludf.DUMMYFUNCTION("""COMPUTED_VALUE"""),0.12901234567901235)</f>
        <v>0.1290123457</v>
      </c>
      <c r="F2522" s="5">
        <f>IFERROR(__xludf.DUMMYFUNCTION("""COMPUTED_VALUE"""),0.22160493827160493)</f>
        <v>0.2216049383</v>
      </c>
      <c r="G2522" s="5">
        <f>IFERROR(__xludf.DUMMYFUNCTION("""COMPUTED_VALUE"""),0.18246913580246912)</f>
        <v>0.1824691358</v>
      </c>
      <c r="H2522" s="5">
        <f>IFERROR(__xludf.DUMMYFUNCTION("""COMPUTED_VALUE"""),0.6038997214484679)</f>
        <v>0.6038997214</v>
      </c>
      <c r="I2522" s="11">
        <f>IFERROR(__xludf.DUMMYFUNCTION("""COMPUTED_VALUE"""),5401.00278551532)</f>
        <v>5401.002786</v>
      </c>
      <c r="J2522" s="10">
        <f>IFERROR(__xludf.DUMMYFUNCTION("""COMPUTED_VALUE"""),2.0)</f>
        <v>2</v>
      </c>
      <c r="K2522" s="5">
        <f>IFERROR(__xludf.DUMMYFUNCTION("""COMPUTED_VALUE"""),0.0026595744680851063)</f>
        <v>0.002659574468</v>
      </c>
      <c r="L2522" s="10">
        <f>IFERROR(__xludf.DUMMYFUNCTION("""COMPUTED_VALUE"""),752.0)</f>
        <v>752</v>
      </c>
      <c r="M2522" s="5">
        <f>IFERROR(__xludf.DUMMYFUNCTION("""COMPUTED_VALUE"""),1.0)</f>
        <v>1</v>
      </c>
    </row>
    <row r="2523">
      <c r="A2523" s="10" t="str">
        <f>IFERROR(__xludf.DUMMYFUNCTION("""COMPUTED_VALUE"""),"arumu")</f>
        <v>arumu</v>
      </c>
      <c r="B2523" s="10">
        <f>IFERROR(__xludf.DUMMYFUNCTION("""COMPUTED_VALUE"""),1259.0)</f>
        <v>1259</v>
      </c>
      <c r="C2523" s="10">
        <f>IFERROR(__xludf.DUMMYFUNCTION("""COMPUTED_VALUE"""),14444.0)</f>
        <v>14444</v>
      </c>
      <c r="D2523" s="5">
        <f>IFERROR(__xludf.DUMMYFUNCTION("""COMPUTED_VALUE"""),0.25180128934395146)</f>
        <v>0.2518012893</v>
      </c>
      <c r="E2523" s="5">
        <f>IFERROR(__xludf.DUMMYFUNCTION("""COMPUTED_VALUE"""),0.12901023890784982)</f>
        <v>0.1290102389</v>
      </c>
      <c r="F2523" s="5">
        <f>IFERROR(__xludf.DUMMYFUNCTION("""COMPUTED_VALUE"""),0.20409556313993174)</f>
        <v>0.2040955631</v>
      </c>
      <c r="G2523" s="5">
        <f>IFERROR(__xludf.DUMMYFUNCTION("""COMPUTED_VALUE"""),0.19666287447857414)</f>
        <v>0.1966628745</v>
      </c>
      <c r="H2523" s="5">
        <f>IFERROR(__xludf.DUMMYFUNCTION("""COMPUTED_VALUE"""),0.5890003716090673)</f>
        <v>0.5890003716</v>
      </c>
      <c r="I2523" s="11">
        <f>IFERROR(__xludf.DUMMYFUNCTION("""COMPUTED_VALUE"""),6057.041991824601)</f>
        <v>6057.041992</v>
      </c>
      <c r="J2523" s="10">
        <f>IFERROR(__xludf.DUMMYFUNCTION("""COMPUTED_VALUE"""),1.0)</f>
        <v>1</v>
      </c>
      <c r="K2523" s="5">
        <f>IFERROR(__xludf.DUMMYFUNCTION("""COMPUTED_VALUE"""),7.942811755361397E-4)</f>
        <v>0.0007942811755</v>
      </c>
      <c r="L2523" s="10">
        <f>IFERROR(__xludf.DUMMYFUNCTION("""COMPUTED_VALUE"""),1259.0)</f>
        <v>1259</v>
      </c>
      <c r="M2523" s="5">
        <f>IFERROR(__xludf.DUMMYFUNCTION("""COMPUTED_VALUE"""),1.0)</f>
        <v>1</v>
      </c>
    </row>
    <row r="2524">
      <c r="A2524" s="10" t="str">
        <f>IFERROR(__xludf.DUMMYFUNCTION("""COMPUTED_VALUE"""),"エルドラド")</f>
        <v>エルドラド</v>
      </c>
      <c r="B2524" s="10">
        <f>IFERROR(__xludf.DUMMYFUNCTION("""COMPUTED_VALUE"""),547.0)</f>
        <v>547</v>
      </c>
      <c r="C2524" s="10">
        <f>IFERROR(__xludf.DUMMYFUNCTION("""COMPUTED_VALUE"""),6446.0)</f>
        <v>6446</v>
      </c>
      <c r="D2524" s="5">
        <f>IFERROR(__xludf.DUMMYFUNCTION("""COMPUTED_VALUE"""),0.3492117308018308)</f>
        <v>0.3492117308</v>
      </c>
      <c r="E2524" s="5">
        <f>IFERROR(__xludf.DUMMYFUNCTION("""COMPUTED_VALUE"""),0.12900491608747244)</f>
        <v>0.1290049161</v>
      </c>
      <c r="F2524" s="5">
        <f>IFERROR(__xludf.DUMMYFUNCTION("""COMPUTED_VALUE"""),0.20596711307001186)</f>
        <v>0.2059671131</v>
      </c>
      <c r="G2524" s="5">
        <f>IFERROR(__xludf.DUMMYFUNCTION("""COMPUTED_VALUE"""),0.15087302932700458)</f>
        <v>0.1508730293</v>
      </c>
      <c r="H2524" s="5">
        <f>IFERROR(__xludf.DUMMYFUNCTION("""COMPUTED_VALUE"""),0.6016460905349794)</f>
        <v>0.6016460905</v>
      </c>
      <c r="I2524" s="11">
        <f>IFERROR(__xludf.DUMMYFUNCTION("""COMPUTED_VALUE"""),5827.572016460906)</f>
        <v>5827.572016</v>
      </c>
      <c r="J2524" s="10">
        <f>IFERROR(__xludf.DUMMYFUNCTION("""COMPUTED_VALUE"""),3.0)</f>
        <v>3</v>
      </c>
      <c r="K2524" s="5">
        <f>IFERROR(__xludf.DUMMYFUNCTION("""COMPUTED_VALUE"""),0.005484460694698354)</f>
        <v>0.005484460695</v>
      </c>
      <c r="L2524" s="10">
        <f>IFERROR(__xludf.DUMMYFUNCTION("""COMPUTED_VALUE"""),547.0)</f>
        <v>547</v>
      </c>
      <c r="M2524" s="5">
        <f>IFERROR(__xludf.DUMMYFUNCTION("""COMPUTED_VALUE"""),1.0)</f>
        <v>1</v>
      </c>
    </row>
    <row r="2525">
      <c r="A2525" s="10" t="str">
        <f>IFERROR(__xludf.DUMMYFUNCTION("""COMPUTED_VALUE"""),"Dasuke")</f>
        <v>Dasuke</v>
      </c>
      <c r="B2525" s="10">
        <f>IFERROR(__xludf.DUMMYFUNCTION("""COMPUTED_VALUE"""),419.0)</f>
        <v>419</v>
      </c>
      <c r="C2525" s="10">
        <f>IFERROR(__xludf.DUMMYFUNCTION("""COMPUTED_VALUE"""),4884.0)</f>
        <v>4884</v>
      </c>
      <c r="D2525" s="5">
        <f>IFERROR(__xludf.DUMMYFUNCTION("""COMPUTED_VALUE"""),0.33617021276595743)</f>
        <v>0.3361702128</v>
      </c>
      <c r="E2525" s="5">
        <f>IFERROR(__xludf.DUMMYFUNCTION("""COMPUTED_VALUE"""),0.129003359462486)</f>
        <v>0.1290033595</v>
      </c>
      <c r="F2525" s="5">
        <f>IFERROR(__xludf.DUMMYFUNCTION("""COMPUTED_VALUE"""),0.19395296752519597)</f>
        <v>0.1939529675</v>
      </c>
      <c r="G2525" s="5">
        <f>IFERROR(__xludf.DUMMYFUNCTION("""COMPUTED_VALUE"""),0.16438969764837627)</f>
        <v>0.1643896976</v>
      </c>
      <c r="H2525" s="5">
        <f>IFERROR(__xludf.DUMMYFUNCTION("""COMPUTED_VALUE"""),0.6039260969976905)</f>
        <v>0.603926097</v>
      </c>
      <c r="I2525" s="11">
        <f>IFERROR(__xludf.DUMMYFUNCTION("""COMPUTED_VALUE"""),5989.145496535797)</f>
        <v>5989.145497</v>
      </c>
      <c r="J2525" s="10">
        <f>IFERROR(__xludf.DUMMYFUNCTION("""COMPUTED_VALUE"""),1.0)</f>
        <v>1</v>
      </c>
      <c r="K2525" s="5">
        <f>IFERROR(__xludf.DUMMYFUNCTION("""COMPUTED_VALUE"""),0.002386634844868735)</f>
        <v>0.002386634845</v>
      </c>
      <c r="L2525" s="10">
        <f>IFERROR(__xludf.DUMMYFUNCTION("""COMPUTED_VALUE"""),412.0)</f>
        <v>412</v>
      </c>
      <c r="M2525" s="5">
        <f>IFERROR(__xludf.DUMMYFUNCTION("""COMPUTED_VALUE"""),0.9832935560859188)</f>
        <v>0.9832935561</v>
      </c>
    </row>
    <row r="2526">
      <c r="A2526" s="10" t="str">
        <f>IFERROR(__xludf.DUMMYFUNCTION("""COMPUTED_VALUE"""),"放銃時裏乗率六割")</f>
        <v>放銃時裏乗率六割</v>
      </c>
      <c r="B2526" s="10">
        <f>IFERROR(__xludf.DUMMYFUNCTION("""COMPUTED_VALUE"""),1263.0)</f>
        <v>1263</v>
      </c>
      <c r="C2526" s="10">
        <f>IFERROR(__xludf.DUMMYFUNCTION("""COMPUTED_VALUE"""),14783.0)</f>
        <v>14783</v>
      </c>
      <c r="D2526" s="5">
        <f>IFERROR(__xludf.DUMMYFUNCTION("""COMPUTED_VALUE"""),0.3243343195266272)</f>
        <v>0.3243343195</v>
      </c>
      <c r="E2526" s="5">
        <f>IFERROR(__xludf.DUMMYFUNCTION("""COMPUTED_VALUE"""),0.1289940828402367)</f>
        <v>0.1289940828</v>
      </c>
      <c r="F2526" s="5">
        <f>IFERROR(__xludf.DUMMYFUNCTION("""COMPUTED_VALUE"""),0.2055473372781065)</f>
        <v>0.2055473373</v>
      </c>
      <c r="G2526" s="5">
        <f>IFERROR(__xludf.DUMMYFUNCTION("""COMPUTED_VALUE"""),0.17034023668639053)</f>
        <v>0.1703402367</v>
      </c>
      <c r="H2526" s="5">
        <f>IFERROR(__xludf.DUMMYFUNCTION("""COMPUTED_VALUE"""),0.5966174883051457)</f>
        <v>0.5966174883</v>
      </c>
      <c r="I2526" s="11">
        <f>IFERROR(__xludf.DUMMYFUNCTION("""COMPUTED_VALUE"""),5673.51565311263)</f>
        <v>5673.515653</v>
      </c>
      <c r="J2526" s="10">
        <f>IFERROR(__xludf.DUMMYFUNCTION("""COMPUTED_VALUE"""),2.0)</f>
        <v>2</v>
      </c>
      <c r="K2526" s="5">
        <f>IFERROR(__xludf.DUMMYFUNCTION("""COMPUTED_VALUE"""),0.001583531274742676)</f>
        <v>0.001583531275</v>
      </c>
      <c r="L2526" s="10">
        <f>IFERROR(__xludf.DUMMYFUNCTION("""COMPUTED_VALUE"""),1263.0)</f>
        <v>1263</v>
      </c>
      <c r="M2526" s="5">
        <f>IFERROR(__xludf.DUMMYFUNCTION("""COMPUTED_VALUE"""),1.0)</f>
        <v>1</v>
      </c>
    </row>
    <row r="2527">
      <c r="A2527" s="10" t="str">
        <f>IFERROR(__xludf.DUMMYFUNCTION("""COMPUTED_VALUE"""),"詩暢")</f>
        <v>詩暢</v>
      </c>
      <c r="B2527" s="10">
        <f>IFERROR(__xludf.DUMMYFUNCTION("""COMPUTED_VALUE"""),929.0)</f>
        <v>929</v>
      </c>
      <c r="C2527" s="10">
        <f>IFERROR(__xludf.DUMMYFUNCTION("""COMPUTED_VALUE"""),10852.0)</f>
        <v>10852</v>
      </c>
      <c r="D2527" s="5">
        <f>IFERROR(__xludf.DUMMYFUNCTION("""COMPUTED_VALUE"""),0.3336692532500252)</f>
        <v>0.3336692533</v>
      </c>
      <c r="E2527" s="5">
        <f>IFERROR(__xludf.DUMMYFUNCTION("""COMPUTED_VALUE"""),0.1289932480096745)</f>
        <v>0.128993248</v>
      </c>
      <c r="F2527" s="5">
        <f>IFERROR(__xludf.DUMMYFUNCTION("""COMPUTED_VALUE"""),0.20941247606570593)</f>
        <v>0.2094124761</v>
      </c>
      <c r="G2527" s="5">
        <f>IFERROR(__xludf.DUMMYFUNCTION("""COMPUTED_VALUE"""),0.20427290134032047)</f>
        <v>0.2042729013</v>
      </c>
      <c r="H2527" s="5">
        <f>IFERROR(__xludf.DUMMYFUNCTION("""COMPUTED_VALUE"""),0.5774783445620789)</f>
        <v>0.5774783446</v>
      </c>
      <c r="I2527" s="11">
        <f>IFERROR(__xludf.DUMMYFUNCTION("""COMPUTED_VALUE"""),5632.771896053898)</f>
        <v>5632.771896</v>
      </c>
      <c r="J2527" s="10">
        <f>IFERROR(__xludf.DUMMYFUNCTION("""COMPUTED_VALUE"""),1.0)</f>
        <v>1</v>
      </c>
      <c r="K2527" s="5">
        <f>IFERROR(__xludf.DUMMYFUNCTION("""COMPUTED_VALUE"""),0.001076426264800861)</f>
        <v>0.001076426265</v>
      </c>
      <c r="L2527" s="10">
        <f>IFERROR(__xludf.DUMMYFUNCTION("""COMPUTED_VALUE"""),0.0)</f>
        <v>0</v>
      </c>
      <c r="M2527" s="5">
        <f>IFERROR(__xludf.DUMMYFUNCTION("""COMPUTED_VALUE"""),0.0)</f>
        <v>0</v>
      </c>
    </row>
    <row r="2528">
      <c r="A2528" s="10" t="str">
        <f>IFERROR(__xludf.DUMMYFUNCTION("""COMPUTED_VALUE"""),"tsumo")</f>
        <v>tsumo</v>
      </c>
      <c r="B2528" s="10">
        <f>IFERROR(__xludf.DUMMYFUNCTION("""COMPUTED_VALUE"""),303.0)</f>
        <v>303</v>
      </c>
      <c r="C2528" s="10">
        <f>IFERROR(__xludf.DUMMYFUNCTION("""COMPUTED_VALUE"""),3559.0)</f>
        <v>3559</v>
      </c>
      <c r="D2528" s="5">
        <f>IFERROR(__xludf.DUMMYFUNCTION("""COMPUTED_VALUE"""),0.3964987714987715)</f>
        <v>0.3964987715</v>
      </c>
      <c r="E2528" s="5">
        <f>IFERROR(__xludf.DUMMYFUNCTION("""COMPUTED_VALUE"""),0.128992628992629)</f>
        <v>0.128992629</v>
      </c>
      <c r="F2528" s="5">
        <f>IFERROR(__xludf.DUMMYFUNCTION("""COMPUTED_VALUE"""),0.21253071253071254)</f>
        <v>0.2125307125</v>
      </c>
      <c r="G2528" s="5">
        <f>IFERROR(__xludf.DUMMYFUNCTION("""COMPUTED_VALUE"""),0.16031941031941033)</f>
        <v>0.1603194103</v>
      </c>
      <c r="H2528" s="5">
        <f>IFERROR(__xludf.DUMMYFUNCTION("""COMPUTED_VALUE"""),0.5997109826589595)</f>
        <v>0.5997109827</v>
      </c>
      <c r="I2528" s="11">
        <f>IFERROR(__xludf.DUMMYFUNCTION("""COMPUTED_VALUE"""),5438.439306358381)</f>
        <v>5438.439306</v>
      </c>
      <c r="J2528" s="10">
        <f>IFERROR(__xludf.DUMMYFUNCTION("""COMPUTED_VALUE"""),2.0)</f>
        <v>2</v>
      </c>
      <c r="K2528" s="5">
        <f>IFERROR(__xludf.DUMMYFUNCTION("""COMPUTED_VALUE"""),0.006600660066006601)</f>
        <v>0.006600660066</v>
      </c>
      <c r="L2528" s="10">
        <f>IFERROR(__xludf.DUMMYFUNCTION("""COMPUTED_VALUE"""),303.0)</f>
        <v>303</v>
      </c>
      <c r="M2528" s="5">
        <f>IFERROR(__xludf.DUMMYFUNCTION("""COMPUTED_VALUE"""),1.0)</f>
        <v>1</v>
      </c>
    </row>
    <row r="2529">
      <c r="A2529" s="10" t="str">
        <f>IFERROR(__xludf.DUMMYFUNCTION("""COMPUTED_VALUE"""),"mouse")</f>
        <v>mouse</v>
      </c>
      <c r="B2529" s="10">
        <f>IFERROR(__xludf.DUMMYFUNCTION("""COMPUTED_VALUE"""),1753.0)</f>
        <v>1753</v>
      </c>
      <c r="C2529" s="10">
        <f>IFERROR(__xludf.DUMMYFUNCTION("""COMPUTED_VALUE"""),20424.0)</f>
        <v>20424</v>
      </c>
      <c r="D2529" s="5">
        <f>IFERROR(__xludf.DUMMYFUNCTION("""COMPUTED_VALUE"""),0.2537625194151358)</f>
        <v>0.2537625194</v>
      </c>
      <c r="E2529" s="5">
        <f>IFERROR(__xludf.DUMMYFUNCTION("""COMPUTED_VALUE"""),0.12897006052166463)</f>
        <v>0.1289700605</v>
      </c>
      <c r="F2529" s="5">
        <f>IFERROR(__xludf.DUMMYFUNCTION("""COMPUTED_VALUE"""),0.20213164801028333)</f>
        <v>0.202131648</v>
      </c>
      <c r="G2529" s="5">
        <f>IFERROR(__xludf.DUMMYFUNCTION("""COMPUTED_VALUE"""),0.1862781854212415)</f>
        <v>0.1862781854</v>
      </c>
      <c r="H2529" s="5">
        <f>IFERROR(__xludf.DUMMYFUNCTION("""COMPUTED_VALUE"""),0.5821409644939056)</f>
        <v>0.5821409645</v>
      </c>
      <c r="I2529" s="11">
        <f>IFERROR(__xludf.DUMMYFUNCTION("""COMPUTED_VALUE"""),6085.082140964494)</f>
        <v>6085.082141</v>
      </c>
      <c r="J2529" s="10">
        <f>IFERROR(__xludf.DUMMYFUNCTION("""COMPUTED_VALUE"""),8.0)</f>
        <v>8</v>
      </c>
      <c r="K2529" s="5">
        <f>IFERROR(__xludf.DUMMYFUNCTION("""COMPUTED_VALUE"""),0.004563605248146035)</f>
        <v>0.004563605248</v>
      </c>
      <c r="L2529" s="10">
        <f>IFERROR(__xludf.DUMMYFUNCTION("""COMPUTED_VALUE"""),1753.0)</f>
        <v>1753</v>
      </c>
      <c r="M2529" s="5">
        <f>IFERROR(__xludf.DUMMYFUNCTION("""COMPUTED_VALUE"""),1.0)</f>
        <v>1</v>
      </c>
    </row>
    <row r="2530">
      <c r="A2530" s="10" t="str">
        <f>IFERROR(__xludf.DUMMYFUNCTION("""COMPUTED_VALUE"""),"Anteros")</f>
        <v>Anteros</v>
      </c>
      <c r="B2530" s="10">
        <f>IFERROR(__xludf.DUMMYFUNCTION("""COMPUTED_VALUE"""),331.0)</f>
        <v>331</v>
      </c>
      <c r="C2530" s="10">
        <f>IFERROR(__xludf.DUMMYFUNCTION("""COMPUTED_VALUE"""),3890.0)</f>
        <v>3890</v>
      </c>
      <c r="D2530" s="5">
        <f>IFERROR(__xludf.DUMMYFUNCTION("""COMPUTED_VALUE"""),0.3529081202584996)</f>
        <v>0.3529081203</v>
      </c>
      <c r="E2530" s="5">
        <f>IFERROR(__xludf.DUMMYFUNCTION("""COMPUTED_VALUE"""),0.12896881146389436)</f>
        <v>0.1289688115</v>
      </c>
      <c r="F2530" s="5">
        <f>IFERROR(__xludf.DUMMYFUNCTION("""COMPUTED_VALUE"""),0.21073335206518684)</f>
        <v>0.2107333521</v>
      </c>
      <c r="G2530" s="5">
        <f>IFERROR(__xludf.DUMMYFUNCTION("""COMPUTED_VALUE"""),0.1553807249227311)</f>
        <v>0.1553807249</v>
      </c>
      <c r="H2530" s="5">
        <f>IFERROR(__xludf.DUMMYFUNCTION("""COMPUTED_VALUE"""),0.6186666666666667)</f>
        <v>0.6186666667</v>
      </c>
      <c r="I2530" s="11">
        <f>IFERROR(__xludf.DUMMYFUNCTION("""COMPUTED_VALUE"""),5164.0)</f>
        <v>5164</v>
      </c>
      <c r="J2530" s="10">
        <f>IFERROR(__xludf.DUMMYFUNCTION("""COMPUTED_VALUE"""),1.0)</f>
        <v>1</v>
      </c>
      <c r="K2530" s="5">
        <f>IFERROR(__xludf.DUMMYFUNCTION("""COMPUTED_VALUE"""),0.0030211480362537764)</f>
        <v>0.003021148036</v>
      </c>
      <c r="L2530" s="10">
        <f>IFERROR(__xludf.DUMMYFUNCTION("""COMPUTED_VALUE"""),159.0)</f>
        <v>159</v>
      </c>
      <c r="M2530" s="5">
        <f>IFERROR(__xludf.DUMMYFUNCTION("""COMPUTED_VALUE"""),0.48036253776435045)</f>
        <v>0.4803625378</v>
      </c>
    </row>
    <row r="2531">
      <c r="A2531" s="10" t="str">
        <f>IFERROR(__xludf.DUMMYFUNCTION("""COMPUTED_VALUE"""),"南倍南５５")</f>
        <v>南倍南５５</v>
      </c>
      <c r="B2531" s="10">
        <f>IFERROR(__xludf.DUMMYFUNCTION("""COMPUTED_VALUE"""),261.0)</f>
        <v>261</v>
      </c>
      <c r="C2531" s="10">
        <f>IFERROR(__xludf.DUMMYFUNCTION("""COMPUTED_VALUE"""),3006.0)</f>
        <v>3006</v>
      </c>
      <c r="D2531" s="5">
        <f>IFERROR(__xludf.DUMMYFUNCTION("""COMPUTED_VALUE"""),0.3092896174863388)</f>
        <v>0.3092896175</v>
      </c>
      <c r="E2531" s="5">
        <f>IFERROR(__xludf.DUMMYFUNCTION("""COMPUTED_VALUE"""),0.12896174863387977)</f>
        <v>0.1289617486</v>
      </c>
      <c r="F2531" s="5">
        <f>IFERROR(__xludf.DUMMYFUNCTION("""COMPUTED_VALUE"""),0.21602914389799635)</f>
        <v>0.2160291439</v>
      </c>
      <c r="G2531" s="5">
        <f>IFERROR(__xludf.DUMMYFUNCTION("""COMPUTED_VALUE"""),0.1726775956284153)</f>
        <v>0.1726775956</v>
      </c>
      <c r="H2531" s="5">
        <f>IFERROR(__xludf.DUMMYFUNCTION("""COMPUTED_VALUE"""),0.5868465430016864)</f>
        <v>0.586846543</v>
      </c>
      <c r="I2531" s="11">
        <f>IFERROR(__xludf.DUMMYFUNCTION("""COMPUTED_VALUE"""),5805.39629005059)</f>
        <v>5805.39629</v>
      </c>
      <c r="J2531" s="10">
        <f>IFERROR(__xludf.DUMMYFUNCTION("""COMPUTED_VALUE"""),1.0)</f>
        <v>1</v>
      </c>
      <c r="K2531" s="5">
        <f>IFERROR(__xludf.DUMMYFUNCTION("""COMPUTED_VALUE"""),0.0038314176245210726)</f>
        <v>0.003831417625</v>
      </c>
      <c r="L2531" s="10">
        <f>IFERROR(__xludf.DUMMYFUNCTION("""COMPUTED_VALUE"""),261.0)</f>
        <v>261</v>
      </c>
      <c r="M2531" s="5">
        <f>IFERROR(__xludf.DUMMYFUNCTION("""COMPUTED_VALUE"""),1.0)</f>
        <v>1</v>
      </c>
    </row>
    <row r="2532">
      <c r="A2532" s="10" t="str">
        <f>IFERROR(__xludf.DUMMYFUNCTION("""COMPUTED_VALUE"""),"並みの竜")</f>
        <v>並みの竜</v>
      </c>
      <c r="B2532" s="10">
        <f>IFERROR(__xludf.DUMMYFUNCTION("""COMPUTED_VALUE"""),1432.0)</f>
        <v>1432</v>
      </c>
      <c r="C2532" s="10">
        <f>IFERROR(__xludf.DUMMYFUNCTION("""COMPUTED_VALUE"""),16956.0)</f>
        <v>16956</v>
      </c>
      <c r="D2532" s="5">
        <f>IFERROR(__xludf.DUMMYFUNCTION("""COMPUTED_VALUE"""),0.3628575109507859)</f>
        <v>0.362857511</v>
      </c>
      <c r="E2532" s="5">
        <f>IFERROR(__xludf.DUMMYFUNCTION("""COMPUTED_VALUE"""),0.12896160783303273)</f>
        <v>0.1289616078</v>
      </c>
      <c r="F2532" s="5">
        <f>IFERROR(__xludf.DUMMYFUNCTION("""COMPUTED_VALUE"""),0.21147900025766556)</f>
        <v>0.2114790003</v>
      </c>
      <c r="G2532" s="5">
        <f>IFERROR(__xludf.DUMMYFUNCTION("""COMPUTED_VALUE"""),0.16980159752641072)</f>
        <v>0.1698015975</v>
      </c>
      <c r="H2532" s="5">
        <f>IFERROR(__xludf.DUMMYFUNCTION("""COMPUTED_VALUE"""),0.6088943039902528)</f>
        <v>0.608894304</v>
      </c>
      <c r="I2532" s="11">
        <f>IFERROR(__xludf.DUMMYFUNCTION("""COMPUTED_VALUE"""),5677.581480353336)</f>
        <v>5677.58148</v>
      </c>
      <c r="J2532" s="10">
        <f>IFERROR(__xludf.DUMMYFUNCTION("""COMPUTED_VALUE"""),7.0)</f>
        <v>7</v>
      </c>
      <c r="K2532" s="5">
        <f>IFERROR(__xludf.DUMMYFUNCTION("""COMPUTED_VALUE"""),0.004888268156424581)</f>
        <v>0.004888268156</v>
      </c>
      <c r="L2532" s="10">
        <f>IFERROR(__xludf.DUMMYFUNCTION("""COMPUTED_VALUE"""),1432.0)</f>
        <v>1432</v>
      </c>
      <c r="M2532" s="5">
        <f>IFERROR(__xludf.DUMMYFUNCTION("""COMPUTED_VALUE"""),1.0)</f>
        <v>1</v>
      </c>
    </row>
    <row r="2533">
      <c r="A2533" s="10" t="str">
        <f>IFERROR(__xludf.DUMMYFUNCTION("""COMPUTED_VALUE"""),"masy")</f>
        <v>masy</v>
      </c>
      <c r="B2533" s="10">
        <f>IFERROR(__xludf.DUMMYFUNCTION("""COMPUTED_VALUE"""),405.0)</f>
        <v>405</v>
      </c>
      <c r="C2533" s="10">
        <f>IFERROR(__xludf.DUMMYFUNCTION("""COMPUTED_VALUE"""),4794.0)</f>
        <v>4794</v>
      </c>
      <c r="D2533" s="5">
        <f>IFERROR(__xludf.DUMMYFUNCTION("""COMPUTED_VALUE"""),0.41649578491683753)</f>
        <v>0.4164957849</v>
      </c>
      <c r="E2533" s="5">
        <f>IFERROR(__xludf.DUMMYFUNCTION("""COMPUTED_VALUE"""),0.1289587605377079)</f>
        <v>0.1289587605</v>
      </c>
      <c r="F2533" s="5">
        <f>IFERROR(__xludf.DUMMYFUNCTION("""COMPUTED_VALUE"""),0.21120984278879015)</f>
        <v>0.2112098428</v>
      </c>
      <c r="G2533" s="5">
        <f>IFERROR(__xludf.DUMMYFUNCTION("""COMPUTED_VALUE"""),0.16359079516974254)</f>
        <v>0.1635907952</v>
      </c>
      <c r="H2533" s="5">
        <f>IFERROR(__xludf.DUMMYFUNCTION("""COMPUTED_VALUE"""),0.5803667745415318)</f>
        <v>0.5803667745</v>
      </c>
      <c r="I2533" s="11">
        <f>IFERROR(__xludf.DUMMYFUNCTION("""COMPUTED_VALUE"""),5427.508090614887)</f>
        <v>5427.508091</v>
      </c>
      <c r="J2533" s="10">
        <f>IFERROR(__xludf.DUMMYFUNCTION("""COMPUTED_VALUE"""),0.0)</f>
        <v>0</v>
      </c>
      <c r="K2533" s="5">
        <f>IFERROR(__xludf.DUMMYFUNCTION("""COMPUTED_VALUE"""),0.0)</f>
        <v>0</v>
      </c>
      <c r="L2533" s="10">
        <f>IFERROR(__xludf.DUMMYFUNCTION("""COMPUTED_VALUE"""),405.0)</f>
        <v>405</v>
      </c>
      <c r="M2533" s="5">
        <f>IFERROR(__xludf.DUMMYFUNCTION("""COMPUTED_VALUE"""),1.0)</f>
        <v>1</v>
      </c>
    </row>
    <row r="2534">
      <c r="A2534" s="10" t="str">
        <f>IFERROR(__xludf.DUMMYFUNCTION("""COMPUTED_VALUE"""),"のぶのぶ")</f>
        <v>のぶのぶ</v>
      </c>
      <c r="B2534" s="10">
        <f>IFERROR(__xludf.DUMMYFUNCTION("""COMPUTED_VALUE"""),481.0)</f>
        <v>481</v>
      </c>
      <c r="C2534" s="10">
        <f>IFERROR(__xludf.DUMMYFUNCTION("""COMPUTED_VALUE"""),5599.0)</f>
        <v>5599</v>
      </c>
      <c r="D2534" s="5">
        <f>IFERROR(__xludf.DUMMYFUNCTION("""COMPUTED_VALUE"""),0.3520906604142243)</f>
        <v>0.3520906604</v>
      </c>
      <c r="E2534" s="5">
        <f>IFERROR(__xludf.DUMMYFUNCTION("""COMPUTED_VALUE"""),0.12895662368112543)</f>
        <v>0.1289566237</v>
      </c>
      <c r="F2534" s="5">
        <f>IFERROR(__xludf.DUMMYFUNCTION("""COMPUTED_VALUE"""),0.2084798749511528)</f>
        <v>0.208479875</v>
      </c>
      <c r="G2534" s="5">
        <f>IFERROR(__xludf.DUMMYFUNCTION("""COMPUTED_VALUE"""),0.10805001953888238)</f>
        <v>0.1080500195</v>
      </c>
      <c r="H2534" s="5">
        <f>IFERROR(__xludf.DUMMYFUNCTION("""COMPUTED_VALUE"""),0.6326148078725399)</f>
        <v>0.6326148079</v>
      </c>
      <c r="I2534" s="11">
        <f>IFERROR(__xludf.DUMMYFUNCTION("""COMPUTED_VALUE"""),5863.542642924086)</f>
        <v>5863.542643</v>
      </c>
      <c r="J2534" s="10">
        <f>IFERROR(__xludf.DUMMYFUNCTION("""COMPUTED_VALUE"""),0.0)</f>
        <v>0</v>
      </c>
      <c r="K2534" s="5">
        <f>IFERROR(__xludf.DUMMYFUNCTION("""COMPUTED_VALUE"""),0.0)</f>
        <v>0</v>
      </c>
      <c r="L2534" s="10">
        <f>IFERROR(__xludf.DUMMYFUNCTION("""COMPUTED_VALUE"""),481.0)</f>
        <v>481</v>
      </c>
      <c r="M2534" s="5">
        <f>IFERROR(__xludf.DUMMYFUNCTION("""COMPUTED_VALUE"""),1.0)</f>
        <v>1</v>
      </c>
    </row>
    <row r="2535">
      <c r="A2535" s="10" t="str">
        <f>IFERROR(__xludf.DUMMYFUNCTION("""COMPUTED_VALUE"""),"御子柴玲亜")</f>
        <v>御子柴玲亜</v>
      </c>
      <c r="B2535" s="10">
        <f>IFERROR(__xludf.DUMMYFUNCTION("""COMPUTED_VALUE"""),440.0)</f>
        <v>440</v>
      </c>
      <c r="C2535" s="10">
        <f>IFERROR(__xludf.DUMMYFUNCTION("""COMPUTED_VALUE"""),5194.0)</f>
        <v>5194</v>
      </c>
      <c r="D2535" s="5">
        <f>IFERROR(__xludf.DUMMYFUNCTION("""COMPUTED_VALUE"""),0.34560370214556163)</f>
        <v>0.3456037021</v>
      </c>
      <c r="E2535" s="5">
        <f>IFERROR(__xludf.DUMMYFUNCTION("""COMPUTED_VALUE"""),0.12894404711821625)</f>
        <v>0.1289440471</v>
      </c>
      <c r="F2535" s="5">
        <f>IFERROR(__xludf.DUMMYFUNCTION("""COMPUTED_VALUE"""),0.20466975178796804)</f>
        <v>0.2046697518</v>
      </c>
      <c r="G2535" s="5">
        <f>IFERROR(__xludf.DUMMYFUNCTION("""COMPUTED_VALUE"""),0.1823727387463189)</f>
        <v>0.1823727387</v>
      </c>
      <c r="H2535" s="5">
        <f>IFERROR(__xludf.DUMMYFUNCTION("""COMPUTED_VALUE"""),0.5960945529290853)</f>
        <v>0.5960945529</v>
      </c>
      <c r="I2535" s="11">
        <f>IFERROR(__xludf.DUMMYFUNCTION("""COMPUTED_VALUE"""),5631.449126413155)</f>
        <v>5631.449126</v>
      </c>
      <c r="J2535" s="10">
        <f>IFERROR(__xludf.DUMMYFUNCTION("""COMPUTED_VALUE"""),0.0)</f>
        <v>0</v>
      </c>
      <c r="K2535" s="5">
        <f>IFERROR(__xludf.DUMMYFUNCTION("""COMPUTED_VALUE"""),0.0)</f>
        <v>0</v>
      </c>
      <c r="L2535" s="10">
        <f>IFERROR(__xludf.DUMMYFUNCTION("""COMPUTED_VALUE"""),0.0)</f>
        <v>0</v>
      </c>
      <c r="M2535" s="5">
        <f>IFERROR(__xludf.DUMMYFUNCTION("""COMPUTED_VALUE"""),0.0)</f>
        <v>0</v>
      </c>
    </row>
    <row r="2536">
      <c r="A2536" s="10" t="str">
        <f>IFERROR(__xludf.DUMMYFUNCTION("""COMPUTED_VALUE"""),"倖花")</f>
        <v>倖花</v>
      </c>
      <c r="B2536" s="10">
        <f>IFERROR(__xludf.DUMMYFUNCTION("""COMPUTED_VALUE"""),219.0)</f>
        <v>219</v>
      </c>
      <c r="C2536" s="10">
        <f>IFERROR(__xludf.DUMMYFUNCTION("""COMPUTED_VALUE"""),2600.0)</f>
        <v>2600</v>
      </c>
      <c r="D2536" s="5">
        <f>IFERROR(__xludf.DUMMYFUNCTION("""COMPUTED_VALUE"""),0.2876942461150777)</f>
        <v>0.2876942461</v>
      </c>
      <c r="E2536" s="5">
        <f>IFERROR(__xludf.DUMMYFUNCTION("""COMPUTED_VALUE"""),0.12893742125157498)</f>
        <v>0.1289374213</v>
      </c>
      <c r="F2536" s="5">
        <f>IFERROR(__xludf.DUMMYFUNCTION("""COMPUTED_VALUE"""),0.2015959680806384)</f>
        <v>0.2015959681</v>
      </c>
      <c r="G2536" s="5">
        <f>IFERROR(__xludf.DUMMYFUNCTION("""COMPUTED_VALUE"""),0.19193616127677446)</f>
        <v>0.1919361613</v>
      </c>
      <c r="H2536" s="5">
        <f>IFERROR(__xludf.DUMMYFUNCTION("""COMPUTED_VALUE"""),0.5875)</f>
        <v>0.5875</v>
      </c>
      <c r="I2536" s="11">
        <f>IFERROR(__xludf.DUMMYFUNCTION("""COMPUTED_VALUE"""),5997.708333333333)</f>
        <v>5997.708333</v>
      </c>
      <c r="J2536" s="10">
        <f>IFERROR(__xludf.DUMMYFUNCTION("""COMPUTED_VALUE"""),1.0)</f>
        <v>1</v>
      </c>
      <c r="K2536" s="5">
        <f>IFERROR(__xludf.DUMMYFUNCTION("""COMPUTED_VALUE"""),0.0045662100456621)</f>
        <v>0.004566210046</v>
      </c>
      <c r="L2536" s="10">
        <f>IFERROR(__xludf.DUMMYFUNCTION("""COMPUTED_VALUE"""),0.0)</f>
        <v>0</v>
      </c>
      <c r="M2536" s="5">
        <f>IFERROR(__xludf.DUMMYFUNCTION("""COMPUTED_VALUE"""),0.0)</f>
        <v>0</v>
      </c>
    </row>
    <row r="2537">
      <c r="A2537" s="10" t="str">
        <f>IFERROR(__xludf.DUMMYFUNCTION("""COMPUTED_VALUE"""),"ルーシアのように")</f>
        <v>ルーシアのように</v>
      </c>
      <c r="B2537" s="10">
        <f>IFERROR(__xludf.DUMMYFUNCTION("""COMPUTED_VALUE"""),268.0)</f>
        <v>268</v>
      </c>
      <c r="C2537" s="10">
        <f>IFERROR(__xludf.DUMMYFUNCTION("""COMPUTED_VALUE"""),3099.0)</f>
        <v>3099</v>
      </c>
      <c r="D2537" s="5">
        <f>IFERROR(__xludf.DUMMYFUNCTION("""COMPUTED_VALUE"""),0.35146591310490993)</f>
        <v>0.3514659131</v>
      </c>
      <c r="E2537" s="5">
        <f>IFERROR(__xludf.DUMMYFUNCTION("""COMPUTED_VALUE"""),0.12892970681737903)</f>
        <v>0.1289297068</v>
      </c>
      <c r="F2537" s="5">
        <f>IFERROR(__xludf.DUMMYFUNCTION("""COMPUTED_VALUE"""),0.20487460261391735)</f>
        <v>0.2048746026</v>
      </c>
      <c r="G2537" s="5">
        <f>IFERROR(__xludf.DUMMYFUNCTION("""COMPUTED_VALUE"""),0.1501236312257153)</f>
        <v>0.1501236312</v>
      </c>
      <c r="H2537" s="5">
        <f>IFERROR(__xludf.DUMMYFUNCTION("""COMPUTED_VALUE"""),0.6448275862068965)</f>
        <v>0.6448275862</v>
      </c>
      <c r="I2537" s="11">
        <f>IFERROR(__xludf.DUMMYFUNCTION("""COMPUTED_VALUE"""),5691.896551724138)</f>
        <v>5691.896552</v>
      </c>
      <c r="J2537" s="10">
        <f>IFERROR(__xludf.DUMMYFUNCTION("""COMPUTED_VALUE"""),1.0)</f>
        <v>1</v>
      </c>
      <c r="K2537" s="5">
        <f>IFERROR(__xludf.DUMMYFUNCTION("""COMPUTED_VALUE"""),0.0037313432835820895)</f>
        <v>0.003731343284</v>
      </c>
      <c r="L2537" s="10">
        <f>IFERROR(__xludf.DUMMYFUNCTION("""COMPUTED_VALUE"""),249.0)</f>
        <v>249</v>
      </c>
      <c r="M2537" s="5">
        <f>IFERROR(__xludf.DUMMYFUNCTION("""COMPUTED_VALUE"""),0.9291044776119403)</f>
        <v>0.9291044776</v>
      </c>
    </row>
    <row r="2538">
      <c r="A2538" s="10" t="str">
        <f>IFERROR(__xludf.DUMMYFUNCTION("""COMPUTED_VALUE"""),"～原村和～")</f>
        <v>～原村和～</v>
      </c>
      <c r="B2538" s="10">
        <f>IFERROR(__xludf.DUMMYFUNCTION("""COMPUTED_VALUE"""),657.0)</f>
        <v>657</v>
      </c>
      <c r="C2538" s="10">
        <f>IFERROR(__xludf.DUMMYFUNCTION("""COMPUTED_VALUE"""),7607.0)</f>
        <v>7607</v>
      </c>
      <c r="D2538" s="5">
        <f>IFERROR(__xludf.DUMMYFUNCTION("""COMPUTED_VALUE"""),0.3)</f>
        <v>0.3</v>
      </c>
      <c r="E2538" s="5">
        <f>IFERROR(__xludf.DUMMYFUNCTION("""COMPUTED_VALUE"""),0.1289208633093525)</f>
        <v>0.1289208633</v>
      </c>
      <c r="F2538" s="5">
        <f>IFERROR(__xludf.DUMMYFUNCTION("""COMPUTED_VALUE"""),0.2037410071942446)</f>
        <v>0.2037410072</v>
      </c>
      <c r="G2538" s="5">
        <f>IFERROR(__xludf.DUMMYFUNCTION("""COMPUTED_VALUE"""),0.17798561151079137)</f>
        <v>0.1779856115</v>
      </c>
      <c r="H2538" s="5">
        <f>IFERROR(__xludf.DUMMYFUNCTION("""COMPUTED_VALUE"""),0.5995762711864406)</f>
        <v>0.5995762712</v>
      </c>
      <c r="I2538" s="11">
        <f>IFERROR(__xludf.DUMMYFUNCTION("""COMPUTED_VALUE"""),5728.319209039548)</f>
        <v>5728.319209</v>
      </c>
      <c r="J2538" s="10">
        <f>IFERROR(__xludf.DUMMYFUNCTION("""COMPUTED_VALUE"""),0.0)</f>
        <v>0</v>
      </c>
      <c r="K2538" s="5">
        <f>IFERROR(__xludf.DUMMYFUNCTION("""COMPUTED_VALUE"""),0.0)</f>
        <v>0</v>
      </c>
      <c r="L2538" s="10">
        <f>IFERROR(__xludf.DUMMYFUNCTION("""COMPUTED_VALUE"""),4.0)</f>
        <v>4</v>
      </c>
      <c r="M2538" s="5">
        <f>IFERROR(__xludf.DUMMYFUNCTION("""COMPUTED_VALUE"""),0.0060882800608828)</f>
        <v>0.006088280061</v>
      </c>
    </row>
    <row r="2539">
      <c r="A2539" s="10" t="str">
        <f>IFERROR(__xludf.DUMMYFUNCTION("""COMPUTED_VALUE"""),"なんとかの弟子")</f>
        <v>なんとかの弟子</v>
      </c>
      <c r="B2539" s="10">
        <f>IFERROR(__xludf.DUMMYFUNCTION("""COMPUTED_VALUE"""),157.0)</f>
        <v>157</v>
      </c>
      <c r="C2539" s="10">
        <f>IFERROR(__xludf.DUMMYFUNCTION("""COMPUTED_VALUE"""),1879.0)</f>
        <v>1879</v>
      </c>
      <c r="D2539" s="5">
        <f>IFERROR(__xludf.DUMMYFUNCTION("""COMPUTED_VALUE"""),0.29094076655052264)</f>
        <v>0.2909407666</v>
      </c>
      <c r="E2539" s="5">
        <f>IFERROR(__xludf.DUMMYFUNCTION("""COMPUTED_VALUE"""),0.1289198606271777)</f>
        <v>0.1289198606</v>
      </c>
      <c r="F2539" s="5">
        <f>IFERROR(__xludf.DUMMYFUNCTION("""COMPUTED_VALUE"""),0.19628339140534262)</f>
        <v>0.1962833914</v>
      </c>
      <c r="G2539" s="5">
        <f>IFERROR(__xludf.DUMMYFUNCTION("""COMPUTED_VALUE"""),0.1678281068524971)</f>
        <v>0.1678281069</v>
      </c>
      <c r="H2539" s="5">
        <f>IFERROR(__xludf.DUMMYFUNCTION("""COMPUTED_VALUE"""),0.6301775147928994)</f>
        <v>0.6301775148</v>
      </c>
      <c r="I2539" s="11">
        <f>IFERROR(__xludf.DUMMYFUNCTION("""COMPUTED_VALUE"""),6055.917159763314)</f>
        <v>6055.91716</v>
      </c>
      <c r="J2539" s="10">
        <f>IFERROR(__xludf.DUMMYFUNCTION("""COMPUTED_VALUE"""),0.0)</f>
        <v>0</v>
      </c>
      <c r="K2539" s="5">
        <f>IFERROR(__xludf.DUMMYFUNCTION("""COMPUTED_VALUE"""),0.0)</f>
        <v>0</v>
      </c>
      <c r="L2539" s="10">
        <f>IFERROR(__xludf.DUMMYFUNCTION("""COMPUTED_VALUE"""),157.0)</f>
        <v>157</v>
      </c>
      <c r="M2539" s="5">
        <f>IFERROR(__xludf.DUMMYFUNCTION("""COMPUTED_VALUE"""),1.0)</f>
        <v>1</v>
      </c>
    </row>
    <row r="2540">
      <c r="A2540" s="10" t="str">
        <f>IFERROR(__xludf.DUMMYFUNCTION("""COMPUTED_VALUE"""),"デンエン")</f>
        <v>デンエン</v>
      </c>
      <c r="B2540" s="10">
        <f>IFERROR(__xludf.DUMMYFUNCTION("""COMPUTED_VALUE"""),701.0)</f>
        <v>701</v>
      </c>
      <c r="C2540" s="10">
        <f>IFERROR(__xludf.DUMMYFUNCTION("""COMPUTED_VALUE"""),8241.0)</f>
        <v>8241</v>
      </c>
      <c r="D2540" s="5">
        <f>IFERROR(__xludf.DUMMYFUNCTION("""COMPUTED_VALUE"""),0.330106100795756)</f>
        <v>0.3301061008</v>
      </c>
      <c r="E2540" s="5">
        <f>IFERROR(__xludf.DUMMYFUNCTION("""COMPUTED_VALUE"""),0.12891246684350133)</f>
        <v>0.1289124668</v>
      </c>
      <c r="F2540" s="5">
        <f>IFERROR(__xludf.DUMMYFUNCTION("""COMPUTED_VALUE"""),0.2206896551724138)</f>
        <v>0.2206896552</v>
      </c>
      <c r="G2540" s="5">
        <f>IFERROR(__xludf.DUMMYFUNCTION("""COMPUTED_VALUE"""),0.17148541114058355)</f>
        <v>0.1714854111</v>
      </c>
      <c r="H2540" s="5">
        <f>IFERROR(__xludf.DUMMYFUNCTION("""COMPUTED_VALUE"""),0.6099759615384616)</f>
        <v>0.6099759615</v>
      </c>
      <c r="I2540" s="11">
        <f>IFERROR(__xludf.DUMMYFUNCTION("""COMPUTED_VALUE"""),5575.4807692307695)</f>
        <v>5575.480769</v>
      </c>
      <c r="J2540" s="10">
        <f>IFERROR(__xludf.DUMMYFUNCTION("""COMPUTED_VALUE"""),0.0)</f>
        <v>0</v>
      </c>
      <c r="K2540" s="5">
        <f>IFERROR(__xludf.DUMMYFUNCTION("""COMPUTED_VALUE"""),0.0)</f>
        <v>0</v>
      </c>
      <c r="L2540" s="10">
        <f>IFERROR(__xludf.DUMMYFUNCTION("""COMPUTED_VALUE"""),701.0)</f>
        <v>701</v>
      </c>
      <c r="M2540" s="5">
        <f>IFERROR(__xludf.DUMMYFUNCTION("""COMPUTED_VALUE"""),1.0)</f>
        <v>1</v>
      </c>
    </row>
    <row r="2541">
      <c r="A2541" s="10" t="str">
        <f>IFERROR(__xludf.DUMMYFUNCTION("""COMPUTED_VALUE"""),"richiko")</f>
        <v>richiko</v>
      </c>
      <c r="B2541" s="10">
        <f>IFERROR(__xludf.DUMMYFUNCTION("""COMPUTED_VALUE"""),491.0)</f>
        <v>491</v>
      </c>
      <c r="C2541" s="10">
        <f>IFERROR(__xludf.DUMMYFUNCTION("""COMPUTED_VALUE"""),5797.0)</f>
        <v>5797</v>
      </c>
      <c r="D2541" s="5">
        <f>IFERROR(__xludf.DUMMYFUNCTION("""COMPUTED_VALUE"""),0.31323030531473806)</f>
        <v>0.3132303053</v>
      </c>
      <c r="E2541" s="5">
        <f>IFERROR(__xludf.DUMMYFUNCTION("""COMPUTED_VALUE"""),0.12891066716924238)</f>
        <v>0.1289106672</v>
      </c>
      <c r="F2541" s="5">
        <f>IFERROR(__xludf.DUMMYFUNCTION("""COMPUTED_VALUE"""),0.20542781756502074)</f>
        <v>0.2054278176</v>
      </c>
      <c r="G2541" s="5">
        <f>IFERROR(__xludf.DUMMYFUNCTION("""COMPUTED_VALUE"""),0.19525065963060687)</f>
        <v>0.1952506596</v>
      </c>
      <c r="H2541" s="5">
        <f>IFERROR(__xludf.DUMMYFUNCTION("""COMPUTED_VALUE"""),0.5752293577981651)</f>
        <v>0.5752293578</v>
      </c>
      <c r="I2541" s="11">
        <f>IFERROR(__xludf.DUMMYFUNCTION("""COMPUTED_VALUE"""),5590.366972477064)</f>
        <v>5590.366972</v>
      </c>
      <c r="J2541" s="10">
        <f>IFERROR(__xludf.DUMMYFUNCTION("""COMPUTED_VALUE"""),1.0)</f>
        <v>1</v>
      </c>
      <c r="K2541" s="5">
        <f>IFERROR(__xludf.DUMMYFUNCTION("""COMPUTED_VALUE"""),0.002036659877800407)</f>
        <v>0.002036659878</v>
      </c>
      <c r="L2541" s="10">
        <f>IFERROR(__xludf.DUMMYFUNCTION("""COMPUTED_VALUE"""),0.0)</f>
        <v>0</v>
      </c>
      <c r="M2541" s="5">
        <f>IFERROR(__xludf.DUMMYFUNCTION("""COMPUTED_VALUE"""),0.0)</f>
        <v>0</v>
      </c>
    </row>
    <row r="2542">
      <c r="A2542" s="10" t="str">
        <f>IFERROR(__xludf.DUMMYFUNCTION("""COMPUTED_VALUE"""),"呉富春")</f>
        <v>呉富春</v>
      </c>
      <c r="B2542" s="10">
        <f>IFERROR(__xludf.DUMMYFUNCTION("""COMPUTED_VALUE"""),316.0)</f>
        <v>316</v>
      </c>
      <c r="C2542" s="10">
        <f>IFERROR(__xludf.DUMMYFUNCTION("""COMPUTED_VALUE"""),3652.0)</f>
        <v>3652</v>
      </c>
      <c r="D2542" s="5">
        <f>IFERROR(__xludf.DUMMYFUNCTION("""COMPUTED_VALUE"""),0.36780575539568344)</f>
        <v>0.3678057554</v>
      </c>
      <c r="E2542" s="5">
        <f>IFERROR(__xludf.DUMMYFUNCTION("""COMPUTED_VALUE"""),0.1288968824940048)</f>
        <v>0.1288968825</v>
      </c>
      <c r="F2542" s="5">
        <f>IFERROR(__xludf.DUMMYFUNCTION("""COMPUTED_VALUE"""),0.21732613908872903)</f>
        <v>0.2173261391</v>
      </c>
      <c r="G2542" s="5">
        <f>IFERROR(__xludf.DUMMYFUNCTION("""COMPUTED_VALUE"""),0.1789568345323741)</f>
        <v>0.1789568345</v>
      </c>
      <c r="H2542" s="5">
        <f>IFERROR(__xludf.DUMMYFUNCTION("""COMPUTED_VALUE"""),0.6055172413793104)</f>
        <v>0.6055172414</v>
      </c>
      <c r="I2542" s="11">
        <f>IFERROR(__xludf.DUMMYFUNCTION("""COMPUTED_VALUE"""),5543.0344827586205)</f>
        <v>5543.034483</v>
      </c>
      <c r="J2542" s="10">
        <f>IFERROR(__xludf.DUMMYFUNCTION("""COMPUTED_VALUE"""),0.0)</f>
        <v>0</v>
      </c>
      <c r="K2542" s="5">
        <f>IFERROR(__xludf.DUMMYFUNCTION("""COMPUTED_VALUE"""),0.0)</f>
        <v>0</v>
      </c>
      <c r="L2542" s="10">
        <f>IFERROR(__xludf.DUMMYFUNCTION("""COMPUTED_VALUE"""),316.0)</f>
        <v>316</v>
      </c>
      <c r="M2542" s="5">
        <f>IFERROR(__xludf.DUMMYFUNCTION("""COMPUTED_VALUE"""),1.0)</f>
        <v>1</v>
      </c>
    </row>
    <row r="2543">
      <c r="A2543" s="10" t="str">
        <f>IFERROR(__xludf.DUMMYFUNCTION("""COMPUTED_VALUE"""),"とどが")</f>
        <v>とどが</v>
      </c>
      <c r="B2543" s="10">
        <f>IFERROR(__xludf.DUMMYFUNCTION("""COMPUTED_VALUE"""),673.0)</f>
        <v>673</v>
      </c>
      <c r="C2543" s="10">
        <f>IFERROR(__xludf.DUMMYFUNCTION("""COMPUTED_VALUE"""),8020.0)</f>
        <v>8020</v>
      </c>
      <c r="D2543" s="5">
        <f>IFERROR(__xludf.DUMMYFUNCTION("""COMPUTED_VALUE"""),0.3836940247720158)</f>
        <v>0.3836940248</v>
      </c>
      <c r="E2543" s="5">
        <f>IFERROR(__xludf.DUMMYFUNCTION("""COMPUTED_VALUE"""),0.12889614808765482)</f>
        <v>0.1288961481</v>
      </c>
      <c r="F2543" s="5">
        <f>IFERROR(__xludf.DUMMYFUNCTION("""COMPUTED_VALUE"""),0.2147815434871376)</f>
        <v>0.2147815435</v>
      </c>
      <c r="G2543" s="5">
        <f>IFERROR(__xludf.DUMMYFUNCTION("""COMPUTED_VALUE"""),0.1622430924186743)</f>
        <v>0.1622430924</v>
      </c>
      <c r="H2543" s="5">
        <f>IFERROR(__xludf.DUMMYFUNCTION("""COMPUTED_VALUE"""),0.6185044359949303)</f>
        <v>0.618504436</v>
      </c>
      <c r="I2543" s="11">
        <f>IFERROR(__xludf.DUMMYFUNCTION("""COMPUTED_VALUE"""),5450.570342205323)</f>
        <v>5450.570342</v>
      </c>
      <c r="J2543" s="10">
        <f>IFERROR(__xludf.DUMMYFUNCTION("""COMPUTED_VALUE"""),1.0)</f>
        <v>1</v>
      </c>
      <c r="K2543" s="5">
        <f>IFERROR(__xludf.DUMMYFUNCTION("""COMPUTED_VALUE"""),0.0014858841010401188)</f>
        <v>0.001485884101</v>
      </c>
      <c r="L2543" s="10">
        <f>IFERROR(__xludf.DUMMYFUNCTION("""COMPUTED_VALUE"""),669.0)</f>
        <v>669</v>
      </c>
      <c r="M2543" s="5">
        <f>IFERROR(__xludf.DUMMYFUNCTION("""COMPUTED_VALUE"""),0.9940564635958395)</f>
        <v>0.9940564636</v>
      </c>
    </row>
    <row r="2544">
      <c r="A2544" s="10" t="str">
        <f>IFERROR(__xludf.DUMMYFUNCTION("""COMPUTED_VALUE"""),"ラキラキ")</f>
        <v>ラキラキ</v>
      </c>
      <c r="B2544" s="10">
        <f>IFERROR(__xludf.DUMMYFUNCTION("""COMPUTED_VALUE"""),104.0)</f>
        <v>104</v>
      </c>
      <c r="C2544" s="10">
        <f>IFERROR(__xludf.DUMMYFUNCTION("""COMPUTED_VALUE"""),1229.0)</f>
        <v>1229</v>
      </c>
      <c r="D2544" s="5">
        <f>IFERROR(__xludf.DUMMYFUNCTION("""COMPUTED_VALUE"""),0.2604444444444444)</f>
        <v>0.2604444444</v>
      </c>
      <c r="E2544" s="5">
        <f>IFERROR(__xludf.DUMMYFUNCTION("""COMPUTED_VALUE"""),0.1288888888888889)</f>
        <v>0.1288888889</v>
      </c>
      <c r="F2544" s="5">
        <f>IFERROR(__xludf.DUMMYFUNCTION("""COMPUTED_VALUE"""),0.18755555555555556)</f>
        <v>0.1875555556</v>
      </c>
      <c r="G2544" s="5">
        <f>IFERROR(__xludf.DUMMYFUNCTION("""COMPUTED_VALUE"""),0.14933333333333335)</f>
        <v>0.1493333333</v>
      </c>
      <c r="H2544" s="5">
        <f>IFERROR(__xludf.DUMMYFUNCTION("""COMPUTED_VALUE"""),0.6303317535545023)</f>
        <v>0.6303317536</v>
      </c>
      <c r="I2544" s="11">
        <f>IFERROR(__xludf.DUMMYFUNCTION("""COMPUTED_VALUE"""),5818.957345971564)</f>
        <v>5818.957346</v>
      </c>
      <c r="J2544" s="10">
        <f>IFERROR(__xludf.DUMMYFUNCTION("""COMPUTED_VALUE"""),1.0)</f>
        <v>1</v>
      </c>
      <c r="K2544" s="5">
        <f>IFERROR(__xludf.DUMMYFUNCTION("""COMPUTED_VALUE"""),0.009615384615384616)</f>
        <v>0.009615384615</v>
      </c>
      <c r="L2544" s="10">
        <f>IFERROR(__xludf.DUMMYFUNCTION("""COMPUTED_VALUE"""),104.0)</f>
        <v>104</v>
      </c>
      <c r="M2544" s="5">
        <f>IFERROR(__xludf.DUMMYFUNCTION("""COMPUTED_VALUE"""),1.0)</f>
        <v>1</v>
      </c>
    </row>
    <row r="2545">
      <c r="A2545" s="10" t="str">
        <f>IFERROR(__xludf.DUMMYFUNCTION("""COMPUTED_VALUE"""),"暢一")</f>
        <v>暢一</v>
      </c>
      <c r="B2545" s="10">
        <f>IFERROR(__xludf.DUMMYFUNCTION("""COMPUTED_VALUE"""),1258.0)</f>
        <v>1258</v>
      </c>
      <c r="C2545" s="10">
        <f>IFERROR(__xludf.DUMMYFUNCTION("""COMPUTED_VALUE"""),14696.0)</f>
        <v>14696</v>
      </c>
      <c r="D2545" s="5">
        <f>IFERROR(__xludf.DUMMYFUNCTION("""COMPUTED_VALUE"""),0.3830183062955797)</f>
        <v>0.3830183063</v>
      </c>
      <c r="E2545" s="5">
        <f>IFERROR(__xludf.DUMMYFUNCTION("""COMPUTED_VALUE"""),0.12888822741479386)</f>
        <v>0.1288882274</v>
      </c>
      <c r="F2545" s="5">
        <f>IFERROR(__xludf.DUMMYFUNCTION("""COMPUTED_VALUE"""),0.21610358684328024)</f>
        <v>0.2161035868</v>
      </c>
      <c r="G2545" s="5">
        <f>IFERROR(__xludf.DUMMYFUNCTION("""COMPUTED_VALUE"""),0.17718410477749666)</f>
        <v>0.1771841048</v>
      </c>
      <c r="H2545" s="5">
        <f>IFERROR(__xludf.DUMMYFUNCTION("""COMPUTED_VALUE"""),0.5878099173553719)</f>
        <v>0.5878099174</v>
      </c>
      <c r="I2545" s="11">
        <f>IFERROR(__xludf.DUMMYFUNCTION("""COMPUTED_VALUE"""),5791.391184573003)</f>
        <v>5791.391185</v>
      </c>
      <c r="J2545" s="10">
        <f>IFERROR(__xludf.DUMMYFUNCTION("""COMPUTED_VALUE"""),5.0)</f>
        <v>5</v>
      </c>
      <c r="K2545" s="5">
        <f>IFERROR(__xludf.DUMMYFUNCTION("""COMPUTED_VALUE"""),0.00397456279809221)</f>
        <v>0.003974562798</v>
      </c>
      <c r="L2545" s="10">
        <f>IFERROR(__xludf.DUMMYFUNCTION("""COMPUTED_VALUE"""),1258.0)</f>
        <v>1258</v>
      </c>
      <c r="M2545" s="5">
        <f>IFERROR(__xludf.DUMMYFUNCTION("""COMPUTED_VALUE"""),1.0)</f>
        <v>1</v>
      </c>
    </row>
    <row r="2546">
      <c r="A2546" s="10" t="str">
        <f>IFERROR(__xludf.DUMMYFUNCTION("""COMPUTED_VALUE"""),"ウィドゥ＠阪神")</f>
        <v>ウィドゥ＠阪神</v>
      </c>
      <c r="B2546" s="10">
        <f>IFERROR(__xludf.DUMMYFUNCTION("""COMPUTED_VALUE"""),1217.0)</f>
        <v>1217</v>
      </c>
      <c r="C2546" s="10">
        <f>IFERROR(__xludf.DUMMYFUNCTION("""COMPUTED_VALUE"""),14392.0)</f>
        <v>14392</v>
      </c>
      <c r="D2546" s="5">
        <f>IFERROR(__xludf.DUMMYFUNCTION("""COMPUTED_VALUE"""),0.3726755218216319)</f>
        <v>0.3726755218</v>
      </c>
      <c r="E2546" s="5">
        <f>IFERROR(__xludf.DUMMYFUNCTION("""COMPUTED_VALUE"""),0.12888045540796964)</f>
        <v>0.1288804554</v>
      </c>
      <c r="F2546" s="5">
        <f>IFERROR(__xludf.DUMMYFUNCTION("""COMPUTED_VALUE"""),0.21472485768500948)</f>
        <v>0.2147248577</v>
      </c>
      <c r="G2546" s="5">
        <f>IFERROR(__xludf.DUMMYFUNCTION("""COMPUTED_VALUE"""),0.1605313092979127)</f>
        <v>0.1605313093</v>
      </c>
      <c r="H2546" s="5">
        <f>IFERROR(__xludf.DUMMYFUNCTION("""COMPUTED_VALUE"""),0.6083421703782255)</f>
        <v>0.6083421704</v>
      </c>
      <c r="I2546" s="11">
        <f>IFERROR(__xludf.DUMMYFUNCTION("""COMPUTED_VALUE"""),5436.055143160127)</f>
        <v>5436.055143</v>
      </c>
      <c r="J2546" s="10">
        <f>IFERROR(__xludf.DUMMYFUNCTION("""COMPUTED_VALUE"""),1.0)</f>
        <v>1</v>
      </c>
      <c r="K2546" s="5">
        <f>IFERROR(__xludf.DUMMYFUNCTION("""COMPUTED_VALUE"""),8.216926869350862E-4)</f>
        <v>0.0008216926869</v>
      </c>
      <c r="L2546" s="10">
        <f>IFERROR(__xludf.DUMMYFUNCTION("""COMPUTED_VALUE"""),1217.0)</f>
        <v>1217</v>
      </c>
      <c r="M2546" s="5">
        <f>IFERROR(__xludf.DUMMYFUNCTION("""COMPUTED_VALUE"""),1.0)</f>
        <v>1</v>
      </c>
    </row>
    <row r="2547">
      <c r="A2547" s="10" t="str">
        <f>IFERROR(__xludf.DUMMYFUNCTION("""COMPUTED_VALUE"""),"durrrrr")</f>
        <v>durrrrr</v>
      </c>
      <c r="B2547" s="10">
        <f>IFERROR(__xludf.DUMMYFUNCTION("""COMPUTED_VALUE"""),6429.0)</f>
        <v>6429</v>
      </c>
      <c r="C2547" s="10">
        <f>IFERROR(__xludf.DUMMYFUNCTION("""COMPUTED_VALUE"""),74749.0)</f>
        <v>74749</v>
      </c>
      <c r="D2547" s="5">
        <f>IFERROR(__xludf.DUMMYFUNCTION("""COMPUTED_VALUE"""),0.3843091334894614)</f>
        <v>0.3843091335</v>
      </c>
      <c r="E2547" s="5">
        <f>IFERROR(__xludf.DUMMYFUNCTION("""COMPUTED_VALUE"""),0.1288788056206089)</f>
        <v>0.1288788056</v>
      </c>
      <c r="F2547" s="5">
        <f>IFERROR(__xludf.DUMMYFUNCTION("""COMPUTED_VALUE"""),0.2257757611241218)</f>
        <v>0.2257757611</v>
      </c>
      <c r="G2547" s="5">
        <f>IFERROR(__xludf.DUMMYFUNCTION("""COMPUTED_VALUE"""),0.1656030444964871)</f>
        <v>0.1656030445</v>
      </c>
      <c r="H2547" s="5">
        <f>IFERROR(__xludf.DUMMYFUNCTION("""COMPUTED_VALUE"""),0.6094003241491086)</f>
        <v>0.6094003241</v>
      </c>
      <c r="I2547" s="11">
        <f>IFERROR(__xludf.DUMMYFUNCTION("""COMPUTED_VALUE"""),5305.15397082658)</f>
        <v>5305.153971</v>
      </c>
      <c r="J2547" s="10">
        <f>IFERROR(__xludf.DUMMYFUNCTION("""COMPUTED_VALUE"""),18.0)</f>
        <v>18</v>
      </c>
      <c r="K2547" s="5">
        <f>IFERROR(__xludf.DUMMYFUNCTION("""COMPUTED_VALUE"""),0.0027998133457769483)</f>
        <v>0.002799813346</v>
      </c>
      <c r="L2547" s="10">
        <f>IFERROR(__xludf.DUMMYFUNCTION("""COMPUTED_VALUE"""),6429.0)</f>
        <v>6429</v>
      </c>
      <c r="M2547" s="5">
        <f>IFERROR(__xludf.DUMMYFUNCTION("""COMPUTED_VALUE"""),1.0)</f>
        <v>1</v>
      </c>
    </row>
    <row r="2548">
      <c r="A2548" s="10" t="str">
        <f>IFERROR(__xludf.DUMMYFUNCTION("""COMPUTED_VALUE"""),"nacomaii")</f>
        <v>nacomaii</v>
      </c>
      <c r="B2548" s="10">
        <f>IFERROR(__xludf.DUMMYFUNCTION("""COMPUTED_VALUE"""),1082.0)</f>
        <v>1082</v>
      </c>
      <c r="C2548" s="10">
        <f>IFERROR(__xludf.DUMMYFUNCTION("""COMPUTED_VALUE"""),12861.0)</f>
        <v>12861</v>
      </c>
      <c r="D2548" s="5">
        <f>IFERROR(__xludf.DUMMYFUNCTION("""COMPUTED_VALUE"""),0.33788946430087446)</f>
        <v>0.3378894643</v>
      </c>
      <c r="E2548" s="5">
        <f>IFERROR(__xludf.DUMMYFUNCTION("""COMPUTED_VALUE"""),0.12887341879616265)</f>
        <v>0.1288734188</v>
      </c>
      <c r="F2548" s="5">
        <f>IFERROR(__xludf.DUMMYFUNCTION("""COMPUTED_VALUE"""),0.2084217675524238)</f>
        <v>0.2084217676</v>
      </c>
      <c r="G2548" s="5">
        <f>IFERROR(__xludf.DUMMYFUNCTION("""COMPUTED_VALUE"""),0.1444944392563036)</f>
        <v>0.1444944393</v>
      </c>
      <c r="H2548" s="5">
        <f>IFERROR(__xludf.DUMMYFUNCTION("""COMPUTED_VALUE"""),0.5971486761710795)</f>
        <v>0.5971486762</v>
      </c>
      <c r="I2548" s="11">
        <f>IFERROR(__xludf.DUMMYFUNCTION("""COMPUTED_VALUE"""),5493.075356415478)</f>
        <v>5493.075356</v>
      </c>
      <c r="J2548" s="10">
        <f>IFERROR(__xludf.DUMMYFUNCTION("""COMPUTED_VALUE"""),3.0)</f>
        <v>3</v>
      </c>
      <c r="K2548" s="5">
        <f>IFERROR(__xludf.DUMMYFUNCTION("""COMPUTED_VALUE"""),0.0027726432532347504)</f>
        <v>0.002772643253</v>
      </c>
      <c r="L2548" s="10">
        <f>IFERROR(__xludf.DUMMYFUNCTION("""COMPUTED_VALUE"""),6.0)</f>
        <v>6</v>
      </c>
      <c r="M2548" s="5">
        <f>IFERROR(__xludf.DUMMYFUNCTION("""COMPUTED_VALUE"""),0.005545286506469501)</f>
        <v>0.005545286506</v>
      </c>
    </row>
    <row r="2549">
      <c r="A2549" s="10" t="str">
        <f>IFERROR(__xludf.DUMMYFUNCTION("""COMPUTED_VALUE"""),"ミツイ")</f>
        <v>ミツイ</v>
      </c>
      <c r="B2549" s="10">
        <f>IFERROR(__xludf.DUMMYFUNCTION("""COMPUTED_VALUE"""),2004.0)</f>
        <v>2004</v>
      </c>
      <c r="C2549" s="10">
        <f>IFERROR(__xludf.DUMMYFUNCTION("""COMPUTED_VALUE"""),23467.0)</f>
        <v>23467</v>
      </c>
      <c r="D2549" s="5">
        <f>IFERROR(__xludf.DUMMYFUNCTION("""COMPUTED_VALUE"""),0.35237385267669946)</f>
        <v>0.3523738527</v>
      </c>
      <c r="E2549" s="5">
        <f>IFERROR(__xludf.DUMMYFUNCTION("""COMPUTED_VALUE"""),0.1288729441364208)</f>
        <v>0.1288729441</v>
      </c>
      <c r="F2549" s="5">
        <f>IFERROR(__xludf.DUMMYFUNCTION("""COMPUTED_VALUE"""),0.2066812654335368)</f>
        <v>0.2066812654</v>
      </c>
      <c r="G2549" s="5">
        <f>IFERROR(__xludf.DUMMYFUNCTION("""COMPUTED_VALUE"""),0.18599450216651914)</f>
        <v>0.1859945022</v>
      </c>
      <c r="H2549" s="5">
        <f>IFERROR(__xludf.DUMMYFUNCTION("""COMPUTED_VALUE"""),0.5809287646528404)</f>
        <v>0.5809287647</v>
      </c>
      <c r="I2549" s="11">
        <f>IFERROR(__xludf.DUMMYFUNCTION("""COMPUTED_VALUE"""),5736.970243462579)</f>
        <v>5736.970243</v>
      </c>
      <c r="J2549" s="10">
        <f>IFERROR(__xludf.DUMMYFUNCTION("""COMPUTED_VALUE"""),2.0)</f>
        <v>2</v>
      </c>
      <c r="K2549" s="5">
        <f>IFERROR(__xludf.DUMMYFUNCTION("""COMPUTED_VALUE"""),9.98003992015968E-4)</f>
        <v>0.000998003992</v>
      </c>
      <c r="L2549" s="10">
        <f>IFERROR(__xludf.DUMMYFUNCTION("""COMPUTED_VALUE"""),2004.0)</f>
        <v>2004</v>
      </c>
      <c r="M2549" s="5">
        <f>IFERROR(__xludf.DUMMYFUNCTION("""COMPUTED_VALUE"""),1.0)</f>
        <v>1</v>
      </c>
    </row>
    <row r="2550">
      <c r="A2550" s="10" t="str">
        <f>IFERROR(__xludf.DUMMYFUNCTION("""COMPUTED_VALUE"""),"こーめーさん2号")</f>
        <v>こーめーさん2号</v>
      </c>
      <c r="B2550" s="10">
        <f>IFERROR(__xludf.DUMMYFUNCTION("""COMPUTED_VALUE"""),113.0)</f>
        <v>113</v>
      </c>
      <c r="C2550" s="10">
        <f>IFERROR(__xludf.DUMMYFUNCTION("""COMPUTED_VALUE"""),1308.0)</f>
        <v>1308</v>
      </c>
      <c r="D2550" s="5">
        <f>IFERROR(__xludf.DUMMYFUNCTION("""COMPUTED_VALUE"""),0.302928870292887)</f>
        <v>0.3029288703</v>
      </c>
      <c r="E2550" s="5">
        <f>IFERROR(__xludf.DUMMYFUNCTION("""COMPUTED_VALUE"""),0.12887029288702928)</f>
        <v>0.1288702929</v>
      </c>
      <c r="F2550" s="5">
        <f>IFERROR(__xludf.DUMMYFUNCTION("""COMPUTED_VALUE"""),0.19581589958158996)</f>
        <v>0.1958158996</v>
      </c>
      <c r="G2550" s="5">
        <f>IFERROR(__xludf.DUMMYFUNCTION("""COMPUTED_VALUE"""),0.1598326359832636)</f>
        <v>0.159832636</v>
      </c>
      <c r="H2550" s="5">
        <f>IFERROR(__xludf.DUMMYFUNCTION("""COMPUTED_VALUE"""),0.5854700854700855)</f>
        <v>0.5854700855</v>
      </c>
      <c r="I2550" s="11">
        <f>IFERROR(__xludf.DUMMYFUNCTION("""COMPUTED_VALUE"""),5920.940170940171)</f>
        <v>5920.940171</v>
      </c>
      <c r="J2550" s="10">
        <f>IFERROR(__xludf.DUMMYFUNCTION("""COMPUTED_VALUE"""),0.0)</f>
        <v>0</v>
      </c>
      <c r="K2550" s="5">
        <f>IFERROR(__xludf.DUMMYFUNCTION("""COMPUTED_VALUE"""),0.0)</f>
        <v>0</v>
      </c>
      <c r="L2550" s="10">
        <f>IFERROR(__xludf.DUMMYFUNCTION("""COMPUTED_VALUE"""),113.0)</f>
        <v>113</v>
      </c>
      <c r="M2550" s="5">
        <f>IFERROR(__xludf.DUMMYFUNCTION("""COMPUTED_VALUE"""),1.0)</f>
        <v>1</v>
      </c>
    </row>
    <row r="2551">
      <c r="A2551" s="10" t="str">
        <f>IFERROR(__xludf.DUMMYFUNCTION("""COMPUTED_VALUE"""),"kadukii")</f>
        <v>kadukii</v>
      </c>
      <c r="B2551" s="10">
        <f>IFERROR(__xludf.DUMMYFUNCTION("""COMPUTED_VALUE"""),2750.0)</f>
        <v>2750</v>
      </c>
      <c r="C2551" s="10">
        <f>IFERROR(__xludf.DUMMYFUNCTION("""COMPUTED_VALUE"""),32649.0)</f>
        <v>32649</v>
      </c>
      <c r="D2551" s="5">
        <f>IFERROR(__xludf.DUMMYFUNCTION("""COMPUTED_VALUE"""),0.3533562995417907)</f>
        <v>0.3533562995</v>
      </c>
      <c r="E2551" s="5">
        <f>IFERROR(__xludf.DUMMYFUNCTION("""COMPUTED_VALUE"""),0.12886718619351817)</f>
        <v>0.1288671862</v>
      </c>
      <c r="F2551" s="5">
        <f>IFERROR(__xludf.DUMMYFUNCTION("""COMPUTED_VALUE"""),0.21231479313689422)</f>
        <v>0.2123147931</v>
      </c>
      <c r="G2551" s="5">
        <f>IFERROR(__xludf.DUMMYFUNCTION("""COMPUTED_VALUE"""),0.12662630857219306)</f>
        <v>0.1266263086</v>
      </c>
      <c r="H2551" s="5">
        <f>IFERROR(__xludf.DUMMYFUNCTION("""COMPUTED_VALUE"""),0.6137366099558916)</f>
        <v>0.61373661</v>
      </c>
      <c r="I2551" s="11">
        <f>IFERROR(__xludf.DUMMYFUNCTION("""COMPUTED_VALUE"""),5270.557655954632)</f>
        <v>5270.557656</v>
      </c>
      <c r="J2551" s="10">
        <f>IFERROR(__xludf.DUMMYFUNCTION("""COMPUTED_VALUE"""),4.0)</f>
        <v>4</v>
      </c>
      <c r="K2551" s="5">
        <f>IFERROR(__xludf.DUMMYFUNCTION("""COMPUTED_VALUE"""),0.0014545454545454545)</f>
        <v>0.001454545455</v>
      </c>
      <c r="L2551" s="10">
        <f>IFERROR(__xludf.DUMMYFUNCTION("""COMPUTED_VALUE"""),2750.0)</f>
        <v>2750</v>
      </c>
      <c r="M2551" s="5">
        <f>IFERROR(__xludf.DUMMYFUNCTION("""COMPUTED_VALUE"""),1.0)</f>
        <v>1</v>
      </c>
    </row>
    <row r="2552">
      <c r="A2552" s="10" t="str">
        <f>IFERROR(__xludf.DUMMYFUNCTION("""COMPUTED_VALUE"""),"tototaro")</f>
        <v>tototaro</v>
      </c>
      <c r="B2552" s="10">
        <f>IFERROR(__xludf.DUMMYFUNCTION("""COMPUTED_VALUE"""),359.0)</f>
        <v>359</v>
      </c>
      <c r="C2552" s="10">
        <f>IFERROR(__xludf.DUMMYFUNCTION("""COMPUTED_VALUE"""),4177.0)</f>
        <v>4177</v>
      </c>
      <c r="D2552" s="5">
        <f>IFERROR(__xludf.DUMMYFUNCTION("""COMPUTED_VALUE"""),0.3150864326872708)</f>
        <v>0.3150864327</v>
      </c>
      <c r="E2552" s="5">
        <f>IFERROR(__xludf.DUMMYFUNCTION("""COMPUTED_VALUE"""),0.1288632792037716)</f>
        <v>0.1288632792</v>
      </c>
      <c r="F2552" s="5">
        <f>IFERROR(__xludf.DUMMYFUNCTION("""COMPUTED_VALUE"""),0.21162912519643792)</f>
        <v>0.2116291252</v>
      </c>
      <c r="G2552" s="5">
        <f>IFERROR(__xludf.DUMMYFUNCTION("""COMPUTED_VALUE"""),0.1825563122053431)</f>
        <v>0.1825563122</v>
      </c>
      <c r="H2552" s="5">
        <f>IFERROR(__xludf.DUMMYFUNCTION("""COMPUTED_VALUE"""),0.5853960396039604)</f>
        <v>0.5853960396</v>
      </c>
      <c r="I2552" s="11">
        <f>IFERROR(__xludf.DUMMYFUNCTION("""COMPUTED_VALUE"""),5888.737623762377)</f>
        <v>5888.737624</v>
      </c>
      <c r="J2552" s="10">
        <f>IFERROR(__xludf.DUMMYFUNCTION("""COMPUTED_VALUE"""),0.0)</f>
        <v>0</v>
      </c>
      <c r="K2552" s="5">
        <f>IFERROR(__xludf.DUMMYFUNCTION("""COMPUTED_VALUE"""),0.0)</f>
        <v>0</v>
      </c>
      <c r="L2552" s="10">
        <f>IFERROR(__xludf.DUMMYFUNCTION("""COMPUTED_VALUE"""),359.0)</f>
        <v>359</v>
      </c>
      <c r="M2552" s="5">
        <f>IFERROR(__xludf.DUMMYFUNCTION("""COMPUTED_VALUE"""),1.0)</f>
        <v>1</v>
      </c>
    </row>
    <row r="2553">
      <c r="A2553" s="10" t="str">
        <f>IFERROR(__xludf.DUMMYFUNCTION("""COMPUTED_VALUE"""),"KUZU")</f>
        <v>KUZU</v>
      </c>
      <c r="B2553" s="10">
        <f>IFERROR(__xludf.DUMMYFUNCTION("""COMPUTED_VALUE"""),763.0)</f>
        <v>763</v>
      </c>
      <c r="C2553" s="10">
        <f>IFERROR(__xludf.DUMMYFUNCTION("""COMPUTED_VALUE"""),8966.0)</f>
        <v>8966</v>
      </c>
      <c r="D2553" s="5">
        <f>IFERROR(__xludf.DUMMYFUNCTION("""COMPUTED_VALUE"""),0.39558698037303425)</f>
        <v>0.3955869804</v>
      </c>
      <c r="E2553" s="5">
        <f>IFERROR(__xludf.DUMMYFUNCTION("""COMPUTED_VALUE"""),0.12885529684261857)</f>
        <v>0.1288552968</v>
      </c>
      <c r="F2553" s="5">
        <f>IFERROR(__xludf.DUMMYFUNCTION("""COMPUTED_VALUE"""),0.2143118371327563)</f>
        <v>0.2143118371</v>
      </c>
      <c r="G2553" s="5">
        <f>IFERROR(__xludf.DUMMYFUNCTION("""COMPUTED_VALUE"""),0.17371693282945264)</f>
        <v>0.1737169328</v>
      </c>
      <c r="H2553" s="5">
        <f>IFERROR(__xludf.DUMMYFUNCTION("""COMPUTED_VALUE"""),0.5972696245733788)</f>
        <v>0.5972696246</v>
      </c>
      <c r="I2553" s="11">
        <f>IFERROR(__xludf.DUMMYFUNCTION("""COMPUTED_VALUE"""),5248.464163822526)</f>
        <v>5248.464164</v>
      </c>
      <c r="J2553" s="10">
        <f>IFERROR(__xludf.DUMMYFUNCTION("""COMPUTED_VALUE"""),1.0)</f>
        <v>1</v>
      </c>
      <c r="K2553" s="5">
        <f>IFERROR(__xludf.DUMMYFUNCTION("""COMPUTED_VALUE"""),0.001310615989515072)</f>
        <v>0.00131061599</v>
      </c>
      <c r="L2553" s="10">
        <f>IFERROR(__xludf.DUMMYFUNCTION("""COMPUTED_VALUE"""),763.0)</f>
        <v>763</v>
      </c>
      <c r="M2553" s="5">
        <f>IFERROR(__xludf.DUMMYFUNCTION("""COMPUTED_VALUE"""),1.0)</f>
        <v>1</v>
      </c>
    </row>
    <row r="2554">
      <c r="A2554" s="10" t="str">
        <f>IFERROR(__xludf.DUMMYFUNCTION("""COMPUTED_VALUE"""),"ワンワン大作戦")</f>
        <v>ワンワン大作戦</v>
      </c>
      <c r="B2554" s="10">
        <f>IFERROR(__xludf.DUMMYFUNCTION("""COMPUTED_VALUE"""),152.0)</f>
        <v>152</v>
      </c>
      <c r="C2554" s="10">
        <f>IFERROR(__xludf.DUMMYFUNCTION("""COMPUTED_VALUE"""),1774.0)</f>
        <v>1774</v>
      </c>
      <c r="D2554" s="5">
        <f>IFERROR(__xludf.DUMMYFUNCTION("""COMPUTED_VALUE"""),0.3692971639950678)</f>
        <v>0.369297164</v>
      </c>
      <c r="E2554" s="5">
        <f>IFERROR(__xludf.DUMMYFUNCTION("""COMPUTED_VALUE"""),0.12885326757090013)</f>
        <v>0.1288532676</v>
      </c>
      <c r="F2554" s="5">
        <f>IFERROR(__xludf.DUMMYFUNCTION("""COMPUTED_VALUE"""),0.2065351418002466)</f>
        <v>0.2065351418</v>
      </c>
      <c r="G2554" s="5">
        <f>IFERROR(__xludf.DUMMYFUNCTION("""COMPUTED_VALUE"""),0.1535141800246609)</f>
        <v>0.15351418</v>
      </c>
      <c r="H2554" s="5">
        <f>IFERROR(__xludf.DUMMYFUNCTION("""COMPUTED_VALUE"""),0.6029850746268657)</f>
        <v>0.6029850746</v>
      </c>
      <c r="I2554" s="11">
        <f>IFERROR(__xludf.DUMMYFUNCTION("""COMPUTED_VALUE"""),5034.0298507462685)</f>
        <v>5034.029851</v>
      </c>
      <c r="J2554" s="10">
        <f>IFERROR(__xludf.DUMMYFUNCTION("""COMPUTED_VALUE"""),0.0)</f>
        <v>0</v>
      </c>
      <c r="K2554" s="5">
        <f>IFERROR(__xludf.DUMMYFUNCTION("""COMPUTED_VALUE"""),0.0)</f>
        <v>0</v>
      </c>
      <c r="L2554" s="10">
        <f>IFERROR(__xludf.DUMMYFUNCTION("""COMPUTED_VALUE"""),152.0)</f>
        <v>152</v>
      </c>
      <c r="M2554" s="5">
        <f>IFERROR(__xludf.DUMMYFUNCTION("""COMPUTED_VALUE"""),1.0)</f>
        <v>1</v>
      </c>
    </row>
    <row r="2555">
      <c r="A2555" s="10" t="str">
        <f>IFERROR(__xludf.DUMMYFUNCTION("""COMPUTED_VALUE"""),"トバゾ")</f>
        <v>トバゾ</v>
      </c>
      <c r="B2555" s="10">
        <f>IFERROR(__xludf.DUMMYFUNCTION("""COMPUTED_VALUE"""),1155.0)</f>
        <v>1155</v>
      </c>
      <c r="C2555" s="10">
        <f>IFERROR(__xludf.DUMMYFUNCTION("""COMPUTED_VALUE"""),13588.0)</f>
        <v>13588</v>
      </c>
      <c r="D2555" s="5">
        <f>IFERROR(__xludf.DUMMYFUNCTION("""COMPUTED_VALUE"""),0.3605726695085659)</f>
        <v>0.3605726695</v>
      </c>
      <c r="E2555" s="5">
        <f>IFERROR(__xludf.DUMMYFUNCTION("""COMPUTED_VALUE"""),0.1288506394273305)</f>
        <v>0.1288506394</v>
      </c>
      <c r="F2555" s="5">
        <f>IFERROR(__xludf.DUMMYFUNCTION("""COMPUTED_VALUE"""),0.2219094345692914)</f>
        <v>0.2219094346</v>
      </c>
      <c r="G2555" s="5">
        <f>IFERROR(__xludf.DUMMYFUNCTION("""COMPUTED_VALUE"""),0.169790074800933)</f>
        <v>0.1697900748</v>
      </c>
      <c r="H2555" s="5">
        <f>IFERROR(__xludf.DUMMYFUNCTION("""COMPUTED_VALUE"""),0.592243566509605)</f>
        <v>0.5922435665</v>
      </c>
      <c r="I2555" s="11">
        <f>IFERROR(__xludf.DUMMYFUNCTION("""COMPUTED_VALUE"""),5357.484595868068)</f>
        <v>5357.484596</v>
      </c>
      <c r="J2555" s="10">
        <f>IFERROR(__xludf.DUMMYFUNCTION("""COMPUTED_VALUE"""),3.0)</f>
        <v>3</v>
      </c>
      <c r="K2555" s="5">
        <f>IFERROR(__xludf.DUMMYFUNCTION("""COMPUTED_VALUE"""),0.0025974025974025974)</f>
        <v>0.002597402597</v>
      </c>
      <c r="L2555" s="10">
        <f>IFERROR(__xludf.DUMMYFUNCTION("""COMPUTED_VALUE"""),1155.0)</f>
        <v>1155</v>
      </c>
      <c r="M2555" s="5">
        <f>IFERROR(__xludf.DUMMYFUNCTION("""COMPUTED_VALUE"""),1.0)</f>
        <v>1</v>
      </c>
    </row>
    <row r="2556">
      <c r="A2556" s="10" t="str">
        <f>IFERROR(__xludf.DUMMYFUNCTION("""COMPUTED_VALUE"""),"logicals")</f>
        <v>logicals</v>
      </c>
      <c r="B2556" s="10">
        <f>IFERROR(__xludf.DUMMYFUNCTION("""COMPUTED_VALUE"""),455.0)</f>
        <v>455</v>
      </c>
      <c r="C2556" s="10">
        <f>IFERROR(__xludf.DUMMYFUNCTION("""COMPUTED_VALUE"""),5298.0)</f>
        <v>5298</v>
      </c>
      <c r="D2556" s="5">
        <f>IFERROR(__xludf.DUMMYFUNCTION("""COMPUTED_VALUE"""),0.3902539748090027)</f>
        <v>0.3902539748</v>
      </c>
      <c r="E2556" s="5">
        <f>IFERROR(__xludf.DUMMYFUNCTION("""COMPUTED_VALUE"""),0.1288457567623374)</f>
        <v>0.1288457568</v>
      </c>
      <c r="F2556" s="5">
        <f>IFERROR(__xludf.DUMMYFUNCTION("""COMPUTED_VALUE"""),0.21784018170555441)</f>
        <v>0.2178401817</v>
      </c>
      <c r="G2556" s="5">
        <f>IFERROR(__xludf.DUMMYFUNCTION("""COMPUTED_VALUE"""),0.17055544084245303)</f>
        <v>0.1705554408</v>
      </c>
      <c r="H2556" s="5">
        <f>IFERROR(__xludf.DUMMYFUNCTION("""COMPUTED_VALUE"""),0.609478672985782)</f>
        <v>0.609478673</v>
      </c>
      <c r="I2556" s="11">
        <f>IFERROR(__xludf.DUMMYFUNCTION("""COMPUTED_VALUE"""),5550.331753554502)</f>
        <v>5550.331754</v>
      </c>
      <c r="J2556" s="10">
        <f>IFERROR(__xludf.DUMMYFUNCTION("""COMPUTED_VALUE"""),1.0)</f>
        <v>1</v>
      </c>
      <c r="K2556" s="5">
        <f>IFERROR(__xludf.DUMMYFUNCTION("""COMPUTED_VALUE"""),0.002197802197802198)</f>
        <v>0.002197802198</v>
      </c>
      <c r="L2556" s="10">
        <f>IFERROR(__xludf.DUMMYFUNCTION("""COMPUTED_VALUE"""),455.0)</f>
        <v>455</v>
      </c>
      <c r="M2556" s="5">
        <f>IFERROR(__xludf.DUMMYFUNCTION("""COMPUTED_VALUE"""),1.0)</f>
        <v>1</v>
      </c>
    </row>
    <row r="2557">
      <c r="A2557" s="10" t="str">
        <f>IFERROR(__xludf.DUMMYFUNCTION("""COMPUTED_VALUE"""),"southern")</f>
        <v>southern</v>
      </c>
      <c r="B2557" s="10">
        <f>IFERROR(__xludf.DUMMYFUNCTION("""COMPUTED_VALUE"""),299.0)</f>
        <v>299</v>
      </c>
      <c r="C2557" s="10">
        <f>IFERROR(__xludf.DUMMYFUNCTION("""COMPUTED_VALUE"""),3458.0)</f>
        <v>3458</v>
      </c>
      <c r="D2557" s="5">
        <f>IFERROR(__xludf.DUMMYFUNCTION("""COMPUTED_VALUE"""),0.37353592909148464)</f>
        <v>0.3735359291</v>
      </c>
      <c r="E2557" s="5">
        <f>IFERROR(__xludf.DUMMYFUNCTION("""COMPUTED_VALUE"""),0.12883823994935106)</f>
        <v>0.1288382399</v>
      </c>
      <c r="F2557" s="5">
        <f>IFERROR(__xludf.DUMMYFUNCTION("""COMPUTED_VALUE"""),0.20101297879075658)</f>
        <v>0.2010129788</v>
      </c>
      <c r="G2557" s="5">
        <f>IFERROR(__xludf.DUMMYFUNCTION("""COMPUTED_VALUE"""),0.16619183285849953)</f>
        <v>0.1661918329</v>
      </c>
      <c r="H2557" s="5">
        <f>IFERROR(__xludf.DUMMYFUNCTION("""COMPUTED_VALUE"""),0.6062992125984252)</f>
        <v>0.6062992126</v>
      </c>
      <c r="I2557" s="11">
        <f>IFERROR(__xludf.DUMMYFUNCTION("""COMPUTED_VALUE"""),5704.881889763779)</f>
        <v>5704.88189</v>
      </c>
      <c r="J2557" s="10">
        <f>IFERROR(__xludf.DUMMYFUNCTION("""COMPUTED_VALUE"""),1.0)</f>
        <v>1</v>
      </c>
      <c r="K2557" s="5">
        <f>IFERROR(__xludf.DUMMYFUNCTION("""COMPUTED_VALUE"""),0.0033444816053511705)</f>
        <v>0.003344481605</v>
      </c>
      <c r="L2557" s="10">
        <f>IFERROR(__xludf.DUMMYFUNCTION("""COMPUTED_VALUE"""),299.0)</f>
        <v>299</v>
      </c>
      <c r="M2557" s="5">
        <f>IFERROR(__xludf.DUMMYFUNCTION("""COMPUTED_VALUE"""),1.0)</f>
        <v>1</v>
      </c>
    </row>
    <row r="2558">
      <c r="A2558" s="10" t="str">
        <f>IFERROR(__xludf.DUMMYFUNCTION("""COMPUTED_VALUE"""),"自堕落大学院生")</f>
        <v>自堕落大学院生</v>
      </c>
      <c r="B2558" s="10">
        <f>IFERROR(__xludf.DUMMYFUNCTION("""COMPUTED_VALUE"""),1753.0)</f>
        <v>1753</v>
      </c>
      <c r="C2558" s="10">
        <f>IFERROR(__xludf.DUMMYFUNCTION("""COMPUTED_VALUE"""),20715.0)</f>
        <v>20715</v>
      </c>
      <c r="D2558" s="5">
        <f>IFERROR(__xludf.DUMMYFUNCTION("""COMPUTED_VALUE"""),0.36578419997890516)</f>
        <v>0.3657842</v>
      </c>
      <c r="E2558" s="5">
        <f>IFERROR(__xludf.DUMMYFUNCTION("""COMPUTED_VALUE"""),0.12883662060964032)</f>
        <v>0.1288366206</v>
      </c>
      <c r="F2558" s="5">
        <f>IFERROR(__xludf.DUMMYFUNCTION("""COMPUTED_VALUE"""),0.21405969834405653)</f>
        <v>0.2140596983</v>
      </c>
      <c r="G2558" s="5">
        <f>IFERROR(__xludf.DUMMYFUNCTION("""COMPUTED_VALUE"""),0.17487606792532434)</f>
        <v>0.1748760679</v>
      </c>
      <c r="H2558" s="5">
        <f>IFERROR(__xludf.DUMMYFUNCTION("""COMPUTED_VALUE"""),0.5917713722591771)</f>
        <v>0.5917713723</v>
      </c>
      <c r="I2558" s="11">
        <f>IFERROR(__xludf.DUMMYFUNCTION("""COMPUTED_VALUE"""),5618.649913771865)</f>
        <v>5618.649914</v>
      </c>
      <c r="J2558" s="10">
        <f>IFERROR(__xludf.DUMMYFUNCTION("""COMPUTED_VALUE"""),1.0)</f>
        <v>1</v>
      </c>
      <c r="K2558" s="5">
        <f>IFERROR(__xludf.DUMMYFUNCTION("""COMPUTED_VALUE"""),5.704506560182544E-4)</f>
        <v>0.000570450656</v>
      </c>
      <c r="L2558" s="10">
        <f>IFERROR(__xludf.DUMMYFUNCTION("""COMPUTED_VALUE"""),1660.0)</f>
        <v>1660</v>
      </c>
      <c r="M2558" s="5">
        <f>IFERROR(__xludf.DUMMYFUNCTION("""COMPUTED_VALUE"""),0.9469480889903024)</f>
        <v>0.946948089</v>
      </c>
    </row>
    <row r="2559">
      <c r="A2559" s="10" t="str">
        <f>IFERROR(__xludf.DUMMYFUNCTION("""COMPUTED_VALUE"""),"のびしろ♂")</f>
        <v>のびしろ♂</v>
      </c>
      <c r="B2559" s="10">
        <f>IFERROR(__xludf.DUMMYFUNCTION("""COMPUTED_VALUE"""),4857.0)</f>
        <v>4857</v>
      </c>
      <c r="C2559" s="10">
        <f>IFERROR(__xludf.DUMMYFUNCTION("""COMPUTED_VALUE"""),56987.0)</f>
        <v>56987</v>
      </c>
      <c r="D2559" s="5">
        <f>IFERROR(__xludf.DUMMYFUNCTION("""COMPUTED_VALUE"""),0.27604066756186457)</f>
        <v>0.2760406676</v>
      </c>
      <c r="E2559" s="5">
        <f>IFERROR(__xludf.DUMMYFUNCTION("""COMPUTED_VALUE"""),0.12883176673700364)</f>
        <v>0.1288317667</v>
      </c>
      <c r="F2559" s="5">
        <f>IFERROR(__xludf.DUMMYFUNCTION("""COMPUTED_VALUE"""),0.1925570688662958)</f>
        <v>0.1925570689</v>
      </c>
      <c r="G2559" s="5">
        <f>IFERROR(__xludf.DUMMYFUNCTION("""COMPUTED_VALUE"""),0.2155572606944178)</f>
        <v>0.2155572607</v>
      </c>
      <c r="H2559" s="5">
        <f>IFERROR(__xludf.DUMMYFUNCTION("""COMPUTED_VALUE"""),0.5740187288304444)</f>
        <v>0.5740187288</v>
      </c>
      <c r="I2559" s="11">
        <f>IFERROR(__xludf.DUMMYFUNCTION("""COMPUTED_VALUE"""),6044.490934449093)</f>
        <v>6044.490934</v>
      </c>
      <c r="J2559" s="10">
        <f>IFERROR(__xludf.DUMMYFUNCTION("""COMPUTED_VALUE"""),5.0)</f>
        <v>5</v>
      </c>
      <c r="K2559" s="5">
        <f>IFERROR(__xludf.DUMMYFUNCTION("""COMPUTED_VALUE"""),0.0010294420424130121)</f>
        <v>0.001029442042</v>
      </c>
      <c r="L2559" s="10">
        <f>IFERROR(__xludf.DUMMYFUNCTION("""COMPUTED_VALUE"""),4857.0)</f>
        <v>4857</v>
      </c>
      <c r="M2559" s="5">
        <f>IFERROR(__xludf.DUMMYFUNCTION("""COMPUTED_VALUE"""),1.0)</f>
        <v>1</v>
      </c>
    </row>
    <row r="2560">
      <c r="A2560" s="10" t="str">
        <f>IFERROR(__xludf.DUMMYFUNCTION("""COMPUTED_VALUE"""),"ナキマーゼ")</f>
        <v>ナキマーゼ</v>
      </c>
      <c r="B2560" s="10">
        <f>IFERROR(__xludf.DUMMYFUNCTION("""COMPUTED_VALUE"""),452.0)</f>
        <v>452</v>
      </c>
      <c r="C2560" s="10">
        <f>IFERROR(__xludf.DUMMYFUNCTION("""COMPUTED_VALUE"""),5203.0)</f>
        <v>5203</v>
      </c>
      <c r="D2560" s="5">
        <f>IFERROR(__xludf.DUMMYFUNCTION("""COMPUTED_VALUE"""),0.3788676068196169)</f>
        <v>0.3788676068</v>
      </c>
      <c r="E2560" s="5">
        <f>IFERROR(__xludf.DUMMYFUNCTION("""COMPUTED_VALUE"""),0.12881498631866975)</f>
        <v>0.1288149863</v>
      </c>
      <c r="F2560" s="5">
        <f>IFERROR(__xludf.DUMMYFUNCTION("""COMPUTED_VALUE"""),0.21469164386444958)</f>
        <v>0.2146916439</v>
      </c>
      <c r="G2560" s="5">
        <f>IFERROR(__xludf.DUMMYFUNCTION("""COMPUTED_VALUE"""),0.16859608503472953)</f>
        <v>0.168596085</v>
      </c>
      <c r="H2560" s="5">
        <f>IFERROR(__xludf.DUMMYFUNCTION("""COMPUTED_VALUE"""),0.5813725490196079)</f>
        <v>0.581372549</v>
      </c>
      <c r="I2560" s="11">
        <f>IFERROR(__xludf.DUMMYFUNCTION("""COMPUTED_VALUE"""),5646.568627450981)</f>
        <v>5646.568627</v>
      </c>
      <c r="J2560" s="10">
        <f>IFERROR(__xludf.DUMMYFUNCTION("""COMPUTED_VALUE"""),1.0)</f>
        <v>1</v>
      </c>
      <c r="K2560" s="5">
        <f>IFERROR(__xludf.DUMMYFUNCTION("""COMPUTED_VALUE"""),0.0022123893805309734)</f>
        <v>0.002212389381</v>
      </c>
      <c r="L2560" s="10">
        <f>IFERROR(__xludf.DUMMYFUNCTION("""COMPUTED_VALUE"""),452.0)</f>
        <v>452</v>
      </c>
      <c r="M2560" s="5">
        <f>IFERROR(__xludf.DUMMYFUNCTION("""COMPUTED_VALUE"""),1.0)</f>
        <v>1</v>
      </c>
    </row>
    <row r="2561">
      <c r="A2561" s="10" t="str">
        <f>IFERROR(__xludf.DUMMYFUNCTION("""COMPUTED_VALUE"""),"パーソウつも")</f>
        <v>パーソウつも</v>
      </c>
      <c r="B2561" s="10">
        <f>IFERROR(__xludf.DUMMYFUNCTION("""COMPUTED_VALUE"""),1656.0)</f>
        <v>1656</v>
      </c>
      <c r="C2561" s="10">
        <f>IFERROR(__xludf.DUMMYFUNCTION("""COMPUTED_VALUE"""),19286.0)</f>
        <v>19286</v>
      </c>
      <c r="D2561" s="5">
        <f>IFERROR(__xludf.DUMMYFUNCTION("""COMPUTED_VALUE"""),0.30652297220646624)</f>
        <v>0.3065229722</v>
      </c>
      <c r="E2561" s="5">
        <f>IFERROR(__xludf.DUMMYFUNCTION("""COMPUTED_VALUE"""),0.12881452070334656)</f>
        <v>0.1288145207</v>
      </c>
      <c r="F2561" s="5">
        <f>IFERROR(__xludf.DUMMYFUNCTION("""COMPUTED_VALUE"""),0.19585933068633013)</f>
        <v>0.1958593307</v>
      </c>
      <c r="G2561" s="5">
        <f>IFERROR(__xludf.DUMMYFUNCTION("""COMPUTED_VALUE"""),0.17345433919455475)</f>
        <v>0.1734543392</v>
      </c>
      <c r="H2561" s="5">
        <f>IFERROR(__xludf.DUMMYFUNCTION("""COMPUTED_VALUE"""),0.5986099044309297)</f>
        <v>0.5986099044</v>
      </c>
      <c r="I2561" s="11">
        <f>IFERROR(__xludf.DUMMYFUNCTION("""COMPUTED_VALUE"""),6231.798436142485)</f>
        <v>6231.798436</v>
      </c>
      <c r="J2561" s="10">
        <f>IFERROR(__xludf.DUMMYFUNCTION("""COMPUTED_VALUE"""),5.0)</f>
        <v>5</v>
      </c>
      <c r="K2561" s="5">
        <f>IFERROR(__xludf.DUMMYFUNCTION("""COMPUTED_VALUE"""),0.0030193236714975845)</f>
        <v>0.003019323671</v>
      </c>
      <c r="L2561" s="10">
        <f>IFERROR(__xludf.DUMMYFUNCTION("""COMPUTED_VALUE"""),1656.0)</f>
        <v>1656</v>
      </c>
      <c r="M2561" s="5">
        <f>IFERROR(__xludf.DUMMYFUNCTION("""COMPUTED_VALUE"""),1.0)</f>
        <v>1</v>
      </c>
    </row>
    <row r="2562">
      <c r="A2562" s="10" t="str">
        <f>IFERROR(__xludf.DUMMYFUNCTION("""COMPUTED_VALUE"""),"勇人")</f>
        <v>勇人</v>
      </c>
      <c r="B2562" s="10">
        <f>IFERROR(__xludf.DUMMYFUNCTION("""COMPUTED_VALUE"""),368.0)</f>
        <v>368</v>
      </c>
      <c r="C2562" s="10">
        <f>IFERROR(__xludf.DUMMYFUNCTION("""COMPUTED_VALUE"""),4266.0)</f>
        <v>4266</v>
      </c>
      <c r="D2562" s="5">
        <f>IFERROR(__xludf.DUMMYFUNCTION("""COMPUTED_VALUE"""),0.3560800410466906)</f>
        <v>0.356080041</v>
      </c>
      <c r="E2562" s="5">
        <f>IFERROR(__xludf.DUMMYFUNCTION("""COMPUTED_VALUE"""),0.12878399179066188)</f>
        <v>0.1287839918</v>
      </c>
      <c r="F2562" s="5">
        <f>IFERROR(__xludf.DUMMYFUNCTION("""COMPUTED_VALUE"""),0.21959979476654695)</f>
        <v>0.2195997948</v>
      </c>
      <c r="G2562" s="5">
        <f>IFERROR(__xludf.DUMMYFUNCTION("""COMPUTED_VALUE"""),0.20010261672652643)</f>
        <v>0.2001026167</v>
      </c>
      <c r="H2562" s="5">
        <f>IFERROR(__xludf.DUMMYFUNCTION("""COMPUTED_VALUE"""),0.5992990654205608)</f>
        <v>0.5992990654</v>
      </c>
      <c r="I2562" s="11">
        <f>IFERROR(__xludf.DUMMYFUNCTION("""COMPUTED_VALUE"""),5699.2990654205605)</f>
        <v>5699.299065</v>
      </c>
      <c r="J2562" s="10">
        <f>IFERROR(__xludf.DUMMYFUNCTION("""COMPUTED_VALUE"""),1.0)</f>
        <v>1</v>
      </c>
      <c r="K2562" s="5">
        <f>IFERROR(__xludf.DUMMYFUNCTION("""COMPUTED_VALUE"""),0.002717391304347826)</f>
        <v>0.002717391304</v>
      </c>
      <c r="L2562" s="10">
        <f>IFERROR(__xludf.DUMMYFUNCTION("""COMPUTED_VALUE"""),368.0)</f>
        <v>368</v>
      </c>
      <c r="M2562" s="5">
        <f>IFERROR(__xludf.DUMMYFUNCTION("""COMPUTED_VALUE"""),1.0)</f>
        <v>1</v>
      </c>
    </row>
    <row r="2563">
      <c r="A2563" s="10" t="str">
        <f>IFERROR(__xludf.DUMMYFUNCTION("""COMPUTED_VALUE"""),"豊田真奈美")</f>
        <v>豊田真奈美</v>
      </c>
      <c r="B2563" s="10">
        <f>IFERROR(__xludf.DUMMYFUNCTION("""COMPUTED_VALUE"""),154.0)</f>
        <v>154</v>
      </c>
      <c r="C2563" s="10">
        <f>IFERROR(__xludf.DUMMYFUNCTION("""COMPUTED_VALUE"""),1839.0)</f>
        <v>1839</v>
      </c>
      <c r="D2563" s="5">
        <f>IFERROR(__xludf.DUMMYFUNCTION("""COMPUTED_VALUE"""),0.32759643916913944)</f>
        <v>0.3275964392</v>
      </c>
      <c r="E2563" s="5">
        <f>IFERROR(__xludf.DUMMYFUNCTION("""COMPUTED_VALUE"""),0.1287833827893175)</f>
        <v>0.1287833828</v>
      </c>
      <c r="F2563" s="5">
        <f>IFERROR(__xludf.DUMMYFUNCTION("""COMPUTED_VALUE"""),0.20712166172106825)</f>
        <v>0.2071216617</v>
      </c>
      <c r="G2563" s="5">
        <f>IFERROR(__xludf.DUMMYFUNCTION("""COMPUTED_VALUE"""),0.14896142433234422)</f>
        <v>0.1489614243</v>
      </c>
      <c r="H2563" s="5">
        <f>IFERROR(__xludf.DUMMYFUNCTION("""COMPUTED_VALUE"""),0.6217765042979942)</f>
        <v>0.6217765043</v>
      </c>
      <c r="I2563" s="11">
        <f>IFERROR(__xludf.DUMMYFUNCTION("""COMPUTED_VALUE"""),5485.67335243553)</f>
        <v>5485.673352</v>
      </c>
      <c r="J2563" s="10">
        <f>IFERROR(__xludf.DUMMYFUNCTION("""COMPUTED_VALUE"""),0.0)</f>
        <v>0</v>
      </c>
      <c r="K2563" s="5">
        <f>IFERROR(__xludf.DUMMYFUNCTION("""COMPUTED_VALUE"""),0.0)</f>
        <v>0</v>
      </c>
      <c r="L2563" s="10">
        <f>IFERROR(__xludf.DUMMYFUNCTION("""COMPUTED_VALUE"""),0.0)</f>
        <v>0</v>
      </c>
      <c r="M2563" s="5">
        <f>IFERROR(__xludf.DUMMYFUNCTION("""COMPUTED_VALUE"""),0.0)</f>
        <v>0</v>
      </c>
    </row>
    <row r="2564">
      <c r="A2564" s="10" t="str">
        <f>IFERROR(__xludf.DUMMYFUNCTION("""COMPUTED_VALUE"""),"yurakun")</f>
        <v>yurakun</v>
      </c>
      <c r="B2564" s="10">
        <f>IFERROR(__xludf.DUMMYFUNCTION("""COMPUTED_VALUE"""),545.0)</f>
        <v>545</v>
      </c>
      <c r="C2564" s="10">
        <f>IFERROR(__xludf.DUMMYFUNCTION("""COMPUTED_VALUE"""),6439.0)</f>
        <v>6439</v>
      </c>
      <c r="D2564" s="5">
        <f>IFERROR(__xludf.DUMMYFUNCTION("""COMPUTED_VALUE"""),0.2519511367492365)</f>
        <v>0.2519511367</v>
      </c>
      <c r="E2564" s="5">
        <f>IFERROR(__xludf.DUMMYFUNCTION("""COMPUTED_VALUE"""),0.12877502544960978)</f>
        <v>0.1287750254</v>
      </c>
      <c r="F2564" s="5">
        <f>IFERROR(__xludf.DUMMYFUNCTION("""COMPUTED_VALUE"""),0.2151340346114693)</f>
        <v>0.2151340346</v>
      </c>
      <c r="G2564" s="5">
        <f>IFERROR(__xludf.DUMMYFUNCTION("""COMPUTED_VALUE"""),0.1979979640312182)</f>
        <v>0.197997964</v>
      </c>
      <c r="H2564" s="5">
        <f>IFERROR(__xludf.DUMMYFUNCTION("""COMPUTED_VALUE"""),0.6198738170347003)</f>
        <v>0.619873817</v>
      </c>
      <c r="I2564" s="11">
        <f>IFERROR(__xludf.DUMMYFUNCTION("""COMPUTED_VALUE"""),5788.564668769716)</f>
        <v>5788.564669</v>
      </c>
      <c r="J2564" s="10">
        <f>IFERROR(__xludf.DUMMYFUNCTION("""COMPUTED_VALUE"""),2.0)</f>
        <v>2</v>
      </c>
      <c r="K2564" s="5">
        <f>IFERROR(__xludf.DUMMYFUNCTION("""COMPUTED_VALUE"""),0.003669724770642202)</f>
        <v>0.003669724771</v>
      </c>
      <c r="L2564" s="10">
        <f>IFERROR(__xludf.DUMMYFUNCTION("""COMPUTED_VALUE"""),545.0)</f>
        <v>545</v>
      </c>
      <c r="M2564" s="5">
        <f>IFERROR(__xludf.DUMMYFUNCTION("""COMPUTED_VALUE"""),1.0)</f>
        <v>1</v>
      </c>
    </row>
    <row r="2565">
      <c r="A2565" s="10" t="str">
        <f>IFERROR(__xludf.DUMMYFUNCTION("""COMPUTED_VALUE"""),"どすこい正一")</f>
        <v>どすこい正一</v>
      </c>
      <c r="B2565" s="10">
        <f>IFERROR(__xludf.DUMMYFUNCTION("""COMPUTED_VALUE"""),140.0)</f>
        <v>140</v>
      </c>
      <c r="C2565" s="10">
        <f>IFERROR(__xludf.DUMMYFUNCTION("""COMPUTED_VALUE"""),1631.0)</f>
        <v>1631</v>
      </c>
      <c r="D2565" s="5">
        <f>IFERROR(__xludf.DUMMYFUNCTION("""COMPUTED_VALUE"""),0.3561368209255533)</f>
        <v>0.3561368209</v>
      </c>
      <c r="E2565" s="5">
        <f>IFERROR(__xludf.DUMMYFUNCTION("""COMPUTED_VALUE"""),0.12877263581488935)</f>
        <v>0.1287726358</v>
      </c>
      <c r="F2565" s="5">
        <f>IFERROR(__xludf.DUMMYFUNCTION("""COMPUTED_VALUE"""),0.20321931589537223)</f>
        <v>0.2032193159</v>
      </c>
      <c r="G2565" s="5">
        <f>IFERROR(__xludf.DUMMYFUNCTION("""COMPUTED_VALUE"""),0.1898054996646546)</f>
        <v>0.1898054997</v>
      </c>
      <c r="H2565" s="5">
        <f>IFERROR(__xludf.DUMMYFUNCTION("""COMPUTED_VALUE"""),0.5544554455445545)</f>
        <v>0.5544554455</v>
      </c>
      <c r="I2565" s="11">
        <f>IFERROR(__xludf.DUMMYFUNCTION("""COMPUTED_VALUE"""),5999.009900990099)</f>
        <v>5999.009901</v>
      </c>
      <c r="J2565" s="10">
        <f>IFERROR(__xludf.DUMMYFUNCTION("""COMPUTED_VALUE"""),1.0)</f>
        <v>1</v>
      </c>
      <c r="K2565" s="5">
        <f>IFERROR(__xludf.DUMMYFUNCTION("""COMPUTED_VALUE"""),0.007142857142857143)</f>
        <v>0.007142857143</v>
      </c>
      <c r="L2565" s="10">
        <f>IFERROR(__xludf.DUMMYFUNCTION("""COMPUTED_VALUE"""),140.0)</f>
        <v>140</v>
      </c>
      <c r="M2565" s="5">
        <f>IFERROR(__xludf.DUMMYFUNCTION("""COMPUTED_VALUE"""),1.0)</f>
        <v>1</v>
      </c>
    </row>
    <row r="2566">
      <c r="A2566" s="10" t="str">
        <f>IFERROR(__xludf.DUMMYFUNCTION("""COMPUTED_VALUE"""),"蛙の王様")</f>
        <v>蛙の王様</v>
      </c>
      <c r="B2566" s="10">
        <f>IFERROR(__xludf.DUMMYFUNCTION("""COMPUTED_VALUE"""),1286.0)</f>
        <v>1286</v>
      </c>
      <c r="C2566" s="10">
        <f>IFERROR(__xludf.DUMMYFUNCTION("""COMPUTED_VALUE"""),15179.0)</f>
        <v>15179</v>
      </c>
      <c r="D2566" s="5">
        <f>IFERROR(__xludf.DUMMYFUNCTION("""COMPUTED_VALUE"""),0.349744475635212)</f>
        <v>0.3497444756</v>
      </c>
      <c r="E2566" s="5">
        <f>IFERROR(__xludf.DUMMYFUNCTION("""COMPUTED_VALUE"""),0.12876988411430218)</f>
        <v>0.1287698841</v>
      </c>
      <c r="F2566" s="5">
        <f>IFERROR(__xludf.DUMMYFUNCTION("""COMPUTED_VALUE"""),0.21327287123011587)</f>
        <v>0.2132728712</v>
      </c>
      <c r="G2566" s="5">
        <f>IFERROR(__xludf.DUMMYFUNCTION("""COMPUTED_VALUE"""),0.18599294608795797)</f>
        <v>0.1859929461</v>
      </c>
      <c r="H2566" s="5">
        <f>IFERROR(__xludf.DUMMYFUNCTION("""COMPUTED_VALUE"""),0.6004049949375633)</f>
        <v>0.6004049949</v>
      </c>
      <c r="I2566" s="11">
        <f>IFERROR(__xludf.DUMMYFUNCTION("""COMPUTED_VALUE"""),5500.4387445156935)</f>
        <v>5500.438745</v>
      </c>
      <c r="J2566" s="10">
        <f>IFERROR(__xludf.DUMMYFUNCTION("""COMPUTED_VALUE"""),2.0)</f>
        <v>2</v>
      </c>
      <c r="K2566" s="5">
        <f>IFERROR(__xludf.DUMMYFUNCTION("""COMPUTED_VALUE"""),0.0015552099533437014)</f>
        <v>0.001555209953</v>
      </c>
      <c r="L2566" s="10">
        <f>IFERROR(__xludf.DUMMYFUNCTION("""COMPUTED_VALUE"""),1286.0)</f>
        <v>1286</v>
      </c>
      <c r="M2566" s="5">
        <f>IFERROR(__xludf.DUMMYFUNCTION("""COMPUTED_VALUE"""),1.0)</f>
        <v>1</v>
      </c>
    </row>
    <row r="2567">
      <c r="A2567" s="10" t="str">
        <f>IFERROR(__xludf.DUMMYFUNCTION("""COMPUTED_VALUE"""),"なかぞーー")</f>
        <v>なかぞーー</v>
      </c>
      <c r="B2567" s="10">
        <f>IFERROR(__xludf.DUMMYFUNCTION("""COMPUTED_VALUE"""),102.0)</f>
        <v>102</v>
      </c>
      <c r="C2567" s="10">
        <f>IFERROR(__xludf.DUMMYFUNCTION("""COMPUTED_VALUE"""),1197.0)</f>
        <v>1197</v>
      </c>
      <c r="D2567" s="5">
        <f>IFERROR(__xludf.DUMMYFUNCTION("""COMPUTED_VALUE"""),0.26757990867579906)</f>
        <v>0.2675799087</v>
      </c>
      <c r="E2567" s="5">
        <f>IFERROR(__xludf.DUMMYFUNCTION("""COMPUTED_VALUE"""),0.12876712328767123)</f>
        <v>0.1287671233</v>
      </c>
      <c r="F2567" s="5">
        <f>IFERROR(__xludf.DUMMYFUNCTION("""COMPUTED_VALUE"""),0.19360730593607306)</f>
        <v>0.1936073059</v>
      </c>
      <c r="G2567" s="5">
        <f>IFERROR(__xludf.DUMMYFUNCTION("""COMPUTED_VALUE"""),0.16255707762557078)</f>
        <v>0.1625570776</v>
      </c>
      <c r="H2567" s="5">
        <f>IFERROR(__xludf.DUMMYFUNCTION("""COMPUTED_VALUE"""),0.6037735849056604)</f>
        <v>0.6037735849</v>
      </c>
      <c r="I2567" s="11">
        <f>IFERROR(__xludf.DUMMYFUNCTION("""COMPUTED_VALUE"""),5776.88679245283)</f>
        <v>5776.886792</v>
      </c>
      <c r="J2567" s="10">
        <f>IFERROR(__xludf.DUMMYFUNCTION("""COMPUTED_VALUE"""),0.0)</f>
        <v>0</v>
      </c>
      <c r="K2567" s="5">
        <f>IFERROR(__xludf.DUMMYFUNCTION("""COMPUTED_VALUE"""),0.0)</f>
        <v>0</v>
      </c>
      <c r="L2567" s="10">
        <f>IFERROR(__xludf.DUMMYFUNCTION("""COMPUTED_VALUE"""),102.0)</f>
        <v>102</v>
      </c>
      <c r="M2567" s="5">
        <f>IFERROR(__xludf.DUMMYFUNCTION("""COMPUTED_VALUE"""),1.0)</f>
        <v>1</v>
      </c>
    </row>
    <row r="2568">
      <c r="A2568" s="10" t="str">
        <f>IFERROR(__xludf.DUMMYFUNCTION("""COMPUTED_VALUE"""),"凱章")</f>
        <v>凱章</v>
      </c>
      <c r="B2568" s="10">
        <f>IFERROR(__xludf.DUMMYFUNCTION("""COMPUTED_VALUE"""),3100.0)</f>
        <v>3100</v>
      </c>
      <c r="C2568" s="10">
        <f>IFERROR(__xludf.DUMMYFUNCTION("""COMPUTED_VALUE"""),36256.0)</f>
        <v>36256</v>
      </c>
      <c r="D2568" s="5">
        <f>IFERROR(__xludf.DUMMYFUNCTION("""COMPUTED_VALUE"""),0.24604898057666788)</f>
        <v>0.2460489806</v>
      </c>
      <c r="E2568" s="5">
        <f>IFERROR(__xludf.DUMMYFUNCTION("""COMPUTED_VALUE"""),0.12875497647484618)</f>
        <v>0.1287549765</v>
      </c>
      <c r="F2568" s="5">
        <f>IFERROR(__xludf.DUMMYFUNCTION("""COMPUTED_VALUE"""),0.19893835203281457)</f>
        <v>0.198938352</v>
      </c>
      <c r="G2568" s="5">
        <f>IFERROR(__xludf.DUMMYFUNCTION("""COMPUTED_VALUE"""),0.16162987091325853)</f>
        <v>0.1616298709</v>
      </c>
      <c r="H2568" s="5">
        <f>IFERROR(__xludf.DUMMYFUNCTION("""COMPUTED_VALUE"""),0.6070345664038811)</f>
        <v>0.6070345664</v>
      </c>
      <c r="I2568" s="11">
        <f>IFERROR(__xludf.DUMMYFUNCTION("""COMPUTED_VALUE"""),5835.794420861128)</f>
        <v>5835.794421</v>
      </c>
      <c r="J2568" s="10">
        <f>IFERROR(__xludf.DUMMYFUNCTION("""COMPUTED_VALUE"""),8.0)</f>
        <v>8</v>
      </c>
      <c r="K2568" s="5">
        <f>IFERROR(__xludf.DUMMYFUNCTION("""COMPUTED_VALUE"""),0.0025806451612903226)</f>
        <v>0.002580645161</v>
      </c>
      <c r="L2568" s="10">
        <f>IFERROR(__xludf.DUMMYFUNCTION("""COMPUTED_VALUE"""),3100.0)</f>
        <v>3100</v>
      </c>
      <c r="M2568" s="5">
        <f>IFERROR(__xludf.DUMMYFUNCTION("""COMPUTED_VALUE"""),1.0)</f>
        <v>1</v>
      </c>
    </row>
    <row r="2569">
      <c r="A2569" s="10" t="str">
        <f>IFERROR(__xludf.DUMMYFUNCTION("""COMPUTED_VALUE"""),"キング☆スター")</f>
        <v>キング☆スター</v>
      </c>
      <c r="B2569" s="10">
        <f>IFERROR(__xludf.DUMMYFUNCTION("""COMPUTED_VALUE"""),361.0)</f>
        <v>361</v>
      </c>
      <c r="C2569" s="10">
        <f>IFERROR(__xludf.DUMMYFUNCTION("""COMPUTED_VALUE"""),4260.0)</f>
        <v>4260</v>
      </c>
      <c r="D2569" s="5">
        <f>IFERROR(__xludf.DUMMYFUNCTION("""COMPUTED_VALUE"""),0.35342395486022055)</f>
        <v>0.3534239549</v>
      </c>
      <c r="E2569" s="5">
        <f>IFERROR(__xludf.DUMMYFUNCTION("""COMPUTED_VALUE"""),0.1287509617850731)</f>
        <v>0.1287509618</v>
      </c>
      <c r="F2569" s="5">
        <f>IFERROR(__xludf.DUMMYFUNCTION("""COMPUTED_VALUE"""),0.1992818671454219)</f>
        <v>0.1992818671</v>
      </c>
      <c r="G2569" s="5">
        <f>IFERROR(__xludf.DUMMYFUNCTION("""COMPUTED_VALUE"""),0.1751731213131572)</f>
        <v>0.1751731213</v>
      </c>
      <c r="H2569" s="5">
        <f>IFERROR(__xludf.DUMMYFUNCTION("""COMPUTED_VALUE"""),0.5881595881595881)</f>
        <v>0.5881595882</v>
      </c>
      <c r="I2569" s="11">
        <f>IFERROR(__xludf.DUMMYFUNCTION("""COMPUTED_VALUE"""),5726.512226512226)</f>
        <v>5726.512227</v>
      </c>
      <c r="J2569" s="10">
        <f>IFERROR(__xludf.DUMMYFUNCTION("""COMPUTED_VALUE"""),4.0)</f>
        <v>4</v>
      </c>
      <c r="K2569" s="5">
        <f>IFERROR(__xludf.DUMMYFUNCTION("""COMPUTED_VALUE"""),0.0110803324099723)</f>
        <v>0.01108033241</v>
      </c>
      <c r="L2569" s="10">
        <f>IFERROR(__xludf.DUMMYFUNCTION("""COMPUTED_VALUE"""),361.0)</f>
        <v>361</v>
      </c>
      <c r="M2569" s="5">
        <f>IFERROR(__xludf.DUMMYFUNCTION("""COMPUTED_VALUE"""),1.0)</f>
        <v>1</v>
      </c>
    </row>
    <row r="2570">
      <c r="A2570" s="10" t="str">
        <f>IFERROR(__xludf.DUMMYFUNCTION("""COMPUTED_VALUE"""),"ぷにぷに♪♪")</f>
        <v>ぷにぷに♪♪</v>
      </c>
      <c r="B2570" s="10">
        <f>IFERROR(__xludf.DUMMYFUNCTION("""COMPUTED_VALUE"""),470.0)</f>
        <v>470</v>
      </c>
      <c r="C2570" s="10">
        <f>IFERROR(__xludf.DUMMYFUNCTION("""COMPUTED_VALUE"""),5472.0)</f>
        <v>5472</v>
      </c>
      <c r="D2570" s="5">
        <f>IFERROR(__xludf.DUMMYFUNCTION("""COMPUTED_VALUE"""),0.3902439024390244)</f>
        <v>0.3902439024</v>
      </c>
      <c r="E2570" s="5">
        <f>IFERROR(__xludf.DUMMYFUNCTION("""COMPUTED_VALUE"""),0.1287485005997601)</f>
        <v>0.1287485006</v>
      </c>
      <c r="F2570" s="5">
        <f>IFERROR(__xludf.DUMMYFUNCTION("""COMPUTED_VALUE"""),0.22491003598560574)</f>
        <v>0.224910036</v>
      </c>
      <c r="G2570" s="5">
        <f>IFERROR(__xludf.DUMMYFUNCTION("""COMPUTED_VALUE"""),0.17912834866053579)</f>
        <v>0.1791283487</v>
      </c>
      <c r="H2570" s="5">
        <f>IFERROR(__xludf.DUMMYFUNCTION("""COMPUTED_VALUE"""),0.6053333333333333)</f>
        <v>0.6053333333</v>
      </c>
      <c r="I2570" s="11">
        <f>IFERROR(__xludf.DUMMYFUNCTION("""COMPUTED_VALUE"""),5467.822222222222)</f>
        <v>5467.822222</v>
      </c>
      <c r="J2570" s="10">
        <f>IFERROR(__xludf.DUMMYFUNCTION("""COMPUTED_VALUE"""),0.0)</f>
        <v>0</v>
      </c>
      <c r="K2570" s="5">
        <f>IFERROR(__xludf.DUMMYFUNCTION("""COMPUTED_VALUE"""),0.0)</f>
        <v>0</v>
      </c>
      <c r="L2570" s="10">
        <f>IFERROR(__xludf.DUMMYFUNCTION("""COMPUTED_VALUE"""),470.0)</f>
        <v>470</v>
      </c>
      <c r="M2570" s="5">
        <f>IFERROR(__xludf.DUMMYFUNCTION("""COMPUTED_VALUE"""),1.0)</f>
        <v>1</v>
      </c>
    </row>
    <row r="2571">
      <c r="A2571" s="10" t="str">
        <f>IFERROR(__xludf.DUMMYFUNCTION("""COMPUTED_VALUE"""),"宇佐みみ")</f>
        <v>宇佐みみ</v>
      </c>
      <c r="B2571" s="10">
        <f>IFERROR(__xludf.DUMMYFUNCTION("""COMPUTED_VALUE"""),445.0)</f>
        <v>445</v>
      </c>
      <c r="C2571" s="10">
        <f>IFERROR(__xludf.DUMMYFUNCTION("""COMPUTED_VALUE"""),5214.0)</f>
        <v>5214</v>
      </c>
      <c r="D2571" s="5">
        <f>IFERROR(__xludf.DUMMYFUNCTION("""COMPUTED_VALUE"""),0.38938980918431537)</f>
        <v>0.3893898092</v>
      </c>
      <c r="E2571" s="5">
        <f>IFERROR(__xludf.DUMMYFUNCTION("""COMPUTED_VALUE"""),0.12874816523380164)</f>
        <v>0.1287481652</v>
      </c>
      <c r="F2571" s="5">
        <f>IFERROR(__xludf.DUMMYFUNCTION("""COMPUTED_VALUE"""),0.23191444747326484)</f>
        <v>0.2319144475</v>
      </c>
      <c r="G2571" s="5">
        <f>IFERROR(__xludf.DUMMYFUNCTION("""COMPUTED_VALUE"""),0.14908785908995598)</f>
        <v>0.1490878591</v>
      </c>
      <c r="H2571" s="5">
        <f>IFERROR(__xludf.DUMMYFUNCTION("""COMPUTED_VALUE"""),0.6139240506329114)</f>
        <v>0.6139240506</v>
      </c>
      <c r="I2571" s="11">
        <f>IFERROR(__xludf.DUMMYFUNCTION("""COMPUTED_VALUE"""),5319.98191681736)</f>
        <v>5319.981917</v>
      </c>
      <c r="J2571" s="10">
        <f>IFERROR(__xludf.DUMMYFUNCTION("""COMPUTED_VALUE"""),1.0)</f>
        <v>1</v>
      </c>
      <c r="K2571" s="5">
        <f>IFERROR(__xludf.DUMMYFUNCTION("""COMPUTED_VALUE"""),0.0022471910112359553)</f>
        <v>0.002247191011</v>
      </c>
      <c r="L2571" s="10">
        <f>IFERROR(__xludf.DUMMYFUNCTION("""COMPUTED_VALUE"""),1.0)</f>
        <v>1</v>
      </c>
      <c r="M2571" s="5">
        <f>IFERROR(__xludf.DUMMYFUNCTION("""COMPUTED_VALUE"""),0.0022471910112359553)</f>
        <v>0.002247191011</v>
      </c>
    </row>
    <row r="2572">
      <c r="A2572" s="10" t="str">
        <f>IFERROR(__xludf.DUMMYFUNCTION("""COMPUTED_VALUE"""),"あんじぇ")</f>
        <v>あんじぇ</v>
      </c>
      <c r="B2572" s="10">
        <f>IFERROR(__xludf.DUMMYFUNCTION("""COMPUTED_VALUE"""),146.0)</f>
        <v>146</v>
      </c>
      <c r="C2572" s="10">
        <f>IFERROR(__xludf.DUMMYFUNCTION("""COMPUTED_VALUE"""),1653.0)</f>
        <v>1653</v>
      </c>
      <c r="D2572" s="5">
        <f>IFERROR(__xludf.DUMMYFUNCTION("""COMPUTED_VALUE"""),0.35169210351692104)</f>
        <v>0.3516921035</v>
      </c>
      <c r="E2572" s="5">
        <f>IFERROR(__xludf.DUMMYFUNCTION("""COMPUTED_VALUE"""),0.12873258128732581)</f>
        <v>0.1287325813</v>
      </c>
      <c r="F2572" s="5">
        <f>IFERROR(__xludf.DUMMYFUNCTION("""COMPUTED_VALUE"""),0.2216323822163238)</f>
        <v>0.2216323822</v>
      </c>
      <c r="G2572" s="5">
        <f>IFERROR(__xludf.DUMMYFUNCTION("""COMPUTED_VALUE"""),0.18181818181818182)</f>
        <v>0.1818181818</v>
      </c>
      <c r="H2572" s="5">
        <f>IFERROR(__xludf.DUMMYFUNCTION("""COMPUTED_VALUE"""),0.6047904191616766)</f>
        <v>0.6047904192</v>
      </c>
      <c r="I2572" s="11">
        <f>IFERROR(__xludf.DUMMYFUNCTION("""COMPUTED_VALUE"""),5650.0)</f>
        <v>5650</v>
      </c>
      <c r="J2572" s="10">
        <f>IFERROR(__xludf.DUMMYFUNCTION("""COMPUTED_VALUE"""),0.0)</f>
        <v>0</v>
      </c>
      <c r="K2572" s="5">
        <f>IFERROR(__xludf.DUMMYFUNCTION("""COMPUTED_VALUE"""),0.0)</f>
        <v>0</v>
      </c>
      <c r="L2572" s="10">
        <f>IFERROR(__xludf.DUMMYFUNCTION("""COMPUTED_VALUE"""),146.0)</f>
        <v>146</v>
      </c>
      <c r="M2572" s="5">
        <f>IFERROR(__xludf.DUMMYFUNCTION("""COMPUTED_VALUE"""),1.0)</f>
        <v>1</v>
      </c>
    </row>
    <row r="2573">
      <c r="A2573" s="10" t="str">
        <f>IFERROR(__xludf.DUMMYFUNCTION("""COMPUTED_VALUE"""),"丸戸信者")</f>
        <v>丸戸信者</v>
      </c>
      <c r="B2573" s="10">
        <f>IFERROR(__xludf.DUMMYFUNCTION("""COMPUTED_VALUE"""),1164.0)</f>
        <v>1164</v>
      </c>
      <c r="C2573" s="10">
        <f>IFERROR(__xludf.DUMMYFUNCTION("""COMPUTED_VALUE"""),13586.0)</f>
        <v>13586</v>
      </c>
      <c r="D2573" s="5">
        <f>IFERROR(__xludf.DUMMYFUNCTION("""COMPUTED_VALUE"""),0.38439864756077924)</f>
        <v>0.3843986476</v>
      </c>
      <c r="E2573" s="5">
        <f>IFERROR(__xludf.DUMMYFUNCTION("""COMPUTED_VALUE"""),0.12872323297375624)</f>
        <v>0.128723233</v>
      </c>
      <c r="F2573" s="5">
        <f>IFERROR(__xludf.DUMMYFUNCTION("""COMPUTED_VALUE"""),0.2221059410722911)</f>
        <v>0.2221059411</v>
      </c>
      <c r="G2573" s="5">
        <f>IFERROR(__xludf.DUMMYFUNCTION("""COMPUTED_VALUE"""),0.16623732088230558)</f>
        <v>0.1662373209</v>
      </c>
      <c r="H2573" s="5">
        <f>IFERROR(__xludf.DUMMYFUNCTION("""COMPUTED_VALUE"""),0.6052917723812976)</f>
        <v>0.6052917724</v>
      </c>
      <c r="I2573" s="11">
        <f>IFERROR(__xludf.DUMMYFUNCTION("""COMPUTED_VALUE"""),5644.6176150779265)</f>
        <v>5644.617615</v>
      </c>
      <c r="J2573" s="10">
        <f>IFERROR(__xludf.DUMMYFUNCTION("""COMPUTED_VALUE"""),5.0)</f>
        <v>5</v>
      </c>
      <c r="K2573" s="5">
        <f>IFERROR(__xludf.DUMMYFUNCTION("""COMPUTED_VALUE"""),0.00429553264604811)</f>
        <v>0.004295532646</v>
      </c>
      <c r="L2573" s="10">
        <f>IFERROR(__xludf.DUMMYFUNCTION("""COMPUTED_VALUE"""),1164.0)</f>
        <v>1164</v>
      </c>
      <c r="M2573" s="5">
        <f>IFERROR(__xludf.DUMMYFUNCTION("""COMPUTED_VALUE"""),1.0)</f>
        <v>1</v>
      </c>
    </row>
    <row r="2574">
      <c r="A2574" s="10" t="str">
        <f>IFERROR(__xludf.DUMMYFUNCTION("""COMPUTED_VALUE"""),"フランツ卿")</f>
        <v>フランツ卿</v>
      </c>
      <c r="B2574" s="10">
        <f>IFERROR(__xludf.DUMMYFUNCTION("""COMPUTED_VALUE"""),548.0)</f>
        <v>548</v>
      </c>
      <c r="C2574" s="10">
        <f>IFERROR(__xludf.DUMMYFUNCTION("""COMPUTED_VALUE"""),6414.0)</f>
        <v>6414</v>
      </c>
      <c r="D2574" s="5">
        <f>IFERROR(__xludf.DUMMYFUNCTION("""COMPUTED_VALUE"""),0.34640300034094784)</f>
        <v>0.3464030003</v>
      </c>
      <c r="E2574" s="5">
        <f>IFERROR(__xludf.DUMMYFUNCTION("""COMPUTED_VALUE"""),0.12870780770542106)</f>
        <v>0.1287078077</v>
      </c>
      <c r="F2574" s="5">
        <f>IFERROR(__xludf.DUMMYFUNCTION("""COMPUTED_VALUE"""),0.2178656665530174)</f>
        <v>0.2178656666</v>
      </c>
      <c r="G2574" s="5">
        <f>IFERROR(__xludf.DUMMYFUNCTION("""COMPUTED_VALUE"""),0.1929764745993863)</f>
        <v>0.1929764746</v>
      </c>
      <c r="H2574" s="5">
        <f>IFERROR(__xludf.DUMMYFUNCTION("""COMPUTED_VALUE"""),0.5727699530516432)</f>
        <v>0.5727699531</v>
      </c>
      <c r="I2574" s="11">
        <f>IFERROR(__xludf.DUMMYFUNCTION("""COMPUTED_VALUE"""),5764.162754303599)</f>
        <v>5764.162754</v>
      </c>
      <c r="J2574" s="10">
        <f>IFERROR(__xludf.DUMMYFUNCTION("""COMPUTED_VALUE"""),0.0)</f>
        <v>0</v>
      </c>
      <c r="K2574" s="5">
        <f>IFERROR(__xludf.DUMMYFUNCTION("""COMPUTED_VALUE"""),0.0)</f>
        <v>0</v>
      </c>
      <c r="L2574" s="10">
        <f>IFERROR(__xludf.DUMMYFUNCTION("""COMPUTED_VALUE"""),513.0)</f>
        <v>513</v>
      </c>
      <c r="M2574" s="5">
        <f>IFERROR(__xludf.DUMMYFUNCTION("""COMPUTED_VALUE"""),0.9361313868613139)</f>
        <v>0.9361313869</v>
      </c>
    </row>
    <row r="2575">
      <c r="A2575" s="10" t="str">
        <f>IFERROR(__xludf.DUMMYFUNCTION("""COMPUTED_VALUE"""),"石塚")</f>
        <v>石塚</v>
      </c>
      <c r="B2575" s="10">
        <f>IFERROR(__xludf.DUMMYFUNCTION("""COMPUTED_VALUE"""),499.0)</f>
        <v>499</v>
      </c>
      <c r="C2575" s="10">
        <f>IFERROR(__xludf.DUMMYFUNCTION("""COMPUTED_VALUE"""),5829.0)</f>
        <v>5829</v>
      </c>
      <c r="D2575" s="5">
        <f>IFERROR(__xludf.DUMMYFUNCTION("""COMPUTED_VALUE"""),0.28386491557223265)</f>
        <v>0.2838649156</v>
      </c>
      <c r="E2575" s="5">
        <f>IFERROR(__xludf.DUMMYFUNCTION("""COMPUTED_VALUE"""),0.12870544090056285)</f>
        <v>0.1287054409</v>
      </c>
      <c r="F2575" s="5">
        <f>IFERROR(__xludf.DUMMYFUNCTION("""COMPUTED_VALUE"""),0.20093808630393997)</f>
        <v>0.2009380863</v>
      </c>
      <c r="G2575" s="5">
        <f>IFERROR(__xludf.DUMMYFUNCTION("""COMPUTED_VALUE"""),0.18536585365853658)</f>
        <v>0.1853658537</v>
      </c>
      <c r="H2575" s="5">
        <f>IFERROR(__xludf.DUMMYFUNCTION("""COMPUTED_VALUE"""),0.6171802054154996)</f>
        <v>0.6171802054</v>
      </c>
      <c r="I2575" s="11">
        <f>IFERROR(__xludf.DUMMYFUNCTION("""COMPUTED_VALUE"""),5803.548085901027)</f>
        <v>5803.548086</v>
      </c>
      <c r="J2575" s="10">
        <f>IFERROR(__xludf.DUMMYFUNCTION("""COMPUTED_VALUE"""),0.0)</f>
        <v>0</v>
      </c>
      <c r="K2575" s="5">
        <f>IFERROR(__xludf.DUMMYFUNCTION("""COMPUTED_VALUE"""),0.0)</f>
        <v>0</v>
      </c>
      <c r="L2575" s="10">
        <f>IFERROR(__xludf.DUMMYFUNCTION("""COMPUTED_VALUE"""),499.0)</f>
        <v>499</v>
      </c>
      <c r="M2575" s="5">
        <f>IFERROR(__xludf.DUMMYFUNCTION("""COMPUTED_VALUE"""),1.0)</f>
        <v>1</v>
      </c>
    </row>
    <row r="2576">
      <c r="A2576" s="10" t="str">
        <f>IFERROR(__xludf.DUMMYFUNCTION("""COMPUTED_VALUE"""),"良知")</f>
        <v>良知</v>
      </c>
      <c r="B2576" s="10">
        <f>IFERROR(__xludf.DUMMYFUNCTION("""COMPUTED_VALUE"""),1950.0)</f>
        <v>1950</v>
      </c>
      <c r="C2576" s="10">
        <f>IFERROR(__xludf.DUMMYFUNCTION("""COMPUTED_VALUE"""),22214.0)</f>
        <v>22214</v>
      </c>
      <c r="D2576" s="5">
        <f>IFERROR(__xludf.DUMMYFUNCTION("""COMPUTED_VALUE"""),0.29880576391630476)</f>
        <v>0.2988057639</v>
      </c>
      <c r="E2576" s="5">
        <f>IFERROR(__xludf.DUMMYFUNCTION("""COMPUTED_VALUE"""),0.12870114488748519)</f>
        <v>0.1287011449</v>
      </c>
      <c r="F2576" s="5">
        <f>IFERROR(__xludf.DUMMYFUNCTION("""COMPUTED_VALUE"""),0.21515988945913936)</f>
        <v>0.2151598895</v>
      </c>
      <c r="G2576" s="5">
        <f>IFERROR(__xludf.DUMMYFUNCTION("""COMPUTED_VALUE"""),0.21136004737465455)</f>
        <v>0.2113600474</v>
      </c>
      <c r="H2576" s="5">
        <f>IFERROR(__xludf.DUMMYFUNCTION("""COMPUTED_VALUE"""),0.5793577981651377)</f>
        <v>0.5793577982</v>
      </c>
      <c r="I2576" s="11">
        <f>IFERROR(__xludf.DUMMYFUNCTION("""COMPUTED_VALUE"""),6309.495412844037)</f>
        <v>6309.495413</v>
      </c>
      <c r="J2576" s="10">
        <f>IFERROR(__xludf.DUMMYFUNCTION("""COMPUTED_VALUE"""),4.0)</f>
        <v>4</v>
      </c>
      <c r="K2576" s="5">
        <f>IFERROR(__xludf.DUMMYFUNCTION("""COMPUTED_VALUE"""),0.0020512820512820513)</f>
        <v>0.002051282051</v>
      </c>
      <c r="L2576" s="10">
        <f>IFERROR(__xludf.DUMMYFUNCTION("""COMPUTED_VALUE"""),1950.0)</f>
        <v>1950</v>
      </c>
      <c r="M2576" s="5">
        <f>IFERROR(__xludf.DUMMYFUNCTION("""COMPUTED_VALUE"""),1.0)</f>
        <v>1</v>
      </c>
    </row>
    <row r="2577">
      <c r="A2577" s="10" t="str">
        <f>IFERROR(__xludf.DUMMYFUNCTION("""COMPUTED_VALUE"""),"DE-TEIU")</f>
        <v>DE-TEIU</v>
      </c>
      <c r="B2577" s="10">
        <f>IFERROR(__xludf.DUMMYFUNCTION("""COMPUTED_VALUE"""),543.0)</f>
        <v>543</v>
      </c>
      <c r="C2577" s="10">
        <f>IFERROR(__xludf.DUMMYFUNCTION("""COMPUTED_VALUE"""),6340.0)</f>
        <v>6340</v>
      </c>
      <c r="D2577" s="5">
        <f>IFERROR(__xludf.DUMMYFUNCTION("""COMPUTED_VALUE"""),0.3998619975849577)</f>
        <v>0.3998619976</v>
      </c>
      <c r="E2577" s="5">
        <f>IFERROR(__xludf.DUMMYFUNCTION("""COMPUTED_VALUE"""),0.12868725202691048)</f>
        <v>0.128687252</v>
      </c>
      <c r="F2577" s="5">
        <f>IFERROR(__xludf.DUMMYFUNCTION("""COMPUTED_VALUE"""),0.20217353803691565)</f>
        <v>0.202173538</v>
      </c>
      <c r="G2577" s="5">
        <f>IFERROR(__xludf.DUMMYFUNCTION("""COMPUTED_VALUE"""),0.16232534069346213)</f>
        <v>0.1623253407</v>
      </c>
      <c r="H2577" s="5">
        <f>IFERROR(__xludf.DUMMYFUNCTION("""COMPUTED_VALUE"""),0.6006825938566553)</f>
        <v>0.6006825939</v>
      </c>
      <c r="I2577" s="11">
        <f>IFERROR(__xludf.DUMMYFUNCTION("""COMPUTED_VALUE"""),6022.78156996587)</f>
        <v>6022.78157</v>
      </c>
      <c r="J2577" s="10">
        <f>IFERROR(__xludf.DUMMYFUNCTION("""COMPUTED_VALUE"""),0.0)</f>
        <v>0</v>
      </c>
      <c r="K2577" s="5">
        <f>IFERROR(__xludf.DUMMYFUNCTION("""COMPUTED_VALUE"""),0.0)</f>
        <v>0</v>
      </c>
      <c r="L2577" s="10">
        <f>IFERROR(__xludf.DUMMYFUNCTION("""COMPUTED_VALUE"""),543.0)</f>
        <v>543</v>
      </c>
      <c r="M2577" s="5">
        <f>IFERROR(__xludf.DUMMYFUNCTION("""COMPUTED_VALUE"""),1.0)</f>
        <v>1</v>
      </c>
    </row>
    <row r="2578">
      <c r="A2578" s="10" t="str">
        <f>IFERROR(__xludf.DUMMYFUNCTION("""COMPUTED_VALUE"""),"あに～☆")</f>
        <v>あに～☆</v>
      </c>
      <c r="B2578" s="10">
        <f>IFERROR(__xludf.DUMMYFUNCTION("""COMPUTED_VALUE"""),132.0)</f>
        <v>132</v>
      </c>
      <c r="C2578" s="10">
        <f>IFERROR(__xludf.DUMMYFUNCTION("""COMPUTED_VALUE"""),1523.0)</f>
        <v>1523</v>
      </c>
      <c r="D2578" s="5">
        <f>IFERROR(__xludf.DUMMYFUNCTION("""COMPUTED_VALUE"""),0.44500359453630484)</f>
        <v>0.4450035945</v>
      </c>
      <c r="E2578" s="5">
        <f>IFERROR(__xludf.DUMMYFUNCTION("""COMPUTED_VALUE"""),0.1286843997124371)</f>
        <v>0.1286843997</v>
      </c>
      <c r="F2578" s="5">
        <f>IFERROR(__xludf.DUMMYFUNCTION("""COMPUTED_VALUE"""),0.21854780733285406)</f>
        <v>0.2185478073</v>
      </c>
      <c r="G2578" s="5">
        <f>IFERROR(__xludf.DUMMYFUNCTION("""COMPUTED_VALUE"""),0.14234363767074049)</f>
        <v>0.1423436377</v>
      </c>
      <c r="H2578" s="5">
        <f>IFERROR(__xludf.DUMMYFUNCTION("""COMPUTED_VALUE"""),0.5822368421052632)</f>
        <v>0.5822368421</v>
      </c>
      <c r="I2578" s="11">
        <f>IFERROR(__xludf.DUMMYFUNCTION("""COMPUTED_VALUE"""),5085.1973684210525)</f>
        <v>5085.197368</v>
      </c>
      <c r="J2578" s="10">
        <f>IFERROR(__xludf.DUMMYFUNCTION("""COMPUTED_VALUE"""),1.0)</f>
        <v>1</v>
      </c>
      <c r="K2578" s="5">
        <f>IFERROR(__xludf.DUMMYFUNCTION("""COMPUTED_VALUE"""),0.007575757575757576)</f>
        <v>0.007575757576</v>
      </c>
      <c r="L2578" s="10">
        <f>IFERROR(__xludf.DUMMYFUNCTION("""COMPUTED_VALUE"""),126.0)</f>
        <v>126</v>
      </c>
      <c r="M2578" s="5">
        <f>IFERROR(__xludf.DUMMYFUNCTION("""COMPUTED_VALUE"""),0.9545454545454546)</f>
        <v>0.9545454545</v>
      </c>
    </row>
    <row r="2579">
      <c r="A2579" s="10" t="str">
        <f>IFERROR(__xludf.DUMMYFUNCTION("""COMPUTED_VALUE"""),"k.kurumi")</f>
        <v>k.kurumi</v>
      </c>
      <c r="B2579" s="10">
        <f>IFERROR(__xludf.DUMMYFUNCTION("""COMPUTED_VALUE"""),119.0)</f>
        <v>119</v>
      </c>
      <c r="C2579" s="10">
        <f>IFERROR(__xludf.DUMMYFUNCTION("""COMPUTED_VALUE"""),1409.0)</f>
        <v>1409</v>
      </c>
      <c r="D2579" s="5">
        <f>IFERROR(__xludf.DUMMYFUNCTION("""COMPUTED_VALUE"""),0.3496124031007752)</f>
        <v>0.3496124031</v>
      </c>
      <c r="E2579" s="5">
        <f>IFERROR(__xludf.DUMMYFUNCTION("""COMPUTED_VALUE"""),0.12868217054263567)</f>
        <v>0.1286821705</v>
      </c>
      <c r="F2579" s="5">
        <f>IFERROR(__xludf.DUMMYFUNCTION("""COMPUTED_VALUE"""),0.19069767441860466)</f>
        <v>0.1906976744</v>
      </c>
      <c r="G2579" s="5">
        <f>IFERROR(__xludf.DUMMYFUNCTION("""COMPUTED_VALUE"""),0.1744186046511628)</f>
        <v>0.1744186047</v>
      </c>
      <c r="H2579" s="5">
        <f>IFERROR(__xludf.DUMMYFUNCTION("""COMPUTED_VALUE"""),0.5975609756097561)</f>
        <v>0.5975609756</v>
      </c>
      <c r="I2579" s="11">
        <f>IFERROR(__xludf.DUMMYFUNCTION("""COMPUTED_VALUE"""),5784.1463414634145)</f>
        <v>5784.146341</v>
      </c>
      <c r="J2579" s="10">
        <f>IFERROR(__xludf.DUMMYFUNCTION("""COMPUTED_VALUE"""),0.0)</f>
        <v>0</v>
      </c>
      <c r="K2579" s="5">
        <f>IFERROR(__xludf.DUMMYFUNCTION("""COMPUTED_VALUE"""),0.0)</f>
        <v>0</v>
      </c>
      <c r="L2579" s="10">
        <f>IFERROR(__xludf.DUMMYFUNCTION("""COMPUTED_VALUE"""),2.0)</f>
        <v>2</v>
      </c>
      <c r="M2579" s="5">
        <f>IFERROR(__xludf.DUMMYFUNCTION("""COMPUTED_VALUE"""),0.01680672268907563)</f>
        <v>0.01680672269</v>
      </c>
    </row>
    <row r="2580">
      <c r="A2580" s="10" t="str">
        <f>IFERROR(__xludf.DUMMYFUNCTION("""COMPUTED_VALUE"""),"ぶっとびカード")</f>
        <v>ぶっとびカード</v>
      </c>
      <c r="B2580" s="10">
        <f>IFERROR(__xludf.DUMMYFUNCTION("""COMPUTED_VALUE"""),4852.0)</f>
        <v>4852</v>
      </c>
      <c r="C2580" s="10">
        <f>IFERROR(__xludf.DUMMYFUNCTION("""COMPUTED_VALUE"""),56538.0)</f>
        <v>56538</v>
      </c>
      <c r="D2580" s="5">
        <f>IFERROR(__xludf.DUMMYFUNCTION("""COMPUTED_VALUE"""),0.37803273613744537)</f>
        <v>0.3780327361</v>
      </c>
      <c r="E2580" s="5">
        <f>IFERROR(__xludf.DUMMYFUNCTION("""COMPUTED_VALUE"""),0.12868088070270478)</f>
        <v>0.1286808807</v>
      </c>
      <c r="F2580" s="5">
        <f>IFERROR(__xludf.DUMMYFUNCTION("""COMPUTED_VALUE"""),0.21560964284332315)</f>
        <v>0.2156096428</v>
      </c>
      <c r="G2580" s="5">
        <f>IFERROR(__xludf.DUMMYFUNCTION("""COMPUTED_VALUE"""),0.160701156986418)</f>
        <v>0.160701157</v>
      </c>
      <c r="H2580" s="5">
        <f>IFERROR(__xludf.DUMMYFUNCTION("""COMPUTED_VALUE"""),0.5949389806173726)</f>
        <v>0.5949389806</v>
      </c>
      <c r="I2580" s="11">
        <f>IFERROR(__xludf.DUMMYFUNCTION("""COMPUTED_VALUE"""),5612.12311557789)</f>
        <v>5612.123116</v>
      </c>
      <c r="J2580" s="10">
        <f>IFERROR(__xludf.DUMMYFUNCTION("""COMPUTED_VALUE"""),8.0)</f>
        <v>8</v>
      </c>
      <c r="K2580" s="5">
        <f>IFERROR(__xludf.DUMMYFUNCTION("""COMPUTED_VALUE"""),0.0016488046166529267)</f>
        <v>0.001648804617</v>
      </c>
      <c r="L2580" s="10">
        <f>IFERROR(__xludf.DUMMYFUNCTION("""COMPUTED_VALUE"""),2654.0)</f>
        <v>2654</v>
      </c>
      <c r="M2580" s="5">
        <f>IFERROR(__xludf.DUMMYFUNCTION("""COMPUTED_VALUE"""),0.5469909315746084)</f>
        <v>0.5469909316</v>
      </c>
    </row>
    <row r="2581">
      <c r="A2581" s="10" t="str">
        <f>IFERROR(__xludf.DUMMYFUNCTION("""COMPUTED_VALUE"""),"G3-とまと")</f>
        <v>G3-とまと</v>
      </c>
      <c r="B2581" s="10">
        <f>IFERROR(__xludf.DUMMYFUNCTION("""COMPUTED_VALUE"""),216.0)</f>
        <v>216</v>
      </c>
      <c r="C2581" s="10">
        <f>IFERROR(__xludf.DUMMYFUNCTION("""COMPUTED_VALUE"""),2493.0)</f>
        <v>2493</v>
      </c>
      <c r="D2581" s="5">
        <f>IFERROR(__xludf.DUMMYFUNCTION("""COMPUTED_VALUE"""),0.35090030742204653)</f>
        <v>0.3509003074</v>
      </c>
      <c r="E2581" s="5">
        <f>IFERROR(__xludf.DUMMYFUNCTION("""COMPUTED_VALUE"""),0.12867808519982432)</f>
        <v>0.1286780852</v>
      </c>
      <c r="F2581" s="5">
        <f>IFERROR(__xludf.DUMMYFUNCTION("""COMPUTED_VALUE"""),0.1971892841458059)</f>
        <v>0.1971892841</v>
      </c>
      <c r="G2581" s="5">
        <f>IFERROR(__xludf.DUMMYFUNCTION("""COMPUTED_VALUE"""),0.16600790513833993)</f>
        <v>0.1660079051</v>
      </c>
      <c r="H2581" s="5">
        <f>IFERROR(__xludf.DUMMYFUNCTION("""COMPUTED_VALUE"""),0.5924276169265034)</f>
        <v>0.5924276169</v>
      </c>
      <c r="I2581" s="11">
        <f>IFERROR(__xludf.DUMMYFUNCTION("""COMPUTED_VALUE"""),6008.685968819599)</f>
        <v>6008.685969</v>
      </c>
      <c r="J2581" s="10">
        <f>IFERROR(__xludf.DUMMYFUNCTION("""COMPUTED_VALUE"""),1.0)</f>
        <v>1</v>
      </c>
      <c r="K2581" s="5">
        <f>IFERROR(__xludf.DUMMYFUNCTION("""COMPUTED_VALUE"""),0.004629629629629629)</f>
        <v>0.00462962963</v>
      </c>
      <c r="L2581" s="10">
        <f>IFERROR(__xludf.DUMMYFUNCTION("""COMPUTED_VALUE"""),216.0)</f>
        <v>216</v>
      </c>
      <c r="M2581" s="5">
        <f>IFERROR(__xludf.DUMMYFUNCTION("""COMPUTED_VALUE"""),1.0)</f>
        <v>1</v>
      </c>
    </row>
    <row r="2582">
      <c r="A2582" s="10" t="str">
        <f>IFERROR(__xludf.DUMMYFUNCTION("""COMPUTED_VALUE"""),"〇しみりょう〇")</f>
        <v>〇しみりょう〇</v>
      </c>
      <c r="B2582" s="10">
        <f>IFERROR(__xludf.DUMMYFUNCTION("""COMPUTED_VALUE"""),462.0)</f>
        <v>462</v>
      </c>
      <c r="C2582" s="10">
        <f>IFERROR(__xludf.DUMMYFUNCTION("""COMPUTED_VALUE"""),5358.0)</f>
        <v>5358</v>
      </c>
      <c r="D2582" s="5">
        <f>IFERROR(__xludf.DUMMYFUNCTION("""COMPUTED_VALUE"""),0.3255718954248366)</f>
        <v>0.3255718954</v>
      </c>
      <c r="E2582" s="5">
        <f>IFERROR(__xludf.DUMMYFUNCTION("""COMPUTED_VALUE"""),0.12867647058823528)</f>
        <v>0.1286764706</v>
      </c>
      <c r="F2582" s="5">
        <f>IFERROR(__xludf.DUMMYFUNCTION("""COMPUTED_VALUE"""),0.2207924836601307)</f>
        <v>0.2207924837</v>
      </c>
      <c r="G2582" s="5">
        <f>IFERROR(__xludf.DUMMYFUNCTION("""COMPUTED_VALUE"""),0.1977124183006536)</f>
        <v>0.1977124183</v>
      </c>
      <c r="H2582" s="5">
        <f>IFERROR(__xludf.DUMMYFUNCTION("""COMPUTED_VALUE"""),0.5550416281221091)</f>
        <v>0.5550416281</v>
      </c>
      <c r="I2582" s="11">
        <f>IFERROR(__xludf.DUMMYFUNCTION("""COMPUTED_VALUE"""),5488.159111933395)</f>
        <v>5488.159112</v>
      </c>
      <c r="J2582" s="10">
        <f>IFERROR(__xludf.DUMMYFUNCTION("""COMPUTED_VALUE"""),1.0)</f>
        <v>1</v>
      </c>
      <c r="K2582" s="5">
        <f>IFERROR(__xludf.DUMMYFUNCTION("""COMPUTED_VALUE"""),0.0021645021645021645)</f>
        <v>0.002164502165</v>
      </c>
      <c r="L2582" s="10">
        <f>IFERROR(__xludf.DUMMYFUNCTION("""COMPUTED_VALUE"""),462.0)</f>
        <v>462</v>
      </c>
      <c r="M2582" s="5">
        <f>IFERROR(__xludf.DUMMYFUNCTION("""COMPUTED_VALUE"""),1.0)</f>
        <v>1</v>
      </c>
    </row>
    <row r="2583">
      <c r="A2583" s="10" t="str">
        <f>IFERROR(__xludf.DUMMYFUNCTION("""COMPUTED_VALUE"""),"korotann")</f>
        <v>korotann</v>
      </c>
      <c r="B2583" s="10">
        <f>IFERROR(__xludf.DUMMYFUNCTION("""COMPUTED_VALUE"""),437.0)</f>
        <v>437</v>
      </c>
      <c r="C2583" s="10">
        <f>IFERROR(__xludf.DUMMYFUNCTION("""COMPUTED_VALUE"""),5069.0)</f>
        <v>5069</v>
      </c>
      <c r="D2583" s="5">
        <f>IFERROR(__xludf.DUMMYFUNCTION("""COMPUTED_VALUE"""),0.37262521588946457)</f>
        <v>0.3726252159</v>
      </c>
      <c r="E2583" s="5">
        <f>IFERROR(__xludf.DUMMYFUNCTION("""COMPUTED_VALUE"""),0.12867012089810018)</f>
        <v>0.1286701209</v>
      </c>
      <c r="F2583" s="5">
        <f>IFERROR(__xludf.DUMMYFUNCTION("""COMPUTED_VALUE"""),0.20293609671848015)</f>
        <v>0.2029360967</v>
      </c>
      <c r="G2583" s="5">
        <f>IFERROR(__xludf.DUMMYFUNCTION("""COMPUTED_VALUE"""),0.1567357512953368)</f>
        <v>0.1567357513</v>
      </c>
      <c r="H2583" s="5">
        <f>IFERROR(__xludf.DUMMYFUNCTION("""COMPUTED_VALUE"""),0.5968085106382979)</f>
        <v>0.5968085106</v>
      </c>
      <c r="I2583" s="11">
        <f>IFERROR(__xludf.DUMMYFUNCTION("""COMPUTED_VALUE"""),5758.829787234043)</f>
        <v>5758.829787</v>
      </c>
      <c r="J2583" s="10">
        <f>IFERROR(__xludf.DUMMYFUNCTION("""COMPUTED_VALUE"""),2.0)</f>
        <v>2</v>
      </c>
      <c r="K2583" s="5">
        <f>IFERROR(__xludf.DUMMYFUNCTION("""COMPUTED_VALUE"""),0.004576659038901602)</f>
        <v>0.004576659039</v>
      </c>
      <c r="L2583" s="10">
        <f>IFERROR(__xludf.DUMMYFUNCTION("""COMPUTED_VALUE"""),437.0)</f>
        <v>437</v>
      </c>
      <c r="M2583" s="5">
        <f>IFERROR(__xludf.DUMMYFUNCTION("""COMPUTED_VALUE"""),1.0)</f>
        <v>1</v>
      </c>
    </row>
    <row r="2584">
      <c r="A2584" s="10" t="str">
        <f>IFERROR(__xludf.DUMMYFUNCTION("""COMPUTED_VALUE"""),"プロジャン氏")</f>
        <v>プロジャン氏</v>
      </c>
      <c r="B2584" s="10">
        <f>IFERROR(__xludf.DUMMYFUNCTION("""COMPUTED_VALUE"""),1128.0)</f>
        <v>1128</v>
      </c>
      <c r="C2584" s="10">
        <f>IFERROR(__xludf.DUMMYFUNCTION("""COMPUTED_VALUE"""),13462.0)</f>
        <v>13462</v>
      </c>
      <c r="D2584" s="5">
        <f>IFERROR(__xludf.DUMMYFUNCTION("""COMPUTED_VALUE"""),0.37635803470082696)</f>
        <v>0.3763580347</v>
      </c>
      <c r="E2584" s="5">
        <f>IFERROR(__xludf.DUMMYFUNCTION("""COMPUTED_VALUE"""),0.12866872060969678)</f>
        <v>0.1286687206</v>
      </c>
      <c r="F2584" s="5">
        <f>IFERROR(__xludf.DUMMYFUNCTION("""COMPUTED_VALUE"""),0.21671801524241932)</f>
        <v>0.2167180152</v>
      </c>
      <c r="G2584" s="5">
        <f>IFERROR(__xludf.DUMMYFUNCTION("""COMPUTED_VALUE"""),0.1769904329495703)</f>
        <v>0.1769904329</v>
      </c>
      <c r="H2584" s="5">
        <f>IFERROR(__xludf.DUMMYFUNCTION("""COMPUTED_VALUE"""),0.5982042648709316)</f>
        <v>0.5982042649</v>
      </c>
      <c r="I2584" s="11">
        <f>IFERROR(__xludf.DUMMYFUNCTION("""COMPUTED_VALUE"""),5493.901982790871)</f>
        <v>5493.901983</v>
      </c>
      <c r="J2584" s="10">
        <f>IFERROR(__xludf.DUMMYFUNCTION("""COMPUTED_VALUE"""),0.0)</f>
        <v>0</v>
      </c>
      <c r="K2584" s="5">
        <f>IFERROR(__xludf.DUMMYFUNCTION("""COMPUTED_VALUE"""),0.0)</f>
        <v>0</v>
      </c>
      <c r="L2584" s="10">
        <f>IFERROR(__xludf.DUMMYFUNCTION("""COMPUTED_VALUE"""),1128.0)</f>
        <v>1128</v>
      </c>
      <c r="M2584" s="5">
        <f>IFERROR(__xludf.DUMMYFUNCTION("""COMPUTED_VALUE"""),1.0)</f>
        <v>1</v>
      </c>
    </row>
    <row r="2585">
      <c r="A2585" s="10" t="str">
        <f>IFERROR(__xludf.DUMMYFUNCTION("""COMPUTED_VALUE"""),"飛羽愛歌")</f>
        <v>飛羽愛歌</v>
      </c>
      <c r="B2585" s="10">
        <f>IFERROR(__xludf.DUMMYFUNCTION("""COMPUTED_VALUE"""),121.0)</f>
        <v>121</v>
      </c>
      <c r="C2585" s="10">
        <f>IFERROR(__xludf.DUMMYFUNCTION("""COMPUTED_VALUE"""),1450.0)</f>
        <v>1450</v>
      </c>
      <c r="D2585" s="5">
        <f>IFERROR(__xludf.DUMMYFUNCTION("""COMPUTED_VALUE"""),0.4529721595184349)</f>
        <v>0.4529721595</v>
      </c>
      <c r="E2585" s="5">
        <f>IFERROR(__xludf.DUMMYFUNCTION("""COMPUTED_VALUE"""),0.12866817155756208)</f>
        <v>0.1286681716</v>
      </c>
      <c r="F2585" s="5">
        <f>IFERROR(__xludf.DUMMYFUNCTION("""COMPUTED_VALUE"""),0.22422874341610233)</f>
        <v>0.2242287434</v>
      </c>
      <c r="G2585" s="5">
        <f>IFERROR(__xludf.DUMMYFUNCTION("""COMPUTED_VALUE"""),0.14597441685477802)</f>
        <v>0.1459744169</v>
      </c>
      <c r="H2585" s="5">
        <f>IFERROR(__xludf.DUMMYFUNCTION("""COMPUTED_VALUE"""),0.6006711409395973)</f>
        <v>0.6006711409</v>
      </c>
      <c r="I2585" s="11">
        <f>IFERROR(__xludf.DUMMYFUNCTION("""COMPUTED_VALUE"""),5209.731543624161)</f>
        <v>5209.731544</v>
      </c>
      <c r="J2585" s="10">
        <f>IFERROR(__xludf.DUMMYFUNCTION("""COMPUTED_VALUE"""),0.0)</f>
        <v>0</v>
      </c>
      <c r="K2585" s="5">
        <f>IFERROR(__xludf.DUMMYFUNCTION("""COMPUTED_VALUE"""),0.0)</f>
        <v>0</v>
      </c>
      <c r="L2585" s="10">
        <f>IFERROR(__xludf.DUMMYFUNCTION("""COMPUTED_VALUE"""),15.0)</f>
        <v>15</v>
      </c>
      <c r="M2585" s="5">
        <f>IFERROR(__xludf.DUMMYFUNCTION("""COMPUTED_VALUE"""),0.12396694214876033)</f>
        <v>0.1239669421</v>
      </c>
    </row>
    <row r="2586">
      <c r="A2586" s="10" t="str">
        <f>IFERROR(__xludf.DUMMYFUNCTION("""COMPUTED_VALUE"""),"GINKO")</f>
        <v>GINKO</v>
      </c>
      <c r="B2586" s="10">
        <f>IFERROR(__xludf.DUMMYFUNCTION("""COMPUTED_VALUE"""),363.0)</f>
        <v>363</v>
      </c>
      <c r="C2586" s="10">
        <f>IFERROR(__xludf.DUMMYFUNCTION("""COMPUTED_VALUE"""),4218.0)</f>
        <v>4218</v>
      </c>
      <c r="D2586" s="5">
        <f>IFERROR(__xludf.DUMMYFUNCTION("""COMPUTED_VALUE"""),0.39792477302204926)</f>
        <v>0.397924773</v>
      </c>
      <c r="E2586" s="5">
        <f>IFERROR(__xludf.DUMMYFUNCTION("""COMPUTED_VALUE"""),0.12866407263294422)</f>
        <v>0.1286640726</v>
      </c>
      <c r="F2586" s="5">
        <f>IFERROR(__xludf.DUMMYFUNCTION("""COMPUTED_VALUE"""),0.22334630350194554)</f>
        <v>0.2233463035</v>
      </c>
      <c r="G2586" s="5">
        <f>IFERROR(__xludf.DUMMYFUNCTION("""COMPUTED_VALUE"""),0.16575875486381322)</f>
        <v>0.1657587549</v>
      </c>
      <c r="H2586" s="5">
        <f>IFERROR(__xludf.DUMMYFUNCTION("""COMPUTED_VALUE"""),0.6190476190476191)</f>
        <v>0.619047619</v>
      </c>
      <c r="I2586" s="11">
        <f>IFERROR(__xludf.DUMMYFUNCTION("""COMPUTED_VALUE"""),5800.8130081300815)</f>
        <v>5800.813008</v>
      </c>
      <c r="J2586" s="10">
        <f>IFERROR(__xludf.DUMMYFUNCTION("""COMPUTED_VALUE"""),2.0)</f>
        <v>2</v>
      </c>
      <c r="K2586" s="5">
        <f>IFERROR(__xludf.DUMMYFUNCTION("""COMPUTED_VALUE"""),0.005509641873278237)</f>
        <v>0.005509641873</v>
      </c>
      <c r="L2586" s="10">
        <f>IFERROR(__xludf.DUMMYFUNCTION("""COMPUTED_VALUE"""),363.0)</f>
        <v>363</v>
      </c>
      <c r="M2586" s="5">
        <f>IFERROR(__xludf.DUMMYFUNCTION("""COMPUTED_VALUE"""),1.0)</f>
        <v>1</v>
      </c>
    </row>
    <row r="2587">
      <c r="A2587" s="10" t="str">
        <f>IFERROR(__xludf.DUMMYFUNCTION("""COMPUTED_VALUE"""),"wiiiin")</f>
        <v>wiiiin</v>
      </c>
      <c r="B2587" s="10">
        <f>IFERROR(__xludf.DUMMYFUNCTION("""COMPUTED_VALUE"""),597.0)</f>
        <v>597</v>
      </c>
      <c r="C2587" s="10">
        <f>IFERROR(__xludf.DUMMYFUNCTION("""COMPUTED_VALUE"""),6947.0)</f>
        <v>6947</v>
      </c>
      <c r="D2587" s="5">
        <f>IFERROR(__xludf.DUMMYFUNCTION("""COMPUTED_VALUE"""),0.37417322834645667)</f>
        <v>0.3741732283</v>
      </c>
      <c r="E2587" s="5">
        <f>IFERROR(__xludf.DUMMYFUNCTION("""COMPUTED_VALUE"""),0.12866141732283465)</f>
        <v>0.1286614173</v>
      </c>
      <c r="F2587" s="5">
        <f>IFERROR(__xludf.DUMMYFUNCTION("""COMPUTED_VALUE"""),0.20173228346456692)</f>
        <v>0.2017322835</v>
      </c>
      <c r="G2587" s="5">
        <f>IFERROR(__xludf.DUMMYFUNCTION("""COMPUTED_VALUE"""),0.17511811023622048)</f>
        <v>0.1751181102</v>
      </c>
      <c r="H2587" s="5">
        <f>IFERROR(__xludf.DUMMYFUNCTION("""COMPUTED_VALUE"""),0.6042154566744731)</f>
        <v>0.6042154567</v>
      </c>
      <c r="I2587" s="11">
        <f>IFERROR(__xludf.DUMMYFUNCTION("""COMPUTED_VALUE"""),5652.615144418423)</f>
        <v>5652.615144</v>
      </c>
      <c r="J2587" s="10">
        <f>IFERROR(__xludf.DUMMYFUNCTION("""COMPUTED_VALUE"""),1.0)</f>
        <v>1</v>
      </c>
      <c r="K2587" s="5">
        <f>IFERROR(__xludf.DUMMYFUNCTION("""COMPUTED_VALUE"""),0.0016750418760469012)</f>
        <v>0.001675041876</v>
      </c>
      <c r="L2587" s="10">
        <f>IFERROR(__xludf.DUMMYFUNCTION("""COMPUTED_VALUE"""),597.0)</f>
        <v>597</v>
      </c>
      <c r="M2587" s="5">
        <f>IFERROR(__xludf.DUMMYFUNCTION("""COMPUTED_VALUE"""),1.0)</f>
        <v>1</v>
      </c>
    </row>
    <row r="2588">
      <c r="A2588" s="10" t="str">
        <f>IFERROR(__xludf.DUMMYFUNCTION("""COMPUTED_VALUE"""),"桜庭大地")</f>
        <v>桜庭大地</v>
      </c>
      <c r="B2588" s="10">
        <f>IFERROR(__xludf.DUMMYFUNCTION("""COMPUTED_VALUE"""),1522.0)</f>
        <v>1522</v>
      </c>
      <c r="C2588" s="10">
        <f>IFERROR(__xludf.DUMMYFUNCTION("""COMPUTED_VALUE"""),17743.0)</f>
        <v>17743</v>
      </c>
      <c r="D2588" s="5">
        <f>IFERROR(__xludf.DUMMYFUNCTION("""COMPUTED_VALUE"""),0.3559583256272733)</f>
        <v>0.3559583256</v>
      </c>
      <c r="E2588" s="5">
        <f>IFERROR(__xludf.DUMMYFUNCTION("""COMPUTED_VALUE"""),0.12866037852166945)</f>
        <v>0.1286603785</v>
      </c>
      <c r="F2588" s="5">
        <f>IFERROR(__xludf.DUMMYFUNCTION("""COMPUTED_VALUE"""),0.21441341470932743)</f>
        <v>0.2144134147</v>
      </c>
      <c r="G2588" s="5">
        <f>IFERROR(__xludf.DUMMYFUNCTION("""COMPUTED_VALUE"""),0.17779421737254178)</f>
        <v>0.1777942174</v>
      </c>
      <c r="H2588" s="5">
        <f>IFERROR(__xludf.DUMMYFUNCTION("""COMPUTED_VALUE"""),0.6075330649798735)</f>
        <v>0.607533065</v>
      </c>
      <c r="I2588" s="11">
        <f>IFERROR(__xludf.DUMMYFUNCTION("""COMPUTED_VALUE"""),5624.669350201265)</f>
        <v>5624.66935</v>
      </c>
      <c r="J2588" s="10">
        <f>IFERROR(__xludf.DUMMYFUNCTION("""COMPUTED_VALUE"""),1.0)</f>
        <v>1</v>
      </c>
      <c r="K2588" s="5">
        <f>IFERROR(__xludf.DUMMYFUNCTION("""COMPUTED_VALUE"""),6.57030223390276E-4)</f>
        <v>0.0006570302234</v>
      </c>
      <c r="L2588" s="10">
        <f>IFERROR(__xludf.DUMMYFUNCTION("""COMPUTED_VALUE"""),1522.0)</f>
        <v>1522</v>
      </c>
      <c r="M2588" s="5">
        <f>IFERROR(__xludf.DUMMYFUNCTION("""COMPUTED_VALUE"""),1.0)</f>
        <v>1</v>
      </c>
    </row>
    <row r="2589">
      <c r="A2589" s="10" t="str">
        <f>IFERROR(__xludf.DUMMYFUNCTION("""COMPUTED_VALUE"""),"たまねぎ剣士")</f>
        <v>たまねぎ剣士</v>
      </c>
      <c r="B2589" s="10">
        <f>IFERROR(__xludf.DUMMYFUNCTION("""COMPUTED_VALUE"""),897.0)</f>
        <v>897</v>
      </c>
      <c r="C2589" s="10">
        <f>IFERROR(__xludf.DUMMYFUNCTION("""COMPUTED_VALUE"""),10598.0)</f>
        <v>10598</v>
      </c>
      <c r="D2589" s="5">
        <f>IFERROR(__xludf.DUMMYFUNCTION("""COMPUTED_VALUE"""),0.36346768374394395)</f>
        <v>0.3634676837</v>
      </c>
      <c r="E2589" s="5">
        <f>IFERROR(__xludf.DUMMYFUNCTION("""COMPUTED_VALUE"""),0.1286465312854345)</f>
        <v>0.1286465313</v>
      </c>
      <c r="F2589" s="5">
        <f>IFERROR(__xludf.DUMMYFUNCTION("""COMPUTED_VALUE"""),0.2017317802288424)</f>
        <v>0.2017317802</v>
      </c>
      <c r="G2589" s="5">
        <f>IFERROR(__xludf.DUMMYFUNCTION("""COMPUTED_VALUE"""),0.14606741573033707)</f>
        <v>0.1460674157</v>
      </c>
      <c r="H2589" s="5">
        <f>IFERROR(__xludf.DUMMYFUNCTION("""COMPUTED_VALUE"""),0.5779253960143076)</f>
        <v>0.577925396</v>
      </c>
      <c r="I2589" s="11">
        <f>IFERROR(__xludf.DUMMYFUNCTION("""COMPUTED_VALUE"""),5773.888605007664)</f>
        <v>5773.888605</v>
      </c>
      <c r="J2589" s="10">
        <f>IFERROR(__xludf.DUMMYFUNCTION("""COMPUTED_VALUE"""),2.0)</f>
        <v>2</v>
      </c>
      <c r="K2589" s="5">
        <f>IFERROR(__xludf.DUMMYFUNCTION("""COMPUTED_VALUE"""),0.002229654403567447)</f>
        <v>0.002229654404</v>
      </c>
      <c r="L2589" s="10">
        <f>IFERROR(__xludf.DUMMYFUNCTION("""COMPUTED_VALUE"""),897.0)</f>
        <v>897</v>
      </c>
      <c r="M2589" s="5">
        <f>IFERROR(__xludf.DUMMYFUNCTION("""COMPUTED_VALUE"""),1.0)</f>
        <v>1</v>
      </c>
    </row>
    <row r="2590">
      <c r="A2590" s="10" t="str">
        <f>IFERROR(__xludf.DUMMYFUNCTION("""COMPUTED_VALUE"""),"gni")</f>
        <v>gni</v>
      </c>
      <c r="B2590" s="10">
        <f>IFERROR(__xludf.DUMMYFUNCTION("""COMPUTED_VALUE"""),289.0)</f>
        <v>289</v>
      </c>
      <c r="C2590" s="10">
        <f>IFERROR(__xludf.DUMMYFUNCTION("""COMPUTED_VALUE"""),3383.0)</f>
        <v>3383</v>
      </c>
      <c r="D2590" s="5">
        <f>IFERROR(__xludf.DUMMYFUNCTION("""COMPUTED_VALUE"""),0.449256625727214)</f>
        <v>0.4492566257</v>
      </c>
      <c r="E2590" s="5">
        <f>IFERROR(__xludf.DUMMYFUNCTION("""COMPUTED_VALUE"""),0.1286360698125404)</f>
        <v>0.1286360698</v>
      </c>
      <c r="F2590" s="5">
        <f>IFERROR(__xludf.DUMMYFUNCTION("""COMPUTED_VALUE"""),0.22495151906916613)</f>
        <v>0.2249515191</v>
      </c>
      <c r="G2590" s="5">
        <f>IFERROR(__xludf.DUMMYFUNCTION("""COMPUTED_VALUE"""),0.16580478345184227)</f>
        <v>0.1658047835</v>
      </c>
      <c r="H2590" s="5">
        <f>IFERROR(__xludf.DUMMYFUNCTION("""COMPUTED_VALUE"""),0.5890804597701149)</f>
        <v>0.5890804598</v>
      </c>
      <c r="I2590" s="11">
        <f>IFERROR(__xludf.DUMMYFUNCTION("""COMPUTED_VALUE"""),5019.683908045977)</f>
        <v>5019.683908</v>
      </c>
      <c r="J2590" s="10">
        <f>IFERROR(__xludf.DUMMYFUNCTION("""COMPUTED_VALUE"""),2.0)</f>
        <v>2</v>
      </c>
      <c r="K2590" s="5">
        <f>IFERROR(__xludf.DUMMYFUNCTION("""COMPUTED_VALUE"""),0.006920415224913495)</f>
        <v>0.006920415225</v>
      </c>
      <c r="L2590" s="10">
        <f>IFERROR(__xludf.DUMMYFUNCTION("""COMPUTED_VALUE"""),78.0)</f>
        <v>78</v>
      </c>
      <c r="M2590" s="5">
        <f>IFERROR(__xludf.DUMMYFUNCTION("""COMPUTED_VALUE"""),0.2698961937716263)</f>
        <v>0.2698961938</v>
      </c>
    </row>
    <row r="2591">
      <c r="A2591" s="10" t="str">
        <f>IFERROR(__xludf.DUMMYFUNCTION("""COMPUTED_VALUE"""),"オリない夫")</f>
        <v>オリない夫</v>
      </c>
      <c r="B2591" s="10">
        <f>IFERROR(__xludf.DUMMYFUNCTION("""COMPUTED_VALUE"""),390.0)</f>
        <v>390</v>
      </c>
      <c r="C2591" s="10">
        <f>IFERROR(__xludf.DUMMYFUNCTION("""COMPUTED_VALUE"""),4588.0)</f>
        <v>4588</v>
      </c>
      <c r="D2591" s="5">
        <f>IFERROR(__xludf.DUMMYFUNCTION("""COMPUTED_VALUE"""),0.3892329680800381)</f>
        <v>0.3892329681</v>
      </c>
      <c r="E2591" s="5">
        <f>IFERROR(__xludf.DUMMYFUNCTION("""COMPUTED_VALUE"""),0.12863268222963317)</f>
        <v>0.1286326822</v>
      </c>
      <c r="F2591" s="5">
        <f>IFERROR(__xludf.DUMMYFUNCTION("""COMPUTED_VALUE"""),0.23225345402572653)</f>
        <v>0.232253454</v>
      </c>
      <c r="G2591" s="5">
        <f>IFERROR(__xludf.DUMMYFUNCTION("""COMPUTED_VALUE"""),0.20485945688423057)</f>
        <v>0.2048594569</v>
      </c>
      <c r="H2591" s="5">
        <f>IFERROR(__xludf.DUMMYFUNCTION("""COMPUTED_VALUE"""),0.6102564102564103)</f>
        <v>0.6102564103</v>
      </c>
      <c r="I2591" s="11">
        <f>IFERROR(__xludf.DUMMYFUNCTION("""COMPUTED_VALUE"""),5236.410256410257)</f>
        <v>5236.410256</v>
      </c>
      <c r="J2591" s="10">
        <f>IFERROR(__xludf.DUMMYFUNCTION("""COMPUTED_VALUE"""),1.0)</f>
        <v>1</v>
      </c>
      <c r="K2591" s="5">
        <f>IFERROR(__xludf.DUMMYFUNCTION("""COMPUTED_VALUE"""),0.002564102564102564)</f>
        <v>0.002564102564</v>
      </c>
      <c r="L2591" s="10">
        <f>IFERROR(__xludf.DUMMYFUNCTION("""COMPUTED_VALUE"""),390.0)</f>
        <v>390</v>
      </c>
      <c r="M2591" s="5">
        <f>IFERROR(__xludf.DUMMYFUNCTION("""COMPUTED_VALUE"""),1.0)</f>
        <v>1</v>
      </c>
    </row>
    <row r="2592">
      <c r="A2592" s="10" t="str">
        <f>IFERROR(__xludf.DUMMYFUNCTION("""COMPUTED_VALUE"""),"ロッテ雀＄改")</f>
        <v>ロッテ雀＄改</v>
      </c>
      <c r="B2592" s="10">
        <f>IFERROR(__xludf.DUMMYFUNCTION("""COMPUTED_VALUE"""),1991.0)</f>
        <v>1991</v>
      </c>
      <c r="C2592" s="10">
        <f>IFERROR(__xludf.DUMMYFUNCTION("""COMPUTED_VALUE"""),23440.0)</f>
        <v>23440</v>
      </c>
      <c r="D2592" s="5">
        <f>IFERROR(__xludf.DUMMYFUNCTION("""COMPUTED_VALUE"""),0.356613361928295)</f>
        <v>0.3566133619</v>
      </c>
      <c r="E2592" s="5">
        <f>IFERROR(__xludf.DUMMYFUNCTION("""COMPUTED_VALUE"""),0.12863070539419086)</f>
        <v>0.1286307054</v>
      </c>
      <c r="F2592" s="5">
        <f>IFERROR(__xludf.DUMMYFUNCTION("""COMPUTED_VALUE"""),0.2181453680824281)</f>
        <v>0.2181453681</v>
      </c>
      <c r="G2592" s="5">
        <f>IFERROR(__xludf.DUMMYFUNCTION("""COMPUTED_VALUE"""),0.18798079164529816)</f>
        <v>0.1879807916</v>
      </c>
      <c r="H2592" s="5">
        <f>IFERROR(__xludf.DUMMYFUNCTION("""COMPUTED_VALUE"""),0.5881598632186364)</f>
        <v>0.5881598632</v>
      </c>
      <c r="I2592" s="11">
        <f>IFERROR(__xludf.DUMMYFUNCTION("""COMPUTED_VALUE"""),5347.574268005984)</f>
        <v>5347.574268</v>
      </c>
      <c r="J2592" s="10">
        <f>IFERROR(__xludf.DUMMYFUNCTION("""COMPUTED_VALUE"""),3.0)</f>
        <v>3</v>
      </c>
      <c r="K2592" s="5">
        <f>IFERROR(__xludf.DUMMYFUNCTION("""COMPUTED_VALUE"""),0.0015067805123053742)</f>
        <v>0.001506780512</v>
      </c>
      <c r="L2592" s="10">
        <f>IFERROR(__xludf.DUMMYFUNCTION("""COMPUTED_VALUE"""),1991.0)</f>
        <v>1991</v>
      </c>
      <c r="M2592" s="5">
        <f>IFERROR(__xludf.DUMMYFUNCTION("""COMPUTED_VALUE"""),1.0)</f>
        <v>1</v>
      </c>
    </row>
    <row r="2593">
      <c r="A2593" s="10" t="str">
        <f>IFERROR(__xludf.DUMMYFUNCTION("""COMPUTED_VALUE"""),"幽霊船")</f>
        <v>幽霊船</v>
      </c>
      <c r="B2593" s="10">
        <f>IFERROR(__xludf.DUMMYFUNCTION("""COMPUTED_VALUE"""),761.0)</f>
        <v>761</v>
      </c>
      <c r="C2593" s="10">
        <f>IFERROR(__xludf.DUMMYFUNCTION("""COMPUTED_VALUE"""),8893.0)</f>
        <v>8893</v>
      </c>
      <c r="D2593" s="5">
        <f>IFERROR(__xludf.DUMMYFUNCTION("""COMPUTED_VALUE"""),0.4174864731923266)</f>
        <v>0.4174864732</v>
      </c>
      <c r="E2593" s="5">
        <f>IFERROR(__xludf.DUMMYFUNCTION("""COMPUTED_VALUE"""),0.12862764387604525)</f>
        <v>0.1286276439</v>
      </c>
      <c r="F2593" s="5">
        <f>IFERROR(__xludf.DUMMYFUNCTION("""COMPUTED_VALUE"""),0.21200196753566158)</f>
        <v>0.2120019675</v>
      </c>
      <c r="G2593" s="5">
        <f>IFERROR(__xludf.DUMMYFUNCTION("""COMPUTED_VALUE"""),0.17658632562715199)</f>
        <v>0.1765863256</v>
      </c>
      <c r="H2593" s="5">
        <f>IFERROR(__xludf.DUMMYFUNCTION("""COMPUTED_VALUE"""),0.6096287703016241)</f>
        <v>0.6096287703</v>
      </c>
      <c r="I2593" s="11">
        <f>IFERROR(__xludf.DUMMYFUNCTION("""COMPUTED_VALUE"""),5256.206496519721)</f>
        <v>5256.206497</v>
      </c>
      <c r="J2593" s="10">
        <f>IFERROR(__xludf.DUMMYFUNCTION("""COMPUTED_VALUE"""),1.0)</f>
        <v>1</v>
      </c>
      <c r="K2593" s="5">
        <f>IFERROR(__xludf.DUMMYFUNCTION("""COMPUTED_VALUE"""),0.001314060446780552)</f>
        <v>0.001314060447</v>
      </c>
      <c r="L2593" s="10">
        <f>IFERROR(__xludf.DUMMYFUNCTION("""COMPUTED_VALUE"""),761.0)</f>
        <v>761</v>
      </c>
      <c r="M2593" s="5">
        <f>IFERROR(__xludf.DUMMYFUNCTION("""COMPUTED_VALUE"""),1.0)</f>
        <v>1</v>
      </c>
    </row>
    <row r="2594">
      <c r="A2594" s="10" t="str">
        <f>IFERROR(__xludf.DUMMYFUNCTION("""COMPUTED_VALUE"""),"テンプラ")</f>
        <v>テンプラ</v>
      </c>
      <c r="B2594" s="10">
        <f>IFERROR(__xludf.DUMMYFUNCTION("""COMPUTED_VALUE"""),731.0)</f>
        <v>731</v>
      </c>
      <c r="C2594" s="10">
        <f>IFERROR(__xludf.DUMMYFUNCTION("""COMPUTED_VALUE"""),8661.0)</f>
        <v>8661</v>
      </c>
      <c r="D2594" s="5">
        <f>IFERROR(__xludf.DUMMYFUNCTION("""COMPUTED_VALUE"""),0.3023959646910467)</f>
        <v>0.3023959647</v>
      </c>
      <c r="E2594" s="5">
        <f>IFERROR(__xludf.DUMMYFUNCTION("""COMPUTED_VALUE"""),0.12862547288776796)</f>
        <v>0.1286254729</v>
      </c>
      <c r="F2594" s="5">
        <f>IFERROR(__xludf.DUMMYFUNCTION("""COMPUTED_VALUE"""),0.20239596469104665)</f>
        <v>0.2023959647</v>
      </c>
      <c r="G2594" s="5">
        <f>IFERROR(__xludf.DUMMYFUNCTION("""COMPUTED_VALUE"""),0.1935687263556116)</f>
        <v>0.1935687264</v>
      </c>
      <c r="H2594" s="5">
        <f>IFERROR(__xludf.DUMMYFUNCTION("""COMPUTED_VALUE"""),0.5831775700934579)</f>
        <v>0.5831775701</v>
      </c>
      <c r="I2594" s="11">
        <f>IFERROR(__xludf.DUMMYFUNCTION("""COMPUTED_VALUE"""),6184.735202492212)</f>
        <v>6184.735202</v>
      </c>
      <c r="J2594" s="10">
        <f>IFERROR(__xludf.DUMMYFUNCTION("""COMPUTED_VALUE"""),3.0)</f>
        <v>3</v>
      </c>
      <c r="K2594" s="5">
        <f>IFERROR(__xludf.DUMMYFUNCTION("""COMPUTED_VALUE"""),0.004103967168262654)</f>
        <v>0.004103967168</v>
      </c>
      <c r="L2594" s="10">
        <f>IFERROR(__xludf.DUMMYFUNCTION("""COMPUTED_VALUE"""),731.0)</f>
        <v>731</v>
      </c>
      <c r="M2594" s="5">
        <f>IFERROR(__xludf.DUMMYFUNCTION("""COMPUTED_VALUE"""),1.0)</f>
        <v>1</v>
      </c>
    </row>
    <row r="2595">
      <c r="A2595" s="10" t="str">
        <f>IFERROR(__xludf.DUMMYFUNCTION("""COMPUTED_VALUE"""),"0.11")</f>
        <v>0.11</v>
      </c>
      <c r="B2595" s="10">
        <f>IFERROR(__xludf.DUMMYFUNCTION("""COMPUTED_VALUE"""),811.0)</f>
        <v>811</v>
      </c>
      <c r="C2595" s="10">
        <f>IFERROR(__xludf.DUMMYFUNCTION("""COMPUTED_VALUE"""),9503.0)</f>
        <v>9503</v>
      </c>
      <c r="D2595" s="5">
        <f>IFERROR(__xludf.DUMMYFUNCTION("""COMPUTED_VALUE"""),0.393005062126093)</f>
        <v>0.3930050621</v>
      </c>
      <c r="E2595" s="5">
        <f>IFERROR(__xludf.DUMMYFUNCTION("""COMPUTED_VALUE"""),0.1286240220892775)</f>
        <v>0.1286240221</v>
      </c>
      <c r="F2595" s="5">
        <f>IFERROR(__xludf.DUMMYFUNCTION("""COMPUTED_VALUE"""),0.2112287160607455)</f>
        <v>0.2112287161</v>
      </c>
      <c r="G2595" s="5">
        <f>IFERROR(__xludf.DUMMYFUNCTION("""COMPUTED_VALUE"""),0.17349286700414174)</f>
        <v>0.173492867</v>
      </c>
      <c r="H2595" s="5">
        <f>IFERROR(__xludf.DUMMYFUNCTION("""COMPUTED_VALUE"""),0.5915032679738562)</f>
        <v>0.591503268</v>
      </c>
      <c r="I2595" s="11">
        <f>IFERROR(__xludf.DUMMYFUNCTION("""COMPUTED_VALUE"""),5794.934640522876)</f>
        <v>5794.934641</v>
      </c>
      <c r="J2595" s="10">
        <f>IFERROR(__xludf.DUMMYFUNCTION("""COMPUTED_VALUE"""),5.0)</f>
        <v>5</v>
      </c>
      <c r="K2595" s="5">
        <f>IFERROR(__xludf.DUMMYFUNCTION("""COMPUTED_VALUE"""),0.006165228113440197)</f>
        <v>0.006165228113</v>
      </c>
      <c r="L2595" s="10">
        <f>IFERROR(__xludf.DUMMYFUNCTION("""COMPUTED_VALUE"""),542.0)</f>
        <v>542</v>
      </c>
      <c r="M2595" s="5">
        <f>IFERROR(__xludf.DUMMYFUNCTION("""COMPUTED_VALUE"""),0.6683107274969173)</f>
        <v>0.6683107275</v>
      </c>
    </row>
    <row r="2596">
      <c r="A2596" s="10" t="str">
        <f>IFERROR(__xludf.DUMMYFUNCTION("""COMPUTED_VALUE"""),"あまねー")</f>
        <v>あまねー</v>
      </c>
      <c r="B2596" s="10">
        <f>IFERROR(__xludf.DUMMYFUNCTION("""COMPUTED_VALUE"""),2191.0)</f>
        <v>2191</v>
      </c>
      <c r="C2596" s="10">
        <f>IFERROR(__xludf.DUMMYFUNCTION("""COMPUTED_VALUE"""),25508.0)</f>
        <v>25508</v>
      </c>
      <c r="D2596" s="5">
        <f>IFERROR(__xludf.DUMMYFUNCTION("""COMPUTED_VALUE"""),0.3153064287858644)</f>
        <v>0.3153064288</v>
      </c>
      <c r="E2596" s="5">
        <f>IFERROR(__xludf.DUMMYFUNCTION("""COMPUTED_VALUE"""),0.1286186044516876)</f>
        <v>0.1286186045</v>
      </c>
      <c r="F2596" s="5">
        <f>IFERROR(__xludf.DUMMYFUNCTION("""COMPUTED_VALUE"""),0.19933953767637347)</f>
        <v>0.1993395377</v>
      </c>
      <c r="G2596" s="5">
        <f>IFERROR(__xludf.DUMMYFUNCTION("""COMPUTED_VALUE"""),0.1917056225071836)</f>
        <v>0.1917056225</v>
      </c>
      <c r="H2596" s="5">
        <f>IFERROR(__xludf.DUMMYFUNCTION("""COMPUTED_VALUE"""),0.5884251290877797)</f>
        <v>0.5884251291</v>
      </c>
      <c r="I2596" s="11">
        <f>IFERROR(__xludf.DUMMYFUNCTION("""COMPUTED_VALUE"""),5909.251290877797)</f>
        <v>5909.251291</v>
      </c>
      <c r="J2596" s="10">
        <f>IFERROR(__xludf.DUMMYFUNCTION("""COMPUTED_VALUE"""),4.0)</f>
        <v>4</v>
      </c>
      <c r="K2596" s="5">
        <f>IFERROR(__xludf.DUMMYFUNCTION("""COMPUTED_VALUE"""),0.0018256503879507074)</f>
        <v>0.001825650388</v>
      </c>
      <c r="L2596" s="10">
        <f>IFERROR(__xludf.DUMMYFUNCTION("""COMPUTED_VALUE"""),148.0)</f>
        <v>148</v>
      </c>
      <c r="M2596" s="5">
        <f>IFERROR(__xludf.DUMMYFUNCTION("""COMPUTED_VALUE"""),0.06754906435417618)</f>
        <v>0.06754906435</v>
      </c>
    </row>
    <row r="2597">
      <c r="A2597" s="10" t="str">
        <f>IFERROR(__xludf.DUMMYFUNCTION("""COMPUTED_VALUE"""),"橋場")</f>
        <v>橋場</v>
      </c>
      <c r="B2597" s="10">
        <f>IFERROR(__xludf.DUMMYFUNCTION("""COMPUTED_VALUE"""),1439.0)</f>
        <v>1439</v>
      </c>
      <c r="C2597" s="10">
        <f>IFERROR(__xludf.DUMMYFUNCTION("""COMPUTED_VALUE"""),16796.0)</f>
        <v>16796</v>
      </c>
      <c r="D2597" s="5">
        <f>IFERROR(__xludf.DUMMYFUNCTION("""COMPUTED_VALUE"""),0.4030735169629485)</f>
        <v>0.403073517</v>
      </c>
      <c r="E2597" s="5">
        <f>IFERROR(__xludf.DUMMYFUNCTION("""COMPUTED_VALUE"""),0.12860584749625578)</f>
        <v>0.1286058475</v>
      </c>
      <c r="F2597" s="5">
        <f>IFERROR(__xludf.DUMMYFUNCTION("""COMPUTED_VALUE"""),0.22139740834798463)</f>
        <v>0.2213974083</v>
      </c>
      <c r="G2597" s="5">
        <f>IFERROR(__xludf.DUMMYFUNCTION("""COMPUTED_VALUE"""),0.15797356254476785)</f>
        <v>0.1579735625</v>
      </c>
      <c r="H2597" s="5">
        <f>IFERROR(__xludf.DUMMYFUNCTION("""COMPUTED_VALUE"""),0.6032352941176471)</f>
        <v>0.6032352941</v>
      </c>
      <c r="I2597" s="11">
        <f>IFERROR(__xludf.DUMMYFUNCTION("""COMPUTED_VALUE"""),5504.85294117647)</f>
        <v>5504.852941</v>
      </c>
      <c r="J2597" s="10">
        <f>IFERROR(__xludf.DUMMYFUNCTION("""COMPUTED_VALUE"""),3.0)</f>
        <v>3</v>
      </c>
      <c r="K2597" s="5">
        <f>IFERROR(__xludf.DUMMYFUNCTION("""COMPUTED_VALUE"""),0.0020847810979847115)</f>
        <v>0.002084781098</v>
      </c>
      <c r="L2597" s="10">
        <f>IFERROR(__xludf.DUMMYFUNCTION("""COMPUTED_VALUE"""),1439.0)</f>
        <v>1439</v>
      </c>
      <c r="M2597" s="5">
        <f>IFERROR(__xludf.DUMMYFUNCTION("""COMPUTED_VALUE"""),1.0)</f>
        <v>1</v>
      </c>
    </row>
    <row r="2598">
      <c r="A2598" s="10" t="str">
        <f>IFERROR(__xludf.DUMMYFUNCTION("""COMPUTED_VALUE"""),"ひよこプリティー")</f>
        <v>ひよこプリティー</v>
      </c>
      <c r="B2598" s="10">
        <f>IFERROR(__xludf.DUMMYFUNCTION("""COMPUTED_VALUE"""),159.0)</f>
        <v>159</v>
      </c>
      <c r="C2598" s="10">
        <f>IFERROR(__xludf.DUMMYFUNCTION("""COMPUTED_VALUE"""),1893.0)</f>
        <v>1893</v>
      </c>
      <c r="D2598" s="5">
        <f>IFERROR(__xludf.DUMMYFUNCTION("""COMPUTED_VALUE"""),0.3621683967704729)</f>
        <v>0.3621683968</v>
      </c>
      <c r="E2598" s="5">
        <f>IFERROR(__xludf.DUMMYFUNCTION("""COMPUTED_VALUE"""),0.12860438292964244)</f>
        <v>0.1286043829</v>
      </c>
      <c r="F2598" s="5">
        <f>IFERROR(__xludf.DUMMYFUNCTION("""COMPUTED_VALUE"""),0.2370242214532872)</f>
        <v>0.2370242215</v>
      </c>
      <c r="G2598" s="5">
        <f>IFERROR(__xludf.DUMMYFUNCTION("""COMPUTED_VALUE"""),0.1787773933102653)</f>
        <v>0.1787773933</v>
      </c>
      <c r="H2598" s="5">
        <f>IFERROR(__xludf.DUMMYFUNCTION("""COMPUTED_VALUE"""),0.5936739659367397)</f>
        <v>0.5936739659</v>
      </c>
      <c r="I2598" s="11">
        <f>IFERROR(__xludf.DUMMYFUNCTION("""COMPUTED_VALUE"""),5467.883211678832)</f>
        <v>5467.883212</v>
      </c>
      <c r="J2598" s="10">
        <f>IFERROR(__xludf.DUMMYFUNCTION("""COMPUTED_VALUE"""),2.0)</f>
        <v>2</v>
      </c>
      <c r="K2598" s="5">
        <f>IFERROR(__xludf.DUMMYFUNCTION("""COMPUTED_VALUE"""),0.012578616352201259)</f>
        <v>0.01257861635</v>
      </c>
      <c r="L2598" s="10">
        <f>IFERROR(__xludf.DUMMYFUNCTION("""COMPUTED_VALUE"""),42.0)</f>
        <v>42</v>
      </c>
      <c r="M2598" s="5">
        <f>IFERROR(__xludf.DUMMYFUNCTION("""COMPUTED_VALUE"""),0.2641509433962264)</f>
        <v>0.2641509434</v>
      </c>
    </row>
    <row r="2599">
      <c r="A2599" s="10" t="str">
        <f>IFERROR(__xludf.DUMMYFUNCTION("""COMPUTED_VALUE"""),"有明ありあ")</f>
        <v>有明ありあ</v>
      </c>
      <c r="B2599" s="10">
        <f>IFERROR(__xludf.DUMMYFUNCTION("""COMPUTED_VALUE"""),153.0)</f>
        <v>153</v>
      </c>
      <c r="C2599" s="10">
        <f>IFERROR(__xludf.DUMMYFUNCTION("""COMPUTED_VALUE"""),1786.0)</f>
        <v>1786</v>
      </c>
      <c r="D2599" s="5">
        <f>IFERROR(__xludf.DUMMYFUNCTION("""COMPUTED_VALUE"""),0.34353949785670546)</f>
        <v>0.3435394979</v>
      </c>
      <c r="E2599" s="5">
        <f>IFERROR(__xludf.DUMMYFUNCTION("""COMPUTED_VALUE"""),0.12859767299448868)</f>
        <v>0.128597673</v>
      </c>
      <c r="F2599" s="5">
        <f>IFERROR(__xludf.DUMMYFUNCTION("""COMPUTED_VALUE"""),0.19840783833435394)</f>
        <v>0.1984078383</v>
      </c>
      <c r="G2599" s="5">
        <f>IFERROR(__xludf.DUMMYFUNCTION("""COMPUTED_VALUE"""),0.1677893447642376)</f>
        <v>0.1677893448</v>
      </c>
      <c r="H2599" s="5">
        <f>IFERROR(__xludf.DUMMYFUNCTION("""COMPUTED_VALUE"""),0.6111111111111112)</f>
        <v>0.6111111111</v>
      </c>
      <c r="I2599" s="11">
        <f>IFERROR(__xludf.DUMMYFUNCTION("""COMPUTED_VALUE"""),5570.37037037037)</f>
        <v>5570.37037</v>
      </c>
      <c r="J2599" s="10">
        <f>IFERROR(__xludf.DUMMYFUNCTION("""COMPUTED_VALUE"""),0.0)</f>
        <v>0</v>
      </c>
      <c r="K2599" s="5">
        <f>IFERROR(__xludf.DUMMYFUNCTION("""COMPUTED_VALUE"""),0.0)</f>
        <v>0</v>
      </c>
      <c r="L2599" s="10">
        <f>IFERROR(__xludf.DUMMYFUNCTION("""COMPUTED_VALUE"""),0.0)</f>
        <v>0</v>
      </c>
      <c r="M2599" s="5">
        <f>IFERROR(__xludf.DUMMYFUNCTION("""COMPUTED_VALUE"""),0.0)</f>
        <v>0</v>
      </c>
    </row>
    <row r="2600">
      <c r="A2600" s="10" t="str">
        <f>IFERROR(__xludf.DUMMYFUNCTION("""COMPUTED_VALUE"""),"かぼちゃぼ")</f>
        <v>かぼちゃぼ</v>
      </c>
      <c r="B2600" s="10">
        <f>IFERROR(__xludf.DUMMYFUNCTION("""COMPUTED_VALUE"""),855.0)</f>
        <v>855</v>
      </c>
      <c r="C2600" s="10">
        <f>IFERROR(__xludf.DUMMYFUNCTION("""COMPUTED_VALUE"""),9891.0)</f>
        <v>9891</v>
      </c>
      <c r="D2600" s="5">
        <f>IFERROR(__xludf.DUMMYFUNCTION("""COMPUTED_VALUE"""),0.35867640548915447)</f>
        <v>0.3586764055</v>
      </c>
      <c r="E2600" s="5">
        <f>IFERROR(__xludf.DUMMYFUNCTION("""COMPUTED_VALUE"""),0.12859672421425408)</f>
        <v>0.1285967242</v>
      </c>
      <c r="F2600" s="5">
        <f>IFERROR(__xludf.DUMMYFUNCTION("""COMPUTED_VALUE"""),0.19743249225320939)</f>
        <v>0.1974324923</v>
      </c>
      <c r="G2600" s="5">
        <f>IFERROR(__xludf.DUMMYFUNCTION("""COMPUTED_VALUE"""),0.17640548915449314)</f>
        <v>0.1764054892</v>
      </c>
      <c r="H2600" s="5">
        <f>IFERROR(__xludf.DUMMYFUNCTION("""COMPUTED_VALUE"""),0.600896860986547)</f>
        <v>0.600896861</v>
      </c>
      <c r="I2600" s="11">
        <f>IFERROR(__xludf.DUMMYFUNCTION("""COMPUTED_VALUE"""),6047.029147982063)</f>
        <v>6047.029148</v>
      </c>
      <c r="J2600" s="10">
        <f>IFERROR(__xludf.DUMMYFUNCTION("""COMPUTED_VALUE"""),0.0)</f>
        <v>0</v>
      </c>
      <c r="K2600" s="5">
        <f>IFERROR(__xludf.DUMMYFUNCTION("""COMPUTED_VALUE"""),0.0)</f>
        <v>0</v>
      </c>
      <c r="L2600" s="10">
        <f>IFERROR(__xludf.DUMMYFUNCTION("""COMPUTED_VALUE"""),855.0)</f>
        <v>855</v>
      </c>
      <c r="M2600" s="5">
        <f>IFERROR(__xludf.DUMMYFUNCTION("""COMPUTED_VALUE"""),1.0)</f>
        <v>1</v>
      </c>
    </row>
    <row r="2601">
      <c r="A2601" s="10" t="str">
        <f>IFERROR(__xludf.DUMMYFUNCTION("""COMPUTED_VALUE"""),"Matyui☆")</f>
        <v>Matyui☆</v>
      </c>
      <c r="B2601" s="10">
        <f>IFERROR(__xludf.DUMMYFUNCTION("""COMPUTED_VALUE"""),360.0)</f>
        <v>360</v>
      </c>
      <c r="C2601" s="10">
        <f>IFERROR(__xludf.DUMMYFUNCTION("""COMPUTED_VALUE"""),4256.0)</f>
        <v>4256</v>
      </c>
      <c r="D2601" s="5">
        <f>IFERROR(__xludf.DUMMYFUNCTION("""COMPUTED_VALUE"""),0.3213552361396304)</f>
        <v>0.3213552361</v>
      </c>
      <c r="E2601" s="5">
        <f>IFERROR(__xludf.DUMMYFUNCTION("""COMPUTED_VALUE"""),0.1285934291581109)</f>
        <v>0.1285934292</v>
      </c>
      <c r="F2601" s="5">
        <f>IFERROR(__xludf.DUMMYFUNCTION("""COMPUTED_VALUE"""),0.22818275154004106)</f>
        <v>0.2281827515</v>
      </c>
      <c r="G2601" s="5">
        <f>IFERROR(__xludf.DUMMYFUNCTION("""COMPUTED_VALUE"""),0.17967145790554415)</f>
        <v>0.1796714579</v>
      </c>
      <c r="H2601" s="5">
        <f>IFERROR(__xludf.DUMMYFUNCTION("""COMPUTED_VALUE"""),0.6107986501687289)</f>
        <v>0.6107986502</v>
      </c>
      <c r="I2601" s="11">
        <f>IFERROR(__xludf.DUMMYFUNCTION("""COMPUTED_VALUE"""),5365.916760404949)</f>
        <v>5365.91676</v>
      </c>
      <c r="J2601" s="10">
        <f>IFERROR(__xludf.DUMMYFUNCTION("""COMPUTED_VALUE"""),1.0)</f>
        <v>1</v>
      </c>
      <c r="K2601" s="5">
        <f>IFERROR(__xludf.DUMMYFUNCTION("""COMPUTED_VALUE"""),0.002777777777777778)</f>
        <v>0.002777777778</v>
      </c>
      <c r="L2601" s="10">
        <f>IFERROR(__xludf.DUMMYFUNCTION("""COMPUTED_VALUE"""),360.0)</f>
        <v>360</v>
      </c>
      <c r="M2601" s="5">
        <f>IFERROR(__xludf.DUMMYFUNCTION("""COMPUTED_VALUE"""),1.0)</f>
        <v>1</v>
      </c>
    </row>
    <row r="2602">
      <c r="A2602" s="10" t="str">
        <f>IFERROR(__xludf.DUMMYFUNCTION("""COMPUTED_VALUE"""),"白藤杏子")</f>
        <v>白藤杏子</v>
      </c>
      <c r="B2602" s="10">
        <f>IFERROR(__xludf.DUMMYFUNCTION("""COMPUTED_VALUE"""),117.0)</f>
        <v>117</v>
      </c>
      <c r="C2602" s="10">
        <f>IFERROR(__xludf.DUMMYFUNCTION("""COMPUTED_VALUE"""),1377.0)</f>
        <v>1377</v>
      </c>
      <c r="D2602" s="5">
        <f>IFERROR(__xludf.DUMMYFUNCTION("""COMPUTED_VALUE"""),0.40634920634920635)</f>
        <v>0.4063492063</v>
      </c>
      <c r="E2602" s="5">
        <f>IFERROR(__xludf.DUMMYFUNCTION("""COMPUTED_VALUE"""),0.12857142857142856)</f>
        <v>0.1285714286</v>
      </c>
      <c r="F2602" s="5">
        <f>IFERROR(__xludf.DUMMYFUNCTION("""COMPUTED_VALUE"""),0.1984126984126984)</f>
        <v>0.1984126984</v>
      </c>
      <c r="G2602" s="5">
        <f>IFERROR(__xludf.DUMMYFUNCTION("""COMPUTED_VALUE"""),0.1761904761904762)</f>
        <v>0.1761904762</v>
      </c>
      <c r="H2602" s="5">
        <f>IFERROR(__xludf.DUMMYFUNCTION("""COMPUTED_VALUE"""),0.616)</f>
        <v>0.616</v>
      </c>
      <c r="I2602" s="11">
        <f>IFERROR(__xludf.DUMMYFUNCTION("""COMPUTED_VALUE"""),5227.2)</f>
        <v>5227.2</v>
      </c>
      <c r="J2602" s="10">
        <f>IFERROR(__xludf.DUMMYFUNCTION("""COMPUTED_VALUE"""),1.0)</f>
        <v>1</v>
      </c>
      <c r="K2602" s="5">
        <f>IFERROR(__xludf.DUMMYFUNCTION("""COMPUTED_VALUE"""),0.008547008547008548)</f>
        <v>0.008547008547</v>
      </c>
      <c r="L2602" s="10">
        <f>IFERROR(__xludf.DUMMYFUNCTION("""COMPUTED_VALUE"""),0.0)</f>
        <v>0</v>
      </c>
      <c r="M2602" s="5">
        <f>IFERROR(__xludf.DUMMYFUNCTION("""COMPUTED_VALUE"""),0.0)</f>
        <v>0</v>
      </c>
    </row>
    <row r="2603">
      <c r="A2603" s="10" t="str">
        <f>IFERROR(__xludf.DUMMYFUNCTION("""COMPUTED_VALUE"""),"kota_sak")</f>
        <v>kota_sak</v>
      </c>
      <c r="B2603" s="10">
        <f>IFERROR(__xludf.DUMMYFUNCTION("""COMPUTED_VALUE"""),183.0)</f>
        <v>183</v>
      </c>
      <c r="C2603" s="10">
        <f>IFERROR(__xludf.DUMMYFUNCTION("""COMPUTED_VALUE"""),2143.0)</f>
        <v>2143</v>
      </c>
      <c r="D2603" s="5">
        <f>IFERROR(__xludf.DUMMYFUNCTION("""COMPUTED_VALUE"""),0.3683673469387755)</f>
        <v>0.3683673469</v>
      </c>
      <c r="E2603" s="5">
        <f>IFERROR(__xludf.DUMMYFUNCTION("""COMPUTED_VALUE"""),0.12857142857142856)</f>
        <v>0.1285714286</v>
      </c>
      <c r="F2603" s="5">
        <f>IFERROR(__xludf.DUMMYFUNCTION("""COMPUTED_VALUE"""),0.20918367346938777)</f>
        <v>0.2091836735</v>
      </c>
      <c r="G2603" s="5">
        <f>IFERROR(__xludf.DUMMYFUNCTION("""COMPUTED_VALUE"""),0.16938775510204082)</f>
        <v>0.1693877551</v>
      </c>
      <c r="H2603" s="5">
        <f>IFERROR(__xludf.DUMMYFUNCTION("""COMPUTED_VALUE"""),0.5439024390243903)</f>
        <v>0.543902439</v>
      </c>
      <c r="I2603" s="11">
        <f>IFERROR(__xludf.DUMMYFUNCTION("""COMPUTED_VALUE"""),5696.829268292683)</f>
        <v>5696.829268</v>
      </c>
      <c r="J2603" s="10">
        <f>IFERROR(__xludf.DUMMYFUNCTION("""COMPUTED_VALUE"""),0.0)</f>
        <v>0</v>
      </c>
      <c r="K2603" s="5">
        <f>IFERROR(__xludf.DUMMYFUNCTION("""COMPUTED_VALUE"""),0.0)</f>
        <v>0</v>
      </c>
      <c r="L2603" s="10">
        <f>IFERROR(__xludf.DUMMYFUNCTION("""COMPUTED_VALUE"""),0.0)</f>
        <v>0</v>
      </c>
      <c r="M2603" s="5">
        <f>IFERROR(__xludf.DUMMYFUNCTION("""COMPUTED_VALUE"""),0.0)</f>
        <v>0</v>
      </c>
    </row>
    <row r="2604">
      <c r="A2604" s="10" t="str">
        <f>IFERROR(__xludf.DUMMYFUNCTION("""COMPUTED_VALUE"""),"s@satake")</f>
        <v>s@satake</v>
      </c>
      <c r="B2604" s="10">
        <f>IFERROR(__xludf.DUMMYFUNCTION("""COMPUTED_VALUE"""),471.0)</f>
        <v>471</v>
      </c>
      <c r="C2604" s="10">
        <f>IFERROR(__xludf.DUMMYFUNCTION("""COMPUTED_VALUE"""),5449.0)</f>
        <v>5449</v>
      </c>
      <c r="D2604" s="5">
        <f>IFERROR(__xludf.DUMMYFUNCTION("""COMPUTED_VALUE"""),0.38871032543190037)</f>
        <v>0.3887103254</v>
      </c>
      <c r="E2604" s="5">
        <f>IFERROR(__xludf.DUMMYFUNCTION("""COMPUTED_VALUE"""),0.12856568903173965)</f>
        <v>0.128565689</v>
      </c>
      <c r="F2604" s="5">
        <f>IFERROR(__xludf.DUMMYFUNCTION("""COMPUTED_VALUE"""),0.20952189634391322)</f>
        <v>0.2095218963</v>
      </c>
      <c r="G2604" s="5">
        <f>IFERROR(__xludf.DUMMYFUNCTION("""COMPUTED_VALUE"""),0.16372036962635597)</f>
        <v>0.1637203696</v>
      </c>
      <c r="H2604" s="5">
        <f>IFERROR(__xludf.DUMMYFUNCTION("""COMPUTED_VALUE"""),0.5656759348034516)</f>
        <v>0.5656759348</v>
      </c>
      <c r="I2604" s="11">
        <f>IFERROR(__xludf.DUMMYFUNCTION("""COMPUTED_VALUE"""),5641.418983700863)</f>
        <v>5641.418984</v>
      </c>
      <c r="J2604" s="10">
        <f>IFERROR(__xludf.DUMMYFUNCTION("""COMPUTED_VALUE"""),0.0)</f>
        <v>0</v>
      </c>
      <c r="K2604" s="5">
        <f>IFERROR(__xludf.DUMMYFUNCTION("""COMPUTED_VALUE"""),0.0)</f>
        <v>0</v>
      </c>
      <c r="L2604" s="10">
        <f>IFERROR(__xludf.DUMMYFUNCTION("""COMPUTED_VALUE"""),253.0)</f>
        <v>253</v>
      </c>
      <c r="M2604" s="5">
        <f>IFERROR(__xludf.DUMMYFUNCTION("""COMPUTED_VALUE"""),0.5371549893842887)</f>
        <v>0.5371549894</v>
      </c>
    </row>
    <row r="2605">
      <c r="A2605" s="10" t="str">
        <f>IFERROR(__xludf.DUMMYFUNCTION("""COMPUTED_VALUE"""),"jinkai")</f>
        <v>jinkai</v>
      </c>
      <c r="B2605" s="10">
        <f>IFERROR(__xludf.DUMMYFUNCTION("""COMPUTED_VALUE"""),1160.0)</f>
        <v>1160</v>
      </c>
      <c r="C2605" s="10">
        <f>IFERROR(__xludf.DUMMYFUNCTION("""COMPUTED_VALUE"""),13505.0)</f>
        <v>13505</v>
      </c>
      <c r="D2605" s="5">
        <f>IFERROR(__xludf.DUMMYFUNCTION("""COMPUTED_VALUE"""),0.45419198055893073)</f>
        <v>0.4541919806</v>
      </c>
      <c r="E2605" s="5">
        <f>IFERROR(__xludf.DUMMYFUNCTION("""COMPUTED_VALUE"""),0.12855407047387607)</f>
        <v>0.1285540705</v>
      </c>
      <c r="F2605" s="5">
        <f>IFERROR(__xludf.DUMMYFUNCTION("""COMPUTED_VALUE"""),0.2149858242203321)</f>
        <v>0.2149858242</v>
      </c>
      <c r="G2605" s="5">
        <f>IFERROR(__xludf.DUMMYFUNCTION("""COMPUTED_VALUE"""),0.14256784123126773)</f>
        <v>0.1425678412</v>
      </c>
      <c r="H2605" s="5">
        <f>IFERROR(__xludf.DUMMYFUNCTION("""COMPUTED_VALUE"""),0.6081386586284853)</f>
        <v>0.6081386586</v>
      </c>
      <c r="I2605" s="11">
        <f>IFERROR(__xludf.DUMMYFUNCTION("""COMPUTED_VALUE"""),5207.648831951771)</f>
        <v>5207.648832</v>
      </c>
      <c r="J2605" s="10">
        <f>IFERROR(__xludf.DUMMYFUNCTION("""COMPUTED_VALUE"""),2.0)</f>
        <v>2</v>
      </c>
      <c r="K2605" s="5">
        <f>IFERROR(__xludf.DUMMYFUNCTION("""COMPUTED_VALUE"""),0.0017241379310344827)</f>
        <v>0.001724137931</v>
      </c>
      <c r="L2605" s="10">
        <f>IFERROR(__xludf.DUMMYFUNCTION("""COMPUTED_VALUE"""),1160.0)</f>
        <v>1160</v>
      </c>
      <c r="M2605" s="5">
        <f>IFERROR(__xludf.DUMMYFUNCTION("""COMPUTED_VALUE"""),1.0)</f>
        <v>1</v>
      </c>
    </row>
    <row r="2606">
      <c r="A2606" s="10" t="str">
        <f>IFERROR(__xludf.DUMMYFUNCTION("""COMPUTED_VALUE"""),"関根オウム")</f>
        <v>関根オウム</v>
      </c>
      <c r="B2606" s="10">
        <f>IFERROR(__xludf.DUMMYFUNCTION("""COMPUTED_VALUE"""),119.0)</f>
        <v>119</v>
      </c>
      <c r="C2606" s="10">
        <f>IFERROR(__xludf.DUMMYFUNCTION("""COMPUTED_VALUE"""),1387.0)</f>
        <v>1387</v>
      </c>
      <c r="D2606" s="5">
        <f>IFERROR(__xludf.DUMMYFUNCTION("""COMPUTED_VALUE"""),0.3359621451104101)</f>
        <v>0.3359621451</v>
      </c>
      <c r="E2606" s="5">
        <f>IFERROR(__xludf.DUMMYFUNCTION("""COMPUTED_VALUE"""),0.12854889589905363)</f>
        <v>0.1285488959</v>
      </c>
      <c r="F2606" s="5">
        <f>IFERROR(__xludf.DUMMYFUNCTION("""COMPUTED_VALUE"""),0.19873817034700317)</f>
        <v>0.1987381703</v>
      </c>
      <c r="G2606" s="5">
        <f>IFERROR(__xludf.DUMMYFUNCTION("""COMPUTED_VALUE"""),0.17350157728706625)</f>
        <v>0.1735015773</v>
      </c>
      <c r="H2606" s="5">
        <f>IFERROR(__xludf.DUMMYFUNCTION("""COMPUTED_VALUE"""),0.5833333333333334)</f>
        <v>0.5833333333</v>
      </c>
      <c r="I2606" s="11">
        <f>IFERROR(__xludf.DUMMYFUNCTION("""COMPUTED_VALUE"""),5461.507936507936)</f>
        <v>5461.507937</v>
      </c>
      <c r="J2606" s="10">
        <f>IFERROR(__xludf.DUMMYFUNCTION("""COMPUTED_VALUE"""),0.0)</f>
        <v>0</v>
      </c>
      <c r="K2606" s="5">
        <f>IFERROR(__xludf.DUMMYFUNCTION("""COMPUTED_VALUE"""),0.0)</f>
        <v>0</v>
      </c>
      <c r="L2606" s="10">
        <f>IFERROR(__xludf.DUMMYFUNCTION("""COMPUTED_VALUE"""),119.0)</f>
        <v>119</v>
      </c>
      <c r="M2606" s="5">
        <f>IFERROR(__xludf.DUMMYFUNCTION("""COMPUTED_VALUE"""),1.0)</f>
        <v>1</v>
      </c>
    </row>
    <row r="2607">
      <c r="A2607" s="10" t="str">
        <f>IFERROR(__xludf.DUMMYFUNCTION("""COMPUTED_VALUE"""),"がちゅう")</f>
        <v>がちゅう</v>
      </c>
      <c r="B2607" s="10">
        <f>IFERROR(__xludf.DUMMYFUNCTION("""COMPUTED_VALUE"""),116.0)</f>
        <v>116</v>
      </c>
      <c r="C2607" s="10">
        <f>IFERROR(__xludf.DUMMYFUNCTION("""COMPUTED_VALUE"""),1384.0)</f>
        <v>1384</v>
      </c>
      <c r="D2607" s="5">
        <f>IFERROR(__xludf.DUMMYFUNCTION("""COMPUTED_VALUE"""),0.2886435331230284)</f>
        <v>0.2886435331</v>
      </c>
      <c r="E2607" s="5">
        <f>IFERROR(__xludf.DUMMYFUNCTION("""COMPUTED_VALUE"""),0.12854889589905363)</f>
        <v>0.1285488959</v>
      </c>
      <c r="F2607" s="5">
        <f>IFERROR(__xludf.DUMMYFUNCTION("""COMPUTED_VALUE"""),0.19558359621451105)</f>
        <v>0.1955835962</v>
      </c>
      <c r="G2607" s="5">
        <f>IFERROR(__xludf.DUMMYFUNCTION("""COMPUTED_VALUE"""),0.15141955835962145)</f>
        <v>0.1514195584</v>
      </c>
      <c r="H2607" s="5">
        <f>IFERROR(__xludf.DUMMYFUNCTION("""COMPUTED_VALUE"""),0.6290322580645161)</f>
        <v>0.6290322581</v>
      </c>
      <c r="I2607" s="11">
        <f>IFERROR(__xludf.DUMMYFUNCTION("""COMPUTED_VALUE"""),5497.9838709677415)</f>
        <v>5497.983871</v>
      </c>
      <c r="J2607" s="10">
        <f>IFERROR(__xludf.DUMMYFUNCTION("""COMPUTED_VALUE"""),0.0)</f>
        <v>0</v>
      </c>
      <c r="K2607" s="5">
        <f>IFERROR(__xludf.DUMMYFUNCTION("""COMPUTED_VALUE"""),0.0)</f>
        <v>0</v>
      </c>
      <c r="L2607" s="10">
        <f>IFERROR(__xludf.DUMMYFUNCTION("""COMPUTED_VALUE"""),116.0)</f>
        <v>116</v>
      </c>
      <c r="M2607" s="5">
        <f>IFERROR(__xludf.DUMMYFUNCTION("""COMPUTED_VALUE"""),1.0)</f>
        <v>1</v>
      </c>
    </row>
    <row r="2608">
      <c r="A2608" s="10" t="str">
        <f>IFERROR(__xludf.DUMMYFUNCTION("""COMPUTED_VALUE"""),"te@rs")</f>
        <v>te@rs</v>
      </c>
      <c r="B2608" s="10">
        <f>IFERROR(__xludf.DUMMYFUNCTION("""COMPUTED_VALUE"""),1120.0)</f>
        <v>1120</v>
      </c>
      <c r="C2608" s="10">
        <f>IFERROR(__xludf.DUMMYFUNCTION("""COMPUTED_VALUE"""),13388.0)</f>
        <v>13388</v>
      </c>
      <c r="D2608" s="5">
        <f>IFERROR(__xludf.DUMMYFUNCTION("""COMPUTED_VALUE"""),0.4104988588196935)</f>
        <v>0.4104988588</v>
      </c>
      <c r="E2608" s="5">
        <f>IFERROR(__xludf.DUMMYFUNCTION("""COMPUTED_VALUE"""),0.12854581023801762)</f>
        <v>0.1285458102</v>
      </c>
      <c r="F2608" s="5">
        <f>IFERROR(__xludf.DUMMYFUNCTION("""COMPUTED_VALUE"""),0.22375285295076622)</f>
        <v>0.223752853</v>
      </c>
      <c r="G2608" s="5">
        <f>IFERROR(__xludf.DUMMYFUNCTION("""COMPUTED_VALUE"""),0.16791653081186828)</f>
        <v>0.1679165308</v>
      </c>
      <c r="H2608" s="5">
        <f>IFERROR(__xludf.DUMMYFUNCTION("""COMPUTED_VALUE"""),0.6083788706739527)</f>
        <v>0.6083788707</v>
      </c>
      <c r="I2608" s="11">
        <f>IFERROR(__xludf.DUMMYFUNCTION("""COMPUTED_VALUE"""),5315.701275045537)</f>
        <v>5315.701275</v>
      </c>
      <c r="J2608" s="10">
        <f>IFERROR(__xludf.DUMMYFUNCTION("""COMPUTED_VALUE"""),1.0)</f>
        <v>1</v>
      </c>
      <c r="K2608" s="5">
        <f>IFERROR(__xludf.DUMMYFUNCTION("""COMPUTED_VALUE"""),8.928571428571428E-4)</f>
        <v>0.0008928571429</v>
      </c>
      <c r="L2608" s="10">
        <f>IFERROR(__xludf.DUMMYFUNCTION("""COMPUTED_VALUE"""),1120.0)</f>
        <v>1120</v>
      </c>
      <c r="M2608" s="5">
        <f>IFERROR(__xludf.DUMMYFUNCTION("""COMPUTED_VALUE"""),1.0)</f>
        <v>1</v>
      </c>
    </row>
    <row r="2609">
      <c r="A2609" s="10" t="str">
        <f>IFERROR(__xludf.DUMMYFUNCTION("""COMPUTED_VALUE"""),"かわらさん。")</f>
        <v>かわらさん。</v>
      </c>
      <c r="B2609" s="10">
        <f>IFERROR(__xludf.DUMMYFUNCTION("""COMPUTED_VALUE"""),210.0)</f>
        <v>210</v>
      </c>
      <c r="C2609" s="10">
        <f>IFERROR(__xludf.DUMMYFUNCTION("""COMPUTED_VALUE"""),2505.0)</f>
        <v>2505</v>
      </c>
      <c r="D2609" s="5">
        <f>IFERROR(__xludf.DUMMYFUNCTION("""COMPUTED_VALUE"""),0.34553376906318084)</f>
        <v>0.3455337691</v>
      </c>
      <c r="E2609" s="5">
        <f>IFERROR(__xludf.DUMMYFUNCTION("""COMPUTED_VALUE"""),0.12854030501089325)</f>
        <v>0.128540305</v>
      </c>
      <c r="F2609" s="5">
        <f>IFERROR(__xludf.DUMMYFUNCTION("""COMPUTED_VALUE"""),0.19607843137254902)</f>
        <v>0.1960784314</v>
      </c>
      <c r="G2609" s="5">
        <f>IFERROR(__xludf.DUMMYFUNCTION("""COMPUTED_VALUE"""),0.18169934640522875)</f>
        <v>0.1816993464</v>
      </c>
      <c r="H2609" s="5">
        <f>IFERROR(__xludf.DUMMYFUNCTION("""COMPUTED_VALUE"""),0.5933333333333334)</f>
        <v>0.5933333333</v>
      </c>
      <c r="I2609" s="11">
        <f>IFERROR(__xludf.DUMMYFUNCTION("""COMPUTED_VALUE"""),5702.666666666667)</f>
        <v>5702.666667</v>
      </c>
      <c r="J2609" s="10">
        <f>IFERROR(__xludf.DUMMYFUNCTION("""COMPUTED_VALUE"""),0.0)</f>
        <v>0</v>
      </c>
      <c r="K2609" s="5">
        <f>IFERROR(__xludf.DUMMYFUNCTION("""COMPUTED_VALUE"""),0.0)</f>
        <v>0</v>
      </c>
      <c r="L2609" s="10">
        <f>IFERROR(__xludf.DUMMYFUNCTION("""COMPUTED_VALUE"""),210.0)</f>
        <v>210</v>
      </c>
      <c r="M2609" s="5">
        <f>IFERROR(__xludf.DUMMYFUNCTION("""COMPUTED_VALUE"""),1.0)</f>
        <v>1</v>
      </c>
    </row>
    <row r="2610">
      <c r="A2610" s="10" t="str">
        <f>IFERROR(__xludf.DUMMYFUNCTION("""COMPUTED_VALUE"""),"みんなで大明槓")</f>
        <v>みんなで大明槓</v>
      </c>
      <c r="B2610" s="10">
        <f>IFERROR(__xludf.DUMMYFUNCTION("""COMPUTED_VALUE"""),165.0)</f>
        <v>165</v>
      </c>
      <c r="C2610" s="10">
        <f>IFERROR(__xludf.DUMMYFUNCTION("""COMPUTED_VALUE"""),1939.0)</f>
        <v>1939</v>
      </c>
      <c r="D2610" s="5">
        <f>IFERROR(__xludf.DUMMYFUNCTION("""COMPUTED_VALUE"""),0.31623449830890643)</f>
        <v>0.3162344983</v>
      </c>
      <c r="E2610" s="5">
        <f>IFERROR(__xludf.DUMMYFUNCTION("""COMPUTED_VALUE"""),0.12852311161217586)</f>
        <v>0.1285231116</v>
      </c>
      <c r="F2610" s="5">
        <f>IFERROR(__xludf.DUMMYFUNCTION("""COMPUTED_VALUE"""),0.20631341600901917)</f>
        <v>0.206313416</v>
      </c>
      <c r="G2610" s="5">
        <f>IFERROR(__xludf.DUMMYFUNCTION("""COMPUTED_VALUE"""),0.15670800450958286)</f>
        <v>0.1567080045</v>
      </c>
      <c r="H2610" s="5">
        <f>IFERROR(__xludf.DUMMYFUNCTION("""COMPUTED_VALUE"""),0.5765027322404371)</f>
        <v>0.5765027322</v>
      </c>
      <c r="I2610" s="11">
        <f>IFERROR(__xludf.DUMMYFUNCTION("""COMPUTED_VALUE"""),5576.775956284153)</f>
        <v>5576.775956</v>
      </c>
      <c r="J2610" s="10">
        <f>IFERROR(__xludf.DUMMYFUNCTION("""COMPUTED_VALUE"""),1.0)</f>
        <v>1</v>
      </c>
      <c r="K2610" s="5">
        <f>IFERROR(__xludf.DUMMYFUNCTION("""COMPUTED_VALUE"""),0.006060606060606061)</f>
        <v>0.006060606061</v>
      </c>
      <c r="L2610" s="10">
        <f>IFERROR(__xludf.DUMMYFUNCTION("""COMPUTED_VALUE"""),165.0)</f>
        <v>165</v>
      </c>
      <c r="M2610" s="5">
        <f>IFERROR(__xludf.DUMMYFUNCTION("""COMPUTED_VALUE"""),1.0)</f>
        <v>1</v>
      </c>
    </row>
    <row r="2611">
      <c r="A2611" s="10" t="str">
        <f>IFERROR(__xludf.DUMMYFUNCTION("""COMPUTED_VALUE"""),"完全無敵少女EX")</f>
        <v>完全無敵少女EX</v>
      </c>
      <c r="B2611" s="10">
        <f>IFERROR(__xludf.DUMMYFUNCTION("""COMPUTED_VALUE"""),3977.0)</f>
        <v>3977</v>
      </c>
      <c r="C2611" s="10">
        <f>IFERROR(__xludf.DUMMYFUNCTION("""COMPUTED_VALUE"""),46841.0)</f>
        <v>46841</v>
      </c>
      <c r="D2611" s="5">
        <f>IFERROR(__xludf.DUMMYFUNCTION("""COMPUTED_VALUE"""),0.39256718924972006)</f>
        <v>0.3925671892</v>
      </c>
      <c r="E2611" s="5">
        <f>IFERROR(__xludf.DUMMYFUNCTION("""COMPUTED_VALUE"""),0.1285227696901829)</f>
        <v>0.1285227697</v>
      </c>
      <c r="F2611" s="5">
        <f>IFERROR(__xludf.DUMMYFUNCTION("""COMPUTED_VALUE"""),0.22032474804031354)</f>
        <v>0.220324748</v>
      </c>
      <c r="G2611" s="5">
        <f>IFERROR(__xludf.DUMMYFUNCTION("""COMPUTED_VALUE"""),0.15845464725643896)</f>
        <v>0.1584546473</v>
      </c>
      <c r="H2611" s="5">
        <f>IFERROR(__xludf.DUMMYFUNCTION("""COMPUTED_VALUE"""),0.5987928843710292)</f>
        <v>0.5987928844</v>
      </c>
      <c r="I2611" s="11">
        <f>IFERROR(__xludf.DUMMYFUNCTION("""COMPUTED_VALUE"""),5207.274459974587)</f>
        <v>5207.27446</v>
      </c>
      <c r="J2611" s="10">
        <f>IFERROR(__xludf.DUMMYFUNCTION("""COMPUTED_VALUE"""),6.0)</f>
        <v>6</v>
      </c>
      <c r="K2611" s="5">
        <f>IFERROR(__xludf.DUMMYFUNCTION("""COMPUTED_VALUE"""),0.0015086748805632386)</f>
        <v>0.001508674881</v>
      </c>
      <c r="L2611" s="10">
        <f>IFERROR(__xludf.DUMMYFUNCTION("""COMPUTED_VALUE"""),3061.0)</f>
        <v>3061</v>
      </c>
      <c r="M2611" s="5">
        <f>IFERROR(__xludf.DUMMYFUNCTION("""COMPUTED_VALUE"""),0.7696756349006789)</f>
        <v>0.7696756349</v>
      </c>
    </row>
    <row r="2612">
      <c r="A2612" s="10" t="str">
        <f>IFERROR(__xludf.DUMMYFUNCTION("""COMPUTED_VALUE"""),"zeal∬")</f>
        <v>zeal∬</v>
      </c>
      <c r="B2612" s="10">
        <f>IFERROR(__xludf.DUMMYFUNCTION("""COMPUTED_VALUE"""),700.0)</f>
        <v>700</v>
      </c>
      <c r="C2612" s="10">
        <f>IFERROR(__xludf.DUMMYFUNCTION("""COMPUTED_VALUE"""),8240.0)</f>
        <v>8240</v>
      </c>
      <c r="D2612" s="5">
        <f>IFERROR(__xludf.DUMMYFUNCTION("""COMPUTED_VALUE"""),0.3689655172413793)</f>
        <v>0.3689655172</v>
      </c>
      <c r="E2612" s="5">
        <f>IFERROR(__xludf.DUMMYFUNCTION("""COMPUTED_VALUE"""),0.12851458885941644)</f>
        <v>0.1285145889</v>
      </c>
      <c r="F2612" s="5">
        <f>IFERROR(__xludf.DUMMYFUNCTION("""COMPUTED_VALUE"""),0.2103448275862069)</f>
        <v>0.2103448276</v>
      </c>
      <c r="G2612" s="5">
        <f>IFERROR(__xludf.DUMMYFUNCTION("""COMPUTED_VALUE"""),0.17055702917771884)</f>
        <v>0.1705570292</v>
      </c>
      <c r="H2612" s="5">
        <f>IFERROR(__xludf.DUMMYFUNCTION("""COMPUTED_VALUE"""),0.5838587641866331)</f>
        <v>0.5838587642</v>
      </c>
      <c r="I2612" s="11">
        <f>IFERROR(__xludf.DUMMYFUNCTION("""COMPUTED_VALUE"""),5390.163934426229)</f>
        <v>5390.163934</v>
      </c>
      <c r="J2612" s="10">
        <f>IFERROR(__xludf.DUMMYFUNCTION("""COMPUTED_VALUE"""),2.0)</f>
        <v>2</v>
      </c>
      <c r="K2612" s="5">
        <f>IFERROR(__xludf.DUMMYFUNCTION("""COMPUTED_VALUE"""),0.002857142857142857)</f>
        <v>0.002857142857</v>
      </c>
      <c r="L2612" s="10">
        <f>IFERROR(__xludf.DUMMYFUNCTION("""COMPUTED_VALUE"""),700.0)</f>
        <v>700</v>
      </c>
      <c r="M2612" s="5">
        <f>IFERROR(__xludf.DUMMYFUNCTION("""COMPUTED_VALUE"""),1.0)</f>
        <v>1</v>
      </c>
    </row>
    <row r="2613">
      <c r="A2613" s="10" t="str">
        <f>IFERROR(__xludf.DUMMYFUNCTION("""COMPUTED_VALUE"""),"清野")</f>
        <v>清野</v>
      </c>
      <c r="B2613" s="10">
        <f>IFERROR(__xludf.DUMMYFUNCTION("""COMPUTED_VALUE"""),920.0)</f>
        <v>920</v>
      </c>
      <c r="C2613" s="10">
        <f>IFERROR(__xludf.DUMMYFUNCTION("""COMPUTED_VALUE"""),10865.0)</f>
        <v>10865</v>
      </c>
      <c r="D2613" s="5">
        <f>IFERROR(__xludf.DUMMYFUNCTION("""COMPUTED_VALUE"""),0.34982403217697333)</f>
        <v>0.3498240322</v>
      </c>
      <c r="E2613" s="5">
        <f>IFERROR(__xludf.DUMMYFUNCTION("""COMPUTED_VALUE"""),0.12850678733031673)</f>
        <v>0.1285067873</v>
      </c>
      <c r="F2613" s="5">
        <f>IFERROR(__xludf.DUMMYFUNCTION("""COMPUTED_VALUE"""),0.21417797888386123)</f>
        <v>0.2141779789</v>
      </c>
      <c r="G2613" s="5">
        <f>IFERROR(__xludf.DUMMYFUNCTION("""COMPUTED_VALUE"""),0.1967823026646556)</f>
        <v>0.1967823027</v>
      </c>
      <c r="H2613" s="5">
        <f>IFERROR(__xludf.DUMMYFUNCTION("""COMPUTED_VALUE"""),0.6014084507042253)</f>
        <v>0.6014084507</v>
      </c>
      <c r="I2613" s="11">
        <f>IFERROR(__xludf.DUMMYFUNCTION("""COMPUTED_VALUE"""),5993.239436619719)</f>
        <v>5993.239437</v>
      </c>
      <c r="J2613" s="10">
        <f>IFERROR(__xludf.DUMMYFUNCTION("""COMPUTED_VALUE"""),1.0)</f>
        <v>1</v>
      </c>
      <c r="K2613" s="5">
        <f>IFERROR(__xludf.DUMMYFUNCTION("""COMPUTED_VALUE"""),0.0010869565217391304)</f>
        <v>0.001086956522</v>
      </c>
      <c r="L2613" s="10">
        <f>IFERROR(__xludf.DUMMYFUNCTION("""COMPUTED_VALUE"""),920.0)</f>
        <v>920</v>
      </c>
      <c r="M2613" s="5">
        <f>IFERROR(__xludf.DUMMYFUNCTION("""COMPUTED_VALUE"""),1.0)</f>
        <v>1</v>
      </c>
    </row>
    <row r="2614">
      <c r="A2614" s="10" t="str">
        <f>IFERROR(__xludf.DUMMYFUNCTION("""COMPUTED_VALUE"""),"ako")</f>
        <v>ako</v>
      </c>
      <c r="B2614" s="10">
        <f>IFERROR(__xludf.DUMMYFUNCTION("""COMPUTED_VALUE"""),304.0)</f>
        <v>304</v>
      </c>
      <c r="C2614" s="10">
        <f>IFERROR(__xludf.DUMMYFUNCTION("""COMPUTED_VALUE"""),3518.0)</f>
        <v>3518</v>
      </c>
      <c r="D2614" s="5">
        <f>IFERROR(__xludf.DUMMYFUNCTION("""COMPUTED_VALUE"""),0.3509645301804605)</f>
        <v>0.3509645302</v>
      </c>
      <c r="E2614" s="5">
        <f>IFERROR(__xludf.DUMMYFUNCTION("""COMPUTED_VALUE"""),0.1285003111387679)</f>
        <v>0.1285003111</v>
      </c>
      <c r="F2614" s="5">
        <f>IFERROR(__xludf.DUMMYFUNCTION("""COMPUTED_VALUE"""),0.20441817050404482)</f>
        <v>0.2044181705</v>
      </c>
      <c r="G2614" s="5">
        <f>IFERROR(__xludf.DUMMYFUNCTION("""COMPUTED_VALUE"""),0.14561294337274425)</f>
        <v>0.1456129434</v>
      </c>
      <c r="H2614" s="5">
        <f>IFERROR(__xludf.DUMMYFUNCTION("""COMPUTED_VALUE"""),0.5753424657534246)</f>
        <v>0.5753424658</v>
      </c>
      <c r="I2614" s="11">
        <f>IFERROR(__xludf.DUMMYFUNCTION("""COMPUTED_VALUE"""),5445.814307458143)</f>
        <v>5445.814307</v>
      </c>
      <c r="J2614" s="10">
        <f>IFERROR(__xludf.DUMMYFUNCTION("""COMPUTED_VALUE"""),0.0)</f>
        <v>0</v>
      </c>
      <c r="K2614" s="5">
        <f>IFERROR(__xludf.DUMMYFUNCTION("""COMPUTED_VALUE"""),0.0)</f>
        <v>0</v>
      </c>
      <c r="L2614" s="10">
        <f>IFERROR(__xludf.DUMMYFUNCTION("""COMPUTED_VALUE"""),304.0)</f>
        <v>304</v>
      </c>
      <c r="M2614" s="5">
        <f>IFERROR(__xludf.DUMMYFUNCTION("""COMPUTED_VALUE"""),1.0)</f>
        <v>1</v>
      </c>
    </row>
    <row r="2615">
      <c r="A2615" s="10" t="str">
        <f>IFERROR(__xludf.DUMMYFUNCTION("""COMPUTED_VALUE"""),"届かない恋")</f>
        <v>届かない恋</v>
      </c>
      <c r="B2615" s="10">
        <f>IFERROR(__xludf.DUMMYFUNCTION("""COMPUTED_VALUE"""),462.0)</f>
        <v>462</v>
      </c>
      <c r="C2615" s="10">
        <f>IFERROR(__xludf.DUMMYFUNCTION("""COMPUTED_VALUE"""),5404.0)</f>
        <v>5404</v>
      </c>
      <c r="D2615" s="5">
        <f>IFERROR(__xludf.DUMMYFUNCTION("""COMPUTED_VALUE"""),0.2709429380817483)</f>
        <v>0.2709429381</v>
      </c>
      <c r="E2615" s="5">
        <f>IFERROR(__xludf.DUMMYFUNCTION("""COMPUTED_VALUE"""),0.1284904896802914)</f>
        <v>0.1284904897</v>
      </c>
      <c r="F2615" s="5">
        <f>IFERROR(__xludf.DUMMYFUNCTION("""COMPUTED_VALUE"""),0.21023876972885472)</f>
        <v>0.2102387697</v>
      </c>
      <c r="G2615" s="5">
        <f>IFERROR(__xludf.DUMMYFUNCTION("""COMPUTED_VALUE"""),0.18251719951436665)</f>
        <v>0.1825171995</v>
      </c>
      <c r="H2615" s="5">
        <f>IFERROR(__xludf.DUMMYFUNCTION("""COMPUTED_VALUE"""),0.6333012512030799)</f>
        <v>0.6333012512</v>
      </c>
      <c r="I2615" s="11">
        <f>IFERROR(__xludf.DUMMYFUNCTION("""COMPUTED_VALUE"""),6021.559191530318)</f>
        <v>6021.559192</v>
      </c>
      <c r="J2615" s="10">
        <f>IFERROR(__xludf.DUMMYFUNCTION("""COMPUTED_VALUE"""),4.0)</f>
        <v>4</v>
      </c>
      <c r="K2615" s="5">
        <f>IFERROR(__xludf.DUMMYFUNCTION("""COMPUTED_VALUE"""),0.008658008658008658)</f>
        <v>0.008658008658</v>
      </c>
      <c r="L2615" s="10">
        <f>IFERROR(__xludf.DUMMYFUNCTION("""COMPUTED_VALUE"""),462.0)</f>
        <v>462</v>
      </c>
      <c r="M2615" s="5">
        <f>IFERROR(__xludf.DUMMYFUNCTION("""COMPUTED_VALUE"""),1.0)</f>
        <v>1</v>
      </c>
    </row>
    <row r="2616">
      <c r="A2616" s="10" t="str">
        <f>IFERROR(__xludf.DUMMYFUNCTION("""COMPUTED_VALUE"""),"KRereeeN")</f>
        <v>KRereeeN</v>
      </c>
      <c r="B2616" s="10">
        <f>IFERROR(__xludf.DUMMYFUNCTION("""COMPUTED_VALUE"""),506.0)</f>
        <v>506</v>
      </c>
      <c r="C2616" s="10">
        <f>IFERROR(__xludf.DUMMYFUNCTION("""COMPUTED_VALUE"""),6024.0)</f>
        <v>6024</v>
      </c>
      <c r="D2616" s="5">
        <f>IFERROR(__xludf.DUMMYFUNCTION("""COMPUTED_VALUE"""),0.343240304458137)</f>
        <v>0.3432403045</v>
      </c>
      <c r="E2616" s="5">
        <f>IFERROR(__xludf.DUMMYFUNCTION("""COMPUTED_VALUE"""),0.12848858281986228)</f>
        <v>0.1284885828</v>
      </c>
      <c r="F2616" s="5">
        <f>IFERROR(__xludf.DUMMYFUNCTION("""COMPUTED_VALUE"""),0.1935483870967742)</f>
        <v>0.1935483871</v>
      </c>
      <c r="G2616" s="5">
        <f>IFERROR(__xludf.DUMMYFUNCTION("""COMPUTED_VALUE"""),0.14661109097499095)</f>
        <v>0.146611091</v>
      </c>
      <c r="H2616" s="5">
        <f>IFERROR(__xludf.DUMMYFUNCTION("""COMPUTED_VALUE"""),0.601123595505618)</f>
        <v>0.6011235955</v>
      </c>
      <c r="I2616" s="11">
        <f>IFERROR(__xludf.DUMMYFUNCTION("""COMPUTED_VALUE"""),5692.883895131086)</f>
        <v>5692.883895</v>
      </c>
      <c r="J2616" s="10">
        <f>IFERROR(__xludf.DUMMYFUNCTION("""COMPUTED_VALUE"""),1.0)</f>
        <v>1</v>
      </c>
      <c r="K2616" s="5">
        <f>IFERROR(__xludf.DUMMYFUNCTION("""COMPUTED_VALUE"""),0.001976284584980237)</f>
        <v>0.001976284585</v>
      </c>
      <c r="L2616" s="10">
        <f>IFERROR(__xludf.DUMMYFUNCTION("""COMPUTED_VALUE"""),501.0)</f>
        <v>501</v>
      </c>
      <c r="M2616" s="5">
        <f>IFERROR(__xludf.DUMMYFUNCTION("""COMPUTED_VALUE"""),0.9901185770750988)</f>
        <v>0.9901185771</v>
      </c>
    </row>
    <row r="2617">
      <c r="A2617" s="10" t="str">
        <f>IFERROR(__xludf.DUMMYFUNCTION("""COMPUTED_VALUE"""),"ベタ降りします")</f>
        <v>ベタ降りします</v>
      </c>
      <c r="B2617" s="10">
        <f>IFERROR(__xludf.DUMMYFUNCTION("""COMPUTED_VALUE"""),516.0)</f>
        <v>516</v>
      </c>
      <c r="C2617" s="10">
        <f>IFERROR(__xludf.DUMMYFUNCTION("""COMPUTED_VALUE"""),6182.0)</f>
        <v>6182</v>
      </c>
      <c r="D2617" s="5">
        <f>IFERROR(__xludf.DUMMYFUNCTION("""COMPUTED_VALUE"""),0.4018708083303918)</f>
        <v>0.4018708083</v>
      </c>
      <c r="E2617" s="5">
        <f>IFERROR(__xludf.DUMMYFUNCTION("""COMPUTED_VALUE"""),0.12848570420049418)</f>
        <v>0.1284857042</v>
      </c>
      <c r="F2617" s="5">
        <f>IFERROR(__xludf.DUMMYFUNCTION("""COMPUTED_VALUE"""),0.2004941757853865)</f>
        <v>0.2004941758</v>
      </c>
      <c r="G2617" s="5">
        <f>IFERROR(__xludf.DUMMYFUNCTION("""COMPUTED_VALUE"""),0.14507589128132722)</f>
        <v>0.1450758913</v>
      </c>
      <c r="H2617" s="5">
        <f>IFERROR(__xludf.DUMMYFUNCTION("""COMPUTED_VALUE"""),0.5880281690140845)</f>
        <v>0.588028169</v>
      </c>
      <c r="I2617" s="11">
        <f>IFERROR(__xludf.DUMMYFUNCTION("""COMPUTED_VALUE"""),5583.362676056338)</f>
        <v>5583.362676</v>
      </c>
      <c r="J2617" s="10">
        <f>IFERROR(__xludf.DUMMYFUNCTION("""COMPUTED_VALUE"""),1.0)</f>
        <v>1</v>
      </c>
      <c r="K2617" s="5">
        <f>IFERROR(__xludf.DUMMYFUNCTION("""COMPUTED_VALUE"""),0.001937984496124031)</f>
        <v>0.001937984496</v>
      </c>
      <c r="L2617" s="10">
        <f>IFERROR(__xludf.DUMMYFUNCTION("""COMPUTED_VALUE"""),390.0)</f>
        <v>390</v>
      </c>
      <c r="M2617" s="5">
        <f>IFERROR(__xludf.DUMMYFUNCTION("""COMPUTED_VALUE"""),0.7558139534883721)</f>
        <v>0.7558139535</v>
      </c>
    </row>
    <row r="2618">
      <c r="A2618" s="10" t="str">
        <f>IFERROR(__xludf.DUMMYFUNCTION("""COMPUTED_VALUE"""),"HogeNull")</f>
        <v>HogeNull</v>
      </c>
      <c r="B2618" s="10">
        <f>IFERROR(__xludf.DUMMYFUNCTION("""COMPUTED_VALUE"""),184.0)</f>
        <v>184</v>
      </c>
      <c r="C2618" s="10">
        <f>IFERROR(__xludf.DUMMYFUNCTION("""COMPUTED_VALUE"""),2122.0)</f>
        <v>2122</v>
      </c>
      <c r="D2618" s="5">
        <f>IFERROR(__xludf.DUMMYFUNCTION("""COMPUTED_VALUE"""),0.37874097007223945)</f>
        <v>0.3787409701</v>
      </c>
      <c r="E2618" s="5">
        <f>IFERROR(__xludf.DUMMYFUNCTION("""COMPUTED_VALUE"""),0.12848297213622292)</f>
        <v>0.1284829721</v>
      </c>
      <c r="F2618" s="5">
        <f>IFERROR(__xludf.DUMMYFUNCTION("""COMPUTED_VALUE"""),0.21878224974200206)</f>
        <v>0.2187822497</v>
      </c>
      <c r="G2618" s="5">
        <f>IFERROR(__xludf.DUMMYFUNCTION("""COMPUTED_VALUE"""),0.17027863777089783)</f>
        <v>0.1702786378</v>
      </c>
      <c r="H2618" s="5">
        <f>IFERROR(__xludf.DUMMYFUNCTION("""COMPUTED_VALUE"""),0.625)</f>
        <v>0.625</v>
      </c>
      <c r="I2618" s="11">
        <f>IFERROR(__xludf.DUMMYFUNCTION("""COMPUTED_VALUE"""),5504.952830188679)</f>
        <v>5504.95283</v>
      </c>
      <c r="J2618" s="10">
        <f>IFERROR(__xludf.DUMMYFUNCTION("""COMPUTED_VALUE"""),0.0)</f>
        <v>0</v>
      </c>
      <c r="K2618" s="5">
        <f>IFERROR(__xludf.DUMMYFUNCTION("""COMPUTED_VALUE"""),0.0)</f>
        <v>0</v>
      </c>
      <c r="L2618" s="10">
        <f>IFERROR(__xludf.DUMMYFUNCTION("""COMPUTED_VALUE"""),184.0)</f>
        <v>184</v>
      </c>
      <c r="M2618" s="5">
        <f>IFERROR(__xludf.DUMMYFUNCTION("""COMPUTED_VALUE"""),1.0)</f>
        <v>1</v>
      </c>
    </row>
    <row r="2619">
      <c r="A2619" s="10" t="str">
        <f>IFERROR(__xludf.DUMMYFUNCTION("""COMPUTED_VALUE"""),"o西園寺自重o")</f>
        <v>o西園寺自重o</v>
      </c>
      <c r="B2619" s="10">
        <f>IFERROR(__xludf.DUMMYFUNCTION("""COMPUTED_VALUE"""),554.0)</f>
        <v>554</v>
      </c>
      <c r="C2619" s="10">
        <f>IFERROR(__xludf.DUMMYFUNCTION("""COMPUTED_VALUE"""),6563.0)</f>
        <v>6563</v>
      </c>
      <c r="D2619" s="5">
        <f>IFERROR(__xludf.DUMMYFUNCTION("""COMPUTED_VALUE"""),0.363621234814445)</f>
        <v>0.3636212348</v>
      </c>
      <c r="E2619" s="5">
        <f>IFERROR(__xludf.DUMMYFUNCTION("""COMPUTED_VALUE"""),0.12847395573306705)</f>
        <v>0.1284739557</v>
      </c>
      <c r="F2619" s="5">
        <f>IFERROR(__xludf.DUMMYFUNCTION("""COMPUTED_VALUE"""),0.19354301880512564)</f>
        <v>0.1935430188</v>
      </c>
      <c r="G2619" s="5">
        <f>IFERROR(__xludf.DUMMYFUNCTION("""COMPUTED_VALUE"""),0.13579630554168748)</f>
        <v>0.1357963055</v>
      </c>
      <c r="H2619" s="5">
        <f>IFERROR(__xludf.DUMMYFUNCTION("""COMPUTED_VALUE"""),0.5907136715391229)</f>
        <v>0.5907136715</v>
      </c>
      <c r="I2619" s="11">
        <f>IFERROR(__xludf.DUMMYFUNCTION("""COMPUTED_VALUE"""),5554.944110060189)</f>
        <v>5554.94411</v>
      </c>
      <c r="J2619" s="10">
        <f>IFERROR(__xludf.DUMMYFUNCTION("""COMPUTED_VALUE"""),2.0)</f>
        <v>2</v>
      </c>
      <c r="K2619" s="5">
        <f>IFERROR(__xludf.DUMMYFUNCTION("""COMPUTED_VALUE"""),0.0036101083032490976)</f>
        <v>0.003610108303</v>
      </c>
      <c r="L2619" s="10">
        <f>IFERROR(__xludf.DUMMYFUNCTION("""COMPUTED_VALUE"""),279.0)</f>
        <v>279</v>
      </c>
      <c r="M2619" s="5">
        <f>IFERROR(__xludf.DUMMYFUNCTION("""COMPUTED_VALUE"""),0.5036101083032491)</f>
        <v>0.5036101083</v>
      </c>
    </row>
    <row r="2620">
      <c r="A2620" s="10" t="str">
        <f>IFERROR(__xludf.DUMMYFUNCTION("""COMPUTED_VALUE"""),"ぱえりあ(本物)")</f>
        <v>ぱえりあ(本物)</v>
      </c>
      <c r="B2620" s="10">
        <f>IFERROR(__xludf.DUMMYFUNCTION("""COMPUTED_VALUE"""),415.0)</f>
        <v>415</v>
      </c>
      <c r="C2620" s="10">
        <f>IFERROR(__xludf.DUMMYFUNCTION("""COMPUTED_VALUE"""),4930.0)</f>
        <v>4930</v>
      </c>
      <c r="D2620" s="5">
        <f>IFERROR(__xludf.DUMMYFUNCTION("""COMPUTED_VALUE"""),0.3813953488372093)</f>
        <v>0.3813953488</v>
      </c>
      <c r="E2620" s="5">
        <f>IFERROR(__xludf.DUMMYFUNCTION("""COMPUTED_VALUE"""),0.12846068660022147)</f>
        <v>0.1284606866</v>
      </c>
      <c r="F2620" s="5">
        <f>IFERROR(__xludf.DUMMYFUNCTION("""COMPUTED_VALUE"""),0.21284606866002215)</f>
        <v>0.2128460687</v>
      </c>
      <c r="G2620" s="5">
        <f>IFERROR(__xludf.DUMMYFUNCTION("""COMPUTED_VALUE"""),0.1743078626799557)</f>
        <v>0.1743078627</v>
      </c>
      <c r="H2620" s="5">
        <f>IFERROR(__xludf.DUMMYFUNCTION("""COMPUTED_VALUE"""),0.6077003121748179)</f>
        <v>0.6077003122</v>
      </c>
      <c r="I2620" s="11">
        <f>IFERROR(__xludf.DUMMYFUNCTION("""COMPUTED_VALUE"""),5724.349635796046)</f>
        <v>5724.349636</v>
      </c>
      <c r="J2620" s="10">
        <f>IFERROR(__xludf.DUMMYFUNCTION("""COMPUTED_VALUE"""),0.0)</f>
        <v>0</v>
      </c>
      <c r="K2620" s="5">
        <f>IFERROR(__xludf.DUMMYFUNCTION("""COMPUTED_VALUE"""),0.0)</f>
        <v>0</v>
      </c>
      <c r="L2620" s="10">
        <f>IFERROR(__xludf.DUMMYFUNCTION("""COMPUTED_VALUE"""),415.0)</f>
        <v>415</v>
      </c>
      <c r="M2620" s="5">
        <f>IFERROR(__xludf.DUMMYFUNCTION("""COMPUTED_VALUE"""),1.0)</f>
        <v>1</v>
      </c>
    </row>
    <row r="2621">
      <c r="A2621" s="10" t="str">
        <f>IFERROR(__xludf.DUMMYFUNCTION("""COMPUTED_VALUE"""),"JACSAnge")</f>
        <v>JACSAnge</v>
      </c>
      <c r="B2621" s="10">
        <f>IFERROR(__xludf.DUMMYFUNCTION("""COMPUTED_VALUE"""),178.0)</f>
        <v>178</v>
      </c>
      <c r="C2621" s="10">
        <f>IFERROR(__xludf.DUMMYFUNCTION("""COMPUTED_VALUE"""),2093.0)</f>
        <v>2093</v>
      </c>
      <c r="D2621" s="5">
        <f>IFERROR(__xludf.DUMMYFUNCTION("""COMPUTED_VALUE"""),0.3399477806788512)</f>
        <v>0.3399477807</v>
      </c>
      <c r="E2621" s="5">
        <f>IFERROR(__xludf.DUMMYFUNCTION("""COMPUTED_VALUE"""),0.12845953002610966)</f>
        <v>0.12845953</v>
      </c>
      <c r="F2621" s="5">
        <f>IFERROR(__xludf.DUMMYFUNCTION("""COMPUTED_VALUE"""),0.20574412532637076)</f>
        <v>0.2057441253</v>
      </c>
      <c r="G2621" s="5">
        <f>IFERROR(__xludf.DUMMYFUNCTION("""COMPUTED_VALUE"""),0.15195822454308094)</f>
        <v>0.1519582245</v>
      </c>
      <c r="H2621" s="5">
        <f>IFERROR(__xludf.DUMMYFUNCTION("""COMPUTED_VALUE"""),0.6065989847715736)</f>
        <v>0.6065989848</v>
      </c>
      <c r="I2621" s="11">
        <f>IFERROR(__xludf.DUMMYFUNCTION("""COMPUTED_VALUE"""),5340.1015228426395)</f>
        <v>5340.101523</v>
      </c>
      <c r="J2621" s="10">
        <f>IFERROR(__xludf.DUMMYFUNCTION("""COMPUTED_VALUE"""),1.0)</f>
        <v>1</v>
      </c>
      <c r="K2621" s="5">
        <f>IFERROR(__xludf.DUMMYFUNCTION("""COMPUTED_VALUE"""),0.0056179775280898875)</f>
        <v>0.005617977528</v>
      </c>
      <c r="L2621" s="10">
        <f>IFERROR(__xludf.DUMMYFUNCTION("""COMPUTED_VALUE"""),178.0)</f>
        <v>178</v>
      </c>
      <c r="M2621" s="5">
        <f>IFERROR(__xludf.DUMMYFUNCTION("""COMPUTED_VALUE"""),1.0)</f>
        <v>1</v>
      </c>
    </row>
    <row r="2622">
      <c r="A2622" s="10" t="str">
        <f>IFERROR(__xludf.DUMMYFUNCTION("""COMPUTED_VALUE"""),"森下未散＠鳳凰")</f>
        <v>森下未散＠鳳凰</v>
      </c>
      <c r="B2622" s="10">
        <f>IFERROR(__xludf.DUMMYFUNCTION("""COMPUTED_VALUE"""),180.0)</f>
        <v>180</v>
      </c>
      <c r="C2622" s="10">
        <f>IFERROR(__xludf.DUMMYFUNCTION("""COMPUTED_VALUE"""),2103.0)</f>
        <v>2103</v>
      </c>
      <c r="D2622" s="5">
        <f>IFERROR(__xludf.DUMMYFUNCTION("""COMPUTED_VALUE"""),0.34425377015080605)</f>
        <v>0.3442537702</v>
      </c>
      <c r="E2622" s="5">
        <f>IFERROR(__xludf.DUMMYFUNCTION("""COMPUTED_VALUE"""),0.12844513780551223)</f>
        <v>0.1284451378</v>
      </c>
      <c r="F2622" s="5">
        <f>IFERROR(__xludf.DUMMYFUNCTION("""COMPUTED_VALUE"""),0.19084763390535622)</f>
        <v>0.1908476339</v>
      </c>
      <c r="G2622" s="5">
        <f>IFERROR(__xludf.DUMMYFUNCTION("""COMPUTED_VALUE"""),0.15548621944877794)</f>
        <v>0.1554862194</v>
      </c>
      <c r="H2622" s="5">
        <f>IFERROR(__xludf.DUMMYFUNCTION("""COMPUTED_VALUE"""),0.6239782016348774)</f>
        <v>0.6239782016</v>
      </c>
      <c r="I2622" s="11">
        <f>IFERROR(__xludf.DUMMYFUNCTION("""COMPUTED_VALUE"""),5528.610354223433)</f>
        <v>5528.610354</v>
      </c>
      <c r="J2622" s="10">
        <f>IFERROR(__xludf.DUMMYFUNCTION("""COMPUTED_VALUE"""),0.0)</f>
        <v>0</v>
      </c>
      <c r="K2622" s="5">
        <f>IFERROR(__xludf.DUMMYFUNCTION("""COMPUTED_VALUE"""),0.0)</f>
        <v>0</v>
      </c>
      <c r="L2622" s="10">
        <f>IFERROR(__xludf.DUMMYFUNCTION("""COMPUTED_VALUE"""),23.0)</f>
        <v>23</v>
      </c>
      <c r="M2622" s="5">
        <f>IFERROR(__xludf.DUMMYFUNCTION("""COMPUTED_VALUE"""),0.12777777777777777)</f>
        <v>0.1277777778</v>
      </c>
    </row>
    <row r="2623">
      <c r="A2623" s="10" t="str">
        <f>IFERROR(__xludf.DUMMYFUNCTION("""COMPUTED_VALUE"""),"たんやお厨")</f>
        <v>たんやお厨</v>
      </c>
      <c r="B2623" s="10">
        <f>IFERROR(__xludf.DUMMYFUNCTION("""COMPUTED_VALUE"""),100.0)</f>
        <v>100</v>
      </c>
      <c r="C2623" s="10">
        <f>IFERROR(__xludf.DUMMYFUNCTION("""COMPUTED_VALUE"""),1190.0)</f>
        <v>1190</v>
      </c>
      <c r="D2623" s="5">
        <f>IFERROR(__xludf.DUMMYFUNCTION("""COMPUTED_VALUE"""),0.3119266055045872)</f>
        <v>0.3119266055</v>
      </c>
      <c r="E2623" s="5">
        <f>IFERROR(__xludf.DUMMYFUNCTION("""COMPUTED_VALUE"""),0.12844036697247707)</f>
        <v>0.128440367</v>
      </c>
      <c r="F2623" s="5">
        <f>IFERROR(__xludf.DUMMYFUNCTION("""COMPUTED_VALUE"""),0.20733944954128442)</f>
        <v>0.2073394495</v>
      </c>
      <c r="G2623" s="5">
        <f>IFERROR(__xludf.DUMMYFUNCTION("""COMPUTED_VALUE"""),0.18623853211009175)</f>
        <v>0.1862385321</v>
      </c>
      <c r="H2623" s="5">
        <f>IFERROR(__xludf.DUMMYFUNCTION("""COMPUTED_VALUE"""),0.5929203539823009)</f>
        <v>0.592920354</v>
      </c>
      <c r="I2623" s="11">
        <f>IFERROR(__xludf.DUMMYFUNCTION("""COMPUTED_VALUE"""),5942.0353982300885)</f>
        <v>5942.035398</v>
      </c>
      <c r="J2623" s="10">
        <f>IFERROR(__xludf.DUMMYFUNCTION("""COMPUTED_VALUE"""),0.0)</f>
        <v>0</v>
      </c>
      <c r="K2623" s="5">
        <f>IFERROR(__xludf.DUMMYFUNCTION("""COMPUTED_VALUE"""),0.0)</f>
        <v>0</v>
      </c>
      <c r="L2623" s="10">
        <f>IFERROR(__xludf.DUMMYFUNCTION("""COMPUTED_VALUE"""),100.0)</f>
        <v>100</v>
      </c>
      <c r="M2623" s="5">
        <f>IFERROR(__xludf.DUMMYFUNCTION("""COMPUTED_VALUE"""),1.0)</f>
        <v>1</v>
      </c>
    </row>
    <row r="2624">
      <c r="A2624" s="10" t="str">
        <f>IFERROR(__xludf.DUMMYFUNCTION("""COMPUTED_VALUE"""),"危険遊具")</f>
        <v>危険遊具</v>
      </c>
      <c r="B2624" s="10">
        <f>IFERROR(__xludf.DUMMYFUNCTION("""COMPUTED_VALUE"""),470.0)</f>
        <v>470</v>
      </c>
      <c r="C2624" s="10">
        <f>IFERROR(__xludf.DUMMYFUNCTION("""COMPUTED_VALUE"""),5422.0)</f>
        <v>5422</v>
      </c>
      <c r="D2624" s="5">
        <f>IFERROR(__xludf.DUMMYFUNCTION("""COMPUTED_VALUE"""),0.3764135702746365)</f>
        <v>0.3764135703</v>
      </c>
      <c r="E2624" s="5">
        <f>IFERROR(__xludf.DUMMYFUNCTION("""COMPUTED_VALUE"""),0.1284329563812601)</f>
        <v>0.1284329564</v>
      </c>
      <c r="F2624" s="5">
        <f>IFERROR(__xludf.DUMMYFUNCTION("""COMPUTED_VALUE"""),0.22051696284329564)</f>
        <v>0.2205169628</v>
      </c>
      <c r="G2624" s="5">
        <f>IFERROR(__xludf.DUMMYFUNCTION("""COMPUTED_VALUE"""),0.16720516962843296)</f>
        <v>0.1672051696</v>
      </c>
      <c r="H2624" s="5">
        <f>IFERROR(__xludf.DUMMYFUNCTION("""COMPUTED_VALUE"""),0.597985347985348)</f>
        <v>0.597985348</v>
      </c>
      <c r="I2624" s="11">
        <f>IFERROR(__xludf.DUMMYFUNCTION("""COMPUTED_VALUE"""),5682.783882783883)</f>
        <v>5682.783883</v>
      </c>
      <c r="J2624" s="10">
        <f>IFERROR(__xludf.DUMMYFUNCTION("""COMPUTED_VALUE"""),2.0)</f>
        <v>2</v>
      </c>
      <c r="K2624" s="5">
        <f>IFERROR(__xludf.DUMMYFUNCTION("""COMPUTED_VALUE"""),0.00425531914893617)</f>
        <v>0.004255319149</v>
      </c>
      <c r="L2624" s="10">
        <f>IFERROR(__xludf.DUMMYFUNCTION("""COMPUTED_VALUE"""),470.0)</f>
        <v>470</v>
      </c>
      <c r="M2624" s="5">
        <f>IFERROR(__xludf.DUMMYFUNCTION("""COMPUTED_VALUE"""),1.0)</f>
        <v>1</v>
      </c>
    </row>
    <row r="2625">
      <c r="A2625" s="10" t="str">
        <f>IFERROR(__xludf.DUMMYFUNCTION("""COMPUTED_VALUE"""),"あちょー")</f>
        <v>あちょー</v>
      </c>
      <c r="B2625" s="10">
        <f>IFERROR(__xludf.DUMMYFUNCTION("""COMPUTED_VALUE"""),502.0)</f>
        <v>502</v>
      </c>
      <c r="C2625" s="10">
        <f>IFERROR(__xludf.DUMMYFUNCTION("""COMPUTED_VALUE"""),5750.0)</f>
        <v>5750</v>
      </c>
      <c r="D2625" s="5">
        <f>IFERROR(__xludf.DUMMYFUNCTION("""COMPUTED_VALUE"""),0.21189024390243902)</f>
        <v>0.2118902439</v>
      </c>
      <c r="E2625" s="5">
        <f>IFERROR(__xludf.DUMMYFUNCTION("""COMPUTED_VALUE"""),0.12842987804878048)</f>
        <v>0.128429878</v>
      </c>
      <c r="F2625" s="5">
        <f>IFERROR(__xludf.DUMMYFUNCTION("""COMPUTED_VALUE"""),0.18064024390243902)</f>
        <v>0.1806402439</v>
      </c>
      <c r="G2625" s="5">
        <f>IFERROR(__xludf.DUMMYFUNCTION("""COMPUTED_VALUE"""),0.14005335365853658)</f>
        <v>0.1400533537</v>
      </c>
      <c r="H2625" s="5">
        <f>IFERROR(__xludf.DUMMYFUNCTION("""COMPUTED_VALUE"""),0.6434599156118144)</f>
        <v>0.6434599156</v>
      </c>
      <c r="I2625" s="11">
        <f>IFERROR(__xludf.DUMMYFUNCTION("""COMPUTED_VALUE"""),6021.940928270043)</f>
        <v>6021.940928</v>
      </c>
      <c r="J2625" s="10">
        <f>IFERROR(__xludf.DUMMYFUNCTION("""COMPUTED_VALUE"""),0.0)</f>
        <v>0</v>
      </c>
      <c r="K2625" s="5">
        <f>IFERROR(__xludf.DUMMYFUNCTION("""COMPUTED_VALUE"""),0.0)</f>
        <v>0</v>
      </c>
      <c r="L2625" s="10">
        <f>IFERROR(__xludf.DUMMYFUNCTION("""COMPUTED_VALUE"""),502.0)</f>
        <v>502</v>
      </c>
      <c r="M2625" s="5">
        <f>IFERROR(__xludf.DUMMYFUNCTION("""COMPUTED_VALUE"""),1.0)</f>
        <v>1</v>
      </c>
    </row>
    <row r="2626">
      <c r="A2626" s="10" t="str">
        <f>IFERROR(__xludf.DUMMYFUNCTION("""COMPUTED_VALUE"""),"aroe5.")</f>
        <v>aroe5.</v>
      </c>
      <c r="B2626" s="10">
        <f>IFERROR(__xludf.DUMMYFUNCTION("""COMPUTED_VALUE"""),1244.0)</f>
        <v>1244</v>
      </c>
      <c r="C2626" s="10">
        <f>IFERROR(__xludf.DUMMYFUNCTION("""COMPUTED_VALUE"""),14738.0)</f>
        <v>14738</v>
      </c>
      <c r="D2626" s="5">
        <f>IFERROR(__xludf.DUMMYFUNCTION("""COMPUTED_VALUE"""),0.3468208092485549)</f>
        <v>0.3468208092</v>
      </c>
      <c r="E2626" s="5">
        <f>IFERROR(__xludf.DUMMYFUNCTION("""COMPUTED_VALUE"""),0.1284274492366978)</f>
        <v>0.1284274492</v>
      </c>
      <c r="F2626" s="5">
        <f>IFERROR(__xludf.DUMMYFUNCTION("""COMPUTED_VALUE"""),0.20935230472802727)</f>
        <v>0.2093523047</v>
      </c>
      <c r="G2626" s="5">
        <f>IFERROR(__xludf.DUMMYFUNCTION("""COMPUTED_VALUE"""),0.16629613161405069)</f>
        <v>0.1662961316</v>
      </c>
      <c r="H2626" s="5">
        <f>IFERROR(__xludf.DUMMYFUNCTION("""COMPUTED_VALUE"""),0.5939823008849557)</f>
        <v>0.5939823009</v>
      </c>
      <c r="I2626" s="11">
        <f>IFERROR(__xludf.DUMMYFUNCTION("""COMPUTED_VALUE"""),5481.097345132744)</f>
        <v>5481.097345</v>
      </c>
      <c r="J2626" s="10">
        <f>IFERROR(__xludf.DUMMYFUNCTION("""COMPUTED_VALUE"""),2.0)</f>
        <v>2</v>
      </c>
      <c r="K2626" s="5">
        <f>IFERROR(__xludf.DUMMYFUNCTION("""COMPUTED_VALUE"""),0.001607717041800643)</f>
        <v>0.001607717042</v>
      </c>
      <c r="L2626" s="10">
        <f>IFERROR(__xludf.DUMMYFUNCTION("""COMPUTED_VALUE"""),1244.0)</f>
        <v>1244</v>
      </c>
      <c r="M2626" s="5">
        <f>IFERROR(__xludf.DUMMYFUNCTION("""COMPUTED_VALUE"""),1.0)</f>
        <v>1</v>
      </c>
    </row>
    <row r="2627">
      <c r="A2627" s="10" t="str">
        <f>IFERROR(__xludf.DUMMYFUNCTION("""COMPUTED_VALUE"""),"番犬君")</f>
        <v>番犬君</v>
      </c>
      <c r="B2627" s="10">
        <f>IFERROR(__xludf.DUMMYFUNCTION("""COMPUTED_VALUE"""),283.0)</f>
        <v>283</v>
      </c>
      <c r="C2627" s="10">
        <f>IFERROR(__xludf.DUMMYFUNCTION("""COMPUTED_VALUE"""),3351.0)</f>
        <v>3351</v>
      </c>
      <c r="D2627" s="5">
        <f>IFERROR(__xludf.DUMMYFUNCTION("""COMPUTED_VALUE"""),0.3321382007822686)</f>
        <v>0.3321382008</v>
      </c>
      <c r="E2627" s="5">
        <f>IFERROR(__xludf.DUMMYFUNCTION("""COMPUTED_VALUE"""),0.12842242503259452)</f>
        <v>0.128422425</v>
      </c>
      <c r="F2627" s="5">
        <f>IFERROR(__xludf.DUMMYFUNCTION("""COMPUTED_VALUE"""),0.21251629726205998)</f>
        <v>0.2125162973</v>
      </c>
      <c r="G2627" s="5">
        <f>IFERROR(__xludf.DUMMYFUNCTION("""COMPUTED_VALUE"""),0.17307692307692307)</f>
        <v>0.1730769231</v>
      </c>
      <c r="H2627" s="5">
        <f>IFERROR(__xludf.DUMMYFUNCTION("""COMPUTED_VALUE"""),0.5843558282208589)</f>
        <v>0.5843558282</v>
      </c>
      <c r="I2627" s="11">
        <f>IFERROR(__xludf.DUMMYFUNCTION("""COMPUTED_VALUE"""),5705.521472392638)</f>
        <v>5705.521472</v>
      </c>
      <c r="J2627" s="10">
        <f>IFERROR(__xludf.DUMMYFUNCTION("""COMPUTED_VALUE"""),0.0)</f>
        <v>0</v>
      </c>
      <c r="K2627" s="5">
        <f>IFERROR(__xludf.DUMMYFUNCTION("""COMPUTED_VALUE"""),0.0)</f>
        <v>0</v>
      </c>
      <c r="L2627" s="10">
        <f>IFERROR(__xludf.DUMMYFUNCTION("""COMPUTED_VALUE"""),283.0)</f>
        <v>283</v>
      </c>
      <c r="M2627" s="5">
        <f>IFERROR(__xludf.DUMMYFUNCTION("""COMPUTED_VALUE"""),1.0)</f>
        <v>1</v>
      </c>
    </row>
    <row r="2628">
      <c r="A2628" s="10" t="str">
        <f>IFERROR(__xludf.DUMMYFUNCTION("""COMPUTED_VALUE"""),"船見結衣ちゃん")</f>
        <v>船見結衣ちゃん</v>
      </c>
      <c r="B2628" s="10">
        <f>IFERROR(__xludf.DUMMYFUNCTION("""COMPUTED_VALUE"""),369.0)</f>
        <v>369</v>
      </c>
      <c r="C2628" s="10">
        <f>IFERROR(__xludf.DUMMYFUNCTION("""COMPUTED_VALUE"""),4278.0)</f>
        <v>4278</v>
      </c>
      <c r="D2628" s="5">
        <f>IFERROR(__xludf.DUMMYFUNCTION("""COMPUTED_VALUE"""),0.3525198260424661)</f>
        <v>0.352519826</v>
      </c>
      <c r="E2628" s="5">
        <f>IFERROR(__xludf.DUMMYFUNCTION("""COMPUTED_VALUE"""),0.12842159119979535)</f>
        <v>0.1284215912</v>
      </c>
      <c r="F2628" s="5">
        <f>IFERROR(__xludf.DUMMYFUNCTION("""COMPUTED_VALUE"""),0.21105141980046047)</f>
        <v>0.2110514198</v>
      </c>
      <c r="G2628" s="5">
        <f>IFERROR(__xludf.DUMMYFUNCTION("""COMPUTED_VALUE"""),0.18726016884113583)</f>
        <v>0.1872601688</v>
      </c>
      <c r="H2628" s="5">
        <f>IFERROR(__xludf.DUMMYFUNCTION("""COMPUTED_VALUE"""),0.6242424242424243)</f>
        <v>0.6242424242</v>
      </c>
      <c r="I2628" s="11">
        <f>IFERROR(__xludf.DUMMYFUNCTION("""COMPUTED_VALUE"""),5972.484848484848)</f>
        <v>5972.484848</v>
      </c>
      <c r="J2628" s="10">
        <f>IFERROR(__xludf.DUMMYFUNCTION("""COMPUTED_VALUE"""),0.0)</f>
        <v>0</v>
      </c>
      <c r="K2628" s="5">
        <f>IFERROR(__xludf.DUMMYFUNCTION("""COMPUTED_VALUE"""),0.0)</f>
        <v>0</v>
      </c>
      <c r="L2628" s="10">
        <f>IFERROR(__xludf.DUMMYFUNCTION("""COMPUTED_VALUE"""),1.0)</f>
        <v>1</v>
      </c>
      <c r="M2628" s="5">
        <f>IFERROR(__xludf.DUMMYFUNCTION("""COMPUTED_VALUE"""),0.0027100271002710027)</f>
        <v>0.0027100271</v>
      </c>
    </row>
    <row r="2629">
      <c r="A2629" s="10" t="str">
        <f>IFERROR(__xludf.DUMMYFUNCTION("""COMPUTED_VALUE"""),"闇サトシ")</f>
        <v>闇サトシ</v>
      </c>
      <c r="B2629" s="10">
        <f>IFERROR(__xludf.DUMMYFUNCTION("""COMPUTED_VALUE"""),598.0)</f>
        <v>598</v>
      </c>
      <c r="C2629" s="10">
        <f>IFERROR(__xludf.DUMMYFUNCTION("""COMPUTED_VALUE"""),7038.0)</f>
        <v>7038</v>
      </c>
      <c r="D2629" s="5">
        <f>IFERROR(__xludf.DUMMYFUNCTION("""COMPUTED_VALUE"""),0.40170807453416146)</f>
        <v>0.4017080745</v>
      </c>
      <c r="E2629" s="5">
        <f>IFERROR(__xludf.DUMMYFUNCTION("""COMPUTED_VALUE"""),0.128416149068323)</f>
        <v>0.1284161491</v>
      </c>
      <c r="F2629" s="5">
        <f>IFERROR(__xludf.DUMMYFUNCTION("""COMPUTED_VALUE"""),0.22111801242236026)</f>
        <v>0.2211180124</v>
      </c>
      <c r="G2629" s="5">
        <f>IFERROR(__xludf.DUMMYFUNCTION("""COMPUTED_VALUE"""),0.17003105590062112)</f>
        <v>0.1700310559</v>
      </c>
      <c r="H2629" s="5">
        <f>IFERROR(__xludf.DUMMYFUNCTION("""COMPUTED_VALUE"""),0.6257022471910112)</f>
        <v>0.6257022472</v>
      </c>
      <c r="I2629" s="11">
        <f>IFERROR(__xludf.DUMMYFUNCTION("""COMPUTED_VALUE"""),4924.2275280898875)</f>
        <v>4924.227528</v>
      </c>
      <c r="J2629" s="10">
        <f>IFERROR(__xludf.DUMMYFUNCTION("""COMPUTED_VALUE"""),0.0)</f>
        <v>0</v>
      </c>
      <c r="K2629" s="5">
        <f>IFERROR(__xludf.DUMMYFUNCTION("""COMPUTED_VALUE"""),0.0)</f>
        <v>0</v>
      </c>
      <c r="L2629" s="10">
        <f>IFERROR(__xludf.DUMMYFUNCTION("""COMPUTED_VALUE"""),30.0)</f>
        <v>30</v>
      </c>
      <c r="M2629" s="5">
        <f>IFERROR(__xludf.DUMMYFUNCTION("""COMPUTED_VALUE"""),0.05016722408026756)</f>
        <v>0.05016722408</v>
      </c>
    </row>
    <row r="2630">
      <c r="A2630" s="10" t="str">
        <f>IFERROR(__xludf.DUMMYFUNCTION("""COMPUTED_VALUE"""),"ヒとシ")</f>
        <v>ヒとシ</v>
      </c>
      <c r="B2630" s="10">
        <f>IFERROR(__xludf.DUMMYFUNCTION("""COMPUTED_VALUE"""),1329.0)</f>
        <v>1329</v>
      </c>
      <c r="C2630" s="10">
        <f>IFERROR(__xludf.DUMMYFUNCTION("""COMPUTED_VALUE"""),15651.0)</f>
        <v>15651</v>
      </c>
      <c r="D2630" s="5">
        <f>IFERROR(__xludf.DUMMYFUNCTION("""COMPUTED_VALUE"""),0.3237676302192431)</f>
        <v>0.3237676302</v>
      </c>
      <c r="E2630" s="5">
        <f>IFERROR(__xludf.DUMMYFUNCTION("""COMPUTED_VALUE"""),0.1284038542103058)</f>
        <v>0.1284038542</v>
      </c>
      <c r="F2630" s="5">
        <f>IFERROR(__xludf.DUMMYFUNCTION("""COMPUTED_VALUE"""),0.20932830610249964)</f>
        <v>0.2093283061</v>
      </c>
      <c r="G2630" s="5">
        <f>IFERROR(__xludf.DUMMYFUNCTION("""COMPUTED_VALUE"""),0.18091048736210028)</f>
        <v>0.1809104874</v>
      </c>
      <c r="H2630" s="5">
        <f>IFERROR(__xludf.DUMMYFUNCTION("""COMPUTED_VALUE"""),0.5867244829886591)</f>
        <v>0.586724483</v>
      </c>
      <c r="I2630" s="11">
        <f>IFERROR(__xludf.DUMMYFUNCTION("""COMPUTED_VALUE"""),5869.579719813209)</f>
        <v>5869.57972</v>
      </c>
      <c r="J2630" s="10">
        <f>IFERROR(__xludf.DUMMYFUNCTION("""COMPUTED_VALUE"""),5.0)</f>
        <v>5</v>
      </c>
      <c r="K2630" s="5">
        <f>IFERROR(__xludf.DUMMYFUNCTION("""COMPUTED_VALUE"""),0.003762227238525207)</f>
        <v>0.003762227239</v>
      </c>
      <c r="L2630" s="10">
        <f>IFERROR(__xludf.DUMMYFUNCTION("""COMPUTED_VALUE"""),1329.0)</f>
        <v>1329</v>
      </c>
      <c r="M2630" s="5">
        <f>IFERROR(__xludf.DUMMYFUNCTION("""COMPUTED_VALUE"""),1.0)</f>
        <v>1</v>
      </c>
    </row>
    <row r="2631">
      <c r="A2631" s="10" t="str">
        <f>IFERROR(__xludf.DUMMYFUNCTION("""COMPUTED_VALUE"""),"ハス太")</f>
        <v>ハス太</v>
      </c>
      <c r="B2631" s="10">
        <f>IFERROR(__xludf.DUMMYFUNCTION("""COMPUTED_VALUE"""),4567.0)</f>
        <v>4567</v>
      </c>
      <c r="C2631" s="10">
        <f>IFERROR(__xludf.DUMMYFUNCTION("""COMPUTED_VALUE"""),53180.0)</f>
        <v>53180</v>
      </c>
      <c r="D2631" s="5">
        <f>IFERROR(__xludf.DUMMYFUNCTION("""COMPUTED_VALUE"""),0.2969987451916154)</f>
        <v>0.2969987452</v>
      </c>
      <c r="E2631" s="5">
        <f>IFERROR(__xludf.DUMMYFUNCTION("""COMPUTED_VALUE"""),0.1284018678131364)</f>
        <v>0.1284018678</v>
      </c>
      <c r="F2631" s="5">
        <f>IFERROR(__xludf.DUMMYFUNCTION("""COMPUTED_VALUE"""),0.19900026741818033)</f>
        <v>0.1990002674</v>
      </c>
      <c r="G2631" s="5">
        <f>IFERROR(__xludf.DUMMYFUNCTION("""COMPUTED_VALUE"""),0.19612037932240348)</f>
        <v>0.1961203793</v>
      </c>
      <c r="H2631" s="5">
        <f>IFERROR(__xludf.DUMMYFUNCTION("""COMPUTED_VALUE"""),0.57949142030184)</f>
        <v>0.5794914203</v>
      </c>
      <c r="I2631" s="11">
        <f>IFERROR(__xludf.DUMMYFUNCTION("""COMPUTED_VALUE"""),6177.610088898077)</f>
        <v>6177.610089</v>
      </c>
      <c r="J2631" s="10">
        <f>IFERROR(__xludf.DUMMYFUNCTION("""COMPUTED_VALUE"""),12.0)</f>
        <v>12</v>
      </c>
      <c r="K2631" s="5">
        <f>IFERROR(__xludf.DUMMYFUNCTION("""COMPUTED_VALUE"""),0.0026275454346398074)</f>
        <v>0.002627545435</v>
      </c>
      <c r="L2631" s="10">
        <f>IFERROR(__xludf.DUMMYFUNCTION("""COMPUTED_VALUE"""),4567.0)</f>
        <v>4567</v>
      </c>
      <c r="M2631" s="5">
        <f>IFERROR(__xludf.DUMMYFUNCTION("""COMPUTED_VALUE"""),1.0)</f>
        <v>1</v>
      </c>
    </row>
    <row r="2632">
      <c r="A2632" s="10" t="str">
        <f>IFERROR(__xludf.DUMMYFUNCTION("""COMPUTED_VALUE"""),"godai")</f>
        <v>godai</v>
      </c>
      <c r="B2632" s="10">
        <f>IFERROR(__xludf.DUMMYFUNCTION("""COMPUTED_VALUE"""),708.0)</f>
        <v>708</v>
      </c>
      <c r="C2632" s="10">
        <f>IFERROR(__xludf.DUMMYFUNCTION("""COMPUTED_VALUE"""),8216.0)</f>
        <v>8216</v>
      </c>
      <c r="D2632" s="5">
        <f>IFERROR(__xludf.DUMMYFUNCTION("""COMPUTED_VALUE"""),0.34416622269579117)</f>
        <v>0.3441662227</v>
      </c>
      <c r="E2632" s="5">
        <f>IFERROR(__xludf.DUMMYFUNCTION("""COMPUTED_VALUE"""),0.12839637719765584)</f>
        <v>0.1283963772</v>
      </c>
      <c r="F2632" s="5">
        <f>IFERROR(__xludf.DUMMYFUNCTION("""COMPUTED_VALUE"""),0.20458177943526903)</f>
        <v>0.2045817794</v>
      </c>
      <c r="G2632" s="5">
        <f>IFERROR(__xludf.DUMMYFUNCTION("""COMPUTED_VALUE"""),0.13465636654235483)</f>
        <v>0.1346563665</v>
      </c>
      <c r="H2632" s="5">
        <f>IFERROR(__xludf.DUMMYFUNCTION("""COMPUTED_VALUE"""),0.5794270833333334)</f>
        <v>0.5794270833</v>
      </c>
      <c r="I2632" s="11">
        <f>IFERROR(__xludf.DUMMYFUNCTION("""COMPUTED_VALUE"""),5553.3203125)</f>
        <v>5553.320313</v>
      </c>
      <c r="J2632" s="10">
        <f>IFERROR(__xludf.DUMMYFUNCTION("""COMPUTED_VALUE"""),1.0)</f>
        <v>1</v>
      </c>
      <c r="K2632" s="5">
        <f>IFERROR(__xludf.DUMMYFUNCTION("""COMPUTED_VALUE"""),0.0014124293785310734)</f>
        <v>0.001412429379</v>
      </c>
      <c r="L2632" s="10">
        <f>IFERROR(__xludf.DUMMYFUNCTION("""COMPUTED_VALUE"""),708.0)</f>
        <v>708</v>
      </c>
      <c r="M2632" s="5">
        <f>IFERROR(__xludf.DUMMYFUNCTION("""COMPUTED_VALUE"""),1.0)</f>
        <v>1</v>
      </c>
    </row>
    <row r="2633">
      <c r="A2633" s="10" t="str">
        <f>IFERROR(__xludf.DUMMYFUNCTION("""COMPUTED_VALUE"""),"双葉立直")</f>
        <v>双葉立直</v>
      </c>
      <c r="B2633" s="10">
        <f>IFERROR(__xludf.DUMMYFUNCTION("""COMPUTED_VALUE"""),156.0)</f>
        <v>156</v>
      </c>
      <c r="C2633" s="10">
        <f>IFERROR(__xludf.DUMMYFUNCTION("""COMPUTED_VALUE"""),1776.0)</f>
        <v>1776</v>
      </c>
      <c r="D2633" s="5">
        <f>IFERROR(__xludf.DUMMYFUNCTION("""COMPUTED_VALUE"""),0.3765432098765432)</f>
        <v>0.3765432099</v>
      </c>
      <c r="E2633" s="5">
        <f>IFERROR(__xludf.DUMMYFUNCTION("""COMPUTED_VALUE"""),0.12839506172839507)</f>
        <v>0.1283950617</v>
      </c>
      <c r="F2633" s="5">
        <f>IFERROR(__xludf.DUMMYFUNCTION("""COMPUTED_VALUE"""),0.22037037037037038)</f>
        <v>0.2203703704</v>
      </c>
      <c r="G2633" s="5">
        <f>IFERROR(__xludf.DUMMYFUNCTION("""COMPUTED_VALUE"""),0.18580246913580248)</f>
        <v>0.1858024691</v>
      </c>
      <c r="H2633" s="5">
        <f>IFERROR(__xludf.DUMMYFUNCTION("""COMPUTED_VALUE"""),0.6134453781512605)</f>
        <v>0.6134453782</v>
      </c>
      <c r="I2633" s="11">
        <f>IFERROR(__xludf.DUMMYFUNCTION("""COMPUTED_VALUE"""),5643.137254901961)</f>
        <v>5643.137255</v>
      </c>
      <c r="J2633" s="10">
        <f>IFERROR(__xludf.DUMMYFUNCTION("""COMPUTED_VALUE"""),0.0)</f>
        <v>0</v>
      </c>
      <c r="K2633" s="5">
        <f>IFERROR(__xludf.DUMMYFUNCTION("""COMPUTED_VALUE"""),0.0)</f>
        <v>0</v>
      </c>
      <c r="L2633" s="10">
        <f>IFERROR(__xludf.DUMMYFUNCTION("""COMPUTED_VALUE"""),0.0)</f>
        <v>0</v>
      </c>
      <c r="M2633" s="5">
        <f>IFERROR(__xludf.DUMMYFUNCTION("""COMPUTED_VALUE"""),0.0)</f>
        <v>0</v>
      </c>
    </row>
    <row r="2634">
      <c r="A2634" s="10" t="str">
        <f>IFERROR(__xludf.DUMMYFUNCTION("""COMPUTED_VALUE"""),"がおー")</f>
        <v>がおー</v>
      </c>
      <c r="B2634" s="10">
        <f>IFERROR(__xludf.DUMMYFUNCTION("""COMPUTED_VALUE"""),203.0)</f>
        <v>203</v>
      </c>
      <c r="C2634" s="10">
        <f>IFERROR(__xludf.DUMMYFUNCTION("""COMPUTED_VALUE"""),2415.0)</f>
        <v>2415</v>
      </c>
      <c r="D2634" s="5">
        <f>IFERROR(__xludf.DUMMYFUNCTION("""COMPUTED_VALUE"""),0.37386980108499096)</f>
        <v>0.3738698011</v>
      </c>
      <c r="E2634" s="5">
        <f>IFERROR(__xludf.DUMMYFUNCTION("""COMPUTED_VALUE"""),0.12839059674502712)</f>
        <v>0.1283905967</v>
      </c>
      <c r="F2634" s="5">
        <f>IFERROR(__xludf.DUMMYFUNCTION("""COMPUTED_VALUE"""),0.19665461121157324)</f>
        <v>0.1966546112</v>
      </c>
      <c r="G2634" s="5">
        <f>IFERROR(__xludf.DUMMYFUNCTION("""COMPUTED_VALUE"""),0.16003616636528029)</f>
        <v>0.1600361664</v>
      </c>
      <c r="H2634" s="5">
        <f>IFERROR(__xludf.DUMMYFUNCTION("""COMPUTED_VALUE"""),0.5678160919540229)</f>
        <v>0.567816092</v>
      </c>
      <c r="I2634" s="11">
        <f>IFERROR(__xludf.DUMMYFUNCTION("""COMPUTED_VALUE"""),5781.83908045977)</f>
        <v>5781.83908</v>
      </c>
      <c r="J2634" s="10">
        <f>IFERROR(__xludf.DUMMYFUNCTION("""COMPUTED_VALUE"""),0.0)</f>
        <v>0</v>
      </c>
      <c r="K2634" s="5">
        <f>IFERROR(__xludf.DUMMYFUNCTION("""COMPUTED_VALUE"""),0.0)</f>
        <v>0</v>
      </c>
      <c r="L2634" s="10">
        <f>IFERROR(__xludf.DUMMYFUNCTION("""COMPUTED_VALUE"""),59.0)</f>
        <v>59</v>
      </c>
      <c r="M2634" s="5">
        <f>IFERROR(__xludf.DUMMYFUNCTION("""COMPUTED_VALUE"""),0.29064039408866993)</f>
        <v>0.2906403941</v>
      </c>
    </row>
    <row r="2635">
      <c r="A2635" s="10" t="str">
        <f>IFERROR(__xludf.DUMMYFUNCTION("""COMPUTED_VALUE"""),"さらせすいちゅな")</f>
        <v>さらせすいちゅな</v>
      </c>
      <c r="B2635" s="10">
        <f>IFERROR(__xludf.DUMMYFUNCTION("""COMPUTED_VALUE"""),758.0)</f>
        <v>758</v>
      </c>
      <c r="C2635" s="10">
        <f>IFERROR(__xludf.DUMMYFUNCTION("""COMPUTED_VALUE"""),8835.0)</f>
        <v>8835</v>
      </c>
      <c r="D2635" s="5">
        <f>IFERROR(__xludf.DUMMYFUNCTION("""COMPUTED_VALUE"""),0.3186826792125789)</f>
        <v>0.3186826792</v>
      </c>
      <c r="E2635" s="5">
        <f>IFERROR(__xludf.DUMMYFUNCTION("""COMPUTED_VALUE"""),0.12838925343568156)</f>
        <v>0.1283892534</v>
      </c>
      <c r="F2635" s="5">
        <f>IFERROR(__xludf.DUMMYFUNCTION("""COMPUTED_VALUE"""),0.19772192645784326)</f>
        <v>0.1977219265</v>
      </c>
      <c r="G2635" s="5">
        <f>IFERROR(__xludf.DUMMYFUNCTION("""COMPUTED_VALUE"""),0.18893153398539062)</f>
        <v>0.188931534</v>
      </c>
      <c r="H2635" s="5">
        <f>IFERROR(__xludf.DUMMYFUNCTION("""COMPUTED_VALUE"""),0.5723231058234189)</f>
        <v>0.5723231058</v>
      </c>
      <c r="I2635" s="11">
        <f>IFERROR(__xludf.DUMMYFUNCTION("""COMPUTED_VALUE"""),6198.2467125860985)</f>
        <v>6198.246713</v>
      </c>
      <c r="J2635" s="10">
        <f>IFERROR(__xludf.DUMMYFUNCTION("""COMPUTED_VALUE"""),1.0)</f>
        <v>1</v>
      </c>
      <c r="K2635" s="5">
        <f>IFERROR(__xludf.DUMMYFUNCTION("""COMPUTED_VALUE"""),0.0013192612137203166)</f>
        <v>0.001319261214</v>
      </c>
      <c r="L2635" s="10">
        <f>IFERROR(__xludf.DUMMYFUNCTION("""COMPUTED_VALUE"""),758.0)</f>
        <v>758</v>
      </c>
      <c r="M2635" s="5">
        <f>IFERROR(__xludf.DUMMYFUNCTION("""COMPUTED_VALUE"""),1.0)</f>
        <v>1</v>
      </c>
    </row>
    <row r="2636">
      <c r="A2636" s="10" t="str">
        <f>IFERROR(__xludf.DUMMYFUNCTION("""COMPUTED_VALUE"""),"たる")</f>
        <v>たる</v>
      </c>
      <c r="B2636" s="10">
        <f>IFERROR(__xludf.DUMMYFUNCTION("""COMPUTED_VALUE"""),315.0)</f>
        <v>315</v>
      </c>
      <c r="C2636" s="10">
        <f>IFERROR(__xludf.DUMMYFUNCTION("""COMPUTED_VALUE"""),3820.0)</f>
        <v>3820</v>
      </c>
      <c r="D2636" s="5">
        <f>IFERROR(__xludf.DUMMYFUNCTION("""COMPUTED_VALUE"""),0.30841654778887306)</f>
        <v>0.3084165478</v>
      </c>
      <c r="E2636" s="5">
        <f>IFERROR(__xludf.DUMMYFUNCTION("""COMPUTED_VALUE"""),0.12838801711840228)</f>
        <v>0.1283880171</v>
      </c>
      <c r="F2636" s="5">
        <f>IFERROR(__xludf.DUMMYFUNCTION("""COMPUTED_VALUE"""),0.20770328102710414)</f>
        <v>0.207703281</v>
      </c>
      <c r="G2636" s="5">
        <f>IFERROR(__xludf.DUMMYFUNCTION("""COMPUTED_VALUE"""),0.16119828815977175)</f>
        <v>0.1611982882</v>
      </c>
      <c r="H2636" s="5">
        <f>IFERROR(__xludf.DUMMYFUNCTION("""COMPUTED_VALUE"""),0.5961538461538461)</f>
        <v>0.5961538462</v>
      </c>
      <c r="I2636" s="11">
        <f>IFERROR(__xludf.DUMMYFUNCTION("""COMPUTED_VALUE"""),5405.631868131868)</f>
        <v>5405.631868</v>
      </c>
      <c r="J2636" s="10">
        <f>IFERROR(__xludf.DUMMYFUNCTION("""COMPUTED_VALUE"""),0.0)</f>
        <v>0</v>
      </c>
      <c r="K2636" s="5">
        <f>IFERROR(__xludf.DUMMYFUNCTION("""COMPUTED_VALUE"""),0.0)</f>
        <v>0</v>
      </c>
      <c r="L2636" s="10">
        <f>IFERROR(__xludf.DUMMYFUNCTION("""COMPUTED_VALUE"""),315.0)</f>
        <v>315</v>
      </c>
      <c r="M2636" s="5">
        <f>IFERROR(__xludf.DUMMYFUNCTION("""COMPUTED_VALUE"""),1.0)</f>
        <v>1</v>
      </c>
    </row>
    <row r="2637">
      <c r="A2637" s="10" t="str">
        <f>IFERROR(__xludf.DUMMYFUNCTION("""COMPUTED_VALUE"""),"どきゅんちゃん")</f>
        <v>どきゅんちゃん</v>
      </c>
      <c r="B2637" s="10">
        <f>IFERROR(__xludf.DUMMYFUNCTION("""COMPUTED_VALUE"""),341.0)</f>
        <v>341</v>
      </c>
      <c r="C2637" s="10">
        <f>IFERROR(__xludf.DUMMYFUNCTION("""COMPUTED_VALUE"""),3932.0)</f>
        <v>3932</v>
      </c>
      <c r="D2637" s="5">
        <f>IFERROR(__xludf.DUMMYFUNCTION("""COMPUTED_VALUE"""),0.341130604288499)</f>
        <v>0.3411306043</v>
      </c>
      <c r="E2637" s="5">
        <f>IFERROR(__xludf.DUMMYFUNCTION("""COMPUTED_VALUE"""),0.12837649679754942)</f>
        <v>0.1283764968</v>
      </c>
      <c r="F2637" s="5">
        <f>IFERROR(__xludf.DUMMYFUNCTION("""COMPUTED_VALUE"""),0.19883040935672514)</f>
        <v>0.1988304094</v>
      </c>
      <c r="G2637" s="5">
        <f>IFERROR(__xludf.DUMMYFUNCTION("""COMPUTED_VALUE"""),0.16123642439431912)</f>
        <v>0.1612364244</v>
      </c>
      <c r="H2637" s="5">
        <f>IFERROR(__xludf.DUMMYFUNCTION("""COMPUTED_VALUE"""),0.5798319327731093)</f>
        <v>0.5798319328</v>
      </c>
      <c r="I2637" s="11">
        <f>IFERROR(__xludf.DUMMYFUNCTION("""COMPUTED_VALUE"""),5728.711484593838)</f>
        <v>5728.711485</v>
      </c>
      <c r="J2637" s="10">
        <f>IFERROR(__xludf.DUMMYFUNCTION("""COMPUTED_VALUE"""),0.0)</f>
        <v>0</v>
      </c>
      <c r="K2637" s="5">
        <f>IFERROR(__xludf.DUMMYFUNCTION("""COMPUTED_VALUE"""),0.0)</f>
        <v>0</v>
      </c>
      <c r="L2637" s="10">
        <f>IFERROR(__xludf.DUMMYFUNCTION("""COMPUTED_VALUE"""),1.0)</f>
        <v>1</v>
      </c>
      <c r="M2637" s="5">
        <f>IFERROR(__xludf.DUMMYFUNCTION("""COMPUTED_VALUE"""),0.002932551319648094)</f>
        <v>0.00293255132</v>
      </c>
    </row>
    <row r="2638">
      <c r="A2638" s="10" t="str">
        <f>IFERROR(__xludf.DUMMYFUNCTION("""COMPUTED_VALUE"""),"McClane.")</f>
        <v>McClane.</v>
      </c>
      <c r="B2638" s="10">
        <f>IFERROR(__xludf.DUMMYFUNCTION("""COMPUTED_VALUE"""),242.0)</f>
        <v>242</v>
      </c>
      <c r="C2638" s="10">
        <f>IFERROR(__xludf.DUMMYFUNCTION("""COMPUTED_VALUE"""),2883.0)</f>
        <v>2883</v>
      </c>
      <c r="D2638" s="5">
        <f>IFERROR(__xludf.DUMMYFUNCTION("""COMPUTED_VALUE"""),0.3332071185157137)</f>
        <v>0.3332071185</v>
      </c>
      <c r="E2638" s="5">
        <f>IFERROR(__xludf.DUMMYFUNCTION("""COMPUTED_VALUE"""),0.12836046951912156)</f>
        <v>0.1283604695</v>
      </c>
      <c r="F2638" s="5">
        <f>IFERROR(__xludf.DUMMYFUNCTION("""COMPUTED_VALUE"""),0.19348731541082922)</f>
        <v>0.1934873154</v>
      </c>
      <c r="G2638" s="5">
        <f>IFERROR(__xludf.DUMMYFUNCTION("""COMPUTED_VALUE"""),0.14199166982203712)</f>
        <v>0.1419916698</v>
      </c>
      <c r="H2638" s="5">
        <f>IFERROR(__xludf.DUMMYFUNCTION("""COMPUTED_VALUE"""),0.5909980430528375)</f>
        <v>0.5909980431</v>
      </c>
      <c r="I2638" s="11">
        <f>IFERROR(__xludf.DUMMYFUNCTION("""COMPUTED_VALUE"""),5482.583170254403)</f>
        <v>5482.58317</v>
      </c>
      <c r="J2638" s="10">
        <f>IFERROR(__xludf.DUMMYFUNCTION("""COMPUTED_VALUE"""),0.0)</f>
        <v>0</v>
      </c>
      <c r="K2638" s="5">
        <f>IFERROR(__xludf.DUMMYFUNCTION("""COMPUTED_VALUE"""),0.0)</f>
        <v>0</v>
      </c>
      <c r="L2638" s="10">
        <f>IFERROR(__xludf.DUMMYFUNCTION("""COMPUTED_VALUE"""),242.0)</f>
        <v>242</v>
      </c>
      <c r="M2638" s="5">
        <f>IFERROR(__xludf.DUMMYFUNCTION("""COMPUTED_VALUE"""),1.0)</f>
        <v>1</v>
      </c>
    </row>
    <row r="2639">
      <c r="A2639" s="10" t="str">
        <f>IFERROR(__xludf.DUMMYFUNCTION("""COMPUTED_VALUE"""),"じまのり")</f>
        <v>じまのり</v>
      </c>
      <c r="B2639" s="10">
        <f>IFERROR(__xludf.DUMMYFUNCTION("""COMPUTED_VALUE"""),828.0)</f>
        <v>828</v>
      </c>
      <c r="C2639" s="10">
        <f>IFERROR(__xludf.DUMMYFUNCTION("""COMPUTED_VALUE"""),9546.0)</f>
        <v>9546</v>
      </c>
      <c r="D2639" s="5">
        <f>IFERROR(__xludf.DUMMYFUNCTION("""COMPUTED_VALUE"""),0.34124799265886674)</f>
        <v>0.3412479927</v>
      </c>
      <c r="E2639" s="5">
        <f>IFERROR(__xludf.DUMMYFUNCTION("""COMPUTED_VALUE"""),0.12835512732278045)</f>
        <v>0.1283551273</v>
      </c>
      <c r="F2639" s="5">
        <f>IFERROR(__xludf.DUMMYFUNCTION("""COMPUTED_VALUE"""),0.19912824042211516)</f>
        <v>0.1991282404</v>
      </c>
      <c r="G2639" s="5">
        <f>IFERROR(__xludf.DUMMYFUNCTION("""COMPUTED_VALUE"""),0.170796054140858)</f>
        <v>0.1707960541</v>
      </c>
      <c r="H2639" s="5">
        <f>IFERROR(__xludf.DUMMYFUNCTION("""COMPUTED_VALUE"""),0.591589861751152)</f>
        <v>0.5915898618</v>
      </c>
      <c r="I2639" s="11">
        <f>IFERROR(__xludf.DUMMYFUNCTION("""COMPUTED_VALUE"""),5806.797235023041)</f>
        <v>5806.797235</v>
      </c>
      <c r="J2639" s="10">
        <f>IFERROR(__xludf.DUMMYFUNCTION("""COMPUTED_VALUE"""),1.0)</f>
        <v>1</v>
      </c>
      <c r="K2639" s="5">
        <f>IFERROR(__xludf.DUMMYFUNCTION("""COMPUTED_VALUE"""),0.0012077294685990338)</f>
        <v>0.001207729469</v>
      </c>
      <c r="L2639" s="10">
        <f>IFERROR(__xludf.DUMMYFUNCTION("""COMPUTED_VALUE"""),828.0)</f>
        <v>828</v>
      </c>
      <c r="M2639" s="5">
        <f>IFERROR(__xludf.DUMMYFUNCTION("""COMPUTED_VALUE"""),1.0)</f>
        <v>1</v>
      </c>
    </row>
    <row r="2640">
      <c r="A2640" s="10" t="str">
        <f>IFERROR(__xludf.DUMMYFUNCTION("""COMPUTED_VALUE"""),"たんゆう")</f>
        <v>たんゆう</v>
      </c>
      <c r="B2640" s="10">
        <f>IFERROR(__xludf.DUMMYFUNCTION("""COMPUTED_VALUE"""),3101.0)</f>
        <v>3101</v>
      </c>
      <c r="C2640" s="10">
        <f>IFERROR(__xludf.DUMMYFUNCTION("""COMPUTED_VALUE"""),36268.0)</f>
        <v>36268</v>
      </c>
      <c r="D2640" s="5">
        <f>IFERROR(__xludf.DUMMYFUNCTION("""COMPUTED_VALUE"""),0.34781559984321764)</f>
        <v>0.3478155998</v>
      </c>
      <c r="E2640" s="5">
        <f>IFERROR(__xludf.DUMMYFUNCTION("""COMPUTED_VALUE"""),0.12835046883950915)</f>
        <v>0.1283504688</v>
      </c>
      <c r="F2640" s="5">
        <f>IFERROR(__xludf.DUMMYFUNCTION("""COMPUTED_VALUE"""),0.21467120933457956)</f>
        <v>0.2146712093</v>
      </c>
      <c r="G2640" s="5">
        <f>IFERROR(__xludf.DUMMYFUNCTION("""COMPUTED_VALUE"""),0.14882262489824222)</f>
        <v>0.1488226249</v>
      </c>
      <c r="H2640" s="5">
        <f>IFERROR(__xludf.DUMMYFUNCTION("""COMPUTED_VALUE"""),0.6039325842696629)</f>
        <v>0.6039325843</v>
      </c>
      <c r="I2640" s="11">
        <f>IFERROR(__xludf.DUMMYFUNCTION("""COMPUTED_VALUE"""),5617.626404494382)</f>
        <v>5617.626404</v>
      </c>
      <c r="J2640" s="10">
        <f>IFERROR(__xludf.DUMMYFUNCTION("""COMPUTED_VALUE"""),7.0)</f>
        <v>7</v>
      </c>
      <c r="K2640" s="5">
        <f>IFERROR(__xludf.DUMMYFUNCTION("""COMPUTED_VALUE"""),0.002257336343115124)</f>
        <v>0.002257336343</v>
      </c>
      <c r="L2640" s="10">
        <f>IFERROR(__xludf.DUMMYFUNCTION("""COMPUTED_VALUE"""),0.0)</f>
        <v>0</v>
      </c>
      <c r="M2640" s="5">
        <f>IFERROR(__xludf.DUMMYFUNCTION("""COMPUTED_VALUE"""),0.0)</f>
        <v>0</v>
      </c>
    </row>
    <row r="2641">
      <c r="A2641" s="10" t="str">
        <f>IFERROR(__xludf.DUMMYFUNCTION("""COMPUTED_VALUE"""),"大胆にダイタ")</f>
        <v>大胆にダイタ</v>
      </c>
      <c r="B2641" s="10">
        <f>IFERROR(__xludf.DUMMYFUNCTION("""COMPUTED_VALUE"""),1487.0)</f>
        <v>1487</v>
      </c>
      <c r="C2641" s="10">
        <f>IFERROR(__xludf.DUMMYFUNCTION("""COMPUTED_VALUE"""),17498.0)</f>
        <v>17498</v>
      </c>
      <c r="D2641" s="5">
        <f>IFERROR(__xludf.DUMMYFUNCTION("""COMPUTED_VALUE"""),0.3406408094435076)</f>
        <v>0.3406408094</v>
      </c>
      <c r="E2641" s="5">
        <f>IFERROR(__xludf.DUMMYFUNCTION("""COMPUTED_VALUE"""),0.12834925988382986)</f>
        <v>0.1283492599</v>
      </c>
      <c r="F2641" s="5">
        <f>IFERROR(__xludf.DUMMYFUNCTION("""COMPUTED_VALUE"""),0.20223596277559178)</f>
        <v>0.2022359628</v>
      </c>
      <c r="G2641" s="5">
        <f>IFERROR(__xludf.DUMMYFUNCTION("""COMPUTED_VALUE"""),0.1681968646555493)</f>
        <v>0.1681968647</v>
      </c>
      <c r="H2641" s="5">
        <f>IFERROR(__xludf.DUMMYFUNCTION("""COMPUTED_VALUE"""),0.5932674490426189)</f>
        <v>0.593267449</v>
      </c>
      <c r="I2641" s="11">
        <f>IFERROR(__xludf.DUMMYFUNCTION("""COMPUTED_VALUE"""),5631.161210623842)</f>
        <v>5631.161211</v>
      </c>
      <c r="J2641" s="10">
        <f>IFERROR(__xludf.DUMMYFUNCTION("""COMPUTED_VALUE"""),2.0)</f>
        <v>2</v>
      </c>
      <c r="K2641" s="5">
        <f>IFERROR(__xludf.DUMMYFUNCTION("""COMPUTED_VALUE"""),0.0013449899125756557)</f>
        <v>0.001344989913</v>
      </c>
      <c r="L2641" s="10">
        <f>IFERROR(__xludf.DUMMYFUNCTION("""COMPUTED_VALUE"""),1485.0)</f>
        <v>1485</v>
      </c>
      <c r="M2641" s="5">
        <f>IFERROR(__xludf.DUMMYFUNCTION("""COMPUTED_VALUE"""),0.9986550100874243)</f>
        <v>0.9986550101</v>
      </c>
    </row>
    <row r="2642">
      <c r="A2642" s="10" t="str">
        <f>IFERROR(__xludf.DUMMYFUNCTION("""COMPUTED_VALUE"""),"怜神tt")</f>
        <v>怜神tt</v>
      </c>
      <c r="B2642" s="10">
        <f>IFERROR(__xludf.DUMMYFUNCTION("""COMPUTED_VALUE"""),248.0)</f>
        <v>248</v>
      </c>
      <c r="C2642" s="10">
        <f>IFERROR(__xludf.DUMMYFUNCTION("""COMPUTED_VALUE"""),2975.0)</f>
        <v>2975</v>
      </c>
      <c r="D2642" s="5">
        <f>IFERROR(__xludf.DUMMYFUNCTION("""COMPUTED_VALUE"""),0.3887055372203887)</f>
        <v>0.3887055372</v>
      </c>
      <c r="E2642" s="5">
        <f>IFERROR(__xludf.DUMMYFUNCTION("""COMPUTED_VALUE"""),0.12834616795012835)</f>
        <v>0.128346168</v>
      </c>
      <c r="F2642" s="5">
        <f>IFERROR(__xludf.DUMMYFUNCTION("""COMPUTED_VALUE"""),0.20755408874220754)</f>
        <v>0.2075540887</v>
      </c>
      <c r="G2642" s="5">
        <f>IFERROR(__xludf.DUMMYFUNCTION("""COMPUTED_VALUE"""),0.15474880821415474)</f>
        <v>0.1547488082</v>
      </c>
      <c r="H2642" s="5">
        <f>IFERROR(__xludf.DUMMYFUNCTION("""COMPUTED_VALUE"""),0.568904593639576)</f>
        <v>0.5689045936</v>
      </c>
      <c r="I2642" s="11">
        <f>IFERROR(__xludf.DUMMYFUNCTION("""COMPUTED_VALUE"""),5394.52296819788)</f>
        <v>5394.522968</v>
      </c>
      <c r="J2642" s="10">
        <f>IFERROR(__xludf.DUMMYFUNCTION("""COMPUTED_VALUE"""),0.0)</f>
        <v>0</v>
      </c>
      <c r="K2642" s="5">
        <f>IFERROR(__xludf.DUMMYFUNCTION("""COMPUTED_VALUE"""),0.0)</f>
        <v>0</v>
      </c>
      <c r="L2642" s="10">
        <f>IFERROR(__xludf.DUMMYFUNCTION("""COMPUTED_VALUE"""),247.0)</f>
        <v>247</v>
      </c>
      <c r="M2642" s="5">
        <f>IFERROR(__xludf.DUMMYFUNCTION("""COMPUTED_VALUE"""),0.9959677419354839)</f>
        <v>0.9959677419</v>
      </c>
    </row>
    <row r="2643">
      <c r="A2643" s="10" t="str">
        <f>IFERROR(__xludf.DUMMYFUNCTION("""COMPUTED_VALUE"""),"とみたける")</f>
        <v>とみたける</v>
      </c>
      <c r="B2643" s="10">
        <f>IFERROR(__xludf.DUMMYFUNCTION("""COMPUTED_VALUE"""),316.0)</f>
        <v>316</v>
      </c>
      <c r="C2643" s="10">
        <f>IFERROR(__xludf.DUMMYFUNCTION("""COMPUTED_VALUE"""),3651.0)</f>
        <v>3651</v>
      </c>
      <c r="D2643" s="5">
        <f>IFERROR(__xludf.DUMMYFUNCTION("""COMPUTED_VALUE"""),0.3487256371814093)</f>
        <v>0.3487256372</v>
      </c>
      <c r="E2643" s="5">
        <f>IFERROR(__xludf.DUMMYFUNCTION("""COMPUTED_VALUE"""),0.12833583208395802)</f>
        <v>0.1283358321</v>
      </c>
      <c r="F2643" s="5">
        <f>IFERROR(__xludf.DUMMYFUNCTION("""COMPUTED_VALUE"""),0.21829085457271363)</f>
        <v>0.2182908546</v>
      </c>
      <c r="G2643" s="5">
        <f>IFERROR(__xludf.DUMMYFUNCTION("""COMPUTED_VALUE"""),0.18500749625187407)</f>
        <v>0.1850074963</v>
      </c>
      <c r="H2643" s="5">
        <f>IFERROR(__xludf.DUMMYFUNCTION("""COMPUTED_VALUE"""),0.5810439560439561)</f>
        <v>0.581043956</v>
      </c>
      <c r="I2643" s="11">
        <f>IFERROR(__xludf.DUMMYFUNCTION("""COMPUTED_VALUE"""),5330.357142857143)</f>
        <v>5330.357143</v>
      </c>
      <c r="J2643" s="10">
        <f>IFERROR(__xludf.DUMMYFUNCTION("""COMPUTED_VALUE"""),1.0)</f>
        <v>1</v>
      </c>
      <c r="K2643" s="5">
        <f>IFERROR(__xludf.DUMMYFUNCTION("""COMPUTED_VALUE"""),0.0031645569620253164)</f>
        <v>0.003164556962</v>
      </c>
      <c r="L2643" s="10">
        <f>IFERROR(__xludf.DUMMYFUNCTION("""COMPUTED_VALUE"""),316.0)</f>
        <v>316</v>
      </c>
      <c r="M2643" s="5">
        <f>IFERROR(__xludf.DUMMYFUNCTION("""COMPUTED_VALUE"""),1.0)</f>
        <v>1</v>
      </c>
    </row>
    <row r="2644">
      <c r="A2644" s="10" t="str">
        <f>IFERROR(__xludf.DUMMYFUNCTION("""COMPUTED_VALUE"""),"裕美子")</f>
        <v>裕美子</v>
      </c>
      <c r="B2644" s="10">
        <f>IFERROR(__xludf.DUMMYFUNCTION("""COMPUTED_VALUE"""),1220.0)</f>
        <v>1220</v>
      </c>
      <c r="C2644" s="10">
        <f>IFERROR(__xludf.DUMMYFUNCTION("""COMPUTED_VALUE"""),14124.0)</f>
        <v>14124</v>
      </c>
      <c r="D2644" s="5">
        <f>IFERROR(__xludf.DUMMYFUNCTION("""COMPUTED_VALUE"""),0.36453812771233723)</f>
        <v>0.3645381277</v>
      </c>
      <c r="E2644" s="5">
        <f>IFERROR(__xludf.DUMMYFUNCTION("""COMPUTED_VALUE"""),0.12833230006199628)</f>
        <v>0.1283323001</v>
      </c>
      <c r="F2644" s="5">
        <f>IFERROR(__xludf.DUMMYFUNCTION("""COMPUTED_VALUE"""),0.21179479231246126)</f>
        <v>0.2117947923</v>
      </c>
      <c r="G2644" s="5">
        <f>IFERROR(__xludf.DUMMYFUNCTION("""COMPUTED_VALUE"""),0.18157160570365777)</f>
        <v>0.1815716057</v>
      </c>
      <c r="H2644" s="5">
        <f>IFERROR(__xludf.DUMMYFUNCTION("""COMPUTED_VALUE"""),0.5997072813757776)</f>
        <v>0.5997072814</v>
      </c>
      <c r="I2644" s="11">
        <f>IFERROR(__xludf.DUMMYFUNCTION("""COMPUTED_VALUE"""),5695.975118916941)</f>
        <v>5695.975119</v>
      </c>
      <c r="J2644" s="10">
        <f>IFERROR(__xludf.DUMMYFUNCTION("""COMPUTED_VALUE"""),4.0)</f>
        <v>4</v>
      </c>
      <c r="K2644" s="5">
        <f>IFERROR(__xludf.DUMMYFUNCTION("""COMPUTED_VALUE"""),0.003278688524590164)</f>
        <v>0.003278688525</v>
      </c>
      <c r="L2644" s="10">
        <f>IFERROR(__xludf.DUMMYFUNCTION("""COMPUTED_VALUE"""),0.0)</f>
        <v>0</v>
      </c>
      <c r="M2644" s="5">
        <f>IFERROR(__xludf.DUMMYFUNCTION("""COMPUTED_VALUE"""),0.0)</f>
        <v>0</v>
      </c>
    </row>
    <row r="2645">
      <c r="A2645" s="10" t="str">
        <f>IFERROR(__xludf.DUMMYFUNCTION("""COMPUTED_VALUE"""),"倍損すずき")</f>
        <v>倍損すずき</v>
      </c>
      <c r="B2645" s="10">
        <f>IFERROR(__xludf.DUMMYFUNCTION("""COMPUTED_VALUE"""),154.0)</f>
        <v>154</v>
      </c>
      <c r="C2645" s="10">
        <f>IFERROR(__xludf.DUMMYFUNCTION("""COMPUTED_VALUE"""),1767.0)</f>
        <v>1767</v>
      </c>
      <c r="D2645" s="5">
        <f>IFERROR(__xludf.DUMMYFUNCTION("""COMPUTED_VALUE"""),0.30998140111593303)</f>
        <v>0.3099814011</v>
      </c>
      <c r="E2645" s="5">
        <f>IFERROR(__xludf.DUMMYFUNCTION("""COMPUTED_VALUE"""),0.12833230006199628)</f>
        <v>0.1283323001</v>
      </c>
      <c r="F2645" s="5">
        <f>IFERROR(__xludf.DUMMYFUNCTION("""COMPUTED_VALUE"""),0.22752634841909486)</f>
        <v>0.2275263484</v>
      </c>
      <c r="G2645" s="5">
        <f>IFERROR(__xludf.DUMMYFUNCTION("""COMPUTED_VALUE"""),0.1642901425914445)</f>
        <v>0.1642901426</v>
      </c>
      <c r="H2645" s="5">
        <f>IFERROR(__xludf.DUMMYFUNCTION("""COMPUTED_VALUE"""),0.5803814713896458)</f>
        <v>0.5803814714</v>
      </c>
      <c r="I2645" s="11">
        <f>IFERROR(__xludf.DUMMYFUNCTION("""COMPUTED_VALUE"""),5604.632152588556)</f>
        <v>5604.632153</v>
      </c>
      <c r="J2645" s="10">
        <f>IFERROR(__xludf.DUMMYFUNCTION("""COMPUTED_VALUE"""),1.0)</f>
        <v>1</v>
      </c>
      <c r="K2645" s="5">
        <f>IFERROR(__xludf.DUMMYFUNCTION("""COMPUTED_VALUE"""),0.006493506493506494)</f>
        <v>0.006493506494</v>
      </c>
      <c r="L2645" s="10">
        <f>IFERROR(__xludf.DUMMYFUNCTION("""COMPUTED_VALUE"""),154.0)</f>
        <v>154</v>
      </c>
      <c r="M2645" s="5">
        <f>IFERROR(__xludf.DUMMYFUNCTION("""COMPUTED_VALUE"""),1.0)</f>
        <v>1</v>
      </c>
    </row>
    <row r="2646">
      <c r="A2646" s="10" t="str">
        <f>IFERROR(__xludf.DUMMYFUNCTION("""COMPUTED_VALUE"""),"Gleemax")</f>
        <v>Gleemax</v>
      </c>
      <c r="B2646" s="10">
        <f>IFERROR(__xludf.DUMMYFUNCTION("""COMPUTED_VALUE"""),120.0)</f>
        <v>120</v>
      </c>
      <c r="C2646" s="10">
        <f>IFERROR(__xludf.DUMMYFUNCTION("""COMPUTED_VALUE"""),1406.0)</f>
        <v>1406</v>
      </c>
      <c r="D2646" s="5">
        <f>IFERROR(__xludf.DUMMYFUNCTION("""COMPUTED_VALUE"""),0.3118195956454121)</f>
        <v>0.3118195956</v>
      </c>
      <c r="E2646" s="5">
        <f>IFERROR(__xludf.DUMMYFUNCTION("""COMPUTED_VALUE"""),0.12830482115085537)</f>
        <v>0.1283048212</v>
      </c>
      <c r="F2646" s="5">
        <f>IFERROR(__xludf.DUMMYFUNCTION("""COMPUTED_VALUE"""),0.20684292379471228)</f>
        <v>0.2068429238</v>
      </c>
      <c r="G2646" s="5">
        <f>IFERROR(__xludf.DUMMYFUNCTION("""COMPUTED_VALUE"""),0.18040435458786935)</f>
        <v>0.1804043546</v>
      </c>
      <c r="H2646" s="5">
        <f>IFERROR(__xludf.DUMMYFUNCTION("""COMPUTED_VALUE"""),0.6466165413533834)</f>
        <v>0.6466165414</v>
      </c>
      <c r="I2646" s="11">
        <f>IFERROR(__xludf.DUMMYFUNCTION("""COMPUTED_VALUE"""),5736.090225563909)</f>
        <v>5736.090226</v>
      </c>
      <c r="J2646" s="10">
        <f>IFERROR(__xludf.DUMMYFUNCTION("""COMPUTED_VALUE"""),0.0)</f>
        <v>0</v>
      </c>
      <c r="K2646" s="5">
        <f>IFERROR(__xludf.DUMMYFUNCTION("""COMPUTED_VALUE"""),0.0)</f>
        <v>0</v>
      </c>
      <c r="L2646" s="10">
        <f>IFERROR(__xludf.DUMMYFUNCTION("""COMPUTED_VALUE"""),120.0)</f>
        <v>120</v>
      </c>
      <c r="M2646" s="5">
        <f>IFERROR(__xludf.DUMMYFUNCTION("""COMPUTED_VALUE"""),1.0)</f>
        <v>1</v>
      </c>
    </row>
    <row r="2647">
      <c r="A2647" s="10" t="str">
        <f>IFERROR(__xludf.DUMMYFUNCTION("""COMPUTED_VALUE"""),"えるたそ")</f>
        <v>えるたそ</v>
      </c>
      <c r="B2647" s="10">
        <f>IFERROR(__xludf.DUMMYFUNCTION("""COMPUTED_VALUE"""),354.0)</f>
        <v>354</v>
      </c>
      <c r="C2647" s="10">
        <f>IFERROR(__xludf.DUMMYFUNCTION("""COMPUTED_VALUE"""),4181.0)</f>
        <v>4181</v>
      </c>
      <c r="D2647" s="5">
        <f>IFERROR(__xludf.DUMMYFUNCTION("""COMPUTED_VALUE"""),0.33707865168539325)</f>
        <v>0.3370786517</v>
      </c>
      <c r="E2647" s="5">
        <f>IFERROR(__xludf.DUMMYFUNCTION("""COMPUTED_VALUE"""),0.12829892866475046)</f>
        <v>0.1282989287</v>
      </c>
      <c r="F2647" s="5">
        <f>IFERROR(__xludf.DUMMYFUNCTION("""COMPUTED_VALUE"""),0.21008622942252417)</f>
        <v>0.2100862294</v>
      </c>
      <c r="G2647" s="5">
        <f>IFERROR(__xludf.DUMMYFUNCTION("""COMPUTED_VALUE"""),0.14632871701071334)</f>
        <v>0.146328717</v>
      </c>
      <c r="H2647" s="5">
        <f>IFERROR(__xludf.DUMMYFUNCTION("""COMPUTED_VALUE"""),0.5833333333333334)</f>
        <v>0.5833333333</v>
      </c>
      <c r="I2647" s="11">
        <f>IFERROR(__xludf.DUMMYFUNCTION("""COMPUTED_VALUE"""),5481.592039800995)</f>
        <v>5481.59204</v>
      </c>
      <c r="J2647" s="10">
        <f>IFERROR(__xludf.DUMMYFUNCTION("""COMPUTED_VALUE"""),1.0)</f>
        <v>1</v>
      </c>
      <c r="K2647" s="5">
        <f>IFERROR(__xludf.DUMMYFUNCTION("""COMPUTED_VALUE"""),0.002824858757062147)</f>
        <v>0.002824858757</v>
      </c>
      <c r="L2647" s="10">
        <f>IFERROR(__xludf.DUMMYFUNCTION("""COMPUTED_VALUE"""),0.0)</f>
        <v>0</v>
      </c>
      <c r="M2647" s="5">
        <f>IFERROR(__xludf.DUMMYFUNCTION("""COMPUTED_VALUE"""),0.0)</f>
        <v>0</v>
      </c>
    </row>
    <row r="2648">
      <c r="A2648" s="10" t="str">
        <f>IFERROR(__xludf.DUMMYFUNCTION("""COMPUTED_VALUE"""),"搾精管理機構")</f>
        <v>搾精管理機構</v>
      </c>
      <c r="B2648" s="10">
        <f>IFERROR(__xludf.DUMMYFUNCTION("""COMPUTED_VALUE"""),386.0)</f>
        <v>386</v>
      </c>
      <c r="C2648" s="10">
        <f>IFERROR(__xludf.DUMMYFUNCTION("""COMPUTED_VALUE"""),4517.0)</f>
        <v>4517</v>
      </c>
      <c r="D2648" s="5">
        <f>IFERROR(__xludf.DUMMYFUNCTION("""COMPUTED_VALUE"""),0.2638586298717018)</f>
        <v>0.2638586299</v>
      </c>
      <c r="E2648" s="5">
        <f>IFERROR(__xludf.DUMMYFUNCTION("""COMPUTED_VALUE"""),0.12829823287339628)</f>
        <v>0.1282982329</v>
      </c>
      <c r="F2648" s="5">
        <f>IFERROR(__xludf.DUMMYFUNCTION("""COMPUTED_VALUE"""),0.1895424836601307)</f>
        <v>0.1895424837</v>
      </c>
      <c r="G2648" s="5">
        <f>IFERROR(__xludf.DUMMYFUNCTION("""COMPUTED_VALUE"""),0.1711450012103607)</f>
        <v>0.1711450012</v>
      </c>
      <c r="H2648" s="5">
        <f>IFERROR(__xludf.DUMMYFUNCTION("""COMPUTED_VALUE"""),0.6104725415070242)</f>
        <v>0.6104725415</v>
      </c>
      <c r="I2648" s="11">
        <f>IFERROR(__xludf.DUMMYFUNCTION("""COMPUTED_VALUE"""),5756.449553001277)</f>
        <v>5756.449553</v>
      </c>
      <c r="J2648" s="10">
        <f>IFERROR(__xludf.DUMMYFUNCTION("""COMPUTED_VALUE"""),1.0)</f>
        <v>1</v>
      </c>
      <c r="K2648" s="5">
        <f>IFERROR(__xludf.DUMMYFUNCTION("""COMPUTED_VALUE"""),0.0025906735751295338)</f>
        <v>0.002590673575</v>
      </c>
      <c r="L2648" s="10">
        <f>IFERROR(__xludf.DUMMYFUNCTION("""COMPUTED_VALUE"""),386.0)</f>
        <v>386</v>
      </c>
      <c r="M2648" s="5">
        <f>IFERROR(__xludf.DUMMYFUNCTION("""COMPUTED_VALUE"""),1.0)</f>
        <v>1</v>
      </c>
    </row>
    <row r="2649">
      <c r="A2649" s="10" t="str">
        <f>IFERROR(__xludf.DUMMYFUNCTION("""COMPUTED_VALUE"""),"へむへむ２号")</f>
        <v>へむへむ２号</v>
      </c>
      <c r="B2649" s="10">
        <f>IFERROR(__xludf.DUMMYFUNCTION("""COMPUTED_VALUE"""),1824.0)</f>
        <v>1824</v>
      </c>
      <c r="C2649" s="10">
        <f>IFERROR(__xludf.DUMMYFUNCTION("""COMPUTED_VALUE"""),21147.0)</f>
        <v>21147</v>
      </c>
      <c r="D2649" s="5">
        <f>IFERROR(__xludf.DUMMYFUNCTION("""COMPUTED_VALUE"""),0.35139471096620606)</f>
        <v>0.351394711</v>
      </c>
      <c r="E2649" s="5">
        <f>IFERROR(__xludf.DUMMYFUNCTION("""COMPUTED_VALUE"""),0.12829270817160895)</f>
        <v>0.1282927082</v>
      </c>
      <c r="F2649" s="5">
        <f>IFERROR(__xludf.DUMMYFUNCTION("""COMPUTED_VALUE"""),0.21658127619934792)</f>
        <v>0.2165812762</v>
      </c>
      <c r="G2649" s="5">
        <f>IFERROR(__xludf.DUMMYFUNCTION("""COMPUTED_VALUE"""),0.16524349221135434)</f>
        <v>0.1652434922</v>
      </c>
      <c r="H2649" s="5">
        <f>IFERROR(__xludf.DUMMYFUNCTION("""COMPUTED_VALUE"""),0.5959378733572281)</f>
        <v>0.5959378734</v>
      </c>
      <c r="I2649" s="11">
        <f>IFERROR(__xludf.DUMMYFUNCTION("""COMPUTED_VALUE"""),5449.964157706093)</f>
        <v>5449.964158</v>
      </c>
      <c r="J2649" s="10">
        <f>IFERROR(__xludf.DUMMYFUNCTION("""COMPUTED_VALUE"""),7.0)</f>
        <v>7</v>
      </c>
      <c r="K2649" s="5">
        <f>IFERROR(__xludf.DUMMYFUNCTION("""COMPUTED_VALUE"""),0.003837719298245614)</f>
        <v>0.003837719298</v>
      </c>
      <c r="L2649" s="10">
        <f>IFERROR(__xludf.DUMMYFUNCTION("""COMPUTED_VALUE"""),1824.0)</f>
        <v>1824</v>
      </c>
      <c r="M2649" s="5">
        <f>IFERROR(__xludf.DUMMYFUNCTION("""COMPUTED_VALUE"""),1.0)</f>
        <v>1</v>
      </c>
    </row>
    <row r="2650">
      <c r="A2650" s="10" t="str">
        <f>IFERROR(__xludf.DUMMYFUNCTION("""COMPUTED_VALUE"""),"my")</f>
        <v>my</v>
      </c>
      <c r="B2650" s="10">
        <f>IFERROR(__xludf.DUMMYFUNCTION("""COMPUTED_VALUE"""),190.0)</f>
        <v>190</v>
      </c>
      <c r="C2650" s="10">
        <f>IFERROR(__xludf.DUMMYFUNCTION("""COMPUTED_VALUE"""),2240.0)</f>
        <v>2240</v>
      </c>
      <c r="D2650" s="5">
        <f>IFERROR(__xludf.DUMMYFUNCTION("""COMPUTED_VALUE"""),0.33951219512195124)</f>
        <v>0.3395121951</v>
      </c>
      <c r="E2650" s="5">
        <f>IFERROR(__xludf.DUMMYFUNCTION("""COMPUTED_VALUE"""),0.12829268292682927)</f>
        <v>0.1282926829</v>
      </c>
      <c r="F2650" s="5">
        <f>IFERROR(__xludf.DUMMYFUNCTION("""COMPUTED_VALUE"""),0.21024390243902438)</f>
        <v>0.2102439024</v>
      </c>
      <c r="G2650" s="5">
        <f>IFERROR(__xludf.DUMMYFUNCTION("""COMPUTED_VALUE"""),0.15902439024390244)</f>
        <v>0.1590243902</v>
      </c>
      <c r="H2650" s="5">
        <f>IFERROR(__xludf.DUMMYFUNCTION("""COMPUTED_VALUE"""),0.6078886310904872)</f>
        <v>0.6078886311</v>
      </c>
      <c r="I2650" s="11">
        <f>IFERROR(__xludf.DUMMYFUNCTION("""COMPUTED_VALUE"""),5524.1299303944315)</f>
        <v>5524.12993</v>
      </c>
      <c r="J2650" s="10">
        <f>IFERROR(__xludf.DUMMYFUNCTION("""COMPUTED_VALUE"""),0.0)</f>
        <v>0</v>
      </c>
      <c r="K2650" s="5">
        <f>IFERROR(__xludf.DUMMYFUNCTION("""COMPUTED_VALUE"""),0.0)</f>
        <v>0</v>
      </c>
      <c r="L2650" s="10">
        <f>IFERROR(__xludf.DUMMYFUNCTION("""COMPUTED_VALUE"""),190.0)</f>
        <v>190</v>
      </c>
      <c r="M2650" s="5">
        <f>IFERROR(__xludf.DUMMYFUNCTION("""COMPUTED_VALUE"""),1.0)</f>
        <v>1</v>
      </c>
    </row>
    <row r="2651">
      <c r="A2651" s="10" t="str">
        <f>IFERROR(__xludf.DUMMYFUNCTION("""COMPUTED_VALUE"""),"(*´3｀*)")</f>
        <v>(*´3｀*)</v>
      </c>
      <c r="B2651" s="10">
        <f>IFERROR(__xludf.DUMMYFUNCTION("""COMPUTED_VALUE"""),1497.0)</f>
        <v>1497</v>
      </c>
      <c r="C2651" s="10">
        <f>IFERROR(__xludf.DUMMYFUNCTION("""COMPUTED_VALUE"""),17523.0)</f>
        <v>17523</v>
      </c>
      <c r="D2651" s="5">
        <f>IFERROR(__xludf.DUMMYFUNCTION("""COMPUTED_VALUE"""),0.2935230250842381)</f>
        <v>0.2935230251</v>
      </c>
      <c r="E2651" s="5">
        <f>IFERROR(__xludf.DUMMYFUNCTION("""COMPUTED_VALUE"""),0.12829152626981155)</f>
        <v>0.1282915263</v>
      </c>
      <c r="F2651" s="5">
        <f>IFERROR(__xludf.DUMMYFUNCTION("""COMPUTED_VALUE"""),0.21028328965431176)</f>
        <v>0.2102832897</v>
      </c>
      <c r="G2651" s="5">
        <f>IFERROR(__xludf.DUMMYFUNCTION("""COMPUTED_VALUE"""),0.17147135904155747)</f>
        <v>0.171471359</v>
      </c>
      <c r="H2651" s="5">
        <f>IFERROR(__xludf.DUMMYFUNCTION("""COMPUTED_VALUE"""),0.6044510385756676)</f>
        <v>0.6044510386</v>
      </c>
      <c r="I2651" s="11">
        <f>IFERROR(__xludf.DUMMYFUNCTION("""COMPUTED_VALUE"""),5715.311572700297)</f>
        <v>5715.311573</v>
      </c>
      <c r="J2651" s="10">
        <f>IFERROR(__xludf.DUMMYFUNCTION("""COMPUTED_VALUE"""),2.0)</f>
        <v>2</v>
      </c>
      <c r="K2651" s="5">
        <f>IFERROR(__xludf.DUMMYFUNCTION("""COMPUTED_VALUE"""),0.0013360053440213762)</f>
        <v>0.001336005344</v>
      </c>
      <c r="L2651" s="10">
        <f>IFERROR(__xludf.DUMMYFUNCTION("""COMPUTED_VALUE"""),0.0)</f>
        <v>0</v>
      </c>
      <c r="M2651" s="5">
        <f>IFERROR(__xludf.DUMMYFUNCTION("""COMPUTED_VALUE"""),0.0)</f>
        <v>0</v>
      </c>
    </row>
    <row r="2652">
      <c r="A2652" s="10" t="str">
        <f>IFERROR(__xludf.DUMMYFUNCTION("""COMPUTED_VALUE"""),"メンピン")</f>
        <v>メンピン</v>
      </c>
      <c r="B2652" s="10">
        <f>IFERROR(__xludf.DUMMYFUNCTION("""COMPUTED_VALUE"""),1112.0)</f>
        <v>1112</v>
      </c>
      <c r="C2652" s="10">
        <f>IFERROR(__xludf.DUMMYFUNCTION("""COMPUTED_VALUE"""),12937.0)</f>
        <v>12937</v>
      </c>
      <c r="D2652" s="5">
        <f>IFERROR(__xludf.DUMMYFUNCTION("""COMPUTED_VALUE"""),0.3681183932346723)</f>
        <v>0.3681183932</v>
      </c>
      <c r="E2652" s="5">
        <f>IFERROR(__xludf.DUMMYFUNCTION("""COMPUTED_VALUE"""),0.12828752642706132)</f>
        <v>0.1282875264</v>
      </c>
      <c r="F2652" s="5">
        <f>IFERROR(__xludf.DUMMYFUNCTION("""COMPUTED_VALUE"""),0.22181818181818183)</f>
        <v>0.2218181818</v>
      </c>
      <c r="G2652" s="5">
        <f>IFERROR(__xludf.DUMMYFUNCTION("""COMPUTED_VALUE"""),0.18012684989429176)</f>
        <v>0.1801268499</v>
      </c>
      <c r="H2652" s="5">
        <f>IFERROR(__xludf.DUMMYFUNCTION("""COMPUTED_VALUE"""),0.6088448341593595)</f>
        <v>0.6088448342</v>
      </c>
      <c r="I2652" s="11">
        <f>IFERROR(__xludf.DUMMYFUNCTION("""COMPUTED_VALUE"""),5636.7136866183755)</f>
        <v>5636.713687</v>
      </c>
      <c r="J2652" s="10">
        <f>IFERROR(__xludf.DUMMYFUNCTION("""COMPUTED_VALUE"""),3.0)</f>
        <v>3</v>
      </c>
      <c r="K2652" s="5">
        <f>IFERROR(__xludf.DUMMYFUNCTION("""COMPUTED_VALUE"""),0.002697841726618705)</f>
        <v>0.002697841727</v>
      </c>
      <c r="L2652" s="10">
        <f>IFERROR(__xludf.DUMMYFUNCTION("""COMPUTED_VALUE"""),1110.0)</f>
        <v>1110</v>
      </c>
      <c r="M2652" s="5">
        <f>IFERROR(__xludf.DUMMYFUNCTION("""COMPUTED_VALUE"""),0.9982014388489209)</f>
        <v>0.9982014388</v>
      </c>
    </row>
    <row r="2653">
      <c r="A2653" s="10" t="str">
        <f>IFERROR(__xludf.DUMMYFUNCTION("""COMPUTED_VALUE"""),"ぞるーた")</f>
        <v>ぞるーた</v>
      </c>
      <c r="B2653" s="10">
        <f>IFERROR(__xludf.DUMMYFUNCTION("""COMPUTED_VALUE"""),1223.0)</f>
        <v>1223</v>
      </c>
      <c r="C2653" s="10">
        <f>IFERROR(__xludf.DUMMYFUNCTION("""COMPUTED_VALUE"""),14342.0)</f>
        <v>14342</v>
      </c>
      <c r="D2653" s="5">
        <f>IFERROR(__xludf.DUMMYFUNCTION("""COMPUTED_VALUE"""),0.35383794496531745)</f>
        <v>0.353837945</v>
      </c>
      <c r="E2653" s="5">
        <f>IFERROR(__xludf.DUMMYFUNCTION("""COMPUTED_VALUE"""),0.12828721701349188)</f>
        <v>0.128287217</v>
      </c>
      <c r="F2653" s="5">
        <f>IFERROR(__xludf.DUMMYFUNCTION("""COMPUTED_VALUE"""),0.21304977513529993)</f>
        <v>0.2130497751</v>
      </c>
      <c r="G2653" s="5">
        <f>IFERROR(__xludf.DUMMYFUNCTION("""COMPUTED_VALUE"""),0.15961582437685798)</f>
        <v>0.1596158244</v>
      </c>
      <c r="H2653" s="5">
        <f>IFERROR(__xludf.DUMMYFUNCTION("""COMPUTED_VALUE"""),0.6025044722719142)</f>
        <v>0.6025044723</v>
      </c>
      <c r="I2653" s="11">
        <f>IFERROR(__xludf.DUMMYFUNCTION("""COMPUTED_VALUE"""),5515.384615384615)</f>
        <v>5515.384615</v>
      </c>
      <c r="J2653" s="10">
        <f>IFERROR(__xludf.DUMMYFUNCTION("""COMPUTED_VALUE"""),0.0)</f>
        <v>0</v>
      </c>
      <c r="K2653" s="5">
        <f>IFERROR(__xludf.DUMMYFUNCTION("""COMPUTED_VALUE"""),0.0)</f>
        <v>0</v>
      </c>
      <c r="L2653" s="10">
        <f>IFERROR(__xludf.DUMMYFUNCTION("""COMPUTED_VALUE"""),1223.0)</f>
        <v>1223</v>
      </c>
      <c r="M2653" s="5">
        <f>IFERROR(__xludf.DUMMYFUNCTION("""COMPUTED_VALUE"""),1.0)</f>
        <v>1</v>
      </c>
    </row>
    <row r="2654">
      <c r="A2654" s="10" t="str">
        <f>IFERROR(__xludf.DUMMYFUNCTION("""COMPUTED_VALUE"""),"ダイアグラム麻雀")</f>
        <v>ダイアグラム麻雀</v>
      </c>
      <c r="B2654" s="10">
        <f>IFERROR(__xludf.DUMMYFUNCTION("""COMPUTED_VALUE"""),356.0)</f>
        <v>356</v>
      </c>
      <c r="C2654" s="10">
        <f>IFERROR(__xludf.DUMMYFUNCTION("""COMPUTED_VALUE"""),4121.0)</f>
        <v>4121</v>
      </c>
      <c r="D2654" s="5">
        <f>IFERROR(__xludf.DUMMYFUNCTION("""COMPUTED_VALUE"""),0.6863213811420983)</f>
        <v>0.6863213811</v>
      </c>
      <c r="E2654" s="5">
        <f>IFERROR(__xludf.DUMMYFUNCTION("""COMPUTED_VALUE"""),0.12828685258964143)</f>
        <v>0.1282868526</v>
      </c>
      <c r="F2654" s="5">
        <f>IFERROR(__xludf.DUMMYFUNCTION("""COMPUTED_VALUE"""),0.22921646746347943)</f>
        <v>0.2292164675</v>
      </c>
      <c r="G2654" s="5">
        <f>IFERROR(__xludf.DUMMYFUNCTION("""COMPUTED_VALUE"""),0.12244355909694556)</f>
        <v>0.1224435591</v>
      </c>
      <c r="H2654" s="5">
        <f>IFERROR(__xludf.DUMMYFUNCTION("""COMPUTED_VALUE"""),0.6141367323290846)</f>
        <v>0.6141367323</v>
      </c>
      <c r="I2654" s="11">
        <f>IFERROR(__xludf.DUMMYFUNCTION("""COMPUTED_VALUE"""),4558.74855156431)</f>
        <v>4558.748552</v>
      </c>
      <c r="J2654" s="10">
        <f>IFERROR(__xludf.DUMMYFUNCTION("""COMPUTED_VALUE"""),0.0)</f>
        <v>0</v>
      </c>
      <c r="K2654" s="5">
        <f>IFERROR(__xludf.DUMMYFUNCTION("""COMPUTED_VALUE"""),0.0)</f>
        <v>0</v>
      </c>
      <c r="L2654" s="10">
        <f>IFERROR(__xludf.DUMMYFUNCTION("""COMPUTED_VALUE"""),356.0)</f>
        <v>356</v>
      </c>
      <c r="M2654" s="5">
        <f>IFERROR(__xludf.DUMMYFUNCTION("""COMPUTED_VALUE"""),1.0)</f>
        <v>1</v>
      </c>
    </row>
    <row r="2655">
      <c r="A2655" s="10" t="str">
        <f>IFERROR(__xludf.DUMMYFUNCTION("""COMPUTED_VALUE"""),"ぼら")</f>
        <v>ぼら</v>
      </c>
      <c r="B2655" s="10">
        <f>IFERROR(__xludf.DUMMYFUNCTION("""COMPUTED_VALUE"""),557.0)</f>
        <v>557</v>
      </c>
      <c r="C2655" s="10">
        <f>IFERROR(__xludf.DUMMYFUNCTION("""COMPUTED_VALUE"""),6606.0)</f>
        <v>6606</v>
      </c>
      <c r="D2655" s="5">
        <f>IFERROR(__xludf.DUMMYFUNCTION("""COMPUTED_VALUE"""),0.3005455447181352)</f>
        <v>0.3005455447</v>
      </c>
      <c r="E2655" s="5">
        <f>IFERROR(__xludf.DUMMYFUNCTION("""COMPUTED_VALUE"""),0.12828566705240535)</f>
        <v>0.1282856671</v>
      </c>
      <c r="F2655" s="5">
        <f>IFERROR(__xludf.DUMMYFUNCTION("""COMPUTED_VALUE"""),0.19573483220367002)</f>
        <v>0.1957348322</v>
      </c>
      <c r="G2655" s="5">
        <f>IFERROR(__xludf.DUMMYFUNCTION("""COMPUTED_VALUE"""),0.1636634154405687)</f>
        <v>0.1636634154</v>
      </c>
      <c r="H2655" s="5">
        <f>IFERROR(__xludf.DUMMYFUNCTION("""COMPUTED_VALUE"""),0.5734797297297297)</f>
        <v>0.5734797297</v>
      </c>
      <c r="I2655" s="11">
        <f>IFERROR(__xludf.DUMMYFUNCTION("""COMPUTED_VALUE"""),5711.993243243243)</f>
        <v>5711.993243</v>
      </c>
      <c r="J2655" s="10">
        <f>IFERROR(__xludf.DUMMYFUNCTION("""COMPUTED_VALUE"""),2.0)</f>
        <v>2</v>
      </c>
      <c r="K2655" s="5">
        <f>IFERROR(__xludf.DUMMYFUNCTION("""COMPUTED_VALUE"""),0.003590664272890485)</f>
        <v>0.003590664273</v>
      </c>
      <c r="L2655" s="10">
        <f>IFERROR(__xludf.DUMMYFUNCTION("""COMPUTED_VALUE"""),557.0)</f>
        <v>557</v>
      </c>
      <c r="M2655" s="5">
        <f>IFERROR(__xludf.DUMMYFUNCTION("""COMPUTED_VALUE"""),1.0)</f>
        <v>1</v>
      </c>
    </row>
    <row r="2656">
      <c r="A2656" s="10" t="str">
        <f>IFERROR(__xludf.DUMMYFUNCTION("""COMPUTED_VALUE"""),"化野")</f>
        <v>化野</v>
      </c>
      <c r="B2656" s="10">
        <f>IFERROR(__xludf.DUMMYFUNCTION("""COMPUTED_VALUE"""),533.0)</f>
        <v>533</v>
      </c>
      <c r="C2656" s="10">
        <f>IFERROR(__xludf.DUMMYFUNCTION("""COMPUTED_VALUE"""),6216.0)</f>
        <v>6216</v>
      </c>
      <c r="D2656" s="5">
        <f>IFERROR(__xludf.DUMMYFUNCTION("""COMPUTED_VALUE"""),0.2972021819461552)</f>
        <v>0.2972021819</v>
      </c>
      <c r="E2656" s="5">
        <f>IFERROR(__xludf.DUMMYFUNCTION("""COMPUTED_VALUE"""),0.1282773183177899)</f>
        <v>0.1282773183</v>
      </c>
      <c r="F2656" s="5">
        <f>IFERROR(__xludf.DUMMYFUNCTION("""COMPUTED_VALUE"""),0.20130212915713533)</f>
        <v>0.2013021292</v>
      </c>
      <c r="G2656" s="5">
        <f>IFERROR(__xludf.DUMMYFUNCTION("""COMPUTED_VALUE"""),0.1580151328523667)</f>
        <v>0.1580151329</v>
      </c>
      <c r="H2656" s="5">
        <f>IFERROR(__xludf.DUMMYFUNCTION("""COMPUTED_VALUE"""),0.6118881118881119)</f>
        <v>0.6118881119</v>
      </c>
      <c r="I2656" s="11">
        <f>IFERROR(__xludf.DUMMYFUNCTION("""COMPUTED_VALUE"""),6022.727272727273)</f>
        <v>6022.727273</v>
      </c>
      <c r="J2656" s="10">
        <f>IFERROR(__xludf.DUMMYFUNCTION("""COMPUTED_VALUE"""),1.0)</f>
        <v>1</v>
      </c>
      <c r="K2656" s="5">
        <f>IFERROR(__xludf.DUMMYFUNCTION("""COMPUTED_VALUE"""),0.001876172607879925)</f>
        <v>0.001876172608</v>
      </c>
      <c r="L2656" s="10">
        <f>IFERROR(__xludf.DUMMYFUNCTION("""COMPUTED_VALUE"""),533.0)</f>
        <v>533</v>
      </c>
      <c r="M2656" s="5">
        <f>IFERROR(__xludf.DUMMYFUNCTION("""COMPUTED_VALUE"""),1.0)</f>
        <v>1</v>
      </c>
    </row>
    <row r="2657">
      <c r="A2657" s="10" t="str">
        <f>IFERROR(__xludf.DUMMYFUNCTION("""COMPUTED_VALUE"""),"おわおわり")</f>
        <v>おわおわり</v>
      </c>
      <c r="B2657" s="10">
        <f>IFERROR(__xludf.DUMMYFUNCTION("""COMPUTED_VALUE"""),455.0)</f>
        <v>455</v>
      </c>
      <c r="C2657" s="10">
        <f>IFERROR(__xludf.DUMMYFUNCTION("""COMPUTED_VALUE"""),5226.0)</f>
        <v>5226</v>
      </c>
      <c r="D2657" s="5">
        <f>IFERROR(__xludf.DUMMYFUNCTION("""COMPUTED_VALUE"""),0.34919304129113393)</f>
        <v>0.3491930413</v>
      </c>
      <c r="E2657" s="5">
        <f>IFERROR(__xludf.DUMMYFUNCTION("""COMPUTED_VALUE"""),0.1282749947600084)</f>
        <v>0.1282749948</v>
      </c>
      <c r="F2657" s="5">
        <f>IFERROR(__xludf.DUMMYFUNCTION("""COMPUTED_VALUE"""),0.20771326765877174)</f>
        <v>0.2077132677</v>
      </c>
      <c r="G2657" s="5">
        <f>IFERROR(__xludf.DUMMYFUNCTION("""COMPUTED_VALUE"""),0.17732131628589395)</f>
        <v>0.1773213163</v>
      </c>
      <c r="H2657" s="5">
        <f>IFERROR(__xludf.DUMMYFUNCTION("""COMPUTED_VALUE"""),0.6074672048435923)</f>
        <v>0.6074672048</v>
      </c>
      <c r="I2657" s="11">
        <f>IFERROR(__xludf.DUMMYFUNCTION("""COMPUTED_VALUE"""),5539.25327951564)</f>
        <v>5539.25328</v>
      </c>
      <c r="J2657" s="10">
        <f>IFERROR(__xludf.DUMMYFUNCTION("""COMPUTED_VALUE"""),1.0)</f>
        <v>1</v>
      </c>
      <c r="K2657" s="5">
        <f>IFERROR(__xludf.DUMMYFUNCTION("""COMPUTED_VALUE"""),0.002197802197802198)</f>
        <v>0.002197802198</v>
      </c>
      <c r="L2657" s="10">
        <f>IFERROR(__xludf.DUMMYFUNCTION("""COMPUTED_VALUE"""),455.0)</f>
        <v>455</v>
      </c>
      <c r="M2657" s="5">
        <f>IFERROR(__xludf.DUMMYFUNCTION("""COMPUTED_VALUE"""),1.0)</f>
        <v>1</v>
      </c>
    </row>
    <row r="2658">
      <c r="A2658" s="10" t="str">
        <f>IFERROR(__xludf.DUMMYFUNCTION("""COMPUTED_VALUE"""),"krr")</f>
        <v>krr</v>
      </c>
      <c r="B2658" s="10">
        <f>IFERROR(__xludf.DUMMYFUNCTION("""COMPUTED_VALUE"""),1132.0)</f>
        <v>1132</v>
      </c>
      <c r="C2658" s="10">
        <f>IFERROR(__xludf.DUMMYFUNCTION("""COMPUTED_VALUE"""),13239.0)</f>
        <v>13239</v>
      </c>
      <c r="D2658" s="5">
        <f>IFERROR(__xludf.DUMMYFUNCTION("""COMPUTED_VALUE"""),0.3685471214999587)</f>
        <v>0.3685471215</v>
      </c>
      <c r="E2658" s="5">
        <f>IFERROR(__xludf.DUMMYFUNCTION("""COMPUTED_VALUE"""),0.12827289997522096)</f>
        <v>0.1282729</v>
      </c>
      <c r="F2658" s="5">
        <f>IFERROR(__xludf.DUMMYFUNCTION("""COMPUTED_VALUE"""),0.22416783678863467)</f>
        <v>0.2241678368</v>
      </c>
      <c r="G2658" s="5">
        <f>IFERROR(__xludf.DUMMYFUNCTION("""COMPUTED_VALUE"""),0.18220863962996614)</f>
        <v>0.1822086396</v>
      </c>
      <c r="H2658" s="5">
        <f>IFERROR(__xludf.DUMMYFUNCTION("""COMPUTED_VALUE"""),0.5932203389830508)</f>
        <v>0.593220339</v>
      </c>
      <c r="I2658" s="11">
        <f>IFERROR(__xludf.DUMMYFUNCTION("""COMPUTED_VALUE"""),5679.36624907885)</f>
        <v>5679.366249</v>
      </c>
      <c r="J2658" s="10">
        <f>IFERROR(__xludf.DUMMYFUNCTION("""COMPUTED_VALUE"""),4.0)</f>
        <v>4</v>
      </c>
      <c r="K2658" s="5">
        <f>IFERROR(__xludf.DUMMYFUNCTION("""COMPUTED_VALUE"""),0.0035335689045936395)</f>
        <v>0.003533568905</v>
      </c>
      <c r="L2658" s="10">
        <f>IFERROR(__xludf.DUMMYFUNCTION("""COMPUTED_VALUE"""),1132.0)</f>
        <v>1132</v>
      </c>
      <c r="M2658" s="5">
        <f>IFERROR(__xludf.DUMMYFUNCTION("""COMPUTED_VALUE"""),1.0)</f>
        <v>1</v>
      </c>
    </row>
    <row r="2659">
      <c r="A2659" s="10" t="str">
        <f>IFERROR(__xludf.DUMMYFUNCTION("""COMPUTED_VALUE"""),"すないぽ")</f>
        <v>すないぽ</v>
      </c>
      <c r="B2659" s="10">
        <f>IFERROR(__xludf.DUMMYFUNCTION("""COMPUTED_VALUE"""),174.0)</f>
        <v>174</v>
      </c>
      <c r="C2659" s="10">
        <f>IFERROR(__xludf.DUMMYFUNCTION("""COMPUTED_VALUE"""),2053.0)</f>
        <v>2053</v>
      </c>
      <c r="D2659" s="5">
        <f>IFERROR(__xludf.DUMMYFUNCTION("""COMPUTED_VALUE"""),0.21341138903672166)</f>
        <v>0.213411389</v>
      </c>
      <c r="E2659" s="5">
        <f>IFERROR(__xludf.DUMMYFUNCTION("""COMPUTED_VALUE"""),0.12825971261309208)</f>
        <v>0.1282597126</v>
      </c>
      <c r="F2659" s="5">
        <f>IFERROR(__xludf.DUMMYFUNCTION("""COMPUTED_VALUE"""),0.1772219265566791)</f>
        <v>0.1772219266</v>
      </c>
      <c r="G2659" s="5">
        <f>IFERROR(__xludf.DUMMYFUNCTION("""COMPUTED_VALUE"""),0.15327301756253325)</f>
        <v>0.1532730176</v>
      </c>
      <c r="H2659" s="5">
        <f>IFERROR(__xludf.DUMMYFUNCTION("""COMPUTED_VALUE"""),0.5585585585585585)</f>
        <v>0.5585585586</v>
      </c>
      <c r="I2659" s="11">
        <f>IFERROR(__xludf.DUMMYFUNCTION("""COMPUTED_VALUE"""),5838.138138138138)</f>
        <v>5838.138138</v>
      </c>
      <c r="J2659" s="10">
        <f>IFERROR(__xludf.DUMMYFUNCTION("""COMPUTED_VALUE"""),0.0)</f>
        <v>0</v>
      </c>
      <c r="K2659" s="5">
        <f>IFERROR(__xludf.DUMMYFUNCTION("""COMPUTED_VALUE"""),0.0)</f>
        <v>0</v>
      </c>
      <c r="L2659" s="10">
        <f>IFERROR(__xludf.DUMMYFUNCTION("""COMPUTED_VALUE"""),174.0)</f>
        <v>174</v>
      </c>
      <c r="M2659" s="5">
        <f>IFERROR(__xludf.DUMMYFUNCTION("""COMPUTED_VALUE"""),1.0)</f>
        <v>1</v>
      </c>
    </row>
    <row r="2660">
      <c r="A2660" s="10" t="str">
        <f>IFERROR(__xludf.DUMMYFUNCTION("""COMPUTED_VALUE"""),"ドラックキング")</f>
        <v>ドラックキング</v>
      </c>
      <c r="B2660" s="10">
        <f>IFERROR(__xludf.DUMMYFUNCTION("""COMPUTED_VALUE"""),128.0)</f>
        <v>128</v>
      </c>
      <c r="C2660" s="10">
        <f>IFERROR(__xludf.DUMMYFUNCTION("""COMPUTED_VALUE"""),1477.0)</f>
        <v>1477</v>
      </c>
      <c r="D2660" s="5">
        <f>IFERROR(__xludf.DUMMYFUNCTION("""COMPUTED_VALUE"""),0.2542624166048925)</f>
        <v>0.2542624166</v>
      </c>
      <c r="E2660" s="5">
        <f>IFERROR(__xludf.DUMMYFUNCTION("""COMPUTED_VALUE"""),0.12824314306893997)</f>
        <v>0.1282431431</v>
      </c>
      <c r="F2660" s="5">
        <f>IFERROR(__xludf.DUMMYFUNCTION("""COMPUTED_VALUE"""),0.16679021497405486)</f>
        <v>0.166790215</v>
      </c>
      <c r="G2660" s="5">
        <f>IFERROR(__xludf.DUMMYFUNCTION("""COMPUTED_VALUE"""),0.16604892512972572)</f>
        <v>0.1660489251</v>
      </c>
      <c r="H2660" s="5">
        <f>IFERROR(__xludf.DUMMYFUNCTION("""COMPUTED_VALUE"""),0.5777777777777777)</f>
        <v>0.5777777778</v>
      </c>
      <c r="I2660" s="11">
        <f>IFERROR(__xludf.DUMMYFUNCTION("""COMPUTED_VALUE"""),6183.111111111111)</f>
        <v>6183.111111</v>
      </c>
      <c r="J2660" s="10">
        <f>IFERROR(__xludf.DUMMYFUNCTION("""COMPUTED_VALUE"""),0.0)</f>
        <v>0</v>
      </c>
      <c r="K2660" s="5">
        <f>IFERROR(__xludf.DUMMYFUNCTION("""COMPUTED_VALUE"""),0.0)</f>
        <v>0</v>
      </c>
      <c r="L2660" s="10">
        <f>IFERROR(__xludf.DUMMYFUNCTION("""COMPUTED_VALUE"""),128.0)</f>
        <v>128</v>
      </c>
      <c r="M2660" s="5">
        <f>IFERROR(__xludf.DUMMYFUNCTION("""COMPUTED_VALUE"""),1.0)</f>
        <v>1</v>
      </c>
    </row>
    <row r="2661">
      <c r="A2661" s="10" t="str">
        <f>IFERROR(__xludf.DUMMYFUNCTION("""COMPUTED_VALUE"""),"牛馬")</f>
        <v>牛馬</v>
      </c>
      <c r="B2661" s="10">
        <f>IFERROR(__xludf.DUMMYFUNCTION("""COMPUTED_VALUE"""),426.0)</f>
        <v>426</v>
      </c>
      <c r="C2661" s="10">
        <f>IFERROR(__xludf.DUMMYFUNCTION("""COMPUTED_VALUE"""),4988.0)</f>
        <v>4988</v>
      </c>
      <c r="D2661" s="5">
        <f>IFERROR(__xludf.DUMMYFUNCTION("""COMPUTED_VALUE"""),0.3535729943007453)</f>
        <v>0.3535729943</v>
      </c>
      <c r="E2661" s="5">
        <f>IFERROR(__xludf.DUMMYFUNCTION("""COMPUTED_VALUE"""),0.128233231039018)</f>
        <v>0.128233231</v>
      </c>
      <c r="F2661" s="5">
        <f>IFERROR(__xludf.DUMMYFUNCTION("""COMPUTED_VALUE"""),0.21109162647961421)</f>
        <v>0.2110916265</v>
      </c>
      <c r="G2661" s="5">
        <f>IFERROR(__xludf.DUMMYFUNCTION("""COMPUTED_VALUE"""),0.15453748355984218)</f>
        <v>0.1545374836</v>
      </c>
      <c r="H2661" s="5">
        <f>IFERROR(__xludf.DUMMYFUNCTION("""COMPUTED_VALUE"""),0.6178608515057114)</f>
        <v>0.6178608515</v>
      </c>
      <c r="I2661" s="11">
        <f>IFERROR(__xludf.DUMMYFUNCTION("""COMPUTED_VALUE"""),5217.030114226376)</f>
        <v>5217.030114</v>
      </c>
      <c r="J2661" s="10">
        <f>IFERROR(__xludf.DUMMYFUNCTION("""COMPUTED_VALUE"""),2.0)</f>
        <v>2</v>
      </c>
      <c r="K2661" s="5">
        <f>IFERROR(__xludf.DUMMYFUNCTION("""COMPUTED_VALUE"""),0.004694835680751174)</f>
        <v>0.004694835681</v>
      </c>
      <c r="L2661" s="10">
        <f>IFERROR(__xludf.DUMMYFUNCTION("""COMPUTED_VALUE"""),426.0)</f>
        <v>426</v>
      </c>
      <c r="M2661" s="5">
        <f>IFERROR(__xludf.DUMMYFUNCTION("""COMPUTED_VALUE"""),1.0)</f>
        <v>1</v>
      </c>
    </row>
    <row r="2662">
      <c r="A2662" s="10" t="str">
        <f>IFERROR(__xludf.DUMMYFUNCTION("""COMPUTED_VALUE"""),"(´・с_・｀)")</f>
        <v>(´・с_・｀)</v>
      </c>
      <c r="B2662" s="10">
        <f>IFERROR(__xludf.DUMMYFUNCTION("""COMPUTED_VALUE"""),554.0)</f>
        <v>554</v>
      </c>
      <c r="C2662" s="10">
        <f>IFERROR(__xludf.DUMMYFUNCTION("""COMPUTED_VALUE"""),6473.0)</f>
        <v>6473</v>
      </c>
      <c r="D2662" s="5">
        <f>IFERROR(__xludf.DUMMYFUNCTION("""COMPUTED_VALUE"""),0.30511910795742525)</f>
        <v>0.305119108</v>
      </c>
      <c r="E2662" s="5">
        <f>IFERROR(__xludf.DUMMYFUNCTION("""COMPUTED_VALUE"""),0.12823112012164217)</f>
        <v>0.1282311201</v>
      </c>
      <c r="F2662" s="5">
        <f>IFERROR(__xludf.DUMMYFUNCTION("""COMPUTED_VALUE"""),0.19378273356985978)</f>
        <v>0.1937827336</v>
      </c>
      <c r="G2662" s="5">
        <f>IFERROR(__xludf.DUMMYFUNCTION("""COMPUTED_VALUE"""),0.16590640310863322)</f>
        <v>0.1659064031</v>
      </c>
      <c r="H2662" s="5">
        <f>IFERROR(__xludf.DUMMYFUNCTION("""COMPUTED_VALUE"""),0.5972101133391456)</f>
        <v>0.5972101133</v>
      </c>
      <c r="I2662" s="11">
        <f>IFERROR(__xludf.DUMMYFUNCTION("""COMPUTED_VALUE"""),5935.047951176984)</f>
        <v>5935.047951</v>
      </c>
      <c r="J2662" s="10">
        <f>IFERROR(__xludf.DUMMYFUNCTION("""COMPUTED_VALUE"""),0.0)</f>
        <v>0</v>
      </c>
      <c r="K2662" s="5">
        <f>IFERROR(__xludf.DUMMYFUNCTION("""COMPUTED_VALUE"""),0.0)</f>
        <v>0</v>
      </c>
      <c r="L2662" s="10">
        <f>IFERROR(__xludf.DUMMYFUNCTION("""COMPUTED_VALUE"""),554.0)</f>
        <v>554</v>
      </c>
      <c r="M2662" s="5">
        <f>IFERROR(__xludf.DUMMYFUNCTION("""COMPUTED_VALUE"""),1.0)</f>
        <v>1</v>
      </c>
    </row>
    <row r="2663">
      <c r="A2663" s="10" t="str">
        <f>IFERROR(__xludf.DUMMYFUNCTION("""COMPUTED_VALUE"""),"しのはらえりか")</f>
        <v>しのはらえりか</v>
      </c>
      <c r="B2663" s="10">
        <f>IFERROR(__xludf.DUMMYFUNCTION("""COMPUTED_VALUE"""),463.0)</f>
        <v>463</v>
      </c>
      <c r="C2663" s="10">
        <f>IFERROR(__xludf.DUMMYFUNCTION("""COMPUTED_VALUE"""),5345.0)</f>
        <v>5345</v>
      </c>
      <c r="D2663" s="5">
        <f>IFERROR(__xludf.DUMMYFUNCTION("""COMPUTED_VALUE"""),0.31913150348217945)</f>
        <v>0.3191315035</v>
      </c>
      <c r="E2663" s="5">
        <f>IFERROR(__xludf.DUMMYFUNCTION("""COMPUTED_VALUE"""),0.12822613682916836)</f>
        <v>0.1282261368</v>
      </c>
      <c r="F2663" s="5">
        <f>IFERROR(__xludf.DUMMYFUNCTION("""COMPUTED_VALUE"""),0.19438754608766898)</f>
        <v>0.1943875461</v>
      </c>
      <c r="G2663" s="5">
        <f>IFERROR(__xludf.DUMMYFUNCTION("""COMPUTED_VALUE"""),0.159975419909873)</f>
        <v>0.1599754199</v>
      </c>
      <c r="H2663" s="5">
        <f>IFERROR(__xludf.DUMMYFUNCTION("""COMPUTED_VALUE"""),0.5964172813487882)</f>
        <v>0.5964172813</v>
      </c>
      <c r="I2663" s="11">
        <f>IFERROR(__xludf.DUMMYFUNCTION("""COMPUTED_VALUE"""),5654.689146469968)</f>
        <v>5654.689146</v>
      </c>
      <c r="J2663" s="10">
        <f>IFERROR(__xludf.DUMMYFUNCTION("""COMPUTED_VALUE"""),2.0)</f>
        <v>2</v>
      </c>
      <c r="K2663" s="5">
        <f>IFERROR(__xludf.DUMMYFUNCTION("""COMPUTED_VALUE"""),0.004319654427645789)</f>
        <v>0.004319654428</v>
      </c>
      <c r="L2663" s="10">
        <f>IFERROR(__xludf.DUMMYFUNCTION("""COMPUTED_VALUE"""),0.0)</f>
        <v>0</v>
      </c>
      <c r="M2663" s="5">
        <f>IFERROR(__xludf.DUMMYFUNCTION("""COMPUTED_VALUE"""),0.0)</f>
        <v>0</v>
      </c>
    </row>
    <row r="2664">
      <c r="A2664" s="10" t="str">
        <f>IFERROR(__xludf.DUMMYFUNCTION("""COMPUTED_VALUE"""),"麦とホップ")</f>
        <v>麦とホップ</v>
      </c>
      <c r="B2664" s="10">
        <f>IFERROR(__xludf.DUMMYFUNCTION("""COMPUTED_VALUE"""),245.0)</f>
        <v>245</v>
      </c>
      <c r="C2664" s="10">
        <f>IFERROR(__xludf.DUMMYFUNCTION("""COMPUTED_VALUE"""),2959.0)</f>
        <v>2959</v>
      </c>
      <c r="D2664" s="5">
        <f>IFERROR(__xludf.DUMMYFUNCTION("""COMPUTED_VALUE"""),0.3596168017686072)</f>
        <v>0.3596168018</v>
      </c>
      <c r="E2664" s="5">
        <f>IFERROR(__xludf.DUMMYFUNCTION("""COMPUTED_VALUE"""),0.12822402358142962)</f>
        <v>0.1282240236</v>
      </c>
      <c r="F2664" s="5">
        <f>IFERROR(__xludf.DUMMYFUNCTION("""COMPUTED_VALUE"""),0.20633750921149593)</f>
        <v>0.2063375092</v>
      </c>
      <c r="G2664" s="5">
        <f>IFERROR(__xludf.DUMMYFUNCTION("""COMPUTED_VALUE"""),0.16212232866617537)</f>
        <v>0.1621223287</v>
      </c>
      <c r="H2664" s="5">
        <f>IFERROR(__xludf.DUMMYFUNCTION("""COMPUTED_VALUE"""),0.5964285714285714)</f>
        <v>0.5964285714</v>
      </c>
      <c r="I2664" s="11">
        <f>IFERROR(__xludf.DUMMYFUNCTION("""COMPUTED_VALUE"""),5518.75)</f>
        <v>5518.75</v>
      </c>
      <c r="J2664" s="10">
        <f>IFERROR(__xludf.DUMMYFUNCTION("""COMPUTED_VALUE"""),2.0)</f>
        <v>2</v>
      </c>
      <c r="K2664" s="5">
        <f>IFERROR(__xludf.DUMMYFUNCTION("""COMPUTED_VALUE"""),0.00816326530612245)</f>
        <v>0.008163265306</v>
      </c>
      <c r="L2664" s="10">
        <f>IFERROR(__xludf.DUMMYFUNCTION("""COMPUTED_VALUE"""),245.0)</f>
        <v>245</v>
      </c>
      <c r="M2664" s="5">
        <f>IFERROR(__xludf.DUMMYFUNCTION("""COMPUTED_VALUE"""),1.0)</f>
        <v>1</v>
      </c>
    </row>
    <row r="2665">
      <c r="A2665" s="10" t="str">
        <f>IFERROR(__xludf.DUMMYFUNCTION("""COMPUTED_VALUE"""),"右脳詰め")</f>
        <v>右脳詰め</v>
      </c>
      <c r="B2665" s="10">
        <f>IFERROR(__xludf.DUMMYFUNCTION("""COMPUTED_VALUE"""),528.0)</f>
        <v>528</v>
      </c>
      <c r="C2665" s="10">
        <f>IFERROR(__xludf.DUMMYFUNCTION("""COMPUTED_VALUE"""),6190.0)</f>
        <v>6190</v>
      </c>
      <c r="D2665" s="5">
        <f>IFERROR(__xludf.DUMMYFUNCTION("""COMPUTED_VALUE"""),0.32673966796185094)</f>
        <v>0.326739668</v>
      </c>
      <c r="E2665" s="5">
        <f>IFERROR(__xludf.DUMMYFUNCTION("""COMPUTED_VALUE"""),0.12822324267043447)</f>
        <v>0.1282232427</v>
      </c>
      <c r="F2665" s="5">
        <f>IFERROR(__xludf.DUMMYFUNCTION("""COMPUTED_VALUE"""),0.20787707523843166)</f>
        <v>0.2078770752</v>
      </c>
      <c r="G2665" s="5">
        <f>IFERROR(__xludf.DUMMYFUNCTION("""COMPUTED_VALUE"""),0.17608618862592723)</f>
        <v>0.1760861886</v>
      </c>
      <c r="H2665" s="5">
        <f>IFERROR(__xludf.DUMMYFUNCTION("""COMPUTED_VALUE"""),0.5836873406966865)</f>
        <v>0.5836873407</v>
      </c>
      <c r="I2665" s="11">
        <f>IFERROR(__xludf.DUMMYFUNCTION("""COMPUTED_VALUE"""),5954.715378079864)</f>
        <v>5954.715378</v>
      </c>
      <c r="J2665" s="10">
        <f>IFERROR(__xludf.DUMMYFUNCTION("""COMPUTED_VALUE"""),1.0)</f>
        <v>1</v>
      </c>
      <c r="K2665" s="5">
        <f>IFERROR(__xludf.DUMMYFUNCTION("""COMPUTED_VALUE"""),0.001893939393939394)</f>
        <v>0.001893939394</v>
      </c>
      <c r="L2665" s="10">
        <f>IFERROR(__xludf.DUMMYFUNCTION("""COMPUTED_VALUE"""),528.0)</f>
        <v>528</v>
      </c>
      <c r="M2665" s="5">
        <f>IFERROR(__xludf.DUMMYFUNCTION("""COMPUTED_VALUE"""),1.0)</f>
        <v>1</v>
      </c>
    </row>
    <row r="2666">
      <c r="A2666" s="10" t="str">
        <f>IFERROR(__xludf.DUMMYFUNCTION("""COMPUTED_VALUE"""),"シュタルク")</f>
        <v>シュタルク</v>
      </c>
      <c r="B2666" s="10">
        <f>IFERROR(__xludf.DUMMYFUNCTION("""COMPUTED_VALUE"""),826.0)</f>
        <v>826</v>
      </c>
      <c r="C2666" s="10">
        <f>IFERROR(__xludf.DUMMYFUNCTION("""COMPUTED_VALUE"""),9834.0)</f>
        <v>9834</v>
      </c>
      <c r="D2666" s="5">
        <f>IFERROR(__xludf.DUMMYFUNCTION("""COMPUTED_VALUE"""),0.369449378330373)</f>
        <v>0.3694493783</v>
      </c>
      <c r="E2666" s="5">
        <f>IFERROR(__xludf.DUMMYFUNCTION("""COMPUTED_VALUE"""),0.12821936056838365)</f>
        <v>0.1282193606</v>
      </c>
      <c r="F2666" s="5">
        <f>IFERROR(__xludf.DUMMYFUNCTION("""COMPUTED_VALUE"""),0.22446714031971582)</f>
        <v>0.2244671403</v>
      </c>
      <c r="G2666" s="5">
        <f>IFERROR(__xludf.DUMMYFUNCTION("""COMPUTED_VALUE"""),0.17761989342806395)</f>
        <v>0.1776198934</v>
      </c>
      <c r="H2666" s="5">
        <f>IFERROR(__xludf.DUMMYFUNCTION("""COMPUTED_VALUE"""),0.6117705242334323)</f>
        <v>0.6117705242</v>
      </c>
      <c r="I2666" s="11">
        <f>IFERROR(__xludf.DUMMYFUNCTION("""COMPUTED_VALUE"""),5498.763600395648)</f>
        <v>5498.7636</v>
      </c>
      <c r="J2666" s="10">
        <f>IFERROR(__xludf.DUMMYFUNCTION("""COMPUTED_VALUE"""),2.0)</f>
        <v>2</v>
      </c>
      <c r="K2666" s="5">
        <f>IFERROR(__xludf.DUMMYFUNCTION("""COMPUTED_VALUE"""),0.002421307506053269)</f>
        <v>0.002421307506</v>
      </c>
      <c r="L2666" s="10">
        <f>IFERROR(__xludf.DUMMYFUNCTION("""COMPUTED_VALUE"""),826.0)</f>
        <v>826</v>
      </c>
      <c r="M2666" s="5">
        <f>IFERROR(__xludf.DUMMYFUNCTION("""COMPUTED_VALUE"""),1.0)</f>
        <v>1</v>
      </c>
    </row>
    <row r="2667">
      <c r="A2667" s="10" t="str">
        <f>IFERROR(__xludf.DUMMYFUNCTION("""COMPUTED_VALUE"""),"水無灯里(AC)")</f>
        <v>水無灯里(AC)</v>
      </c>
      <c r="B2667" s="10">
        <f>IFERROR(__xludf.DUMMYFUNCTION("""COMPUTED_VALUE"""),243.0)</f>
        <v>243</v>
      </c>
      <c r="C2667" s="10">
        <f>IFERROR(__xludf.DUMMYFUNCTION("""COMPUTED_VALUE"""),2887.0)</f>
        <v>2887</v>
      </c>
      <c r="D2667" s="5">
        <f>IFERROR(__xludf.DUMMYFUNCTION("""COMPUTED_VALUE"""),0.38199697428139184)</f>
        <v>0.3819969743</v>
      </c>
      <c r="E2667" s="5">
        <f>IFERROR(__xludf.DUMMYFUNCTION("""COMPUTED_VALUE"""),0.12821482602118003)</f>
        <v>0.128214826</v>
      </c>
      <c r="F2667" s="5">
        <f>IFERROR(__xludf.DUMMYFUNCTION("""COMPUTED_VALUE"""),0.2197428139183056)</f>
        <v>0.2197428139</v>
      </c>
      <c r="G2667" s="5">
        <f>IFERROR(__xludf.DUMMYFUNCTION("""COMPUTED_VALUE"""),0.1649016641452345)</f>
        <v>0.1649016641</v>
      </c>
      <c r="H2667" s="5">
        <f>IFERROR(__xludf.DUMMYFUNCTION("""COMPUTED_VALUE"""),0.5679862306368331)</f>
        <v>0.5679862306</v>
      </c>
      <c r="I2667" s="11">
        <f>IFERROR(__xludf.DUMMYFUNCTION("""COMPUTED_VALUE"""),5091.394148020654)</f>
        <v>5091.394148</v>
      </c>
      <c r="J2667" s="10">
        <f>IFERROR(__xludf.DUMMYFUNCTION("""COMPUTED_VALUE"""),0.0)</f>
        <v>0</v>
      </c>
      <c r="K2667" s="5">
        <f>IFERROR(__xludf.DUMMYFUNCTION("""COMPUTED_VALUE"""),0.0)</f>
        <v>0</v>
      </c>
      <c r="L2667" s="10">
        <f>IFERROR(__xludf.DUMMYFUNCTION("""COMPUTED_VALUE"""),0.0)</f>
        <v>0</v>
      </c>
      <c r="M2667" s="5">
        <f>IFERROR(__xludf.DUMMYFUNCTION("""COMPUTED_VALUE"""),0.0)</f>
        <v>0</v>
      </c>
    </row>
    <row r="2668">
      <c r="A2668" s="10" t="str">
        <f>IFERROR(__xludf.DUMMYFUNCTION("""COMPUTED_VALUE"""),"uratama")</f>
        <v>uratama</v>
      </c>
      <c r="B2668" s="10">
        <f>IFERROR(__xludf.DUMMYFUNCTION("""COMPUTED_VALUE"""),1089.0)</f>
        <v>1089</v>
      </c>
      <c r="C2668" s="10">
        <f>IFERROR(__xludf.DUMMYFUNCTION("""COMPUTED_VALUE"""),12664.0)</f>
        <v>12664</v>
      </c>
      <c r="D2668" s="5">
        <f>IFERROR(__xludf.DUMMYFUNCTION("""COMPUTED_VALUE"""),0.34056155507559394)</f>
        <v>0.3405615551</v>
      </c>
      <c r="E2668" s="5">
        <f>IFERROR(__xludf.DUMMYFUNCTION("""COMPUTED_VALUE"""),0.128207343412527)</f>
        <v>0.1282073434</v>
      </c>
      <c r="F2668" s="5">
        <f>IFERROR(__xludf.DUMMYFUNCTION("""COMPUTED_VALUE"""),0.21071274298056156)</f>
        <v>0.210712743</v>
      </c>
      <c r="G2668" s="5">
        <f>IFERROR(__xludf.DUMMYFUNCTION("""COMPUTED_VALUE"""),0.18496760259179265)</f>
        <v>0.1849676026</v>
      </c>
      <c r="H2668" s="5">
        <f>IFERROR(__xludf.DUMMYFUNCTION("""COMPUTED_VALUE"""),0.5830258302583026)</f>
        <v>0.5830258303</v>
      </c>
      <c r="I2668" s="11">
        <f>IFERROR(__xludf.DUMMYFUNCTION("""COMPUTED_VALUE"""),5990.733907339073)</f>
        <v>5990.733907</v>
      </c>
      <c r="J2668" s="10">
        <f>IFERROR(__xludf.DUMMYFUNCTION("""COMPUTED_VALUE"""),2.0)</f>
        <v>2</v>
      </c>
      <c r="K2668" s="5">
        <f>IFERROR(__xludf.DUMMYFUNCTION("""COMPUTED_VALUE"""),0.0018365472910927456)</f>
        <v>0.001836547291</v>
      </c>
      <c r="L2668" s="10">
        <f>IFERROR(__xludf.DUMMYFUNCTION("""COMPUTED_VALUE"""),1089.0)</f>
        <v>1089</v>
      </c>
      <c r="M2668" s="5">
        <f>IFERROR(__xludf.DUMMYFUNCTION("""COMPUTED_VALUE"""),1.0)</f>
        <v>1</v>
      </c>
    </row>
    <row r="2669">
      <c r="A2669" s="10" t="str">
        <f>IFERROR(__xludf.DUMMYFUNCTION("""COMPUTED_VALUE"""),"domesu16")</f>
        <v>domesu16</v>
      </c>
      <c r="B2669" s="10">
        <f>IFERROR(__xludf.DUMMYFUNCTION("""COMPUTED_VALUE"""),1503.0)</f>
        <v>1503</v>
      </c>
      <c r="C2669" s="10">
        <f>IFERROR(__xludf.DUMMYFUNCTION("""COMPUTED_VALUE"""),17696.0)</f>
        <v>17696</v>
      </c>
      <c r="D2669" s="5">
        <f>IFERROR(__xludf.DUMMYFUNCTION("""COMPUTED_VALUE"""),0.31488914963255726)</f>
        <v>0.3148891496</v>
      </c>
      <c r="E2669" s="5">
        <f>IFERROR(__xludf.DUMMYFUNCTION("""COMPUTED_VALUE"""),0.128203544741555)</f>
        <v>0.1282035447</v>
      </c>
      <c r="F2669" s="5">
        <f>IFERROR(__xludf.DUMMYFUNCTION("""COMPUTED_VALUE"""),0.21466065583894275)</f>
        <v>0.2146606558</v>
      </c>
      <c r="G2669" s="5">
        <f>IFERROR(__xludf.DUMMYFUNCTION("""COMPUTED_VALUE"""),0.16883838695732725)</f>
        <v>0.168838387</v>
      </c>
      <c r="H2669" s="5">
        <f>IFERROR(__xludf.DUMMYFUNCTION("""COMPUTED_VALUE"""),0.5796892980437284)</f>
        <v>0.579689298</v>
      </c>
      <c r="I2669" s="11">
        <f>IFERROR(__xludf.DUMMYFUNCTION("""COMPUTED_VALUE"""),5817.663981588033)</f>
        <v>5817.663982</v>
      </c>
      <c r="J2669" s="10">
        <f>IFERROR(__xludf.DUMMYFUNCTION("""COMPUTED_VALUE"""),7.0)</f>
        <v>7</v>
      </c>
      <c r="K2669" s="5">
        <f>IFERROR(__xludf.DUMMYFUNCTION("""COMPUTED_VALUE"""),0.004657351962741184)</f>
        <v>0.004657351963</v>
      </c>
      <c r="L2669" s="10">
        <f>IFERROR(__xludf.DUMMYFUNCTION("""COMPUTED_VALUE"""),1493.0)</f>
        <v>1493</v>
      </c>
      <c r="M2669" s="5">
        <f>IFERROR(__xludf.DUMMYFUNCTION("""COMPUTED_VALUE"""),0.9933466400532269)</f>
        <v>0.9933466401</v>
      </c>
    </row>
    <row r="2670">
      <c r="A2670" s="10" t="str">
        <f>IFERROR(__xludf.DUMMYFUNCTION("""COMPUTED_VALUE"""),"Yasu7")</f>
        <v>Yasu7</v>
      </c>
      <c r="B2670" s="10">
        <f>IFERROR(__xludf.DUMMYFUNCTION("""COMPUTED_VALUE"""),331.0)</f>
        <v>331</v>
      </c>
      <c r="C2670" s="10">
        <f>IFERROR(__xludf.DUMMYFUNCTION("""COMPUTED_VALUE"""),3849.0)</f>
        <v>3849</v>
      </c>
      <c r="D2670" s="5">
        <f>IFERROR(__xludf.DUMMYFUNCTION("""COMPUTED_VALUE"""),0.30471859010801594)</f>
        <v>0.3047185901</v>
      </c>
      <c r="E2670" s="5">
        <f>IFERROR(__xludf.DUMMYFUNCTION("""COMPUTED_VALUE"""),0.12819783968163728)</f>
        <v>0.1281978397</v>
      </c>
      <c r="F2670" s="5">
        <f>IFERROR(__xludf.DUMMYFUNCTION("""COMPUTED_VALUE"""),0.19755542922114838)</f>
        <v>0.1975554292</v>
      </c>
      <c r="G2670" s="5">
        <f>IFERROR(__xludf.DUMMYFUNCTION("""COMPUTED_VALUE"""),0.1625923820352473)</f>
        <v>0.162592382</v>
      </c>
      <c r="H2670" s="5">
        <f>IFERROR(__xludf.DUMMYFUNCTION("""COMPUTED_VALUE"""),0.6028776978417266)</f>
        <v>0.6028776978</v>
      </c>
      <c r="I2670" s="11">
        <f>IFERROR(__xludf.DUMMYFUNCTION("""COMPUTED_VALUE"""),5598.561151079137)</f>
        <v>5598.561151</v>
      </c>
      <c r="J2670" s="10">
        <f>IFERROR(__xludf.DUMMYFUNCTION("""COMPUTED_VALUE"""),0.0)</f>
        <v>0</v>
      </c>
      <c r="K2670" s="5">
        <f>IFERROR(__xludf.DUMMYFUNCTION("""COMPUTED_VALUE"""),0.0)</f>
        <v>0</v>
      </c>
      <c r="L2670" s="10">
        <f>IFERROR(__xludf.DUMMYFUNCTION("""COMPUTED_VALUE"""),330.0)</f>
        <v>330</v>
      </c>
      <c r="M2670" s="5">
        <f>IFERROR(__xludf.DUMMYFUNCTION("""COMPUTED_VALUE"""),0.9969788519637462)</f>
        <v>0.996978852</v>
      </c>
    </row>
    <row r="2671">
      <c r="A2671" s="10" t="str">
        <f>IFERROR(__xludf.DUMMYFUNCTION("""COMPUTED_VALUE"""),"おじさん")</f>
        <v>おじさん</v>
      </c>
      <c r="B2671" s="10">
        <f>IFERROR(__xludf.DUMMYFUNCTION("""COMPUTED_VALUE"""),13567.0)</f>
        <v>13567</v>
      </c>
      <c r="C2671" s="10">
        <f>IFERROR(__xludf.DUMMYFUNCTION("""COMPUTED_VALUE"""),159632.0)</f>
        <v>159632</v>
      </c>
      <c r="D2671" s="5">
        <f>IFERROR(__xludf.DUMMYFUNCTION("""COMPUTED_VALUE"""),0.4008420908499641)</f>
        <v>0.4008420908</v>
      </c>
      <c r="E2671" s="5">
        <f>IFERROR(__xludf.DUMMYFUNCTION("""COMPUTED_VALUE"""),0.12818950467257728)</f>
        <v>0.1281895047</v>
      </c>
      <c r="F2671" s="5">
        <f>IFERROR(__xludf.DUMMYFUNCTION("""COMPUTED_VALUE"""),0.22207236504296032)</f>
        <v>0.222072365</v>
      </c>
      <c r="G2671" s="5">
        <f>IFERROR(__xludf.DUMMYFUNCTION("""COMPUTED_VALUE"""),0.17174545579023037)</f>
        <v>0.1717454558</v>
      </c>
      <c r="H2671" s="5">
        <f>IFERROR(__xludf.DUMMYFUNCTION("""COMPUTED_VALUE"""),0.5994080833615932)</f>
        <v>0.5994080834</v>
      </c>
      <c r="I2671" s="11">
        <f>IFERROR(__xludf.DUMMYFUNCTION("""COMPUTED_VALUE"""),5398.245830378888)</f>
        <v>5398.24583</v>
      </c>
      <c r="J2671" s="10">
        <f>IFERROR(__xludf.DUMMYFUNCTION("""COMPUTED_VALUE"""),33.0)</f>
        <v>33</v>
      </c>
      <c r="K2671" s="5">
        <f>IFERROR(__xludf.DUMMYFUNCTION("""COMPUTED_VALUE"""),0.002432372668976192)</f>
        <v>0.002432372669</v>
      </c>
      <c r="L2671" s="10">
        <f>IFERROR(__xludf.DUMMYFUNCTION("""COMPUTED_VALUE"""),13553.0)</f>
        <v>13553</v>
      </c>
      <c r="M2671" s="5">
        <f>IFERROR(__xludf.DUMMYFUNCTION("""COMPUTED_VALUE"""),0.9989680843222525)</f>
        <v>0.9989680843</v>
      </c>
    </row>
    <row r="2672">
      <c r="A2672" s="10" t="str">
        <f>IFERROR(__xludf.DUMMYFUNCTION("""COMPUTED_VALUE"""),"yumicchi")</f>
        <v>yumicchi</v>
      </c>
      <c r="B2672" s="10">
        <f>IFERROR(__xludf.DUMMYFUNCTION("""COMPUTED_VALUE"""),2809.0)</f>
        <v>2809</v>
      </c>
      <c r="C2672" s="10">
        <f>IFERROR(__xludf.DUMMYFUNCTION("""COMPUTED_VALUE"""),32868.0)</f>
        <v>32868</v>
      </c>
      <c r="D2672" s="5">
        <f>IFERROR(__xludf.DUMMYFUNCTION("""COMPUTED_VALUE"""),0.3470175321866995)</f>
        <v>0.3470175322</v>
      </c>
      <c r="E2672" s="5">
        <f>IFERROR(__xludf.DUMMYFUNCTION("""COMPUTED_VALUE"""),0.12818124355434313)</f>
        <v>0.1281812436</v>
      </c>
      <c r="F2672" s="5">
        <f>IFERROR(__xludf.DUMMYFUNCTION("""COMPUTED_VALUE"""),0.20689311021657408)</f>
        <v>0.2068931102</v>
      </c>
      <c r="G2672" s="5">
        <f>IFERROR(__xludf.DUMMYFUNCTION("""COMPUTED_VALUE"""),0.1777171562593566)</f>
        <v>0.1777171563</v>
      </c>
      <c r="H2672" s="5">
        <f>IFERROR(__xludf.DUMMYFUNCTION("""COMPUTED_VALUE"""),0.5963981347483518)</f>
        <v>0.5963981347</v>
      </c>
      <c r="I2672" s="11">
        <f>IFERROR(__xludf.DUMMYFUNCTION("""COMPUTED_VALUE"""),5591.911882939379)</f>
        <v>5591.911883</v>
      </c>
      <c r="J2672" s="10">
        <f>IFERROR(__xludf.DUMMYFUNCTION("""COMPUTED_VALUE"""),4.0)</f>
        <v>4</v>
      </c>
      <c r="K2672" s="5">
        <f>IFERROR(__xludf.DUMMYFUNCTION("""COMPUTED_VALUE"""),0.001423994304022784)</f>
        <v>0.001423994304</v>
      </c>
      <c r="L2672" s="10">
        <f>IFERROR(__xludf.DUMMYFUNCTION("""COMPUTED_VALUE"""),2745.0)</f>
        <v>2745</v>
      </c>
      <c r="M2672" s="5">
        <f>IFERROR(__xludf.DUMMYFUNCTION("""COMPUTED_VALUE"""),0.9772160911356355)</f>
        <v>0.9772160911</v>
      </c>
    </row>
    <row r="2673">
      <c r="A2673" s="10" t="str">
        <f>IFERROR(__xludf.DUMMYFUNCTION("""COMPUTED_VALUE"""),"ひなびたキノコ")</f>
        <v>ひなびたキノコ</v>
      </c>
      <c r="B2673" s="10">
        <f>IFERROR(__xludf.DUMMYFUNCTION("""COMPUTED_VALUE"""),763.0)</f>
        <v>763</v>
      </c>
      <c r="C2673" s="10">
        <f>IFERROR(__xludf.DUMMYFUNCTION("""COMPUTED_VALUE"""),9017.0)</f>
        <v>9017</v>
      </c>
      <c r="D2673" s="5">
        <f>IFERROR(__xludf.DUMMYFUNCTION("""COMPUTED_VALUE"""),0.30058153622486067)</f>
        <v>0.3005815362</v>
      </c>
      <c r="E2673" s="5">
        <f>IFERROR(__xludf.DUMMYFUNCTION("""COMPUTED_VALUE"""),0.12818027622970682)</f>
        <v>0.1281802762</v>
      </c>
      <c r="F2673" s="5">
        <f>IFERROR(__xludf.DUMMYFUNCTION("""COMPUTED_VALUE"""),0.2060818996850012)</f>
        <v>0.2060818997</v>
      </c>
      <c r="G2673" s="5">
        <f>IFERROR(__xludf.DUMMYFUNCTION("""COMPUTED_VALUE"""),0.18294160407075358)</f>
        <v>0.1829416041</v>
      </c>
      <c r="H2673" s="5">
        <f>IFERROR(__xludf.DUMMYFUNCTION("""COMPUTED_VALUE"""),0.60435038212816)</f>
        <v>0.6043503821</v>
      </c>
      <c r="I2673" s="11">
        <f>IFERROR(__xludf.DUMMYFUNCTION("""COMPUTED_VALUE"""),5590.0646678424455)</f>
        <v>5590.064668</v>
      </c>
      <c r="J2673" s="10">
        <f>IFERROR(__xludf.DUMMYFUNCTION("""COMPUTED_VALUE"""),0.0)</f>
        <v>0</v>
      </c>
      <c r="K2673" s="5">
        <f>IFERROR(__xludf.DUMMYFUNCTION("""COMPUTED_VALUE"""),0.0)</f>
        <v>0</v>
      </c>
      <c r="L2673" s="10">
        <f>IFERROR(__xludf.DUMMYFUNCTION("""COMPUTED_VALUE"""),763.0)</f>
        <v>763</v>
      </c>
      <c r="M2673" s="5">
        <f>IFERROR(__xludf.DUMMYFUNCTION("""COMPUTED_VALUE"""),1.0)</f>
        <v>1</v>
      </c>
    </row>
    <row r="2674">
      <c r="A2674" s="10" t="str">
        <f>IFERROR(__xludf.DUMMYFUNCTION("""COMPUTED_VALUE"""),"(￣(工)￣)")</f>
        <v>(￣(工)￣)</v>
      </c>
      <c r="B2674" s="10">
        <f>IFERROR(__xludf.DUMMYFUNCTION("""COMPUTED_VALUE"""),845.0)</f>
        <v>845</v>
      </c>
      <c r="C2674" s="10">
        <f>IFERROR(__xludf.DUMMYFUNCTION("""COMPUTED_VALUE"""),9965.0)</f>
        <v>9965</v>
      </c>
      <c r="D2674" s="5">
        <f>IFERROR(__xludf.DUMMYFUNCTION("""COMPUTED_VALUE"""),0.3130482456140351)</f>
        <v>0.3130482456</v>
      </c>
      <c r="E2674" s="5">
        <f>IFERROR(__xludf.DUMMYFUNCTION("""COMPUTED_VALUE"""),0.1281798245614035)</f>
        <v>0.1281798246</v>
      </c>
      <c r="F2674" s="5">
        <f>IFERROR(__xludf.DUMMYFUNCTION("""COMPUTED_VALUE"""),0.19594298245614036)</f>
        <v>0.1959429825</v>
      </c>
      <c r="G2674" s="5">
        <f>IFERROR(__xludf.DUMMYFUNCTION("""COMPUTED_VALUE"""),0.18596491228070175)</f>
        <v>0.1859649123</v>
      </c>
      <c r="H2674" s="5">
        <f>IFERROR(__xludf.DUMMYFUNCTION("""COMPUTED_VALUE"""),0.5668718522663683)</f>
        <v>0.5668718523</v>
      </c>
      <c r="I2674" s="11">
        <f>IFERROR(__xludf.DUMMYFUNCTION("""COMPUTED_VALUE"""),6091.606043648573)</f>
        <v>6091.606044</v>
      </c>
      <c r="J2674" s="10">
        <f>IFERROR(__xludf.DUMMYFUNCTION("""COMPUTED_VALUE"""),0.0)</f>
        <v>0</v>
      </c>
      <c r="K2674" s="5">
        <f>IFERROR(__xludf.DUMMYFUNCTION("""COMPUTED_VALUE"""),0.0)</f>
        <v>0</v>
      </c>
      <c r="L2674" s="10">
        <f>IFERROR(__xludf.DUMMYFUNCTION("""COMPUTED_VALUE"""),845.0)</f>
        <v>845</v>
      </c>
      <c r="M2674" s="5">
        <f>IFERROR(__xludf.DUMMYFUNCTION("""COMPUTED_VALUE"""),1.0)</f>
        <v>1</v>
      </c>
    </row>
    <row r="2675">
      <c r="A2675" s="10" t="str">
        <f>IFERROR(__xludf.DUMMYFUNCTION("""COMPUTED_VALUE"""),"ナムサーン！")</f>
        <v>ナムサーン！</v>
      </c>
      <c r="B2675" s="10">
        <f>IFERROR(__xludf.DUMMYFUNCTION("""COMPUTED_VALUE"""),233.0)</f>
        <v>233</v>
      </c>
      <c r="C2675" s="10">
        <f>IFERROR(__xludf.DUMMYFUNCTION("""COMPUTED_VALUE"""),2831.0)</f>
        <v>2831</v>
      </c>
      <c r="D2675" s="5">
        <f>IFERROR(__xludf.DUMMYFUNCTION("""COMPUTED_VALUE"""),0.3464203233256351)</f>
        <v>0.3464203233</v>
      </c>
      <c r="E2675" s="5">
        <f>IFERROR(__xludf.DUMMYFUNCTION("""COMPUTED_VALUE"""),0.12817551963048499)</f>
        <v>0.1281755196</v>
      </c>
      <c r="F2675" s="5">
        <f>IFERROR(__xludf.DUMMYFUNCTION("""COMPUTED_VALUE"""),0.20053887605850654)</f>
        <v>0.2005388761</v>
      </c>
      <c r="G2675" s="5">
        <f>IFERROR(__xludf.DUMMYFUNCTION("""COMPUTED_VALUE"""),0.16666666666666666)</f>
        <v>0.1666666667</v>
      </c>
      <c r="H2675" s="5">
        <f>IFERROR(__xludf.DUMMYFUNCTION("""COMPUTED_VALUE"""),0.6084452975047985)</f>
        <v>0.6084452975</v>
      </c>
      <c r="I2675" s="11">
        <f>IFERROR(__xludf.DUMMYFUNCTION("""COMPUTED_VALUE"""),5571.0172744721685)</f>
        <v>5571.017274</v>
      </c>
      <c r="J2675" s="10">
        <f>IFERROR(__xludf.DUMMYFUNCTION("""COMPUTED_VALUE"""),0.0)</f>
        <v>0</v>
      </c>
      <c r="K2675" s="5">
        <f>IFERROR(__xludf.DUMMYFUNCTION("""COMPUTED_VALUE"""),0.0)</f>
        <v>0</v>
      </c>
      <c r="L2675" s="10">
        <f>IFERROR(__xludf.DUMMYFUNCTION("""COMPUTED_VALUE"""),233.0)</f>
        <v>233</v>
      </c>
      <c r="M2675" s="5">
        <f>IFERROR(__xludf.DUMMYFUNCTION("""COMPUTED_VALUE"""),1.0)</f>
        <v>1</v>
      </c>
    </row>
    <row r="2676">
      <c r="A2676" s="10" t="str">
        <f>IFERROR(__xludf.DUMMYFUNCTION("""COMPUTED_VALUE"""),"ニャリポン")</f>
        <v>ニャリポン</v>
      </c>
      <c r="B2676" s="10">
        <f>IFERROR(__xludf.DUMMYFUNCTION("""COMPUTED_VALUE"""),739.0)</f>
        <v>739</v>
      </c>
      <c r="C2676" s="10">
        <f>IFERROR(__xludf.DUMMYFUNCTION("""COMPUTED_VALUE"""),8635.0)</f>
        <v>8635</v>
      </c>
      <c r="D2676" s="5">
        <f>IFERROR(__xludf.DUMMYFUNCTION("""COMPUTED_VALUE"""),0.40678824721377915)</f>
        <v>0.4067882472</v>
      </c>
      <c r="E2676" s="5">
        <f>IFERROR(__xludf.DUMMYFUNCTION("""COMPUTED_VALUE"""),0.1281661600810537)</f>
        <v>0.1281661601</v>
      </c>
      <c r="F2676" s="5">
        <f>IFERROR(__xludf.DUMMYFUNCTION("""COMPUTED_VALUE"""),0.2164387031408308)</f>
        <v>0.2164387031</v>
      </c>
      <c r="G2676" s="5">
        <f>IFERROR(__xludf.DUMMYFUNCTION("""COMPUTED_VALUE"""),0.17540526849037488)</f>
        <v>0.1754052685</v>
      </c>
      <c r="H2676" s="5">
        <f>IFERROR(__xludf.DUMMYFUNCTION("""COMPUTED_VALUE"""),0.5839672322995904)</f>
        <v>0.5839672323</v>
      </c>
      <c r="I2676" s="11">
        <f>IFERROR(__xludf.DUMMYFUNCTION("""COMPUTED_VALUE"""),5782.562902282037)</f>
        <v>5782.562902</v>
      </c>
      <c r="J2676" s="10">
        <f>IFERROR(__xludf.DUMMYFUNCTION("""COMPUTED_VALUE"""),1.0)</f>
        <v>1</v>
      </c>
      <c r="K2676" s="5">
        <f>IFERROR(__xludf.DUMMYFUNCTION("""COMPUTED_VALUE"""),0.0013531799729364006)</f>
        <v>0.001353179973</v>
      </c>
      <c r="L2676" s="10">
        <f>IFERROR(__xludf.DUMMYFUNCTION("""COMPUTED_VALUE"""),0.0)</f>
        <v>0</v>
      </c>
      <c r="M2676" s="5">
        <f>IFERROR(__xludf.DUMMYFUNCTION("""COMPUTED_VALUE"""),0.0)</f>
        <v>0</v>
      </c>
    </row>
    <row r="2677">
      <c r="A2677" s="10" t="str">
        <f>IFERROR(__xludf.DUMMYFUNCTION("""COMPUTED_VALUE"""),"メフェナムⅢ")</f>
        <v>メフェナムⅢ</v>
      </c>
      <c r="B2677" s="10">
        <f>IFERROR(__xludf.DUMMYFUNCTION("""COMPUTED_VALUE"""),180.0)</f>
        <v>180</v>
      </c>
      <c r="C2677" s="10">
        <f>IFERROR(__xludf.DUMMYFUNCTION("""COMPUTED_VALUE"""),2115.0)</f>
        <v>2115</v>
      </c>
      <c r="D2677" s="5">
        <f>IFERROR(__xludf.DUMMYFUNCTION("""COMPUTED_VALUE"""),0.2971576227390181)</f>
        <v>0.2971576227</v>
      </c>
      <c r="E2677" s="5">
        <f>IFERROR(__xludf.DUMMYFUNCTION("""COMPUTED_VALUE"""),0.1281653746770026)</f>
        <v>0.1281653747</v>
      </c>
      <c r="F2677" s="5">
        <f>IFERROR(__xludf.DUMMYFUNCTION("""COMPUTED_VALUE"""),0.1917312661498708)</f>
        <v>0.1917312661</v>
      </c>
      <c r="G2677" s="5">
        <f>IFERROR(__xludf.DUMMYFUNCTION("""COMPUTED_VALUE"""),0.13901808785529715)</f>
        <v>0.1390180879</v>
      </c>
      <c r="H2677" s="5">
        <f>IFERROR(__xludf.DUMMYFUNCTION("""COMPUTED_VALUE"""),0.5768194070080862)</f>
        <v>0.576819407</v>
      </c>
      <c r="I2677" s="11">
        <f>IFERROR(__xludf.DUMMYFUNCTION("""COMPUTED_VALUE"""),5427.762803234501)</f>
        <v>5427.762803</v>
      </c>
      <c r="J2677" s="10">
        <f>IFERROR(__xludf.DUMMYFUNCTION("""COMPUTED_VALUE"""),0.0)</f>
        <v>0</v>
      </c>
      <c r="K2677" s="5">
        <f>IFERROR(__xludf.DUMMYFUNCTION("""COMPUTED_VALUE"""),0.0)</f>
        <v>0</v>
      </c>
      <c r="L2677" s="10">
        <f>IFERROR(__xludf.DUMMYFUNCTION("""COMPUTED_VALUE"""),180.0)</f>
        <v>180</v>
      </c>
      <c r="M2677" s="5">
        <f>IFERROR(__xludf.DUMMYFUNCTION("""COMPUTED_VALUE"""),1.0)</f>
        <v>1</v>
      </c>
    </row>
    <row r="2678">
      <c r="A2678" s="10" t="str">
        <f>IFERROR(__xludf.DUMMYFUNCTION("""COMPUTED_VALUE"""),"木枯らしん")</f>
        <v>木枯らしん</v>
      </c>
      <c r="B2678" s="10">
        <f>IFERROR(__xludf.DUMMYFUNCTION("""COMPUTED_VALUE"""),2160.0)</f>
        <v>2160</v>
      </c>
      <c r="C2678" s="10">
        <f>IFERROR(__xludf.DUMMYFUNCTION("""COMPUTED_VALUE"""),25115.0)</f>
        <v>25115</v>
      </c>
      <c r="D2678" s="5">
        <f>IFERROR(__xludf.DUMMYFUNCTION("""COMPUTED_VALUE"""),0.33173600522761926)</f>
        <v>0.3317360052</v>
      </c>
      <c r="E2678" s="5">
        <f>IFERROR(__xludf.DUMMYFUNCTION("""COMPUTED_VALUE"""),0.12816379873665867)</f>
        <v>0.1281637987</v>
      </c>
      <c r="F2678" s="5">
        <f>IFERROR(__xludf.DUMMYFUNCTION("""COMPUTED_VALUE"""),0.2105423654977129)</f>
        <v>0.2105423655</v>
      </c>
      <c r="G2678" s="5">
        <f>IFERROR(__xludf.DUMMYFUNCTION("""COMPUTED_VALUE"""),0.20152472228272708)</f>
        <v>0.2015247223</v>
      </c>
      <c r="H2678" s="5">
        <f>IFERROR(__xludf.DUMMYFUNCTION("""COMPUTED_VALUE"""),0.590730395199669)</f>
        <v>0.5907303952</v>
      </c>
      <c r="I2678" s="11">
        <f>IFERROR(__xludf.DUMMYFUNCTION("""COMPUTED_VALUE"""),5846.368715083799)</f>
        <v>5846.368715</v>
      </c>
      <c r="J2678" s="10">
        <f>IFERROR(__xludf.DUMMYFUNCTION("""COMPUTED_VALUE"""),3.0)</f>
        <v>3</v>
      </c>
      <c r="K2678" s="5">
        <f>IFERROR(__xludf.DUMMYFUNCTION("""COMPUTED_VALUE"""),0.001388888888888889)</f>
        <v>0.001388888889</v>
      </c>
      <c r="L2678" s="10">
        <f>IFERROR(__xludf.DUMMYFUNCTION("""COMPUTED_VALUE"""),1994.0)</f>
        <v>1994</v>
      </c>
      <c r="M2678" s="5">
        <f>IFERROR(__xludf.DUMMYFUNCTION("""COMPUTED_VALUE"""),0.9231481481481482)</f>
        <v>0.9231481481</v>
      </c>
    </row>
    <row r="2679">
      <c r="A2679" s="10" t="str">
        <f>IFERROR(__xludf.DUMMYFUNCTION("""COMPUTED_VALUE"""),"Kirche")</f>
        <v>Kirche</v>
      </c>
      <c r="B2679" s="10">
        <f>IFERROR(__xludf.DUMMYFUNCTION("""COMPUTED_VALUE"""),1961.0)</f>
        <v>1961</v>
      </c>
      <c r="C2679" s="10">
        <f>IFERROR(__xludf.DUMMYFUNCTION("""COMPUTED_VALUE"""),23122.0)</f>
        <v>23122</v>
      </c>
      <c r="D2679" s="5">
        <f>IFERROR(__xludf.DUMMYFUNCTION("""COMPUTED_VALUE"""),0.2926610273616559)</f>
        <v>0.2926610274</v>
      </c>
      <c r="E2679" s="5">
        <f>IFERROR(__xludf.DUMMYFUNCTION("""COMPUTED_VALUE"""),0.1281602948820944)</f>
        <v>0.1281602949</v>
      </c>
      <c r="F2679" s="5">
        <f>IFERROR(__xludf.DUMMYFUNCTION("""COMPUTED_VALUE"""),0.21714474741269316)</f>
        <v>0.2171447474</v>
      </c>
      <c r="G2679" s="5">
        <f>IFERROR(__xludf.DUMMYFUNCTION("""COMPUTED_VALUE"""),0.17636217570058127)</f>
        <v>0.1763621757</v>
      </c>
      <c r="H2679" s="5">
        <f>IFERROR(__xludf.DUMMYFUNCTION("""COMPUTED_VALUE"""),0.5867247007616975)</f>
        <v>0.5867247008</v>
      </c>
      <c r="I2679" s="11">
        <f>IFERROR(__xludf.DUMMYFUNCTION("""COMPUTED_VALUE"""),5705.810663764962)</f>
        <v>5705.810664</v>
      </c>
      <c r="J2679" s="10">
        <f>IFERROR(__xludf.DUMMYFUNCTION("""COMPUTED_VALUE"""),4.0)</f>
        <v>4</v>
      </c>
      <c r="K2679" s="5">
        <f>IFERROR(__xludf.DUMMYFUNCTION("""COMPUTED_VALUE"""),0.002039775624681285)</f>
        <v>0.002039775625</v>
      </c>
      <c r="L2679" s="10">
        <f>IFERROR(__xludf.DUMMYFUNCTION("""COMPUTED_VALUE"""),1961.0)</f>
        <v>1961</v>
      </c>
      <c r="M2679" s="5">
        <f>IFERROR(__xludf.DUMMYFUNCTION("""COMPUTED_VALUE"""),1.0)</f>
        <v>1</v>
      </c>
    </row>
    <row r="2680">
      <c r="A2680" s="10" t="str">
        <f>IFERROR(__xludf.DUMMYFUNCTION("""COMPUTED_VALUE"""),"niconto")</f>
        <v>niconto</v>
      </c>
      <c r="B2680" s="10">
        <f>IFERROR(__xludf.DUMMYFUNCTION("""COMPUTED_VALUE"""),175.0)</f>
        <v>175</v>
      </c>
      <c r="C2680" s="10">
        <f>IFERROR(__xludf.DUMMYFUNCTION("""COMPUTED_VALUE"""),2040.0)</f>
        <v>2040</v>
      </c>
      <c r="D2680" s="5">
        <f>IFERROR(__xludf.DUMMYFUNCTION("""COMPUTED_VALUE"""),0.40214477211796246)</f>
        <v>0.4021447721</v>
      </c>
      <c r="E2680" s="5">
        <f>IFERROR(__xludf.DUMMYFUNCTION("""COMPUTED_VALUE"""),0.12815013404825737)</f>
        <v>0.128150134</v>
      </c>
      <c r="F2680" s="5">
        <f>IFERROR(__xludf.DUMMYFUNCTION("""COMPUTED_VALUE"""),0.23646112600536193)</f>
        <v>0.236461126</v>
      </c>
      <c r="G2680" s="5">
        <f>IFERROR(__xludf.DUMMYFUNCTION("""COMPUTED_VALUE"""),0.16836461126005361)</f>
        <v>0.1683646113</v>
      </c>
      <c r="H2680" s="5">
        <f>IFERROR(__xludf.DUMMYFUNCTION("""COMPUTED_VALUE"""),0.546485260770975)</f>
        <v>0.5464852608</v>
      </c>
      <c r="I2680" s="11">
        <f>IFERROR(__xludf.DUMMYFUNCTION("""COMPUTED_VALUE"""),5698.866213151928)</f>
        <v>5698.866213</v>
      </c>
      <c r="J2680" s="10">
        <f>IFERROR(__xludf.DUMMYFUNCTION("""COMPUTED_VALUE"""),0.0)</f>
        <v>0</v>
      </c>
      <c r="K2680" s="5">
        <f>IFERROR(__xludf.DUMMYFUNCTION("""COMPUTED_VALUE"""),0.0)</f>
        <v>0</v>
      </c>
      <c r="L2680" s="10">
        <f>IFERROR(__xludf.DUMMYFUNCTION("""COMPUTED_VALUE"""),175.0)</f>
        <v>175</v>
      </c>
      <c r="M2680" s="5">
        <f>IFERROR(__xludf.DUMMYFUNCTION("""COMPUTED_VALUE"""),1.0)</f>
        <v>1</v>
      </c>
    </row>
    <row r="2681">
      <c r="A2681" s="10" t="str">
        <f>IFERROR(__xludf.DUMMYFUNCTION("""COMPUTED_VALUE"""),"まみねこ")</f>
        <v>まみねこ</v>
      </c>
      <c r="B2681" s="10">
        <f>IFERROR(__xludf.DUMMYFUNCTION("""COMPUTED_VALUE"""),1121.0)</f>
        <v>1121</v>
      </c>
      <c r="C2681" s="10">
        <f>IFERROR(__xludf.DUMMYFUNCTION("""COMPUTED_VALUE"""),13224.0)</f>
        <v>13224</v>
      </c>
      <c r="D2681" s="5">
        <f>IFERROR(__xludf.DUMMYFUNCTION("""COMPUTED_VALUE"""),0.36809055606048086)</f>
        <v>0.3680905561</v>
      </c>
      <c r="E2681" s="5">
        <f>IFERROR(__xludf.DUMMYFUNCTION("""COMPUTED_VALUE"""),0.12815004544327852)</f>
        <v>0.1281500454</v>
      </c>
      <c r="F2681" s="5">
        <f>IFERROR(__xludf.DUMMYFUNCTION("""COMPUTED_VALUE"""),0.21424440221432703)</f>
        <v>0.2142444022</v>
      </c>
      <c r="G2681" s="5">
        <f>IFERROR(__xludf.DUMMYFUNCTION("""COMPUTED_VALUE"""),0.17466743782533256)</f>
        <v>0.1746674378</v>
      </c>
      <c r="H2681" s="5">
        <f>IFERROR(__xludf.DUMMYFUNCTION("""COMPUTED_VALUE"""),0.6120323949093713)</f>
        <v>0.6120323949</v>
      </c>
      <c r="I2681" s="11">
        <f>IFERROR(__xludf.DUMMYFUNCTION("""COMPUTED_VALUE"""),5602.391052834555)</f>
        <v>5602.391053</v>
      </c>
      <c r="J2681" s="10">
        <f>IFERROR(__xludf.DUMMYFUNCTION("""COMPUTED_VALUE"""),4.0)</f>
        <v>4</v>
      </c>
      <c r="K2681" s="5">
        <f>IFERROR(__xludf.DUMMYFUNCTION("""COMPUTED_VALUE"""),0.003568242640499554)</f>
        <v>0.00356824264</v>
      </c>
      <c r="L2681" s="10">
        <f>IFERROR(__xludf.DUMMYFUNCTION("""COMPUTED_VALUE"""),624.0)</f>
        <v>624</v>
      </c>
      <c r="M2681" s="5">
        <f>IFERROR(__xludf.DUMMYFUNCTION("""COMPUTED_VALUE"""),0.5566458519179304)</f>
        <v>0.5566458519</v>
      </c>
    </row>
    <row r="2682">
      <c r="A2682" s="10" t="str">
        <f>IFERROR(__xludf.DUMMYFUNCTION("""COMPUTED_VALUE"""),"ふたば")</f>
        <v>ふたば</v>
      </c>
      <c r="B2682" s="10">
        <f>IFERROR(__xludf.DUMMYFUNCTION("""COMPUTED_VALUE"""),430.0)</f>
        <v>430</v>
      </c>
      <c r="C2682" s="10">
        <f>IFERROR(__xludf.DUMMYFUNCTION("""COMPUTED_VALUE"""),4956.0)</f>
        <v>4956</v>
      </c>
      <c r="D2682" s="5">
        <f>IFERROR(__xludf.DUMMYFUNCTION("""COMPUTED_VALUE"""),0.23243482103402563)</f>
        <v>0.232434821</v>
      </c>
      <c r="E2682" s="5">
        <f>IFERROR(__xludf.DUMMYFUNCTION("""COMPUTED_VALUE"""),0.12814847547503314)</f>
        <v>0.1281484755</v>
      </c>
      <c r="F2682" s="5">
        <f>IFERROR(__xludf.DUMMYFUNCTION("""COMPUTED_VALUE"""),0.1968625718073354)</f>
        <v>0.1968625718</v>
      </c>
      <c r="G2682" s="5">
        <f>IFERROR(__xludf.DUMMYFUNCTION("""COMPUTED_VALUE"""),0.1765355722492267)</f>
        <v>0.1765355722</v>
      </c>
      <c r="H2682" s="5">
        <f>IFERROR(__xludf.DUMMYFUNCTION("""COMPUTED_VALUE"""),0.5982042648709316)</f>
        <v>0.5982042649</v>
      </c>
      <c r="I2682" s="11">
        <f>IFERROR(__xludf.DUMMYFUNCTION("""COMPUTED_VALUE"""),6457.351290684624)</f>
        <v>6457.351291</v>
      </c>
      <c r="J2682" s="10">
        <f>IFERROR(__xludf.DUMMYFUNCTION("""COMPUTED_VALUE"""),1.0)</f>
        <v>1</v>
      </c>
      <c r="K2682" s="5">
        <f>IFERROR(__xludf.DUMMYFUNCTION("""COMPUTED_VALUE"""),0.002325581395348837)</f>
        <v>0.002325581395</v>
      </c>
      <c r="L2682" s="10">
        <f>IFERROR(__xludf.DUMMYFUNCTION("""COMPUTED_VALUE"""),0.0)</f>
        <v>0</v>
      </c>
      <c r="M2682" s="5">
        <f>IFERROR(__xludf.DUMMYFUNCTION("""COMPUTED_VALUE"""),0.0)</f>
        <v>0</v>
      </c>
    </row>
    <row r="2683">
      <c r="A2683" s="10" t="str">
        <f>IFERROR(__xludf.DUMMYFUNCTION("""COMPUTED_VALUE"""),"uyguygui")</f>
        <v>uyguygui</v>
      </c>
      <c r="B2683" s="10">
        <f>IFERROR(__xludf.DUMMYFUNCTION("""COMPUTED_VALUE"""),1732.0)</f>
        <v>1732</v>
      </c>
      <c r="C2683" s="10">
        <f>IFERROR(__xludf.DUMMYFUNCTION("""COMPUTED_VALUE"""),20204.0)</f>
        <v>20204</v>
      </c>
      <c r="D2683" s="5">
        <f>IFERROR(__xludf.DUMMYFUNCTION("""COMPUTED_VALUE"""),0.37808575140753575)</f>
        <v>0.3780857514</v>
      </c>
      <c r="E2683" s="5">
        <f>IFERROR(__xludf.DUMMYFUNCTION("""COMPUTED_VALUE"""),0.12813988739714163)</f>
        <v>0.1281398874</v>
      </c>
      <c r="F2683" s="5">
        <f>IFERROR(__xludf.DUMMYFUNCTION("""COMPUTED_VALUE"""),0.21188826331745345)</f>
        <v>0.2118882633</v>
      </c>
      <c r="G2683" s="5">
        <f>IFERROR(__xludf.DUMMYFUNCTION("""COMPUTED_VALUE"""),0.1758336942399307)</f>
        <v>0.1758336942</v>
      </c>
      <c r="H2683" s="5">
        <f>IFERROR(__xludf.DUMMYFUNCTION("""COMPUTED_VALUE"""),0.6011752682677568)</f>
        <v>0.6011752683</v>
      </c>
      <c r="I2683" s="11">
        <f>IFERROR(__xludf.DUMMYFUNCTION("""COMPUTED_VALUE"""),5643.229432805314)</f>
        <v>5643.229433</v>
      </c>
      <c r="J2683" s="10">
        <f>IFERROR(__xludf.DUMMYFUNCTION("""COMPUTED_VALUE"""),2.0)</f>
        <v>2</v>
      </c>
      <c r="K2683" s="5">
        <f>IFERROR(__xludf.DUMMYFUNCTION("""COMPUTED_VALUE"""),0.0011547344110854503)</f>
        <v>0.001154734411</v>
      </c>
      <c r="L2683" s="10">
        <f>IFERROR(__xludf.DUMMYFUNCTION("""COMPUTED_VALUE"""),1732.0)</f>
        <v>1732</v>
      </c>
      <c r="M2683" s="5">
        <f>IFERROR(__xludf.DUMMYFUNCTION("""COMPUTED_VALUE"""),1.0)</f>
        <v>1</v>
      </c>
    </row>
    <row r="2684">
      <c r="A2684" s="10" t="str">
        <f>IFERROR(__xludf.DUMMYFUNCTION("""COMPUTED_VALUE"""),"tanaKa")</f>
        <v>tanaKa</v>
      </c>
      <c r="B2684" s="10">
        <f>IFERROR(__xludf.DUMMYFUNCTION("""COMPUTED_VALUE"""),3058.0)</f>
        <v>3058</v>
      </c>
      <c r="C2684" s="10">
        <f>IFERROR(__xludf.DUMMYFUNCTION("""COMPUTED_VALUE"""),35788.0)</f>
        <v>35788</v>
      </c>
      <c r="D2684" s="5">
        <f>IFERROR(__xludf.DUMMYFUNCTION("""COMPUTED_VALUE"""),0.36877482432019554)</f>
        <v>0.3687748243</v>
      </c>
      <c r="E2684" s="5">
        <f>IFERROR(__xludf.DUMMYFUNCTION("""COMPUTED_VALUE"""),0.12813932172318973)</f>
        <v>0.1281393217</v>
      </c>
      <c r="F2684" s="5">
        <f>IFERROR(__xludf.DUMMYFUNCTION("""COMPUTED_VALUE"""),0.2165902841429881)</f>
        <v>0.2165902841</v>
      </c>
      <c r="G2684" s="5">
        <f>IFERROR(__xludf.DUMMYFUNCTION("""COMPUTED_VALUE"""),0.18069049801405437)</f>
        <v>0.180690498</v>
      </c>
      <c r="H2684" s="5">
        <f>IFERROR(__xludf.DUMMYFUNCTION("""COMPUTED_VALUE"""),0.5975454930173508)</f>
        <v>0.597545493</v>
      </c>
      <c r="I2684" s="11">
        <f>IFERROR(__xludf.DUMMYFUNCTION("""COMPUTED_VALUE"""),5436.902242911553)</f>
        <v>5436.902243</v>
      </c>
      <c r="J2684" s="10">
        <f>IFERROR(__xludf.DUMMYFUNCTION("""COMPUTED_VALUE"""),7.0)</f>
        <v>7</v>
      </c>
      <c r="K2684" s="5">
        <f>IFERROR(__xludf.DUMMYFUNCTION("""COMPUTED_VALUE"""),0.002289077828646174)</f>
        <v>0.002289077829</v>
      </c>
      <c r="L2684" s="10">
        <f>IFERROR(__xludf.DUMMYFUNCTION("""COMPUTED_VALUE"""),3058.0)</f>
        <v>3058</v>
      </c>
      <c r="M2684" s="5">
        <f>IFERROR(__xludf.DUMMYFUNCTION("""COMPUTED_VALUE"""),1.0)</f>
        <v>1</v>
      </c>
    </row>
    <row r="2685">
      <c r="A2685" s="10" t="str">
        <f>IFERROR(__xludf.DUMMYFUNCTION("""COMPUTED_VALUE"""),"rader")</f>
        <v>rader</v>
      </c>
      <c r="B2685" s="10">
        <f>IFERROR(__xludf.DUMMYFUNCTION("""COMPUTED_VALUE"""),799.0)</f>
        <v>799</v>
      </c>
      <c r="C2685" s="10">
        <f>IFERROR(__xludf.DUMMYFUNCTION("""COMPUTED_VALUE"""),9415.0)</f>
        <v>9415</v>
      </c>
      <c r="D2685" s="5">
        <f>IFERROR(__xludf.DUMMYFUNCTION("""COMPUTED_VALUE"""),0.3284586815227484)</f>
        <v>0.3284586815</v>
      </c>
      <c r="E2685" s="5">
        <f>IFERROR(__xludf.DUMMYFUNCTION("""COMPUTED_VALUE"""),0.12813370473537605)</f>
        <v>0.1281337047</v>
      </c>
      <c r="F2685" s="5">
        <f>IFERROR(__xludf.DUMMYFUNCTION("""COMPUTED_VALUE"""),0.19649489322191271)</f>
        <v>0.1964948932</v>
      </c>
      <c r="G2685" s="5">
        <f>IFERROR(__xludf.DUMMYFUNCTION("""COMPUTED_VALUE"""),0.1653899721448468)</f>
        <v>0.1653899721</v>
      </c>
      <c r="H2685" s="5">
        <f>IFERROR(__xludf.DUMMYFUNCTION("""COMPUTED_VALUE"""),0.6107501476668635)</f>
        <v>0.6107501477</v>
      </c>
      <c r="I2685" s="11">
        <f>IFERROR(__xludf.DUMMYFUNCTION("""COMPUTED_VALUE"""),5707.442409923213)</f>
        <v>5707.44241</v>
      </c>
      <c r="J2685" s="10">
        <f>IFERROR(__xludf.DUMMYFUNCTION("""COMPUTED_VALUE"""),4.0)</f>
        <v>4</v>
      </c>
      <c r="K2685" s="5">
        <f>IFERROR(__xludf.DUMMYFUNCTION("""COMPUTED_VALUE"""),0.0050062578222778474)</f>
        <v>0.005006257822</v>
      </c>
      <c r="L2685" s="10">
        <f>IFERROR(__xludf.DUMMYFUNCTION("""COMPUTED_VALUE"""),799.0)</f>
        <v>799</v>
      </c>
      <c r="M2685" s="5">
        <f>IFERROR(__xludf.DUMMYFUNCTION("""COMPUTED_VALUE"""),1.0)</f>
        <v>1</v>
      </c>
    </row>
    <row r="2686">
      <c r="A2686" s="10" t="str">
        <f>IFERROR(__xludf.DUMMYFUNCTION("""COMPUTED_VALUE"""),"うるるさらら")</f>
        <v>うるるさらら</v>
      </c>
      <c r="B2686" s="10">
        <f>IFERROR(__xludf.DUMMYFUNCTION("""COMPUTED_VALUE"""),785.0)</f>
        <v>785</v>
      </c>
      <c r="C2686" s="10">
        <f>IFERROR(__xludf.DUMMYFUNCTION("""COMPUTED_VALUE"""),9245.0)</f>
        <v>9245</v>
      </c>
      <c r="D2686" s="5">
        <f>IFERROR(__xludf.DUMMYFUNCTION("""COMPUTED_VALUE"""),0.23853427895981089)</f>
        <v>0.238534279</v>
      </c>
      <c r="E2686" s="5">
        <f>IFERROR(__xludf.DUMMYFUNCTION("""COMPUTED_VALUE"""),0.12813238770685578)</f>
        <v>0.1281323877</v>
      </c>
      <c r="F2686" s="5">
        <f>IFERROR(__xludf.DUMMYFUNCTION("""COMPUTED_VALUE"""),0.19349881796690308)</f>
        <v>0.193498818</v>
      </c>
      <c r="G2686" s="5">
        <f>IFERROR(__xludf.DUMMYFUNCTION("""COMPUTED_VALUE"""),0.14716312056737588)</f>
        <v>0.1471631206</v>
      </c>
      <c r="H2686" s="5">
        <f>IFERROR(__xludf.DUMMYFUNCTION("""COMPUTED_VALUE"""),0.6218692730604765)</f>
        <v>0.6218692731</v>
      </c>
      <c r="I2686" s="11">
        <f>IFERROR(__xludf.DUMMYFUNCTION("""COMPUTED_VALUE"""),6027.306047648137)</f>
        <v>6027.306048</v>
      </c>
      <c r="J2686" s="10">
        <f>IFERROR(__xludf.DUMMYFUNCTION("""COMPUTED_VALUE"""),1.0)</f>
        <v>1</v>
      </c>
      <c r="K2686" s="5">
        <f>IFERROR(__xludf.DUMMYFUNCTION("""COMPUTED_VALUE"""),0.0012738853503184713)</f>
        <v>0.00127388535</v>
      </c>
      <c r="L2686" s="10">
        <f>IFERROR(__xludf.DUMMYFUNCTION("""COMPUTED_VALUE"""),785.0)</f>
        <v>785</v>
      </c>
      <c r="M2686" s="5">
        <f>IFERROR(__xludf.DUMMYFUNCTION("""COMPUTED_VALUE"""),1.0)</f>
        <v>1</v>
      </c>
    </row>
    <row r="2687">
      <c r="A2687" s="10" t="str">
        <f>IFERROR(__xludf.DUMMYFUNCTION("""COMPUTED_VALUE"""),"茂手もて夫")</f>
        <v>茂手もて夫</v>
      </c>
      <c r="B2687" s="10">
        <f>IFERROR(__xludf.DUMMYFUNCTION("""COMPUTED_VALUE"""),357.0)</f>
        <v>357</v>
      </c>
      <c r="C2687" s="10">
        <f>IFERROR(__xludf.DUMMYFUNCTION("""COMPUTED_VALUE"""),4166.0)</f>
        <v>4166</v>
      </c>
      <c r="D2687" s="5">
        <f>IFERROR(__xludf.DUMMYFUNCTION("""COMPUTED_VALUE"""),0.3767393016539774)</f>
        <v>0.3767393017</v>
      </c>
      <c r="E2687" s="5">
        <f>IFERROR(__xludf.DUMMYFUNCTION("""COMPUTED_VALUE"""),0.12811761617222367)</f>
        <v>0.1281176162</v>
      </c>
      <c r="F2687" s="5">
        <f>IFERROR(__xludf.DUMMYFUNCTION("""COMPUTED_VALUE"""),0.2168548175374114)</f>
        <v>0.2168548175</v>
      </c>
      <c r="G2687" s="5">
        <f>IFERROR(__xludf.DUMMYFUNCTION("""COMPUTED_VALUE"""),0.156208978734576)</f>
        <v>0.1562089787</v>
      </c>
      <c r="H2687" s="5">
        <f>IFERROR(__xludf.DUMMYFUNCTION("""COMPUTED_VALUE"""),0.6016949152542372)</f>
        <v>0.6016949153</v>
      </c>
      <c r="I2687" s="11">
        <f>IFERROR(__xludf.DUMMYFUNCTION("""COMPUTED_VALUE"""),5340.072639225182)</f>
        <v>5340.072639</v>
      </c>
      <c r="J2687" s="10">
        <f>IFERROR(__xludf.DUMMYFUNCTION("""COMPUTED_VALUE"""),0.0)</f>
        <v>0</v>
      </c>
      <c r="K2687" s="5">
        <f>IFERROR(__xludf.DUMMYFUNCTION("""COMPUTED_VALUE"""),0.0)</f>
        <v>0</v>
      </c>
      <c r="L2687" s="10">
        <f>IFERROR(__xludf.DUMMYFUNCTION("""COMPUTED_VALUE"""),99.0)</f>
        <v>99</v>
      </c>
      <c r="M2687" s="5">
        <f>IFERROR(__xludf.DUMMYFUNCTION("""COMPUTED_VALUE"""),0.2773109243697479)</f>
        <v>0.2773109244</v>
      </c>
    </row>
    <row r="2688">
      <c r="A2688" s="10" t="str">
        <f>IFERROR(__xludf.DUMMYFUNCTION("""COMPUTED_VALUE"""),"T-Low")</f>
        <v>T-Low</v>
      </c>
      <c r="B2688" s="10">
        <f>IFERROR(__xludf.DUMMYFUNCTION("""COMPUTED_VALUE"""),137.0)</f>
        <v>137</v>
      </c>
      <c r="C2688" s="10">
        <f>IFERROR(__xludf.DUMMYFUNCTION("""COMPUTED_VALUE"""),1542.0)</f>
        <v>1542</v>
      </c>
      <c r="D2688" s="5">
        <f>IFERROR(__xludf.DUMMYFUNCTION("""COMPUTED_VALUE"""),0.34448398576512457)</f>
        <v>0.3444839858</v>
      </c>
      <c r="E2688" s="5">
        <f>IFERROR(__xludf.DUMMYFUNCTION("""COMPUTED_VALUE"""),0.12811387900355872)</f>
        <v>0.128113879</v>
      </c>
      <c r="F2688" s="5">
        <f>IFERROR(__xludf.DUMMYFUNCTION("""COMPUTED_VALUE"""),0.20284697508896798)</f>
        <v>0.2028469751</v>
      </c>
      <c r="G2688" s="5">
        <f>IFERROR(__xludf.DUMMYFUNCTION("""COMPUTED_VALUE"""),0.15587188612099645)</f>
        <v>0.1558718861</v>
      </c>
      <c r="H2688" s="5">
        <f>IFERROR(__xludf.DUMMYFUNCTION("""COMPUTED_VALUE"""),0.6070175438596491)</f>
        <v>0.6070175439</v>
      </c>
      <c r="I2688" s="11">
        <f>IFERROR(__xludf.DUMMYFUNCTION("""COMPUTED_VALUE"""),5963.859649122807)</f>
        <v>5963.859649</v>
      </c>
      <c r="J2688" s="10">
        <f>IFERROR(__xludf.DUMMYFUNCTION("""COMPUTED_VALUE"""),0.0)</f>
        <v>0</v>
      </c>
      <c r="K2688" s="5">
        <f>IFERROR(__xludf.DUMMYFUNCTION("""COMPUTED_VALUE"""),0.0)</f>
        <v>0</v>
      </c>
      <c r="L2688" s="10">
        <f>IFERROR(__xludf.DUMMYFUNCTION("""COMPUTED_VALUE"""),137.0)</f>
        <v>137</v>
      </c>
      <c r="M2688" s="5">
        <f>IFERROR(__xludf.DUMMYFUNCTION("""COMPUTED_VALUE"""),1.0)</f>
        <v>1</v>
      </c>
    </row>
    <row r="2689">
      <c r="A2689" s="10" t="str">
        <f>IFERROR(__xludf.DUMMYFUNCTION("""COMPUTED_VALUE"""),"ヴぁにらあいす")</f>
        <v>ヴぁにらあいす</v>
      </c>
      <c r="B2689" s="10">
        <f>IFERROR(__xludf.DUMMYFUNCTION("""COMPUTED_VALUE"""),1245.0)</f>
        <v>1245</v>
      </c>
      <c r="C2689" s="10">
        <f>IFERROR(__xludf.DUMMYFUNCTION("""COMPUTED_VALUE"""),14718.0)</f>
        <v>14718</v>
      </c>
      <c r="D2689" s="5">
        <f>IFERROR(__xludf.DUMMYFUNCTION("""COMPUTED_VALUE"""),0.31611370889928003)</f>
        <v>0.3161137089</v>
      </c>
      <c r="E2689" s="5">
        <f>IFERROR(__xludf.DUMMYFUNCTION("""COMPUTED_VALUE"""),0.1281080679878275)</f>
        <v>0.128108068</v>
      </c>
      <c r="F2689" s="5">
        <f>IFERROR(__xludf.DUMMYFUNCTION("""COMPUTED_VALUE"""),0.19891635122096044)</f>
        <v>0.1989163512</v>
      </c>
      <c r="G2689" s="5">
        <f>IFERROR(__xludf.DUMMYFUNCTION("""COMPUTED_VALUE"""),0.15853930082386997)</f>
        <v>0.1585393008</v>
      </c>
      <c r="H2689" s="5">
        <f>IFERROR(__xludf.DUMMYFUNCTION("""COMPUTED_VALUE"""),0.5805970149253732)</f>
        <v>0.5805970149</v>
      </c>
      <c r="I2689" s="11">
        <f>IFERROR(__xludf.DUMMYFUNCTION("""COMPUTED_VALUE"""),5959.328358208955)</f>
        <v>5959.328358</v>
      </c>
      <c r="J2689" s="10">
        <f>IFERROR(__xludf.DUMMYFUNCTION("""COMPUTED_VALUE"""),6.0)</f>
        <v>6</v>
      </c>
      <c r="K2689" s="5">
        <f>IFERROR(__xludf.DUMMYFUNCTION("""COMPUTED_VALUE"""),0.004819277108433735)</f>
        <v>0.004819277108</v>
      </c>
      <c r="L2689" s="10">
        <f>IFERROR(__xludf.DUMMYFUNCTION("""COMPUTED_VALUE"""),1245.0)</f>
        <v>1245</v>
      </c>
      <c r="M2689" s="5">
        <f>IFERROR(__xludf.DUMMYFUNCTION("""COMPUTED_VALUE"""),1.0)</f>
        <v>1</v>
      </c>
    </row>
    <row r="2690">
      <c r="A2690" s="10" t="str">
        <f>IFERROR(__xludf.DUMMYFUNCTION("""COMPUTED_VALUE"""),"綾瀬市民")</f>
        <v>綾瀬市民</v>
      </c>
      <c r="B2690" s="10">
        <f>IFERROR(__xludf.DUMMYFUNCTION("""COMPUTED_VALUE"""),1043.0)</f>
        <v>1043</v>
      </c>
      <c r="C2690" s="10">
        <f>IFERROR(__xludf.DUMMYFUNCTION("""COMPUTED_VALUE"""),12112.0)</f>
        <v>12112</v>
      </c>
      <c r="D2690" s="5">
        <f>IFERROR(__xludf.DUMMYFUNCTION("""COMPUTED_VALUE"""),0.301111211491553)</f>
        <v>0.3011112115</v>
      </c>
      <c r="E2690" s="5">
        <f>IFERROR(__xludf.DUMMYFUNCTION("""COMPUTED_VALUE"""),0.12810551992049868)</f>
        <v>0.1281055199</v>
      </c>
      <c r="F2690" s="5">
        <f>IFERROR(__xludf.DUMMYFUNCTION("""COMPUTED_VALUE"""),0.19929532929803956)</f>
        <v>0.1992953293</v>
      </c>
      <c r="G2690" s="5">
        <f>IFERROR(__xludf.DUMMYFUNCTION("""COMPUTED_VALUE"""),0.2022766284217183)</f>
        <v>0.2022766284</v>
      </c>
      <c r="H2690" s="5">
        <f>IFERROR(__xludf.DUMMYFUNCTION("""COMPUTED_VALUE"""),0.5766092475067996)</f>
        <v>0.5766092475</v>
      </c>
      <c r="I2690" s="11">
        <f>IFERROR(__xludf.DUMMYFUNCTION("""COMPUTED_VALUE"""),6119.537624660018)</f>
        <v>6119.537625</v>
      </c>
      <c r="J2690" s="10">
        <f>IFERROR(__xludf.DUMMYFUNCTION("""COMPUTED_VALUE"""),1.0)</f>
        <v>1</v>
      </c>
      <c r="K2690" s="5">
        <f>IFERROR(__xludf.DUMMYFUNCTION("""COMPUTED_VALUE"""),9.587727708533077E-4)</f>
        <v>0.0009587727709</v>
      </c>
      <c r="L2690" s="10">
        <f>IFERROR(__xludf.DUMMYFUNCTION("""COMPUTED_VALUE"""),1043.0)</f>
        <v>1043</v>
      </c>
      <c r="M2690" s="5">
        <f>IFERROR(__xludf.DUMMYFUNCTION("""COMPUTED_VALUE"""),1.0)</f>
        <v>1</v>
      </c>
    </row>
    <row r="2691">
      <c r="A2691" s="10" t="str">
        <f>IFERROR(__xludf.DUMMYFUNCTION("""COMPUTED_VALUE"""),"DdR_Dan")</f>
        <v>DdR_Dan</v>
      </c>
      <c r="B2691" s="10">
        <f>IFERROR(__xludf.DUMMYFUNCTION("""COMPUTED_VALUE"""),165.0)</f>
        <v>165</v>
      </c>
      <c r="C2691" s="10">
        <f>IFERROR(__xludf.DUMMYFUNCTION("""COMPUTED_VALUE"""),1937.0)</f>
        <v>1937</v>
      </c>
      <c r="D2691" s="5">
        <f>IFERROR(__xludf.DUMMYFUNCTION("""COMPUTED_VALUE"""),0.28047404063205417)</f>
        <v>0.2804740406</v>
      </c>
      <c r="E2691" s="5">
        <f>IFERROR(__xludf.DUMMYFUNCTION("""COMPUTED_VALUE"""),0.1281038374717833)</f>
        <v>0.1281038375</v>
      </c>
      <c r="F2691" s="5">
        <f>IFERROR(__xludf.DUMMYFUNCTION("""COMPUTED_VALUE"""),0.1963882618510158)</f>
        <v>0.1963882619</v>
      </c>
      <c r="G2691" s="5">
        <f>IFERROR(__xludf.DUMMYFUNCTION("""COMPUTED_VALUE"""),0.1433408577878104)</f>
        <v>0.1433408578</v>
      </c>
      <c r="H2691" s="5">
        <f>IFERROR(__xludf.DUMMYFUNCTION("""COMPUTED_VALUE"""),0.6379310344827587)</f>
        <v>0.6379310345</v>
      </c>
      <c r="I2691" s="11">
        <f>IFERROR(__xludf.DUMMYFUNCTION("""COMPUTED_VALUE"""),5458.045977011494)</f>
        <v>5458.045977</v>
      </c>
      <c r="J2691" s="10">
        <f>IFERROR(__xludf.DUMMYFUNCTION("""COMPUTED_VALUE"""),0.0)</f>
        <v>0</v>
      </c>
      <c r="K2691" s="5">
        <f>IFERROR(__xludf.DUMMYFUNCTION("""COMPUTED_VALUE"""),0.0)</f>
        <v>0</v>
      </c>
      <c r="L2691" s="10">
        <f>IFERROR(__xludf.DUMMYFUNCTION("""COMPUTED_VALUE"""),165.0)</f>
        <v>165</v>
      </c>
      <c r="M2691" s="5">
        <f>IFERROR(__xludf.DUMMYFUNCTION("""COMPUTED_VALUE"""),1.0)</f>
        <v>1</v>
      </c>
    </row>
    <row r="2692">
      <c r="A2692" s="10" t="str">
        <f>IFERROR(__xludf.DUMMYFUNCTION("""COMPUTED_VALUE"""),"まろばし")</f>
        <v>まろばし</v>
      </c>
      <c r="B2692" s="10">
        <f>IFERROR(__xludf.DUMMYFUNCTION("""COMPUTED_VALUE"""),348.0)</f>
        <v>348</v>
      </c>
      <c r="C2692" s="10">
        <f>IFERROR(__xludf.DUMMYFUNCTION("""COMPUTED_VALUE"""),4095.0)</f>
        <v>4095</v>
      </c>
      <c r="D2692" s="5">
        <f>IFERROR(__xludf.DUMMYFUNCTION("""COMPUTED_VALUE"""),0.35174806511876167)</f>
        <v>0.3517480651</v>
      </c>
      <c r="E2692" s="5">
        <f>IFERROR(__xludf.DUMMYFUNCTION("""COMPUTED_VALUE"""),0.12810248198558846)</f>
        <v>0.128102482</v>
      </c>
      <c r="F2692" s="5">
        <f>IFERROR(__xludf.DUMMYFUNCTION("""COMPUTED_VALUE"""),0.23005070723245263)</f>
        <v>0.2300507072</v>
      </c>
      <c r="G2692" s="5">
        <f>IFERROR(__xludf.DUMMYFUNCTION("""COMPUTED_VALUE"""),0.17240459033893782)</f>
        <v>0.1724045903</v>
      </c>
      <c r="H2692" s="5">
        <f>IFERROR(__xludf.DUMMYFUNCTION("""COMPUTED_VALUE"""),0.6136890951276102)</f>
        <v>0.6136890951</v>
      </c>
      <c r="I2692" s="11">
        <f>IFERROR(__xludf.DUMMYFUNCTION("""COMPUTED_VALUE"""),5362.529002320186)</f>
        <v>5362.529002</v>
      </c>
      <c r="J2692" s="10">
        <f>IFERROR(__xludf.DUMMYFUNCTION("""COMPUTED_VALUE"""),1.0)</f>
        <v>1</v>
      </c>
      <c r="K2692" s="5">
        <f>IFERROR(__xludf.DUMMYFUNCTION("""COMPUTED_VALUE"""),0.0028735632183908046)</f>
        <v>0.002873563218</v>
      </c>
      <c r="L2692" s="10">
        <f>IFERROR(__xludf.DUMMYFUNCTION("""COMPUTED_VALUE"""),348.0)</f>
        <v>348</v>
      </c>
      <c r="M2692" s="5">
        <f>IFERROR(__xludf.DUMMYFUNCTION("""COMPUTED_VALUE"""),1.0)</f>
        <v>1</v>
      </c>
    </row>
    <row r="2693">
      <c r="A2693" s="10" t="str">
        <f>IFERROR(__xludf.DUMMYFUNCTION("""COMPUTED_VALUE"""),"福地誠@るん軍団")</f>
        <v>福地誠@るん軍団</v>
      </c>
      <c r="B2693" s="10">
        <f>IFERROR(__xludf.DUMMYFUNCTION("""COMPUTED_VALUE"""),448.0)</f>
        <v>448</v>
      </c>
      <c r="C2693" s="10">
        <f>IFERROR(__xludf.DUMMYFUNCTION("""COMPUTED_VALUE"""),5249.0)</f>
        <v>5249</v>
      </c>
      <c r="D2693" s="5">
        <f>IFERROR(__xludf.DUMMYFUNCTION("""COMPUTED_VALUE"""),0.2888981462195376)</f>
        <v>0.2888981462</v>
      </c>
      <c r="E2693" s="5">
        <f>IFERROR(__xludf.DUMMYFUNCTION("""COMPUTED_VALUE"""),0.12809831285148926)</f>
        <v>0.1280983129</v>
      </c>
      <c r="F2693" s="5">
        <f>IFERROR(__xludf.DUMMYFUNCTION("""COMPUTED_VALUE"""),0.20037492189127265)</f>
        <v>0.2003749219</v>
      </c>
      <c r="G2693" s="5">
        <f>IFERROR(__xludf.DUMMYFUNCTION("""COMPUTED_VALUE"""),0.17621328889814622)</f>
        <v>0.1762132889</v>
      </c>
      <c r="H2693" s="5">
        <f>IFERROR(__xludf.DUMMYFUNCTION("""COMPUTED_VALUE"""),0.6029106029106029)</f>
        <v>0.6029106029</v>
      </c>
      <c r="I2693" s="11">
        <f>IFERROR(__xludf.DUMMYFUNCTION("""COMPUTED_VALUE"""),5912.785862785863)</f>
        <v>5912.785863</v>
      </c>
      <c r="J2693" s="10">
        <f>IFERROR(__xludf.DUMMYFUNCTION("""COMPUTED_VALUE"""),0.0)</f>
        <v>0</v>
      </c>
      <c r="K2693" s="5">
        <f>IFERROR(__xludf.DUMMYFUNCTION("""COMPUTED_VALUE"""),0.0)</f>
        <v>0</v>
      </c>
      <c r="L2693" s="10">
        <f>IFERROR(__xludf.DUMMYFUNCTION("""COMPUTED_VALUE"""),448.0)</f>
        <v>448</v>
      </c>
      <c r="M2693" s="5">
        <f>IFERROR(__xludf.DUMMYFUNCTION("""COMPUTED_VALUE"""),1.0)</f>
        <v>1</v>
      </c>
    </row>
    <row r="2694">
      <c r="A2694" s="10" t="str">
        <f>IFERROR(__xludf.DUMMYFUNCTION("""COMPUTED_VALUE"""),"DJR")</f>
        <v>DJR</v>
      </c>
      <c r="B2694" s="10">
        <f>IFERROR(__xludf.DUMMYFUNCTION("""COMPUTED_VALUE"""),238.0)</f>
        <v>238</v>
      </c>
      <c r="C2694" s="10">
        <f>IFERROR(__xludf.DUMMYFUNCTION("""COMPUTED_VALUE"""),2861.0)</f>
        <v>2861</v>
      </c>
      <c r="D2694" s="5">
        <f>IFERROR(__xludf.DUMMYFUNCTION("""COMPUTED_VALUE"""),0.32329393823865804)</f>
        <v>0.3232939382</v>
      </c>
      <c r="E2694" s="5">
        <f>IFERROR(__xludf.DUMMYFUNCTION("""COMPUTED_VALUE"""),0.1280975981700343)</f>
        <v>0.1280975982</v>
      </c>
      <c r="F2694" s="5">
        <f>IFERROR(__xludf.DUMMYFUNCTION("""COMPUTED_VALUE"""),0.19786504003049943)</f>
        <v>0.19786504</v>
      </c>
      <c r="G2694" s="5">
        <f>IFERROR(__xludf.DUMMYFUNCTION("""COMPUTED_VALUE"""),0.1517346549752192)</f>
        <v>0.151734655</v>
      </c>
      <c r="H2694" s="5">
        <f>IFERROR(__xludf.DUMMYFUNCTION("""COMPUTED_VALUE"""),0.6319845857418112)</f>
        <v>0.6319845857</v>
      </c>
      <c r="I2694" s="11">
        <f>IFERROR(__xludf.DUMMYFUNCTION("""COMPUTED_VALUE"""),5435.645472061657)</f>
        <v>5435.645472</v>
      </c>
      <c r="J2694" s="10">
        <f>IFERROR(__xludf.DUMMYFUNCTION("""COMPUTED_VALUE"""),1.0)</f>
        <v>1</v>
      </c>
      <c r="K2694" s="5">
        <f>IFERROR(__xludf.DUMMYFUNCTION("""COMPUTED_VALUE"""),0.004201680672268907)</f>
        <v>0.004201680672</v>
      </c>
      <c r="L2694" s="10">
        <f>IFERROR(__xludf.DUMMYFUNCTION("""COMPUTED_VALUE"""),238.0)</f>
        <v>238</v>
      </c>
      <c r="M2694" s="5">
        <f>IFERROR(__xludf.DUMMYFUNCTION("""COMPUTED_VALUE"""),1.0)</f>
        <v>1</v>
      </c>
    </row>
    <row r="2695">
      <c r="A2695" s="10" t="str">
        <f>IFERROR(__xludf.DUMMYFUNCTION("""COMPUTED_VALUE"""),"アビさん")</f>
        <v>アビさん</v>
      </c>
      <c r="B2695" s="10">
        <f>IFERROR(__xludf.DUMMYFUNCTION("""COMPUTED_VALUE"""),381.0)</f>
        <v>381</v>
      </c>
      <c r="C2695" s="10">
        <f>IFERROR(__xludf.DUMMYFUNCTION("""COMPUTED_VALUE"""),4472.0)</f>
        <v>4472</v>
      </c>
      <c r="D2695" s="5">
        <f>IFERROR(__xludf.DUMMYFUNCTION("""COMPUTED_VALUE"""),0.3233928134930335)</f>
        <v>0.3233928135</v>
      </c>
      <c r="E2695" s="5">
        <f>IFERROR(__xludf.DUMMYFUNCTION("""COMPUTED_VALUE"""),0.12808604253238817)</f>
        <v>0.1280860425</v>
      </c>
      <c r="F2695" s="5">
        <f>IFERROR(__xludf.DUMMYFUNCTION("""COMPUTED_VALUE"""),0.21779516010755318)</f>
        <v>0.2177951601</v>
      </c>
      <c r="G2695" s="5">
        <f>IFERROR(__xludf.DUMMYFUNCTION("""COMPUTED_VALUE"""),0.1862625274993889)</f>
        <v>0.1862625275</v>
      </c>
      <c r="H2695" s="5">
        <f>IFERROR(__xludf.DUMMYFUNCTION("""COMPUTED_VALUE"""),0.5802469135802469)</f>
        <v>0.5802469136</v>
      </c>
      <c r="I2695" s="11">
        <f>IFERROR(__xludf.DUMMYFUNCTION("""COMPUTED_VALUE"""),5667.227833894501)</f>
        <v>5667.227834</v>
      </c>
      <c r="J2695" s="10">
        <f>IFERROR(__xludf.DUMMYFUNCTION("""COMPUTED_VALUE"""),2.0)</f>
        <v>2</v>
      </c>
      <c r="K2695" s="5">
        <f>IFERROR(__xludf.DUMMYFUNCTION("""COMPUTED_VALUE"""),0.005249343832020997)</f>
        <v>0.005249343832</v>
      </c>
      <c r="L2695" s="10">
        <f>IFERROR(__xludf.DUMMYFUNCTION("""COMPUTED_VALUE"""),381.0)</f>
        <v>381</v>
      </c>
      <c r="M2695" s="5">
        <f>IFERROR(__xludf.DUMMYFUNCTION("""COMPUTED_VALUE"""),1.0)</f>
        <v>1</v>
      </c>
    </row>
    <row r="2696">
      <c r="A2696" s="10" t="str">
        <f>IFERROR(__xludf.DUMMYFUNCTION("""COMPUTED_VALUE"""),"立直後即放銃")</f>
        <v>立直後即放銃</v>
      </c>
      <c r="B2696" s="10">
        <f>IFERROR(__xludf.DUMMYFUNCTION("""COMPUTED_VALUE"""),524.0)</f>
        <v>524</v>
      </c>
      <c r="C2696" s="10">
        <f>IFERROR(__xludf.DUMMYFUNCTION("""COMPUTED_VALUE"""),6052.0)</f>
        <v>6052</v>
      </c>
      <c r="D2696" s="5">
        <f>IFERROR(__xludf.DUMMYFUNCTION("""COMPUTED_VALUE"""),0.34406657018813314)</f>
        <v>0.3440665702</v>
      </c>
      <c r="E2696" s="5">
        <f>IFERROR(__xludf.DUMMYFUNCTION("""COMPUTED_VALUE"""),0.12807525325615052)</f>
        <v>0.1280752533</v>
      </c>
      <c r="F2696" s="5">
        <f>IFERROR(__xludf.DUMMYFUNCTION("""COMPUTED_VALUE"""),0.20477568740955138)</f>
        <v>0.2047756874</v>
      </c>
      <c r="G2696" s="5">
        <f>IFERROR(__xludf.DUMMYFUNCTION("""COMPUTED_VALUE"""),0.16950072358900145)</f>
        <v>0.1695007236</v>
      </c>
      <c r="H2696" s="5">
        <f>IFERROR(__xludf.DUMMYFUNCTION("""COMPUTED_VALUE"""),0.5954063604240283)</f>
        <v>0.5954063604</v>
      </c>
      <c r="I2696" s="11">
        <f>IFERROR(__xludf.DUMMYFUNCTION("""COMPUTED_VALUE"""),5951.766784452297)</f>
        <v>5951.766784</v>
      </c>
      <c r="J2696" s="10">
        <f>IFERROR(__xludf.DUMMYFUNCTION("""COMPUTED_VALUE"""),4.0)</f>
        <v>4</v>
      </c>
      <c r="K2696" s="5">
        <f>IFERROR(__xludf.DUMMYFUNCTION("""COMPUTED_VALUE"""),0.007633587786259542)</f>
        <v>0.007633587786</v>
      </c>
      <c r="L2696" s="10">
        <f>IFERROR(__xludf.DUMMYFUNCTION("""COMPUTED_VALUE"""),0.0)</f>
        <v>0</v>
      </c>
      <c r="M2696" s="5">
        <f>IFERROR(__xludf.DUMMYFUNCTION("""COMPUTED_VALUE"""),0.0)</f>
        <v>0</v>
      </c>
    </row>
    <row r="2697">
      <c r="A2697" s="10" t="str">
        <f>IFERROR(__xludf.DUMMYFUNCTION("""COMPUTED_VALUE"""),"超獣ＧＩＧＡ")</f>
        <v>超獣ＧＩＧＡ</v>
      </c>
      <c r="B2697" s="10">
        <f>IFERROR(__xludf.DUMMYFUNCTION("""COMPUTED_VALUE"""),771.0)</f>
        <v>771</v>
      </c>
      <c r="C2697" s="10">
        <f>IFERROR(__xludf.DUMMYFUNCTION("""COMPUTED_VALUE"""),9087.0)</f>
        <v>9087</v>
      </c>
      <c r="D2697" s="5">
        <f>IFERROR(__xludf.DUMMYFUNCTION("""COMPUTED_VALUE"""),0.414983164983165)</f>
        <v>0.414983165</v>
      </c>
      <c r="E2697" s="5">
        <f>IFERROR(__xludf.DUMMYFUNCTION("""COMPUTED_VALUE"""),0.12806637806637808)</f>
        <v>0.1280663781</v>
      </c>
      <c r="F2697" s="5">
        <f>IFERROR(__xludf.DUMMYFUNCTION("""COMPUTED_VALUE"""),0.21368446368446367)</f>
        <v>0.2136844637</v>
      </c>
      <c r="G2697" s="5">
        <f>IFERROR(__xludf.DUMMYFUNCTION("""COMPUTED_VALUE"""),0.1628186628186628)</f>
        <v>0.1628186628</v>
      </c>
      <c r="H2697" s="5">
        <f>IFERROR(__xludf.DUMMYFUNCTION("""COMPUTED_VALUE"""),0.6055149127743388)</f>
        <v>0.6055149128</v>
      </c>
      <c r="I2697" s="11">
        <f>IFERROR(__xludf.DUMMYFUNCTION("""COMPUTED_VALUE"""),5442.824985931345)</f>
        <v>5442.824986</v>
      </c>
      <c r="J2697" s="10">
        <f>IFERROR(__xludf.DUMMYFUNCTION("""COMPUTED_VALUE"""),1.0)</f>
        <v>1</v>
      </c>
      <c r="K2697" s="5">
        <f>IFERROR(__xludf.DUMMYFUNCTION("""COMPUTED_VALUE"""),0.0012970168612191958)</f>
        <v>0.001297016861</v>
      </c>
      <c r="L2697" s="10">
        <f>IFERROR(__xludf.DUMMYFUNCTION("""COMPUTED_VALUE"""),771.0)</f>
        <v>771</v>
      </c>
      <c r="M2697" s="5">
        <f>IFERROR(__xludf.DUMMYFUNCTION("""COMPUTED_VALUE"""),1.0)</f>
        <v>1</v>
      </c>
    </row>
    <row r="2698">
      <c r="A2698" s="10" t="str">
        <f>IFERROR(__xludf.DUMMYFUNCTION("""COMPUTED_VALUE"""),"行動るるる。")</f>
        <v>行動るるる。</v>
      </c>
      <c r="B2698" s="10">
        <f>IFERROR(__xludf.DUMMYFUNCTION("""COMPUTED_VALUE"""),273.0)</f>
        <v>273</v>
      </c>
      <c r="C2698" s="10">
        <f>IFERROR(__xludf.DUMMYFUNCTION("""COMPUTED_VALUE"""),3209.0)</f>
        <v>3209</v>
      </c>
      <c r="D2698" s="5">
        <f>IFERROR(__xludf.DUMMYFUNCTION("""COMPUTED_VALUE"""),0.4025885558583106)</f>
        <v>0.4025885559</v>
      </c>
      <c r="E2698" s="5">
        <f>IFERROR(__xludf.DUMMYFUNCTION("""COMPUTED_VALUE"""),0.12806539509536785)</f>
        <v>0.1280653951</v>
      </c>
      <c r="F2698" s="5">
        <f>IFERROR(__xludf.DUMMYFUNCTION("""COMPUTED_VALUE"""),0.1978882833787466)</f>
        <v>0.1978882834</v>
      </c>
      <c r="G2698" s="5">
        <f>IFERROR(__xludf.DUMMYFUNCTION("""COMPUTED_VALUE"""),0.16723433242506813)</f>
        <v>0.1672343324</v>
      </c>
      <c r="H2698" s="5">
        <f>IFERROR(__xludf.DUMMYFUNCTION("""COMPUTED_VALUE"""),0.648881239242685)</f>
        <v>0.6488812392</v>
      </c>
      <c r="I2698" s="11">
        <f>IFERROR(__xludf.DUMMYFUNCTION("""COMPUTED_VALUE"""),5583.820998278829)</f>
        <v>5583.820998</v>
      </c>
      <c r="J2698" s="10">
        <f>IFERROR(__xludf.DUMMYFUNCTION("""COMPUTED_VALUE"""),0.0)</f>
        <v>0</v>
      </c>
      <c r="K2698" s="5">
        <f>IFERROR(__xludf.DUMMYFUNCTION("""COMPUTED_VALUE"""),0.0)</f>
        <v>0</v>
      </c>
      <c r="L2698" s="10">
        <f>IFERROR(__xludf.DUMMYFUNCTION("""COMPUTED_VALUE"""),273.0)</f>
        <v>273</v>
      </c>
      <c r="M2698" s="5">
        <f>IFERROR(__xludf.DUMMYFUNCTION("""COMPUTED_VALUE"""),1.0)</f>
        <v>1</v>
      </c>
    </row>
    <row r="2699">
      <c r="A2699" s="10" t="str">
        <f>IFERROR(__xludf.DUMMYFUNCTION("""COMPUTED_VALUE"""),"水本ゆかり")</f>
        <v>水本ゆかり</v>
      </c>
      <c r="B2699" s="10">
        <f>IFERROR(__xludf.DUMMYFUNCTION("""COMPUTED_VALUE"""),1708.0)</f>
        <v>1708</v>
      </c>
      <c r="C2699" s="10">
        <f>IFERROR(__xludf.DUMMYFUNCTION("""COMPUTED_VALUE"""),19965.0)</f>
        <v>19965</v>
      </c>
      <c r="D2699" s="5">
        <f>IFERROR(__xludf.DUMMYFUNCTION("""COMPUTED_VALUE"""),0.35060524730240455)</f>
        <v>0.3506052473</v>
      </c>
      <c r="E2699" s="5">
        <f>IFERROR(__xludf.DUMMYFUNCTION("""COMPUTED_VALUE"""),0.12806046995672893)</f>
        <v>0.12806047</v>
      </c>
      <c r="F2699" s="5">
        <f>IFERROR(__xludf.DUMMYFUNCTION("""COMPUTED_VALUE"""),0.20923481404392835)</f>
        <v>0.209234814</v>
      </c>
      <c r="G2699" s="5">
        <f>IFERROR(__xludf.DUMMYFUNCTION("""COMPUTED_VALUE"""),0.1758229720107356)</f>
        <v>0.175822972</v>
      </c>
      <c r="H2699" s="5">
        <f>IFERROR(__xludf.DUMMYFUNCTION("""COMPUTED_VALUE"""),0.6020942408376964)</f>
        <v>0.6020942408</v>
      </c>
      <c r="I2699" s="11">
        <f>IFERROR(__xludf.DUMMYFUNCTION("""COMPUTED_VALUE"""),5744.738219895288)</f>
        <v>5744.73822</v>
      </c>
      <c r="J2699" s="10">
        <f>IFERROR(__xludf.DUMMYFUNCTION("""COMPUTED_VALUE"""),3.0)</f>
        <v>3</v>
      </c>
      <c r="K2699" s="5">
        <f>IFERROR(__xludf.DUMMYFUNCTION("""COMPUTED_VALUE"""),0.001756440281030445)</f>
        <v>0.001756440281</v>
      </c>
      <c r="L2699" s="10">
        <f>IFERROR(__xludf.DUMMYFUNCTION("""COMPUTED_VALUE"""),1.0)</f>
        <v>1</v>
      </c>
      <c r="M2699" s="5">
        <f>IFERROR(__xludf.DUMMYFUNCTION("""COMPUTED_VALUE"""),5.85480093676815E-4)</f>
        <v>0.0005854800937</v>
      </c>
    </row>
    <row r="2700">
      <c r="A2700" s="10" t="str">
        <f>IFERROR(__xludf.DUMMYFUNCTION("""COMPUTED_VALUE"""),"涙の理由")</f>
        <v>涙の理由</v>
      </c>
      <c r="B2700" s="10">
        <f>IFERROR(__xludf.DUMMYFUNCTION("""COMPUTED_VALUE"""),247.0)</f>
        <v>247</v>
      </c>
      <c r="C2700" s="10">
        <f>IFERROR(__xludf.DUMMYFUNCTION("""COMPUTED_VALUE"""),2902.0)</f>
        <v>2902</v>
      </c>
      <c r="D2700" s="5">
        <f>IFERROR(__xludf.DUMMYFUNCTION("""COMPUTED_VALUE"""),0.31337099811676083)</f>
        <v>0.3133709981</v>
      </c>
      <c r="E2700" s="5">
        <f>IFERROR(__xludf.DUMMYFUNCTION("""COMPUTED_VALUE"""),0.128060263653484)</f>
        <v>0.1280602637</v>
      </c>
      <c r="F2700" s="5">
        <f>IFERROR(__xludf.DUMMYFUNCTION("""COMPUTED_VALUE"""),0.21506591337099812)</f>
        <v>0.2150659134</v>
      </c>
      <c r="G2700" s="5">
        <f>IFERROR(__xludf.DUMMYFUNCTION("""COMPUTED_VALUE"""),0.1815442561205273)</f>
        <v>0.1815442561</v>
      </c>
      <c r="H2700" s="5">
        <f>IFERROR(__xludf.DUMMYFUNCTION("""COMPUTED_VALUE"""),0.5814360770577933)</f>
        <v>0.5814360771</v>
      </c>
      <c r="I2700" s="11">
        <f>IFERROR(__xludf.DUMMYFUNCTION("""COMPUTED_VALUE"""),5990.542907180386)</f>
        <v>5990.542907</v>
      </c>
      <c r="J2700" s="10">
        <f>IFERROR(__xludf.DUMMYFUNCTION("""COMPUTED_VALUE"""),0.0)</f>
        <v>0</v>
      </c>
      <c r="K2700" s="5">
        <f>IFERROR(__xludf.DUMMYFUNCTION("""COMPUTED_VALUE"""),0.0)</f>
        <v>0</v>
      </c>
      <c r="L2700" s="10">
        <f>IFERROR(__xludf.DUMMYFUNCTION("""COMPUTED_VALUE"""),0.0)</f>
        <v>0</v>
      </c>
      <c r="M2700" s="5">
        <f>IFERROR(__xludf.DUMMYFUNCTION("""COMPUTED_VALUE"""),0.0)</f>
        <v>0</v>
      </c>
    </row>
    <row r="2701">
      <c r="A2701" s="10" t="str">
        <f>IFERROR(__xludf.DUMMYFUNCTION("""COMPUTED_VALUE"""),"ドラ１２０％")</f>
        <v>ドラ１２０％</v>
      </c>
      <c r="B2701" s="10">
        <f>IFERROR(__xludf.DUMMYFUNCTION("""COMPUTED_VALUE"""),2061.0)</f>
        <v>2061</v>
      </c>
      <c r="C2701" s="10">
        <f>IFERROR(__xludf.DUMMYFUNCTION("""COMPUTED_VALUE"""),24285.0)</f>
        <v>24285</v>
      </c>
      <c r="D2701" s="5">
        <f>IFERROR(__xludf.DUMMYFUNCTION("""COMPUTED_VALUE"""),0.32631389488840895)</f>
        <v>0.3263138949</v>
      </c>
      <c r="E2701" s="5">
        <f>IFERROR(__xludf.DUMMYFUNCTION("""COMPUTED_VALUE"""),0.12805975521958243)</f>
        <v>0.1280597552</v>
      </c>
      <c r="F2701" s="5">
        <f>IFERROR(__xludf.DUMMYFUNCTION("""COMPUTED_VALUE"""),0.2095932325413967)</f>
        <v>0.2095932325</v>
      </c>
      <c r="G2701" s="5">
        <f>IFERROR(__xludf.DUMMYFUNCTION("""COMPUTED_VALUE"""),0.1638318934485241)</f>
        <v>0.1638318934</v>
      </c>
      <c r="H2701" s="5">
        <f>IFERROR(__xludf.DUMMYFUNCTION("""COMPUTED_VALUE"""),0.6051953628166595)</f>
        <v>0.6051953628</v>
      </c>
      <c r="I2701" s="11">
        <f>IFERROR(__xludf.DUMMYFUNCTION("""COMPUTED_VALUE"""),5550.644053241735)</f>
        <v>5550.644053</v>
      </c>
      <c r="J2701" s="10">
        <f>IFERROR(__xludf.DUMMYFUNCTION("""COMPUTED_VALUE"""),6.0)</f>
        <v>6</v>
      </c>
      <c r="K2701" s="5">
        <f>IFERROR(__xludf.DUMMYFUNCTION("""COMPUTED_VALUE"""),0.002911208151382824)</f>
        <v>0.002911208151</v>
      </c>
      <c r="L2701" s="10">
        <f>IFERROR(__xludf.DUMMYFUNCTION("""COMPUTED_VALUE"""),2061.0)</f>
        <v>2061</v>
      </c>
      <c r="M2701" s="5">
        <f>IFERROR(__xludf.DUMMYFUNCTION("""COMPUTED_VALUE"""),1.0)</f>
        <v>1</v>
      </c>
    </row>
    <row r="2702">
      <c r="A2702" s="10" t="str">
        <f>IFERROR(__xludf.DUMMYFUNCTION("""COMPUTED_VALUE"""),"ケンヂ☆")</f>
        <v>ケンヂ☆</v>
      </c>
      <c r="B2702" s="10">
        <f>IFERROR(__xludf.DUMMYFUNCTION("""COMPUTED_VALUE"""),237.0)</f>
        <v>237</v>
      </c>
      <c r="C2702" s="10">
        <f>IFERROR(__xludf.DUMMYFUNCTION("""COMPUTED_VALUE"""),2775.0)</f>
        <v>2775</v>
      </c>
      <c r="D2702" s="5">
        <f>IFERROR(__xludf.DUMMYFUNCTION("""COMPUTED_VALUE"""),0.31796690307328607)</f>
        <v>0.3179669031</v>
      </c>
      <c r="E2702" s="5">
        <f>IFERROR(__xludf.DUMMYFUNCTION("""COMPUTED_VALUE"""),0.128053585500394)</f>
        <v>0.1280535855</v>
      </c>
      <c r="F2702" s="5">
        <f>IFERROR(__xludf.DUMMYFUNCTION("""COMPUTED_VALUE"""),0.2222222222222222)</f>
        <v>0.2222222222</v>
      </c>
      <c r="G2702" s="5">
        <f>IFERROR(__xludf.DUMMYFUNCTION("""COMPUTED_VALUE"""),0.18479117415287627)</f>
        <v>0.1847911742</v>
      </c>
      <c r="H2702" s="5">
        <f>IFERROR(__xludf.DUMMYFUNCTION("""COMPUTED_VALUE"""),0.625886524822695)</f>
        <v>0.6258865248</v>
      </c>
      <c r="I2702" s="11">
        <f>IFERROR(__xludf.DUMMYFUNCTION("""COMPUTED_VALUE"""),5868.085106382979)</f>
        <v>5868.085106</v>
      </c>
      <c r="J2702" s="10">
        <f>IFERROR(__xludf.DUMMYFUNCTION("""COMPUTED_VALUE"""),0.0)</f>
        <v>0</v>
      </c>
      <c r="K2702" s="5">
        <f>IFERROR(__xludf.DUMMYFUNCTION("""COMPUTED_VALUE"""),0.0)</f>
        <v>0</v>
      </c>
      <c r="L2702" s="10">
        <f>IFERROR(__xludf.DUMMYFUNCTION("""COMPUTED_VALUE"""),237.0)</f>
        <v>237</v>
      </c>
      <c r="M2702" s="5">
        <f>IFERROR(__xludf.DUMMYFUNCTION("""COMPUTED_VALUE"""),1.0)</f>
        <v>1</v>
      </c>
    </row>
    <row r="2703">
      <c r="A2703" s="10" t="str">
        <f>IFERROR(__xludf.DUMMYFUNCTION("""COMPUTED_VALUE"""),"ファンファーレ")</f>
        <v>ファンファーレ</v>
      </c>
      <c r="B2703" s="10">
        <f>IFERROR(__xludf.DUMMYFUNCTION("""COMPUTED_VALUE"""),484.0)</f>
        <v>484</v>
      </c>
      <c r="C2703" s="10">
        <f>IFERROR(__xludf.DUMMYFUNCTION("""COMPUTED_VALUE"""),5576.0)</f>
        <v>5576</v>
      </c>
      <c r="D2703" s="5">
        <f>IFERROR(__xludf.DUMMYFUNCTION("""COMPUTED_VALUE"""),0.3770620581304006)</f>
        <v>0.3770620581</v>
      </c>
      <c r="E2703" s="5">
        <f>IFERROR(__xludf.DUMMYFUNCTION("""COMPUTED_VALUE"""),0.12804399057344854)</f>
        <v>0.1280439906</v>
      </c>
      <c r="F2703" s="5">
        <f>IFERROR(__xludf.DUMMYFUNCTION("""COMPUTED_VALUE"""),0.21190102120974078)</f>
        <v>0.2119010212</v>
      </c>
      <c r="G2703" s="5">
        <f>IFERROR(__xludf.DUMMYFUNCTION("""COMPUTED_VALUE"""),0.15710919088766692)</f>
        <v>0.1571091909</v>
      </c>
      <c r="H2703" s="5">
        <f>IFERROR(__xludf.DUMMYFUNCTION("""COMPUTED_VALUE"""),0.6005560704355886)</f>
        <v>0.6005560704</v>
      </c>
      <c r="I2703" s="11">
        <f>IFERROR(__xludf.DUMMYFUNCTION("""COMPUTED_VALUE"""),5630.954587581094)</f>
        <v>5630.954588</v>
      </c>
      <c r="J2703" s="10">
        <f>IFERROR(__xludf.DUMMYFUNCTION("""COMPUTED_VALUE"""),0.0)</f>
        <v>0</v>
      </c>
      <c r="K2703" s="5">
        <f>IFERROR(__xludf.DUMMYFUNCTION("""COMPUTED_VALUE"""),0.0)</f>
        <v>0</v>
      </c>
      <c r="L2703" s="10">
        <f>IFERROR(__xludf.DUMMYFUNCTION("""COMPUTED_VALUE"""),484.0)</f>
        <v>484</v>
      </c>
      <c r="M2703" s="5">
        <f>IFERROR(__xludf.DUMMYFUNCTION("""COMPUTED_VALUE"""),1.0)</f>
        <v>1</v>
      </c>
    </row>
    <row r="2704">
      <c r="A2704" s="10" t="str">
        <f>IFERROR(__xludf.DUMMYFUNCTION("""COMPUTED_VALUE"""),"木下誠一")</f>
        <v>木下誠一</v>
      </c>
      <c r="B2704" s="10">
        <f>IFERROR(__xludf.DUMMYFUNCTION("""COMPUTED_VALUE"""),588.0)</f>
        <v>588</v>
      </c>
      <c r="C2704" s="10">
        <f>IFERROR(__xludf.DUMMYFUNCTION("""COMPUTED_VALUE"""),6844.0)</f>
        <v>6844</v>
      </c>
      <c r="D2704" s="5">
        <f>IFERROR(__xludf.DUMMYFUNCTION("""COMPUTED_VALUE"""),0.3075447570332481)</f>
        <v>0.307544757</v>
      </c>
      <c r="E2704" s="5">
        <f>IFERROR(__xludf.DUMMYFUNCTION("""COMPUTED_VALUE"""),0.12803708439897699)</f>
        <v>0.1280370844</v>
      </c>
      <c r="F2704" s="5">
        <f>IFERROR(__xludf.DUMMYFUNCTION("""COMPUTED_VALUE"""),0.20923913043478262)</f>
        <v>0.2092391304</v>
      </c>
      <c r="G2704" s="5">
        <f>IFERROR(__xludf.DUMMYFUNCTION("""COMPUTED_VALUE"""),0.18142583120204603)</f>
        <v>0.1814258312</v>
      </c>
      <c r="H2704" s="5">
        <f>IFERROR(__xludf.DUMMYFUNCTION("""COMPUTED_VALUE"""),0.6142093200916731)</f>
        <v>0.6142093201</v>
      </c>
      <c r="I2704" s="11">
        <f>IFERROR(__xludf.DUMMYFUNCTION("""COMPUTED_VALUE"""),5929.87012987013)</f>
        <v>5929.87013</v>
      </c>
      <c r="J2704" s="10">
        <f>IFERROR(__xludf.DUMMYFUNCTION("""COMPUTED_VALUE"""),1.0)</f>
        <v>1</v>
      </c>
      <c r="K2704" s="5">
        <f>IFERROR(__xludf.DUMMYFUNCTION("""COMPUTED_VALUE"""),0.0017006802721088435)</f>
        <v>0.001700680272</v>
      </c>
      <c r="L2704" s="10">
        <f>IFERROR(__xludf.DUMMYFUNCTION("""COMPUTED_VALUE"""),60.0)</f>
        <v>60</v>
      </c>
      <c r="M2704" s="5">
        <f>IFERROR(__xludf.DUMMYFUNCTION("""COMPUTED_VALUE"""),0.10204081632653061)</f>
        <v>0.1020408163</v>
      </c>
    </row>
    <row r="2705">
      <c r="A2705" s="10" t="str">
        <f>IFERROR(__xludf.DUMMYFUNCTION("""COMPUTED_VALUE"""),"下家はゲイ")</f>
        <v>下家はゲイ</v>
      </c>
      <c r="B2705" s="10">
        <f>IFERROR(__xludf.DUMMYFUNCTION("""COMPUTED_VALUE"""),199.0)</f>
        <v>199</v>
      </c>
      <c r="C2705" s="10">
        <f>IFERROR(__xludf.DUMMYFUNCTION("""COMPUTED_VALUE"""),2308.0)</f>
        <v>2308</v>
      </c>
      <c r="D2705" s="5">
        <f>IFERROR(__xludf.DUMMYFUNCTION("""COMPUTED_VALUE"""),0.33902323376007587)</f>
        <v>0.3390232338</v>
      </c>
      <c r="E2705" s="5">
        <f>IFERROR(__xludf.DUMMYFUNCTION("""COMPUTED_VALUE"""),0.12802275960170698)</f>
        <v>0.1280227596</v>
      </c>
      <c r="F2705" s="5">
        <f>IFERROR(__xludf.DUMMYFUNCTION("""COMPUTED_VALUE"""),0.19962067330488384)</f>
        <v>0.1996206733</v>
      </c>
      <c r="G2705" s="5">
        <f>IFERROR(__xludf.DUMMYFUNCTION("""COMPUTED_VALUE"""),0.14414414414414414)</f>
        <v>0.1441441441</v>
      </c>
      <c r="H2705" s="5">
        <f>IFERROR(__xludf.DUMMYFUNCTION("""COMPUTED_VALUE"""),0.6199524940617577)</f>
        <v>0.6199524941</v>
      </c>
      <c r="I2705" s="11">
        <f>IFERROR(__xludf.DUMMYFUNCTION("""COMPUTED_VALUE"""),5772.9216152019)</f>
        <v>5772.921615</v>
      </c>
      <c r="J2705" s="10">
        <f>IFERROR(__xludf.DUMMYFUNCTION("""COMPUTED_VALUE"""),0.0)</f>
        <v>0</v>
      </c>
      <c r="K2705" s="5">
        <f>IFERROR(__xludf.DUMMYFUNCTION("""COMPUTED_VALUE"""),0.0)</f>
        <v>0</v>
      </c>
      <c r="L2705" s="10">
        <f>IFERROR(__xludf.DUMMYFUNCTION("""COMPUTED_VALUE"""),199.0)</f>
        <v>199</v>
      </c>
      <c r="M2705" s="5">
        <f>IFERROR(__xludf.DUMMYFUNCTION("""COMPUTED_VALUE"""),1.0)</f>
        <v>1</v>
      </c>
    </row>
    <row r="2706">
      <c r="A2706" s="10" t="str">
        <f>IFERROR(__xludf.DUMMYFUNCTION("""COMPUTED_VALUE"""),"charhime")</f>
        <v>charhime</v>
      </c>
      <c r="B2706" s="10">
        <f>IFERROR(__xludf.DUMMYFUNCTION("""COMPUTED_VALUE"""),1791.0)</f>
        <v>1791</v>
      </c>
      <c r="C2706" s="10">
        <f>IFERROR(__xludf.DUMMYFUNCTION("""COMPUTED_VALUE"""),21163.0)</f>
        <v>21163</v>
      </c>
      <c r="D2706" s="5">
        <f>IFERROR(__xludf.DUMMYFUNCTION("""COMPUTED_VALUE"""),0.37316745818707414)</f>
        <v>0.3731674582</v>
      </c>
      <c r="E2706" s="5">
        <f>IFERROR(__xludf.DUMMYFUNCTION("""COMPUTED_VALUE"""),0.12801982242411727)</f>
        <v>0.1280198224</v>
      </c>
      <c r="F2706" s="5">
        <f>IFERROR(__xludf.DUMMYFUNCTION("""COMPUTED_VALUE"""),0.21634317571753045)</f>
        <v>0.2163431757</v>
      </c>
      <c r="G2706" s="5">
        <f>IFERROR(__xludf.DUMMYFUNCTION("""COMPUTED_VALUE"""),0.13932479867850506)</f>
        <v>0.1393247987</v>
      </c>
      <c r="H2706" s="5">
        <f>IFERROR(__xludf.DUMMYFUNCTION("""COMPUTED_VALUE"""),0.6179909329515628)</f>
        <v>0.617990933</v>
      </c>
      <c r="I2706" s="11">
        <f>IFERROR(__xludf.DUMMYFUNCTION("""COMPUTED_VALUE"""),5191.410164638511)</f>
        <v>5191.410165</v>
      </c>
      <c r="J2706" s="10">
        <f>IFERROR(__xludf.DUMMYFUNCTION("""COMPUTED_VALUE"""),4.0)</f>
        <v>4</v>
      </c>
      <c r="K2706" s="5">
        <f>IFERROR(__xludf.DUMMYFUNCTION("""COMPUTED_VALUE"""),0.002233389168062535)</f>
        <v>0.002233389168</v>
      </c>
      <c r="L2706" s="10">
        <f>IFERROR(__xludf.DUMMYFUNCTION("""COMPUTED_VALUE"""),0.0)</f>
        <v>0</v>
      </c>
      <c r="M2706" s="5">
        <f>IFERROR(__xludf.DUMMYFUNCTION("""COMPUTED_VALUE"""),0.0)</f>
        <v>0</v>
      </c>
    </row>
    <row r="2707">
      <c r="A2707" s="10" t="str">
        <f>IFERROR(__xludf.DUMMYFUNCTION("""COMPUTED_VALUE"""),"緑のランプ")</f>
        <v>緑のランプ</v>
      </c>
      <c r="B2707" s="10">
        <f>IFERROR(__xludf.DUMMYFUNCTION("""COMPUTED_VALUE"""),911.0)</f>
        <v>911</v>
      </c>
      <c r="C2707" s="10">
        <f>IFERROR(__xludf.DUMMYFUNCTION("""COMPUTED_VALUE"""),10683.0)</f>
        <v>10683</v>
      </c>
      <c r="D2707" s="5">
        <f>IFERROR(__xludf.DUMMYFUNCTION("""COMPUTED_VALUE"""),0.30587392550143266)</f>
        <v>0.3058739255</v>
      </c>
      <c r="E2707" s="5">
        <f>IFERROR(__xludf.DUMMYFUNCTION("""COMPUTED_VALUE"""),0.12801882930822758)</f>
        <v>0.1280188293</v>
      </c>
      <c r="F2707" s="5">
        <f>IFERROR(__xludf.DUMMYFUNCTION("""COMPUTED_VALUE"""),0.1935120753172329)</f>
        <v>0.1935120753</v>
      </c>
      <c r="G2707" s="5">
        <f>IFERROR(__xludf.DUMMYFUNCTION("""COMPUTED_VALUE"""),0.1735571019238641)</f>
        <v>0.1735571019</v>
      </c>
      <c r="H2707" s="5">
        <f>IFERROR(__xludf.DUMMYFUNCTION("""COMPUTED_VALUE"""),0.5811739820200952)</f>
        <v>0.581173982</v>
      </c>
      <c r="I2707" s="11">
        <f>IFERROR(__xludf.DUMMYFUNCTION("""COMPUTED_VALUE"""),6264.410364886304)</f>
        <v>6264.410365</v>
      </c>
      <c r="J2707" s="10">
        <f>IFERROR(__xludf.DUMMYFUNCTION("""COMPUTED_VALUE"""),1.0)</f>
        <v>1</v>
      </c>
      <c r="K2707" s="5">
        <f>IFERROR(__xludf.DUMMYFUNCTION("""COMPUTED_VALUE"""),0.0010976948408342481)</f>
        <v>0.001097694841</v>
      </c>
      <c r="L2707" s="10">
        <f>IFERROR(__xludf.DUMMYFUNCTION("""COMPUTED_VALUE"""),911.0)</f>
        <v>911</v>
      </c>
      <c r="M2707" s="5">
        <f>IFERROR(__xludf.DUMMYFUNCTION("""COMPUTED_VALUE"""),1.0)</f>
        <v>1</v>
      </c>
    </row>
    <row r="2708">
      <c r="A2708" s="10" t="str">
        <f>IFERROR(__xludf.DUMMYFUNCTION("""COMPUTED_VALUE"""),"きゃしゃーの！")</f>
        <v>きゃしゃーの！</v>
      </c>
      <c r="B2708" s="10">
        <f>IFERROR(__xludf.DUMMYFUNCTION("""COMPUTED_VALUE"""),561.0)</f>
        <v>561</v>
      </c>
      <c r="C2708" s="10">
        <f>IFERROR(__xludf.DUMMYFUNCTION("""COMPUTED_VALUE"""),6570.0)</f>
        <v>6570</v>
      </c>
      <c r="D2708" s="5">
        <f>IFERROR(__xludf.DUMMYFUNCTION("""COMPUTED_VALUE"""),0.3531369612248294)</f>
        <v>0.3531369612</v>
      </c>
      <c r="E2708" s="5">
        <f>IFERROR(__xludf.DUMMYFUNCTION("""COMPUTED_VALUE"""),0.12797470460975205)</f>
        <v>0.1279747046</v>
      </c>
      <c r="F2708" s="5">
        <f>IFERROR(__xludf.DUMMYFUNCTION("""COMPUTED_VALUE"""),0.21534365118988186)</f>
        <v>0.2153436512</v>
      </c>
      <c r="G2708" s="5">
        <f>IFERROR(__xludf.DUMMYFUNCTION("""COMPUTED_VALUE"""),0.18572141787319021)</f>
        <v>0.1857214179</v>
      </c>
      <c r="H2708" s="5">
        <f>IFERROR(__xludf.DUMMYFUNCTION("""COMPUTED_VALUE"""),0.6089644513137558)</f>
        <v>0.6089644513</v>
      </c>
      <c r="I2708" s="11">
        <f>IFERROR(__xludf.DUMMYFUNCTION("""COMPUTED_VALUE"""),5547.913446676971)</f>
        <v>5547.913447</v>
      </c>
      <c r="J2708" s="10">
        <f>IFERROR(__xludf.DUMMYFUNCTION("""COMPUTED_VALUE"""),1.0)</f>
        <v>1</v>
      </c>
      <c r="K2708" s="5">
        <f>IFERROR(__xludf.DUMMYFUNCTION("""COMPUTED_VALUE"""),0.0017825311942959)</f>
        <v>0.001782531194</v>
      </c>
      <c r="L2708" s="10">
        <f>IFERROR(__xludf.DUMMYFUNCTION("""COMPUTED_VALUE"""),561.0)</f>
        <v>561</v>
      </c>
      <c r="M2708" s="5">
        <f>IFERROR(__xludf.DUMMYFUNCTION("""COMPUTED_VALUE"""),1.0)</f>
        <v>1</v>
      </c>
    </row>
    <row r="2709">
      <c r="A2709" s="10" t="str">
        <f>IFERROR(__xludf.DUMMYFUNCTION("""COMPUTED_VALUE"""),"zeky")</f>
        <v>zeky</v>
      </c>
      <c r="B2709" s="10">
        <f>IFERROR(__xludf.DUMMYFUNCTION("""COMPUTED_VALUE"""),301.0)</f>
        <v>301</v>
      </c>
      <c r="C2709" s="10">
        <f>IFERROR(__xludf.DUMMYFUNCTION("""COMPUTED_VALUE"""),3583.0)</f>
        <v>3583</v>
      </c>
      <c r="D2709" s="5">
        <f>IFERROR(__xludf.DUMMYFUNCTION("""COMPUTED_VALUE"""),0.32084095063985374)</f>
        <v>0.3208409506</v>
      </c>
      <c r="E2709" s="5">
        <f>IFERROR(__xludf.DUMMYFUNCTION("""COMPUTED_VALUE"""),0.12797074954296161)</f>
        <v>0.1279707495</v>
      </c>
      <c r="F2709" s="5">
        <f>IFERROR(__xludf.DUMMYFUNCTION("""COMPUTED_VALUE"""),0.20840950639853748)</f>
        <v>0.2084095064</v>
      </c>
      <c r="G2709" s="5">
        <f>IFERROR(__xludf.DUMMYFUNCTION("""COMPUTED_VALUE"""),0.1614868982327849)</f>
        <v>0.1614868982</v>
      </c>
      <c r="H2709" s="5">
        <f>IFERROR(__xludf.DUMMYFUNCTION("""COMPUTED_VALUE"""),0.5921052631578947)</f>
        <v>0.5921052632</v>
      </c>
      <c r="I2709" s="11">
        <f>IFERROR(__xludf.DUMMYFUNCTION("""COMPUTED_VALUE"""),5362.7192982456145)</f>
        <v>5362.719298</v>
      </c>
      <c r="J2709" s="10">
        <f>IFERROR(__xludf.DUMMYFUNCTION("""COMPUTED_VALUE"""),0.0)</f>
        <v>0</v>
      </c>
      <c r="K2709" s="5">
        <f>IFERROR(__xludf.DUMMYFUNCTION("""COMPUTED_VALUE"""),0.0)</f>
        <v>0</v>
      </c>
      <c r="L2709" s="10">
        <f>IFERROR(__xludf.DUMMYFUNCTION("""COMPUTED_VALUE"""),43.0)</f>
        <v>43</v>
      </c>
      <c r="M2709" s="5">
        <f>IFERROR(__xludf.DUMMYFUNCTION("""COMPUTED_VALUE"""),0.14285714285714285)</f>
        <v>0.1428571429</v>
      </c>
    </row>
    <row r="2710">
      <c r="A2710" s="10" t="str">
        <f>IFERROR(__xludf.DUMMYFUNCTION("""COMPUTED_VALUE"""),"日坂菜乃")</f>
        <v>日坂菜乃</v>
      </c>
      <c r="B2710" s="10">
        <f>IFERROR(__xludf.DUMMYFUNCTION("""COMPUTED_VALUE"""),288.0)</f>
        <v>288</v>
      </c>
      <c r="C2710" s="10">
        <f>IFERROR(__xludf.DUMMYFUNCTION("""COMPUTED_VALUE"""),3406.0)</f>
        <v>3406</v>
      </c>
      <c r="D2710" s="5">
        <f>IFERROR(__xludf.DUMMYFUNCTION("""COMPUTED_VALUE"""),0.32392559332905707)</f>
        <v>0.3239255933</v>
      </c>
      <c r="E2710" s="5">
        <f>IFERROR(__xludf.DUMMYFUNCTION("""COMPUTED_VALUE"""),0.12796664528543938)</f>
        <v>0.1279666453</v>
      </c>
      <c r="F2710" s="5">
        <f>IFERROR(__xludf.DUMMYFUNCTION("""COMPUTED_VALUE"""),0.18056446440025659)</f>
        <v>0.1805644644</v>
      </c>
      <c r="G2710" s="5">
        <f>IFERROR(__xludf.DUMMYFUNCTION("""COMPUTED_VALUE"""),0.14304041051956382)</f>
        <v>0.1430404105</v>
      </c>
      <c r="H2710" s="5">
        <f>IFERROR(__xludf.DUMMYFUNCTION("""COMPUTED_VALUE"""),0.6181172291296625)</f>
        <v>0.6181172291</v>
      </c>
      <c r="I2710" s="11">
        <f>IFERROR(__xludf.DUMMYFUNCTION("""COMPUTED_VALUE"""),5663.943161634103)</f>
        <v>5663.943162</v>
      </c>
      <c r="J2710" s="10">
        <f>IFERROR(__xludf.DUMMYFUNCTION("""COMPUTED_VALUE"""),1.0)</f>
        <v>1</v>
      </c>
      <c r="K2710" s="5">
        <f>IFERROR(__xludf.DUMMYFUNCTION("""COMPUTED_VALUE"""),0.003472222222222222)</f>
        <v>0.003472222222</v>
      </c>
      <c r="L2710" s="10">
        <f>IFERROR(__xludf.DUMMYFUNCTION("""COMPUTED_VALUE"""),196.0)</f>
        <v>196</v>
      </c>
      <c r="M2710" s="5">
        <f>IFERROR(__xludf.DUMMYFUNCTION("""COMPUTED_VALUE"""),0.6805555555555556)</f>
        <v>0.6805555556</v>
      </c>
    </row>
    <row r="2711">
      <c r="A2711" s="10" t="str">
        <f>IFERROR(__xludf.DUMMYFUNCTION("""COMPUTED_VALUE"""),"レバニラレバ")</f>
        <v>レバニラレバ</v>
      </c>
      <c r="B2711" s="10">
        <f>IFERROR(__xludf.DUMMYFUNCTION("""COMPUTED_VALUE"""),203.0)</f>
        <v>203</v>
      </c>
      <c r="C2711" s="10">
        <f>IFERROR(__xludf.DUMMYFUNCTION("""COMPUTED_VALUE"""),2352.0)</f>
        <v>2352</v>
      </c>
      <c r="D2711" s="5">
        <f>IFERROR(__xludf.DUMMYFUNCTION("""COMPUTED_VALUE"""),0.285248953001396)</f>
        <v>0.285248953</v>
      </c>
      <c r="E2711" s="5">
        <f>IFERROR(__xludf.DUMMYFUNCTION("""COMPUTED_VALUE"""),0.12796649604467195)</f>
        <v>0.127966496</v>
      </c>
      <c r="F2711" s="5">
        <f>IFERROR(__xludf.DUMMYFUNCTION("""COMPUTED_VALUE"""),0.1758957654723127)</f>
        <v>0.1758957655</v>
      </c>
      <c r="G2711" s="5">
        <f>IFERROR(__xludf.DUMMYFUNCTION("""COMPUTED_VALUE"""),0.15355979525360633)</f>
        <v>0.1535597953</v>
      </c>
      <c r="H2711" s="5">
        <f>IFERROR(__xludf.DUMMYFUNCTION("""COMPUTED_VALUE"""),0.6005291005291006)</f>
        <v>0.6005291005</v>
      </c>
      <c r="I2711" s="11">
        <f>IFERROR(__xludf.DUMMYFUNCTION("""COMPUTED_VALUE"""),6285.714285714285)</f>
        <v>6285.714286</v>
      </c>
      <c r="J2711" s="10">
        <f>IFERROR(__xludf.DUMMYFUNCTION("""COMPUTED_VALUE"""),0.0)</f>
        <v>0</v>
      </c>
      <c r="K2711" s="5">
        <f>IFERROR(__xludf.DUMMYFUNCTION("""COMPUTED_VALUE"""),0.0)</f>
        <v>0</v>
      </c>
      <c r="L2711" s="10">
        <f>IFERROR(__xludf.DUMMYFUNCTION("""COMPUTED_VALUE"""),203.0)</f>
        <v>203</v>
      </c>
      <c r="M2711" s="5">
        <f>IFERROR(__xludf.DUMMYFUNCTION("""COMPUTED_VALUE"""),1.0)</f>
        <v>1</v>
      </c>
    </row>
    <row r="2712">
      <c r="A2712" s="10" t="str">
        <f>IFERROR(__xludf.DUMMYFUNCTION("""COMPUTED_VALUE"""),"inazo")</f>
        <v>inazo</v>
      </c>
      <c r="B2712" s="10">
        <f>IFERROR(__xludf.DUMMYFUNCTION("""COMPUTED_VALUE"""),545.0)</f>
        <v>545</v>
      </c>
      <c r="C2712" s="10">
        <f>IFERROR(__xludf.DUMMYFUNCTION("""COMPUTED_VALUE"""),6360.0)</f>
        <v>6360</v>
      </c>
      <c r="D2712" s="5">
        <f>IFERROR(__xludf.DUMMYFUNCTION("""COMPUTED_VALUE"""),0.4297506448839209)</f>
        <v>0.4297506449</v>
      </c>
      <c r="E2712" s="5">
        <f>IFERROR(__xludf.DUMMYFUNCTION("""COMPUTED_VALUE"""),0.12794496990541704)</f>
        <v>0.1279449699</v>
      </c>
      <c r="F2712" s="5">
        <f>IFERROR(__xludf.DUMMYFUNCTION("""COMPUTED_VALUE"""),0.21306964746345658)</f>
        <v>0.2130696475</v>
      </c>
      <c r="G2712" s="5">
        <f>IFERROR(__xludf.DUMMYFUNCTION("""COMPUTED_VALUE"""),0.153396388650043)</f>
        <v>0.1533963887</v>
      </c>
      <c r="H2712" s="5">
        <f>IFERROR(__xludf.DUMMYFUNCTION("""COMPUTED_VALUE"""),0.6077481840193705)</f>
        <v>0.607748184</v>
      </c>
      <c r="I2712" s="11">
        <f>IFERROR(__xludf.DUMMYFUNCTION("""COMPUTED_VALUE"""),5800.807102502018)</f>
        <v>5800.807103</v>
      </c>
      <c r="J2712" s="10">
        <f>IFERROR(__xludf.DUMMYFUNCTION("""COMPUTED_VALUE"""),2.0)</f>
        <v>2</v>
      </c>
      <c r="K2712" s="5">
        <f>IFERROR(__xludf.DUMMYFUNCTION("""COMPUTED_VALUE"""),0.003669724770642202)</f>
        <v>0.003669724771</v>
      </c>
      <c r="L2712" s="10">
        <f>IFERROR(__xludf.DUMMYFUNCTION("""COMPUTED_VALUE"""),545.0)</f>
        <v>545</v>
      </c>
      <c r="M2712" s="5">
        <f>IFERROR(__xludf.DUMMYFUNCTION("""COMPUTED_VALUE"""),1.0)</f>
        <v>1</v>
      </c>
    </row>
    <row r="2713">
      <c r="A2713" s="10" t="str">
        <f>IFERROR(__xludf.DUMMYFUNCTION("""COMPUTED_VALUE"""),"沢村ともきー")</f>
        <v>沢村ともきー</v>
      </c>
      <c r="B2713" s="10">
        <f>IFERROR(__xludf.DUMMYFUNCTION("""COMPUTED_VALUE"""),455.0)</f>
        <v>455</v>
      </c>
      <c r="C2713" s="10">
        <f>IFERROR(__xludf.DUMMYFUNCTION("""COMPUTED_VALUE"""),5340.0)</f>
        <v>5340</v>
      </c>
      <c r="D2713" s="5">
        <f>IFERROR(__xludf.DUMMYFUNCTION("""COMPUTED_VALUE"""),0.3572159672466735)</f>
        <v>0.3572159672</v>
      </c>
      <c r="E2713" s="5">
        <f>IFERROR(__xludf.DUMMYFUNCTION("""COMPUTED_VALUE"""),0.12794268167860798)</f>
        <v>0.1279426817</v>
      </c>
      <c r="F2713" s="5">
        <f>IFERROR(__xludf.DUMMYFUNCTION("""COMPUTED_VALUE"""),0.2165813715455476)</f>
        <v>0.2165813715</v>
      </c>
      <c r="G2713" s="5">
        <f>IFERROR(__xludf.DUMMYFUNCTION("""COMPUTED_VALUE"""),0.17645854657113613)</f>
        <v>0.1764585466</v>
      </c>
      <c r="H2713" s="5">
        <f>IFERROR(__xludf.DUMMYFUNCTION("""COMPUTED_VALUE"""),0.5935727788279773)</f>
        <v>0.5935727788</v>
      </c>
      <c r="I2713" s="11">
        <f>IFERROR(__xludf.DUMMYFUNCTION("""COMPUTED_VALUE"""),5578.638941398865)</f>
        <v>5578.638941</v>
      </c>
      <c r="J2713" s="10">
        <f>IFERROR(__xludf.DUMMYFUNCTION("""COMPUTED_VALUE"""),3.0)</f>
        <v>3</v>
      </c>
      <c r="K2713" s="5">
        <f>IFERROR(__xludf.DUMMYFUNCTION("""COMPUTED_VALUE"""),0.006593406593406593)</f>
        <v>0.006593406593</v>
      </c>
      <c r="L2713" s="10">
        <f>IFERROR(__xludf.DUMMYFUNCTION("""COMPUTED_VALUE"""),0.0)</f>
        <v>0</v>
      </c>
      <c r="M2713" s="5">
        <f>IFERROR(__xludf.DUMMYFUNCTION("""COMPUTED_VALUE"""),0.0)</f>
        <v>0</v>
      </c>
    </row>
    <row r="2714">
      <c r="A2714" s="10" t="str">
        <f>IFERROR(__xludf.DUMMYFUNCTION("""COMPUTED_VALUE"""),"ナカマスティフ")</f>
        <v>ナカマスティフ</v>
      </c>
      <c r="B2714" s="10">
        <f>IFERROR(__xludf.DUMMYFUNCTION("""COMPUTED_VALUE"""),857.0)</f>
        <v>857</v>
      </c>
      <c r="C2714" s="10">
        <f>IFERROR(__xludf.DUMMYFUNCTION("""COMPUTED_VALUE"""),10135.0)</f>
        <v>10135</v>
      </c>
      <c r="D2714" s="5">
        <f>IFERROR(__xludf.DUMMYFUNCTION("""COMPUTED_VALUE"""),0.34942875619745634)</f>
        <v>0.3494287562</v>
      </c>
      <c r="E2714" s="5">
        <f>IFERROR(__xludf.DUMMYFUNCTION("""COMPUTED_VALUE"""),0.12793705539987066)</f>
        <v>0.1279370554</v>
      </c>
      <c r="F2714" s="5">
        <f>IFERROR(__xludf.DUMMYFUNCTION("""COMPUTED_VALUE"""),0.19939642164259538)</f>
        <v>0.1993964216</v>
      </c>
      <c r="G2714" s="5">
        <f>IFERROR(__xludf.DUMMYFUNCTION("""COMPUTED_VALUE"""),0.15542142703168788)</f>
        <v>0.155421427</v>
      </c>
      <c r="H2714" s="5">
        <f>IFERROR(__xludf.DUMMYFUNCTION("""COMPUTED_VALUE"""),0.6145945945945946)</f>
        <v>0.6145945946</v>
      </c>
      <c r="I2714" s="11">
        <f>IFERROR(__xludf.DUMMYFUNCTION("""COMPUTED_VALUE"""),5368.810810810811)</f>
        <v>5368.810811</v>
      </c>
      <c r="J2714" s="10">
        <f>IFERROR(__xludf.DUMMYFUNCTION("""COMPUTED_VALUE"""),0.0)</f>
        <v>0</v>
      </c>
      <c r="K2714" s="5">
        <f>IFERROR(__xludf.DUMMYFUNCTION("""COMPUTED_VALUE"""),0.0)</f>
        <v>0</v>
      </c>
      <c r="L2714" s="10">
        <f>IFERROR(__xludf.DUMMYFUNCTION("""COMPUTED_VALUE"""),857.0)</f>
        <v>857</v>
      </c>
      <c r="M2714" s="5">
        <f>IFERROR(__xludf.DUMMYFUNCTION("""COMPUTED_VALUE"""),1.0)</f>
        <v>1</v>
      </c>
    </row>
    <row r="2715">
      <c r="A2715" s="10" t="str">
        <f>IFERROR(__xludf.DUMMYFUNCTION("""COMPUTED_VALUE"""),"☆nao☆")</f>
        <v>☆nao☆</v>
      </c>
      <c r="B2715" s="10">
        <f>IFERROR(__xludf.DUMMYFUNCTION("""COMPUTED_VALUE"""),956.0)</f>
        <v>956</v>
      </c>
      <c r="C2715" s="10">
        <f>IFERROR(__xludf.DUMMYFUNCTION("""COMPUTED_VALUE"""),11313.0)</f>
        <v>11313</v>
      </c>
      <c r="D2715" s="5">
        <f>IFERROR(__xludf.DUMMYFUNCTION("""COMPUTED_VALUE"""),0.4044607511827749)</f>
        <v>0.4044607512</v>
      </c>
      <c r="E2715" s="5">
        <f>IFERROR(__xludf.DUMMYFUNCTION("""COMPUTED_VALUE"""),0.12793279907309066)</f>
        <v>0.1279327991</v>
      </c>
      <c r="F2715" s="5">
        <f>IFERROR(__xludf.DUMMYFUNCTION("""COMPUTED_VALUE"""),0.21367191271603747)</f>
        <v>0.2136719127</v>
      </c>
      <c r="G2715" s="5">
        <f>IFERROR(__xludf.DUMMYFUNCTION("""COMPUTED_VALUE"""),0.1349811721540987)</f>
        <v>0.1349811722</v>
      </c>
      <c r="H2715" s="5">
        <f>IFERROR(__xludf.DUMMYFUNCTION("""COMPUTED_VALUE"""),0.6077722548576593)</f>
        <v>0.6077722549</v>
      </c>
      <c r="I2715" s="11">
        <f>IFERROR(__xludf.DUMMYFUNCTION("""COMPUTED_VALUE"""),5338.002711251695)</f>
        <v>5338.002711</v>
      </c>
      <c r="J2715" s="10">
        <f>IFERROR(__xludf.DUMMYFUNCTION("""COMPUTED_VALUE"""),3.0)</f>
        <v>3</v>
      </c>
      <c r="K2715" s="5">
        <f>IFERROR(__xludf.DUMMYFUNCTION("""COMPUTED_VALUE"""),0.0031380753138075313)</f>
        <v>0.003138075314</v>
      </c>
      <c r="L2715" s="10">
        <f>IFERROR(__xludf.DUMMYFUNCTION("""COMPUTED_VALUE"""),0.0)</f>
        <v>0</v>
      </c>
      <c r="M2715" s="5">
        <f>IFERROR(__xludf.DUMMYFUNCTION("""COMPUTED_VALUE"""),0.0)</f>
        <v>0</v>
      </c>
    </row>
    <row r="2716">
      <c r="A2716" s="10" t="str">
        <f>IFERROR(__xludf.DUMMYFUNCTION("""COMPUTED_VALUE"""),"なな☆だまＢ")</f>
        <v>なな☆だまＢ</v>
      </c>
      <c r="B2716" s="10">
        <f>IFERROR(__xludf.DUMMYFUNCTION("""COMPUTED_VALUE"""),1505.0)</f>
        <v>1505</v>
      </c>
      <c r="C2716" s="10">
        <f>IFERROR(__xludf.DUMMYFUNCTION("""COMPUTED_VALUE"""),17835.0)</f>
        <v>17835</v>
      </c>
      <c r="D2716" s="5">
        <f>IFERROR(__xludf.DUMMYFUNCTION("""COMPUTED_VALUE"""),0.3881812614819351)</f>
        <v>0.3881812615</v>
      </c>
      <c r="E2716" s="5">
        <f>IFERROR(__xludf.DUMMYFUNCTION("""COMPUTED_VALUE"""),0.12792406613594612)</f>
        <v>0.1279240661</v>
      </c>
      <c r="F2716" s="5">
        <f>IFERROR(__xludf.DUMMYFUNCTION("""COMPUTED_VALUE"""),0.22278015921616656)</f>
        <v>0.2227801592</v>
      </c>
      <c r="G2716" s="5">
        <f>IFERROR(__xludf.DUMMYFUNCTION("""COMPUTED_VALUE"""),0.17844458052663809)</f>
        <v>0.1784445805</v>
      </c>
      <c r="H2716" s="5">
        <f>IFERROR(__xludf.DUMMYFUNCTION("""COMPUTED_VALUE"""),0.6014293567894448)</f>
        <v>0.6014293568</v>
      </c>
      <c r="I2716" s="11">
        <f>IFERROR(__xludf.DUMMYFUNCTION("""COMPUTED_VALUE"""),5283.727322704783)</f>
        <v>5283.727323</v>
      </c>
      <c r="J2716" s="10">
        <f>IFERROR(__xludf.DUMMYFUNCTION("""COMPUTED_VALUE"""),0.0)</f>
        <v>0</v>
      </c>
      <c r="K2716" s="5">
        <f>IFERROR(__xludf.DUMMYFUNCTION("""COMPUTED_VALUE"""),0.0)</f>
        <v>0</v>
      </c>
      <c r="L2716" s="10">
        <f>IFERROR(__xludf.DUMMYFUNCTION("""COMPUTED_VALUE"""),1505.0)</f>
        <v>1505</v>
      </c>
      <c r="M2716" s="5">
        <f>IFERROR(__xludf.DUMMYFUNCTION("""COMPUTED_VALUE"""),1.0)</f>
        <v>1</v>
      </c>
    </row>
    <row r="2717">
      <c r="A2717" s="10" t="str">
        <f>IFERROR(__xludf.DUMMYFUNCTION("""COMPUTED_VALUE"""),"八王子")</f>
        <v>八王子</v>
      </c>
      <c r="B2717" s="10">
        <f>IFERROR(__xludf.DUMMYFUNCTION("""COMPUTED_VALUE"""),337.0)</f>
        <v>337</v>
      </c>
      <c r="C2717" s="10">
        <f>IFERROR(__xludf.DUMMYFUNCTION("""COMPUTED_VALUE"""),3886.0)</f>
        <v>3886</v>
      </c>
      <c r="D2717" s="5">
        <f>IFERROR(__xludf.DUMMYFUNCTION("""COMPUTED_VALUE"""),0.4356156663848971)</f>
        <v>0.4356156664</v>
      </c>
      <c r="E2717" s="5">
        <f>IFERROR(__xludf.DUMMYFUNCTION("""COMPUTED_VALUE"""),0.12792335869258947)</f>
        <v>0.1279233587</v>
      </c>
      <c r="F2717" s="5">
        <f>IFERROR(__xludf.DUMMYFUNCTION("""COMPUTED_VALUE"""),0.22287968441814596)</f>
        <v>0.2228796844</v>
      </c>
      <c r="G2717" s="5">
        <f>IFERROR(__xludf.DUMMYFUNCTION("""COMPUTED_VALUE"""),0.15412792335869258)</f>
        <v>0.1541279234</v>
      </c>
      <c r="H2717" s="5">
        <f>IFERROR(__xludf.DUMMYFUNCTION("""COMPUTED_VALUE"""),0.6080910240202275)</f>
        <v>0.608091024</v>
      </c>
      <c r="I2717" s="11">
        <f>IFERROR(__xludf.DUMMYFUNCTION("""COMPUTED_VALUE"""),5360.55625790139)</f>
        <v>5360.556258</v>
      </c>
      <c r="J2717" s="10">
        <f>IFERROR(__xludf.DUMMYFUNCTION("""COMPUTED_VALUE"""),0.0)</f>
        <v>0</v>
      </c>
      <c r="K2717" s="5">
        <f>IFERROR(__xludf.DUMMYFUNCTION("""COMPUTED_VALUE"""),0.0)</f>
        <v>0</v>
      </c>
      <c r="L2717" s="10">
        <f>IFERROR(__xludf.DUMMYFUNCTION("""COMPUTED_VALUE"""),316.0)</f>
        <v>316</v>
      </c>
      <c r="M2717" s="5">
        <f>IFERROR(__xludf.DUMMYFUNCTION("""COMPUTED_VALUE"""),0.9376854599406528)</f>
        <v>0.9376854599</v>
      </c>
    </row>
    <row r="2718">
      <c r="A2718" s="10" t="str">
        <f>IFERROR(__xludf.DUMMYFUNCTION("""COMPUTED_VALUE"""),"ぬんだぬん・ω・")</f>
        <v>ぬんだぬん・ω・</v>
      </c>
      <c r="B2718" s="10">
        <f>IFERROR(__xludf.DUMMYFUNCTION("""COMPUTED_VALUE"""),122.0)</f>
        <v>122</v>
      </c>
      <c r="C2718" s="10">
        <f>IFERROR(__xludf.DUMMYFUNCTION("""COMPUTED_VALUE"""),1451.0)</f>
        <v>1451</v>
      </c>
      <c r="D2718" s="5">
        <f>IFERROR(__xludf.DUMMYFUNCTION("""COMPUTED_VALUE"""),0.2746425884123401)</f>
        <v>0.2746425884</v>
      </c>
      <c r="E2718" s="5">
        <f>IFERROR(__xludf.DUMMYFUNCTION("""COMPUTED_VALUE"""),0.12791572610985705)</f>
        <v>0.1279157261</v>
      </c>
      <c r="F2718" s="5">
        <f>IFERROR(__xludf.DUMMYFUNCTION("""COMPUTED_VALUE"""),0.19939804364183597)</f>
        <v>0.1993980436</v>
      </c>
      <c r="G2718" s="5">
        <f>IFERROR(__xludf.DUMMYFUNCTION("""COMPUTED_VALUE"""),0.18961625282167044)</f>
        <v>0.1896162528</v>
      </c>
      <c r="H2718" s="5">
        <f>IFERROR(__xludf.DUMMYFUNCTION("""COMPUTED_VALUE"""),0.569811320754717)</f>
        <v>0.5698113208</v>
      </c>
      <c r="I2718" s="11">
        <f>IFERROR(__xludf.DUMMYFUNCTION("""COMPUTED_VALUE"""),5209.811320754717)</f>
        <v>5209.811321</v>
      </c>
      <c r="J2718" s="10">
        <f>IFERROR(__xludf.DUMMYFUNCTION("""COMPUTED_VALUE"""),0.0)</f>
        <v>0</v>
      </c>
      <c r="K2718" s="5">
        <f>IFERROR(__xludf.DUMMYFUNCTION("""COMPUTED_VALUE"""),0.0)</f>
        <v>0</v>
      </c>
      <c r="L2718" s="10">
        <f>IFERROR(__xludf.DUMMYFUNCTION("""COMPUTED_VALUE"""),0.0)</f>
        <v>0</v>
      </c>
      <c r="M2718" s="5">
        <f>IFERROR(__xludf.DUMMYFUNCTION("""COMPUTED_VALUE"""),0.0)</f>
        <v>0</v>
      </c>
    </row>
    <row r="2719">
      <c r="A2719" s="10" t="str">
        <f>IFERROR(__xludf.DUMMYFUNCTION("""COMPUTED_VALUE"""),"himiyo")</f>
        <v>himiyo</v>
      </c>
      <c r="B2719" s="10">
        <f>IFERROR(__xludf.DUMMYFUNCTION("""COMPUTED_VALUE"""),375.0)</f>
        <v>375</v>
      </c>
      <c r="C2719" s="10">
        <f>IFERROR(__xludf.DUMMYFUNCTION("""COMPUTED_VALUE"""),4362.0)</f>
        <v>4362</v>
      </c>
      <c r="D2719" s="5">
        <f>IFERROR(__xludf.DUMMYFUNCTION("""COMPUTED_VALUE"""),0.3539001755706045)</f>
        <v>0.3539001756</v>
      </c>
      <c r="E2719" s="5">
        <f>IFERROR(__xludf.DUMMYFUNCTION("""COMPUTED_VALUE"""),0.12791572610985705)</f>
        <v>0.1279157261</v>
      </c>
      <c r="F2719" s="5">
        <f>IFERROR(__xludf.DUMMYFUNCTION("""COMPUTED_VALUE"""),0.2144469525959368)</f>
        <v>0.2144469526</v>
      </c>
      <c r="G2719" s="5">
        <f>IFERROR(__xludf.DUMMYFUNCTION("""COMPUTED_VALUE"""),0.18510158013544017)</f>
        <v>0.1851015801</v>
      </c>
      <c r="H2719" s="5">
        <f>IFERROR(__xludf.DUMMYFUNCTION("""COMPUTED_VALUE"""),0.5625730994152047)</f>
        <v>0.5625730994</v>
      </c>
      <c r="I2719" s="11">
        <f>IFERROR(__xludf.DUMMYFUNCTION("""COMPUTED_VALUE"""),5473.684210526316)</f>
        <v>5473.684211</v>
      </c>
      <c r="J2719" s="10">
        <f>IFERROR(__xludf.DUMMYFUNCTION("""COMPUTED_VALUE"""),2.0)</f>
        <v>2</v>
      </c>
      <c r="K2719" s="5">
        <f>IFERROR(__xludf.DUMMYFUNCTION("""COMPUTED_VALUE"""),0.005333333333333333)</f>
        <v>0.005333333333</v>
      </c>
      <c r="L2719" s="10">
        <f>IFERROR(__xludf.DUMMYFUNCTION("""COMPUTED_VALUE"""),375.0)</f>
        <v>375</v>
      </c>
      <c r="M2719" s="5">
        <f>IFERROR(__xludf.DUMMYFUNCTION("""COMPUTED_VALUE"""),1.0)</f>
        <v>1</v>
      </c>
    </row>
    <row r="2720">
      <c r="A2720" s="10" t="str">
        <f>IFERROR(__xludf.DUMMYFUNCTION("""COMPUTED_VALUE"""),"六槓")</f>
        <v>六槓</v>
      </c>
      <c r="B2720" s="10">
        <f>IFERROR(__xludf.DUMMYFUNCTION("""COMPUTED_VALUE"""),146.0)</f>
        <v>146</v>
      </c>
      <c r="C2720" s="10">
        <f>IFERROR(__xludf.DUMMYFUNCTION("""COMPUTED_VALUE"""),1694.0)</f>
        <v>1694</v>
      </c>
      <c r="D2720" s="5">
        <f>IFERROR(__xludf.DUMMYFUNCTION("""COMPUTED_VALUE"""),0.3281653746770026)</f>
        <v>0.3281653747</v>
      </c>
      <c r="E2720" s="5">
        <f>IFERROR(__xludf.DUMMYFUNCTION("""COMPUTED_VALUE"""),0.12790697674418605)</f>
        <v>0.1279069767</v>
      </c>
      <c r="F2720" s="5">
        <f>IFERROR(__xludf.DUMMYFUNCTION("""COMPUTED_VALUE"""),0.19056847545219638)</f>
        <v>0.1905684755</v>
      </c>
      <c r="G2720" s="5">
        <f>IFERROR(__xludf.DUMMYFUNCTION("""COMPUTED_VALUE"""),0.1866925064599483)</f>
        <v>0.1866925065</v>
      </c>
      <c r="H2720" s="5">
        <f>IFERROR(__xludf.DUMMYFUNCTION("""COMPUTED_VALUE"""),0.5661016949152542)</f>
        <v>0.5661016949</v>
      </c>
      <c r="I2720" s="11">
        <f>IFERROR(__xludf.DUMMYFUNCTION("""COMPUTED_VALUE"""),6206.1016949152545)</f>
        <v>6206.101695</v>
      </c>
      <c r="J2720" s="10">
        <f>IFERROR(__xludf.DUMMYFUNCTION("""COMPUTED_VALUE"""),0.0)</f>
        <v>0</v>
      </c>
      <c r="K2720" s="5">
        <f>IFERROR(__xludf.DUMMYFUNCTION("""COMPUTED_VALUE"""),0.0)</f>
        <v>0</v>
      </c>
      <c r="L2720" s="10">
        <f>IFERROR(__xludf.DUMMYFUNCTION("""COMPUTED_VALUE"""),146.0)</f>
        <v>146</v>
      </c>
      <c r="M2720" s="5">
        <f>IFERROR(__xludf.DUMMYFUNCTION("""COMPUTED_VALUE"""),1.0)</f>
        <v>1</v>
      </c>
    </row>
    <row r="2721">
      <c r="A2721" s="10" t="str">
        <f>IFERROR(__xludf.DUMMYFUNCTION("""COMPUTED_VALUE"""),"てぃーおー")</f>
        <v>てぃーおー</v>
      </c>
      <c r="B2721" s="10">
        <f>IFERROR(__xludf.DUMMYFUNCTION("""COMPUTED_VALUE"""),355.0)</f>
        <v>355</v>
      </c>
      <c r="C2721" s="10">
        <f>IFERROR(__xludf.DUMMYFUNCTION("""COMPUTED_VALUE"""),4100.0)</f>
        <v>4100</v>
      </c>
      <c r="D2721" s="5">
        <f>IFERROR(__xludf.DUMMYFUNCTION("""COMPUTED_VALUE"""),0.4253671562082777)</f>
        <v>0.4253671562</v>
      </c>
      <c r="E2721" s="5">
        <f>IFERROR(__xludf.DUMMYFUNCTION("""COMPUTED_VALUE"""),0.12790387182910548)</f>
        <v>0.1279038718</v>
      </c>
      <c r="F2721" s="5">
        <f>IFERROR(__xludf.DUMMYFUNCTION("""COMPUTED_VALUE"""),0.2341789052069426)</f>
        <v>0.2341789052</v>
      </c>
      <c r="G2721" s="5">
        <f>IFERROR(__xludf.DUMMYFUNCTION("""COMPUTED_VALUE"""),0.16128170894526034)</f>
        <v>0.1612817089</v>
      </c>
      <c r="H2721" s="5">
        <f>IFERROR(__xludf.DUMMYFUNCTION("""COMPUTED_VALUE"""),0.5849486887115165)</f>
        <v>0.5849486887</v>
      </c>
      <c r="I2721" s="11">
        <f>IFERROR(__xludf.DUMMYFUNCTION("""COMPUTED_VALUE"""),5407.867730900798)</f>
        <v>5407.867731</v>
      </c>
      <c r="J2721" s="10">
        <f>IFERROR(__xludf.DUMMYFUNCTION("""COMPUTED_VALUE"""),1.0)</f>
        <v>1</v>
      </c>
      <c r="K2721" s="5">
        <f>IFERROR(__xludf.DUMMYFUNCTION("""COMPUTED_VALUE"""),0.0028169014084507044)</f>
        <v>0.002816901408</v>
      </c>
      <c r="L2721" s="10">
        <f>IFERROR(__xludf.DUMMYFUNCTION("""COMPUTED_VALUE"""),355.0)</f>
        <v>355</v>
      </c>
      <c r="M2721" s="5">
        <f>IFERROR(__xludf.DUMMYFUNCTION("""COMPUTED_VALUE"""),1.0)</f>
        <v>1</v>
      </c>
    </row>
    <row r="2722">
      <c r="A2722" s="10" t="str">
        <f>IFERROR(__xludf.DUMMYFUNCTION("""COMPUTED_VALUE"""),"zima0412")</f>
        <v>zima0412</v>
      </c>
      <c r="B2722" s="10">
        <f>IFERROR(__xludf.DUMMYFUNCTION("""COMPUTED_VALUE"""),204.0)</f>
        <v>204</v>
      </c>
      <c r="C2722" s="10">
        <f>IFERROR(__xludf.DUMMYFUNCTION("""COMPUTED_VALUE"""),2401.0)</f>
        <v>2401</v>
      </c>
      <c r="D2722" s="5">
        <f>IFERROR(__xludf.DUMMYFUNCTION("""COMPUTED_VALUE"""),0.3409194355939918)</f>
        <v>0.3409194356</v>
      </c>
      <c r="E2722" s="5">
        <f>IFERROR(__xludf.DUMMYFUNCTION("""COMPUTED_VALUE"""),0.12790168411470187)</f>
        <v>0.1279016841</v>
      </c>
      <c r="F2722" s="5">
        <f>IFERROR(__xludf.DUMMYFUNCTION("""COMPUTED_VALUE"""),0.2275830678197542)</f>
        <v>0.2275830678</v>
      </c>
      <c r="G2722" s="5">
        <f>IFERROR(__xludf.DUMMYFUNCTION("""COMPUTED_VALUE"""),0.15339098771051435)</f>
        <v>0.1533909877</v>
      </c>
      <c r="H2722" s="5">
        <f>IFERROR(__xludf.DUMMYFUNCTION("""COMPUTED_VALUE"""),0.592)</f>
        <v>0.592</v>
      </c>
      <c r="I2722" s="11">
        <f>IFERROR(__xludf.DUMMYFUNCTION("""COMPUTED_VALUE"""),5886.6)</f>
        <v>5886.6</v>
      </c>
      <c r="J2722" s="10">
        <f>IFERROR(__xludf.DUMMYFUNCTION("""COMPUTED_VALUE"""),2.0)</f>
        <v>2</v>
      </c>
      <c r="K2722" s="5">
        <f>IFERROR(__xludf.DUMMYFUNCTION("""COMPUTED_VALUE"""),0.00980392156862745)</f>
        <v>0.009803921569</v>
      </c>
      <c r="L2722" s="10">
        <f>IFERROR(__xludf.DUMMYFUNCTION("""COMPUTED_VALUE"""),194.0)</f>
        <v>194</v>
      </c>
      <c r="M2722" s="5">
        <f>IFERROR(__xludf.DUMMYFUNCTION("""COMPUTED_VALUE"""),0.9509803921568627)</f>
        <v>0.9509803922</v>
      </c>
    </row>
    <row r="2723">
      <c r="A2723" s="10" t="str">
        <f>IFERROR(__xludf.DUMMYFUNCTION("""COMPUTED_VALUE"""),"rite")</f>
        <v>rite</v>
      </c>
      <c r="B2723" s="10">
        <f>IFERROR(__xludf.DUMMYFUNCTION("""COMPUTED_VALUE"""),1136.0)</f>
        <v>1136</v>
      </c>
      <c r="C2723" s="10">
        <f>IFERROR(__xludf.DUMMYFUNCTION("""COMPUTED_VALUE"""),13302.0)</f>
        <v>13302</v>
      </c>
      <c r="D2723" s="5">
        <f>IFERROR(__xludf.DUMMYFUNCTION("""COMPUTED_VALUE"""),0.34095018905145485)</f>
        <v>0.3409501891</v>
      </c>
      <c r="E2723" s="5">
        <f>IFERROR(__xludf.DUMMYFUNCTION("""COMPUTED_VALUE"""),0.12789741903665955)</f>
        <v>0.127897419</v>
      </c>
      <c r="F2723" s="5">
        <f>IFERROR(__xludf.DUMMYFUNCTION("""COMPUTED_VALUE"""),0.21905309879993423)</f>
        <v>0.2190530988</v>
      </c>
      <c r="G2723" s="5">
        <f>IFERROR(__xludf.DUMMYFUNCTION("""COMPUTED_VALUE"""),0.1809962189709025)</f>
        <v>0.180996219</v>
      </c>
      <c r="H2723" s="5">
        <f>IFERROR(__xludf.DUMMYFUNCTION("""COMPUTED_VALUE"""),0.5894934333958725)</f>
        <v>0.5894934334</v>
      </c>
      <c r="I2723" s="11">
        <f>IFERROR(__xludf.DUMMYFUNCTION("""COMPUTED_VALUE"""),5876.435272045028)</f>
        <v>5876.435272</v>
      </c>
      <c r="J2723" s="10">
        <f>IFERROR(__xludf.DUMMYFUNCTION("""COMPUTED_VALUE"""),3.0)</f>
        <v>3</v>
      </c>
      <c r="K2723" s="5">
        <f>IFERROR(__xludf.DUMMYFUNCTION("""COMPUTED_VALUE"""),0.002640845070422535)</f>
        <v>0.00264084507</v>
      </c>
      <c r="L2723" s="10">
        <f>IFERROR(__xludf.DUMMYFUNCTION("""COMPUTED_VALUE"""),1136.0)</f>
        <v>1136</v>
      </c>
      <c r="M2723" s="5">
        <f>IFERROR(__xludf.DUMMYFUNCTION("""COMPUTED_VALUE"""),1.0)</f>
        <v>1</v>
      </c>
    </row>
    <row r="2724">
      <c r="A2724" s="10" t="str">
        <f>IFERROR(__xludf.DUMMYFUNCTION("""COMPUTED_VALUE"""),"鳩りゅうさん")</f>
        <v>鳩りゅうさん</v>
      </c>
      <c r="B2724" s="10">
        <f>IFERROR(__xludf.DUMMYFUNCTION("""COMPUTED_VALUE"""),652.0)</f>
        <v>652</v>
      </c>
      <c r="C2724" s="10">
        <f>IFERROR(__xludf.DUMMYFUNCTION("""COMPUTED_VALUE"""),7728.0)</f>
        <v>7728</v>
      </c>
      <c r="D2724" s="5">
        <f>IFERROR(__xludf.DUMMYFUNCTION("""COMPUTED_VALUE"""),0.32942340305257206)</f>
        <v>0.3294234031</v>
      </c>
      <c r="E2724" s="5">
        <f>IFERROR(__xludf.DUMMYFUNCTION("""COMPUTED_VALUE"""),0.12789711701526285)</f>
        <v>0.127897117</v>
      </c>
      <c r="F2724" s="5">
        <f>IFERROR(__xludf.DUMMYFUNCTION("""COMPUTED_VALUE"""),0.20138496325607688)</f>
        <v>0.2013849633</v>
      </c>
      <c r="G2724" s="5">
        <f>IFERROR(__xludf.DUMMYFUNCTION("""COMPUTED_VALUE"""),0.13143018654607122)</f>
        <v>0.1314301865</v>
      </c>
      <c r="H2724" s="5">
        <f>IFERROR(__xludf.DUMMYFUNCTION("""COMPUTED_VALUE"""),0.5964912280701754)</f>
        <v>0.5964912281</v>
      </c>
      <c r="I2724" s="11">
        <f>IFERROR(__xludf.DUMMYFUNCTION("""COMPUTED_VALUE"""),5682.035087719299)</f>
        <v>5682.035088</v>
      </c>
      <c r="J2724" s="10">
        <f>IFERROR(__xludf.DUMMYFUNCTION("""COMPUTED_VALUE"""),1.0)</f>
        <v>1</v>
      </c>
      <c r="K2724" s="5">
        <f>IFERROR(__xludf.DUMMYFUNCTION("""COMPUTED_VALUE"""),0.0015337423312883436)</f>
        <v>0.001533742331</v>
      </c>
      <c r="L2724" s="10">
        <f>IFERROR(__xludf.DUMMYFUNCTION("""COMPUTED_VALUE"""),652.0)</f>
        <v>652</v>
      </c>
      <c r="M2724" s="5">
        <f>IFERROR(__xludf.DUMMYFUNCTION("""COMPUTED_VALUE"""),1.0)</f>
        <v>1</v>
      </c>
    </row>
    <row r="2725">
      <c r="A2725" s="10" t="str">
        <f>IFERROR(__xludf.DUMMYFUNCTION("""COMPUTED_VALUE"""),"amasimak")</f>
        <v>amasimak</v>
      </c>
      <c r="B2725" s="10">
        <f>IFERROR(__xludf.DUMMYFUNCTION("""COMPUTED_VALUE"""),186.0)</f>
        <v>186</v>
      </c>
      <c r="C2725" s="10">
        <f>IFERROR(__xludf.DUMMYFUNCTION("""COMPUTED_VALUE"""),2172.0)</f>
        <v>2172</v>
      </c>
      <c r="D2725" s="5">
        <f>IFERROR(__xludf.DUMMYFUNCTION("""COMPUTED_VALUE"""),0.3288016112789527)</f>
        <v>0.3288016113</v>
      </c>
      <c r="E2725" s="5">
        <f>IFERROR(__xludf.DUMMYFUNCTION("""COMPUTED_VALUE"""),0.12789526686807653)</f>
        <v>0.1278952669</v>
      </c>
      <c r="F2725" s="5">
        <f>IFERROR(__xludf.DUMMYFUNCTION("""COMPUTED_VALUE"""),0.20644511581067473)</f>
        <v>0.2064451158</v>
      </c>
      <c r="G2725" s="5">
        <f>IFERROR(__xludf.DUMMYFUNCTION("""COMPUTED_VALUE"""),0.17472306143001007)</f>
        <v>0.1747230614</v>
      </c>
      <c r="H2725" s="5">
        <f>IFERROR(__xludf.DUMMYFUNCTION("""COMPUTED_VALUE"""),0.5951219512195122)</f>
        <v>0.5951219512</v>
      </c>
      <c r="I2725" s="11">
        <f>IFERROR(__xludf.DUMMYFUNCTION("""COMPUTED_VALUE"""),5560.243902439024)</f>
        <v>5560.243902</v>
      </c>
      <c r="J2725" s="10">
        <f>IFERROR(__xludf.DUMMYFUNCTION("""COMPUTED_VALUE"""),0.0)</f>
        <v>0</v>
      </c>
      <c r="K2725" s="5">
        <f>IFERROR(__xludf.DUMMYFUNCTION("""COMPUTED_VALUE"""),0.0)</f>
        <v>0</v>
      </c>
      <c r="L2725" s="10">
        <f>IFERROR(__xludf.DUMMYFUNCTION("""COMPUTED_VALUE"""),179.0)</f>
        <v>179</v>
      </c>
      <c r="M2725" s="5">
        <f>IFERROR(__xludf.DUMMYFUNCTION("""COMPUTED_VALUE"""),0.9623655913978495)</f>
        <v>0.9623655914</v>
      </c>
    </row>
    <row r="2726">
      <c r="A2726" s="10" t="str">
        <f>IFERROR(__xludf.DUMMYFUNCTION("""COMPUTED_VALUE"""),"ロメオ")</f>
        <v>ロメオ</v>
      </c>
      <c r="B2726" s="10">
        <f>IFERROR(__xludf.DUMMYFUNCTION("""COMPUTED_VALUE"""),559.0)</f>
        <v>559</v>
      </c>
      <c r="C2726" s="10">
        <f>IFERROR(__xludf.DUMMYFUNCTION("""COMPUTED_VALUE"""),6447.0)</f>
        <v>6447</v>
      </c>
      <c r="D2726" s="5">
        <f>IFERROR(__xludf.DUMMYFUNCTION("""COMPUTED_VALUE"""),0.35105298913043476)</f>
        <v>0.3510529891</v>
      </c>
      <c r="E2726" s="5">
        <f>IFERROR(__xludf.DUMMYFUNCTION("""COMPUTED_VALUE"""),0.12788722826086957)</f>
        <v>0.1278872283</v>
      </c>
      <c r="F2726" s="5">
        <f>IFERROR(__xludf.DUMMYFUNCTION("""COMPUTED_VALUE"""),0.2229959239130435)</f>
        <v>0.2229959239</v>
      </c>
      <c r="G2726" s="5">
        <f>IFERROR(__xludf.DUMMYFUNCTION("""COMPUTED_VALUE"""),0.19819972826086957)</f>
        <v>0.1981997283</v>
      </c>
      <c r="H2726" s="5">
        <f>IFERROR(__xludf.DUMMYFUNCTION("""COMPUTED_VALUE"""),0.607006854531607)</f>
        <v>0.6070068545</v>
      </c>
      <c r="I2726" s="11">
        <f>IFERROR(__xludf.DUMMYFUNCTION("""COMPUTED_VALUE"""),5808.5300837776085)</f>
        <v>5808.530084</v>
      </c>
      <c r="J2726" s="10">
        <f>IFERROR(__xludf.DUMMYFUNCTION("""COMPUTED_VALUE"""),1.0)</f>
        <v>1</v>
      </c>
      <c r="K2726" s="5">
        <f>IFERROR(__xludf.DUMMYFUNCTION("""COMPUTED_VALUE"""),0.0017889087656529517)</f>
        <v>0.001788908766</v>
      </c>
      <c r="L2726" s="10">
        <f>IFERROR(__xludf.DUMMYFUNCTION("""COMPUTED_VALUE"""),559.0)</f>
        <v>559</v>
      </c>
      <c r="M2726" s="5">
        <f>IFERROR(__xludf.DUMMYFUNCTION("""COMPUTED_VALUE"""),1.0)</f>
        <v>1</v>
      </c>
    </row>
    <row r="2727">
      <c r="A2727" s="10" t="str">
        <f>IFERROR(__xludf.DUMMYFUNCTION("""COMPUTED_VALUE"""),"Niel")</f>
        <v>Niel</v>
      </c>
      <c r="B2727" s="10">
        <f>IFERROR(__xludf.DUMMYFUNCTION("""COMPUTED_VALUE"""),145.0)</f>
        <v>145</v>
      </c>
      <c r="C2727" s="10">
        <f>IFERROR(__xludf.DUMMYFUNCTION("""COMPUTED_VALUE"""),1756.0)</f>
        <v>1756</v>
      </c>
      <c r="D2727" s="5">
        <f>IFERROR(__xludf.DUMMYFUNCTION("""COMPUTED_VALUE"""),0.39168218497827434)</f>
        <v>0.391682185</v>
      </c>
      <c r="E2727" s="5">
        <f>IFERROR(__xludf.DUMMYFUNCTION("""COMPUTED_VALUE"""),0.12787088764742396)</f>
        <v>0.1278708876</v>
      </c>
      <c r="F2727" s="5">
        <f>IFERROR(__xludf.DUMMYFUNCTION("""COMPUTED_VALUE"""),0.20235878336436997)</f>
        <v>0.2023587834</v>
      </c>
      <c r="G2727" s="5">
        <f>IFERROR(__xludf.DUMMYFUNCTION("""COMPUTED_VALUE"""),0.1558038485412787)</f>
        <v>0.1558038485</v>
      </c>
      <c r="H2727" s="5">
        <f>IFERROR(__xludf.DUMMYFUNCTION("""COMPUTED_VALUE"""),0.558282208588957)</f>
        <v>0.5582822086</v>
      </c>
      <c r="I2727" s="11">
        <f>IFERROR(__xludf.DUMMYFUNCTION("""COMPUTED_VALUE"""),5398.4662576687115)</f>
        <v>5398.466258</v>
      </c>
      <c r="J2727" s="10">
        <f>IFERROR(__xludf.DUMMYFUNCTION("""COMPUTED_VALUE"""),0.0)</f>
        <v>0</v>
      </c>
      <c r="K2727" s="5">
        <f>IFERROR(__xludf.DUMMYFUNCTION("""COMPUTED_VALUE"""),0.0)</f>
        <v>0</v>
      </c>
      <c r="L2727" s="10">
        <f>IFERROR(__xludf.DUMMYFUNCTION("""COMPUTED_VALUE"""),145.0)</f>
        <v>145</v>
      </c>
      <c r="M2727" s="5">
        <f>IFERROR(__xludf.DUMMYFUNCTION("""COMPUTED_VALUE"""),1.0)</f>
        <v>1</v>
      </c>
    </row>
    <row r="2728">
      <c r="A2728" s="10" t="str">
        <f>IFERROR(__xludf.DUMMYFUNCTION("""COMPUTED_VALUE"""),"北條すず")</f>
        <v>北條すず</v>
      </c>
      <c r="B2728" s="10">
        <f>IFERROR(__xludf.DUMMYFUNCTION("""COMPUTED_VALUE"""),475.0)</f>
        <v>475</v>
      </c>
      <c r="C2728" s="10">
        <f>IFERROR(__xludf.DUMMYFUNCTION("""COMPUTED_VALUE"""),5551.0)</f>
        <v>5551</v>
      </c>
      <c r="D2728" s="5">
        <f>IFERROR(__xludf.DUMMYFUNCTION("""COMPUTED_VALUE"""),0.2157210401891253)</f>
        <v>0.2157210402</v>
      </c>
      <c r="E2728" s="5">
        <f>IFERROR(__xludf.DUMMYFUNCTION("""COMPUTED_VALUE"""),0.12785657998423955)</f>
        <v>0.12785658</v>
      </c>
      <c r="F2728" s="5">
        <f>IFERROR(__xludf.DUMMYFUNCTION("""COMPUTED_VALUE"""),0.20567375886524822)</f>
        <v>0.2056737589</v>
      </c>
      <c r="G2728" s="5">
        <f>IFERROR(__xludf.DUMMYFUNCTION("""COMPUTED_VALUE"""),0.16174152876280537)</f>
        <v>0.1617415288</v>
      </c>
      <c r="H2728" s="5">
        <f>IFERROR(__xludf.DUMMYFUNCTION("""COMPUTED_VALUE"""),0.6130268199233716)</f>
        <v>0.6130268199</v>
      </c>
      <c r="I2728" s="11">
        <f>IFERROR(__xludf.DUMMYFUNCTION("""COMPUTED_VALUE"""),6077.681992337165)</f>
        <v>6077.681992</v>
      </c>
      <c r="J2728" s="10">
        <f>IFERROR(__xludf.DUMMYFUNCTION("""COMPUTED_VALUE"""),1.0)</f>
        <v>1</v>
      </c>
      <c r="K2728" s="5">
        <f>IFERROR(__xludf.DUMMYFUNCTION("""COMPUTED_VALUE"""),0.002105263157894737)</f>
        <v>0.002105263158</v>
      </c>
      <c r="L2728" s="10">
        <f>IFERROR(__xludf.DUMMYFUNCTION("""COMPUTED_VALUE"""),297.0)</f>
        <v>297</v>
      </c>
      <c r="M2728" s="5">
        <f>IFERROR(__xludf.DUMMYFUNCTION("""COMPUTED_VALUE"""),0.6252631578947369)</f>
        <v>0.6252631579</v>
      </c>
    </row>
    <row r="2729">
      <c r="A2729" s="10" t="str">
        <f>IFERROR(__xludf.DUMMYFUNCTION("""COMPUTED_VALUE"""),"神様ごっこ")</f>
        <v>神様ごっこ</v>
      </c>
      <c r="B2729" s="10">
        <f>IFERROR(__xludf.DUMMYFUNCTION("""COMPUTED_VALUE"""),311.0)</f>
        <v>311</v>
      </c>
      <c r="C2729" s="10">
        <f>IFERROR(__xludf.DUMMYFUNCTION("""COMPUTED_VALUE"""),3682.0)</f>
        <v>3682</v>
      </c>
      <c r="D2729" s="5">
        <f>IFERROR(__xludf.DUMMYFUNCTION("""COMPUTED_VALUE"""),0.3506377929397805)</f>
        <v>0.3506377929</v>
      </c>
      <c r="E2729" s="5">
        <f>IFERROR(__xludf.DUMMYFUNCTION("""COMPUTED_VALUE"""),0.12785523583506378)</f>
        <v>0.1278552358</v>
      </c>
      <c r="F2729" s="5">
        <f>IFERROR(__xludf.DUMMYFUNCTION("""COMPUTED_VALUE"""),0.1969741916345298)</f>
        <v>0.1969741916</v>
      </c>
      <c r="G2729" s="5">
        <f>IFERROR(__xludf.DUMMYFUNCTION("""COMPUTED_VALUE"""),0.15663008009492732)</f>
        <v>0.1566300801</v>
      </c>
      <c r="H2729" s="5">
        <f>IFERROR(__xludf.DUMMYFUNCTION("""COMPUTED_VALUE"""),0.6114457831325302)</f>
        <v>0.6114457831</v>
      </c>
      <c r="I2729" s="11">
        <f>IFERROR(__xludf.DUMMYFUNCTION("""COMPUTED_VALUE"""),5830.421686746988)</f>
        <v>5830.421687</v>
      </c>
      <c r="J2729" s="10">
        <f>IFERROR(__xludf.DUMMYFUNCTION("""COMPUTED_VALUE"""),0.0)</f>
        <v>0</v>
      </c>
      <c r="K2729" s="5">
        <f>IFERROR(__xludf.DUMMYFUNCTION("""COMPUTED_VALUE"""),0.0)</f>
        <v>0</v>
      </c>
      <c r="L2729" s="10">
        <f>IFERROR(__xludf.DUMMYFUNCTION("""COMPUTED_VALUE"""),311.0)</f>
        <v>311</v>
      </c>
      <c r="M2729" s="5">
        <f>IFERROR(__xludf.DUMMYFUNCTION("""COMPUTED_VALUE"""),1.0)</f>
        <v>1</v>
      </c>
    </row>
    <row r="2730">
      <c r="A2730" s="10" t="str">
        <f>IFERROR(__xludf.DUMMYFUNCTION("""COMPUTED_VALUE"""),"嫌いじゃないわ！")</f>
        <v>嫌いじゃないわ！</v>
      </c>
      <c r="B2730" s="10">
        <f>IFERROR(__xludf.DUMMYFUNCTION("""COMPUTED_VALUE"""),1358.0)</f>
        <v>1358</v>
      </c>
      <c r="C2730" s="10">
        <f>IFERROR(__xludf.DUMMYFUNCTION("""COMPUTED_VALUE"""),15859.0)</f>
        <v>15859</v>
      </c>
      <c r="D2730" s="5">
        <f>IFERROR(__xludf.DUMMYFUNCTION("""COMPUTED_VALUE"""),0.3576994690021378)</f>
        <v>0.357699469</v>
      </c>
      <c r="E2730" s="5">
        <f>IFERROR(__xludf.DUMMYFUNCTION("""COMPUTED_VALUE"""),0.12785325149989657)</f>
        <v>0.1278532515</v>
      </c>
      <c r="F2730" s="5">
        <f>IFERROR(__xludf.DUMMYFUNCTION("""COMPUTED_VALUE"""),0.21770912350872354)</f>
        <v>0.2177091235</v>
      </c>
      <c r="G2730" s="5">
        <f>IFERROR(__xludf.DUMMYFUNCTION("""COMPUTED_VALUE"""),0.16971243362526722)</f>
        <v>0.1697124336</v>
      </c>
      <c r="H2730" s="5">
        <f>IFERROR(__xludf.DUMMYFUNCTION("""COMPUTED_VALUE"""),0.5999366487171365)</f>
        <v>0.5999366487</v>
      </c>
      <c r="I2730" s="11">
        <f>IFERROR(__xludf.DUMMYFUNCTION("""COMPUTED_VALUE"""),5560.753880266076)</f>
        <v>5560.75388</v>
      </c>
      <c r="J2730" s="10">
        <f>IFERROR(__xludf.DUMMYFUNCTION("""COMPUTED_VALUE"""),4.0)</f>
        <v>4</v>
      </c>
      <c r="K2730" s="5">
        <f>IFERROR(__xludf.DUMMYFUNCTION("""COMPUTED_VALUE"""),0.0029455081001472753)</f>
        <v>0.0029455081</v>
      </c>
      <c r="L2730" s="10">
        <f>IFERROR(__xludf.DUMMYFUNCTION("""COMPUTED_VALUE"""),1357.0)</f>
        <v>1357</v>
      </c>
      <c r="M2730" s="5">
        <f>IFERROR(__xludf.DUMMYFUNCTION("""COMPUTED_VALUE"""),0.9992636229749632)</f>
        <v>0.999263623</v>
      </c>
    </row>
    <row r="2731">
      <c r="A2731" s="10" t="str">
        <f>IFERROR(__xludf.DUMMYFUNCTION("""COMPUTED_VALUE"""),"rabiel")</f>
        <v>rabiel</v>
      </c>
      <c r="B2731" s="10">
        <f>IFERROR(__xludf.DUMMYFUNCTION("""COMPUTED_VALUE"""),895.0)</f>
        <v>895</v>
      </c>
      <c r="C2731" s="10">
        <f>IFERROR(__xludf.DUMMYFUNCTION("""COMPUTED_VALUE"""),10430.0)</f>
        <v>10430</v>
      </c>
      <c r="D2731" s="5">
        <f>IFERROR(__xludf.DUMMYFUNCTION("""COMPUTED_VALUE"""),0.3494493969585737)</f>
        <v>0.349449397</v>
      </c>
      <c r="E2731" s="5">
        <f>IFERROR(__xludf.DUMMYFUNCTION("""COMPUTED_VALUE"""),0.12784478238070268)</f>
        <v>0.1278447824</v>
      </c>
      <c r="F2731" s="5">
        <f>IFERROR(__xludf.DUMMYFUNCTION("""COMPUTED_VALUE"""),0.21027792343995805)</f>
        <v>0.2102779234</v>
      </c>
      <c r="G2731" s="5">
        <f>IFERROR(__xludf.DUMMYFUNCTION("""COMPUTED_VALUE"""),0.17367593078133192)</f>
        <v>0.1736759308</v>
      </c>
      <c r="H2731" s="5">
        <f>IFERROR(__xludf.DUMMYFUNCTION("""COMPUTED_VALUE"""),0.5970074812967581)</f>
        <v>0.5970074813</v>
      </c>
      <c r="I2731" s="11">
        <f>IFERROR(__xludf.DUMMYFUNCTION("""COMPUTED_VALUE"""),6034.962593516209)</f>
        <v>6034.962594</v>
      </c>
      <c r="J2731" s="10">
        <f>IFERROR(__xludf.DUMMYFUNCTION("""COMPUTED_VALUE"""),3.0)</f>
        <v>3</v>
      </c>
      <c r="K2731" s="5">
        <f>IFERROR(__xludf.DUMMYFUNCTION("""COMPUTED_VALUE"""),0.0033519553072625698)</f>
        <v>0.003351955307</v>
      </c>
      <c r="L2731" s="10">
        <f>IFERROR(__xludf.DUMMYFUNCTION("""COMPUTED_VALUE"""),895.0)</f>
        <v>895</v>
      </c>
      <c r="M2731" s="5">
        <f>IFERROR(__xludf.DUMMYFUNCTION("""COMPUTED_VALUE"""),1.0)</f>
        <v>1</v>
      </c>
    </row>
    <row r="2732">
      <c r="A2732" s="10" t="str">
        <f>IFERROR(__xludf.DUMMYFUNCTION("""COMPUTED_VALUE"""),"西垣誠一")</f>
        <v>西垣誠一</v>
      </c>
      <c r="B2732" s="10">
        <f>IFERROR(__xludf.DUMMYFUNCTION("""COMPUTED_VALUE"""),752.0)</f>
        <v>752</v>
      </c>
      <c r="C2732" s="10">
        <f>IFERROR(__xludf.DUMMYFUNCTION("""COMPUTED_VALUE"""),8911.0)</f>
        <v>8911</v>
      </c>
      <c r="D2732" s="5">
        <f>IFERROR(__xludf.DUMMYFUNCTION("""COMPUTED_VALUE"""),0.37884544674592474)</f>
        <v>0.3788454467</v>
      </c>
      <c r="E2732" s="5">
        <f>IFERROR(__xludf.DUMMYFUNCTION("""COMPUTED_VALUE"""),0.12783429341831107)</f>
        <v>0.1278342934</v>
      </c>
      <c r="F2732" s="5">
        <f>IFERROR(__xludf.DUMMYFUNCTION("""COMPUTED_VALUE"""),0.20308861380071086)</f>
        <v>0.2030886138</v>
      </c>
      <c r="G2732" s="5">
        <f>IFERROR(__xludf.DUMMYFUNCTION("""COMPUTED_VALUE"""),0.1766147812231891)</f>
        <v>0.1766147812</v>
      </c>
      <c r="H2732" s="5">
        <f>IFERROR(__xludf.DUMMYFUNCTION("""COMPUTED_VALUE"""),0.5847917923958962)</f>
        <v>0.5847917924</v>
      </c>
      <c r="I2732" s="11">
        <f>IFERROR(__xludf.DUMMYFUNCTION("""COMPUTED_VALUE"""),5582.981291490646)</f>
        <v>5582.981291</v>
      </c>
      <c r="J2732" s="10">
        <f>IFERROR(__xludf.DUMMYFUNCTION("""COMPUTED_VALUE"""),0.0)</f>
        <v>0</v>
      </c>
      <c r="K2732" s="5">
        <f>IFERROR(__xludf.DUMMYFUNCTION("""COMPUTED_VALUE"""),0.0)</f>
        <v>0</v>
      </c>
      <c r="L2732" s="10">
        <f>IFERROR(__xludf.DUMMYFUNCTION("""COMPUTED_VALUE"""),752.0)</f>
        <v>752</v>
      </c>
      <c r="M2732" s="5">
        <f>IFERROR(__xludf.DUMMYFUNCTION("""COMPUTED_VALUE"""),1.0)</f>
        <v>1</v>
      </c>
    </row>
    <row r="2733">
      <c r="A2733" s="10" t="str">
        <f>IFERROR(__xludf.DUMMYFUNCTION("""COMPUTED_VALUE"""),"鈴木千秋")</f>
        <v>鈴木千秋</v>
      </c>
      <c r="B2733" s="10">
        <f>IFERROR(__xludf.DUMMYFUNCTION("""COMPUTED_VALUE"""),307.0)</f>
        <v>307</v>
      </c>
      <c r="C2733" s="10">
        <f>IFERROR(__xludf.DUMMYFUNCTION("""COMPUTED_VALUE"""),3663.0)</f>
        <v>3663</v>
      </c>
      <c r="D2733" s="5">
        <f>IFERROR(__xludf.DUMMYFUNCTION("""COMPUTED_VALUE"""),0.4007747318235995)</f>
        <v>0.4007747318</v>
      </c>
      <c r="E2733" s="5">
        <f>IFERROR(__xludf.DUMMYFUNCTION("""COMPUTED_VALUE"""),0.12783075089392135)</f>
        <v>0.1278307509</v>
      </c>
      <c r="F2733" s="5">
        <f>IFERROR(__xludf.DUMMYFUNCTION("""COMPUTED_VALUE"""),0.2270560190703218)</f>
        <v>0.2270560191</v>
      </c>
      <c r="G2733" s="5">
        <f>IFERROR(__xludf.DUMMYFUNCTION("""COMPUTED_VALUE"""),0.16895113230035758)</f>
        <v>0.1689511323</v>
      </c>
      <c r="H2733" s="5">
        <f>IFERROR(__xludf.DUMMYFUNCTION("""COMPUTED_VALUE"""),0.5958005249343832)</f>
        <v>0.5958005249</v>
      </c>
      <c r="I2733" s="11">
        <f>IFERROR(__xludf.DUMMYFUNCTION("""COMPUTED_VALUE"""),5628.608923884514)</f>
        <v>5628.608924</v>
      </c>
      <c r="J2733" s="10">
        <f>IFERROR(__xludf.DUMMYFUNCTION("""COMPUTED_VALUE"""),1.0)</f>
        <v>1</v>
      </c>
      <c r="K2733" s="5">
        <f>IFERROR(__xludf.DUMMYFUNCTION("""COMPUTED_VALUE"""),0.003257328990228013)</f>
        <v>0.00325732899</v>
      </c>
      <c r="L2733" s="10">
        <f>IFERROR(__xludf.DUMMYFUNCTION("""COMPUTED_VALUE"""),134.0)</f>
        <v>134</v>
      </c>
      <c r="M2733" s="5">
        <f>IFERROR(__xludf.DUMMYFUNCTION("""COMPUTED_VALUE"""),0.4364820846905538)</f>
        <v>0.4364820847</v>
      </c>
    </row>
    <row r="2734">
      <c r="A2734" s="10" t="str">
        <f>IFERROR(__xludf.DUMMYFUNCTION("""COMPUTED_VALUE"""),"★風の谷★")</f>
        <v>★風の谷★</v>
      </c>
      <c r="B2734" s="10">
        <f>IFERROR(__xludf.DUMMYFUNCTION("""COMPUTED_VALUE"""),2622.0)</f>
        <v>2622</v>
      </c>
      <c r="C2734" s="10">
        <f>IFERROR(__xludf.DUMMYFUNCTION("""COMPUTED_VALUE"""),30761.0)</f>
        <v>30761</v>
      </c>
      <c r="D2734" s="5">
        <f>IFERROR(__xludf.DUMMYFUNCTION("""COMPUTED_VALUE"""),0.3418387291659263)</f>
        <v>0.3418387292</v>
      </c>
      <c r="E2734" s="5">
        <f>IFERROR(__xludf.DUMMYFUNCTION("""COMPUTED_VALUE"""),0.12782970254806497)</f>
        <v>0.1278297025</v>
      </c>
      <c r="F2734" s="5">
        <f>IFERROR(__xludf.DUMMYFUNCTION("""COMPUTED_VALUE"""),0.21766942677422793)</f>
        <v>0.2176694268</v>
      </c>
      <c r="G2734" s="5">
        <f>IFERROR(__xludf.DUMMYFUNCTION("""COMPUTED_VALUE"""),0.17964391058673015)</f>
        <v>0.1796439106</v>
      </c>
      <c r="H2734" s="5">
        <f>IFERROR(__xludf.DUMMYFUNCTION("""COMPUTED_VALUE"""),0.6)</f>
        <v>0.6</v>
      </c>
      <c r="I2734" s="11">
        <f>IFERROR(__xludf.DUMMYFUNCTION("""COMPUTED_VALUE"""),5606.9224489795915)</f>
        <v>5606.922449</v>
      </c>
      <c r="J2734" s="10">
        <f>IFERROR(__xludf.DUMMYFUNCTION("""COMPUTED_VALUE"""),4.0)</f>
        <v>4</v>
      </c>
      <c r="K2734" s="5">
        <f>IFERROR(__xludf.DUMMYFUNCTION("""COMPUTED_VALUE"""),0.0015255530129672007)</f>
        <v>0.001525553013</v>
      </c>
      <c r="L2734" s="10">
        <f>IFERROR(__xludf.DUMMYFUNCTION("""COMPUTED_VALUE"""),1212.0)</f>
        <v>1212</v>
      </c>
      <c r="M2734" s="5">
        <f>IFERROR(__xludf.DUMMYFUNCTION("""COMPUTED_VALUE"""),0.4622425629290618)</f>
        <v>0.4622425629</v>
      </c>
    </row>
    <row r="2735">
      <c r="A2735" s="10" t="str">
        <f>IFERROR(__xludf.DUMMYFUNCTION("""COMPUTED_VALUE"""),"GЁЙIUS")</f>
        <v>GЁЙIUS</v>
      </c>
      <c r="B2735" s="10">
        <f>IFERROR(__xludf.DUMMYFUNCTION("""COMPUTED_VALUE"""),359.0)</f>
        <v>359</v>
      </c>
      <c r="C2735" s="10">
        <f>IFERROR(__xludf.DUMMYFUNCTION("""COMPUTED_VALUE"""),4247.0)</f>
        <v>4247</v>
      </c>
      <c r="D2735" s="5">
        <f>IFERROR(__xludf.DUMMYFUNCTION("""COMPUTED_VALUE"""),0.4094650205761317)</f>
        <v>0.4094650206</v>
      </c>
      <c r="E2735" s="5">
        <f>IFERROR(__xludf.DUMMYFUNCTION("""COMPUTED_VALUE"""),0.12782921810699588)</f>
        <v>0.1278292181</v>
      </c>
      <c r="F2735" s="5">
        <f>IFERROR(__xludf.DUMMYFUNCTION("""COMPUTED_VALUE"""),0.22119341563786007)</f>
        <v>0.2211934156</v>
      </c>
      <c r="G2735" s="5">
        <f>IFERROR(__xludf.DUMMYFUNCTION("""COMPUTED_VALUE"""),0.16435185185185186)</f>
        <v>0.1643518519</v>
      </c>
      <c r="H2735" s="5">
        <f>IFERROR(__xludf.DUMMYFUNCTION("""COMPUTED_VALUE"""),0.6197674418604651)</f>
        <v>0.6197674419</v>
      </c>
      <c r="I2735" s="11">
        <f>IFERROR(__xludf.DUMMYFUNCTION("""COMPUTED_VALUE"""),5349.6511627906975)</f>
        <v>5349.651163</v>
      </c>
      <c r="J2735" s="10">
        <f>IFERROR(__xludf.DUMMYFUNCTION("""COMPUTED_VALUE"""),0.0)</f>
        <v>0</v>
      </c>
      <c r="K2735" s="5">
        <f>IFERROR(__xludf.DUMMYFUNCTION("""COMPUTED_VALUE"""),0.0)</f>
        <v>0</v>
      </c>
      <c r="L2735" s="10">
        <f>IFERROR(__xludf.DUMMYFUNCTION("""COMPUTED_VALUE"""),358.0)</f>
        <v>358</v>
      </c>
      <c r="M2735" s="5">
        <f>IFERROR(__xludf.DUMMYFUNCTION("""COMPUTED_VALUE"""),0.9972144846796658)</f>
        <v>0.9972144847</v>
      </c>
    </row>
    <row r="2736">
      <c r="A2736" s="10" t="str">
        <f>IFERROR(__xludf.DUMMYFUNCTION("""COMPUTED_VALUE"""),"次元干渉")</f>
        <v>次元干渉</v>
      </c>
      <c r="B2736" s="10">
        <f>IFERROR(__xludf.DUMMYFUNCTION("""COMPUTED_VALUE"""),313.0)</f>
        <v>313</v>
      </c>
      <c r="C2736" s="10">
        <f>IFERROR(__xludf.DUMMYFUNCTION("""COMPUTED_VALUE"""),3677.0)</f>
        <v>3677</v>
      </c>
      <c r="D2736" s="5">
        <f>IFERROR(__xludf.DUMMYFUNCTION("""COMPUTED_VALUE"""),0.2972651605231867)</f>
        <v>0.2972651605</v>
      </c>
      <c r="E2736" s="5">
        <f>IFERROR(__xludf.DUMMYFUNCTION("""COMPUTED_VALUE"""),0.1278240190249703)</f>
        <v>0.127824019</v>
      </c>
      <c r="F2736" s="5">
        <f>IFERROR(__xludf.DUMMYFUNCTION("""COMPUTED_VALUE"""),0.19500594530321047)</f>
        <v>0.1950059453</v>
      </c>
      <c r="G2736" s="5">
        <f>IFERROR(__xludf.DUMMYFUNCTION("""COMPUTED_VALUE"""),0.16825208085612367)</f>
        <v>0.1682520809</v>
      </c>
      <c r="H2736" s="5">
        <f>IFERROR(__xludf.DUMMYFUNCTION("""COMPUTED_VALUE"""),0.5777439024390244)</f>
        <v>0.5777439024</v>
      </c>
      <c r="I2736" s="11">
        <f>IFERROR(__xludf.DUMMYFUNCTION("""COMPUTED_VALUE"""),6066.158536585366)</f>
        <v>6066.158537</v>
      </c>
      <c r="J2736" s="10">
        <f>IFERROR(__xludf.DUMMYFUNCTION("""COMPUTED_VALUE"""),0.0)</f>
        <v>0</v>
      </c>
      <c r="K2736" s="5">
        <f>IFERROR(__xludf.DUMMYFUNCTION("""COMPUTED_VALUE"""),0.0)</f>
        <v>0</v>
      </c>
      <c r="L2736" s="10">
        <f>IFERROR(__xludf.DUMMYFUNCTION("""COMPUTED_VALUE"""),313.0)</f>
        <v>313</v>
      </c>
      <c r="M2736" s="5">
        <f>IFERROR(__xludf.DUMMYFUNCTION("""COMPUTED_VALUE"""),1.0)</f>
        <v>1</v>
      </c>
    </row>
    <row r="2737">
      <c r="A2737" s="10" t="str">
        <f>IFERROR(__xludf.DUMMYFUNCTION("""COMPUTED_VALUE"""),"メタルはまっち☆")</f>
        <v>メタルはまっち☆</v>
      </c>
      <c r="B2737" s="10">
        <f>IFERROR(__xludf.DUMMYFUNCTION("""COMPUTED_VALUE"""),112.0)</f>
        <v>112</v>
      </c>
      <c r="C2737" s="10">
        <f>IFERROR(__xludf.DUMMYFUNCTION("""COMPUTED_VALUE"""),1309.0)</f>
        <v>1309</v>
      </c>
      <c r="D2737" s="5">
        <f>IFERROR(__xludf.DUMMYFUNCTION("""COMPUTED_VALUE"""),0.4243943191311612)</f>
        <v>0.4243943191</v>
      </c>
      <c r="E2737" s="5">
        <f>IFERROR(__xludf.DUMMYFUNCTION("""COMPUTED_VALUE"""),0.12781954887218044)</f>
        <v>0.1278195489</v>
      </c>
      <c r="F2737" s="5">
        <f>IFERROR(__xludf.DUMMYFUNCTION("""COMPUTED_VALUE"""),0.24227234753550542)</f>
        <v>0.2422723475</v>
      </c>
      <c r="G2737" s="5">
        <f>IFERROR(__xludf.DUMMYFUNCTION("""COMPUTED_VALUE"""),0.17042606516290726)</f>
        <v>0.1704260652</v>
      </c>
      <c r="H2737" s="5">
        <f>IFERROR(__xludf.DUMMYFUNCTION("""COMPUTED_VALUE"""),0.6172413793103448)</f>
        <v>0.6172413793</v>
      </c>
      <c r="I2737" s="11">
        <f>IFERROR(__xludf.DUMMYFUNCTION("""COMPUTED_VALUE"""),5496.206896551724)</f>
        <v>5496.206897</v>
      </c>
      <c r="J2737" s="10">
        <f>IFERROR(__xludf.DUMMYFUNCTION("""COMPUTED_VALUE"""),0.0)</f>
        <v>0</v>
      </c>
      <c r="K2737" s="5">
        <f>IFERROR(__xludf.DUMMYFUNCTION("""COMPUTED_VALUE"""),0.0)</f>
        <v>0</v>
      </c>
      <c r="L2737" s="10">
        <f>IFERROR(__xludf.DUMMYFUNCTION("""COMPUTED_VALUE"""),112.0)</f>
        <v>112</v>
      </c>
      <c r="M2737" s="5">
        <f>IFERROR(__xludf.DUMMYFUNCTION("""COMPUTED_VALUE"""),1.0)</f>
        <v>1</v>
      </c>
    </row>
    <row r="2738">
      <c r="A2738" s="10" t="str">
        <f>IFERROR(__xludf.DUMMYFUNCTION("""COMPUTED_VALUE"""),"胃と腸")</f>
        <v>胃と腸</v>
      </c>
      <c r="B2738" s="10">
        <f>IFERROR(__xludf.DUMMYFUNCTION("""COMPUTED_VALUE"""),1817.0)</f>
        <v>1817</v>
      </c>
      <c r="C2738" s="10">
        <f>IFERROR(__xludf.DUMMYFUNCTION("""COMPUTED_VALUE"""),21298.0)</f>
        <v>21298</v>
      </c>
      <c r="D2738" s="5">
        <f>IFERROR(__xludf.DUMMYFUNCTION("""COMPUTED_VALUE"""),0.3556798932293003)</f>
        <v>0.3556798932</v>
      </c>
      <c r="E2738" s="5">
        <f>IFERROR(__xludf.DUMMYFUNCTION("""COMPUTED_VALUE"""),0.12781684718443612)</f>
        <v>0.1278168472</v>
      </c>
      <c r="F2738" s="5">
        <f>IFERROR(__xludf.DUMMYFUNCTION("""COMPUTED_VALUE"""),0.21497869719213591)</f>
        <v>0.2149786972</v>
      </c>
      <c r="G2738" s="5">
        <f>IFERROR(__xludf.DUMMYFUNCTION("""COMPUTED_VALUE"""),0.19475386273805245)</f>
        <v>0.1947538627</v>
      </c>
      <c r="H2738" s="5">
        <f>IFERROR(__xludf.DUMMYFUNCTION("""COMPUTED_VALUE"""),0.5842884431709646)</f>
        <v>0.5842884432</v>
      </c>
      <c r="I2738" s="11">
        <f>IFERROR(__xludf.DUMMYFUNCTION("""COMPUTED_VALUE"""),5891.141356255969)</f>
        <v>5891.141356</v>
      </c>
      <c r="J2738" s="10">
        <f>IFERROR(__xludf.DUMMYFUNCTION("""COMPUTED_VALUE"""),2.0)</f>
        <v>2</v>
      </c>
      <c r="K2738" s="5">
        <f>IFERROR(__xludf.DUMMYFUNCTION("""COMPUTED_VALUE"""),0.001100715465052284)</f>
        <v>0.001100715465</v>
      </c>
      <c r="L2738" s="10">
        <f>IFERROR(__xludf.DUMMYFUNCTION("""COMPUTED_VALUE"""),1731.0)</f>
        <v>1731</v>
      </c>
      <c r="M2738" s="5">
        <f>IFERROR(__xludf.DUMMYFUNCTION("""COMPUTED_VALUE"""),0.9526692350027518)</f>
        <v>0.952669235</v>
      </c>
    </row>
    <row r="2739">
      <c r="A2739" s="10" t="str">
        <f>IFERROR(__xludf.DUMMYFUNCTION("""COMPUTED_VALUE"""),"まきし(本垢1)")</f>
        <v>まきし(本垢1)</v>
      </c>
      <c r="B2739" s="10">
        <f>IFERROR(__xludf.DUMMYFUNCTION("""COMPUTED_VALUE"""),714.0)</f>
        <v>714</v>
      </c>
      <c r="C2739" s="10">
        <f>IFERROR(__xludf.DUMMYFUNCTION("""COMPUTED_VALUE"""),8264.0)</f>
        <v>8264</v>
      </c>
      <c r="D2739" s="5">
        <f>IFERROR(__xludf.DUMMYFUNCTION("""COMPUTED_VALUE"""),0.3756291390728477)</f>
        <v>0.3756291391</v>
      </c>
      <c r="E2739" s="5">
        <f>IFERROR(__xludf.DUMMYFUNCTION("""COMPUTED_VALUE"""),0.12781456953642384)</f>
        <v>0.1278145695</v>
      </c>
      <c r="F2739" s="5">
        <f>IFERROR(__xludf.DUMMYFUNCTION("""COMPUTED_VALUE"""),0.20490066225165562)</f>
        <v>0.2049006623</v>
      </c>
      <c r="G2739" s="5">
        <f>IFERROR(__xludf.DUMMYFUNCTION("""COMPUTED_VALUE"""),0.15867549668874173)</f>
        <v>0.1586754967</v>
      </c>
      <c r="H2739" s="5">
        <f>IFERROR(__xludf.DUMMYFUNCTION("""COMPUTED_VALUE"""),0.6011635423400129)</f>
        <v>0.6011635423</v>
      </c>
      <c r="I2739" s="11">
        <f>IFERROR(__xludf.DUMMYFUNCTION("""COMPUTED_VALUE"""),5857.272139625081)</f>
        <v>5857.27214</v>
      </c>
      <c r="J2739" s="10">
        <f>IFERROR(__xludf.DUMMYFUNCTION("""COMPUTED_VALUE"""),0.0)</f>
        <v>0</v>
      </c>
      <c r="K2739" s="5">
        <f>IFERROR(__xludf.DUMMYFUNCTION("""COMPUTED_VALUE"""),0.0)</f>
        <v>0</v>
      </c>
      <c r="L2739" s="10">
        <f>IFERROR(__xludf.DUMMYFUNCTION("""COMPUTED_VALUE"""),714.0)</f>
        <v>714</v>
      </c>
      <c r="M2739" s="5">
        <f>IFERROR(__xludf.DUMMYFUNCTION("""COMPUTED_VALUE"""),1.0)</f>
        <v>1</v>
      </c>
    </row>
    <row r="2740">
      <c r="A2740" s="10" t="str">
        <f>IFERROR(__xludf.DUMMYFUNCTION("""COMPUTED_VALUE"""),"織衛")</f>
        <v>織衛</v>
      </c>
      <c r="B2740" s="10">
        <f>IFERROR(__xludf.DUMMYFUNCTION("""COMPUTED_VALUE"""),186.0)</f>
        <v>186</v>
      </c>
      <c r="C2740" s="10">
        <f>IFERROR(__xludf.DUMMYFUNCTION("""COMPUTED_VALUE"""),2275.0)</f>
        <v>2275</v>
      </c>
      <c r="D2740" s="5">
        <f>IFERROR(__xludf.DUMMYFUNCTION("""COMPUTED_VALUE"""),0.3188128291048348)</f>
        <v>0.3188128291</v>
      </c>
      <c r="E2740" s="5">
        <f>IFERROR(__xludf.DUMMYFUNCTION("""COMPUTED_VALUE"""),0.12781235040689326)</f>
        <v>0.1278123504</v>
      </c>
      <c r="F2740" s="5">
        <f>IFERROR(__xludf.DUMMYFUNCTION("""COMPUTED_VALUE"""),0.2015318334131163)</f>
        <v>0.2015318334</v>
      </c>
      <c r="G2740" s="5">
        <f>IFERROR(__xludf.DUMMYFUNCTION("""COMPUTED_VALUE"""),0.15509813307802778)</f>
        <v>0.1550981331</v>
      </c>
      <c r="H2740" s="5">
        <f>IFERROR(__xludf.DUMMYFUNCTION("""COMPUTED_VALUE"""),0.5890736342042755)</f>
        <v>0.5890736342</v>
      </c>
      <c r="I2740" s="11">
        <f>IFERROR(__xludf.DUMMYFUNCTION("""COMPUTED_VALUE"""),5802.612826603326)</f>
        <v>5802.612827</v>
      </c>
      <c r="J2740" s="10">
        <f>IFERROR(__xludf.DUMMYFUNCTION("""COMPUTED_VALUE"""),0.0)</f>
        <v>0</v>
      </c>
      <c r="K2740" s="5">
        <f>IFERROR(__xludf.DUMMYFUNCTION("""COMPUTED_VALUE"""),0.0)</f>
        <v>0</v>
      </c>
      <c r="L2740" s="10">
        <f>IFERROR(__xludf.DUMMYFUNCTION("""COMPUTED_VALUE"""),186.0)</f>
        <v>186</v>
      </c>
      <c r="M2740" s="5">
        <f>IFERROR(__xludf.DUMMYFUNCTION("""COMPUTED_VALUE"""),1.0)</f>
        <v>1</v>
      </c>
    </row>
    <row r="2741">
      <c r="A2741" s="10" t="str">
        <f>IFERROR(__xludf.DUMMYFUNCTION("""COMPUTED_VALUE"""),"ruuruu")</f>
        <v>ruuruu</v>
      </c>
      <c r="B2741" s="10">
        <f>IFERROR(__xludf.DUMMYFUNCTION("""COMPUTED_VALUE"""),278.0)</f>
        <v>278</v>
      </c>
      <c r="C2741" s="10">
        <f>IFERROR(__xludf.DUMMYFUNCTION("""COMPUTED_VALUE"""),3220.0)</f>
        <v>3220</v>
      </c>
      <c r="D2741" s="5">
        <f>IFERROR(__xludf.DUMMYFUNCTION("""COMPUTED_VALUE"""),0.3908905506458192)</f>
        <v>0.3908905506</v>
      </c>
      <c r="E2741" s="5">
        <f>IFERROR(__xludf.DUMMYFUNCTION("""COMPUTED_VALUE"""),0.12780421481985044)</f>
        <v>0.1278042148</v>
      </c>
      <c r="F2741" s="5">
        <f>IFERROR(__xludf.DUMMYFUNCTION("""COMPUTED_VALUE"""),0.20190346702923181)</f>
        <v>0.201903467</v>
      </c>
      <c r="G2741" s="5">
        <f>IFERROR(__xludf.DUMMYFUNCTION("""COMPUTED_VALUE"""),0.1617946974847043)</f>
        <v>0.1617946975</v>
      </c>
      <c r="H2741" s="5">
        <f>IFERROR(__xludf.DUMMYFUNCTION("""COMPUTED_VALUE"""),0.5875420875420876)</f>
        <v>0.5875420875</v>
      </c>
      <c r="I2741" s="11">
        <f>IFERROR(__xludf.DUMMYFUNCTION("""COMPUTED_VALUE"""),5462.7946127946125)</f>
        <v>5462.794613</v>
      </c>
      <c r="J2741" s="10">
        <f>IFERROR(__xludf.DUMMYFUNCTION("""COMPUTED_VALUE"""),1.0)</f>
        <v>1</v>
      </c>
      <c r="K2741" s="5">
        <f>IFERROR(__xludf.DUMMYFUNCTION("""COMPUTED_VALUE"""),0.0035971223021582736)</f>
        <v>0.003597122302</v>
      </c>
      <c r="L2741" s="10">
        <f>IFERROR(__xludf.DUMMYFUNCTION("""COMPUTED_VALUE"""),278.0)</f>
        <v>278</v>
      </c>
      <c r="M2741" s="5">
        <f>IFERROR(__xludf.DUMMYFUNCTION("""COMPUTED_VALUE"""),1.0)</f>
        <v>1</v>
      </c>
    </row>
    <row r="2742">
      <c r="A2742" s="10" t="str">
        <f>IFERROR(__xludf.DUMMYFUNCTION("""COMPUTED_VALUE"""),"新生くさりん")</f>
        <v>新生くさりん</v>
      </c>
      <c r="B2742" s="10">
        <f>IFERROR(__xludf.DUMMYFUNCTION("""COMPUTED_VALUE"""),267.0)</f>
        <v>267</v>
      </c>
      <c r="C2742" s="10">
        <f>IFERROR(__xludf.DUMMYFUNCTION("""COMPUTED_VALUE"""),3217.0)</f>
        <v>3217</v>
      </c>
      <c r="D2742" s="5">
        <f>IFERROR(__xludf.DUMMYFUNCTION("""COMPUTED_VALUE"""),0.4125423728813559)</f>
        <v>0.4125423729</v>
      </c>
      <c r="E2742" s="5">
        <f>IFERROR(__xludf.DUMMYFUNCTION("""COMPUTED_VALUE"""),0.12779661016949154)</f>
        <v>0.1277966102</v>
      </c>
      <c r="F2742" s="5">
        <f>IFERROR(__xludf.DUMMYFUNCTION("""COMPUTED_VALUE"""),0.2)</f>
        <v>0.2</v>
      </c>
      <c r="G2742" s="5">
        <f>IFERROR(__xludf.DUMMYFUNCTION("""COMPUTED_VALUE"""),0.14542372881355933)</f>
        <v>0.1454237288</v>
      </c>
      <c r="H2742" s="5">
        <f>IFERROR(__xludf.DUMMYFUNCTION("""COMPUTED_VALUE"""),0.6101694915254238)</f>
        <v>0.6101694915</v>
      </c>
      <c r="I2742" s="11">
        <f>IFERROR(__xludf.DUMMYFUNCTION("""COMPUTED_VALUE"""),5467.118644067797)</f>
        <v>5467.118644</v>
      </c>
      <c r="J2742" s="10">
        <f>IFERROR(__xludf.DUMMYFUNCTION("""COMPUTED_VALUE"""),0.0)</f>
        <v>0</v>
      </c>
      <c r="K2742" s="5">
        <f>IFERROR(__xludf.DUMMYFUNCTION("""COMPUTED_VALUE"""),0.0)</f>
        <v>0</v>
      </c>
      <c r="L2742" s="10">
        <f>IFERROR(__xludf.DUMMYFUNCTION("""COMPUTED_VALUE"""),0.0)</f>
        <v>0</v>
      </c>
      <c r="M2742" s="5">
        <f>IFERROR(__xludf.DUMMYFUNCTION("""COMPUTED_VALUE"""),0.0)</f>
        <v>0</v>
      </c>
    </row>
    <row r="2743">
      <c r="A2743" s="10" t="str">
        <f>IFERROR(__xludf.DUMMYFUNCTION("""COMPUTED_VALUE"""),"穴井我聞")</f>
        <v>穴井我聞</v>
      </c>
      <c r="B2743" s="10">
        <f>IFERROR(__xludf.DUMMYFUNCTION("""COMPUTED_VALUE"""),530.0)</f>
        <v>530</v>
      </c>
      <c r="C2743" s="10">
        <f>IFERROR(__xludf.DUMMYFUNCTION("""COMPUTED_VALUE"""),6157.0)</f>
        <v>6157</v>
      </c>
      <c r="D2743" s="5">
        <f>IFERROR(__xludf.DUMMYFUNCTION("""COMPUTED_VALUE"""),0.26852674604585036)</f>
        <v>0.268526746</v>
      </c>
      <c r="E2743" s="5">
        <f>IFERROR(__xludf.DUMMYFUNCTION("""COMPUTED_VALUE"""),0.12777679047449797)</f>
        <v>0.1277767905</v>
      </c>
      <c r="F2743" s="5">
        <f>IFERROR(__xludf.DUMMYFUNCTION("""COMPUTED_VALUE"""),0.19655233694686333)</f>
        <v>0.1965523369</v>
      </c>
      <c r="G2743" s="5">
        <f>IFERROR(__xludf.DUMMYFUNCTION("""COMPUTED_VALUE"""),0.18784432201883774)</f>
        <v>0.187844322</v>
      </c>
      <c r="H2743" s="5">
        <f>IFERROR(__xludf.DUMMYFUNCTION("""COMPUTED_VALUE"""),0.5795660036166366)</f>
        <v>0.5795660036</v>
      </c>
      <c r="I2743" s="11">
        <f>IFERROR(__xludf.DUMMYFUNCTION("""COMPUTED_VALUE"""),5899.367088607595)</f>
        <v>5899.367089</v>
      </c>
      <c r="J2743" s="10">
        <f>IFERROR(__xludf.DUMMYFUNCTION("""COMPUTED_VALUE"""),1.0)</f>
        <v>1</v>
      </c>
      <c r="K2743" s="5">
        <f>IFERROR(__xludf.DUMMYFUNCTION("""COMPUTED_VALUE"""),0.0018867924528301887)</f>
        <v>0.001886792453</v>
      </c>
      <c r="L2743" s="10">
        <f>IFERROR(__xludf.DUMMYFUNCTION("""COMPUTED_VALUE"""),530.0)</f>
        <v>530</v>
      </c>
      <c r="M2743" s="5">
        <f>IFERROR(__xludf.DUMMYFUNCTION("""COMPUTED_VALUE"""),1.0)</f>
        <v>1</v>
      </c>
    </row>
    <row r="2744">
      <c r="A2744" s="10" t="str">
        <f>IFERROR(__xludf.DUMMYFUNCTION("""COMPUTED_VALUE"""),"真冬の向日葵")</f>
        <v>真冬の向日葵</v>
      </c>
      <c r="B2744" s="10">
        <f>IFERROR(__xludf.DUMMYFUNCTION("""COMPUTED_VALUE"""),350.0)</f>
        <v>350</v>
      </c>
      <c r="C2744" s="10">
        <f>IFERROR(__xludf.DUMMYFUNCTION("""COMPUTED_VALUE"""),4185.0)</f>
        <v>4185</v>
      </c>
      <c r="D2744" s="5">
        <f>IFERROR(__xludf.DUMMYFUNCTION("""COMPUTED_VALUE"""),0.34028683181225555)</f>
        <v>0.3402868318</v>
      </c>
      <c r="E2744" s="5">
        <f>IFERROR(__xludf.DUMMYFUNCTION("""COMPUTED_VALUE"""),0.12777053455019557)</f>
        <v>0.1277705346</v>
      </c>
      <c r="F2744" s="5">
        <f>IFERROR(__xludf.DUMMYFUNCTION("""COMPUTED_VALUE"""),0.20834419817470665)</f>
        <v>0.2083441982</v>
      </c>
      <c r="G2744" s="5">
        <f>IFERROR(__xludf.DUMMYFUNCTION("""COMPUTED_VALUE"""),0.18983050847457628)</f>
        <v>0.1898305085</v>
      </c>
      <c r="H2744" s="5">
        <f>IFERROR(__xludf.DUMMYFUNCTION("""COMPUTED_VALUE"""),0.5682102628285357)</f>
        <v>0.5682102628</v>
      </c>
      <c r="I2744" s="11">
        <f>IFERROR(__xludf.DUMMYFUNCTION("""COMPUTED_VALUE"""),5657.571964956195)</f>
        <v>5657.571965</v>
      </c>
      <c r="J2744" s="10">
        <f>IFERROR(__xludf.DUMMYFUNCTION("""COMPUTED_VALUE"""),0.0)</f>
        <v>0</v>
      </c>
      <c r="K2744" s="5">
        <f>IFERROR(__xludf.DUMMYFUNCTION("""COMPUTED_VALUE"""),0.0)</f>
        <v>0</v>
      </c>
      <c r="L2744" s="10">
        <f>IFERROR(__xludf.DUMMYFUNCTION("""COMPUTED_VALUE"""),350.0)</f>
        <v>350</v>
      </c>
      <c r="M2744" s="5">
        <f>IFERROR(__xludf.DUMMYFUNCTION("""COMPUTED_VALUE"""),1.0)</f>
        <v>1</v>
      </c>
    </row>
    <row r="2745">
      <c r="A2745" s="10" t="str">
        <f>IFERROR(__xludf.DUMMYFUNCTION("""COMPUTED_VALUE"""),"mizuyou")</f>
        <v>mizuyou</v>
      </c>
      <c r="B2745" s="10">
        <f>IFERROR(__xludf.DUMMYFUNCTION("""COMPUTED_VALUE"""),1559.0)</f>
        <v>1559</v>
      </c>
      <c r="C2745" s="10">
        <f>IFERROR(__xludf.DUMMYFUNCTION("""COMPUTED_VALUE"""),18317.0)</f>
        <v>18317</v>
      </c>
      <c r="D2745" s="5">
        <f>IFERROR(__xludf.DUMMYFUNCTION("""COMPUTED_VALUE"""),0.2864303616183315)</f>
        <v>0.2864303616</v>
      </c>
      <c r="E2745" s="5">
        <f>IFERROR(__xludf.DUMMYFUNCTION("""COMPUTED_VALUE"""),0.12775987588017662)</f>
        <v>0.1277598759</v>
      </c>
      <c r="F2745" s="5">
        <f>IFERROR(__xludf.DUMMYFUNCTION("""COMPUTED_VALUE"""),0.1971595655806182)</f>
        <v>0.1971595656</v>
      </c>
      <c r="G2745" s="5">
        <f>IFERROR(__xludf.DUMMYFUNCTION("""COMPUTED_VALUE"""),0.17919799498746866)</f>
        <v>0.179197995</v>
      </c>
      <c r="H2745" s="5">
        <f>IFERROR(__xludf.DUMMYFUNCTION("""COMPUTED_VALUE"""),0.5907990314769975)</f>
        <v>0.5907990315</v>
      </c>
      <c r="I2745" s="11">
        <f>IFERROR(__xludf.DUMMYFUNCTION("""COMPUTED_VALUE"""),6123.062953995157)</f>
        <v>6123.062954</v>
      </c>
      <c r="J2745" s="10">
        <f>IFERROR(__xludf.DUMMYFUNCTION("""COMPUTED_VALUE"""),1.0)</f>
        <v>1</v>
      </c>
      <c r="K2745" s="5">
        <f>IFERROR(__xludf.DUMMYFUNCTION("""COMPUTED_VALUE"""),6.414368184733803E-4)</f>
        <v>0.0006414368185</v>
      </c>
      <c r="L2745" s="10">
        <f>IFERROR(__xludf.DUMMYFUNCTION("""COMPUTED_VALUE"""),1559.0)</f>
        <v>1559</v>
      </c>
      <c r="M2745" s="5">
        <f>IFERROR(__xludf.DUMMYFUNCTION("""COMPUTED_VALUE"""),1.0)</f>
        <v>1</v>
      </c>
    </row>
    <row r="2746">
      <c r="A2746" s="10" t="str">
        <f>IFERROR(__xludf.DUMMYFUNCTION("""COMPUTED_VALUE"""),"TLkey")</f>
        <v>TLkey</v>
      </c>
      <c r="B2746" s="10">
        <f>IFERROR(__xludf.DUMMYFUNCTION("""COMPUTED_VALUE"""),332.0)</f>
        <v>332</v>
      </c>
      <c r="C2746" s="10">
        <f>IFERROR(__xludf.DUMMYFUNCTION("""COMPUTED_VALUE"""),3917.0)</f>
        <v>3917</v>
      </c>
      <c r="D2746" s="5">
        <f>IFERROR(__xludf.DUMMYFUNCTION("""COMPUTED_VALUE"""),0.29483960948396093)</f>
        <v>0.2948396095</v>
      </c>
      <c r="E2746" s="5">
        <f>IFERROR(__xludf.DUMMYFUNCTION("""COMPUTED_VALUE"""),0.1277545327754533)</f>
        <v>0.1277545328</v>
      </c>
      <c r="F2746" s="5">
        <f>IFERROR(__xludf.DUMMYFUNCTION("""COMPUTED_VALUE"""),0.20641562064156208)</f>
        <v>0.2064156206</v>
      </c>
      <c r="G2746" s="5">
        <f>IFERROR(__xludf.DUMMYFUNCTION("""COMPUTED_VALUE"""),0.17768479776847979)</f>
        <v>0.1776847978</v>
      </c>
      <c r="H2746" s="5">
        <f>IFERROR(__xludf.DUMMYFUNCTION("""COMPUTED_VALUE"""),0.5891891891891892)</f>
        <v>0.5891891892</v>
      </c>
      <c r="I2746" s="11">
        <f>IFERROR(__xludf.DUMMYFUNCTION("""COMPUTED_VALUE"""),5694.594594594595)</f>
        <v>5694.594595</v>
      </c>
      <c r="J2746" s="10">
        <f>IFERROR(__xludf.DUMMYFUNCTION("""COMPUTED_VALUE"""),2.0)</f>
        <v>2</v>
      </c>
      <c r="K2746" s="5">
        <f>IFERROR(__xludf.DUMMYFUNCTION("""COMPUTED_VALUE"""),0.006024096385542169)</f>
        <v>0.006024096386</v>
      </c>
      <c r="L2746" s="10">
        <f>IFERROR(__xludf.DUMMYFUNCTION("""COMPUTED_VALUE"""),332.0)</f>
        <v>332</v>
      </c>
      <c r="M2746" s="5">
        <f>IFERROR(__xludf.DUMMYFUNCTION("""COMPUTED_VALUE"""),1.0)</f>
        <v>1</v>
      </c>
    </row>
    <row r="2747">
      <c r="A2747" s="10" t="str">
        <f>IFERROR(__xludf.DUMMYFUNCTION("""COMPUTED_VALUE"""),"見習いウサギ")</f>
        <v>見習いウサギ</v>
      </c>
      <c r="B2747" s="10">
        <f>IFERROR(__xludf.DUMMYFUNCTION("""COMPUTED_VALUE"""),102.0)</f>
        <v>102</v>
      </c>
      <c r="C2747" s="10">
        <f>IFERROR(__xludf.DUMMYFUNCTION("""COMPUTED_VALUE"""),1237.0)</f>
        <v>1237</v>
      </c>
      <c r="D2747" s="5">
        <f>IFERROR(__xludf.DUMMYFUNCTION("""COMPUTED_VALUE"""),0.3920704845814978)</f>
        <v>0.3920704846</v>
      </c>
      <c r="E2747" s="5">
        <f>IFERROR(__xludf.DUMMYFUNCTION("""COMPUTED_VALUE"""),0.1277533039647577)</f>
        <v>0.127753304</v>
      </c>
      <c r="F2747" s="5">
        <f>IFERROR(__xludf.DUMMYFUNCTION("""COMPUTED_VALUE"""),0.21145374449339208)</f>
        <v>0.2114537445</v>
      </c>
      <c r="G2747" s="5">
        <f>IFERROR(__xludf.DUMMYFUNCTION("""COMPUTED_VALUE"""),0.16740088105726872)</f>
        <v>0.1674008811</v>
      </c>
      <c r="H2747" s="5">
        <f>IFERROR(__xludf.DUMMYFUNCTION("""COMPUTED_VALUE"""),0.6041666666666666)</f>
        <v>0.6041666667</v>
      </c>
      <c r="I2747" s="11">
        <f>IFERROR(__xludf.DUMMYFUNCTION("""COMPUTED_VALUE"""),5775.833333333333)</f>
        <v>5775.833333</v>
      </c>
      <c r="J2747" s="10">
        <f>IFERROR(__xludf.DUMMYFUNCTION("""COMPUTED_VALUE"""),0.0)</f>
        <v>0</v>
      </c>
      <c r="K2747" s="5">
        <f>IFERROR(__xludf.DUMMYFUNCTION("""COMPUTED_VALUE"""),0.0)</f>
        <v>0</v>
      </c>
      <c r="L2747" s="10">
        <f>IFERROR(__xludf.DUMMYFUNCTION("""COMPUTED_VALUE"""),102.0)</f>
        <v>102</v>
      </c>
      <c r="M2747" s="5">
        <f>IFERROR(__xludf.DUMMYFUNCTION("""COMPUTED_VALUE"""),1.0)</f>
        <v>1</v>
      </c>
    </row>
    <row r="2748">
      <c r="A2748" s="10" t="str">
        <f>IFERROR(__xludf.DUMMYFUNCTION("""COMPUTED_VALUE"""),"MACOTO")</f>
        <v>MACOTO</v>
      </c>
      <c r="B2748" s="10">
        <f>IFERROR(__xludf.DUMMYFUNCTION("""COMPUTED_VALUE"""),131.0)</f>
        <v>131</v>
      </c>
      <c r="C2748" s="10">
        <f>IFERROR(__xludf.DUMMYFUNCTION("""COMPUTED_VALUE"""),1540.0)</f>
        <v>1540</v>
      </c>
      <c r="D2748" s="5">
        <f>IFERROR(__xludf.DUMMYFUNCTION("""COMPUTED_VALUE"""),0.35628105039034774)</f>
        <v>0.3562810504</v>
      </c>
      <c r="E2748" s="5">
        <f>IFERROR(__xludf.DUMMYFUNCTION("""COMPUTED_VALUE"""),0.127750177430802)</f>
        <v>0.1277501774</v>
      </c>
      <c r="F2748" s="5">
        <f>IFERROR(__xludf.DUMMYFUNCTION("""COMPUTED_VALUE"""),0.20227111426543648)</f>
        <v>0.2022711143</v>
      </c>
      <c r="G2748" s="5">
        <f>IFERROR(__xludf.DUMMYFUNCTION("""COMPUTED_VALUE"""),0.18310858765081617)</f>
        <v>0.1831085877</v>
      </c>
      <c r="H2748" s="5">
        <f>IFERROR(__xludf.DUMMYFUNCTION("""COMPUTED_VALUE"""),0.6421052631578947)</f>
        <v>0.6421052632</v>
      </c>
      <c r="I2748" s="11">
        <f>IFERROR(__xludf.DUMMYFUNCTION("""COMPUTED_VALUE"""),5853.684210526316)</f>
        <v>5853.684211</v>
      </c>
      <c r="J2748" s="10">
        <f>IFERROR(__xludf.DUMMYFUNCTION("""COMPUTED_VALUE"""),0.0)</f>
        <v>0</v>
      </c>
      <c r="K2748" s="5">
        <f>IFERROR(__xludf.DUMMYFUNCTION("""COMPUTED_VALUE"""),0.0)</f>
        <v>0</v>
      </c>
      <c r="L2748" s="10">
        <f>IFERROR(__xludf.DUMMYFUNCTION("""COMPUTED_VALUE"""),2.0)</f>
        <v>2</v>
      </c>
      <c r="M2748" s="5">
        <f>IFERROR(__xludf.DUMMYFUNCTION("""COMPUTED_VALUE"""),0.015267175572519083)</f>
        <v>0.01526717557</v>
      </c>
    </row>
    <row r="2749">
      <c r="A2749" s="10" t="str">
        <f>IFERROR(__xludf.DUMMYFUNCTION("""COMPUTED_VALUE"""),"CFTK_AG")</f>
        <v>CFTK_AG</v>
      </c>
      <c r="B2749" s="10">
        <f>IFERROR(__xludf.DUMMYFUNCTION("""COMPUTED_VALUE"""),554.0)</f>
        <v>554</v>
      </c>
      <c r="C2749" s="10">
        <f>IFERROR(__xludf.DUMMYFUNCTION("""COMPUTED_VALUE"""),6519.0)</f>
        <v>6519</v>
      </c>
      <c r="D2749" s="5">
        <f>IFERROR(__xludf.DUMMYFUNCTION("""COMPUTED_VALUE"""),0.38876781223805534)</f>
        <v>0.3887678122</v>
      </c>
      <c r="E2749" s="5">
        <f>IFERROR(__xludf.DUMMYFUNCTION("""COMPUTED_VALUE"""),0.12774518021793796)</f>
        <v>0.1277451802</v>
      </c>
      <c r="F2749" s="5">
        <f>IFERROR(__xludf.DUMMYFUNCTION("""COMPUTED_VALUE"""),0.2085498742665549)</f>
        <v>0.2085498743</v>
      </c>
      <c r="G2749" s="5">
        <f>IFERROR(__xludf.DUMMYFUNCTION("""COMPUTED_VALUE"""),0.18155909471919532)</f>
        <v>0.1815590947</v>
      </c>
      <c r="H2749" s="5">
        <f>IFERROR(__xludf.DUMMYFUNCTION("""COMPUTED_VALUE"""),0.5988745980707395)</f>
        <v>0.5988745981</v>
      </c>
      <c r="I2749" s="11">
        <f>IFERROR(__xludf.DUMMYFUNCTION("""COMPUTED_VALUE"""),5800.48231511254)</f>
        <v>5800.482315</v>
      </c>
      <c r="J2749" s="10">
        <f>IFERROR(__xludf.DUMMYFUNCTION("""COMPUTED_VALUE"""),2.0)</f>
        <v>2</v>
      </c>
      <c r="K2749" s="5">
        <f>IFERROR(__xludf.DUMMYFUNCTION("""COMPUTED_VALUE"""),0.0036101083032490976)</f>
        <v>0.003610108303</v>
      </c>
      <c r="L2749" s="10">
        <f>IFERROR(__xludf.DUMMYFUNCTION("""COMPUTED_VALUE"""),554.0)</f>
        <v>554</v>
      </c>
      <c r="M2749" s="5">
        <f>IFERROR(__xludf.DUMMYFUNCTION("""COMPUTED_VALUE"""),1.0)</f>
        <v>1</v>
      </c>
    </row>
    <row r="2750">
      <c r="A2750" s="10" t="str">
        <f>IFERROR(__xludf.DUMMYFUNCTION("""COMPUTED_VALUE"""),"戰艦レ級")</f>
        <v>戰艦レ級</v>
      </c>
      <c r="B2750" s="10">
        <f>IFERROR(__xludf.DUMMYFUNCTION("""COMPUTED_VALUE"""),1369.0)</f>
        <v>1369</v>
      </c>
      <c r="C2750" s="10">
        <f>IFERROR(__xludf.DUMMYFUNCTION("""COMPUTED_VALUE"""),15955.0)</f>
        <v>15955</v>
      </c>
      <c r="D2750" s="5">
        <f>IFERROR(__xludf.DUMMYFUNCTION("""COMPUTED_VALUE"""),0.34779925956396546)</f>
        <v>0.3477992596</v>
      </c>
      <c r="E2750" s="5">
        <f>IFERROR(__xludf.DUMMYFUNCTION("""COMPUTED_VALUE"""),0.1277252159605101)</f>
        <v>0.127725216</v>
      </c>
      <c r="F2750" s="5">
        <f>IFERROR(__xludf.DUMMYFUNCTION("""COMPUTED_VALUE"""),0.2119155354449472)</f>
        <v>0.2119155354</v>
      </c>
      <c r="G2750" s="5">
        <f>IFERROR(__xludf.DUMMYFUNCTION("""COMPUTED_VALUE"""),0.2007404360345537)</f>
        <v>0.200740436</v>
      </c>
      <c r="H2750" s="5">
        <f>IFERROR(__xludf.DUMMYFUNCTION("""COMPUTED_VALUE"""),0.6014234875444839)</f>
        <v>0.6014234875</v>
      </c>
      <c r="I2750" s="11">
        <f>IFERROR(__xludf.DUMMYFUNCTION("""COMPUTED_VALUE"""),5560.789388547396)</f>
        <v>5560.789389</v>
      </c>
      <c r="J2750" s="10">
        <f>IFERROR(__xludf.DUMMYFUNCTION("""COMPUTED_VALUE"""),4.0)</f>
        <v>4</v>
      </c>
      <c r="K2750" s="5">
        <f>IFERROR(__xludf.DUMMYFUNCTION("""COMPUTED_VALUE"""),0.0029218407596785976)</f>
        <v>0.00292184076</v>
      </c>
      <c r="L2750" s="10">
        <f>IFERROR(__xludf.DUMMYFUNCTION("""COMPUTED_VALUE"""),596.0)</f>
        <v>596</v>
      </c>
      <c r="M2750" s="5">
        <f>IFERROR(__xludf.DUMMYFUNCTION("""COMPUTED_VALUE"""),0.435354273192111)</f>
        <v>0.4353542732</v>
      </c>
    </row>
    <row r="2751">
      <c r="A2751" s="10" t="str">
        <f>IFERROR(__xludf.DUMMYFUNCTION("""COMPUTED_VALUE"""),"ポンドル")</f>
        <v>ポンドル</v>
      </c>
      <c r="B2751" s="10">
        <f>IFERROR(__xludf.DUMMYFUNCTION("""COMPUTED_VALUE"""),336.0)</f>
        <v>336</v>
      </c>
      <c r="C2751" s="10">
        <f>IFERROR(__xludf.DUMMYFUNCTION("""COMPUTED_VALUE"""),3914.0)</f>
        <v>3914</v>
      </c>
      <c r="D2751" s="5">
        <f>IFERROR(__xludf.DUMMYFUNCTION("""COMPUTED_VALUE"""),0.3697596422582448)</f>
        <v>0.3697596423</v>
      </c>
      <c r="E2751" s="5">
        <f>IFERROR(__xludf.DUMMYFUNCTION("""COMPUTED_VALUE"""),0.1277249860257127)</f>
        <v>0.127724986</v>
      </c>
      <c r="F2751" s="5">
        <f>IFERROR(__xludf.DUMMYFUNCTION("""COMPUTED_VALUE"""),0.22107322526551146)</f>
        <v>0.2210732253</v>
      </c>
      <c r="G2751" s="5">
        <f>IFERROR(__xludf.DUMMYFUNCTION("""COMPUTED_VALUE"""),0.1830631637786473)</f>
        <v>0.1830631638</v>
      </c>
      <c r="H2751" s="5">
        <f>IFERROR(__xludf.DUMMYFUNCTION("""COMPUTED_VALUE"""),0.5739570164348925)</f>
        <v>0.5739570164</v>
      </c>
      <c r="I2751" s="11">
        <f>IFERROR(__xludf.DUMMYFUNCTION("""COMPUTED_VALUE"""),5813.14791403287)</f>
        <v>5813.147914</v>
      </c>
      <c r="J2751" s="10">
        <f>IFERROR(__xludf.DUMMYFUNCTION("""COMPUTED_VALUE"""),1.0)</f>
        <v>1</v>
      </c>
      <c r="K2751" s="5">
        <f>IFERROR(__xludf.DUMMYFUNCTION("""COMPUTED_VALUE"""),0.002976190476190476)</f>
        <v>0.002976190476</v>
      </c>
      <c r="L2751" s="10">
        <f>IFERROR(__xludf.DUMMYFUNCTION("""COMPUTED_VALUE"""),336.0)</f>
        <v>336</v>
      </c>
      <c r="M2751" s="5">
        <f>IFERROR(__xludf.DUMMYFUNCTION("""COMPUTED_VALUE"""),1.0)</f>
        <v>1</v>
      </c>
    </row>
    <row r="2752">
      <c r="A2752" s="10" t="str">
        <f>IFERROR(__xludf.DUMMYFUNCTION("""COMPUTED_VALUE"""),"kou3284")</f>
        <v>kou3284</v>
      </c>
      <c r="B2752" s="10">
        <f>IFERROR(__xludf.DUMMYFUNCTION("""COMPUTED_VALUE"""),1353.0)</f>
        <v>1353</v>
      </c>
      <c r="C2752" s="10">
        <f>IFERROR(__xludf.DUMMYFUNCTION("""COMPUTED_VALUE"""),15870.0)</f>
        <v>15870</v>
      </c>
      <c r="D2752" s="5">
        <f>IFERROR(__xludf.DUMMYFUNCTION("""COMPUTED_VALUE"""),0.3317489839498519)</f>
        <v>0.3317489839</v>
      </c>
      <c r="E2752" s="5">
        <f>IFERROR(__xludf.DUMMYFUNCTION("""COMPUTED_VALUE"""),0.1277123372597644)</f>
        <v>0.1277123373</v>
      </c>
      <c r="F2752" s="5">
        <f>IFERROR(__xludf.DUMMYFUNCTION("""COMPUTED_VALUE"""),0.20851415581731764)</f>
        <v>0.2085141558</v>
      </c>
      <c r="G2752" s="5">
        <f>IFERROR(__xludf.DUMMYFUNCTION("""COMPUTED_VALUE"""),0.16484122063787285)</f>
        <v>0.1648412206</v>
      </c>
      <c r="H2752" s="5">
        <f>IFERROR(__xludf.DUMMYFUNCTION("""COMPUTED_VALUE"""),0.6141394119590353)</f>
        <v>0.614139412</v>
      </c>
      <c r="I2752" s="11">
        <f>IFERROR(__xludf.DUMMYFUNCTION("""COMPUTED_VALUE"""),5675.454245127188)</f>
        <v>5675.454245</v>
      </c>
      <c r="J2752" s="10">
        <f>IFERROR(__xludf.DUMMYFUNCTION("""COMPUTED_VALUE"""),3.0)</f>
        <v>3</v>
      </c>
      <c r="K2752" s="5">
        <f>IFERROR(__xludf.DUMMYFUNCTION("""COMPUTED_VALUE"""),0.0022172949002217295)</f>
        <v>0.0022172949</v>
      </c>
      <c r="L2752" s="10">
        <f>IFERROR(__xludf.DUMMYFUNCTION("""COMPUTED_VALUE"""),926.0)</f>
        <v>926</v>
      </c>
      <c r="M2752" s="5">
        <f>IFERROR(__xludf.DUMMYFUNCTION("""COMPUTED_VALUE"""),0.6844050258684405)</f>
        <v>0.6844050259</v>
      </c>
    </row>
    <row r="2753">
      <c r="A2753" s="10" t="str">
        <f>IFERROR(__xludf.DUMMYFUNCTION("""COMPUTED_VALUE"""),"@@中村豪")</f>
        <v>@@中村豪</v>
      </c>
      <c r="B2753" s="10">
        <f>IFERROR(__xludf.DUMMYFUNCTION("""COMPUTED_VALUE"""),706.0)</f>
        <v>706</v>
      </c>
      <c r="C2753" s="10">
        <f>IFERROR(__xludf.DUMMYFUNCTION("""COMPUTED_VALUE"""),8403.0)</f>
        <v>8403</v>
      </c>
      <c r="D2753" s="5">
        <f>IFERROR(__xludf.DUMMYFUNCTION("""COMPUTED_VALUE"""),0.3591009484214629)</f>
        <v>0.3591009484</v>
      </c>
      <c r="E2753" s="5">
        <f>IFERROR(__xludf.DUMMYFUNCTION("""COMPUTED_VALUE"""),0.12771209562167077)</f>
        <v>0.1277120956</v>
      </c>
      <c r="F2753" s="5">
        <f>IFERROR(__xludf.DUMMYFUNCTION("""COMPUTED_VALUE"""),0.21436923476679226)</f>
        <v>0.2143692348</v>
      </c>
      <c r="G2753" s="5">
        <f>IFERROR(__xludf.DUMMYFUNCTION("""COMPUTED_VALUE"""),0.17448356502533455)</f>
        <v>0.174483565</v>
      </c>
      <c r="H2753" s="5">
        <f>IFERROR(__xludf.DUMMYFUNCTION("""COMPUTED_VALUE"""),0.5890909090909091)</f>
        <v>0.5890909091</v>
      </c>
      <c r="I2753" s="11">
        <f>IFERROR(__xludf.DUMMYFUNCTION("""COMPUTED_VALUE"""),5309.939393939394)</f>
        <v>5309.939394</v>
      </c>
      <c r="J2753" s="10">
        <f>IFERROR(__xludf.DUMMYFUNCTION("""COMPUTED_VALUE"""),0.0)</f>
        <v>0</v>
      </c>
      <c r="K2753" s="5">
        <f>IFERROR(__xludf.DUMMYFUNCTION("""COMPUTED_VALUE"""),0.0)</f>
        <v>0</v>
      </c>
      <c r="L2753" s="10">
        <f>IFERROR(__xludf.DUMMYFUNCTION("""COMPUTED_VALUE"""),706.0)</f>
        <v>706</v>
      </c>
      <c r="M2753" s="5">
        <f>IFERROR(__xludf.DUMMYFUNCTION("""COMPUTED_VALUE"""),1.0)</f>
        <v>1</v>
      </c>
    </row>
    <row r="2754">
      <c r="A2754" s="10" t="str">
        <f>IFERROR(__xludf.DUMMYFUNCTION("""COMPUTED_VALUE"""),"ねこだま")</f>
        <v>ねこだま</v>
      </c>
      <c r="B2754" s="10">
        <f>IFERROR(__xludf.DUMMYFUNCTION("""COMPUTED_VALUE"""),457.0)</f>
        <v>457</v>
      </c>
      <c r="C2754" s="10">
        <f>IFERROR(__xludf.DUMMYFUNCTION("""COMPUTED_VALUE"""),5398.0)</f>
        <v>5398</v>
      </c>
      <c r="D2754" s="5">
        <f>IFERROR(__xludf.DUMMYFUNCTION("""COMPUTED_VALUE"""),0.4013357619914997)</f>
        <v>0.401335762</v>
      </c>
      <c r="E2754" s="5">
        <f>IFERROR(__xludf.DUMMYFUNCTION("""COMPUTED_VALUE"""),0.1277069419145922)</f>
        <v>0.1277069419</v>
      </c>
      <c r="F2754" s="5">
        <f>IFERROR(__xludf.DUMMYFUNCTION("""COMPUTED_VALUE"""),0.19914996964177292)</f>
        <v>0.1991499696</v>
      </c>
      <c r="G2754" s="5">
        <f>IFERROR(__xludf.DUMMYFUNCTION("""COMPUTED_VALUE"""),0.15988666261890305)</f>
        <v>0.1598866626</v>
      </c>
      <c r="H2754" s="5">
        <f>IFERROR(__xludf.DUMMYFUNCTION("""COMPUTED_VALUE"""),0.5884146341463414)</f>
        <v>0.5884146341</v>
      </c>
      <c r="I2754" s="11">
        <f>IFERROR(__xludf.DUMMYFUNCTION("""COMPUTED_VALUE"""),5429.573170731707)</f>
        <v>5429.573171</v>
      </c>
      <c r="J2754" s="10">
        <f>IFERROR(__xludf.DUMMYFUNCTION("""COMPUTED_VALUE"""),0.0)</f>
        <v>0</v>
      </c>
      <c r="K2754" s="5">
        <f>IFERROR(__xludf.DUMMYFUNCTION("""COMPUTED_VALUE"""),0.0)</f>
        <v>0</v>
      </c>
      <c r="L2754" s="10">
        <f>IFERROR(__xludf.DUMMYFUNCTION("""COMPUTED_VALUE"""),418.0)</f>
        <v>418</v>
      </c>
      <c r="M2754" s="5">
        <f>IFERROR(__xludf.DUMMYFUNCTION("""COMPUTED_VALUE"""),0.9146608315098468)</f>
        <v>0.9146608315</v>
      </c>
    </row>
    <row r="2755">
      <c r="A2755" s="10" t="str">
        <f>IFERROR(__xludf.DUMMYFUNCTION("""COMPUTED_VALUE"""),"Kizuner")</f>
        <v>Kizuner</v>
      </c>
      <c r="B2755" s="10">
        <f>IFERROR(__xludf.DUMMYFUNCTION("""COMPUTED_VALUE"""),831.0)</f>
        <v>831</v>
      </c>
      <c r="C2755" s="10">
        <f>IFERROR(__xludf.DUMMYFUNCTION("""COMPUTED_VALUE"""),9883.0)</f>
        <v>9883</v>
      </c>
      <c r="D2755" s="5">
        <f>IFERROR(__xludf.DUMMYFUNCTION("""COMPUTED_VALUE"""),0.37174105170128147)</f>
        <v>0.3717410517</v>
      </c>
      <c r="E2755" s="5">
        <f>IFERROR(__xludf.DUMMYFUNCTION("""COMPUTED_VALUE"""),0.12770658418029165)</f>
        <v>0.1277065842</v>
      </c>
      <c r="F2755" s="5">
        <f>IFERROR(__xludf.DUMMYFUNCTION("""COMPUTED_VALUE"""),0.2213875386654883)</f>
        <v>0.2213875387</v>
      </c>
      <c r="G2755" s="5">
        <f>IFERROR(__xludf.DUMMYFUNCTION("""COMPUTED_VALUE"""),0.18758285461776403)</f>
        <v>0.1875828546</v>
      </c>
      <c r="H2755" s="5">
        <f>IFERROR(__xludf.DUMMYFUNCTION("""COMPUTED_VALUE"""),0.5893213572854291)</f>
        <v>0.5893213573</v>
      </c>
      <c r="I2755" s="11">
        <f>IFERROR(__xludf.DUMMYFUNCTION("""COMPUTED_VALUE"""),5740.0199600798405)</f>
        <v>5740.01996</v>
      </c>
      <c r="J2755" s="10">
        <f>IFERROR(__xludf.DUMMYFUNCTION("""COMPUTED_VALUE"""),3.0)</f>
        <v>3</v>
      </c>
      <c r="K2755" s="5">
        <f>IFERROR(__xludf.DUMMYFUNCTION("""COMPUTED_VALUE"""),0.0036101083032490976)</f>
        <v>0.003610108303</v>
      </c>
      <c r="L2755" s="10">
        <f>IFERROR(__xludf.DUMMYFUNCTION("""COMPUTED_VALUE"""),2.0)</f>
        <v>2</v>
      </c>
      <c r="M2755" s="5">
        <f>IFERROR(__xludf.DUMMYFUNCTION("""COMPUTED_VALUE"""),0.0024067388688327317)</f>
        <v>0.002406738869</v>
      </c>
    </row>
    <row r="2756">
      <c r="A2756" s="10" t="str">
        <f>IFERROR(__xludf.DUMMYFUNCTION("""COMPUTED_VALUE"""),"rai211")</f>
        <v>rai211</v>
      </c>
      <c r="B2756" s="10">
        <f>IFERROR(__xludf.DUMMYFUNCTION("""COMPUTED_VALUE"""),213.0)</f>
        <v>213</v>
      </c>
      <c r="C2756" s="10">
        <f>IFERROR(__xludf.DUMMYFUNCTION("""COMPUTED_VALUE"""),2437.0)</f>
        <v>2437</v>
      </c>
      <c r="D2756" s="5">
        <f>IFERROR(__xludf.DUMMYFUNCTION("""COMPUTED_VALUE"""),0.3552158273381295)</f>
        <v>0.3552158273</v>
      </c>
      <c r="E2756" s="5">
        <f>IFERROR(__xludf.DUMMYFUNCTION("""COMPUTED_VALUE"""),0.12769784172661872)</f>
        <v>0.1276978417</v>
      </c>
      <c r="F2756" s="5">
        <f>IFERROR(__xludf.DUMMYFUNCTION("""COMPUTED_VALUE"""),0.2185251798561151)</f>
        <v>0.2185251799</v>
      </c>
      <c r="G2756" s="5">
        <f>IFERROR(__xludf.DUMMYFUNCTION("""COMPUTED_VALUE"""),0.16321942446043167)</f>
        <v>0.1632194245</v>
      </c>
      <c r="H2756" s="5">
        <f>IFERROR(__xludf.DUMMYFUNCTION("""COMPUTED_VALUE"""),0.6090534979423868)</f>
        <v>0.6090534979</v>
      </c>
      <c r="I2756" s="11">
        <f>IFERROR(__xludf.DUMMYFUNCTION("""COMPUTED_VALUE"""),5303.292181069959)</f>
        <v>5303.292181</v>
      </c>
      <c r="J2756" s="10">
        <f>IFERROR(__xludf.DUMMYFUNCTION("""COMPUTED_VALUE"""),0.0)</f>
        <v>0</v>
      </c>
      <c r="K2756" s="5">
        <f>IFERROR(__xludf.DUMMYFUNCTION("""COMPUTED_VALUE"""),0.0)</f>
        <v>0</v>
      </c>
      <c r="L2756" s="10">
        <f>IFERROR(__xludf.DUMMYFUNCTION("""COMPUTED_VALUE"""),213.0)</f>
        <v>213</v>
      </c>
      <c r="M2756" s="5">
        <f>IFERROR(__xludf.DUMMYFUNCTION("""COMPUTED_VALUE"""),1.0)</f>
        <v>1</v>
      </c>
    </row>
    <row r="2757">
      <c r="A2757" s="10" t="str">
        <f>IFERROR(__xludf.DUMMYFUNCTION("""COMPUTED_VALUE"""),"吉やる蔵")</f>
        <v>吉やる蔵</v>
      </c>
      <c r="B2757" s="10">
        <f>IFERROR(__xludf.DUMMYFUNCTION("""COMPUTED_VALUE"""),251.0)</f>
        <v>251</v>
      </c>
      <c r="C2757" s="10">
        <f>IFERROR(__xludf.DUMMYFUNCTION("""COMPUTED_VALUE"""),2898.0)</f>
        <v>2898</v>
      </c>
      <c r="D2757" s="5">
        <f>IFERROR(__xludf.DUMMYFUNCTION("""COMPUTED_VALUE"""),0.281072912731394)</f>
        <v>0.2810729127</v>
      </c>
      <c r="E2757" s="5">
        <f>IFERROR(__xludf.DUMMYFUNCTION("""COMPUTED_VALUE"""),0.12769172648281074)</f>
        <v>0.1276917265</v>
      </c>
      <c r="F2757" s="5">
        <f>IFERROR(__xludf.DUMMYFUNCTION("""COMPUTED_VALUE"""),0.2111824707215716)</f>
        <v>0.2111824707</v>
      </c>
      <c r="G2757" s="5">
        <f>IFERROR(__xludf.DUMMYFUNCTION("""COMPUTED_VALUE"""),0.1420476010578013)</f>
        <v>0.1420476011</v>
      </c>
      <c r="H2757" s="5">
        <f>IFERROR(__xludf.DUMMYFUNCTION("""COMPUTED_VALUE"""),0.6636851520572451)</f>
        <v>0.6636851521</v>
      </c>
      <c r="I2757" s="11">
        <f>IFERROR(__xludf.DUMMYFUNCTION("""COMPUTED_VALUE"""),5307.871198568873)</f>
        <v>5307.871199</v>
      </c>
      <c r="J2757" s="10">
        <f>IFERROR(__xludf.DUMMYFUNCTION("""COMPUTED_VALUE"""),1.0)</f>
        <v>1</v>
      </c>
      <c r="K2757" s="5">
        <f>IFERROR(__xludf.DUMMYFUNCTION("""COMPUTED_VALUE"""),0.00398406374501992)</f>
        <v>0.003984063745</v>
      </c>
      <c r="L2757" s="10">
        <f>IFERROR(__xludf.DUMMYFUNCTION("""COMPUTED_VALUE"""),251.0)</f>
        <v>251</v>
      </c>
      <c r="M2757" s="5">
        <f>IFERROR(__xludf.DUMMYFUNCTION("""COMPUTED_VALUE"""),1.0)</f>
        <v>1</v>
      </c>
    </row>
    <row r="2758">
      <c r="A2758" s="10" t="str">
        <f>IFERROR(__xludf.DUMMYFUNCTION("""COMPUTED_VALUE"""),"tsuruho")</f>
        <v>tsuruho</v>
      </c>
      <c r="B2758" s="10">
        <f>IFERROR(__xludf.DUMMYFUNCTION("""COMPUTED_VALUE"""),1405.0)</f>
        <v>1405</v>
      </c>
      <c r="C2758" s="10">
        <f>IFERROR(__xludf.DUMMYFUNCTION("""COMPUTED_VALUE"""),16410.0)</f>
        <v>16410</v>
      </c>
      <c r="D2758" s="5">
        <f>IFERROR(__xludf.DUMMYFUNCTION("""COMPUTED_VALUE"""),0.3821392869043652)</f>
        <v>0.3821392869</v>
      </c>
      <c r="E2758" s="5">
        <f>IFERROR(__xludf.DUMMYFUNCTION("""COMPUTED_VALUE"""),0.12769076974341886)</f>
        <v>0.1276907697</v>
      </c>
      <c r="F2758" s="5">
        <f>IFERROR(__xludf.DUMMYFUNCTION("""COMPUTED_VALUE"""),0.2169943352215928)</f>
        <v>0.2169943352</v>
      </c>
      <c r="G2758" s="5">
        <f>IFERROR(__xludf.DUMMYFUNCTION("""COMPUTED_VALUE"""),0.17027657447517494)</f>
        <v>0.1702765745</v>
      </c>
      <c r="H2758" s="5">
        <f>IFERROR(__xludf.DUMMYFUNCTION("""COMPUTED_VALUE"""),0.5967444717444718)</f>
        <v>0.5967444717</v>
      </c>
      <c r="I2758" s="11">
        <f>IFERROR(__xludf.DUMMYFUNCTION("""COMPUTED_VALUE"""),5560.534398034398)</f>
        <v>5560.534398</v>
      </c>
      <c r="J2758" s="10">
        <f>IFERROR(__xludf.DUMMYFUNCTION("""COMPUTED_VALUE"""),1.0)</f>
        <v>1</v>
      </c>
      <c r="K2758" s="5">
        <f>IFERROR(__xludf.DUMMYFUNCTION("""COMPUTED_VALUE"""),7.117437722419929E-4)</f>
        <v>0.0007117437722</v>
      </c>
      <c r="L2758" s="10">
        <f>IFERROR(__xludf.DUMMYFUNCTION("""COMPUTED_VALUE"""),1236.0)</f>
        <v>1236</v>
      </c>
      <c r="M2758" s="5">
        <f>IFERROR(__xludf.DUMMYFUNCTION("""COMPUTED_VALUE"""),0.8797153024911032)</f>
        <v>0.8797153025</v>
      </c>
    </row>
    <row r="2759">
      <c r="A2759" s="10" t="str">
        <f>IFERROR(__xludf.DUMMYFUNCTION("""COMPUTED_VALUE"""),"＠アルファ")</f>
        <v>＠アルファ</v>
      </c>
      <c r="B2759" s="10">
        <f>IFERROR(__xludf.DUMMYFUNCTION("""COMPUTED_VALUE"""),170.0)</f>
        <v>170</v>
      </c>
      <c r="C2759" s="10">
        <f>IFERROR(__xludf.DUMMYFUNCTION("""COMPUTED_VALUE"""),1987.0)</f>
        <v>1987</v>
      </c>
      <c r="D2759" s="5">
        <f>IFERROR(__xludf.DUMMYFUNCTION("""COMPUTED_VALUE"""),0.30324711062190424)</f>
        <v>0.3032471106</v>
      </c>
      <c r="E2759" s="5">
        <f>IFERROR(__xludf.DUMMYFUNCTION("""COMPUTED_VALUE"""),0.12768299394606494)</f>
        <v>0.1276829939</v>
      </c>
      <c r="F2759" s="5">
        <f>IFERROR(__xludf.DUMMYFUNCTION("""COMPUTED_VALUE"""),0.21188772702256467)</f>
        <v>0.211887727</v>
      </c>
      <c r="G2759" s="5">
        <f>IFERROR(__xludf.DUMMYFUNCTION("""COMPUTED_VALUE"""),0.12933406714364337)</f>
        <v>0.1293340671</v>
      </c>
      <c r="H2759" s="5">
        <f>IFERROR(__xludf.DUMMYFUNCTION("""COMPUTED_VALUE"""),0.6155844155844156)</f>
        <v>0.6155844156</v>
      </c>
      <c r="I2759" s="11">
        <f>IFERROR(__xludf.DUMMYFUNCTION("""COMPUTED_VALUE"""),5201.818181818182)</f>
        <v>5201.818182</v>
      </c>
      <c r="J2759" s="10">
        <f>IFERROR(__xludf.DUMMYFUNCTION("""COMPUTED_VALUE"""),0.0)</f>
        <v>0</v>
      </c>
      <c r="K2759" s="5">
        <f>IFERROR(__xludf.DUMMYFUNCTION("""COMPUTED_VALUE"""),0.0)</f>
        <v>0</v>
      </c>
      <c r="L2759" s="10">
        <f>IFERROR(__xludf.DUMMYFUNCTION("""COMPUTED_VALUE"""),170.0)</f>
        <v>170</v>
      </c>
      <c r="M2759" s="5">
        <f>IFERROR(__xludf.DUMMYFUNCTION("""COMPUTED_VALUE"""),1.0)</f>
        <v>1</v>
      </c>
    </row>
    <row r="2760">
      <c r="A2760" s="10" t="str">
        <f>IFERROR(__xludf.DUMMYFUNCTION("""COMPUTED_VALUE"""),"じゅなばばば")</f>
        <v>じゅなばばば</v>
      </c>
      <c r="B2760" s="10">
        <f>IFERROR(__xludf.DUMMYFUNCTION("""COMPUTED_VALUE"""),1040.0)</f>
        <v>1040</v>
      </c>
      <c r="C2760" s="10">
        <f>IFERROR(__xludf.DUMMYFUNCTION("""COMPUTED_VALUE"""),12083.0)</f>
        <v>12083</v>
      </c>
      <c r="D2760" s="5">
        <f>IFERROR(__xludf.DUMMYFUNCTION("""COMPUTED_VALUE"""),0.3061668024993208)</f>
        <v>0.3061668025</v>
      </c>
      <c r="E2760" s="5">
        <f>IFERROR(__xludf.DUMMYFUNCTION("""COMPUTED_VALUE"""),0.12768269491985873)</f>
        <v>0.1276826949</v>
      </c>
      <c r="F2760" s="5">
        <f>IFERROR(__xludf.DUMMYFUNCTION("""COMPUTED_VALUE"""),0.20537897310513448)</f>
        <v>0.2053789731</v>
      </c>
      <c r="G2760" s="5">
        <f>IFERROR(__xludf.DUMMYFUNCTION("""COMPUTED_VALUE"""),0.15856198496785293)</f>
        <v>0.158561985</v>
      </c>
      <c r="H2760" s="5">
        <f>IFERROR(__xludf.DUMMYFUNCTION("""COMPUTED_VALUE"""),0.5776014109347443)</f>
        <v>0.5776014109</v>
      </c>
      <c r="I2760" s="11">
        <f>IFERROR(__xludf.DUMMYFUNCTION("""COMPUTED_VALUE"""),5857.275132275132)</f>
        <v>5857.275132</v>
      </c>
      <c r="J2760" s="10">
        <f>IFERROR(__xludf.DUMMYFUNCTION("""COMPUTED_VALUE"""),3.0)</f>
        <v>3</v>
      </c>
      <c r="K2760" s="5">
        <f>IFERROR(__xludf.DUMMYFUNCTION("""COMPUTED_VALUE"""),0.0028846153846153848)</f>
        <v>0.002884615385</v>
      </c>
      <c r="L2760" s="10">
        <f>IFERROR(__xludf.DUMMYFUNCTION("""COMPUTED_VALUE"""),1040.0)</f>
        <v>1040</v>
      </c>
      <c r="M2760" s="5">
        <f>IFERROR(__xludf.DUMMYFUNCTION("""COMPUTED_VALUE"""),1.0)</f>
        <v>1</v>
      </c>
    </row>
    <row r="2761">
      <c r="A2761" s="10" t="str">
        <f>IFERROR(__xludf.DUMMYFUNCTION("""COMPUTED_VALUE"""),"サブコンテスト")</f>
        <v>サブコンテスト</v>
      </c>
      <c r="B2761" s="10">
        <f>IFERROR(__xludf.DUMMYFUNCTION("""COMPUTED_VALUE"""),274.0)</f>
        <v>274</v>
      </c>
      <c r="C2761" s="10">
        <f>IFERROR(__xludf.DUMMYFUNCTION("""COMPUTED_VALUE"""),3211.0)</f>
        <v>3211</v>
      </c>
      <c r="D2761" s="5">
        <f>IFERROR(__xludf.DUMMYFUNCTION("""COMPUTED_VALUE"""),0.3537623425263875)</f>
        <v>0.3537623425</v>
      </c>
      <c r="E2761" s="5">
        <f>IFERROR(__xludf.DUMMYFUNCTION("""COMPUTED_VALUE"""),0.12768130745658834)</f>
        <v>0.1276813075</v>
      </c>
      <c r="F2761" s="5">
        <f>IFERROR(__xludf.DUMMYFUNCTION("""COMPUTED_VALUE"""),0.21518556350017023)</f>
        <v>0.2151855635</v>
      </c>
      <c r="G2761" s="5">
        <f>IFERROR(__xludf.DUMMYFUNCTION("""COMPUTED_VALUE"""),0.1658154579502894)</f>
        <v>0.165815458</v>
      </c>
      <c r="H2761" s="5">
        <f>IFERROR(__xludf.DUMMYFUNCTION("""COMPUTED_VALUE"""),0.5996835443037974)</f>
        <v>0.5996835443</v>
      </c>
      <c r="I2761" s="11">
        <f>IFERROR(__xludf.DUMMYFUNCTION("""COMPUTED_VALUE"""),5622.626582278481)</f>
        <v>5622.626582</v>
      </c>
      <c r="J2761" s="10">
        <f>IFERROR(__xludf.DUMMYFUNCTION("""COMPUTED_VALUE"""),1.0)</f>
        <v>1</v>
      </c>
      <c r="K2761" s="5">
        <f>IFERROR(__xludf.DUMMYFUNCTION("""COMPUTED_VALUE"""),0.0036496350364963502)</f>
        <v>0.003649635036</v>
      </c>
      <c r="L2761" s="10">
        <f>IFERROR(__xludf.DUMMYFUNCTION("""COMPUTED_VALUE"""),274.0)</f>
        <v>274</v>
      </c>
      <c r="M2761" s="5">
        <f>IFERROR(__xludf.DUMMYFUNCTION("""COMPUTED_VALUE"""),1.0)</f>
        <v>1</v>
      </c>
    </row>
    <row r="2762">
      <c r="A2762" s="10" t="str">
        <f>IFERROR(__xludf.DUMMYFUNCTION("""COMPUTED_VALUE"""),"飛鳥湊")</f>
        <v>飛鳥湊</v>
      </c>
      <c r="B2762" s="10">
        <f>IFERROR(__xludf.DUMMYFUNCTION("""COMPUTED_VALUE"""),486.0)</f>
        <v>486</v>
      </c>
      <c r="C2762" s="10">
        <f>IFERROR(__xludf.DUMMYFUNCTION("""COMPUTED_VALUE"""),5663.0)</f>
        <v>5663</v>
      </c>
      <c r="D2762" s="5">
        <f>IFERROR(__xludf.DUMMYFUNCTION("""COMPUTED_VALUE"""),0.3772455089820359)</f>
        <v>0.377245509</v>
      </c>
      <c r="E2762" s="5">
        <f>IFERROR(__xludf.DUMMYFUNCTION("""COMPUTED_VALUE"""),0.1276801236237203)</f>
        <v>0.1276801236</v>
      </c>
      <c r="F2762" s="5">
        <f>IFERROR(__xludf.DUMMYFUNCTION("""COMPUTED_VALUE"""),0.22078423797566157)</f>
        <v>0.220784238</v>
      </c>
      <c r="G2762" s="5">
        <f>IFERROR(__xludf.DUMMYFUNCTION("""COMPUTED_VALUE"""),0.1846629322001159)</f>
        <v>0.1846629322</v>
      </c>
      <c r="H2762" s="5">
        <f>IFERROR(__xludf.DUMMYFUNCTION("""COMPUTED_VALUE"""),0.5853018372703412)</f>
        <v>0.5853018373</v>
      </c>
      <c r="I2762" s="11">
        <f>IFERROR(__xludf.DUMMYFUNCTION("""COMPUTED_VALUE"""),5911.986001749781)</f>
        <v>5911.986002</v>
      </c>
      <c r="J2762" s="10">
        <f>IFERROR(__xludf.DUMMYFUNCTION("""COMPUTED_VALUE"""),0.0)</f>
        <v>0</v>
      </c>
      <c r="K2762" s="5">
        <f>IFERROR(__xludf.DUMMYFUNCTION("""COMPUTED_VALUE"""),0.0)</f>
        <v>0</v>
      </c>
      <c r="L2762" s="10">
        <f>IFERROR(__xludf.DUMMYFUNCTION("""COMPUTED_VALUE"""),0.0)</f>
        <v>0</v>
      </c>
      <c r="M2762" s="5">
        <f>IFERROR(__xludf.DUMMYFUNCTION("""COMPUTED_VALUE"""),0.0)</f>
        <v>0</v>
      </c>
    </row>
    <row r="2763">
      <c r="A2763" s="10" t="str">
        <f>IFERROR(__xludf.DUMMYFUNCTION("""COMPUTED_VALUE"""),"里木仁")</f>
        <v>里木仁</v>
      </c>
      <c r="B2763" s="10">
        <f>IFERROR(__xludf.DUMMYFUNCTION("""COMPUTED_VALUE"""),1839.0)</f>
        <v>1839</v>
      </c>
      <c r="C2763" s="10">
        <f>IFERROR(__xludf.DUMMYFUNCTION("""COMPUTED_VALUE"""),21709.0)</f>
        <v>21709</v>
      </c>
      <c r="D2763" s="5">
        <f>IFERROR(__xludf.DUMMYFUNCTION("""COMPUTED_VALUE"""),0.3848012078510317)</f>
        <v>0.3848012079</v>
      </c>
      <c r="E2763" s="5">
        <f>IFERROR(__xludf.DUMMYFUNCTION("""COMPUTED_VALUE"""),0.12767991947659788)</f>
        <v>0.1276799195</v>
      </c>
      <c r="F2763" s="5">
        <f>IFERROR(__xludf.DUMMYFUNCTION("""COMPUTED_VALUE"""),0.2245093105183694)</f>
        <v>0.2245093105</v>
      </c>
      <c r="G2763" s="5">
        <f>IFERROR(__xludf.DUMMYFUNCTION("""COMPUTED_VALUE"""),0.20216406643180673)</f>
        <v>0.2021640664</v>
      </c>
      <c r="H2763" s="5">
        <f>IFERROR(__xludf.DUMMYFUNCTION("""COMPUTED_VALUE"""),0.595382201300157)</f>
        <v>0.5953822013</v>
      </c>
      <c r="I2763" s="11">
        <f>IFERROR(__xludf.DUMMYFUNCTION("""COMPUTED_VALUE"""),5314.122394082045)</f>
        <v>5314.122394</v>
      </c>
      <c r="J2763" s="10">
        <f>IFERROR(__xludf.DUMMYFUNCTION("""COMPUTED_VALUE"""),4.0)</f>
        <v>4</v>
      </c>
      <c r="K2763" s="5">
        <f>IFERROR(__xludf.DUMMYFUNCTION("""COMPUTED_VALUE"""),0.002175095160413268)</f>
        <v>0.00217509516</v>
      </c>
      <c r="L2763" s="10">
        <f>IFERROR(__xludf.DUMMYFUNCTION("""COMPUTED_VALUE"""),1839.0)</f>
        <v>1839</v>
      </c>
      <c r="M2763" s="5">
        <f>IFERROR(__xludf.DUMMYFUNCTION("""COMPUTED_VALUE"""),1.0)</f>
        <v>1</v>
      </c>
    </row>
    <row r="2764">
      <c r="A2764" s="10" t="str">
        <f>IFERROR(__xludf.DUMMYFUNCTION("""COMPUTED_VALUE"""),"SOICHI")</f>
        <v>SOICHI</v>
      </c>
      <c r="B2764" s="10">
        <f>IFERROR(__xludf.DUMMYFUNCTION("""COMPUTED_VALUE"""),105.0)</f>
        <v>105</v>
      </c>
      <c r="C2764" s="10">
        <f>IFERROR(__xludf.DUMMYFUNCTION("""COMPUTED_VALUE"""),1225.0)</f>
        <v>1225</v>
      </c>
      <c r="D2764" s="5">
        <f>IFERROR(__xludf.DUMMYFUNCTION("""COMPUTED_VALUE"""),0.32589285714285715)</f>
        <v>0.3258928571</v>
      </c>
      <c r="E2764" s="5">
        <f>IFERROR(__xludf.DUMMYFUNCTION("""COMPUTED_VALUE"""),0.12767857142857142)</f>
        <v>0.1276785714</v>
      </c>
      <c r="F2764" s="5">
        <f>IFERROR(__xludf.DUMMYFUNCTION("""COMPUTED_VALUE"""),0.20535714285714285)</f>
        <v>0.2053571429</v>
      </c>
      <c r="G2764" s="5">
        <f>IFERROR(__xludf.DUMMYFUNCTION("""COMPUTED_VALUE"""),0.18035714285714285)</f>
        <v>0.1803571429</v>
      </c>
      <c r="H2764" s="5">
        <f>IFERROR(__xludf.DUMMYFUNCTION("""COMPUTED_VALUE"""),0.6130434782608696)</f>
        <v>0.6130434783</v>
      </c>
      <c r="I2764" s="11">
        <f>IFERROR(__xludf.DUMMYFUNCTION("""COMPUTED_VALUE"""),5636.95652173913)</f>
        <v>5636.956522</v>
      </c>
      <c r="J2764" s="10">
        <f>IFERROR(__xludf.DUMMYFUNCTION("""COMPUTED_VALUE"""),0.0)</f>
        <v>0</v>
      </c>
      <c r="K2764" s="5">
        <f>IFERROR(__xludf.DUMMYFUNCTION("""COMPUTED_VALUE"""),0.0)</f>
        <v>0</v>
      </c>
      <c r="L2764" s="10">
        <f>IFERROR(__xludf.DUMMYFUNCTION("""COMPUTED_VALUE"""),105.0)</f>
        <v>105</v>
      </c>
      <c r="M2764" s="5">
        <f>IFERROR(__xludf.DUMMYFUNCTION("""COMPUTED_VALUE"""),1.0)</f>
        <v>1</v>
      </c>
    </row>
    <row r="2765">
      <c r="A2765" s="10" t="str">
        <f>IFERROR(__xludf.DUMMYFUNCTION("""COMPUTED_VALUE"""),"あやなし")</f>
        <v>あやなし</v>
      </c>
      <c r="B2765" s="10">
        <f>IFERROR(__xludf.DUMMYFUNCTION("""COMPUTED_VALUE"""),226.0)</f>
        <v>226</v>
      </c>
      <c r="C2765" s="10">
        <f>IFERROR(__xludf.DUMMYFUNCTION("""COMPUTED_VALUE"""),2607.0)</f>
        <v>2607</v>
      </c>
      <c r="D2765" s="5">
        <f>IFERROR(__xludf.DUMMYFUNCTION("""COMPUTED_VALUE"""),0.30071398572028557)</f>
        <v>0.3007139857</v>
      </c>
      <c r="E2765" s="5">
        <f>IFERROR(__xludf.DUMMYFUNCTION("""COMPUTED_VALUE"""),0.12767744645107099)</f>
        <v>0.1276774465</v>
      </c>
      <c r="F2765" s="5">
        <f>IFERROR(__xludf.DUMMYFUNCTION("""COMPUTED_VALUE"""),0.20663586728265435)</f>
        <v>0.2066358673</v>
      </c>
      <c r="G2765" s="5">
        <f>IFERROR(__xludf.DUMMYFUNCTION("""COMPUTED_VALUE"""),0.20327593448131037)</f>
        <v>0.2032759345</v>
      </c>
      <c r="H2765" s="5">
        <f>IFERROR(__xludf.DUMMYFUNCTION("""COMPUTED_VALUE"""),0.6300813008130082)</f>
        <v>0.6300813008</v>
      </c>
      <c r="I2765" s="11">
        <f>IFERROR(__xludf.DUMMYFUNCTION("""COMPUTED_VALUE"""),5775.20325203252)</f>
        <v>5775.203252</v>
      </c>
      <c r="J2765" s="10">
        <f>IFERROR(__xludf.DUMMYFUNCTION("""COMPUTED_VALUE"""),0.0)</f>
        <v>0</v>
      </c>
      <c r="K2765" s="5">
        <f>IFERROR(__xludf.DUMMYFUNCTION("""COMPUTED_VALUE"""),0.0)</f>
        <v>0</v>
      </c>
      <c r="L2765" s="10">
        <f>IFERROR(__xludf.DUMMYFUNCTION("""COMPUTED_VALUE"""),0.0)</f>
        <v>0</v>
      </c>
      <c r="M2765" s="5">
        <f>IFERROR(__xludf.DUMMYFUNCTION("""COMPUTED_VALUE"""),0.0)</f>
        <v>0</v>
      </c>
    </row>
    <row r="2766">
      <c r="A2766" s="10" t="str">
        <f>IFERROR(__xludf.DUMMYFUNCTION("""COMPUTED_VALUE"""),"MG42")</f>
        <v>MG42</v>
      </c>
      <c r="B2766" s="10">
        <f>IFERROR(__xludf.DUMMYFUNCTION("""COMPUTED_VALUE"""),219.0)</f>
        <v>219</v>
      </c>
      <c r="C2766" s="10">
        <f>IFERROR(__xludf.DUMMYFUNCTION("""COMPUTED_VALUE"""),2600.0)</f>
        <v>2600</v>
      </c>
      <c r="D2766" s="5">
        <f>IFERROR(__xludf.DUMMYFUNCTION("""COMPUTED_VALUE"""),0.3305333893322134)</f>
        <v>0.3305333893</v>
      </c>
      <c r="E2766" s="5">
        <f>IFERROR(__xludf.DUMMYFUNCTION("""COMPUTED_VALUE"""),0.12767744645107099)</f>
        <v>0.1276774465</v>
      </c>
      <c r="F2766" s="5">
        <f>IFERROR(__xludf.DUMMYFUNCTION("""COMPUTED_VALUE"""),0.21671566568668627)</f>
        <v>0.2167156657</v>
      </c>
      <c r="G2766" s="5">
        <f>IFERROR(__xludf.DUMMYFUNCTION("""COMPUTED_VALUE"""),0.17051658966820663)</f>
        <v>0.1705165897</v>
      </c>
      <c r="H2766" s="5">
        <f>IFERROR(__xludf.DUMMYFUNCTION("""COMPUTED_VALUE"""),0.6104651162790697)</f>
        <v>0.6104651163</v>
      </c>
      <c r="I2766" s="11">
        <f>IFERROR(__xludf.DUMMYFUNCTION("""COMPUTED_VALUE"""),5363.178294573643)</f>
        <v>5363.178295</v>
      </c>
      <c r="J2766" s="10">
        <f>IFERROR(__xludf.DUMMYFUNCTION("""COMPUTED_VALUE"""),0.0)</f>
        <v>0</v>
      </c>
      <c r="K2766" s="5">
        <f>IFERROR(__xludf.DUMMYFUNCTION("""COMPUTED_VALUE"""),0.0)</f>
        <v>0</v>
      </c>
      <c r="L2766" s="10">
        <f>IFERROR(__xludf.DUMMYFUNCTION("""COMPUTED_VALUE"""),218.0)</f>
        <v>218</v>
      </c>
      <c r="M2766" s="5">
        <f>IFERROR(__xludf.DUMMYFUNCTION("""COMPUTED_VALUE"""),0.9954337899543378)</f>
        <v>0.99543379</v>
      </c>
    </row>
    <row r="2767">
      <c r="A2767" s="10" t="str">
        <f>IFERROR(__xludf.DUMMYFUNCTION("""COMPUTED_VALUE"""),"aetakun")</f>
        <v>aetakun</v>
      </c>
      <c r="B2767" s="10">
        <f>IFERROR(__xludf.DUMMYFUNCTION("""COMPUTED_VALUE"""),187.0)</f>
        <v>187</v>
      </c>
      <c r="C2767" s="10">
        <f>IFERROR(__xludf.DUMMYFUNCTION("""COMPUTED_VALUE"""),2200.0)</f>
        <v>2200</v>
      </c>
      <c r="D2767" s="5">
        <f>IFERROR(__xludf.DUMMYFUNCTION("""COMPUTED_VALUE"""),0.44063586686537504)</f>
        <v>0.4406358669</v>
      </c>
      <c r="E2767" s="5">
        <f>IFERROR(__xludf.DUMMYFUNCTION("""COMPUTED_VALUE"""),0.12767014406358668)</f>
        <v>0.1276701441</v>
      </c>
      <c r="F2767" s="5">
        <f>IFERROR(__xludf.DUMMYFUNCTION("""COMPUTED_VALUE"""),0.22056631892697467)</f>
        <v>0.2205663189</v>
      </c>
      <c r="G2767" s="5">
        <f>IFERROR(__xludf.DUMMYFUNCTION("""COMPUTED_VALUE"""),0.17337307501241928)</f>
        <v>0.173373075</v>
      </c>
      <c r="H2767" s="5">
        <f>IFERROR(__xludf.DUMMYFUNCTION("""COMPUTED_VALUE"""),0.5923423423423423)</f>
        <v>0.5923423423</v>
      </c>
      <c r="I2767" s="11">
        <f>IFERROR(__xludf.DUMMYFUNCTION("""COMPUTED_VALUE"""),5570.27027027027)</f>
        <v>5570.27027</v>
      </c>
      <c r="J2767" s="10">
        <f>IFERROR(__xludf.DUMMYFUNCTION("""COMPUTED_VALUE"""),0.0)</f>
        <v>0</v>
      </c>
      <c r="K2767" s="5">
        <f>IFERROR(__xludf.DUMMYFUNCTION("""COMPUTED_VALUE"""),0.0)</f>
        <v>0</v>
      </c>
      <c r="L2767" s="10">
        <f>IFERROR(__xludf.DUMMYFUNCTION("""COMPUTED_VALUE"""),187.0)</f>
        <v>187</v>
      </c>
      <c r="M2767" s="5">
        <f>IFERROR(__xludf.DUMMYFUNCTION("""COMPUTED_VALUE"""),1.0)</f>
        <v>1</v>
      </c>
    </row>
    <row r="2768">
      <c r="A2768" s="10" t="str">
        <f>IFERROR(__xludf.DUMMYFUNCTION("""COMPUTED_VALUE"""),"かめじろう")</f>
        <v>かめじろう</v>
      </c>
      <c r="B2768" s="10">
        <f>IFERROR(__xludf.DUMMYFUNCTION("""COMPUTED_VALUE"""),5003.0)</f>
        <v>5003</v>
      </c>
      <c r="C2768" s="10">
        <f>IFERROR(__xludf.DUMMYFUNCTION("""COMPUTED_VALUE"""),58581.0)</f>
        <v>58581</v>
      </c>
      <c r="D2768" s="5">
        <f>IFERROR(__xludf.DUMMYFUNCTION("""COMPUTED_VALUE"""),0.3796520960095562)</f>
        <v>0.379652096</v>
      </c>
      <c r="E2768" s="5">
        <f>IFERROR(__xludf.DUMMYFUNCTION("""COMPUTED_VALUE"""),0.1276643398409795)</f>
        <v>0.1276643398</v>
      </c>
      <c r="F2768" s="5">
        <f>IFERROR(__xludf.DUMMYFUNCTION("""COMPUTED_VALUE"""),0.21579752883646272)</f>
        <v>0.2157975288</v>
      </c>
      <c r="G2768" s="5">
        <f>IFERROR(__xludf.DUMMYFUNCTION("""COMPUTED_VALUE"""),0.16807271641345328)</f>
        <v>0.1680727164</v>
      </c>
      <c r="H2768" s="5">
        <f>IFERROR(__xludf.DUMMYFUNCTION("""COMPUTED_VALUE"""),0.6015395260335582)</f>
        <v>0.601539526</v>
      </c>
      <c r="I2768" s="11">
        <f>IFERROR(__xludf.DUMMYFUNCTION("""COMPUTED_VALUE"""),5716.73585884795)</f>
        <v>5716.735859</v>
      </c>
      <c r="J2768" s="10">
        <f>IFERROR(__xludf.DUMMYFUNCTION("""COMPUTED_VALUE"""),15.0)</f>
        <v>15</v>
      </c>
      <c r="K2768" s="5">
        <f>IFERROR(__xludf.DUMMYFUNCTION("""COMPUTED_VALUE"""),0.0029982010793523886)</f>
        <v>0.002998201079</v>
      </c>
      <c r="L2768" s="10">
        <f>IFERROR(__xludf.DUMMYFUNCTION("""COMPUTED_VALUE"""),5003.0)</f>
        <v>5003</v>
      </c>
      <c r="M2768" s="5">
        <f>IFERROR(__xludf.DUMMYFUNCTION("""COMPUTED_VALUE"""),1.0)</f>
        <v>1</v>
      </c>
    </row>
    <row r="2769">
      <c r="A2769" s="10" t="str">
        <f>IFERROR(__xludf.DUMMYFUNCTION("""COMPUTED_VALUE"""),"Area0122")</f>
        <v>Area0122</v>
      </c>
      <c r="B2769" s="10">
        <f>IFERROR(__xludf.DUMMYFUNCTION("""COMPUTED_VALUE"""),1986.0)</f>
        <v>1986</v>
      </c>
      <c r="C2769" s="10">
        <f>IFERROR(__xludf.DUMMYFUNCTION("""COMPUTED_VALUE"""),23010.0)</f>
        <v>23010</v>
      </c>
      <c r="D2769" s="5">
        <f>IFERROR(__xludf.DUMMYFUNCTION("""COMPUTED_VALUE"""),0.3779014459665145)</f>
        <v>0.377901446</v>
      </c>
      <c r="E2769" s="5">
        <f>IFERROR(__xludf.DUMMYFUNCTION("""COMPUTED_VALUE"""),0.12766362252663624)</f>
        <v>0.1276636225</v>
      </c>
      <c r="F2769" s="5">
        <f>IFERROR(__xludf.DUMMYFUNCTION("""COMPUTED_VALUE"""),0.2080955098934551)</f>
        <v>0.2080955099</v>
      </c>
      <c r="G2769" s="5">
        <f>IFERROR(__xludf.DUMMYFUNCTION("""COMPUTED_VALUE"""),0.1694254185692542)</f>
        <v>0.1694254186</v>
      </c>
      <c r="H2769" s="5">
        <f>IFERROR(__xludf.DUMMYFUNCTION("""COMPUTED_VALUE"""),0.6057142857142858)</f>
        <v>0.6057142857</v>
      </c>
      <c r="I2769" s="11">
        <f>IFERROR(__xludf.DUMMYFUNCTION("""COMPUTED_VALUE"""),5719.862857142857)</f>
        <v>5719.862857</v>
      </c>
      <c r="J2769" s="10">
        <f>IFERROR(__xludf.DUMMYFUNCTION("""COMPUTED_VALUE"""),8.0)</f>
        <v>8</v>
      </c>
      <c r="K2769" s="5">
        <f>IFERROR(__xludf.DUMMYFUNCTION("""COMPUTED_VALUE"""),0.004028197381671702)</f>
        <v>0.004028197382</v>
      </c>
      <c r="L2769" s="10">
        <f>IFERROR(__xludf.DUMMYFUNCTION("""COMPUTED_VALUE"""),1986.0)</f>
        <v>1986</v>
      </c>
      <c r="M2769" s="5">
        <f>IFERROR(__xludf.DUMMYFUNCTION("""COMPUTED_VALUE"""),1.0)</f>
        <v>1</v>
      </c>
    </row>
    <row r="2770">
      <c r="A2770" s="10" t="str">
        <f>IFERROR(__xludf.DUMMYFUNCTION("""COMPUTED_VALUE"""),"bigmouth")</f>
        <v>bigmouth</v>
      </c>
      <c r="B2770" s="10">
        <f>IFERROR(__xludf.DUMMYFUNCTION("""COMPUTED_VALUE"""),517.0)</f>
        <v>517</v>
      </c>
      <c r="C2770" s="10">
        <f>IFERROR(__xludf.DUMMYFUNCTION("""COMPUTED_VALUE"""),6071.0)</f>
        <v>6071</v>
      </c>
      <c r="D2770" s="5">
        <f>IFERROR(__xludf.DUMMYFUNCTION("""COMPUTED_VALUE"""),0.29456247749369824)</f>
        <v>0.2945624775</v>
      </c>
      <c r="E2770" s="5">
        <f>IFERROR(__xludf.DUMMYFUNCTION("""COMPUTED_VALUE"""),0.1276557436082103)</f>
        <v>0.1276557436</v>
      </c>
      <c r="F2770" s="5">
        <f>IFERROR(__xludf.DUMMYFUNCTION("""COMPUTED_VALUE"""),0.20921858120273676)</f>
        <v>0.2092185812</v>
      </c>
      <c r="G2770" s="5">
        <f>IFERROR(__xludf.DUMMYFUNCTION("""COMPUTED_VALUE"""),0.20219661505221462)</f>
        <v>0.2021966151</v>
      </c>
      <c r="H2770" s="5">
        <f>IFERROR(__xludf.DUMMYFUNCTION("""COMPUTED_VALUE"""),0.6032702237521514)</f>
        <v>0.6032702238</v>
      </c>
      <c r="I2770" s="11">
        <f>IFERROR(__xludf.DUMMYFUNCTION("""COMPUTED_VALUE"""),5966.953528399312)</f>
        <v>5966.953528</v>
      </c>
      <c r="J2770" s="10">
        <f>IFERROR(__xludf.DUMMYFUNCTION("""COMPUTED_VALUE"""),3.0)</f>
        <v>3</v>
      </c>
      <c r="K2770" s="5">
        <f>IFERROR(__xludf.DUMMYFUNCTION("""COMPUTED_VALUE"""),0.005802707930367505)</f>
        <v>0.00580270793</v>
      </c>
      <c r="L2770" s="10">
        <f>IFERROR(__xludf.DUMMYFUNCTION("""COMPUTED_VALUE"""),517.0)</f>
        <v>517</v>
      </c>
      <c r="M2770" s="5">
        <f>IFERROR(__xludf.DUMMYFUNCTION("""COMPUTED_VALUE"""),1.0)</f>
        <v>1</v>
      </c>
    </row>
    <row r="2771">
      <c r="A2771" s="10" t="str">
        <f>IFERROR(__xludf.DUMMYFUNCTION("""COMPUTED_VALUE"""),"godwolf")</f>
        <v>godwolf</v>
      </c>
      <c r="B2771" s="10">
        <f>IFERROR(__xludf.DUMMYFUNCTION("""COMPUTED_VALUE"""),222.0)</f>
        <v>222</v>
      </c>
      <c r="C2771" s="10">
        <f>IFERROR(__xludf.DUMMYFUNCTION("""COMPUTED_VALUE"""),2674.0)</f>
        <v>2674</v>
      </c>
      <c r="D2771" s="5">
        <f>IFERROR(__xludf.DUMMYFUNCTION("""COMPUTED_VALUE"""),0.3303425774877651)</f>
        <v>0.3303425775</v>
      </c>
      <c r="E2771" s="5">
        <f>IFERROR(__xludf.DUMMYFUNCTION("""COMPUTED_VALUE"""),0.12765089722675366)</f>
        <v>0.1276508972</v>
      </c>
      <c r="F2771" s="5">
        <f>IFERROR(__xludf.DUMMYFUNCTION("""COMPUTED_VALUE"""),0.21044045676998369)</f>
        <v>0.2104404568</v>
      </c>
      <c r="G2771" s="5">
        <f>IFERROR(__xludf.DUMMYFUNCTION("""COMPUTED_VALUE"""),0.1867862969004894)</f>
        <v>0.1867862969</v>
      </c>
      <c r="H2771" s="5">
        <f>IFERROR(__xludf.DUMMYFUNCTION("""COMPUTED_VALUE"""),0.5775193798449613)</f>
        <v>0.5775193798</v>
      </c>
      <c r="I2771" s="11">
        <f>IFERROR(__xludf.DUMMYFUNCTION("""COMPUTED_VALUE"""),5668.604651162791)</f>
        <v>5668.604651</v>
      </c>
      <c r="J2771" s="10">
        <f>IFERROR(__xludf.DUMMYFUNCTION("""COMPUTED_VALUE"""),0.0)</f>
        <v>0</v>
      </c>
      <c r="K2771" s="5">
        <f>IFERROR(__xludf.DUMMYFUNCTION("""COMPUTED_VALUE"""),0.0)</f>
        <v>0</v>
      </c>
      <c r="L2771" s="10">
        <f>IFERROR(__xludf.DUMMYFUNCTION("""COMPUTED_VALUE"""),0.0)</f>
        <v>0</v>
      </c>
      <c r="M2771" s="5">
        <f>IFERROR(__xludf.DUMMYFUNCTION("""COMPUTED_VALUE"""),0.0)</f>
        <v>0</v>
      </c>
    </row>
    <row r="2772">
      <c r="A2772" s="10" t="str">
        <f>IFERROR(__xludf.DUMMYFUNCTION("""COMPUTED_VALUE"""),"アーミーヘイホー")</f>
        <v>アーミーヘイホー</v>
      </c>
      <c r="B2772" s="10">
        <f>IFERROR(__xludf.DUMMYFUNCTION("""COMPUTED_VALUE"""),1499.0)</f>
        <v>1499</v>
      </c>
      <c r="C2772" s="10">
        <f>IFERROR(__xludf.DUMMYFUNCTION("""COMPUTED_VALUE"""),17441.0)</f>
        <v>17441</v>
      </c>
      <c r="D2772" s="5">
        <f>IFERROR(__xludf.DUMMYFUNCTION("""COMPUTED_VALUE"""),0.3150169363944298)</f>
        <v>0.3150169364</v>
      </c>
      <c r="E2772" s="5">
        <f>IFERROR(__xludf.DUMMYFUNCTION("""COMPUTED_VALUE"""),0.12765023209133108)</f>
        <v>0.1276502321</v>
      </c>
      <c r="F2772" s="5">
        <f>IFERROR(__xludf.DUMMYFUNCTION("""COMPUTED_VALUE"""),0.2065612846568812)</f>
        <v>0.2065612847</v>
      </c>
      <c r="G2772" s="5">
        <f>IFERROR(__xludf.DUMMYFUNCTION("""COMPUTED_VALUE"""),0.18454397189813074)</f>
        <v>0.1845439719</v>
      </c>
      <c r="H2772" s="5">
        <f>IFERROR(__xludf.DUMMYFUNCTION("""COMPUTED_VALUE"""),0.5900394776799271)</f>
        <v>0.5900394777</v>
      </c>
      <c r="I2772" s="11">
        <f>IFERROR(__xludf.DUMMYFUNCTION("""COMPUTED_VALUE"""),5825.812329183115)</f>
        <v>5825.812329</v>
      </c>
      <c r="J2772" s="10">
        <f>IFERROR(__xludf.DUMMYFUNCTION("""COMPUTED_VALUE"""),2.0)</f>
        <v>2</v>
      </c>
      <c r="K2772" s="5">
        <f>IFERROR(__xludf.DUMMYFUNCTION("""COMPUTED_VALUE"""),0.00133422281521014)</f>
        <v>0.001334222815</v>
      </c>
      <c r="L2772" s="10">
        <f>IFERROR(__xludf.DUMMYFUNCTION("""COMPUTED_VALUE"""),1314.0)</f>
        <v>1314</v>
      </c>
      <c r="M2772" s="5">
        <f>IFERROR(__xludf.DUMMYFUNCTION("""COMPUTED_VALUE"""),0.8765843895930621)</f>
        <v>0.8765843896</v>
      </c>
    </row>
    <row r="2773">
      <c r="A2773" s="10" t="str">
        <f>IFERROR(__xludf.DUMMYFUNCTION("""COMPUTED_VALUE"""),"ふみKUN")</f>
        <v>ふみKUN</v>
      </c>
      <c r="B2773" s="10">
        <f>IFERROR(__xludf.DUMMYFUNCTION("""COMPUTED_VALUE"""),1781.0)</f>
        <v>1781</v>
      </c>
      <c r="C2773" s="10">
        <f>IFERROR(__xludf.DUMMYFUNCTION("""COMPUTED_VALUE"""),20826.0)</f>
        <v>20826</v>
      </c>
      <c r="D2773" s="5">
        <f>IFERROR(__xludf.DUMMYFUNCTION("""COMPUTED_VALUE"""),0.265318981359937)</f>
        <v>0.2653189814</v>
      </c>
      <c r="E2773" s="5">
        <f>IFERROR(__xludf.DUMMYFUNCTION("""COMPUTED_VALUE"""),0.12764505119453926)</f>
        <v>0.1276450512</v>
      </c>
      <c r="F2773" s="5">
        <f>IFERROR(__xludf.DUMMYFUNCTION("""COMPUTED_VALUE"""),0.19831976896823314)</f>
        <v>0.198319769</v>
      </c>
      <c r="G2773" s="5">
        <f>IFERROR(__xludf.DUMMYFUNCTION("""COMPUTED_VALUE"""),0.1683381464951431)</f>
        <v>0.1683381465</v>
      </c>
      <c r="H2773" s="5">
        <f>IFERROR(__xludf.DUMMYFUNCTION("""COMPUTED_VALUE"""),0.6142441090812815)</f>
        <v>0.6142441091</v>
      </c>
      <c r="I2773" s="11">
        <f>IFERROR(__xludf.DUMMYFUNCTION("""COMPUTED_VALUE"""),5821.630924013768)</f>
        <v>5821.630924</v>
      </c>
      <c r="J2773" s="10">
        <f>IFERROR(__xludf.DUMMYFUNCTION("""COMPUTED_VALUE"""),4.0)</f>
        <v>4</v>
      </c>
      <c r="K2773" s="5">
        <f>IFERROR(__xludf.DUMMYFUNCTION("""COMPUTED_VALUE"""),0.0022459292532285235)</f>
        <v>0.002245929253</v>
      </c>
      <c r="L2773" s="10">
        <f>IFERROR(__xludf.DUMMYFUNCTION("""COMPUTED_VALUE"""),1781.0)</f>
        <v>1781</v>
      </c>
      <c r="M2773" s="5">
        <f>IFERROR(__xludf.DUMMYFUNCTION("""COMPUTED_VALUE"""),1.0)</f>
        <v>1</v>
      </c>
    </row>
    <row r="2774">
      <c r="A2774" s="10" t="str">
        <f>IFERROR(__xludf.DUMMYFUNCTION("""COMPUTED_VALUE"""),"andriy")</f>
        <v>andriy</v>
      </c>
      <c r="B2774" s="10">
        <f>IFERROR(__xludf.DUMMYFUNCTION("""COMPUTED_VALUE"""),214.0)</f>
        <v>214</v>
      </c>
      <c r="C2774" s="10">
        <f>IFERROR(__xludf.DUMMYFUNCTION("""COMPUTED_VALUE"""),2533.0)</f>
        <v>2533</v>
      </c>
      <c r="D2774" s="5">
        <f>IFERROR(__xludf.DUMMYFUNCTION("""COMPUTED_VALUE"""),0.3475636050021561)</f>
        <v>0.347563605</v>
      </c>
      <c r="E2774" s="5">
        <f>IFERROR(__xludf.DUMMYFUNCTION("""COMPUTED_VALUE"""),0.12764122466580421)</f>
        <v>0.1276412247</v>
      </c>
      <c r="F2774" s="5">
        <f>IFERROR(__xludf.DUMMYFUNCTION("""COMPUTED_VALUE"""),0.21345407503234154)</f>
        <v>0.213454075</v>
      </c>
      <c r="G2774" s="5">
        <f>IFERROR(__xludf.DUMMYFUNCTION("""COMPUTED_VALUE"""),0.13626563173781803)</f>
        <v>0.1362656317</v>
      </c>
      <c r="H2774" s="5">
        <f>IFERROR(__xludf.DUMMYFUNCTION("""COMPUTED_VALUE"""),0.6424242424242425)</f>
        <v>0.6424242424</v>
      </c>
      <c r="I2774" s="11">
        <f>IFERROR(__xludf.DUMMYFUNCTION("""COMPUTED_VALUE"""),5487.070707070707)</f>
        <v>5487.070707</v>
      </c>
      <c r="J2774" s="10">
        <f>IFERROR(__xludf.DUMMYFUNCTION("""COMPUTED_VALUE"""),1.0)</f>
        <v>1</v>
      </c>
      <c r="K2774" s="5">
        <f>IFERROR(__xludf.DUMMYFUNCTION("""COMPUTED_VALUE"""),0.004672897196261682)</f>
        <v>0.004672897196</v>
      </c>
      <c r="L2774" s="10">
        <f>IFERROR(__xludf.DUMMYFUNCTION("""COMPUTED_VALUE"""),0.0)</f>
        <v>0</v>
      </c>
      <c r="M2774" s="5">
        <f>IFERROR(__xludf.DUMMYFUNCTION("""COMPUTED_VALUE"""),0.0)</f>
        <v>0</v>
      </c>
    </row>
    <row r="2775">
      <c r="A2775" s="10" t="str">
        <f>IFERROR(__xludf.DUMMYFUNCTION("""COMPUTED_VALUE"""),"九丈花音")</f>
        <v>九丈花音</v>
      </c>
      <c r="B2775" s="10">
        <f>IFERROR(__xludf.DUMMYFUNCTION("""COMPUTED_VALUE"""),1119.0)</f>
        <v>1119</v>
      </c>
      <c r="C2775" s="10">
        <f>IFERROR(__xludf.DUMMYFUNCTION("""COMPUTED_VALUE"""),13006.0)</f>
        <v>13006</v>
      </c>
      <c r="D2775" s="5">
        <f>IFERROR(__xludf.DUMMYFUNCTION("""COMPUTED_VALUE"""),0.32018171111298055)</f>
        <v>0.3201817111</v>
      </c>
      <c r="E2775" s="5">
        <f>IFERROR(__xludf.DUMMYFUNCTION("""COMPUTED_VALUE"""),0.1276184066627408)</f>
        <v>0.1276184067</v>
      </c>
      <c r="F2775" s="5">
        <f>IFERROR(__xludf.DUMMYFUNCTION("""COMPUTED_VALUE"""),0.20593926137797594)</f>
        <v>0.2059392614</v>
      </c>
      <c r="G2775" s="5">
        <f>IFERROR(__xludf.DUMMYFUNCTION("""COMPUTED_VALUE"""),0.17304618490788257)</f>
        <v>0.1730461849</v>
      </c>
      <c r="H2775" s="5">
        <f>IFERROR(__xludf.DUMMYFUNCTION("""COMPUTED_VALUE"""),0.6062091503267973)</f>
        <v>0.6062091503</v>
      </c>
      <c r="I2775" s="11">
        <f>IFERROR(__xludf.DUMMYFUNCTION("""COMPUTED_VALUE"""),5855.473856209151)</f>
        <v>5855.473856</v>
      </c>
      <c r="J2775" s="10">
        <f>IFERROR(__xludf.DUMMYFUNCTION("""COMPUTED_VALUE"""),3.0)</f>
        <v>3</v>
      </c>
      <c r="K2775" s="5">
        <f>IFERROR(__xludf.DUMMYFUNCTION("""COMPUTED_VALUE"""),0.002680965147453083)</f>
        <v>0.002680965147</v>
      </c>
      <c r="L2775" s="10">
        <f>IFERROR(__xludf.DUMMYFUNCTION("""COMPUTED_VALUE"""),0.0)</f>
        <v>0</v>
      </c>
      <c r="M2775" s="5">
        <f>IFERROR(__xludf.DUMMYFUNCTION("""COMPUTED_VALUE"""),0.0)</f>
        <v>0</v>
      </c>
    </row>
    <row r="2776">
      <c r="A2776" s="10" t="str">
        <f>IFERROR(__xludf.DUMMYFUNCTION("""COMPUTED_VALUE"""),"遊び心")</f>
        <v>遊び心</v>
      </c>
      <c r="B2776" s="10">
        <f>IFERROR(__xludf.DUMMYFUNCTION("""COMPUTED_VALUE"""),2697.0)</f>
        <v>2697</v>
      </c>
      <c r="C2776" s="10">
        <f>IFERROR(__xludf.DUMMYFUNCTION("""COMPUTED_VALUE"""),31409.0)</f>
        <v>31409</v>
      </c>
      <c r="D2776" s="5">
        <f>IFERROR(__xludf.DUMMYFUNCTION("""COMPUTED_VALUE"""),0.3754179437169128)</f>
        <v>0.3754179437</v>
      </c>
      <c r="E2776" s="5">
        <f>IFERROR(__xludf.DUMMYFUNCTION("""COMPUTED_VALUE"""),0.12761214823070494)</f>
        <v>0.1276121482</v>
      </c>
      <c r="F2776" s="5">
        <f>IFERROR(__xludf.DUMMYFUNCTION("""COMPUTED_VALUE"""),0.21506687099470603)</f>
        <v>0.215066871</v>
      </c>
      <c r="G2776" s="5">
        <f>IFERROR(__xludf.DUMMYFUNCTION("""COMPUTED_VALUE"""),0.14976316522708275)</f>
        <v>0.1497631652</v>
      </c>
      <c r="H2776" s="5">
        <f>IFERROR(__xludf.DUMMYFUNCTION("""COMPUTED_VALUE"""),0.6132793522267207)</f>
        <v>0.6132793522</v>
      </c>
      <c r="I2776" s="11">
        <f>IFERROR(__xludf.DUMMYFUNCTION("""COMPUTED_VALUE"""),5355.1578947368425)</f>
        <v>5355.157895</v>
      </c>
      <c r="J2776" s="10">
        <f>IFERROR(__xludf.DUMMYFUNCTION("""COMPUTED_VALUE"""),10.0)</f>
        <v>10</v>
      </c>
      <c r="K2776" s="5">
        <f>IFERROR(__xludf.DUMMYFUNCTION("""COMPUTED_VALUE"""),0.0037078235076010383)</f>
        <v>0.003707823508</v>
      </c>
      <c r="L2776" s="10">
        <f>IFERROR(__xludf.DUMMYFUNCTION("""COMPUTED_VALUE"""),2697.0)</f>
        <v>2697</v>
      </c>
      <c r="M2776" s="5">
        <f>IFERROR(__xludf.DUMMYFUNCTION("""COMPUTED_VALUE"""),1.0)</f>
        <v>1</v>
      </c>
    </row>
    <row r="2777">
      <c r="A2777" s="10" t="str">
        <f>IFERROR(__xludf.DUMMYFUNCTION("""COMPUTED_VALUE"""),"きみたまご")</f>
        <v>きみたまご</v>
      </c>
      <c r="B2777" s="10">
        <f>IFERROR(__xludf.DUMMYFUNCTION("""COMPUTED_VALUE"""),3010.0)</f>
        <v>3010</v>
      </c>
      <c r="C2777" s="10">
        <f>IFERROR(__xludf.DUMMYFUNCTION("""COMPUTED_VALUE"""),35445.0)</f>
        <v>35445</v>
      </c>
      <c r="D2777" s="5">
        <f>IFERROR(__xludf.DUMMYFUNCTION("""COMPUTED_VALUE"""),0.37542777863419147)</f>
        <v>0.3754277786</v>
      </c>
      <c r="E2777" s="5">
        <f>IFERROR(__xludf.DUMMYFUNCTION("""COMPUTED_VALUE"""),0.12760906428241098)</f>
        <v>0.1276090643</v>
      </c>
      <c r="F2777" s="5">
        <f>IFERROR(__xludf.DUMMYFUNCTION("""COMPUTED_VALUE"""),0.2026514567596732)</f>
        <v>0.2026514568</v>
      </c>
      <c r="G2777" s="5">
        <f>IFERROR(__xludf.DUMMYFUNCTION("""COMPUTED_VALUE"""),0.14832742407892707)</f>
        <v>0.1483274241</v>
      </c>
      <c r="H2777" s="5">
        <f>IFERROR(__xludf.DUMMYFUNCTION("""COMPUTED_VALUE"""),0.6076373041229272)</f>
        <v>0.6076373041</v>
      </c>
      <c r="I2777" s="11">
        <f>IFERROR(__xludf.DUMMYFUNCTION("""COMPUTED_VALUE"""),5757.538414726913)</f>
        <v>5757.538415</v>
      </c>
      <c r="J2777" s="10">
        <f>IFERROR(__xludf.DUMMYFUNCTION("""COMPUTED_VALUE"""),8.0)</f>
        <v>8</v>
      </c>
      <c r="K2777" s="5">
        <f>IFERROR(__xludf.DUMMYFUNCTION("""COMPUTED_VALUE"""),0.0026578073089701)</f>
        <v>0.002657807309</v>
      </c>
      <c r="L2777" s="10">
        <f>IFERROR(__xludf.DUMMYFUNCTION("""COMPUTED_VALUE"""),3010.0)</f>
        <v>3010</v>
      </c>
      <c r="M2777" s="5">
        <f>IFERROR(__xludf.DUMMYFUNCTION("""COMPUTED_VALUE"""),1.0)</f>
        <v>1</v>
      </c>
    </row>
    <row r="2778">
      <c r="A2778" s="10" t="str">
        <f>IFERROR(__xludf.DUMMYFUNCTION("""COMPUTED_VALUE"""),"しんちゃん。")</f>
        <v>しんちゃん。</v>
      </c>
      <c r="B2778" s="10">
        <f>IFERROR(__xludf.DUMMYFUNCTION("""COMPUTED_VALUE"""),566.0)</f>
        <v>566</v>
      </c>
      <c r="C2778" s="10">
        <f>IFERROR(__xludf.DUMMYFUNCTION("""COMPUTED_VALUE"""),6561.0)</f>
        <v>6561</v>
      </c>
      <c r="D2778" s="5">
        <f>IFERROR(__xludf.DUMMYFUNCTION("""COMPUTED_VALUE"""),0.31726438698915765)</f>
        <v>0.317264387</v>
      </c>
      <c r="E2778" s="5">
        <f>IFERROR(__xludf.DUMMYFUNCTION("""COMPUTED_VALUE"""),0.12760633861551293)</f>
        <v>0.1276063386</v>
      </c>
      <c r="F2778" s="5">
        <f>IFERROR(__xludf.DUMMYFUNCTION("""COMPUTED_VALUE"""),0.21284403669724772)</f>
        <v>0.2128440367</v>
      </c>
      <c r="G2778" s="5">
        <f>IFERROR(__xludf.DUMMYFUNCTION("""COMPUTED_VALUE"""),0.1524603836530442)</f>
        <v>0.1524603837</v>
      </c>
      <c r="H2778" s="5">
        <f>IFERROR(__xludf.DUMMYFUNCTION("""COMPUTED_VALUE"""),0.5846394984326019)</f>
        <v>0.5846394984</v>
      </c>
      <c r="I2778" s="11">
        <f>IFERROR(__xludf.DUMMYFUNCTION("""COMPUTED_VALUE"""),6144.043887147335)</f>
        <v>6144.043887</v>
      </c>
      <c r="J2778" s="10">
        <f>IFERROR(__xludf.DUMMYFUNCTION("""COMPUTED_VALUE"""),7.0)</f>
        <v>7</v>
      </c>
      <c r="K2778" s="5">
        <f>IFERROR(__xludf.DUMMYFUNCTION("""COMPUTED_VALUE"""),0.012367491166077738)</f>
        <v>0.01236749117</v>
      </c>
      <c r="L2778" s="10">
        <f>IFERROR(__xludf.DUMMYFUNCTION("""COMPUTED_VALUE"""),566.0)</f>
        <v>566</v>
      </c>
      <c r="M2778" s="5">
        <f>IFERROR(__xludf.DUMMYFUNCTION("""COMPUTED_VALUE"""),1.0)</f>
        <v>1</v>
      </c>
    </row>
    <row r="2779">
      <c r="A2779" s="10" t="str">
        <f>IFERROR(__xludf.DUMMYFUNCTION("""COMPUTED_VALUE"""),"あんなつ")</f>
        <v>あんなつ</v>
      </c>
      <c r="B2779" s="10">
        <f>IFERROR(__xludf.DUMMYFUNCTION("""COMPUTED_VALUE"""),244.0)</f>
        <v>244</v>
      </c>
      <c r="C2779" s="10">
        <f>IFERROR(__xludf.DUMMYFUNCTION("""COMPUTED_VALUE"""),2885.0)</f>
        <v>2885</v>
      </c>
      <c r="D2779" s="5">
        <f>IFERROR(__xludf.DUMMYFUNCTION("""COMPUTED_VALUE"""),0.3335857629685725)</f>
        <v>0.333585763</v>
      </c>
      <c r="E2779" s="5">
        <f>IFERROR(__xludf.DUMMYFUNCTION("""COMPUTED_VALUE"""),0.127603180613404)</f>
        <v>0.1276031806</v>
      </c>
      <c r="F2779" s="5">
        <f>IFERROR(__xludf.DUMMYFUNCTION("""COMPUTED_VALUE"""),0.18364255963650133)</f>
        <v>0.1836425596</v>
      </c>
      <c r="G2779" s="5">
        <f>IFERROR(__xludf.DUMMYFUNCTION("""COMPUTED_VALUE"""),0.1794774706550549)</f>
        <v>0.1794774707</v>
      </c>
      <c r="H2779" s="5">
        <f>IFERROR(__xludf.DUMMYFUNCTION("""COMPUTED_VALUE"""),0.5752577319587628)</f>
        <v>0.575257732</v>
      </c>
      <c r="I2779" s="11">
        <f>IFERROR(__xludf.DUMMYFUNCTION("""COMPUTED_VALUE"""),5680.0)</f>
        <v>5680</v>
      </c>
      <c r="J2779" s="10">
        <f>IFERROR(__xludf.DUMMYFUNCTION("""COMPUTED_VALUE"""),0.0)</f>
        <v>0</v>
      </c>
      <c r="K2779" s="5">
        <f>IFERROR(__xludf.DUMMYFUNCTION("""COMPUTED_VALUE"""),0.0)</f>
        <v>0</v>
      </c>
      <c r="L2779" s="10">
        <f>IFERROR(__xludf.DUMMYFUNCTION("""COMPUTED_VALUE"""),244.0)</f>
        <v>244</v>
      </c>
      <c r="M2779" s="5">
        <f>IFERROR(__xludf.DUMMYFUNCTION("""COMPUTED_VALUE"""),1.0)</f>
        <v>1</v>
      </c>
    </row>
    <row r="2780">
      <c r="A2780" s="10" t="str">
        <f>IFERROR(__xludf.DUMMYFUNCTION("""COMPUTED_VALUE"""),"丹下桜野牧")</f>
        <v>丹下桜野牧</v>
      </c>
      <c r="B2780" s="10">
        <f>IFERROR(__xludf.DUMMYFUNCTION("""COMPUTED_VALUE"""),896.0)</f>
        <v>896</v>
      </c>
      <c r="C2780" s="10">
        <f>IFERROR(__xludf.DUMMYFUNCTION("""COMPUTED_VALUE"""),10551.0)</f>
        <v>10551</v>
      </c>
      <c r="D2780" s="5">
        <f>IFERROR(__xludf.DUMMYFUNCTION("""COMPUTED_VALUE"""),0.35535991714137755)</f>
        <v>0.3553599171</v>
      </c>
      <c r="E2780" s="5">
        <f>IFERROR(__xludf.DUMMYFUNCTION("""COMPUTED_VALUE"""),0.12760227861211806)</f>
        <v>0.1276022786</v>
      </c>
      <c r="F2780" s="5">
        <f>IFERROR(__xludf.DUMMYFUNCTION("""COMPUTED_VALUE"""),0.19823925427239772)</f>
        <v>0.1982392543</v>
      </c>
      <c r="G2780" s="5">
        <f>IFERROR(__xludf.DUMMYFUNCTION("""COMPUTED_VALUE"""),0.1659243915069912)</f>
        <v>0.1659243915</v>
      </c>
      <c r="H2780" s="5">
        <f>IFERROR(__xludf.DUMMYFUNCTION("""COMPUTED_VALUE"""),0.6044932079414838)</f>
        <v>0.6044932079</v>
      </c>
      <c r="I2780" s="11">
        <f>IFERROR(__xludf.DUMMYFUNCTION("""COMPUTED_VALUE"""),5528.265412748171)</f>
        <v>5528.265413</v>
      </c>
      <c r="J2780" s="10">
        <f>IFERROR(__xludf.DUMMYFUNCTION("""COMPUTED_VALUE"""),1.0)</f>
        <v>1</v>
      </c>
      <c r="K2780" s="5">
        <f>IFERROR(__xludf.DUMMYFUNCTION("""COMPUTED_VALUE"""),0.0011160714285714285)</f>
        <v>0.001116071429</v>
      </c>
      <c r="L2780" s="10">
        <f>IFERROR(__xludf.DUMMYFUNCTION("""COMPUTED_VALUE"""),896.0)</f>
        <v>896</v>
      </c>
      <c r="M2780" s="5">
        <f>IFERROR(__xludf.DUMMYFUNCTION("""COMPUTED_VALUE"""),1.0)</f>
        <v>1</v>
      </c>
    </row>
    <row r="2781">
      <c r="A2781" s="10" t="str">
        <f>IFERROR(__xludf.DUMMYFUNCTION("""COMPUTED_VALUE"""),"コマツマツコ")</f>
        <v>コマツマツコ</v>
      </c>
      <c r="B2781" s="10">
        <f>IFERROR(__xludf.DUMMYFUNCTION("""COMPUTED_VALUE"""),1114.0)</f>
        <v>1114</v>
      </c>
      <c r="C2781" s="10">
        <f>IFERROR(__xludf.DUMMYFUNCTION("""COMPUTED_VALUE"""),12838.0)</f>
        <v>12838</v>
      </c>
      <c r="D2781" s="5">
        <f>IFERROR(__xludf.DUMMYFUNCTION("""COMPUTED_VALUE"""),0.39943705220061415)</f>
        <v>0.3994370522</v>
      </c>
      <c r="E2781" s="5">
        <f>IFERROR(__xludf.DUMMYFUNCTION("""COMPUTED_VALUE"""),0.1276015011941317)</f>
        <v>0.1276015012</v>
      </c>
      <c r="F2781" s="5">
        <f>IFERROR(__xludf.DUMMYFUNCTION("""COMPUTED_VALUE"""),0.2134936881610372)</f>
        <v>0.2134936882</v>
      </c>
      <c r="G2781" s="5">
        <f>IFERROR(__xludf.DUMMYFUNCTION("""COMPUTED_VALUE"""),0.1708461276015012)</f>
        <v>0.1708461276</v>
      </c>
      <c r="H2781" s="5">
        <f>IFERROR(__xludf.DUMMYFUNCTION("""COMPUTED_VALUE"""),0.617259288853376)</f>
        <v>0.6172592889</v>
      </c>
      <c r="I2781" s="11">
        <f>IFERROR(__xludf.DUMMYFUNCTION("""COMPUTED_VALUE"""),5530.922892528965)</f>
        <v>5530.922893</v>
      </c>
      <c r="J2781" s="10">
        <f>IFERROR(__xludf.DUMMYFUNCTION("""COMPUTED_VALUE"""),2.0)</f>
        <v>2</v>
      </c>
      <c r="K2781" s="5">
        <f>IFERROR(__xludf.DUMMYFUNCTION("""COMPUTED_VALUE"""),0.0017953321364452424)</f>
        <v>0.001795332136</v>
      </c>
      <c r="L2781" s="10">
        <f>IFERROR(__xludf.DUMMYFUNCTION("""COMPUTED_VALUE"""),1092.0)</f>
        <v>1092</v>
      </c>
      <c r="M2781" s="5">
        <f>IFERROR(__xludf.DUMMYFUNCTION("""COMPUTED_VALUE"""),0.9802513464991023)</f>
        <v>0.9802513465</v>
      </c>
    </row>
    <row r="2782">
      <c r="A2782" s="10" t="str">
        <f>IFERROR(__xludf.DUMMYFUNCTION("""COMPUTED_VALUE"""),"bayes")</f>
        <v>bayes</v>
      </c>
      <c r="B2782" s="10">
        <f>IFERROR(__xludf.DUMMYFUNCTION("""COMPUTED_VALUE"""),283.0)</f>
        <v>283</v>
      </c>
      <c r="C2782" s="10">
        <f>IFERROR(__xludf.DUMMYFUNCTION("""COMPUTED_VALUE"""),3363.0)</f>
        <v>3363</v>
      </c>
      <c r="D2782" s="5">
        <f>IFERROR(__xludf.DUMMYFUNCTION("""COMPUTED_VALUE"""),0.32435064935064933)</f>
        <v>0.3243506494</v>
      </c>
      <c r="E2782" s="5">
        <f>IFERROR(__xludf.DUMMYFUNCTION("""COMPUTED_VALUE"""),0.1275974025974026)</f>
        <v>0.1275974026</v>
      </c>
      <c r="F2782" s="5">
        <f>IFERROR(__xludf.DUMMYFUNCTION("""COMPUTED_VALUE"""),0.1961038961038961)</f>
        <v>0.1961038961</v>
      </c>
      <c r="G2782" s="5">
        <f>IFERROR(__xludf.DUMMYFUNCTION("""COMPUTED_VALUE"""),0.17792207792207793)</f>
        <v>0.1779220779</v>
      </c>
      <c r="H2782" s="5">
        <f>IFERROR(__xludf.DUMMYFUNCTION("""COMPUTED_VALUE"""),0.6009933774834437)</f>
        <v>0.6009933775</v>
      </c>
      <c r="I2782" s="11">
        <f>IFERROR(__xludf.DUMMYFUNCTION("""COMPUTED_VALUE"""),5869.867549668874)</f>
        <v>5869.86755</v>
      </c>
      <c r="J2782" s="10">
        <f>IFERROR(__xludf.DUMMYFUNCTION("""COMPUTED_VALUE"""),0.0)</f>
        <v>0</v>
      </c>
      <c r="K2782" s="5">
        <f>IFERROR(__xludf.DUMMYFUNCTION("""COMPUTED_VALUE"""),0.0)</f>
        <v>0</v>
      </c>
      <c r="L2782" s="10">
        <f>IFERROR(__xludf.DUMMYFUNCTION("""COMPUTED_VALUE"""),283.0)</f>
        <v>283</v>
      </c>
      <c r="M2782" s="5">
        <f>IFERROR(__xludf.DUMMYFUNCTION("""COMPUTED_VALUE"""),1.0)</f>
        <v>1</v>
      </c>
    </row>
    <row r="2783">
      <c r="A2783" s="10" t="str">
        <f>IFERROR(__xludf.DUMMYFUNCTION("""COMPUTED_VALUE"""),"ぞんび")</f>
        <v>ぞんび</v>
      </c>
      <c r="B2783" s="10">
        <f>IFERROR(__xludf.DUMMYFUNCTION("""COMPUTED_VALUE"""),122.0)</f>
        <v>122</v>
      </c>
      <c r="C2783" s="10">
        <f>IFERROR(__xludf.DUMMYFUNCTION("""COMPUTED_VALUE"""),1423.0)</f>
        <v>1423</v>
      </c>
      <c r="D2783" s="5">
        <f>IFERROR(__xludf.DUMMYFUNCTION("""COMPUTED_VALUE"""),0.345119139123751)</f>
        <v>0.3451191391</v>
      </c>
      <c r="E2783" s="5">
        <f>IFERROR(__xludf.DUMMYFUNCTION("""COMPUTED_VALUE"""),0.12759415833973867)</f>
        <v>0.1275941583</v>
      </c>
      <c r="F2783" s="5">
        <f>IFERROR(__xludf.DUMMYFUNCTION("""COMPUTED_VALUE"""),0.19369715603382015)</f>
        <v>0.193697156</v>
      </c>
      <c r="G2783" s="5">
        <f>IFERROR(__xludf.DUMMYFUNCTION("""COMPUTED_VALUE"""),0.18447348193697155)</f>
        <v>0.1844734819</v>
      </c>
      <c r="H2783" s="5">
        <f>IFERROR(__xludf.DUMMYFUNCTION("""COMPUTED_VALUE"""),0.5912698412698413)</f>
        <v>0.5912698413</v>
      </c>
      <c r="I2783" s="11">
        <f>IFERROR(__xludf.DUMMYFUNCTION("""COMPUTED_VALUE"""),5821.428571428572)</f>
        <v>5821.428571</v>
      </c>
      <c r="J2783" s="10">
        <f>IFERROR(__xludf.DUMMYFUNCTION("""COMPUTED_VALUE"""),0.0)</f>
        <v>0</v>
      </c>
      <c r="K2783" s="5">
        <f>IFERROR(__xludf.DUMMYFUNCTION("""COMPUTED_VALUE"""),0.0)</f>
        <v>0</v>
      </c>
      <c r="L2783" s="10">
        <f>IFERROR(__xludf.DUMMYFUNCTION("""COMPUTED_VALUE"""),118.0)</f>
        <v>118</v>
      </c>
      <c r="M2783" s="5">
        <f>IFERROR(__xludf.DUMMYFUNCTION("""COMPUTED_VALUE"""),0.9672131147540983)</f>
        <v>0.9672131148</v>
      </c>
    </row>
    <row r="2784">
      <c r="A2784" s="10" t="str">
        <f>IFERROR(__xludf.DUMMYFUNCTION("""COMPUTED_VALUE"""),"ぽるっくす")</f>
        <v>ぽるっくす</v>
      </c>
      <c r="B2784" s="10">
        <f>IFERROR(__xludf.DUMMYFUNCTION("""COMPUTED_VALUE"""),150.0)</f>
        <v>150</v>
      </c>
      <c r="C2784" s="10">
        <f>IFERROR(__xludf.DUMMYFUNCTION("""COMPUTED_VALUE"""),1796.0)</f>
        <v>1796</v>
      </c>
      <c r="D2784" s="5">
        <f>IFERROR(__xludf.DUMMYFUNCTION("""COMPUTED_VALUE"""),0.39185905224787365)</f>
        <v>0.3918590522</v>
      </c>
      <c r="E2784" s="5">
        <f>IFERROR(__xludf.DUMMYFUNCTION("""COMPUTED_VALUE"""),0.1275820170109356)</f>
        <v>0.127582017</v>
      </c>
      <c r="F2784" s="5">
        <f>IFERROR(__xludf.DUMMYFUNCTION("""COMPUTED_VALUE"""),0.19744835965978128)</f>
        <v>0.1974483597</v>
      </c>
      <c r="G2784" s="5">
        <f>IFERROR(__xludf.DUMMYFUNCTION("""COMPUTED_VALUE"""),0.17253948967193194)</f>
        <v>0.1725394897</v>
      </c>
      <c r="H2784" s="5">
        <f>IFERROR(__xludf.DUMMYFUNCTION("""COMPUTED_VALUE"""),0.5876923076923077)</f>
        <v>0.5876923077</v>
      </c>
      <c r="I2784" s="11">
        <f>IFERROR(__xludf.DUMMYFUNCTION("""COMPUTED_VALUE"""),5665.2307692307695)</f>
        <v>5665.230769</v>
      </c>
      <c r="J2784" s="10">
        <f>IFERROR(__xludf.DUMMYFUNCTION("""COMPUTED_VALUE"""),2.0)</f>
        <v>2</v>
      </c>
      <c r="K2784" s="5">
        <f>IFERROR(__xludf.DUMMYFUNCTION("""COMPUTED_VALUE"""),0.013333333333333334)</f>
        <v>0.01333333333</v>
      </c>
      <c r="L2784" s="10">
        <f>IFERROR(__xludf.DUMMYFUNCTION("""COMPUTED_VALUE"""),128.0)</f>
        <v>128</v>
      </c>
      <c r="M2784" s="5">
        <f>IFERROR(__xludf.DUMMYFUNCTION("""COMPUTED_VALUE"""),0.8533333333333334)</f>
        <v>0.8533333333</v>
      </c>
    </row>
    <row r="2785">
      <c r="A2785" s="10" t="str">
        <f>IFERROR(__xludf.DUMMYFUNCTION("""COMPUTED_VALUE"""),"alotus")</f>
        <v>alotus</v>
      </c>
      <c r="B2785" s="10">
        <f>IFERROR(__xludf.DUMMYFUNCTION("""COMPUTED_VALUE"""),100.0)</f>
        <v>100</v>
      </c>
      <c r="C2785" s="10">
        <f>IFERROR(__xludf.DUMMYFUNCTION("""COMPUTED_VALUE"""),1166.0)</f>
        <v>1166</v>
      </c>
      <c r="D2785" s="5">
        <f>IFERROR(__xludf.DUMMYFUNCTION("""COMPUTED_VALUE"""),0.3339587242026266)</f>
        <v>0.3339587242</v>
      </c>
      <c r="E2785" s="5">
        <f>IFERROR(__xludf.DUMMYFUNCTION("""COMPUTED_VALUE"""),0.1275797373358349)</f>
        <v>0.1275797373</v>
      </c>
      <c r="F2785" s="5">
        <f>IFERROR(__xludf.DUMMYFUNCTION("""COMPUTED_VALUE"""),0.20356472795497185)</f>
        <v>0.203564728</v>
      </c>
      <c r="G2785" s="5">
        <f>IFERROR(__xludf.DUMMYFUNCTION("""COMPUTED_VALUE"""),0.14540337711069418)</f>
        <v>0.1454033771</v>
      </c>
      <c r="H2785" s="5">
        <f>IFERROR(__xludf.DUMMYFUNCTION("""COMPUTED_VALUE"""),0.5622119815668203)</f>
        <v>0.5622119816</v>
      </c>
      <c r="I2785" s="11">
        <f>IFERROR(__xludf.DUMMYFUNCTION("""COMPUTED_VALUE"""),5294.930875576037)</f>
        <v>5294.930876</v>
      </c>
      <c r="J2785" s="10">
        <f>IFERROR(__xludf.DUMMYFUNCTION("""COMPUTED_VALUE"""),0.0)</f>
        <v>0</v>
      </c>
      <c r="K2785" s="5">
        <f>IFERROR(__xludf.DUMMYFUNCTION("""COMPUTED_VALUE"""),0.0)</f>
        <v>0</v>
      </c>
      <c r="L2785" s="10">
        <f>IFERROR(__xludf.DUMMYFUNCTION("""COMPUTED_VALUE"""),100.0)</f>
        <v>100</v>
      </c>
      <c r="M2785" s="5">
        <f>IFERROR(__xludf.DUMMYFUNCTION("""COMPUTED_VALUE"""),1.0)</f>
        <v>1</v>
      </c>
    </row>
    <row r="2786">
      <c r="A2786" s="10" t="str">
        <f>IFERROR(__xludf.DUMMYFUNCTION("""COMPUTED_VALUE"""),"パン卓の支配者")</f>
        <v>パン卓の支配者</v>
      </c>
      <c r="B2786" s="10">
        <f>IFERROR(__xludf.DUMMYFUNCTION("""COMPUTED_VALUE"""),923.0)</f>
        <v>923</v>
      </c>
      <c r="C2786" s="10">
        <f>IFERROR(__xludf.DUMMYFUNCTION("""COMPUTED_VALUE"""),11003.0)</f>
        <v>11003</v>
      </c>
      <c r="D2786" s="5">
        <f>IFERROR(__xludf.DUMMYFUNCTION("""COMPUTED_VALUE"""),0.34751984126984126)</f>
        <v>0.3475198413</v>
      </c>
      <c r="E2786" s="5">
        <f>IFERROR(__xludf.DUMMYFUNCTION("""COMPUTED_VALUE"""),0.12757936507936507)</f>
        <v>0.1275793651</v>
      </c>
      <c r="F2786" s="5">
        <f>IFERROR(__xludf.DUMMYFUNCTION("""COMPUTED_VALUE"""),0.2084325396825397)</f>
        <v>0.2084325397</v>
      </c>
      <c r="G2786" s="5">
        <f>IFERROR(__xludf.DUMMYFUNCTION("""COMPUTED_VALUE"""),0.1736111111111111)</f>
        <v>0.1736111111</v>
      </c>
      <c r="H2786" s="5">
        <f>IFERROR(__xludf.DUMMYFUNCTION("""COMPUTED_VALUE"""),0.5792479771537363)</f>
        <v>0.5792479772</v>
      </c>
      <c r="I2786" s="11">
        <f>IFERROR(__xludf.DUMMYFUNCTION("""COMPUTED_VALUE"""),5647.977153736316)</f>
        <v>5647.977154</v>
      </c>
      <c r="J2786" s="10">
        <f>IFERROR(__xludf.DUMMYFUNCTION("""COMPUTED_VALUE"""),1.0)</f>
        <v>1</v>
      </c>
      <c r="K2786" s="5">
        <f>IFERROR(__xludf.DUMMYFUNCTION("""COMPUTED_VALUE"""),0.0010834236186348862)</f>
        <v>0.001083423619</v>
      </c>
      <c r="L2786" s="10">
        <f>IFERROR(__xludf.DUMMYFUNCTION("""COMPUTED_VALUE"""),923.0)</f>
        <v>923</v>
      </c>
      <c r="M2786" s="5">
        <f>IFERROR(__xludf.DUMMYFUNCTION("""COMPUTED_VALUE"""),1.0)</f>
        <v>1</v>
      </c>
    </row>
    <row r="2787">
      <c r="A2787" s="10" t="str">
        <f>IFERROR(__xludf.DUMMYFUNCTION("""COMPUTED_VALUE"""),"ハルたま")</f>
        <v>ハルたま</v>
      </c>
      <c r="B2787" s="10">
        <f>IFERROR(__xludf.DUMMYFUNCTION("""COMPUTED_VALUE"""),614.0)</f>
        <v>614</v>
      </c>
      <c r="C2787" s="10">
        <f>IFERROR(__xludf.DUMMYFUNCTION("""COMPUTED_VALUE"""),7159.0)</f>
        <v>7159</v>
      </c>
      <c r="D2787" s="5">
        <f>IFERROR(__xludf.DUMMYFUNCTION("""COMPUTED_VALUE"""),0.34835752482811305)</f>
        <v>0.3483575248</v>
      </c>
      <c r="E2787" s="5">
        <f>IFERROR(__xludf.DUMMYFUNCTION("""COMPUTED_VALUE"""),0.12757830404889228)</f>
        <v>0.127578304</v>
      </c>
      <c r="F2787" s="5">
        <f>IFERROR(__xludf.DUMMYFUNCTION("""COMPUTED_VALUE"""),0.2105423987776929)</f>
        <v>0.2105423988</v>
      </c>
      <c r="G2787" s="5">
        <f>IFERROR(__xludf.DUMMYFUNCTION("""COMPUTED_VALUE"""),0.15064935064935064)</f>
        <v>0.1506493506</v>
      </c>
      <c r="H2787" s="5">
        <f>IFERROR(__xludf.DUMMYFUNCTION("""COMPUTED_VALUE"""),0.6132075471698113)</f>
        <v>0.6132075472</v>
      </c>
      <c r="I2787" s="11">
        <f>IFERROR(__xludf.DUMMYFUNCTION("""COMPUTED_VALUE"""),5557.1117561683595)</f>
        <v>5557.111756</v>
      </c>
      <c r="J2787" s="10">
        <f>IFERROR(__xludf.DUMMYFUNCTION("""COMPUTED_VALUE"""),3.0)</f>
        <v>3</v>
      </c>
      <c r="K2787" s="5">
        <f>IFERROR(__xludf.DUMMYFUNCTION("""COMPUTED_VALUE"""),0.004885993485342019)</f>
        <v>0.004885993485</v>
      </c>
      <c r="L2787" s="10">
        <f>IFERROR(__xludf.DUMMYFUNCTION("""COMPUTED_VALUE"""),614.0)</f>
        <v>614</v>
      </c>
      <c r="M2787" s="5">
        <f>IFERROR(__xludf.DUMMYFUNCTION("""COMPUTED_VALUE"""),1.0)</f>
        <v>1</v>
      </c>
    </row>
    <row r="2788">
      <c r="A2788" s="10" t="str">
        <f>IFERROR(__xludf.DUMMYFUNCTION("""COMPUTED_VALUE"""),"zyunbo")</f>
        <v>zyunbo</v>
      </c>
      <c r="B2788" s="10">
        <f>IFERROR(__xludf.DUMMYFUNCTION("""COMPUTED_VALUE"""),1201.0)</f>
        <v>1201</v>
      </c>
      <c r="C2788" s="10">
        <f>IFERROR(__xludf.DUMMYFUNCTION("""COMPUTED_VALUE"""),13907.0)</f>
        <v>13907</v>
      </c>
      <c r="D2788" s="5">
        <f>IFERROR(__xludf.DUMMYFUNCTION("""COMPUTED_VALUE"""),0.30709900834251536)</f>
        <v>0.3070990083</v>
      </c>
      <c r="E2788" s="5">
        <f>IFERROR(__xludf.DUMMYFUNCTION("""COMPUTED_VALUE"""),0.12757752243034787)</f>
        <v>0.1275775224</v>
      </c>
      <c r="F2788" s="5">
        <f>IFERROR(__xludf.DUMMYFUNCTION("""COMPUTED_VALUE"""),0.207697150952306)</f>
        <v>0.207697151</v>
      </c>
      <c r="G2788" s="5">
        <f>IFERROR(__xludf.DUMMYFUNCTION("""COMPUTED_VALUE"""),0.1869982685345506)</f>
        <v>0.1869982685</v>
      </c>
      <c r="H2788" s="5">
        <f>IFERROR(__xludf.DUMMYFUNCTION("""COMPUTED_VALUE"""),0.5994694960212201)</f>
        <v>0.599469496</v>
      </c>
      <c r="I2788" s="11">
        <f>IFERROR(__xludf.DUMMYFUNCTION("""COMPUTED_VALUE"""),5815.953012504737)</f>
        <v>5815.953013</v>
      </c>
      <c r="J2788" s="10">
        <f>IFERROR(__xludf.DUMMYFUNCTION("""COMPUTED_VALUE"""),0.0)</f>
        <v>0</v>
      </c>
      <c r="K2788" s="5">
        <f>IFERROR(__xludf.DUMMYFUNCTION("""COMPUTED_VALUE"""),0.0)</f>
        <v>0</v>
      </c>
      <c r="L2788" s="10">
        <f>IFERROR(__xludf.DUMMYFUNCTION("""COMPUTED_VALUE"""),1201.0)</f>
        <v>1201</v>
      </c>
      <c r="M2788" s="5">
        <f>IFERROR(__xludf.DUMMYFUNCTION("""COMPUTED_VALUE"""),1.0)</f>
        <v>1</v>
      </c>
    </row>
    <row r="2789">
      <c r="A2789" s="10" t="str">
        <f>IFERROR(__xludf.DUMMYFUNCTION("""COMPUTED_VALUE"""),"谷口こうへい")</f>
        <v>谷口こうへい</v>
      </c>
      <c r="B2789" s="10">
        <f>IFERROR(__xludf.DUMMYFUNCTION("""COMPUTED_VALUE"""),5619.0)</f>
        <v>5619</v>
      </c>
      <c r="C2789" s="10">
        <f>IFERROR(__xludf.DUMMYFUNCTION("""COMPUTED_VALUE"""),65277.0)</f>
        <v>65277</v>
      </c>
      <c r="D2789" s="5">
        <f>IFERROR(__xludf.DUMMYFUNCTION("""COMPUTED_VALUE"""),0.3423681652083543)</f>
        <v>0.3423681652</v>
      </c>
      <c r="E2789" s="5">
        <f>IFERROR(__xludf.DUMMYFUNCTION("""COMPUTED_VALUE"""),0.12757718998290254)</f>
        <v>0.12757719</v>
      </c>
      <c r="F2789" s="5">
        <f>IFERROR(__xludf.DUMMYFUNCTION("""COMPUTED_VALUE"""),0.2166012940427101)</f>
        <v>0.216601294</v>
      </c>
      <c r="G2789" s="5">
        <f>IFERROR(__xludf.DUMMYFUNCTION("""COMPUTED_VALUE"""),0.1691809983573033)</f>
        <v>0.1691809984</v>
      </c>
      <c r="H2789" s="5">
        <f>IFERROR(__xludf.DUMMYFUNCTION("""COMPUTED_VALUE"""),0.5992106485064231)</f>
        <v>0.5992106485</v>
      </c>
      <c r="I2789" s="11">
        <f>IFERROR(__xludf.DUMMYFUNCTION("""COMPUTED_VALUE"""),5832.897384305835)</f>
        <v>5832.897384</v>
      </c>
      <c r="J2789" s="10">
        <f>IFERROR(__xludf.DUMMYFUNCTION("""COMPUTED_VALUE"""),10.0)</f>
        <v>10</v>
      </c>
      <c r="K2789" s="5">
        <f>IFERROR(__xludf.DUMMYFUNCTION("""COMPUTED_VALUE"""),0.001779676098949991)</f>
        <v>0.001779676099</v>
      </c>
      <c r="L2789" s="10">
        <f>IFERROR(__xludf.DUMMYFUNCTION("""COMPUTED_VALUE"""),5619.0)</f>
        <v>5619</v>
      </c>
      <c r="M2789" s="5">
        <f>IFERROR(__xludf.DUMMYFUNCTION("""COMPUTED_VALUE"""),1.0)</f>
        <v>1</v>
      </c>
    </row>
    <row r="2790">
      <c r="A2790" s="10" t="str">
        <f>IFERROR(__xludf.DUMMYFUNCTION("""COMPUTED_VALUE"""),"PAHunter")</f>
        <v>PAHunter</v>
      </c>
      <c r="B2790" s="10">
        <f>IFERROR(__xludf.DUMMYFUNCTION("""COMPUTED_VALUE"""),1664.0)</f>
        <v>1664</v>
      </c>
      <c r="C2790" s="10">
        <f>IFERROR(__xludf.DUMMYFUNCTION("""COMPUTED_VALUE"""),19497.0)</f>
        <v>19497</v>
      </c>
      <c r="D2790" s="5">
        <f>IFERROR(__xludf.DUMMYFUNCTION("""COMPUTED_VALUE"""),0.31637974541580216)</f>
        <v>0.3163797454</v>
      </c>
      <c r="E2790" s="5">
        <f>IFERROR(__xludf.DUMMYFUNCTION("""COMPUTED_VALUE"""),0.12757247799024282)</f>
        <v>0.127572478</v>
      </c>
      <c r="F2790" s="5">
        <f>IFERROR(__xludf.DUMMYFUNCTION("""COMPUTED_VALUE"""),0.21325632254808502)</f>
        <v>0.2132563225</v>
      </c>
      <c r="G2790" s="5">
        <f>IFERROR(__xludf.DUMMYFUNCTION("""COMPUTED_VALUE"""),0.14686255817865754)</f>
        <v>0.1468625582</v>
      </c>
      <c r="H2790" s="5">
        <f>IFERROR(__xludf.DUMMYFUNCTION("""COMPUTED_VALUE"""),0.5961083355245859)</f>
        <v>0.5961083355</v>
      </c>
      <c r="I2790" s="11">
        <f>IFERROR(__xludf.DUMMYFUNCTION("""COMPUTED_VALUE"""),5584.617407310018)</f>
        <v>5584.617407</v>
      </c>
      <c r="J2790" s="10">
        <f>IFERROR(__xludf.DUMMYFUNCTION("""COMPUTED_VALUE"""),2.0)</f>
        <v>2</v>
      </c>
      <c r="K2790" s="5">
        <f>IFERROR(__xludf.DUMMYFUNCTION("""COMPUTED_VALUE"""),0.001201923076923077)</f>
        <v>0.001201923077</v>
      </c>
      <c r="L2790" s="10">
        <f>IFERROR(__xludf.DUMMYFUNCTION("""COMPUTED_VALUE"""),1664.0)</f>
        <v>1664</v>
      </c>
      <c r="M2790" s="5">
        <f>IFERROR(__xludf.DUMMYFUNCTION("""COMPUTED_VALUE"""),1.0)</f>
        <v>1</v>
      </c>
    </row>
    <row r="2791">
      <c r="A2791" s="10" t="str">
        <f>IFERROR(__xludf.DUMMYFUNCTION("""COMPUTED_VALUE"""),"中村豪＠")</f>
        <v>中村豪＠</v>
      </c>
      <c r="B2791" s="10">
        <f>IFERROR(__xludf.DUMMYFUNCTION("""COMPUTED_VALUE"""),5763.0)</f>
        <v>5763</v>
      </c>
      <c r="C2791" s="10">
        <f>IFERROR(__xludf.DUMMYFUNCTION("""COMPUTED_VALUE"""),66835.0)</f>
        <v>66835</v>
      </c>
      <c r="D2791" s="5">
        <f>IFERROR(__xludf.DUMMYFUNCTION("""COMPUTED_VALUE"""),0.34413479172124706)</f>
        <v>0.3441347917</v>
      </c>
      <c r="E2791" s="5">
        <f>IFERROR(__xludf.DUMMYFUNCTION("""COMPUTED_VALUE"""),0.12757073618024628)</f>
        <v>0.1275707362</v>
      </c>
      <c r="F2791" s="5">
        <f>IFERROR(__xludf.DUMMYFUNCTION("""COMPUTED_VALUE"""),0.2124214042441708)</f>
        <v>0.2124214042</v>
      </c>
      <c r="G2791" s="5">
        <f>IFERROR(__xludf.DUMMYFUNCTION("""COMPUTED_VALUE"""),0.183422845166361)</f>
        <v>0.1834228452</v>
      </c>
      <c r="H2791" s="5">
        <f>IFERROR(__xludf.DUMMYFUNCTION("""COMPUTED_VALUE"""),0.5940800123333076)</f>
        <v>0.5940800123</v>
      </c>
      <c r="I2791" s="11">
        <f>IFERROR(__xludf.DUMMYFUNCTION("""COMPUTED_VALUE"""),5723.464117783088)</f>
        <v>5723.464118</v>
      </c>
      <c r="J2791" s="10">
        <f>IFERROR(__xludf.DUMMYFUNCTION("""COMPUTED_VALUE"""),6.0)</f>
        <v>6</v>
      </c>
      <c r="K2791" s="5">
        <f>IFERROR(__xludf.DUMMYFUNCTION("""COMPUTED_VALUE"""),0.001041124414367517)</f>
        <v>0.001041124414</v>
      </c>
      <c r="L2791" s="10">
        <f>IFERROR(__xludf.DUMMYFUNCTION("""COMPUTED_VALUE"""),5763.0)</f>
        <v>5763</v>
      </c>
      <c r="M2791" s="5">
        <f>IFERROR(__xludf.DUMMYFUNCTION("""COMPUTED_VALUE"""),1.0)</f>
        <v>1</v>
      </c>
    </row>
    <row r="2792">
      <c r="A2792" s="10" t="str">
        <f>IFERROR(__xludf.DUMMYFUNCTION("""COMPUTED_VALUE"""),"hipdcash")</f>
        <v>hipdcash</v>
      </c>
      <c r="B2792" s="10">
        <f>IFERROR(__xludf.DUMMYFUNCTION("""COMPUTED_VALUE"""),1715.0)</f>
        <v>1715</v>
      </c>
      <c r="C2792" s="10">
        <f>IFERROR(__xludf.DUMMYFUNCTION("""COMPUTED_VALUE"""),20286.0)</f>
        <v>20286</v>
      </c>
      <c r="D2792" s="5">
        <f>IFERROR(__xludf.DUMMYFUNCTION("""COMPUTED_VALUE"""),0.3364385331969199)</f>
        <v>0.3364385332</v>
      </c>
      <c r="E2792" s="5">
        <f>IFERROR(__xludf.DUMMYFUNCTION("""COMPUTED_VALUE"""),0.12756448225728287)</f>
        <v>0.1275644823</v>
      </c>
      <c r="F2792" s="5">
        <f>IFERROR(__xludf.DUMMYFUNCTION("""COMPUTED_VALUE"""),0.2110279467987723)</f>
        <v>0.2110279468</v>
      </c>
      <c r="G2792" s="5">
        <f>IFERROR(__xludf.DUMMYFUNCTION("""COMPUTED_VALUE"""),0.14689569759302137)</f>
        <v>0.1468956976</v>
      </c>
      <c r="H2792" s="5">
        <f>IFERROR(__xludf.DUMMYFUNCTION("""COMPUTED_VALUE"""),0.6016841030875223)</f>
        <v>0.6016841031</v>
      </c>
      <c r="I2792" s="11">
        <f>IFERROR(__xludf.DUMMYFUNCTION("""COMPUTED_VALUE"""),5515.973462618015)</f>
        <v>5515.973463</v>
      </c>
      <c r="J2792" s="10">
        <f>IFERROR(__xludf.DUMMYFUNCTION("""COMPUTED_VALUE"""),3.0)</f>
        <v>3</v>
      </c>
      <c r="K2792" s="5">
        <f>IFERROR(__xludf.DUMMYFUNCTION("""COMPUTED_VALUE"""),0.001749271137026239)</f>
        <v>0.001749271137</v>
      </c>
      <c r="L2792" s="10">
        <f>IFERROR(__xludf.DUMMYFUNCTION("""COMPUTED_VALUE"""),1712.0)</f>
        <v>1712</v>
      </c>
      <c r="M2792" s="5">
        <f>IFERROR(__xludf.DUMMYFUNCTION("""COMPUTED_VALUE"""),0.9982507288629737)</f>
        <v>0.9982507289</v>
      </c>
    </row>
    <row r="2793">
      <c r="A2793" s="10" t="str">
        <f>IFERROR(__xludf.DUMMYFUNCTION("""COMPUTED_VALUE"""),"33black")</f>
        <v>33black</v>
      </c>
      <c r="B2793" s="10">
        <f>IFERROR(__xludf.DUMMYFUNCTION("""COMPUTED_VALUE"""),2422.0)</f>
        <v>2422</v>
      </c>
      <c r="C2793" s="10">
        <f>IFERROR(__xludf.DUMMYFUNCTION("""COMPUTED_VALUE"""),28653.0)</f>
        <v>28653</v>
      </c>
      <c r="D2793" s="5">
        <f>IFERROR(__xludf.DUMMYFUNCTION("""COMPUTED_VALUE"""),0.34920513895772176)</f>
        <v>0.349205139</v>
      </c>
      <c r="E2793" s="5">
        <f>IFERROR(__xludf.DUMMYFUNCTION("""COMPUTED_VALUE"""),0.1275589950821547)</f>
        <v>0.1275589951</v>
      </c>
      <c r="F2793" s="5">
        <f>IFERROR(__xludf.DUMMYFUNCTION("""COMPUTED_VALUE"""),0.20834127558995083)</f>
        <v>0.2083412756</v>
      </c>
      <c r="G2793" s="5">
        <f>IFERROR(__xludf.DUMMYFUNCTION("""COMPUTED_VALUE"""),0.1648431245472914)</f>
        <v>0.1648431245</v>
      </c>
      <c r="H2793" s="5">
        <f>IFERROR(__xludf.DUMMYFUNCTION("""COMPUTED_VALUE"""),0.5851784080512351)</f>
        <v>0.5851784081</v>
      </c>
      <c r="I2793" s="11">
        <f>IFERROR(__xludf.DUMMYFUNCTION("""COMPUTED_VALUE"""),5430.393412625801)</f>
        <v>5430.393413</v>
      </c>
      <c r="J2793" s="10">
        <f>IFERROR(__xludf.DUMMYFUNCTION("""COMPUTED_VALUE"""),4.0)</f>
        <v>4</v>
      </c>
      <c r="K2793" s="5">
        <f>IFERROR(__xludf.DUMMYFUNCTION("""COMPUTED_VALUE"""),0.0016515276630883566)</f>
        <v>0.001651527663</v>
      </c>
      <c r="L2793" s="10">
        <f>IFERROR(__xludf.DUMMYFUNCTION("""COMPUTED_VALUE"""),1768.0)</f>
        <v>1768</v>
      </c>
      <c r="M2793" s="5">
        <f>IFERROR(__xludf.DUMMYFUNCTION("""COMPUTED_VALUE"""),0.7299752270850537)</f>
        <v>0.7299752271</v>
      </c>
    </row>
    <row r="2794">
      <c r="A2794" s="10" t="str">
        <f>IFERROR(__xludf.DUMMYFUNCTION("""COMPUTED_VALUE"""),"koitte")</f>
        <v>koitte</v>
      </c>
      <c r="B2794" s="10">
        <f>IFERROR(__xludf.DUMMYFUNCTION("""COMPUTED_VALUE"""),685.0)</f>
        <v>685</v>
      </c>
      <c r="C2794" s="10">
        <f>IFERROR(__xludf.DUMMYFUNCTION("""COMPUTED_VALUE"""),8023.0)</f>
        <v>8023</v>
      </c>
      <c r="D2794" s="5">
        <f>IFERROR(__xludf.DUMMYFUNCTION("""COMPUTED_VALUE"""),0.31861542654674296)</f>
        <v>0.3186154265</v>
      </c>
      <c r="E2794" s="5">
        <f>IFERROR(__xludf.DUMMYFUNCTION("""COMPUTED_VALUE"""),0.12755519215044972)</f>
        <v>0.1275551922</v>
      </c>
      <c r="F2794" s="5">
        <f>IFERROR(__xludf.DUMMYFUNCTION("""COMPUTED_VALUE"""),0.20237121831561733)</f>
        <v>0.2023712183</v>
      </c>
      <c r="G2794" s="5">
        <f>IFERROR(__xludf.DUMMYFUNCTION("""COMPUTED_VALUE"""),0.1519487598800763)</f>
        <v>0.1519487599</v>
      </c>
      <c r="H2794" s="5">
        <f>IFERROR(__xludf.DUMMYFUNCTION("""COMPUTED_VALUE"""),0.5993265993265994)</f>
        <v>0.5993265993</v>
      </c>
      <c r="I2794" s="11">
        <f>IFERROR(__xludf.DUMMYFUNCTION("""COMPUTED_VALUE"""),5584.040404040404)</f>
        <v>5584.040404</v>
      </c>
      <c r="J2794" s="10">
        <f>IFERROR(__xludf.DUMMYFUNCTION("""COMPUTED_VALUE"""),3.0)</f>
        <v>3</v>
      </c>
      <c r="K2794" s="5">
        <f>IFERROR(__xludf.DUMMYFUNCTION("""COMPUTED_VALUE"""),0.004379562043795621)</f>
        <v>0.004379562044</v>
      </c>
      <c r="L2794" s="10">
        <f>IFERROR(__xludf.DUMMYFUNCTION("""COMPUTED_VALUE"""),685.0)</f>
        <v>685</v>
      </c>
      <c r="M2794" s="5">
        <f>IFERROR(__xludf.DUMMYFUNCTION("""COMPUTED_VALUE"""),1.0)</f>
        <v>1</v>
      </c>
    </row>
    <row r="2795">
      <c r="A2795" s="10" t="str">
        <f>IFERROR(__xludf.DUMMYFUNCTION("""COMPUTED_VALUE"""),"ラテイルオ")</f>
        <v>ラテイルオ</v>
      </c>
      <c r="B2795" s="10">
        <f>IFERROR(__xludf.DUMMYFUNCTION("""COMPUTED_VALUE"""),178.0)</f>
        <v>178</v>
      </c>
      <c r="C2795" s="10">
        <f>IFERROR(__xludf.DUMMYFUNCTION("""COMPUTED_VALUE"""),2099.0)</f>
        <v>2099</v>
      </c>
      <c r="D2795" s="5">
        <f>IFERROR(__xludf.DUMMYFUNCTION("""COMPUTED_VALUE"""),0.3071317022384175)</f>
        <v>0.3071317022</v>
      </c>
      <c r="E2795" s="5">
        <f>IFERROR(__xludf.DUMMYFUNCTION("""COMPUTED_VALUE"""),0.12753774076002083)</f>
        <v>0.1275377408</v>
      </c>
      <c r="F2795" s="5">
        <f>IFERROR(__xludf.DUMMYFUNCTION("""COMPUTED_VALUE"""),0.20353982300884957)</f>
        <v>0.203539823</v>
      </c>
      <c r="G2795" s="5">
        <f>IFERROR(__xludf.DUMMYFUNCTION("""COMPUTED_VALUE"""),0.18636127017178553)</f>
        <v>0.1863612702</v>
      </c>
      <c r="H2795" s="5">
        <f>IFERROR(__xludf.DUMMYFUNCTION("""COMPUTED_VALUE"""),0.5831202046035806)</f>
        <v>0.5831202046</v>
      </c>
      <c r="I2795" s="11">
        <f>IFERROR(__xludf.DUMMYFUNCTION("""COMPUTED_VALUE"""),6171.355498721227)</f>
        <v>6171.355499</v>
      </c>
      <c r="J2795" s="10">
        <f>IFERROR(__xludf.DUMMYFUNCTION("""COMPUTED_VALUE"""),0.0)</f>
        <v>0</v>
      </c>
      <c r="K2795" s="5">
        <f>IFERROR(__xludf.DUMMYFUNCTION("""COMPUTED_VALUE"""),0.0)</f>
        <v>0</v>
      </c>
      <c r="L2795" s="10">
        <f>IFERROR(__xludf.DUMMYFUNCTION("""COMPUTED_VALUE"""),178.0)</f>
        <v>178</v>
      </c>
      <c r="M2795" s="5">
        <f>IFERROR(__xludf.DUMMYFUNCTION("""COMPUTED_VALUE"""),1.0)</f>
        <v>1</v>
      </c>
    </row>
    <row r="2796">
      <c r="A2796" s="10" t="str">
        <f>IFERROR(__xludf.DUMMYFUNCTION("""COMPUTED_VALUE"""),"独歩")</f>
        <v>独歩</v>
      </c>
      <c r="B2796" s="10">
        <f>IFERROR(__xludf.DUMMYFUNCTION("""COMPUTED_VALUE"""),3393.0)</f>
        <v>3393</v>
      </c>
      <c r="C2796" s="10">
        <f>IFERROR(__xludf.DUMMYFUNCTION("""COMPUTED_VALUE"""),40136.0)</f>
        <v>40136</v>
      </c>
      <c r="D2796" s="5">
        <f>IFERROR(__xludf.DUMMYFUNCTION("""COMPUTED_VALUE"""),0.3667909533788749)</f>
        <v>0.3667909534</v>
      </c>
      <c r="E2796" s="5">
        <f>IFERROR(__xludf.DUMMYFUNCTION("""COMPUTED_VALUE"""),0.12753449636665487)</f>
        <v>0.1275344964</v>
      </c>
      <c r="F2796" s="5">
        <f>IFERROR(__xludf.DUMMYFUNCTION("""COMPUTED_VALUE"""),0.22107612334322183)</f>
        <v>0.2210761233</v>
      </c>
      <c r="G2796" s="5">
        <f>IFERROR(__xludf.DUMMYFUNCTION("""COMPUTED_VALUE"""),0.15450562011811775)</f>
        <v>0.1545056201</v>
      </c>
      <c r="H2796" s="5">
        <f>IFERROR(__xludf.DUMMYFUNCTION("""COMPUTED_VALUE"""),0.5917764372768681)</f>
        <v>0.5917764373</v>
      </c>
      <c r="I2796" s="11">
        <f>IFERROR(__xludf.DUMMYFUNCTION("""COMPUTED_VALUE"""),5545.980549058229)</f>
        <v>5545.980549</v>
      </c>
      <c r="J2796" s="10">
        <f>IFERROR(__xludf.DUMMYFUNCTION("""COMPUTED_VALUE"""),1.0)</f>
        <v>1</v>
      </c>
      <c r="K2796" s="5">
        <f>IFERROR(__xludf.DUMMYFUNCTION("""COMPUTED_VALUE"""),2.947244326554671E-4)</f>
        <v>0.0002947244327</v>
      </c>
      <c r="L2796" s="10">
        <f>IFERROR(__xludf.DUMMYFUNCTION("""COMPUTED_VALUE"""),3393.0)</f>
        <v>3393</v>
      </c>
      <c r="M2796" s="5">
        <f>IFERROR(__xludf.DUMMYFUNCTION("""COMPUTED_VALUE"""),1.0)</f>
        <v>1</v>
      </c>
    </row>
    <row r="2797">
      <c r="A2797" s="10" t="str">
        <f>IFERROR(__xludf.DUMMYFUNCTION("""COMPUTED_VALUE"""),"雲雀の囀り")</f>
        <v>雲雀の囀り</v>
      </c>
      <c r="B2797" s="10">
        <f>IFERROR(__xludf.DUMMYFUNCTION("""COMPUTED_VALUE"""),1191.0)</f>
        <v>1191</v>
      </c>
      <c r="C2797" s="10">
        <f>IFERROR(__xludf.DUMMYFUNCTION("""COMPUTED_VALUE"""),13870.0)</f>
        <v>13870</v>
      </c>
      <c r="D2797" s="5">
        <f>IFERROR(__xludf.DUMMYFUNCTION("""COMPUTED_VALUE"""),0.38362646896442937)</f>
        <v>0.383626469</v>
      </c>
      <c r="E2797" s="5">
        <f>IFERROR(__xludf.DUMMYFUNCTION("""COMPUTED_VALUE"""),0.12753371717012382)</f>
        <v>0.1275337172</v>
      </c>
      <c r="F2797" s="5">
        <f>IFERROR(__xludf.DUMMYFUNCTION("""COMPUTED_VALUE"""),0.2141336067513211)</f>
        <v>0.2141336068</v>
      </c>
      <c r="G2797" s="5">
        <f>IFERROR(__xludf.DUMMYFUNCTION("""COMPUTED_VALUE"""),0.17138575597444594)</f>
        <v>0.171385756</v>
      </c>
      <c r="H2797" s="5">
        <f>IFERROR(__xludf.DUMMYFUNCTION("""COMPUTED_VALUE"""),0.6187845303867403)</f>
        <v>0.6187845304</v>
      </c>
      <c r="I2797" s="11">
        <f>IFERROR(__xludf.DUMMYFUNCTION("""COMPUTED_VALUE"""),5674.327808471455)</f>
        <v>5674.327808</v>
      </c>
      <c r="J2797" s="10">
        <f>IFERROR(__xludf.DUMMYFUNCTION("""COMPUTED_VALUE"""),4.0)</f>
        <v>4</v>
      </c>
      <c r="K2797" s="5">
        <f>IFERROR(__xludf.DUMMYFUNCTION("""COMPUTED_VALUE"""),0.0033585222502099076)</f>
        <v>0.00335852225</v>
      </c>
      <c r="L2797" s="10">
        <f>IFERROR(__xludf.DUMMYFUNCTION("""COMPUTED_VALUE"""),1191.0)</f>
        <v>1191</v>
      </c>
      <c r="M2797" s="5">
        <f>IFERROR(__xludf.DUMMYFUNCTION("""COMPUTED_VALUE"""),1.0)</f>
        <v>1</v>
      </c>
    </row>
    <row r="2798">
      <c r="A2798" s="10" t="str">
        <f>IFERROR(__xludf.DUMMYFUNCTION("""COMPUTED_VALUE"""),"蛙の王")</f>
        <v>蛙の王</v>
      </c>
      <c r="B2798" s="10">
        <f>IFERROR(__xludf.DUMMYFUNCTION("""COMPUTED_VALUE"""),2232.0)</f>
        <v>2232</v>
      </c>
      <c r="C2798" s="10">
        <f>IFERROR(__xludf.DUMMYFUNCTION("""COMPUTED_VALUE"""),25928.0)</f>
        <v>25928</v>
      </c>
      <c r="D2798" s="5">
        <f>IFERROR(__xludf.DUMMYFUNCTION("""COMPUTED_VALUE"""),0.40103814989871706)</f>
        <v>0.4010381499</v>
      </c>
      <c r="E2798" s="5">
        <f>IFERROR(__xludf.DUMMYFUNCTION("""COMPUTED_VALUE"""),0.1275320729237002)</f>
        <v>0.1275320729</v>
      </c>
      <c r="F2798" s="5">
        <f>IFERROR(__xludf.DUMMYFUNCTION("""COMPUTED_VALUE"""),0.21645003376097233)</f>
        <v>0.2164500338</v>
      </c>
      <c r="G2798" s="5">
        <f>IFERROR(__xludf.DUMMYFUNCTION("""COMPUTED_VALUE"""),0.17112592842673868)</f>
        <v>0.1711259284</v>
      </c>
      <c r="H2798" s="5">
        <f>IFERROR(__xludf.DUMMYFUNCTION("""COMPUTED_VALUE"""),0.595632676935075)</f>
        <v>0.5956326769</v>
      </c>
      <c r="I2798" s="11">
        <f>IFERROR(__xludf.DUMMYFUNCTION("""COMPUTED_VALUE"""),5544.180152076428)</f>
        <v>5544.180152</v>
      </c>
      <c r="J2798" s="10">
        <f>IFERROR(__xludf.DUMMYFUNCTION("""COMPUTED_VALUE"""),5.0)</f>
        <v>5</v>
      </c>
      <c r="K2798" s="5">
        <f>IFERROR(__xludf.DUMMYFUNCTION("""COMPUTED_VALUE"""),0.002240143369175627)</f>
        <v>0.002240143369</v>
      </c>
      <c r="L2798" s="10">
        <f>IFERROR(__xludf.DUMMYFUNCTION("""COMPUTED_VALUE"""),2232.0)</f>
        <v>2232</v>
      </c>
      <c r="M2798" s="5">
        <f>IFERROR(__xludf.DUMMYFUNCTION("""COMPUTED_VALUE"""),1.0)</f>
        <v>1</v>
      </c>
    </row>
    <row r="2799">
      <c r="A2799" s="10" t="str">
        <f>IFERROR(__xludf.DUMMYFUNCTION("""COMPUTED_VALUE"""),"京都ペンギン")</f>
        <v>京都ペンギン</v>
      </c>
      <c r="B2799" s="10">
        <f>IFERROR(__xludf.DUMMYFUNCTION("""COMPUTED_VALUE"""),566.0)</f>
        <v>566</v>
      </c>
      <c r="C2799" s="10">
        <f>IFERROR(__xludf.DUMMYFUNCTION("""COMPUTED_VALUE"""),6651.0)</f>
        <v>6651</v>
      </c>
      <c r="D2799" s="5">
        <f>IFERROR(__xludf.DUMMYFUNCTION("""COMPUTED_VALUE"""),0.36335250616269515)</f>
        <v>0.3633525062</v>
      </c>
      <c r="E2799" s="5">
        <f>IFERROR(__xludf.DUMMYFUNCTION("""COMPUTED_VALUE"""),0.12752670501232538)</f>
        <v>0.127526705</v>
      </c>
      <c r="F2799" s="5">
        <f>IFERROR(__xludf.DUMMYFUNCTION("""COMPUTED_VALUE"""),0.21035332785538208)</f>
        <v>0.2103533279</v>
      </c>
      <c r="G2799" s="5">
        <f>IFERROR(__xludf.DUMMYFUNCTION("""COMPUTED_VALUE"""),0.15776499589153656)</f>
        <v>0.1577649959</v>
      </c>
      <c r="H2799" s="5">
        <f>IFERROR(__xludf.DUMMYFUNCTION("""COMPUTED_VALUE"""),0.5859375)</f>
        <v>0.5859375</v>
      </c>
      <c r="I2799" s="11">
        <f>IFERROR(__xludf.DUMMYFUNCTION("""COMPUTED_VALUE"""),5587.96875)</f>
        <v>5587.96875</v>
      </c>
      <c r="J2799" s="10">
        <f>IFERROR(__xludf.DUMMYFUNCTION("""COMPUTED_VALUE"""),2.0)</f>
        <v>2</v>
      </c>
      <c r="K2799" s="5">
        <f>IFERROR(__xludf.DUMMYFUNCTION("""COMPUTED_VALUE"""),0.0035335689045936395)</f>
        <v>0.003533568905</v>
      </c>
      <c r="L2799" s="10">
        <f>IFERROR(__xludf.DUMMYFUNCTION("""COMPUTED_VALUE"""),566.0)</f>
        <v>566</v>
      </c>
      <c r="M2799" s="5">
        <f>IFERROR(__xludf.DUMMYFUNCTION("""COMPUTED_VALUE"""),1.0)</f>
        <v>1</v>
      </c>
    </row>
    <row r="2800">
      <c r="A2800" s="10" t="str">
        <f>IFERROR(__xludf.DUMMYFUNCTION("""COMPUTED_VALUE"""),"絶対不可侵領域")</f>
        <v>絶対不可侵領域</v>
      </c>
      <c r="B2800" s="10">
        <f>IFERROR(__xludf.DUMMYFUNCTION("""COMPUTED_VALUE"""),2635.0)</f>
        <v>2635</v>
      </c>
      <c r="C2800" s="10">
        <f>IFERROR(__xludf.DUMMYFUNCTION("""COMPUTED_VALUE"""),30775.0)</f>
        <v>30775</v>
      </c>
      <c r="D2800" s="5">
        <f>IFERROR(__xludf.DUMMYFUNCTION("""COMPUTED_VALUE"""),0.37139303482587066)</f>
        <v>0.3713930348</v>
      </c>
      <c r="E2800" s="5">
        <f>IFERROR(__xludf.DUMMYFUNCTION("""COMPUTED_VALUE"""),0.1275053304904051)</f>
        <v>0.1275053305</v>
      </c>
      <c r="F2800" s="5">
        <f>IFERROR(__xludf.DUMMYFUNCTION("""COMPUTED_VALUE"""),0.22309879175550817)</f>
        <v>0.2230987918</v>
      </c>
      <c r="G2800" s="5">
        <f>IFERROR(__xludf.DUMMYFUNCTION("""COMPUTED_VALUE"""),0.16417910447761194)</f>
        <v>0.1641791045</v>
      </c>
      <c r="H2800" s="5">
        <f>IFERROR(__xludf.DUMMYFUNCTION("""COMPUTED_VALUE"""),0.6138897738133163)</f>
        <v>0.6138897738</v>
      </c>
      <c r="I2800" s="11">
        <f>IFERROR(__xludf.DUMMYFUNCTION("""COMPUTED_VALUE"""),5373.908888180949)</f>
        <v>5373.908888</v>
      </c>
      <c r="J2800" s="10">
        <f>IFERROR(__xludf.DUMMYFUNCTION("""COMPUTED_VALUE"""),9.0)</f>
        <v>9</v>
      </c>
      <c r="K2800" s="5">
        <f>IFERROR(__xludf.DUMMYFUNCTION("""COMPUTED_VALUE"""),0.003415559772296015)</f>
        <v>0.003415559772</v>
      </c>
      <c r="L2800" s="10">
        <f>IFERROR(__xludf.DUMMYFUNCTION("""COMPUTED_VALUE"""),2635.0)</f>
        <v>2635</v>
      </c>
      <c r="M2800" s="5">
        <f>IFERROR(__xludf.DUMMYFUNCTION("""COMPUTED_VALUE"""),1.0)</f>
        <v>1</v>
      </c>
    </row>
    <row r="2801">
      <c r="A2801" s="10" t="str">
        <f>IFERROR(__xludf.DUMMYFUNCTION("""COMPUTED_VALUE"""),"嶺上咲")</f>
        <v>嶺上咲</v>
      </c>
      <c r="B2801" s="10">
        <f>IFERROR(__xludf.DUMMYFUNCTION("""COMPUTED_VALUE"""),279.0)</f>
        <v>279</v>
      </c>
      <c r="C2801" s="10">
        <f>IFERROR(__xludf.DUMMYFUNCTION("""COMPUTED_VALUE"""),3173.0)</f>
        <v>3173</v>
      </c>
      <c r="D2801" s="5">
        <f>IFERROR(__xludf.DUMMYFUNCTION("""COMPUTED_VALUE"""),0.37214927436074635)</f>
        <v>0.3721492744</v>
      </c>
      <c r="E2801" s="5">
        <f>IFERROR(__xludf.DUMMYFUNCTION("""COMPUTED_VALUE"""),0.12750518313752593)</f>
        <v>0.1275051831</v>
      </c>
      <c r="F2801" s="5">
        <f>IFERROR(__xludf.DUMMYFUNCTION("""COMPUTED_VALUE"""),0.22287491361437456)</f>
        <v>0.2228749136</v>
      </c>
      <c r="G2801" s="5">
        <f>IFERROR(__xludf.DUMMYFUNCTION("""COMPUTED_VALUE"""),0.16378714581893572)</f>
        <v>0.1637871458</v>
      </c>
      <c r="H2801" s="5">
        <f>IFERROR(__xludf.DUMMYFUNCTION("""COMPUTED_VALUE"""),0.5844961240310077)</f>
        <v>0.584496124</v>
      </c>
      <c r="I2801" s="11">
        <f>IFERROR(__xludf.DUMMYFUNCTION("""COMPUTED_VALUE"""),5622.635658914729)</f>
        <v>5622.635659</v>
      </c>
      <c r="J2801" s="10">
        <f>IFERROR(__xludf.DUMMYFUNCTION("""COMPUTED_VALUE"""),1.0)</f>
        <v>1</v>
      </c>
      <c r="K2801" s="5">
        <f>IFERROR(__xludf.DUMMYFUNCTION("""COMPUTED_VALUE"""),0.0035842293906810036)</f>
        <v>0.003584229391</v>
      </c>
      <c r="L2801" s="10">
        <f>IFERROR(__xludf.DUMMYFUNCTION("""COMPUTED_VALUE"""),112.0)</f>
        <v>112</v>
      </c>
      <c r="M2801" s="5">
        <f>IFERROR(__xludf.DUMMYFUNCTION("""COMPUTED_VALUE"""),0.4014336917562724)</f>
        <v>0.4014336918</v>
      </c>
    </row>
    <row r="2802">
      <c r="A2802" s="10" t="str">
        <f>IFERROR(__xludf.DUMMYFUNCTION("""COMPUTED_VALUE"""),"ぽん大生")</f>
        <v>ぽん大生</v>
      </c>
      <c r="B2802" s="10">
        <f>IFERROR(__xludf.DUMMYFUNCTION("""COMPUTED_VALUE"""),893.0)</f>
        <v>893</v>
      </c>
      <c r="C2802" s="10">
        <f>IFERROR(__xludf.DUMMYFUNCTION("""COMPUTED_VALUE"""),10446.0)</f>
        <v>10446</v>
      </c>
      <c r="D2802" s="5">
        <f>IFERROR(__xludf.DUMMYFUNCTION("""COMPUTED_VALUE"""),0.31759656652360513)</f>
        <v>0.3175965665</v>
      </c>
      <c r="E2802" s="5">
        <f>IFERROR(__xludf.DUMMYFUNCTION("""COMPUTED_VALUE"""),0.12749921490631216)</f>
        <v>0.1274992149</v>
      </c>
      <c r="F2802" s="5">
        <f>IFERROR(__xludf.DUMMYFUNCTION("""COMPUTED_VALUE"""),0.20747409190830104)</f>
        <v>0.2074740919</v>
      </c>
      <c r="G2802" s="5">
        <f>IFERROR(__xludf.DUMMYFUNCTION("""COMPUTED_VALUE"""),0.19240029310164347)</f>
        <v>0.1924002931</v>
      </c>
      <c r="H2802" s="5">
        <f>IFERROR(__xludf.DUMMYFUNCTION("""COMPUTED_VALUE"""),0.5953582240161454)</f>
        <v>0.595358224</v>
      </c>
      <c r="I2802" s="11">
        <f>IFERROR(__xludf.DUMMYFUNCTION("""COMPUTED_VALUE"""),5694.5509586276485)</f>
        <v>5694.550959</v>
      </c>
      <c r="J2802" s="10">
        <f>IFERROR(__xludf.DUMMYFUNCTION("""COMPUTED_VALUE"""),5.0)</f>
        <v>5</v>
      </c>
      <c r="K2802" s="5">
        <f>IFERROR(__xludf.DUMMYFUNCTION("""COMPUTED_VALUE"""),0.005599104143337066)</f>
        <v>0.005599104143</v>
      </c>
      <c r="L2802" s="10">
        <f>IFERROR(__xludf.DUMMYFUNCTION("""COMPUTED_VALUE"""),893.0)</f>
        <v>893</v>
      </c>
      <c r="M2802" s="5">
        <f>IFERROR(__xludf.DUMMYFUNCTION("""COMPUTED_VALUE"""),1.0)</f>
        <v>1</v>
      </c>
    </row>
    <row r="2803">
      <c r="A2803" s="10" t="str">
        <f>IFERROR(__xludf.DUMMYFUNCTION("""COMPUTED_VALUE"""),"u4kamo10")</f>
        <v>u4kamo10</v>
      </c>
      <c r="B2803" s="10">
        <f>IFERROR(__xludf.DUMMYFUNCTION("""COMPUTED_VALUE"""),221.0)</f>
        <v>221</v>
      </c>
      <c r="C2803" s="10">
        <f>IFERROR(__xludf.DUMMYFUNCTION("""COMPUTED_VALUE"""),2527.0)</f>
        <v>2527</v>
      </c>
      <c r="D2803" s="5">
        <f>IFERROR(__xludf.DUMMYFUNCTION("""COMPUTED_VALUE"""),0.34301821335646143)</f>
        <v>0.3430182134</v>
      </c>
      <c r="E2803" s="5">
        <f>IFERROR(__xludf.DUMMYFUNCTION("""COMPUTED_VALUE"""),0.12749349522983522)</f>
        <v>0.1274934952</v>
      </c>
      <c r="F2803" s="5">
        <f>IFERROR(__xludf.DUMMYFUNCTION("""COMPUTED_VALUE"""),0.19904596704249783)</f>
        <v>0.199045967</v>
      </c>
      <c r="G2803" s="5">
        <f>IFERROR(__xludf.DUMMYFUNCTION("""COMPUTED_VALUE"""),0.17259323503902863)</f>
        <v>0.172593235</v>
      </c>
      <c r="H2803" s="5">
        <f>IFERROR(__xludf.DUMMYFUNCTION("""COMPUTED_VALUE"""),0.6230936819172114)</f>
        <v>0.6230936819</v>
      </c>
      <c r="I2803" s="11">
        <f>IFERROR(__xludf.DUMMYFUNCTION("""COMPUTED_VALUE"""),5601.525054466231)</f>
        <v>5601.525054</v>
      </c>
      <c r="J2803" s="10">
        <f>IFERROR(__xludf.DUMMYFUNCTION("""COMPUTED_VALUE"""),0.0)</f>
        <v>0</v>
      </c>
      <c r="K2803" s="5">
        <f>IFERROR(__xludf.DUMMYFUNCTION("""COMPUTED_VALUE"""),0.0)</f>
        <v>0</v>
      </c>
      <c r="L2803" s="10">
        <f>IFERROR(__xludf.DUMMYFUNCTION("""COMPUTED_VALUE"""),221.0)</f>
        <v>221</v>
      </c>
      <c r="M2803" s="5">
        <f>IFERROR(__xludf.DUMMYFUNCTION("""COMPUTED_VALUE"""),1.0)</f>
        <v>1</v>
      </c>
    </row>
    <row r="2804">
      <c r="A2804" s="10" t="str">
        <f>IFERROR(__xludf.DUMMYFUNCTION("""COMPUTED_VALUE"""),"あきら")</f>
        <v>あきら</v>
      </c>
      <c r="B2804" s="10">
        <f>IFERROR(__xludf.DUMMYFUNCTION("""COMPUTED_VALUE"""),239.0)</f>
        <v>239</v>
      </c>
      <c r="C2804" s="10">
        <f>IFERROR(__xludf.DUMMYFUNCTION("""COMPUTED_VALUE"""),2796.0)</f>
        <v>2796</v>
      </c>
      <c r="D2804" s="5">
        <f>IFERROR(__xludf.DUMMYFUNCTION("""COMPUTED_VALUE"""),0.3523660539694955)</f>
        <v>0.352366054</v>
      </c>
      <c r="E2804" s="5">
        <f>IFERROR(__xludf.DUMMYFUNCTION("""COMPUTED_VALUE"""),0.127493156042237)</f>
        <v>0.127493156</v>
      </c>
      <c r="F2804" s="5">
        <f>IFERROR(__xludf.DUMMYFUNCTION("""COMPUTED_VALUE"""),0.1978881501759875)</f>
        <v>0.1978881502</v>
      </c>
      <c r="G2804" s="5">
        <f>IFERROR(__xludf.DUMMYFUNCTION("""COMPUTED_VALUE"""),0.16660148611654282)</f>
        <v>0.1666014861</v>
      </c>
      <c r="H2804" s="5">
        <f>IFERROR(__xludf.DUMMYFUNCTION("""COMPUTED_VALUE"""),0.6106719367588933)</f>
        <v>0.6106719368</v>
      </c>
      <c r="I2804" s="11">
        <f>IFERROR(__xludf.DUMMYFUNCTION("""COMPUTED_VALUE"""),5417.98418972332)</f>
        <v>5417.98419</v>
      </c>
      <c r="J2804" s="10">
        <f>IFERROR(__xludf.DUMMYFUNCTION("""COMPUTED_VALUE"""),0.0)</f>
        <v>0</v>
      </c>
      <c r="K2804" s="5">
        <f>IFERROR(__xludf.DUMMYFUNCTION("""COMPUTED_VALUE"""),0.0)</f>
        <v>0</v>
      </c>
      <c r="L2804" s="10">
        <f>IFERROR(__xludf.DUMMYFUNCTION("""COMPUTED_VALUE"""),239.0)</f>
        <v>239</v>
      </c>
      <c r="M2804" s="5">
        <f>IFERROR(__xludf.DUMMYFUNCTION("""COMPUTED_VALUE"""),1.0)</f>
        <v>1</v>
      </c>
    </row>
    <row r="2805">
      <c r="A2805" s="10" t="str">
        <f>IFERROR(__xludf.DUMMYFUNCTION("""COMPUTED_VALUE"""),"赤いNISHI")</f>
        <v>赤いNISHI</v>
      </c>
      <c r="B2805" s="10">
        <f>IFERROR(__xludf.DUMMYFUNCTION("""COMPUTED_VALUE"""),333.0)</f>
        <v>333</v>
      </c>
      <c r="C2805" s="10">
        <f>IFERROR(__xludf.DUMMYFUNCTION("""COMPUTED_VALUE"""),3910.0)</f>
        <v>3910</v>
      </c>
      <c r="D2805" s="5">
        <f>IFERROR(__xludf.DUMMYFUNCTION("""COMPUTED_VALUE"""),0.3469387755102041)</f>
        <v>0.3469387755</v>
      </c>
      <c r="E2805" s="5">
        <f>IFERROR(__xludf.DUMMYFUNCTION("""COMPUTED_VALUE"""),0.1274811294380766)</f>
        <v>0.1274811294</v>
      </c>
      <c r="F2805" s="5">
        <f>IFERROR(__xludf.DUMMYFUNCTION("""COMPUTED_VALUE"""),0.2043611965334079)</f>
        <v>0.2043611965</v>
      </c>
      <c r="G2805" s="5">
        <f>IFERROR(__xludf.DUMMYFUNCTION("""COMPUTED_VALUE"""),0.15096449538719597)</f>
        <v>0.1509644954</v>
      </c>
      <c r="H2805" s="5">
        <f>IFERROR(__xludf.DUMMYFUNCTION("""COMPUTED_VALUE"""),0.6046511627906976)</f>
        <v>0.6046511628</v>
      </c>
      <c r="I2805" s="11">
        <f>IFERROR(__xludf.DUMMYFUNCTION("""COMPUTED_VALUE"""),5587.277701778386)</f>
        <v>5587.277702</v>
      </c>
      <c r="J2805" s="10">
        <f>IFERROR(__xludf.DUMMYFUNCTION("""COMPUTED_VALUE"""),0.0)</f>
        <v>0</v>
      </c>
      <c r="K2805" s="5">
        <f>IFERROR(__xludf.DUMMYFUNCTION("""COMPUTED_VALUE"""),0.0)</f>
        <v>0</v>
      </c>
      <c r="L2805" s="10">
        <f>IFERROR(__xludf.DUMMYFUNCTION("""COMPUTED_VALUE"""),333.0)</f>
        <v>333</v>
      </c>
      <c r="M2805" s="5">
        <f>IFERROR(__xludf.DUMMYFUNCTION("""COMPUTED_VALUE"""),1.0)</f>
        <v>1</v>
      </c>
    </row>
    <row r="2806">
      <c r="A2806" s="10" t="str">
        <f>IFERROR(__xludf.DUMMYFUNCTION("""COMPUTED_VALUE"""),"ムメイ")</f>
        <v>ムメイ</v>
      </c>
      <c r="B2806" s="10">
        <f>IFERROR(__xludf.DUMMYFUNCTION("""COMPUTED_VALUE"""),470.0)</f>
        <v>470</v>
      </c>
      <c r="C2806" s="10">
        <f>IFERROR(__xludf.DUMMYFUNCTION("""COMPUTED_VALUE"""),5514.0)</f>
        <v>5514</v>
      </c>
      <c r="D2806" s="5">
        <f>IFERROR(__xludf.DUMMYFUNCTION("""COMPUTED_VALUE"""),0.35527359238699446)</f>
        <v>0.3552735924</v>
      </c>
      <c r="E2806" s="5">
        <f>IFERROR(__xludf.DUMMYFUNCTION("""COMPUTED_VALUE"""),0.1274781919111816)</f>
        <v>0.1274781919</v>
      </c>
      <c r="F2806" s="5">
        <f>IFERROR(__xludf.DUMMYFUNCTION("""COMPUTED_VALUE"""),0.20777160983346551)</f>
        <v>0.2077716098</v>
      </c>
      <c r="G2806" s="5">
        <f>IFERROR(__xludf.DUMMYFUNCTION("""COMPUTED_VALUE"""),0.1548374306106265)</f>
        <v>0.1548374306</v>
      </c>
      <c r="H2806" s="5">
        <f>IFERROR(__xludf.DUMMYFUNCTION("""COMPUTED_VALUE"""),0.6049618320610687)</f>
        <v>0.6049618321</v>
      </c>
      <c r="I2806" s="11">
        <f>IFERROR(__xludf.DUMMYFUNCTION("""COMPUTED_VALUE"""),5381.583969465649)</f>
        <v>5381.583969</v>
      </c>
      <c r="J2806" s="10">
        <f>IFERROR(__xludf.DUMMYFUNCTION("""COMPUTED_VALUE"""),3.0)</f>
        <v>3</v>
      </c>
      <c r="K2806" s="5">
        <f>IFERROR(__xludf.DUMMYFUNCTION("""COMPUTED_VALUE"""),0.006382978723404255)</f>
        <v>0.006382978723</v>
      </c>
      <c r="L2806" s="10">
        <f>IFERROR(__xludf.DUMMYFUNCTION("""COMPUTED_VALUE"""),470.0)</f>
        <v>470</v>
      </c>
      <c r="M2806" s="5">
        <f>IFERROR(__xludf.DUMMYFUNCTION("""COMPUTED_VALUE"""),1.0)</f>
        <v>1</v>
      </c>
    </row>
    <row r="2807">
      <c r="A2807" s="10" t="str">
        <f>IFERROR(__xludf.DUMMYFUNCTION("""COMPUTED_VALUE"""),"タコがよぉ！")</f>
        <v>タコがよぉ！</v>
      </c>
      <c r="B2807" s="10">
        <f>IFERROR(__xludf.DUMMYFUNCTION("""COMPUTED_VALUE"""),129.0)</f>
        <v>129</v>
      </c>
      <c r="C2807" s="10">
        <f>IFERROR(__xludf.DUMMYFUNCTION("""COMPUTED_VALUE"""),1494.0)</f>
        <v>1494</v>
      </c>
      <c r="D2807" s="5">
        <f>IFERROR(__xludf.DUMMYFUNCTION("""COMPUTED_VALUE"""),0.29523809523809524)</f>
        <v>0.2952380952</v>
      </c>
      <c r="E2807" s="5">
        <f>IFERROR(__xludf.DUMMYFUNCTION("""COMPUTED_VALUE"""),0.12747252747252746)</f>
        <v>0.1274725275</v>
      </c>
      <c r="F2807" s="5">
        <f>IFERROR(__xludf.DUMMYFUNCTION("""COMPUTED_VALUE"""),0.19633699633699633)</f>
        <v>0.1963369963</v>
      </c>
      <c r="G2807" s="5">
        <f>IFERROR(__xludf.DUMMYFUNCTION("""COMPUTED_VALUE"""),0.1706959706959707)</f>
        <v>0.1706959707</v>
      </c>
      <c r="H2807" s="5">
        <f>IFERROR(__xludf.DUMMYFUNCTION("""COMPUTED_VALUE"""),0.664179104477612)</f>
        <v>0.6641791045</v>
      </c>
      <c r="I2807" s="11">
        <f>IFERROR(__xludf.DUMMYFUNCTION("""COMPUTED_VALUE"""),5474.626865671642)</f>
        <v>5474.626866</v>
      </c>
      <c r="J2807" s="10">
        <f>IFERROR(__xludf.DUMMYFUNCTION("""COMPUTED_VALUE"""),0.0)</f>
        <v>0</v>
      </c>
      <c r="K2807" s="5">
        <f>IFERROR(__xludf.DUMMYFUNCTION("""COMPUTED_VALUE"""),0.0)</f>
        <v>0</v>
      </c>
      <c r="L2807" s="10">
        <f>IFERROR(__xludf.DUMMYFUNCTION("""COMPUTED_VALUE"""),1.0)</f>
        <v>1</v>
      </c>
      <c r="M2807" s="5">
        <f>IFERROR(__xludf.DUMMYFUNCTION("""COMPUTED_VALUE"""),0.007751937984496124)</f>
        <v>0.007751937984</v>
      </c>
    </row>
    <row r="2808">
      <c r="A2808" s="10" t="str">
        <f>IFERROR(__xludf.DUMMYFUNCTION("""COMPUTED_VALUE"""),"中川翔子")</f>
        <v>中川翔子</v>
      </c>
      <c r="B2808" s="10">
        <f>IFERROR(__xludf.DUMMYFUNCTION("""COMPUTED_VALUE"""),140.0)</f>
        <v>140</v>
      </c>
      <c r="C2808" s="10">
        <f>IFERROR(__xludf.DUMMYFUNCTION("""COMPUTED_VALUE"""),1607.0)</f>
        <v>1607</v>
      </c>
      <c r="D2808" s="5">
        <f>IFERROR(__xludf.DUMMYFUNCTION("""COMPUTED_VALUE"""),0.37627811860940696)</f>
        <v>0.3762781186</v>
      </c>
      <c r="E2808" s="5">
        <f>IFERROR(__xludf.DUMMYFUNCTION("""COMPUTED_VALUE"""),0.1274710293115201)</f>
        <v>0.1274710293</v>
      </c>
      <c r="F2808" s="5">
        <f>IFERROR(__xludf.DUMMYFUNCTION("""COMPUTED_VALUE"""),0.2119972733469666)</f>
        <v>0.2119972733</v>
      </c>
      <c r="G2808" s="5">
        <f>IFERROR(__xludf.DUMMYFUNCTION("""COMPUTED_VALUE"""),0.1683708248125426)</f>
        <v>0.1683708248</v>
      </c>
      <c r="H2808" s="5">
        <f>IFERROR(__xludf.DUMMYFUNCTION("""COMPUTED_VALUE"""),0.5691318327974276)</f>
        <v>0.5691318328</v>
      </c>
      <c r="I2808" s="11">
        <f>IFERROR(__xludf.DUMMYFUNCTION("""COMPUTED_VALUE"""),5427.3311897106105)</f>
        <v>5427.33119</v>
      </c>
      <c r="J2808" s="10">
        <f>IFERROR(__xludf.DUMMYFUNCTION("""COMPUTED_VALUE"""),0.0)</f>
        <v>0</v>
      </c>
      <c r="K2808" s="5">
        <f>IFERROR(__xludf.DUMMYFUNCTION("""COMPUTED_VALUE"""),0.0)</f>
        <v>0</v>
      </c>
      <c r="L2808" s="10">
        <f>IFERROR(__xludf.DUMMYFUNCTION("""COMPUTED_VALUE"""),0.0)</f>
        <v>0</v>
      </c>
      <c r="M2808" s="5">
        <f>IFERROR(__xludf.DUMMYFUNCTION("""COMPUTED_VALUE"""),0.0)</f>
        <v>0</v>
      </c>
    </row>
    <row r="2809">
      <c r="A2809" s="10" t="str">
        <f>IFERROR(__xludf.DUMMYFUNCTION("""COMPUTED_VALUE"""),"＊紗弥華＊")</f>
        <v>＊紗弥華＊</v>
      </c>
      <c r="B2809" s="10">
        <f>IFERROR(__xludf.DUMMYFUNCTION("""COMPUTED_VALUE"""),2051.0)</f>
        <v>2051</v>
      </c>
      <c r="C2809" s="10">
        <f>IFERROR(__xludf.DUMMYFUNCTION("""COMPUTED_VALUE"""),24190.0)</f>
        <v>24190</v>
      </c>
      <c r="D2809" s="5">
        <f>IFERROR(__xludf.DUMMYFUNCTION("""COMPUTED_VALUE"""),0.3750846921721848)</f>
        <v>0.3750846922</v>
      </c>
      <c r="E2809" s="5">
        <f>IFERROR(__xludf.DUMMYFUNCTION("""COMPUTED_VALUE"""),0.12746736528298477)</f>
        <v>0.1274673653</v>
      </c>
      <c r="F2809" s="5">
        <f>IFERROR(__xludf.DUMMYFUNCTION("""COMPUTED_VALUE"""),0.2113464926148426)</f>
        <v>0.2113464926</v>
      </c>
      <c r="G2809" s="5">
        <f>IFERROR(__xludf.DUMMYFUNCTION("""COMPUTED_VALUE"""),0.1705587424906274)</f>
        <v>0.1705587425</v>
      </c>
      <c r="H2809" s="5">
        <f>IFERROR(__xludf.DUMMYFUNCTION("""COMPUTED_VALUE"""),0.5954263731566574)</f>
        <v>0.5954263732</v>
      </c>
      <c r="I2809" s="11">
        <f>IFERROR(__xludf.DUMMYFUNCTION("""COMPUTED_VALUE"""),5626.629621714042)</f>
        <v>5626.629622</v>
      </c>
      <c r="J2809" s="10">
        <f>IFERROR(__xludf.DUMMYFUNCTION("""COMPUTED_VALUE"""),5.0)</f>
        <v>5</v>
      </c>
      <c r="K2809" s="5">
        <f>IFERROR(__xludf.DUMMYFUNCTION("""COMPUTED_VALUE"""),0.0024378352023403218)</f>
        <v>0.002437835202</v>
      </c>
      <c r="L2809" s="10">
        <f>IFERROR(__xludf.DUMMYFUNCTION("""COMPUTED_VALUE"""),4.0)</f>
        <v>4</v>
      </c>
      <c r="M2809" s="5">
        <f>IFERROR(__xludf.DUMMYFUNCTION("""COMPUTED_VALUE"""),0.0019502681618722574)</f>
        <v>0.001950268162</v>
      </c>
    </row>
    <row r="2810">
      <c r="A2810" s="10" t="str">
        <f>IFERROR(__xludf.DUMMYFUNCTION("""COMPUTED_VALUE"""),"μしもで")</f>
        <v>μしもで</v>
      </c>
      <c r="B2810" s="10">
        <f>IFERROR(__xludf.DUMMYFUNCTION("""COMPUTED_VALUE"""),3264.0)</f>
        <v>3264</v>
      </c>
      <c r="C2810" s="10">
        <f>IFERROR(__xludf.DUMMYFUNCTION("""COMPUTED_VALUE"""),38208.0)</f>
        <v>38208</v>
      </c>
      <c r="D2810" s="5">
        <f>IFERROR(__xludf.DUMMYFUNCTION("""COMPUTED_VALUE"""),0.3382841117216117)</f>
        <v>0.3382841117</v>
      </c>
      <c r="E2810" s="5">
        <f>IFERROR(__xludf.DUMMYFUNCTION("""COMPUTED_VALUE"""),0.12746108058608058)</f>
        <v>0.1274610806</v>
      </c>
      <c r="F2810" s="5">
        <f>IFERROR(__xludf.DUMMYFUNCTION("""COMPUTED_VALUE"""),0.20487065018315018)</f>
        <v>0.2048706502</v>
      </c>
      <c r="G2810" s="5">
        <f>IFERROR(__xludf.DUMMYFUNCTION("""COMPUTED_VALUE"""),0.1516712454212454)</f>
        <v>0.1516712454</v>
      </c>
      <c r="H2810" s="5">
        <f>IFERROR(__xludf.DUMMYFUNCTION("""COMPUTED_VALUE"""),0.6028774968571029)</f>
        <v>0.6028774969</v>
      </c>
      <c r="I2810" s="11">
        <f>IFERROR(__xludf.DUMMYFUNCTION("""COMPUTED_VALUE"""),5842.031009917586)</f>
        <v>5842.03101</v>
      </c>
      <c r="J2810" s="10">
        <f>IFERROR(__xludf.DUMMYFUNCTION("""COMPUTED_VALUE"""),17.0)</f>
        <v>17</v>
      </c>
      <c r="K2810" s="5">
        <f>IFERROR(__xludf.DUMMYFUNCTION("""COMPUTED_VALUE"""),0.005208333333333333)</f>
        <v>0.005208333333</v>
      </c>
      <c r="L2810" s="10">
        <f>IFERROR(__xludf.DUMMYFUNCTION("""COMPUTED_VALUE"""),3264.0)</f>
        <v>3264</v>
      </c>
      <c r="M2810" s="5">
        <f>IFERROR(__xludf.DUMMYFUNCTION("""COMPUTED_VALUE"""),1.0)</f>
        <v>1</v>
      </c>
    </row>
    <row r="2811">
      <c r="A2811" s="10" t="str">
        <f>IFERROR(__xludf.DUMMYFUNCTION("""COMPUTED_VALUE"""),"mealr")</f>
        <v>mealr</v>
      </c>
      <c r="B2811" s="10">
        <f>IFERROR(__xludf.DUMMYFUNCTION("""COMPUTED_VALUE"""),384.0)</f>
        <v>384</v>
      </c>
      <c r="C2811" s="10">
        <f>IFERROR(__xludf.DUMMYFUNCTION("""COMPUTED_VALUE"""),4535.0)</f>
        <v>4535</v>
      </c>
      <c r="D2811" s="5">
        <f>IFERROR(__xludf.DUMMYFUNCTION("""COMPUTED_VALUE"""),0.3478679836184052)</f>
        <v>0.3478679836</v>
      </c>
      <c r="E2811" s="5">
        <f>IFERROR(__xludf.DUMMYFUNCTION("""COMPUTED_VALUE"""),0.12743917128402796)</f>
        <v>0.1274391713</v>
      </c>
      <c r="F2811" s="5">
        <f>IFERROR(__xludf.DUMMYFUNCTION("""COMPUTED_VALUE"""),0.20621536979041194)</f>
        <v>0.2062153698</v>
      </c>
      <c r="G2811" s="5">
        <f>IFERROR(__xludf.DUMMYFUNCTION("""COMPUTED_VALUE"""),0.1597205492652373)</f>
        <v>0.1597205493</v>
      </c>
      <c r="H2811" s="5">
        <f>IFERROR(__xludf.DUMMYFUNCTION("""COMPUTED_VALUE"""),0.5829439252336449)</f>
        <v>0.5829439252</v>
      </c>
      <c r="I2811" s="11">
        <f>IFERROR(__xludf.DUMMYFUNCTION("""COMPUTED_VALUE"""),5786.682242990654)</f>
        <v>5786.682243</v>
      </c>
      <c r="J2811" s="10">
        <f>IFERROR(__xludf.DUMMYFUNCTION("""COMPUTED_VALUE"""),0.0)</f>
        <v>0</v>
      </c>
      <c r="K2811" s="5">
        <f>IFERROR(__xludf.DUMMYFUNCTION("""COMPUTED_VALUE"""),0.0)</f>
        <v>0</v>
      </c>
      <c r="L2811" s="10">
        <f>IFERROR(__xludf.DUMMYFUNCTION("""COMPUTED_VALUE"""),384.0)</f>
        <v>384</v>
      </c>
      <c r="M2811" s="5">
        <f>IFERROR(__xludf.DUMMYFUNCTION("""COMPUTED_VALUE"""),1.0)</f>
        <v>1</v>
      </c>
    </row>
    <row r="2812">
      <c r="A2812" s="10" t="str">
        <f>IFERROR(__xludf.DUMMYFUNCTION("""COMPUTED_VALUE"""),"tubomiya")</f>
        <v>tubomiya</v>
      </c>
      <c r="B2812" s="10">
        <f>IFERROR(__xludf.DUMMYFUNCTION("""COMPUTED_VALUE"""),299.0)</f>
        <v>299</v>
      </c>
      <c r="C2812" s="10">
        <f>IFERROR(__xludf.DUMMYFUNCTION("""COMPUTED_VALUE"""),3532.0)</f>
        <v>3532</v>
      </c>
      <c r="D2812" s="5">
        <f>IFERROR(__xludf.DUMMYFUNCTION("""COMPUTED_VALUE"""),0.4113826167646149)</f>
        <v>0.4113826168</v>
      </c>
      <c r="E2812" s="5">
        <f>IFERROR(__xludf.DUMMYFUNCTION("""COMPUTED_VALUE"""),0.12743581812557997)</f>
        <v>0.1274358181</v>
      </c>
      <c r="F2812" s="5">
        <f>IFERROR(__xludf.DUMMYFUNCTION("""COMPUTED_VALUE"""),0.19115372718836993)</f>
        <v>0.1911537272</v>
      </c>
      <c r="G2812" s="5">
        <f>IFERROR(__xludf.DUMMYFUNCTION("""COMPUTED_VALUE"""),0.1398082276523353)</f>
        <v>0.1398082277</v>
      </c>
      <c r="H2812" s="5">
        <f>IFERROR(__xludf.DUMMYFUNCTION("""COMPUTED_VALUE"""),0.5663430420711975)</f>
        <v>0.5663430421</v>
      </c>
      <c r="I2812" s="11">
        <f>IFERROR(__xludf.DUMMYFUNCTION("""COMPUTED_VALUE"""),5629.935275080906)</f>
        <v>5629.935275</v>
      </c>
      <c r="J2812" s="10">
        <f>IFERROR(__xludf.DUMMYFUNCTION("""COMPUTED_VALUE"""),1.0)</f>
        <v>1</v>
      </c>
      <c r="K2812" s="5">
        <f>IFERROR(__xludf.DUMMYFUNCTION("""COMPUTED_VALUE"""),0.0033444816053511705)</f>
        <v>0.003344481605</v>
      </c>
      <c r="L2812" s="10">
        <f>IFERROR(__xludf.DUMMYFUNCTION("""COMPUTED_VALUE"""),298.0)</f>
        <v>298</v>
      </c>
      <c r="M2812" s="5">
        <f>IFERROR(__xludf.DUMMYFUNCTION("""COMPUTED_VALUE"""),0.9966555183946488)</f>
        <v>0.9966555184</v>
      </c>
    </row>
    <row r="2813">
      <c r="A2813" s="10" t="str">
        <f>IFERROR(__xludf.DUMMYFUNCTION("""COMPUTED_VALUE"""),"ペコ")</f>
        <v>ペコ</v>
      </c>
      <c r="B2813" s="10">
        <f>IFERROR(__xludf.DUMMYFUNCTION("""COMPUTED_VALUE"""),221.0)</f>
        <v>221</v>
      </c>
      <c r="C2813" s="10">
        <f>IFERROR(__xludf.DUMMYFUNCTION("""COMPUTED_VALUE"""),2638.0)</f>
        <v>2638</v>
      </c>
      <c r="D2813" s="5">
        <f>IFERROR(__xludf.DUMMYFUNCTION("""COMPUTED_VALUE"""),0.41704592470004137)</f>
        <v>0.4170459247</v>
      </c>
      <c r="E2813" s="5">
        <f>IFERROR(__xludf.DUMMYFUNCTION("""COMPUTED_VALUE"""),0.12743069921390154)</f>
        <v>0.1274306992</v>
      </c>
      <c r="F2813" s="5">
        <f>IFERROR(__xludf.DUMMYFUNCTION("""COMPUTED_VALUE"""),0.21017790649565576)</f>
        <v>0.2101779065</v>
      </c>
      <c r="G2813" s="5">
        <f>IFERROR(__xludf.DUMMYFUNCTION("""COMPUTED_VALUE"""),0.1580471659081506)</f>
        <v>0.1580471659</v>
      </c>
      <c r="H2813" s="5">
        <f>IFERROR(__xludf.DUMMYFUNCTION("""COMPUTED_VALUE"""),0.6141732283464567)</f>
        <v>0.6141732283</v>
      </c>
      <c r="I2813" s="11">
        <f>IFERROR(__xludf.DUMMYFUNCTION("""COMPUTED_VALUE"""),5032.283464566929)</f>
        <v>5032.283465</v>
      </c>
      <c r="J2813" s="10">
        <f>IFERROR(__xludf.DUMMYFUNCTION("""COMPUTED_VALUE"""),0.0)</f>
        <v>0</v>
      </c>
      <c r="K2813" s="5">
        <f>IFERROR(__xludf.DUMMYFUNCTION("""COMPUTED_VALUE"""),0.0)</f>
        <v>0</v>
      </c>
      <c r="L2813" s="10">
        <f>IFERROR(__xludf.DUMMYFUNCTION("""COMPUTED_VALUE"""),221.0)</f>
        <v>221</v>
      </c>
      <c r="M2813" s="5">
        <f>IFERROR(__xludf.DUMMYFUNCTION("""COMPUTED_VALUE"""),1.0)</f>
        <v>1</v>
      </c>
    </row>
    <row r="2814">
      <c r="A2814" s="10" t="str">
        <f>IFERROR(__xludf.DUMMYFUNCTION("""COMPUTED_VALUE"""),"うってぃー")</f>
        <v>うってぃー</v>
      </c>
      <c r="B2814" s="10">
        <f>IFERROR(__xludf.DUMMYFUNCTION("""COMPUTED_VALUE"""),398.0)</f>
        <v>398</v>
      </c>
      <c r="C2814" s="10">
        <f>IFERROR(__xludf.DUMMYFUNCTION("""COMPUTED_VALUE"""),4628.0)</f>
        <v>4628</v>
      </c>
      <c r="D2814" s="5">
        <f>IFERROR(__xludf.DUMMYFUNCTION("""COMPUTED_VALUE"""),0.3011820330969267)</f>
        <v>0.3011820331</v>
      </c>
      <c r="E2814" s="5">
        <f>IFERROR(__xludf.DUMMYFUNCTION("""COMPUTED_VALUE"""),0.12742316784869975)</f>
        <v>0.1274231678</v>
      </c>
      <c r="F2814" s="5">
        <f>IFERROR(__xludf.DUMMYFUNCTION("""COMPUTED_VALUE"""),0.20874704491725768)</f>
        <v>0.2087470449</v>
      </c>
      <c r="G2814" s="5">
        <f>IFERROR(__xludf.DUMMYFUNCTION("""COMPUTED_VALUE"""),0.15768321513002365)</f>
        <v>0.1576832151</v>
      </c>
      <c r="H2814" s="5">
        <f>IFERROR(__xludf.DUMMYFUNCTION("""COMPUTED_VALUE"""),0.6126840317100792)</f>
        <v>0.6126840317</v>
      </c>
      <c r="I2814" s="11">
        <f>IFERROR(__xludf.DUMMYFUNCTION("""COMPUTED_VALUE"""),6279.048697621744)</f>
        <v>6279.048698</v>
      </c>
      <c r="J2814" s="10">
        <f>IFERROR(__xludf.DUMMYFUNCTION("""COMPUTED_VALUE"""),1.0)</f>
        <v>1</v>
      </c>
      <c r="K2814" s="5">
        <f>IFERROR(__xludf.DUMMYFUNCTION("""COMPUTED_VALUE"""),0.002512562814070352)</f>
        <v>0.002512562814</v>
      </c>
      <c r="L2814" s="10">
        <f>IFERROR(__xludf.DUMMYFUNCTION("""COMPUTED_VALUE"""),398.0)</f>
        <v>398</v>
      </c>
      <c r="M2814" s="5">
        <f>IFERROR(__xludf.DUMMYFUNCTION("""COMPUTED_VALUE"""),1.0)</f>
        <v>1</v>
      </c>
    </row>
    <row r="2815">
      <c r="A2815" s="10" t="str">
        <f>IFERROR(__xludf.DUMMYFUNCTION("""COMPUTED_VALUE"""),"碧井風夏")</f>
        <v>碧井風夏</v>
      </c>
      <c r="B2815" s="10">
        <f>IFERROR(__xludf.DUMMYFUNCTION("""COMPUTED_VALUE"""),103.0)</f>
        <v>103</v>
      </c>
      <c r="C2815" s="10">
        <f>IFERROR(__xludf.DUMMYFUNCTION("""COMPUTED_VALUE"""),1241.0)</f>
        <v>1241</v>
      </c>
      <c r="D2815" s="5">
        <f>IFERROR(__xludf.DUMMYFUNCTION("""COMPUTED_VALUE"""),0.38576449912126537)</f>
        <v>0.3857644991</v>
      </c>
      <c r="E2815" s="5">
        <f>IFERROR(__xludf.DUMMYFUNCTION("""COMPUTED_VALUE"""),0.1274165202108963)</f>
        <v>0.1274165202</v>
      </c>
      <c r="F2815" s="5">
        <f>IFERROR(__xludf.DUMMYFUNCTION("""COMPUTED_VALUE"""),0.2038664323374341)</f>
        <v>0.2038664323</v>
      </c>
      <c r="G2815" s="5">
        <f>IFERROR(__xludf.DUMMYFUNCTION("""COMPUTED_VALUE"""),0.21353251318101935)</f>
        <v>0.2135325132</v>
      </c>
      <c r="H2815" s="5">
        <f>IFERROR(__xludf.DUMMYFUNCTION("""COMPUTED_VALUE"""),0.5387931034482759)</f>
        <v>0.5387931034</v>
      </c>
      <c r="I2815" s="11">
        <f>IFERROR(__xludf.DUMMYFUNCTION("""COMPUTED_VALUE"""),5193.9655172413795)</f>
        <v>5193.965517</v>
      </c>
      <c r="J2815" s="10">
        <f>IFERROR(__xludf.DUMMYFUNCTION("""COMPUTED_VALUE"""),0.0)</f>
        <v>0</v>
      </c>
      <c r="K2815" s="5">
        <f>IFERROR(__xludf.DUMMYFUNCTION("""COMPUTED_VALUE"""),0.0)</f>
        <v>0</v>
      </c>
      <c r="L2815" s="10">
        <f>IFERROR(__xludf.DUMMYFUNCTION("""COMPUTED_VALUE"""),1.0)</f>
        <v>1</v>
      </c>
      <c r="M2815" s="5">
        <f>IFERROR(__xludf.DUMMYFUNCTION("""COMPUTED_VALUE"""),0.009708737864077669)</f>
        <v>0.009708737864</v>
      </c>
    </row>
    <row r="2816">
      <c r="A2816" s="10" t="str">
        <f>IFERROR(__xludf.DUMMYFUNCTION("""COMPUTED_VALUE"""),"初代引田天和")</f>
        <v>初代引田天和</v>
      </c>
      <c r="B2816" s="10">
        <f>IFERROR(__xludf.DUMMYFUNCTION("""COMPUTED_VALUE"""),1949.0)</f>
        <v>1949</v>
      </c>
      <c r="C2816" s="10">
        <f>IFERROR(__xludf.DUMMYFUNCTION("""COMPUTED_VALUE"""),22951.0)</f>
        <v>22951</v>
      </c>
      <c r="D2816" s="5">
        <f>IFERROR(__xludf.DUMMYFUNCTION("""COMPUTED_VALUE"""),0.41524616703171124)</f>
        <v>0.415246167</v>
      </c>
      <c r="E2816" s="5">
        <f>IFERROR(__xludf.DUMMYFUNCTION("""COMPUTED_VALUE"""),0.1274164365298543)</f>
        <v>0.1274164365</v>
      </c>
      <c r="F2816" s="5">
        <f>IFERROR(__xludf.DUMMYFUNCTION("""COMPUTED_VALUE"""),0.2069326730787544)</f>
        <v>0.2069326731</v>
      </c>
      <c r="G2816" s="5">
        <f>IFERROR(__xludf.DUMMYFUNCTION("""COMPUTED_VALUE"""),0.14641462717836395)</f>
        <v>0.1464146272</v>
      </c>
      <c r="H2816" s="5">
        <f>IFERROR(__xludf.DUMMYFUNCTION("""COMPUTED_VALUE"""),0.5943396226415094)</f>
        <v>0.5943396226</v>
      </c>
      <c r="I2816" s="11">
        <f>IFERROR(__xludf.DUMMYFUNCTION("""COMPUTED_VALUE"""),5687.206626783249)</f>
        <v>5687.206627</v>
      </c>
      <c r="J2816" s="10">
        <f>IFERROR(__xludf.DUMMYFUNCTION("""COMPUTED_VALUE"""),6.0)</f>
        <v>6</v>
      </c>
      <c r="K2816" s="5">
        <f>IFERROR(__xludf.DUMMYFUNCTION("""COMPUTED_VALUE"""),0.0030785017957927143)</f>
        <v>0.003078501796</v>
      </c>
      <c r="L2816" s="10">
        <f>IFERROR(__xludf.DUMMYFUNCTION("""COMPUTED_VALUE"""),1949.0)</f>
        <v>1949</v>
      </c>
      <c r="M2816" s="5">
        <f>IFERROR(__xludf.DUMMYFUNCTION("""COMPUTED_VALUE"""),1.0)</f>
        <v>1</v>
      </c>
    </row>
    <row r="2817">
      <c r="A2817" s="10" t="str">
        <f>IFERROR(__xludf.DUMMYFUNCTION("""COMPUTED_VALUE"""),"♪モノクロ")</f>
        <v>♪モノクロ</v>
      </c>
      <c r="B2817" s="10">
        <f>IFERROR(__xludf.DUMMYFUNCTION("""COMPUTED_VALUE"""),780.0)</f>
        <v>780</v>
      </c>
      <c r="C2817" s="10">
        <f>IFERROR(__xludf.DUMMYFUNCTION("""COMPUTED_VALUE"""),9272.0)</f>
        <v>9272</v>
      </c>
      <c r="D2817" s="5">
        <f>IFERROR(__xludf.DUMMYFUNCTION("""COMPUTED_VALUE"""),0.3671691003297221)</f>
        <v>0.3671691003</v>
      </c>
      <c r="E2817" s="5">
        <f>IFERROR(__xludf.DUMMYFUNCTION("""COMPUTED_VALUE"""),0.12741403674046162)</f>
        <v>0.1274140367</v>
      </c>
      <c r="F2817" s="5">
        <f>IFERROR(__xludf.DUMMYFUNCTION("""COMPUTED_VALUE"""),0.21785209609043807)</f>
        <v>0.2178520961</v>
      </c>
      <c r="G2817" s="5">
        <f>IFERROR(__xludf.DUMMYFUNCTION("""COMPUTED_VALUE"""),0.18276024493641074)</f>
        <v>0.1827602449</v>
      </c>
      <c r="H2817" s="5">
        <f>IFERROR(__xludf.DUMMYFUNCTION("""COMPUTED_VALUE"""),0.5772972972972973)</f>
        <v>0.5772972973</v>
      </c>
      <c r="I2817" s="11">
        <f>IFERROR(__xludf.DUMMYFUNCTION("""COMPUTED_VALUE"""),5424.540540540541)</f>
        <v>5424.540541</v>
      </c>
      <c r="J2817" s="10">
        <f>IFERROR(__xludf.DUMMYFUNCTION("""COMPUTED_VALUE"""),1.0)</f>
        <v>1</v>
      </c>
      <c r="K2817" s="5">
        <f>IFERROR(__xludf.DUMMYFUNCTION("""COMPUTED_VALUE"""),0.001282051282051282)</f>
        <v>0.001282051282</v>
      </c>
      <c r="L2817" s="10">
        <f>IFERROR(__xludf.DUMMYFUNCTION("""COMPUTED_VALUE"""),64.0)</f>
        <v>64</v>
      </c>
      <c r="M2817" s="5">
        <f>IFERROR(__xludf.DUMMYFUNCTION("""COMPUTED_VALUE"""),0.08205128205128205)</f>
        <v>0.08205128205</v>
      </c>
    </row>
    <row r="2818">
      <c r="A2818" s="10" t="str">
        <f>IFERROR(__xludf.DUMMYFUNCTION("""COMPUTED_VALUE"""),"天晴")</f>
        <v>天晴</v>
      </c>
      <c r="B2818" s="10">
        <f>IFERROR(__xludf.DUMMYFUNCTION("""COMPUTED_VALUE"""),1239.0)</f>
        <v>1239</v>
      </c>
      <c r="C2818" s="10">
        <f>IFERROR(__xludf.DUMMYFUNCTION("""COMPUTED_VALUE"""),14519.0)</f>
        <v>14519</v>
      </c>
      <c r="D2818" s="5">
        <f>IFERROR(__xludf.DUMMYFUNCTION("""COMPUTED_VALUE"""),0.3295933734939759)</f>
        <v>0.3295933735</v>
      </c>
      <c r="E2818" s="5">
        <f>IFERROR(__xludf.DUMMYFUNCTION("""COMPUTED_VALUE"""),0.12740963855421686)</f>
        <v>0.1274096386</v>
      </c>
      <c r="F2818" s="5">
        <f>IFERROR(__xludf.DUMMYFUNCTION("""COMPUTED_VALUE"""),0.21807228915662652)</f>
        <v>0.2180722892</v>
      </c>
      <c r="G2818" s="5">
        <f>IFERROR(__xludf.DUMMYFUNCTION("""COMPUTED_VALUE"""),0.19382530120481928)</f>
        <v>0.1938253012</v>
      </c>
      <c r="H2818" s="5">
        <f>IFERROR(__xludf.DUMMYFUNCTION("""COMPUTED_VALUE"""),0.5911602209944752)</f>
        <v>0.591160221</v>
      </c>
      <c r="I2818" s="11">
        <f>IFERROR(__xludf.DUMMYFUNCTION("""COMPUTED_VALUE"""),5474.585635359116)</f>
        <v>5474.585635</v>
      </c>
      <c r="J2818" s="10">
        <f>IFERROR(__xludf.DUMMYFUNCTION("""COMPUTED_VALUE"""),2.0)</f>
        <v>2</v>
      </c>
      <c r="K2818" s="5">
        <f>IFERROR(__xludf.DUMMYFUNCTION("""COMPUTED_VALUE"""),0.0016142050040355124)</f>
        <v>0.001614205004</v>
      </c>
      <c r="L2818" s="10">
        <f>IFERROR(__xludf.DUMMYFUNCTION("""COMPUTED_VALUE"""),1239.0)</f>
        <v>1239</v>
      </c>
      <c r="M2818" s="5">
        <f>IFERROR(__xludf.DUMMYFUNCTION("""COMPUTED_VALUE"""),1.0)</f>
        <v>1</v>
      </c>
    </row>
    <row r="2819">
      <c r="A2819" s="10" t="str">
        <f>IFERROR(__xludf.DUMMYFUNCTION("""COMPUTED_VALUE"""),"園城寺怜")</f>
        <v>園城寺怜</v>
      </c>
      <c r="B2819" s="10">
        <f>IFERROR(__xludf.DUMMYFUNCTION("""COMPUTED_VALUE"""),783.0)</f>
        <v>783</v>
      </c>
      <c r="C2819" s="10">
        <f>IFERROR(__xludf.DUMMYFUNCTION("""COMPUTED_VALUE"""),9119.0)</f>
        <v>9119</v>
      </c>
      <c r="D2819" s="5">
        <f>IFERROR(__xludf.DUMMYFUNCTION("""COMPUTED_VALUE"""),0.35688579654510555)</f>
        <v>0.3568857965</v>
      </c>
      <c r="E2819" s="5">
        <f>IFERROR(__xludf.DUMMYFUNCTION("""COMPUTED_VALUE"""),0.1273992322456814)</f>
        <v>0.1273992322</v>
      </c>
      <c r="F2819" s="5">
        <f>IFERROR(__xludf.DUMMYFUNCTION("""COMPUTED_VALUE"""),0.20117562380038387)</f>
        <v>0.2011756238</v>
      </c>
      <c r="G2819" s="5">
        <f>IFERROR(__xludf.DUMMYFUNCTION("""COMPUTED_VALUE"""),0.1680662188099808)</f>
        <v>0.1680662188</v>
      </c>
      <c r="H2819" s="5">
        <f>IFERROR(__xludf.DUMMYFUNCTION("""COMPUTED_VALUE"""),0.6088252832438878)</f>
        <v>0.6088252832</v>
      </c>
      <c r="I2819" s="11">
        <f>IFERROR(__xludf.DUMMYFUNCTION("""COMPUTED_VALUE"""),5808.348240906381)</f>
        <v>5808.348241</v>
      </c>
      <c r="J2819" s="10">
        <f>IFERROR(__xludf.DUMMYFUNCTION("""COMPUTED_VALUE"""),3.0)</f>
        <v>3</v>
      </c>
      <c r="K2819" s="5">
        <f>IFERROR(__xludf.DUMMYFUNCTION("""COMPUTED_VALUE"""),0.0038314176245210726)</f>
        <v>0.003831417625</v>
      </c>
      <c r="L2819" s="10">
        <f>IFERROR(__xludf.DUMMYFUNCTION("""COMPUTED_VALUE"""),0.0)</f>
        <v>0</v>
      </c>
      <c r="M2819" s="5">
        <f>IFERROR(__xludf.DUMMYFUNCTION("""COMPUTED_VALUE"""),0.0)</f>
        <v>0</v>
      </c>
    </row>
    <row r="2820">
      <c r="A2820" s="10" t="str">
        <f>IFERROR(__xludf.DUMMYFUNCTION("""COMPUTED_VALUE"""),"白い緑の赤い黒")</f>
        <v>白い緑の赤い黒</v>
      </c>
      <c r="B2820" s="10">
        <f>IFERROR(__xludf.DUMMYFUNCTION("""COMPUTED_VALUE"""),307.0)</f>
        <v>307</v>
      </c>
      <c r="C2820" s="10">
        <f>IFERROR(__xludf.DUMMYFUNCTION("""COMPUTED_VALUE"""),3541.0)</f>
        <v>3541</v>
      </c>
      <c r="D2820" s="5">
        <f>IFERROR(__xludf.DUMMYFUNCTION("""COMPUTED_VALUE"""),0.3676561533704391)</f>
        <v>0.3676561534</v>
      </c>
      <c r="E2820" s="5">
        <f>IFERROR(__xludf.DUMMYFUNCTION("""COMPUTED_VALUE"""),0.12739641311069883)</f>
        <v>0.1273964131</v>
      </c>
      <c r="F2820" s="5">
        <f>IFERROR(__xludf.DUMMYFUNCTION("""COMPUTED_VALUE"""),0.21397649969078542)</f>
        <v>0.2139764997</v>
      </c>
      <c r="G2820" s="5">
        <f>IFERROR(__xludf.DUMMYFUNCTION("""COMPUTED_VALUE"""),0.15367965367965367)</f>
        <v>0.1536796537</v>
      </c>
      <c r="H2820" s="5">
        <f>IFERROR(__xludf.DUMMYFUNCTION("""COMPUTED_VALUE"""),0.6445086705202312)</f>
        <v>0.6445086705</v>
      </c>
      <c r="I2820" s="11">
        <f>IFERROR(__xludf.DUMMYFUNCTION("""COMPUTED_VALUE"""),5403.179190751445)</f>
        <v>5403.179191</v>
      </c>
      <c r="J2820" s="10">
        <f>IFERROR(__xludf.DUMMYFUNCTION("""COMPUTED_VALUE"""),1.0)</f>
        <v>1</v>
      </c>
      <c r="K2820" s="5">
        <f>IFERROR(__xludf.DUMMYFUNCTION("""COMPUTED_VALUE"""),0.003257328990228013)</f>
        <v>0.00325732899</v>
      </c>
      <c r="L2820" s="10">
        <f>IFERROR(__xludf.DUMMYFUNCTION("""COMPUTED_VALUE"""),0.0)</f>
        <v>0</v>
      </c>
      <c r="M2820" s="5">
        <f>IFERROR(__xludf.DUMMYFUNCTION("""COMPUTED_VALUE"""),0.0)</f>
        <v>0</v>
      </c>
    </row>
    <row r="2821">
      <c r="A2821" s="10" t="str">
        <f>IFERROR(__xludf.DUMMYFUNCTION("""COMPUTED_VALUE"""),"私が三重だ")</f>
        <v>私が三重だ</v>
      </c>
      <c r="B2821" s="10">
        <f>IFERROR(__xludf.DUMMYFUNCTION("""COMPUTED_VALUE"""),2628.0)</f>
        <v>2628</v>
      </c>
      <c r="C2821" s="10">
        <f>IFERROR(__xludf.DUMMYFUNCTION("""COMPUTED_VALUE"""),30957.0)</f>
        <v>30957</v>
      </c>
      <c r="D2821" s="5">
        <f>IFERROR(__xludf.DUMMYFUNCTION("""COMPUTED_VALUE"""),0.3494652123265911)</f>
        <v>0.3494652123</v>
      </c>
      <c r="E2821" s="5">
        <f>IFERROR(__xludf.DUMMYFUNCTION("""COMPUTED_VALUE"""),0.12739595467542095)</f>
        <v>0.1273959547</v>
      </c>
      <c r="F2821" s="5">
        <f>IFERROR(__xludf.DUMMYFUNCTION("""COMPUTED_VALUE"""),0.21603304034734724)</f>
        <v>0.2160330403</v>
      </c>
      <c r="G2821" s="5">
        <f>IFERROR(__xludf.DUMMYFUNCTION("""COMPUTED_VALUE"""),0.18267499735253628)</f>
        <v>0.1826749974</v>
      </c>
      <c r="H2821" s="5">
        <f>IFERROR(__xludf.DUMMYFUNCTION("""COMPUTED_VALUE"""),0.5857843137254902)</f>
        <v>0.5857843137</v>
      </c>
      <c r="I2821" s="11">
        <f>IFERROR(__xludf.DUMMYFUNCTION("""COMPUTED_VALUE"""),5733.970588235294)</f>
        <v>5733.970588</v>
      </c>
      <c r="J2821" s="10">
        <f>IFERROR(__xludf.DUMMYFUNCTION("""COMPUTED_VALUE"""),6.0)</f>
        <v>6</v>
      </c>
      <c r="K2821" s="5">
        <f>IFERROR(__xludf.DUMMYFUNCTION("""COMPUTED_VALUE"""),0.00228310502283105)</f>
        <v>0.002283105023</v>
      </c>
      <c r="L2821" s="10">
        <f>IFERROR(__xludf.DUMMYFUNCTION("""COMPUTED_VALUE"""),1503.0)</f>
        <v>1503</v>
      </c>
      <c r="M2821" s="5">
        <f>IFERROR(__xludf.DUMMYFUNCTION("""COMPUTED_VALUE"""),0.571917808219178)</f>
        <v>0.5719178082</v>
      </c>
    </row>
    <row r="2822">
      <c r="A2822" s="10" t="str">
        <f>IFERROR(__xludf.DUMMYFUNCTION("""COMPUTED_VALUE"""),"和正")</f>
        <v>和正</v>
      </c>
      <c r="B2822" s="10">
        <f>IFERROR(__xludf.DUMMYFUNCTION("""COMPUTED_VALUE"""),263.0)</f>
        <v>263</v>
      </c>
      <c r="C2822" s="10">
        <f>IFERROR(__xludf.DUMMYFUNCTION("""COMPUTED_VALUE"""),2979.0)</f>
        <v>2979</v>
      </c>
      <c r="D2822" s="5">
        <f>IFERROR(__xludf.DUMMYFUNCTION("""COMPUTED_VALUE"""),0.3225331369661267)</f>
        <v>0.322533137</v>
      </c>
      <c r="E2822" s="5">
        <f>IFERROR(__xludf.DUMMYFUNCTION("""COMPUTED_VALUE"""),0.12739322533136965)</f>
        <v>0.1273932253</v>
      </c>
      <c r="F2822" s="5">
        <f>IFERROR(__xludf.DUMMYFUNCTION("""COMPUTED_VALUE"""),0.195139911634757)</f>
        <v>0.1951399116</v>
      </c>
      <c r="G2822" s="5">
        <f>IFERROR(__xludf.DUMMYFUNCTION("""COMPUTED_VALUE"""),0.15868924889543445)</f>
        <v>0.1586892489</v>
      </c>
      <c r="H2822" s="5">
        <f>IFERROR(__xludf.DUMMYFUNCTION("""COMPUTED_VALUE"""),0.5773584905660377)</f>
        <v>0.5773584906</v>
      </c>
      <c r="I2822" s="11">
        <f>IFERROR(__xludf.DUMMYFUNCTION("""COMPUTED_VALUE"""),5969.056603773585)</f>
        <v>5969.056604</v>
      </c>
      <c r="J2822" s="10">
        <f>IFERROR(__xludf.DUMMYFUNCTION("""COMPUTED_VALUE"""),0.0)</f>
        <v>0</v>
      </c>
      <c r="K2822" s="5">
        <f>IFERROR(__xludf.DUMMYFUNCTION("""COMPUTED_VALUE"""),0.0)</f>
        <v>0</v>
      </c>
      <c r="L2822" s="10">
        <f>IFERROR(__xludf.DUMMYFUNCTION("""COMPUTED_VALUE"""),263.0)</f>
        <v>263</v>
      </c>
      <c r="M2822" s="5">
        <f>IFERROR(__xludf.DUMMYFUNCTION("""COMPUTED_VALUE"""),1.0)</f>
        <v>1</v>
      </c>
    </row>
    <row r="2823">
      <c r="A2823" s="10" t="str">
        <f>IFERROR(__xludf.DUMMYFUNCTION("""COMPUTED_VALUE"""),"麻雀脳ゼロ")</f>
        <v>麻雀脳ゼロ</v>
      </c>
      <c r="B2823" s="10">
        <f>IFERROR(__xludf.DUMMYFUNCTION("""COMPUTED_VALUE"""),143.0)</f>
        <v>143</v>
      </c>
      <c r="C2823" s="10">
        <f>IFERROR(__xludf.DUMMYFUNCTION("""COMPUTED_VALUE"""),1666.0)</f>
        <v>1666</v>
      </c>
      <c r="D2823" s="5">
        <f>IFERROR(__xludf.DUMMYFUNCTION("""COMPUTED_VALUE"""),0.2829940906106369)</f>
        <v>0.2829940906</v>
      </c>
      <c r="E2823" s="5">
        <f>IFERROR(__xludf.DUMMYFUNCTION("""COMPUTED_VALUE"""),0.12738017071569271)</f>
        <v>0.1273801707</v>
      </c>
      <c r="F2823" s="5">
        <f>IFERROR(__xludf.DUMMYFUNCTION("""COMPUTED_VALUE"""),0.18319107025607353)</f>
        <v>0.1831910703</v>
      </c>
      <c r="G2823" s="5">
        <f>IFERROR(__xludf.DUMMYFUNCTION("""COMPUTED_VALUE"""),0.170059093893631)</f>
        <v>0.1700590939</v>
      </c>
      <c r="H2823" s="5">
        <f>IFERROR(__xludf.DUMMYFUNCTION("""COMPUTED_VALUE"""),0.5913978494623656)</f>
        <v>0.5913978495</v>
      </c>
      <c r="I2823" s="11">
        <f>IFERROR(__xludf.DUMMYFUNCTION("""COMPUTED_VALUE"""),6134.050179211469)</f>
        <v>6134.050179</v>
      </c>
      <c r="J2823" s="10">
        <f>IFERROR(__xludf.DUMMYFUNCTION("""COMPUTED_VALUE"""),0.0)</f>
        <v>0</v>
      </c>
      <c r="K2823" s="5">
        <f>IFERROR(__xludf.DUMMYFUNCTION("""COMPUTED_VALUE"""),0.0)</f>
        <v>0</v>
      </c>
      <c r="L2823" s="10">
        <f>IFERROR(__xludf.DUMMYFUNCTION("""COMPUTED_VALUE"""),143.0)</f>
        <v>143</v>
      </c>
      <c r="M2823" s="5">
        <f>IFERROR(__xludf.DUMMYFUNCTION("""COMPUTED_VALUE"""),1.0)</f>
        <v>1</v>
      </c>
    </row>
    <row r="2824">
      <c r="A2824" s="10" t="str">
        <f>IFERROR(__xludf.DUMMYFUNCTION("""COMPUTED_VALUE"""),"Сカップ大関")</f>
        <v>Сカップ大関</v>
      </c>
      <c r="B2824" s="10">
        <f>IFERROR(__xludf.DUMMYFUNCTION("""COMPUTED_VALUE"""),1009.0)</f>
        <v>1009</v>
      </c>
      <c r="C2824" s="10">
        <f>IFERROR(__xludf.DUMMYFUNCTION("""COMPUTED_VALUE"""),11931.0)</f>
        <v>11931</v>
      </c>
      <c r="D2824" s="5">
        <f>IFERROR(__xludf.DUMMYFUNCTION("""COMPUTED_VALUE"""),0.40770921076725875)</f>
        <v>0.4077092108</v>
      </c>
      <c r="E2824" s="5">
        <f>IFERROR(__xludf.DUMMYFUNCTION("""COMPUTED_VALUE"""),0.12735762680827686)</f>
        <v>0.1273576268</v>
      </c>
      <c r="F2824" s="5">
        <f>IFERROR(__xludf.DUMMYFUNCTION("""COMPUTED_VALUE"""),0.2173594579747299)</f>
        <v>0.217359458</v>
      </c>
      <c r="G2824" s="5">
        <f>IFERROR(__xludf.DUMMYFUNCTION("""COMPUTED_VALUE"""),0.1602270646401758)</f>
        <v>0.1602270646</v>
      </c>
      <c r="H2824" s="5">
        <f>IFERROR(__xludf.DUMMYFUNCTION("""COMPUTED_VALUE"""),0.5893007582139849)</f>
        <v>0.5893007582</v>
      </c>
      <c r="I2824" s="11">
        <f>IFERROR(__xludf.DUMMYFUNCTION("""COMPUTED_VALUE"""),5463.6899747262005)</f>
        <v>5463.689975</v>
      </c>
      <c r="J2824" s="10">
        <f>IFERROR(__xludf.DUMMYFUNCTION("""COMPUTED_VALUE"""),2.0)</f>
        <v>2</v>
      </c>
      <c r="K2824" s="5">
        <f>IFERROR(__xludf.DUMMYFUNCTION("""COMPUTED_VALUE"""),0.0019821605550049554)</f>
        <v>0.001982160555</v>
      </c>
      <c r="L2824" s="10">
        <f>IFERROR(__xludf.DUMMYFUNCTION("""COMPUTED_VALUE"""),1009.0)</f>
        <v>1009</v>
      </c>
      <c r="M2824" s="5">
        <f>IFERROR(__xludf.DUMMYFUNCTION("""COMPUTED_VALUE"""),1.0)</f>
        <v>1</v>
      </c>
    </row>
    <row r="2825">
      <c r="A2825" s="10" t="str">
        <f>IFERROR(__xludf.DUMMYFUNCTION("""COMPUTED_VALUE"""),"不沈")</f>
        <v>不沈</v>
      </c>
      <c r="B2825" s="10">
        <f>IFERROR(__xludf.DUMMYFUNCTION("""COMPUTED_VALUE"""),805.0)</f>
        <v>805</v>
      </c>
      <c r="C2825" s="10">
        <f>IFERROR(__xludf.DUMMYFUNCTION("""COMPUTED_VALUE"""),9395.0)</f>
        <v>9395</v>
      </c>
      <c r="D2825" s="5">
        <f>IFERROR(__xludf.DUMMYFUNCTION("""COMPUTED_VALUE"""),0.2948777648428405)</f>
        <v>0.2948777648</v>
      </c>
      <c r="E2825" s="5">
        <f>IFERROR(__xludf.DUMMYFUNCTION("""COMPUTED_VALUE"""),0.12735739231664728)</f>
        <v>0.1273573923</v>
      </c>
      <c r="F2825" s="5">
        <f>IFERROR(__xludf.DUMMYFUNCTION("""COMPUTED_VALUE"""),0.2009313154831199)</f>
        <v>0.2009313155</v>
      </c>
      <c r="G2825" s="5">
        <f>IFERROR(__xludf.DUMMYFUNCTION("""COMPUTED_VALUE"""),0.19161816065192083)</f>
        <v>0.1916181607</v>
      </c>
      <c r="H2825" s="5">
        <f>IFERROR(__xludf.DUMMYFUNCTION("""COMPUTED_VALUE"""),0.5921205098493627)</f>
        <v>0.5921205098</v>
      </c>
      <c r="I2825" s="11">
        <f>IFERROR(__xludf.DUMMYFUNCTION("""COMPUTED_VALUE"""),5985.3997682502895)</f>
        <v>5985.399768</v>
      </c>
      <c r="J2825" s="10">
        <f>IFERROR(__xludf.DUMMYFUNCTION("""COMPUTED_VALUE"""),0.0)</f>
        <v>0</v>
      </c>
      <c r="K2825" s="5">
        <f>IFERROR(__xludf.DUMMYFUNCTION("""COMPUTED_VALUE"""),0.0)</f>
        <v>0</v>
      </c>
      <c r="L2825" s="10">
        <f>IFERROR(__xludf.DUMMYFUNCTION("""COMPUTED_VALUE"""),343.0)</f>
        <v>343</v>
      </c>
      <c r="M2825" s="5">
        <f>IFERROR(__xludf.DUMMYFUNCTION("""COMPUTED_VALUE"""),0.4260869565217391)</f>
        <v>0.4260869565</v>
      </c>
    </row>
    <row r="2826">
      <c r="A2826" s="10" t="str">
        <f>IFERROR(__xludf.DUMMYFUNCTION("""COMPUTED_VALUE"""),"tezk")</f>
        <v>tezk</v>
      </c>
      <c r="B2826" s="10">
        <f>IFERROR(__xludf.DUMMYFUNCTION("""COMPUTED_VALUE"""),338.0)</f>
        <v>338</v>
      </c>
      <c r="C2826" s="10">
        <f>IFERROR(__xludf.DUMMYFUNCTION("""COMPUTED_VALUE"""),4005.0)</f>
        <v>4005</v>
      </c>
      <c r="D2826" s="5">
        <f>IFERROR(__xludf.DUMMYFUNCTION("""COMPUTED_VALUE"""),0.34796836651213525)</f>
        <v>0.3479683665</v>
      </c>
      <c r="E2826" s="5">
        <f>IFERROR(__xludf.DUMMYFUNCTION("""COMPUTED_VALUE"""),0.12735205890373602)</f>
        <v>0.1273520589</v>
      </c>
      <c r="F2826" s="5">
        <f>IFERROR(__xludf.DUMMYFUNCTION("""COMPUTED_VALUE"""),0.19880010908099263)</f>
        <v>0.1988001091</v>
      </c>
      <c r="G2826" s="5">
        <f>IFERROR(__xludf.DUMMYFUNCTION("""COMPUTED_VALUE"""),0.15789473684210525)</f>
        <v>0.1578947368</v>
      </c>
      <c r="H2826" s="5">
        <f>IFERROR(__xludf.DUMMYFUNCTION("""COMPUTED_VALUE"""),0.6159122085048011)</f>
        <v>0.6159122085</v>
      </c>
      <c r="I2826" s="11">
        <f>IFERROR(__xludf.DUMMYFUNCTION("""COMPUTED_VALUE"""),5857.338820301783)</f>
        <v>5857.33882</v>
      </c>
      <c r="J2826" s="10">
        <f>IFERROR(__xludf.DUMMYFUNCTION("""COMPUTED_VALUE"""),0.0)</f>
        <v>0</v>
      </c>
      <c r="K2826" s="5">
        <f>IFERROR(__xludf.DUMMYFUNCTION("""COMPUTED_VALUE"""),0.0)</f>
        <v>0</v>
      </c>
      <c r="L2826" s="10">
        <f>IFERROR(__xludf.DUMMYFUNCTION("""COMPUTED_VALUE"""),338.0)</f>
        <v>338</v>
      </c>
      <c r="M2826" s="5">
        <f>IFERROR(__xludf.DUMMYFUNCTION("""COMPUTED_VALUE"""),1.0)</f>
        <v>1</v>
      </c>
    </row>
    <row r="2827">
      <c r="A2827" s="10" t="str">
        <f>IFERROR(__xludf.DUMMYFUNCTION("""COMPUTED_VALUE"""),"ベルを盗め！")</f>
        <v>ベルを盗め！</v>
      </c>
      <c r="B2827" s="10">
        <f>IFERROR(__xludf.DUMMYFUNCTION("""COMPUTED_VALUE"""),859.0)</f>
        <v>859</v>
      </c>
      <c r="C2827" s="10">
        <f>IFERROR(__xludf.DUMMYFUNCTION("""COMPUTED_VALUE"""),10188.0)</f>
        <v>10188</v>
      </c>
      <c r="D2827" s="5">
        <f>IFERROR(__xludf.DUMMYFUNCTION("""COMPUTED_VALUE"""),0.31053703505198843)</f>
        <v>0.3105370351</v>
      </c>
      <c r="E2827" s="5">
        <f>IFERROR(__xludf.DUMMYFUNCTION("""COMPUTED_VALUE"""),0.12734483867509916)</f>
        <v>0.1273448387</v>
      </c>
      <c r="F2827" s="5">
        <f>IFERROR(__xludf.DUMMYFUNCTION("""COMPUTED_VALUE"""),0.20870404116196806)</f>
        <v>0.2087040412</v>
      </c>
      <c r="G2827" s="5">
        <f>IFERROR(__xludf.DUMMYFUNCTION("""COMPUTED_VALUE"""),0.17676063886804588)</f>
        <v>0.1767606389</v>
      </c>
      <c r="H2827" s="5">
        <f>IFERROR(__xludf.DUMMYFUNCTION("""COMPUTED_VALUE"""),0.6014381099126862)</f>
        <v>0.6014381099</v>
      </c>
      <c r="I2827" s="11">
        <f>IFERROR(__xludf.DUMMYFUNCTION("""COMPUTED_VALUE"""),5578.428351309707)</f>
        <v>5578.428351</v>
      </c>
      <c r="J2827" s="10">
        <f>IFERROR(__xludf.DUMMYFUNCTION("""COMPUTED_VALUE"""),0.0)</f>
        <v>0</v>
      </c>
      <c r="K2827" s="5">
        <f>IFERROR(__xludf.DUMMYFUNCTION("""COMPUTED_VALUE"""),0.0)</f>
        <v>0</v>
      </c>
      <c r="L2827" s="10">
        <f>IFERROR(__xludf.DUMMYFUNCTION("""COMPUTED_VALUE"""),859.0)</f>
        <v>859</v>
      </c>
      <c r="M2827" s="5">
        <f>IFERROR(__xludf.DUMMYFUNCTION("""COMPUTED_VALUE"""),1.0)</f>
        <v>1</v>
      </c>
    </row>
    <row r="2828">
      <c r="A2828" s="10" t="str">
        <f>IFERROR(__xludf.DUMMYFUNCTION("""COMPUTED_VALUE"""),"D&amp;F")</f>
        <v>D&amp;F</v>
      </c>
      <c r="B2828" s="10">
        <f>IFERROR(__xludf.DUMMYFUNCTION("""COMPUTED_VALUE"""),489.0)</f>
        <v>489</v>
      </c>
      <c r="C2828" s="10">
        <f>IFERROR(__xludf.DUMMYFUNCTION("""COMPUTED_VALUE"""),5821.0)</f>
        <v>5821</v>
      </c>
      <c r="D2828" s="5">
        <f>IFERROR(__xludf.DUMMYFUNCTION("""COMPUTED_VALUE"""),0.33477119279819956)</f>
        <v>0.3347711928</v>
      </c>
      <c r="E2828" s="5">
        <f>IFERROR(__xludf.DUMMYFUNCTION("""COMPUTED_VALUE"""),0.12734433608402101)</f>
        <v>0.1273443361</v>
      </c>
      <c r="F2828" s="5">
        <f>IFERROR(__xludf.DUMMYFUNCTION("""COMPUTED_VALUE"""),0.2003000750187547)</f>
        <v>0.200300075</v>
      </c>
      <c r="G2828" s="5">
        <f>IFERROR(__xludf.DUMMYFUNCTION("""COMPUTED_VALUE"""),0.16110277569392348)</f>
        <v>0.1611027757</v>
      </c>
      <c r="H2828" s="5">
        <f>IFERROR(__xludf.DUMMYFUNCTION("""COMPUTED_VALUE"""),0.6217228464419475)</f>
        <v>0.6217228464</v>
      </c>
      <c r="I2828" s="11">
        <f>IFERROR(__xludf.DUMMYFUNCTION("""COMPUTED_VALUE"""),5816.385767790262)</f>
        <v>5816.385768</v>
      </c>
      <c r="J2828" s="10">
        <f>IFERROR(__xludf.DUMMYFUNCTION("""COMPUTED_VALUE"""),0.0)</f>
        <v>0</v>
      </c>
      <c r="K2828" s="5">
        <f>IFERROR(__xludf.DUMMYFUNCTION("""COMPUTED_VALUE"""),0.0)</f>
        <v>0</v>
      </c>
      <c r="L2828" s="10">
        <f>IFERROR(__xludf.DUMMYFUNCTION("""COMPUTED_VALUE"""),489.0)</f>
        <v>489</v>
      </c>
      <c r="M2828" s="5">
        <f>IFERROR(__xludf.DUMMYFUNCTION("""COMPUTED_VALUE"""),1.0)</f>
        <v>1</v>
      </c>
    </row>
    <row r="2829">
      <c r="A2829" s="10" t="str">
        <f>IFERROR(__xludf.DUMMYFUNCTION("""COMPUTED_VALUE"""),"さくらこ")</f>
        <v>さくらこ</v>
      </c>
      <c r="B2829" s="10">
        <f>IFERROR(__xludf.DUMMYFUNCTION("""COMPUTED_VALUE"""),754.0)</f>
        <v>754</v>
      </c>
      <c r="C2829" s="10">
        <f>IFERROR(__xludf.DUMMYFUNCTION("""COMPUTED_VALUE"""),8717.0)</f>
        <v>8717</v>
      </c>
      <c r="D2829" s="5">
        <f>IFERROR(__xludf.DUMMYFUNCTION("""COMPUTED_VALUE"""),0.38076101971618737)</f>
        <v>0.3807610197</v>
      </c>
      <c r="E2829" s="5">
        <f>IFERROR(__xludf.DUMMYFUNCTION("""COMPUTED_VALUE"""),0.12733894260956927)</f>
        <v>0.1273389426</v>
      </c>
      <c r="F2829" s="5">
        <f>IFERROR(__xludf.DUMMYFUNCTION("""COMPUTED_VALUE"""),0.22541755619741302)</f>
        <v>0.2254175562</v>
      </c>
      <c r="G2829" s="5">
        <f>IFERROR(__xludf.DUMMYFUNCTION("""COMPUTED_VALUE"""),0.12269245259324375)</f>
        <v>0.1226924526</v>
      </c>
      <c r="H2829" s="5">
        <f>IFERROR(__xludf.DUMMYFUNCTION("""COMPUTED_VALUE"""),0.6401114206128133)</f>
        <v>0.6401114206</v>
      </c>
      <c r="I2829" s="11">
        <f>IFERROR(__xludf.DUMMYFUNCTION("""COMPUTED_VALUE"""),5221.615598885794)</f>
        <v>5221.615599</v>
      </c>
      <c r="J2829" s="10">
        <f>IFERROR(__xludf.DUMMYFUNCTION("""COMPUTED_VALUE"""),1.0)</f>
        <v>1</v>
      </c>
      <c r="K2829" s="5">
        <f>IFERROR(__xludf.DUMMYFUNCTION("""COMPUTED_VALUE"""),0.001326259946949602)</f>
        <v>0.001326259947</v>
      </c>
      <c r="L2829" s="10">
        <f>IFERROR(__xludf.DUMMYFUNCTION("""COMPUTED_VALUE"""),754.0)</f>
        <v>754</v>
      </c>
      <c r="M2829" s="5">
        <f>IFERROR(__xludf.DUMMYFUNCTION("""COMPUTED_VALUE"""),1.0)</f>
        <v>1</v>
      </c>
    </row>
    <row r="2830">
      <c r="A2830" s="10" t="str">
        <f>IFERROR(__xludf.DUMMYFUNCTION("""COMPUTED_VALUE"""),"applause")</f>
        <v>applause</v>
      </c>
      <c r="B2830" s="10">
        <f>IFERROR(__xludf.DUMMYFUNCTION("""COMPUTED_VALUE"""),1585.0)</f>
        <v>1585</v>
      </c>
      <c r="C2830" s="10">
        <f>IFERROR(__xludf.DUMMYFUNCTION("""COMPUTED_VALUE"""),18532.0)</f>
        <v>18532</v>
      </c>
      <c r="D2830" s="5">
        <f>IFERROR(__xludf.DUMMYFUNCTION("""COMPUTED_VALUE"""),0.34761314686965245)</f>
        <v>0.3476131469</v>
      </c>
      <c r="E2830" s="5">
        <f>IFERROR(__xludf.DUMMYFUNCTION("""COMPUTED_VALUE"""),0.12733817194783736)</f>
        <v>0.1273381719</v>
      </c>
      <c r="F2830" s="5">
        <f>IFERROR(__xludf.DUMMYFUNCTION("""COMPUTED_VALUE"""),0.19909128459314332)</f>
        <v>0.1990912846</v>
      </c>
      <c r="G2830" s="5">
        <f>IFERROR(__xludf.DUMMYFUNCTION("""COMPUTED_VALUE"""),0.15306543931079247)</f>
        <v>0.1530654393</v>
      </c>
      <c r="H2830" s="5">
        <f>IFERROR(__xludf.DUMMYFUNCTION("""COMPUTED_VALUE"""),0.5963248369887374)</f>
        <v>0.596324837</v>
      </c>
      <c r="I2830" s="11">
        <f>IFERROR(__xludf.DUMMYFUNCTION("""COMPUTED_VALUE"""),5911.470065204505)</f>
        <v>5911.470065</v>
      </c>
      <c r="J2830" s="10">
        <f>IFERROR(__xludf.DUMMYFUNCTION("""COMPUTED_VALUE"""),2.0)</f>
        <v>2</v>
      </c>
      <c r="K2830" s="5">
        <f>IFERROR(__xludf.DUMMYFUNCTION("""COMPUTED_VALUE"""),0.0012618296529968455)</f>
        <v>0.001261829653</v>
      </c>
      <c r="L2830" s="10">
        <f>IFERROR(__xludf.DUMMYFUNCTION("""COMPUTED_VALUE"""),0.0)</f>
        <v>0</v>
      </c>
      <c r="M2830" s="5">
        <f>IFERROR(__xludf.DUMMYFUNCTION("""COMPUTED_VALUE"""),0.0)</f>
        <v>0</v>
      </c>
    </row>
    <row r="2831">
      <c r="A2831" s="10" t="str">
        <f>IFERROR(__xludf.DUMMYFUNCTION("""COMPUTED_VALUE"""),"怖くないお")</f>
        <v>怖くないお</v>
      </c>
      <c r="B2831" s="10">
        <f>IFERROR(__xludf.DUMMYFUNCTION("""COMPUTED_VALUE"""),965.0)</f>
        <v>965</v>
      </c>
      <c r="C2831" s="10">
        <f>IFERROR(__xludf.DUMMYFUNCTION("""COMPUTED_VALUE"""),11410.0)</f>
        <v>11410</v>
      </c>
      <c r="D2831" s="5">
        <f>IFERROR(__xludf.DUMMYFUNCTION("""COMPUTED_VALUE"""),0.3991383437051221)</f>
        <v>0.3991383437</v>
      </c>
      <c r="E2831" s="5">
        <f>IFERROR(__xludf.DUMMYFUNCTION("""COMPUTED_VALUE"""),0.1273336524652944)</f>
        <v>0.1273336525</v>
      </c>
      <c r="F2831" s="5">
        <f>IFERROR(__xludf.DUMMYFUNCTION("""COMPUTED_VALUE"""),0.22364767831498325)</f>
        <v>0.2236476783</v>
      </c>
      <c r="G2831" s="5">
        <f>IFERROR(__xludf.DUMMYFUNCTION("""COMPUTED_VALUE"""),0.1199617041646721)</f>
        <v>0.1199617042</v>
      </c>
      <c r="H2831" s="5">
        <f>IFERROR(__xludf.DUMMYFUNCTION("""COMPUTED_VALUE"""),0.6305650684931506)</f>
        <v>0.6305650685</v>
      </c>
      <c r="I2831" s="11">
        <f>IFERROR(__xludf.DUMMYFUNCTION("""COMPUTED_VALUE"""),5227.5256849315065)</f>
        <v>5227.525685</v>
      </c>
      <c r="J2831" s="10">
        <f>IFERROR(__xludf.DUMMYFUNCTION("""COMPUTED_VALUE"""),3.0)</f>
        <v>3</v>
      </c>
      <c r="K2831" s="5">
        <f>IFERROR(__xludf.DUMMYFUNCTION("""COMPUTED_VALUE"""),0.0031088082901554403)</f>
        <v>0.00310880829</v>
      </c>
      <c r="L2831" s="10">
        <f>IFERROR(__xludf.DUMMYFUNCTION("""COMPUTED_VALUE"""),965.0)</f>
        <v>965</v>
      </c>
      <c r="M2831" s="5">
        <f>IFERROR(__xludf.DUMMYFUNCTION("""COMPUTED_VALUE"""),1.0)</f>
        <v>1</v>
      </c>
    </row>
    <row r="2832">
      <c r="A2832" s="10" t="str">
        <f>IFERROR(__xludf.DUMMYFUNCTION("""COMPUTED_VALUE"""),"yashix")</f>
        <v>yashix</v>
      </c>
      <c r="B2832" s="10">
        <f>IFERROR(__xludf.DUMMYFUNCTION("""COMPUTED_VALUE"""),261.0)</f>
        <v>261</v>
      </c>
      <c r="C2832" s="10">
        <f>IFERROR(__xludf.DUMMYFUNCTION("""COMPUTED_VALUE"""),3104.0)</f>
        <v>3104</v>
      </c>
      <c r="D2832" s="5">
        <f>IFERROR(__xludf.DUMMYFUNCTION("""COMPUTED_VALUE"""),0.36967991558213154)</f>
        <v>0.3696799156</v>
      </c>
      <c r="E2832" s="5">
        <f>IFERROR(__xludf.DUMMYFUNCTION("""COMPUTED_VALUE"""),0.127330284910306)</f>
        <v>0.1273302849</v>
      </c>
      <c r="F2832" s="5">
        <f>IFERROR(__xludf.DUMMYFUNCTION("""COMPUTED_VALUE"""),0.2117481533591277)</f>
        <v>0.2117481534</v>
      </c>
      <c r="G2832" s="5">
        <f>IFERROR(__xludf.DUMMYFUNCTION("""COMPUTED_VALUE"""),0.16848399577910658)</f>
        <v>0.1684839958</v>
      </c>
      <c r="H2832" s="5">
        <f>IFERROR(__xludf.DUMMYFUNCTION("""COMPUTED_VALUE"""),0.5813953488372093)</f>
        <v>0.5813953488</v>
      </c>
      <c r="I2832" s="11">
        <f>IFERROR(__xludf.DUMMYFUNCTION("""COMPUTED_VALUE"""),5418.936877076412)</f>
        <v>5418.936877</v>
      </c>
      <c r="J2832" s="10">
        <f>IFERROR(__xludf.DUMMYFUNCTION("""COMPUTED_VALUE"""),1.0)</f>
        <v>1</v>
      </c>
      <c r="K2832" s="5">
        <f>IFERROR(__xludf.DUMMYFUNCTION("""COMPUTED_VALUE"""),0.0038314176245210726)</f>
        <v>0.003831417625</v>
      </c>
      <c r="L2832" s="10">
        <f>IFERROR(__xludf.DUMMYFUNCTION("""COMPUTED_VALUE"""),261.0)</f>
        <v>261</v>
      </c>
      <c r="M2832" s="5">
        <f>IFERROR(__xludf.DUMMYFUNCTION("""COMPUTED_VALUE"""),1.0)</f>
        <v>1</v>
      </c>
    </row>
    <row r="2833">
      <c r="A2833" s="10" t="str">
        <f>IFERROR(__xludf.DUMMYFUNCTION("""COMPUTED_VALUE"""),"1q4d")</f>
        <v>1q4d</v>
      </c>
      <c r="B2833" s="10">
        <f>IFERROR(__xludf.DUMMYFUNCTION("""COMPUTED_VALUE"""),402.0)</f>
        <v>402</v>
      </c>
      <c r="C2833" s="10">
        <f>IFERROR(__xludf.DUMMYFUNCTION("""COMPUTED_VALUE"""),4698.0)</f>
        <v>4698</v>
      </c>
      <c r="D2833" s="5">
        <f>IFERROR(__xludf.DUMMYFUNCTION("""COMPUTED_VALUE"""),0.3500931098696462)</f>
        <v>0.3500931099</v>
      </c>
      <c r="E2833" s="5">
        <f>IFERROR(__xludf.DUMMYFUNCTION("""COMPUTED_VALUE"""),0.12732774674115457)</f>
        <v>0.1273277467</v>
      </c>
      <c r="F2833" s="5">
        <f>IFERROR(__xludf.DUMMYFUNCTION("""COMPUTED_VALUE"""),0.21764432029795158)</f>
        <v>0.2176443203</v>
      </c>
      <c r="G2833" s="5">
        <f>IFERROR(__xludf.DUMMYFUNCTION("""COMPUTED_VALUE"""),0.1543296089385475)</f>
        <v>0.1543296089</v>
      </c>
      <c r="H2833" s="5">
        <f>IFERROR(__xludf.DUMMYFUNCTION("""COMPUTED_VALUE"""),0.6010695187165775)</f>
        <v>0.6010695187</v>
      </c>
      <c r="I2833" s="11">
        <f>IFERROR(__xludf.DUMMYFUNCTION("""COMPUTED_VALUE"""),5291.9786096256685)</f>
        <v>5291.97861</v>
      </c>
      <c r="J2833" s="10">
        <f>IFERROR(__xludf.DUMMYFUNCTION("""COMPUTED_VALUE"""),2.0)</f>
        <v>2</v>
      </c>
      <c r="K2833" s="5">
        <f>IFERROR(__xludf.DUMMYFUNCTION("""COMPUTED_VALUE"""),0.004975124378109453)</f>
        <v>0.004975124378</v>
      </c>
      <c r="L2833" s="10">
        <f>IFERROR(__xludf.DUMMYFUNCTION("""COMPUTED_VALUE"""),153.0)</f>
        <v>153</v>
      </c>
      <c r="M2833" s="5">
        <f>IFERROR(__xludf.DUMMYFUNCTION("""COMPUTED_VALUE"""),0.3805970149253731)</f>
        <v>0.3805970149</v>
      </c>
    </row>
    <row r="2834">
      <c r="A2834" s="10" t="str">
        <f>IFERROR(__xludf.DUMMYFUNCTION("""COMPUTED_VALUE"""),"ラピスラズリ")</f>
        <v>ラピスラズリ</v>
      </c>
      <c r="B2834" s="10">
        <f>IFERROR(__xludf.DUMMYFUNCTION("""COMPUTED_VALUE"""),256.0)</f>
        <v>256</v>
      </c>
      <c r="C2834" s="10">
        <f>IFERROR(__xludf.DUMMYFUNCTION("""COMPUTED_VALUE"""),2997.0)</f>
        <v>2997</v>
      </c>
      <c r="D2834" s="5">
        <f>IFERROR(__xludf.DUMMYFUNCTION("""COMPUTED_VALUE"""),0.36811382707041224)</f>
        <v>0.3681138271</v>
      </c>
      <c r="E2834" s="5">
        <f>IFERROR(__xludf.DUMMYFUNCTION("""COMPUTED_VALUE"""),0.1273257935060197)</f>
        <v>0.1273257935</v>
      </c>
      <c r="F2834" s="5">
        <f>IFERROR(__xludf.DUMMYFUNCTION("""COMPUTED_VALUE"""),0.21707406056183876)</f>
        <v>0.2170740606</v>
      </c>
      <c r="G2834" s="5">
        <f>IFERROR(__xludf.DUMMYFUNCTION("""COMPUTED_VALUE"""),0.19408974826705583)</f>
        <v>0.1940897483</v>
      </c>
      <c r="H2834" s="5">
        <f>IFERROR(__xludf.DUMMYFUNCTION("""COMPUTED_VALUE"""),0.5915966386554622)</f>
        <v>0.5915966387</v>
      </c>
      <c r="I2834" s="11">
        <f>IFERROR(__xludf.DUMMYFUNCTION("""COMPUTED_VALUE"""),5498.655462184874)</f>
        <v>5498.655462</v>
      </c>
      <c r="J2834" s="10">
        <f>IFERROR(__xludf.DUMMYFUNCTION("""COMPUTED_VALUE"""),1.0)</f>
        <v>1</v>
      </c>
      <c r="K2834" s="5">
        <f>IFERROR(__xludf.DUMMYFUNCTION("""COMPUTED_VALUE"""),0.00390625)</f>
        <v>0.00390625</v>
      </c>
      <c r="L2834" s="10">
        <f>IFERROR(__xludf.DUMMYFUNCTION("""COMPUTED_VALUE"""),4.0)</f>
        <v>4</v>
      </c>
      <c r="M2834" s="5">
        <f>IFERROR(__xludf.DUMMYFUNCTION("""COMPUTED_VALUE"""),0.015625)</f>
        <v>0.015625</v>
      </c>
    </row>
    <row r="2835">
      <c r="A2835" s="10" t="str">
        <f>IFERROR(__xludf.DUMMYFUNCTION("""COMPUTED_VALUE"""),"ヒロシです。")</f>
        <v>ヒロシです。</v>
      </c>
      <c r="B2835" s="10">
        <f>IFERROR(__xludf.DUMMYFUNCTION("""COMPUTED_VALUE"""),417.0)</f>
        <v>417</v>
      </c>
      <c r="C2835" s="10">
        <f>IFERROR(__xludf.DUMMYFUNCTION("""COMPUTED_VALUE"""),4878.0)</f>
        <v>4878</v>
      </c>
      <c r="D2835" s="5">
        <f>IFERROR(__xludf.DUMMYFUNCTION("""COMPUTED_VALUE"""),0.2936561309123515)</f>
        <v>0.2936561309</v>
      </c>
      <c r="E2835" s="5">
        <f>IFERROR(__xludf.DUMMYFUNCTION("""COMPUTED_VALUE"""),0.12732571172382873)</f>
        <v>0.1273257117</v>
      </c>
      <c r="F2835" s="5">
        <f>IFERROR(__xludf.DUMMYFUNCTION("""COMPUTED_VALUE"""),0.19435104236718226)</f>
        <v>0.1943510424</v>
      </c>
      <c r="G2835" s="5">
        <f>IFERROR(__xludf.DUMMYFUNCTION("""COMPUTED_VALUE"""),0.14301726070387805)</f>
        <v>0.1430172607</v>
      </c>
      <c r="H2835" s="5">
        <f>IFERROR(__xludf.DUMMYFUNCTION("""COMPUTED_VALUE"""),0.5824682814302191)</f>
        <v>0.5824682814</v>
      </c>
      <c r="I2835" s="11">
        <f>IFERROR(__xludf.DUMMYFUNCTION("""COMPUTED_VALUE"""),6240.023068050749)</f>
        <v>6240.023068</v>
      </c>
      <c r="J2835" s="10">
        <f>IFERROR(__xludf.DUMMYFUNCTION("""COMPUTED_VALUE"""),2.0)</f>
        <v>2</v>
      </c>
      <c r="K2835" s="5">
        <f>IFERROR(__xludf.DUMMYFUNCTION("""COMPUTED_VALUE"""),0.004796163069544364)</f>
        <v>0.00479616307</v>
      </c>
      <c r="L2835" s="10">
        <f>IFERROR(__xludf.DUMMYFUNCTION("""COMPUTED_VALUE"""),417.0)</f>
        <v>417</v>
      </c>
      <c r="M2835" s="5">
        <f>IFERROR(__xludf.DUMMYFUNCTION("""COMPUTED_VALUE"""),1.0)</f>
        <v>1</v>
      </c>
    </row>
    <row r="2836">
      <c r="A2836" s="10" t="str">
        <f>IFERROR(__xludf.DUMMYFUNCTION("""COMPUTED_VALUE"""),"警部")</f>
        <v>警部</v>
      </c>
      <c r="B2836" s="10">
        <f>IFERROR(__xludf.DUMMYFUNCTION("""COMPUTED_VALUE"""),210.0)</f>
        <v>210</v>
      </c>
      <c r="C2836" s="10">
        <f>IFERROR(__xludf.DUMMYFUNCTION("""COMPUTED_VALUE"""),2527.0)</f>
        <v>2527</v>
      </c>
      <c r="D2836" s="5">
        <f>IFERROR(__xludf.DUMMYFUNCTION("""COMPUTED_VALUE"""),0.3690116529995684)</f>
        <v>0.369011653</v>
      </c>
      <c r="E2836" s="5">
        <f>IFERROR(__xludf.DUMMYFUNCTION("""COMPUTED_VALUE"""),0.1273198100992663)</f>
        <v>0.1273198101</v>
      </c>
      <c r="F2836" s="5">
        <f>IFERROR(__xludf.DUMMYFUNCTION("""COMPUTED_VALUE"""),0.20716443677168753)</f>
        <v>0.2071644368</v>
      </c>
      <c r="G2836" s="5">
        <f>IFERROR(__xludf.DUMMYFUNCTION("""COMPUTED_VALUE"""),0.17263703064307295)</f>
        <v>0.1726370306</v>
      </c>
      <c r="H2836" s="5">
        <f>IFERROR(__xludf.DUMMYFUNCTION("""COMPUTED_VALUE"""),0.6333333333333333)</f>
        <v>0.6333333333</v>
      </c>
      <c r="I2836" s="11">
        <f>IFERROR(__xludf.DUMMYFUNCTION("""COMPUTED_VALUE"""),5684.375)</f>
        <v>5684.375</v>
      </c>
      <c r="J2836" s="10">
        <f>IFERROR(__xludf.DUMMYFUNCTION("""COMPUTED_VALUE"""),0.0)</f>
        <v>0</v>
      </c>
      <c r="K2836" s="5">
        <f>IFERROR(__xludf.DUMMYFUNCTION("""COMPUTED_VALUE"""),0.0)</f>
        <v>0</v>
      </c>
      <c r="L2836" s="10">
        <f>IFERROR(__xludf.DUMMYFUNCTION("""COMPUTED_VALUE"""),210.0)</f>
        <v>210</v>
      </c>
      <c r="M2836" s="5">
        <f>IFERROR(__xludf.DUMMYFUNCTION("""COMPUTED_VALUE"""),1.0)</f>
        <v>1</v>
      </c>
    </row>
    <row r="2837">
      <c r="A2837" s="10" t="str">
        <f>IFERROR(__xludf.DUMMYFUNCTION("""COMPUTED_VALUE"""),"全速ゆーへい")</f>
        <v>全速ゆーへい</v>
      </c>
      <c r="B2837" s="10">
        <f>IFERROR(__xludf.DUMMYFUNCTION("""COMPUTED_VALUE"""),2210.0)</f>
        <v>2210</v>
      </c>
      <c r="C2837" s="10">
        <f>IFERROR(__xludf.DUMMYFUNCTION("""COMPUTED_VALUE"""),25883.0)</f>
        <v>25883</v>
      </c>
      <c r="D2837" s="5">
        <f>IFERROR(__xludf.DUMMYFUNCTION("""COMPUTED_VALUE"""),0.3919655303510328)</f>
        <v>0.3919655304</v>
      </c>
      <c r="E2837" s="5">
        <f>IFERROR(__xludf.DUMMYFUNCTION("""COMPUTED_VALUE"""),0.12731804165082583)</f>
        <v>0.1273180417</v>
      </c>
      <c r="F2837" s="5">
        <f>IFERROR(__xludf.DUMMYFUNCTION("""COMPUTED_VALUE"""),0.23321927934778017)</f>
        <v>0.2332192793</v>
      </c>
      <c r="G2837" s="5">
        <f>IFERROR(__xludf.DUMMYFUNCTION("""COMPUTED_VALUE"""),0.156042749123474)</f>
        <v>0.1560427491</v>
      </c>
      <c r="H2837" s="5">
        <f>IFERROR(__xludf.DUMMYFUNCTION("""COMPUTED_VALUE"""),0.6170983517478718)</f>
        <v>0.6170983517</v>
      </c>
      <c r="I2837" s="11">
        <f>IFERROR(__xludf.DUMMYFUNCTION("""COMPUTED_VALUE"""),5334.993660568737)</f>
        <v>5334.993661</v>
      </c>
      <c r="J2837" s="10">
        <f>IFERROR(__xludf.DUMMYFUNCTION("""COMPUTED_VALUE"""),6.0)</f>
        <v>6</v>
      </c>
      <c r="K2837" s="5">
        <f>IFERROR(__xludf.DUMMYFUNCTION("""COMPUTED_VALUE"""),0.0027149321266968325)</f>
        <v>0.002714932127</v>
      </c>
      <c r="L2837" s="10">
        <f>IFERROR(__xludf.DUMMYFUNCTION("""COMPUTED_VALUE"""),2196.0)</f>
        <v>2196</v>
      </c>
      <c r="M2837" s="5">
        <f>IFERROR(__xludf.DUMMYFUNCTION("""COMPUTED_VALUE"""),0.9936651583710407)</f>
        <v>0.9936651584</v>
      </c>
    </row>
    <row r="2838">
      <c r="A2838" s="10" t="str">
        <f>IFERROR(__xludf.DUMMYFUNCTION("""COMPUTED_VALUE"""),"ちりめんじゃこ")</f>
        <v>ちりめんじゃこ</v>
      </c>
      <c r="B2838" s="10">
        <f>IFERROR(__xludf.DUMMYFUNCTION("""COMPUTED_VALUE"""),410.0)</f>
        <v>410</v>
      </c>
      <c r="C2838" s="10">
        <f>IFERROR(__xludf.DUMMYFUNCTION("""COMPUTED_VALUE"""),4840.0)</f>
        <v>4840</v>
      </c>
      <c r="D2838" s="5">
        <f>IFERROR(__xludf.DUMMYFUNCTION("""COMPUTED_VALUE"""),0.3327313769751693)</f>
        <v>0.332731377</v>
      </c>
      <c r="E2838" s="5">
        <f>IFERROR(__xludf.DUMMYFUNCTION("""COMPUTED_VALUE"""),0.127313769751693)</f>
        <v>0.1273137698</v>
      </c>
      <c r="F2838" s="5">
        <f>IFERROR(__xludf.DUMMYFUNCTION("""COMPUTED_VALUE"""),0.20090293453724606)</f>
        <v>0.2009029345</v>
      </c>
      <c r="G2838" s="5">
        <f>IFERROR(__xludf.DUMMYFUNCTION("""COMPUTED_VALUE"""),0.15553047404063206)</f>
        <v>0.155530474</v>
      </c>
      <c r="H2838" s="5">
        <f>IFERROR(__xludf.DUMMYFUNCTION("""COMPUTED_VALUE"""),0.5831460674157304)</f>
        <v>0.5831460674</v>
      </c>
      <c r="I2838" s="11">
        <f>IFERROR(__xludf.DUMMYFUNCTION("""COMPUTED_VALUE"""),5842.359550561798)</f>
        <v>5842.359551</v>
      </c>
      <c r="J2838" s="10">
        <f>IFERROR(__xludf.DUMMYFUNCTION("""COMPUTED_VALUE"""),1.0)</f>
        <v>1</v>
      </c>
      <c r="K2838" s="5">
        <f>IFERROR(__xludf.DUMMYFUNCTION("""COMPUTED_VALUE"""),0.0024390243902439024)</f>
        <v>0.00243902439</v>
      </c>
      <c r="L2838" s="10">
        <f>IFERROR(__xludf.DUMMYFUNCTION("""COMPUTED_VALUE"""),410.0)</f>
        <v>410</v>
      </c>
      <c r="M2838" s="5">
        <f>IFERROR(__xludf.DUMMYFUNCTION("""COMPUTED_VALUE"""),1.0)</f>
        <v>1</v>
      </c>
    </row>
    <row r="2839">
      <c r="A2839" s="10" t="str">
        <f>IFERROR(__xludf.DUMMYFUNCTION("""COMPUTED_VALUE"""),"朝比奈大吾")</f>
        <v>朝比奈大吾</v>
      </c>
      <c r="B2839" s="10">
        <f>IFERROR(__xludf.DUMMYFUNCTION("""COMPUTED_VALUE"""),281.0)</f>
        <v>281</v>
      </c>
      <c r="C2839" s="10">
        <f>IFERROR(__xludf.DUMMYFUNCTION("""COMPUTED_VALUE"""),3258.0)</f>
        <v>3258</v>
      </c>
      <c r="D2839" s="5">
        <f>IFERROR(__xludf.DUMMYFUNCTION("""COMPUTED_VALUE"""),0.40241854215653344)</f>
        <v>0.4024185422</v>
      </c>
      <c r="E2839" s="5">
        <f>IFERROR(__xludf.DUMMYFUNCTION("""COMPUTED_VALUE"""),0.12730937185085656)</f>
        <v>0.1273093719</v>
      </c>
      <c r="F2839" s="5">
        <f>IFERROR(__xludf.DUMMYFUNCTION("""COMPUTED_VALUE"""),0.2106147127981189)</f>
        <v>0.2106147128</v>
      </c>
      <c r="G2839" s="5">
        <f>IFERROR(__xludf.DUMMYFUNCTION("""COMPUTED_VALUE"""),0.16425932146456165)</f>
        <v>0.1642593215</v>
      </c>
      <c r="H2839" s="5">
        <f>IFERROR(__xludf.DUMMYFUNCTION("""COMPUTED_VALUE"""),0.5901116427432217)</f>
        <v>0.5901116427</v>
      </c>
      <c r="I2839" s="11">
        <f>IFERROR(__xludf.DUMMYFUNCTION("""COMPUTED_VALUE"""),5542.902711323764)</f>
        <v>5542.902711</v>
      </c>
      <c r="J2839" s="10">
        <f>IFERROR(__xludf.DUMMYFUNCTION("""COMPUTED_VALUE"""),2.0)</f>
        <v>2</v>
      </c>
      <c r="K2839" s="5">
        <f>IFERROR(__xludf.DUMMYFUNCTION("""COMPUTED_VALUE"""),0.0071174377224199285)</f>
        <v>0.007117437722</v>
      </c>
      <c r="L2839" s="10">
        <f>IFERROR(__xludf.DUMMYFUNCTION("""COMPUTED_VALUE"""),281.0)</f>
        <v>281</v>
      </c>
      <c r="M2839" s="5">
        <f>IFERROR(__xludf.DUMMYFUNCTION("""COMPUTED_VALUE"""),1.0)</f>
        <v>1</v>
      </c>
    </row>
    <row r="2840">
      <c r="A2840" s="10" t="str">
        <f>IFERROR(__xludf.DUMMYFUNCTION("""COMPUTED_VALUE"""),"☆★天江衣★☆")</f>
        <v>☆★天江衣★☆</v>
      </c>
      <c r="B2840" s="10">
        <f>IFERROR(__xludf.DUMMYFUNCTION("""COMPUTED_VALUE"""),957.0)</f>
        <v>957</v>
      </c>
      <c r="C2840" s="10">
        <f>IFERROR(__xludf.DUMMYFUNCTION("""COMPUTED_VALUE"""),11192.0)</f>
        <v>11192</v>
      </c>
      <c r="D2840" s="5">
        <f>IFERROR(__xludf.DUMMYFUNCTION("""COMPUTED_VALUE"""),0.3757694186614558)</f>
        <v>0.3757694187</v>
      </c>
      <c r="E2840" s="5">
        <f>IFERROR(__xludf.DUMMYFUNCTION("""COMPUTED_VALUE"""),0.12730825598436737)</f>
        <v>0.127308256</v>
      </c>
      <c r="F2840" s="5">
        <f>IFERROR(__xludf.DUMMYFUNCTION("""COMPUTED_VALUE"""),0.21504640937957986)</f>
        <v>0.2150464094</v>
      </c>
      <c r="G2840" s="5">
        <f>IFERROR(__xludf.DUMMYFUNCTION("""COMPUTED_VALUE"""),0.1857352222765022)</f>
        <v>0.1857352223</v>
      </c>
      <c r="H2840" s="5">
        <f>IFERROR(__xludf.DUMMYFUNCTION("""COMPUTED_VALUE"""),0.5879145842798728)</f>
        <v>0.5879145843</v>
      </c>
      <c r="I2840" s="11">
        <f>IFERROR(__xludf.DUMMYFUNCTION("""COMPUTED_VALUE"""),5539.845524761472)</f>
        <v>5539.845525</v>
      </c>
      <c r="J2840" s="10">
        <f>IFERROR(__xludf.DUMMYFUNCTION("""COMPUTED_VALUE"""),2.0)</f>
        <v>2</v>
      </c>
      <c r="K2840" s="5">
        <f>IFERROR(__xludf.DUMMYFUNCTION("""COMPUTED_VALUE"""),0.0020898641588296763)</f>
        <v>0.002089864159</v>
      </c>
      <c r="L2840" s="10">
        <f>IFERROR(__xludf.DUMMYFUNCTION("""COMPUTED_VALUE"""),957.0)</f>
        <v>957</v>
      </c>
      <c r="M2840" s="5">
        <f>IFERROR(__xludf.DUMMYFUNCTION("""COMPUTED_VALUE"""),1.0)</f>
        <v>1</v>
      </c>
    </row>
    <row r="2841">
      <c r="A2841" s="10" t="str">
        <f>IFERROR(__xludf.DUMMYFUNCTION("""COMPUTED_VALUE"""),"While")</f>
        <v>While</v>
      </c>
      <c r="B2841" s="10">
        <f>IFERROR(__xludf.DUMMYFUNCTION("""COMPUTED_VALUE"""),353.0)</f>
        <v>353</v>
      </c>
      <c r="C2841" s="10">
        <f>IFERROR(__xludf.DUMMYFUNCTION("""COMPUTED_VALUE"""),4210.0)</f>
        <v>4210</v>
      </c>
      <c r="D2841" s="5">
        <f>IFERROR(__xludf.DUMMYFUNCTION("""COMPUTED_VALUE"""),0.3178636245786881)</f>
        <v>0.3178636246</v>
      </c>
      <c r="E2841" s="5">
        <f>IFERROR(__xludf.DUMMYFUNCTION("""COMPUTED_VALUE"""),0.12730101114856104)</f>
        <v>0.1273010111</v>
      </c>
      <c r="F2841" s="5">
        <f>IFERROR(__xludf.DUMMYFUNCTION("""COMPUTED_VALUE"""),0.20611874513870884)</f>
        <v>0.2061187451</v>
      </c>
      <c r="G2841" s="5">
        <f>IFERROR(__xludf.DUMMYFUNCTION("""COMPUTED_VALUE"""),0.18330308529945555)</f>
        <v>0.1833030853</v>
      </c>
      <c r="H2841" s="5">
        <f>IFERROR(__xludf.DUMMYFUNCTION("""COMPUTED_VALUE"""),0.5911949685534591)</f>
        <v>0.5911949686</v>
      </c>
      <c r="I2841" s="11">
        <f>IFERROR(__xludf.DUMMYFUNCTION("""COMPUTED_VALUE"""),5637.106918238994)</f>
        <v>5637.106918</v>
      </c>
      <c r="J2841" s="10">
        <f>IFERROR(__xludf.DUMMYFUNCTION("""COMPUTED_VALUE"""),0.0)</f>
        <v>0</v>
      </c>
      <c r="K2841" s="5">
        <f>IFERROR(__xludf.DUMMYFUNCTION("""COMPUTED_VALUE"""),0.0)</f>
        <v>0</v>
      </c>
      <c r="L2841" s="10">
        <f>IFERROR(__xludf.DUMMYFUNCTION("""COMPUTED_VALUE"""),175.0)</f>
        <v>175</v>
      </c>
      <c r="M2841" s="5">
        <f>IFERROR(__xludf.DUMMYFUNCTION("""COMPUTED_VALUE"""),0.49575070821529743)</f>
        <v>0.4957507082</v>
      </c>
    </row>
    <row r="2842">
      <c r="A2842" s="10" t="str">
        <f>IFERROR(__xludf.DUMMYFUNCTION("""COMPUTED_VALUE"""),"爆撃子")</f>
        <v>爆撃子</v>
      </c>
      <c r="B2842" s="10">
        <f>IFERROR(__xludf.DUMMYFUNCTION("""COMPUTED_VALUE"""),141.0)</f>
        <v>141</v>
      </c>
      <c r="C2842" s="10">
        <f>IFERROR(__xludf.DUMMYFUNCTION("""COMPUTED_VALUE"""),1665.0)</f>
        <v>1665</v>
      </c>
      <c r="D2842" s="5">
        <f>IFERROR(__xludf.DUMMYFUNCTION("""COMPUTED_VALUE"""),0.291994750656168)</f>
        <v>0.2919947507</v>
      </c>
      <c r="E2842" s="5">
        <f>IFERROR(__xludf.DUMMYFUNCTION("""COMPUTED_VALUE"""),0.1272965879265092)</f>
        <v>0.1272965879</v>
      </c>
      <c r="F2842" s="5">
        <f>IFERROR(__xludf.DUMMYFUNCTION("""COMPUTED_VALUE"""),0.19816272965879264)</f>
        <v>0.1981627297</v>
      </c>
      <c r="G2842" s="5">
        <f>IFERROR(__xludf.DUMMYFUNCTION("""COMPUTED_VALUE"""),0.12335958005249344)</f>
        <v>0.1233595801</v>
      </c>
      <c r="H2842" s="5">
        <f>IFERROR(__xludf.DUMMYFUNCTION("""COMPUTED_VALUE"""),0.652317880794702)</f>
        <v>0.6523178808</v>
      </c>
      <c r="I2842" s="11">
        <f>IFERROR(__xludf.DUMMYFUNCTION("""COMPUTED_VALUE"""),5953.311258278146)</f>
        <v>5953.311258</v>
      </c>
      <c r="J2842" s="10">
        <f>IFERROR(__xludf.DUMMYFUNCTION("""COMPUTED_VALUE"""),2.0)</f>
        <v>2</v>
      </c>
      <c r="K2842" s="5">
        <f>IFERROR(__xludf.DUMMYFUNCTION("""COMPUTED_VALUE"""),0.014184397163120567)</f>
        <v>0.01418439716</v>
      </c>
      <c r="L2842" s="10">
        <f>IFERROR(__xludf.DUMMYFUNCTION("""COMPUTED_VALUE"""),0.0)</f>
        <v>0</v>
      </c>
      <c r="M2842" s="5">
        <f>IFERROR(__xludf.DUMMYFUNCTION("""COMPUTED_VALUE"""),0.0)</f>
        <v>0</v>
      </c>
    </row>
    <row r="2843">
      <c r="A2843" s="10" t="str">
        <f>IFERROR(__xludf.DUMMYFUNCTION("""COMPUTED_VALUE"""),"天神乃雀")</f>
        <v>天神乃雀</v>
      </c>
      <c r="B2843" s="10">
        <f>IFERROR(__xludf.DUMMYFUNCTION("""COMPUTED_VALUE"""),931.0)</f>
        <v>931</v>
      </c>
      <c r="C2843" s="10">
        <f>IFERROR(__xludf.DUMMYFUNCTION("""COMPUTED_VALUE"""),10963.0)</f>
        <v>10963</v>
      </c>
      <c r="D2843" s="5">
        <f>IFERROR(__xludf.DUMMYFUNCTION("""COMPUTED_VALUE"""),0.3222687400318979)</f>
        <v>0.32226874</v>
      </c>
      <c r="E2843" s="5">
        <f>IFERROR(__xludf.DUMMYFUNCTION("""COMPUTED_VALUE"""),0.127292663476874)</f>
        <v>0.1272926635</v>
      </c>
      <c r="F2843" s="5">
        <f>IFERROR(__xludf.DUMMYFUNCTION("""COMPUTED_VALUE"""),0.21072567783094098)</f>
        <v>0.2107256778</v>
      </c>
      <c r="G2843" s="5">
        <f>IFERROR(__xludf.DUMMYFUNCTION("""COMPUTED_VALUE"""),0.18779904306220097)</f>
        <v>0.1877990431</v>
      </c>
      <c r="H2843" s="5">
        <f>IFERROR(__xludf.DUMMYFUNCTION("""COMPUTED_VALUE"""),0.5894039735099338)</f>
        <v>0.5894039735</v>
      </c>
      <c r="I2843" s="11">
        <f>IFERROR(__xludf.DUMMYFUNCTION("""COMPUTED_VALUE"""),5668.826868495743)</f>
        <v>5668.826868</v>
      </c>
      <c r="J2843" s="10">
        <f>IFERROR(__xludf.DUMMYFUNCTION("""COMPUTED_VALUE"""),4.0)</f>
        <v>4</v>
      </c>
      <c r="K2843" s="5">
        <f>IFERROR(__xludf.DUMMYFUNCTION("""COMPUTED_VALUE"""),0.004296455424274973)</f>
        <v>0.004296455424</v>
      </c>
      <c r="L2843" s="10">
        <f>IFERROR(__xludf.DUMMYFUNCTION("""COMPUTED_VALUE"""),812.0)</f>
        <v>812</v>
      </c>
      <c r="M2843" s="5">
        <f>IFERROR(__xludf.DUMMYFUNCTION("""COMPUTED_VALUE"""),0.8721804511278195)</f>
        <v>0.8721804511</v>
      </c>
    </row>
    <row r="2844">
      <c r="A2844" s="10" t="str">
        <f>IFERROR(__xludf.DUMMYFUNCTION("""COMPUTED_VALUE"""),"しらゆき♪")</f>
        <v>しらゆき♪</v>
      </c>
      <c r="B2844" s="10">
        <f>IFERROR(__xludf.DUMMYFUNCTION("""COMPUTED_VALUE"""),171.0)</f>
        <v>171</v>
      </c>
      <c r="C2844" s="10">
        <f>IFERROR(__xludf.DUMMYFUNCTION("""COMPUTED_VALUE"""),2025.0)</f>
        <v>2025</v>
      </c>
      <c r="D2844" s="5">
        <f>IFERROR(__xludf.DUMMYFUNCTION("""COMPUTED_VALUE"""),0.2971952535059331)</f>
        <v>0.2971952535</v>
      </c>
      <c r="E2844" s="5">
        <f>IFERROR(__xludf.DUMMYFUNCTION("""COMPUTED_VALUE"""),0.1272923408845739)</f>
        <v>0.1272923409</v>
      </c>
      <c r="F2844" s="5">
        <f>IFERROR(__xludf.DUMMYFUNCTION("""COMPUTED_VALUE"""),0.16720604099244876)</f>
        <v>0.167206041</v>
      </c>
      <c r="G2844" s="5">
        <f>IFERROR(__xludf.DUMMYFUNCTION("""COMPUTED_VALUE"""),0.1488673139158576)</f>
        <v>0.1488673139</v>
      </c>
      <c r="H2844" s="5">
        <f>IFERROR(__xludf.DUMMYFUNCTION("""COMPUTED_VALUE"""),0.6225806451612903)</f>
        <v>0.6225806452</v>
      </c>
      <c r="I2844" s="11">
        <f>IFERROR(__xludf.DUMMYFUNCTION("""COMPUTED_VALUE"""),6136.451612903225)</f>
        <v>6136.451613</v>
      </c>
      <c r="J2844" s="10">
        <f>IFERROR(__xludf.DUMMYFUNCTION("""COMPUTED_VALUE"""),0.0)</f>
        <v>0</v>
      </c>
      <c r="K2844" s="5">
        <f>IFERROR(__xludf.DUMMYFUNCTION("""COMPUTED_VALUE"""),0.0)</f>
        <v>0</v>
      </c>
      <c r="L2844" s="10">
        <f>IFERROR(__xludf.DUMMYFUNCTION("""COMPUTED_VALUE"""),171.0)</f>
        <v>171</v>
      </c>
      <c r="M2844" s="5">
        <f>IFERROR(__xludf.DUMMYFUNCTION("""COMPUTED_VALUE"""),1.0)</f>
        <v>1</v>
      </c>
    </row>
    <row r="2845">
      <c r="A2845" s="10" t="str">
        <f>IFERROR(__xludf.DUMMYFUNCTION("""COMPUTED_VALUE"""),"はじまりの朝")</f>
        <v>はじまりの朝</v>
      </c>
      <c r="B2845" s="10">
        <f>IFERROR(__xludf.DUMMYFUNCTION("""COMPUTED_VALUE"""),489.0)</f>
        <v>489</v>
      </c>
      <c r="C2845" s="10">
        <f>IFERROR(__xludf.DUMMYFUNCTION("""COMPUTED_VALUE"""),5619.0)</f>
        <v>5619</v>
      </c>
      <c r="D2845" s="5">
        <f>IFERROR(__xludf.DUMMYFUNCTION("""COMPUTED_VALUE"""),0.3594541910331384)</f>
        <v>0.359454191</v>
      </c>
      <c r="E2845" s="5">
        <f>IFERROR(__xludf.DUMMYFUNCTION("""COMPUTED_VALUE"""),0.12729044834307993)</f>
        <v>0.1272904483</v>
      </c>
      <c r="F2845" s="5">
        <f>IFERROR(__xludf.DUMMYFUNCTION("""COMPUTED_VALUE"""),0.21461988304093568)</f>
        <v>0.214619883</v>
      </c>
      <c r="G2845" s="5">
        <f>IFERROR(__xludf.DUMMYFUNCTION("""COMPUTED_VALUE"""),0.18440545808966863)</f>
        <v>0.1844054581</v>
      </c>
      <c r="H2845" s="5">
        <f>IFERROR(__xludf.DUMMYFUNCTION("""COMPUTED_VALUE"""),0.5985467756584922)</f>
        <v>0.5985467757</v>
      </c>
      <c r="I2845" s="11">
        <f>IFERROR(__xludf.DUMMYFUNCTION("""COMPUTED_VALUE"""),5322.797456857403)</f>
        <v>5322.797457</v>
      </c>
      <c r="J2845" s="10">
        <f>IFERROR(__xludf.DUMMYFUNCTION("""COMPUTED_VALUE"""),0.0)</f>
        <v>0</v>
      </c>
      <c r="K2845" s="5">
        <f>IFERROR(__xludf.DUMMYFUNCTION("""COMPUTED_VALUE"""),0.0)</f>
        <v>0</v>
      </c>
      <c r="L2845" s="10">
        <f>IFERROR(__xludf.DUMMYFUNCTION("""COMPUTED_VALUE"""),58.0)</f>
        <v>58</v>
      </c>
      <c r="M2845" s="5">
        <f>IFERROR(__xludf.DUMMYFUNCTION("""COMPUTED_VALUE"""),0.11860940695296524)</f>
        <v>0.118609407</v>
      </c>
    </row>
    <row r="2846">
      <c r="A2846" s="10" t="str">
        <f>IFERROR(__xludf.DUMMYFUNCTION("""COMPUTED_VALUE"""),"いぬじゃらし")</f>
        <v>いぬじゃらし</v>
      </c>
      <c r="B2846" s="10">
        <f>IFERROR(__xludf.DUMMYFUNCTION("""COMPUTED_VALUE"""),376.0)</f>
        <v>376</v>
      </c>
      <c r="C2846" s="10">
        <f>IFERROR(__xludf.DUMMYFUNCTION("""COMPUTED_VALUE"""),4422.0)</f>
        <v>4422</v>
      </c>
      <c r="D2846" s="5">
        <f>IFERROR(__xludf.DUMMYFUNCTION("""COMPUTED_VALUE"""),0.3643104300543747)</f>
        <v>0.3643104301</v>
      </c>
      <c r="E2846" s="5">
        <f>IFERROR(__xludf.DUMMYFUNCTION("""COMPUTED_VALUE"""),0.1272862086010875)</f>
        <v>0.1272862086</v>
      </c>
      <c r="F2846" s="5">
        <f>IFERROR(__xludf.DUMMYFUNCTION("""COMPUTED_VALUE"""),0.20810677212061296)</f>
        <v>0.2081067721</v>
      </c>
      <c r="G2846" s="5">
        <f>IFERROR(__xludf.DUMMYFUNCTION("""COMPUTED_VALUE"""),0.19278299555116163)</f>
        <v>0.1927829956</v>
      </c>
      <c r="H2846" s="5">
        <f>IFERROR(__xludf.DUMMYFUNCTION("""COMPUTED_VALUE"""),0.5997624703087886)</f>
        <v>0.5997624703</v>
      </c>
      <c r="I2846" s="11">
        <f>IFERROR(__xludf.DUMMYFUNCTION("""COMPUTED_VALUE"""),5340.7363420427555)</f>
        <v>5340.736342</v>
      </c>
      <c r="J2846" s="10">
        <f>IFERROR(__xludf.DUMMYFUNCTION("""COMPUTED_VALUE"""),0.0)</f>
        <v>0</v>
      </c>
      <c r="K2846" s="5">
        <f>IFERROR(__xludf.DUMMYFUNCTION("""COMPUTED_VALUE"""),0.0)</f>
        <v>0</v>
      </c>
      <c r="L2846" s="10">
        <f>IFERROR(__xludf.DUMMYFUNCTION("""COMPUTED_VALUE"""),376.0)</f>
        <v>376</v>
      </c>
      <c r="M2846" s="5">
        <f>IFERROR(__xludf.DUMMYFUNCTION("""COMPUTED_VALUE"""),1.0)</f>
        <v>1</v>
      </c>
    </row>
    <row r="2847">
      <c r="A2847" s="10" t="str">
        <f>IFERROR(__xludf.DUMMYFUNCTION("""COMPUTED_VALUE"""),"ほしのすずみ")</f>
        <v>ほしのすずみ</v>
      </c>
      <c r="B2847" s="10">
        <f>IFERROR(__xludf.DUMMYFUNCTION("""COMPUTED_VALUE"""),891.0)</f>
        <v>891</v>
      </c>
      <c r="C2847" s="10">
        <f>IFERROR(__xludf.DUMMYFUNCTION("""COMPUTED_VALUE"""),10414.0)</f>
        <v>10414</v>
      </c>
      <c r="D2847" s="5">
        <f>IFERROR(__xludf.DUMMYFUNCTION("""COMPUTED_VALUE"""),0.34012391053239527)</f>
        <v>0.3401239105</v>
      </c>
      <c r="E2847" s="5">
        <f>IFERROR(__xludf.DUMMYFUNCTION("""COMPUTED_VALUE"""),0.12727081801953166)</f>
        <v>0.127270818</v>
      </c>
      <c r="F2847" s="5">
        <f>IFERROR(__xludf.DUMMYFUNCTION("""COMPUTED_VALUE"""),0.20959781581434422)</f>
        <v>0.2095978158</v>
      </c>
      <c r="G2847" s="5">
        <f>IFERROR(__xludf.DUMMYFUNCTION("""COMPUTED_VALUE"""),0.14816759424551088)</f>
        <v>0.1481675942</v>
      </c>
      <c r="H2847" s="5">
        <f>IFERROR(__xludf.DUMMYFUNCTION("""COMPUTED_VALUE"""),0.5961923847695391)</f>
        <v>0.5961923848</v>
      </c>
      <c r="I2847" s="11">
        <f>IFERROR(__xludf.DUMMYFUNCTION("""COMPUTED_VALUE"""),5369.889779559118)</f>
        <v>5369.88978</v>
      </c>
      <c r="J2847" s="10">
        <f>IFERROR(__xludf.DUMMYFUNCTION("""COMPUTED_VALUE"""),3.0)</f>
        <v>3</v>
      </c>
      <c r="K2847" s="5">
        <f>IFERROR(__xludf.DUMMYFUNCTION("""COMPUTED_VALUE"""),0.003367003367003367)</f>
        <v>0.003367003367</v>
      </c>
      <c r="L2847" s="10">
        <f>IFERROR(__xludf.DUMMYFUNCTION("""COMPUTED_VALUE"""),1.0)</f>
        <v>1</v>
      </c>
      <c r="M2847" s="5">
        <f>IFERROR(__xludf.DUMMYFUNCTION("""COMPUTED_VALUE"""),0.001122334455667789)</f>
        <v>0.001122334456</v>
      </c>
    </row>
    <row r="2848">
      <c r="A2848" s="10" t="str">
        <f>IFERROR(__xludf.DUMMYFUNCTION("""COMPUTED_VALUE"""),"３番ショート坂田")</f>
        <v>３番ショート坂田</v>
      </c>
      <c r="B2848" s="10">
        <f>IFERROR(__xludf.DUMMYFUNCTION("""COMPUTED_VALUE"""),4136.0)</f>
        <v>4136</v>
      </c>
      <c r="C2848" s="10">
        <f>IFERROR(__xludf.DUMMYFUNCTION("""COMPUTED_VALUE"""),48522.0)</f>
        <v>48522</v>
      </c>
      <c r="D2848" s="5">
        <f>IFERROR(__xludf.DUMMYFUNCTION("""COMPUTED_VALUE"""),0.3568467534808273)</f>
        <v>0.3568467535</v>
      </c>
      <c r="E2848" s="5">
        <f>IFERROR(__xludf.DUMMYFUNCTION("""COMPUTED_VALUE"""),0.12726985986572342)</f>
        <v>0.1272698599</v>
      </c>
      <c r="F2848" s="5">
        <f>IFERROR(__xludf.DUMMYFUNCTION("""COMPUTED_VALUE"""),0.21621682512503942)</f>
        <v>0.2162168251</v>
      </c>
      <c r="G2848" s="5">
        <f>IFERROR(__xludf.DUMMYFUNCTION("""COMPUTED_VALUE"""),0.18111566710223945)</f>
        <v>0.1811156671</v>
      </c>
      <c r="H2848" s="5">
        <f>IFERROR(__xludf.DUMMYFUNCTION("""COMPUTED_VALUE"""),0.5900802334062728)</f>
        <v>0.5900802334</v>
      </c>
      <c r="I2848" s="11">
        <f>IFERROR(__xludf.DUMMYFUNCTION("""COMPUTED_VALUE"""),5828.894446181098)</f>
        <v>5828.894446</v>
      </c>
      <c r="J2848" s="10">
        <f>IFERROR(__xludf.DUMMYFUNCTION("""COMPUTED_VALUE"""),4.0)</f>
        <v>4</v>
      </c>
      <c r="K2848" s="5">
        <f>IFERROR(__xludf.DUMMYFUNCTION("""COMPUTED_VALUE"""),9.671179883945841E-4)</f>
        <v>0.0009671179884</v>
      </c>
      <c r="L2848" s="10">
        <f>IFERROR(__xludf.DUMMYFUNCTION("""COMPUTED_VALUE"""),4136.0)</f>
        <v>4136</v>
      </c>
      <c r="M2848" s="5">
        <f>IFERROR(__xludf.DUMMYFUNCTION("""COMPUTED_VALUE"""),1.0)</f>
        <v>1</v>
      </c>
    </row>
    <row r="2849">
      <c r="A2849" s="10" t="str">
        <f>IFERROR(__xludf.DUMMYFUNCTION("""COMPUTED_VALUE"""),"中村豪")</f>
        <v>中村豪</v>
      </c>
      <c r="B2849" s="10">
        <f>IFERROR(__xludf.DUMMYFUNCTION("""COMPUTED_VALUE"""),2805.0)</f>
        <v>2805</v>
      </c>
      <c r="C2849" s="10">
        <f>IFERROR(__xludf.DUMMYFUNCTION("""COMPUTED_VALUE"""),33183.0)</f>
        <v>33183</v>
      </c>
      <c r="D2849" s="5">
        <f>IFERROR(__xludf.DUMMYFUNCTION("""COMPUTED_VALUE"""),0.36187372440582)</f>
        <v>0.3618737244</v>
      </c>
      <c r="E2849" s="5">
        <f>IFERROR(__xludf.DUMMYFUNCTION("""COMPUTED_VALUE"""),0.1272631509645138)</f>
        <v>0.127263151</v>
      </c>
      <c r="F2849" s="5">
        <f>IFERROR(__xludf.DUMMYFUNCTION("""COMPUTED_VALUE"""),0.21160050036210415)</f>
        <v>0.2116005004</v>
      </c>
      <c r="G2849" s="5">
        <f>IFERROR(__xludf.DUMMYFUNCTION("""COMPUTED_VALUE"""),0.1686417802356969)</f>
        <v>0.1686417802</v>
      </c>
      <c r="H2849" s="5">
        <f>IFERROR(__xludf.DUMMYFUNCTION("""COMPUTED_VALUE"""),0.5869632856253889)</f>
        <v>0.5869632856</v>
      </c>
      <c r="I2849" s="11">
        <f>IFERROR(__xludf.DUMMYFUNCTION("""COMPUTED_VALUE"""),5458.929682638457)</f>
        <v>5458.929683</v>
      </c>
      <c r="J2849" s="10">
        <f>IFERROR(__xludf.DUMMYFUNCTION("""COMPUTED_VALUE"""),2.0)</f>
        <v>2</v>
      </c>
      <c r="K2849" s="5">
        <f>IFERROR(__xludf.DUMMYFUNCTION("""COMPUTED_VALUE"""),7.1301247771836E-4)</f>
        <v>0.0007130124777</v>
      </c>
      <c r="L2849" s="10">
        <f>IFERROR(__xludf.DUMMYFUNCTION("""COMPUTED_VALUE"""),2577.0)</f>
        <v>2577</v>
      </c>
      <c r="M2849" s="5">
        <f>IFERROR(__xludf.DUMMYFUNCTION("""COMPUTED_VALUE"""),0.9187165775401069)</f>
        <v>0.9187165775</v>
      </c>
    </row>
    <row r="2850">
      <c r="A2850" s="10" t="str">
        <f>IFERROR(__xludf.DUMMYFUNCTION("""COMPUTED_VALUE"""),"goisubai")</f>
        <v>goisubai</v>
      </c>
      <c r="B2850" s="10">
        <f>IFERROR(__xludf.DUMMYFUNCTION("""COMPUTED_VALUE"""),1825.0)</f>
        <v>1825</v>
      </c>
      <c r="C2850" s="10">
        <f>IFERROR(__xludf.DUMMYFUNCTION("""COMPUTED_VALUE"""),21297.0)</f>
        <v>21297</v>
      </c>
      <c r="D2850" s="5">
        <f>IFERROR(__xludf.DUMMYFUNCTION("""COMPUTED_VALUE"""),0.2826109285127362)</f>
        <v>0.2826109285</v>
      </c>
      <c r="E2850" s="5">
        <f>IFERROR(__xludf.DUMMYFUNCTION("""COMPUTED_VALUE"""),0.12725965488907148)</f>
        <v>0.1272596549</v>
      </c>
      <c r="F2850" s="5">
        <f>IFERROR(__xludf.DUMMYFUNCTION("""COMPUTED_VALUE"""),0.20008216926869352)</f>
        <v>0.2000821693</v>
      </c>
      <c r="G2850" s="5">
        <f>IFERROR(__xludf.DUMMYFUNCTION("""COMPUTED_VALUE"""),0.19530608052588333)</f>
        <v>0.1953060805</v>
      </c>
      <c r="H2850" s="5">
        <f>IFERROR(__xludf.DUMMYFUNCTION("""COMPUTED_VALUE"""),0.5829055441478439)</f>
        <v>0.5829055441</v>
      </c>
      <c r="I2850" s="11">
        <f>IFERROR(__xludf.DUMMYFUNCTION("""COMPUTED_VALUE"""),6032.674537987679)</f>
        <v>6032.674538</v>
      </c>
      <c r="J2850" s="10">
        <f>IFERROR(__xludf.DUMMYFUNCTION("""COMPUTED_VALUE"""),5.0)</f>
        <v>5</v>
      </c>
      <c r="K2850" s="5">
        <f>IFERROR(__xludf.DUMMYFUNCTION("""COMPUTED_VALUE"""),0.0027397260273972603)</f>
        <v>0.002739726027</v>
      </c>
      <c r="L2850" s="10">
        <f>IFERROR(__xludf.DUMMYFUNCTION("""COMPUTED_VALUE"""),1825.0)</f>
        <v>1825</v>
      </c>
      <c r="M2850" s="5">
        <f>IFERROR(__xludf.DUMMYFUNCTION("""COMPUTED_VALUE"""),1.0)</f>
        <v>1</v>
      </c>
    </row>
    <row r="2851">
      <c r="A2851" s="10" t="str">
        <f>IFERROR(__xludf.DUMMYFUNCTION("""COMPUTED_VALUE"""),"【罪歌】")</f>
        <v>【罪歌】</v>
      </c>
      <c r="B2851" s="10">
        <f>IFERROR(__xludf.DUMMYFUNCTION("""COMPUTED_VALUE"""),6214.0)</f>
        <v>6214</v>
      </c>
      <c r="C2851" s="10">
        <f>IFERROR(__xludf.DUMMYFUNCTION("""COMPUTED_VALUE"""),72695.0)</f>
        <v>72695</v>
      </c>
      <c r="D2851" s="5">
        <f>IFERROR(__xludf.DUMMYFUNCTION("""COMPUTED_VALUE"""),0.3316737112859313)</f>
        <v>0.3316737113</v>
      </c>
      <c r="E2851" s="5">
        <f>IFERROR(__xludf.DUMMYFUNCTION("""COMPUTED_VALUE"""),0.1272544035137859)</f>
        <v>0.1272544035</v>
      </c>
      <c r="F2851" s="5">
        <f>IFERROR(__xludf.DUMMYFUNCTION("""COMPUTED_VALUE"""),0.2200478332155052)</f>
        <v>0.2200478332</v>
      </c>
      <c r="G2851" s="5">
        <f>IFERROR(__xludf.DUMMYFUNCTION("""COMPUTED_VALUE"""),0.18620357696183873)</f>
        <v>0.186203577</v>
      </c>
      <c r="H2851" s="5">
        <f>IFERROR(__xludf.DUMMYFUNCTION("""COMPUTED_VALUE"""),0.5995625128170073)</f>
        <v>0.5995625128</v>
      </c>
      <c r="I2851" s="11">
        <f>IFERROR(__xludf.DUMMYFUNCTION("""COMPUTED_VALUE"""),5897.969786041424)</f>
        <v>5897.969786</v>
      </c>
      <c r="J2851" s="10">
        <f>IFERROR(__xludf.DUMMYFUNCTION("""COMPUTED_VALUE"""),14.0)</f>
        <v>14</v>
      </c>
      <c r="K2851" s="5">
        <f>IFERROR(__xludf.DUMMYFUNCTION("""COMPUTED_VALUE"""),0.002252977148374638)</f>
        <v>0.002252977148</v>
      </c>
      <c r="L2851" s="10">
        <f>IFERROR(__xludf.DUMMYFUNCTION("""COMPUTED_VALUE"""),230.0)</f>
        <v>230</v>
      </c>
      <c r="M2851" s="5">
        <f>IFERROR(__xludf.DUMMYFUNCTION("""COMPUTED_VALUE"""),0.03701319600901191)</f>
        <v>0.03701319601</v>
      </c>
    </row>
    <row r="2852">
      <c r="A2852" s="10" t="str">
        <f>IFERROR(__xludf.DUMMYFUNCTION("""COMPUTED_VALUE"""),"かにマジン")</f>
        <v>かにマジン</v>
      </c>
      <c r="B2852" s="10">
        <f>IFERROR(__xludf.DUMMYFUNCTION("""COMPUTED_VALUE"""),3315.0)</f>
        <v>3315</v>
      </c>
      <c r="C2852" s="10">
        <f>IFERROR(__xludf.DUMMYFUNCTION("""COMPUTED_VALUE"""),39094.0)</f>
        <v>39094</v>
      </c>
      <c r="D2852" s="5">
        <f>IFERROR(__xludf.DUMMYFUNCTION("""COMPUTED_VALUE"""),0.3434137343134241)</f>
        <v>0.3434137343</v>
      </c>
      <c r="E2852" s="5">
        <f>IFERROR(__xludf.DUMMYFUNCTION("""COMPUTED_VALUE"""),0.12725341680874255)</f>
        <v>0.1272534168</v>
      </c>
      <c r="F2852" s="5">
        <f>IFERROR(__xludf.DUMMYFUNCTION("""COMPUTED_VALUE"""),0.2206042650716901)</f>
        <v>0.2206042651</v>
      </c>
      <c r="G2852" s="5">
        <f>IFERROR(__xludf.DUMMYFUNCTION("""COMPUTED_VALUE"""),0.16054109952765588)</f>
        <v>0.1605410995</v>
      </c>
      <c r="H2852" s="5">
        <f>IFERROR(__xludf.DUMMYFUNCTION("""COMPUTED_VALUE"""),0.6061066768022298)</f>
        <v>0.6061066768</v>
      </c>
      <c r="I2852" s="11">
        <f>IFERROR(__xludf.DUMMYFUNCTION("""COMPUTED_VALUE"""),5635.778537945014)</f>
        <v>5635.778538</v>
      </c>
      <c r="J2852" s="10">
        <f>IFERROR(__xludf.DUMMYFUNCTION("""COMPUTED_VALUE"""),9.0)</f>
        <v>9</v>
      </c>
      <c r="K2852" s="5">
        <f>IFERROR(__xludf.DUMMYFUNCTION("""COMPUTED_VALUE"""),0.0027149321266968325)</f>
        <v>0.002714932127</v>
      </c>
      <c r="L2852" s="10">
        <f>IFERROR(__xludf.DUMMYFUNCTION("""COMPUTED_VALUE"""),3315.0)</f>
        <v>3315</v>
      </c>
      <c r="M2852" s="5">
        <f>IFERROR(__xludf.DUMMYFUNCTION("""COMPUTED_VALUE"""),1.0)</f>
        <v>1</v>
      </c>
    </row>
    <row r="2853">
      <c r="A2853" s="10" t="str">
        <f>IFERROR(__xludf.DUMMYFUNCTION("""COMPUTED_VALUE"""),"沙耶加佐倉")</f>
        <v>沙耶加佐倉</v>
      </c>
      <c r="B2853" s="10">
        <f>IFERROR(__xludf.DUMMYFUNCTION("""COMPUTED_VALUE"""),284.0)</f>
        <v>284</v>
      </c>
      <c r="C2853" s="10">
        <f>IFERROR(__xludf.DUMMYFUNCTION("""COMPUTED_VALUE"""),3286.0)</f>
        <v>3286</v>
      </c>
      <c r="D2853" s="5">
        <f>IFERROR(__xludf.DUMMYFUNCTION("""COMPUTED_VALUE"""),0.37408394403730844)</f>
        <v>0.374083944</v>
      </c>
      <c r="E2853" s="5">
        <f>IFERROR(__xludf.DUMMYFUNCTION("""COMPUTED_VALUE"""),0.12724850099933377)</f>
        <v>0.127248501</v>
      </c>
      <c r="F2853" s="5">
        <f>IFERROR(__xludf.DUMMYFUNCTION("""COMPUTED_VALUE"""),0.20319786808794138)</f>
        <v>0.2031978681</v>
      </c>
      <c r="G2853" s="5">
        <f>IFERROR(__xludf.DUMMYFUNCTION("""COMPUTED_VALUE"""),0.15989340439706862)</f>
        <v>0.1598934044</v>
      </c>
      <c r="H2853" s="5">
        <f>IFERROR(__xludf.DUMMYFUNCTION("""COMPUTED_VALUE"""),0.6163934426229508)</f>
        <v>0.6163934426</v>
      </c>
      <c r="I2853" s="11">
        <f>IFERROR(__xludf.DUMMYFUNCTION("""COMPUTED_VALUE"""),5287.868852459016)</f>
        <v>5287.868852</v>
      </c>
      <c r="J2853" s="10">
        <f>IFERROR(__xludf.DUMMYFUNCTION("""COMPUTED_VALUE"""),1.0)</f>
        <v>1</v>
      </c>
      <c r="K2853" s="5">
        <f>IFERROR(__xludf.DUMMYFUNCTION("""COMPUTED_VALUE"""),0.0035211267605633804)</f>
        <v>0.003521126761</v>
      </c>
      <c r="L2853" s="10">
        <f>IFERROR(__xludf.DUMMYFUNCTION("""COMPUTED_VALUE"""),231.0)</f>
        <v>231</v>
      </c>
      <c r="M2853" s="5">
        <f>IFERROR(__xludf.DUMMYFUNCTION("""COMPUTED_VALUE"""),0.8133802816901409)</f>
        <v>0.8133802817</v>
      </c>
    </row>
    <row r="2854">
      <c r="A2854" s="10" t="str">
        <f>IFERROR(__xludf.DUMMYFUNCTION("""COMPUTED_VALUE"""),"まりも☆太郎")</f>
        <v>まりも☆太郎</v>
      </c>
      <c r="B2854" s="10">
        <f>IFERROR(__xludf.DUMMYFUNCTION("""COMPUTED_VALUE"""),117.0)</f>
        <v>117</v>
      </c>
      <c r="C2854" s="10">
        <f>IFERROR(__xludf.DUMMYFUNCTION("""COMPUTED_VALUE"""),1398.0)</f>
        <v>1398</v>
      </c>
      <c r="D2854" s="5">
        <f>IFERROR(__xludf.DUMMYFUNCTION("""COMPUTED_VALUE"""),0.3395784543325527)</f>
        <v>0.3395784543</v>
      </c>
      <c r="E2854" s="5">
        <f>IFERROR(__xludf.DUMMYFUNCTION("""COMPUTED_VALUE"""),0.12724434035909446)</f>
        <v>0.1272443404</v>
      </c>
      <c r="F2854" s="5">
        <f>IFERROR(__xludf.DUMMYFUNCTION("""COMPUTED_VALUE"""),0.21155347384855583)</f>
        <v>0.2115534738</v>
      </c>
      <c r="G2854" s="5">
        <f>IFERROR(__xludf.DUMMYFUNCTION("""COMPUTED_VALUE"""),0.21623731459797033)</f>
        <v>0.2162373146</v>
      </c>
      <c r="H2854" s="5">
        <f>IFERROR(__xludf.DUMMYFUNCTION("""COMPUTED_VALUE"""),0.5977859778597786)</f>
        <v>0.5977859779</v>
      </c>
      <c r="I2854" s="11">
        <f>IFERROR(__xludf.DUMMYFUNCTION("""COMPUTED_VALUE"""),5304.059040590406)</f>
        <v>5304.059041</v>
      </c>
      <c r="J2854" s="10">
        <f>IFERROR(__xludf.DUMMYFUNCTION("""COMPUTED_VALUE"""),0.0)</f>
        <v>0</v>
      </c>
      <c r="K2854" s="5">
        <f>IFERROR(__xludf.DUMMYFUNCTION("""COMPUTED_VALUE"""),0.0)</f>
        <v>0</v>
      </c>
      <c r="L2854" s="10">
        <f>IFERROR(__xludf.DUMMYFUNCTION("""COMPUTED_VALUE"""),116.0)</f>
        <v>116</v>
      </c>
      <c r="M2854" s="5">
        <f>IFERROR(__xludf.DUMMYFUNCTION("""COMPUTED_VALUE"""),0.9914529914529915)</f>
        <v>0.9914529915</v>
      </c>
    </row>
    <row r="2855">
      <c r="A2855" s="10" t="str">
        <f>IFERROR(__xludf.DUMMYFUNCTION("""COMPUTED_VALUE"""),"ポン助")</f>
        <v>ポン助</v>
      </c>
      <c r="B2855" s="10">
        <f>IFERROR(__xludf.DUMMYFUNCTION("""COMPUTED_VALUE"""),532.0)</f>
        <v>532</v>
      </c>
      <c r="C2855" s="10">
        <f>IFERROR(__xludf.DUMMYFUNCTION("""COMPUTED_VALUE"""),6301.0)</f>
        <v>6301</v>
      </c>
      <c r="D2855" s="5">
        <f>IFERROR(__xludf.DUMMYFUNCTION("""COMPUTED_VALUE"""),0.31322586236782807)</f>
        <v>0.3132258624</v>
      </c>
      <c r="E2855" s="5">
        <f>IFERROR(__xludf.DUMMYFUNCTION("""COMPUTED_VALUE"""),0.12723175593690414)</f>
        <v>0.1272317559</v>
      </c>
      <c r="F2855" s="5">
        <f>IFERROR(__xludf.DUMMYFUNCTION("""COMPUTED_VALUE"""),0.2142485699427977)</f>
        <v>0.2142485699</v>
      </c>
      <c r="G2855" s="5">
        <f>IFERROR(__xludf.DUMMYFUNCTION("""COMPUTED_VALUE"""),0.1752470098803952)</f>
        <v>0.1752470099</v>
      </c>
      <c r="H2855" s="5">
        <f>IFERROR(__xludf.DUMMYFUNCTION("""COMPUTED_VALUE"""),0.5784789644012945)</f>
        <v>0.5784789644</v>
      </c>
      <c r="I2855" s="11">
        <f>IFERROR(__xludf.DUMMYFUNCTION("""COMPUTED_VALUE"""),5804.288025889968)</f>
        <v>5804.288026</v>
      </c>
      <c r="J2855" s="10">
        <f>IFERROR(__xludf.DUMMYFUNCTION("""COMPUTED_VALUE"""),3.0)</f>
        <v>3</v>
      </c>
      <c r="K2855" s="5">
        <f>IFERROR(__xludf.DUMMYFUNCTION("""COMPUTED_VALUE"""),0.005639097744360902)</f>
        <v>0.005639097744</v>
      </c>
      <c r="L2855" s="10">
        <f>IFERROR(__xludf.DUMMYFUNCTION("""COMPUTED_VALUE"""),532.0)</f>
        <v>532</v>
      </c>
      <c r="M2855" s="5">
        <f>IFERROR(__xludf.DUMMYFUNCTION("""COMPUTED_VALUE"""),1.0)</f>
        <v>1</v>
      </c>
    </row>
    <row r="2856">
      <c r="A2856" s="10" t="str">
        <f>IFERROR(__xludf.DUMMYFUNCTION("""COMPUTED_VALUE"""),"塩酸ごくごく")</f>
        <v>塩酸ごくごく</v>
      </c>
      <c r="B2856" s="10">
        <f>IFERROR(__xludf.DUMMYFUNCTION("""COMPUTED_VALUE"""),580.0)</f>
        <v>580</v>
      </c>
      <c r="C2856" s="10">
        <f>IFERROR(__xludf.DUMMYFUNCTION("""COMPUTED_VALUE"""),6805.0)</f>
        <v>6805</v>
      </c>
      <c r="D2856" s="5">
        <f>IFERROR(__xludf.DUMMYFUNCTION("""COMPUTED_VALUE"""),0.30136546184738955)</f>
        <v>0.3013654618</v>
      </c>
      <c r="E2856" s="5">
        <f>IFERROR(__xludf.DUMMYFUNCTION("""COMPUTED_VALUE"""),0.1272289156626506)</f>
        <v>0.1272289157</v>
      </c>
      <c r="F2856" s="5">
        <f>IFERROR(__xludf.DUMMYFUNCTION("""COMPUTED_VALUE"""),0.20160642570281123)</f>
        <v>0.2016064257</v>
      </c>
      <c r="G2856" s="5">
        <f>IFERROR(__xludf.DUMMYFUNCTION("""COMPUTED_VALUE"""),0.1704417670682731)</f>
        <v>0.1704417671</v>
      </c>
      <c r="H2856" s="5">
        <f>IFERROR(__xludf.DUMMYFUNCTION("""COMPUTED_VALUE"""),0.5960159362549801)</f>
        <v>0.5960159363</v>
      </c>
      <c r="I2856" s="11">
        <f>IFERROR(__xludf.DUMMYFUNCTION("""COMPUTED_VALUE"""),5786.772908366534)</f>
        <v>5786.772908</v>
      </c>
      <c r="J2856" s="10">
        <f>IFERROR(__xludf.DUMMYFUNCTION("""COMPUTED_VALUE"""),1.0)</f>
        <v>1</v>
      </c>
      <c r="K2856" s="5">
        <f>IFERROR(__xludf.DUMMYFUNCTION("""COMPUTED_VALUE"""),0.0017241379310344827)</f>
        <v>0.001724137931</v>
      </c>
      <c r="L2856" s="10">
        <f>IFERROR(__xludf.DUMMYFUNCTION("""COMPUTED_VALUE"""),580.0)</f>
        <v>580</v>
      </c>
      <c r="M2856" s="5">
        <f>IFERROR(__xludf.DUMMYFUNCTION("""COMPUTED_VALUE"""),1.0)</f>
        <v>1</v>
      </c>
    </row>
    <row r="2857">
      <c r="A2857" s="10" t="str">
        <f>IFERROR(__xludf.DUMMYFUNCTION("""COMPUTED_VALUE"""),"水性無視")</f>
        <v>水性無視</v>
      </c>
      <c r="B2857" s="10">
        <f>IFERROR(__xludf.DUMMYFUNCTION("""COMPUTED_VALUE"""),196.0)</f>
        <v>196</v>
      </c>
      <c r="C2857" s="10">
        <f>IFERROR(__xludf.DUMMYFUNCTION("""COMPUTED_VALUE"""),2334.0)</f>
        <v>2334</v>
      </c>
      <c r="D2857" s="5">
        <f>IFERROR(__xludf.DUMMYFUNCTION("""COMPUTED_VALUE"""),0.29887745556594947)</f>
        <v>0.2988774556</v>
      </c>
      <c r="E2857" s="5">
        <f>IFERROR(__xludf.DUMMYFUNCTION("""COMPUTED_VALUE"""),0.12722170252572498)</f>
        <v>0.1272217025</v>
      </c>
      <c r="F2857" s="5">
        <f>IFERROR(__xludf.DUMMYFUNCTION("""COMPUTED_VALUE"""),0.19550982226379796)</f>
        <v>0.1955098223</v>
      </c>
      <c r="G2857" s="5">
        <f>IFERROR(__xludf.DUMMYFUNCTION("""COMPUTED_VALUE"""),0.16510757717492985)</f>
        <v>0.1651075772</v>
      </c>
      <c r="H2857" s="5">
        <f>IFERROR(__xludf.DUMMYFUNCTION("""COMPUTED_VALUE"""),0.5909090909090909)</f>
        <v>0.5909090909</v>
      </c>
      <c r="I2857" s="11">
        <f>IFERROR(__xludf.DUMMYFUNCTION("""COMPUTED_VALUE"""),5554.784688995215)</f>
        <v>5554.784689</v>
      </c>
      <c r="J2857" s="10">
        <f>IFERROR(__xludf.DUMMYFUNCTION("""COMPUTED_VALUE"""),1.0)</f>
        <v>1</v>
      </c>
      <c r="K2857" s="5">
        <f>IFERROR(__xludf.DUMMYFUNCTION("""COMPUTED_VALUE"""),0.00510204081632653)</f>
        <v>0.005102040816</v>
      </c>
      <c r="L2857" s="10">
        <f>IFERROR(__xludf.DUMMYFUNCTION("""COMPUTED_VALUE"""),196.0)</f>
        <v>196</v>
      </c>
      <c r="M2857" s="5">
        <f>IFERROR(__xludf.DUMMYFUNCTION("""COMPUTED_VALUE"""),1.0)</f>
        <v>1</v>
      </c>
    </row>
    <row r="2858">
      <c r="A2858" s="10" t="str">
        <f>IFERROR(__xludf.DUMMYFUNCTION("""COMPUTED_VALUE"""),"☆宮いちご")</f>
        <v>☆宮いちご</v>
      </c>
      <c r="B2858" s="10">
        <f>IFERROR(__xludf.DUMMYFUNCTION("""COMPUTED_VALUE"""),431.0)</f>
        <v>431</v>
      </c>
      <c r="C2858" s="10">
        <f>IFERROR(__xludf.DUMMYFUNCTION("""COMPUTED_VALUE"""),5045.0)</f>
        <v>5045</v>
      </c>
      <c r="D2858" s="5">
        <f>IFERROR(__xludf.DUMMYFUNCTION("""COMPUTED_VALUE"""),0.3831816211530126)</f>
        <v>0.3831816212</v>
      </c>
      <c r="E2858" s="5">
        <f>IFERROR(__xludf.DUMMYFUNCTION("""COMPUTED_VALUE"""),0.12722149978326833)</f>
        <v>0.1272214998</v>
      </c>
      <c r="F2858" s="5">
        <f>IFERROR(__xludf.DUMMYFUNCTION("""COMPUTED_VALUE"""),0.20892934547030775)</f>
        <v>0.2089293455</v>
      </c>
      <c r="G2858" s="5">
        <f>IFERROR(__xludf.DUMMYFUNCTION("""COMPUTED_VALUE"""),0.1644993498049415)</f>
        <v>0.1644993498</v>
      </c>
      <c r="H2858" s="5">
        <f>IFERROR(__xludf.DUMMYFUNCTION("""COMPUTED_VALUE"""),0.58298755186722)</f>
        <v>0.5829875519</v>
      </c>
      <c r="I2858" s="11">
        <f>IFERROR(__xludf.DUMMYFUNCTION("""COMPUTED_VALUE"""),5277.074688796681)</f>
        <v>5277.074689</v>
      </c>
      <c r="J2858" s="10">
        <f>IFERROR(__xludf.DUMMYFUNCTION("""COMPUTED_VALUE"""),1.0)</f>
        <v>1</v>
      </c>
      <c r="K2858" s="5">
        <f>IFERROR(__xludf.DUMMYFUNCTION("""COMPUTED_VALUE"""),0.002320185614849188)</f>
        <v>0.002320185615</v>
      </c>
      <c r="L2858" s="10">
        <f>IFERROR(__xludf.DUMMYFUNCTION("""COMPUTED_VALUE"""),431.0)</f>
        <v>431</v>
      </c>
      <c r="M2858" s="5">
        <f>IFERROR(__xludf.DUMMYFUNCTION("""COMPUTED_VALUE"""),1.0)</f>
        <v>1</v>
      </c>
    </row>
    <row r="2859">
      <c r="A2859" s="10" t="str">
        <f>IFERROR(__xludf.DUMMYFUNCTION("""COMPUTED_VALUE"""),"Kiina")</f>
        <v>Kiina</v>
      </c>
      <c r="B2859" s="10">
        <f>IFERROR(__xludf.DUMMYFUNCTION("""COMPUTED_VALUE"""),1176.0)</f>
        <v>1176</v>
      </c>
      <c r="C2859" s="10">
        <f>IFERROR(__xludf.DUMMYFUNCTION("""COMPUTED_VALUE"""),13556.0)</f>
        <v>13556</v>
      </c>
      <c r="D2859" s="5">
        <f>IFERROR(__xludf.DUMMYFUNCTION("""COMPUTED_VALUE"""),0.2932956381260097)</f>
        <v>0.2932956381</v>
      </c>
      <c r="E2859" s="5">
        <f>IFERROR(__xludf.DUMMYFUNCTION("""COMPUTED_VALUE"""),0.12722132471728595)</f>
        <v>0.1272213247</v>
      </c>
      <c r="F2859" s="5">
        <f>IFERROR(__xludf.DUMMYFUNCTION("""COMPUTED_VALUE"""),0.20121163166397416)</f>
        <v>0.2012116317</v>
      </c>
      <c r="G2859" s="5">
        <f>IFERROR(__xludf.DUMMYFUNCTION("""COMPUTED_VALUE"""),0.2101777059773829)</f>
        <v>0.210177706</v>
      </c>
      <c r="H2859" s="5">
        <f>IFERROR(__xludf.DUMMYFUNCTION("""COMPUTED_VALUE"""),0.586109995985548)</f>
        <v>0.586109996</v>
      </c>
      <c r="I2859" s="11">
        <f>IFERROR(__xludf.DUMMYFUNCTION("""COMPUTED_VALUE"""),5951.585708550783)</f>
        <v>5951.585709</v>
      </c>
      <c r="J2859" s="10">
        <f>IFERROR(__xludf.DUMMYFUNCTION("""COMPUTED_VALUE"""),3.0)</f>
        <v>3</v>
      </c>
      <c r="K2859" s="5">
        <f>IFERROR(__xludf.DUMMYFUNCTION("""COMPUTED_VALUE"""),0.002551020408163265)</f>
        <v>0.002551020408</v>
      </c>
      <c r="L2859" s="10">
        <f>IFERROR(__xludf.DUMMYFUNCTION("""COMPUTED_VALUE"""),1.0)</f>
        <v>1</v>
      </c>
      <c r="M2859" s="5">
        <f>IFERROR(__xludf.DUMMYFUNCTION("""COMPUTED_VALUE"""),8.503401360544217E-4)</f>
        <v>0.0008503401361</v>
      </c>
    </row>
    <row r="2860">
      <c r="A2860" s="10" t="str">
        <f>IFERROR(__xludf.DUMMYFUNCTION("""COMPUTED_VALUE"""),"真の雀士うまたん")</f>
        <v>真の雀士うまたん</v>
      </c>
      <c r="B2860" s="10">
        <f>IFERROR(__xludf.DUMMYFUNCTION("""COMPUTED_VALUE"""),153.0)</f>
        <v>153</v>
      </c>
      <c r="C2860" s="10">
        <f>IFERROR(__xludf.DUMMYFUNCTION("""COMPUTED_VALUE"""),1796.0)</f>
        <v>1796</v>
      </c>
      <c r="D2860" s="5">
        <f>IFERROR(__xludf.DUMMYFUNCTION("""COMPUTED_VALUE"""),0.43274497869750456)</f>
        <v>0.4327449787</v>
      </c>
      <c r="E2860" s="5">
        <f>IFERROR(__xludf.DUMMYFUNCTION("""COMPUTED_VALUE"""),0.12720632988435787)</f>
        <v>0.1272063299</v>
      </c>
      <c r="F2860" s="5">
        <f>IFERROR(__xludf.DUMMYFUNCTION("""COMPUTED_VALUE"""),0.21485088253195375)</f>
        <v>0.2148508825</v>
      </c>
      <c r="G2860" s="5">
        <f>IFERROR(__xludf.DUMMYFUNCTION("""COMPUTED_VALUE"""),0.1789409616555082)</f>
        <v>0.1789409617</v>
      </c>
      <c r="H2860" s="5">
        <f>IFERROR(__xludf.DUMMYFUNCTION("""COMPUTED_VALUE"""),0.5892351274787535)</f>
        <v>0.5892351275</v>
      </c>
      <c r="I2860" s="11">
        <f>IFERROR(__xludf.DUMMYFUNCTION("""COMPUTED_VALUE"""),5416.430594900849)</f>
        <v>5416.430595</v>
      </c>
      <c r="J2860" s="10">
        <f>IFERROR(__xludf.DUMMYFUNCTION("""COMPUTED_VALUE"""),0.0)</f>
        <v>0</v>
      </c>
      <c r="K2860" s="5">
        <f>IFERROR(__xludf.DUMMYFUNCTION("""COMPUTED_VALUE"""),0.0)</f>
        <v>0</v>
      </c>
      <c r="L2860" s="10">
        <f>IFERROR(__xludf.DUMMYFUNCTION("""COMPUTED_VALUE"""),153.0)</f>
        <v>153</v>
      </c>
      <c r="M2860" s="5">
        <f>IFERROR(__xludf.DUMMYFUNCTION("""COMPUTED_VALUE"""),1.0)</f>
        <v>1</v>
      </c>
    </row>
    <row r="2861">
      <c r="A2861" s="10" t="str">
        <f>IFERROR(__xludf.DUMMYFUNCTION("""COMPUTED_VALUE"""),"ぷるぷるだぞ")</f>
        <v>ぷるぷるだぞ</v>
      </c>
      <c r="B2861" s="10">
        <f>IFERROR(__xludf.DUMMYFUNCTION("""COMPUTED_VALUE"""),1087.0)</f>
        <v>1087</v>
      </c>
      <c r="C2861" s="10">
        <f>IFERROR(__xludf.DUMMYFUNCTION("""COMPUTED_VALUE"""),12683.0)</f>
        <v>12683</v>
      </c>
      <c r="D2861" s="5">
        <f>IFERROR(__xludf.DUMMYFUNCTION("""COMPUTED_VALUE"""),0.34805105208692655)</f>
        <v>0.3480510521</v>
      </c>
      <c r="E2861" s="5">
        <f>IFERROR(__xludf.DUMMYFUNCTION("""COMPUTED_VALUE"""),0.1271990341497068)</f>
        <v>0.1271990341</v>
      </c>
      <c r="F2861" s="5">
        <f>IFERROR(__xludf.DUMMYFUNCTION("""COMPUTED_VALUE"""),0.1957571576405657)</f>
        <v>0.1957571576</v>
      </c>
      <c r="G2861" s="5">
        <f>IFERROR(__xludf.DUMMYFUNCTION("""COMPUTED_VALUE"""),0.1672128320110383)</f>
        <v>0.167212832</v>
      </c>
      <c r="H2861" s="5">
        <f>IFERROR(__xludf.DUMMYFUNCTION("""COMPUTED_VALUE"""),0.5903083700440529)</f>
        <v>0.59030837</v>
      </c>
      <c r="I2861" s="11">
        <f>IFERROR(__xludf.DUMMYFUNCTION("""COMPUTED_VALUE"""),5802.246696035242)</f>
        <v>5802.246696</v>
      </c>
      <c r="J2861" s="10">
        <f>IFERROR(__xludf.DUMMYFUNCTION("""COMPUTED_VALUE"""),3.0)</f>
        <v>3</v>
      </c>
      <c r="K2861" s="5">
        <f>IFERROR(__xludf.DUMMYFUNCTION("""COMPUTED_VALUE"""),0.0027598896044158236)</f>
        <v>0.002759889604</v>
      </c>
      <c r="L2861" s="10">
        <f>IFERROR(__xludf.DUMMYFUNCTION("""COMPUTED_VALUE"""),1087.0)</f>
        <v>1087</v>
      </c>
      <c r="M2861" s="5">
        <f>IFERROR(__xludf.DUMMYFUNCTION("""COMPUTED_VALUE"""),1.0)</f>
        <v>1</v>
      </c>
    </row>
    <row r="2862">
      <c r="A2862" s="10" t="str">
        <f>IFERROR(__xludf.DUMMYFUNCTION("""COMPUTED_VALUE"""),"林保徳")</f>
        <v>林保徳</v>
      </c>
      <c r="B2862" s="10">
        <f>IFERROR(__xludf.DUMMYFUNCTION("""COMPUTED_VALUE"""),610.0)</f>
        <v>610</v>
      </c>
      <c r="C2862" s="10">
        <f>IFERROR(__xludf.DUMMYFUNCTION("""COMPUTED_VALUE"""),7159.0)</f>
        <v>7159</v>
      </c>
      <c r="D2862" s="5">
        <f>IFERROR(__xludf.DUMMYFUNCTION("""COMPUTED_VALUE"""),0.3812795846694152)</f>
        <v>0.3812795847</v>
      </c>
      <c r="E2862" s="5">
        <f>IFERROR(__xludf.DUMMYFUNCTION("""COMPUTED_VALUE"""),0.12719499160177125)</f>
        <v>0.1271949916</v>
      </c>
      <c r="F2862" s="5">
        <f>IFERROR(__xludf.DUMMYFUNCTION("""COMPUTED_VALUE"""),0.21407848526492596)</f>
        <v>0.2140784853</v>
      </c>
      <c r="G2862" s="5">
        <f>IFERROR(__xludf.DUMMYFUNCTION("""COMPUTED_VALUE"""),0.17453046266605587)</f>
        <v>0.1745304627</v>
      </c>
      <c r="H2862" s="5">
        <f>IFERROR(__xludf.DUMMYFUNCTION("""COMPUTED_VALUE"""),0.5891583452211127)</f>
        <v>0.5891583452</v>
      </c>
      <c r="I2862" s="11">
        <f>IFERROR(__xludf.DUMMYFUNCTION("""COMPUTED_VALUE"""),5663.052781740371)</f>
        <v>5663.052782</v>
      </c>
      <c r="J2862" s="10">
        <f>IFERROR(__xludf.DUMMYFUNCTION("""COMPUTED_VALUE"""),0.0)</f>
        <v>0</v>
      </c>
      <c r="K2862" s="5">
        <f>IFERROR(__xludf.DUMMYFUNCTION("""COMPUTED_VALUE"""),0.0)</f>
        <v>0</v>
      </c>
      <c r="L2862" s="10">
        <f>IFERROR(__xludf.DUMMYFUNCTION("""COMPUTED_VALUE"""),234.0)</f>
        <v>234</v>
      </c>
      <c r="M2862" s="5">
        <f>IFERROR(__xludf.DUMMYFUNCTION("""COMPUTED_VALUE"""),0.3836065573770492)</f>
        <v>0.3836065574</v>
      </c>
    </row>
    <row r="2863">
      <c r="A2863" s="10" t="str">
        <f>IFERROR(__xludf.DUMMYFUNCTION("""COMPUTED_VALUE"""),"Legenda")</f>
        <v>Legenda</v>
      </c>
      <c r="B2863" s="10">
        <f>IFERROR(__xludf.DUMMYFUNCTION("""COMPUTED_VALUE"""),984.0)</f>
        <v>984</v>
      </c>
      <c r="C2863" s="10">
        <f>IFERROR(__xludf.DUMMYFUNCTION("""COMPUTED_VALUE"""),11464.0)</f>
        <v>11464</v>
      </c>
      <c r="D2863" s="5">
        <f>IFERROR(__xludf.DUMMYFUNCTION("""COMPUTED_VALUE"""),0.34208015267175573)</f>
        <v>0.3420801527</v>
      </c>
      <c r="E2863" s="5">
        <f>IFERROR(__xludf.DUMMYFUNCTION("""COMPUTED_VALUE"""),0.1271946564885496)</f>
        <v>0.1271946565</v>
      </c>
      <c r="F2863" s="5">
        <f>IFERROR(__xludf.DUMMYFUNCTION("""COMPUTED_VALUE"""),0.20543893129770993)</f>
        <v>0.2054389313</v>
      </c>
      <c r="G2863" s="5">
        <f>IFERROR(__xludf.DUMMYFUNCTION("""COMPUTED_VALUE"""),0.1506679389312977)</f>
        <v>0.1506679389</v>
      </c>
      <c r="H2863" s="5">
        <f>IFERROR(__xludf.DUMMYFUNCTION("""COMPUTED_VALUE"""),0.5986994890849977)</f>
        <v>0.5986994891</v>
      </c>
      <c r="I2863" s="11">
        <f>IFERROR(__xludf.DUMMYFUNCTION("""COMPUTED_VALUE"""),5959.544821179749)</f>
        <v>5959.544821</v>
      </c>
      <c r="J2863" s="10">
        <f>IFERROR(__xludf.DUMMYFUNCTION("""COMPUTED_VALUE"""),2.0)</f>
        <v>2</v>
      </c>
      <c r="K2863" s="5">
        <f>IFERROR(__xludf.DUMMYFUNCTION("""COMPUTED_VALUE"""),0.0020325203252032522)</f>
        <v>0.002032520325</v>
      </c>
      <c r="L2863" s="10">
        <f>IFERROR(__xludf.DUMMYFUNCTION("""COMPUTED_VALUE"""),796.0)</f>
        <v>796</v>
      </c>
      <c r="M2863" s="5">
        <f>IFERROR(__xludf.DUMMYFUNCTION("""COMPUTED_VALUE"""),0.8089430894308943)</f>
        <v>0.8089430894</v>
      </c>
    </row>
    <row r="2864">
      <c r="A2864" s="10" t="str">
        <f>IFERROR(__xludf.DUMMYFUNCTION("""COMPUTED_VALUE"""),"socchy")</f>
        <v>socchy</v>
      </c>
      <c r="B2864" s="10">
        <f>IFERROR(__xludf.DUMMYFUNCTION("""COMPUTED_VALUE"""),1360.0)</f>
        <v>1360</v>
      </c>
      <c r="C2864" s="10">
        <f>IFERROR(__xludf.DUMMYFUNCTION("""COMPUTED_VALUE"""),15771.0)</f>
        <v>15771</v>
      </c>
      <c r="D2864" s="5">
        <f>IFERROR(__xludf.DUMMYFUNCTION("""COMPUTED_VALUE"""),0.3453611824300881)</f>
        <v>0.3453611824</v>
      </c>
      <c r="E2864" s="5">
        <f>IFERROR(__xludf.DUMMYFUNCTION("""COMPUTED_VALUE"""),0.12719450419818196)</f>
        <v>0.1271945042</v>
      </c>
      <c r="F2864" s="5">
        <f>IFERROR(__xludf.DUMMYFUNCTION("""COMPUTED_VALUE"""),0.22802026229963224)</f>
        <v>0.2280202623</v>
      </c>
      <c r="G2864" s="5">
        <f>IFERROR(__xludf.DUMMYFUNCTION("""COMPUTED_VALUE"""),0.18624661716744154)</f>
        <v>0.1862466172</v>
      </c>
      <c r="H2864" s="5">
        <f>IFERROR(__xludf.DUMMYFUNCTION("""COMPUTED_VALUE"""),0.6055995130858186)</f>
        <v>0.6055995131</v>
      </c>
      <c r="I2864" s="11">
        <f>IFERROR(__xludf.DUMMYFUNCTION("""COMPUTED_VALUE"""),5619.293974437005)</f>
        <v>5619.293974</v>
      </c>
      <c r="J2864" s="10">
        <f>IFERROR(__xludf.DUMMYFUNCTION("""COMPUTED_VALUE"""),3.0)</f>
        <v>3</v>
      </c>
      <c r="K2864" s="5">
        <f>IFERROR(__xludf.DUMMYFUNCTION("""COMPUTED_VALUE"""),0.0022058823529411764)</f>
        <v>0.002205882353</v>
      </c>
      <c r="L2864" s="10">
        <f>IFERROR(__xludf.DUMMYFUNCTION("""COMPUTED_VALUE"""),1360.0)</f>
        <v>1360</v>
      </c>
      <c r="M2864" s="5">
        <f>IFERROR(__xludf.DUMMYFUNCTION("""COMPUTED_VALUE"""),1.0)</f>
        <v>1</v>
      </c>
    </row>
    <row r="2865">
      <c r="A2865" s="10" t="str">
        <f>IFERROR(__xludf.DUMMYFUNCTION("""COMPUTED_VALUE"""),"サンマ漁師K")</f>
        <v>サンマ漁師K</v>
      </c>
      <c r="B2865" s="10">
        <f>IFERROR(__xludf.DUMMYFUNCTION("""COMPUTED_VALUE"""),374.0)</f>
        <v>374</v>
      </c>
      <c r="C2865" s="10">
        <f>IFERROR(__xludf.DUMMYFUNCTION("""COMPUTED_VALUE"""),4368.0)</f>
        <v>4368</v>
      </c>
      <c r="D2865" s="5">
        <f>IFERROR(__xludf.DUMMYFUNCTION("""COMPUTED_VALUE"""),0.3129694541812719)</f>
        <v>0.3129694542</v>
      </c>
      <c r="E2865" s="5">
        <f>IFERROR(__xludf.DUMMYFUNCTION("""COMPUTED_VALUE"""),0.1271907861792689)</f>
        <v>0.1271907862</v>
      </c>
      <c r="F2865" s="5">
        <f>IFERROR(__xludf.DUMMYFUNCTION("""COMPUTED_VALUE"""),0.20055082623935905)</f>
        <v>0.2005508262</v>
      </c>
      <c r="G2865" s="5">
        <f>IFERROR(__xludf.DUMMYFUNCTION("""COMPUTED_VALUE"""),0.17901852779168753)</f>
        <v>0.1790185278</v>
      </c>
      <c r="H2865" s="5">
        <f>IFERROR(__xludf.DUMMYFUNCTION("""COMPUTED_VALUE"""),0.5980024968789014)</f>
        <v>0.5980024969</v>
      </c>
      <c r="I2865" s="11">
        <f>IFERROR(__xludf.DUMMYFUNCTION("""COMPUTED_VALUE"""),6302.372034956305)</f>
        <v>6302.372035</v>
      </c>
      <c r="J2865" s="10">
        <f>IFERROR(__xludf.DUMMYFUNCTION("""COMPUTED_VALUE"""),0.0)</f>
        <v>0</v>
      </c>
      <c r="K2865" s="5">
        <f>IFERROR(__xludf.DUMMYFUNCTION("""COMPUTED_VALUE"""),0.0)</f>
        <v>0</v>
      </c>
      <c r="L2865" s="10">
        <f>IFERROR(__xludf.DUMMYFUNCTION("""COMPUTED_VALUE"""),374.0)</f>
        <v>374</v>
      </c>
      <c r="M2865" s="5">
        <f>IFERROR(__xludf.DUMMYFUNCTION("""COMPUTED_VALUE"""),1.0)</f>
        <v>1</v>
      </c>
    </row>
    <row r="2866">
      <c r="A2866" s="10" t="str">
        <f>IFERROR(__xludf.DUMMYFUNCTION("""COMPUTED_VALUE"""),"偏見の塊")</f>
        <v>偏見の塊</v>
      </c>
      <c r="B2866" s="10">
        <f>IFERROR(__xludf.DUMMYFUNCTION("""COMPUTED_VALUE"""),325.0)</f>
        <v>325</v>
      </c>
      <c r="C2866" s="10">
        <f>IFERROR(__xludf.DUMMYFUNCTION("""COMPUTED_VALUE"""),3808.0)</f>
        <v>3808</v>
      </c>
      <c r="D2866" s="5">
        <f>IFERROR(__xludf.DUMMYFUNCTION("""COMPUTED_VALUE"""),0.3453919035314384)</f>
        <v>0.3453919035</v>
      </c>
      <c r="E2866" s="5">
        <f>IFERROR(__xludf.DUMMYFUNCTION("""COMPUTED_VALUE"""),0.12718920470858455)</f>
        <v>0.1271892047</v>
      </c>
      <c r="F2866" s="5">
        <f>IFERROR(__xludf.DUMMYFUNCTION("""COMPUTED_VALUE"""),0.20872810795291416)</f>
        <v>0.208728108</v>
      </c>
      <c r="G2866" s="5">
        <f>IFERROR(__xludf.DUMMYFUNCTION("""COMPUTED_VALUE"""),0.15963250071777205)</f>
        <v>0.1596325007</v>
      </c>
      <c r="H2866" s="5">
        <f>IFERROR(__xludf.DUMMYFUNCTION("""COMPUTED_VALUE"""),0.5777166437414031)</f>
        <v>0.5777166437</v>
      </c>
      <c r="I2866" s="11">
        <f>IFERROR(__xludf.DUMMYFUNCTION("""COMPUTED_VALUE"""),5416.093535075654)</f>
        <v>5416.093535</v>
      </c>
      <c r="J2866" s="10">
        <f>IFERROR(__xludf.DUMMYFUNCTION("""COMPUTED_VALUE"""),0.0)</f>
        <v>0</v>
      </c>
      <c r="K2866" s="5">
        <f>IFERROR(__xludf.DUMMYFUNCTION("""COMPUTED_VALUE"""),0.0)</f>
        <v>0</v>
      </c>
      <c r="L2866" s="10">
        <f>IFERROR(__xludf.DUMMYFUNCTION("""COMPUTED_VALUE"""),325.0)</f>
        <v>325</v>
      </c>
      <c r="M2866" s="5">
        <f>IFERROR(__xludf.DUMMYFUNCTION("""COMPUTED_VALUE"""),1.0)</f>
        <v>1</v>
      </c>
    </row>
    <row r="2867">
      <c r="A2867" s="10" t="str">
        <f>IFERROR(__xludf.DUMMYFUNCTION("""COMPUTED_VALUE"""),"AMALIA")</f>
        <v>AMALIA</v>
      </c>
      <c r="B2867" s="10">
        <f>IFERROR(__xludf.DUMMYFUNCTION("""COMPUTED_VALUE"""),674.0)</f>
        <v>674</v>
      </c>
      <c r="C2867" s="10">
        <f>IFERROR(__xludf.DUMMYFUNCTION("""COMPUTED_VALUE"""),7931.0)</f>
        <v>7931</v>
      </c>
      <c r="D2867" s="5">
        <f>IFERROR(__xludf.DUMMYFUNCTION("""COMPUTED_VALUE"""),0.3325065454044371)</f>
        <v>0.3325065454</v>
      </c>
      <c r="E2867" s="5">
        <f>IFERROR(__xludf.DUMMYFUNCTION("""COMPUTED_VALUE"""),0.1271875430618713)</f>
        <v>0.1271875431</v>
      </c>
      <c r="F2867" s="5">
        <f>IFERROR(__xludf.DUMMYFUNCTION("""COMPUTED_VALUE"""),0.20201185062698085)</f>
        <v>0.2020118506</v>
      </c>
      <c r="G2867" s="5">
        <f>IFERROR(__xludf.DUMMYFUNCTION("""COMPUTED_VALUE"""),0.14978641311836846)</f>
        <v>0.1497864131</v>
      </c>
      <c r="H2867" s="5">
        <f>IFERROR(__xludf.DUMMYFUNCTION("""COMPUTED_VALUE"""),0.6057298772169167)</f>
        <v>0.6057298772</v>
      </c>
      <c r="I2867" s="11">
        <f>IFERROR(__xludf.DUMMYFUNCTION("""COMPUTED_VALUE"""),5529.399727148704)</f>
        <v>5529.399727</v>
      </c>
      <c r="J2867" s="10">
        <f>IFERROR(__xludf.DUMMYFUNCTION("""COMPUTED_VALUE"""),3.0)</f>
        <v>3</v>
      </c>
      <c r="K2867" s="5">
        <f>IFERROR(__xludf.DUMMYFUNCTION("""COMPUTED_VALUE"""),0.004451038575667656)</f>
        <v>0.004451038576</v>
      </c>
      <c r="L2867" s="10">
        <f>IFERROR(__xludf.DUMMYFUNCTION("""COMPUTED_VALUE"""),674.0)</f>
        <v>674</v>
      </c>
      <c r="M2867" s="5">
        <f>IFERROR(__xludf.DUMMYFUNCTION("""COMPUTED_VALUE"""),1.0)</f>
        <v>1</v>
      </c>
    </row>
    <row r="2868">
      <c r="A2868" s="10" t="str">
        <f>IFERROR(__xludf.DUMMYFUNCTION("""COMPUTED_VALUE"""),"plaza")</f>
        <v>plaza</v>
      </c>
      <c r="B2868" s="10">
        <f>IFERROR(__xludf.DUMMYFUNCTION("""COMPUTED_VALUE"""),277.0)</f>
        <v>277</v>
      </c>
      <c r="C2868" s="10">
        <f>IFERROR(__xludf.DUMMYFUNCTION("""COMPUTED_VALUE"""),3249.0)</f>
        <v>3249</v>
      </c>
      <c r="D2868" s="5">
        <f>IFERROR(__xludf.DUMMYFUNCTION("""COMPUTED_VALUE"""),0.373485868102288)</f>
        <v>0.3734858681</v>
      </c>
      <c r="E2868" s="5">
        <f>IFERROR(__xludf.DUMMYFUNCTION("""COMPUTED_VALUE"""),0.1271870794078062)</f>
        <v>0.1271870794</v>
      </c>
      <c r="F2868" s="5">
        <f>IFERROR(__xludf.DUMMYFUNCTION("""COMPUTED_VALUE"""),0.20625841184387617)</f>
        <v>0.2062584118</v>
      </c>
      <c r="G2868" s="5">
        <f>IFERROR(__xludf.DUMMYFUNCTION("""COMPUTED_VALUE"""),0.1652086137281292)</f>
        <v>0.1652086137</v>
      </c>
      <c r="H2868" s="5">
        <f>IFERROR(__xludf.DUMMYFUNCTION("""COMPUTED_VALUE"""),0.5758564437194127)</f>
        <v>0.5758564437</v>
      </c>
      <c r="I2868" s="11">
        <f>IFERROR(__xludf.DUMMYFUNCTION("""COMPUTED_VALUE"""),5719.249592169657)</f>
        <v>5719.249592</v>
      </c>
      <c r="J2868" s="10">
        <f>IFERROR(__xludf.DUMMYFUNCTION("""COMPUTED_VALUE"""),1.0)</f>
        <v>1</v>
      </c>
      <c r="K2868" s="5">
        <f>IFERROR(__xludf.DUMMYFUNCTION("""COMPUTED_VALUE"""),0.0036101083032490976)</f>
        <v>0.003610108303</v>
      </c>
      <c r="L2868" s="10">
        <f>IFERROR(__xludf.DUMMYFUNCTION("""COMPUTED_VALUE"""),277.0)</f>
        <v>277</v>
      </c>
      <c r="M2868" s="5">
        <f>IFERROR(__xludf.DUMMYFUNCTION("""COMPUTED_VALUE"""),1.0)</f>
        <v>1</v>
      </c>
    </row>
    <row r="2869">
      <c r="A2869" s="10" t="str">
        <f>IFERROR(__xludf.DUMMYFUNCTION("""COMPUTED_VALUE"""),"drago")</f>
        <v>drago</v>
      </c>
      <c r="B2869" s="10">
        <f>IFERROR(__xludf.DUMMYFUNCTION("""COMPUTED_VALUE"""),490.0)</f>
        <v>490</v>
      </c>
      <c r="C2869" s="10">
        <f>IFERROR(__xludf.DUMMYFUNCTION("""COMPUTED_VALUE"""),5813.0)</f>
        <v>5813</v>
      </c>
      <c r="D2869" s="5">
        <f>IFERROR(__xludf.DUMMYFUNCTION("""COMPUTED_VALUE"""),0.32650760849145216)</f>
        <v>0.3265076085</v>
      </c>
      <c r="E2869" s="5">
        <f>IFERROR(__xludf.DUMMYFUNCTION("""COMPUTED_VALUE"""),0.12718391884275784)</f>
        <v>0.1271839188</v>
      </c>
      <c r="F2869" s="5">
        <f>IFERROR(__xludf.DUMMYFUNCTION("""COMPUTED_VALUE"""),0.2036445613375916)</f>
        <v>0.2036445613</v>
      </c>
      <c r="G2869" s="5">
        <f>IFERROR(__xludf.DUMMYFUNCTION("""COMPUTED_VALUE"""),0.13544993424760474)</f>
        <v>0.1354499342</v>
      </c>
      <c r="H2869" s="5">
        <f>IFERROR(__xludf.DUMMYFUNCTION("""COMPUTED_VALUE"""),0.6097785977859779)</f>
        <v>0.6097785978</v>
      </c>
      <c r="I2869" s="11">
        <f>IFERROR(__xludf.DUMMYFUNCTION("""COMPUTED_VALUE"""),5268.081180811808)</f>
        <v>5268.081181</v>
      </c>
      <c r="J2869" s="10">
        <f>IFERROR(__xludf.DUMMYFUNCTION("""COMPUTED_VALUE"""),0.0)</f>
        <v>0</v>
      </c>
      <c r="K2869" s="5">
        <f>IFERROR(__xludf.DUMMYFUNCTION("""COMPUTED_VALUE"""),0.0)</f>
        <v>0</v>
      </c>
      <c r="L2869" s="10">
        <f>IFERROR(__xludf.DUMMYFUNCTION("""COMPUTED_VALUE"""),490.0)</f>
        <v>490</v>
      </c>
      <c r="M2869" s="5">
        <f>IFERROR(__xludf.DUMMYFUNCTION("""COMPUTED_VALUE"""),1.0)</f>
        <v>1</v>
      </c>
    </row>
    <row r="2870">
      <c r="A2870" s="10" t="str">
        <f>IFERROR(__xludf.DUMMYFUNCTION("""COMPUTED_VALUE"""),"Alfheim")</f>
        <v>Alfheim</v>
      </c>
      <c r="B2870" s="10">
        <f>IFERROR(__xludf.DUMMYFUNCTION("""COMPUTED_VALUE"""),112.0)</f>
        <v>112</v>
      </c>
      <c r="C2870" s="10">
        <f>IFERROR(__xludf.DUMMYFUNCTION("""COMPUTED_VALUE"""),1315.0)</f>
        <v>1315</v>
      </c>
      <c r="D2870" s="5">
        <f>IFERROR(__xludf.DUMMYFUNCTION("""COMPUTED_VALUE"""),0.33832086450540316)</f>
        <v>0.3383208645</v>
      </c>
      <c r="E2870" s="5">
        <f>IFERROR(__xludf.DUMMYFUNCTION("""COMPUTED_VALUE"""),0.12718204488778054)</f>
        <v>0.1271820449</v>
      </c>
      <c r="F2870" s="5">
        <f>IFERROR(__xludf.DUMMYFUNCTION("""COMPUTED_VALUE"""),0.2111388196176226)</f>
        <v>0.2111388196</v>
      </c>
      <c r="G2870" s="5">
        <f>IFERROR(__xludf.DUMMYFUNCTION("""COMPUTED_VALUE"""),0.1862011637572735)</f>
        <v>0.1862011638</v>
      </c>
      <c r="H2870" s="5">
        <f>IFERROR(__xludf.DUMMYFUNCTION("""COMPUTED_VALUE"""),0.5905511811023622)</f>
        <v>0.5905511811</v>
      </c>
      <c r="I2870" s="11">
        <f>IFERROR(__xludf.DUMMYFUNCTION("""COMPUTED_VALUE"""),5623.228346456693)</f>
        <v>5623.228346</v>
      </c>
      <c r="J2870" s="10">
        <f>IFERROR(__xludf.DUMMYFUNCTION("""COMPUTED_VALUE"""),1.0)</f>
        <v>1</v>
      </c>
      <c r="K2870" s="5">
        <f>IFERROR(__xludf.DUMMYFUNCTION("""COMPUTED_VALUE"""),0.008928571428571428)</f>
        <v>0.008928571429</v>
      </c>
      <c r="L2870" s="10">
        <f>IFERROR(__xludf.DUMMYFUNCTION("""COMPUTED_VALUE"""),112.0)</f>
        <v>112</v>
      </c>
      <c r="M2870" s="5">
        <f>IFERROR(__xludf.DUMMYFUNCTION("""COMPUTED_VALUE"""),1.0)</f>
        <v>1</v>
      </c>
    </row>
    <row r="2871">
      <c r="A2871" s="10" t="str">
        <f>IFERROR(__xludf.DUMMYFUNCTION("""COMPUTED_VALUE"""),"がる")</f>
        <v>がる</v>
      </c>
      <c r="B2871" s="10">
        <f>IFERROR(__xludf.DUMMYFUNCTION("""COMPUTED_VALUE"""),502.0)</f>
        <v>502</v>
      </c>
      <c r="C2871" s="10">
        <f>IFERROR(__xludf.DUMMYFUNCTION("""COMPUTED_VALUE"""),6006.0)</f>
        <v>6006</v>
      </c>
      <c r="D2871" s="5">
        <f>IFERROR(__xludf.DUMMYFUNCTION("""COMPUTED_VALUE"""),0.30214389534883723)</f>
        <v>0.3021438953</v>
      </c>
      <c r="E2871" s="5">
        <f>IFERROR(__xludf.DUMMYFUNCTION("""COMPUTED_VALUE"""),0.12718023255813954)</f>
        <v>0.1271802326</v>
      </c>
      <c r="F2871" s="5">
        <f>IFERROR(__xludf.DUMMYFUNCTION("""COMPUTED_VALUE"""),0.19585755813953487)</f>
        <v>0.1958575581</v>
      </c>
      <c r="G2871" s="5">
        <f>IFERROR(__xludf.DUMMYFUNCTION("""COMPUTED_VALUE"""),0.13517441860465115)</f>
        <v>0.1351744186</v>
      </c>
      <c r="H2871" s="5">
        <f>IFERROR(__xludf.DUMMYFUNCTION("""COMPUTED_VALUE"""),0.6196660482374768)</f>
        <v>0.6196660482</v>
      </c>
      <c r="I2871" s="11">
        <f>IFERROR(__xludf.DUMMYFUNCTION("""COMPUTED_VALUE"""),5579.035250463822)</f>
        <v>5579.03525</v>
      </c>
      <c r="J2871" s="10">
        <f>IFERROR(__xludf.DUMMYFUNCTION("""COMPUTED_VALUE"""),1.0)</f>
        <v>1</v>
      </c>
      <c r="K2871" s="5">
        <f>IFERROR(__xludf.DUMMYFUNCTION("""COMPUTED_VALUE"""),0.00199203187250996)</f>
        <v>0.001992031873</v>
      </c>
      <c r="L2871" s="10">
        <f>IFERROR(__xludf.DUMMYFUNCTION("""COMPUTED_VALUE"""),502.0)</f>
        <v>502</v>
      </c>
      <c r="M2871" s="5">
        <f>IFERROR(__xludf.DUMMYFUNCTION("""COMPUTED_VALUE"""),1.0)</f>
        <v>1</v>
      </c>
    </row>
    <row r="2872">
      <c r="A2872" s="10" t="str">
        <f>IFERROR(__xludf.DUMMYFUNCTION("""COMPUTED_VALUE"""),"CHRONUS")</f>
        <v>CHRONUS</v>
      </c>
      <c r="B2872" s="10">
        <f>IFERROR(__xludf.DUMMYFUNCTION("""COMPUTED_VALUE"""),393.0)</f>
        <v>393</v>
      </c>
      <c r="C2872" s="10">
        <f>IFERROR(__xludf.DUMMYFUNCTION("""COMPUTED_VALUE"""),4647.0)</f>
        <v>4647</v>
      </c>
      <c r="D2872" s="5">
        <f>IFERROR(__xludf.DUMMYFUNCTION("""COMPUTED_VALUE"""),0.40479548660084624)</f>
        <v>0.4047954866</v>
      </c>
      <c r="E2872" s="5">
        <f>IFERROR(__xludf.DUMMYFUNCTION("""COMPUTED_VALUE"""),0.12717442407146215)</f>
        <v>0.1271744241</v>
      </c>
      <c r="F2872" s="5">
        <f>IFERROR(__xludf.DUMMYFUNCTION("""COMPUTED_VALUE"""),0.21180065820404326)</f>
        <v>0.2118006582</v>
      </c>
      <c r="G2872" s="5">
        <f>IFERROR(__xludf.DUMMYFUNCTION("""COMPUTED_VALUE"""),0.15138692994828395)</f>
        <v>0.1513869299</v>
      </c>
      <c r="H2872" s="5">
        <f>IFERROR(__xludf.DUMMYFUNCTION("""COMPUTED_VALUE"""),0.609322974472808)</f>
        <v>0.6093229745</v>
      </c>
      <c r="I2872" s="11">
        <f>IFERROR(__xludf.DUMMYFUNCTION("""COMPUTED_VALUE"""),5646.059933407325)</f>
        <v>5646.059933</v>
      </c>
      <c r="J2872" s="10">
        <f>IFERROR(__xludf.DUMMYFUNCTION("""COMPUTED_VALUE"""),0.0)</f>
        <v>0</v>
      </c>
      <c r="K2872" s="5">
        <f>IFERROR(__xludf.DUMMYFUNCTION("""COMPUTED_VALUE"""),0.0)</f>
        <v>0</v>
      </c>
      <c r="L2872" s="10">
        <f>IFERROR(__xludf.DUMMYFUNCTION("""COMPUTED_VALUE"""),393.0)</f>
        <v>393</v>
      </c>
      <c r="M2872" s="5">
        <f>IFERROR(__xludf.DUMMYFUNCTION("""COMPUTED_VALUE"""),1.0)</f>
        <v>1</v>
      </c>
    </row>
    <row r="2873">
      <c r="A2873" s="10" t="str">
        <f>IFERROR(__xludf.DUMMYFUNCTION("""COMPUTED_VALUE"""),"ocinpopo")</f>
        <v>ocinpopo</v>
      </c>
      <c r="B2873" s="10">
        <f>IFERROR(__xludf.DUMMYFUNCTION("""COMPUTED_VALUE"""),451.0)</f>
        <v>451</v>
      </c>
      <c r="C2873" s="10">
        <f>IFERROR(__xludf.DUMMYFUNCTION("""COMPUTED_VALUE"""),5240.0)</f>
        <v>5240</v>
      </c>
      <c r="D2873" s="5">
        <f>IFERROR(__xludf.DUMMYFUNCTION("""COMPUTED_VALUE"""),0.32073501774900814)</f>
        <v>0.3207350177</v>
      </c>
      <c r="E2873" s="5">
        <f>IFERROR(__xludf.DUMMYFUNCTION("""COMPUTED_VALUE"""),0.1271664230528294)</f>
        <v>0.1271664231</v>
      </c>
      <c r="F2873" s="5">
        <f>IFERROR(__xludf.DUMMYFUNCTION("""COMPUTED_VALUE"""),0.20547087074545833)</f>
        <v>0.2054708707</v>
      </c>
      <c r="G2873" s="5">
        <f>IFERROR(__xludf.DUMMYFUNCTION("""COMPUTED_VALUE"""),0.20651493004802673)</f>
        <v>0.20651493</v>
      </c>
      <c r="H2873" s="5">
        <f>IFERROR(__xludf.DUMMYFUNCTION("""COMPUTED_VALUE"""),0.5741869918699187)</f>
        <v>0.5741869919</v>
      </c>
      <c r="I2873" s="11">
        <f>IFERROR(__xludf.DUMMYFUNCTION("""COMPUTED_VALUE"""),5957.723577235773)</f>
        <v>5957.723577</v>
      </c>
      <c r="J2873" s="10">
        <f>IFERROR(__xludf.DUMMYFUNCTION("""COMPUTED_VALUE"""),0.0)</f>
        <v>0</v>
      </c>
      <c r="K2873" s="5">
        <f>IFERROR(__xludf.DUMMYFUNCTION("""COMPUTED_VALUE"""),0.0)</f>
        <v>0</v>
      </c>
      <c r="L2873" s="10">
        <f>IFERROR(__xludf.DUMMYFUNCTION("""COMPUTED_VALUE"""),1.0)</f>
        <v>1</v>
      </c>
      <c r="M2873" s="5">
        <f>IFERROR(__xludf.DUMMYFUNCTION("""COMPUTED_VALUE"""),0.0022172949002217295)</f>
        <v>0.0022172949</v>
      </c>
    </row>
    <row r="2874">
      <c r="A2874" s="10" t="str">
        <f>IFERROR(__xludf.DUMMYFUNCTION("""COMPUTED_VALUE"""),"たがやす")</f>
        <v>たがやす</v>
      </c>
      <c r="B2874" s="10">
        <f>IFERROR(__xludf.DUMMYFUNCTION("""COMPUTED_VALUE"""),6287.0)</f>
        <v>6287</v>
      </c>
      <c r="C2874" s="10">
        <f>IFERROR(__xludf.DUMMYFUNCTION("""COMPUTED_VALUE"""),73302.0)</f>
        <v>73302</v>
      </c>
      <c r="D2874" s="5">
        <f>IFERROR(__xludf.DUMMYFUNCTION("""COMPUTED_VALUE"""),0.3151682459150936)</f>
        <v>0.3151682459</v>
      </c>
      <c r="E2874" s="5">
        <f>IFERROR(__xludf.DUMMYFUNCTION("""COMPUTED_VALUE"""),0.1271655599492651)</f>
        <v>0.1271655599</v>
      </c>
      <c r="F2874" s="5">
        <f>IFERROR(__xludf.DUMMYFUNCTION("""COMPUTED_VALUE"""),0.2040737148399612)</f>
        <v>0.2040737148</v>
      </c>
      <c r="G2874" s="5">
        <f>IFERROR(__xludf.DUMMYFUNCTION("""COMPUTED_VALUE"""),0.17133477579646347)</f>
        <v>0.1713347758</v>
      </c>
      <c r="H2874" s="5">
        <f>IFERROR(__xludf.DUMMYFUNCTION("""COMPUTED_VALUE"""),0.5933021351272302)</f>
        <v>0.5933021351</v>
      </c>
      <c r="I2874" s="11">
        <f>IFERROR(__xludf.DUMMYFUNCTION("""COMPUTED_VALUE"""),6069.281953787658)</f>
        <v>6069.281954</v>
      </c>
      <c r="J2874" s="10">
        <f>IFERROR(__xludf.DUMMYFUNCTION("""COMPUTED_VALUE"""),20.0)</f>
        <v>20</v>
      </c>
      <c r="K2874" s="5">
        <f>IFERROR(__xludf.DUMMYFUNCTION("""COMPUTED_VALUE"""),0.003181167488468268)</f>
        <v>0.003181167488</v>
      </c>
      <c r="L2874" s="10">
        <f>IFERROR(__xludf.DUMMYFUNCTION("""COMPUTED_VALUE"""),6287.0)</f>
        <v>6287</v>
      </c>
      <c r="M2874" s="5">
        <f>IFERROR(__xludf.DUMMYFUNCTION("""COMPUTED_VALUE"""),1.0)</f>
        <v>1</v>
      </c>
    </row>
    <row r="2875">
      <c r="A2875" s="10" t="str">
        <f>IFERROR(__xludf.DUMMYFUNCTION("""COMPUTED_VALUE"""),"げちぇな04")</f>
        <v>げちぇな04</v>
      </c>
      <c r="B2875" s="10">
        <f>IFERROR(__xludf.DUMMYFUNCTION("""COMPUTED_VALUE"""),1741.0)</f>
        <v>1741</v>
      </c>
      <c r="C2875" s="10">
        <f>IFERROR(__xludf.DUMMYFUNCTION("""COMPUTED_VALUE"""),20331.0)</f>
        <v>20331</v>
      </c>
      <c r="D2875" s="5">
        <f>IFERROR(__xludf.DUMMYFUNCTION("""COMPUTED_VALUE"""),0.30306616460462615)</f>
        <v>0.3030661646</v>
      </c>
      <c r="E2875" s="5">
        <f>IFERROR(__xludf.DUMMYFUNCTION("""COMPUTED_VALUE"""),0.12716514254975794)</f>
        <v>0.1271651425</v>
      </c>
      <c r="F2875" s="5">
        <f>IFERROR(__xludf.DUMMYFUNCTION("""COMPUTED_VALUE"""),0.2031737493275955)</f>
        <v>0.2031737493</v>
      </c>
      <c r="G2875" s="5">
        <f>IFERROR(__xludf.DUMMYFUNCTION("""COMPUTED_VALUE"""),0.18031199569661108)</f>
        <v>0.1803119957</v>
      </c>
      <c r="H2875" s="5">
        <f>IFERROR(__xludf.DUMMYFUNCTION("""COMPUTED_VALUE"""),0.6044479745830024)</f>
        <v>0.6044479746</v>
      </c>
      <c r="I2875" s="11">
        <f>IFERROR(__xludf.DUMMYFUNCTION("""COMPUTED_VALUE"""),5918.215514958963)</f>
        <v>5918.215515</v>
      </c>
      <c r="J2875" s="10">
        <f>IFERROR(__xludf.DUMMYFUNCTION("""COMPUTED_VALUE"""),8.0)</f>
        <v>8</v>
      </c>
      <c r="K2875" s="5">
        <f>IFERROR(__xludf.DUMMYFUNCTION("""COMPUTED_VALUE"""),0.004595060310166571)</f>
        <v>0.00459506031</v>
      </c>
      <c r="L2875" s="10">
        <f>IFERROR(__xludf.DUMMYFUNCTION("""COMPUTED_VALUE"""),1741.0)</f>
        <v>1741</v>
      </c>
      <c r="M2875" s="5">
        <f>IFERROR(__xludf.DUMMYFUNCTION("""COMPUTED_VALUE"""),1.0)</f>
        <v>1</v>
      </c>
    </row>
    <row r="2876">
      <c r="A2876" s="10" t="str">
        <f>IFERROR(__xludf.DUMMYFUNCTION("""COMPUTED_VALUE"""),"旅館屋")</f>
        <v>旅館屋</v>
      </c>
      <c r="B2876" s="10">
        <f>IFERROR(__xludf.DUMMYFUNCTION("""COMPUTED_VALUE"""),843.0)</f>
        <v>843</v>
      </c>
      <c r="C2876" s="10">
        <f>IFERROR(__xludf.DUMMYFUNCTION("""COMPUTED_VALUE"""),9910.0)</f>
        <v>9910</v>
      </c>
      <c r="D2876" s="5">
        <f>IFERROR(__xludf.DUMMYFUNCTION("""COMPUTED_VALUE"""),0.32645858608139405)</f>
        <v>0.3264585861</v>
      </c>
      <c r="E2876" s="5">
        <f>IFERROR(__xludf.DUMMYFUNCTION("""COMPUTED_VALUE"""),0.1271644424837322)</f>
        <v>0.1271644425</v>
      </c>
      <c r="F2876" s="5">
        <f>IFERROR(__xludf.DUMMYFUNCTION("""COMPUTED_VALUE"""),0.19245615970001104)</f>
        <v>0.1924561597</v>
      </c>
      <c r="G2876" s="5">
        <f>IFERROR(__xludf.DUMMYFUNCTION("""COMPUTED_VALUE"""),0.1797728024704974)</f>
        <v>0.1797728025</v>
      </c>
      <c r="H2876" s="5">
        <f>IFERROR(__xludf.DUMMYFUNCTION("""COMPUTED_VALUE"""),0.5873925501432665)</f>
        <v>0.5873925501</v>
      </c>
      <c r="I2876" s="11">
        <f>IFERROR(__xludf.DUMMYFUNCTION("""COMPUTED_VALUE"""),5784.699140401146)</f>
        <v>5784.69914</v>
      </c>
      <c r="J2876" s="10">
        <f>IFERROR(__xludf.DUMMYFUNCTION("""COMPUTED_VALUE"""),1.0)</f>
        <v>1</v>
      </c>
      <c r="K2876" s="5">
        <f>IFERROR(__xludf.DUMMYFUNCTION("""COMPUTED_VALUE"""),0.0011862396204033216)</f>
        <v>0.00118623962</v>
      </c>
      <c r="L2876" s="10">
        <f>IFERROR(__xludf.DUMMYFUNCTION("""COMPUTED_VALUE"""),843.0)</f>
        <v>843</v>
      </c>
      <c r="M2876" s="5">
        <f>IFERROR(__xludf.DUMMYFUNCTION("""COMPUTED_VALUE"""),1.0)</f>
        <v>1</v>
      </c>
    </row>
    <row r="2877">
      <c r="A2877" s="10" t="str">
        <f>IFERROR(__xludf.DUMMYFUNCTION("""COMPUTED_VALUE"""),"＾－＾・・・")</f>
        <v>＾－＾・・・</v>
      </c>
      <c r="B2877" s="10">
        <f>IFERROR(__xludf.DUMMYFUNCTION("""COMPUTED_VALUE"""),225.0)</f>
        <v>225</v>
      </c>
      <c r="C2877" s="10">
        <f>IFERROR(__xludf.DUMMYFUNCTION("""COMPUTED_VALUE"""),2655.0)</f>
        <v>2655</v>
      </c>
      <c r="D2877" s="5">
        <f>IFERROR(__xludf.DUMMYFUNCTION("""COMPUTED_VALUE"""),0.33827160493827163)</f>
        <v>0.3382716049</v>
      </c>
      <c r="E2877" s="5">
        <f>IFERROR(__xludf.DUMMYFUNCTION("""COMPUTED_VALUE"""),0.1271604938271605)</f>
        <v>0.1271604938</v>
      </c>
      <c r="F2877" s="5">
        <f>IFERROR(__xludf.DUMMYFUNCTION("""COMPUTED_VALUE"""),0.2168724279835391)</f>
        <v>0.216872428</v>
      </c>
      <c r="G2877" s="5">
        <f>IFERROR(__xludf.DUMMYFUNCTION("""COMPUTED_VALUE"""),0.16378600823045267)</f>
        <v>0.1637860082</v>
      </c>
      <c r="H2877" s="5">
        <f>IFERROR(__xludf.DUMMYFUNCTION("""COMPUTED_VALUE"""),0.5654648956356736)</f>
        <v>0.5654648956</v>
      </c>
      <c r="I2877" s="11">
        <f>IFERROR(__xludf.DUMMYFUNCTION("""COMPUTED_VALUE"""),5487.855787476281)</f>
        <v>5487.855787</v>
      </c>
      <c r="J2877" s="10">
        <f>IFERROR(__xludf.DUMMYFUNCTION("""COMPUTED_VALUE"""),0.0)</f>
        <v>0</v>
      </c>
      <c r="K2877" s="5">
        <f>IFERROR(__xludf.DUMMYFUNCTION("""COMPUTED_VALUE"""),0.0)</f>
        <v>0</v>
      </c>
      <c r="L2877" s="10">
        <f>IFERROR(__xludf.DUMMYFUNCTION("""COMPUTED_VALUE"""),225.0)</f>
        <v>225</v>
      </c>
      <c r="M2877" s="5">
        <f>IFERROR(__xludf.DUMMYFUNCTION("""COMPUTED_VALUE"""),1.0)</f>
        <v>1</v>
      </c>
    </row>
    <row r="2878">
      <c r="A2878" s="10" t="str">
        <f>IFERROR(__xludf.DUMMYFUNCTION("""COMPUTED_VALUE"""),"愛宕洋榎の弟子")</f>
        <v>愛宕洋榎の弟子</v>
      </c>
      <c r="B2878" s="10">
        <f>IFERROR(__xludf.DUMMYFUNCTION("""COMPUTED_VALUE"""),247.0)</f>
        <v>247</v>
      </c>
      <c r="C2878" s="10">
        <f>IFERROR(__xludf.DUMMYFUNCTION("""COMPUTED_VALUE"""),2858.0)</f>
        <v>2858</v>
      </c>
      <c r="D2878" s="5">
        <f>IFERROR(__xludf.DUMMYFUNCTION("""COMPUTED_VALUE"""),0.353887399463807)</f>
        <v>0.3538873995</v>
      </c>
      <c r="E2878" s="5">
        <f>IFERROR(__xludf.DUMMYFUNCTION("""COMPUTED_VALUE"""),0.1271543469934891)</f>
        <v>0.127154347</v>
      </c>
      <c r="F2878" s="5">
        <f>IFERROR(__xludf.DUMMYFUNCTION("""COMPUTED_VALUE"""),0.21332822673305246)</f>
        <v>0.2133282267</v>
      </c>
      <c r="G2878" s="5">
        <f>IFERROR(__xludf.DUMMYFUNCTION("""COMPUTED_VALUE"""),0.19302949061662197)</f>
        <v>0.1930294906</v>
      </c>
      <c r="H2878" s="5">
        <f>IFERROR(__xludf.DUMMYFUNCTION("""COMPUTED_VALUE"""),0.6319569120287253)</f>
        <v>0.631956912</v>
      </c>
      <c r="I2878" s="11">
        <f>IFERROR(__xludf.DUMMYFUNCTION("""COMPUTED_VALUE"""),5566.606822262119)</f>
        <v>5566.606822</v>
      </c>
      <c r="J2878" s="10">
        <f>IFERROR(__xludf.DUMMYFUNCTION("""COMPUTED_VALUE"""),1.0)</f>
        <v>1</v>
      </c>
      <c r="K2878" s="5">
        <f>IFERROR(__xludf.DUMMYFUNCTION("""COMPUTED_VALUE"""),0.004048582995951417)</f>
        <v>0.004048582996</v>
      </c>
      <c r="L2878" s="10">
        <f>IFERROR(__xludf.DUMMYFUNCTION("""COMPUTED_VALUE"""),246.0)</f>
        <v>246</v>
      </c>
      <c r="M2878" s="5">
        <f>IFERROR(__xludf.DUMMYFUNCTION("""COMPUTED_VALUE"""),0.9959514170040485)</f>
        <v>0.995951417</v>
      </c>
    </row>
    <row r="2879">
      <c r="A2879" s="10" t="str">
        <f>IFERROR(__xludf.DUMMYFUNCTION("""COMPUTED_VALUE"""),"zatto")</f>
        <v>zatto</v>
      </c>
      <c r="B2879" s="10">
        <f>IFERROR(__xludf.DUMMYFUNCTION("""COMPUTED_VALUE"""),787.0)</f>
        <v>787</v>
      </c>
      <c r="C2879" s="10">
        <f>IFERROR(__xludf.DUMMYFUNCTION("""COMPUTED_VALUE"""),9226.0)</f>
        <v>9226</v>
      </c>
      <c r="D2879" s="5">
        <f>IFERROR(__xludf.DUMMYFUNCTION("""COMPUTED_VALUE"""),0.367816091954023)</f>
        <v>0.367816092</v>
      </c>
      <c r="E2879" s="5">
        <f>IFERROR(__xludf.DUMMYFUNCTION("""COMPUTED_VALUE"""),0.12714776632302405)</f>
        <v>0.1271477663</v>
      </c>
      <c r="F2879" s="5">
        <f>IFERROR(__xludf.DUMMYFUNCTION("""COMPUTED_VALUE"""),0.23142552435122646)</f>
        <v>0.2314255244</v>
      </c>
      <c r="G2879" s="5">
        <f>IFERROR(__xludf.DUMMYFUNCTION("""COMPUTED_VALUE"""),0.17051783386657188)</f>
        <v>0.1705178339</v>
      </c>
      <c r="H2879" s="5">
        <f>IFERROR(__xludf.DUMMYFUNCTION("""COMPUTED_VALUE"""),0.5913978494623656)</f>
        <v>0.5913978495</v>
      </c>
      <c r="I2879" s="11">
        <f>IFERROR(__xludf.DUMMYFUNCTION("""COMPUTED_VALUE"""),5255.555555555556)</f>
        <v>5255.555556</v>
      </c>
      <c r="J2879" s="10">
        <f>IFERROR(__xludf.DUMMYFUNCTION("""COMPUTED_VALUE"""),1.0)</f>
        <v>1</v>
      </c>
      <c r="K2879" s="5">
        <f>IFERROR(__xludf.DUMMYFUNCTION("""COMPUTED_VALUE"""),0.0012706480304955528)</f>
        <v>0.00127064803</v>
      </c>
      <c r="L2879" s="10">
        <f>IFERROR(__xludf.DUMMYFUNCTION("""COMPUTED_VALUE"""),787.0)</f>
        <v>787</v>
      </c>
      <c r="M2879" s="5">
        <f>IFERROR(__xludf.DUMMYFUNCTION("""COMPUTED_VALUE"""),1.0)</f>
        <v>1</v>
      </c>
    </row>
    <row r="2880">
      <c r="A2880" s="10" t="str">
        <f>IFERROR(__xludf.DUMMYFUNCTION("""COMPUTED_VALUE"""),"FAIR")</f>
        <v>FAIR</v>
      </c>
      <c r="B2880" s="10">
        <f>IFERROR(__xludf.DUMMYFUNCTION("""COMPUTED_VALUE"""),197.0)</f>
        <v>197</v>
      </c>
      <c r="C2880" s="10">
        <f>IFERROR(__xludf.DUMMYFUNCTION("""COMPUTED_VALUE"""),2352.0)</f>
        <v>2352</v>
      </c>
      <c r="D2880" s="5">
        <f>IFERROR(__xludf.DUMMYFUNCTION("""COMPUTED_VALUE"""),0.3786542923433875)</f>
        <v>0.3786542923</v>
      </c>
      <c r="E2880" s="5">
        <f>IFERROR(__xludf.DUMMYFUNCTION("""COMPUTED_VALUE"""),0.1271461716937355)</f>
        <v>0.1271461717</v>
      </c>
      <c r="F2880" s="5">
        <f>IFERROR(__xludf.DUMMYFUNCTION("""COMPUTED_VALUE"""),0.21160092807424594)</f>
        <v>0.2116009281</v>
      </c>
      <c r="G2880" s="5">
        <f>IFERROR(__xludf.DUMMYFUNCTION("""COMPUTED_VALUE"""),0.16380510440835266)</f>
        <v>0.1638051044</v>
      </c>
      <c r="H2880" s="5">
        <f>IFERROR(__xludf.DUMMYFUNCTION("""COMPUTED_VALUE"""),0.625)</f>
        <v>0.625</v>
      </c>
      <c r="I2880" s="11">
        <f>IFERROR(__xludf.DUMMYFUNCTION("""COMPUTED_VALUE"""),5325.877192982456)</f>
        <v>5325.877193</v>
      </c>
      <c r="J2880" s="10">
        <f>IFERROR(__xludf.DUMMYFUNCTION("""COMPUTED_VALUE"""),1.0)</f>
        <v>1</v>
      </c>
      <c r="K2880" s="5">
        <f>IFERROR(__xludf.DUMMYFUNCTION("""COMPUTED_VALUE"""),0.005076142131979695)</f>
        <v>0.005076142132</v>
      </c>
      <c r="L2880" s="10">
        <f>IFERROR(__xludf.DUMMYFUNCTION("""COMPUTED_VALUE"""),197.0)</f>
        <v>197</v>
      </c>
      <c r="M2880" s="5">
        <f>IFERROR(__xludf.DUMMYFUNCTION("""COMPUTED_VALUE"""),1.0)</f>
        <v>1</v>
      </c>
    </row>
    <row r="2881">
      <c r="A2881" s="10" t="str">
        <f>IFERROR(__xludf.DUMMYFUNCTION("""COMPUTED_VALUE"""),"ケロケロのつえ")</f>
        <v>ケロケロのつえ</v>
      </c>
      <c r="B2881" s="10">
        <f>IFERROR(__xludf.DUMMYFUNCTION("""COMPUTED_VALUE"""),202.0)</f>
        <v>202</v>
      </c>
      <c r="C2881" s="10">
        <f>IFERROR(__xludf.DUMMYFUNCTION("""COMPUTED_VALUE"""),2365.0)</f>
        <v>2365</v>
      </c>
      <c r="D2881" s="5">
        <f>IFERROR(__xludf.DUMMYFUNCTION("""COMPUTED_VALUE"""),0.35043920480813684)</f>
        <v>0.3504392048</v>
      </c>
      <c r="E2881" s="5">
        <f>IFERROR(__xludf.DUMMYFUNCTION("""COMPUTED_VALUE"""),0.12713823393435045)</f>
        <v>0.1271382339</v>
      </c>
      <c r="F2881" s="5">
        <f>IFERROR(__xludf.DUMMYFUNCTION("""COMPUTED_VALUE"""),0.19232547387887194)</f>
        <v>0.1923254739</v>
      </c>
      <c r="G2881" s="5">
        <f>IFERROR(__xludf.DUMMYFUNCTION("""COMPUTED_VALUE"""),0.15210355987055016)</f>
        <v>0.1521035599</v>
      </c>
      <c r="H2881" s="5">
        <f>IFERROR(__xludf.DUMMYFUNCTION("""COMPUTED_VALUE"""),0.6274038461538461)</f>
        <v>0.6274038462</v>
      </c>
      <c r="I2881" s="11">
        <f>IFERROR(__xludf.DUMMYFUNCTION("""COMPUTED_VALUE"""),5435.576923076923)</f>
        <v>5435.576923</v>
      </c>
      <c r="J2881" s="10">
        <f>IFERROR(__xludf.DUMMYFUNCTION("""COMPUTED_VALUE"""),0.0)</f>
        <v>0</v>
      </c>
      <c r="K2881" s="5">
        <f>IFERROR(__xludf.DUMMYFUNCTION("""COMPUTED_VALUE"""),0.0)</f>
        <v>0</v>
      </c>
      <c r="L2881" s="10">
        <f>IFERROR(__xludf.DUMMYFUNCTION("""COMPUTED_VALUE"""),202.0)</f>
        <v>202</v>
      </c>
      <c r="M2881" s="5">
        <f>IFERROR(__xludf.DUMMYFUNCTION("""COMPUTED_VALUE"""),1.0)</f>
        <v>1</v>
      </c>
    </row>
    <row r="2882">
      <c r="A2882" s="10" t="str">
        <f>IFERROR(__xludf.DUMMYFUNCTION("""COMPUTED_VALUE"""),"おりまつ")</f>
        <v>おりまつ</v>
      </c>
      <c r="B2882" s="10">
        <f>IFERROR(__xludf.DUMMYFUNCTION("""COMPUTED_VALUE"""),358.0)</f>
        <v>358</v>
      </c>
      <c r="C2882" s="10">
        <f>IFERROR(__xludf.DUMMYFUNCTION("""COMPUTED_VALUE"""),4110.0)</f>
        <v>4110</v>
      </c>
      <c r="D2882" s="5">
        <f>IFERROR(__xludf.DUMMYFUNCTION("""COMPUTED_VALUE"""),0.2340085287846482)</f>
        <v>0.2340085288</v>
      </c>
      <c r="E2882" s="5">
        <f>IFERROR(__xludf.DUMMYFUNCTION("""COMPUTED_VALUE"""),0.1271321961620469)</f>
        <v>0.1271321962</v>
      </c>
      <c r="F2882" s="5">
        <f>IFERROR(__xludf.DUMMYFUNCTION("""COMPUTED_VALUE"""),0.1892324093816631)</f>
        <v>0.1892324094</v>
      </c>
      <c r="G2882" s="5">
        <f>IFERROR(__xludf.DUMMYFUNCTION("""COMPUTED_VALUE"""),0.1849680170575693)</f>
        <v>0.1849680171</v>
      </c>
      <c r="H2882" s="5">
        <f>IFERROR(__xludf.DUMMYFUNCTION("""COMPUTED_VALUE"""),0.5901408450704225)</f>
        <v>0.5901408451</v>
      </c>
      <c r="I2882" s="11">
        <f>IFERROR(__xludf.DUMMYFUNCTION("""COMPUTED_VALUE"""),6123.661971830986)</f>
        <v>6123.661972</v>
      </c>
      <c r="J2882" s="10">
        <f>IFERROR(__xludf.DUMMYFUNCTION("""COMPUTED_VALUE"""),0.0)</f>
        <v>0</v>
      </c>
      <c r="K2882" s="5">
        <f>IFERROR(__xludf.DUMMYFUNCTION("""COMPUTED_VALUE"""),0.0)</f>
        <v>0</v>
      </c>
      <c r="L2882" s="10">
        <f>IFERROR(__xludf.DUMMYFUNCTION("""COMPUTED_VALUE"""),358.0)</f>
        <v>358</v>
      </c>
      <c r="M2882" s="5">
        <f>IFERROR(__xludf.DUMMYFUNCTION("""COMPUTED_VALUE"""),1.0)</f>
        <v>1</v>
      </c>
    </row>
    <row r="2883">
      <c r="A2883" s="10" t="str">
        <f>IFERROR(__xludf.DUMMYFUNCTION("""COMPUTED_VALUE"""),"万能ねぎ")</f>
        <v>万能ねぎ</v>
      </c>
      <c r="B2883" s="10">
        <f>IFERROR(__xludf.DUMMYFUNCTION("""COMPUTED_VALUE"""),234.0)</f>
        <v>234</v>
      </c>
      <c r="C2883" s="10">
        <f>IFERROR(__xludf.DUMMYFUNCTION("""COMPUTED_VALUE"""),2704.0)</f>
        <v>2704</v>
      </c>
      <c r="D2883" s="5">
        <f>IFERROR(__xludf.DUMMYFUNCTION("""COMPUTED_VALUE"""),0.35910931174089067)</f>
        <v>0.3591093117</v>
      </c>
      <c r="E2883" s="5">
        <f>IFERROR(__xludf.DUMMYFUNCTION("""COMPUTED_VALUE"""),0.12712550607287448)</f>
        <v>0.1271255061</v>
      </c>
      <c r="F2883" s="5">
        <f>IFERROR(__xludf.DUMMYFUNCTION("""COMPUTED_VALUE"""),0.20809716599190284)</f>
        <v>0.208097166</v>
      </c>
      <c r="G2883" s="5">
        <f>IFERROR(__xludf.DUMMYFUNCTION("""COMPUTED_VALUE"""),0.15263157894736842)</f>
        <v>0.1526315789</v>
      </c>
      <c r="H2883" s="5">
        <f>IFERROR(__xludf.DUMMYFUNCTION("""COMPUTED_VALUE"""),0.6264591439688716)</f>
        <v>0.626459144</v>
      </c>
      <c r="I2883" s="11">
        <f>IFERROR(__xludf.DUMMYFUNCTION("""COMPUTED_VALUE"""),5672.95719844358)</f>
        <v>5672.957198</v>
      </c>
      <c r="J2883" s="10">
        <f>IFERROR(__xludf.DUMMYFUNCTION("""COMPUTED_VALUE"""),1.0)</f>
        <v>1</v>
      </c>
      <c r="K2883" s="5">
        <f>IFERROR(__xludf.DUMMYFUNCTION("""COMPUTED_VALUE"""),0.004273504273504274)</f>
        <v>0.004273504274</v>
      </c>
      <c r="L2883" s="10">
        <f>IFERROR(__xludf.DUMMYFUNCTION("""COMPUTED_VALUE"""),234.0)</f>
        <v>234</v>
      </c>
      <c r="M2883" s="5">
        <f>IFERROR(__xludf.DUMMYFUNCTION("""COMPUTED_VALUE"""),1.0)</f>
        <v>1</v>
      </c>
    </row>
    <row r="2884">
      <c r="A2884" s="10" t="str">
        <f>IFERROR(__xludf.DUMMYFUNCTION("""COMPUTED_VALUE"""),"性天使")</f>
        <v>性天使</v>
      </c>
      <c r="B2884" s="10">
        <f>IFERROR(__xludf.DUMMYFUNCTION("""COMPUTED_VALUE"""),1305.0)</f>
        <v>1305</v>
      </c>
      <c r="C2884" s="10">
        <f>IFERROR(__xludf.DUMMYFUNCTION("""COMPUTED_VALUE"""),15457.0)</f>
        <v>15457</v>
      </c>
      <c r="D2884" s="5">
        <f>IFERROR(__xludf.DUMMYFUNCTION("""COMPUTED_VALUE"""),0.33189655172413796)</f>
        <v>0.3318965517</v>
      </c>
      <c r="E2884" s="5">
        <f>IFERROR(__xludf.DUMMYFUNCTION("""COMPUTED_VALUE"""),0.12711984171848503)</f>
        <v>0.1271198417</v>
      </c>
      <c r="F2884" s="5">
        <f>IFERROR(__xludf.DUMMYFUNCTION("""COMPUTED_VALUE"""),0.2155879027699265)</f>
        <v>0.2155879028</v>
      </c>
      <c r="G2884" s="5">
        <f>IFERROR(__xludf.DUMMYFUNCTION("""COMPUTED_VALUE"""),0.17198982475975128)</f>
        <v>0.1719898248</v>
      </c>
      <c r="H2884" s="5">
        <f>IFERROR(__xludf.DUMMYFUNCTION("""COMPUTED_VALUE"""),0.5804654211733857)</f>
        <v>0.5804654212</v>
      </c>
      <c r="I2884" s="11">
        <f>IFERROR(__xludf.DUMMYFUNCTION("""COMPUTED_VALUE"""),5707.8007210750575)</f>
        <v>5707.800721</v>
      </c>
      <c r="J2884" s="10">
        <f>IFERROR(__xludf.DUMMYFUNCTION("""COMPUTED_VALUE"""),4.0)</f>
        <v>4</v>
      </c>
      <c r="K2884" s="5">
        <f>IFERROR(__xludf.DUMMYFUNCTION("""COMPUTED_VALUE"""),0.0030651340996168583)</f>
        <v>0.0030651341</v>
      </c>
      <c r="L2884" s="10">
        <f>IFERROR(__xludf.DUMMYFUNCTION("""COMPUTED_VALUE"""),1303.0)</f>
        <v>1303</v>
      </c>
      <c r="M2884" s="5">
        <f>IFERROR(__xludf.DUMMYFUNCTION("""COMPUTED_VALUE"""),0.9984674329501916)</f>
        <v>0.998467433</v>
      </c>
    </row>
    <row r="2885">
      <c r="A2885" s="10" t="str">
        <f>IFERROR(__xludf.DUMMYFUNCTION("""COMPUTED_VALUE"""),"ショーター")</f>
        <v>ショーター</v>
      </c>
      <c r="B2885" s="10">
        <f>IFERROR(__xludf.DUMMYFUNCTION("""COMPUTED_VALUE"""),309.0)</f>
        <v>309</v>
      </c>
      <c r="C2885" s="10">
        <f>IFERROR(__xludf.DUMMYFUNCTION("""COMPUTED_VALUE"""),3676.0)</f>
        <v>3676</v>
      </c>
      <c r="D2885" s="5">
        <f>IFERROR(__xludf.DUMMYFUNCTION("""COMPUTED_VALUE"""),0.27116127116127114)</f>
        <v>0.2711612712</v>
      </c>
      <c r="E2885" s="5">
        <f>IFERROR(__xludf.DUMMYFUNCTION("""COMPUTED_VALUE"""),0.1271161271161271)</f>
        <v>0.1271161271</v>
      </c>
      <c r="F2885" s="5">
        <f>IFERROR(__xludf.DUMMYFUNCTION("""COMPUTED_VALUE"""),0.1782001782001782)</f>
        <v>0.1782001782</v>
      </c>
      <c r="G2885" s="5">
        <f>IFERROR(__xludf.DUMMYFUNCTION("""COMPUTED_VALUE"""),0.18681318681318682)</f>
        <v>0.1868131868</v>
      </c>
      <c r="H2885" s="5">
        <f>IFERROR(__xludf.DUMMYFUNCTION("""COMPUTED_VALUE"""),0.575)</f>
        <v>0.575</v>
      </c>
      <c r="I2885" s="11">
        <f>IFERROR(__xludf.DUMMYFUNCTION("""COMPUTED_VALUE"""),6034.833333333333)</f>
        <v>6034.833333</v>
      </c>
      <c r="J2885" s="10">
        <f>IFERROR(__xludf.DUMMYFUNCTION("""COMPUTED_VALUE"""),2.0)</f>
        <v>2</v>
      </c>
      <c r="K2885" s="5">
        <f>IFERROR(__xludf.DUMMYFUNCTION("""COMPUTED_VALUE"""),0.006472491909385114)</f>
        <v>0.006472491909</v>
      </c>
      <c r="L2885" s="10">
        <f>IFERROR(__xludf.DUMMYFUNCTION("""COMPUTED_VALUE"""),15.0)</f>
        <v>15</v>
      </c>
      <c r="M2885" s="5">
        <f>IFERROR(__xludf.DUMMYFUNCTION("""COMPUTED_VALUE"""),0.04854368932038835)</f>
        <v>0.04854368932</v>
      </c>
    </row>
    <row r="2886">
      <c r="A2886" s="10" t="str">
        <f>IFERROR(__xludf.DUMMYFUNCTION("""COMPUTED_VALUE"""),"ろん２")</f>
        <v>ろん２</v>
      </c>
      <c r="B2886" s="10">
        <f>IFERROR(__xludf.DUMMYFUNCTION("""COMPUTED_VALUE"""),906.0)</f>
        <v>906</v>
      </c>
      <c r="C2886" s="10">
        <f>IFERROR(__xludf.DUMMYFUNCTION("""COMPUTED_VALUE"""),10606.0)</f>
        <v>10606</v>
      </c>
      <c r="D2886" s="5">
        <f>IFERROR(__xludf.DUMMYFUNCTION("""COMPUTED_VALUE"""),0.368659793814433)</f>
        <v>0.3686597938</v>
      </c>
      <c r="E2886" s="5">
        <f>IFERROR(__xludf.DUMMYFUNCTION("""COMPUTED_VALUE"""),0.12711340206185567)</f>
        <v>0.1271134021</v>
      </c>
      <c r="F2886" s="5">
        <f>IFERROR(__xludf.DUMMYFUNCTION("""COMPUTED_VALUE"""),0.20649484536082474)</f>
        <v>0.2064948454</v>
      </c>
      <c r="G2886" s="5">
        <f>IFERROR(__xludf.DUMMYFUNCTION("""COMPUTED_VALUE"""),0.1865979381443299)</f>
        <v>0.1865979381</v>
      </c>
      <c r="H2886" s="5">
        <f>IFERROR(__xludf.DUMMYFUNCTION("""COMPUTED_VALUE"""),0.5911133300049926)</f>
        <v>0.59111333</v>
      </c>
      <c r="I2886" s="11">
        <f>IFERROR(__xludf.DUMMYFUNCTION("""COMPUTED_VALUE"""),5890.564153769346)</f>
        <v>5890.564154</v>
      </c>
      <c r="J2886" s="10">
        <f>IFERROR(__xludf.DUMMYFUNCTION("""COMPUTED_VALUE"""),1.0)</f>
        <v>1</v>
      </c>
      <c r="K2886" s="5">
        <f>IFERROR(__xludf.DUMMYFUNCTION("""COMPUTED_VALUE"""),0.0011037527593818985)</f>
        <v>0.001103752759</v>
      </c>
      <c r="L2886" s="10">
        <f>IFERROR(__xludf.DUMMYFUNCTION("""COMPUTED_VALUE"""),897.0)</f>
        <v>897</v>
      </c>
      <c r="M2886" s="5">
        <f>IFERROR(__xludf.DUMMYFUNCTION("""COMPUTED_VALUE"""),0.9900662251655629)</f>
        <v>0.9900662252</v>
      </c>
    </row>
    <row r="2887">
      <c r="A2887" s="10" t="str">
        <f>IFERROR(__xludf.DUMMYFUNCTION("""COMPUTED_VALUE"""),"かにかまハサミ")</f>
        <v>かにかまハサミ</v>
      </c>
      <c r="B2887" s="10">
        <f>IFERROR(__xludf.DUMMYFUNCTION("""COMPUTED_VALUE"""),549.0)</f>
        <v>549</v>
      </c>
      <c r="C2887" s="10">
        <f>IFERROR(__xludf.DUMMYFUNCTION("""COMPUTED_VALUE"""),6371.0)</f>
        <v>6371</v>
      </c>
      <c r="D2887" s="5">
        <f>IFERROR(__xludf.DUMMYFUNCTION("""COMPUTED_VALUE"""),0.30590862246650635)</f>
        <v>0.3059086225</v>
      </c>
      <c r="E2887" s="5">
        <f>IFERROR(__xludf.DUMMYFUNCTION("""COMPUTED_VALUE"""),0.12710408794228786)</f>
        <v>0.1271040879</v>
      </c>
      <c r="F2887" s="5">
        <f>IFERROR(__xludf.DUMMYFUNCTION("""COMPUTED_VALUE"""),0.19374785297148747)</f>
        <v>0.193747853</v>
      </c>
      <c r="G2887" s="5">
        <f>IFERROR(__xludf.DUMMYFUNCTION("""COMPUTED_VALUE"""),0.18790793541738235)</f>
        <v>0.1879079354</v>
      </c>
      <c r="H2887" s="5">
        <f>IFERROR(__xludf.DUMMYFUNCTION("""COMPUTED_VALUE"""),0.600177304964539)</f>
        <v>0.600177305</v>
      </c>
      <c r="I2887" s="11">
        <f>IFERROR(__xludf.DUMMYFUNCTION("""COMPUTED_VALUE"""),5844.858156028369)</f>
        <v>5844.858156</v>
      </c>
      <c r="J2887" s="10">
        <f>IFERROR(__xludf.DUMMYFUNCTION("""COMPUTED_VALUE"""),0.0)</f>
        <v>0</v>
      </c>
      <c r="K2887" s="5">
        <f>IFERROR(__xludf.DUMMYFUNCTION("""COMPUTED_VALUE"""),0.0)</f>
        <v>0</v>
      </c>
      <c r="L2887" s="10">
        <f>IFERROR(__xludf.DUMMYFUNCTION("""COMPUTED_VALUE"""),549.0)</f>
        <v>549</v>
      </c>
      <c r="M2887" s="5">
        <f>IFERROR(__xludf.DUMMYFUNCTION("""COMPUTED_VALUE"""),1.0)</f>
        <v>1</v>
      </c>
    </row>
    <row r="2888">
      <c r="A2888" s="10" t="str">
        <f>IFERROR(__xludf.DUMMYFUNCTION("""COMPUTED_VALUE"""),"go-kun")</f>
        <v>go-kun</v>
      </c>
      <c r="B2888" s="10">
        <f>IFERROR(__xludf.DUMMYFUNCTION("""COMPUTED_VALUE"""),600.0)</f>
        <v>600</v>
      </c>
      <c r="C2888" s="10">
        <f>IFERROR(__xludf.DUMMYFUNCTION("""COMPUTED_VALUE"""),7083.0)</f>
        <v>7083</v>
      </c>
      <c r="D2888" s="5">
        <f>IFERROR(__xludf.DUMMYFUNCTION("""COMPUTED_VALUE"""),0.33472157951565634)</f>
        <v>0.3347215795</v>
      </c>
      <c r="E2888" s="5">
        <f>IFERROR(__xludf.DUMMYFUNCTION("""COMPUTED_VALUE"""),0.1271016504704612)</f>
        <v>0.1271016505</v>
      </c>
      <c r="F2888" s="5">
        <f>IFERROR(__xludf.DUMMYFUNCTION("""COMPUTED_VALUE"""),0.20484343668054913)</f>
        <v>0.2048434367</v>
      </c>
      <c r="G2888" s="5">
        <f>IFERROR(__xludf.DUMMYFUNCTION("""COMPUTED_VALUE"""),0.17954650624710783)</f>
        <v>0.1795465062</v>
      </c>
      <c r="H2888" s="5">
        <f>IFERROR(__xludf.DUMMYFUNCTION("""COMPUTED_VALUE"""),0.6001506024096386)</f>
        <v>0.6001506024</v>
      </c>
      <c r="I2888" s="11">
        <f>IFERROR(__xludf.DUMMYFUNCTION("""COMPUTED_VALUE"""),5989.307228915663)</f>
        <v>5989.307229</v>
      </c>
      <c r="J2888" s="10">
        <f>IFERROR(__xludf.DUMMYFUNCTION("""COMPUTED_VALUE"""),0.0)</f>
        <v>0</v>
      </c>
      <c r="K2888" s="5">
        <f>IFERROR(__xludf.DUMMYFUNCTION("""COMPUTED_VALUE"""),0.0)</f>
        <v>0</v>
      </c>
      <c r="L2888" s="10">
        <f>IFERROR(__xludf.DUMMYFUNCTION("""COMPUTED_VALUE"""),600.0)</f>
        <v>600</v>
      </c>
      <c r="M2888" s="5">
        <f>IFERROR(__xludf.DUMMYFUNCTION("""COMPUTED_VALUE"""),1.0)</f>
        <v>1</v>
      </c>
    </row>
    <row r="2889">
      <c r="A2889" s="10" t="str">
        <f>IFERROR(__xludf.DUMMYFUNCTION("""COMPUTED_VALUE"""),"~無風~")</f>
        <v>~無風~</v>
      </c>
      <c r="B2889" s="10">
        <f>IFERROR(__xludf.DUMMYFUNCTION("""COMPUTED_VALUE"""),122.0)</f>
        <v>122</v>
      </c>
      <c r="C2889" s="10">
        <f>IFERROR(__xludf.DUMMYFUNCTION("""COMPUTED_VALUE"""),1491.0)</f>
        <v>1491</v>
      </c>
      <c r="D2889" s="5">
        <f>IFERROR(__xludf.DUMMYFUNCTION("""COMPUTED_VALUE"""),0.25639152666179693)</f>
        <v>0.2563915267</v>
      </c>
      <c r="E2889" s="5">
        <f>IFERROR(__xludf.DUMMYFUNCTION("""COMPUTED_VALUE"""),0.127100073046019)</f>
        <v>0.127100073</v>
      </c>
      <c r="F2889" s="5">
        <f>IFERROR(__xludf.DUMMYFUNCTION("""COMPUTED_VALUE"""),0.18407596785975164)</f>
        <v>0.1840759679</v>
      </c>
      <c r="G2889" s="5">
        <f>IFERROR(__xludf.DUMMYFUNCTION("""COMPUTED_VALUE"""),0.17384952520087654)</f>
        <v>0.1738495252</v>
      </c>
      <c r="H2889" s="5">
        <f>IFERROR(__xludf.DUMMYFUNCTION("""COMPUTED_VALUE"""),0.5595238095238095)</f>
        <v>0.5595238095</v>
      </c>
      <c r="I2889" s="11">
        <f>IFERROR(__xludf.DUMMYFUNCTION("""COMPUTED_VALUE"""),5819.444444444444)</f>
        <v>5819.444444</v>
      </c>
      <c r="J2889" s="10">
        <f>IFERROR(__xludf.DUMMYFUNCTION("""COMPUTED_VALUE"""),1.0)</f>
        <v>1</v>
      </c>
      <c r="K2889" s="5">
        <f>IFERROR(__xludf.DUMMYFUNCTION("""COMPUTED_VALUE"""),0.00819672131147541)</f>
        <v>0.008196721311</v>
      </c>
      <c r="L2889" s="10">
        <f>IFERROR(__xludf.DUMMYFUNCTION("""COMPUTED_VALUE"""),122.0)</f>
        <v>122</v>
      </c>
      <c r="M2889" s="5">
        <f>IFERROR(__xludf.DUMMYFUNCTION("""COMPUTED_VALUE"""),1.0)</f>
        <v>1</v>
      </c>
    </row>
    <row r="2890">
      <c r="A2890" s="10" t="str">
        <f>IFERROR(__xludf.DUMMYFUNCTION("""COMPUTED_VALUE"""),"yafuten")</f>
        <v>yafuten</v>
      </c>
      <c r="B2890" s="10">
        <f>IFERROR(__xludf.DUMMYFUNCTION("""COMPUTED_VALUE"""),437.0)</f>
        <v>437</v>
      </c>
      <c r="C2890" s="10">
        <f>IFERROR(__xludf.DUMMYFUNCTION("""COMPUTED_VALUE"""),5205.0)</f>
        <v>5205</v>
      </c>
      <c r="D2890" s="5">
        <f>IFERROR(__xludf.DUMMYFUNCTION("""COMPUTED_VALUE"""),0.3378775167785235)</f>
        <v>0.3378775168</v>
      </c>
      <c r="E2890" s="5">
        <f>IFERROR(__xludf.DUMMYFUNCTION("""COMPUTED_VALUE"""),0.12709731543624161)</f>
        <v>0.1270973154</v>
      </c>
      <c r="F2890" s="5">
        <f>IFERROR(__xludf.DUMMYFUNCTION("""COMPUTED_VALUE"""),0.21895973154362416)</f>
        <v>0.2189597315</v>
      </c>
      <c r="G2890" s="5">
        <f>IFERROR(__xludf.DUMMYFUNCTION("""COMPUTED_VALUE"""),0.17365771812080538)</f>
        <v>0.1736577181</v>
      </c>
      <c r="H2890" s="5">
        <f>IFERROR(__xludf.DUMMYFUNCTION("""COMPUTED_VALUE"""),0.6024904214559387)</f>
        <v>0.6024904215</v>
      </c>
      <c r="I2890" s="11">
        <f>IFERROR(__xludf.DUMMYFUNCTION("""COMPUTED_VALUE"""),5125.9578544061305)</f>
        <v>5125.957854</v>
      </c>
      <c r="J2890" s="10">
        <f>IFERROR(__xludf.DUMMYFUNCTION("""COMPUTED_VALUE"""),0.0)</f>
        <v>0</v>
      </c>
      <c r="K2890" s="5">
        <f>IFERROR(__xludf.DUMMYFUNCTION("""COMPUTED_VALUE"""),0.0)</f>
        <v>0</v>
      </c>
      <c r="L2890" s="10">
        <f>IFERROR(__xludf.DUMMYFUNCTION("""COMPUTED_VALUE"""),437.0)</f>
        <v>437</v>
      </c>
      <c r="M2890" s="5">
        <f>IFERROR(__xludf.DUMMYFUNCTION("""COMPUTED_VALUE"""),1.0)</f>
        <v>1</v>
      </c>
    </row>
    <row r="2891">
      <c r="A2891" s="10" t="str">
        <f>IFERROR(__xludf.DUMMYFUNCTION("""COMPUTED_VALUE"""),"Rororina")</f>
        <v>Rororina</v>
      </c>
      <c r="B2891" s="10">
        <f>IFERROR(__xludf.DUMMYFUNCTION("""COMPUTED_VALUE"""),275.0)</f>
        <v>275</v>
      </c>
      <c r="C2891" s="10">
        <f>IFERROR(__xludf.DUMMYFUNCTION("""COMPUTED_VALUE"""),3273.0)</f>
        <v>3273</v>
      </c>
      <c r="D2891" s="5">
        <f>IFERROR(__xludf.DUMMYFUNCTION("""COMPUTED_VALUE"""),0.32821881254169444)</f>
        <v>0.3282188125</v>
      </c>
      <c r="E2891" s="5">
        <f>IFERROR(__xludf.DUMMYFUNCTION("""COMPUTED_VALUE"""),0.12708472314876584)</f>
        <v>0.1270847231</v>
      </c>
      <c r="F2891" s="5">
        <f>IFERROR(__xludf.DUMMYFUNCTION("""COMPUTED_VALUE"""),0.20446964643095397)</f>
        <v>0.2044696464</v>
      </c>
      <c r="G2891" s="5">
        <f>IFERROR(__xludf.DUMMYFUNCTION("""COMPUTED_VALUE"""),0.15677118078719146)</f>
        <v>0.1567711808</v>
      </c>
      <c r="H2891" s="5">
        <f>IFERROR(__xludf.DUMMYFUNCTION("""COMPUTED_VALUE"""),0.5856443719412724)</f>
        <v>0.5856443719</v>
      </c>
      <c r="I2891" s="11">
        <f>IFERROR(__xludf.DUMMYFUNCTION("""COMPUTED_VALUE"""),5654.812398042414)</f>
        <v>5654.812398</v>
      </c>
      <c r="J2891" s="10">
        <f>IFERROR(__xludf.DUMMYFUNCTION("""COMPUTED_VALUE"""),0.0)</f>
        <v>0</v>
      </c>
      <c r="K2891" s="5">
        <f>IFERROR(__xludf.DUMMYFUNCTION("""COMPUTED_VALUE"""),0.0)</f>
        <v>0</v>
      </c>
      <c r="L2891" s="10">
        <f>IFERROR(__xludf.DUMMYFUNCTION("""COMPUTED_VALUE"""),0.0)</f>
        <v>0</v>
      </c>
      <c r="M2891" s="5">
        <f>IFERROR(__xludf.DUMMYFUNCTION("""COMPUTED_VALUE"""),0.0)</f>
        <v>0</v>
      </c>
    </row>
    <row r="2892">
      <c r="A2892" s="10" t="str">
        <f>IFERROR(__xludf.DUMMYFUNCTION("""COMPUTED_VALUE"""),"パッセン改")</f>
        <v>パッセン改</v>
      </c>
      <c r="B2892" s="10">
        <f>IFERROR(__xludf.DUMMYFUNCTION("""COMPUTED_VALUE"""),670.0)</f>
        <v>670</v>
      </c>
      <c r="C2892" s="10">
        <f>IFERROR(__xludf.DUMMYFUNCTION("""COMPUTED_VALUE"""),7886.0)</f>
        <v>7886</v>
      </c>
      <c r="D2892" s="5">
        <f>IFERROR(__xludf.DUMMYFUNCTION("""COMPUTED_VALUE"""),0.37416851441241683)</f>
        <v>0.3741685144</v>
      </c>
      <c r="E2892" s="5">
        <f>IFERROR(__xludf.DUMMYFUNCTION("""COMPUTED_VALUE"""),0.12707871396895787)</f>
        <v>0.127078714</v>
      </c>
      <c r="F2892" s="5">
        <f>IFERROR(__xludf.DUMMYFUNCTION("""COMPUTED_VALUE"""),0.2106430155210643)</f>
        <v>0.2106430155</v>
      </c>
      <c r="G2892" s="5">
        <f>IFERROR(__xludf.DUMMYFUNCTION("""COMPUTED_VALUE"""),0.11862527716186252)</f>
        <v>0.1186252772</v>
      </c>
      <c r="H2892" s="5">
        <f>IFERROR(__xludf.DUMMYFUNCTION("""COMPUTED_VALUE"""),0.6039473684210527)</f>
        <v>0.6039473684</v>
      </c>
      <c r="I2892" s="11">
        <f>IFERROR(__xludf.DUMMYFUNCTION("""COMPUTED_VALUE"""),5274.605263157895)</f>
        <v>5274.605263</v>
      </c>
      <c r="J2892" s="10">
        <f>IFERROR(__xludf.DUMMYFUNCTION("""COMPUTED_VALUE"""),1.0)</f>
        <v>1</v>
      </c>
      <c r="K2892" s="5">
        <f>IFERROR(__xludf.DUMMYFUNCTION("""COMPUTED_VALUE"""),0.0014925373134328358)</f>
        <v>0.001492537313</v>
      </c>
      <c r="L2892" s="10">
        <f>IFERROR(__xludf.DUMMYFUNCTION("""COMPUTED_VALUE"""),670.0)</f>
        <v>670</v>
      </c>
      <c r="M2892" s="5">
        <f>IFERROR(__xludf.DUMMYFUNCTION("""COMPUTED_VALUE"""),1.0)</f>
        <v>1</v>
      </c>
    </row>
    <row r="2893">
      <c r="A2893" s="10" t="str">
        <f>IFERROR(__xludf.DUMMYFUNCTION("""COMPUTED_VALUE"""),"終電")</f>
        <v>終電</v>
      </c>
      <c r="B2893" s="10">
        <f>IFERROR(__xludf.DUMMYFUNCTION("""COMPUTED_VALUE"""),473.0)</f>
        <v>473</v>
      </c>
      <c r="C2893" s="10">
        <f>IFERROR(__xludf.DUMMYFUNCTION("""COMPUTED_VALUE"""),5604.0)</f>
        <v>5604</v>
      </c>
      <c r="D2893" s="5">
        <f>IFERROR(__xludf.DUMMYFUNCTION("""COMPUTED_VALUE"""),0.3383356070941337)</f>
        <v>0.3383356071</v>
      </c>
      <c r="E2893" s="5">
        <f>IFERROR(__xludf.DUMMYFUNCTION("""COMPUTED_VALUE"""),0.12707074644318847)</f>
        <v>0.1270707464</v>
      </c>
      <c r="F2893" s="5">
        <f>IFERROR(__xludf.DUMMYFUNCTION("""COMPUTED_VALUE"""),0.2163320990060417)</f>
        <v>0.216332099</v>
      </c>
      <c r="G2893" s="5">
        <f>IFERROR(__xludf.DUMMYFUNCTION("""COMPUTED_VALUE"""),0.19021633209900604)</f>
        <v>0.1902163321</v>
      </c>
      <c r="H2893" s="5">
        <f>IFERROR(__xludf.DUMMYFUNCTION("""COMPUTED_VALUE"""),0.5486486486486486)</f>
        <v>0.5486486486</v>
      </c>
      <c r="I2893" s="11">
        <f>IFERROR(__xludf.DUMMYFUNCTION("""COMPUTED_VALUE"""),5748.468468468468)</f>
        <v>5748.468468</v>
      </c>
      <c r="J2893" s="10">
        <f>IFERROR(__xludf.DUMMYFUNCTION("""COMPUTED_VALUE"""),2.0)</f>
        <v>2</v>
      </c>
      <c r="K2893" s="5">
        <f>IFERROR(__xludf.DUMMYFUNCTION("""COMPUTED_VALUE"""),0.004228329809725159)</f>
        <v>0.00422832981</v>
      </c>
      <c r="L2893" s="10">
        <f>IFERROR(__xludf.DUMMYFUNCTION("""COMPUTED_VALUE"""),0.0)</f>
        <v>0</v>
      </c>
      <c r="M2893" s="5">
        <f>IFERROR(__xludf.DUMMYFUNCTION("""COMPUTED_VALUE"""),0.0)</f>
        <v>0</v>
      </c>
    </row>
    <row r="2894">
      <c r="A2894" s="10" t="str">
        <f>IFERROR(__xludf.DUMMYFUNCTION("""COMPUTED_VALUE"""),"ハタモトヒロ")</f>
        <v>ハタモトヒロ</v>
      </c>
      <c r="B2894" s="10">
        <f>IFERROR(__xludf.DUMMYFUNCTION("""COMPUTED_VALUE"""),4533.0)</f>
        <v>4533</v>
      </c>
      <c r="C2894" s="10">
        <f>IFERROR(__xludf.DUMMYFUNCTION("""COMPUTED_VALUE"""),53231.0)</f>
        <v>53231</v>
      </c>
      <c r="D2894" s="5">
        <f>IFERROR(__xludf.DUMMYFUNCTION("""COMPUTED_VALUE"""),0.36960450121154875)</f>
        <v>0.3696045012</v>
      </c>
      <c r="E2894" s="5">
        <f>IFERROR(__xludf.DUMMYFUNCTION("""COMPUTED_VALUE"""),0.12706887346502937)</f>
        <v>0.1270688735</v>
      </c>
      <c r="F2894" s="5">
        <f>IFERROR(__xludf.DUMMYFUNCTION("""COMPUTED_VALUE"""),0.212370117869317)</f>
        <v>0.2123701179</v>
      </c>
      <c r="G2894" s="5">
        <f>IFERROR(__xludf.DUMMYFUNCTION("""COMPUTED_VALUE"""),0.1599038974906567)</f>
        <v>0.1599038975</v>
      </c>
      <c r="H2894" s="5">
        <f>IFERROR(__xludf.DUMMYFUNCTION("""COMPUTED_VALUE"""),0.6136143879327016)</f>
        <v>0.6136143879</v>
      </c>
      <c r="I2894" s="11">
        <f>IFERROR(__xludf.DUMMYFUNCTION("""COMPUTED_VALUE"""),5725.246567395088)</f>
        <v>5725.246567</v>
      </c>
      <c r="J2894" s="10">
        <f>IFERROR(__xludf.DUMMYFUNCTION("""COMPUTED_VALUE"""),8.0)</f>
        <v>8</v>
      </c>
      <c r="K2894" s="5">
        <f>IFERROR(__xludf.DUMMYFUNCTION("""COMPUTED_VALUE"""),0.0017648356496801235)</f>
        <v>0.00176483565</v>
      </c>
      <c r="L2894" s="10">
        <f>IFERROR(__xludf.DUMMYFUNCTION("""COMPUTED_VALUE"""),4532.0)</f>
        <v>4532</v>
      </c>
      <c r="M2894" s="5">
        <f>IFERROR(__xludf.DUMMYFUNCTION("""COMPUTED_VALUE"""),0.99977939554379)</f>
        <v>0.9997793955</v>
      </c>
    </row>
    <row r="2895">
      <c r="A2895" s="10" t="str">
        <f>IFERROR(__xludf.DUMMYFUNCTION("""COMPUTED_VALUE"""),"ちゅら")</f>
        <v>ちゅら</v>
      </c>
      <c r="B2895" s="10">
        <f>IFERROR(__xludf.DUMMYFUNCTION("""COMPUTED_VALUE"""),638.0)</f>
        <v>638</v>
      </c>
      <c r="C2895" s="10">
        <f>IFERROR(__xludf.DUMMYFUNCTION("""COMPUTED_VALUE"""),7469.0)</f>
        <v>7469</v>
      </c>
      <c r="D2895" s="5">
        <f>IFERROR(__xludf.DUMMYFUNCTION("""COMPUTED_VALUE"""),0.29541794759186063)</f>
        <v>0.2954179476</v>
      </c>
      <c r="E2895" s="5">
        <f>IFERROR(__xludf.DUMMYFUNCTION("""COMPUTED_VALUE"""),0.1270677792416923)</f>
        <v>0.1270677792</v>
      </c>
      <c r="F2895" s="5">
        <f>IFERROR(__xludf.DUMMYFUNCTION("""COMPUTED_VALUE"""),0.19938515590689504)</f>
        <v>0.1993851559</v>
      </c>
      <c r="G2895" s="5">
        <f>IFERROR(__xludf.DUMMYFUNCTION("""COMPUTED_VALUE"""),0.16893573415312546)</f>
        <v>0.1689357342</v>
      </c>
      <c r="H2895" s="5">
        <f>IFERROR(__xludf.DUMMYFUNCTION("""COMPUTED_VALUE"""),0.604992657856094)</f>
        <v>0.6049926579</v>
      </c>
      <c r="I2895" s="11">
        <f>IFERROR(__xludf.DUMMYFUNCTION("""COMPUTED_VALUE"""),5666.519823788546)</f>
        <v>5666.519824</v>
      </c>
      <c r="J2895" s="10">
        <f>IFERROR(__xludf.DUMMYFUNCTION("""COMPUTED_VALUE"""),2.0)</f>
        <v>2</v>
      </c>
      <c r="K2895" s="5">
        <f>IFERROR(__xludf.DUMMYFUNCTION("""COMPUTED_VALUE"""),0.003134796238244514)</f>
        <v>0.003134796238</v>
      </c>
      <c r="L2895" s="10">
        <f>IFERROR(__xludf.DUMMYFUNCTION("""COMPUTED_VALUE"""),636.0)</f>
        <v>636</v>
      </c>
      <c r="M2895" s="5">
        <f>IFERROR(__xludf.DUMMYFUNCTION("""COMPUTED_VALUE"""),0.9968652037617555)</f>
        <v>0.9968652038</v>
      </c>
    </row>
    <row r="2896">
      <c r="A2896" s="10" t="str">
        <f>IFERROR(__xludf.DUMMYFUNCTION("""COMPUTED_VALUE"""),"Apple*")</f>
        <v>Apple*</v>
      </c>
      <c r="B2896" s="10">
        <f>IFERROR(__xludf.DUMMYFUNCTION("""COMPUTED_VALUE"""),177.0)</f>
        <v>177</v>
      </c>
      <c r="C2896" s="10">
        <f>IFERROR(__xludf.DUMMYFUNCTION("""COMPUTED_VALUE"""),2113.0)</f>
        <v>2113</v>
      </c>
      <c r="D2896" s="5">
        <f>IFERROR(__xludf.DUMMYFUNCTION("""COMPUTED_VALUE"""),0.384297520661157)</f>
        <v>0.3842975207</v>
      </c>
      <c r="E2896" s="5">
        <f>IFERROR(__xludf.DUMMYFUNCTION("""COMPUTED_VALUE"""),0.12706611570247933)</f>
        <v>0.1270661157</v>
      </c>
      <c r="F2896" s="5">
        <f>IFERROR(__xludf.DUMMYFUNCTION("""COMPUTED_VALUE"""),0.20299586776859505)</f>
        <v>0.2029958678</v>
      </c>
      <c r="G2896" s="5">
        <f>IFERROR(__xludf.DUMMYFUNCTION("""COMPUTED_VALUE"""),0.1503099173553719)</f>
        <v>0.1503099174</v>
      </c>
      <c r="H2896" s="5">
        <f>IFERROR(__xludf.DUMMYFUNCTION("""COMPUTED_VALUE"""),0.5979643765903307)</f>
        <v>0.5979643766</v>
      </c>
      <c r="I2896" s="11">
        <f>IFERROR(__xludf.DUMMYFUNCTION("""COMPUTED_VALUE"""),5561.0687022900765)</f>
        <v>5561.068702</v>
      </c>
      <c r="J2896" s="10">
        <f>IFERROR(__xludf.DUMMYFUNCTION("""COMPUTED_VALUE"""),0.0)</f>
        <v>0</v>
      </c>
      <c r="K2896" s="5">
        <f>IFERROR(__xludf.DUMMYFUNCTION("""COMPUTED_VALUE"""),0.0)</f>
        <v>0</v>
      </c>
      <c r="L2896" s="10">
        <f>IFERROR(__xludf.DUMMYFUNCTION("""COMPUTED_VALUE"""),177.0)</f>
        <v>177</v>
      </c>
      <c r="M2896" s="5">
        <f>IFERROR(__xludf.DUMMYFUNCTION("""COMPUTED_VALUE"""),1.0)</f>
        <v>1</v>
      </c>
    </row>
    <row r="2897">
      <c r="A2897" s="10" t="str">
        <f>IFERROR(__xludf.DUMMYFUNCTION("""COMPUTED_VALUE"""),"ドンカラス")</f>
        <v>ドンカラス</v>
      </c>
      <c r="B2897" s="10">
        <f>IFERROR(__xludf.DUMMYFUNCTION("""COMPUTED_VALUE"""),342.0)</f>
        <v>342</v>
      </c>
      <c r="C2897" s="10">
        <f>IFERROR(__xludf.DUMMYFUNCTION("""COMPUTED_VALUE"""),4033.0)</f>
        <v>4033</v>
      </c>
      <c r="D2897" s="5">
        <f>IFERROR(__xludf.DUMMYFUNCTION("""COMPUTED_VALUE"""),0.3042535898130588)</f>
        <v>0.3042535898</v>
      </c>
      <c r="E2897" s="5">
        <f>IFERROR(__xludf.DUMMYFUNCTION("""COMPUTED_VALUE"""),0.1270658358168518)</f>
        <v>0.1270658358</v>
      </c>
      <c r="F2897" s="5">
        <f>IFERROR(__xludf.DUMMYFUNCTION("""COMPUTED_VALUE"""),0.19425629910593334)</f>
        <v>0.1942562991</v>
      </c>
      <c r="G2897" s="5">
        <f>IFERROR(__xludf.DUMMYFUNCTION("""COMPUTED_VALUE"""),0.17962611758331076)</f>
        <v>0.1796261176</v>
      </c>
      <c r="H2897" s="5">
        <f>IFERROR(__xludf.DUMMYFUNCTION("""COMPUTED_VALUE"""),0.5788005578800558)</f>
        <v>0.5788005579</v>
      </c>
      <c r="I2897" s="11">
        <f>IFERROR(__xludf.DUMMYFUNCTION("""COMPUTED_VALUE"""),5809.76290097629)</f>
        <v>5809.762901</v>
      </c>
      <c r="J2897" s="10">
        <f>IFERROR(__xludf.DUMMYFUNCTION("""COMPUTED_VALUE"""),0.0)</f>
        <v>0</v>
      </c>
      <c r="K2897" s="5">
        <f>IFERROR(__xludf.DUMMYFUNCTION("""COMPUTED_VALUE"""),0.0)</f>
        <v>0</v>
      </c>
      <c r="L2897" s="10">
        <f>IFERROR(__xludf.DUMMYFUNCTION("""COMPUTED_VALUE"""),339.0)</f>
        <v>339</v>
      </c>
      <c r="M2897" s="5">
        <f>IFERROR(__xludf.DUMMYFUNCTION("""COMPUTED_VALUE"""),0.9912280701754386)</f>
        <v>0.9912280702</v>
      </c>
    </row>
    <row r="2898">
      <c r="A2898" s="10" t="str">
        <f>IFERROR(__xludf.DUMMYFUNCTION("""COMPUTED_VALUE"""),"つらい。")</f>
        <v>つらい。</v>
      </c>
      <c r="B2898" s="10">
        <f>IFERROR(__xludf.DUMMYFUNCTION("""COMPUTED_VALUE"""),1278.0)</f>
        <v>1278</v>
      </c>
      <c r="C2898" s="10">
        <f>IFERROR(__xludf.DUMMYFUNCTION("""COMPUTED_VALUE"""),15059.0)</f>
        <v>15059</v>
      </c>
      <c r="D2898" s="5">
        <f>IFERROR(__xludf.DUMMYFUNCTION("""COMPUTED_VALUE"""),0.3914084609244612)</f>
        <v>0.3914084609</v>
      </c>
      <c r="E2898" s="5">
        <f>IFERROR(__xludf.DUMMYFUNCTION("""COMPUTED_VALUE"""),0.1270589942674697)</f>
        <v>0.1270589943</v>
      </c>
      <c r="F2898" s="5">
        <f>IFERROR(__xludf.DUMMYFUNCTION("""COMPUTED_VALUE"""),0.21565924098396344)</f>
        <v>0.215659241</v>
      </c>
      <c r="G2898" s="5">
        <f>IFERROR(__xludf.DUMMYFUNCTION("""COMPUTED_VALUE"""),0.164211595675205)</f>
        <v>0.1642115957</v>
      </c>
      <c r="H2898" s="5">
        <f>IFERROR(__xludf.DUMMYFUNCTION("""COMPUTED_VALUE"""),0.5958950201884253)</f>
        <v>0.5958950202</v>
      </c>
      <c r="I2898" s="11">
        <f>IFERROR(__xludf.DUMMYFUNCTION("""COMPUTED_VALUE"""),5426.850605652759)</f>
        <v>5426.850606</v>
      </c>
      <c r="J2898" s="10">
        <f>IFERROR(__xludf.DUMMYFUNCTION("""COMPUTED_VALUE"""),4.0)</f>
        <v>4</v>
      </c>
      <c r="K2898" s="5">
        <f>IFERROR(__xludf.DUMMYFUNCTION("""COMPUTED_VALUE"""),0.003129890453834116)</f>
        <v>0.003129890454</v>
      </c>
      <c r="L2898" s="10">
        <f>IFERROR(__xludf.DUMMYFUNCTION("""COMPUTED_VALUE"""),1278.0)</f>
        <v>1278</v>
      </c>
      <c r="M2898" s="5">
        <f>IFERROR(__xludf.DUMMYFUNCTION("""COMPUTED_VALUE"""),1.0)</f>
        <v>1</v>
      </c>
    </row>
    <row r="2899">
      <c r="A2899" s="10" t="str">
        <f>IFERROR(__xludf.DUMMYFUNCTION("""COMPUTED_VALUE"""),"かみだを")</f>
        <v>かみだを</v>
      </c>
      <c r="B2899" s="10">
        <f>IFERROR(__xludf.DUMMYFUNCTION("""COMPUTED_VALUE"""),347.0)</f>
        <v>347</v>
      </c>
      <c r="C2899" s="10">
        <f>IFERROR(__xludf.DUMMYFUNCTION("""COMPUTED_VALUE"""),3991.0)</f>
        <v>3991</v>
      </c>
      <c r="D2899" s="5">
        <f>IFERROR(__xludf.DUMMYFUNCTION("""COMPUTED_VALUE"""),0.29088913282107576)</f>
        <v>0.2908891328</v>
      </c>
      <c r="E2899" s="5">
        <f>IFERROR(__xludf.DUMMYFUNCTION("""COMPUTED_VALUE"""),0.12705817782656423)</f>
        <v>0.1270581778</v>
      </c>
      <c r="F2899" s="5">
        <f>IFERROR(__xludf.DUMMYFUNCTION("""COMPUTED_VALUE"""),0.19374313940724477)</f>
        <v>0.1937431394</v>
      </c>
      <c r="G2899" s="5">
        <f>IFERROR(__xludf.DUMMYFUNCTION("""COMPUTED_VALUE"""),0.19923161361141603)</f>
        <v>0.1992316136</v>
      </c>
      <c r="H2899" s="5">
        <f>IFERROR(__xludf.DUMMYFUNCTION("""COMPUTED_VALUE"""),0.5949008498583569)</f>
        <v>0.5949008499</v>
      </c>
      <c r="I2899" s="11">
        <f>IFERROR(__xludf.DUMMYFUNCTION("""COMPUTED_VALUE"""),5887.110481586402)</f>
        <v>5887.110482</v>
      </c>
      <c r="J2899" s="10">
        <f>IFERROR(__xludf.DUMMYFUNCTION("""COMPUTED_VALUE"""),2.0)</f>
        <v>2</v>
      </c>
      <c r="K2899" s="5">
        <f>IFERROR(__xludf.DUMMYFUNCTION("""COMPUTED_VALUE"""),0.005763688760806916)</f>
        <v>0.005763688761</v>
      </c>
      <c r="L2899" s="10">
        <f>IFERROR(__xludf.DUMMYFUNCTION("""COMPUTED_VALUE"""),347.0)</f>
        <v>347</v>
      </c>
      <c r="M2899" s="5">
        <f>IFERROR(__xludf.DUMMYFUNCTION("""COMPUTED_VALUE"""),1.0)</f>
        <v>1</v>
      </c>
    </row>
    <row r="2900">
      <c r="A2900" s="10" t="str">
        <f>IFERROR(__xludf.DUMMYFUNCTION("""COMPUTED_VALUE"""),"yonezo9")</f>
        <v>yonezo9</v>
      </c>
      <c r="B2900" s="10">
        <f>IFERROR(__xludf.DUMMYFUNCTION("""COMPUTED_VALUE"""),426.0)</f>
        <v>426</v>
      </c>
      <c r="C2900" s="10">
        <f>IFERROR(__xludf.DUMMYFUNCTION("""COMPUTED_VALUE"""),4991.0)</f>
        <v>4991</v>
      </c>
      <c r="D2900" s="5">
        <f>IFERROR(__xludf.DUMMYFUNCTION("""COMPUTED_VALUE"""),0.3783132530120482)</f>
        <v>0.378313253</v>
      </c>
      <c r="E2900" s="5">
        <f>IFERROR(__xludf.DUMMYFUNCTION("""COMPUTED_VALUE"""),0.12705366922234393)</f>
        <v>0.1270536692</v>
      </c>
      <c r="F2900" s="5">
        <f>IFERROR(__xludf.DUMMYFUNCTION("""COMPUTED_VALUE"""),0.2059145673603505)</f>
        <v>0.2059145674</v>
      </c>
      <c r="G2900" s="5">
        <f>IFERROR(__xludf.DUMMYFUNCTION("""COMPUTED_VALUE"""),0.15706462212486308)</f>
        <v>0.1570646221</v>
      </c>
      <c r="H2900" s="5">
        <f>IFERROR(__xludf.DUMMYFUNCTION("""COMPUTED_VALUE"""),0.6191489361702127)</f>
        <v>0.6191489362</v>
      </c>
      <c r="I2900" s="11">
        <f>IFERROR(__xludf.DUMMYFUNCTION("""COMPUTED_VALUE"""),5415.63829787234)</f>
        <v>5415.638298</v>
      </c>
      <c r="J2900" s="10">
        <f>IFERROR(__xludf.DUMMYFUNCTION("""COMPUTED_VALUE"""),1.0)</f>
        <v>1</v>
      </c>
      <c r="K2900" s="5">
        <f>IFERROR(__xludf.DUMMYFUNCTION("""COMPUTED_VALUE"""),0.002347417840375587)</f>
        <v>0.00234741784</v>
      </c>
      <c r="L2900" s="10">
        <f>IFERROR(__xludf.DUMMYFUNCTION("""COMPUTED_VALUE"""),426.0)</f>
        <v>426</v>
      </c>
      <c r="M2900" s="5">
        <f>IFERROR(__xludf.DUMMYFUNCTION("""COMPUTED_VALUE"""),1.0)</f>
        <v>1</v>
      </c>
    </row>
    <row r="2901">
      <c r="A2901" s="10" t="str">
        <f>IFERROR(__xludf.DUMMYFUNCTION("""COMPUTED_VALUE"""),"matiosan")</f>
        <v>matiosan</v>
      </c>
      <c r="B2901" s="10">
        <f>IFERROR(__xludf.DUMMYFUNCTION("""COMPUTED_VALUE"""),2678.0)</f>
        <v>2678</v>
      </c>
      <c r="C2901" s="10">
        <f>IFERROR(__xludf.DUMMYFUNCTION("""COMPUTED_VALUE"""),31643.0)</f>
        <v>31643</v>
      </c>
      <c r="D2901" s="5">
        <f>IFERROR(__xludf.DUMMYFUNCTION("""COMPUTED_VALUE"""),0.3673053685482479)</f>
        <v>0.3673053685</v>
      </c>
      <c r="E2901" s="5">
        <f>IFERROR(__xludf.DUMMYFUNCTION("""COMPUTED_VALUE"""),0.1270498877956154)</f>
        <v>0.1270498878</v>
      </c>
      <c r="F2901" s="5">
        <f>IFERROR(__xludf.DUMMYFUNCTION("""COMPUTED_VALUE"""),0.2123942689452788)</f>
        <v>0.2123942689</v>
      </c>
      <c r="G2901" s="5">
        <f>IFERROR(__xludf.DUMMYFUNCTION("""COMPUTED_VALUE"""),0.1598826169514932)</f>
        <v>0.159882617</v>
      </c>
      <c r="H2901" s="5">
        <f>IFERROR(__xludf.DUMMYFUNCTION("""COMPUTED_VALUE"""),0.5918400520156046)</f>
        <v>0.591840052</v>
      </c>
      <c r="I2901" s="11">
        <f>IFERROR(__xludf.DUMMYFUNCTION("""COMPUTED_VALUE"""),5448.163198959688)</f>
        <v>5448.163199</v>
      </c>
      <c r="J2901" s="10">
        <f>IFERROR(__xludf.DUMMYFUNCTION("""COMPUTED_VALUE"""),2.0)</f>
        <v>2</v>
      </c>
      <c r="K2901" s="5">
        <f>IFERROR(__xludf.DUMMYFUNCTION("""COMPUTED_VALUE"""),7.468259895444362E-4)</f>
        <v>0.0007468259895</v>
      </c>
      <c r="L2901" s="10">
        <f>IFERROR(__xludf.DUMMYFUNCTION("""COMPUTED_VALUE"""),2678.0)</f>
        <v>2678</v>
      </c>
      <c r="M2901" s="5">
        <f>IFERROR(__xludf.DUMMYFUNCTION("""COMPUTED_VALUE"""),1.0)</f>
        <v>1</v>
      </c>
    </row>
    <row r="2902">
      <c r="A2902" s="10" t="str">
        <f>IFERROR(__xludf.DUMMYFUNCTION("""COMPUTED_VALUE"""),"もめんなちゃい")</f>
        <v>もめんなちゃい</v>
      </c>
      <c r="B2902" s="10">
        <f>IFERROR(__xludf.DUMMYFUNCTION("""COMPUTED_VALUE"""),3130.0)</f>
        <v>3130</v>
      </c>
      <c r="C2902" s="10">
        <f>IFERROR(__xludf.DUMMYFUNCTION("""COMPUTED_VALUE"""),36520.0)</f>
        <v>36520</v>
      </c>
      <c r="D2902" s="5">
        <f>IFERROR(__xludf.DUMMYFUNCTION("""COMPUTED_VALUE"""),0.33474094040131774)</f>
        <v>0.3347409404</v>
      </c>
      <c r="E2902" s="5">
        <f>IFERROR(__xludf.DUMMYFUNCTION("""COMPUTED_VALUE"""),0.1270440251572327)</f>
        <v>0.1270440252</v>
      </c>
      <c r="F2902" s="5">
        <f>IFERROR(__xludf.DUMMYFUNCTION("""COMPUTED_VALUE"""),0.21659179395028452)</f>
        <v>0.216591794</v>
      </c>
      <c r="G2902" s="5">
        <f>IFERROR(__xludf.DUMMYFUNCTION("""COMPUTED_VALUE"""),0.16978137166816412)</f>
        <v>0.1697813717</v>
      </c>
      <c r="H2902" s="5">
        <f>IFERROR(__xludf.DUMMYFUNCTION("""COMPUTED_VALUE"""),0.6020464601769911)</f>
        <v>0.6020464602</v>
      </c>
      <c r="I2902" s="11">
        <f>IFERROR(__xludf.DUMMYFUNCTION("""COMPUTED_VALUE"""),5513.011615044248)</f>
        <v>5513.011615</v>
      </c>
      <c r="J2902" s="10">
        <f>IFERROR(__xludf.DUMMYFUNCTION("""COMPUTED_VALUE"""),9.0)</f>
        <v>9</v>
      </c>
      <c r="K2902" s="5">
        <f>IFERROR(__xludf.DUMMYFUNCTION("""COMPUTED_VALUE"""),0.002875399361022364)</f>
        <v>0.002875399361</v>
      </c>
      <c r="L2902" s="10">
        <f>IFERROR(__xludf.DUMMYFUNCTION("""COMPUTED_VALUE"""),1489.0)</f>
        <v>1489</v>
      </c>
      <c r="M2902" s="5">
        <f>IFERROR(__xludf.DUMMYFUNCTION("""COMPUTED_VALUE"""),0.4757188498402556)</f>
        <v>0.4757188498</v>
      </c>
    </row>
    <row r="2903">
      <c r="A2903" s="10" t="str">
        <f>IFERROR(__xludf.DUMMYFUNCTION("""COMPUTED_VALUE"""),"かり梅")</f>
        <v>かり梅</v>
      </c>
      <c r="B2903" s="10">
        <f>IFERROR(__xludf.DUMMYFUNCTION("""COMPUTED_VALUE"""),1922.0)</f>
        <v>1922</v>
      </c>
      <c r="C2903" s="10">
        <f>IFERROR(__xludf.DUMMYFUNCTION("""COMPUTED_VALUE"""),22490.0)</f>
        <v>22490</v>
      </c>
      <c r="D2903" s="5">
        <f>IFERROR(__xludf.DUMMYFUNCTION("""COMPUTED_VALUE"""),0.3885647607934656)</f>
        <v>0.3885647608</v>
      </c>
      <c r="E2903" s="5">
        <f>IFERROR(__xludf.DUMMYFUNCTION("""COMPUTED_VALUE"""),0.12704200700116686)</f>
        <v>0.127042007</v>
      </c>
      <c r="F2903" s="5">
        <f>IFERROR(__xludf.DUMMYFUNCTION("""COMPUTED_VALUE"""),0.20964605211979775)</f>
        <v>0.2096460521</v>
      </c>
      <c r="G2903" s="5">
        <f>IFERROR(__xludf.DUMMYFUNCTION("""COMPUTED_VALUE"""),0.16238817580707895)</f>
        <v>0.1623881758</v>
      </c>
      <c r="H2903" s="5">
        <f>IFERROR(__xludf.DUMMYFUNCTION("""COMPUTED_VALUE"""),0.5976345083487941)</f>
        <v>0.5976345083</v>
      </c>
      <c r="I2903" s="11">
        <f>IFERROR(__xludf.DUMMYFUNCTION("""COMPUTED_VALUE"""),5601.2059369202225)</f>
        <v>5601.205937</v>
      </c>
      <c r="J2903" s="10">
        <f>IFERROR(__xludf.DUMMYFUNCTION("""COMPUTED_VALUE"""),3.0)</f>
        <v>3</v>
      </c>
      <c r="K2903" s="5">
        <f>IFERROR(__xludf.DUMMYFUNCTION("""COMPUTED_VALUE"""),0.0015608740894901144)</f>
        <v>0.001560874089</v>
      </c>
      <c r="L2903" s="10">
        <f>IFERROR(__xludf.DUMMYFUNCTION("""COMPUTED_VALUE"""),1922.0)</f>
        <v>1922</v>
      </c>
      <c r="M2903" s="5">
        <f>IFERROR(__xludf.DUMMYFUNCTION("""COMPUTED_VALUE"""),1.0)</f>
        <v>1</v>
      </c>
    </row>
    <row r="2904">
      <c r="A2904" s="10" t="str">
        <f>IFERROR(__xludf.DUMMYFUNCTION("""COMPUTED_VALUE"""),"Melona")</f>
        <v>Melona</v>
      </c>
      <c r="B2904" s="10">
        <f>IFERROR(__xludf.DUMMYFUNCTION("""COMPUTED_VALUE"""),1245.0)</f>
        <v>1245</v>
      </c>
      <c r="C2904" s="10">
        <f>IFERROR(__xludf.DUMMYFUNCTION("""COMPUTED_VALUE"""),14532.0)</f>
        <v>14532</v>
      </c>
      <c r="D2904" s="5">
        <f>IFERROR(__xludf.DUMMYFUNCTION("""COMPUTED_VALUE"""),0.3092496425077143)</f>
        <v>0.3092496425</v>
      </c>
      <c r="E2904" s="5">
        <f>IFERROR(__xludf.DUMMYFUNCTION("""COMPUTED_VALUE"""),0.12704146910514036)</f>
        <v>0.1270414691</v>
      </c>
      <c r="F2904" s="5">
        <f>IFERROR(__xludf.DUMMYFUNCTION("""COMPUTED_VALUE"""),0.20147512606306917)</f>
        <v>0.2014751261</v>
      </c>
      <c r="G2904" s="5">
        <f>IFERROR(__xludf.DUMMYFUNCTION("""COMPUTED_VALUE"""),0.18107925039512304)</f>
        <v>0.1810792504</v>
      </c>
      <c r="H2904" s="5">
        <f>IFERROR(__xludf.DUMMYFUNCTION("""COMPUTED_VALUE"""),0.6055285767650355)</f>
        <v>0.6055285768</v>
      </c>
      <c r="I2904" s="11">
        <f>IFERROR(__xludf.DUMMYFUNCTION("""COMPUTED_VALUE"""),5836.757564437804)</f>
        <v>5836.757564</v>
      </c>
      <c r="J2904" s="10">
        <f>IFERROR(__xludf.DUMMYFUNCTION("""COMPUTED_VALUE"""),1.0)</f>
        <v>1</v>
      </c>
      <c r="K2904" s="5">
        <f>IFERROR(__xludf.DUMMYFUNCTION("""COMPUTED_VALUE"""),8.032128514056225E-4)</f>
        <v>0.0008032128514</v>
      </c>
      <c r="L2904" s="10">
        <f>IFERROR(__xludf.DUMMYFUNCTION("""COMPUTED_VALUE"""),1245.0)</f>
        <v>1245</v>
      </c>
      <c r="M2904" s="5">
        <f>IFERROR(__xludf.DUMMYFUNCTION("""COMPUTED_VALUE"""),1.0)</f>
        <v>1</v>
      </c>
    </row>
    <row r="2905">
      <c r="A2905" s="10" t="str">
        <f>IFERROR(__xludf.DUMMYFUNCTION("""COMPUTED_VALUE"""),"critter2")</f>
        <v>critter2</v>
      </c>
      <c r="B2905" s="10">
        <f>IFERROR(__xludf.DUMMYFUNCTION("""COMPUTED_VALUE"""),293.0)</f>
        <v>293</v>
      </c>
      <c r="C2905" s="10">
        <f>IFERROR(__xludf.DUMMYFUNCTION("""COMPUTED_VALUE"""),3426.0)</f>
        <v>3426</v>
      </c>
      <c r="D2905" s="5">
        <f>IFERROR(__xludf.DUMMYFUNCTION("""COMPUTED_VALUE"""),0.3878072135333546)</f>
        <v>0.3878072135</v>
      </c>
      <c r="E2905" s="5">
        <f>IFERROR(__xludf.DUMMYFUNCTION("""COMPUTED_VALUE"""),0.12703479093520587)</f>
        <v>0.1270347909</v>
      </c>
      <c r="F2905" s="5">
        <f>IFERROR(__xludf.DUMMYFUNCTION("""COMPUTED_VALUE"""),0.23491860836259176)</f>
        <v>0.2349186084</v>
      </c>
      <c r="G2905" s="5">
        <f>IFERROR(__xludf.DUMMYFUNCTION("""COMPUTED_VALUE"""),0.17969996808171082)</f>
        <v>0.1796999681</v>
      </c>
      <c r="H2905" s="5">
        <f>IFERROR(__xludf.DUMMYFUNCTION("""COMPUTED_VALUE"""),0.5815217391304348)</f>
        <v>0.5815217391</v>
      </c>
      <c r="I2905" s="11">
        <f>IFERROR(__xludf.DUMMYFUNCTION("""COMPUTED_VALUE"""),5734.510869565217)</f>
        <v>5734.51087</v>
      </c>
      <c r="J2905" s="10">
        <f>IFERROR(__xludf.DUMMYFUNCTION("""COMPUTED_VALUE"""),0.0)</f>
        <v>0</v>
      </c>
      <c r="K2905" s="5">
        <f>IFERROR(__xludf.DUMMYFUNCTION("""COMPUTED_VALUE"""),0.0)</f>
        <v>0</v>
      </c>
      <c r="L2905" s="10">
        <f>IFERROR(__xludf.DUMMYFUNCTION("""COMPUTED_VALUE"""),293.0)</f>
        <v>293</v>
      </c>
      <c r="M2905" s="5">
        <f>IFERROR(__xludf.DUMMYFUNCTION("""COMPUTED_VALUE"""),1.0)</f>
        <v>1</v>
      </c>
    </row>
    <row r="2906">
      <c r="A2906" s="10" t="str">
        <f>IFERROR(__xludf.DUMMYFUNCTION("""COMPUTED_VALUE"""),"でし６")</f>
        <v>でし６</v>
      </c>
      <c r="B2906" s="10">
        <f>IFERROR(__xludf.DUMMYFUNCTION("""COMPUTED_VALUE"""),1776.0)</f>
        <v>1776</v>
      </c>
      <c r="C2906" s="10">
        <f>IFERROR(__xludf.DUMMYFUNCTION("""COMPUTED_VALUE"""),21024.0)</f>
        <v>21024</v>
      </c>
      <c r="D2906" s="5">
        <f>IFERROR(__xludf.DUMMYFUNCTION("""COMPUTED_VALUE"""),0.38284497090606817)</f>
        <v>0.3828449709</v>
      </c>
      <c r="E2906" s="5">
        <f>IFERROR(__xludf.DUMMYFUNCTION("""COMPUTED_VALUE"""),0.12702618453865336)</f>
        <v>0.1270261845</v>
      </c>
      <c r="F2906" s="5">
        <f>IFERROR(__xludf.DUMMYFUNCTION("""COMPUTED_VALUE"""),0.2189318370739817)</f>
        <v>0.2189318371</v>
      </c>
      <c r="G2906" s="5">
        <f>IFERROR(__xludf.DUMMYFUNCTION("""COMPUTED_VALUE"""),0.1731088944305902)</f>
        <v>0.1731088944</v>
      </c>
      <c r="H2906" s="5">
        <f>IFERROR(__xludf.DUMMYFUNCTION("""COMPUTED_VALUE"""),0.5996677740863787)</f>
        <v>0.5996677741</v>
      </c>
      <c r="I2906" s="11">
        <f>IFERROR(__xludf.DUMMYFUNCTION("""COMPUTED_VALUE"""),5460.987185571903)</f>
        <v>5460.987186</v>
      </c>
      <c r="J2906" s="10">
        <f>IFERROR(__xludf.DUMMYFUNCTION("""COMPUTED_VALUE"""),2.0)</f>
        <v>2</v>
      </c>
      <c r="K2906" s="5">
        <f>IFERROR(__xludf.DUMMYFUNCTION("""COMPUTED_VALUE"""),0.0011261261261261261)</f>
        <v>0.001126126126</v>
      </c>
      <c r="L2906" s="10">
        <f>IFERROR(__xludf.DUMMYFUNCTION("""COMPUTED_VALUE"""),1776.0)</f>
        <v>1776</v>
      </c>
      <c r="M2906" s="5">
        <f>IFERROR(__xludf.DUMMYFUNCTION("""COMPUTED_VALUE"""),1.0)</f>
        <v>1</v>
      </c>
    </row>
    <row r="2907">
      <c r="A2907" s="10" t="str">
        <f>IFERROR(__xludf.DUMMYFUNCTION("""COMPUTED_VALUE"""),"999")</f>
        <v>999</v>
      </c>
      <c r="B2907" s="10">
        <f>IFERROR(__xludf.DUMMYFUNCTION("""COMPUTED_VALUE"""),1485.0)</f>
        <v>1485</v>
      </c>
      <c r="C2907" s="10">
        <f>IFERROR(__xludf.DUMMYFUNCTION("""COMPUTED_VALUE"""),17340.0)</f>
        <v>17340</v>
      </c>
      <c r="D2907" s="5">
        <f>IFERROR(__xludf.DUMMYFUNCTION("""COMPUTED_VALUE"""),0.30955534531693474)</f>
        <v>0.3095553453</v>
      </c>
      <c r="E2907" s="5">
        <f>IFERROR(__xludf.DUMMYFUNCTION("""COMPUTED_VALUE"""),0.12702617470829392)</f>
        <v>0.1270261747</v>
      </c>
      <c r="F2907" s="5">
        <f>IFERROR(__xludf.DUMMYFUNCTION("""COMPUTED_VALUE"""),0.215200252286345)</f>
        <v>0.2152002523</v>
      </c>
      <c r="G2907" s="5">
        <f>IFERROR(__xludf.DUMMYFUNCTION("""COMPUTED_VALUE"""),0.17975402081362346)</f>
        <v>0.1797540208</v>
      </c>
      <c r="H2907" s="5">
        <f>IFERROR(__xludf.DUMMYFUNCTION("""COMPUTED_VALUE"""),0.5770808909730364)</f>
        <v>0.577080891</v>
      </c>
      <c r="I2907" s="11">
        <f>IFERROR(__xludf.DUMMYFUNCTION("""COMPUTED_VALUE"""),5485.726846424384)</f>
        <v>5485.726846</v>
      </c>
      <c r="J2907" s="10">
        <f>IFERROR(__xludf.DUMMYFUNCTION("""COMPUTED_VALUE"""),4.0)</f>
        <v>4</v>
      </c>
      <c r="K2907" s="5">
        <f>IFERROR(__xludf.DUMMYFUNCTION("""COMPUTED_VALUE"""),0.0026936026936026937)</f>
        <v>0.002693602694</v>
      </c>
      <c r="L2907" s="10">
        <f>IFERROR(__xludf.DUMMYFUNCTION("""COMPUTED_VALUE"""),242.0)</f>
        <v>242</v>
      </c>
      <c r="M2907" s="5">
        <f>IFERROR(__xludf.DUMMYFUNCTION("""COMPUTED_VALUE"""),0.16296296296296298)</f>
        <v>0.162962963</v>
      </c>
    </row>
    <row r="2908">
      <c r="A2908" s="10" t="str">
        <f>IFERROR(__xludf.DUMMYFUNCTION("""COMPUTED_VALUE"""),"sangoddo")</f>
        <v>sangoddo</v>
      </c>
      <c r="B2908" s="10">
        <f>IFERROR(__xludf.DUMMYFUNCTION("""COMPUTED_VALUE"""),915.0)</f>
        <v>915</v>
      </c>
      <c r="C2908" s="10">
        <f>IFERROR(__xludf.DUMMYFUNCTION("""COMPUTED_VALUE"""),10876.0)</f>
        <v>10876</v>
      </c>
      <c r="D2908" s="5">
        <f>IFERROR(__xludf.DUMMYFUNCTION("""COMPUTED_VALUE"""),0.3476558578455978)</f>
        <v>0.3476558578</v>
      </c>
      <c r="E2908" s="5">
        <f>IFERROR(__xludf.DUMMYFUNCTION("""COMPUTED_VALUE"""),0.12699528159823312)</f>
        <v>0.1269952816</v>
      </c>
      <c r="F2908" s="5">
        <f>IFERROR(__xludf.DUMMYFUNCTION("""COMPUTED_VALUE"""),0.1992771810059231)</f>
        <v>0.199277181</v>
      </c>
      <c r="G2908" s="5">
        <f>IFERROR(__xludf.DUMMYFUNCTION("""COMPUTED_VALUE"""),0.16564601947595622)</f>
        <v>0.1656460195</v>
      </c>
      <c r="H2908" s="5">
        <f>IFERROR(__xludf.DUMMYFUNCTION("""COMPUTED_VALUE"""),0.5874055415617129)</f>
        <v>0.5874055416</v>
      </c>
      <c r="I2908" s="11">
        <f>IFERROR(__xludf.DUMMYFUNCTION("""COMPUTED_VALUE"""),5796.020151133502)</f>
        <v>5796.020151</v>
      </c>
      <c r="J2908" s="10">
        <f>IFERROR(__xludf.DUMMYFUNCTION("""COMPUTED_VALUE"""),4.0)</f>
        <v>4</v>
      </c>
      <c r="K2908" s="5">
        <f>IFERROR(__xludf.DUMMYFUNCTION("""COMPUTED_VALUE"""),0.004371584699453552)</f>
        <v>0.004371584699</v>
      </c>
      <c r="L2908" s="10">
        <f>IFERROR(__xludf.DUMMYFUNCTION("""COMPUTED_VALUE"""),915.0)</f>
        <v>915</v>
      </c>
      <c r="M2908" s="5">
        <f>IFERROR(__xludf.DUMMYFUNCTION("""COMPUTED_VALUE"""),1.0)</f>
        <v>1</v>
      </c>
    </row>
    <row r="2909">
      <c r="A2909" s="10" t="str">
        <f>IFERROR(__xludf.DUMMYFUNCTION("""COMPUTED_VALUE"""),"kunpac")</f>
        <v>kunpac</v>
      </c>
      <c r="B2909" s="10">
        <f>IFERROR(__xludf.DUMMYFUNCTION("""COMPUTED_VALUE"""),886.0)</f>
        <v>886</v>
      </c>
      <c r="C2909" s="10">
        <f>IFERROR(__xludf.DUMMYFUNCTION("""COMPUTED_VALUE"""),10288.0)</f>
        <v>10288</v>
      </c>
      <c r="D2909" s="5">
        <f>IFERROR(__xludf.DUMMYFUNCTION("""COMPUTED_VALUE"""),0.40395660497766434)</f>
        <v>0.403956605</v>
      </c>
      <c r="E2909" s="5">
        <f>IFERROR(__xludf.DUMMYFUNCTION("""COMPUTED_VALUE"""),0.12699425654116145)</f>
        <v>0.1269942565</v>
      </c>
      <c r="F2909" s="5">
        <f>IFERROR(__xludf.DUMMYFUNCTION("""COMPUTED_VALUE"""),0.2145288236545416)</f>
        <v>0.2145288237</v>
      </c>
      <c r="G2909" s="5">
        <f>IFERROR(__xludf.DUMMYFUNCTION("""COMPUTED_VALUE"""),0.1631567751542225)</f>
        <v>0.1631567752</v>
      </c>
      <c r="H2909" s="5">
        <f>IFERROR(__xludf.DUMMYFUNCTION("""COMPUTED_VALUE"""),0.5899851264253843)</f>
        <v>0.5899851264</v>
      </c>
      <c r="I2909" s="11">
        <f>IFERROR(__xludf.DUMMYFUNCTION("""COMPUTED_VALUE"""),5550.8180466038675)</f>
        <v>5550.818047</v>
      </c>
      <c r="J2909" s="10">
        <f>IFERROR(__xludf.DUMMYFUNCTION("""COMPUTED_VALUE"""),1.0)</f>
        <v>1</v>
      </c>
      <c r="K2909" s="5">
        <f>IFERROR(__xludf.DUMMYFUNCTION("""COMPUTED_VALUE"""),0.001128668171557562)</f>
        <v>0.001128668172</v>
      </c>
      <c r="L2909" s="10">
        <f>IFERROR(__xludf.DUMMYFUNCTION("""COMPUTED_VALUE"""),886.0)</f>
        <v>886</v>
      </c>
      <c r="M2909" s="5">
        <f>IFERROR(__xludf.DUMMYFUNCTION("""COMPUTED_VALUE"""),1.0)</f>
        <v>1</v>
      </c>
    </row>
    <row r="2910">
      <c r="A2910" s="10" t="str">
        <f>IFERROR(__xludf.DUMMYFUNCTION("""COMPUTED_VALUE"""),"はむけつ")</f>
        <v>はむけつ</v>
      </c>
      <c r="B2910" s="10">
        <f>IFERROR(__xludf.DUMMYFUNCTION("""COMPUTED_VALUE"""),447.0)</f>
        <v>447</v>
      </c>
      <c r="C2910" s="10">
        <f>IFERROR(__xludf.DUMMYFUNCTION("""COMPUTED_VALUE"""),5219.0)</f>
        <v>5219</v>
      </c>
      <c r="D2910" s="5">
        <f>IFERROR(__xludf.DUMMYFUNCTION("""COMPUTED_VALUE"""),0.3256496227996647)</f>
        <v>0.3256496228</v>
      </c>
      <c r="E2910" s="5">
        <f>IFERROR(__xludf.DUMMYFUNCTION("""COMPUTED_VALUE"""),0.1269907795473596)</f>
        <v>0.1269907795</v>
      </c>
      <c r="F2910" s="5">
        <f>IFERROR(__xludf.DUMMYFUNCTION("""COMPUTED_VALUE"""),0.23847443419949707)</f>
        <v>0.2384744342</v>
      </c>
      <c r="G2910" s="5">
        <f>IFERROR(__xludf.DUMMYFUNCTION("""COMPUTED_VALUE"""),0.16429170159262363)</f>
        <v>0.1642917016</v>
      </c>
      <c r="H2910" s="5">
        <f>IFERROR(__xludf.DUMMYFUNCTION("""COMPUTED_VALUE"""),0.6115992970123023)</f>
        <v>0.611599297</v>
      </c>
      <c r="I2910" s="11">
        <f>IFERROR(__xludf.DUMMYFUNCTION("""COMPUTED_VALUE"""),5316.608084358524)</f>
        <v>5316.608084</v>
      </c>
      <c r="J2910" s="10">
        <f>IFERROR(__xludf.DUMMYFUNCTION("""COMPUTED_VALUE"""),0.0)</f>
        <v>0</v>
      </c>
      <c r="K2910" s="5">
        <f>IFERROR(__xludf.DUMMYFUNCTION("""COMPUTED_VALUE"""),0.0)</f>
        <v>0</v>
      </c>
      <c r="L2910" s="10">
        <f>IFERROR(__xludf.DUMMYFUNCTION("""COMPUTED_VALUE"""),430.0)</f>
        <v>430</v>
      </c>
      <c r="M2910" s="5">
        <f>IFERROR(__xludf.DUMMYFUNCTION("""COMPUTED_VALUE"""),0.9619686800894854)</f>
        <v>0.9619686801</v>
      </c>
    </row>
    <row r="2911">
      <c r="A2911" s="10" t="str">
        <f>IFERROR(__xludf.DUMMYFUNCTION("""COMPUTED_VALUE"""),"Scandal")</f>
        <v>Scandal</v>
      </c>
      <c r="B2911" s="10">
        <f>IFERROR(__xludf.DUMMYFUNCTION("""COMPUTED_VALUE"""),617.0)</f>
        <v>617</v>
      </c>
      <c r="C2911" s="10">
        <f>IFERROR(__xludf.DUMMYFUNCTION("""COMPUTED_VALUE"""),7224.0)</f>
        <v>7224</v>
      </c>
      <c r="D2911" s="5">
        <f>IFERROR(__xludf.DUMMYFUNCTION("""COMPUTED_VALUE"""),0.41773876191917664)</f>
        <v>0.4177387619</v>
      </c>
      <c r="E2911" s="5">
        <f>IFERROR(__xludf.DUMMYFUNCTION("""COMPUTED_VALUE"""),0.12698652943847435)</f>
        <v>0.1269865294</v>
      </c>
      <c r="F2911" s="5">
        <f>IFERROR(__xludf.DUMMYFUNCTION("""COMPUTED_VALUE"""),0.22143181474194037)</f>
        <v>0.2214318147</v>
      </c>
      <c r="G2911" s="5">
        <f>IFERROR(__xludf.DUMMYFUNCTION("""COMPUTED_VALUE"""),0.18889057060693204)</f>
        <v>0.1888905706</v>
      </c>
      <c r="H2911" s="5">
        <f>IFERROR(__xludf.DUMMYFUNCTION("""COMPUTED_VALUE"""),0.579630895420369)</f>
        <v>0.5796308954</v>
      </c>
      <c r="I2911" s="11">
        <f>IFERROR(__xludf.DUMMYFUNCTION("""COMPUTED_VALUE"""),5510.868079289132)</f>
        <v>5510.868079</v>
      </c>
      <c r="J2911" s="10">
        <f>IFERROR(__xludf.DUMMYFUNCTION("""COMPUTED_VALUE"""),3.0)</f>
        <v>3</v>
      </c>
      <c r="K2911" s="5">
        <f>IFERROR(__xludf.DUMMYFUNCTION("""COMPUTED_VALUE"""),0.004862236628849271)</f>
        <v>0.004862236629</v>
      </c>
      <c r="L2911" s="10">
        <f>IFERROR(__xludf.DUMMYFUNCTION("""COMPUTED_VALUE"""),617.0)</f>
        <v>617</v>
      </c>
      <c r="M2911" s="5">
        <f>IFERROR(__xludf.DUMMYFUNCTION("""COMPUTED_VALUE"""),1.0)</f>
        <v>1</v>
      </c>
    </row>
    <row r="2912">
      <c r="A2912" s="10" t="str">
        <f>IFERROR(__xludf.DUMMYFUNCTION("""COMPUTED_VALUE"""),"競馬研究所")</f>
        <v>競馬研究所</v>
      </c>
      <c r="B2912" s="10">
        <f>IFERROR(__xludf.DUMMYFUNCTION("""COMPUTED_VALUE"""),153.0)</f>
        <v>153</v>
      </c>
      <c r="C2912" s="10">
        <f>IFERROR(__xludf.DUMMYFUNCTION("""COMPUTED_VALUE"""),1854.0)</f>
        <v>1854</v>
      </c>
      <c r="D2912" s="5">
        <f>IFERROR(__xludf.DUMMYFUNCTION("""COMPUTED_VALUE"""),0.3098177542621987)</f>
        <v>0.3098177543</v>
      </c>
      <c r="E2912" s="5">
        <f>IFERROR(__xludf.DUMMYFUNCTION("""COMPUTED_VALUE"""),0.12698412698412698)</f>
        <v>0.126984127</v>
      </c>
      <c r="F2912" s="5">
        <f>IFERROR(__xludf.DUMMYFUNCTION("""COMPUTED_VALUE"""),0.20105820105820105)</f>
        <v>0.2010582011</v>
      </c>
      <c r="G2912" s="5">
        <f>IFERROR(__xludf.DUMMYFUNCTION("""COMPUTED_VALUE"""),0.1781305114638448)</f>
        <v>0.1781305115</v>
      </c>
      <c r="H2912" s="5">
        <f>IFERROR(__xludf.DUMMYFUNCTION("""COMPUTED_VALUE"""),0.5789473684210527)</f>
        <v>0.5789473684</v>
      </c>
      <c r="I2912" s="11">
        <f>IFERROR(__xludf.DUMMYFUNCTION("""COMPUTED_VALUE"""),5928.6549707602335)</f>
        <v>5928.654971</v>
      </c>
      <c r="J2912" s="10">
        <f>IFERROR(__xludf.DUMMYFUNCTION("""COMPUTED_VALUE"""),0.0)</f>
        <v>0</v>
      </c>
      <c r="K2912" s="5">
        <f>IFERROR(__xludf.DUMMYFUNCTION("""COMPUTED_VALUE"""),0.0)</f>
        <v>0</v>
      </c>
      <c r="L2912" s="10">
        <f>IFERROR(__xludf.DUMMYFUNCTION("""COMPUTED_VALUE"""),153.0)</f>
        <v>153</v>
      </c>
      <c r="M2912" s="5">
        <f>IFERROR(__xludf.DUMMYFUNCTION("""COMPUTED_VALUE"""),1.0)</f>
        <v>1</v>
      </c>
    </row>
    <row r="2913">
      <c r="A2913" s="10" t="str">
        <f>IFERROR(__xludf.DUMMYFUNCTION("""COMPUTED_VALUE"""),"☆イーソー☆")</f>
        <v>☆イーソー☆</v>
      </c>
      <c r="B2913" s="10">
        <f>IFERROR(__xludf.DUMMYFUNCTION("""COMPUTED_VALUE"""),411.0)</f>
        <v>411</v>
      </c>
      <c r="C2913" s="10">
        <f>IFERROR(__xludf.DUMMYFUNCTION("""COMPUTED_VALUE"""),4971.0)</f>
        <v>4971</v>
      </c>
      <c r="D2913" s="5">
        <f>IFERROR(__xludf.DUMMYFUNCTION("""COMPUTED_VALUE"""),0.4050438596491228)</f>
        <v>0.4050438596</v>
      </c>
      <c r="E2913" s="5">
        <f>IFERROR(__xludf.DUMMYFUNCTION("""COMPUTED_VALUE"""),0.12697368421052632)</f>
        <v>0.1269736842</v>
      </c>
      <c r="F2913" s="5">
        <f>IFERROR(__xludf.DUMMYFUNCTION("""COMPUTED_VALUE"""),0.21096491228070174)</f>
        <v>0.2109649123</v>
      </c>
      <c r="G2913" s="5">
        <f>IFERROR(__xludf.DUMMYFUNCTION("""COMPUTED_VALUE"""),0.1594298245614035)</f>
        <v>0.1594298246</v>
      </c>
      <c r="H2913" s="5">
        <f>IFERROR(__xludf.DUMMYFUNCTION("""COMPUTED_VALUE"""),0.5852390852390852)</f>
        <v>0.5852390852</v>
      </c>
      <c r="I2913" s="11">
        <f>IFERROR(__xludf.DUMMYFUNCTION("""COMPUTED_VALUE"""),5284.927234927235)</f>
        <v>5284.927235</v>
      </c>
      <c r="J2913" s="10">
        <f>IFERROR(__xludf.DUMMYFUNCTION("""COMPUTED_VALUE"""),0.0)</f>
        <v>0</v>
      </c>
      <c r="K2913" s="5">
        <f>IFERROR(__xludf.DUMMYFUNCTION("""COMPUTED_VALUE"""),0.0)</f>
        <v>0</v>
      </c>
      <c r="L2913" s="10">
        <f>IFERROR(__xludf.DUMMYFUNCTION("""COMPUTED_VALUE"""),411.0)</f>
        <v>411</v>
      </c>
      <c r="M2913" s="5">
        <f>IFERROR(__xludf.DUMMYFUNCTION("""COMPUTED_VALUE"""),1.0)</f>
        <v>1</v>
      </c>
    </row>
    <row r="2914">
      <c r="A2914" s="10" t="str">
        <f>IFERROR(__xludf.DUMMYFUNCTION("""COMPUTED_VALUE"""),"DJ☆Kova")</f>
        <v>DJ☆Kova</v>
      </c>
      <c r="B2914" s="10">
        <f>IFERROR(__xludf.DUMMYFUNCTION("""COMPUTED_VALUE"""),145.0)</f>
        <v>145</v>
      </c>
      <c r="C2914" s="10">
        <f>IFERROR(__xludf.DUMMYFUNCTION("""COMPUTED_VALUE"""),1673.0)</f>
        <v>1673</v>
      </c>
      <c r="D2914" s="5">
        <f>IFERROR(__xludf.DUMMYFUNCTION("""COMPUTED_VALUE"""),0.31675392670157065)</f>
        <v>0.3167539267</v>
      </c>
      <c r="E2914" s="5">
        <f>IFERROR(__xludf.DUMMYFUNCTION("""COMPUTED_VALUE"""),0.12696335078534032)</f>
        <v>0.1269633508</v>
      </c>
      <c r="F2914" s="5">
        <f>IFERROR(__xludf.DUMMYFUNCTION("""COMPUTED_VALUE"""),0.19306282722513088)</f>
        <v>0.1930628272</v>
      </c>
      <c r="G2914" s="5">
        <f>IFERROR(__xludf.DUMMYFUNCTION("""COMPUTED_VALUE"""),0.1793193717277487)</f>
        <v>0.1793193717</v>
      </c>
      <c r="H2914" s="5">
        <f>IFERROR(__xludf.DUMMYFUNCTION("""COMPUTED_VALUE"""),0.5694915254237288)</f>
        <v>0.5694915254</v>
      </c>
      <c r="I2914" s="11">
        <f>IFERROR(__xludf.DUMMYFUNCTION("""COMPUTED_VALUE"""),5687.118644067797)</f>
        <v>5687.118644</v>
      </c>
      <c r="J2914" s="10">
        <f>IFERROR(__xludf.DUMMYFUNCTION("""COMPUTED_VALUE"""),0.0)</f>
        <v>0</v>
      </c>
      <c r="K2914" s="5">
        <f>IFERROR(__xludf.DUMMYFUNCTION("""COMPUTED_VALUE"""),0.0)</f>
        <v>0</v>
      </c>
      <c r="L2914" s="10">
        <f>IFERROR(__xludf.DUMMYFUNCTION("""COMPUTED_VALUE"""),47.0)</f>
        <v>47</v>
      </c>
      <c r="M2914" s="5">
        <f>IFERROR(__xludf.DUMMYFUNCTION("""COMPUTED_VALUE"""),0.32413793103448274)</f>
        <v>0.324137931</v>
      </c>
    </row>
    <row r="2915">
      <c r="A2915" s="10" t="str">
        <f>IFERROR(__xludf.DUMMYFUNCTION("""COMPUTED_VALUE"""),"★ホース★")</f>
        <v>★ホース★</v>
      </c>
      <c r="B2915" s="10">
        <f>IFERROR(__xludf.DUMMYFUNCTION("""COMPUTED_VALUE"""),2746.0)</f>
        <v>2746</v>
      </c>
      <c r="C2915" s="10">
        <f>IFERROR(__xludf.DUMMYFUNCTION("""COMPUTED_VALUE"""),32213.0)</f>
        <v>32213</v>
      </c>
      <c r="D2915" s="5">
        <f>IFERROR(__xludf.DUMMYFUNCTION("""COMPUTED_VALUE"""),0.4018054094410697)</f>
        <v>0.4018054094</v>
      </c>
      <c r="E2915" s="5">
        <f>IFERROR(__xludf.DUMMYFUNCTION("""COMPUTED_VALUE"""),0.12695557742559474)</f>
        <v>0.1269555774</v>
      </c>
      <c r="F2915" s="5">
        <f>IFERROR(__xludf.DUMMYFUNCTION("""COMPUTED_VALUE"""),0.22255404350629518)</f>
        <v>0.2225540435</v>
      </c>
      <c r="G2915" s="5">
        <f>IFERROR(__xludf.DUMMYFUNCTION("""COMPUTED_VALUE"""),0.14701191162995894)</f>
        <v>0.1470119116</v>
      </c>
      <c r="H2915" s="5">
        <f>IFERROR(__xludf.DUMMYFUNCTION("""COMPUTED_VALUE"""),0.6006404391582799)</f>
        <v>0.6006404392</v>
      </c>
      <c r="I2915" s="11">
        <f>IFERROR(__xludf.DUMMYFUNCTION("""COMPUTED_VALUE"""),5252.729490698383)</f>
        <v>5252.729491</v>
      </c>
      <c r="J2915" s="10">
        <f>IFERROR(__xludf.DUMMYFUNCTION("""COMPUTED_VALUE"""),3.0)</f>
        <v>3</v>
      </c>
      <c r="K2915" s="5">
        <f>IFERROR(__xludf.DUMMYFUNCTION("""COMPUTED_VALUE"""),0.0010924981791697013)</f>
        <v>0.001092498179</v>
      </c>
      <c r="L2915" s="10">
        <f>IFERROR(__xludf.DUMMYFUNCTION("""COMPUTED_VALUE"""),2602.0)</f>
        <v>2602</v>
      </c>
      <c r="M2915" s="5">
        <f>IFERROR(__xludf.DUMMYFUNCTION("""COMPUTED_VALUE"""),0.9475600873998543)</f>
        <v>0.9475600874</v>
      </c>
    </row>
    <row r="2916">
      <c r="A2916" s="10" t="str">
        <f>IFERROR(__xludf.DUMMYFUNCTION("""COMPUTED_VALUE"""),"低めスライダー")</f>
        <v>低めスライダー</v>
      </c>
      <c r="B2916" s="10">
        <f>IFERROR(__xludf.DUMMYFUNCTION("""COMPUTED_VALUE"""),524.0)</f>
        <v>524</v>
      </c>
      <c r="C2916" s="10">
        <f>IFERROR(__xludf.DUMMYFUNCTION("""COMPUTED_VALUE"""),6062.0)</f>
        <v>6062</v>
      </c>
      <c r="D2916" s="5">
        <f>IFERROR(__xludf.DUMMYFUNCTION("""COMPUTED_VALUE"""),0.3214156735283496)</f>
        <v>0.3214156735</v>
      </c>
      <c r="E2916" s="5">
        <f>IFERROR(__xludf.DUMMYFUNCTION("""COMPUTED_VALUE"""),0.1269411339833875)</f>
        <v>0.126941134</v>
      </c>
      <c r="F2916" s="5">
        <f>IFERROR(__xludf.DUMMYFUNCTION("""COMPUTED_VALUE"""),0.21433730588660166)</f>
        <v>0.2143373059</v>
      </c>
      <c r="G2916" s="5">
        <f>IFERROR(__xludf.DUMMYFUNCTION("""COMPUTED_VALUE"""),0.180931744312026)</f>
        <v>0.1809317443</v>
      </c>
      <c r="H2916" s="5">
        <f>IFERROR(__xludf.DUMMYFUNCTION("""COMPUTED_VALUE"""),0.5981465880370682)</f>
        <v>0.598146588</v>
      </c>
      <c r="I2916" s="11">
        <f>IFERROR(__xludf.DUMMYFUNCTION("""COMPUTED_VALUE"""),5862.257792754845)</f>
        <v>5862.257793</v>
      </c>
      <c r="J2916" s="10">
        <f>IFERROR(__xludf.DUMMYFUNCTION("""COMPUTED_VALUE"""),2.0)</f>
        <v>2</v>
      </c>
      <c r="K2916" s="5">
        <f>IFERROR(__xludf.DUMMYFUNCTION("""COMPUTED_VALUE"""),0.003816793893129771)</f>
        <v>0.003816793893</v>
      </c>
      <c r="L2916" s="10">
        <f>IFERROR(__xludf.DUMMYFUNCTION("""COMPUTED_VALUE"""),0.0)</f>
        <v>0</v>
      </c>
      <c r="M2916" s="5">
        <f>IFERROR(__xludf.DUMMYFUNCTION("""COMPUTED_VALUE"""),0.0)</f>
        <v>0</v>
      </c>
    </row>
    <row r="2917">
      <c r="A2917" s="10" t="str">
        <f>IFERROR(__xludf.DUMMYFUNCTION("""COMPUTED_VALUE"""),"ぱんぞう")</f>
        <v>ぱんぞう</v>
      </c>
      <c r="B2917" s="10">
        <f>IFERROR(__xludf.DUMMYFUNCTION("""COMPUTED_VALUE"""),578.0)</f>
        <v>578</v>
      </c>
      <c r="C2917" s="10">
        <f>IFERROR(__xludf.DUMMYFUNCTION("""COMPUTED_VALUE"""),6896.0)</f>
        <v>6896</v>
      </c>
      <c r="D2917" s="5">
        <f>IFERROR(__xludf.DUMMYFUNCTION("""COMPUTED_VALUE"""),0.351218740107629)</f>
        <v>0.3512187401</v>
      </c>
      <c r="E2917" s="5">
        <f>IFERROR(__xludf.DUMMYFUNCTION("""COMPUTED_VALUE"""),0.12693890471668248)</f>
        <v>0.1269389047</v>
      </c>
      <c r="F2917" s="5">
        <f>IFERROR(__xludf.DUMMYFUNCTION("""COMPUTED_VALUE"""),0.19309908198797088)</f>
        <v>0.193099082</v>
      </c>
      <c r="G2917" s="5">
        <f>IFERROR(__xludf.DUMMYFUNCTION("""COMPUTED_VALUE"""),0.17094017094017094)</f>
        <v>0.1709401709</v>
      </c>
      <c r="H2917" s="5">
        <f>IFERROR(__xludf.DUMMYFUNCTION("""COMPUTED_VALUE"""),0.5737704918032787)</f>
        <v>0.5737704918</v>
      </c>
      <c r="I2917" s="11">
        <f>IFERROR(__xludf.DUMMYFUNCTION("""COMPUTED_VALUE"""),5760.491803278688)</f>
        <v>5760.491803</v>
      </c>
      <c r="J2917" s="10">
        <f>IFERROR(__xludf.DUMMYFUNCTION("""COMPUTED_VALUE"""),1.0)</f>
        <v>1</v>
      </c>
      <c r="K2917" s="5">
        <f>IFERROR(__xludf.DUMMYFUNCTION("""COMPUTED_VALUE"""),0.0017301038062283738)</f>
        <v>0.001730103806</v>
      </c>
      <c r="L2917" s="10">
        <f>IFERROR(__xludf.DUMMYFUNCTION("""COMPUTED_VALUE"""),556.0)</f>
        <v>556</v>
      </c>
      <c r="M2917" s="5">
        <f>IFERROR(__xludf.DUMMYFUNCTION("""COMPUTED_VALUE"""),0.9619377162629758)</f>
        <v>0.9619377163</v>
      </c>
    </row>
    <row r="2918">
      <c r="A2918" s="10" t="str">
        <f>IFERROR(__xludf.DUMMYFUNCTION("""COMPUTED_VALUE"""),"親指（大）")</f>
        <v>親指（大）</v>
      </c>
      <c r="B2918" s="10">
        <f>IFERROR(__xludf.DUMMYFUNCTION("""COMPUTED_VALUE"""),1450.0)</f>
        <v>1450</v>
      </c>
      <c r="C2918" s="10">
        <f>IFERROR(__xludf.DUMMYFUNCTION("""COMPUTED_VALUE"""),17064.0)</f>
        <v>17064</v>
      </c>
      <c r="D2918" s="5">
        <f>IFERROR(__xludf.DUMMYFUNCTION("""COMPUTED_VALUE"""),0.34270526450621236)</f>
        <v>0.3427052645</v>
      </c>
      <c r="E2918" s="5">
        <f>IFERROR(__xludf.DUMMYFUNCTION("""COMPUTED_VALUE"""),0.12693736390418855)</f>
        <v>0.1269373639</v>
      </c>
      <c r="F2918" s="5">
        <f>IFERROR(__xludf.DUMMYFUNCTION("""COMPUTED_VALUE"""),0.2160881260407327)</f>
        <v>0.216088126</v>
      </c>
      <c r="G2918" s="5">
        <f>IFERROR(__xludf.DUMMYFUNCTION("""COMPUTED_VALUE"""),0.17183297041116946)</f>
        <v>0.1718329704</v>
      </c>
      <c r="H2918" s="5">
        <f>IFERROR(__xludf.DUMMYFUNCTION("""COMPUTED_VALUE"""),0.5942501481920569)</f>
        <v>0.5942501482</v>
      </c>
      <c r="I2918" s="11">
        <f>IFERROR(__xludf.DUMMYFUNCTION("""COMPUTED_VALUE"""),5426.911677534084)</f>
        <v>5426.911678</v>
      </c>
      <c r="J2918" s="10">
        <f>IFERROR(__xludf.DUMMYFUNCTION("""COMPUTED_VALUE"""),2.0)</f>
        <v>2</v>
      </c>
      <c r="K2918" s="5">
        <f>IFERROR(__xludf.DUMMYFUNCTION("""COMPUTED_VALUE"""),0.001379310344827586)</f>
        <v>0.001379310345</v>
      </c>
      <c r="L2918" s="10">
        <f>IFERROR(__xludf.DUMMYFUNCTION("""COMPUTED_VALUE"""),1450.0)</f>
        <v>1450</v>
      </c>
      <c r="M2918" s="5">
        <f>IFERROR(__xludf.DUMMYFUNCTION("""COMPUTED_VALUE"""),1.0)</f>
        <v>1</v>
      </c>
    </row>
    <row r="2919">
      <c r="A2919" s="10" t="str">
        <f>IFERROR(__xludf.DUMMYFUNCTION("""COMPUTED_VALUE"""),"ワンタン＠横浜")</f>
        <v>ワンタン＠横浜</v>
      </c>
      <c r="B2919" s="10">
        <f>IFERROR(__xludf.DUMMYFUNCTION("""COMPUTED_VALUE"""),1225.0)</f>
        <v>1225</v>
      </c>
      <c r="C2919" s="10">
        <f>IFERROR(__xludf.DUMMYFUNCTION("""COMPUTED_VALUE"""),14429.0)</f>
        <v>14429</v>
      </c>
      <c r="D2919" s="5">
        <f>IFERROR(__xludf.DUMMYFUNCTION("""COMPUTED_VALUE"""),0.33262647682520446)</f>
        <v>0.3326264768</v>
      </c>
      <c r="E2919" s="5">
        <f>IFERROR(__xludf.DUMMYFUNCTION("""COMPUTED_VALUE"""),0.12693123295970918)</f>
        <v>0.126931233</v>
      </c>
      <c r="F2919" s="5">
        <f>IFERROR(__xludf.DUMMYFUNCTION("""COMPUTED_VALUE"""),0.21205695243865497)</f>
        <v>0.2120569524</v>
      </c>
      <c r="G2919" s="5">
        <f>IFERROR(__xludf.DUMMYFUNCTION("""COMPUTED_VALUE"""),0.17888518630717964)</f>
        <v>0.1788851863</v>
      </c>
      <c r="H2919" s="5">
        <f>IFERROR(__xludf.DUMMYFUNCTION("""COMPUTED_VALUE"""),0.6142857142857143)</f>
        <v>0.6142857143</v>
      </c>
      <c r="I2919" s="11">
        <f>IFERROR(__xludf.DUMMYFUNCTION("""COMPUTED_VALUE"""),5630.75)</f>
        <v>5630.75</v>
      </c>
      <c r="J2919" s="10">
        <f>IFERROR(__xludf.DUMMYFUNCTION("""COMPUTED_VALUE"""),2.0)</f>
        <v>2</v>
      </c>
      <c r="K2919" s="5">
        <f>IFERROR(__xludf.DUMMYFUNCTION("""COMPUTED_VALUE"""),0.0016326530612244899)</f>
        <v>0.001632653061</v>
      </c>
      <c r="L2919" s="10">
        <f>IFERROR(__xludf.DUMMYFUNCTION("""COMPUTED_VALUE"""),1146.0)</f>
        <v>1146</v>
      </c>
      <c r="M2919" s="5">
        <f>IFERROR(__xludf.DUMMYFUNCTION("""COMPUTED_VALUE"""),0.9355102040816327)</f>
        <v>0.9355102041</v>
      </c>
    </row>
    <row r="2920">
      <c r="A2920" s="10" t="str">
        <f>IFERROR(__xludf.DUMMYFUNCTION("""COMPUTED_VALUE"""),"すたちな.")</f>
        <v>すたちな.</v>
      </c>
      <c r="B2920" s="10">
        <f>IFERROR(__xludf.DUMMYFUNCTION("""COMPUTED_VALUE"""),556.0)</f>
        <v>556</v>
      </c>
      <c r="C2920" s="10">
        <f>IFERROR(__xludf.DUMMYFUNCTION("""COMPUTED_VALUE"""),6521.0)</f>
        <v>6521</v>
      </c>
      <c r="D2920" s="5">
        <f>IFERROR(__xludf.DUMMYFUNCTION("""COMPUTED_VALUE"""),0.355406538139145)</f>
        <v>0.3554065381</v>
      </c>
      <c r="E2920" s="5">
        <f>IFERROR(__xludf.DUMMYFUNCTION("""COMPUTED_VALUE"""),0.12690695725062867)</f>
        <v>0.1269069573</v>
      </c>
      <c r="F2920" s="5">
        <f>IFERROR(__xludf.DUMMYFUNCTION("""COMPUTED_VALUE"""),0.20905280804694049)</f>
        <v>0.209052808</v>
      </c>
      <c r="G2920" s="5">
        <f>IFERROR(__xludf.DUMMYFUNCTION("""COMPUTED_VALUE"""),0.15054484492875106)</f>
        <v>0.1505448449</v>
      </c>
      <c r="H2920" s="5">
        <f>IFERROR(__xludf.DUMMYFUNCTION("""COMPUTED_VALUE"""),0.6134723336006416)</f>
        <v>0.6134723336</v>
      </c>
      <c r="I2920" s="11">
        <f>IFERROR(__xludf.DUMMYFUNCTION("""COMPUTED_VALUE"""),5425.260625501203)</f>
        <v>5425.260626</v>
      </c>
      <c r="J2920" s="10">
        <f>IFERROR(__xludf.DUMMYFUNCTION("""COMPUTED_VALUE"""),1.0)</f>
        <v>1</v>
      </c>
      <c r="K2920" s="5">
        <f>IFERROR(__xludf.DUMMYFUNCTION("""COMPUTED_VALUE"""),0.0017985611510791368)</f>
        <v>0.001798561151</v>
      </c>
      <c r="L2920" s="10">
        <f>IFERROR(__xludf.DUMMYFUNCTION("""COMPUTED_VALUE"""),554.0)</f>
        <v>554</v>
      </c>
      <c r="M2920" s="5">
        <f>IFERROR(__xludf.DUMMYFUNCTION("""COMPUTED_VALUE"""),0.9964028776978417)</f>
        <v>0.9964028777</v>
      </c>
    </row>
    <row r="2921">
      <c r="A2921" s="10" t="str">
        <f>IFERROR(__xludf.DUMMYFUNCTION("""COMPUTED_VALUE"""),"神楽坂ゆか")</f>
        <v>神楽坂ゆか</v>
      </c>
      <c r="B2921" s="10">
        <f>IFERROR(__xludf.DUMMYFUNCTION("""COMPUTED_VALUE"""),1662.0)</f>
        <v>1662</v>
      </c>
      <c r="C2921" s="10">
        <f>IFERROR(__xludf.DUMMYFUNCTION("""COMPUTED_VALUE"""),19754.0)</f>
        <v>19754</v>
      </c>
      <c r="D2921" s="5">
        <f>IFERROR(__xludf.DUMMYFUNCTION("""COMPUTED_VALUE"""),0.37497236347556934)</f>
        <v>0.3749723635</v>
      </c>
      <c r="E2921" s="5">
        <f>IFERROR(__xludf.DUMMYFUNCTION("""COMPUTED_VALUE"""),0.12690692018571745)</f>
        <v>0.1269069202</v>
      </c>
      <c r="F2921" s="5">
        <f>IFERROR(__xludf.DUMMYFUNCTION("""COMPUTED_VALUE"""),0.20644483749723636)</f>
        <v>0.2064448375</v>
      </c>
      <c r="G2921" s="5">
        <f>IFERROR(__xludf.DUMMYFUNCTION("""COMPUTED_VALUE"""),0.17615520672120275)</f>
        <v>0.1761552067</v>
      </c>
      <c r="H2921" s="5">
        <f>IFERROR(__xludf.DUMMYFUNCTION("""COMPUTED_VALUE"""),0.5906291834002677)</f>
        <v>0.5906291834</v>
      </c>
      <c r="I2921" s="11">
        <f>IFERROR(__xludf.DUMMYFUNCTION("""COMPUTED_VALUE"""),5585.622489959839)</f>
        <v>5585.62249</v>
      </c>
      <c r="J2921" s="10">
        <f>IFERROR(__xludf.DUMMYFUNCTION("""COMPUTED_VALUE"""),3.0)</f>
        <v>3</v>
      </c>
      <c r="K2921" s="5">
        <f>IFERROR(__xludf.DUMMYFUNCTION("""COMPUTED_VALUE"""),0.0018050541516245488)</f>
        <v>0.001805054152</v>
      </c>
      <c r="L2921" s="10">
        <f>IFERROR(__xludf.DUMMYFUNCTION("""COMPUTED_VALUE"""),1589.0)</f>
        <v>1589</v>
      </c>
      <c r="M2921" s="5">
        <f>IFERROR(__xludf.DUMMYFUNCTION("""COMPUTED_VALUE"""),0.9560770156438027)</f>
        <v>0.9560770156</v>
      </c>
    </row>
    <row r="2922">
      <c r="A2922" s="10" t="str">
        <f>IFERROR(__xludf.DUMMYFUNCTION("""COMPUTED_VALUE"""),"地獄モード専用")</f>
        <v>地獄モード専用</v>
      </c>
      <c r="B2922" s="10">
        <f>IFERROR(__xludf.DUMMYFUNCTION("""COMPUTED_VALUE"""),444.0)</f>
        <v>444</v>
      </c>
      <c r="C2922" s="10">
        <f>IFERROR(__xludf.DUMMYFUNCTION("""COMPUTED_VALUE"""),5180.0)</f>
        <v>5180</v>
      </c>
      <c r="D2922" s="5">
        <f>IFERROR(__xludf.DUMMYFUNCTION("""COMPUTED_VALUE"""),0.37922297297297297)</f>
        <v>0.379222973</v>
      </c>
      <c r="E2922" s="5">
        <f>IFERROR(__xludf.DUMMYFUNCTION("""COMPUTED_VALUE"""),0.12690033783783783)</f>
        <v>0.1269003378</v>
      </c>
      <c r="F2922" s="5">
        <f>IFERROR(__xludf.DUMMYFUNCTION("""COMPUTED_VALUE"""),0.2126266891891892)</f>
        <v>0.2126266892</v>
      </c>
      <c r="G2922" s="5">
        <f>IFERROR(__xludf.DUMMYFUNCTION("""COMPUTED_VALUE"""),0.15371621621621623)</f>
        <v>0.1537162162</v>
      </c>
      <c r="H2922" s="5">
        <f>IFERROR(__xludf.DUMMYFUNCTION("""COMPUTED_VALUE"""),0.6007944389275075)</f>
        <v>0.6007944389</v>
      </c>
      <c r="I2922" s="11">
        <f>IFERROR(__xludf.DUMMYFUNCTION("""COMPUTED_VALUE"""),5561.668321747766)</f>
        <v>5561.668322</v>
      </c>
      <c r="J2922" s="10">
        <f>IFERROR(__xludf.DUMMYFUNCTION("""COMPUTED_VALUE"""),1.0)</f>
        <v>1</v>
      </c>
      <c r="K2922" s="5">
        <f>IFERROR(__xludf.DUMMYFUNCTION("""COMPUTED_VALUE"""),0.0022522522522522522)</f>
        <v>0.002252252252</v>
      </c>
      <c r="L2922" s="10">
        <f>IFERROR(__xludf.DUMMYFUNCTION("""COMPUTED_VALUE"""),444.0)</f>
        <v>444</v>
      </c>
      <c r="M2922" s="5">
        <f>IFERROR(__xludf.DUMMYFUNCTION("""COMPUTED_VALUE"""),1.0)</f>
        <v>1</v>
      </c>
    </row>
    <row r="2923">
      <c r="A2923" s="10" t="str">
        <f>IFERROR(__xludf.DUMMYFUNCTION("""COMPUTED_VALUE"""),"ごんざぶろー")</f>
        <v>ごんざぶろー</v>
      </c>
      <c r="B2923" s="10">
        <f>IFERROR(__xludf.DUMMYFUNCTION("""COMPUTED_VALUE"""),1625.0)</f>
        <v>1625</v>
      </c>
      <c r="C2923" s="10">
        <f>IFERROR(__xludf.DUMMYFUNCTION("""COMPUTED_VALUE"""),18986.0)</f>
        <v>18986</v>
      </c>
      <c r="D2923" s="5">
        <f>IFERROR(__xludf.DUMMYFUNCTION("""COMPUTED_VALUE"""),0.36956396520937734)</f>
        <v>0.3695639652</v>
      </c>
      <c r="E2923" s="5">
        <f>IFERROR(__xludf.DUMMYFUNCTION("""COMPUTED_VALUE"""),0.12689361211911757)</f>
        <v>0.1268936121</v>
      </c>
      <c r="F2923" s="5">
        <f>IFERROR(__xludf.DUMMYFUNCTION("""COMPUTED_VALUE"""),0.20983814296411496)</f>
        <v>0.209838143</v>
      </c>
      <c r="G2923" s="5">
        <f>IFERROR(__xludf.DUMMYFUNCTION("""COMPUTED_VALUE"""),0.15177697137261678)</f>
        <v>0.1517769714</v>
      </c>
      <c r="H2923" s="5">
        <f>IFERROR(__xludf.DUMMYFUNCTION("""COMPUTED_VALUE"""),0.6104858632994784)</f>
        <v>0.6104858633</v>
      </c>
      <c r="I2923" s="11">
        <f>IFERROR(__xludf.DUMMYFUNCTION("""COMPUTED_VALUE"""),5539.143562997529)</f>
        <v>5539.143563</v>
      </c>
      <c r="J2923" s="10">
        <f>IFERROR(__xludf.DUMMYFUNCTION("""COMPUTED_VALUE"""),6.0)</f>
        <v>6</v>
      </c>
      <c r="K2923" s="5">
        <f>IFERROR(__xludf.DUMMYFUNCTION("""COMPUTED_VALUE"""),0.0036923076923076922)</f>
        <v>0.003692307692</v>
      </c>
      <c r="L2923" s="10">
        <f>IFERROR(__xludf.DUMMYFUNCTION("""COMPUTED_VALUE"""),1550.0)</f>
        <v>1550</v>
      </c>
      <c r="M2923" s="5">
        <f>IFERROR(__xludf.DUMMYFUNCTION("""COMPUTED_VALUE"""),0.9538461538461539)</f>
        <v>0.9538461538</v>
      </c>
    </row>
    <row r="2924">
      <c r="A2924" s="10" t="str">
        <f>IFERROR(__xludf.DUMMYFUNCTION("""COMPUTED_VALUE"""),"なのはなの！")</f>
        <v>なのはなの！</v>
      </c>
      <c r="B2924" s="10">
        <f>IFERROR(__xludf.DUMMYFUNCTION("""COMPUTED_VALUE"""),257.0)</f>
        <v>257</v>
      </c>
      <c r="C2924" s="10">
        <f>IFERROR(__xludf.DUMMYFUNCTION("""COMPUTED_VALUE"""),3039.0)</f>
        <v>3039</v>
      </c>
      <c r="D2924" s="5">
        <f>IFERROR(__xludf.DUMMYFUNCTION("""COMPUTED_VALUE"""),0.37419122933141624)</f>
        <v>0.3741912293</v>
      </c>
      <c r="E2924" s="5">
        <f>IFERROR(__xludf.DUMMYFUNCTION("""COMPUTED_VALUE"""),0.12688713156002876)</f>
        <v>0.1268871316</v>
      </c>
      <c r="F2924" s="5">
        <f>IFERROR(__xludf.DUMMYFUNCTION("""COMPUTED_VALUE"""),0.21782890007189074)</f>
        <v>0.2178289001</v>
      </c>
      <c r="G2924" s="5">
        <f>IFERROR(__xludf.DUMMYFUNCTION("""COMPUTED_VALUE"""),0.1498921639108555)</f>
        <v>0.1498921639</v>
      </c>
      <c r="H2924" s="5">
        <f>IFERROR(__xludf.DUMMYFUNCTION("""COMPUTED_VALUE"""),0.6023102310231023)</f>
        <v>0.602310231</v>
      </c>
      <c r="I2924" s="11">
        <f>IFERROR(__xludf.DUMMYFUNCTION("""COMPUTED_VALUE"""),5641.584158415842)</f>
        <v>5641.584158</v>
      </c>
      <c r="J2924" s="10">
        <f>IFERROR(__xludf.DUMMYFUNCTION("""COMPUTED_VALUE"""),0.0)</f>
        <v>0</v>
      </c>
      <c r="K2924" s="5">
        <f>IFERROR(__xludf.DUMMYFUNCTION("""COMPUTED_VALUE"""),0.0)</f>
        <v>0</v>
      </c>
      <c r="L2924" s="10">
        <f>IFERROR(__xludf.DUMMYFUNCTION("""COMPUTED_VALUE"""),0.0)</f>
        <v>0</v>
      </c>
      <c r="M2924" s="5">
        <f>IFERROR(__xludf.DUMMYFUNCTION("""COMPUTED_VALUE"""),0.0)</f>
        <v>0</v>
      </c>
    </row>
    <row r="2925">
      <c r="A2925" s="10" t="str">
        <f>IFERROR(__xludf.DUMMYFUNCTION("""COMPUTED_VALUE"""),"ken1104")</f>
        <v>ken1104</v>
      </c>
      <c r="B2925" s="10">
        <f>IFERROR(__xludf.DUMMYFUNCTION("""COMPUTED_VALUE"""),1176.0)</f>
        <v>1176</v>
      </c>
      <c r="C2925" s="10">
        <f>IFERROR(__xludf.DUMMYFUNCTION("""COMPUTED_VALUE"""),13857.0)</f>
        <v>13857</v>
      </c>
      <c r="D2925" s="5">
        <f>IFERROR(__xludf.DUMMYFUNCTION("""COMPUTED_VALUE"""),0.3261572431196278)</f>
        <v>0.3261572431</v>
      </c>
      <c r="E2925" s="5">
        <f>IFERROR(__xludf.DUMMYFUNCTION("""COMPUTED_VALUE"""),0.12688273795442)</f>
        <v>0.126882738</v>
      </c>
      <c r="F2925" s="5">
        <f>IFERROR(__xludf.DUMMYFUNCTION("""COMPUTED_VALUE"""),0.21741187603501302)</f>
        <v>0.217411876</v>
      </c>
      <c r="G2925" s="5">
        <f>IFERROR(__xludf.DUMMYFUNCTION("""COMPUTED_VALUE"""),0.20116710038640487)</f>
        <v>0.2011671004</v>
      </c>
      <c r="H2925" s="5">
        <f>IFERROR(__xludf.DUMMYFUNCTION("""COMPUTED_VALUE"""),0.6050054406964092)</f>
        <v>0.6050054407</v>
      </c>
      <c r="I2925" s="11">
        <f>IFERROR(__xludf.DUMMYFUNCTION("""COMPUTED_VALUE"""),5847.878128400435)</f>
        <v>5847.878128</v>
      </c>
      <c r="J2925" s="10">
        <f>IFERROR(__xludf.DUMMYFUNCTION("""COMPUTED_VALUE"""),3.0)</f>
        <v>3</v>
      </c>
      <c r="K2925" s="5">
        <f>IFERROR(__xludf.DUMMYFUNCTION("""COMPUTED_VALUE"""),0.002551020408163265)</f>
        <v>0.002551020408</v>
      </c>
      <c r="L2925" s="10">
        <f>IFERROR(__xludf.DUMMYFUNCTION("""COMPUTED_VALUE"""),1176.0)</f>
        <v>1176</v>
      </c>
      <c r="M2925" s="5">
        <f>IFERROR(__xludf.DUMMYFUNCTION("""COMPUTED_VALUE"""),1.0)</f>
        <v>1</v>
      </c>
    </row>
    <row r="2926">
      <c r="A2926" s="10" t="str">
        <f>IFERROR(__xludf.DUMMYFUNCTION("""COMPUTED_VALUE"""),"blue1")</f>
        <v>blue1</v>
      </c>
      <c r="B2926" s="10">
        <f>IFERROR(__xludf.DUMMYFUNCTION("""COMPUTED_VALUE"""),629.0)</f>
        <v>629</v>
      </c>
      <c r="C2926" s="10">
        <f>IFERROR(__xludf.DUMMYFUNCTION("""COMPUTED_VALUE"""),7297.0)</f>
        <v>7297</v>
      </c>
      <c r="D2926" s="5">
        <f>IFERROR(__xludf.DUMMYFUNCTION("""COMPUTED_VALUE"""),0.3194361127774445)</f>
        <v>0.3194361128</v>
      </c>
      <c r="E2926" s="5">
        <f>IFERROR(__xludf.DUMMYFUNCTION("""COMPUTED_VALUE"""),0.126874625074985)</f>
        <v>0.1268746251</v>
      </c>
      <c r="F2926" s="5">
        <f>IFERROR(__xludf.DUMMYFUNCTION("""COMPUTED_VALUE"""),0.22045590881823635)</f>
        <v>0.2204559088</v>
      </c>
      <c r="G2926" s="5">
        <f>IFERROR(__xludf.DUMMYFUNCTION("""COMPUTED_VALUE"""),0.2006598680263947)</f>
        <v>0.200659868</v>
      </c>
      <c r="H2926" s="5">
        <f>IFERROR(__xludf.DUMMYFUNCTION("""COMPUTED_VALUE"""),0.5816326530612245)</f>
        <v>0.5816326531</v>
      </c>
      <c r="I2926" s="11">
        <f>IFERROR(__xludf.DUMMYFUNCTION("""COMPUTED_VALUE"""),5865.714285714285)</f>
        <v>5865.714286</v>
      </c>
      <c r="J2926" s="10">
        <f>IFERROR(__xludf.DUMMYFUNCTION("""COMPUTED_VALUE"""),1.0)</f>
        <v>1</v>
      </c>
      <c r="K2926" s="5">
        <f>IFERROR(__xludf.DUMMYFUNCTION("""COMPUTED_VALUE"""),0.001589825119236884)</f>
        <v>0.001589825119</v>
      </c>
      <c r="L2926" s="10">
        <f>IFERROR(__xludf.DUMMYFUNCTION("""COMPUTED_VALUE"""),629.0)</f>
        <v>629</v>
      </c>
      <c r="M2926" s="5">
        <f>IFERROR(__xludf.DUMMYFUNCTION("""COMPUTED_VALUE"""),1.0)</f>
        <v>1</v>
      </c>
    </row>
    <row r="2927">
      <c r="A2927" s="10" t="str">
        <f>IFERROR(__xludf.DUMMYFUNCTION("""COMPUTED_VALUE"""),"星降る街")</f>
        <v>星降る街</v>
      </c>
      <c r="B2927" s="10">
        <f>IFERROR(__xludf.DUMMYFUNCTION("""COMPUTED_VALUE"""),2893.0)</f>
        <v>2893</v>
      </c>
      <c r="C2927" s="10">
        <f>IFERROR(__xludf.DUMMYFUNCTION("""COMPUTED_VALUE"""),34200.0)</f>
        <v>34200</v>
      </c>
      <c r="D2927" s="5">
        <f>IFERROR(__xludf.DUMMYFUNCTION("""COMPUTED_VALUE"""),0.3899766825310633)</f>
        <v>0.3899766825</v>
      </c>
      <c r="E2927" s="5">
        <f>IFERROR(__xludf.DUMMYFUNCTION("""COMPUTED_VALUE"""),0.12687258440604338)</f>
        <v>0.1268725844</v>
      </c>
      <c r="F2927" s="5">
        <f>IFERROR(__xludf.DUMMYFUNCTION("""COMPUTED_VALUE"""),0.22087712013287764)</f>
        <v>0.2208771201</v>
      </c>
      <c r="G2927" s="5">
        <f>IFERROR(__xludf.DUMMYFUNCTION("""COMPUTED_VALUE"""),0.1681732519883732)</f>
        <v>0.168173252</v>
      </c>
      <c r="H2927" s="5">
        <f>IFERROR(__xludf.DUMMYFUNCTION("""COMPUTED_VALUE"""),0.6021691973969632)</f>
        <v>0.6021691974</v>
      </c>
      <c r="I2927" s="11">
        <f>IFERROR(__xludf.DUMMYFUNCTION("""COMPUTED_VALUE"""),5401.807664497469)</f>
        <v>5401.807664</v>
      </c>
      <c r="J2927" s="10">
        <f>IFERROR(__xludf.DUMMYFUNCTION("""COMPUTED_VALUE"""),5.0)</f>
        <v>5</v>
      </c>
      <c r="K2927" s="5">
        <f>IFERROR(__xludf.DUMMYFUNCTION("""COMPUTED_VALUE"""),0.0017283097131005876)</f>
        <v>0.001728309713</v>
      </c>
      <c r="L2927" s="10">
        <f>IFERROR(__xludf.DUMMYFUNCTION("""COMPUTED_VALUE"""),0.0)</f>
        <v>0</v>
      </c>
      <c r="M2927" s="5">
        <f>IFERROR(__xludf.DUMMYFUNCTION("""COMPUTED_VALUE"""),0.0)</f>
        <v>0</v>
      </c>
    </row>
    <row r="2928">
      <c r="A2928" s="10" t="str">
        <f>IFERROR(__xludf.DUMMYFUNCTION("""COMPUTED_VALUE"""),"mixy")</f>
        <v>mixy</v>
      </c>
      <c r="B2928" s="10">
        <f>IFERROR(__xludf.DUMMYFUNCTION("""COMPUTED_VALUE"""),241.0)</f>
        <v>241</v>
      </c>
      <c r="C2928" s="10">
        <f>IFERROR(__xludf.DUMMYFUNCTION("""COMPUTED_VALUE"""),2850.0)</f>
        <v>2850</v>
      </c>
      <c r="D2928" s="5">
        <f>IFERROR(__xludf.DUMMYFUNCTION("""COMPUTED_VALUE"""),0.3744729781525489)</f>
        <v>0.3744729782</v>
      </c>
      <c r="E2928" s="5">
        <f>IFERROR(__xludf.DUMMYFUNCTION("""COMPUTED_VALUE"""),0.12686853200459947)</f>
        <v>0.126868532</v>
      </c>
      <c r="F2928" s="5">
        <f>IFERROR(__xludf.DUMMYFUNCTION("""COMPUTED_VALUE"""),0.21272518206209276)</f>
        <v>0.2127251821</v>
      </c>
      <c r="G2928" s="5">
        <f>IFERROR(__xludf.DUMMYFUNCTION("""COMPUTED_VALUE"""),0.16673054810272134)</f>
        <v>0.1667305481</v>
      </c>
      <c r="H2928" s="5">
        <f>IFERROR(__xludf.DUMMYFUNCTION("""COMPUTED_VALUE"""),0.6306306306306306)</f>
        <v>0.6306306306</v>
      </c>
      <c r="I2928" s="11">
        <f>IFERROR(__xludf.DUMMYFUNCTION("""COMPUTED_VALUE"""),5678.018018018018)</f>
        <v>5678.018018</v>
      </c>
      <c r="J2928" s="10">
        <f>IFERROR(__xludf.DUMMYFUNCTION("""COMPUTED_VALUE"""),2.0)</f>
        <v>2</v>
      </c>
      <c r="K2928" s="5">
        <f>IFERROR(__xludf.DUMMYFUNCTION("""COMPUTED_VALUE"""),0.008298755186721992)</f>
        <v>0.008298755187</v>
      </c>
      <c r="L2928" s="10">
        <f>IFERROR(__xludf.DUMMYFUNCTION("""COMPUTED_VALUE"""),241.0)</f>
        <v>241</v>
      </c>
      <c r="M2928" s="5">
        <f>IFERROR(__xludf.DUMMYFUNCTION("""COMPUTED_VALUE"""),1.0)</f>
        <v>1</v>
      </c>
    </row>
    <row r="2929">
      <c r="A2929" s="10" t="str">
        <f>IFERROR(__xludf.DUMMYFUNCTION("""COMPUTED_VALUE"""),"Hear†s18")</f>
        <v>Hear†s18</v>
      </c>
      <c r="B2929" s="10">
        <f>IFERROR(__xludf.DUMMYFUNCTION("""COMPUTED_VALUE"""),327.0)</f>
        <v>327</v>
      </c>
      <c r="C2929" s="10">
        <f>IFERROR(__xludf.DUMMYFUNCTION("""COMPUTED_VALUE"""),3874.0)</f>
        <v>3874</v>
      </c>
      <c r="D2929" s="5">
        <f>IFERROR(__xludf.DUMMYFUNCTION("""COMPUTED_VALUE"""),0.3543839864674373)</f>
        <v>0.3543839865</v>
      </c>
      <c r="E2929" s="5">
        <f>IFERROR(__xludf.DUMMYFUNCTION("""COMPUTED_VALUE"""),0.1268677755850014)</f>
        <v>0.1268677756</v>
      </c>
      <c r="F2929" s="5">
        <f>IFERROR(__xludf.DUMMYFUNCTION("""COMPUTED_VALUE"""),0.21764871722582463)</f>
        <v>0.2176487172</v>
      </c>
      <c r="G2929" s="5">
        <f>IFERROR(__xludf.DUMMYFUNCTION("""COMPUTED_VALUE"""),0.16098111079785735)</f>
        <v>0.1609811108</v>
      </c>
      <c r="H2929" s="5">
        <f>IFERROR(__xludf.DUMMYFUNCTION("""COMPUTED_VALUE"""),0.6113989637305699)</f>
        <v>0.6113989637</v>
      </c>
      <c r="I2929" s="11">
        <f>IFERROR(__xludf.DUMMYFUNCTION("""COMPUTED_VALUE"""),5199.481865284974)</f>
        <v>5199.481865</v>
      </c>
      <c r="J2929" s="10">
        <f>IFERROR(__xludf.DUMMYFUNCTION("""COMPUTED_VALUE"""),0.0)</f>
        <v>0</v>
      </c>
      <c r="K2929" s="5">
        <f>IFERROR(__xludf.DUMMYFUNCTION("""COMPUTED_VALUE"""),0.0)</f>
        <v>0</v>
      </c>
      <c r="L2929" s="10">
        <f>IFERROR(__xludf.DUMMYFUNCTION("""COMPUTED_VALUE"""),0.0)</f>
        <v>0</v>
      </c>
      <c r="M2929" s="5">
        <f>IFERROR(__xludf.DUMMYFUNCTION("""COMPUTED_VALUE"""),0.0)</f>
        <v>0</v>
      </c>
    </row>
    <row r="2930">
      <c r="A2930" s="10" t="str">
        <f>IFERROR(__xludf.DUMMYFUNCTION("""COMPUTED_VALUE"""),"鳴きに自信ニキ")</f>
        <v>鳴きに自信ニキ</v>
      </c>
      <c r="B2930" s="10">
        <f>IFERROR(__xludf.DUMMYFUNCTION("""COMPUTED_VALUE"""),365.0)</f>
        <v>365</v>
      </c>
      <c r="C2930" s="10">
        <f>IFERROR(__xludf.DUMMYFUNCTION("""COMPUTED_VALUE"""),4314.0)</f>
        <v>4314</v>
      </c>
      <c r="D2930" s="5">
        <f>IFERROR(__xludf.DUMMYFUNCTION("""COMPUTED_VALUE"""),0.426437072676627)</f>
        <v>0.4264370727</v>
      </c>
      <c r="E2930" s="5">
        <f>IFERROR(__xludf.DUMMYFUNCTION("""COMPUTED_VALUE"""),0.12686756140795138)</f>
        <v>0.1268675614</v>
      </c>
      <c r="F2930" s="5">
        <f>IFERROR(__xludf.DUMMYFUNCTION("""COMPUTED_VALUE"""),0.21954925297543681)</f>
        <v>0.219549253</v>
      </c>
      <c r="G2930" s="5">
        <f>IFERROR(__xludf.DUMMYFUNCTION("""COMPUTED_VALUE"""),0.14737908331223096)</f>
        <v>0.1473790833</v>
      </c>
      <c r="H2930" s="5">
        <f>IFERROR(__xludf.DUMMYFUNCTION("""COMPUTED_VALUE"""),0.6101499423298731)</f>
        <v>0.6101499423</v>
      </c>
      <c r="I2930" s="11">
        <f>IFERROR(__xludf.DUMMYFUNCTION("""COMPUTED_VALUE"""),4832.75663206459)</f>
        <v>4832.756632</v>
      </c>
      <c r="J2930" s="10">
        <f>IFERROR(__xludf.DUMMYFUNCTION("""COMPUTED_VALUE"""),0.0)</f>
        <v>0</v>
      </c>
      <c r="K2930" s="5">
        <f>IFERROR(__xludf.DUMMYFUNCTION("""COMPUTED_VALUE"""),0.0)</f>
        <v>0</v>
      </c>
      <c r="L2930" s="10">
        <f>IFERROR(__xludf.DUMMYFUNCTION("""COMPUTED_VALUE"""),14.0)</f>
        <v>14</v>
      </c>
      <c r="M2930" s="5">
        <f>IFERROR(__xludf.DUMMYFUNCTION("""COMPUTED_VALUE"""),0.038356164383561646)</f>
        <v>0.03835616438</v>
      </c>
    </row>
    <row r="2931">
      <c r="A2931" s="10" t="str">
        <f>IFERROR(__xludf.DUMMYFUNCTION("""COMPUTED_VALUE"""),"zouzou")</f>
        <v>zouzou</v>
      </c>
      <c r="B2931" s="10">
        <f>IFERROR(__xludf.DUMMYFUNCTION("""COMPUTED_VALUE"""),903.0)</f>
        <v>903</v>
      </c>
      <c r="C2931" s="10">
        <f>IFERROR(__xludf.DUMMYFUNCTION("""COMPUTED_VALUE"""),10638.0)</f>
        <v>10638</v>
      </c>
      <c r="D2931" s="5">
        <f>IFERROR(__xludf.DUMMYFUNCTION("""COMPUTED_VALUE"""),0.3606574216743708)</f>
        <v>0.3606574217</v>
      </c>
      <c r="E2931" s="5">
        <f>IFERROR(__xludf.DUMMYFUNCTION("""COMPUTED_VALUE"""),0.1268618387262455)</f>
        <v>0.1268618387</v>
      </c>
      <c r="F2931" s="5">
        <f>IFERROR(__xludf.DUMMYFUNCTION("""COMPUTED_VALUE"""),0.21345659989727786)</f>
        <v>0.2134565999</v>
      </c>
      <c r="G2931" s="5">
        <f>IFERROR(__xludf.DUMMYFUNCTION("""COMPUTED_VALUE"""),0.17010785824345145)</f>
        <v>0.1701078582</v>
      </c>
      <c r="H2931" s="5">
        <f>IFERROR(__xludf.DUMMYFUNCTION("""COMPUTED_VALUE"""),0.5976900866217517)</f>
        <v>0.5976900866</v>
      </c>
      <c r="I2931" s="11">
        <f>IFERROR(__xludf.DUMMYFUNCTION("""COMPUTED_VALUE"""),5433.878729547642)</f>
        <v>5433.87873</v>
      </c>
      <c r="J2931" s="10">
        <f>IFERROR(__xludf.DUMMYFUNCTION("""COMPUTED_VALUE"""),2.0)</f>
        <v>2</v>
      </c>
      <c r="K2931" s="5">
        <f>IFERROR(__xludf.DUMMYFUNCTION("""COMPUTED_VALUE"""),0.0022148394241417496)</f>
        <v>0.002214839424</v>
      </c>
      <c r="L2931" s="10">
        <f>IFERROR(__xludf.DUMMYFUNCTION("""COMPUTED_VALUE"""),902.0)</f>
        <v>902</v>
      </c>
      <c r="M2931" s="5">
        <f>IFERROR(__xludf.DUMMYFUNCTION("""COMPUTED_VALUE"""),0.9988925802879292)</f>
        <v>0.9988925803</v>
      </c>
    </row>
    <row r="2932">
      <c r="A2932" s="10" t="str">
        <f>IFERROR(__xludf.DUMMYFUNCTION("""COMPUTED_VALUE"""),"よしだいたる")</f>
        <v>よしだいたる</v>
      </c>
      <c r="B2932" s="10">
        <f>IFERROR(__xludf.DUMMYFUNCTION("""COMPUTED_VALUE"""),551.0)</f>
        <v>551</v>
      </c>
      <c r="C2932" s="10">
        <f>IFERROR(__xludf.DUMMYFUNCTION("""COMPUTED_VALUE"""),6463.0)</f>
        <v>6463</v>
      </c>
      <c r="D2932" s="5">
        <f>IFERROR(__xludf.DUMMYFUNCTION("""COMPUTED_VALUE"""),0.310723951285521)</f>
        <v>0.3107239513</v>
      </c>
      <c r="E2932" s="5">
        <f>IFERROR(__xludf.DUMMYFUNCTION("""COMPUTED_VALUE"""),0.12686062246278756)</f>
        <v>0.1268606225</v>
      </c>
      <c r="F2932" s="5">
        <f>IFERROR(__xludf.DUMMYFUNCTION("""COMPUTED_VALUE"""),0.21380243572395127)</f>
        <v>0.2138024357</v>
      </c>
      <c r="G2932" s="5">
        <f>IFERROR(__xludf.DUMMYFUNCTION("""COMPUTED_VALUE"""),0.19029093369418132)</f>
        <v>0.1902909337</v>
      </c>
      <c r="H2932" s="5">
        <f>IFERROR(__xludf.DUMMYFUNCTION("""COMPUTED_VALUE"""),0.5965189873417721)</f>
        <v>0.5965189873</v>
      </c>
      <c r="I2932" s="11">
        <f>IFERROR(__xludf.DUMMYFUNCTION("""COMPUTED_VALUE"""),5788.132911392405)</f>
        <v>5788.132911</v>
      </c>
      <c r="J2932" s="10">
        <f>IFERROR(__xludf.DUMMYFUNCTION("""COMPUTED_VALUE"""),4.0)</f>
        <v>4</v>
      </c>
      <c r="K2932" s="5">
        <f>IFERROR(__xludf.DUMMYFUNCTION("""COMPUTED_VALUE"""),0.007259528130671506)</f>
        <v>0.007259528131</v>
      </c>
      <c r="L2932" s="10">
        <f>IFERROR(__xludf.DUMMYFUNCTION("""COMPUTED_VALUE"""),551.0)</f>
        <v>551</v>
      </c>
      <c r="M2932" s="5">
        <f>IFERROR(__xludf.DUMMYFUNCTION("""COMPUTED_VALUE"""),1.0)</f>
        <v>1</v>
      </c>
    </row>
    <row r="2933">
      <c r="A2933" s="10" t="str">
        <f>IFERROR(__xludf.DUMMYFUNCTION("""COMPUTED_VALUE"""),"オブロンスキー")</f>
        <v>オブロンスキー</v>
      </c>
      <c r="B2933" s="10">
        <f>IFERROR(__xludf.DUMMYFUNCTION("""COMPUTED_VALUE"""),825.0)</f>
        <v>825</v>
      </c>
      <c r="C2933" s="10">
        <f>IFERROR(__xludf.DUMMYFUNCTION("""COMPUTED_VALUE"""),9670.0)</f>
        <v>9670</v>
      </c>
      <c r="D2933" s="5">
        <f>IFERROR(__xludf.DUMMYFUNCTION("""COMPUTED_VALUE"""),0.3857546636517807)</f>
        <v>0.3857546637</v>
      </c>
      <c r="E2933" s="5">
        <f>IFERROR(__xludf.DUMMYFUNCTION("""COMPUTED_VALUE"""),0.1268513284341436)</f>
        <v>0.1268513284</v>
      </c>
      <c r="F2933" s="5">
        <f>IFERROR(__xludf.DUMMYFUNCTION("""COMPUTED_VALUE"""),0.2115319389485585)</f>
        <v>0.2115319389</v>
      </c>
      <c r="G2933" s="5">
        <f>IFERROR(__xludf.DUMMYFUNCTION("""COMPUTED_VALUE"""),0.17524024872809496)</f>
        <v>0.1752402487</v>
      </c>
      <c r="H2933" s="5">
        <f>IFERROR(__xludf.DUMMYFUNCTION("""COMPUTED_VALUE"""),0.598610368786745)</f>
        <v>0.5986103688</v>
      </c>
      <c r="I2933" s="11">
        <f>IFERROR(__xludf.DUMMYFUNCTION("""COMPUTED_VALUE"""),5702.77926242651)</f>
        <v>5702.779262</v>
      </c>
      <c r="J2933" s="10">
        <f>IFERROR(__xludf.DUMMYFUNCTION("""COMPUTED_VALUE"""),1.0)</f>
        <v>1</v>
      </c>
      <c r="K2933" s="5">
        <f>IFERROR(__xludf.DUMMYFUNCTION("""COMPUTED_VALUE"""),0.0012121212121212121)</f>
        <v>0.001212121212</v>
      </c>
      <c r="L2933" s="10">
        <f>IFERROR(__xludf.DUMMYFUNCTION("""COMPUTED_VALUE"""),825.0)</f>
        <v>825</v>
      </c>
      <c r="M2933" s="5">
        <f>IFERROR(__xludf.DUMMYFUNCTION("""COMPUTED_VALUE"""),1.0)</f>
        <v>1</v>
      </c>
    </row>
    <row r="2934">
      <c r="A2934" s="10" t="str">
        <f>IFERROR(__xludf.DUMMYFUNCTION("""COMPUTED_VALUE"""),"壇☆蜜")</f>
        <v>壇☆蜜</v>
      </c>
      <c r="B2934" s="10">
        <f>IFERROR(__xludf.DUMMYFUNCTION("""COMPUTED_VALUE"""),563.0)</f>
        <v>563</v>
      </c>
      <c r="C2934" s="10">
        <f>IFERROR(__xludf.DUMMYFUNCTION("""COMPUTED_VALUE"""),6594.0)</f>
        <v>6594</v>
      </c>
      <c r="D2934" s="5">
        <f>IFERROR(__xludf.DUMMYFUNCTION("""COMPUTED_VALUE"""),0.36925882938152876)</f>
        <v>0.3692588294</v>
      </c>
      <c r="E2934" s="5">
        <f>IFERROR(__xludf.DUMMYFUNCTION("""COMPUTED_VALUE"""),0.12684463604709004)</f>
        <v>0.126844636</v>
      </c>
      <c r="F2934" s="5">
        <f>IFERROR(__xludf.DUMMYFUNCTION("""COMPUTED_VALUE"""),0.20460951749295309)</f>
        <v>0.2046095175</v>
      </c>
      <c r="G2934" s="5">
        <f>IFERROR(__xludf.DUMMYFUNCTION("""COMPUTED_VALUE"""),0.15038965345713812)</f>
        <v>0.1503896535</v>
      </c>
      <c r="H2934" s="5">
        <f>IFERROR(__xludf.DUMMYFUNCTION("""COMPUTED_VALUE"""),0.5705024311183144)</f>
        <v>0.5705024311</v>
      </c>
      <c r="I2934" s="11">
        <f>IFERROR(__xludf.DUMMYFUNCTION("""COMPUTED_VALUE"""),5720.745542949757)</f>
        <v>5720.745543</v>
      </c>
      <c r="J2934" s="10">
        <f>IFERROR(__xludf.DUMMYFUNCTION("""COMPUTED_VALUE"""),1.0)</f>
        <v>1</v>
      </c>
      <c r="K2934" s="5">
        <f>IFERROR(__xludf.DUMMYFUNCTION("""COMPUTED_VALUE"""),0.0017761989342806395)</f>
        <v>0.001776198934</v>
      </c>
      <c r="L2934" s="10">
        <f>IFERROR(__xludf.DUMMYFUNCTION("""COMPUTED_VALUE"""),563.0)</f>
        <v>563</v>
      </c>
      <c r="M2934" s="5">
        <f>IFERROR(__xludf.DUMMYFUNCTION("""COMPUTED_VALUE"""),1.0)</f>
        <v>1</v>
      </c>
    </row>
    <row r="2935">
      <c r="A2935" s="10" t="str">
        <f>IFERROR(__xludf.DUMMYFUNCTION("""COMPUTED_VALUE"""),"菊田優一郎")</f>
        <v>菊田優一郎</v>
      </c>
      <c r="B2935" s="10">
        <f>IFERROR(__xludf.DUMMYFUNCTION("""COMPUTED_VALUE"""),541.0)</f>
        <v>541</v>
      </c>
      <c r="C2935" s="10">
        <f>IFERROR(__xludf.DUMMYFUNCTION("""COMPUTED_VALUE"""),6265.0)</f>
        <v>6265</v>
      </c>
      <c r="D2935" s="5">
        <f>IFERROR(__xludf.DUMMYFUNCTION("""COMPUTED_VALUE"""),0.3366526904262753)</f>
        <v>0.3366526904</v>
      </c>
      <c r="E2935" s="5">
        <f>IFERROR(__xludf.DUMMYFUNCTION("""COMPUTED_VALUE"""),0.12683438155136267)</f>
        <v>0.1268343816</v>
      </c>
      <c r="F2935" s="5">
        <f>IFERROR(__xludf.DUMMYFUNCTION("""COMPUTED_VALUE"""),0.20317959468902866)</f>
        <v>0.2031795947</v>
      </c>
      <c r="G2935" s="5">
        <f>IFERROR(__xludf.DUMMYFUNCTION("""COMPUTED_VALUE"""),0.13015373864430468)</f>
        <v>0.1301537386</v>
      </c>
      <c r="H2935" s="5">
        <f>IFERROR(__xludf.DUMMYFUNCTION("""COMPUTED_VALUE"""),0.6044711951848667)</f>
        <v>0.6044711952</v>
      </c>
      <c r="I2935" s="11">
        <f>IFERROR(__xludf.DUMMYFUNCTION("""COMPUTED_VALUE"""),5507.13671539123)</f>
        <v>5507.136715</v>
      </c>
      <c r="J2935" s="10">
        <f>IFERROR(__xludf.DUMMYFUNCTION("""COMPUTED_VALUE"""),0.0)</f>
        <v>0</v>
      </c>
      <c r="K2935" s="5">
        <f>IFERROR(__xludf.DUMMYFUNCTION("""COMPUTED_VALUE"""),0.0)</f>
        <v>0</v>
      </c>
      <c r="L2935" s="10">
        <f>IFERROR(__xludf.DUMMYFUNCTION("""COMPUTED_VALUE"""),456.0)</f>
        <v>456</v>
      </c>
      <c r="M2935" s="5">
        <f>IFERROR(__xludf.DUMMYFUNCTION("""COMPUTED_VALUE"""),0.8428835489833642)</f>
        <v>0.842883549</v>
      </c>
    </row>
    <row r="2936">
      <c r="A2936" s="10" t="str">
        <f>IFERROR(__xludf.DUMMYFUNCTION("""COMPUTED_VALUE"""),"LON")</f>
        <v>LON</v>
      </c>
      <c r="B2936" s="10">
        <f>IFERROR(__xludf.DUMMYFUNCTION("""COMPUTED_VALUE"""),206.0)</f>
        <v>206</v>
      </c>
      <c r="C2936" s="10">
        <f>IFERROR(__xludf.DUMMYFUNCTION("""COMPUTED_VALUE"""),2461.0)</f>
        <v>2461</v>
      </c>
      <c r="D2936" s="5">
        <f>IFERROR(__xludf.DUMMYFUNCTION("""COMPUTED_VALUE"""),0.34722838137472284)</f>
        <v>0.3472283814</v>
      </c>
      <c r="E2936" s="5">
        <f>IFERROR(__xludf.DUMMYFUNCTION("""COMPUTED_VALUE"""),0.12682926829268293)</f>
        <v>0.1268292683</v>
      </c>
      <c r="F2936" s="5">
        <f>IFERROR(__xludf.DUMMYFUNCTION("""COMPUTED_VALUE"""),0.19645232815964522)</f>
        <v>0.1964523282</v>
      </c>
      <c r="G2936" s="5">
        <f>IFERROR(__xludf.DUMMYFUNCTION("""COMPUTED_VALUE"""),0.19246119733924613)</f>
        <v>0.1924611973</v>
      </c>
      <c r="H2936" s="5">
        <f>IFERROR(__xludf.DUMMYFUNCTION("""COMPUTED_VALUE"""),0.5869074492099323)</f>
        <v>0.5869074492</v>
      </c>
      <c r="I2936" s="11">
        <f>IFERROR(__xludf.DUMMYFUNCTION("""COMPUTED_VALUE"""),6019.638826185102)</f>
        <v>6019.638826</v>
      </c>
      <c r="J2936" s="10">
        <f>IFERROR(__xludf.DUMMYFUNCTION("""COMPUTED_VALUE"""),2.0)</f>
        <v>2</v>
      </c>
      <c r="K2936" s="5">
        <f>IFERROR(__xludf.DUMMYFUNCTION("""COMPUTED_VALUE"""),0.009708737864077669)</f>
        <v>0.009708737864</v>
      </c>
      <c r="L2936" s="10">
        <f>IFERROR(__xludf.DUMMYFUNCTION("""COMPUTED_VALUE"""),206.0)</f>
        <v>206</v>
      </c>
      <c r="M2936" s="5">
        <f>IFERROR(__xludf.DUMMYFUNCTION("""COMPUTED_VALUE"""),1.0)</f>
        <v>1</v>
      </c>
    </row>
    <row r="2937">
      <c r="A2937" s="10" t="str">
        <f>IFERROR(__xludf.DUMMYFUNCTION("""COMPUTED_VALUE"""),"フィア.")</f>
        <v>フィア.</v>
      </c>
      <c r="B2937" s="10">
        <f>IFERROR(__xludf.DUMMYFUNCTION("""COMPUTED_VALUE"""),431.0)</f>
        <v>431</v>
      </c>
      <c r="C2937" s="10">
        <f>IFERROR(__xludf.DUMMYFUNCTION("""COMPUTED_VALUE"""),5020.0)</f>
        <v>5020</v>
      </c>
      <c r="D2937" s="5">
        <f>IFERROR(__xludf.DUMMYFUNCTION("""COMPUTED_VALUE"""),0.33079102200915234)</f>
        <v>0.330791022</v>
      </c>
      <c r="E2937" s="5">
        <f>IFERROR(__xludf.DUMMYFUNCTION("""COMPUTED_VALUE"""),0.12682501634342994)</f>
        <v>0.1268250163</v>
      </c>
      <c r="F2937" s="5">
        <f>IFERROR(__xludf.DUMMYFUNCTION("""COMPUTED_VALUE"""),0.21333623883198954)</f>
        <v>0.2133362388</v>
      </c>
      <c r="G2937" s="5">
        <f>IFERROR(__xludf.DUMMYFUNCTION("""COMPUTED_VALUE"""),0.16844628459359337)</f>
        <v>0.1684462846</v>
      </c>
      <c r="H2937" s="5">
        <f>IFERROR(__xludf.DUMMYFUNCTION("""COMPUTED_VALUE"""),0.6189989785495403)</f>
        <v>0.6189989785</v>
      </c>
      <c r="I2937" s="11">
        <f>IFERROR(__xludf.DUMMYFUNCTION("""COMPUTED_VALUE"""),5584.065372829417)</f>
        <v>5584.065373</v>
      </c>
      <c r="J2937" s="10">
        <f>IFERROR(__xludf.DUMMYFUNCTION("""COMPUTED_VALUE"""),2.0)</f>
        <v>2</v>
      </c>
      <c r="K2937" s="5">
        <f>IFERROR(__xludf.DUMMYFUNCTION("""COMPUTED_VALUE"""),0.004640371229698376)</f>
        <v>0.00464037123</v>
      </c>
      <c r="L2937" s="10">
        <f>IFERROR(__xludf.DUMMYFUNCTION("""COMPUTED_VALUE"""),431.0)</f>
        <v>431</v>
      </c>
      <c r="M2937" s="5">
        <f>IFERROR(__xludf.DUMMYFUNCTION("""COMPUTED_VALUE"""),1.0)</f>
        <v>1</v>
      </c>
    </row>
    <row r="2938">
      <c r="A2938" s="10" t="str">
        <f>IFERROR(__xludf.DUMMYFUNCTION("""COMPUTED_VALUE"""),"Teresa39")</f>
        <v>Teresa39</v>
      </c>
      <c r="B2938" s="10">
        <f>IFERROR(__xludf.DUMMYFUNCTION("""COMPUTED_VALUE"""),517.0)</f>
        <v>517</v>
      </c>
      <c r="C2938" s="10">
        <f>IFERROR(__xludf.DUMMYFUNCTION("""COMPUTED_VALUE"""),6092.0)</f>
        <v>6092</v>
      </c>
      <c r="D2938" s="5">
        <f>IFERROR(__xludf.DUMMYFUNCTION("""COMPUTED_VALUE"""),0.3580269058295964)</f>
        <v>0.3580269058</v>
      </c>
      <c r="E2938" s="5">
        <f>IFERROR(__xludf.DUMMYFUNCTION("""COMPUTED_VALUE"""),0.12681614349775785)</f>
        <v>0.1268161435</v>
      </c>
      <c r="F2938" s="5">
        <f>IFERROR(__xludf.DUMMYFUNCTION("""COMPUTED_VALUE"""),0.2166816143497758)</f>
        <v>0.2166816143</v>
      </c>
      <c r="G2938" s="5">
        <f>IFERROR(__xludf.DUMMYFUNCTION("""COMPUTED_VALUE"""),0.18923766816143497)</f>
        <v>0.1892376682</v>
      </c>
      <c r="H2938" s="5">
        <f>IFERROR(__xludf.DUMMYFUNCTION("""COMPUTED_VALUE"""),0.5745033112582781)</f>
        <v>0.5745033113</v>
      </c>
      <c r="I2938" s="11">
        <f>IFERROR(__xludf.DUMMYFUNCTION("""COMPUTED_VALUE"""),5195.695364238411)</f>
        <v>5195.695364</v>
      </c>
      <c r="J2938" s="10">
        <f>IFERROR(__xludf.DUMMYFUNCTION("""COMPUTED_VALUE"""),0.0)</f>
        <v>0</v>
      </c>
      <c r="K2938" s="5">
        <f>IFERROR(__xludf.DUMMYFUNCTION("""COMPUTED_VALUE"""),0.0)</f>
        <v>0</v>
      </c>
      <c r="L2938" s="10">
        <f>IFERROR(__xludf.DUMMYFUNCTION("""COMPUTED_VALUE"""),517.0)</f>
        <v>517</v>
      </c>
      <c r="M2938" s="5">
        <f>IFERROR(__xludf.DUMMYFUNCTION("""COMPUTED_VALUE"""),1.0)</f>
        <v>1</v>
      </c>
    </row>
    <row r="2939">
      <c r="A2939" s="10" t="str">
        <f>IFERROR(__xludf.DUMMYFUNCTION("""COMPUTED_VALUE"""),"hiropen")</f>
        <v>hiropen</v>
      </c>
      <c r="B2939" s="10">
        <f>IFERROR(__xludf.DUMMYFUNCTION("""COMPUTED_VALUE"""),673.0)</f>
        <v>673</v>
      </c>
      <c r="C2939" s="10">
        <f>IFERROR(__xludf.DUMMYFUNCTION("""COMPUTED_VALUE"""),7977.0)</f>
        <v>7977</v>
      </c>
      <c r="D2939" s="5">
        <f>IFERROR(__xludf.DUMMYFUNCTION("""COMPUTED_VALUE"""),0.3611719605695509)</f>
        <v>0.3611719606</v>
      </c>
      <c r="E2939" s="5">
        <f>IFERROR(__xludf.DUMMYFUNCTION("""COMPUTED_VALUE"""),0.12677984665936473)</f>
        <v>0.1267798467</v>
      </c>
      <c r="F2939" s="5">
        <f>IFERROR(__xludf.DUMMYFUNCTION("""COMPUTED_VALUE"""),0.2055038335158817)</f>
        <v>0.2055038335</v>
      </c>
      <c r="G2939" s="5">
        <f>IFERROR(__xludf.DUMMYFUNCTION("""COMPUTED_VALUE"""),0.1775739320920044)</f>
        <v>0.1775739321</v>
      </c>
      <c r="H2939" s="5">
        <f>IFERROR(__xludf.DUMMYFUNCTION("""COMPUTED_VALUE"""),0.5836109260493004)</f>
        <v>0.583610926</v>
      </c>
      <c r="I2939" s="11">
        <f>IFERROR(__xludf.DUMMYFUNCTION("""COMPUTED_VALUE"""),5772.751499000667)</f>
        <v>5772.751499</v>
      </c>
      <c r="J2939" s="10">
        <f>IFERROR(__xludf.DUMMYFUNCTION("""COMPUTED_VALUE"""),2.0)</f>
        <v>2</v>
      </c>
      <c r="K2939" s="5">
        <f>IFERROR(__xludf.DUMMYFUNCTION("""COMPUTED_VALUE"""),0.0029717682020802376)</f>
        <v>0.002971768202</v>
      </c>
      <c r="L2939" s="10">
        <f>IFERROR(__xludf.DUMMYFUNCTION("""COMPUTED_VALUE"""),673.0)</f>
        <v>673</v>
      </c>
      <c r="M2939" s="5">
        <f>IFERROR(__xludf.DUMMYFUNCTION("""COMPUTED_VALUE"""),1.0)</f>
        <v>1</v>
      </c>
    </row>
    <row r="2940">
      <c r="A2940" s="10" t="str">
        <f>IFERROR(__xludf.DUMMYFUNCTION("""COMPUTED_VALUE"""),"ces9")</f>
        <v>ces9</v>
      </c>
      <c r="B2940" s="10">
        <f>IFERROR(__xludf.DUMMYFUNCTION("""COMPUTED_VALUE"""),783.0)</f>
        <v>783</v>
      </c>
      <c r="C2940" s="10">
        <f>IFERROR(__xludf.DUMMYFUNCTION("""COMPUTED_VALUE"""),9097.0)</f>
        <v>9097</v>
      </c>
      <c r="D2940" s="5">
        <f>IFERROR(__xludf.DUMMYFUNCTION("""COMPUTED_VALUE"""),0.3034640365648304)</f>
        <v>0.3034640366</v>
      </c>
      <c r="E2940" s="5">
        <f>IFERROR(__xludf.DUMMYFUNCTION("""COMPUTED_VALUE"""),0.12677411594900168)</f>
        <v>0.1267741159</v>
      </c>
      <c r="F2940" s="5">
        <f>IFERROR(__xludf.DUMMYFUNCTION("""COMPUTED_VALUE"""),0.2038729853259562)</f>
        <v>0.2038729853</v>
      </c>
      <c r="G2940" s="5">
        <f>IFERROR(__xludf.DUMMYFUNCTION("""COMPUTED_VALUE"""),0.18378638441183545)</f>
        <v>0.1837863844</v>
      </c>
      <c r="H2940" s="5">
        <f>IFERROR(__xludf.DUMMYFUNCTION("""COMPUTED_VALUE"""),0.6011799410029498)</f>
        <v>0.601179941</v>
      </c>
      <c r="I2940" s="11">
        <f>IFERROR(__xludf.DUMMYFUNCTION("""COMPUTED_VALUE"""),5985.3687315634215)</f>
        <v>5985.368732</v>
      </c>
      <c r="J2940" s="10">
        <f>IFERROR(__xludf.DUMMYFUNCTION("""COMPUTED_VALUE"""),6.0)</f>
        <v>6</v>
      </c>
      <c r="K2940" s="5">
        <f>IFERROR(__xludf.DUMMYFUNCTION("""COMPUTED_VALUE"""),0.007662835249042145)</f>
        <v>0.007662835249</v>
      </c>
      <c r="L2940" s="10">
        <f>IFERROR(__xludf.DUMMYFUNCTION("""COMPUTED_VALUE"""),783.0)</f>
        <v>783</v>
      </c>
      <c r="M2940" s="5">
        <f>IFERROR(__xludf.DUMMYFUNCTION("""COMPUTED_VALUE"""),1.0)</f>
        <v>1</v>
      </c>
    </row>
    <row r="2941">
      <c r="A2941" s="10" t="str">
        <f>IFERROR(__xludf.DUMMYFUNCTION("""COMPUTED_VALUE"""),"ぺんぺん＾＾")</f>
        <v>ぺんぺん＾＾</v>
      </c>
      <c r="B2941" s="10">
        <f>IFERROR(__xludf.DUMMYFUNCTION("""COMPUTED_VALUE"""),106.0)</f>
        <v>106</v>
      </c>
      <c r="C2941" s="10">
        <f>IFERROR(__xludf.DUMMYFUNCTION("""COMPUTED_VALUE"""),1234.0)</f>
        <v>1234</v>
      </c>
      <c r="D2941" s="5">
        <f>IFERROR(__xludf.DUMMYFUNCTION("""COMPUTED_VALUE"""),0.38120567375886527)</f>
        <v>0.3812056738</v>
      </c>
      <c r="E2941" s="5">
        <f>IFERROR(__xludf.DUMMYFUNCTION("""COMPUTED_VALUE"""),0.12677304964539007)</f>
        <v>0.1267730496</v>
      </c>
      <c r="F2941" s="5">
        <f>IFERROR(__xludf.DUMMYFUNCTION("""COMPUTED_VALUE"""),0.23581560283687944)</f>
        <v>0.2358156028</v>
      </c>
      <c r="G2941" s="5">
        <f>IFERROR(__xludf.DUMMYFUNCTION("""COMPUTED_VALUE"""),0.16932624113475178)</f>
        <v>0.1693262411</v>
      </c>
      <c r="H2941" s="5">
        <f>IFERROR(__xludf.DUMMYFUNCTION("""COMPUTED_VALUE"""),0.6466165413533834)</f>
        <v>0.6466165414</v>
      </c>
      <c r="I2941" s="11">
        <f>IFERROR(__xludf.DUMMYFUNCTION("""COMPUTED_VALUE"""),5648.12030075188)</f>
        <v>5648.120301</v>
      </c>
      <c r="J2941" s="10">
        <f>IFERROR(__xludf.DUMMYFUNCTION("""COMPUTED_VALUE"""),0.0)</f>
        <v>0</v>
      </c>
      <c r="K2941" s="5">
        <f>IFERROR(__xludf.DUMMYFUNCTION("""COMPUTED_VALUE"""),0.0)</f>
        <v>0</v>
      </c>
      <c r="L2941" s="10">
        <f>IFERROR(__xludf.DUMMYFUNCTION("""COMPUTED_VALUE"""),106.0)</f>
        <v>106</v>
      </c>
      <c r="M2941" s="5">
        <f>IFERROR(__xludf.DUMMYFUNCTION("""COMPUTED_VALUE"""),1.0)</f>
        <v>1</v>
      </c>
    </row>
    <row r="2942">
      <c r="A2942" s="10" t="str">
        <f>IFERROR(__xludf.DUMMYFUNCTION("""COMPUTED_VALUE"""),"コーラ下さい")</f>
        <v>コーラ下さい</v>
      </c>
      <c r="B2942" s="10">
        <f>IFERROR(__xludf.DUMMYFUNCTION("""COMPUTED_VALUE"""),2083.0)</f>
        <v>2083</v>
      </c>
      <c r="C2942" s="10">
        <f>IFERROR(__xludf.DUMMYFUNCTION("""COMPUTED_VALUE"""),24385.0)</f>
        <v>24385</v>
      </c>
      <c r="D2942" s="5">
        <f>IFERROR(__xludf.DUMMYFUNCTION("""COMPUTED_VALUE"""),0.375168146354587)</f>
        <v>0.3751681464</v>
      </c>
      <c r="E2942" s="5">
        <f>IFERROR(__xludf.DUMMYFUNCTION("""COMPUTED_VALUE"""),0.1267599318446776)</f>
        <v>0.1267599318</v>
      </c>
      <c r="F2942" s="5">
        <f>IFERROR(__xludf.DUMMYFUNCTION("""COMPUTED_VALUE"""),0.22383642722625774)</f>
        <v>0.2238364272</v>
      </c>
      <c r="G2942" s="5">
        <f>IFERROR(__xludf.DUMMYFUNCTION("""COMPUTED_VALUE"""),0.1458613577257645)</f>
        <v>0.1458613577</v>
      </c>
      <c r="H2942" s="5">
        <f>IFERROR(__xludf.DUMMYFUNCTION("""COMPUTED_VALUE"""),0.617988782051282)</f>
        <v>0.6179887821</v>
      </c>
      <c r="I2942" s="11">
        <f>IFERROR(__xludf.DUMMYFUNCTION("""COMPUTED_VALUE"""),5411.738782051282)</f>
        <v>5411.738782</v>
      </c>
      <c r="J2942" s="10">
        <f>IFERROR(__xludf.DUMMYFUNCTION("""COMPUTED_VALUE"""),2.0)</f>
        <v>2</v>
      </c>
      <c r="K2942" s="5">
        <f>IFERROR(__xludf.DUMMYFUNCTION("""COMPUTED_VALUE"""),9.601536245799327E-4)</f>
        <v>0.0009601536246</v>
      </c>
      <c r="L2942" s="10">
        <f>IFERROR(__xludf.DUMMYFUNCTION("""COMPUTED_VALUE"""),2083.0)</f>
        <v>2083</v>
      </c>
      <c r="M2942" s="5">
        <f>IFERROR(__xludf.DUMMYFUNCTION("""COMPUTED_VALUE"""),1.0)</f>
        <v>1</v>
      </c>
    </row>
    <row r="2943">
      <c r="A2943" s="10" t="str">
        <f>IFERROR(__xludf.DUMMYFUNCTION("""COMPUTED_VALUE"""),"ulasu")</f>
        <v>ulasu</v>
      </c>
      <c r="B2943" s="10">
        <f>IFERROR(__xludf.DUMMYFUNCTION("""COMPUTED_VALUE"""),340.0)</f>
        <v>340</v>
      </c>
      <c r="C2943" s="10">
        <f>IFERROR(__xludf.DUMMYFUNCTION("""COMPUTED_VALUE"""),3898.0)</f>
        <v>3898</v>
      </c>
      <c r="D2943" s="5">
        <f>IFERROR(__xludf.DUMMYFUNCTION("""COMPUTED_VALUE"""),0.32658797077009555)</f>
        <v>0.3265879708</v>
      </c>
      <c r="E2943" s="5">
        <f>IFERROR(__xludf.DUMMYFUNCTION("""COMPUTED_VALUE"""),0.1267566048341765)</f>
        <v>0.1267566048</v>
      </c>
      <c r="F2943" s="5">
        <f>IFERROR(__xludf.DUMMYFUNCTION("""COMPUTED_VALUE"""),0.1958965711073637)</f>
        <v>0.1958965711</v>
      </c>
      <c r="G2943" s="5">
        <f>IFERROR(__xludf.DUMMYFUNCTION("""COMPUTED_VALUE"""),0.16526138279932545)</f>
        <v>0.1652613828</v>
      </c>
      <c r="H2943" s="5">
        <f>IFERROR(__xludf.DUMMYFUNCTION("""COMPUTED_VALUE"""),0.6212338593974175)</f>
        <v>0.6212338594</v>
      </c>
      <c r="I2943" s="11">
        <f>IFERROR(__xludf.DUMMYFUNCTION("""COMPUTED_VALUE"""),5723.816355810617)</f>
        <v>5723.816356</v>
      </c>
      <c r="J2943" s="10">
        <f>IFERROR(__xludf.DUMMYFUNCTION("""COMPUTED_VALUE"""),2.0)</f>
        <v>2</v>
      </c>
      <c r="K2943" s="5">
        <f>IFERROR(__xludf.DUMMYFUNCTION("""COMPUTED_VALUE"""),0.0058823529411764705)</f>
        <v>0.005882352941</v>
      </c>
      <c r="L2943" s="10">
        <f>IFERROR(__xludf.DUMMYFUNCTION("""COMPUTED_VALUE"""),340.0)</f>
        <v>340</v>
      </c>
      <c r="M2943" s="5">
        <f>IFERROR(__xludf.DUMMYFUNCTION("""COMPUTED_VALUE"""),1.0)</f>
        <v>1</v>
      </c>
    </row>
    <row r="2944">
      <c r="A2944" s="10" t="str">
        <f>IFERROR(__xludf.DUMMYFUNCTION("""COMPUTED_VALUE"""),"norisio")</f>
        <v>norisio</v>
      </c>
      <c r="B2944" s="10">
        <f>IFERROR(__xludf.DUMMYFUNCTION("""COMPUTED_VALUE"""),564.0)</f>
        <v>564</v>
      </c>
      <c r="C2944" s="10">
        <f>IFERROR(__xludf.DUMMYFUNCTION("""COMPUTED_VALUE"""),6639.0)</f>
        <v>6639</v>
      </c>
      <c r="D2944" s="5">
        <f>IFERROR(__xludf.DUMMYFUNCTION("""COMPUTED_VALUE"""),0.3716872427983539)</f>
        <v>0.3716872428</v>
      </c>
      <c r="E2944" s="5">
        <f>IFERROR(__xludf.DUMMYFUNCTION("""COMPUTED_VALUE"""),0.12674897119341563)</f>
        <v>0.1267489712</v>
      </c>
      <c r="F2944" s="5">
        <f>IFERROR(__xludf.DUMMYFUNCTION("""COMPUTED_VALUE"""),0.20724279835390946)</f>
        <v>0.2072427984</v>
      </c>
      <c r="G2944" s="5">
        <f>IFERROR(__xludf.DUMMYFUNCTION("""COMPUTED_VALUE"""),0.16411522633744857)</f>
        <v>0.1641152263</v>
      </c>
      <c r="H2944" s="5">
        <f>IFERROR(__xludf.DUMMYFUNCTION("""COMPUTED_VALUE"""),0.6108022239872914)</f>
        <v>0.610802224</v>
      </c>
      <c r="I2944" s="11">
        <f>IFERROR(__xludf.DUMMYFUNCTION("""COMPUTED_VALUE"""),5506.036536934074)</f>
        <v>5506.036537</v>
      </c>
      <c r="J2944" s="10">
        <f>IFERROR(__xludf.DUMMYFUNCTION("""COMPUTED_VALUE"""),1.0)</f>
        <v>1</v>
      </c>
      <c r="K2944" s="5">
        <f>IFERROR(__xludf.DUMMYFUNCTION("""COMPUTED_VALUE"""),0.0017730496453900709)</f>
        <v>0.001773049645</v>
      </c>
      <c r="L2944" s="10">
        <f>IFERROR(__xludf.DUMMYFUNCTION("""COMPUTED_VALUE"""),564.0)</f>
        <v>564</v>
      </c>
      <c r="M2944" s="5">
        <f>IFERROR(__xludf.DUMMYFUNCTION("""COMPUTED_VALUE"""),1.0)</f>
        <v>1</v>
      </c>
    </row>
    <row r="2945">
      <c r="A2945" s="10" t="str">
        <f>IFERROR(__xludf.DUMMYFUNCTION("""COMPUTED_VALUE"""),"もうりぃ68")</f>
        <v>もうりぃ68</v>
      </c>
      <c r="B2945" s="10">
        <f>IFERROR(__xludf.DUMMYFUNCTION("""COMPUTED_VALUE"""),455.0)</f>
        <v>455</v>
      </c>
      <c r="C2945" s="10">
        <f>IFERROR(__xludf.DUMMYFUNCTION("""COMPUTED_VALUE"""),5292.0)</f>
        <v>5292</v>
      </c>
      <c r="D2945" s="5">
        <f>IFERROR(__xludf.DUMMYFUNCTION("""COMPUTED_VALUE"""),0.2948108331610502)</f>
        <v>0.2948108332</v>
      </c>
      <c r="E2945" s="5">
        <f>IFERROR(__xludf.DUMMYFUNCTION("""COMPUTED_VALUE"""),0.12673144511060574)</f>
        <v>0.1267314451</v>
      </c>
      <c r="F2945" s="5">
        <f>IFERROR(__xludf.DUMMYFUNCTION("""COMPUTED_VALUE"""),0.2139756047136655)</f>
        <v>0.2139756047</v>
      </c>
      <c r="G2945" s="5">
        <f>IFERROR(__xludf.DUMMYFUNCTION("""COMPUTED_VALUE"""),0.1509199917304114)</f>
        <v>0.1509199917</v>
      </c>
      <c r="H2945" s="5">
        <f>IFERROR(__xludf.DUMMYFUNCTION("""COMPUTED_VALUE"""),0.6096618357487923)</f>
        <v>0.6096618357</v>
      </c>
      <c r="I2945" s="11">
        <f>IFERROR(__xludf.DUMMYFUNCTION("""COMPUTED_VALUE"""),5262.415458937198)</f>
        <v>5262.415459</v>
      </c>
      <c r="J2945" s="10">
        <f>IFERROR(__xludf.DUMMYFUNCTION("""COMPUTED_VALUE"""),0.0)</f>
        <v>0</v>
      </c>
      <c r="K2945" s="5">
        <f>IFERROR(__xludf.DUMMYFUNCTION("""COMPUTED_VALUE"""),0.0)</f>
        <v>0</v>
      </c>
      <c r="L2945" s="10">
        <f>IFERROR(__xludf.DUMMYFUNCTION("""COMPUTED_VALUE"""),0.0)</f>
        <v>0</v>
      </c>
      <c r="M2945" s="5">
        <f>IFERROR(__xludf.DUMMYFUNCTION("""COMPUTED_VALUE"""),0.0)</f>
        <v>0</v>
      </c>
    </row>
    <row r="2946">
      <c r="A2946" s="10" t="str">
        <f>IFERROR(__xludf.DUMMYFUNCTION("""COMPUTED_VALUE"""),".=土御門夏目=")</f>
        <v>.=土御門夏目=</v>
      </c>
      <c r="B2946" s="10">
        <f>IFERROR(__xludf.DUMMYFUNCTION("""COMPUTED_VALUE"""),188.0)</f>
        <v>188</v>
      </c>
      <c r="C2946" s="10">
        <f>IFERROR(__xludf.DUMMYFUNCTION("""COMPUTED_VALUE"""),2145.0)</f>
        <v>2145</v>
      </c>
      <c r="D2946" s="5">
        <f>IFERROR(__xludf.DUMMYFUNCTION("""COMPUTED_VALUE"""),0.34542667347981604)</f>
        <v>0.3454266735</v>
      </c>
      <c r="E2946" s="5">
        <f>IFERROR(__xludf.DUMMYFUNCTION("""COMPUTED_VALUE"""),0.1267245784363822)</f>
        <v>0.1267245784</v>
      </c>
      <c r="F2946" s="5">
        <f>IFERROR(__xludf.DUMMYFUNCTION("""COMPUTED_VALUE"""),0.20746039856923862)</f>
        <v>0.2074603986</v>
      </c>
      <c r="G2946" s="5">
        <f>IFERROR(__xludf.DUMMYFUNCTION("""COMPUTED_VALUE"""),0.18497700562084823)</f>
        <v>0.1849770056</v>
      </c>
      <c r="H2946" s="5">
        <f>IFERROR(__xludf.DUMMYFUNCTION("""COMPUTED_VALUE"""),0.5738916256157636)</f>
        <v>0.5738916256</v>
      </c>
      <c r="I2946" s="11">
        <f>IFERROR(__xludf.DUMMYFUNCTION("""COMPUTED_VALUE"""),6405.4187192118225)</f>
        <v>6405.418719</v>
      </c>
      <c r="J2946" s="10">
        <f>IFERROR(__xludf.DUMMYFUNCTION("""COMPUTED_VALUE"""),2.0)</f>
        <v>2</v>
      </c>
      <c r="K2946" s="5">
        <f>IFERROR(__xludf.DUMMYFUNCTION("""COMPUTED_VALUE"""),0.010638297872340425)</f>
        <v>0.01063829787</v>
      </c>
      <c r="L2946" s="10">
        <f>IFERROR(__xludf.DUMMYFUNCTION("""COMPUTED_VALUE"""),7.0)</f>
        <v>7</v>
      </c>
      <c r="M2946" s="5">
        <f>IFERROR(__xludf.DUMMYFUNCTION("""COMPUTED_VALUE"""),0.03723404255319149)</f>
        <v>0.03723404255</v>
      </c>
    </row>
    <row r="2947">
      <c r="A2947" s="10" t="str">
        <f>IFERROR(__xludf.DUMMYFUNCTION("""COMPUTED_VALUE"""),"Mr.niku9")</f>
        <v>Mr.niku9</v>
      </c>
      <c r="B2947" s="10">
        <f>IFERROR(__xludf.DUMMYFUNCTION("""COMPUTED_VALUE"""),3327.0)</f>
        <v>3327</v>
      </c>
      <c r="C2947" s="10">
        <f>IFERROR(__xludf.DUMMYFUNCTION("""COMPUTED_VALUE"""),39133.0)</f>
        <v>39133</v>
      </c>
      <c r="D2947" s="5">
        <f>IFERROR(__xludf.DUMMYFUNCTION("""COMPUTED_VALUE"""),0.39934647824386976)</f>
        <v>0.3993464782</v>
      </c>
      <c r="E2947" s="5">
        <f>IFERROR(__xludf.DUMMYFUNCTION("""COMPUTED_VALUE"""),0.12671060716081103)</f>
        <v>0.1267106072</v>
      </c>
      <c r="F2947" s="5">
        <f>IFERROR(__xludf.DUMMYFUNCTION("""COMPUTED_VALUE"""),0.22091269619616824)</f>
        <v>0.2209126962</v>
      </c>
      <c r="G2947" s="5">
        <f>IFERROR(__xludf.DUMMYFUNCTION("""COMPUTED_VALUE"""),0.16463721164050718)</f>
        <v>0.1646372116</v>
      </c>
      <c r="H2947" s="5">
        <f>IFERROR(__xludf.DUMMYFUNCTION("""COMPUTED_VALUE"""),0.5994943109987357)</f>
        <v>0.599494311</v>
      </c>
      <c r="I2947" s="11">
        <f>IFERROR(__xludf.DUMMYFUNCTION("""COMPUTED_VALUE"""),5296.207332490519)</f>
        <v>5296.207332</v>
      </c>
      <c r="J2947" s="10">
        <f>IFERROR(__xludf.DUMMYFUNCTION("""COMPUTED_VALUE"""),8.0)</f>
        <v>8</v>
      </c>
      <c r="K2947" s="5">
        <f>IFERROR(__xludf.DUMMYFUNCTION("""COMPUTED_VALUE"""),0.0024045686804929365)</f>
        <v>0.00240456868</v>
      </c>
      <c r="L2947" s="10">
        <f>IFERROR(__xludf.DUMMYFUNCTION("""COMPUTED_VALUE"""),3106.0)</f>
        <v>3106</v>
      </c>
      <c r="M2947" s="5">
        <f>IFERROR(__xludf.DUMMYFUNCTION("""COMPUTED_VALUE"""),0.9335737902013826)</f>
        <v>0.9335737902</v>
      </c>
    </row>
    <row r="2948">
      <c r="A2948" s="10" t="str">
        <f>IFERROR(__xludf.DUMMYFUNCTION("""COMPUTED_VALUE"""),"KANO")</f>
        <v>KANO</v>
      </c>
      <c r="B2948" s="10">
        <f>IFERROR(__xludf.DUMMYFUNCTION("""COMPUTED_VALUE"""),282.0)</f>
        <v>282</v>
      </c>
      <c r="C2948" s="10">
        <f>IFERROR(__xludf.DUMMYFUNCTION("""COMPUTED_VALUE"""),3376.0)</f>
        <v>3376</v>
      </c>
      <c r="D2948" s="5">
        <f>IFERROR(__xludf.DUMMYFUNCTION("""COMPUTED_VALUE"""),0.39915966386554624)</f>
        <v>0.3991596639</v>
      </c>
      <c r="E2948" s="5">
        <f>IFERROR(__xludf.DUMMYFUNCTION("""COMPUTED_VALUE"""),0.12669683257918551)</f>
        <v>0.1266968326</v>
      </c>
      <c r="F2948" s="5">
        <f>IFERROR(__xludf.DUMMYFUNCTION("""COMPUTED_VALUE"""),0.20717517776341307)</f>
        <v>0.2071751778</v>
      </c>
      <c r="G2948" s="5">
        <f>IFERROR(__xludf.DUMMYFUNCTION("""COMPUTED_VALUE"""),0.16612798965740141)</f>
        <v>0.1661279897</v>
      </c>
      <c r="H2948" s="5">
        <f>IFERROR(__xludf.DUMMYFUNCTION("""COMPUTED_VALUE"""),0.5772230889235569)</f>
        <v>0.5772230889</v>
      </c>
      <c r="I2948" s="11">
        <f>IFERROR(__xludf.DUMMYFUNCTION("""COMPUTED_VALUE"""),5489.859594383775)</f>
        <v>5489.859594</v>
      </c>
      <c r="J2948" s="10">
        <f>IFERROR(__xludf.DUMMYFUNCTION("""COMPUTED_VALUE"""),1.0)</f>
        <v>1</v>
      </c>
      <c r="K2948" s="5">
        <f>IFERROR(__xludf.DUMMYFUNCTION("""COMPUTED_VALUE"""),0.0035460992907801418)</f>
        <v>0.003546099291</v>
      </c>
      <c r="L2948" s="10">
        <f>IFERROR(__xludf.DUMMYFUNCTION("""COMPUTED_VALUE"""),282.0)</f>
        <v>282</v>
      </c>
      <c r="M2948" s="5">
        <f>IFERROR(__xludf.DUMMYFUNCTION("""COMPUTED_VALUE"""),1.0)</f>
        <v>1</v>
      </c>
    </row>
    <row r="2949">
      <c r="A2949" s="10" t="str">
        <f>IFERROR(__xludf.DUMMYFUNCTION("""COMPUTED_VALUE"""),"人鳥侍極")</f>
        <v>人鳥侍極</v>
      </c>
      <c r="B2949" s="10">
        <f>IFERROR(__xludf.DUMMYFUNCTION("""COMPUTED_VALUE"""),2041.0)</f>
        <v>2041</v>
      </c>
      <c r="C2949" s="10">
        <f>IFERROR(__xludf.DUMMYFUNCTION("""COMPUTED_VALUE"""),23920.0)</f>
        <v>23920</v>
      </c>
      <c r="D2949" s="5">
        <f>IFERROR(__xludf.DUMMYFUNCTION("""COMPUTED_VALUE"""),0.37104072398190047)</f>
        <v>0.371040724</v>
      </c>
      <c r="E2949" s="5">
        <f>IFERROR(__xludf.DUMMYFUNCTION("""COMPUTED_VALUE"""),0.12669683257918551)</f>
        <v>0.1266968326</v>
      </c>
      <c r="F2949" s="5">
        <f>IFERROR(__xludf.DUMMYFUNCTION("""COMPUTED_VALUE"""),0.21404086109968462)</f>
        <v>0.2140408611</v>
      </c>
      <c r="G2949" s="5">
        <f>IFERROR(__xludf.DUMMYFUNCTION("""COMPUTED_VALUE"""),0.16097627862333744)</f>
        <v>0.1609762786</v>
      </c>
      <c r="H2949" s="5">
        <f>IFERROR(__xludf.DUMMYFUNCTION("""COMPUTED_VALUE"""),0.5989750160153747)</f>
        <v>0.598975016</v>
      </c>
      <c r="I2949" s="11">
        <f>IFERROR(__xludf.DUMMYFUNCTION("""COMPUTED_VALUE"""),5629.660474055093)</f>
        <v>5629.660474</v>
      </c>
      <c r="J2949" s="10">
        <f>IFERROR(__xludf.DUMMYFUNCTION("""COMPUTED_VALUE"""),3.0)</f>
        <v>3</v>
      </c>
      <c r="K2949" s="5">
        <f>IFERROR(__xludf.DUMMYFUNCTION("""COMPUTED_VALUE"""),0.0014698677119059284)</f>
        <v>0.001469867712</v>
      </c>
      <c r="L2949" s="10">
        <f>IFERROR(__xludf.DUMMYFUNCTION("""COMPUTED_VALUE"""),1767.0)</f>
        <v>1767</v>
      </c>
      <c r="M2949" s="5">
        <f>IFERROR(__xludf.DUMMYFUNCTION("""COMPUTED_VALUE"""),0.8657520823125918)</f>
        <v>0.8657520823</v>
      </c>
    </row>
    <row r="2950">
      <c r="A2950" s="10" t="str">
        <f>IFERROR(__xludf.DUMMYFUNCTION("""COMPUTED_VALUE"""),"日奈森あむ")</f>
        <v>日奈森あむ</v>
      </c>
      <c r="B2950" s="10">
        <f>IFERROR(__xludf.DUMMYFUNCTION("""COMPUTED_VALUE"""),195.0)</f>
        <v>195</v>
      </c>
      <c r="C2950" s="10">
        <f>IFERROR(__xludf.DUMMYFUNCTION("""COMPUTED_VALUE"""),2263.0)</f>
        <v>2263</v>
      </c>
      <c r="D2950" s="5">
        <f>IFERROR(__xludf.DUMMYFUNCTION("""COMPUTED_VALUE"""),0.3641199226305609)</f>
        <v>0.3641199226</v>
      </c>
      <c r="E2950" s="5">
        <f>IFERROR(__xludf.DUMMYFUNCTION("""COMPUTED_VALUE"""),0.12669245647969052)</f>
        <v>0.1266924565</v>
      </c>
      <c r="F2950" s="5">
        <f>IFERROR(__xludf.DUMMYFUNCTION("""COMPUTED_VALUE"""),0.22388781431334623)</f>
        <v>0.2238878143</v>
      </c>
      <c r="G2950" s="5">
        <f>IFERROR(__xludf.DUMMYFUNCTION("""COMPUTED_VALUE"""),0.17988394584139264)</f>
        <v>0.1798839458</v>
      </c>
      <c r="H2950" s="5">
        <f>IFERROR(__xludf.DUMMYFUNCTION("""COMPUTED_VALUE"""),0.6241900647948164)</f>
        <v>0.6241900648</v>
      </c>
      <c r="I2950" s="11">
        <f>IFERROR(__xludf.DUMMYFUNCTION("""COMPUTED_VALUE"""),5198.704103671706)</f>
        <v>5198.704104</v>
      </c>
      <c r="J2950" s="10">
        <f>IFERROR(__xludf.DUMMYFUNCTION("""COMPUTED_VALUE"""),0.0)</f>
        <v>0</v>
      </c>
      <c r="K2950" s="5">
        <f>IFERROR(__xludf.DUMMYFUNCTION("""COMPUTED_VALUE"""),0.0)</f>
        <v>0</v>
      </c>
      <c r="L2950" s="10">
        <f>IFERROR(__xludf.DUMMYFUNCTION("""COMPUTED_VALUE"""),0.0)</f>
        <v>0</v>
      </c>
      <c r="M2950" s="5">
        <f>IFERROR(__xludf.DUMMYFUNCTION("""COMPUTED_VALUE"""),0.0)</f>
        <v>0</v>
      </c>
    </row>
    <row r="2951">
      <c r="A2951" s="10" t="str">
        <f>IFERROR(__xludf.DUMMYFUNCTION("""COMPUTED_VALUE"""),"Alz")</f>
        <v>Alz</v>
      </c>
      <c r="B2951" s="10">
        <f>IFERROR(__xludf.DUMMYFUNCTION("""COMPUTED_VALUE"""),171.0)</f>
        <v>171</v>
      </c>
      <c r="C2951" s="10">
        <f>IFERROR(__xludf.DUMMYFUNCTION("""COMPUTED_VALUE"""),2018.0)</f>
        <v>2018</v>
      </c>
      <c r="D2951" s="5">
        <f>IFERROR(__xludf.DUMMYFUNCTION("""COMPUTED_VALUE"""),0.35083919870059554)</f>
        <v>0.3508391987</v>
      </c>
      <c r="E2951" s="5">
        <f>IFERROR(__xludf.DUMMYFUNCTION("""COMPUTED_VALUE"""),0.12669193286410396)</f>
        <v>0.1266919329</v>
      </c>
      <c r="F2951" s="5">
        <f>IFERROR(__xludf.DUMMYFUNCTION("""COMPUTED_VALUE"""),0.21007038440714673)</f>
        <v>0.2100703844</v>
      </c>
      <c r="G2951" s="5">
        <f>IFERROR(__xludf.DUMMYFUNCTION("""COMPUTED_VALUE"""),0.1580942068218733)</f>
        <v>0.1580942068</v>
      </c>
      <c r="H2951" s="5">
        <f>IFERROR(__xludf.DUMMYFUNCTION("""COMPUTED_VALUE"""),0.6030927835051546)</f>
        <v>0.6030927835</v>
      </c>
      <c r="I2951" s="11">
        <f>IFERROR(__xludf.DUMMYFUNCTION("""COMPUTED_VALUE"""),5123.453608247422)</f>
        <v>5123.453608</v>
      </c>
      <c r="J2951" s="10">
        <f>IFERROR(__xludf.DUMMYFUNCTION("""COMPUTED_VALUE"""),0.0)</f>
        <v>0</v>
      </c>
      <c r="K2951" s="5">
        <f>IFERROR(__xludf.DUMMYFUNCTION("""COMPUTED_VALUE"""),0.0)</f>
        <v>0</v>
      </c>
      <c r="L2951" s="10">
        <f>IFERROR(__xludf.DUMMYFUNCTION("""COMPUTED_VALUE"""),6.0)</f>
        <v>6</v>
      </c>
      <c r="M2951" s="5">
        <f>IFERROR(__xludf.DUMMYFUNCTION("""COMPUTED_VALUE"""),0.03508771929824561)</f>
        <v>0.0350877193</v>
      </c>
    </row>
    <row r="2952">
      <c r="A2952" s="10" t="str">
        <f>IFERROR(__xludf.DUMMYFUNCTION("""COMPUTED_VALUE"""),"紅茶07")</f>
        <v>紅茶07</v>
      </c>
      <c r="B2952" s="10">
        <f>IFERROR(__xludf.DUMMYFUNCTION("""COMPUTED_VALUE"""),962.0)</f>
        <v>962</v>
      </c>
      <c r="C2952" s="10">
        <f>IFERROR(__xludf.DUMMYFUNCTION("""COMPUTED_VALUE"""),11184.0)</f>
        <v>11184</v>
      </c>
      <c r="D2952" s="5">
        <f>IFERROR(__xludf.DUMMYFUNCTION("""COMPUTED_VALUE"""),0.35286636666014476)</f>
        <v>0.3528663667</v>
      </c>
      <c r="E2952" s="5">
        <f>IFERROR(__xludf.DUMMYFUNCTION("""COMPUTED_VALUE"""),0.1266875366855801)</f>
        <v>0.1266875367</v>
      </c>
      <c r="F2952" s="5">
        <f>IFERROR(__xludf.DUMMYFUNCTION("""COMPUTED_VALUE"""),0.2078849540207396)</f>
        <v>0.207884954</v>
      </c>
      <c r="G2952" s="5">
        <f>IFERROR(__xludf.DUMMYFUNCTION("""COMPUTED_VALUE"""),0.17403639209548033)</f>
        <v>0.1740363921</v>
      </c>
      <c r="H2952" s="5">
        <f>IFERROR(__xludf.DUMMYFUNCTION("""COMPUTED_VALUE"""),0.6164705882352941)</f>
        <v>0.6164705882</v>
      </c>
      <c r="I2952" s="11">
        <f>IFERROR(__xludf.DUMMYFUNCTION("""COMPUTED_VALUE"""),5692.894117647059)</f>
        <v>5692.894118</v>
      </c>
      <c r="J2952" s="10">
        <f>IFERROR(__xludf.DUMMYFUNCTION("""COMPUTED_VALUE"""),1.0)</f>
        <v>1</v>
      </c>
      <c r="K2952" s="5">
        <f>IFERROR(__xludf.DUMMYFUNCTION("""COMPUTED_VALUE"""),0.0010395010395010396)</f>
        <v>0.00103950104</v>
      </c>
      <c r="L2952" s="10">
        <f>IFERROR(__xludf.DUMMYFUNCTION("""COMPUTED_VALUE"""),784.0)</f>
        <v>784</v>
      </c>
      <c r="M2952" s="5">
        <f>IFERROR(__xludf.DUMMYFUNCTION("""COMPUTED_VALUE"""),0.814968814968815)</f>
        <v>0.814968815</v>
      </c>
    </row>
    <row r="2953">
      <c r="A2953" s="10" t="str">
        <f>IFERROR(__xludf.DUMMYFUNCTION("""COMPUTED_VALUE"""),"おでんつくろ！")</f>
        <v>おでんつくろ！</v>
      </c>
      <c r="B2953" s="10">
        <f>IFERROR(__xludf.DUMMYFUNCTION("""COMPUTED_VALUE"""),1068.0)</f>
        <v>1068</v>
      </c>
      <c r="C2953" s="10">
        <f>IFERROR(__xludf.DUMMYFUNCTION("""COMPUTED_VALUE"""),12514.0)</f>
        <v>12514</v>
      </c>
      <c r="D2953" s="5">
        <f>IFERROR(__xludf.DUMMYFUNCTION("""COMPUTED_VALUE"""),0.3962082823693867)</f>
        <v>0.3962082824</v>
      </c>
      <c r="E2953" s="5">
        <f>IFERROR(__xludf.DUMMYFUNCTION("""COMPUTED_VALUE"""),0.12668181023938493)</f>
        <v>0.1266818102</v>
      </c>
      <c r="F2953" s="5">
        <f>IFERROR(__xludf.DUMMYFUNCTION("""COMPUTED_VALUE"""),0.20976760440328499)</f>
        <v>0.2097676044</v>
      </c>
      <c r="G2953" s="5">
        <f>IFERROR(__xludf.DUMMYFUNCTION("""COMPUTED_VALUE"""),0.16328848506028307)</f>
        <v>0.1632884851</v>
      </c>
      <c r="H2953" s="5">
        <f>IFERROR(__xludf.DUMMYFUNCTION("""COMPUTED_VALUE"""),0.6005830903790087)</f>
        <v>0.6005830904</v>
      </c>
      <c r="I2953" s="11">
        <f>IFERROR(__xludf.DUMMYFUNCTION("""COMPUTED_VALUE"""),5128.071636817993)</f>
        <v>5128.071637</v>
      </c>
      <c r="J2953" s="10">
        <f>IFERROR(__xludf.DUMMYFUNCTION("""COMPUTED_VALUE"""),2.0)</f>
        <v>2</v>
      </c>
      <c r="K2953" s="5">
        <f>IFERROR(__xludf.DUMMYFUNCTION("""COMPUTED_VALUE"""),0.0018726591760299626)</f>
        <v>0.001872659176</v>
      </c>
      <c r="L2953" s="10">
        <f>IFERROR(__xludf.DUMMYFUNCTION("""COMPUTED_VALUE"""),1068.0)</f>
        <v>1068</v>
      </c>
      <c r="M2953" s="5">
        <f>IFERROR(__xludf.DUMMYFUNCTION("""COMPUTED_VALUE"""),1.0)</f>
        <v>1</v>
      </c>
    </row>
    <row r="2954">
      <c r="A2954" s="10" t="str">
        <f>IFERROR(__xludf.DUMMYFUNCTION("""COMPUTED_VALUE"""),"mokio")</f>
        <v>mokio</v>
      </c>
      <c r="B2954" s="10">
        <f>IFERROR(__xludf.DUMMYFUNCTION("""COMPUTED_VALUE"""),498.0)</f>
        <v>498</v>
      </c>
      <c r="C2954" s="10">
        <f>IFERROR(__xludf.DUMMYFUNCTION("""COMPUTED_VALUE"""),5843.0)</f>
        <v>5843</v>
      </c>
      <c r="D2954" s="5">
        <f>IFERROR(__xludf.DUMMYFUNCTION("""COMPUTED_VALUE"""),0.4235734331150608)</f>
        <v>0.4235734331</v>
      </c>
      <c r="E2954" s="5">
        <f>IFERROR(__xludf.DUMMYFUNCTION("""COMPUTED_VALUE"""),0.12666043030869972)</f>
        <v>0.1266604303</v>
      </c>
      <c r="F2954" s="5">
        <f>IFERROR(__xludf.DUMMYFUNCTION("""COMPUTED_VALUE"""),0.23311506080449018)</f>
        <v>0.2331150608</v>
      </c>
      <c r="G2954" s="5">
        <f>IFERROR(__xludf.DUMMYFUNCTION("""COMPUTED_VALUE"""),0.1363891487371375)</f>
        <v>0.1363891487</v>
      </c>
      <c r="H2954" s="5">
        <f>IFERROR(__xludf.DUMMYFUNCTION("""COMPUTED_VALUE"""),0.6099518459069021)</f>
        <v>0.6099518459</v>
      </c>
      <c r="I2954" s="11">
        <f>IFERROR(__xludf.DUMMYFUNCTION("""COMPUTED_VALUE"""),5348.154093097914)</f>
        <v>5348.154093</v>
      </c>
      <c r="J2954" s="10">
        <f>IFERROR(__xludf.DUMMYFUNCTION("""COMPUTED_VALUE"""),2.0)</f>
        <v>2</v>
      </c>
      <c r="K2954" s="5">
        <f>IFERROR(__xludf.DUMMYFUNCTION("""COMPUTED_VALUE"""),0.004016064257028112)</f>
        <v>0.004016064257</v>
      </c>
      <c r="L2954" s="10">
        <f>IFERROR(__xludf.DUMMYFUNCTION("""COMPUTED_VALUE"""),0.0)</f>
        <v>0</v>
      </c>
      <c r="M2954" s="5">
        <f>IFERROR(__xludf.DUMMYFUNCTION("""COMPUTED_VALUE"""),0.0)</f>
        <v>0</v>
      </c>
    </row>
    <row r="2955">
      <c r="A2955" s="10" t="str">
        <f>IFERROR(__xludf.DUMMYFUNCTION("""COMPUTED_VALUE"""),"フィーナちゃん")</f>
        <v>フィーナちゃん</v>
      </c>
      <c r="B2955" s="10">
        <f>IFERROR(__xludf.DUMMYFUNCTION("""COMPUTED_VALUE"""),223.0)</f>
        <v>223</v>
      </c>
      <c r="C2955" s="10">
        <f>IFERROR(__xludf.DUMMYFUNCTION("""COMPUTED_VALUE"""),2576.0)</f>
        <v>2576</v>
      </c>
      <c r="D2955" s="5">
        <f>IFERROR(__xludf.DUMMYFUNCTION("""COMPUTED_VALUE"""),0.3684657883552911)</f>
        <v>0.3684657884</v>
      </c>
      <c r="E2955" s="5">
        <f>IFERROR(__xludf.DUMMYFUNCTION("""COMPUTED_VALUE"""),0.12664683382915426)</f>
        <v>0.1266468338</v>
      </c>
      <c r="F2955" s="5">
        <f>IFERROR(__xludf.DUMMYFUNCTION("""COMPUTED_VALUE"""),0.21121971950701232)</f>
        <v>0.2112197195</v>
      </c>
      <c r="G2955" s="5">
        <f>IFERROR(__xludf.DUMMYFUNCTION("""COMPUTED_VALUE"""),0.16829579260518487)</f>
        <v>0.1682957926</v>
      </c>
      <c r="H2955" s="5">
        <f>IFERROR(__xludf.DUMMYFUNCTION("""COMPUTED_VALUE"""),0.6016096579476862)</f>
        <v>0.6016096579</v>
      </c>
      <c r="I2955" s="11">
        <f>IFERROR(__xludf.DUMMYFUNCTION("""COMPUTED_VALUE"""),5379.074446680081)</f>
        <v>5379.074447</v>
      </c>
      <c r="J2955" s="10">
        <f>IFERROR(__xludf.DUMMYFUNCTION("""COMPUTED_VALUE"""),1.0)</f>
        <v>1</v>
      </c>
      <c r="K2955" s="5">
        <f>IFERROR(__xludf.DUMMYFUNCTION("""COMPUTED_VALUE"""),0.004484304932735426)</f>
        <v>0.004484304933</v>
      </c>
      <c r="L2955" s="10">
        <f>IFERROR(__xludf.DUMMYFUNCTION("""COMPUTED_VALUE"""),0.0)</f>
        <v>0</v>
      </c>
      <c r="M2955" s="5">
        <f>IFERROR(__xludf.DUMMYFUNCTION("""COMPUTED_VALUE"""),0.0)</f>
        <v>0</v>
      </c>
    </row>
    <row r="2956">
      <c r="A2956" s="10" t="str">
        <f>IFERROR(__xludf.DUMMYFUNCTION("""COMPUTED_VALUE"""),"たけにき")</f>
        <v>たけにき</v>
      </c>
      <c r="B2956" s="10">
        <f>IFERROR(__xludf.DUMMYFUNCTION("""COMPUTED_VALUE"""),1700.0)</f>
        <v>1700</v>
      </c>
      <c r="C2956" s="10">
        <f>IFERROR(__xludf.DUMMYFUNCTION("""COMPUTED_VALUE"""),19988.0)</f>
        <v>19988</v>
      </c>
      <c r="D2956" s="5">
        <f>IFERROR(__xludf.DUMMYFUNCTION("""COMPUTED_VALUE"""),0.3737970253718285)</f>
        <v>0.3737970254</v>
      </c>
      <c r="E2956" s="5">
        <f>IFERROR(__xludf.DUMMYFUNCTION("""COMPUTED_VALUE"""),0.12664041994750655)</f>
        <v>0.1266404199</v>
      </c>
      <c r="F2956" s="5">
        <f>IFERROR(__xludf.DUMMYFUNCTION("""COMPUTED_VALUE"""),0.2152230971128609)</f>
        <v>0.2152230971</v>
      </c>
      <c r="G2956" s="5">
        <f>IFERROR(__xludf.DUMMYFUNCTION("""COMPUTED_VALUE"""),0.16611986001749782)</f>
        <v>0.16611986</v>
      </c>
      <c r="H2956" s="5">
        <f>IFERROR(__xludf.DUMMYFUNCTION("""COMPUTED_VALUE"""),0.59375)</f>
        <v>0.59375</v>
      </c>
      <c r="I2956" s="11">
        <f>IFERROR(__xludf.DUMMYFUNCTION("""COMPUTED_VALUE"""),5557.266260162602)</f>
        <v>5557.26626</v>
      </c>
      <c r="J2956" s="10">
        <f>IFERROR(__xludf.DUMMYFUNCTION("""COMPUTED_VALUE"""),2.0)</f>
        <v>2</v>
      </c>
      <c r="K2956" s="5">
        <f>IFERROR(__xludf.DUMMYFUNCTION("""COMPUTED_VALUE"""),0.001176470588235294)</f>
        <v>0.001176470588</v>
      </c>
      <c r="L2956" s="10">
        <f>IFERROR(__xludf.DUMMYFUNCTION("""COMPUTED_VALUE"""),778.0)</f>
        <v>778</v>
      </c>
      <c r="M2956" s="5">
        <f>IFERROR(__xludf.DUMMYFUNCTION("""COMPUTED_VALUE"""),0.4576470588235294)</f>
        <v>0.4576470588</v>
      </c>
    </row>
    <row r="2957">
      <c r="A2957" s="10" t="str">
        <f>IFERROR(__xludf.DUMMYFUNCTION("""COMPUTED_VALUE"""),"メラゾ一マ")</f>
        <v>メラゾ一マ</v>
      </c>
      <c r="B2957" s="10">
        <f>IFERROR(__xludf.DUMMYFUNCTION("""COMPUTED_VALUE"""),890.0)</f>
        <v>890</v>
      </c>
      <c r="C2957" s="10">
        <f>IFERROR(__xludf.DUMMYFUNCTION("""COMPUTED_VALUE"""),10516.0)</f>
        <v>10516</v>
      </c>
      <c r="D2957" s="5">
        <f>IFERROR(__xludf.DUMMYFUNCTION("""COMPUTED_VALUE"""),0.36297527529607315)</f>
        <v>0.3629752753</v>
      </c>
      <c r="E2957" s="5">
        <f>IFERROR(__xludf.DUMMYFUNCTION("""COMPUTED_VALUE"""),0.12663619364221898)</f>
        <v>0.1266361936</v>
      </c>
      <c r="F2957" s="5">
        <f>IFERROR(__xludf.DUMMYFUNCTION("""COMPUTED_VALUE"""),0.20216081446083523)</f>
        <v>0.2021608145</v>
      </c>
      <c r="G2957" s="5">
        <f>IFERROR(__xludf.DUMMYFUNCTION("""COMPUTED_VALUE"""),0.14824433825057137)</f>
        <v>0.1482443383</v>
      </c>
      <c r="H2957" s="5">
        <f>IFERROR(__xludf.DUMMYFUNCTION("""COMPUTED_VALUE"""),0.5853031860226104)</f>
        <v>0.585303186</v>
      </c>
      <c r="I2957" s="11">
        <f>IFERROR(__xludf.DUMMYFUNCTION("""COMPUTED_VALUE"""),5658.992805755395)</f>
        <v>5658.992806</v>
      </c>
      <c r="J2957" s="10">
        <f>IFERROR(__xludf.DUMMYFUNCTION("""COMPUTED_VALUE"""),2.0)</f>
        <v>2</v>
      </c>
      <c r="K2957" s="5">
        <f>IFERROR(__xludf.DUMMYFUNCTION("""COMPUTED_VALUE"""),0.0022471910112359553)</f>
        <v>0.002247191011</v>
      </c>
      <c r="L2957" s="10">
        <f>IFERROR(__xludf.DUMMYFUNCTION("""COMPUTED_VALUE"""),890.0)</f>
        <v>890</v>
      </c>
      <c r="M2957" s="5">
        <f>IFERROR(__xludf.DUMMYFUNCTION("""COMPUTED_VALUE"""),1.0)</f>
        <v>1</v>
      </c>
    </row>
    <row r="2958">
      <c r="A2958" s="10" t="str">
        <f>IFERROR(__xludf.DUMMYFUNCTION("""COMPUTED_VALUE"""),"レタス")</f>
        <v>レタス</v>
      </c>
      <c r="B2958" s="10">
        <f>IFERROR(__xludf.DUMMYFUNCTION("""COMPUTED_VALUE"""),110.0)</f>
        <v>110</v>
      </c>
      <c r="C2958" s="10">
        <f>IFERROR(__xludf.DUMMYFUNCTION("""COMPUTED_VALUE"""),1350.0)</f>
        <v>1350</v>
      </c>
      <c r="D2958" s="5">
        <f>IFERROR(__xludf.DUMMYFUNCTION("""COMPUTED_VALUE"""),0.3387096774193548)</f>
        <v>0.3387096774</v>
      </c>
      <c r="E2958" s="5">
        <f>IFERROR(__xludf.DUMMYFUNCTION("""COMPUTED_VALUE"""),0.12661290322580646)</f>
        <v>0.1266129032</v>
      </c>
      <c r="F2958" s="5">
        <f>IFERROR(__xludf.DUMMYFUNCTION("""COMPUTED_VALUE"""),0.2120967741935484)</f>
        <v>0.2120967742</v>
      </c>
      <c r="G2958" s="5">
        <f>IFERROR(__xludf.DUMMYFUNCTION("""COMPUTED_VALUE"""),0.17983870967741936)</f>
        <v>0.1798387097</v>
      </c>
      <c r="H2958" s="5">
        <f>IFERROR(__xludf.DUMMYFUNCTION("""COMPUTED_VALUE"""),0.5171102661596958)</f>
        <v>0.5171102662</v>
      </c>
      <c r="I2958" s="11">
        <f>IFERROR(__xludf.DUMMYFUNCTION("""COMPUTED_VALUE"""),5844.106463878327)</f>
        <v>5844.106464</v>
      </c>
      <c r="J2958" s="10">
        <f>IFERROR(__xludf.DUMMYFUNCTION("""COMPUTED_VALUE"""),1.0)</f>
        <v>1</v>
      </c>
      <c r="K2958" s="5">
        <f>IFERROR(__xludf.DUMMYFUNCTION("""COMPUTED_VALUE"""),0.00909090909090909)</f>
        <v>0.009090909091</v>
      </c>
      <c r="L2958" s="10">
        <f>IFERROR(__xludf.DUMMYFUNCTION("""COMPUTED_VALUE"""),110.0)</f>
        <v>110</v>
      </c>
      <c r="M2958" s="5">
        <f>IFERROR(__xludf.DUMMYFUNCTION("""COMPUTED_VALUE"""),1.0)</f>
        <v>1</v>
      </c>
    </row>
    <row r="2959">
      <c r="A2959" s="10" t="str">
        <f>IFERROR(__xludf.DUMMYFUNCTION("""COMPUTED_VALUE"""),"タキトール")</f>
        <v>タキトール</v>
      </c>
      <c r="B2959" s="10">
        <f>IFERROR(__xludf.DUMMYFUNCTION("""COMPUTED_VALUE"""),4232.0)</f>
        <v>4232</v>
      </c>
      <c r="C2959" s="10">
        <f>IFERROR(__xludf.DUMMYFUNCTION("""COMPUTED_VALUE"""),49182.0)</f>
        <v>49182</v>
      </c>
      <c r="D2959" s="5">
        <f>IFERROR(__xludf.DUMMYFUNCTION("""COMPUTED_VALUE"""),0.2665183537263626)</f>
        <v>0.2665183537</v>
      </c>
      <c r="E2959" s="5">
        <f>IFERROR(__xludf.DUMMYFUNCTION("""COMPUTED_VALUE"""),0.12660734149054506)</f>
        <v>0.1266073415</v>
      </c>
      <c r="F2959" s="5">
        <f>IFERROR(__xludf.DUMMYFUNCTION("""COMPUTED_VALUE"""),0.19911012235817574)</f>
        <v>0.1991101224</v>
      </c>
      <c r="G2959" s="5">
        <f>IFERROR(__xludf.DUMMYFUNCTION("""COMPUTED_VALUE"""),0.18838709677419355)</f>
        <v>0.1883870968</v>
      </c>
      <c r="H2959" s="5">
        <f>IFERROR(__xludf.DUMMYFUNCTION("""COMPUTED_VALUE"""),0.5793296089385475)</f>
        <v>0.5793296089</v>
      </c>
      <c r="I2959" s="11">
        <f>IFERROR(__xludf.DUMMYFUNCTION("""COMPUTED_VALUE"""),6104.156424581006)</f>
        <v>6104.156425</v>
      </c>
      <c r="J2959" s="10">
        <f>IFERROR(__xludf.DUMMYFUNCTION("""COMPUTED_VALUE"""),9.0)</f>
        <v>9</v>
      </c>
      <c r="K2959" s="5">
        <f>IFERROR(__xludf.DUMMYFUNCTION("""COMPUTED_VALUE"""),0.0021266540642722116)</f>
        <v>0.002126654064</v>
      </c>
      <c r="L2959" s="10">
        <f>IFERROR(__xludf.DUMMYFUNCTION("""COMPUTED_VALUE"""),4232.0)</f>
        <v>4232</v>
      </c>
      <c r="M2959" s="5">
        <f>IFERROR(__xludf.DUMMYFUNCTION("""COMPUTED_VALUE"""),1.0)</f>
        <v>1</v>
      </c>
    </row>
    <row r="2960">
      <c r="A2960" s="10" t="str">
        <f>IFERROR(__xludf.DUMMYFUNCTION("""COMPUTED_VALUE"""),"超☆窒素パンチ")</f>
        <v>超☆窒素パンチ</v>
      </c>
      <c r="B2960" s="10">
        <f>IFERROR(__xludf.DUMMYFUNCTION("""COMPUTED_VALUE"""),586.0)</f>
        <v>586</v>
      </c>
      <c r="C2960" s="10">
        <f>IFERROR(__xludf.DUMMYFUNCTION("""COMPUTED_VALUE"""),6842.0)</f>
        <v>6842</v>
      </c>
      <c r="D2960" s="5">
        <f>IFERROR(__xludf.DUMMYFUNCTION("""COMPUTED_VALUE"""),0.358695652173913)</f>
        <v>0.3586956522</v>
      </c>
      <c r="E2960" s="5">
        <f>IFERROR(__xludf.DUMMYFUNCTION("""COMPUTED_VALUE"""),0.1265984654731458)</f>
        <v>0.1265984655</v>
      </c>
      <c r="F2960" s="5">
        <f>IFERROR(__xludf.DUMMYFUNCTION("""COMPUTED_VALUE"""),0.20460358056265984)</f>
        <v>0.2046035806</v>
      </c>
      <c r="G2960" s="5">
        <f>IFERROR(__xludf.DUMMYFUNCTION("""COMPUTED_VALUE"""),0.1692774936061381)</f>
        <v>0.1692774936</v>
      </c>
      <c r="H2960" s="5">
        <f>IFERROR(__xludf.DUMMYFUNCTION("""COMPUTED_VALUE"""),0.61796875)</f>
        <v>0.61796875</v>
      </c>
      <c r="I2960" s="11">
        <f>IFERROR(__xludf.DUMMYFUNCTION("""COMPUTED_VALUE"""),5634.296875)</f>
        <v>5634.296875</v>
      </c>
      <c r="J2960" s="10">
        <f>IFERROR(__xludf.DUMMYFUNCTION("""COMPUTED_VALUE"""),1.0)</f>
        <v>1</v>
      </c>
      <c r="K2960" s="5">
        <f>IFERROR(__xludf.DUMMYFUNCTION("""COMPUTED_VALUE"""),0.0017064846416382253)</f>
        <v>0.001706484642</v>
      </c>
      <c r="L2960" s="10">
        <f>IFERROR(__xludf.DUMMYFUNCTION("""COMPUTED_VALUE"""),0.0)</f>
        <v>0</v>
      </c>
      <c r="M2960" s="5">
        <f>IFERROR(__xludf.DUMMYFUNCTION("""COMPUTED_VALUE"""),0.0)</f>
        <v>0</v>
      </c>
    </row>
    <row r="2961">
      <c r="A2961" s="10" t="str">
        <f>IFERROR(__xludf.DUMMYFUNCTION("""COMPUTED_VALUE"""),"knj1050")</f>
        <v>knj1050</v>
      </c>
      <c r="B2961" s="10">
        <f>IFERROR(__xludf.DUMMYFUNCTION("""COMPUTED_VALUE"""),635.0)</f>
        <v>635</v>
      </c>
      <c r="C2961" s="10">
        <f>IFERROR(__xludf.DUMMYFUNCTION("""COMPUTED_VALUE"""),7350.0)</f>
        <v>7350</v>
      </c>
      <c r="D2961" s="5">
        <f>IFERROR(__xludf.DUMMYFUNCTION("""COMPUTED_VALUE"""),0.23186895011169026)</f>
        <v>0.2318689501</v>
      </c>
      <c r="E2961" s="5">
        <f>IFERROR(__xludf.DUMMYFUNCTION("""COMPUTED_VALUE"""),0.12658227848101267)</f>
        <v>0.1265822785</v>
      </c>
      <c r="F2961" s="5">
        <f>IFERROR(__xludf.DUMMYFUNCTION("""COMPUTED_VALUE"""),0.18972449739389427)</f>
        <v>0.1897244974</v>
      </c>
      <c r="G2961" s="5">
        <f>IFERROR(__xludf.DUMMYFUNCTION("""COMPUTED_VALUE"""),0.1821295606850335)</f>
        <v>0.1821295607</v>
      </c>
      <c r="H2961" s="5">
        <f>IFERROR(__xludf.DUMMYFUNCTION("""COMPUTED_VALUE"""),0.6012558869701727)</f>
        <v>0.601255887</v>
      </c>
      <c r="I2961" s="11">
        <f>IFERROR(__xludf.DUMMYFUNCTION("""COMPUTED_VALUE"""),6061.773940345369)</f>
        <v>6061.77394</v>
      </c>
      <c r="J2961" s="10">
        <f>IFERROR(__xludf.DUMMYFUNCTION("""COMPUTED_VALUE"""),2.0)</f>
        <v>2</v>
      </c>
      <c r="K2961" s="5">
        <f>IFERROR(__xludf.DUMMYFUNCTION("""COMPUTED_VALUE"""),0.0031496062992125984)</f>
        <v>0.003149606299</v>
      </c>
      <c r="L2961" s="10">
        <f>IFERROR(__xludf.DUMMYFUNCTION("""COMPUTED_VALUE"""),635.0)</f>
        <v>635</v>
      </c>
      <c r="M2961" s="5">
        <f>IFERROR(__xludf.DUMMYFUNCTION("""COMPUTED_VALUE"""),1.0)</f>
        <v>1</v>
      </c>
    </row>
    <row r="2962">
      <c r="A2962" s="10" t="str">
        <f>IFERROR(__xludf.DUMMYFUNCTION("""COMPUTED_VALUE"""),"ぬーぬー")</f>
        <v>ぬーぬー</v>
      </c>
      <c r="B2962" s="10">
        <f>IFERROR(__xludf.DUMMYFUNCTION("""COMPUTED_VALUE"""),274.0)</f>
        <v>274</v>
      </c>
      <c r="C2962" s="10">
        <f>IFERROR(__xludf.DUMMYFUNCTION("""COMPUTED_VALUE"""),3284.0)</f>
        <v>3284</v>
      </c>
      <c r="D2962" s="5">
        <f>IFERROR(__xludf.DUMMYFUNCTION("""COMPUTED_VALUE"""),0.4182724252491694)</f>
        <v>0.4182724252</v>
      </c>
      <c r="E2962" s="5">
        <f>IFERROR(__xludf.DUMMYFUNCTION("""COMPUTED_VALUE"""),0.126578073089701)</f>
        <v>0.1265780731</v>
      </c>
      <c r="F2962" s="5">
        <f>IFERROR(__xludf.DUMMYFUNCTION("""COMPUTED_VALUE"""),0.20232558139534884)</f>
        <v>0.2023255814</v>
      </c>
      <c r="G2962" s="5">
        <f>IFERROR(__xludf.DUMMYFUNCTION("""COMPUTED_VALUE"""),0.16079734219269104)</f>
        <v>0.1607973422</v>
      </c>
      <c r="H2962" s="5">
        <f>IFERROR(__xludf.DUMMYFUNCTION("""COMPUTED_VALUE"""),0.5944170771756979)</f>
        <v>0.5944170772</v>
      </c>
      <c r="I2962" s="11">
        <f>IFERROR(__xludf.DUMMYFUNCTION("""COMPUTED_VALUE"""),5667.816091954023)</f>
        <v>5667.816092</v>
      </c>
      <c r="J2962" s="10">
        <f>IFERROR(__xludf.DUMMYFUNCTION("""COMPUTED_VALUE"""),0.0)</f>
        <v>0</v>
      </c>
      <c r="K2962" s="5">
        <f>IFERROR(__xludf.DUMMYFUNCTION("""COMPUTED_VALUE"""),0.0)</f>
        <v>0</v>
      </c>
      <c r="L2962" s="10">
        <f>IFERROR(__xludf.DUMMYFUNCTION("""COMPUTED_VALUE"""),6.0)</f>
        <v>6</v>
      </c>
      <c r="M2962" s="5">
        <f>IFERROR(__xludf.DUMMYFUNCTION("""COMPUTED_VALUE"""),0.021897810218978103)</f>
        <v>0.02189781022</v>
      </c>
    </row>
    <row r="2963">
      <c r="A2963" s="10" t="str">
        <f>IFERROR(__xludf.DUMMYFUNCTION("""COMPUTED_VALUE"""),"salaman")</f>
        <v>salaman</v>
      </c>
      <c r="B2963" s="10">
        <f>IFERROR(__xludf.DUMMYFUNCTION("""COMPUTED_VALUE"""),1264.0)</f>
        <v>1264</v>
      </c>
      <c r="C2963" s="10">
        <f>IFERROR(__xludf.DUMMYFUNCTION("""COMPUTED_VALUE"""),14782.0)</f>
        <v>14782</v>
      </c>
      <c r="D2963" s="5">
        <f>IFERROR(__xludf.DUMMYFUNCTION("""COMPUTED_VALUE"""),0.40153868915520047)</f>
        <v>0.4015386892</v>
      </c>
      <c r="E2963" s="5">
        <f>IFERROR(__xludf.DUMMYFUNCTION("""COMPUTED_VALUE"""),0.12657197810326973)</f>
        <v>0.1265719781</v>
      </c>
      <c r="F2963" s="5">
        <f>IFERROR(__xludf.DUMMYFUNCTION("""COMPUTED_VALUE"""),0.20935049563544902)</f>
        <v>0.2093504956</v>
      </c>
      <c r="G2963" s="5">
        <f>IFERROR(__xludf.DUMMYFUNCTION("""COMPUTED_VALUE"""),0.18020417221482468)</f>
        <v>0.1802041722</v>
      </c>
      <c r="H2963" s="5">
        <f>IFERROR(__xludf.DUMMYFUNCTION("""COMPUTED_VALUE"""),0.5971731448763251)</f>
        <v>0.5971731449</v>
      </c>
      <c r="I2963" s="11">
        <f>IFERROR(__xludf.DUMMYFUNCTION("""COMPUTED_VALUE"""),5599.505300353357)</f>
        <v>5599.5053</v>
      </c>
      <c r="J2963" s="10">
        <f>IFERROR(__xludf.DUMMYFUNCTION("""COMPUTED_VALUE"""),5.0)</f>
        <v>5</v>
      </c>
      <c r="K2963" s="5">
        <f>IFERROR(__xludf.DUMMYFUNCTION("""COMPUTED_VALUE"""),0.003955696202531646)</f>
        <v>0.003955696203</v>
      </c>
      <c r="L2963" s="10">
        <f>IFERROR(__xludf.DUMMYFUNCTION("""COMPUTED_VALUE"""),1264.0)</f>
        <v>1264</v>
      </c>
      <c r="M2963" s="5">
        <f>IFERROR(__xludf.DUMMYFUNCTION("""COMPUTED_VALUE"""),1.0)</f>
        <v>1</v>
      </c>
    </row>
    <row r="2964">
      <c r="A2964" s="10" t="str">
        <f>IFERROR(__xludf.DUMMYFUNCTION("""COMPUTED_VALUE"""),"単騎は損気")</f>
        <v>単騎は損気</v>
      </c>
      <c r="B2964" s="10">
        <f>IFERROR(__xludf.DUMMYFUNCTION("""COMPUTED_VALUE"""),102.0)</f>
        <v>102</v>
      </c>
      <c r="C2964" s="10">
        <f>IFERROR(__xludf.DUMMYFUNCTION("""COMPUTED_VALUE"""),1216.0)</f>
        <v>1216</v>
      </c>
      <c r="D2964" s="5">
        <f>IFERROR(__xludf.DUMMYFUNCTION("""COMPUTED_VALUE"""),0.4398563734290844)</f>
        <v>0.4398563734</v>
      </c>
      <c r="E2964" s="5">
        <f>IFERROR(__xludf.DUMMYFUNCTION("""COMPUTED_VALUE"""),0.12657091561938957)</f>
        <v>0.1265709156</v>
      </c>
      <c r="F2964" s="5">
        <f>IFERROR(__xludf.DUMMYFUNCTION("""COMPUTED_VALUE"""),0.21454219030520646)</f>
        <v>0.2145421903</v>
      </c>
      <c r="G2964" s="5">
        <f>IFERROR(__xludf.DUMMYFUNCTION("""COMPUTED_VALUE"""),0.18581687612208259)</f>
        <v>0.1858168761</v>
      </c>
      <c r="H2964" s="5">
        <f>IFERROR(__xludf.DUMMYFUNCTION("""COMPUTED_VALUE"""),0.606694560669456)</f>
        <v>0.6066945607</v>
      </c>
      <c r="I2964" s="11">
        <f>IFERROR(__xludf.DUMMYFUNCTION("""COMPUTED_VALUE"""),5760.669456066946)</f>
        <v>5760.669456</v>
      </c>
      <c r="J2964" s="10">
        <f>IFERROR(__xludf.DUMMYFUNCTION("""COMPUTED_VALUE"""),1.0)</f>
        <v>1</v>
      </c>
      <c r="K2964" s="5">
        <f>IFERROR(__xludf.DUMMYFUNCTION("""COMPUTED_VALUE"""),0.00980392156862745)</f>
        <v>0.009803921569</v>
      </c>
      <c r="L2964" s="10">
        <f>IFERROR(__xludf.DUMMYFUNCTION("""COMPUTED_VALUE"""),97.0)</f>
        <v>97</v>
      </c>
      <c r="M2964" s="5">
        <f>IFERROR(__xludf.DUMMYFUNCTION("""COMPUTED_VALUE"""),0.9509803921568627)</f>
        <v>0.9509803922</v>
      </c>
    </row>
    <row r="2965">
      <c r="A2965" s="10" t="str">
        <f>IFERROR(__xludf.DUMMYFUNCTION("""COMPUTED_VALUE"""),"こーめーさん")</f>
        <v>こーめーさん</v>
      </c>
      <c r="B2965" s="10">
        <f>IFERROR(__xludf.DUMMYFUNCTION("""COMPUTED_VALUE"""),543.0)</f>
        <v>543</v>
      </c>
      <c r="C2965" s="10">
        <f>IFERROR(__xludf.DUMMYFUNCTION("""COMPUTED_VALUE"""),6398.0)</f>
        <v>6398</v>
      </c>
      <c r="D2965" s="5">
        <f>IFERROR(__xludf.DUMMYFUNCTION("""COMPUTED_VALUE"""),0.2819812126387703)</f>
        <v>0.2819812126</v>
      </c>
      <c r="E2965" s="5">
        <f>IFERROR(__xludf.DUMMYFUNCTION("""COMPUTED_VALUE"""),0.1265584970111016)</f>
        <v>0.126558497</v>
      </c>
      <c r="F2965" s="5">
        <f>IFERROR(__xludf.DUMMYFUNCTION("""COMPUTED_VALUE"""),0.2030742954739539)</f>
        <v>0.2030742955</v>
      </c>
      <c r="G2965" s="5">
        <f>IFERROR(__xludf.DUMMYFUNCTION("""COMPUTED_VALUE"""),0.16481639624252775)</f>
        <v>0.1648163962</v>
      </c>
      <c r="H2965" s="5">
        <f>IFERROR(__xludf.DUMMYFUNCTION("""COMPUTED_VALUE"""),0.5870479394449117)</f>
        <v>0.5870479394</v>
      </c>
      <c r="I2965" s="11">
        <f>IFERROR(__xludf.DUMMYFUNCTION("""COMPUTED_VALUE"""),5742.977291841884)</f>
        <v>5742.977292</v>
      </c>
      <c r="J2965" s="10">
        <f>IFERROR(__xludf.DUMMYFUNCTION("""COMPUTED_VALUE"""),1.0)</f>
        <v>1</v>
      </c>
      <c r="K2965" s="5">
        <f>IFERROR(__xludf.DUMMYFUNCTION("""COMPUTED_VALUE"""),0.001841620626151013)</f>
        <v>0.001841620626</v>
      </c>
      <c r="L2965" s="10">
        <f>IFERROR(__xludf.DUMMYFUNCTION("""COMPUTED_VALUE"""),543.0)</f>
        <v>543</v>
      </c>
      <c r="M2965" s="5">
        <f>IFERROR(__xludf.DUMMYFUNCTION("""COMPUTED_VALUE"""),1.0)</f>
        <v>1</v>
      </c>
    </row>
    <row r="2966">
      <c r="A2966" s="10" t="str">
        <f>IFERROR(__xludf.DUMMYFUNCTION("""COMPUTED_VALUE"""),"trail")</f>
        <v>trail</v>
      </c>
      <c r="B2966" s="10">
        <f>IFERROR(__xludf.DUMMYFUNCTION("""COMPUTED_VALUE"""),557.0)</f>
        <v>557</v>
      </c>
      <c r="C2966" s="10">
        <f>IFERROR(__xludf.DUMMYFUNCTION("""COMPUTED_VALUE"""),6578.0)</f>
        <v>6578</v>
      </c>
      <c r="D2966" s="5">
        <f>IFERROR(__xludf.DUMMYFUNCTION("""COMPUTED_VALUE"""),0.28467032054476)</f>
        <v>0.2846703205</v>
      </c>
      <c r="E2966" s="5">
        <f>IFERROR(__xludf.DUMMYFUNCTION("""COMPUTED_VALUE"""),0.12655705032386647)</f>
        <v>0.1265570503</v>
      </c>
      <c r="F2966" s="5">
        <f>IFERROR(__xludf.DUMMYFUNCTION("""COMPUTED_VALUE"""),0.20195980734097327)</f>
        <v>0.2019598073</v>
      </c>
      <c r="G2966" s="5">
        <f>IFERROR(__xludf.DUMMYFUNCTION("""COMPUTED_VALUE"""),0.19415379505065603)</f>
        <v>0.1941537951</v>
      </c>
      <c r="H2966" s="5">
        <f>IFERROR(__xludf.DUMMYFUNCTION("""COMPUTED_VALUE"""),0.5962171052631579)</f>
        <v>0.5962171053</v>
      </c>
      <c r="I2966" s="11">
        <f>IFERROR(__xludf.DUMMYFUNCTION("""COMPUTED_VALUE"""),5937.5)</f>
        <v>5937.5</v>
      </c>
      <c r="J2966" s="10">
        <f>IFERROR(__xludf.DUMMYFUNCTION("""COMPUTED_VALUE"""),0.0)</f>
        <v>0</v>
      </c>
      <c r="K2966" s="5">
        <f>IFERROR(__xludf.DUMMYFUNCTION("""COMPUTED_VALUE"""),0.0)</f>
        <v>0</v>
      </c>
      <c r="L2966" s="10">
        <f>IFERROR(__xludf.DUMMYFUNCTION("""COMPUTED_VALUE"""),0.0)</f>
        <v>0</v>
      </c>
      <c r="M2966" s="5">
        <f>IFERROR(__xludf.DUMMYFUNCTION("""COMPUTED_VALUE"""),0.0)</f>
        <v>0</v>
      </c>
    </row>
    <row r="2967">
      <c r="A2967" s="10" t="str">
        <f>IFERROR(__xludf.DUMMYFUNCTION("""COMPUTED_VALUE"""),"マックスぅ")</f>
        <v>マックスぅ</v>
      </c>
      <c r="B2967" s="10">
        <f>IFERROR(__xludf.DUMMYFUNCTION("""COMPUTED_VALUE"""),366.0)</f>
        <v>366</v>
      </c>
      <c r="C2967" s="10">
        <f>IFERROR(__xludf.DUMMYFUNCTION("""COMPUTED_VALUE"""),4388.0)</f>
        <v>4388</v>
      </c>
      <c r="D2967" s="5">
        <f>IFERROR(__xludf.DUMMYFUNCTION("""COMPUTED_VALUE"""),0.39781203381402286)</f>
        <v>0.3978120338</v>
      </c>
      <c r="E2967" s="5">
        <f>IFERROR(__xludf.DUMMYFUNCTION("""COMPUTED_VALUE"""),0.12655395325708602)</f>
        <v>0.1265539533</v>
      </c>
      <c r="F2967" s="5">
        <f>IFERROR(__xludf.DUMMYFUNCTION("""COMPUTED_VALUE"""),0.19592242665340626)</f>
        <v>0.1959224267</v>
      </c>
      <c r="G2967" s="5">
        <f>IFERROR(__xludf.DUMMYFUNCTION("""COMPUTED_VALUE"""),0.1183490800596718)</f>
        <v>0.1183490801</v>
      </c>
      <c r="H2967" s="5">
        <f>IFERROR(__xludf.DUMMYFUNCTION("""COMPUTED_VALUE"""),0.600253807106599)</f>
        <v>0.6002538071</v>
      </c>
      <c r="I2967" s="11">
        <f>IFERROR(__xludf.DUMMYFUNCTION("""COMPUTED_VALUE"""),5576.395939086295)</f>
        <v>5576.395939</v>
      </c>
      <c r="J2967" s="10">
        <f>IFERROR(__xludf.DUMMYFUNCTION("""COMPUTED_VALUE"""),1.0)</f>
        <v>1</v>
      </c>
      <c r="K2967" s="5">
        <f>IFERROR(__xludf.DUMMYFUNCTION("""COMPUTED_VALUE"""),0.00273224043715847)</f>
        <v>0.002732240437</v>
      </c>
      <c r="L2967" s="10">
        <f>IFERROR(__xludf.DUMMYFUNCTION("""COMPUTED_VALUE"""),366.0)</f>
        <v>366</v>
      </c>
      <c r="M2967" s="5">
        <f>IFERROR(__xludf.DUMMYFUNCTION("""COMPUTED_VALUE"""),1.0)</f>
        <v>1</v>
      </c>
    </row>
    <row r="2968">
      <c r="A2968" s="10" t="str">
        <f>IFERROR(__xludf.DUMMYFUNCTION("""COMPUTED_VALUE"""),"silen.")</f>
        <v>silen.</v>
      </c>
      <c r="B2968" s="10">
        <f>IFERROR(__xludf.DUMMYFUNCTION("""COMPUTED_VALUE"""),164.0)</f>
        <v>164</v>
      </c>
      <c r="C2968" s="10">
        <f>IFERROR(__xludf.DUMMYFUNCTION("""COMPUTED_VALUE"""),1934.0)</f>
        <v>1934</v>
      </c>
      <c r="D2968" s="5">
        <f>IFERROR(__xludf.DUMMYFUNCTION("""COMPUTED_VALUE"""),0.3282485875706215)</f>
        <v>0.3282485876</v>
      </c>
      <c r="E2968" s="5">
        <f>IFERROR(__xludf.DUMMYFUNCTION("""COMPUTED_VALUE"""),0.12655367231638417)</f>
        <v>0.1265536723</v>
      </c>
      <c r="F2968" s="5">
        <f>IFERROR(__xludf.DUMMYFUNCTION("""COMPUTED_VALUE"""),0.22598870056497175)</f>
        <v>0.2259887006</v>
      </c>
      <c r="G2968" s="5">
        <f>IFERROR(__xludf.DUMMYFUNCTION("""COMPUTED_VALUE"""),0.17401129943502824)</f>
        <v>0.1740112994</v>
      </c>
      <c r="H2968" s="5">
        <f>IFERROR(__xludf.DUMMYFUNCTION("""COMPUTED_VALUE"""),0.5725)</f>
        <v>0.5725</v>
      </c>
      <c r="I2968" s="11">
        <f>IFERROR(__xludf.DUMMYFUNCTION("""COMPUTED_VALUE"""),5867.75)</f>
        <v>5867.75</v>
      </c>
      <c r="J2968" s="10">
        <f>IFERROR(__xludf.DUMMYFUNCTION("""COMPUTED_VALUE"""),0.0)</f>
        <v>0</v>
      </c>
      <c r="K2968" s="5">
        <f>IFERROR(__xludf.DUMMYFUNCTION("""COMPUTED_VALUE"""),0.0)</f>
        <v>0</v>
      </c>
      <c r="L2968" s="10">
        <f>IFERROR(__xludf.DUMMYFUNCTION("""COMPUTED_VALUE"""),164.0)</f>
        <v>164</v>
      </c>
      <c r="M2968" s="5">
        <f>IFERROR(__xludf.DUMMYFUNCTION("""COMPUTED_VALUE"""),1.0)</f>
        <v>1</v>
      </c>
    </row>
    <row r="2969">
      <c r="A2969" s="10" t="str">
        <f>IFERROR(__xludf.DUMMYFUNCTION("""COMPUTED_VALUE"""),"Px10")</f>
        <v>Px10</v>
      </c>
      <c r="B2969" s="10">
        <f>IFERROR(__xludf.DUMMYFUNCTION("""COMPUTED_VALUE"""),128.0)</f>
        <v>128</v>
      </c>
      <c r="C2969" s="10">
        <f>IFERROR(__xludf.DUMMYFUNCTION("""COMPUTED_VALUE"""),1503.0)</f>
        <v>1503</v>
      </c>
      <c r="D2969" s="5">
        <f>IFERROR(__xludf.DUMMYFUNCTION("""COMPUTED_VALUE"""),0.4138181818181818)</f>
        <v>0.4138181818</v>
      </c>
      <c r="E2969" s="5">
        <f>IFERROR(__xludf.DUMMYFUNCTION("""COMPUTED_VALUE"""),0.12654545454545454)</f>
        <v>0.1265454545</v>
      </c>
      <c r="F2969" s="5">
        <f>IFERROR(__xludf.DUMMYFUNCTION("""COMPUTED_VALUE"""),0.23127272727272727)</f>
        <v>0.2312727273</v>
      </c>
      <c r="G2969" s="5">
        <f>IFERROR(__xludf.DUMMYFUNCTION("""COMPUTED_VALUE"""),0.14836363636363636)</f>
        <v>0.1483636364</v>
      </c>
      <c r="H2969" s="5">
        <f>IFERROR(__xludf.DUMMYFUNCTION("""COMPUTED_VALUE"""),0.6163522012578616)</f>
        <v>0.6163522013</v>
      </c>
      <c r="I2969" s="11">
        <f>IFERROR(__xludf.DUMMYFUNCTION("""COMPUTED_VALUE"""),5130.188679245283)</f>
        <v>5130.188679</v>
      </c>
      <c r="J2969" s="10">
        <f>IFERROR(__xludf.DUMMYFUNCTION("""COMPUTED_VALUE"""),0.0)</f>
        <v>0</v>
      </c>
      <c r="K2969" s="5">
        <f>IFERROR(__xludf.DUMMYFUNCTION("""COMPUTED_VALUE"""),0.0)</f>
        <v>0</v>
      </c>
      <c r="L2969" s="10">
        <f>IFERROR(__xludf.DUMMYFUNCTION("""COMPUTED_VALUE"""),0.0)</f>
        <v>0</v>
      </c>
      <c r="M2969" s="5">
        <f>IFERROR(__xludf.DUMMYFUNCTION("""COMPUTED_VALUE"""),0.0)</f>
        <v>0</v>
      </c>
    </row>
    <row r="2970">
      <c r="A2970" s="10" t="str">
        <f>IFERROR(__xludf.DUMMYFUNCTION("""COMPUTED_VALUE"""),"戸愚呂・姉")</f>
        <v>戸愚呂・姉</v>
      </c>
      <c r="B2970" s="10">
        <f>IFERROR(__xludf.DUMMYFUNCTION("""COMPUTED_VALUE"""),546.0)</f>
        <v>546</v>
      </c>
      <c r="C2970" s="10">
        <f>IFERROR(__xludf.DUMMYFUNCTION("""COMPUTED_VALUE"""),6473.0)</f>
        <v>6473</v>
      </c>
      <c r="D2970" s="5">
        <f>IFERROR(__xludf.DUMMYFUNCTION("""COMPUTED_VALUE"""),0.4408638434283786)</f>
        <v>0.4408638434</v>
      </c>
      <c r="E2970" s="5">
        <f>IFERROR(__xludf.DUMMYFUNCTION("""COMPUTED_VALUE"""),0.1265395647038974)</f>
        <v>0.1265395647</v>
      </c>
      <c r="F2970" s="5">
        <f>IFERROR(__xludf.DUMMYFUNCTION("""COMPUTED_VALUE"""),0.215454698835836)</f>
        <v>0.2154546988</v>
      </c>
      <c r="G2970" s="5">
        <f>IFERROR(__xludf.DUMMYFUNCTION("""COMPUTED_VALUE"""),0.15606546313480682)</f>
        <v>0.1560654631</v>
      </c>
      <c r="H2970" s="5">
        <f>IFERROR(__xludf.DUMMYFUNCTION("""COMPUTED_VALUE"""),0.5787000783085356)</f>
        <v>0.5787000783</v>
      </c>
      <c r="I2970" s="11">
        <f>IFERROR(__xludf.DUMMYFUNCTION("""COMPUTED_VALUE"""),5220.3602192639)</f>
        <v>5220.360219</v>
      </c>
      <c r="J2970" s="10">
        <f>IFERROR(__xludf.DUMMYFUNCTION("""COMPUTED_VALUE"""),0.0)</f>
        <v>0</v>
      </c>
      <c r="K2970" s="5">
        <f>IFERROR(__xludf.DUMMYFUNCTION("""COMPUTED_VALUE"""),0.0)</f>
        <v>0</v>
      </c>
      <c r="L2970" s="10">
        <f>IFERROR(__xludf.DUMMYFUNCTION("""COMPUTED_VALUE"""),546.0)</f>
        <v>546</v>
      </c>
      <c r="M2970" s="5">
        <f>IFERROR(__xludf.DUMMYFUNCTION("""COMPUTED_VALUE"""),1.0)</f>
        <v>1</v>
      </c>
    </row>
    <row r="2971">
      <c r="A2971" s="10" t="str">
        <f>IFERROR(__xludf.DUMMYFUNCTION("""COMPUTED_VALUE"""),"zhkdshgy")</f>
        <v>zhkdshgy</v>
      </c>
      <c r="B2971" s="10">
        <f>IFERROR(__xludf.DUMMYFUNCTION("""COMPUTED_VALUE"""),2252.0)</f>
        <v>2252</v>
      </c>
      <c r="C2971" s="10">
        <f>IFERROR(__xludf.DUMMYFUNCTION("""COMPUTED_VALUE"""),26372.0)</f>
        <v>26372</v>
      </c>
      <c r="D2971" s="5">
        <f>IFERROR(__xludf.DUMMYFUNCTION("""COMPUTED_VALUE"""),0.38913764510779436)</f>
        <v>0.3891376451</v>
      </c>
      <c r="E2971" s="5">
        <f>IFERROR(__xludf.DUMMYFUNCTION("""COMPUTED_VALUE"""),0.1265339966832504)</f>
        <v>0.1265339967</v>
      </c>
      <c r="F2971" s="5">
        <f>IFERROR(__xludf.DUMMYFUNCTION("""COMPUTED_VALUE"""),0.22462686567164178)</f>
        <v>0.2246268657</v>
      </c>
      <c r="G2971" s="5">
        <f>IFERROR(__xludf.DUMMYFUNCTION("""COMPUTED_VALUE"""),0.16517412935323383)</f>
        <v>0.1651741294</v>
      </c>
      <c r="H2971" s="5">
        <f>IFERROR(__xludf.DUMMYFUNCTION("""COMPUTED_VALUE"""),0.6116648209671466)</f>
        <v>0.611664821</v>
      </c>
      <c r="I2971" s="11">
        <f>IFERROR(__xludf.DUMMYFUNCTION("""COMPUTED_VALUE"""),5248.301956441492)</f>
        <v>5248.301956</v>
      </c>
      <c r="J2971" s="10">
        <f>IFERROR(__xludf.DUMMYFUNCTION("""COMPUTED_VALUE"""),3.0)</f>
        <v>3</v>
      </c>
      <c r="K2971" s="5">
        <f>IFERROR(__xludf.DUMMYFUNCTION("""COMPUTED_VALUE"""),0.0013321492007104796)</f>
        <v>0.001332149201</v>
      </c>
      <c r="L2971" s="10">
        <f>IFERROR(__xludf.DUMMYFUNCTION("""COMPUTED_VALUE"""),1162.0)</f>
        <v>1162</v>
      </c>
      <c r="M2971" s="5">
        <f>IFERROR(__xludf.DUMMYFUNCTION("""COMPUTED_VALUE"""),0.5159857904085258)</f>
        <v>0.5159857904</v>
      </c>
    </row>
    <row r="2972">
      <c r="A2972" s="12" t="str">
        <f>IFERROR(__xludf.DUMMYFUNCTION("""COMPUTED_VALUE"""),"no.name")</f>
        <v>no.name</v>
      </c>
      <c r="B2972" s="10">
        <f>IFERROR(__xludf.DUMMYFUNCTION("""COMPUTED_VALUE"""),256.0)</f>
        <v>256</v>
      </c>
      <c r="C2972" s="10">
        <f>IFERROR(__xludf.DUMMYFUNCTION("""COMPUTED_VALUE"""),3030.0)</f>
        <v>3030</v>
      </c>
      <c r="D2972" s="5">
        <f>IFERROR(__xludf.DUMMYFUNCTION("""COMPUTED_VALUE"""),0.3449891852919971)</f>
        <v>0.3449891853</v>
      </c>
      <c r="E2972" s="5">
        <f>IFERROR(__xludf.DUMMYFUNCTION("""COMPUTED_VALUE"""),0.12653208363374188)</f>
        <v>0.1265320836</v>
      </c>
      <c r="F2972" s="5">
        <f>IFERROR(__xludf.DUMMYFUNCTION("""COMPUTED_VALUE"""),0.20908435472242248)</f>
        <v>0.2090843547</v>
      </c>
      <c r="G2972" s="5">
        <f>IFERROR(__xludf.DUMMYFUNCTION("""COMPUTED_VALUE"""),0.18493150684931506)</f>
        <v>0.1849315068</v>
      </c>
      <c r="H2972" s="5">
        <f>IFERROR(__xludf.DUMMYFUNCTION("""COMPUTED_VALUE"""),0.5844827586206897)</f>
        <v>0.5844827586</v>
      </c>
      <c r="I2972" s="11">
        <f>IFERROR(__xludf.DUMMYFUNCTION("""COMPUTED_VALUE"""),5446.206896551724)</f>
        <v>5446.206897</v>
      </c>
      <c r="J2972" s="10">
        <f>IFERROR(__xludf.DUMMYFUNCTION("""COMPUTED_VALUE"""),2.0)</f>
        <v>2</v>
      </c>
      <c r="K2972" s="5">
        <f>IFERROR(__xludf.DUMMYFUNCTION("""COMPUTED_VALUE"""),0.0078125)</f>
        <v>0.0078125</v>
      </c>
      <c r="L2972" s="10">
        <f>IFERROR(__xludf.DUMMYFUNCTION("""COMPUTED_VALUE"""),2.0)</f>
        <v>2</v>
      </c>
      <c r="M2972" s="5">
        <f>IFERROR(__xludf.DUMMYFUNCTION("""COMPUTED_VALUE"""),0.0078125)</f>
        <v>0.0078125</v>
      </c>
    </row>
    <row r="2973">
      <c r="A2973" s="10" t="str">
        <f>IFERROR(__xludf.DUMMYFUNCTION("""COMPUTED_VALUE"""),"松木安太郎")</f>
        <v>松木安太郎</v>
      </c>
      <c r="B2973" s="10">
        <f>IFERROR(__xludf.DUMMYFUNCTION("""COMPUTED_VALUE"""),305.0)</f>
        <v>305</v>
      </c>
      <c r="C2973" s="10">
        <f>IFERROR(__xludf.DUMMYFUNCTION("""COMPUTED_VALUE"""),3569.0)</f>
        <v>3569</v>
      </c>
      <c r="D2973" s="5">
        <f>IFERROR(__xludf.DUMMYFUNCTION("""COMPUTED_VALUE"""),0.3397671568627451)</f>
        <v>0.3397671569</v>
      </c>
      <c r="E2973" s="5">
        <f>IFERROR(__xludf.DUMMYFUNCTION("""COMPUTED_VALUE"""),0.12653186274509803)</f>
        <v>0.1265318627</v>
      </c>
      <c r="F2973" s="5">
        <f>IFERROR(__xludf.DUMMYFUNCTION("""COMPUTED_VALUE"""),0.20526960784313725)</f>
        <v>0.2052696078</v>
      </c>
      <c r="G2973" s="5">
        <f>IFERROR(__xludf.DUMMYFUNCTION("""COMPUTED_VALUE"""),0.15318627450980393)</f>
        <v>0.1531862745</v>
      </c>
      <c r="H2973" s="5">
        <f>IFERROR(__xludf.DUMMYFUNCTION("""COMPUTED_VALUE"""),0.6)</f>
        <v>0.6</v>
      </c>
      <c r="I2973" s="11">
        <f>IFERROR(__xludf.DUMMYFUNCTION("""COMPUTED_VALUE"""),5944.626865671642)</f>
        <v>5944.626866</v>
      </c>
      <c r="J2973" s="10">
        <f>IFERROR(__xludf.DUMMYFUNCTION("""COMPUTED_VALUE"""),1.0)</f>
        <v>1</v>
      </c>
      <c r="K2973" s="5">
        <f>IFERROR(__xludf.DUMMYFUNCTION("""COMPUTED_VALUE"""),0.003278688524590164)</f>
        <v>0.003278688525</v>
      </c>
      <c r="L2973" s="10">
        <f>IFERROR(__xludf.DUMMYFUNCTION("""COMPUTED_VALUE"""),305.0)</f>
        <v>305</v>
      </c>
      <c r="M2973" s="5">
        <f>IFERROR(__xludf.DUMMYFUNCTION("""COMPUTED_VALUE"""),1.0)</f>
        <v>1</v>
      </c>
    </row>
    <row r="2974">
      <c r="A2974" s="10" t="str">
        <f>IFERROR(__xludf.DUMMYFUNCTION("""COMPUTED_VALUE"""),"hasuoike")</f>
        <v>hasuoike</v>
      </c>
      <c r="B2974" s="10">
        <f>IFERROR(__xludf.DUMMYFUNCTION("""COMPUTED_VALUE"""),105.0)</f>
        <v>105</v>
      </c>
      <c r="C2974" s="10">
        <f>IFERROR(__xludf.DUMMYFUNCTION("""COMPUTED_VALUE"""),1251.0)</f>
        <v>1251</v>
      </c>
      <c r="D2974" s="5">
        <f>IFERROR(__xludf.DUMMYFUNCTION("""COMPUTED_VALUE"""),0.2949389179755672)</f>
        <v>0.294938918</v>
      </c>
      <c r="E2974" s="5">
        <f>IFERROR(__xludf.DUMMYFUNCTION("""COMPUTED_VALUE"""),0.12652705061082026)</f>
        <v>0.1265270506</v>
      </c>
      <c r="F2974" s="5">
        <f>IFERROR(__xludf.DUMMYFUNCTION("""COMPUTED_VALUE"""),0.19720767888307156)</f>
        <v>0.1972076789</v>
      </c>
      <c r="G2974" s="5">
        <f>IFERROR(__xludf.DUMMYFUNCTION("""COMPUTED_VALUE"""),0.1849912739965096)</f>
        <v>0.184991274</v>
      </c>
      <c r="H2974" s="5">
        <f>IFERROR(__xludf.DUMMYFUNCTION("""COMPUTED_VALUE"""),0.6017699115044248)</f>
        <v>0.6017699115</v>
      </c>
      <c r="I2974" s="11">
        <f>IFERROR(__xludf.DUMMYFUNCTION("""COMPUTED_VALUE"""),5549.115044247787)</f>
        <v>5549.115044</v>
      </c>
      <c r="J2974" s="10">
        <f>IFERROR(__xludf.DUMMYFUNCTION("""COMPUTED_VALUE"""),0.0)</f>
        <v>0</v>
      </c>
      <c r="K2974" s="5">
        <f>IFERROR(__xludf.DUMMYFUNCTION("""COMPUTED_VALUE"""),0.0)</f>
        <v>0</v>
      </c>
      <c r="L2974" s="10">
        <f>IFERROR(__xludf.DUMMYFUNCTION("""COMPUTED_VALUE"""),105.0)</f>
        <v>105</v>
      </c>
      <c r="M2974" s="5">
        <f>IFERROR(__xludf.DUMMYFUNCTION("""COMPUTED_VALUE"""),1.0)</f>
        <v>1</v>
      </c>
    </row>
    <row r="2975">
      <c r="A2975" s="10" t="str">
        <f>IFERROR(__xludf.DUMMYFUNCTION("""COMPUTED_VALUE"""),"☆NABE☆")</f>
        <v>☆NABE☆</v>
      </c>
      <c r="B2975" s="10">
        <f>IFERROR(__xludf.DUMMYFUNCTION("""COMPUTED_VALUE"""),349.0)</f>
        <v>349</v>
      </c>
      <c r="C2975" s="10">
        <f>IFERROR(__xludf.DUMMYFUNCTION("""COMPUTED_VALUE"""),4048.0)</f>
        <v>4048</v>
      </c>
      <c r="D2975" s="5">
        <f>IFERROR(__xludf.DUMMYFUNCTION("""COMPUTED_VALUE"""),0.31035414977020814)</f>
        <v>0.3103541498</v>
      </c>
      <c r="E2975" s="5">
        <f>IFERROR(__xludf.DUMMYFUNCTION("""COMPUTED_VALUE"""),0.12652068126520682)</f>
        <v>0.1265206813</v>
      </c>
      <c r="F2975" s="5">
        <f>IFERROR(__xludf.DUMMYFUNCTION("""COMPUTED_VALUE"""),0.21276020546093538)</f>
        <v>0.2127602055</v>
      </c>
      <c r="G2975" s="5">
        <f>IFERROR(__xludf.DUMMYFUNCTION("""COMPUTED_VALUE"""),0.19275479859421465)</f>
        <v>0.1927547986</v>
      </c>
      <c r="H2975" s="5">
        <f>IFERROR(__xludf.DUMMYFUNCTION("""COMPUTED_VALUE"""),0.5717916137229987)</f>
        <v>0.5717916137</v>
      </c>
      <c r="I2975" s="11">
        <f>IFERROR(__xludf.DUMMYFUNCTION("""COMPUTED_VALUE"""),5672.299872935197)</f>
        <v>5672.299873</v>
      </c>
      <c r="J2975" s="10">
        <f>IFERROR(__xludf.DUMMYFUNCTION("""COMPUTED_VALUE"""),2.0)</f>
        <v>2</v>
      </c>
      <c r="K2975" s="5">
        <f>IFERROR(__xludf.DUMMYFUNCTION("""COMPUTED_VALUE"""),0.0057306590257879654)</f>
        <v>0.005730659026</v>
      </c>
      <c r="L2975" s="10">
        <f>IFERROR(__xludf.DUMMYFUNCTION("""COMPUTED_VALUE"""),0.0)</f>
        <v>0</v>
      </c>
      <c r="M2975" s="5">
        <f>IFERROR(__xludf.DUMMYFUNCTION("""COMPUTED_VALUE"""),0.0)</f>
        <v>0</v>
      </c>
    </row>
    <row r="2976">
      <c r="A2976" s="10" t="str">
        <f>IFERROR(__xludf.DUMMYFUNCTION("""COMPUTED_VALUE"""),"振り込みの達人！")</f>
        <v>振り込みの達人！</v>
      </c>
      <c r="B2976" s="10">
        <f>IFERROR(__xludf.DUMMYFUNCTION("""COMPUTED_VALUE"""),499.0)</f>
        <v>499</v>
      </c>
      <c r="C2976" s="10">
        <f>IFERROR(__xludf.DUMMYFUNCTION("""COMPUTED_VALUE"""),5929.0)</f>
        <v>5929</v>
      </c>
      <c r="D2976" s="5">
        <f>IFERROR(__xludf.DUMMYFUNCTION("""COMPUTED_VALUE"""),0.33627992633517495)</f>
        <v>0.3362799263</v>
      </c>
      <c r="E2976" s="5">
        <f>IFERROR(__xludf.DUMMYFUNCTION("""COMPUTED_VALUE"""),0.12651933701657458)</f>
        <v>0.126519337</v>
      </c>
      <c r="F2976" s="5">
        <f>IFERROR(__xludf.DUMMYFUNCTION("""COMPUTED_VALUE"""),0.1983425414364641)</f>
        <v>0.1983425414</v>
      </c>
      <c r="G2976" s="5">
        <f>IFERROR(__xludf.DUMMYFUNCTION("""COMPUTED_VALUE"""),0.1887661141804788)</f>
        <v>0.1887661142</v>
      </c>
      <c r="H2976" s="5">
        <f>IFERROR(__xludf.DUMMYFUNCTION("""COMPUTED_VALUE"""),0.5803156917363046)</f>
        <v>0.5803156917</v>
      </c>
      <c r="I2976" s="11">
        <f>IFERROR(__xludf.DUMMYFUNCTION("""COMPUTED_VALUE"""),5749.396471680594)</f>
        <v>5749.396472</v>
      </c>
      <c r="J2976" s="10">
        <f>IFERROR(__xludf.DUMMYFUNCTION("""COMPUTED_VALUE"""),0.0)</f>
        <v>0</v>
      </c>
      <c r="K2976" s="5">
        <f>IFERROR(__xludf.DUMMYFUNCTION("""COMPUTED_VALUE"""),0.0)</f>
        <v>0</v>
      </c>
      <c r="L2976" s="10">
        <f>IFERROR(__xludf.DUMMYFUNCTION("""COMPUTED_VALUE"""),499.0)</f>
        <v>499</v>
      </c>
      <c r="M2976" s="5">
        <f>IFERROR(__xludf.DUMMYFUNCTION("""COMPUTED_VALUE"""),1.0)</f>
        <v>1</v>
      </c>
    </row>
    <row r="2977">
      <c r="A2977" s="10" t="str">
        <f>IFERROR(__xludf.DUMMYFUNCTION("""COMPUTED_VALUE"""),"妹婚-シスコン-")</f>
        <v>妹婚-シスコン-</v>
      </c>
      <c r="B2977" s="10">
        <f>IFERROR(__xludf.DUMMYFUNCTION("""COMPUTED_VALUE"""),442.0)</f>
        <v>442</v>
      </c>
      <c r="C2977" s="10">
        <f>IFERROR(__xludf.DUMMYFUNCTION("""COMPUTED_VALUE"""),5161.0)</f>
        <v>5161</v>
      </c>
      <c r="D2977" s="5">
        <f>IFERROR(__xludf.DUMMYFUNCTION("""COMPUTED_VALUE"""),0.3435049798686162)</f>
        <v>0.3435049799</v>
      </c>
      <c r="E2977" s="5">
        <f>IFERROR(__xludf.DUMMYFUNCTION("""COMPUTED_VALUE"""),0.12650985378258106)</f>
        <v>0.1265098538</v>
      </c>
      <c r="F2977" s="5">
        <f>IFERROR(__xludf.DUMMYFUNCTION("""COMPUTED_VALUE"""),0.20470438652256834)</f>
        <v>0.2047043865</v>
      </c>
      <c r="G2977" s="5">
        <f>IFERROR(__xludf.DUMMYFUNCTION("""COMPUTED_VALUE"""),0.17715617715617715)</f>
        <v>0.1771561772</v>
      </c>
      <c r="H2977" s="5">
        <f>IFERROR(__xludf.DUMMYFUNCTION("""COMPUTED_VALUE"""),0.593167701863354)</f>
        <v>0.5931677019</v>
      </c>
      <c r="I2977" s="11">
        <f>IFERROR(__xludf.DUMMYFUNCTION("""COMPUTED_VALUE"""),5909.627329192546)</f>
        <v>5909.627329</v>
      </c>
      <c r="J2977" s="10">
        <f>IFERROR(__xludf.DUMMYFUNCTION("""COMPUTED_VALUE"""),2.0)</f>
        <v>2</v>
      </c>
      <c r="K2977" s="5">
        <f>IFERROR(__xludf.DUMMYFUNCTION("""COMPUTED_VALUE"""),0.004524886877828055)</f>
        <v>0.004524886878</v>
      </c>
      <c r="L2977" s="10">
        <f>IFERROR(__xludf.DUMMYFUNCTION("""COMPUTED_VALUE"""),442.0)</f>
        <v>442</v>
      </c>
      <c r="M2977" s="5">
        <f>IFERROR(__xludf.DUMMYFUNCTION("""COMPUTED_VALUE"""),1.0)</f>
        <v>1</v>
      </c>
    </row>
    <row r="2978">
      <c r="A2978" s="10" t="str">
        <f>IFERROR(__xludf.DUMMYFUNCTION("""COMPUTED_VALUE"""),"ようへーX")</f>
        <v>ようへーX</v>
      </c>
      <c r="B2978" s="10">
        <f>IFERROR(__xludf.DUMMYFUNCTION("""COMPUTED_VALUE"""),3039.0)</f>
        <v>3039</v>
      </c>
      <c r="C2978" s="10">
        <f>IFERROR(__xludf.DUMMYFUNCTION("""COMPUTED_VALUE"""),35559.0)</f>
        <v>35559</v>
      </c>
      <c r="D2978" s="5">
        <f>IFERROR(__xludf.DUMMYFUNCTION("""COMPUTED_VALUE"""),0.44932349323493237)</f>
        <v>0.4493234932</v>
      </c>
      <c r="E2978" s="5">
        <f>IFERROR(__xludf.DUMMYFUNCTION("""COMPUTED_VALUE"""),0.12650676506765068)</f>
        <v>0.1265067651</v>
      </c>
      <c r="F2978" s="5">
        <f>IFERROR(__xludf.DUMMYFUNCTION("""COMPUTED_VALUE"""),0.21580565805658056)</f>
        <v>0.2158056581</v>
      </c>
      <c r="G2978" s="5">
        <f>IFERROR(__xludf.DUMMYFUNCTION("""COMPUTED_VALUE"""),0.15282902829028291)</f>
        <v>0.1528290283</v>
      </c>
      <c r="H2978" s="5">
        <f>IFERROR(__xludf.DUMMYFUNCTION("""COMPUTED_VALUE"""),0.610002849814762)</f>
        <v>0.6100028498</v>
      </c>
      <c r="I2978" s="11">
        <f>IFERROR(__xludf.DUMMYFUNCTION("""COMPUTED_VALUE"""),5406.654317469364)</f>
        <v>5406.654317</v>
      </c>
      <c r="J2978" s="10">
        <f>IFERROR(__xludf.DUMMYFUNCTION("""COMPUTED_VALUE"""),7.0)</f>
        <v>7</v>
      </c>
      <c r="K2978" s="5">
        <f>IFERROR(__xludf.DUMMYFUNCTION("""COMPUTED_VALUE"""),0.002303389272787101)</f>
        <v>0.002303389273</v>
      </c>
      <c r="L2978" s="10">
        <f>IFERROR(__xludf.DUMMYFUNCTION("""COMPUTED_VALUE"""),3039.0)</f>
        <v>3039</v>
      </c>
      <c r="M2978" s="5">
        <f>IFERROR(__xludf.DUMMYFUNCTION("""COMPUTED_VALUE"""),1.0)</f>
        <v>1</v>
      </c>
    </row>
    <row r="2979">
      <c r="A2979" s="10" t="str">
        <f>IFERROR(__xludf.DUMMYFUNCTION("""COMPUTED_VALUE"""),"赤木しげれ")</f>
        <v>赤木しげれ</v>
      </c>
      <c r="B2979" s="10">
        <f>IFERROR(__xludf.DUMMYFUNCTION("""COMPUTED_VALUE"""),1396.0)</f>
        <v>1396</v>
      </c>
      <c r="C2979" s="10">
        <f>IFERROR(__xludf.DUMMYFUNCTION("""COMPUTED_VALUE"""),16402.0)</f>
        <v>16402</v>
      </c>
      <c r="D2979" s="5">
        <f>IFERROR(__xludf.DUMMYFUNCTION("""COMPUTED_VALUE"""),0.3873117419698787)</f>
        <v>0.387311742</v>
      </c>
      <c r="E2979" s="5">
        <f>IFERROR(__xludf.DUMMYFUNCTION("""COMPUTED_VALUE"""),0.12648274023723843)</f>
        <v>0.1264827402</v>
      </c>
      <c r="F2979" s="5">
        <f>IFERROR(__xludf.DUMMYFUNCTION("""COMPUTED_VALUE"""),0.21278155404504864)</f>
        <v>0.212781554</v>
      </c>
      <c r="G2979" s="5">
        <f>IFERROR(__xludf.DUMMYFUNCTION("""COMPUTED_VALUE"""),0.17013194722111155)</f>
        <v>0.1701319472</v>
      </c>
      <c r="H2979" s="5">
        <f>IFERROR(__xludf.DUMMYFUNCTION("""COMPUTED_VALUE"""),0.5969307860945819)</f>
        <v>0.5969307861</v>
      </c>
      <c r="I2979" s="11">
        <f>IFERROR(__xludf.DUMMYFUNCTION("""COMPUTED_VALUE"""),5396.022549326652)</f>
        <v>5396.022549</v>
      </c>
      <c r="J2979" s="10">
        <f>IFERROR(__xludf.DUMMYFUNCTION("""COMPUTED_VALUE"""),2.0)</f>
        <v>2</v>
      </c>
      <c r="K2979" s="5">
        <f>IFERROR(__xludf.DUMMYFUNCTION("""COMPUTED_VALUE"""),0.0014326647564469914)</f>
        <v>0.001432664756</v>
      </c>
      <c r="L2979" s="10">
        <f>IFERROR(__xludf.DUMMYFUNCTION("""COMPUTED_VALUE"""),1396.0)</f>
        <v>1396</v>
      </c>
      <c r="M2979" s="5">
        <f>IFERROR(__xludf.DUMMYFUNCTION("""COMPUTED_VALUE"""),1.0)</f>
        <v>1</v>
      </c>
    </row>
    <row r="2980">
      <c r="A2980" s="10" t="str">
        <f>IFERROR(__xludf.DUMMYFUNCTION("""COMPUTED_VALUE"""),"麻雀一番街")</f>
        <v>麻雀一番街</v>
      </c>
      <c r="B2980" s="10">
        <f>IFERROR(__xludf.DUMMYFUNCTION("""COMPUTED_VALUE"""),675.0)</f>
        <v>675</v>
      </c>
      <c r="C2980" s="10">
        <f>IFERROR(__xludf.DUMMYFUNCTION("""COMPUTED_VALUE"""),8068.0)</f>
        <v>8068</v>
      </c>
      <c r="D2980" s="5">
        <f>IFERROR(__xludf.DUMMYFUNCTION("""COMPUTED_VALUE"""),0.39104558366021913)</f>
        <v>0.3910455837</v>
      </c>
      <c r="E2980" s="5">
        <f>IFERROR(__xludf.DUMMYFUNCTION("""COMPUTED_VALUE"""),0.12647098606790208)</f>
        <v>0.1264709861</v>
      </c>
      <c r="F2980" s="5">
        <f>IFERROR(__xludf.DUMMYFUNCTION("""COMPUTED_VALUE"""),0.21222778303800893)</f>
        <v>0.212227783</v>
      </c>
      <c r="G2980" s="5">
        <f>IFERROR(__xludf.DUMMYFUNCTION("""COMPUTED_VALUE"""),0.17895306370891384)</f>
        <v>0.1789530637</v>
      </c>
      <c r="H2980" s="5">
        <f>IFERROR(__xludf.DUMMYFUNCTION("""COMPUTED_VALUE"""),0.5965583173996176)</f>
        <v>0.5965583174</v>
      </c>
      <c r="I2980" s="11">
        <f>IFERROR(__xludf.DUMMYFUNCTION("""COMPUTED_VALUE"""),5353.282345442957)</f>
        <v>5353.282345</v>
      </c>
      <c r="J2980" s="10">
        <f>IFERROR(__xludf.DUMMYFUNCTION("""COMPUTED_VALUE"""),0.0)</f>
        <v>0</v>
      </c>
      <c r="K2980" s="5">
        <f>IFERROR(__xludf.DUMMYFUNCTION("""COMPUTED_VALUE"""),0.0)</f>
        <v>0</v>
      </c>
      <c r="L2980" s="10">
        <f>IFERROR(__xludf.DUMMYFUNCTION("""COMPUTED_VALUE"""),675.0)</f>
        <v>675</v>
      </c>
      <c r="M2980" s="5">
        <f>IFERROR(__xludf.DUMMYFUNCTION("""COMPUTED_VALUE"""),1.0)</f>
        <v>1</v>
      </c>
    </row>
    <row r="2981">
      <c r="A2981" s="10" t="str">
        <f>IFERROR(__xludf.DUMMYFUNCTION("""COMPUTED_VALUE"""),"Usoppy")</f>
        <v>Usoppy</v>
      </c>
      <c r="B2981" s="10">
        <f>IFERROR(__xludf.DUMMYFUNCTION("""COMPUTED_VALUE"""),193.0)</f>
        <v>193</v>
      </c>
      <c r="C2981" s="10">
        <f>IFERROR(__xludf.DUMMYFUNCTION("""COMPUTED_VALUE"""),2233.0)</f>
        <v>2233</v>
      </c>
      <c r="D2981" s="5">
        <f>IFERROR(__xludf.DUMMYFUNCTION("""COMPUTED_VALUE"""),0.4024509803921569)</f>
        <v>0.4024509804</v>
      </c>
      <c r="E2981" s="5">
        <f>IFERROR(__xludf.DUMMYFUNCTION("""COMPUTED_VALUE"""),0.1264705882352941)</f>
        <v>0.1264705882</v>
      </c>
      <c r="F2981" s="5">
        <f>IFERROR(__xludf.DUMMYFUNCTION("""COMPUTED_VALUE"""),0.2181372549019608)</f>
        <v>0.2181372549</v>
      </c>
      <c r="G2981" s="5">
        <f>IFERROR(__xludf.DUMMYFUNCTION("""COMPUTED_VALUE"""),0.15980392156862744)</f>
        <v>0.1598039216</v>
      </c>
      <c r="H2981" s="5">
        <f>IFERROR(__xludf.DUMMYFUNCTION("""COMPUTED_VALUE"""),0.5865168539325842)</f>
        <v>0.5865168539</v>
      </c>
      <c r="I2981" s="11">
        <f>IFERROR(__xludf.DUMMYFUNCTION("""COMPUTED_VALUE"""),5425.168539325843)</f>
        <v>5425.168539</v>
      </c>
      <c r="J2981" s="10">
        <f>IFERROR(__xludf.DUMMYFUNCTION("""COMPUTED_VALUE"""),1.0)</f>
        <v>1</v>
      </c>
      <c r="K2981" s="5">
        <f>IFERROR(__xludf.DUMMYFUNCTION("""COMPUTED_VALUE"""),0.0051813471502590676)</f>
        <v>0.00518134715</v>
      </c>
      <c r="L2981" s="10">
        <f>IFERROR(__xludf.DUMMYFUNCTION("""COMPUTED_VALUE"""),193.0)</f>
        <v>193</v>
      </c>
      <c r="M2981" s="5">
        <f>IFERROR(__xludf.DUMMYFUNCTION("""COMPUTED_VALUE"""),1.0)</f>
        <v>1</v>
      </c>
    </row>
    <row r="2982">
      <c r="A2982" s="10" t="str">
        <f>IFERROR(__xludf.DUMMYFUNCTION("""COMPUTED_VALUE"""),"緑ドン好き")</f>
        <v>緑ドン好き</v>
      </c>
      <c r="B2982" s="10">
        <f>IFERROR(__xludf.DUMMYFUNCTION("""COMPUTED_VALUE"""),138.0)</f>
        <v>138</v>
      </c>
      <c r="C2982" s="10">
        <f>IFERROR(__xludf.DUMMYFUNCTION("""COMPUTED_VALUE"""),1585.0)</f>
        <v>1585</v>
      </c>
      <c r="D2982" s="5">
        <f>IFERROR(__xludf.DUMMYFUNCTION("""COMPUTED_VALUE"""),0.3020041465100207)</f>
        <v>0.3020041465</v>
      </c>
      <c r="E2982" s="5">
        <f>IFERROR(__xludf.DUMMYFUNCTION("""COMPUTED_VALUE"""),0.12646855563234277)</f>
        <v>0.1264685556</v>
      </c>
      <c r="F2982" s="5">
        <f>IFERROR(__xludf.DUMMYFUNCTION("""COMPUTED_VALUE"""),0.20041465100207326)</f>
        <v>0.200414651</v>
      </c>
      <c r="G2982" s="5">
        <f>IFERROR(__xludf.DUMMYFUNCTION("""COMPUTED_VALUE"""),0.18037318590186593)</f>
        <v>0.1803731859</v>
      </c>
      <c r="H2982" s="5">
        <f>IFERROR(__xludf.DUMMYFUNCTION("""COMPUTED_VALUE"""),0.5862068965517241)</f>
        <v>0.5862068966</v>
      </c>
      <c r="I2982" s="11">
        <f>IFERROR(__xludf.DUMMYFUNCTION("""COMPUTED_VALUE"""),5483.448275862069)</f>
        <v>5483.448276</v>
      </c>
      <c r="J2982" s="10">
        <f>IFERROR(__xludf.DUMMYFUNCTION("""COMPUTED_VALUE"""),0.0)</f>
        <v>0</v>
      </c>
      <c r="K2982" s="5">
        <f>IFERROR(__xludf.DUMMYFUNCTION("""COMPUTED_VALUE"""),0.0)</f>
        <v>0</v>
      </c>
      <c r="L2982" s="10">
        <f>IFERROR(__xludf.DUMMYFUNCTION("""COMPUTED_VALUE"""),138.0)</f>
        <v>138</v>
      </c>
      <c r="M2982" s="5">
        <f>IFERROR(__xludf.DUMMYFUNCTION("""COMPUTED_VALUE"""),1.0)</f>
        <v>1</v>
      </c>
    </row>
    <row r="2983">
      <c r="A2983" s="10" t="str">
        <f>IFERROR(__xludf.DUMMYFUNCTION("""COMPUTED_VALUE"""),"庭に埴輪")</f>
        <v>庭に埴輪</v>
      </c>
      <c r="B2983" s="10">
        <f>IFERROR(__xludf.DUMMYFUNCTION("""COMPUTED_VALUE"""),490.0)</f>
        <v>490</v>
      </c>
      <c r="C2983" s="10">
        <f>IFERROR(__xludf.DUMMYFUNCTION("""COMPUTED_VALUE"""),5685.0)</f>
        <v>5685</v>
      </c>
      <c r="D2983" s="5">
        <f>IFERROR(__xludf.DUMMYFUNCTION("""COMPUTED_VALUE"""),0.38748796920115497)</f>
        <v>0.3874879692</v>
      </c>
      <c r="E2983" s="5">
        <f>IFERROR(__xludf.DUMMYFUNCTION("""COMPUTED_VALUE"""),0.12646775745909528)</f>
        <v>0.1264677575</v>
      </c>
      <c r="F2983" s="5">
        <f>IFERROR(__xludf.DUMMYFUNCTION("""COMPUTED_VALUE"""),0.21559191530317612)</f>
        <v>0.2155919153</v>
      </c>
      <c r="G2983" s="5">
        <f>IFERROR(__xludf.DUMMYFUNCTION("""COMPUTED_VALUE"""),0.19037536092396534)</f>
        <v>0.1903753609</v>
      </c>
      <c r="H2983" s="5">
        <f>IFERROR(__xludf.DUMMYFUNCTION("""COMPUTED_VALUE"""),0.5803571428571429)</f>
        <v>0.5803571429</v>
      </c>
      <c r="I2983" s="11">
        <f>IFERROR(__xludf.DUMMYFUNCTION("""COMPUTED_VALUE"""),5731.428571428572)</f>
        <v>5731.428571</v>
      </c>
      <c r="J2983" s="10">
        <f>IFERROR(__xludf.DUMMYFUNCTION("""COMPUTED_VALUE"""),2.0)</f>
        <v>2</v>
      </c>
      <c r="K2983" s="5">
        <f>IFERROR(__xludf.DUMMYFUNCTION("""COMPUTED_VALUE"""),0.004081632653061225)</f>
        <v>0.004081632653</v>
      </c>
      <c r="L2983" s="10">
        <f>IFERROR(__xludf.DUMMYFUNCTION("""COMPUTED_VALUE"""),490.0)</f>
        <v>490</v>
      </c>
      <c r="M2983" s="5">
        <f>IFERROR(__xludf.DUMMYFUNCTION("""COMPUTED_VALUE"""),1.0)</f>
        <v>1</v>
      </c>
    </row>
    <row r="2984">
      <c r="A2984" s="10" t="str">
        <f>IFERROR(__xludf.DUMMYFUNCTION("""COMPUTED_VALUE"""),"開運御守")</f>
        <v>開運御守</v>
      </c>
      <c r="B2984" s="10">
        <f>IFERROR(__xludf.DUMMYFUNCTION("""COMPUTED_VALUE"""),407.0)</f>
        <v>407</v>
      </c>
      <c r="C2984" s="10">
        <f>IFERROR(__xludf.DUMMYFUNCTION("""COMPUTED_VALUE"""),4867.0)</f>
        <v>4867</v>
      </c>
      <c r="D2984" s="5">
        <f>IFERROR(__xludf.DUMMYFUNCTION("""COMPUTED_VALUE"""),0.3679372197309417)</f>
        <v>0.3679372197</v>
      </c>
      <c r="E2984" s="5">
        <f>IFERROR(__xludf.DUMMYFUNCTION("""COMPUTED_VALUE"""),0.12645739910313902)</f>
        <v>0.1264573991</v>
      </c>
      <c r="F2984" s="5">
        <f>IFERROR(__xludf.DUMMYFUNCTION("""COMPUTED_VALUE"""),0.21053811659192825)</f>
        <v>0.2105381166</v>
      </c>
      <c r="G2984" s="5">
        <f>IFERROR(__xludf.DUMMYFUNCTION("""COMPUTED_VALUE"""),0.13856502242152466)</f>
        <v>0.1385650224</v>
      </c>
      <c r="H2984" s="5">
        <f>IFERROR(__xludf.DUMMYFUNCTION("""COMPUTED_VALUE"""),0.6219382321618744)</f>
        <v>0.6219382322</v>
      </c>
      <c r="I2984" s="11">
        <f>IFERROR(__xludf.DUMMYFUNCTION("""COMPUTED_VALUE"""),5474.121405750799)</f>
        <v>5474.121406</v>
      </c>
      <c r="J2984" s="10">
        <f>IFERROR(__xludf.DUMMYFUNCTION("""COMPUTED_VALUE"""),1.0)</f>
        <v>1</v>
      </c>
      <c r="K2984" s="5">
        <f>IFERROR(__xludf.DUMMYFUNCTION("""COMPUTED_VALUE"""),0.002457002457002457)</f>
        <v>0.002457002457</v>
      </c>
      <c r="L2984" s="10">
        <f>IFERROR(__xludf.DUMMYFUNCTION("""COMPUTED_VALUE"""),407.0)</f>
        <v>407</v>
      </c>
      <c r="M2984" s="5">
        <f>IFERROR(__xludf.DUMMYFUNCTION("""COMPUTED_VALUE"""),1.0)</f>
        <v>1</v>
      </c>
    </row>
    <row r="2985">
      <c r="A2985" s="10" t="str">
        <f>IFERROR(__xludf.DUMMYFUNCTION("""COMPUTED_VALUE"""),"神戸市")</f>
        <v>神戸市</v>
      </c>
      <c r="B2985" s="10">
        <f>IFERROR(__xludf.DUMMYFUNCTION("""COMPUTED_VALUE"""),123.0)</f>
        <v>123</v>
      </c>
      <c r="C2985" s="10">
        <f>IFERROR(__xludf.DUMMYFUNCTION("""COMPUTED_VALUE"""),1412.0)</f>
        <v>1412</v>
      </c>
      <c r="D2985" s="5">
        <f>IFERROR(__xludf.DUMMYFUNCTION("""COMPUTED_VALUE"""),0.3056633048875097)</f>
        <v>0.3056633049</v>
      </c>
      <c r="E2985" s="5">
        <f>IFERROR(__xludf.DUMMYFUNCTION("""COMPUTED_VALUE"""),0.1264546159813809)</f>
        <v>0.126454616</v>
      </c>
      <c r="F2985" s="5">
        <f>IFERROR(__xludf.DUMMYFUNCTION("""COMPUTED_VALUE"""),0.18929402637703646)</f>
        <v>0.1892940264</v>
      </c>
      <c r="G2985" s="5">
        <f>IFERROR(__xludf.DUMMYFUNCTION("""COMPUTED_VALUE"""),0.1474010861132661)</f>
        <v>0.1474010861</v>
      </c>
      <c r="H2985" s="5">
        <f>IFERROR(__xludf.DUMMYFUNCTION("""COMPUTED_VALUE"""),0.5901639344262295)</f>
        <v>0.5901639344</v>
      </c>
      <c r="I2985" s="11">
        <f>IFERROR(__xludf.DUMMYFUNCTION("""COMPUTED_VALUE"""),5706.147540983607)</f>
        <v>5706.147541</v>
      </c>
      <c r="J2985" s="10">
        <f>IFERROR(__xludf.DUMMYFUNCTION("""COMPUTED_VALUE"""),0.0)</f>
        <v>0</v>
      </c>
      <c r="K2985" s="5">
        <f>IFERROR(__xludf.DUMMYFUNCTION("""COMPUTED_VALUE"""),0.0)</f>
        <v>0</v>
      </c>
      <c r="L2985" s="10">
        <f>IFERROR(__xludf.DUMMYFUNCTION("""COMPUTED_VALUE"""),0.0)</f>
        <v>0</v>
      </c>
      <c r="M2985" s="5">
        <f>IFERROR(__xludf.DUMMYFUNCTION("""COMPUTED_VALUE"""),0.0)</f>
        <v>0</v>
      </c>
    </row>
    <row r="2986">
      <c r="A2986" s="10" t="str">
        <f>IFERROR(__xludf.DUMMYFUNCTION("""COMPUTED_VALUE"""),"桃っぺ")</f>
        <v>桃っぺ</v>
      </c>
      <c r="B2986" s="10">
        <f>IFERROR(__xludf.DUMMYFUNCTION("""COMPUTED_VALUE"""),259.0)</f>
        <v>259</v>
      </c>
      <c r="C2986" s="10">
        <f>IFERROR(__xludf.DUMMYFUNCTION("""COMPUTED_VALUE"""),3019.0)</f>
        <v>3019</v>
      </c>
      <c r="D2986" s="5">
        <f>IFERROR(__xludf.DUMMYFUNCTION("""COMPUTED_VALUE"""),0.2757246376811594)</f>
        <v>0.2757246377</v>
      </c>
      <c r="E2986" s="5">
        <f>IFERROR(__xludf.DUMMYFUNCTION("""COMPUTED_VALUE"""),0.12644927536231884)</f>
        <v>0.1264492754</v>
      </c>
      <c r="F2986" s="5">
        <f>IFERROR(__xludf.DUMMYFUNCTION("""COMPUTED_VALUE"""),0.20471014492753623)</f>
        <v>0.2047101449</v>
      </c>
      <c r="G2986" s="5">
        <f>IFERROR(__xludf.DUMMYFUNCTION("""COMPUTED_VALUE"""),0.18659420289855072)</f>
        <v>0.1865942029</v>
      </c>
      <c r="H2986" s="5">
        <f>IFERROR(__xludf.DUMMYFUNCTION("""COMPUTED_VALUE"""),0.6159292035398231)</f>
        <v>0.6159292035</v>
      </c>
      <c r="I2986" s="11">
        <f>IFERROR(__xludf.DUMMYFUNCTION("""COMPUTED_VALUE"""),5873.274336283186)</f>
        <v>5873.274336</v>
      </c>
      <c r="J2986" s="10">
        <f>IFERROR(__xludf.DUMMYFUNCTION("""COMPUTED_VALUE"""),0.0)</f>
        <v>0</v>
      </c>
      <c r="K2986" s="5">
        <f>IFERROR(__xludf.DUMMYFUNCTION("""COMPUTED_VALUE"""),0.0)</f>
        <v>0</v>
      </c>
      <c r="L2986" s="10">
        <f>IFERROR(__xludf.DUMMYFUNCTION("""COMPUTED_VALUE"""),259.0)</f>
        <v>259</v>
      </c>
      <c r="M2986" s="5">
        <f>IFERROR(__xludf.DUMMYFUNCTION("""COMPUTED_VALUE"""),1.0)</f>
        <v>1</v>
      </c>
    </row>
    <row r="2987">
      <c r="A2987" s="10" t="str">
        <f>IFERROR(__xludf.DUMMYFUNCTION("""COMPUTED_VALUE"""),"さぬぅ")</f>
        <v>さぬぅ</v>
      </c>
      <c r="B2987" s="10">
        <f>IFERROR(__xludf.DUMMYFUNCTION("""COMPUTED_VALUE"""),428.0)</f>
        <v>428</v>
      </c>
      <c r="C2987" s="10">
        <f>IFERROR(__xludf.DUMMYFUNCTION("""COMPUTED_VALUE"""),5039.0)</f>
        <v>5039</v>
      </c>
      <c r="D2987" s="5">
        <f>IFERROR(__xludf.DUMMYFUNCTION("""COMPUTED_VALUE"""),0.3355020602906094)</f>
        <v>0.3355020603</v>
      </c>
      <c r="E2987" s="5">
        <f>IFERROR(__xludf.DUMMYFUNCTION("""COMPUTED_VALUE"""),0.12643678160919541)</f>
        <v>0.1264367816</v>
      </c>
      <c r="F2987" s="5">
        <f>IFERROR(__xludf.DUMMYFUNCTION("""COMPUTED_VALUE"""),0.21058338755150727)</f>
        <v>0.2105833876</v>
      </c>
      <c r="G2987" s="5">
        <f>IFERROR(__xludf.DUMMYFUNCTION("""COMPUTED_VALUE"""),0.1891129906744741)</f>
        <v>0.1891129907</v>
      </c>
      <c r="H2987" s="5">
        <f>IFERROR(__xludf.DUMMYFUNCTION("""COMPUTED_VALUE"""),0.6127703398558187)</f>
        <v>0.6127703399</v>
      </c>
      <c r="I2987" s="11">
        <f>IFERROR(__xludf.DUMMYFUNCTION("""COMPUTED_VALUE"""),5412.667353244078)</f>
        <v>5412.667353</v>
      </c>
      <c r="J2987" s="10">
        <f>IFERROR(__xludf.DUMMYFUNCTION("""COMPUTED_VALUE"""),1.0)</f>
        <v>1</v>
      </c>
      <c r="K2987" s="5">
        <f>IFERROR(__xludf.DUMMYFUNCTION("""COMPUTED_VALUE"""),0.002336448598130841)</f>
        <v>0.002336448598</v>
      </c>
      <c r="L2987" s="10">
        <f>IFERROR(__xludf.DUMMYFUNCTION("""COMPUTED_VALUE"""),428.0)</f>
        <v>428</v>
      </c>
      <c r="M2987" s="5">
        <f>IFERROR(__xludf.DUMMYFUNCTION("""COMPUTED_VALUE"""),1.0)</f>
        <v>1</v>
      </c>
    </row>
    <row r="2988">
      <c r="A2988" s="10" t="str">
        <f>IFERROR(__xludf.DUMMYFUNCTION("""COMPUTED_VALUE"""),"F.SWING")</f>
        <v>F.SWING</v>
      </c>
      <c r="B2988" s="10">
        <f>IFERROR(__xludf.DUMMYFUNCTION("""COMPUTED_VALUE"""),438.0)</f>
        <v>438</v>
      </c>
      <c r="C2988" s="10">
        <f>IFERROR(__xludf.DUMMYFUNCTION("""COMPUTED_VALUE"""),5231.0)</f>
        <v>5231</v>
      </c>
      <c r="D2988" s="5">
        <f>IFERROR(__xludf.DUMMYFUNCTION("""COMPUTED_VALUE"""),0.3949509701648237)</f>
        <v>0.3949509702</v>
      </c>
      <c r="E2988" s="5">
        <f>IFERROR(__xludf.DUMMYFUNCTION("""COMPUTED_VALUE"""),0.12643438347590236)</f>
        <v>0.1264343835</v>
      </c>
      <c r="F2988" s="5">
        <f>IFERROR(__xludf.DUMMYFUNCTION("""COMPUTED_VALUE"""),0.21030669726684748)</f>
        <v>0.2103066973</v>
      </c>
      <c r="G2988" s="5">
        <f>IFERROR(__xludf.DUMMYFUNCTION("""COMPUTED_VALUE"""),0.1487586063008554)</f>
        <v>0.1487586063</v>
      </c>
      <c r="H2988" s="5">
        <f>IFERROR(__xludf.DUMMYFUNCTION("""COMPUTED_VALUE"""),0.5724206349206349)</f>
        <v>0.5724206349</v>
      </c>
      <c r="I2988" s="11">
        <f>IFERROR(__xludf.DUMMYFUNCTION("""COMPUTED_VALUE"""),5605.952380952381)</f>
        <v>5605.952381</v>
      </c>
      <c r="J2988" s="10">
        <f>IFERROR(__xludf.DUMMYFUNCTION("""COMPUTED_VALUE"""),1.0)</f>
        <v>1</v>
      </c>
      <c r="K2988" s="5">
        <f>IFERROR(__xludf.DUMMYFUNCTION("""COMPUTED_VALUE"""),0.00228310502283105)</f>
        <v>0.002283105023</v>
      </c>
      <c r="L2988" s="10">
        <f>IFERROR(__xludf.DUMMYFUNCTION("""COMPUTED_VALUE"""),438.0)</f>
        <v>438</v>
      </c>
      <c r="M2988" s="5">
        <f>IFERROR(__xludf.DUMMYFUNCTION("""COMPUTED_VALUE"""),1.0)</f>
        <v>1</v>
      </c>
    </row>
    <row r="2989">
      <c r="A2989" s="10" t="str">
        <f>IFERROR(__xludf.DUMMYFUNCTION("""COMPUTED_VALUE"""),"平井ゆかり")</f>
        <v>平井ゆかり</v>
      </c>
      <c r="B2989" s="10">
        <f>IFERROR(__xludf.DUMMYFUNCTION("""COMPUTED_VALUE"""),321.0)</f>
        <v>321</v>
      </c>
      <c r="C2989" s="10">
        <f>IFERROR(__xludf.DUMMYFUNCTION("""COMPUTED_VALUE"""),3809.0)</f>
        <v>3809</v>
      </c>
      <c r="D2989" s="5">
        <f>IFERROR(__xludf.DUMMYFUNCTION("""COMPUTED_VALUE"""),0.3391628440366973)</f>
        <v>0.339162844</v>
      </c>
      <c r="E2989" s="5">
        <f>IFERROR(__xludf.DUMMYFUNCTION("""COMPUTED_VALUE"""),0.12643348623853212)</f>
        <v>0.1264334862</v>
      </c>
      <c r="F2989" s="5">
        <f>IFERROR(__xludf.DUMMYFUNCTION("""COMPUTED_VALUE"""),0.2161697247706422)</f>
        <v>0.2161697248</v>
      </c>
      <c r="G2989" s="5">
        <f>IFERROR(__xludf.DUMMYFUNCTION("""COMPUTED_VALUE"""),0.19982798165137614)</f>
        <v>0.1998279817</v>
      </c>
      <c r="H2989" s="5">
        <f>IFERROR(__xludf.DUMMYFUNCTION("""COMPUTED_VALUE"""),0.616710875331565)</f>
        <v>0.6167108753</v>
      </c>
      <c r="I2989" s="11">
        <f>IFERROR(__xludf.DUMMYFUNCTION("""COMPUTED_VALUE"""),5665.251989389921)</f>
        <v>5665.251989</v>
      </c>
      <c r="J2989" s="10">
        <f>IFERROR(__xludf.DUMMYFUNCTION("""COMPUTED_VALUE"""),1.0)</f>
        <v>1</v>
      </c>
      <c r="K2989" s="5">
        <f>IFERROR(__xludf.DUMMYFUNCTION("""COMPUTED_VALUE"""),0.003115264797507788)</f>
        <v>0.003115264798</v>
      </c>
      <c r="L2989" s="10">
        <f>IFERROR(__xludf.DUMMYFUNCTION("""COMPUTED_VALUE"""),3.0)</f>
        <v>3</v>
      </c>
      <c r="M2989" s="5">
        <f>IFERROR(__xludf.DUMMYFUNCTION("""COMPUTED_VALUE"""),0.009345794392523364)</f>
        <v>0.009345794393</v>
      </c>
    </row>
    <row r="2990">
      <c r="A2990" s="10" t="str">
        <f>IFERROR(__xludf.DUMMYFUNCTION("""COMPUTED_VALUE"""),"ぁぉ")</f>
        <v>ぁぉ</v>
      </c>
      <c r="B2990" s="10">
        <f>IFERROR(__xludf.DUMMYFUNCTION("""COMPUTED_VALUE"""),116.0)</f>
        <v>116</v>
      </c>
      <c r="C2990" s="10">
        <f>IFERROR(__xludf.DUMMYFUNCTION("""COMPUTED_VALUE"""),1342.0)</f>
        <v>1342</v>
      </c>
      <c r="D2990" s="5">
        <f>IFERROR(__xludf.DUMMYFUNCTION("""COMPUTED_VALUE"""),0.35073409461663946)</f>
        <v>0.3507340946</v>
      </c>
      <c r="E2990" s="5">
        <f>IFERROR(__xludf.DUMMYFUNCTION("""COMPUTED_VALUE"""),0.1264274061990212)</f>
        <v>0.1264274062</v>
      </c>
      <c r="F2990" s="5">
        <f>IFERROR(__xludf.DUMMYFUNCTION("""COMPUTED_VALUE"""),0.19249592169657423)</f>
        <v>0.1924959217</v>
      </c>
      <c r="G2990" s="5">
        <f>IFERROR(__xludf.DUMMYFUNCTION("""COMPUTED_VALUE"""),0.16068515497553018)</f>
        <v>0.160685155</v>
      </c>
      <c r="H2990" s="5">
        <f>IFERROR(__xludf.DUMMYFUNCTION("""COMPUTED_VALUE"""),0.6101694915254238)</f>
        <v>0.6101694915</v>
      </c>
      <c r="I2990" s="11">
        <f>IFERROR(__xludf.DUMMYFUNCTION("""COMPUTED_VALUE"""),5409.745762711865)</f>
        <v>5409.745763</v>
      </c>
      <c r="J2990" s="10">
        <f>IFERROR(__xludf.DUMMYFUNCTION("""COMPUTED_VALUE"""),0.0)</f>
        <v>0</v>
      </c>
      <c r="K2990" s="5">
        <f>IFERROR(__xludf.DUMMYFUNCTION("""COMPUTED_VALUE"""),0.0)</f>
        <v>0</v>
      </c>
      <c r="L2990" s="10">
        <f>IFERROR(__xludf.DUMMYFUNCTION("""COMPUTED_VALUE"""),116.0)</f>
        <v>116</v>
      </c>
      <c r="M2990" s="5">
        <f>IFERROR(__xludf.DUMMYFUNCTION("""COMPUTED_VALUE"""),1.0)</f>
        <v>1</v>
      </c>
    </row>
    <row r="2991">
      <c r="A2991" s="10" t="str">
        <f>IFERROR(__xludf.DUMMYFUNCTION("""COMPUTED_VALUE"""),"流れ？SOA")</f>
        <v>流れ？SOA</v>
      </c>
      <c r="B2991" s="10">
        <f>IFERROR(__xludf.DUMMYFUNCTION("""COMPUTED_VALUE"""),790.0)</f>
        <v>790</v>
      </c>
      <c r="C2991" s="10">
        <f>IFERROR(__xludf.DUMMYFUNCTION("""COMPUTED_VALUE"""),9143.0)</f>
        <v>9143</v>
      </c>
      <c r="D2991" s="5">
        <f>IFERROR(__xludf.DUMMYFUNCTION("""COMPUTED_VALUE"""),0.33018077337483537)</f>
        <v>0.3301807734</v>
      </c>
      <c r="E2991" s="5">
        <f>IFERROR(__xludf.DUMMYFUNCTION("""COMPUTED_VALUE"""),0.12642164491799354)</f>
        <v>0.1264216449</v>
      </c>
      <c r="F2991" s="5">
        <f>IFERROR(__xludf.DUMMYFUNCTION("""COMPUTED_VALUE"""),0.22016042140548306)</f>
        <v>0.2201604214</v>
      </c>
      <c r="G2991" s="5">
        <f>IFERROR(__xludf.DUMMYFUNCTION("""COMPUTED_VALUE"""),0.1890338800430983)</f>
        <v>0.18903388</v>
      </c>
      <c r="H2991" s="5">
        <f>IFERROR(__xludf.DUMMYFUNCTION("""COMPUTED_VALUE"""),0.6095704187058184)</f>
        <v>0.6095704187</v>
      </c>
      <c r="I2991" s="11">
        <f>IFERROR(__xludf.DUMMYFUNCTION("""COMPUTED_VALUE"""),5801.52256661229)</f>
        <v>5801.522567</v>
      </c>
      <c r="J2991" s="10">
        <f>IFERROR(__xludf.DUMMYFUNCTION("""COMPUTED_VALUE"""),2.0)</f>
        <v>2</v>
      </c>
      <c r="K2991" s="5">
        <f>IFERROR(__xludf.DUMMYFUNCTION("""COMPUTED_VALUE"""),0.002531645569620253)</f>
        <v>0.00253164557</v>
      </c>
      <c r="L2991" s="10">
        <f>IFERROR(__xludf.DUMMYFUNCTION("""COMPUTED_VALUE"""),790.0)</f>
        <v>790</v>
      </c>
      <c r="M2991" s="5">
        <f>IFERROR(__xludf.DUMMYFUNCTION("""COMPUTED_VALUE"""),1.0)</f>
        <v>1</v>
      </c>
    </row>
    <row r="2992">
      <c r="A2992" s="10" t="str">
        <f>IFERROR(__xludf.DUMMYFUNCTION("""COMPUTED_VALUE"""),"やまーん")</f>
        <v>やまーん</v>
      </c>
      <c r="B2992" s="10">
        <f>IFERROR(__xludf.DUMMYFUNCTION("""COMPUTED_VALUE"""),4554.0)</f>
        <v>4554</v>
      </c>
      <c r="C2992" s="10">
        <f>IFERROR(__xludf.DUMMYFUNCTION("""COMPUTED_VALUE"""),53305.0)</f>
        <v>53305</v>
      </c>
      <c r="D2992" s="5">
        <f>IFERROR(__xludf.DUMMYFUNCTION("""COMPUTED_VALUE"""),0.31230128612746405)</f>
        <v>0.3123012861</v>
      </c>
      <c r="E2992" s="5">
        <f>IFERROR(__xludf.DUMMYFUNCTION("""COMPUTED_VALUE"""),0.1264179196324178)</f>
        <v>0.1264179196</v>
      </c>
      <c r="F2992" s="5">
        <f>IFERROR(__xludf.DUMMYFUNCTION("""COMPUTED_VALUE"""),0.21019056019363705)</f>
        <v>0.2101905602</v>
      </c>
      <c r="G2992" s="5">
        <f>IFERROR(__xludf.DUMMYFUNCTION("""COMPUTED_VALUE"""),0.18251933293676026)</f>
        <v>0.1825193329</v>
      </c>
      <c r="H2992" s="5">
        <f>IFERROR(__xludf.DUMMYFUNCTION("""COMPUTED_VALUE"""),0.5837806187176735)</f>
        <v>0.5837806187</v>
      </c>
      <c r="I2992" s="11">
        <f>IFERROR(__xludf.DUMMYFUNCTION("""COMPUTED_VALUE"""),5768.185810481116)</f>
        <v>5768.18581</v>
      </c>
      <c r="J2992" s="10">
        <f>IFERROR(__xludf.DUMMYFUNCTION("""COMPUTED_VALUE"""),6.0)</f>
        <v>6</v>
      </c>
      <c r="K2992" s="5">
        <f>IFERROR(__xludf.DUMMYFUNCTION("""COMPUTED_VALUE"""),0.0013175230566534915)</f>
        <v>0.001317523057</v>
      </c>
      <c r="L2992" s="10">
        <f>IFERROR(__xludf.DUMMYFUNCTION("""COMPUTED_VALUE"""),4552.0)</f>
        <v>4552</v>
      </c>
      <c r="M2992" s="5">
        <f>IFERROR(__xludf.DUMMYFUNCTION("""COMPUTED_VALUE"""),0.9995608256477821)</f>
        <v>0.9995608256</v>
      </c>
    </row>
    <row r="2993">
      <c r="A2993" s="10" t="str">
        <f>IFERROR(__xludf.DUMMYFUNCTION("""COMPUTED_VALUE"""),"げりげり☆ゲリー")</f>
        <v>げりげり☆ゲリー</v>
      </c>
      <c r="B2993" s="10">
        <f>IFERROR(__xludf.DUMMYFUNCTION("""COMPUTED_VALUE"""),717.0)</f>
        <v>717</v>
      </c>
      <c r="C2993" s="10">
        <f>IFERROR(__xludf.DUMMYFUNCTION("""COMPUTED_VALUE"""),8406.0)</f>
        <v>8406</v>
      </c>
      <c r="D2993" s="5">
        <f>IFERROR(__xludf.DUMMYFUNCTION("""COMPUTED_VALUE"""),0.3674079854337365)</f>
        <v>0.3674079854</v>
      </c>
      <c r="E2993" s="5">
        <f>IFERROR(__xludf.DUMMYFUNCTION("""COMPUTED_VALUE"""),0.12641435817401483)</f>
        <v>0.1264143582</v>
      </c>
      <c r="F2993" s="5">
        <f>IFERROR(__xludf.DUMMYFUNCTION("""COMPUTED_VALUE"""),0.20939003771621797)</f>
        <v>0.2093900377</v>
      </c>
      <c r="G2993" s="5">
        <f>IFERROR(__xludf.DUMMYFUNCTION("""COMPUTED_VALUE"""),0.17570555338795682)</f>
        <v>0.1757055534</v>
      </c>
      <c r="H2993" s="5">
        <f>IFERROR(__xludf.DUMMYFUNCTION("""COMPUTED_VALUE"""),0.5850931677018634)</f>
        <v>0.5850931677</v>
      </c>
      <c r="I2993" s="11">
        <f>IFERROR(__xludf.DUMMYFUNCTION("""COMPUTED_VALUE"""),5591.987577639751)</f>
        <v>5591.987578</v>
      </c>
      <c r="J2993" s="10">
        <f>IFERROR(__xludf.DUMMYFUNCTION("""COMPUTED_VALUE"""),1.0)</f>
        <v>1</v>
      </c>
      <c r="K2993" s="5">
        <f>IFERROR(__xludf.DUMMYFUNCTION("""COMPUTED_VALUE"""),0.001394700139470014)</f>
        <v>0.001394700139</v>
      </c>
      <c r="L2993" s="10">
        <f>IFERROR(__xludf.DUMMYFUNCTION("""COMPUTED_VALUE"""),717.0)</f>
        <v>717</v>
      </c>
      <c r="M2993" s="5">
        <f>IFERROR(__xludf.DUMMYFUNCTION("""COMPUTED_VALUE"""),1.0)</f>
        <v>1</v>
      </c>
    </row>
    <row r="2994">
      <c r="A2994" s="10" t="str">
        <f>IFERROR(__xludf.DUMMYFUNCTION("""COMPUTED_VALUE"""),"nnnnnn")</f>
        <v>nnnnnn</v>
      </c>
      <c r="B2994" s="10">
        <f>IFERROR(__xludf.DUMMYFUNCTION("""COMPUTED_VALUE"""),475.0)</f>
        <v>475</v>
      </c>
      <c r="C2994" s="10">
        <f>IFERROR(__xludf.DUMMYFUNCTION("""COMPUTED_VALUE"""),5554.0)</f>
        <v>5554</v>
      </c>
      <c r="D2994" s="5">
        <f>IFERROR(__xludf.DUMMYFUNCTION("""COMPUTED_VALUE"""),0.35892892301634177)</f>
        <v>0.358928923</v>
      </c>
      <c r="E2994" s="5">
        <f>IFERROR(__xludf.DUMMYFUNCTION("""COMPUTED_VALUE"""),0.12640283520378026)</f>
        <v>0.1264028352</v>
      </c>
      <c r="F2994" s="5">
        <f>IFERROR(__xludf.DUMMYFUNCTION("""COMPUTED_VALUE"""),0.2108682811577082)</f>
        <v>0.2108682812</v>
      </c>
      <c r="G2994" s="5">
        <f>IFERROR(__xludf.DUMMYFUNCTION("""COMPUTED_VALUE"""),0.16459933057688522)</f>
        <v>0.1645993306</v>
      </c>
      <c r="H2994" s="5">
        <f>IFERROR(__xludf.DUMMYFUNCTION("""COMPUTED_VALUE"""),0.580765639589169)</f>
        <v>0.5807656396</v>
      </c>
      <c r="I2994" s="11">
        <f>IFERROR(__xludf.DUMMYFUNCTION("""COMPUTED_VALUE"""),5446.0317460317465)</f>
        <v>5446.031746</v>
      </c>
      <c r="J2994" s="10">
        <f>IFERROR(__xludf.DUMMYFUNCTION("""COMPUTED_VALUE"""),1.0)</f>
        <v>1</v>
      </c>
      <c r="K2994" s="5">
        <f>IFERROR(__xludf.DUMMYFUNCTION("""COMPUTED_VALUE"""),0.002105263157894737)</f>
        <v>0.002105263158</v>
      </c>
      <c r="L2994" s="10">
        <f>IFERROR(__xludf.DUMMYFUNCTION("""COMPUTED_VALUE"""),475.0)</f>
        <v>475</v>
      </c>
      <c r="M2994" s="5">
        <f>IFERROR(__xludf.DUMMYFUNCTION("""COMPUTED_VALUE"""),1.0)</f>
        <v>1</v>
      </c>
    </row>
    <row r="2995">
      <c r="A2995" s="10" t="str">
        <f>IFERROR(__xludf.DUMMYFUNCTION("""COMPUTED_VALUE"""),"23Beck")</f>
        <v>23Beck</v>
      </c>
      <c r="B2995" s="10">
        <f>IFERROR(__xludf.DUMMYFUNCTION("""COMPUTED_VALUE"""),309.0)</f>
        <v>309</v>
      </c>
      <c r="C2995" s="10">
        <f>IFERROR(__xludf.DUMMYFUNCTION("""COMPUTED_VALUE"""),3656.0)</f>
        <v>3656</v>
      </c>
      <c r="D2995" s="5">
        <f>IFERROR(__xludf.DUMMYFUNCTION("""COMPUTED_VALUE"""),0.30953092321481923)</f>
        <v>0.3095309232</v>
      </c>
      <c r="E2995" s="5">
        <f>IFERROR(__xludf.DUMMYFUNCTION("""COMPUTED_VALUE"""),0.12638183447863757)</f>
        <v>0.1263818345</v>
      </c>
      <c r="F2995" s="5">
        <f>IFERROR(__xludf.DUMMYFUNCTION("""COMPUTED_VALUE"""),0.19211233940842545)</f>
        <v>0.1921123394</v>
      </c>
      <c r="G2995" s="5">
        <f>IFERROR(__xludf.DUMMYFUNCTION("""COMPUTED_VALUE"""),0.15984463698834778)</f>
        <v>0.159844637</v>
      </c>
      <c r="H2995" s="5">
        <f>IFERROR(__xludf.DUMMYFUNCTION("""COMPUTED_VALUE"""),0.5660964230171073)</f>
        <v>0.566096423</v>
      </c>
      <c r="I2995" s="11">
        <f>IFERROR(__xludf.DUMMYFUNCTION("""COMPUTED_VALUE"""),5832.659409020218)</f>
        <v>5832.659409</v>
      </c>
      <c r="J2995" s="10">
        <f>IFERROR(__xludf.DUMMYFUNCTION("""COMPUTED_VALUE"""),0.0)</f>
        <v>0</v>
      </c>
      <c r="K2995" s="5">
        <f>IFERROR(__xludf.DUMMYFUNCTION("""COMPUTED_VALUE"""),0.0)</f>
        <v>0</v>
      </c>
      <c r="L2995" s="10">
        <f>IFERROR(__xludf.DUMMYFUNCTION("""COMPUTED_VALUE"""),106.0)</f>
        <v>106</v>
      </c>
      <c r="M2995" s="5">
        <f>IFERROR(__xludf.DUMMYFUNCTION("""COMPUTED_VALUE"""),0.343042071197411)</f>
        <v>0.3430420712</v>
      </c>
    </row>
    <row r="2996">
      <c r="A2996" s="10" t="str">
        <f>IFERROR(__xludf.DUMMYFUNCTION("""COMPUTED_VALUE"""),"彗星入ヒコ")</f>
        <v>彗星入ヒコ</v>
      </c>
      <c r="B2996" s="10">
        <f>IFERROR(__xludf.DUMMYFUNCTION("""COMPUTED_VALUE"""),888.0)</f>
        <v>888</v>
      </c>
      <c r="C2996" s="10">
        <f>IFERROR(__xludf.DUMMYFUNCTION("""COMPUTED_VALUE"""),10281.0)</f>
        <v>10281</v>
      </c>
      <c r="D2996" s="5">
        <f>IFERROR(__xludf.DUMMYFUNCTION("""COMPUTED_VALUE"""),0.2771212605131481)</f>
        <v>0.2771212605</v>
      </c>
      <c r="E2996" s="5">
        <f>IFERROR(__xludf.DUMMYFUNCTION("""COMPUTED_VALUE"""),0.12637070158628766)</f>
        <v>0.1263707016</v>
      </c>
      <c r="F2996" s="5">
        <f>IFERROR(__xludf.DUMMYFUNCTION("""COMPUTED_VALUE"""),0.21217928244437348)</f>
        <v>0.2121792824</v>
      </c>
      <c r="G2996" s="5">
        <f>IFERROR(__xludf.DUMMYFUNCTION("""COMPUTED_VALUE"""),0.19695517938890664)</f>
        <v>0.1969551794</v>
      </c>
      <c r="H2996" s="5">
        <f>IFERROR(__xludf.DUMMYFUNCTION("""COMPUTED_VALUE"""),0.596588058203713)</f>
        <v>0.5965880582</v>
      </c>
      <c r="I2996" s="11">
        <f>IFERROR(__xludf.DUMMYFUNCTION("""COMPUTED_VALUE"""),5715.805318615153)</f>
        <v>5715.805319</v>
      </c>
      <c r="J2996" s="10">
        <f>IFERROR(__xludf.DUMMYFUNCTION("""COMPUTED_VALUE"""),2.0)</f>
        <v>2</v>
      </c>
      <c r="K2996" s="5">
        <f>IFERROR(__xludf.DUMMYFUNCTION("""COMPUTED_VALUE"""),0.0022522522522522522)</f>
        <v>0.002252252252</v>
      </c>
      <c r="L2996" s="10">
        <f>IFERROR(__xludf.DUMMYFUNCTION("""COMPUTED_VALUE"""),888.0)</f>
        <v>888</v>
      </c>
      <c r="M2996" s="5">
        <f>IFERROR(__xludf.DUMMYFUNCTION("""COMPUTED_VALUE"""),1.0)</f>
        <v>1</v>
      </c>
    </row>
    <row r="2997">
      <c r="A2997" s="10" t="str">
        <f>IFERROR(__xludf.DUMMYFUNCTION("""COMPUTED_VALUE"""),"紗代")</f>
        <v>紗代</v>
      </c>
      <c r="B2997" s="10">
        <f>IFERROR(__xludf.DUMMYFUNCTION("""COMPUTED_VALUE"""),967.0)</f>
        <v>967</v>
      </c>
      <c r="C2997" s="10">
        <f>IFERROR(__xludf.DUMMYFUNCTION("""COMPUTED_VALUE"""),11365.0)</f>
        <v>11365</v>
      </c>
      <c r="D2997" s="5">
        <f>IFERROR(__xludf.DUMMYFUNCTION("""COMPUTED_VALUE"""),0.3410271206001154)</f>
        <v>0.3410271206</v>
      </c>
      <c r="E2997" s="5">
        <f>IFERROR(__xludf.DUMMYFUNCTION("""COMPUTED_VALUE"""),0.12637045585689555)</f>
        <v>0.1263704559</v>
      </c>
      <c r="F2997" s="5">
        <f>IFERROR(__xludf.DUMMYFUNCTION("""COMPUTED_VALUE"""),0.20619349874975956)</f>
        <v>0.2061934987</v>
      </c>
      <c r="G2997" s="5">
        <f>IFERROR(__xludf.DUMMYFUNCTION("""COMPUTED_VALUE"""),0.18041931140603962)</f>
        <v>0.1804193114</v>
      </c>
      <c r="H2997" s="5">
        <f>IFERROR(__xludf.DUMMYFUNCTION("""COMPUTED_VALUE"""),0.5872201492537313)</f>
        <v>0.5872201493</v>
      </c>
      <c r="I2997" s="11">
        <f>IFERROR(__xludf.DUMMYFUNCTION("""COMPUTED_VALUE"""),5977.332089552238)</f>
        <v>5977.33209</v>
      </c>
      <c r="J2997" s="10">
        <f>IFERROR(__xludf.DUMMYFUNCTION("""COMPUTED_VALUE"""),0.0)</f>
        <v>0</v>
      </c>
      <c r="K2997" s="5">
        <f>IFERROR(__xludf.DUMMYFUNCTION("""COMPUTED_VALUE"""),0.0)</f>
        <v>0</v>
      </c>
      <c r="L2997" s="10">
        <f>IFERROR(__xludf.DUMMYFUNCTION("""COMPUTED_VALUE"""),0.0)</f>
        <v>0</v>
      </c>
      <c r="M2997" s="5">
        <f>IFERROR(__xludf.DUMMYFUNCTION("""COMPUTED_VALUE"""),0.0)</f>
        <v>0</v>
      </c>
    </row>
    <row r="2998">
      <c r="A2998" s="10" t="str">
        <f>IFERROR(__xludf.DUMMYFUNCTION("""COMPUTED_VALUE"""),"ｓｗｉｍ")</f>
        <v>ｓｗｉｍ</v>
      </c>
      <c r="B2998" s="10">
        <f>IFERROR(__xludf.DUMMYFUNCTION("""COMPUTED_VALUE"""),150.0)</f>
        <v>150</v>
      </c>
      <c r="C2998" s="10">
        <f>IFERROR(__xludf.DUMMYFUNCTION("""COMPUTED_VALUE"""),1701.0)</f>
        <v>1701</v>
      </c>
      <c r="D2998" s="5">
        <f>IFERROR(__xludf.DUMMYFUNCTION("""COMPUTED_VALUE"""),0.27401676337846553)</f>
        <v>0.2740167634</v>
      </c>
      <c r="E2998" s="5">
        <f>IFERROR(__xludf.DUMMYFUNCTION("""COMPUTED_VALUE"""),0.12637008381689233)</f>
        <v>0.1263700838</v>
      </c>
      <c r="F2998" s="5">
        <f>IFERROR(__xludf.DUMMYFUNCTION("""COMPUTED_VALUE"""),0.19858156028368795)</f>
        <v>0.1985815603</v>
      </c>
      <c r="G2998" s="5">
        <f>IFERROR(__xludf.DUMMYFUNCTION("""COMPUTED_VALUE"""),0.16763378465506126)</f>
        <v>0.1676337847</v>
      </c>
      <c r="H2998" s="5">
        <f>IFERROR(__xludf.DUMMYFUNCTION("""COMPUTED_VALUE"""),0.6103896103896104)</f>
        <v>0.6103896104</v>
      </c>
      <c r="I2998" s="11">
        <f>IFERROR(__xludf.DUMMYFUNCTION("""COMPUTED_VALUE"""),5894.1558441558445)</f>
        <v>5894.155844</v>
      </c>
      <c r="J2998" s="10">
        <f>IFERROR(__xludf.DUMMYFUNCTION("""COMPUTED_VALUE"""),0.0)</f>
        <v>0</v>
      </c>
      <c r="K2998" s="5">
        <f>IFERROR(__xludf.DUMMYFUNCTION("""COMPUTED_VALUE"""),0.0)</f>
        <v>0</v>
      </c>
      <c r="L2998" s="10">
        <f>IFERROR(__xludf.DUMMYFUNCTION("""COMPUTED_VALUE"""),0.0)</f>
        <v>0</v>
      </c>
      <c r="M2998" s="5">
        <f>IFERROR(__xludf.DUMMYFUNCTION("""COMPUTED_VALUE"""),0.0)</f>
        <v>0</v>
      </c>
    </row>
    <row r="2999">
      <c r="A2999" s="10" t="str">
        <f>IFERROR(__xludf.DUMMYFUNCTION("""COMPUTED_VALUE"""),"メガネ部長")</f>
        <v>メガネ部長</v>
      </c>
      <c r="B2999" s="10">
        <f>IFERROR(__xludf.DUMMYFUNCTION("""COMPUTED_VALUE"""),223.0)</f>
        <v>223</v>
      </c>
      <c r="C2999" s="10">
        <f>IFERROR(__xludf.DUMMYFUNCTION("""COMPUTED_VALUE"""),2621.0)</f>
        <v>2621</v>
      </c>
      <c r="D2999" s="5">
        <f>IFERROR(__xludf.DUMMYFUNCTION("""COMPUTED_VALUE"""),0.3548790658882402)</f>
        <v>0.3548790659</v>
      </c>
      <c r="E2999" s="5">
        <f>IFERROR(__xludf.DUMMYFUNCTION("""COMPUTED_VALUE"""),0.1263552960800667)</f>
        <v>0.1263552961</v>
      </c>
      <c r="F2999" s="5">
        <f>IFERROR(__xludf.DUMMYFUNCTION("""COMPUTED_VALUE"""),0.1847372810675563)</f>
        <v>0.1847372811</v>
      </c>
      <c r="G2999" s="5">
        <f>IFERROR(__xludf.DUMMYFUNCTION("""COMPUTED_VALUE"""),0.14887406171809842)</f>
        <v>0.1488740617</v>
      </c>
      <c r="H2999" s="5">
        <f>IFERROR(__xludf.DUMMYFUNCTION("""COMPUTED_VALUE"""),0.6072234762979684)</f>
        <v>0.6072234763</v>
      </c>
      <c r="I2999" s="11">
        <f>IFERROR(__xludf.DUMMYFUNCTION("""COMPUTED_VALUE"""),5251.015801354401)</f>
        <v>5251.015801</v>
      </c>
      <c r="J2999" s="10">
        <f>IFERROR(__xludf.DUMMYFUNCTION("""COMPUTED_VALUE"""),0.0)</f>
        <v>0</v>
      </c>
      <c r="K2999" s="5">
        <f>IFERROR(__xludf.DUMMYFUNCTION("""COMPUTED_VALUE"""),0.0)</f>
        <v>0</v>
      </c>
      <c r="L2999" s="10">
        <f>IFERROR(__xludf.DUMMYFUNCTION("""COMPUTED_VALUE"""),223.0)</f>
        <v>223</v>
      </c>
      <c r="M2999" s="5">
        <f>IFERROR(__xludf.DUMMYFUNCTION("""COMPUTED_VALUE"""),1.0)</f>
        <v>1</v>
      </c>
    </row>
    <row r="3000">
      <c r="A3000" s="10" t="str">
        <f>IFERROR(__xludf.DUMMYFUNCTION("""COMPUTED_VALUE"""),"QooPee")</f>
        <v>QooPee</v>
      </c>
      <c r="B3000" s="10">
        <f>IFERROR(__xludf.DUMMYFUNCTION("""COMPUTED_VALUE"""),1298.0)</f>
        <v>1298</v>
      </c>
      <c r="C3000" s="10">
        <f>IFERROR(__xludf.DUMMYFUNCTION("""COMPUTED_VALUE"""),14911.0)</f>
        <v>14911</v>
      </c>
      <c r="D3000" s="5">
        <f>IFERROR(__xludf.DUMMYFUNCTION("""COMPUTED_VALUE"""),0.36545948725482996)</f>
        <v>0.3654594873</v>
      </c>
      <c r="E3000" s="5">
        <f>IFERROR(__xludf.DUMMYFUNCTION("""COMPUTED_VALUE"""),0.1263498126790568)</f>
        <v>0.1263498127</v>
      </c>
      <c r="F3000" s="5">
        <f>IFERROR(__xludf.DUMMYFUNCTION("""COMPUTED_VALUE"""),0.22551972379343274)</f>
        <v>0.2255197238</v>
      </c>
      <c r="G3000" s="5">
        <f>IFERROR(__xludf.DUMMYFUNCTION("""COMPUTED_VALUE"""),0.1676338793800044)</f>
        <v>0.1676338794</v>
      </c>
      <c r="H3000" s="5">
        <f>IFERROR(__xludf.DUMMYFUNCTION("""COMPUTED_VALUE"""),0.6013029315960912)</f>
        <v>0.6013029316</v>
      </c>
      <c r="I3000" s="11">
        <f>IFERROR(__xludf.DUMMYFUNCTION("""COMPUTED_VALUE"""),5374.723127035831)</f>
        <v>5374.723127</v>
      </c>
      <c r="J3000" s="10">
        <f>IFERROR(__xludf.DUMMYFUNCTION("""COMPUTED_VALUE"""),0.0)</f>
        <v>0</v>
      </c>
      <c r="K3000" s="5">
        <f>IFERROR(__xludf.DUMMYFUNCTION("""COMPUTED_VALUE"""),0.0)</f>
        <v>0</v>
      </c>
      <c r="L3000" s="10">
        <f>IFERROR(__xludf.DUMMYFUNCTION("""COMPUTED_VALUE"""),1298.0)</f>
        <v>1298</v>
      </c>
      <c r="M3000" s="5">
        <f>IFERROR(__xludf.DUMMYFUNCTION("""COMPUTED_VALUE"""),1.0)</f>
        <v>1</v>
      </c>
    </row>
    <row r="3001">
      <c r="A3001" s="10" t="str">
        <f>IFERROR(__xludf.DUMMYFUNCTION("""COMPUTED_VALUE"""),"noir00")</f>
        <v>noir00</v>
      </c>
      <c r="B3001" s="10">
        <f>IFERROR(__xludf.DUMMYFUNCTION("""COMPUTED_VALUE"""),211.0)</f>
        <v>211</v>
      </c>
      <c r="C3001" s="10">
        <f>IFERROR(__xludf.DUMMYFUNCTION("""COMPUTED_VALUE"""),2530.0)</f>
        <v>2530</v>
      </c>
      <c r="D3001" s="5">
        <f>IFERROR(__xludf.DUMMYFUNCTION("""COMPUTED_VALUE"""),0.37516170763260026)</f>
        <v>0.3751617076</v>
      </c>
      <c r="E3001" s="5">
        <f>IFERROR(__xludf.DUMMYFUNCTION("""COMPUTED_VALUE"""),0.12634756360500216)</f>
        <v>0.1263475636</v>
      </c>
      <c r="F3001" s="5">
        <f>IFERROR(__xludf.DUMMYFUNCTION("""COMPUTED_VALUE"""),0.2056921086675291)</f>
        <v>0.2056921087</v>
      </c>
      <c r="G3001" s="5">
        <f>IFERROR(__xludf.DUMMYFUNCTION("""COMPUTED_VALUE"""),0.16472617507546355)</f>
        <v>0.1647261751</v>
      </c>
      <c r="H3001" s="5">
        <f>IFERROR(__xludf.DUMMYFUNCTION("""COMPUTED_VALUE"""),0.6121593291404612)</f>
        <v>0.6121593291</v>
      </c>
      <c r="I3001" s="11">
        <f>IFERROR(__xludf.DUMMYFUNCTION("""COMPUTED_VALUE"""),5436.058700209644)</f>
        <v>5436.0587</v>
      </c>
      <c r="J3001" s="10">
        <f>IFERROR(__xludf.DUMMYFUNCTION("""COMPUTED_VALUE"""),0.0)</f>
        <v>0</v>
      </c>
      <c r="K3001" s="5">
        <f>IFERROR(__xludf.DUMMYFUNCTION("""COMPUTED_VALUE"""),0.0)</f>
        <v>0</v>
      </c>
      <c r="L3001" s="10">
        <f>IFERROR(__xludf.DUMMYFUNCTION("""COMPUTED_VALUE"""),0.0)</f>
        <v>0</v>
      </c>
      <c r="M3001" s="5">
        <f>IFERROR(__xludf.DUMMYFUNCTION("""COMPUTED_VALUE"""),0.0)</f>
        <v>0</v>
      </c>
    </row>
    <row r="3002">
      <c r="A3002" s="10" t="str">
        <f>IFERROR(__xludf.DUMMYFUNCTION("""COMPUTED_VALUE"""),"GOKIGEN")</f>
        <v>GOKIGEN</v>
      </c>
      <c r="B3002" s="10">
        <f>IFERROR(__xludf.DUMMYFUNCTION("""COMPUTED_VALUE"""),4157.0)</f>
        <v>4157</v>
      </c>
      <c r="C3002" s="10">
        <f>IFERROR(__xludf.DUMMYFUNCTION("""COMPUTED_VALUE"""),48274.0)</f>
        <v>48274</v>
      </c>
      <c r="D3002" s="5">
        <f>IFERROR(__xludf.DUMMYFUNCTION("""COMPUTED_VALUE"""),0.32966883514291545)</f>
        <v>0.3296688351</v>
      </c>
      <c r="E3002" s="5">
        <f>IFERROR(__xludf.DUMMYFUNCTION("""COMPUTED_VALUE"""),0.12634585307251173)</f>
        <v>0.1263458531</v>
      </c>
      <c r="F3002" s="5">
        <f>IFERROR(__xludf.DUMMYFUNCTION("""COMPUTED_VALUE"""),0.19974159621007775)</f>
        <v>0.1997415962</v>
      </c>
      <c r="G3002" s="5">
        <f>IFERROR(__xludf.DUMMYFUNCTION("""COMPUTED_VALUE"""),0.1641544075979781)</f>
        <v>0.1641544076</v>
      </c>
      <c r="H3002" s="5">
        <f>IFERROR(__xludf.DUMMYFUNCTION("""COMPUTED_VALUE"""),0.6058783477076713)</f>
        <v>0.6058783477</v>
      </c>
      <c r="I3002" s="11">
        <f>IFERROR(__xludf.DUMMYFUNCTION("""COMPUTED_VALUE"""),5964.639128461189)</f>
        <v>5964.639128</v>
      </c>
      <c r="J3002" s="10">
        <f>IFERROR(__xludf.DUMMYFUNCTION("""COMPUTED_VALUE"""),7.0)</f>
        <v>7</v>
      </c>
      <c r="K3002" s="5">
        <f>IFERROR(__xludf.DUMMYFUNCTION("""COMPUTED_VALUE"""),0.0016839066634592255)</f>
        <v>0.001683906663</v>
      </c>
      <c r="L3002" s="10">
        <f>IFERROR(__xludf.DUMMYFUNCTION("""COMPUTED_VALUE"""),4157.0)</f>
        <v>4157</v>
      </c>
      <c r="M3002" s="5">
        <f>IFERROR(__xludf.DUMMYFUNCTION("""COMPUTED_VALUE"""),1.0)</f>
        <v>1</v>
      </c>
    </row>
    <row r="3003">
      <c r="A3003" s="10" t="str">
        <f>IFERROR(__xludf.DUMMYFUNCTION("""COMPUTED_VALUE"""),"shar")</f>
        <v>shar</v>
      </c>
      <c r="B3003" s="10">
        <f>IFERROR(__xludf.DUMMYFUNCTION("""COMPUTED_VALUE"""),1284.0)</f>
        <v>1284</v>
      </c>
      <c r="C3003" s="10">
        <f>IFERROR(__xludf.DUMMYFUNCTION("""COMPUTED_VALUE"""),15138.0)</f>
        <v>15138</v>
      </c>
      <c r="D3003" s="5">
        <f>IFERROR(__xludf.DUMMYFUNCTION("""COMPUTED_VALUE"""),0.39981232856936627)</f>
        <v>0.3998123286</v>
      </c>
      <c r="E3003" s="5">
        <f>IFERROR(__xludf.DUMMYFUNCTION("""COMPUTED_VALUE"""),0.12631730908041)</f>
        <v>0.1263173091</v>
      </c>
      <c r="F3003" s="5">
        <f>IFERROR(__xludf.DUMMYFUNCTION("""COMPUTED_VALUE"""),0.22210192002309803)</f>
        <v>0.22210192</v>
      </c>
      <c r="G3003" s="5">
        <f>IFERROR(__xludf.DUMMYFUNCTION("""COMPUTED_VALUE"""),0.17280207882200085)</f>
        <v>0.1728020788</v>
      </c>
      <c r="H3003" s="5">
        <f>IFERROR(__xludf.DUMMYFUNCTION("""COMPUTED_VALUE"""),0.5986350341241469)</f>
        <v>0.5986350341</v>
      </c>
      <c r="I3003" s="11">
        <f>IFERROR(__xludf.DUMMYFUNCTION("""COMPUTED_VALUE"""),5286.545336366591)</f>
        <v>5286.545336</v>
      </c>
      <c r="J3003" s="10">
        <f>IFERROR(__xludf.DUMMYFUNCTION("""COMPUTED_VALUE"""),5.0)</f>
        <v>5</v>
      </c>
      <c r="K3003" s="5">
        <f>IFERROR(__xludf.DUMMYFUNCTION("""COMPUTED_VALUE"""),0.003894080996884735)</f>
        <v>0.003894080997</v>
      </c>
      <c r="L3003" s="10">
        <f>IFERROR(__xludf.DUMMYFUNCTION("""COMPUTED_VALUE"""),1284.0)</f>
        <v>1284</v>
      </c>
      <c r="M3003" s="5">
        <f>IFERROR(__xludf.DUMMYFUNCTION("""COMPUTED_VALUE"""),1.0)</f>
        <v>1</v>
      </c>
    </row>
    <row r="3004">
      <c r="A3004" s="10" t="str">
        <f>IFERROR(__xludf.DUMMYFUNCTION("""COMPUTED_VALUE"""),"9-bay")</f>
        <v>9-bay</v>
      </c>
      <c r="B3004" s="10">
        <f>IFERROR(__xludf.DUMMYFUNCTION("""COMPUTED_VALUE"""),613.0)</f>
        <v>613</v>
      </c>
      <c r="C3004" s="10">
        <f>IFERROR(__xludf.DUMMYFUNCTION("""COMPUTED_VALUE"""),7192.0)</f>
        <v>7192</v>
      </c>
      <c r="D3004" s="5">
        <f>IFERROR(__xludf.DUMMYFUNCTION("""COMPUTED_VALUE"""),0.36312509499924)</f>
        <v>0.363125095</v>
      </c>
      <c r="E3004" s="5">
        <f>IFERROR(__xludf.DUMMYFUNCTION("""COMPUTED_VALUE"""),0.12631098951208392)</f>
        <v>0.1263109895</v>
      </c>
      <c r="F3004" s="5">
        <f>IFERROR(__xludf.DUMMYFUNCTION("""COMPUTED_VALUE"""),0.22632618939048488)</f>
        <v>0.2263261894</v>
      </c>
      <c r="G3004" s="5">
        <f>IFERROR(__xludf.DUMMYFUNCTION("""COMPUTED_VALUE"""),0.15488676090591275)</f>
        <v>0.1548867609</v>
      </c>
      <c r="H3004" s="5">
        <f>IFERROR(__xludf.DUMMYFUNCTION("""COMPUTED_VALUE"""),0.5997313633310947)</f>
        <v>0.5997313633</v>
      </c>
      <c r="I3004" s="11">
        <f>IFERROR(__xludf.DUMMYFUNCTION("""COMPUTED_VALUE"""),5333.7810611148425)</f>
        <v>5333.781061</v>
      </c>
      <c r="J3004" s="10">
        <f>IFERROR(__xludf.DUMMYFUNCTION("""COMPUTED_VALUE"""),1.0)</f>
        <v>1</v>
      </c>
      <c r="K3004" s="5">
        <f>IFERROR(__xludf.DUMMYFUNCTION("""COMPUTED_VALUE"""),0.0016313213703099511)</f>
        <v>0.00163132137</v>
      </c>
      <c r="L3004" s="10">
        <f>IFERROR(__xludf.DUMMYFUNCTION("""COMPUTED_VALUE"""),613.0)</f>
        <v>613</v>
      </c>
      <c r="M3004" s="5">
        <f>IFERROR(__xludf.DUMMYFUNCTION("""COMPUTED_VALUE"""),1.0)</f>
        <v>1</v>
      </c>
    </row>
    <row r="3005">
      <c r="A3005" s="10" t="str">
        <f>IFERROR(__xludf.DUMMYFUNCTION("""COMPUTED_VALUE"""),"SHEEP200")</f>
        <v>SHEEP200</v>
      </c>
      <c r="B3005" s="10">
        <f>IFERROR(__xludf.DUMMYFUNCTION("""COMPUTED_VALUE"""),1421.0)</f>
        <v>1421</v>
      </c>
      <c r="C3005" s="10">
        <f>IFERROR(__xludf.DUMMYFUNCTION("""COMPUTED_VALUE"""),16694.0)</f>
        <v>16694</v>
      </c>
      <c r="D3005" s="5">
        <f>IFERROR(__xludf.DUMMYFUNCTION("""COMPUTED_VALUE"""),0.3407320107379035)</f>
        <v>0.3407320107</v>
      </c>
      <c r="E3005" s="5">
        <f>IFERROR(__xludf.DUMMYFUNCTION("""COMPUTED_VALUE"""),0.12630131604792771)</f>
        <v>0.126301316</v>
      </c>
      <c r="F3005" s="5">
        <f>IFERROR(__xludf.DUMMYFUNCTION("""COMPUTED_VALUE"""),0.20860341779611077)</f>
        <v>0.2086034178</v>
      </c>
      <c r="G3005" s="5">
        <f>IFERROR(__xludf.DUMMYFUNCTION("""COMPUTED_VALUE"""),0.1748837818372291)</f>
        <v>0.1748837818</v>
      </c>
      <c r="H3005" s="5">
        <f>IFERROR(__xludf.DUMMYFUNCTION("""COMPUTED_VALUE"""),0.601067168863779)</f>
        <v>0.6010671689</v>
      </c>
      <c r="I3005" s="11">
        <f>IFERROR(__xludf.DUMMYFUNCTION("""COMPUTED_VALUE"""),5757.972379158819)</f>
        <v>5757.972379</v>
      </c>
      <c r="J3005" s="10">
        <f>IFERROR(__xludf.DUMMYFUNCTION("""COMPUTED_VALUE"""),3.0)</f>
        <v>3</v>
      </c>
      <c r="K3005" s="5">
        <f>IFERROR(__xludf.DUMMYFUNCTION("""COMPUTED_VALUE"""),0.00211118930330753)</f>
        <v>0.002111189303</v>
      </c>
      <c r="L3005" s="10">
        <f>IFERROR(__xludf.DUMMYFUNCTION("""COMPUTED_VALUE"""),1421.0)</f>
        <v>1421</v>
      </c>
      <c r="M3005" s="5">
        <f>IFERROR(__xludf.DUMMYFUNCTION("""COMPUTED_VALUE"""),1.0)</f>
        <v>1</v>
      </c>
    </row>
    <row r="3006">
      <c r="A3006" s="10" t="str">
        <f>IFERROR(__xludf.DUMMYFUNCTION("""COMPUTED_VALUE"""),"FunTime")</f>
        <v>FunTime</v>
      </c>
      <c r="B3006" s="10">
        <f>IFERROR(__xludf.DUMMYFUNCTION("""COMPUTED_VALUE"""),2539.0)</f>
        <v>2539</v>
      </c>
      <c r="C3006" s="10">
        <f>IFERROR(__xludf.DUMMYFUNCTION("""COMPUTED_VALUE"""),29705.0)</f>
        <v>29705</v>
      </c>
      <c r="D3006" s="5">
        <f>IFERROR(__xludf.DUMMYFUNCTION("""COMPUTED_VALUE"""),0.39302804976809247)</f>
        <v>0.3930280498</v>
      </c>
      <c r="E3006" s="5">
        <f>IFERROR(__xludf.DUMMYFUNCTION("""COMPUTED_VALUE"""),0.12629757785467127)</f>
        <v>0.1262975779</v>
      </c>
      <c r="F3006" s="5">
        <f>IFERROR(__xludf.DUMMYFUNCTION("""COMPUTED_VALUE"""),0.216447029374954)</f>
        <v>0.2164470294</v>
      </c>
      <c r="G3006" s="5">
        <f>IFERROR(__xludf.DUMMYFUNCTION("""COMPUTED_VALUE"""),0.15559891040270926)</f>
        <v>0.1555989104</v>
      </c>
      <c r="H3006" s="5">
        <f>IFERROR(__xludf.DUMMYFUNCTION("""COMPUTED_VALUE"""),0.6018707482993197)</f>
        <v>0.6018707483</v>
      </c>
      <c r="I3006" s="11">
        <f>IFERROR(__xludf.DUMMYFUNCTION("""COMPUTED_VALUE"""),5336.241496598639)</f>
        <v>5336.241497</v>
      </c>
      <c r="J3006" s="10">
        <f>IFERROR(__xludf.DUMMYFUNCTION("""COMPUTED_VALUE"""),6.0)</f>
        <v>6</v>
      </c>
      <c r="K3006" s="5">
        <f>IFERROR(__xludf.DUMMYFUNCTION("""COMPUTED_VALUE"""),0.0023631350925561244)</f>
        <v>0.002363135093</v>
      </c>
      <c r="L3006" s="10">
        <f>IFERROR(__xludf.DUMMYFUNCTION("""COMPUTED_VALUE"""),2539.0)</f>
        <v>2539</v>
      </c>
      <c r="M3006" s="5">
        <f>IFERROR(__xludf.DUMMYFUNCTION("""COMPUTED_VALUE"""),1.0)</f>
        <v>1</v>
      </c>
    </row>
    <row r="3007">
      <c r="A3007" s="10" t="str">
        <f>IFERROR(__xludf.DUMMYFUNCTION("""COMPUTED_VALUE"""),"StealthG")</f>
        <v>StealthG</v>
      </c>
      <c r="B3007" s="10">
        <f>IFERROR(__xludf.DUMMYFUNCTION("""COMPUTED_VALUE"""),1150.0)</f>
        <v>1150</v>
      </c>
      <c r="C3007" s="10">
        <f>IFERROR(__xludf.DUMMYFUNCTION("""COMPUTED_VALUE"""),13502.0)</f>
        <v>13502</v>
      </c>
      <c r="D3007" s="5">
        <f>IFERROR(__xludf.DUMMYFUNCTION("""COMPUTED_VALUE"""),0.35759391191709844)</f>
        <v>0.3575939119</v>
      </c>
      <c r="E3007" s="5">
        <f>IFERROR(__xludf.DUMMYFUNCTION("""COMPUTED_VALUE"""),0.12629533678756477)</f>
        <v>0.1262953368</v>
      </c>
      <c r="F3007" s="5">
        <f>IFERROR(__xludf.DUMMYFUNCTION("""COMPUTED_VALUE"""),0.21016839378238342)</f>
        <v>0.2101683938</v>
      </c>
      <c r="G3007" s="5">
        <f>IFERROR(__xludf.DUMMYFUNCTION("""COMPUTED_VALUE"""),0.14515867875647667)</f>
        <v>0.1451586788</v>
      </c>
      <c r="H3007" s="5">
        <f>IFERROR(__xludf.DUMMYFUNCTION("""COMPUTED_VALUE"""),0.6151771956856703)</f>
        <v>0.6151771957</v>
      </c>
      <c r="I3007" s="11">
        <f>IFERROR(__xludf.DUMMYFUNCTION("""COMPUTED_VALUE"""),5366.602465331279)</f>
        <v>5366.602465</v>
      </c>
      <c r="J3007" s="10">
        <f>IFERROR(__xludf.DUMMYFUNCTION("""COMPUTED_VALUE"""),5.0)</f>
        <v>5</v>
      </c>
      <c r="K3007" s="5">
        <f>IFERROR(__xludf.DUMMYFUNCTION("""COMPUTED_VALUE"""),0.004347826086956522)</f>
        <v>0.004347826087</v>
      </c>
      <c r="L3007" s="10">
        <f>IFERROR(__xludf.DUMMYFUNCTION("""COMPUTED_VALUE"""),589.0)</f>
        <v>589</v>
      </c>
      <c r="M3007" s="5">
        <f>IFERROR(__xludf.DUMMYFUNCTION("""COMPUTED_VALUE"""),0.5121739130434783)</f>
        <v>0.512173913</v>
      </c>
    </row>
    <row r="3008">
      <c r="A3008" s="10" t="str">
        <f>IFERROR(__xludf.DUMMYFUNCTION("""COMPUTED_VALUE"""),"d3vdr")</f>
        <v>d3vdr</v>
      </c>
      <c r="B3008" s="10">
        <f>IFERROR(__xludf.DUMMYFUNCTION("""COMPUTED_VALUE"""),3076.0)</f>
        <v>3076</v>
      </c>
      <c r="C3008" s="10">
        <f>IFERROR(__xludf.DUMMYFUNCTION("""COMPUTED_VALUE"""),36134.0)</f>
        <v>36134</v>
      </c>
      <c r="D3008" s="5">
        <f>IFERROR(__xludf.DUMMYFUNCTION("""COMPUTED_VALUE"""),0.3475709359307883)</f>
        <v>0.3475709359</v>
      </c>
      <c r="E3008" s="5">
        <f>IFERROR(__xludf.DUMMYFUNCTION("""COMPUTED_VALUE"""),0.12629318168068243)</f>
        <v>0.1262931817</v>
      </c>
      <c r="F3008" s="5">
        <f>IFERROR(__xludf.DUMMYFUNCTION("""COMPUTED_VALUE"""),0.21852501663742513)</f>
        <v>0.2185250166</v>
      </c>
      <c r="G3008" s="5">
        <f>IFERROR(__xludf.DUMMYFUNCTION("""COMPUTED_VALUE"""),0.16610200254098856)</f>
        <v>0.1661020025</v>
      </c>
      <c r="H3008" s="5">
        <f>IFERROR(__xludf.DUMMYFUNCTION("""COMPUTED_VALUE"""),0.6148947951273532)</f>
        <v>0.6148947951</v>
      </c>
      <c r="I3008" s="11">
        <f>IFERROR(__xludf.DUMMYFUNCTION("""COMPUTED_VALUE"""),5521.816168327796)</f>
        <v>5521.816168</v>
      </c>
      <c r="J3008" s="10">
        <f>IFERROR(__xludf.DUMMYFUNCTION("""COMPUTED_VALUE"""),6.0)</f>
        <v>6</v>
      </c>
      <c r="K3008" s="5">
        <f>IFERROR(__xludf.DUMMYFUNCTION("""COMPUTED_VALUE"""),0.0019505851755526658)</f>
        <v>0.001950585176</v>
      </c>
      <c r="L3008" s="10">
        <f>IFERROR(__xludf.DUMMYFUNCTION("""COMPUTED_VALUE"""),3076.0)</f>
        <v>3076</v>
      </c>
      <c r="M3008" s="5">
        <f>IFERROR(__xludf.DUMMYFUNCTION("""COMPUTED_VALUE"""),1.0)</f>
        <v>1</v>
      </c>
    </row>
    <row r="3009">
      <c r="A3009" s="10" t="str">
        <f>IFERROR(__xludf.DUMMYFUNCTION("""COMPUTED_VALUE"""),"maeda16g")</f>
        <v>maeda16g</v>
      </c>
      <c r="B3009" s="10">
        <f>IFERROR(__xludf.DUMMYFUNCTION("""COMPUTED_VALUE"""),420.0)</f>
        <v>420</v>
      </c>
      <c r="C3009" s="10">
        <f>IFERROR(__xludf.DUMMYFUNCTION("""COMPUTED_VALUE"""),4870.0)</f>
        <v>4870</v>
      </c>
      <c r="D3009" s="5">
        <f>IFERROR(__xludf.DUMMYFUNCTION("""COMPUTED_VALUE"""),0.329438202247191)</f>
        <v>0.3294382022</v>
      </c>
      <c r="E3009" s="5">
        <f>IFERROR(__xludf.DUMMYFUNCTION("""COMPUTED_VALUE"""),0.12629213483146068)</f>
        <v>0.1262921348</v>
      </c>
      <c r="F3009" s="5">
        <f>IFERROR(__xludf.DUMMYFUNCTION("""COMPUTED_VALUE"""),0.2292134831460674)</f>
        <v>0.2292134831</v>
      </c>
      <c r="G3009" s="5">
        <f>IFERROR(__xludf.DUMMYFUNCTION("""COMPUTED_VALUE"""),0.22674157303370787)</f>
        <v>0.226741573</v>
      </c>
      <c r="H3009" s="5">
        <f>IFERROR(__xludf.DUMMYFUNCTION("""COMPUTED_VALUE"""),0.5911764705882353)</f>
        <v>0.5911764706</v>
      </c>
      <c r="I3009" s="11">
        <f>IFERROR(__xludf.DUMMYFUNCTION("""COMPUTED_VALUE"""),5971.568627450981)</f>
        <v>5971.568627</v>
      </c>
      <c r="J3009" s="10">
        <f>IFERROR(__xludf.DUMMYFUNCTION("""COMPUTED_VALUE"""),1.0)</f>
        <v>1</v>
      </c>
      <c r="K3009" s="5">
        <f>IFERROR(__xludf.DUMMYFUNCTION("""COMPUTED_VALUE"""),0.002380952380952381)</f>
        <v>0.002380952381</v>
      </c>
      <c r="L3009" s="10">
        <f>IFERROR(__xludf.DUMMYFUNCTION("""COMPUTED_VALUE"""),242.0)</f>
        <v>242</v>
      </c>
      <c r="M3009" s="5">
        <f>IFERROR(__xludf.DUMMYFUNCTION("""COMPUTED_VALUE"""),0.5761904761904761)</f>
        <v>0.5761904762</v>
      </c>
    </row>
    <row r="3010">
      <c r="A3010" s="10" t="str">
        <f>IFERROR(__xludf.DUMMYFUNCTION("""COMPUTED_VALUE"""),"侍")</f>
        <v>侍</v>
      </c>
      <c r="B3010" s="10">
        <f>IFERROR(__xludf.DUMMYFUNCTION("""COMPUTED_VALUE"""),3906.0)</f>
        <v>3906</v>
      </c>
      <c r="C3010" s="10">
        <f>IFERROR(__xludf.DUMMYFUNCTION("""COMPUTED_VALUE"""),45722.0)</f>
        <v>45722</v>
      </c>
      <c r="D3010" s="5">
        <f>IFERROR(__xludf.DUMMYFUNCTION("""COMPUTED_VALUE"""),0.32482781710350106)</f>
        <v>0.3248278171</v>
      </c>
      <c r="E3010" s="5">
        <f>IFERROR(__xludf.DUMMYFUNCTION("""COMPUTED_VALUE"""),0.1262913717237421)</f>
        <v>0.1262913717</v>
      </c>
      <c r="F3010" s="5">
        <f>IFERROR(__xludf.DUMMYFUNCTION("""COMPUTED_VALUE"""),0.22147025062177156)</f>
        <v>0.2214702506</v>
      </c>
      <c r="G3010" s="5">
        <f>IFERROR(__xludf.DUMMYFUNCTION("""COMPUTED_VALUE"""),0.18710541419552323)</f>
        <v>0.1871054142</v>
      </c>
      <c r="H3010" s="5">
        <f>IFERROR(__xludf.DUMMYFUNCTION("""COMPUTED_VALUE"""),0.5986394557823129)</f>
        <v>0.5986394558</v>
      </c>
      <c r="I3010" s="11">
        <f>IFERROR(__xludf.DUMMYFUNCTION("""COMPUTED_VALUE"""),5837.933268545514)</f>
        <v>5837.933269</v>
      </c>
      <c r="J3010" s="10">
        <f>IFERROR(__xludf.DUMMYFUNCTION("""COMPUTED_VALUE"""),6.0)</f>
        <v>6</v>
      </c>
      <c r="K3010" s="5">
        <f>IFERROR(__xludf.DUMMYFUNCTION("""COMPUTED_VALUE"""),0.0015360983102918587)</f>
        <v>0.00153609831</v>
      </c>
      <c r="L3010" s="10">
        <f>IFERROR(__xludf.DUMMYFUNCTION("""COMPUTED_VALUE"""),3906.0)</f>
        <v>3906</v>
      </c>
      <c r="M3010" s="5">
        <f>IFERROR(__xludf.DUMMYFUNCTION("""COMPUTED_VALUE"""),1.0)</f>
        <v>1</v>
      </c>
    </row>
    <row r="3011">
      <c r="A3011" s="10" t="str">
        <f>IFERROR(__xludf.DUMMYFUNCTION("""COMPUTED_VALUE"""),"麦麦熊@杏杏軍團")</f>
        <v>麦麦熊@杏杏軍團</v>
      </c>
      <c r="B3011" s="10">
        <f>IFERROR(__xludf.DUMMYFUNCTION("""COMPUTED_VALUE"""),288.0)</f>
        <v>288</v>
      </c>
      <c r="C3011" s="10">
        <f>IFERROR(__xludf.DUMMYFUNCTION("""COMPUTED_VALUE"""),3392.0)</f>
        <v>3392</v>
      </c>
      <c r="D3011" s="5">
        <f>IFERROR(__xludf.DUMMYFUNCTION("""COMPUTED_VALUE"""),0.3327963917525773)</f>
        <v>0.3327963918</v>
      </c>
      <c r="E3011" s="5">
        <f>IFERROR(__xludf.DUMMYFUNCTION("""COMPUTED_VALUE"""),0.12628865979381443)</f>
        <v>0.1262886598</v>
      </c>
      <c r="F3011" s="5">
        <f>IFERROR(__xludf.DUMMYFUNCTION("""COMPUTED_VALUE"""),0.21488402061855671)</f>
        <v>0.2148840206</v>
      </c>
      <c r="G3011" s="5">
        <f>IFERROR(__xludf.DUMMYFUNCTION("""COMPUTED_VALUE"""),0.17880154639175258)</f>
        <v>0.1788015464</v>
      </c>
      <c r="H3011" s="5">
        <f>IFERROR(__xludf.DUMMYFUNCTION("""COMPUTED_VALUE"""),0.6086956521739131)</f>
        <v>0.6086956522</v>
      </c>
      <c r="I3011" s="11">
        <f>IFERROR(__xludf.DUMMYFUNCTION("""COMPUTED_VALUE"""),5821.889055472264)</f>
        <v>5821.889055</v>
      </c>
      <c r="J3011" s="10">
        <f>IFERROR(__xludf.DUMMYFUNCTION("""COMPUTED_VALUE"""),1.0)</f>
        <v>1</v>
      </c>
      <c r="K3011" s="5">
        <f>IFERROR(__xludf.DUMMYFUNCTION("""COMPUTED_VALUE"""),0.003472222222222222)</f>
        <v>0.003472222222</v>
      </c>
      <c r="L3011" s="10">
        <f>IFERROR(__xludf.DUMMYFUNCTION("""COMPUTED_VALUE"""),288.0)</f>
        <v>288</v>
      </c>
      <c r="M3011" s="5">
        <f>IFERROR(__xludf.DUMMYFUNCTION("""COMPUTED_VALUE"""),1.0)</f>
        <v>1</v>
      </c>
    </row>
    <row r="3012">
      <c r="A3012" s="10" t="str">
        <f>IFERROR(__xludf.DUMMYFUNCTION("""COMPUTED_VALUE"""),"-koei-")</f>
        <v>-koei-</v>
      </c>
      <c r="B3012" s="10">
        <f>IFERROR(__xludf.DUMMYFUNCTION("""COMPUTED_VALUE"""),168.0)</f>
        <v>168</v>
      </c>
      <c r="C3012" s="10">
        <f>IFERROR(__xludf.DUMMYFUNCTION("""COMPUTED_VALUE"""),1966.0)</f>
        <v>1966</v>
      </c>
      <c r="D3012" s="5">
        <f>IFERROR(__xludf.DUMMYFUNCTION("""COMPUTED_VALUE"""),0.3375973303670745)</f>
        <v>0.3375973304</v>
      </c>
      <c r="E3012" s="5">
        <f>IFERROR(__xludf.DUMMYFUNCTION("""COMPUTED_VALUE"""),0.12625139043381536)</f>
        <v>0.1262513904</v>
      </c>
      <c r="F3012" s="5">
        <f>IFERROR(__xludf.DUMMYFUNCTION("""COMPUTED_VALUE"""),0.19132369299221358)</f>
        <v>0.191323693</v>
      </c>
      <c r="G3012" s="5">
        <f>IFERROR(__xludf.DUMMYFUNCTION("""COMPUTED_VALUE"""),0.18409343715239154)</f>
        <v>0.1840934372</v>
      </c>
      <c r="H3012" s="5">
        <f>IFERROR(__xludf.DUMMYFUNCTION("""COMPUTED_VALUE"""),0.5290697674418605)</f>
        <v>0.5290697674</v>
      </c>
      <c r="I3012" s="11">
        <f>IFERROR(__xludf.DUMMYFUNCTION("""COMPUTED_VALUE"""),5480.523255813953)</f>
        <v>5480.523256</v>
      </c>
      <c r="J3012" s="10">
        <f>IFERROR(__xludf.DUMMYFUNCTION("""COMPUTED_VALUE"""),0.0)</f>
        <v>0</v>
      </c>
      <c r="K3012" s="5">
        <f>IFERROR(__xludf.DUMMYFUNCTION("""COMPUTED_VALUE"""),0.0)</f>
        <v>0</v>
      </c>
      <c r="L3012" s="10">
        <f>IFERROR(__xludf.DUMMYFUNCTION("""COMPUTED_VALUE"""),168.0)</f>
        <v>168</v>
      </c>
      <c r="M3012" s="5">
        <f>IFERROR(__xludf.DUMMYFUNCTION("""COMPUTED_VALUE"""),1.0)</f>
        <v>1</v>
      </c>
    </row>
    <row r="3013">
      <c r="A3013" s="10" t="str">
        <f>IFERROR(__xludf.DUMMYFUNCTION("""COMPUTED_VALUE"""),"雀士ぬるりん")</f>
        <v>雀士ぬるりん</v>
      </c>
      <c r="B3013" s="10">
        <f>IFERROR(__xludf.DUMMYFUNCTION("""COMPUTED_VALUE"""),1317.0)</f>
        <v>1317</v>
      </c>
      <c r="C3013" s="10">
        <f>IFERROR(__xludf.DUMMYFUNCTION("""COMPUTED_VALUE"""),15416.0)</f>
        <v>15416</v>
      </c>
      <c r="D3013" s="5">
        <f>IFERROR(__xludf.DUMMYFUNCTION("""COMPUTED_VALUE"""),0.33505922405844385)</f>
        <v>0.3350592241</v>
      </c>
      <c r="E3013" s="5">
        <f>IFERROR(__xludf.DUMMYFUNCTION("""COMPUTED_VALUE"""),0.12625008865877013)</f>
        <v>0.1262500887</v>
      </c>
      <c r="F3013" s="5">
        <f>IFERROR(__xludf.DUMMYFUNCTION("""COMPUTED_VALUE"""),0.20668132491666075)</f>
        <v>0.2066813249</v>
      </c>
      <c r="G3013" s="5">
        <f>IFERROR(__xludf.DUMMYFUNCTION("""COMPUTED_VALUE"""),0.16206823178948862)</f>
        <v>0.1620682318</v>
      </c>
      <c r="H3013" s="5">
        <f>IFERROR(__xludf.DUMMYFUNCTION("""COMPUTED_VALUE"""),0.5875085792724777)</f>
        <v>0.5875085793</v>
      </c>
      <c r="I3013" s="11">
        <f>IFERROR(__xludf.DUMMYFUNCTION("""COMPUTED_VALUE"""),5782.017844886754)</f>
        <v>5782.017845</v>
      </c>
      <c r="J3013" s="10">
        <f>IFERROR(__xludf.DUMMYFUNCTION("""COMPUTED_VALUE"""),2.0)</f>
        <v>2</v>
      </c>
      <c r="K3013" s="5">
        <f>IFERROR(__xludf.DUMMYFUNCTION("""COMPUTED_VALUE"""),0.0015186028853454822)</f>
        <v>0.001518602885</v>
      </c>
      <c r="L3013" s="10">
        <f>IFERROR(__xludf.DUMMYFUNCTION("""COMPUTED_VALUE"""),1315.0)</f>
        <v>1315</v>
      </c>
      <c r="M3013" s="5">
        <f>IFERROR(__xludf.DUMMYFUNCTION("""COMPUTED_VALUE"""),0.9984813971146546)</f>
        <v>0.9984813971</v>
      </c>
    </row>
    <row r="3014">
      <c r="A3014" s="10" t="str">
        <f>IFERROR(__xludf.DUMMYFUNCTION("""COMPUTED_VALUE"""),"anlun")</f>
        <v>anlun</v>
      </c>
      <c r="B3014" s="10">
        <f>IFERROR(__xludf.DUMMYFUNCTION("""COMPUTED_VALUE"""),3432.0)</f>
        <v>3432</v>
      </c>
      <c r="C3014" s="10">
        <f>IFERROR(__xludf.DUMMYFUNCTION("""COMPUTED_VALUE"""),40258.0)</f>
        <v>40258</v>
      </c>
      <c r="D3014" s="5">
        <f>IFERROR(__xludf.DUMMYFUNCTION("""COMPUTED_VALUE"""),0.3832618258838864)</f>
        <v>0.3832618259</v>
      </c>
      <c r="E3014" s="5">
        <f>IFERROR(__xludf.DUMMYFUNCTION("""COMPUTED_VALUE"""),0.12624232878944225)</f>
        <v>0.1262423288</v>
      </c>
      <c r="F3014" s="5">
        <f>IFERROR(__xludf.DUMMYFUNCTION("""COMPUTED_VALUE"""),0.21525552598707434)</f>
        <v>0.215255526</v>
      </c>
      <c r="G3014" s="5">
        <f>IFERROR(__xludf.DUMMYFUNCTION("""COMPUTED_VALUE"""),0.12643241188290882)</f>
        <v>0.1264324119</v>
      </c>
      <c r="H3014" s="5">
        <f>IFERROR(__xludf.DUMMYFUNCTION("""COMPUTED_VALUE"""),0.613851393969976)</f>
        <v>0.613851394</v>
      </c>
      <c r="I3014" s="11">
        <f>IFERROR(__xludf.DUMMYFUNCTION("""COMPUTED_VALUE"""),5290.715276901728)</f>
        <v>5290.715277</v>
      </c>
      <c r="J3014" s="10">
        <f>IFERROR(__xludf.DUMMYFUNCTION("""COMPUTED_VALUE"""),7.0)</f>
        <v>7</v>
      </c>
      <c r="K3014" s="5">
        <f>IFERROR(__xludf.DUMMYFUNCTION("""COMPUTED_VALUE"""),0.0020396270396270395)</f>
        <v>0.00203962704</v>
      </c>
      <c r="L3014" s="10">
        <f>IFERROR(__xludf.DUMMYFUNCTION("""COMPUTED_VALUE"""),3432.0)</f>
        <v>3432</v>
      </c>
      <c r="M3014" s="5">
        <f>IFERROR(__xludf.DUMMYFUNCTION("""COMPUTED_VALUE"""),1.0)</f>
        <v>1</v>
      </c>
    </row>
    <row r="3015">
      <c r="A3015" s="10" t="str">
        <f>IFERROR(__xludf.DUMMYFUNCTION("""COMPUTED_VALUE"""),"水哉のレジェンド")</f>
        <v>水哉のレジェンド</v>
      </c>
      <c r="B3015" s="10">
        <f>IFERROR(__xludf.DUMMYFUNCTION("""COMPUTED_VALUE"""),6231.0)</f>
        <v>6231</v>
      </c>
      <c r="C3015" s="10">
        <f>IFERROR(__xludf.DUMMYFUNCTION("""COMPUTED_VALUE"""),72748.0)</f>
        <v>72748</v>
      </c>
      <c r="D3015" s="5">
        <f>IFERROR(__xludf.DUMMYFUNCTION("""COMPUTED_VALUE"""),0.33032157192898054)</f>
        <v>0.3303215719</v>
      </c>
      <c r="E3015" s="5">
        <f>IFERROR(__xludf.DUMMYFUNCTION("""COMPUTED_VALUE"""),0.12623840521971827)</f>
        <v>0.1262384052</v>
      </c>
      <c r="F3015" s="5">
        <f>IFERROR(__xludf.DUMMYFUNCTION("""COMPUTED_VALUE"""),0.2156441210517612)</f>
        <v>0.2156441211</v>
      </c>
      <c r="G3015" s="5">
        <f>IFERROR(__xludf.DUMMYFUNCTION("""COMPUTED_VALUE"""),0.1793827141933641)</f>
        <v>0.1793827142</v>
      </c>
      <c r="H3015" s="5">
        <f>IFERROR(__xludf.DUMMYFUNCTION("""COMPUTED_VALUE"""),0.5999721137757947)</f>
        <v>0.5999721138</v>
      </c>
      <c r="I3015" s="11">
        <f>IFERROR(__xludf.DUMMYFUNCTION("""COMPUTED_VALUE"""),5717.28945900725)</f>
        <v>5717.289459</v>
      </c>
      <c r="J3015" s="10">
        <f>IFERROR(__xludf.DUMMYFUNCTION("""COMPUTED_VALUE"""),19.0)</f>
        <v>19</v>
      </c>
      <c r="K3015" s="5">
        <f>IFERROR(__xludf.DUMMYFUNCTION("""COMPUTED_VALUE"""),0.0030492697801316002)</f>
        <v>0.00304926978</v>
      </c>
      <c r="L3015" s="10">
        <f>IFERROR(__xludf.DUMMYFUNCTION("""COMPUTED_VALUE"""),6092.0)</f>
        <v>6092</v>
      </c>
      <c r="M3015" s="5">
        <f>IFERROR(__xludf.DUMMYFUNCTION("""COMPUTED_VALUE"""),0.9776921842400899)</f>
        <v>0.9776921842</v>
      </c>
    </row>
    <row r="3016">
      <c r="A3016" s="10" t="str">
        <f>IFERROR(__xludf.DUMMYFUNCTION("""COMPUTED_VALUE"""),"夢見がち")</f>
        <v>夢見がち</v>
      </c>
      <c r="B3016" s="10">
        <f>IFERROR(__xludf.DUMMYFUNCTION("""COMPUTED_VALUE"""),134.0)</f>
        <v>134</v>
      </c>
      <c r="C3016" s="10">
        <f>IFERROR(__xludf.DUMMYFUNCTION("""COMPUTED_VALUE"""),1552.0)</f>
        <v>1552</v>
      </c>
      <c r="D3016" s="5">
        <f>IFERROR(__xludf.DUMMYFUNCTION("""COMPUTED_VALUE"""),0.2750352609308886)</f>
        <v>0.2750352609</v>
      </c>
      <c r="E3016" s="5">
        <f>IFERROR(__xludf.DUMMYFUNCTION("""COMPUTED_VALUE"""),0.12623413258110014)</f>
        <v>0.1262341326</v>
      </c>
      <c r="F3016" s="5">
        <f>IFERROR(__xludf.DUMMYFUNCTION("""COMPUTED_VALUE"""),0.19322990126939352)</f>
        <v>0.1932299013</v>
      </c>
      <c r="G3016" s="5">
        <f>IFERROR(__xludf.DUMMYFUNCTION("""COMPUTED_VALUE"""),0.1375176304654443)</f>
        <v>0.1375176305</v>
      </c>
      <c r="H3016" s="5">
        <f>IFERROR(__xludf.DUMMYFUNCTION("""COMPUTED_VALUE"""),0.583941605839416)</f>
        <v>0.5839416058</v>
      </c>
      <c r="I3016" s="11">
        <f>IFERROR(__xludf.DUMMYFUNCTION("""COMPUTED_VALUE"""),5836.131386861314)</f>
        <v>5836.131387</v>
      </c>
      <c r="J3016" s="10">
        <f>IFERROR(__xludf.DUMMYFUNCTION("""COMPUTED_VALUE"""),1.0)</f>
        <v>1</v>
      </c>
      <c r="K3016" s="5">
        <f>IFERROR(__xludf.DUMMYFUNCTION("""COMPUTED_VALUE"""),0.007462686567164179)</f>
        <v>0.007462686567</v>
      </c>
      <c r="L3016" s="10">
        <f>IFERROR(__xludf.DUMMYFUNCTION("""COMPUTED_VALUE"""),134.0)</f>
        <v>134</v>
      </c>
      <c r="M3016" s="5">
        <f>IFERROR(__xludf.DUMMYFUNCTION("""COMPUTED_VALUE"""),1.0)</f>
        <v>1</v>
      </c>
    </row>
    <row r="3017">
      <c r="A3017" s="10" t="str">
        <f>IFERROR(__xludf.DUMMYFUNCTION("""COMPUTED_VALUE"""),"麻雀研究部")</f>
        <v>麻雀研究部</v>
      </c>
      <c r="B3017" s="10">
        <f>IFERROR(__xludf.DUMMYFUNCTION("""COMPUTED_VALUE"""),2687.0)</f>
        <v>2687</v>
      </c>
      <c r="C3017" s="10">
        <f>IFERROR(__xludf.DUMMYFUNCTION("""COMPUTED_VALUE"""),31164.0)</f>
        <v>31164</v>
      </c>
      <c r="D3017" s="5">
        <f>IFERROR(__xludf.DUMMYFUNCTION("""COMPUTED_VALUE"""),0.3242265688099168)</f>
        <v>0.3242265688</v>
      </c>
      <c r="E3017" s="5">
        <f>IFERROR(__xludf.DUMMYFUNCTION("""COMPUTED_VALUE"""),0.126207114513467)</f>
        <v>0.1262071145</v>
      </c>
      <c r="F3017" s="5">
        <f>IFERROR(__xludf.DUMMYFUNCTION("""COMPUTED_VALUE"""),0.2057801032412122)</f>
        <v>0.2057801032</v>
      </c>
      <c r="G3017" s="5">
        <f>IFERROR(__xludf.DUMMYFUNCTION("""COMPUTED_VALUE"""),0.1871334761386382)</f>
        <v>0.1871334761</v>
      </c>
      <c r="H3017" s="5">
        <f>IFERROR(__xludf.DUMMYFUNCTION("""COMPUTED_VALUE"""),0.6003412969283276)</f>
        <v>0.6003412969</v>
      </c>
      <c r="I3017" s="11">
        <f>IFERROR(__xludf.DUMMYFUNCTION("""COMPUTED_VALUE"""),5857.576791808874)</f>
        <v>5857.576792</v>
      </c>
      <c r="J3017" s="10">
        <f>IFERROR(__xludf.DUMMYFUNCTION("""COMPUTED_VALUE"""),5.0)</f>
        <v>5</v>
      </c>
      <c r="K3017" s="5">
        <f>IFERROR(__xludf.DUMMYFUNCTION("""COMPUTED_VALUE"""),0.0018608113137327876)</f>
        <v>0.001860811314</v>
      </c>
      <c r="L3017" s="10">
        <f>IFERROR(__xludf.DUMMYFUNCTION("""COMPUTED_VALUE"""),1665.0)</f>
        <v>1665</v>
      </c>
      <c r="M3017" s="5">
        <f>IFERROR(__xludf.DUMMYFUNCTION("""COMPUTED_VALUE"""),0.6196501674730183)</f>
        <v>0.6196501675</v>
      </c>
    </row>
    <row r="3018">
      <c r="A3018" s="10" t="str">
        <f>IFERROR(__xludf.DUMMYFUNCTION("""COMPUTED_VALUE"""),"min2002")</f>
        <v>min2002</v>
      </c>
      <c r="B3018" s="10">
        <f>IFERROR(__xludf.DUMMYFUNCTION("""COMPUTED_VALUE"""),1638.0)</f>
        <v>1638</v>
      </c>
      <c r="C3018" s="10">
        <f>IFERROR(__xludf.DUMMYFUNCTION("""COMPUTED_VALUE"""),19181.0)</f>
        <v>19181</v>
      </c>
      <c r="D3018" s="5">
        <f>IFERROR(__xludf.DUMMYFUNCTION("""COMPUTED_VALUE"""),0.37827053525622756)</f>
        <v>0.3782705353</v>
      </c>
      <c r="E3018" s="5">
        <f>IFERROR(__xludf.DUMMYFUNCTION("""COMPUTED_VALUE"""),0.12620418400501623)</f>
        <v>0.126204184</v>
      </c>
      <c r="F3018" s="5">
        <f>IFERROR(__xludf.DUMMYFUNCTION("""COMPUTED_VALUE"""),0.21290543236618595)</f>
        <v>0.2129054324</v>
      </c>
      <c r="G3018" s="5">
        <f>IFERROR(__xludf.DUMMYFUNCTION("""COMPUTED_VALUE"""),0.14193695491079064)</f>
        <v>0.1419369549</v>
      </c>
      <c r="H3018" s="5">
        <f>IFERROR(__xludf.DUMMYFUNCTION("""COMPUTED_VALUE"""),0.6024096385542169)</f>
        <v>0.6024096386</v>
      </c>
      <c r="I3018" s="11">
        <f>IFERROR(__xludf.DUMMYFUNCTION("""COMPUTED_VALUE"""),5012.744310575636)</f>
        <v>5012.744311</v>
      </c>
      <c r="J3018" s="10">
        <f>IFERROR(__xludf.DUMMYFUNCTION("""COMPUTED_VALUE"""),2.0)</f>
        <v>2</v>
      </c>
      <c r="K3018" s="5">
        <f>IFERROR(__xludf.DUMMYFUNCTION("""COMPUTED_VALUE"""),0.001221001221001221)</f>
        <v>0.001221001221</v>
      </c>
      <c r="L3018" s="10">
        <f>IFERROR(__xludf.DUMMYFUNCTION("""COMPUTED_VALUE"""),0.0)</f>
        <v>0</v>
      </c>
      <c r="M3018" s="5">
        <f>IFERROR(__xludf.DUMMYFUNCTION("""COMPUTED_VALUE"""),0.0)</f>
        <v>0</v>
      </c>
    </row>
    <row r="3019">
      <c r="A3019" s="10" t="str">
        <f>IFERROR(__xludf.DUMMYFUNCTION("""COMPUTED_VALUE"""),"mochi0")</f>
        <v>mochi0</v>
      </c>
      <c r="B3019" s="10">
        <f>IFERROR(__xludf.DUMMYFUNCTION("""COMPUTED_VALUE"""),453.0)</f>
        <v>453</v>
      </c>
      <c r="C3019" s="10">
        <f>IFERROR(__xludf.DUMMYFUNCTION("""COMPUTED_VALUE"""),5358.0)</f>
        <v>5358</v>
      </c>
      <c r="D3019" s="5">
        <f>IFERROR(__xludf.DUMMYFUNCTION("""COMPUTED_VALUE"""),0.3251783893985729)</f>
        <v>0.3251783894</v>
      </c>
      <c r="E3019" s="5">
        <f>IFERROR(__xludf.DUMMYFUNCTION("""COMPUTED_VALUE"""),0.12619775739041794)</f>
        <v>0.1261977574</v>
      </c>
      <c r="F3019" s="5">
        <f>IFERROR(__xludf.DUMMYFUNCTION("""COMPUTED_VALUE"""),0.21039755351681957)</f>
        <v>0.2103975535</v>
      </c>
      <c r="G3019" s="5">
        <f>IFERROR(__xludf.DUMMYFUNCTION("""COMPUTED_VALUE"""),0.1694189602446483)</f>
        <v>0.1694189602</v>
      </c>
      <c r="H3019" s="5">
        <f>IFERROR(__xludf.DUMMYFUNCTION("""COMPUTED_VALUE"""),0.6172480620155039)</f>
        <v>0.617248062</v>
      </c>
      <c r="I3019" s="11">
        <f>IFERROR(__xludf.DUMMYFUNCTION("""COMPUTED_VALUE"""),5637.693798449613)</f>
        <v>5637.693798</v>
      </c>
      <c r="J3019" s="10">
        <f>IFERROR(__xludf.DUMMYFUNCTION("""COMPUTED_VALUE"""),0.0)</f>
        <v>0</v>
      </c>
      <c r="K3019" s="5">
        <f>IFERROR(__xludf.DUMMYFUNCTION("""COMPUTED_VALUE"""),0.0)</f>
        <v>0</v>
      </c>
      <c r="L3019" s="10">
        <f>IFERROR(__xludf.DUMMYFUNCTION("""COMPUTED_VALUE"""),0.0)</f>
        <v>0</v>
      </c>
      <c r="M3019" s="5">
        <f>IFERROR(__xludf.DUMMYFUNCTION("""COMPUTED_VALUE"""),0.0)</f>
        <v>0</v>
      </c>
    </row>
    <row r="3020">
      <c r="A3020" s="10" t="str">
        <f>IFERROR(__xludf.DUMMYFUNCTION("""COMPUTED_VALUE"""),"rcpb")</f>
        <v>rcpb</v>
      </c>
      <c r="B3020" s="10">
        <f>IFERROR(__xludf.DUMMYFUNCTION("""COMPUTED_VALUE"""),509.0)</f>
        <v>509</v>
      </c>
      <c r="C3020" s="10">
        <f>IFERROR(__xludf.DUMMYFUNCTION("""COMPUTED_VALUE"""),5953.0)</f>
        <v>5953</v>
      </c>
      <c r="D3020" s="5">
        <f>IFERROR(__xludf.DUMMYFUNCTION("""COMPUTED_VALUE"""),0.39162380602498165)</f>
        <v>0.391623806</v>
      </c>
      <c r="E3020" s="5">
        <f>IFERROR(__xludf.DUMMYFUNCTION("""COMPUTED_VALUE"""),0.12619397501836885)</f>
        <v>0.126193975</v>
      </c>
      <c r="F3020" s="5">
        <f>IFERROR(__xludf.DUMMYFUNCTION("""COMPUTED_VALUE"""),0.20132255694342396)</f>
        <v>0.2013225569</v>
      </c>
      <c r="G3020" s="5">
        <f>IFERROR(__xludf.DUMMYFUNCTION("""COMPUTED_VALUE"""),0.17487141807494488)</f>
        <v>0.1748714181</v>
      </c>
      <c r="H3020" s="5">
        <f>IFERROR(__xludf.DUMMYFUNCTION("""COMPUTED_VALUE"""),0.5720802919708029)</f>
        <v>0.572080292</v>
      </c>
      <c r="I3020" s="11">
        <f>IFERROR(__xludf.DUMMYFUNCTION("""COMPUTED_VALUE"""),5491.423357664234)</f>
        <v>5491.423358</v>
      </c>
      <c r="J3020" s="10">
        <f>IFERROR(__xludf.DUMMYFUNCTION("""COMPUTED_VALUE"""),1.0)</f>
        <v>1</v>
      </c>
      <c r="K3020" s="5">
        <f>IFERROR(__xludf.DUMMYFUNCTION("""COMPUTED_VALUE"""),0.0019646365422396855)</f>
        <v>0.001964636542</v>
      </c>
      <c r="L3020" s="10">
        <f>IFERROR(__xludf.DUMMYFUNCTION("""COMPUTED_VALUE"""),509.0)</f>
        <v>509</v>
      </c>
      <c r="M3020" s="5">
        <f>IFERROR(__xludf.DUMMYFUNCTION("""COMPUTED_VALUE"""),1.0)</f>
        <v>1</v>
      </c>
    </row>
    <row r="3021">
      <c r="A3021" s="10" t="str">
        <f>IFERROR(__xludf.DUMMYFUNCTION("""COMPUTED_VALUE"""),"peater")</f>
        <v>peater</v>
      </c>
      <c r="B3021" s="10">
        <f>IFERROR(__xludf.DUMMYFUNCTION("""COMPUTED_VALUE"""),2872.0)</f>
        <v>2872</v>
      </c>
      <c r="C3021" s="10">
        <f>IFERROR(__xludf.DUMMYFUNCTION("""COMPUTED_VALUE"""),33555.0)</f>
        <v>33555</v>
      </c>
      <c r="D3021" s="5">
        <f>IFERROR(__xludf.DUMMYFUNCTION("""COMPUTED_VALUE"""),0.33311605775184955)</f>
        <v>0.3331160578</v>
      </c>
      <c r="E3021" s="5">
        <f>IFERROR(__xludf.DUMMYFUNCTION("""COMPUTED_VALUE"""),0.12619365772577648)</f>
        <v>0.1261936577</v>
      </c>
      <c r="F3021" s="5">
        <f>IFERROR(__xludf.DUMMYFUNCTION("""COMPUTED_VALUE"""),0.2078675488055275)</f>
        <v>0.2078675488</v>
      </c>
      <c r="G3021" s="5">
        <f>IFERROR(__xludf.DUMMYFUNCTION("""COMPUTED_VALUE"""),0.17807906658410194)</f>
        <v>0.1780790666</v>
      </c>
      <c r="H3021" s="5">
        <f>IFERROR(__xludf.DUMMYFUNCTION("""COMPUTED_VALUE"""),0.5898400752587017)</f>
        <v>0.5898400753</v>
      </c>
      <c r="I3021" s="11">
        <f>IFERROR(__xludf.DUMMYFUNCTION("""COMPUTED_VALUE"""),5766.603951081844)</f>
        <v>5766.603951</v>
      </c>
      <c r="J3021" s="10">
        <f>IFERROR(__xludf.DUMMYFUNCTION("""COMPUTED_VALUE"""),4.0)</f>
        <v>4</v>
      </c>
      <c r="K3021" s="5">
        <f>IFERROR(__xludf.DUMMYFUNCTION("""COMPUTED_VALUE"""),0.001392757660167131)</f>
        <v>0.00139275766</v>
      </c>
      <c r="L3021" s="10">
        <f>IFERROR(__xludf.DUMMYFUNCTION("""COMPUTED_VALUE"""),2872.0)</f>
        <v>2872</v>
      </c>
      <c r="M3021" s="5">
        <f>IFERROR(__xludf.DUMMYFUNCTION("""COMPUTED_VALUE"""),1.0)</f>
        <v>1</v>
      </c>
    </row>
    <row r="3022">
      <c r="A3022" s="10" t="str">
        <f>IFERROR(__xludf.DUMMYFUNCTION("""COMPUTED_VALUE"""),"yuguan")</f>
        <v>yuguan</v>
      </c>
      <c r="B3022" s="10">
        <f>IFERROR(__xludf.DUMMYFUNCTION("""COMPUTED_VALUE"""),254.0)</f>
        <v>254</v>
      </c>
      <c r="C3022" s="10">
        <f>IFERROR(__xludf.DUMMYFUNCTION("""COMPUTED_VALUE"""),2988.0)</f>
        <v>2988</v>
      </c>
      <c r="D3022" s="5">
        <f>IFERROR(__xludf.DUMMYFUNCTION("""COMPUTED_VALUE"""),0.29846378931967815)</f>
        <v>0.2984637893</v>
      </c>
      <c r="E3022" s="5">
        <f>IFERROR(__xludf.DUMMYFUNCTION("""COMPUTED_VALUE"""),0.12618873445501097)</f>
        <v>0.1261887345</v>
      </c>
      <c r="F3022" s="5">
        <f>IFERROR(__xludf.DUMMYFUNCTION("""COMPUTED_VALUE"""),0.19495245062179956)</f>
        <v>0.1949524506</v>
      </c>
      <c r="G3022" s="5">
        <f>IFERROR(__xludf.DUMMYFUNCTION("""COMPUTED_VALUE"""),0.1733723482077542)</f>
        <v>0.1733723482</v>
      </c>
      <c r="H3022" s="5">
        <f>IFERROR(__xludf.DUMMYFUNCTION("""COMPUTED_VALUE"""),0.6210131332082551)</f>
        <v>0.6210131332</v>
      </c>
      <c r="I3022" s="11">
        <f>IFERROR(__xludf.DUMMYFUNCTION("""COMPUTED_VALUE"""),5686.491557223265)</f>
        <v>5686.491557</v>
      </c>
      <c r="J3022" s="10">
        <f>IFERROR(__xludf.DUMMYFUNCTION("""COMPUTED_VALUE"""),3.0)</f>
        <v>3</v>
      </c>
      <c r="K3022" s="5">
        <f>IFERROR(__xludf.DUMMYFUNCTION("""COMPUTED_VALUE"""),0.011811023622047244)</f>
        <v>0.01181102362</v>
      </c>
      <c r="L3022" s="10">
        <f>IFERROR(__xludf.DUMMYFUNCTION("""COMPUTED_VALUE"""),254.0)</f>
        <v>254</v>
      </c>
      <c r="M3022" s="5">
        <f>IFERROR(__xludf.DUMMYFUNCTION("""COMPUTED_VALUE"""),1.0)</f>
        <v>1</v>
      </c>
    </row>
    <row r="3023">
      <c r="A3023" s="10" t="str">
        <f>IFERROR(__xludf.DUMMYFUNCTION("""COMPUTED_VALUE"""),"人生フルゼソツ")</f>
        <v>人生フルゼソツ</v>
      </c>
      <c r="B3023" s="10">
        <f>IFERROR(__xludf.DUMMYFUNCTION("""COMPUTED_VALUE"""),198.0)</f>
        <v>198</v>
      </c>
      <c r="C3023" s="10">
        <f>IFERROR(__xludf.DUMMYFUNCTION("""COMPUTED_VALUE"""),2314.0)</f>
        <v>2314</v>
      </c>
      <c r="D3023" s="5">
        <f>IFERROR(__xludf.DUMMYFUNCTION("""COMPUTED_VALUE"""),0.3497164461247637)</f>
        <v>0.3497164461</v>
      </c>
      <c r="E3023" s="5">
        <f>IFERROR(__xludf.DUMMYFUNCTION("""COMPUTED_VALUE"""),0.12618147448015124)</f>
        <v>0.1261814745</v>
      </c>
      <c r="F3023" s="5">
        <f>IFERROR(__xludf.DUMMYFUNCTION("""COMPUTED_VALUE"""),0.22306238185255198)</f>
        <v>0.2230623819</v>
      </c>
      <c r="G3023" s="5">
        <f>IFERROR(__xludf.DUMMYFUNCTION("""COMPUTED_VALUE"""),0.16540642722117202)</f>
        <v>0.1654064272</v>
      </c>
      <c r="H3023" s="5">
        <f>IFERROR(__xludf.DUMMYFUNCTION("""COMPUTED_VALUE"""),0.6271186440677966)</f>
        <v>0.6271186441</v>
      </c>
      <c r="I3023" s="11">
        <f>IFERROR(__xludf.DUMMYFUNCTION("""COMPUTED_VALUE"""),5648.728813559322)</f>
        <v>5648.728814</v>
      </c>
      <c r="J3023" s="10">
        <f>IFERROR(__xludf.DUMMYFUNCTION("""COMPUTED_VALUE"""),2.0)</f>
        <v>2</v>
      </c>
      <c r="K3023" s="5">
        <f>IFERROR(__xludf.DUMMYFUNCTION("""COMPUTED_VALUE"""),0.010101010101010102)</f>
        <v>0.0101010101</v>
      </c>
      <c r="L3023" s="10">
        <f>IFERROR(__xludf.DUMMYFUNCTION("""COMPUTED_VALUE"""),198.0)</f>
        <v>198</v>
      </c>
      <c r="M3023" s="5">
        <f>IFERROR(__xludf.DUMMYFUNCTION("""COMPUTED_VALUE"""),1.0)</f>
        <v>1</v>
      </c>
    </row>
    <row r="3024">
      <c r="A3024" s="10" t="str">
        <f>IFERROR(__xludf.DUMMYFUNCTION("""COMPUTED_VALUE"""),"Ｊ．Ｗｈｉｔｅ")</f>
        <v>Ｊ．Ｗｈｉｔｅ</v>
      </c>
      <c r="B3024" s="10">
        <f>IFERROR(__xludf.DUMMYFUNCTION("""COMPUTED_VALUE"""),1397.0)</f>
        <v>1397</v>
      </c>
      <c r="C3024" s="10">
        <f>IFERROR(__xludf.DUMMYFUNCTION("""COMPUTED_VALUE"""),16217.0)</f>
        <v>16217</v>
      </c>
      <c r="D3024" s="5">
        <f>IFERROR(__xludf.DUMMYFUNCTION("""COMPUTED_VALUE"""),0.30985155195681513)</f>
        <v>0.309851552</v>
      </c>
      <c r="E3024" s="5">
        <f>IFERROR(__xludf.DUMMYFUNCTION("""COMPUTED_VALUE"""),0.1261808367071525)</f>
        <v>0.1261808367</v>
      </c>
      <c r="F3024" s="5">
        <f>IFERROR(__xludf.DUMMYFUNCTION("""COMPUTED_VALUE"""),0.2097165991902834)</f>
        <v>0.2097165992</v>
      </c>
      <c r="G3024" s="5">
        <f>IFERROR(__xludf.DUMMYFUNCTION("""COMPUTED_VALUE"""),0.14723346828609987)</f>
        <v>0.1472334683</v>
      </c>
      <c r="H3024" s="5">
        <f>IFERROR(__xludf.DUMMYFUNCTION("""COMPUTED_VALUE"""),0.5942728442728443)</f>
        <v>0.5942728443</v>
      </c>
      <c r="I3024" s="11">
        <f>IFERROR(__xludf.DUMMYFUNCTION("""COMPUTED_VALUE"""),5623.777348777348)</f>
        <v>5623.777349</v>
      </c>
      <c r="J3024" s="10">
        <f>IFERROR(__xludf.DUMMYFUNCTION("""COMPUTED_VALUE"""),3.0)</f>
        <v>3</v>
      </c>
      <c r="K3024" s="5">
        <f>IFERROR(__xludf.DUMMYFUNCTION("""COMPUTED_VALUE"""),0.0021474588403722263)</f>
        <v>0.00214745884</v>
      </c>
      <c r="L3024" s="10">
        <f>IFERROR(__xludf.DUMMYFUNCTION("""COMPUTED_VALUE"""),1397.0)</f>
        <v>1397</v>
      </c>
      <c r="M3024" s="5">
        <f>IFERROR(__xludf.DUMMYFUNCTION("""COMPUTED_VALUE"""),1.0)</f>
        <v>1</v>
      </c>
    </row>
    <row r="3025">
      <c r="A3025" s="10" t="str">
        <f>IFERROR(__xludf.DUMMYFUNCTION("""COMPUTED_VALUE"""),"ＵＤＮＫ")</f>
        <v>ＵＤＮＫ</v>
      </c>
      <c r="B3025" s="10">
        <f>IFERROR(__xludf.DUMMYFUNCTION("""COMPUTED_VALUE"""),207.0)</f>
        <v>207</v>
      </c>
      <c r="C3025" s="10">
        <f>IFERROR(__xludf.DUMMYFUNCTION("""COMPUTED_VALUE"""),2434.0)</f>
        <v>2434</v>
      </c>
      <c r="D3025" s="5">
        <f>IFERROR(__xludf.DUMMYFUNCTION("""COMPUTED_VALUE"""),0.29321957790749886)</f>
        <v>0.2932195779</v>
      </c>
      <c r="E3025" s="5">
        <f>IFERROR(__xludf.DUMMYFUNCTION("""COMPUTED_VALUE"""),0.1261787157611136)</f>
        <v>0.1261787158</v>
      </c>
      <c r="F3025" s="5">
        <f>IFERROR(__xludf.DUMMYFUNCTION("""COMPUTED_VALUE"""),0.20790300853165694)</f>
        <v>0.2079030085</v>
      </c>
      <c r="G3025" s="5">
        <f>IFERROR(__xludf.DUMMYFUNCTION("""COMPUTED_VALUE"""),0.17916479568926807)</f>
        <v>0.1791647957</v>
      </c>
      <c r="H3025" s="5">
        <f>IFERROR(__xludf.DUMMYFUNCTION("""COMPUTED_VALUE"""),0.6025917926565875)</f>
        <v>0.6025917927</v>
      </c>
      <c r="I3025" s="11">
        <f>IFERROR(__xludf.DUMMYFUNCTION("""COMPUTED_VALUE"""),5690.928725701944)</f>
        <v>5690.928726</v>
      </c>
      <c r="J3025" s="10">
        <f>IFERROR(__xludf.DUMMYFUNCTION("""COMPUTED_VALUE"""),1.0)</f>
        <v>1</v>
      </c>
      <c r="K3025" s="5">
        <f>IFERROR(__xludf.DUMMYFUNCTION("""COMPUTED_VALUE"""),0.004830917874396135)</f>
        <v>0.004830917874</v>
      </c>
      <c r="L3025" s="10">
        <f>IFERROR(__xludf.DUMMYFUNCTION("""COMPUTED_VALUE"""),207.0)</f>
        <v>207</v>
      </c>
      <c r="M3025" s="5">
        <f>IFERROR(__xludf.DUMMYFUNCTION("""COMPUTED_VALUE"""),1.0)</f>
        <v>1</v>
      </c>
    </row>
    <row r="3026">
      <c r="A3026" s="10" t="str">
        <f>IFERROR(__xludf.DUMMYFUNCTION("""COMPUTED_VALUE"""),"☆能登麻美子☆")</f>
        <v>☆能登麻美子☆</v>
      </c>
      <c r="B3026" s="10">
        <f>IFERROR(__xludf.DUMMYFUNCTION("""COMPUTED_VALUE"""),337.0)</f>
        <v>337</v>
      </c>
      <c r="C3026" s="10">
        <f>IFERROR(__xludf.DUMMYFUNCTION("""COMPUTED_VALUE"""),3943.0)</f>
        <v>3943</v>
      </c>
      <c r="D3026" s="5">
        <f>IFERROR(__xludf.DUMMYFUNCTION("""COMPUTED_VALUE"""),0.3560732113144759)</f>
        <v>0.3560732113</v>
      </c>
      <c r="E3026" s="5">
        <f>IFERROR(__xludf.DUMMYFUNCTION("""COMPUTED_VALUE"""),0.1261785912368275)</f>
        <v>0.1261785912</v>
      </c>
      <c r="F3026" s="5">
        <f>IFERROR(__xludf.DUMMYFUNCTION("""COMPUTED_VALUE"""),0.2182473655019412)</f>
        <v>0.2182473655</v>
      </c>
      <c r="G3026" s="5">
        <f>IFERROR(__xludf.DUMMYFUNCTION("""COMPUTED_VALUE"""),0.21048252911813645)</f>
        <v>0.2104825291</v>
      </c>
      <c r="H3026" s="5">
        <f>IFERROR(__xludf.DUMMYFUNCTION("""COMPUTED_VALUE"""),0.5933926302414231)</f>
        <v>0.5933926302</v>
      </c>
      <c r="I3026" s="11">
        <f>IFERROR(__xludf.DUMMYFUNCTION("""COMPUTED_VALUE"""),5727.191867852604)</f>
        <v>5727.191868</v>
      </c>
      <c r="J3026" s="10">
        <f>IFERROR(__xludf.DUMMYFUNCTION("""COMPUTED_VALUE"""),1.0)</f>
        <v>1</v>
      </c>
      <c r="K3026" s="5">
        <f>IFERROR(__xludf.DUMMYFUNCTION("""COMPUTED_VALUE"""),0.002967359050445104)</f>
        <v>0.00296735905</v>
      </c>
      <c r="L3026" s="10">
        <f>IFERROR(__xludf.DUMMYFUNCTION("""COMPUTED_VALUE"""),337.0)</f>
        <v>337</v>
      </c>
      <c r="M3026" s="5">
        <f>IFERROR(__xludf.DUMMYFUNCTION("""COMPUTED_VALUE"""),1.0)</f>
        <v>1</v>
      </c>
    </row>
    <row r="3027">
      <c r="A3027" s="10" t="str">
        <f>IFERROR(__xludf.DUMMYFUNCTION("""COMPUTED_VALUE"""),"山田まりりん")</f>
        <v>山田まりりん</v>
      </c>
      <c r="B3027" s="10">
        <f>IFERROR(__xludf.DUMMYFUNCTION("""COMPUTED_VALUE"""),136.0)</f>
        <v>136</v>
      </c>
      <c r="C3027" s="10">
        <f>IFERROR(__xludf.DUMMYFUNCTION("""COMPUTED_VALUE"""),1634.0)</f>
        <v>1634</v>
      </c>
      <c r="D3027" s="5">
        <f>IFERROR(__xludf.DUMMYFUNCTION("""COMPUTED_VALUE"""),0.35580774365821094)</f>
        <v>0.3558077437</v>
      </c>
      <c r="E3027" s="5">
        <f>IFERROR(__xludf.DUMMYFUNCTION("""COMPUTED_VALUE"""),0.1261682242990654)</f>
        <v>0.1261682243</v>
      </c>
      <c r="F3027" s="5">
        <f>IFERROR(__xludf.DUMMYFUNCTION("""COMPUTED_VALUE"""),0.2116154873164219)</f>
        <v>0.2116154873</v>
      </c>
      <c r="G3027" s="5">
        <f>IFERROR(__xludf.DUMMYFUNCTION("""COMPUTED_VALUE"""),0.16688918558077437)</f>
        <v>0.1668891856</v>
      </c>
      <c r="H3027" s="5">
        <f>IFERROR(__xludf.DUMMYFUNCTION("""COMPUTED_VALUE"""),0.5962145110410094)</f>
        <v>0.596214511</v>
      </c>
      <c r="I3027" s="11">
        <f>IFERROR(__xludf.DUMMYFUNCTION("""COMPUTED_VALUE"""),5647.318611987382)</f>
        <v>5647.318612</v>
      </c>
      <c r="J3027" s="10">
        <f>IFERROR(__xludf.DUMMYFUNCTION("""COMPUTED_VALUE"""),1.0)</f>
        <v>1</v>
      </c>
      <c r="K3027" s="5">
        <f>IFERROR(__xludf.DUMMYFUNCTION("""COMPUTED_VALUE"""),0.007352941176470588)</f>
        <v>0.007352941176</v>
      </c>
      <c r="L3027" s="10">
        <f>IFERROR(__xludf.DUMMYFUNCTION("""COMPUTED_VALUE"""),0.0)</f>
        <v>0</v>
      </c>
      <c r="M3027" s="5">
        <f>IFERROR(__xludf.DUMMYFUNCTION("""COMPUTED_VALUE"""),0.0)</f>
        <v>0</v>
      </c>
    </row>
    <row r="3028">
      <c r="A3028" s="10" t="str">
        <f>IFERROR(__xludf.DUMMYFUNCTION("""COMPUTED_VALUE"""),"石原良純")</f>
        <v>石原良純</v>
      </c>
      <c r="B3028" s="10">
        <f>IFERROR(__xludf.DUMMYFUNCTION("""COMPUTED_VALUE"""),989.0)</f>
        <v>989</v>
      </c>
      <c r="C3028" s="10">
        <f>IFERROR(__xludf.DUMMYFUNCTION("""COMPUTED_VALUE"""),11499.0)</f>
        <v>11499</v>
      </c>
      <c r="D3028" s="5">
        <f>IFERROR(__xludf.DUMMYFUNCTION("""COMPUTED_VALUE"""),0.3103710751665081)</f>
        <v>0.3103710752</v>
      </c>
      <c r="E3028" s="5">
        <f>IFERROR(__xludf.DUMMYFUNCTION("""COMPUTED_VALUE"""),0.12616555661274975)</f>
        <v>0.1261655566</v>
      </c>
      <c r="F3028" s="5">
        <f>IFERROR(__xludf.DUMMYFUNCTION("""COMPUTED_VALUE"""),0.20532825880114178)</f>
        <v>0.2053282588</v>
      </c>
      <c r="G3028" s="5">
        <f>IFERROR(__xludf.DUMMYFUNCTION("""COMPUTED_VALUE"""),0.18648905803996194)</f>
        <v>0.186489058</v>
      </c>
      <c r="H3028" s="5">
        <f>IFERROR(__xludf.DUMMYFUNCTION("""COMPUTED_VALUE"""),0.582483781278962)</f>
        <v>0.5824837813</v>
      </c>
      <c r="I3028" s="11">
        <f>IFERROR(__xludf.DUMMYFUNCTION("""COMPUTED_VALUE"""),5873.493975903614)</f>
        <v>5873.493976</v>
      </c>
      <c r="J3028" s="10">
        <f>IFERROR(__xludf.DUMMYFUNCTION("""COMPUTED_VALUE"""),1.0)</f>
        <v>1</v>
      </c>
      <c r="K3028" s="5">
        <f>IFERROR(__xludf.DUMMYFUNCTION("""COMPUTED_VALUE"""),0.0010111223458038423)</f>
        <v>0.001011122346</v>
      </c>
      <c r="L3028" s="10">
        <f>IFERROR(__xludf.DUMMYFUNCTION("""COMPUTED_VALUE"""),989.0)</f>
        <v>989</v>
      </c>
      <c r="M3028" s="5">
        <f>IFERROR(__xludf.DUMMYFUNCTION("""COMPUTED_VALUE"""),1.0)</f>
        <v>1</v>
      </c>
    </row>
    <row r="3029">
      <c r="A3029" s="10" t="str">
        <f>IFERROR(__xludf.DUMMYFUNCTION("""COMPUTED_VALUE"""),"ニコ生&amp;動")</f>
        <v>ニコ生&amp;動</v>
      </c>
      <c r="B3029" s="10">
        <f>IFERROR(__xludf.DUMMYFUNCTION("""COMPUTED_VALUE"""),593.0)</f>
        <v>593</v>
      </c>
      <c r="C3029" s="10">
        <f>IFERROR(__xludf.DUMMYFUNCTION("""COMPUTED_VALUE"""),6926.0)</f>
        <v>6926</v>
      </c>
      <c r="D3029" s="5">
        <f>IFERROR(__xludf.DUMMYFUNCTION("""COMPUTED_VALUE"""),0.37265119216800885)</f>
        <v>0.3726511922</v>
      </c>
      <c r="E3029" s="5">
        <f>IFERROR(__xludf.DUMMYFUNCTION("""COMPUTED_VALUE"""),0.12616453497552502)</f>
        <v>0.126164535</v>
      </c>
      <c r="F3029" s="5">
        <f>IFERROR(__xludf.DUMMYFUNCTION("""COMPUTED_VALUE"""),0.20843202273803885)</f>
        <v>0.2084320227</v>
      </c>
      <c r="G3029" s="5">
        <f>IFERROR(__xludf.DUMMYFUNCTION("""COMPUTED_VALUE"""),0.15316595610295278)</f>
        <v>0.1531659561</v>
      </c>
      <c r="H3029" s="5">
        <f>IFERROR(__xludf.DUMMYFUNCTION("""COMPUTED_VALUE"""),0.5848484848484848)</f>
        <v>0.5848484848</v>
      </c>
      <c r="I3029" s="11">
        <f>IFERROR(__xludf.DUMMYFUNCTION("""COMPUTED_VALUE"""),5642.954545454545)</f>
        <v>5642.954545</v>
      </c>
      <c r="J3029" s="10">
        <f>IFERROR(__xludf.DUMMYFUNCTION("""COMPUTED_VALUE"""),2.0)</f>
        <v>2</v>
      </c>
      <c r="K3029" s="5">
        <f>IFERROR(__xludf.DUMMYFUNCTION("""COMPUTED_VALUE"""),0.003372681281618887)</f>
        <v>0.003372681282</v>
      </c>
      <c r="L3029" s="10">
        <f>IFERROR(__xludf.DUMMYFUNCTION("""COMPUTED_VALUE"""),593.0)</f>
        <v>593</v>
      </c>
      <c r="M3029" s="5">
        <f>IFERROR(__xludf.DUMMYFUNCTION("""COMPUTED_VALUE"""),1.0)</f>
        <v>1</v>
      </c>
    </row>
    <row r="3030">
      <c r="A3030" s="10" t="str">
        <f>IFERROR(__xludf.DUMMYFUNCTION("""COMPUTED_VALUE"""),"げんたろのかけら")</f>
        <v>げんたろのかけら</v>
      </c>
      <c r="B3030" s="10">
        <f>IFERROR(__xludf.DUMMYFUNCTION("""COMPUTED_VALUE"""),783.0)</f>
        <v>783</v>
      </c>
      <c r="C3030" s="10">
        <f>IFERROR(__xludf.DUMMYFUNCTION("""COMPUTED_VALUE"""),9209.0)</f>
        <v>9209</v>
      </c>
      <c r="D3030" s="5">
        <f>IFERROR(__xludf.DUMMYFUNCTION("""COMPUTED_VALUE"""),0.4063612627581296)</f>
        <v>0.4063612628</v>
      </c>
      <c r="E3030" s="5">
        <f>IFERROR(__xludf.DUMMYFUNCTION("""COMPUTED_VALUE"""),0.12615713268454784)</f>
        <v>0.1261571327</v>
      </c>
      <c r="F3030" s="5">
        <f>IFERROR(__xludf.DUMMYFUNCTION("""COMPUTED_VALUE"""),0.21314977450747685)</f>
        <v>0.2131497745</v>
      </c>
      <c r="G3030" s="5">
        <f>IFERROR(__xludf.DUMMYFUNCTION("""COMPUTED_VALUE"""),0.16271065748872537)</f>
        <v>0.1627106575</v>
      </c>
      <c r="H3030" s="5">
        <f>IFERROR(__xludf.DUMMYFUNCTION("""COMPUTED_VALUE"""),0.6002227171492205)</f>
        <v>0.6002227171</v>
      </c>
      <c r="I3030" s="11">
        <f>IFERROR(__xludf.DUMMYFUNCTION("""COMPUTED_VALUE"""),5210.244988864142)</f>
        <v>5210.244989</v>
      </c>
      <c r="J3030" s="10">
        <f>IFERROR(__xludf.DUMMYFUNCTION("""COMPUTED_VALUE"""),1.0)</f>
        <v>1</v>
      </c>
      <c r="K3030" s="5">
        <f>IFERROR(__xludf.DUMMYFUNCTION("""COMPUTED_VALUE"""),0.001277139208173691)</f>
        <v>0.001277139208</v>
      </c>
      <c r="L3030" s="10">
        <f>IFERROR(__xludf.DUMMYFUNCTION("""COMPUTED_VALUE"""),749.0)</f>
        <v>749</v>
      </c>
      <c r="M3030" s="5">
        <f>IFERROR(__xludf.DUMMYFUNCTION("""COMPUTED_VALUE"""),0.9565772669220945)</f>
        <v>0.9565772669</v>
      </c>
    </row>
    <row r="3031">
      <c r="A3031" s="10" t="str">
        <f>IFERROR(__xludf.DUMMYFUNCTION("""COMPUTED_VALUE"""),"Kat_H")</f>
        <v>Kat_H</v>
      </c>
      <c r="B3031" s="10">
        <f>IFERROR(__xludf.DUMMYFUNCTION("""COMPUTED_VALUE"""),1105.0)</f>
        <v>1105</v>
      </c>
      <c r="C3031" s="10">
        <f>IFERROR(__xludf.DUMMYFUNCTION("""COMPUTED_VALUE"""),12995.0)</f>
        <v>12995</v>
      </c>
      <c r="D3031" s="5">
        <f>IFERROR(__xludf.DUMMYFUNCTION("""COMPUTED_VALUE"""),0.3860386879730866)</f>
        <v>0.386038688</v>
      </c>
      <c r="E3031" s="5">
        <f>IFERROR(__xludf.DUMMYFUNCTION("""COMPUTED_VALUE"""),0.1261564339781329)</f>
        <v>0.126156434</v>
      </c>
      <c r="F3031" s="5">
        <f>IFERROR(__xludf.DUMMYFUNCTION("""COMPUTED_VALUE"""),0.21379310344827587)</f>
        <v>0.2137931034</v>
      </c>
      <c r="G3031" s="5">
        <f>IFERROR(__xludf.DUMMYFUNCTION("""COMPUTED_VALUE"""),0.17720773759461733)</f>
        <v>0.1772077376</v>
      </c>
      <c r="H3031" s="5">
        <f>IFERROR(__xludf.DUMMYFUNCTION("""COMPUTED_VALUE"""),0.5790715971675846)</f>
        <v>0.5790715972</v>
      </c>
      <c r="I3031" s="11">
        <f>IFERROR(__xludf.DUMMYFUNCTION("""COMPUTED_VALUE"""),5556.530291109363)</f>
        <v>5556.530291</v>
      </c>
      <c r="J3031" s="10">
        <f>IFERROR(__xludf.DUMMYFUNCTION("""COMPUTED_VALUE"""),4.0)</f>
        <v>4</v>
      </c>
      <c r="K3031" s="5">
        <f>IFERROR(__xludf.DUMMYFUNCTION("""COMPUTED_VALUE"""),0.0036199095022624436)</f>
        <v>0.003619909502</v>
      </c>
      <c r="L3031" s="10">
        <f>IFERROR(__xludf.DUMMYFUNCTION("""COMPUTED_VALUE"""),1105.0)</f>
        <v>1105</v>
      </c>
      <c r="M3031" s="5">
        <f>IFERROR(__xludf.DUMMYFUNCTION("""COMPUTED_VALUE"""),1.0)</f>
        <v>1</v>
      </c>
    </row>
    <row r="3032">
      <c r="A3032" s="10" t="str">
        <f>IFERROR(__xludf.DUMMYFUNCTION("""COMPUTED_VALUE"""),"M帝Ⅲ")</f>
        <v>M帝Ⅲ</v>
      </c>
      <c r="B3032" s="10">
        <f>IFERROR(__xludf.DUMMYFUNCTION("""COMPUTED_VALUE"""),1229.0)</f>
        <v>1229</v>
      </c>
      <c r="C3032" s="10">
        <f>IFERROR(__xludf.DUMMYFUNCTION("""COMPUTED_VALUE"""),14419.0)</f>
        <v>14419</v>
      </c>
      <c r="D3032" s="5">
        <f>IFERROR(__xludf.DUMMYFUNCTION("""COMPUTED_VALUE"""),0.2862774829416224)</f>
        <v>0.2862774829</v>
      </c>
      <c r="E3032" s="5">
        <f>IFERROR(__xludf.DUMMYFUNCTION("""COMPUTED_VALUE"""),0.12615617892342684)</f>
        <v>0.1261561789</v>
      </c>
      <c r="F3032" s="5">
        <f>IFERROR(__xludf.DUMMYFUNCTION("""COMPUTED_VALUE"""),0.19696739954510994)</f>
        <v>0.1969673995</v>
      </c>
      <c r="G3032" s="5">
        <f>IFERROR(__xludf.DUMMYFUNCTION("""COMPUTED_VALUE"""),0.1746019711902957)</f>
        <v>0.1746019712</v>
      </c>
      <c r="H3032" s="5">
        <f>IFERROR(__xludf.DUMMYFUNCTION("""COMPUTED_VALUE"""),0.6004618937644342)</f>
        <v>0.6004618938</v>
      </c>
      <c r="I3032" s="11">
        <f>IFERROR(__xludf.DUMMYFUNCTION("""COMPUTED_VALUE"""),5784.064665127021)</f>
        <v>5784.064665</v>
      </c>
      <c r="J3032" s="10">
        <f>IFERROR(__xludf.DUMMYFUNCTION("""COMPUTED_VALUE"""),2.0)</f>
        <v>2</v>
      </c>
      <c r="K3032" s="5">
        <f>IFERROR(__xludf.DUMMYFUNCTION("""COMPUTED_VALUE"""),0.0016273393002441008)</f>
        <v>0.0016273393</v>
      </c>
      <c r="L3032" s="10">
        <f>IFERROR(__xludf.DUMMYFUNCTION("""COMPUTED_VALUE"""),1229.0)</f>
        <v>1229</v>
      </c>
      <c r="M3032" s="5">
        <f>IFERROR(__xludf.DUMMYFUNCTION("""COMPUTED_VALUE"""),1.0)</f>
        <v>1</v>
      </c>
    </row>
    <row r="3033">
      <c r="A3033" s="10" t="str">
        <f>IFERROR(__xludf.DUMMYFUNCTION("""COMPUTED_VALUE"""),"東風シュッシュッ")</f>
        <v>東風シュッシュッ</v>
      </c>
      <c r="B3033" s="10">
        <f>IFERROR(__xludf.DUMMYFUNCTION("""COMPUTED_VALUE"""),583.0)</f>
        <v>583</v>
      </c>
      <c r="C3033" s="10">
        <f>IFERROR(__xludf.DUMMYFUNCTION("""COMPUTED_VALUE"""),6861.0)</f>
        <v>6861</v>
      </c>
      <c r="D3033" s="5">
        <f>IFERROR(__xludf.DUMMYFUNCTION("""COMPUTED_VALUE"""),0.3618986938515451)</f>
        <v>0.3618986939</v>
      </c>
      <c r="E3033" s="5">
        <f>IFERROR(__xludf.DUMMYFUNCTION("""COMPUTED_VALUE"""),0.12615482637782732)</f>
        <v>0.1261548264</v>
      </c>
      <c r="F3033" s="5">
        <f>IFERROR(__xludf.DUMMYFUNCTION("""COMPUTED_VALUE"""),0.22666454284804077)</f>
        <v>0.2266645428</v>
      </c>
      <c r="G3033" s="5">
        <f>IFERROR(__xludf.DUMMYFUNCTION("""COMPUTED_VALUE"""),0.1887543803759159)</f>
        <v>0.1887543804</v>
      </c>
      <c r="H3033" s="5">
        <f>IFERROR(__xludf.DUMMYFUNCTION("""COMPUTED_VALUE"""),0.6022487702037947)</f>
        <v>0.6022487702</v>
      </c>
      <c r="I3033" s="11">
        <f>IFERROR(__xludf.DUMMYFUNCTION("""COMPUTED_VALUE"""),5398.805340829234)</f>
        <v>5398.805341</v>
      </c>
      <c r="J3033" s="10">
        <f>IFERROR(__xludf.DUMMYFUNCTION("""COMPUTED_VALUE"""),0.0)</f>
        <v>0</v>
      </c>
      <c r="K3033" s="5">
        <f>IFERROR(__xludf.DUMMYFUNCTION("""COMPUTED_VALUE"""),0.0)</f>
        <v>0</v>
      </c>
      <c r="L3033" s="10">
        <f>IFERROR(__xludf.DUMMYFUNCTION("""COMPUTED_VALUE"""),583.0)</f>
        <v>583</v>
      </c>
      <c r="M3033" s="5">
        <f>IFERROR(__xludf.DUMMYFUNCTION("""COMPUTED_VALUE"""),1.0)</f>
        <v>1</v>
      </c>
    </row>
    <row r="3034">
      <c r="A3034" s="10" t="str">
        <f>IFERROR(__xludf.DUMMYFUNCTION("""COMPUTED_VALUE"""),"holmes")</f>
        <v>holmes</v>
      </c>
      <c r="B3034" s="10">
        <f>IFERROR(__xludf.DUMMYFUNCTION("""COMPUTED_VALUE"""),1411.0)</f>
        <v>1411</v>
      </c>
      <c r="C3034" s="10">
        <f>IFERROR(__xludf.DUMMYFUNCTION("""COMPUTED_VALUE"""),16616.0)</f>
        <v>16616</v>
      </c>
      <c r="D3034" s="5">
        <f>IFERROR(__xludf.DUMMYFUNCTION("""COMPUTED_VALUE"""),0.3605392962841171)</f>
        <v>0.3605392963</v>
      </c>
      <c r="E3034" s="5">
        <f>IFERROR(__xludf.DUMMYFUNCTION("""COMPUTED_VALUE"""),0.12614271621177245)</f>
        <v>0.1261427162</v>
      </c>
      <c r="F3034" s="5">
        <f>IFERROR(__xludf.DUMMYFUNCTION("""COMPUTED_VALUE"""),0.20907596185465308)</f>
        <v>0.2090759619</v>
      </c>
      <c r="G3034" s="5">
        <f>IFERROR(__xludf.DUMMYFUNCTION("""COMPUTED_VALUE"""),0.17980927326537324)</f>
        <v>0.1798092733</v>
      </c>
      <c r="H3034" s="5">
        <f>IFERROR(__xludf.DUMMYFUNCTION("""COMPUTED_VALUE"""),0.5926391947153192)</f>
        <v>0.5926391947</v>
      </c>
      <c r="I3034" s="11">
        <f>IFERROR(__xludf.DUMMYFUNCTION("""COMPUTED_VALUE"""),5626.769424347279)</f>
        <v>5626.769424</v>
      </c>
      <c r="J3034" s="10">
        <f>IFERROR(__xludf.DUMMYFUNCTION("""COMPUTED_VALUE"""),3.0)</f>
        <v>3</v>
      </c>
      <c r="K3034" s="5">
        <f>IFERROR(__xludf.DUMMYFUNCTION("""COMPUTED_VALUE"""),0.002126151665485471)</f>
        <v>0.002126151665</v>
      </c>
      <c r="L3034" s="10">
        <f>IFERROR(__xludf.DUMMYFUNCTION("""COMPUTED_VALUE"""),1411.0)</f>
        <v>1411</v>
      </c>
      <c r="M3034" s="5">
        <f>IFERROR(__xludf.DUMMYFUNCTION("""COMPUTED_VALUE"""),1.0)</f>
        <v>1</v>
      </c>
    </row>
    <row r="3035">
      <c r="A3035" s="10" t="str">
        <f>IFERROR(__xludf.DUMMYFUNCTION("""COMPUTED_VALUE"""),"ダチョウの卵")</f>
        <v>ダチョウの卵</v>
      </c>
      <c r="B3035" s="10">
        <f>IFERROR(__xludf.DUMMYFUNCTION("""COMPUTED_VALUE"""),123.0)</f>
        <v>123</v>
      </c>
      <c r="C3035" s="10">
        <f>IFERROR(__xludf.DUMMYFUNCTION("""COMPUTED_VALUE"""),1447.0)</f>
        <v>1447</v>
      </c>
      <c r="D3035" s="5">
        <f>IFERROR(__xludf.DUMMYFUNCTION("""COMPUTED_VALUE"""),0.31344410876132933)</f>
        <v>0.3134441088</v>
      </c>
      <c r="E3035" s="5">
        <f>IFERROR(__xludf.DUMMYFUNCTION("""COMPUTED_VALUE"""),0.12613293051359517)</f>
        <v>0.1261329305</v>
      </c>
      <c r="F3035" s="5">
        <f>IFERROR(__xludf.DUMMYFUNCTION("""COMPUTED_VALUE"""),0.18277945619335348)</f>
        <v>0.1827794562</v>
      </c>
      <c r="G3035" s="5">
        <f>IFERROR(__xludf.DUMMYFUNCTION("""COMPUTED_VALUE"""),0.14652567975830816)</f>
        <v>0.1465256798</v>
      </c>
      <c r="H3035" s="5">
        <f>IFERROR(__xludf.DUMMYFUNCTION("""COMPUTED_VALUE"""),0.5495867768595041)</f>
        <v>0.5495867769</v>
      </c>
      <c r="I3035" s="11">
        <f>IFERROR(__xludf.DUMMYFUNCTION("""COMPUTED_VALUE"""),5953.305785123967)</f>
        <v>5953.305785</v>
      </c>
      <c r="J3035" s="10">
        <f>IFERROR(__xludf.DUMMYFUNCTION("""COMPUTED_VALUE"""),0.0)</f>
        <v>0</v>
      </c>
      <c r="K3035" s="5">
        <f>IFERROR(__xludf.DUMMYFUNCTION("""COMPUTED_VALUE"""),0.0)</f>
        <v>0</v>
      </c>
      <c r="L3035" s="10">
        <f>IFERROR(__xludf.DUMMYFUNCTION("""COMPUTED_VALUE"""),123.0)</f>
        <v>123</v>
      </c>
      <c r="M3035" s="5">
        <f>IFERROR(__xludf.DUMMYFUNCTION("""COMPUTED_VALUE"""),1.0)</f>
        <v>1</v>
      </c>
    </row>
    <row r="3036">
      <c r="A3036" s="10" t="str">
        <f>IFERROR(__xludf.DUMMYFUNCTION("""COMPUTED_VALUE"""),"rittu")</f>
        <v>rittu</v>
      </c>
      <c r="B3036" s="10">
        <f>IFERROR(__xludf.DUMMYFUNCTION("""COMPUTED_VALUE"""),1014.0)</f>
        <v>1014</v>
      </c>
      <c r="C3036" s="10">
        <f>IFERROR(__xludf.DUMMYFUNCTION("""COMPUTED_VALUE"""),11750.0)</f>
        <v>11750</v>
      </c>
      <c r="D3036" s="5">
        <f>IFERROR(__xludf.DUMMYFUNCTION("""COMPUTED_VALUE"""),0.31231371087928467)</f>
        <v>0.3123137109</v>
      </c>
      <c r="E3036" s="5">
        <f>IFERROR(__xludf.DUMMYFUNCTION("""COMPUTED_VALUE"""),0.1261177347242921)</f>
        <v>0.1261177347</v>
      </c>
      <c r="F3036" s="5">
        <f>IFERROR(__xludf.DUMMYFUNCTION("""COMPUTED_VALUE"""),0.2118107302533532)</f>
        <v>0.2118107303</v>
      </c>
      <c r="G3036" s="5">
        <f>IFERROR(__xludf.DUMMYFUNCTION("""COMPUTED_VALUE"""),0.17762667660208645)</f>
        <v>0.1776266766</v>
      </c>
      <c r="H3036" s="5">
        <f>IFERROR(__xludf.DUMMYFUNCTION("""COMPUTED_VALUE"""),0.5919085312225154)</f>
        <v>0.5919085312</v>
      </c>
      <c r="I3036" s="11">
        <f>IFERROR(__xludf.DUMMYFUNCTION("""COMPUTED_VALUE"""),5976.209322779244)</f>
        <v>5976.209323</v>
      </c>
      <c r="J3036" s="10">
        <f>IFERROR(__xludf.DUMMYFUNCTION("""COMPUTED_VALUE"""),0.0)</f>
        <v>0</v>
      </c>
      <c r="K3036" s="5">
        <f>IFERROR(__xludf.DUMMYFUNCTION("""COMPUTED_VALUE"""),0.0)</f>
        <v>0</v>
      </c>
      <c r="L3036" s="10">
        <f>IFERROR(__xludf.DUMMYFUNCTION("""COMPUTED_VALUE"""),1010.0)</f>
        <v>1010</v>
      </c>
      <c r="M3036" s="5">
        <f>IFERROR(__xludf.DUMMYFUNCTION("""COMPUTED_VALUE"""),0.9960552268244576)</f>
        <v>0.9960552268</v>
      </c>
    </row>
    <row r="3037">
      <c r="A3037" s="10" t="str">
        <f>IFERROR(__xludf.DUMMYFUNCTION("""COMPUTED_VALUE"""),"spoiled")</f>
        <v>spoiled</v>
      </c>
      <c r="B3037" s="10">
        <f>IFERROR(__xludf.DUMMYFUNCTION("""COMPUTED_VALUE"""),1214.0)</f>
        <v>1214</v>
      </c>
      <c r="C3037" s="10">
        <f>IFERROR(__xludf.DUMMYFUNCTION("""COMPUTED_VALUE"""),14456.0)</f>
        <v>14456</v>
      </c>
      <c r="D3037" s="5">
        <f>IFERROR(__xludf.DUMMYFUNCTION("""COMPUTED_VALUE"""),0.36218093943513063)</f>
        <v>0.3621809394</v>
      </c>
      <c r="E3037" s="5">
        <f>IFERROR(__xludf.DUMMYFUNCTION("""COMPUTED_VALUE"""),0.126113880078538)</f>
        <v>0.1261138801</v>
      </c>
      <c r="F3037" s="5">
        <f>IFERROR(__xludf.DUMMYFUNCTION("""COMPUTED_VALUE"""),0.2153753209484972)</f>
        <v>0.2153753209</v>
      </c>
      <c r="G3037" s="5">
        <f>IFERROR(__xludf.DUMMYFUNCTION("""COMPUTED_VALUE"""),0.16576045914514423)</f>
        <v>0.1657604591</v>
      </c>
      <c r="H3037" s="5">
        <f>IFERROR(__xludf.DUMMYFUNCTION("""COMPUTED_VALUE"""),0.5925666199158486)</f>
        <v>0.5925666199</v>
      </c>
      <c r="I3037" s="11">
        <f>IFERROR(__xludf.DUMMYFUNCTION("""COMPUTED_VALUE"""),5512.868162692847)</f>
        <v>5512.868163</v>
      </c>
      <c r="J3037" s="10">
        <f>IFERROR(__xludf.DUMMYFUNCTION("""COMPUTED_VALUE"""),1.0)</f>
        <v>1</v>
      </c>
      <c r="K3037" s="5">
        <f>IFERROR(__xludf.DUMMYFUNCTION("""COMPUTED_VALUE"""),8.237232289950577E-4)</f>
        <v>0.000823723229</v>
      </c>
      <c r="L3037" s="10">
        <f>IFERROR(__xludf.DUMMYFUNCTION("""COMPUTED_VALUE"""),1031.0)</f>
        <v>1031</v>
      </c>
      <c r="M3037" s="5">
        <f>IFERROR(__xludf.DUMMYFUNCTION("""COMPUTED_VALUE"""),0.8492586490939045)</f>
        <v>0.8492586491</v>
      </c>
    </row>
    <row r="3038">
      <c r="A3038" s="10" t="str">
        <f>IFERROR(__xludf.DUMMYFUNCTION("""COMPUTED_VALUE"""),"Re；")</f>
        <v>Re；</v>
      </c>
      <c r="B3038" s="10">
        <f>IFERROR(__xludf.DUMMYFUNCTION("""COMPUTED_VALUE"""),204.0)</f>
        <v>204</v>
      </c>
      <c r="C3038" s="10">
        <f>IFERROR(__xludf.DUMMYFUNCTION("""COMPUTED_VALUE"""),2472.0)</f>
        <v>2472</v>
      </c>
      <c r="D3038" s="5">
        <f>IFERROR(__xludf.DUMMYFUNCTION("""COMPUTED_VALUE"""),0.3871252204585538)</f>
        <v>0.3871252205</v>
      </c>
      <c r="E3038" s="5">
        <f>IFERROR(__xludf.DUMMYFUNCTION("""COMPUTED_VALUE"""),0.12610229276895943)</f>
        <v>0.1261022928</v>
      </c>
      <c r="F3038" s="5">
        <f>IFERROR(__xludf.DUMMYFUNCTION("""COMPUTED_VALUE"""),0.21825396825396826)</f>
        <v>0.2182539683</v>
      </c>
      <c r="G3038" s="5">
        <f>IFERROR(__xludf.DUMMYFUNCTION("""COMPUTED_VALUE"""),0.17768959435626103)</f>
        <v>0.1776895944</v>
      </c>
      <c r="H3038" s="5">
        <f>IFERROR(__xludf.DUMMYFUNCTION("""COMPUTED_VALUE"""),0.593939393939394)</f>
        <v>0.5939393939</v>
      </c>
      <c r="I3038" s="11">
        <f>IFERROR(__xludf.DUMMYFUNCTION("""COMPUTED_VALUE"""),5211.111111111111)</f>
        <v>5211.111111</v>
      </c>
      <c r="J3038" s="10">
        <f>IFERROR(__xludf.DUMMYFUNCTION("""COMPUTED_VALUE"""),0.0)</f>
        <v>0</v>
      </c>
      <c r="K3038" s="5">
        <f>IFERROR(__xludf.DUMMYFUNCTION("""COMPUTED_VALUE"""),0.0)</f>
        <v>0</v>
      </c>
      <c r="L3038" s="10">
        <f>IFERROR(__xludf.DUMMYFUNCTION("""COMPUTED_VALUE"""),204.0)</f>
        <v>204</v>
      </c>
      <c r="M3038" s="5">
        <f>IFERROR(__xludf.DUMMYFUNCTION("""COMPUTED_VALUE"""),1.0)</f>
        <v>1</v>
      </c>
    </row>
    <row r="3039">
      <c r="A3039" s="10" t="str">
        <f>IFERROR(__xludf.DUMMYFUNCTION("""COMPUTED_VALUE"""),"KaBE")</f>
        <v>KaBE</v>
      </c>
      <c r="B3039" s="10">
        <f>IFERROR(__xludf.DUMMYFUNCTION("""COMPUTED_VALUE"""),630.0)</f>
        <v>630</v>
      </c>
      <c r="C3039" s="10">
        <f>IFERROR(__xludf.DUMMYFUNCTION("""COMPUTED_VALUE"""),7434.0)</f>
        <v>7434</v>
      </c>
      <c r="D3039" s="5">
        <f>IFERROR(__xludf.DUMMYFUNCTION("""COMPUTED_VALUE"""),0.35905349794238683)</f>
        <v>0.3590534979</v>
      </c>
      <c r="E3039" s="5">
        <f>IFERROR(__xludf.DUMMYFUNCTION("""COMPUTED_VALUE"""),0.12610229276895943)</f>
        <v>0.1261022928</v>
      </c>
      <c r="F3039" s="5">
        <f>IFERROR(__xludf.DUMMYFUNCTION("""COMPUTED_VALUE"""),0.2056143445032334)</f>
        <v>0.2056143445</v>
      </c>
      <c r="G3039" s="5">
        <f>IFERROR(__xludf.DUMMYFUNCTION("""COMPUTED_VALUE"""),0.14638447971781304)</f>
        <v>0.1463844797</v>
      </c>
      <c r="H3039" s="5">
        <f>IFERROR(__xludf.DUMMYFUNCTION("""COMPUTED_VALUE"""),0.6075768406004288)</f>
        <v>0.6075768406</v>
      </c>
      <c r="I3039" s="11">
        <f>IFERROR(__xludf.DUMMYFUNCTION("""COMPUTED_VALUE"""),5490.850607576841)</f>
        <v>5490.850608</v>
      </c>
      <c r="J3039" s="10">
        <f>IFERROR(__xludf.DUMMYFUNCTION("""COMPUTED_VALUE"""),0.0)</f>
        <v>0</v>
      </c>
      <c r="K3039" s="5">
        <f>IFERROR(__xludf.DUMMYFUNCTION("""COMPUTED_VALUE"""),0.0)</f>
        <v>0</v>
      </c>
      <c r="L3039" s="10">
        <f>IFERROR(__xludf.DUMMYFUNCTION("""COMPUTED_VALUE"""),0.0)</f>
        <v>0</v>
      </c>
      <c r="M3039" s="5">
        <f>IFERROR(__xludf.DUMMYFUNCTION("""COMPUTED_VALUE"""),0.0)</f>
        <v>0</v>
      </c>
    </row>
    <row r="3040">
      <c r="A3040" s="10" t="str">
        <f>IFERROR(__xludf.DUMMYFUNCTION("""COMPUTED_VALUE"""),"ゼフィNINE")</f>
        <v>ゼフィNINE</v>
      </c>
      <c r="B3040" s="10">
        <f>IFERROR(__xludf.DUMMYFUNCTION("""COMPUTED_VALUE"""),767.0)</f>
        <v>767</v>
      </c>
      <c r="C3040" s="10">
        <f>IFERROR(__xludf.DUMMYFUNCTION("""COMPUTED_VALUE"""),8849.0)</f>
        <v>8849</v>
      </c>
      <c r="D3040" s="5">
        <f>IFERROR(__xludf.DUMMYFUNCTION("""COMPUTED_VALUE"""),0.2943578322197476)</f>
        <v>0.2943578322</v>
      </c>
      <c r="E3040" s="5">
        <f>IFERROR(__xludf.DUMMYFUNCTION("""COMPUTED_VALUE"""),0.12608265280871073)</f>
        <v>0.1260826528</v>
      </c>
      <c r="F3040" s="5">
        <f>IFERROR(__xludf.DUMMYFUNCTION("""COMPUTED_VALUE"""),0.2180153427369463)</f>
        <v>0.2180153427</v>
      </c>
      <c r="G3040" s="5">
        <f>IFERROR(__xludf.DUMMYFUNCTION("""COMPUTED_VALUE"""),0.18027715911902994)</f>
        <v>0.1802771591</v>
      </c>
      <c r="H3040" s="5">
        <f>IFERROR(__xludf.DUMMYFUNCTION("""COMPUTED_VALUE"""),0.6129398410896708)</f>
        <v>0.6129398411</v>
      </c>
      <c r="I3040" s="11">
        <f>IFERROR(__xludf.DUMMYFUNCTION("""COMPUTED_VALUE"""),5745.516458569807)</f>
        <v>5745.516459</v>
      </c>
      <c r="J3040" s="10">
        <f>IFERROR(__xludf.DUMMYFUNCTION("""COMPUTED_VALUE"""),1.0)</f>
        <v>1</v>
      </c>
      <c r="K3040" s="5">
        <f>IFERROR(__xludf.DUMMYFUNCTION("""COMPUTED_VALUE"""),0.001303780964797914)</f>
        <v>0.001303780965</v>
      </c>
      <c r="L3040" s="10">
        <f>IFERROR(__xludf.DUMMYFUNCTION("""COMPUTED_VALUE"""),767.0)</f>
        <v>767</v>
      </c>
      <c r="M3040" s="5">
        <f>IFERROR(__xludf.DUMMYFUNCTION("""COMPUTED_VALUE"""),1.0)</f>
        <v>1</v>
      </c>
    </row>
    <row r="3041">
      <c r="A3041" s="10" t="str">
        <f>IFERROR(__xludf.DUMMYFUNCTION("""COMPUTED_VALUE"""),"花鳥玲愛ちゃん")</f>
        <v>花鳥玲愛ちゃん</v>
      </c>
      <c r="B3041" s="10">
        <f>IFERROR(__xludf.DUMMYFUNCTION("""COMPUTED_VALUE"""),784.0)</f>
        <v>784</v>
      </c>
      <c r="C3041" s="10">
        <f>IFERROR(__xludf.DUMMYFUNCTION("""COMPUTED_VALUE"""),9327.0)</f>
        <v>9327</v>
      </c>
      <c r="D3041" s="5">
        <f>IFERROR(__xludf.DUMMYFUNCTION("""COMPUTED_VALUE"""),0.3799602013344259)</f>
        <v>0.3799602013</v>
      </c>
      <c r="E3041" s="5">
        <f>IFERROR(__xludf.DUMMYFUNCTION("""COMPUTED_VALUE"""),0.12606812595107106)</f>
        <v>0.126068126</v>
      </c>
      <c r="F3041" s="5">
        <f>IFERROR(__xludf.DUMMYFUNCTION("""COMPUTED_VALUE"""),0.19559873580709353)</f>
        <v>0.1955987358</v>
      </c>
      <c r="G3041" s="5">
        <f>IFERROR(__xludf.DUMMYFUNCTION("""COMPUTED_VALUE"""),0.12606812595107106)</f>
        <v>0.126068126</v>
      </c>
      <c r="H3041" s="5">
        <f>IFERROR(__xludf.DUMMYFUNCTION("""COMPUTED_VALUE"""),0.604428485936565)</f>
        <v>0.6044284859</v>
      </c>
      <c r="I3041" s="11">
        <f>IFERROR(__xludf.DUMMYFUNCTION("""COMPUTED_VALUE"""),5584.141232794734)</f>
        <v>5584.141233</v>
      </c>
      <c r="J3041" s="10">
        <f>IFERROR(__xludf.DUMMYFUNCTION("""COMPUTED_VALUE"""),3.0)</f>
        <v>3</v>
      </c>
      <c r="K3041" s="5">
        <f>IFERROR(__xludf.DUMMYFUNCTION("""COMPUTED_VALUE"""),0.003826530612244898)</f>
        <v>0.003826530612</v>
      </c>
      <c r="L3041" s="10">
        <f>IFERROR(__xludf.DUMMYFUNCTION("""COMPUTED_VALUE"""),137.0)</f>
        <v>137</v>
      </c>
      <c r="M3041" s="5">
        <f>IFERROR(__xludf.DUMMYFUNCTION("""COMPUTED_VALUE"""),0.1747448979591837)</f>
        <v>0.174744898</v>
      </c>
    </row>
    <row r="3042">
      <c r="A3042" s="10" t="str">
        <f>IFERROR(__xludf.DUMMYFUNCTION("""COMPUTED_VALUE"""),"シラ。")</f>
        <v>シラ。</v>
      </c>
      <c r="B3042" s="10">
        <f>IFERROR(__xludf.DUMMYFUNCTION("""COMPUTED_VALUE"""),1629.0)</f>
        <v>1629</v>
      </c>
      <c r="C3042" s="10">
        <f>IFERROR(__xludf.DUMMYFUNCTION("""COMPUTED_VALUE"""),19033.0)</f>
        <v>19033</v>
      </c>
      <c r="D3042" s="5">
        <f>IFERROR(__xludf.DUMMYFUNCTION("""COMPUTED_VALUE"""),0.3321650195357389)</f>
        <v>0.3321650195</v>
      </c>
      <c r="E3042" s="5">
        <f>IFERROR(__xludf.DUMMYFUNCTION("""COMPUTED_VALUE"""),0.12606297402895886)</f>
        <v>0.126062974</v>
      </c>
      <c r="F3042" s="5">
        <f>IFERROR(__xludf.DUMMYFUNCTION("""COMPUTED_VALUE"""),0.21156056079062285)</f>
        <v>0.2115605608</v>
      </c>
      <c r="G3042" s="5">
        <f>IFERROR(__xludf.DUMMYFUNCTION("""COMPUTED_VALUE"""),0.18955412548839348)</f>
        <v>0.1895541255</v>
      </c>
      <c r="H3042" s="5">
        <f>IFERROR(__xludf.DUMMYFUNCTION("""COMPUTED_VALUE"""),0.579033134166214)</f>
        <v>0.5790331342</v>
      </c>
      <c r="I3042" s="11">
        <f>IFERROR(__xludf.DUMMYFUNCTION("""COMPUTED_VALUE"""),5605.07876154264)</f>
        <v>5605.078762</v>
      </c>
      <c r="J3042" s="10">
        <f>IFERROR(__xludf.DUMMYFUNCTION("""COMPUTED_VALUE"""),1.0)</f>
        <v>1</v>
      </c>
      <c r="K3042" s="5">
        <f>IFERROR(__xludf.DUMMYFUNCTION("""COMPUTED_VALUE"""),6.138735420503376E-4)</f>
        <v>0.0006138735421</v>
      </c>
      <c r="L3042" s="10">
        <f>IFERROR(__xludf.DUMMYFUNCTION("""COMPUTED_VALUE"""),1629.0)</f>
        <v>1629</v>
      </c>
      <c r="M3042" s="5">
        <f>IFERROR(__xludf.DUMMYFUNCTION("""COMPUTED_VALUE"""),1.0)</f>
        <v>1</v>
      </c>
    </row>
    <row r="3043">
      <c r="A3043" s="10" t="str">
        <f>IFERROR(__xludf.DUMMYFUNCTION("""COMPUTED_VALUE"""),"ジョンソン42")</f>
        <v>ジョンソン42</v>
      </c>
      <c r="B3043" s="10">
        <f>IFERROR(__xludf.DUMMYFUNCTION("""COMPUTED_VALUE"""),211.0)</f>
        <v>211</v>
      </c>
      <c r="C3043" s="10">
        <f>IFERROR(__xludf.DUMMYFUNCTION("""COMPUTED_VALUE"""),2456.0)</f>
        <v>2456</v>
      </c>
      <c r="D3043" s="5">
        <f>IFERROR(__xludf.DUMMYFUNCTION("""COMPUTED_VALUE"""),0.35812917594654786)</f>
        <v>0.3581291759</v>
      </c>
      <c r="E3043" s="5">
        <f>IFERROR(__xludf.DUMMYFUNCTION("""COMPUTED_VALUE"""),0.12605790645879733)</f>
        <v>0.1260579065</v>
      </c>
      <c r="F3043" s="5">
        <f>IFERROR(__xludf.DUMMYFUNCTION("""COMPUTED_VALUE"""),0.2026726057906459)</f>
        <v>0.2026726058</v>
      </c>
      <c r="G3043" s="5">
        <f>IFERROR(__xludf.DUMMYFUNCTION("""COMPUTED_VALUE"""),0.18040089086859687)</f>
        <v>0.1804008909</v>
      </c>
      <c r="H3043" s="5">
        <f>IFERROR(__xludf.DUMMYFUNCTION("""COMPUTED_VALUE"""),0.5846153846153846)</f>
        <v>0.5846153846</v>
      </c>
      <c r="I3043" s="11">
        <f>IFERROR(__xludf.DUMMYFUNCTION("""COMPUTED_VALUE"""),5744.395604395604)</f>
        <v>5744.395604</v>
      </c>
      <c r="J3043" s="10">
        <f>IFERROR(__xludf.DUMMYFUNCTION("""COMPUTED_VALUE"""),1.0)</f>
        <v>1</v>
      </c>
      <c r="K3043" s="5">
        <f>IFERROR(__xludf.DUMMYFUNCTION("""COMPUTED_VALUE"""),0.004739336492890996)</f>
        <v>0.004739336493</v>
      </c>
      <c r="L3043" s="10">
        <f>IFERROR(__xludf.DUMMYFUNCTION("""COMPUTED_VALUE"""),211.0)</f>
        <v>211</v>
      </c>
      <c r="M3043" s="5">
        <f>IFERROR(__xludf.DUMMYFUNCTION("""COMPUTED_VALUE"""),1.0)</f>
        <v>1</v>
      </c>
    </row>
    <row r="3044">
      <c r="A3044" s="10" t="str">
        <f>IFERROR(__xludf.DUMMYFUNCTION("""COMPUTED_VALUE"""),"ひさやん")</f>
        <v>ひさやん</v>
      </c>
      <c r="B3044" s="10">
        <f>IFERROR(__xludf.DUMMYFUNCTION("""COMPUTED_VALUE"""),111.0)</f>
        <v>111</v>
      </c>
      <c r="C3044" s="10">
        <f>IFERROR(__xludf.DUMMYFUNCTION("""COMPUTED_VALUE"""),1301.0)</f>
        <v>1301</v>
      </c>
      <c r="D3044" s="5">
        <f>IFERROR(__xludf.DUMMYFUNCTION("""COMPUTED_VALUE"""),0.35378151260504204)</f>
        <v>0.3537815126</v>
      </c>
      <c r="E3044" s="5">
        <f>IFERROR(__xludf.DUMMYFUNCTION("""COMPUTED_VALUE"""),0.12605042016806722)</f>
        <v>0.1260504202</v>
      </c>
      <c r="F3044" s="5">
        <f>IFERROR(__xludf.DUMMYFUNCTION("""COMPUTED_VALUE"""),0.21764705882352942)</f>
        <v>0.2176470588</v>
      </c>
      <c r="G3044" s="5">
        <f>IFERROR(__xludf.DUMMYFUNCTION("""COMPUTED_VALUE"""),0.14705882352941177)</f>
        <v>0.1470588235</v>
      </c>
      <c r="H3044" s="5">
        <f>IFERROR(__xludf.DUMMYFUNCTION("""COMPUTED_VALUE"""),0.6061776061776062)</f>
        <v>0.6061776062</v>
      </c>
      <c r="I3044" s="11">
        <f>IFERROR(__xludf.DUMMYFUNCTION("""COMPUTED_VALUE"""),4819.69111969112)</f>
        <v>4819.69112</v>
      </c>
      <c r="J3044" s="10">
        <f>IFERROR(__xludf.DUMMYFUNCTION("""COMPUTED_VALUE"""),0.0)</f>
        <v>0</v>
      </c>
      <c r="K3044" s="5">
        <f>IFERROR(__xludf.DUMMYFUNCTION("""COMPUTED_VALUE"""),0.0)</f>
        <v>0</v>
      </c>
      <c r="L3044" s="10">
        <f>IFERROR(__xludf.DUMMYFUNCTION("""COMPUTED_VALUE"""),106.0)</f>
        <v>106</v>
      </c>
      <c r="M3044" s="5">
        <f>IFERROR(__xludf.DUMMYFUNCTION("""COMPUTED_VALUE"""),0.954954954954955)</f>
        <v>0.954954955</v>
      </c>
    </row>
    <row r="3045">
      <c r="A3045" s="10" t="str">
        <f>IFERROR(__xludf.DUMMYFUNCTION("""COMPUTED_VALUE"""),"ぱおっと")</f>
        <v>ぱおっと</v>
      </c>
      <c r="B3045" s="10">
        <f>IFERROR(__xludf.DUMMYFUNCTION("""COMPUTED_VALUE"""),596.0)</f>
        <v>596</v>
      </c>
      <c r="C3045" s="10">
        <f>IFERROR(__xludf.DUMMYFUNCTION("""COMPUTED_VALUE"""),7030.0)</f>
        <v>7030</v>
      </c>
      <c r="D3045" s="5">
        <f>IFERROR(__xludf.DUMMYFUNCTION("""COMPUTED_VALUE"""),0.42430836182778986)</f>
        <v>0.4243083618</v>
      </c>
      <c r="E3045" s="5">
        <f>IFERROR(__xludf.DUMMYFUNCTION("""COMPUTED_VALUE"""),0.12604911408144234)</f>
        <v>0.1260491141</v>
      </c>
      <c r="F3045" s="5">
        <f>IFERROR(__xludf.DUMMYFUNCTION("""COMPUTED_VALUE"""),0.21557351569785516)</f>
        <v>0.2155735157</v>
      </c>
      <c r="G3045" s="5">
        <f>IFERROR(__xludf.DUMMYFUNCTION("""COMPUTED_VALUE"""),0.14796394156046005)</f>
        <v>0.1479639416</v>
      </c>
      <c r="H3045" s="5">
        <f>IFERROR(__xludf.DUMMYFUNCTION("""COMPUTED_VALUE"""),0.6077865897620764)</f>
        <v>0.6077865898</v>
      </c>
      <c r="I3045" s="11">
        <f>IFERROR(__xludf.DUMMYFUNCTION("""COMPUTED_VALUE"""),5377.289113193944)</f>
        <v>5377.289113</v>
      </c>
      <c r="J3045" s="10">
        <f>IFERROR(__xludf.DUMMYFUNCTION("""COMPUTED_VALUE"""),1.0)</f>
        <v>1</v>
      </c>
      <c r="K3045" s="5">
        <f>IFERROR(__xludf.DUMMYFUNCTION("""COMPUTED_VALUE"""),0.0016778523489932886)</f>
        <v>0.001677852349</v>
      </c>
      <c r="L3045" s="10">
        <f>IFERROR(__xludf.DUMMYFUNCTION("""COMPUTED_VALUE"""),596.0)</f>
        <v>596</v>
      </c>
      <c r="M3045" s="5">
        <f>IFERROR(__xludf.DUMMYFUNCTION("""COMPUTED_VALUE"""),1.0)</f>
        <v>1</v>
      </c>
    </row>
    <row r="3046">
      <c r="A3046" s="10" t="str">
        <f>IFERROR(__xludf.DUMMYFUNCTION("""COMPUTED_VALUE"""),"LiH")</f>
        <v>LiH</v>
      </c>
      <c r="B3046" s="10">
        <f>IFERROR(__xludf.DUMMYFUNCTION("""COMPUTED_VALUE"""),612.0)</f>
        <v>612</v>
      </c>
      <c r="C3046" s="10">
        <f>IFERROR(__xludf.DUMMYFUNCTION("""COMPUTED_VALUE"""),7189.0)</f>
        <v>7189</v>
      </c>
      <c r="D3046" s="5">
        <f>IFERROR(__xludf.DUMMYFUNCTION("""COMPUTED_VALUE"""),0.3582180325376311)</f>
        <v>0.3582180325</v>
      </c>
      <c r="E3046" s="5">
        <f>IFERROR(__xludf.DUMMYFUNCTION("""COMPUTED_VALUE"""),0.12604530941158584)</f>
        <v>0.1260453094</v>
      </c>
      <c r="F3046" s="5">
        <f>IFERROR(__xludf.DUMMYFUNCTION("""COMPUTED_VALUE"""),0.21772844762049567)</f>
        <v>0.2177284476</v>
      </c>
      <c r="G3046" s="5">
        <f>IFERROR(__xludf.DUMMYFUNCTION("""COMPUTED_VALUE"""),0.1597993005929755)</f>
        <v>0.1597993006</v>
      </c>
      <c r="H3046" s="5">
        <f>IFERROR(__xludf.DUMMYFUNCTION("""COMPUTED_VALUE"""),0.6354748603351955)</f>
        <v>0.6354748603</v>
      </c>
      <c r="I3046" s="11">
        <f>IFERROR(__xludf.DUMMYFUNCTION("""COMPUTED_VALUE"""),5422.067039106145)</f>
        <v>5422.067039</v>
      </c>
      <c r="J3046" s="10">
        <f>IFERROR(__xludf.DUMMYFUNCTION("""COMPUTED_VALUE"""),1.0)</f>
        <v>1</v>
      </c>
      <c r="K3046" s="5">
        <f>IFERROR(__xludf.DUMMYFUNCTION("""COMPUTED_VALUE"""),0.0016339869281045752)</f>
        <v>0.001633986928</v>
      </c>
      <c r="L3046" s="10">
        <f>IFERROR(__xludf.DUMMYFUNCTION("""COMPUTED_VALUE"""),612.0)</f>
        <v>612</v>
      </c>
      <c r="M3046" s="5">
        <f>IFERROR(__xludf.DUMMYFUNCTION("""COMPUTED_VALUE"""),1.0)</f>
        <v>1</v>
      </c>
    </row>
    <row r="3047">
      <c r="A3047" s="10" t="str">
        <f>IFERROR(__xludf.DUMMYFUNCTION("""COMPUTED_VALUE"""),"【禄存】")</f>
        <v>【禄存】</v>
      </c>
      <c r="B3047" s="10">
        <f>IFERROR(__xludf.DUMMYFUNCTION("""COMPUTED_VALUE"""),530.0)</f>
        <v>530</v>
      </c>
      <c r="C3047" s="10">
        <f>IFERROR(__xludf.DUMMYFUNCTION("""COMPUTED_VALUE"""),6163.0)</f>
        <v>6163</v>
      </c>
      <c r="D3047" s="5">
        <f>IFERROR(__xludf.DUMMYFUNCTION("""COMPUTED_VALUE"""),0.3378306408663235)</f>
        <v>0.3378306409</v>
      </c>
      <c r="E3047" s="5">
        <f>IFERROR(__xludf.DUMMYFUNCTION("""COMPUTED_VALUE"""),0.12604296112195987)</f>
        <v>0.1260429611</v>
      </c>
      <c r="F3047" s="5">
        <f>IFERROR(__xludf.DUMMYFUNCTION("""COMPUTED_VALUE"""),0.2064619208237174)</f>
        <v>0.2064619208</v>
      </c>
      <c r="G3047" s="5">
        <f>IFERROR(__xludf.DUMMYFUNCTION("""COMPUTED_VALUE"""),0.16705130481093555)</f>
        <v>0.1670513048</v>
      </c>
      <c r="H3047" s="5">
        <f>IFERROR(__xludf.DUMMYFUNCTION("""COMPUTED_VALUE"""),0.587274290627687)</f>
        <v>0.5872742906</v>
      </c>
      <c r="I3047" s="11">
        <f>IFERROR(__xludf.DUMMYFUNCTION("""COMPUTED_VALUE"""),5967.92777300086)</f>
        <v>5967.927773</v>
      </c>
      <c r="J3047" s="10">
        <f>IFERROR(__xludf.DUMMYFUNCTION("""COMPUTED_VALUE"""),1.0)</f>
        <v>1</v>
      </c>
      <c r="K3047" s="5">
        <f>IFERROR(__xludf.DUMMYFUNCTION("""COMPUTED_VALUE"""),0.0018867924528301887)</f>
        <v>0.001886792453</v>
      </c>
      <c r="L3047" s="10">
        <f>IFERROR(__xludf.DUMMYFUNCTION("""COMPUTED_VALUE"""),530.0)</f>
        <v>530</v>
      </c>
      <c r="M3047" s="5">
        <f>IFERROR(__xludf.DUMMYFUNCTION("""COMPUTED_VALUE"""),1.0)</f>
        <v>1</v>
      </c>
    </row>
    <row r="3048">
      <c r="A3048" s="10" t="str">
        <f>IFERROR(__xludf.DUMMYFUNCTION("""COMPUTED_VALUE"""),"衛士")</f>
        <v>衛士</v>
      </c>
      <c r="B3048" s="10">
        <f>IFERROR(__xludf.DUMMYFUNCTION("""COMPUTED_VALUE"""),125.0)</f>
        <v>125</v>
      </c>
      <c r="C3048" s="10">
        <f>IFERROR(__xludf.DUMMYFUNCTION("""COMPUTED_VALUE"""),1458.0)</f>
        <v>1458</v>
      </c>
      <c r="D3048" s="5">
        <f>IFERROR(__xludf.DUMMYFUNCTION("""COMPUTED_VALUE"""),0.3090772693173293)</f>
        <v>0.3090772693</v>
      </c>
      <c r="E3048" s="5">
        <f>IFERROR(__xludf.DUMMYFUNCTION("""COMPUTED_VALUE"""),0.12603150787696923)</f>
        <v>0.1260315079</v>
      </c>
      <c r="F3048" s="5">
        <f>IFERROR(__xludf.DUMMYFUNCTION("""COMPUTED_VALUE"""),0.21980495123780946)</f>
        <v>0.2198049512</v>
      </c>
      <c r="G3048" s="5">
        <f>IFERROR(__xludf.DUMMYFUNCTION("""COMPUTED_VALUE"""),0.19504876219054765)</f>
        <v>0.1950487622</v>
      </c>
      <c r="H3048" s="5">
        <f>IFERROR(__xludf.DUMMYFUNCTION("""COMPUTED_VALUE"""),0.5392491467576792)</f>
        <v>0.5392491468</v>
      </c>
      <c r="I3048" s="11">
        <f>IFERROR(__xludf.DUMMYFUNCTION("""COMPUTED_VALUE"""),5827.303754266211)</f>
        <v>5827.303754</v>
      </c>
      <c r="J3048" s="10">
        <f>IFERROR(__xludf.DUMMYFUNCTION("""COMPUTED_VALUE"""),0.0)</f>
        <v>0</v>
      </c>
      <c r="K3048" s="5">
        <f>IFERROR(__xludf.DUMMYFUNCTION("""COMPUTED_VALUE"""),0.0)</f>
        <v>0</v>
      </c>
      <c r="L3048" s="10">
        <f>IFERROR(__xludf.DUMMYFUNCTION("""COMPUTED_VALUE"""),125.0)</f>
        <v>125</v>
      </c>
      <c r="M3048" s="5">
        <f>IFERROR(__xludf.DUMMYFUNCTION("""COMPUTED_VALUE"""),1.0)</f>
        <v>1</v>
      </c>
    </row>
    <row r="3049">
      <c r="A3049" s="10" t="str">
        <f>IFERROR(__xludf.DUMMYFUNCTION("""COMPUTED_VALUE"""),"ジャスミン")</f>
        <v>ジャスミン</v>
      </c>
      <c r="B3049" s="10">
        <f>IFERROR(__xludf.DUMMYFUNCTION("""COMPUTED_VALUE"""),555.0)</f>
        <v>555</v>
      </c>
      <c r="C3049" s="10">
        <f>IFERROR(__xludf.DUMMYFUNCTION("""COMPUTED_VALUE"""),6435.0)</f>
        <v>6435</v>
      </c>
      <c r="D3049" s="5">
        <f>IFERROR(__xludf.DUMMYFUNCTION("""COMPUTED_VALUE"""),0.38452380952380955)</f>
        <v>0.3845238095</v>
      </c>
      <c r="E3049" s="5">
        <f>IFERROR(__xludf.DUMMYFUNCTION("""COMPUTED_VALUE"""),0.12602040816326532)</f>
        <v>0.1260204082</v>
      </c>
      <c r="F3049" s="5">
        <f>IFERROR(__xludf.DUMMYFUNCTION("""COMPUTED_VALUE"""),0.220578231292517)</f>
        <v>0.2205782313</v>
      </c>
      <c r="G3049" s="5">
        <f>IFERROR(__xludf.DUMMYFUNCTION("""COMPUTED_VALUE"""),0.16768707482993198)</f>
        <v>0.1676870748</v>
      </c>
      <c r="H3049" s="5">
        <f>IFERROR(__xludf.DUMMYFUNCTION("""COMPUTED_VALUE"""),0.6121819583654587)</f>
        <v>0.6121819584</v>
      </c>
      <c r="I3049" s="11">
        <f>IFERROR(__xludf.DUMMYFUNCTION("""COMPUTED_VALUE"""),5584.579799537394)</f>
        <v>5584.5798</v>
      </c>
      <c r="J3049" s="10">
        <f>IFERROR(__xludf.DUMMYFUNCTION("""COMPUTED_VALUE"""),1.0)</f>
        <v>1</v>
      </c>
      <c r="K3049" s="5">
        <f>IFERROR(__xludf.DUMMYFUNCTION("""COMPUTED_VALUE"""),0.0018018018018018018)</f>
        <v>0.001801801802</v>
      </c>
      <c r="L3049" s="10">
        <f>IFERROR(__xludf.DUMMYFUNCTION("""COMPUTED_VALUE"""),555.0)</f>
        <v>555</v>
      </c>
      <c r="M3049" s="5">
        <f>IFERROR(__xludf.DUMMYFUNCTION("""COMPUTED_VALUE"""),1.0)</f>
        <v>1</v>
      </c>
    </row>
    <row r="3050">
      <c r="A3050" s="10" t="str">
        <f>IFERROR(__xludf.DUMMYFUNCTION("""COMPUTED_VALUE"""),"ありちゃ")</f>
        <v>ありちゃ</v>
      </c>
      <c r="B3050" s="10">
        <f>IFERROR(__xludf.DUMMYFUNCTION("""COMPUTED_VALUE"""),155.0)</f>
        <v>155</v>
      </c>
      <c r="C3050" s="10">
        <f>IFERROR(__xludf.DUMMYFUNCTION("""COMPUTED_VALUE"""),1758.0)</f>
        <v>1758</v>
      </c>
      <c r="D3050" s="5">
        <f>IFERROR(__xludf.DUMMYFUNCTION("""COMPUTED_VALUE"""),0.35620711166562696)</f>
        <v>0.3562071117</v>
      </c>
      <c r="E3050" s="5">
        <f>IFERROR(__xludf.DUMMYFUNCTION("""COMPUTED_VALUE"""),0.1260137242669994)</f>
        <v>0.1260137243</v>
      </c>
      <c r="F3050" s="5">
        <f>IFERROR(__xludf.DUMMYFUNCTION("""COMPUTED_VALUE"""),0.21210230817217718)</f>
        <v>0.2121023082</v>
      </c>
      <c r="G3050" s="5">
        <f>IFERROR(__xludf.DUMMYFUNCTION("""COMPUTED_VALUE"""),0.13911416094822207)</f>
        <v>0.1391141609</v>
      </c>
      <c r="H3050" s="5">
        <f>IFERROR(__xludf.DUMMYFUNCTION("""COMPUTED_VALUE"""),0.6)</f>
        <v>0.6</v>
      </c>
      <c r="I3050" s="11">
        <f>IFERROR(__xludf.DUMMYFUNCTION("""COMPUTED_VALUE"""),5551.176470588235)</f>
        <v>5551.176471</v>
      </c>
      <c r="J3050" s="10">
        <f>IFERROR(__xludf.DUMMYFUNCTION("""COMPUTED_VALUE"""),0.0)</f>
        <v>0</v>
      </c>
      <c r="K3050" s="5">
        <f>IFERROR(__xludf.DUMMYFUNCTION("""COMPUTED_VALUE"""),0.0)</f>
        <v>0</v>
      </c>
      <c r="L3050" s="10">
        <f>IFERROR(__xludf.DUMMYFUNCTION("""COMPUTED_VALUE"""),155.0)</f>
        <v>155</v>
      </c>
      <c r="M3050" s="5">
        <f>IFERROR(__xludf.DUMMYFUNCTION("""COMPUTED_VALUE"""),1.0)</f>
        <v>1</v>
      </c>
    </row>
    <row r="3051">
      <c r="A3051" s="10" t="str">
        <f>IFERROR(__xludf.DUMMYFUNCTION("""COMPUTED_VALUE"""),"はやまり")</f>
        <v>はやまり</v>
      </c>
      <c r="B3051" s="10">
        <f>IFERROR(__xludf.DUMMYFUNCTION("""COMPUTED_VALUE"""),445.0)</f>
        <v>445</v>
      </c>
      <c r="C3051" s="10">
        <f>IFERROR(__xludf.DUMMYFUNCTION("""COMPUTED_VALUE"""),5302.0)</f>
        <v>5302</v>
      </c>
      <c r="D3051" s="5">
        <f>IFERROR(__xludf.DUMMYFUNCTION("""COMPUTED_VALUE"""),0.3401276508132592)</f>
        <v>0.3401276508</v>
      </c>
      <c r="E3051" s="5">
        <f>IFERROR(__xludf.DUMMYFUNCTION("""COMPUTED_VALUE"""),0.1260037059913527)</f>
        <v>0.126003706</v>
      </c>
      <c r="F3051" s="5">
        <f>IFERROR(__xludf.DUMMYFUNCTION("""COMPUTED_VALUE"""),0.20218241712991558)</f>
        <v>0.2021824171</v>
      </c>
      <c r="G3051" s="5">
        <f>IFERROR(__xludf.DUMMYFUNCTION("""COMPUTED_VALUE"""),0.18365246036648136)</f>
        <v>0.1836524604</v>
      </c>
      <c r="H3051" s="5">
        <f>IFERROR(__xludf.DUMMYFUNCTION("""COMPUTED_VALUE"""),0.609979633401222)</f>
        <v>0.6099796334</v>
      </c>
      <c r="I3051" s="11">
        <f>IFERROR(__xludf.DUMMYFUNCTION("""COMPUTED_VALUE"""),5594.093686354378)</f>
        <v>5594.093686</v>
      </c>
      <c r="J3051" s="10">
        <f>IFERROR(__xludf.DUMMYFUNCTION("""COMPUTED_VALUE"""),1.0)</f>
        <v>1</v>
      </c>
      <c r="K3051" s="5">
        <f>IFERROR(__xludf.DUMMYFUNCTION("""COMPUTED_VALUE"""),0.0022471910112359553)</f>
        <v>0.002247191011</v>
      </c>
      <c r="L3051" s="10">
        <f>IFERROR(__xludf.DUMMYFUNCTION("""COMPUTED_VALUE"""),445.0)</f>
        <v>445</v>
      </c>
      <c r="M3051" s="5">
        <f>IFERROR(__xludf.DUMMYFUNCTION("""COMPUTED_VALUE"""),1.0)</f>
        <v>1</v>
      </c>
    </row>
    <row r="3052">
      <c r="A3052" s="10" t="str">
        <f>IFERROR(__xludf.DUMMYFUNCTION("""COMPUTED_VALUE"""),"閻魔あい")</f>
        <v>閻魔あい</v>
      </c>
      <c r="B3052" s="10">
        <f>IFERROR(__xludf.DUMMYFUNCTION("""COMPUTED_VALUE"""),472.0)</f>
        <v>472</v>
      </c>
      <c r="C3052" s="10">
        <f>IFERROR(__xludf.DUMMYFUNCTION("""COMPUTED_VALUE"""),5472.0)</f>
        <v>5472</v>
      </c>
      <c r="D3052" s="5">
        <f>IFERROR(__xludf.DUMMYFUNCTION("""COMPUTED_VALUE"""),0.2892)</f>
        <v>0.2892</v>
      </c>
      <c r="E3052" s="5">
        <f>IFERROR(__xludf.DUMMYFUNCTION("""COMPUTED_VALUE"""),0.126)</f>
        <v>0.126</v>
      </c>
      <c r="F3052" s="5">
        <f>IFERROR(__xludf.DUMMYFUNCTION("""COMPUTED_VALUE"""),0.1946)</f>
        <v>0.1946</v>
      </c>
      <c r="G3052" s="5">
        <f>IFERROR(__xludf.DUMMYFUNCTION("""COMPUTED_VALUE"""),0.1628)</f>
        <v>0.1628</v>
      </c>
      <c r="H3052" s="5">
        <f>IFERROR(__xludf.DUMMYFUNCTION("""COMPUTED_VALUE"""),0.6073997944501541)</f>
        <v>0.6073997945</v>
      </c>
      <c r="I3052" s="11">
        <f>IFERROR(__xludf.DUMMYFUNCTION("""COMPUTED_VALUE"""),5708.8386433710175)</f>
        <v>5708.838643</v>
      </c>
      <c r="J3052" s="10">
        <f>IFERROR(__xludf.DUMMYFUNCTION("""COMPUTED_VALUE"""),0.0)</f>
        <v>0</v>
      </c>
      <c r="K3052" s="5">
        <f>IFERROR(__xludf.DUMMYFUNCTION("""COMPUTED_VALUE"""),0.0)</f>
        <v>0</v>
      </c>
      <c r="L3052" s="10">
        <f>IFERROR(__xludf.DUMMYFUNCTION("""COMPUTED_VALUE"""),0.0)</f>
        <v>0</v>
      </c>
      <c r="M3052" s="5">
        <f>IFERROR(__xludf.DUMMYFUNCTION("""COMPUTED_VALUE"""),0.0)</f>
        <v>0</v>
      </c>
    </row>
    <row r="3053">
      <c r="A3053" s="10" t="str">
        <f>IFERROR(__xludf.DUMMYFUNCTION("""COMPUTED_VALUE"""),"ルタスケ")</f>
        <v>ルタスケ</v>
      </c>
      <c r="B3053" s="10">
        <f>IFERROR(__xludf.DUMMYFUNCTION("""COMPUTED_VALUE"""),3569.0)</f>
        <v>3569</v>
      </c>
      <c r="C3053" s="10">
        <f>IFERROR(__xludf.DUMMYFUNCTION("""COMPUTED_VALUE"""),41936.0)</f>
        <v>41936</v>
      </c>
      <c r="D3053" s="5">
        <f>IFERROR(__xludf.DUMMYFUNCTION("""COMPUTED_VALUE"""),0.374749133369823)</f>
        <v>0.3747491334</v>
      </c>
      <c r="E3053" s="5">
        <f>IFERROR(__xludf.DUMMYFUNCTION("""COMPUTED_VALUE"""),0.12599369249615555)</f>
        <v>0.1259936925</v>
      </c>
      <c r="F3053" s="5">
        <f>IFERROR(__xludf.DUMMYFUNCTION("""COMPUTED_VALUE"""),0.20645346261109807)</f>
        <v>0.2064534626</v>
      </c>
      <c r="G3053" s="5">
        <f>IFERROR(__xludf.DUMMYFUNCTION("""COMPUTED_VALUE"""),0.16211848724163996)</f>
        <v>0.1621184872</v>
      </c>
      <c r="H3053" s="5">
        <f>IFERROR(__xludf.DUMMYFUNCTION("""COMPUTED_VALUE"""),0.6061103396035854)</f>
        <v>0.6061103396</v>
      </c>
      <c r="I3053" s="11">
        <f>IFERROR(__xludf.DUMMYFUNCTION("""COMPUTED_VALUE"""),5670.950637545764)</f>
        <v>5670.950638</v>
      </c>
      <c r="J3053" s="10">
        <f>IFERROR(__xludf.DUMMYFUNCTION("""COMPUTED_VALUE"""),8.0)</f>
        <v>8</v>
      </c>
      <c r="K3053" s="5">
        <f>IFERROR(__xludf.DUMMYFUNCTION("""COMPUTED_VALUE"""),0.002241524236480807)</f>
        <v>0.002241524236</v>
      </c>
      <c r="L3053" s="10">
        <f>IFERROR(__xludf.DUMMYFUNCTION("""COMPUTED_VALUE"""),3569.0)</f>
        <v>3569</v>
      </c>
      <c r="M3053" s="5">
        <f>IFERROR(__xludf.DUMMYFUNCTION("""COMPUTED_VALUE"""),1.0)</f>
        <v>1</v>
      </c>
    </row>
    <row r="3054">
      <c r="A3054" s="10" t="str">
        <f>IFERROR(__xludf.DUMMYFUNCTION("""COMPUTED_VALUE"""),"bokusapp")</f>
        <v>bokusapp</v>
      </c>
      <c r="B3054" s="10">
        <f>IFERROR(__xludf.DUMMYFUNCTION("""COMPUTED_VALUE"""),240.0)</f>
        <v>240</v>
      </c>
      <c r="C3054" s="10">
        <f>IFERROR(__xludf.DUMMYFUNCTION("""COMPUTED_VALUE"""),2764.0)</f>
        <v>2764</v>
      </c>
      <c r="D3054" s="5">
        <f>IFERROR(__xludf.DUMMYFUNCTION("""COMPUTED_VALUE"""),0.34944532488114105)</f>
        <v>0.3494453249</v>
      </c>
      <c r="E3054" s="5">
        <f>IFERROR(__xludf.DUMMYFUNCTION("""COMPUTED_VALUE"""),0.1259904912836767)</f>
        <v>0.1259904913</v>
      </c>
      <c r="F3054" s="5">
        <f>IFERROR(__xludf.DUMMYFUNCTION("""COMPUTED_VALUE"""),0.2198890649762282)</f>
        <v>0.219889065</v>
      </c>
      <c r="G3054" s="5">
        <f>IFERROR(__xludf.DUMMYFUNCTION("""COMPUTED_VALUE"""),0.18343898573692552)</f>
        <v>0.1834389857</v>
      </c>
      <c r="H3054" s="5">
        <f>IFERROR(__xludf.DUMMYFUNCTION("""COMPUTED_VALUE"""),0.6072072072072072)</f>
        <v>0.6072072072</v>
      </c>
      <c r="I3054" s="11">
        <f>IFERROR(__xludf.DUMMYFUNCTION("""COMPUTED_VALUE"""),5665.405405405405)</f>
        <v>5665.405405</v>
      </c>
      <c r="J3054" s="10">
        <f>IFERROR(__xludf.DUMMYFUNCTION("""COMPUTED_VALUE"""),1.0)</f>
        <v>1</v>
      </c>
      <c r="K3054" s="5">
        <f>IFERROR(__xludf.DUMMYFUNCTION("""COMPUTED_VALUE"""),0.004166666666666667)</f>
        <v>0.004166666667</v>
      </c>
      <c r="L3054" s="10">
        <f>IFERROR(__xludf.DUMMYFUNCTION("""COMPUTED_VALUE"""),240.0)</f>
        <v>240</v>
      </c>
      <c r="M3054" s="5">
        <f>IFERROR(__xludf.DUMMYFUNCTION("""COMPUTED_VALUE"""),1.0)</f>
        <v>1</v>
      </c>
    </row>
    <row r="3055">
      <c r="A3055" s="10" t="str">
        <f>IFERROR(__xludf.DUMMYFUNCTION("""COMPUTED_VALUE"""),"空気を変えよう♪")</f>
        <v>空気を変えよう♪</v>
      </c>
      <c r="B3055" s="10">
        <f>IFERROR(__xludf.DUMMYFUNCTION("""COMPUTED_VALUE"""),220.0)</f>
        <v>220</v>
      </c>
      <c r="C3055" s="10">
        <f>IFERROR(__xludf.DUMMYFUNCTION("""COMPUTED_VALUE"""),2633.0)</f>
        <v>2633</v>
      </c>
      <c r="D3055" s="5">
        <f>IFERROR(__xludf.DUMMYFUNCTION("""COMPUTED_VALUE"""),0.3240779113137174)</f>
        <v>0.3240779113</v>
      </c>
      <c r="E3055" s="5">
        <f>IFERROR(__xludf.DUMMYFUNCTION("""COMPUTED_VALUE"""),0.12598425196850394)</f>
        <v>0.125984252</v>
      </c>
      <c r="F3055" s="5">
        <f>IFERROR(__xludf.DUMMYFUNCTION("""COMPUTED_VALUE"""),0.2204724409448819)</f>
        <v>0.2204724409</v>
      </c>
      <c r="G3055" s="5">
        <f>IFERROR(__xludf.DUMMYFUNCTION("""COMPUTED_VALUE"""),0.19436386241193535)</f>
        <v>0.1943638624</v>
      </c>
      <c r="H3055" s="5">
        <f>IFERROR(__xludf.DUMMYFUNCTION("""COMPUTED_VALUE"""),0.6165413533834586)</f>
        <v>0.6165413534</v>
      </c>
      <c r="I3055" s="11">
        <f>IFERROR(__xludf.DUMMYFUNCTION("""COMPUTED_VALUE"""),5694.360902255639)</f>
        <v>5694.360902</v>
      </c>
      <c r="J3055" s="10">
        <f>IFERROR(__xludf.DUMMYFUNCTION("""COMPUTED_VALUE"""),1.0)</f>
        <v>1</v>
      </c>
      <c r="K3055" s="5">
        <f>IFERROR(__xludf.DUMMYFUNCTION("""COMPUTED_VALUE"""),0.004545454545454545)</f>
        <v>0.004545454545</v>
      </c>
      <c r="L3055" s="10">
        <f>IFERROR(__xludf.DUMMYFUNCTION("""COMPUTED_VALUE"""),127.0)</f>
        <v>127</v>
      </c>
      <c r="M3055" s="5">
        <f>IFERROR(__xludf.DUMMYFUNCTION("""COMPUTED_VALUE"""),0.5772727272727273)</f>
        <v>0.5772727273</v>
      </c>
    </row>
    <row r="3056">
      <c r="A3056" s="10" t="str">
        <f>IFERROR(__xludf.DUMMYFUNCTION("""COMPUTED_VALUE"""),"sat")</f>
        <v>sat</v>
      </c>
      <c r="B3056" s="10">
        <f>IFERROR(__xludf.DUMMYFUNCTION("""COMPUTED_VALUE"""),777.0)</f>
        <v>777</v>
      </c>
      <c r="C3056" s="10">
        <f>IFERROR(__xludf.DUMMYFUNCTION("""COMPUTED_VALUE"""),9096.0)</f>
        <v>9096</v>
      </c>
      <c r="D3056" s="5">
        <f>IFERROR(__xludf.DUMMYFUNCTION("""COMPUTED_VALUE"""),0.2907801418439716)</f>
        <v>0.2907801418</v>
      </c>
      <c r="E3056" s="5">
        <f>IFERROR(__xludf.DUMMYFUNCTION("""COMPUTED_VALUE"""),0.12597667988940978)</f>
        <v>0.1259766799</v>
      </c>
      <c r="F3056" s="5">
        <f>IFERROR(__xludf.DUMMYFUNCTION("""COMPUTED_VALUE"""),0.19713907921625196)</f>
        <v>0.1971390792</v>
      </c>
      <c r="G3056" s="5">
        <f>IFERROR(__xludf.DUMMYFUNCTION("""COMPUTED_VALUE"""),0.17105421324678446)</f>
        <v>0.1710542132</v>
      </c>
      <c r="H3056" s="5">
        <f>IFERROR(__xludf.DUMMYFUNCTION("""COMPUTED_VALUE"""),0.6048780487804878)</f>
        <v>0.6048780488</v>
      </c>
      <c r="I3056" s="11">
        <f>IFERROR(__xludf.DUMMYFUNCTION("""COMPUTED_VALUE"""),5876.707317073171)</f>
        <v>5876.707317</v>
      </c>
      <c r="J3056" s="10">
        <f>IFERROR(__xludf.DUMMYFUNCTION("""COMPUTED_VALUE"""),3.0)</f>
        <v>3</v>
      </c>
      <c r="K3056" s="5">
        <f>IFERROR(__xludf.DUMMYFUNCTION("""COMPUTED_VALUE"""),0.003861003861003861)</f>
        <v>0.003861003861</v>
      </c>
      <c r="L3056" s="10">
        <f>IFERROR(__xludf.DUMMYFUNCTION("""COMPUTED_VALUE"""),772.0)</f>
        <v>772</v>
      </c>
      <c r="M3056" s="5">
        <f>IFERROR(__xludf.DUMMYFUNCTION("""COMPUTED_VALUE"""),0.9935649935649936)</f>
        <v>0.9935649936</v>
      </c>
    </row>
    <row r="3057">
      <c r="A3057" s="10" t="str">
        <f>IFERROR(__xludf.DUMMYFUNCTION("""COMPUTED_VALUE"""),"NIR_OK")</f>
        <v>NIR_OK</v>
      </c>
      <c r="B3057" s="10">
        <f>IFERROR(__xludf.DUMMYFUNCTION("""COMPUTED_VALUE"""),140.0)</f>
        <v>140</v>
      </c>
      <c r="C3057" s="10">
        <f>IFERROR(__xludf.DUMMYFUNCTION("""COMPUTED_VALUE"""),1688.0)</f>
        <v>1688</v>
      </c>
      <c r="D3057" s="5">
        <f>IFERROR(__xludf.DUMMYFUNCTION("""COMPUTED_VALUE"""),0.3507751937984496)</f>
        <v>0.3507751938</v>
      </c>
      <c r="E3057" s="5">
        <f>IFERROR(__xludf.DUMMYFUNCTION("""COMPUTED_VALUE"""),0.12596899224806202)</f>
        <v>0.1259689922</v>
      </c>
      <c r="F3057" s="5">
        <f>IFERROR(__xludf.DUMMYFUNCTION("""COMPUTED_VALUE"""),0.2009043927648579)</f>
        <v>0.2009043928</v>
      </c>
      <c r="G3057" s="5">
        <f>IFERROR(__xludf.DUMMYFUNCTION("""COMPUTED_VALUE"""),0.1524547803617571)</f>
        <v>0.1524547804</v>
      </c>
      <c r="H3057" s="5">
        <f>IFERROR(__xludf.DUMMYFUNCTION("""COMPUTED_VALUE"""),0.6237942122186495)</f>
        <v>0.6237942122</v>
      </c>
      <c r="I3057" s="11">
        <f>IFERROR(__xludf.DUMMYFUNCTION("""COMPUTED_VALUE"""),5644.051446945337)</f>
        <v>5644.051447</v>
      </c>
      <c r="J3057" s="10">
        <f>IFERROR(__xludf.DUMMYFUNCTION("""COMPUTED_VALUE"""),0.0)</f>
        <v>0</v>
      </c>
      <c r="K3057" s="5">
        <f>IFERROR(__xludf.DUMMYFUNCTION("""COMPUTED_VALUE"""),0.0)</f>
        <v>0</v>
      </c>
      <c r="L3057" s="10">
        <f>IFERROR(__xludf.DUMMYFUNCTION("""COMPUTED_VALUE"""),0.0)</f>
        <v>0</v>
      </c>
      <c r="M3057" s="5">
        <f>IFERROR(__xludf.DUMMYFUNCTION("""COMPUTED_VALUE"""),0.0)</f>
        <v>0</v>
      </c>
    </row>
    <row r="3058">
      <c r="A3058" s="10" t="str">
        <f>IFERROR(__xludf.DUMMYFUNCTION("""COMPUTED_VALUE"""),".DIVA")</f>
        <v>.DIVA</v>
      </c>
      <c r="B3058" s="10">
        <f>IFERROR(__xludf.DUMMYFUNCTION("""COMPUTED_VALUE"""),731.0)</f>
        <v>731</v>
      </c>
      <c r="C3058" s="10">
        <f>IFERROR(__xludf.DUMMYFUNCTION("""COMPUTED_VALUE"""),8639.0)</f>
        <v>8639</v>
      </c>
      <c r="D3058" s="5">
        <f>IFERROR(__xludf.DUMMYFUNCTION("""COMPUTED_VALUE"""),0.4275417298937785)</f>
        <v>0.4275417299</v>
      </c>
      <c r="E3058" s="5">
        <f>IFERROR(__xludf.DUMMYFUNCTION("""COMPUTED_VALUE"""),0.125948406676783)</f>
        <v>0.1259484067</v>
      </c>
      <c r="F3058" s="5">
        <f>IFERROR(__xludf.DUMMYFUNCTION("""COMPUTED_VALUE"""),0.21231664137582196)</f>
        <v>0.2123166414</v>
      </c>
      <c r="G3058" s="5">
        <f>IFERROR(__xludf.DUMMYFUNCTION("""COMPUTED_VALUE"""),0.16198786039453716)</f>
        <v>0.1619878604</v>
      </c>
      <c r="H3058" s="5">
        <f>IFERROR(__xludf.DUMMYFUNCTION("""COMPUTED_VALUE"""),0.6057176891006552)</f>
        <v>0.6057176891</v>
      </c>
      <c r="I3058" s="11">
        <f>IFERROR(__xludf.DUMMYFUNCTION("""COMPUTED_VALUE"""),5464.32400238237)</f>
        <v>5464.324002</v>
      </c>
      <c r="J3058" s="10">
        <f>IFERROR(__xludf.DUMMYFUNCTION("""COMPUTED_VALUE"""),1.0)</f>
        <v>1</v>
      </c>
      <c r="K3058" s="5">
        <f>IFERROR(__xludf.DUMMYFUNCTION("""COMPUTED_VALUE"""),0.0013679890560875513)</f>
        <v>0.001367989056</v>
      </c>
      <c r="L3058" s="10">
        <f>IFERROR(__xludf.DUMMYFUNCTION("""COMPUTED_VALUE"""),731.0)</f>
        <v>731</v>
      </c>
      <c r="M3058" s="5">
        <f>IFERROR(__xludf.DUMMYFUNCTION("""COMPUTED_VALUE"""),1.0)</f>
        <v>1</v>
      </c>
    </row>
    <row r="3059">
      <c r="A3059" s="10" t="str">
        <f>IFERROR(__xludf.DUMMYFUNCTION("""COMPUTED_VALUE"""),"higashi2")</f>
        <v>higashi2</v>
      </c>
      <c r="B3059" s="10">
        <f>IFERROR(__xludf.DUMMYFUNCTION("""COMPUTED_VALUE"""),160.0)</f>
        <v>160</v>
      </c>
      <c r="C3059" s="10">
        <f>IFERROR(__xludf.DUMMYFUNCTION("""COMPUTED_VALUE"""),1875.0)</f>
        <v>1875</v>
      </c>
      <c r="D3059" s="5">
        <f>IFERROR(__xludf.DUMMYFUNCTION("""COMPUTED_VALUE"""),0.2600583090379009)</f>
        <v>0.260058309</v>
      </c>
      <c r="E3059" s="5">
        <f>IFERROR(__xludf.DUMMYFUNCTION("""COMPUTED_VALUE"""),0.1259475218658892)</f>
        <v>0.1259475219</v>
      </c>
      <c r="F3059" s="5">
        <f>IFERROR(__xludf.DUMMYFUNCTION("""COMPUTED_VALUE"""),0.19183673469387755)</f>
        <v>0.1918367347</v>
      </c>
      <c r="G3059" s="5">
        <f>IFERROR(__xludf.DUMMYFUNCTION("""COMPUTED_VALUE"""),0.16326530612244897)</f>
        <v>0.1632653061</v>
      </c>
      <c r="H3059" s="5">
        <f>IFERROR(__xludf.DUMMYFUNCTION("""COMPUTED_VALUE"""),0.6352583586626139)</f>
        <v>0.6352583587</v>
      </c>
      <c r="I3059" s="11">
        <f>IFERROR(__xludf.DUMMYFUNCTION("""COMPUTED_VALUE"""),5578.419452887538)</f>
        <v>5578.419453</v>
      </c>
      <c r="J3059" s="10">
        <f>IFERROR(__xludf.DUMMYFUNCTION("""COMPUTED_VALUE"""),0.0)</f>
        <v>0</v>
      </c>
      <c r="K3059" s="5">
        <f>IFERROR(__xludf.DUMMYFUNCTION("""COMPUTED_VALUE"""),0.0)</f>
        <v>0</v>
      </c>
      <c r="L3059" s="10">
        <f>IFERROR(__xludf.DUMMYFUNCTION("""COMPUTED_VALUE"""),160.0)</f>
        <v>160</v>
      </c>
      <c r="M3059" s="5">
        <f>IFERROR(__xludf.DUMMYFUNCTION("""COMPUTED_VALUE"""),1.0)</f>
        <v>1</v>
      </c>
    </row>
    <row r="3060">
      <c r="A3060" s="10" t="str">
        <f>IFERROR(__xludf.DUMMYFUNCTION("""COMPUTED_VALUE"""),"角田詩寧")</f>
        <v>角田詩寧</v>
      </c>
      <c r="B3060" s="10">
        <f>IFERROR(__xludf.DUMMYFUNCTION("""COMPUTED_VALUE"""),122.0)</f>
        <v>122</v>
      </c>
      <c r="C3060" s="10">
        <f>IFERROR(__xludf.DUMMYFUNCTION("""COMPUTED_VALUE"""),1448.0)</f>
        <v>1448</v>
      </c>
      <c r="D3060" s="5">
        <f>IFERROR(__xludf.DUMMYFUNCTION("""COMPUTED_VALUE"""),0.39819004524886875)</f>
        <v>0.3981900452</v>
      </c>
      <c r="E3060" s="5">
        <f>IFERROR(__xludf.DUMMYFUNCTION("""COMPUTED_VALUE"""),0.12594268476621417)</f>
        <v>0.1259426848</v>
      </c>
      <c r="F3060" s="5">
        <f>IFERROR(__xludf.DUMMYFUNCTION("""COMPUTED_VALUE"""),0.2149321266968326)</f>
        <v>0.2149321267</v>
      </c>
      <c r="G3060" s="5">
        <f>IFERROR(__xludf.DUMMYFUNCTION("""COMPUTED_VALUE"""),0.18929110105580693)</f>
        <v>0.1892911011</v>
      </c>
      <c r="H3060" s="5">
        <f>IFERROR(__xludf.DUMMYFUNCTION("""COMPUTED_VALUE"""),0.5614035087719298)</f>
        <v>0.5614035088</v>
      </c>
      <c r="I3060" s="11">
        <f>IFERROR(__xludf.DUMMYFUNCTION("""COMPUTED_VALUE"""),5822.80701754386)</f>
        <v>5822.807018</v>
      </c>
      <c r="J3060" s="10">
        <f>IFERROR(__xludf.DUMMYFUNCTION("""COMPUTED_VALUE"""),0.0)</f>
        <v>0</v>
      </c>
      <c r="K3060" s="5">
        <f>IFERROR(__xludf.DUMMYFUNCTION("""COMPUTED_VALUE"""),0.0)</f>
        <v>0</v>
      </c>
      <c r="L3060" s="10">
        <f>IFERROR(__xludf.DUMMYFUNCTION("""COMPUTED_VALUE"""),0.0)</f>
        <v>0</v>
      </c>
      <c r="M3060" s="5">
        <f>IFERROR(__xludf.DUMMYFUNCTION("""COMPUTED_VALUE"""),0.0)</f>
        <v>0</v>
      </c>
    </row>
    <row r="3061">
      <c r="A3061" s="10" t="str">
        <f>IFERROR(__xludf.DUMMYFUNCTION("""COMPUTED_VALUE"""),"みーごま")</f>
        <v>みーごま</v>
      </c>
      <c r="B3061" s="10">
        <f>IFERROR(__xludf.DUMMYFUNCTION("""COMPUTED_VALUE"""),3182.0)</f>
        <v>3182</v>
      </c>
      <c r="C3061" s="10">
        <f>IFERROR(__xludf.DUMMYFUNCTION("""COMPUTED_VALUE"""),37255.0)</f>
        <v>37255</v>
      </c>
      <c r="D3061" s="5">
        <f>IFERROR(__xludf.DUMMYFUNCTION("""COMPUTED_VALUE"""),0.31485340298770287)</f>
        <v>0.314853403</v>
      </c>
      <c r="E3061" s="5">
        <f>IFERROR(__xludf.DUMMYFUNCTION("""COMPUTED_VALUE"""),0.125935491444839)</f>
        <v>0.1259354914</v>
      </c>
      <c r="F3061" s="5">
        <f>IFERROR(__xludf.DUMMYFUNCTION("""COMPUTED_VALUE"""),0.21362956006221936)</f>
        <v>0.2136295601</v>
      </c>
      <c r="G3061" s="5">
        <f>IFERROR(__xludf.DUMMYFUNCTION("""COMPUTED_VALUE"""),0.19622575059431221)</f>
        <v>0.1962257506</v>
      </c>
      <c r="H3061" s="5">
        <f>IFERROR(__xludf.DUMMYFUNCTION("""COMPUTED_VALUE"""),0.5930759719741723)</f>
        <v>0.593075972</v>
      </c>
      <c r="I3061" s="11">
        <f>IFERROR(__xludf.DUMMYFUNCTION("""COMPUTED_VALUE"""),5805.4540458854235)</f>
        <v>5805.454046</v>
      </c>
      <c r="J3061" s="10">
        <f>IFERROR(__xludf.DUMMYFUNCTION("""COMPUTED_VALUE"""),3.0)</f>
        <v>3</v>
      </c>
      <c r="K3061" s="5">
        <f>IFERROR(__xludf.DUMMYFUNCTION("""COMPUTED_VALUE"""),9.428032683846638E-4)</f>
        <v>0.0009428032684</v>
      </c>
      <c r="L3061" s="10">
        <f>IFERROR(__xludf.DUMMYFUNCTION("""COMPUTED_VALUE"""),2624.0)</f>
        <v>2624</v>
      </c>
      <c r="M3061" s="5">
        <f>IFERROR(__xludf.DUMMYFUNCTION("""COMPUTED_VALUE"""),0.8246385920804525)</f>
        <v>0.8246385921</v>
      </c>
    </row>
    <row r="3062">
      <c r="A3062" s="10" t="str">
        <f>IFERROR(__xludf.DUMMYFUNCTION("""COMPUTED_VALUE"""),"かばやきらくだ")</f>
        <v>かばやきらくだ</v>
      </c>
      <c r="B3062" s="10">
        <f>IFERROR(__xludf.DUMMYFUNCTION("""COMPUTED_VALUE"""),691.0)</f>
        <v>691</v>
      </c>
      <c r="C3062" s="10">
        <f>IFERROR(__xludf.DUMMYFUNCTION("""COMPUTED_VALUE"""),8068.0)</f>
        <v>8068</v>
      </c>
      <c r="D3062" s="5">
        <f>IFERROR(__xludf.DUMMYFUNCTION("""COMPUTED_VALUE"""),0.3216754778365189)</f>
        <v>0.3216754778</v>
      </c>
      <c r="E3062" s="5">
        <f>IFERROR(__xludf.DUMMYFUNCTION("""COMPUTED_VALUE"""),0.12593195065744883)</f>
        <v>0.1259319507</v>
      </c>
      <c r="F3062" s="5">
        <f>IFERROR(__xludf.DUMMYFUNCTION("""COMPUTED_VALUE"""),0.21187474583163887)</f>
        <v>0.2118747458</v>
      </c>
      <c r="G3062" s="5">
        <f>IFERROR(__xludf.DUMMYFUNCTION("""COMPUTED_VALUE"""),0.1947946319642131)</f>
        <v>0.194794632</v>
      </c>
      <c r="H3062" s="5">
        <f>IFERROR(__xludf.DUMMYFUNCTION("""COMPUTED_VALUE"""),0.564299424184261)</f>
        <v>0.5642994242</v>
      </c>
      <c r="I3062" s="11">
        <f>IFERROR(__xludf.DUMMYFUNCTION("""COMPUTED_VALUE"""),5755.0863723608445)</f>
        <v>5755.086372</v>
      </c>
      <c r="J3062" s="10">
        <f>IFERROR(__xludf.DUMMYFUNCTION("""COMPUTED_VALUE"""),2.0)</f>
        <v>2</v>
      </c>
      <c r="K3062" s="5">
        <f>IFERROR(__xludf.DUMMYFUNCTION("""COMPUTED_VALUE"""),0.002894356005788712)</f>
        <v>0.002894356006</v>
      </c>
      <c r="L3062" s="10">
        <f>IFERROR(__xludf.DUMMYFUNCTION("""COMPUTED_VALUE"""),691.0)</f>
        <v>691</v>
      </c>
      <c r="M3062" s="5">
        <f>IFERROR(__xludf.DUMMYFUNCTION("""COMPUTED_VALUE"""),1.0)</f>
        <v>1</v>
      </c>
    </row>
    <row r="3063">
      <c r="A3063" s="10" t="str">
        <f>IFERROR(__xludf.DUMMYFUNCTION("""COMPUTED_VALUE"""),"ssk")</f>
        <v>ssk</v>
      </c>
      <c r="B3063" s="10">
        <f>IFERROR(__xludf.DUMMYFUNCTION("""COMPUTED_VALUE"""),522.0)</f>
        <v>522</v>
      </c>
      <c r="C3063" s="10">
        <f>IFERROR(__xludf.DUMMYFUNCTION("""COMPUTED_VALUE"""),6160.0)</f>
        <v>6160</v>
      </c>
      <c r="D3063" s="5">
        <f>IFERROR(__xludf.DUMMYFUNCTION("""COMPUTED_VALUE"""),0.37371408300815895)</f>
        <v>0.373714083</v>
      </c>
      <c r="E3063" s="5">
        <f>IFERROR(__xludf.DUMMYFUNCTION("""COMPUTED_VALUE"""),0.1259311812699539)</f>
        <v>0.1259311813</v>
      </c>
      <c r="F3063" s="5">
        <f>IFERROR(__xludf.DUMMYFUNCTION("""COMPUTED_VALUE"""),0.20007094714437743)</f>
        <v>0.2000709471</v>
      </c>
      <c r="G3063" s="5">
        <f>IFERROR(__xludf.DUMMYFUNCTION("""COMPUTED_VALUE"""),0.16637105356509402)</f>
        <v>0.1663710536</v>
      </c>
      <c r="H3063" s="5">
        <f>IFERROR(__xludf.DUMMYFUNCTION("""COMPUTED_VALUE"""),0.5886524822695035)</f>
        <v>0.5886524823</v>
      </c>
      <c r="I3063" s="11">
        <f>IFERROR(__xludf.DUMMYFUNCTION("""COMPUTED_VALUE"""),5412.322695035461)</f>
        <v>5412.322695</v>
      </c>
      <c r="J3063" s="10">
        <f>IFERROR(__xludf.DUMMYFUNCTION("""COMPUTED_VALUE"""),0.0)</f>
        <v>0</v>
      </c>
      <c r="K3063" s="5">
        <f>IFERROR(__xludf.DUMMYFUNCTION("""COMPUTED_VALUE"""),0.0)</f>
        <v>0</v>
      </c>
      <c r="L3063" s="10">
        <f>IFERROR(__xludf.DUMMYFUNCTION("""COMPUTED_VALUE"""),522.0)</f>
        <v>522</v>
      </c>
      <c r="M3063" s="5">
        <f>IFERROR(__xludf.DUMMYFUNCTION("""COMPUTED_VALUE"""),1.0)</f>
        <v>1</v>
      </c>
    </row>
    <row r="3064">
      <c r="A3064" s="10" t="str">
        <f>IFERROR(__xludf.DUMMYFUNCTION("""COMPUTED_VALUE"""),"ryo＠MJ")</f>
        <v>ryo＠MJ</v>
      </c>
      <c r="B3064" s="10">
        <f>IFERROR(__xludf.DUMMYFUNCTION("""COMPUTED_VALUE"""),591.0)</f>
        <v>591</v>
      </c>
      <c r="C3064" s="10">
        <f>IFERROR(__xludf.DUMMYFUNCTION("""COMPUTED_VALUE"""),6928.0)</f>
        <v>6928</v>
      </c>
      <c r="D3064" s="5">
        <f>IFERROR(__xludf.DUMMYFUNCTION("""COMPUTED_VALUE"""),0.3432223449581821)</f>
        <v>0.343222345</v>
      </c>
      <c r="E3064" s="5">
        <f>IFERROR(__xludf.DUMMYFUNCTION("""COMPUTED_VALUE"""),0.12592709483982958)</f>
        <v>0.1259270948</v>
      </c>
      <c r="F3064" s="5">
        <f>IFERROR(__xludf.DUMMYFUNCTION("""COMPUTED_VALUE"""),0.2008836989111567)</f>
        <v>0.2008836989</v>
      </c>
      <c r="G3064" s="5">
        <f>IFERROR(__xludf.DUMMYFUNCTION("""COMPUTED_VALUE"""),0.163326495186997)</f>
        <v>0.1633264952</v>
      </c>
      <c r="H3064" s="5">
        <f>IFERROR(__xludf.DUMMYFUNCTION("""COMPUTED_VALUE"""),0.572663000785546)</f>
        <v>0.5726630008</v>
      </c>
      <c r="I3064" s="11">
        <f>IFERROR(__xludf.DUMMYFUNCTION("""COMPUTED_VALUE"""),5763.0793401413985)</f>
        <v>5763.07934</v>
      </c>
      <c r="J3064" s="10">
        <f>IFERROR(__xludf.DUMMYFUNCTION("""COMPUTED_VALUE"""),1.0)</f>
        <v>1</v>
      </c>
      <c r="K3064" s="5">
        <f>IFERROR(__xludf.DUMMYFUNCTION("""COMPUTED_VALUE"""),0.001692047377326565)</f>
        <v>0.001692047377</v>
      </c>
      <c r="L3064" s="10">
        <f>IFERROR(__xludf.DUMMYFUNCTION("""COMPUTED_VALUE"""),591.0)</f>
        <v>591</v>
      </c>
      <c r="M3064" s="5">
        <f>IFERROR(__xludf.DUMMYFUNCTION("""COMPUTED_VALUE"""),1.0)</f>
        <v>1</v>
      </c>
    </row>
    <row r="3065">
      <c r="A3065" s="10" t="str">
        <f>IFERROR(__xludf.DUMMYFUNCTION("""COMPUTED_VALUE"""),"yamada先生")</f>
        <v>yamada先生</v>
      </c>
      <c r="B3065" s="10">
        <f>IFERROR(__xludf.DUMMYFUNCTION("""COMPUTED_VALUE"""),495.0)</f>
        <v>495</v>
      </c>
      <c r="C3065" s="10">
        <f>IFERROR(__xludf.DUMMYFUNCTION("""COMPUTED_VALUE"""),5784.0)</f>
        <v>5784</v>
      </c>
      <c r="D3065" s="5">
        <f>IFERROR(__xludf.DUMMYFUNCTION("""COMPUTED_VALUE"""),0.32085460389487613)</f>
        <v>0.3208546039</v>
      </c>
      <c r="E3065" s="5">
        <f>IFERROR(__xludf.DUMMYFUNCTION("""COMPUTED_VALUE"""),0.12592172433352242)</f>
        <v>0.1259217243</v>
      </c>
      <c r="F3065" s="5">
        <f>IFERROR(__xludf.DUMMYFUNCTION("""COMPUTED_VALUE"""),0.2072225373416525)</f>
        <v>0.2072225373</v>
      </c>
      <c r="G3065" s="5">
        <f>IFERROR(__xludf.DUMMYFUNCTION("""COMPUTED_VALUE"""),0.15768576290414066)</f>
        <v>0.1576857629</v>
      </c>
      <c r="H3065" s="5">
        <f>IFERROR(__xludf.DUMMYFUNCTION("""COMPUTED_VALUE"""),0.5994525547445255)</f>
        <v>0.5994525547</v>
      </c>
      <c r="I3065" s="11">
        <f>IFERROR(__xludf.DUMMYFUNCTION("""COMPUTED_VALUE"""),5564.8722627737225)</f>
        <v>5564.872263</v>
      </c>
      <c r="J3065" s="10">
        <f>IFERROR(__xludf.DUMMYFUNCTION("""COMPUTED_VALUE"""),0.0)</f>
        <v>0</v>
      </c>
      <c r="K3065" s="5">
        <f>IFERROR(__xludf.DUMMYFUNCTION("""COMPUTED_VALUE"""),0.0)</f>
        <v>0</v>
      </c>
      <c r="L3065" s="10">
        <f>IFERROR(__xludf.DUMMYFUNCTION("""COMPUTED_VALUE"""),495.0)</f>
        <v>495</v>
      </c>
      <c r="M3065" s="5">
        <f>IFERROR(__xludf.DUMMYFUNCTION("""COMPUTED_VALUE"""),1.0)</f>
        <v>1</v>
      </c>
    </row>
    <row r="3066">
      <c r="A3066" s="10" t="str">
        <f>IFERROR(__xludf.DUMMYFUNCTION("""COMPUTED_VALUE"""),"わー")</f>
        <v>わー</v>
      </c>
      <c r="B3066" s="10">
        <f>IFERROR(__xludf.DUMMYFUNCTION("""COMPUTED_VALUE"""),181.0)</f>
        <v>181</v>
      </c>
      <c r="C3066" s="10">
        <f>IFERROR(__xludf.DUMMYFUNCTION("""COMPUTED_VALUE"""),2095.0)</f>
        <v>2095</v>
      </c>
      <c r="D3066" s="5">
        <f>IFERROR(__xludf.DUMMYFUNCTION("""COMPUTED_VALUE"""),0.3437826541274817)</f>
        <v>0.3437826541</v>
      </c>
      <c r="E3066" s="5">
        <f>IFERROR(__xludf.DUMMYFUNCTION("""COMPUTED_VALUE"""),0.12591431556948798)</f>
        <v>0.1259143156</v>
      </c>
      <c r="F3066" s="5">
        <f>IFERROR(__xludf.DUMMYFUNCTION("""COMPUTED_VALUE"""),0.19853709508881923)</f>
        <v>0.1985370951</v>
      </c>
      <c r="G3066" s="5">
        <f>IFERROR(__xludf.DUMMYFUNCTION("""COMPUTED_VALUE"""),0.1593521421107628)</f>
        <v>0.1593521421</v>
      </c>
      <c r="H3066" s="5">
        <f>IFERROR(__xludf.DUMMYFUNCTION("""COMPUTED_VALUE"""),0.5684210526315789)</f>
        <v>0.5684210526</v>
      </c>
      <c r="I3066" s="11">
        <f>IFERROR(__xludf.DUMMYFUNCTION("""COMPUTED_VALUE"""),5738.421052631579)</f>
        <v>5738.421053</v>
      </c>
      <c r="J3066" s="10">
        <f>IFERROR(__xludf.DUMMYFUNCTION("""COMPUTED_VALUE"""),1.0)</f>
        <v>1</v>
      </c>
      <c r="K3066" s="5">
        <f>IFERROR(__xludf.DUMMYFUNCTION("""COMPUTED_VALUE"""),0.0055248618784530384)</f>
        <v>0.005524861878</v>
      </c>
      <c r="L3066" s="10">
        <f>IFERROR(__xludf.DUMMYFUNCTION("""COMPUTED_VALUE"""),181.0)</f>
        <v>181</v>
      </c>
      <c r="M3066" s="5">
        <f>IFERROR(__xludf.DUMMYFUNCTION("""COMPUTED_VALUE"""),1.0)</f>
        <v>1</v>
      </c>
    </row>
    <row r="3067">
      <c r="A3067" s="10" t="str">
        <f>IFERROR(__xludf.DUMMYFUNCTION("""COMPUTED_VALUE"""),"MrFeng")</f>
        <v>MrFeng</v>
      </c>
      <c r="B3067" s="10">
        <f>IFERROR(__xludf.DUMMYFUNCTION("""COMPUTED_VALUE"""),308.0)</f>
        <v>308</v>
      </c>
      <c r="C3067" s="10">
        <f>IFERROR(__xludf.DUMMYFUNCTION("""COMPUTED_VALUE"""),3652.0)</f>
        <v>3652</v>
      </c>
      <c r="D3067" s="5">
        <f>IFERROR(__xludf.DUMMYFUNCTION("""COMPUTED_VALUE"""),0.43899521531100477)</f>
        <v>0.4389952153</v>
      </c>
      <c r="E3067" s="5">
        <f>IFERROR(__xludf.DUMMYFUNCTION("""COMPUTED_VALUE"""),0.12589712918660287)</f>
        <v>0.1258971292</v>
      </c>
      <c r="F3067" s="5">
        <f>IFERROR(__xludf.DUMMYFUNCTION("""COMPUTED_VALUE"""),0.2063397129186603)</f>
        <v>0.2063397129</v>
      </c>
      <c r="G3067" s="5">
        <f>IFERROR(__xludf.DUMMYFUNCTION("""COMPUTED_VALUE"""),0.1486244019138756)</f>
        <v>0.1486244019</v>
      </c>
      <c r="H3067" s="5">
        <f>IFERROR(__xludf.DUMMYFUNCTION("""COMPUTED_VALUE"""),0.6)</f>
        <v>0.6</v>
      </c>
      <c r="I3067" s="11">
        <f>IFERROR(__xludf.DUMMYFUNCTION("""COMPUTED_VALUE"""),5391.594202898551)</f>
        <v>5391.594203</v>
      </c>
      <c r="J3067" s="10">
        <f>IFERROR(__xludf.DUMMYFUNCTION("""COMPUTED_VALUE"""),2.0)</f>
        <v>2</v>
      </c>
      <c r="K3067" s="5">
        <f>IFERROR(__xludf.DUMMYFUNCTION("""COMPUTED_VALUE"""),0.006493506493506494)</f>
        <v>0.006493506494</v>
      </c>
      <c r="L3067" s="10">
        <f>IFERROR(__xludf.DUMMYFUNCTION("""COMPUTED_VALUE"""),308.0)</f>
        <v>308</v>
      </c>
      <c r="M3067" s="5">
        <f>IFERROR(__xludf.DUMMYFUNCTION("""COMPUTED_VALUE"""),1.0)</f>
        <v>1</v>
      </c>
    </row>
    <row r="3068">
      <c r="A3068" s="10" t="str">
        <f>IFERROR(__xludf.DUMMYFUNCTION("""COMPUTED_VALUE"""),"norika")</f>
        <v>norika</v>
      </c>
      <c r="B3068" s="10">
        <f>IFERROR(__xludf.DUMMYFUNCTION("""COMPUTED_VALUE"""),1096.0)</f>
        <v>1096</v>
      </c>
      <c r="C3068" s="10">
        <f>IFERROR(__xludf.DUMMYFUNCTION("""COMPUTED_VALUE"""),13098.0)</f>
        <v>13098</v>
      </c>
      <c r="D3068" s="5">
        <f>IFERROR(__xludf.DUMMYFUNCTION("""COMPUTED_VALUE"""),0.32294617563739375)</f>
        <v>0.3229461756</v>
      </c>
      <c r="E3068" s="5">
        <f>IFERROR(__xludf.DUMMYFUNCTION("""COMPUTED_VALUE"""),0.12589568405265789)</f>
        <v>0.1258956841</v>
      </c>
      <c r="F3068" s="5">
        <f>IFERROR(__xludf.DUMMYFUNCTION("""COMPUTED_VALUE"""),0.20429928345275788)</f>
        <v>0.2042992835</v>
      </c>
      <c r="G3068" s="5">
        <f>IFERROR(__xludf.DUMMYFUNCTION("""COMPUTED_VALUE"""),0.15614064322612897)</f>
        <v>0.1561406432</v>
      </c>
      <c r="H3068" s="5">
        <f>IFERROR(__xludf.DUMMYFUNCTION("""COMPUTED_VALUE"""),0.5966557911908646)</f>
        <v>0.5966557912</v>
      </c>
      <c r="I3068" s="11">
        <f>IFERROR(__xludf.DUMMYFUNCTION("""COMPUTED_VALUE"""),5552.8955954323)</f>
        <v>5552.895595</v>
      </c>
      <c r="J3068" s="10">
        <f>IFERROR(__xludf.DUMMYFUNCTION("""COMPUTED_VALUE"""),2.0)</f>
        <v>2</v>
      </c>
      <c r="K3068" s="5">
        <f>IFERROR(__xludf.DUMMYFUNCTION("""COMPUTED_VALUE"""),0.0018248175182481751)</f>
        <v>0.001824817518</v>
      </c>
      <c r="L3068" s="10">
        <f>IFERROR(__xludf.DUMMYFUNCTION("""COMPUTED_VALUE"""),0.0)</f>
        <v>0</v>
      </c>
      <c r="M3068" s="5">
        <f>IFERROR(__xludf.DUMMYFUNCTION("""COMPUTED_VALUE"""),0.0)</f>
        <v>0</v>
      </c>
    </row>
    <row r="3069">
      <c r="A3069" s="10" t="str">
        <f>IFERROR(__xludf.DUMMYFUNCTION("""COMPUTED_VALUE"""),"ジョータクハイ")</f>
        <v>ジョータクハイ</v>
      </c>
      <c r="B3069" s="10">
        <f>IFERROR(__xludf.DUMMYFUNCTION("""COMPUTED_VALUE"""),288.0)</f>
        <v>288</v>
      </c>
      <c r="C3069" s="10">
        <f>IFERROR(__xludf.DUMMYFUNCTION("""COMPUTED_VALUE"""),3362.0)</f>
        <v>3362</v>
      </c>
      <c r="D3069" s="5">
        <f>IFERROR(__xludf.DUMMYFUNCTION("""COMPUTED_VALUE"""),0.34743005855562786)</f>
        <v>0.3474300586</v>
      </c>
      <c r="E3069" s="5">
        <f>IFERROR(__xludf.DUMMYFUNCTION("""COMPUTED_VALUE"""),0.1258945998698764)</f>
        <v>0.1258945999</v>
      </c>
      <c r="F3069" s="5">
        <f>IFERROR(__xludf.DUMMYFUNCTION("""COMPUTED_VALUE"""),0.19843851659076123)</f>
        <v>0.1984385166</v>
      </c>
      <c r="G3069" s="5">
        <f>IFERROR(__xludf.DUMMYFUNCTION("""COMPUTED_VALUE"""),0.16818477553675992)</f>
        <v>0.1681847755</v>
      </c>
      <c r="H3069" s="5">
        <f>IFERROR(__xludf.DUMMYFUNCTION("""COMPUTED_VALUE"""),0.6098360655737705)</f>
        <v>0.6098360656</v>
      </c>
      <c r="I3069" s="11">
        <f>IFERROR(__xludf.DUMMYFUNCTION("""COMPUTED_VALUE"""),5393.770491803279)</f>
        <v>5393.770492</v>
      </c>
      <c r="J3069" s="10">
        <f>IFERROR(__xludf.DUMMYFUNCTION("""COMPUTED_VALUE"""),0.0)</f>
        <v>0</v>
      </c>
      <c r="K3069" s="5">
        <f>IFERROR(__xludf.DUMMYFUNCTION("""COMPUTED_VALUE"""),0.0)</f>
        <v>0</v>
      </c>
      <c r="L3069" s="10">
        <f>IFERROR(__xludf.DUMMYFUNCTION("""COMPUTED_VALUE"""),0.0)</f>
        <v>0</v>
      </c>
      <c r="M3069" s="5">
        <f>IFERROR(__xludf.DUMMYFUNCTION("""COMPUTED_VALUE"""),0.0)</f>
        <v>0</v>
      </c>
    </row>
    <row r="3070">
      <c r="A3070" s="10" t="str">
        <f>IFERROR(__xludf.DUMMYFUNCTION("""COMPUTED_VALUE"""),"NanaNana")</f>
        <v>NanaNana</v>
      </c>
      <c r="B3070" s="10">
        <f>IFERROR(__xludf.DUMMYFUNCTION("""COMPUTED_VALUE"""),208.0)</f>
        <v>208</v>
      </c>
      <c r="C3070" s="10">
        <f>IFERROR(__xludf.DUMMYFUNCTION("""COMPUTED_VALUE"""),2456.0)</f>
        <v>2456</v>
      </c>
      <c r="D3070" s="5">
        <f>IFERROR(__xludf.DUMMYFUNCTION("""COMPUTED_VALUE"""),0.297153024911032)</f>
        <v>0.2971530249</v>
      </c>
      <c r="E3070" s="5">
        <f>IFERROR(__xludf.DUMMYFUNCTION("""COMPUTED_VALUE"""),0.1258896797153025)</f>
        <v>0.1258896797</v>
      </c>
      <c r="F3070" s="5">
        <f>IFERROR(__xludf.DUMMYFUNCTION("""COMPUTED_VALUE"""),0.18683274021352314)</f>
        <v>0.1868327402</v>
      </c>
      <c r="G3070" s="5">
        <f>IFERROR(__xludf.DUMMYFUNCTION("""COMPUTED_VALUE"""),0.15480427046263345)</f>
        <v>0.1548042705</v>
      </c>
      <c r="H3070" s="5">
        <f>IFERROR(__xludf.DUMMYFUNCTION("""COMPUTED_VALUE"""),0.5404761904761904)</f>
        <v>0.5404761905</v>
      </c>
      <c r="I3070" s="11">
        <f>IFERROR(__xludf.DUMMYFUNCTION("""COMPUTED_VALUE"""),5982.619047619048)</f>
        <v>5982.619048</v>
      </c>
      <c r="J3070" s="10">
        <f>IFERROR(__xludf.DUMMYFUNCTION("""COMPUTED_VALUE"""),0.0)</f>
        <v>0</v>
      </c>
      <c r="K3070" s="5">
        <f>IFERROR(__xludf.DUMMYFUNCTION("""COMPUTED_VALUE"""),0.0)</f>
        <v>0</v>
      </c>
      <c r="L3070" s="10">
        <f>IFERROR(__xludf.DUMMYFUNCTION("""COMPUTED_VALUE"""),208.0)</f>
        <v>208</v>
      </c>
      <c r="M3070" s="5">
        <f>IFERROR(__xludf.DUMMYFUNCTION("""COMPUTED_VALUE"""),1.0)</f>
        <v>1</v>
      </c>
    </row>
    <row r="3071">
      <c r="A3071" s="10" t="str">
        <f>IFERROR(__xludf.DUMMYFUNCTION("""COMPUTED_VALUE"""),"dolmages")</f>
        <v>dolmages</v>
      </c>
      <c r="B3071" s="10">
        <f>IFERROR(__xludf.DUMMYFUNCTION("""COMPUTED_VALUE"""),130.0)</f>
        <v>130</v>
      </c>
      <c r="C3071" s="10">
        <f>IFERROR(__xludf.DUMMYFUNCTION("""COMPUTED_VALUE"""),1536.0)</f>
        <v>1536</v>
      </c>
      <c r="D3071" s="5">
        <f>IFERROR(__xludf.DUMMYFUNCTION("""COMPUTED_VALUE"""),0.33499288762446655)</f>
        <v>0.3349928876</v>
      </c>
      <c r="E3071" s="5">
        <f>IFERROR(__xludf.DUMMYFUNCTION("""COMPUTED_VALUE"""),0.12588904694167852)</f>
        <v>0.1258890469</v>
      </c>
      <c r="F3071" s="5">
        <f>IFERROR(__xludf.DUMMYFUNCTION("""COMPUTED_VALUE"""),0.17567567567567569)</f>
        <v>0.1756756757</v>
      </c>
      <c r="G3071" s="5">
        <f>IFERROR(__xludf.DUMMYFUNCTION("""COMPUTED_VALUE"""),0.18349928876244664)</f>
        <v>0.1834992888</v>
      </c>
      <c r="H3071" s="5">
        <f>IFERROR(__xludf.DUMMYFUNCTION("""COMPUTED_VALUE"""),0.5870445344129555)</f>
        <v>0.5870445344</v>
      </c>
      <c r="I3071" s="11">
        <f>IFERROR(__xludf.DUMMYFUNCTION("""COMPUTED_VALUE"""),5932.793522267207)</f>
        <v>5932.793522</v>
      </c>
      <c r="J3071" s="10">
        <f>IFERROR(__xludf.DUMMYFUNCTION("""COMPUTED_VALUE"""),0.0)</f>
        <v>0</v>
      </c>
      <c r="K3071" s="5">
        <f>IFERROR(__xludf.DUMMYFUNCTION("""COMPUTED_VALUE"""),0.0)</f>
        <v>0</v>
      </c>
      <c r="L3071" s="10">
        <f>IFERROR(__xludf.DUMMYFUNCTION("""COMPUTED_VALUE"""),130.0)</f>
        <v>130</v>
      </c>
      <c r="M3071" s="5">
        <f>IFERROR(__xludf.DUMMYFUNCTION("""COMPUTED_VALUE"""),1.0)</f>
        <v>1</v>
      </c>
    </row>
    <row r="3072">
      <c r="A3072" s="10" t="str">
        <f>IFERROR(__xludf.DUMMYFUNCTION("""COMPUTED_VALUE"""),"SNインパクト")</f>
        <v>SNインパクト</v>
      </c>
      <c r="B3072" s="10">
        <f>IFERROR(__xludf.DUMMYFUNCTION("""COMPUTED_VALUE"""),134.0)</f>
        <v>134</v>
      </c>
      <c r="C3072" s="10">
        <f>IFERROR(__xludf.DUMMYFUNCTION("""COMPUTED_VALUE"""),1540.0)</f>
        <v>1540</v>
      </c>
      <c r="D3072" s="5">
        <f>IFERROR(__xludf.DUMMYFUNCTION("""COMPUTED_VALUE"""),0.36415362731152207)</f>
        <v>0.3641536273</v>
      </c>
      <c r="E3072" s="5">
        <f>IFERROR(__xludf.DUMMYFUNCTION("""COMPUTED_VALUE"""),0.12588904694167852)</f>
        <v>0.1258890469</v>
      </c>
      <c r="F3072" s="5">
        <f>IFERROR(__xludf.DUMMYFUNCTION("""COMPUTED_VALUE"""),0.21266002844950213)</f>
        <v>0.2126600284</v>
      </c>
      <c r="G3072" s="5">
        <f>IFERROR(__xludf.DUMMYFUNCTION("""COMPUTED_VALUE"""),0.17496443812233287)</f>
        <v>0.1749644381</v>
      </c>
      <c r="H3072" s="5">
        <f>IFERROR(__xludf.DUMMYFUNCTION("""COMPUTED_VALUE"""),0.5886287625418061)</f>
        <v>0.5886287625</v>
      </c>
      <c r="I3072" s="11">
        <f>IFERROR(__xludf.DUMMYFUNCTION("""COMPUTED_VALUE"""),5575.919732441472)</f>
        <v>5575.919732</v>
      </c>
      <c r="J3072" s="10">
        <f>IFERROR(__xludf.DUMMYFUNCTION("""COMPUTED_VALUE"""),0.0)</f>
        <v>0</v>
      </c>
      <c r="K3072" s="5">
        <f>IFERROR(__xludf.DUMMYFUNCTION("""COMPUTED_VALUE"""),0.0)</f>
        <v>0</v>
      </c>
      <c r="L3072" s="10">
        <f>IFERROR(__xludf.DUMMYFUNCTION("""COMPUTED_VALUE"""),134.0)</f>
        <v>134</v>
      </c>
      <c r="M3072" s="5">
        <f>IFERROR(__xludf.DUMMYFUNCTION("""COMPUTED_VALUE"""),1.0)</f>
        <v>1</v>
      </c>
    </row>
    <row r="3073">
      <c r="A3073" s="10" t="str">
        <f>IFERROR(__xludf.DUMMYFUNCTION("""COMPUTED_VALUE"""),"東風の鬼")</f>
        <v>東風の鬼</v>
      </c>
      <c r="B3073" s="10">
        <f>IFERROR(__xludf.DUMMYFUNCTION("""COMPUTED_VALUE"""),314.0)</f>
        <v>314</v>
      </c>
      <c r="C3073" s="10">
        <f>IFERROR(__xludf.DUMMYFUNCTION("""COMPUTED_VALUE"""),3722.0)</f>
        <v>3722</v>
      </c>
      <c r="D3073" s="5">
        <f>IFERROR(__xludf.DUMMYFUNCTION("""COMPUTED_VALUE"""),0.3755868544600939)</f>
        <v>0.3755868545</v>
      </c>
      <c r="E3073" s="5">
        <f>IFERROR(__xludf.DUMMYFUNCTION("""COMPUTED_VALUE"""),0.12588028169014084)</f>
        <v>0.1258802817</v>
      </c>
      <c r="F3073" s="5">
        <f>IFERROR(__xludf.DUMMYFUNCTION("""COMPUTED_VALUE"""),0.20715962441314553)</f>
        <v>0.2071596244</v>
      </c>
      <c r="G3073" s="5">
        <f>IFERROR(__xludf.DUMMYFUNCTION("""COMPUTED_VALUE"""),0.1619718309859155)</f>
        <v>0.161971831</v>
      </c>
      <c r="H3073" s="5">
        <f>IFERROR(__xludf.DUMMYFUNCTION("""COMPUTED_VALUE"""),0.6147308781869688)</f>
        <v>0.6147308782</v>
      </c>
      <c r="I3073" s="11">
        <f>IFERROR(__xludf.DUMMYFUNCTION("""COMPUTED_VALUE"""),4964.872521246459)</f>
        <v>4964.872521</v>
      </c>
      <c r="J3073" s="10">
        <f>IFERROR(__xludf.DUMMYFUNCTION("""COMPUTED_VALUE"""),0.0)</f>
        <v>0</v>
      </c>
      <c r="K3073" s="5">
        <f>IFERROR(__xludf.DUMMYFUNCTION("""COMPUTED_VALUE"""),0.0)</f>
        <v>0</v>
      </c>
      <c r="L3073" s="10">
        <f>IFERROR(__xludf.DUMMYFUNCTION("""COMPUTED_VALUE"""),314.0)</f>
        <v>314</v>
      </c>
      <c r="M3073" s="5">
        <f>IFERROR(__xludf.DUMMYFUNCTION("""COMPUTED_VALUE"""),1.0)</f>
        <v>1</v>
      </c>
    </row>
    <row r="3074">
      <c r="A3074" s="10" t="str">
        <f>IFERROR(__xludf.DUMMYFUNCTION("""COMPUTED_VALUE"""),"最北最強")</f>
        <v>最北最強</v>
      </c>
      <c r="B3074" s="10">
        <f>IFERROR(__xludf.DUMMYFUNCTION("""COMPUTED_VALUE"""),973.0)</f>
        <v>973</v>
      </c>
      <c r="C3074" s="10">
        <f>IFERROR(__xludf.DUMMYFUNCTION("""COMPUTED_VALUE"""),11277.0)</f>
        <v>11277</v>
      </c>
      <c r="D3074" s="5">
        <f>IFERROR(__xludf.DUMMYFUNCTION("""COMPUTED_VALUE"""),0.30842391304347827)</f>
        <v>0.308423913</v>
      </c>
      <c r="E3074" s="5">
        <f>IFERROR(__xludf.DUMMYFUNCTION("""COMPUTED_VALUE"""),0.12587344720496896)</f>
        <v>0.1258734472</v>
      </c>
      <c r="F3074" s="5">
        <f>IFERROR(__xludf.DUMMYFUNCTION("""COMPUTED_VALUE"""),0.21477096273291926)</f>
        <v>0.2147709627</v>
      </c>
      <c r="G3074" s="5">
        <f>IFERROR(__xludf.DUMMYFUNCTION("""COMPUTED_VALUE"""),0.18167701863354038)</f>
        <v>0.1816770186</v>
      </c>
      <c r="H3074" s="5">
        <f>IFERROR(__xludf.DUMMYFUNCTION("""COMPUTED_VALUE"""),0.5987347492092182)</f>
        <v>0.5987347492</v>
      </c>
      <c r="I3074" s="11">
        <f>IFERROR(__xludf.DUMMYFUNCTION("""COMPUTED_VALUE"""),5986.48892905558)</f>
        <v>5986.488929</v>
      </c>
      <c r="J3074" s="10">
        <f>IFERROR(__xludf.DUMMYFUNCTION("""COMPUTED_VALUE"""),1.0)</f>
        <v>1</v>
      </c>
      <c r="K3074" s="5">
        <f>IFERROR(__xludf.DUMMYFUNCTION("""COMPUTED_VALUE"""),0.0010277492291880781)</f>
        <v>0.001027749229</v>
      </c>
      <c r="L3074" s="10">
        <f>IFERROR(__xludf.DUMMYFUNCTION("""COMPUTED_VALUE"""),973.0)</f>
        <v>973</v>
      </c>
      <c r="M3074" s="5">
        <f>IFERROR(__xludf.DUMMYFUNCTION("""COMPUTED_VALUE"""),1.0)</f>
        <v>1</v>
      </c>
    </row>
    <row r="3075">
      <c r="A3075" s="10" t="str">
        <f>IFERROR(__xludf.DUMMYFUNCTION("""COMPUTED_VALUE"""),"アロエクン")</f>
        <v>アロエクン</v>
      </c>
      <c r="B3075" s="10">
        <f>IFERROR(__xludf.DUMMYFUNCTION("""COMPUTED_VALUE"""),224.0)</f>
        <v>224</v>
      </c>
      <c r="C3075" s="10">
        <f>IFERROR(__xludf.DUMMYFUNCTION("""COMPUTED_VALUE"""),2663.0)</f>
        <v>2663</v>
      </c>
      <c r="D3075" s="5">
        <f>IFERROR(__xludf.DUMMYFUNCTION("""COMPUTED_VALUE"""),0.39114391143911437)</f>
        <v>0.3911439114</v>
      </c>
      <c r="E3075" s="5">
        <f>IFERROR(__xludf.DUMMYFUNCTION("""COMPUTED_VALUE"""),0.12587125871258711)</f>
        <v>0.1258712587</v>
      </c>
      <c r="F3075" s="5">
        <f>IFERROR(__xludf.DUMMYFUNCTION("""COMPUTED_VALUE"""),0.21238212382123822)</f>
        <v>0.2123821238</v>
      </c>
      <c r="G3075" s="5">
        <f>IFERROR(__xludf.DUMMYFUNCTION("""COMPUTED_VALUE"""),0.16564165641656417)</f>
        <v>0.1656416564</v>
      </c>
      <c r="H3075" s="5">
        <f>IFERROR(__xludf.DUMMYFUNCTION("""COMPUTED_VALUE"""),0.5868725868725869)</f>
        <v>0.5868725869</v>
      </c>
      <c r="I3075" s="11">
        <f>IFERROR(__xludf.DUMMYFUNCTION("""COMPUTED_VALUE"""),5264.478764478765)</f>
        <v>5264.478764</v>
      </c>
      <c r="J3075" s="10">
        <f>IFERROR(__xludf.DUMMYFUNCTION("""COMPUTED_VALUE"""),1.0)</f>
        <v>1</v>
      </c>
      <c r="K3075" s="5">
        <f>IFERROR(__xludf.DUMMYFUNCTION("""COMPUTED_VALUE"""),0.004464285714285714)</f>
        <v>0.004464285714</v>
      </c>
      <c r="L3075" s="10">
        <f>IFERROR(__xludf.DUMMYFUNCTION("""COMPUTED_VALUE"""),224.0)</f>
        <v>224</v>
      </c>
      <c r="M3075" s="5">
        <f>IFERROR(__xludf.DUMMYFUNCTION("""COMPUTED_VALUE"""),1.0)</f>
        <v>1</v>
      </c>
    </row>
    <row r="3076">
      <c r="A3076" s="10" t="str">
        <f>IFERROR(__xludf.DUMMYFUNCTION("""COMPUTED_VALUE"""),"あざむくん")</f>
        <v>あざむくん</v>
      </c>
      <c r="B3076" s="10">
        <f>IFERROR(__xludf.DUMMYFUNCTION("""COMPUTED_VALUE"""),150.0)</f>
        <v>150</v>
      </c>
      <c r="C3076" s="10">
        <f>IFERROR(__xludf.DUMMYFUNCTION("""COMPUTED_VALUE"""),1739.0)</f>
        <v>1739</v>
      </c>
      <c r="D3076" s="5">
        <f>IFERROR(__xludf.DUMMYFUNCTION("""COMPUTED_VALUE"""),0.31340465701699183)</f>
        <v>0.313404657</v>
      </c>
      <c r="E3076" s="5">
        <f>IFERROR(__xludf.DUMMYFUNCTION("""COMPUTED_VALUE"""),0.12586532410320955)</f>
        <v>0.1258653241</v>
      </c>
      <c r="F3076" s="5">
        <f>IFERROR(__xludf.DUMMYFUNCTION("""COMPUTED_VALUE"""),0.1749528005034613)</f>
        <v>0.1749528005</v>
      </c>
      <c r="G3076" s="5">
        <f>IFERROR(__xludf.DUMMYFUNCTION("""COMPUTED_VALUE"""),0.15859030837004406)</f>
        <v>0.1585903084</v>
      </c>
      <c r="H3076" s="5">
        <f>IFERROR(__xludf.DUMMYFUNCTION("""COMPUTED_VALUE"""),0.579136690647482)</f>
        <v>0.5791366906</v>
      </c>
      <c r="I3076" s="11">
        <f>IFERROR(__xludf.DUMMYFUNCTION("""COMPUTED_VALUE"""),5651.438848920863)</f>
        <v>5651.438849</v>
      </c>
      <c r="J3076" s="10">
        <f>IFERROR(__xludf.DUMMYFUNCTION("""COMPUTED_VALUE"""),0.0)</f>
        <v>0</v>
      </c>
      <c r="K3076" s="5">
        <f>IFERROR(__xludf.DUMMYFUNCTION("""COMPUTED_VALUE"""),0.0)</f>
        <v>0</v>
      </c>
      <c r="L3076" s="10">
        <f>IFERROR(__xludf.DUMMYFUNCTION("""COMPUTED_VALUE"""),150.0)</f>
        <v>150</v>
      </c>
      <c r="M3076" s="5">
        <f>IFERROR(__xludf.DUMMYFUNCTION("""COMPUTED_VALUE"""),1.0)</f>
        <v>1</v>
      </c>
    </row>
    <row r="3077">
      <c r="A3077" s="10" t="str">
        <f>IFERROR(__xludf.DUMMYFUNCTION("""COMPUTED_VALUE"""),"フェルナンド")</f>
        <v>フェルナンド</v>
      </c>
      <c r="B3077" s="10">
        <f>IFERROR(__xludf.DUMMYFUNCTION("""COMPUTED_VALUE"""),2845.0)</f>
        <v>2845</v>
      </c>
      <c r="C3077" s="10">
        <f>IFERROR(__xludf.DUMMYFUNCTION("""COMPUTED_VALUE"""),33672.0)</f>
        <v>33672</v>
      </c>
      <c r="D3077" s="5">
        <f>IFERROR(__xludf.DUMMYFUNCTION("""COMPUTED_VALUE"""),0.35063418431894117)</f>
        <v>0.3506341843</v>
      </c>
      <c r="E3077" s="5">
        <f>IFERROR(__xludf.DUMMYFUNCTION("""COMPUTED_VALUE"""),0.12586369092029714)</f>
        <v>0.1258636909</v>
      </c>
      <c r="F3077" s="5">
        <f>IFERROR(__xludf.DUMMYFUNCTION("""COMPUTED_VALUE"""),0.21656340221234632)</f>
        <v>0.2165634022</v>
      </c>
      <c r="G3077" s="5">
        <f>IFERROR(__xludf.DUMMYFUNCTION("""COMPUTED_VALUE"""),0.18042624971615792)</f>
        <v>0.1804262497</v>
      </c>
      <c r="H3077" s="5">
        <f>IFERROR(__xludf.DUMMYFUNCTION("""COMPUTED_VALUE"""),0.591671659676453)</f>
        <v>0.5916716597</v>
      </c>
      <c r="I3077" s="11">
        <f>IFERROR(__xludf.DUMMYFUNCTION("""COMPUTED_VALUE"""),5542.195925704014)</f>
        <v>5542.195926</v>
      </c>
      <c r="J3077" s="10">
        <f>IFERROR(__xludf.DUMMYFUNCTION("""COMPUTED_VALUE"""),10.0)</f>
        <v>10</v>
      </c>
      <c r="K3077" s="5">
        <f>IFERROR(__xludf.DUMMYFUNCTION("""COMPUTED_VALUE"""),0.0035149384885764497)</f>
        <v>0.003514938489</v>
      </c>
      <c r="L3077" s="10">
        <f>IFERROR(__xludf.DUMMYFUNCTION("""COMPUTED_VALUE"""),2845.0)</f>
        <v>2845</v>
      </c>
      <c r="M3077" s="5">
        <f>IFERROR(__xludf.DUMMYFUNCTION("""COMPUTED_VALUE"""),1.0)</f>
        <v>1</v>
      </c>
    </row>
    <row r="3078">
      <c r="A3078" s="10" t="str">
        <f>IFERROR(__xludf.DUMMYFUNCTION("""COMPUTED_VALUE"""),"†まなお†")</f>
        <v>†まなお†</v>
      </c>
      <c r="B3078" s="10">
        <f>IFERROR(__xludf.DUMMYFUNCTION("""COMPUTED_VALUE"""),174.0)</f>
        <v>174</v>
      </c>
      <c r="C3078" s="10">
        <f>IFERROR(__xludf.DUMMYFUNCTION("""COMPUTED_VALUE"""),2081.0)</f>
        <v>2081</v>
      </c>
      <c r="D3078" s="5">
        <f>IFERROR(__xludf.DUMMYFUNCTION("""COMPUTED_VALUE"""),0.3282642894598846)</f>
        <v>0.3282642895</v>
      </c>
      <c r="E3078" s="5">
        <f>IFERROR(__xludf.DUMMYFUNCTION("""COMPUTED_VALUE"""),0.12585212375458835)</f>
        <v>0.1258521238</v>
      </c>
      <c r="F3078" s="5">
        <f>IFERROR(__xludf.DUMMYFUNCTION("""COMPUTED_VALUE"""),0.1851074986890404)</f>
        <v>0.1851074987</v>
      </c>
      <c r="G3078" s="5">
        <f>IFERROR(__xludf.DUMMYFUNCTION("""COMPUTED_VALUE"""),0.1761929732564237)</f>
        <v>0.1761929733</v>
      </c>
      <c r="H3078" s="5">
        <f>IFERROR(__xludf.DUMMYFUNCTION("""COMPUTED_VALUE"""),0.5892351274787535)</f>
        <v>0.5892351275</v>
      </c>
      <c r="I3078" s="11">
        <f>IFERROR(__xludf.DUMMYFUNCTION("""COMPUTED_VALUE"""),5364.589235127479)</f>
        <v>5364.589235</v>
      </c>
      <c r="J3078" s="10">
        <f>IFERROR(__xludf.DUMMYFUNCTION("""COMPUTED_VALUE"""),0.0)</f>
        <v>0</v>
      </c>
      <c r="K3078" s="5">
        <f>IFERROR(__xludf.DUMMYFUNCTION("""COMPUTED_VALUE"""),0.0)</f>
        <v>0</v>
      </c>
      <c r="L3078" s="10">
        <f>IFERROR(__xludf.DUMMYFUNCTION("""COMPUTED_VALUE"""),174.0)</f>
        <v>174</v>
      </c>
      <c r="M3078" s="5">
        <f>IFERROR(__xludf.DUMMYFUNCTION("""COMPUTED_VALUE"""),1.0)</f>
        <v>1</v>
      </c>
    </row>
    <row r="3079">
      <c r="A3079" s="10" t="str">
        <f>IFERROR(__xludf.DUMMYFUNCTION("""COMPUTED_VALUE"""),"じゃびっと")</f>
        <v>じゃびっと</v>
      </c>
      <c r="B3079" s="10">
        <f>IFERROR(__xludf.DUMMYFUNCTION("""COMPUTED_VALUE"""),1628.0)</f>
        <v>1628</v>
      </c>
      <c r="C3079" s="10">
        <f>IFERROR(__xludf.DUMMYFUNCTION("""COMPUTED_VALUE"""),19006.0)</f>
        <v>19006</v>
      </c>
      <c r="D3079" s="5">
        <f>IFERROR(__xludf.DUMMYFUNCTION("""COMPUTED_VALUE"""),0.37087121648060767)</f>
        <v>0.3708712165</v>
      </c>
      <c r="E3079" s="5">
        <f>IFERROR(__xludf.DUMMYFUNCTION("""COMPUTED_VALUE"""),0.12584877431234895)</f>
        <v>0.1258487743</v>
      </c>
      <c r="F3079" s="5">
        <f>IFERROR(__xludf.DUMMYFUNCTION("""COMPUTED_VALUE"""),0.20923006099666244)</f>
        <v>0.209230061</v>
      </c>
      <c r="G3079" s="5">
        <f>IFERROR(__xludf.DUMMYFUNCTION("""COMPUTED_VALUE"""),0.16146852342041662)</f>
        <v>0.1614685234</v>
      </c>
      <c r="H3079" s="5">
        <f>IFERROR(__xludf.DUMMYFUNCTION("""COMPUTED_VALUE"""),0.6138613861386139)</f>
        <v>0.6138613861</v>
      </c>
      <c r="I3079" s="11">
        <f>IFERROR(__xludf.DUMMYFUNCTION("""COMPUTED_VALUE"""),5427.970297029703)</f>
        <v>5427.970297</v>
      </c>
      <c r="J3079" s="10">
        <f>IFERROR(__xludf.DUMMYFUNCTION("""COMPUTED_VALUE"""),4.0)</f>
        <v>4</v>
      </c>
      <c r="K3079" s="5">
        <f>IFERROR(__xludf.DUMMYFUNCTION("""COMPUTED_VALUE"""),0.002457002457002457)</f>
        <v>0.002457002457</v>
      </c>
      <c r="L3079" s="10">
        <f>IFERROR(__xludf.DUMMYFUNCTION("""COMPUTED_VALUE"""),1420.0)</f>
        <v>1420</v>
      </c>
      <c r="M3079" s="5">
        <f>IFERROR(__xludf.DUMMYFUNCTION("""COMPUTED_VALUE"""),0.8722358722358723)</f>
        <v>0.8722358722</v>
      </c>
    </row>
    <row r="3080">
      <c r="A3080" s="10" t="str">
        <f>IFERROR(__xludf.DUMMYFUNCTION("""COMPUTED_VALUE"""),"まほ公")</f>
        <v>まほ公</v>
      </c>
      <c r="B3080" s="10">
        <f>IFERROR(__xludf.DUMMYFUNCTION("""COMPUTED_VALUE"""),147.0)</f>
        <v>147</v>
      </c>
      <c r="C3080" s="10">
        <f>IFERROR(__xludf.DUMMYFUNCTION("""COMPUTED_VALUE"""),1768.0)</f>
        <v>1768</v>
      </c>
      <c r="D3080" s="5">
        <f>IFERROR(__xludf.DUMMYFUNCTION("""COMPUTED_VALUE"""),0.3904996915484269)</f>
        <v>0.3904996915</v>
      </c>
      <c r="E3080" s="5">
        <f>IFERROR(__xludf.DUMMYFUNCTION("""COMPUTED_VALUE"""),0.12584824182603332)</f>
        <v>0.1258482418</v>
      </c>
      <c r="F3080" s="5">
        <f>IFERROR(__xludf.DUMMYFUNCTION("""COMPUTED_VALUE"""),0.24676125848241826)</f>
        <v>0.2467612585</v>
      </c>
      <c r="G3080" s="5">
        <f>IFERROR(__xludf.DUMMYFUNCTION("""COMPUTED_VALUE"""),0.16903146206045652)</f>
        <v>0.1690314621</v>
      </c>
      <c r="H3080" s="5">
        <f>IFERROR(__xludf.DUMMYFUNCTION("""COMPUTED_VALUE"""),0.64)</f>
        <v>0.64</v>
      </c>
      <c r="I3080" s="11">
        <f>IFERROR(__xludf.DUMMYFUNCTION("""COMPUTED_VALUE"""),5125.5)</f>
        <v>5125.5</v>
      </c>
      <c r="J3080" s="10">
        <f>IFERROR(__xludf.DUMMYFUNCTION("""COMPUTED_VALUE"""),1.0)</f>
        <v>1</v>
      </c>
      <c r="K3080" s="5">
        <f>IFERROR(__xludf.DUMMYFUNCTION("""COMPUTED_VALUE"""),0.006802721088435374)</f>
        <v>0.006802721088</v>
      </c>
      <c r="L3080" s="10">
        <f>IFERROR(__xludf.DUMMYFUNCTION("""COMPUTED_VALUE"""),147.0)</f>
        <v>147</v>
      </c>
      <c r="M3080" s="5">
        <f>IFERROR(__xludf.DUMMYFUNCTION("""COMPUTED_VALUE"""),1.0)</f>
        <v>1</v>
      </c>
    </row>
    <row r="3081">
      <c r="A3081" s="10" t="str">
        <f>IFERROR(__xludf.DUMMYFUNCTION("""COMPUTED_VALUE"""),"ArAtA")</f>
        <v>ArAtA</v>
      </c>
      <c r="B3081" s="10">
        <f>IFERROR(__xludf.DUMMYFUNCTION("""COMPUTED_VALUE"""),394.0)</f>
        <v>394</v>
      </c>
      <c r="C3081" s="10">
        <f>IFERROR(__xludf.DUMMYFUNCTION("""COMPUTED_VALUE"""),4526.0)</f>
        <v>4526</v>
      </c>
      <c r="D3081" s="5">
        <f>IFERROR(__xludf.DUMMYFUNCTION("""COMPUTED_VALUE"""),0.31268151016456924)</f>
        <v>0.3126815102</v>
      </c>
      <c r="E3081" s="5">
        <f>IFERROR(__xludf.DUMMYFUNCTION("""COMPUTED_VALUE"""),0.12584704743465633)</f>
        <v>0.1258470474</v>
      </c>
      <c r="F3081" s="5">
        <f>IFERROR(__xludf.DUMMYFUNCTION("""COMPUTED_VALUE"""),0.2228944820909971)</f>
        <v>0.2228944821</v>
      </c>
      <c r="G3081" s="5">
        <f>IFERROR(__xludf.DUMMYFUNCTION("""COMPUTED_VALUE"""),0.16360116166505323)</f>
        <v>0.1636011617</v>
      </c>
      <c r="H3081" s="5">
        <f>IFERROR(__xludf.DUMMYFUNCTION("""COMPUTED_VALUE"""),0.6264929424538545)</f>
        <v>0.6264929425</v>
      </c>
      <c r="I3081" s="11">
        <f>IFERROR(__xludf.DUMMYFUNCTION("""COMPUTED_VALUE"""),5863.843648208469)</f>
        <v>5863.843648</v>
      </c>
      <c r="J3081" s="10">
        <f>IFERROR(__xludf.DUMMYFUNCTION("""COMPUTED_VALUE"""),1.0)</f>
        <v>1</v>
      </c>
      <c r="K3081" s="5">
        <f>IFERROR(__xludf.DUMMYFUNCTION("""COMPUTED_VALUE"""),0.0025380710659898475)</f>
        <v>0.002538071066</v>
      </c>
      <c r="L3081" s="10">
        <f>IFERROR(__xludf.DUMMYFUNCTION("""COMPUTED_VALUE"""),394.0)</f>
        <v>394</v>
      </c>
      <c r="M3081" s="5">
        <f>IFERROR(__xludf.DUMMYFUNCTION("""COMPUTED_VALUE"""),1.0)</f>
        <v>1</v>
      </c>
    </row>
    <row r="3082">
      <c r="A3082" s="10" t="str">
        <f>IFERROR(__xludf.DUMMYFUNCTION("""COMPUTED_VALUE"""),"内海敏昭")</f>
        <v>内海敏昭</v>
      </c>
      <c r="B3082" s="10">
        <f>IFERROR(__xludf.DUMMYFUNCTION("""COMPUTED_VALUE"""),309.0)</f>
        <v>309</v>
      </c>
      <c r="C3082" s="10">
        <f>IFERROR(__xludf.DUMMYFUNCTION("""COMPUTED_VALUE"""),3710.0)</f>
        <v>3710</v>
      </c>
      <c r="D3082" s="5">
        <f>IFERROR(__xludf.DUMMYFUNCTION("""COMPUTED_VALUE"""),0.31431931784769185)</f>
        <v>0.3143193178</v>
      </c>
      <c r="E3082" s="5">
        <f>IFERROR(__xludf.DUMMYFUNCTION("""COMPUTED_VALUE"""),0.12584533960599822)</f>
        <v>0.1258453396</v>
      </c>
      <c r="F3082" s="5">
        <f>IFERROR(__xludf.DUMMYFUNCTION("""COMPUTED_VALUE"""),0.2081740664510438)</f>
        <v>0.2081740665</v>
      </c>
      <c r="G3082" s="5">
        <f>IFERROR(__xludf.DUMMYFUNCTION("""COMPUTED_VALUE"""),0.1773007938841517)</f>
        <v>0.1773007939</v>
      </c>
      <c r="H3082" s="5">
        <f>IFERROR(__xludf.DUMMYFUNCTION("""COMPUTED_VALUE"""),0.6242937853107344)</f>
        <v>0.6242937853</v>
      </c>
      <c r="I3082" s="11">
        <f>IFERROR(__xludf.DUMMYFUNCTION("""COMPUTED_VALUE"""),5091.38418079096)</f>
        <v>5091.384181</v>
      </c>
      <c r="J3082" s="10">
        <f>IFERROR(__xludf.DUMMYFUNCTION("""COMPUTED_VALUE"""),1.0)</f>
        <v>1</v>
      </c>
      <c r="K3082" s="5">
        <f>IFERROR(__xludf.DUMMYFUNCTION("""COMPUTED_VALUE"""),0.003236245954692557)</f>
        <v>0.003236245955</v>
      </c>
      <c r="L3082" s="10">
        <f>IFERROR(__xludf.DUMMYFUNCTION("""COMPUTED_VALUE"""),309.0)</f>
        <v>309</v>
      </c>
      <c r="M3082" s="5">
        <f>IFERROR(__xludf.DUMMYFUNCTION("""COMPUTED_VALUE"""),1.0)</f>
        <v>1</v>
      </c>
    </row>
    <row r="3083">
      <c r="A3083" s="10" t="str">
        <f>IFERROR(__xludf.DUMMYFUNCTION("""COMPUTED_VALUE"""),"ちるちる＠")</f>
        <v>ちるちる＠</v>
      </c>
      <c r="B3083" s="10">
        <f>IFERROR(__xludf.DUMMYFUNCTION("""COMPUTED_VALUE"""),122.0)</f>
        <v>122</v>
      </c>
      <c r="C3083" s="10">
        <f>IFERROR(__xludf.DUMMYFUNCTION("""COMPUTED_VALUE"""),1457.0)</f>
        <v>1457</v>
      </c>
      <c r="D3083" s="5">
        <f>IFERROR(__xludf.DUMMYFUNCTION("""COMPUTED_VALUE"""),0.40749063670411984)</f>
        <v>0.4074906367</v>
      </c>
      <c r="E3083" s="5">
        <f>IFERROR(__xludf.DUMMYFUNCTION("""COMPUTED_VALUE"""),0.1258426966292135)</f>
        <v>0.1258426966</v>
      </c>
      <c r="F3083" s="5">
        <f>IFERROR(__xludf.DUMMYFUNCTION("""COMPUTED_VALUE"""),0.21123595505617979)</f>
        <v>0.2112359551</v>
      </c>
      <c r="G3083" s="5">
        <f>IFERROR(__xludf.DUMMYFUNCTION("""COMPUTED_VALUE"""),0.16104868913857678)</f>
        <v>0.1610486891</v>
      </c>
      <c r="H3083" s="5">
        <f>IFERROR(__xludf.DUMMYFUNCTION("""COMPUTED_VALUE"""),0.624113475177305)</f>
        <v>0.6241134752</v>
      </c>
      <c r="I3083" s="11">
        <f>IFERROR(__xludf.DUMMYFUNCTION("""COMPUTED_VALUE"""),5072.340425531915)</f>
        <v>5072.340426</v>
      </c>
      <c r="J3083" s="10">
        <f>IFERROR(__xludf.DUMMYFUNCTION("""COMPUTED_VALUE"""),0.0)</f>
        <v>0</v>
      </c>
      <c r="K3083" s="5">
        <f>IFERROR(__xludf.DUMMYFUNCTION("""COMPUTED_VALUE"""),0.0)</f>
        <v>0</v>
      </c>
      <c r="L3083" s="10">
        <f>IFERROR(__xludf.DUMMYFUNCTION("""COMPUTED_VALUE"""),29.0)</f>
        <v>29</v>
      </c>
      <c r="M3083" s="5">
        <f>IFERROR(__xludf.DUMMYFUNCTION("""COMPUTED_VALUE"""),0.23770491803278687)</f>
        <v>0.237704918</v>
      </c>
    </row>
    <row r="3084">
      <c r="A3084" s="10" t="str">
        <f>IFERROR(__xludf.DUMMYFUNCTION("""COMPUTED_VALUE"""),"1976")</f>
        <v>1976</v>
      </c>
      <c r="B3084" s="10">
        <f>IFERROR(__xludf.DUMMYFUNCTION("""COMPUTED_VALUE"""),285.0)</f>
        <v>285</v>
      </c>
      <c r="C3084" s="10">
        <f>IFERROR(__xludf.DUMMYFUNCTION("""COMPUTED_VALUE"""),3408.0)</f>
        <v>3408</v>
      </c>
      <c r="D3084" s="5">
        <f>IFERROR(__xludf.DUMMYFUNCTION("""COMPUTED_VALUE"""),0.35894972782580853)</f>
        <v>0.3589497278</v>
      </c>
      <c r="E3084" s="5">
        <f>IFERROR(__xludf.DUMMYFUNCTION("""COMPUTED_VALUE"""),0.12584053794428435)</f>
        <v>0.1258405379</v>
      </c>
      <c r="F3084" s="5">
        <f>IFERROR(__xludf.DUMMYFUNCTION("""COMPUTED_VALUE"""),0.228626320845341)</f>
        <v>0.2286263208</v>
      </c>
      <c r="G3084" s="5">
        <f>IFERROR(__xludf.DUMMYFUNCTION("""COMPUTED_VALUE"""),0.16810758885686838)</f>
        <v>0.1681075889</v>
      </c>
      <c r="H3084" s="5">
        <f>IFERROR(__xludf.DUMMYFUNCTION("""COMPUTED_VALUE"""),0.6064425770308123)</f>
        <v>0.606442577</v>
      </c>
      <c r="I3084" s="11">
        <f>IFERROR(__xludf.DUMMYFUNCTION("""COMPUTED_VALUE"""),5424.36974789916)</f>
        <v>5424.369748</v>
      </c>
      <c r="J3084" s="10">
        <f>IFERROR(__xludf.DUMMYFUNCTION("""COMPUTED_VALUE"""),0.0)</f>
        <v>0</v>
      </c>
      <c r="K3084" s="5">
        <f>IFERROR(__xludf.DUMMYFUNCTION("""COMPUTED_VALUE"""),0.0)</f>
        <v>0</v>
      </c>
      <c r="L3084" s="10">
        <f>IFERROR(__xludf.DUMMYFUNCTION("""COMPUTED_VALUE"""),285.0)</f>
        <v>285</v>
      </c>
      <c r="M3084" s="5">
        <f>IFERROR(__xludf.DUMMYFUNCTION("""COMPUTED_VALUE"""),1.0)</f>
        <v>1</v>
      </c>
    </row>
    <row r="3085">
      <c r="A3085" s="10" t="str">
        <f>IFERROR(__xludf.DUMMYFUNCTION("""COMPUTED_VALUE"""),"〓いちはら〓")</f>
        <v>〓いちはら〓</v>
      </c>
      <c r="B3085" s="10">
        <f>IFERROR(__xludf.DUMMYFUNCTION("""COMPUTED_VALUE"""),3953.0)</f>
        <v>3953</v>
      </c>
      <c r="C3085" s="10">
        <f>IFERROR(__xludf.DUMMYFUNCTION("""COMPUTED_VALUE"""),46024.0)</f>
        <v>46024</v>
      </c>
      <c r="D3085" s="5">
        <f>IFERROR(__xludf.DUMMYFUNCTION("""COMPUTED_VALUE"""),0.3013714910508426)</f>
        <v>0.3013714911</v>
      </c>
      <c r="E3085" s="5">
        <f>IFERROR(__xludf.DUMMYFUNCTION("""COMPUTED_VALUE"""),0.12583489814836823)</f>
        <v>0.1258348981</v>
      </c>
      <c r="F3085" s="5">
        <f>IFERROR(__xludf.DUMMYFUNCTION("""COMPUTED_VALUE"""),0.21147583846354973)</f>
        <v>0.2114758385</v>
      </c>
      <c r="G3085" s="5">
        <f>IFERROR(__xludf.DUMMYFUNCTION("""COMPUTED_VALUE"""),0.16388961517434814)</f>
        <v>0.1638896152</v>
      </c>
      <c r="H3085" s="5">
        <f>IFERROR(__xludf.DUMMYFUNCTION("""COMPUTED_VALUE"""),0.6070585590648533)</f>
        <v>0.6070585591</v>
      </c>
      <c r="I3085" s="11">
        <f>IFERROR(__xludf.DUMMYFUNCTION("""COMPUTED_VALUE"""),5995.560301225132)</f>
        <v>5995.560301</v>
      </c>
      <c r="J3085" s="10">
        <f>IFERROR(__xludf.DUMMYFUNCTION("""COMPUTED_VALUE"""),12.0)</f>
        <v>12</v>
      </c>
      <c r="K3085" s="5">
        <f>IFERROR(__xludf.DUMMYFUNCTION("""COMPUTED_VALUE"""),0.0030356691120667846)</f>
        <v>0.003035669112</v>
      </c>
      <c r="L3085" s="10">
        <f>IFERROR(__xludf.DUMMYFUNCTION("""COMPUTED_VALUE"""),3953.0)</f>
        <v>3953</v>
      </c>
      <c r="M3085" s="5">
        <f>IFERROR(__xludf.DUMMYFUNCTION("""COMPUTED_VALUE"""),1.0)</f>
        <v>1</v>
      </c>
    </row>
    <row r="3086">
      <c r="A3086" s="10" t="str">
        <f>IFERROR(__xludf.DUMMYFUNCTION("""COMPUTED_VALUE"""),"沙織バジーナ")</f>
        <v>沙織バジーナ</v>
      </c>
      <c r="B3086" s="10">
        <f>IFERROR(__xludf.DUMMYFUNCTION("""COMPUTED_VALUE"""),673.0)</f>
        <v>673</v>
      </c>
      <c r="C3086" s="10">
        <f>IFERROR(__xludf.DUMMYFUNCTION("""COMPUTED_VALUE"""),7897.0)</f>
        <v>7897</v>
      </c>
      <c r="D3086" s="5">
        <f>IFERROR(__xludf.DUMMYFUNCTION("""COMPUTED_VALUE"""),0.33942414174972313)</f>
        <v>0.3394241417</v>
      </c>
      <c r="E3086" s="5">
        <f>IFERROR(__xludf.DUMMYFUNCTION("""COMPUTED_VALUE"""),0.12583056478405316)</f>
        <v>0.1258305648</v>
      </c>
      <c r="F3086" s="5">
        <f>IFERROR(__xludf.DUMMYFUNCTION("""COMPUTED_VALUE"""),0.2101328903654485)</f>
        <v>0.2101328904</v>
      </c>
      <c r="G3086" s="5">
        <f>IFERROR(__xludf.DUMMYFUNCTION("""COMPUTED_VALUE"""),0.17054263565891473)</f>
        <v>0.1705426357</v>
      </c>
      <c r="H3086" s="5">
        <f>IFERROR(__xludf.DUMMYFUNCTION("""COMPUTED_VALUE"""),0.5770750988142292)</f>
        <v>0.5770750988</v>
      </c>
      <c r="I3086" s="11">
        <f>IFERROR(__xludf.DUMMYFUNCTION("""COMPUTED_VALUE"""),5831.488801054018)</f>
        <v>5831.488801</v>
      </c>
      <c r="J3086" s="10">
        <f>IFERROR(__xludf.DUMMYFUNCTION("""COMPUTED_VALUE"""),0.0)</f>
        <v>0</v>
      </c>
      <c r="K3086" s="5">
        <f>IFERROR(__xludf.DUMMYFUNCTION("""COMPUTED_VALUE"""),0.0)</f>
        <v>0</v>
      </c>
      <c r="L3086" s="10">
        <f>IFERROR(__xludf.DUMMYFUNCTION("""COMPUTED_VALUE"""),0.0)</f>
        <v>0</v>
      </c>
      <c r="M3086" s="5">
        <f>IFERROR(__xludf.DUMMYFUNCTION("""COMPUTED_VALUE"""),0.0)</f>
        <v>0</v>
      </c>
    </row>
    <row r="3087">
      <c r="A3087" s="10" t="str">
        <f>IFERROR(__xludf.DUMMYFUNCTION("""COMPUTED_VALUE"""),"の子供")</f>
        <v>の子供</v>
      </c>
      <c r="B3087" s="10">
        <f>IFERROR(__xludf.DUMMYFUNCTION("""COMPUTED_VALUE"""),451.0)</f>
        <v>451</v>
      </c>
      <c r="C3087" s="10">
        <f>IFERROR(__xludf.DUMMYFUNCTION("""COMPUTED_VALUE"""),5275.0)</f>
        <v>5275</v>
      </c>
      <c r="D3087" s="5">
        <f>IFERROR(__xludf.DUMMYFUNCTION("""COMPUTED_VALUE"""),0.3034825870646766)</f>
        <v>0.3034825871</v>
      </c>
      <c r="E3087" s="5">
        <f>IFERROR(__xludf.DUMMYFUNCTION("""COMPUTED_VALUE"""),0.12582918739635157)</f>
        <v>0.1258291874</v>
      </c>
      <c r="F3087" s="5">
        <f>IFERROR(__xludf.DUMMYFUNCTION("""COMPUTED_VALUE"""),0.199212271973466)</f>
        <v>0.199212272</v>
      </c>
      <c r="G3087" s="5">
        <f>IFERROR(__xludf.DUMMYFUNCTION("""COMPUTED_VALUE"""),0.15796019900497513)</f>
        <v>0.157960199</v>
      </c>
      <c r="H3087" s="5">
        <f>IFERROR(__xludf.DUMMYFUNCTION("""COMPUTED_VALUE"""),0.6004162330905307)</f>
        <v>0.6004162331</v>
      </c>
      <c r="I3087" s="11">
        <f>IFERROR(__xludf.DUMMYFUNCTION("""COMPUTED_VALUE"""),5591.571279916753)</f>
        <v>5591.57128</v>
      </c>
      <c r="J3087" s="10">
        <f>IFERROR(__xludf.DUMMYFUNCTION("""COMPUTED_VALUE"""),1.0)</f>
        <v>1</v>
      </c>
      <c r="K3087" s="5">
        <f>IFERROR(__xludf.DUMMYFUNCTION("""COMPUTED_VALUE"""),0.0022172949002217295)</f>
        <v>0.0022172949</v>
      </c>
      <c r="L3087" s="10">
        <f>IFERROR(__xludf.DUMMYFUNCTION("""COMPUTED_VALUE"""),451.0)</f>
        <v>451</v>
      </c>
      <c r="M3087" s="5">
        <f>IFERROR(__xludf.DUMMYFUNCTION("""COMPUTED_VALUE"""),1.0)</f>
        <v>1</v>
      </c>
    </row>
    <row r="3088">
      <c r="A3088" s="10" t="str">
        <f>IFERROR(__xludf.DUMMYFUNCTION("""COMPUTED_VALUE"""),"須佐之男")</f>
        <v>須佐之男</v>
      </c>
      <c r="B3088" s="10">
        <f>IFERROR(__xludf.DUMMYFUNCTION("""COMPUTED_VALUE"""),130.0)</f>
        <v>130</v>
      </c>
      <c r="C3088" s="10">
        <f>IFERROR(__xludf.DUMMYFUNCTION("""COMPUTED_VALUE"""),1505.0)</f>
        <v>1505</v>
      </c>
      <c r="D3088" s="5">
        <f>IFERROR(__xludf.DUMMYFUNCTION("""COMPUTED_VALUE"""),0.25381818181818183)</f>
        <v>0.2538181818</v>
      </c>
      <c r="E3088" s="5">
        <f>IFERROR(__xludf.DUMMYFUNCTION("""COMPUTED_VALUE"""),0.12581818181818183)</f>
        <v>0.1258181818</v>
      </c>
      <c r="F3088" s="5">
        <f>IFERROR(__xludf.DUMMYFUNCTION("""COMPUTED_VALUE"""),0.17163636363636364)</f>
        <v>0.1716363636</v>
      </c>
      <c r="G3088" s="5">
        <f>IFERROR(__xludf.DUMMYFUNCTION("""COMPUTED_VALUE"""),0.15636363636363637)</f>
        <v>0.1563636364</v>
      </c>
      <c r="H3088" s="5">
        <f>IFERROR(__xludf.DUMMYFUNCTION("""COMPUTED_VALUE"""),0.576271186440678)</f>
        <v>0.5762711864</v>
      </c>
      <c r="I3088" s="11">
        <f>IFERROR(__xludf.DUMMYFUNCTION("""COMPUTED_VALUE"""),5881.35593220339)</f>
        <v>5881.355932</v>
      </c>
      <c r="J3088" s="10">
        <f>IFERROR(__xludf.DUMMYFUNCTION("""COMPUTED_VALUE"""),0.0)</f>
        <v>0</v>
      </c>
      <c r="K3088" s="5">
        <f>IFERROR(__xludf.DUMMYFUNCTION("""COMPUTED_VALUE"""),0.0)</f>
        <v>0</v>
      </c>
      <c r="L3088" s="10">
        <f>IFERROR(__xludf.DUMMYFUNCTION("""COMPUTED_VALUE"""),130.0)</f>
        <v>130</v>
      </c>
      <c r="M3088" s="5">
        <f>IFERROR(__xludf.DUMMYFUNCTION("""COMPUTED_VALUE"""),1.0)</f>
        <v>1</v>
      </c>
    </row>
    <row r="3089">
      <c r="A3089" s="10" t="str">
        <f>IFERROR(__xludf.DUMMYFUNCTION("""COMPUTED_VALUE"""),"そら豆先生")</f>
        <v>そら豆先生</v>
      </c>
      <c r="B3089" s="10">
        <f>IFERROR(__xludf.DUMMYFUNCTION("""COMPUTED_VALUE"""),790.0)</f>
        <v>790</v>
      </c>
      <c r="C3089" s="10">
        <f>IFERROR(__xludf.DUMMYFUNCTION("""COMPUTED_VALUE"""),9223.0)</f>
        <v>9223</v>
      </c>
      <c r="D3089" s="5">
        <f>IFERROR(__xludf.DUMMYFUNCTION("""COMPUTED_VALUE"""),0.3830190916637021)</f>
        <v>0.3830190917</v>
      </c>
      <c r="E3089" s="5">
        <f>IFERROR(__xludf.DUMMYFUNCTION("""COMPUTED_VALUE"""),0.12581524961460927)</f>
        <v>0.1258152496</v>
      </c>
      <c r="F3089" s="5">
        <f>IFERROR(__xludf.DUMMYFUNCTION("""COMPUTED_VALUE"""),0.2120241906794735)</f>
        <v>0.2120241907</v>
      </c>
      <c r="G3089" s="5">
        <f>IFERROR(__xludf.DUMMYFUNCTION("""COMPUTED_VALUE"""),0.17490809913435312)</f>
        <v>0.1749080991</v>
      </c>
      <c r="H3089" s="5">
        <f>IFERROR(__xludf.DUMMYFUNCTION("""COMPUTED_VALUE"""),0.6062639821029083)</f>
        <v>0.6062639821</v>
      </c>
      <c r="I3089" s="11">
        <f>IFERROR(__xludf.DUMMYFUNCTION("""COMPUTED_VALUE"""),5611.52125279642)</f>
        <v>5611.521253</v>
      </c>
      <c r="J3089" s="10">
        <f>IFERROR(__xludf.DUMMYFUNCTION("""COMPUTED_VALUE"""),0.0)</f>
        <v>0</v>
      </c>
      <c r="K3089" s="5">
        <f>IFERROR(__xludf.DUMMYFUNCTION("""COMPUTED_VALUE"""),0.0)</f>
        <v>0</v>
      </c>
      <c r="L3089" s="10">
        <f>IFERROR(__xludf.DUMMYFUNCTION("""COMPUTED_VALUE"""),715.0)</f>
        <v>715</v>
      </c>
      <c r="M3089" s="5">
        <f>IFERROR(__xludf.DUMMYFUNCTION("""COMPUTED_VALUE"""),0.9050632911392406)</f>
        <v>0.9050632911</v>
      </c>
    </row>
    <row r="3090">
      <c r="A3090" s="10" t="str">
        <f>IFERROR(__xludf.DUMMYFUNCTION("""COMPUTED_VALUE"""),"一八六”")</f>
        <v>一八六”</v>
      </c>
      <c r="B3090" s="10">
        <f>IFERROR(__xludf.DUMMYFUNCTION("""COMPUTED_VALUE"""),497.0)</f>
        <v>497</v>
      </c>
      <c r="C3090" s="10">
        <f>IFERROR(__xludf.DUMMYFUNCTION("""COMPUTED_VALUE"""),5902.0)</f>
        <v>5902</v>
      </c>
      <c r="D3090" s="5">
        <f>IFERROR(__xludf.DUMMYFUNCTION("""COMPUTED_VALUE"""),0.4003700277520814)</f>
        <v>0.4003700278</v>
      </c>
      <c r="E3090" s="5">
        <f>IFERROR(__xludf.DUMMYFUNCTION("""COMPUTED_VALUE"""),0.12580943570767808)</f>
        <v>0.1258094357</v>
      </c>
      <c r="F3090" s="5">
        <f>IFERROR(__xludf.DUMMYFUNCTION("""COMPUTED_VALUE"""),0.22368177613321)</f>
        <v>0.2236817761</v>
      </c>
      <c r="G3090" s="5">
        <f>IFERROR(__xludf.DUMMYFUNCTION("""COMPUTED_VALUE"""),0.15504162812210917)</f>
        <v>0.1550416281</v>
      </c>
      <c r="H3090" s="5">
        <f>IFERROR(__xludf.DUMMYFUNCTION("""COMPUTED_VALUE"""),0.5955334987593052)</f>
        <v>0.5955334988</v>
      </c>
      <c r="I3090" s="11">
        <f>IFERROR(__xludf.DUMMYFUNCTION("""COMPUTED_VALUE"""),5179.404466501241)</f>
        <v>5179.404467</v>
      </c>
      <c r="J3090" s="10">
        <f>IFERROR(__xludf.DUMMYFUNCTION("""COMPUTED_VALUE"""),1.0)</f>
        <v>1</v>
      </c>
      <c r="K3090" s="5">
        <f>IFERROR(__xludf.DUMMYFUNCTION("""COMPUTED_VALUE"""),0.002012072434607646)</f>
        <v>0.002012072435</v>
      </c>
      <c r="L3090" s="10">
        <f>IFERROR(__xludf.DUMMYFUNCTION("""COMPUTED_VALUE"""),497.0)</f>
        <v>497</v>
      </c>
      <c r="M3090" s="5">
        <f>IFERROR(__xludf.DUMMYFUNCTION("""COMPUTED_VALUE"""),1.0)</f>
        <v>1</v>
      </c>
    </row>
    <row r="3091">
      <c r="A3091" s="10" t="str">
        <f>IFERROR(__xludf.DUMMYFUNCTION("""COMPUTED_VALUE"""),"御無礼ポンのみ")</f>
        <v>御無礼ポンのみ</v>
      </c>
      <c r="B3091" s="10">
        <f>IFERROR(__xludf.DUMMYFUNCTION("""COMPUTED_VALUE"""),233.0)</f>
        <v>233</v>
      </c>
      <c r="C3091" s="10">
        <f>IFERROR(__xludf.DUMMYFUNCTION("""COMPUTED_VALUE"""),2729.0)</f>
        <v>2729</v>
      </c>
      <c r="D3091" s="5">
        <f>IFERROR(__xludf.DUMMYFUNCTION("""COMPUTED_VALUE"""),0.3529647435897436)</f>
        <v>0.3529647436</v>
      </c>
      <c r="E3091" s="5">
        <f>IFERROR(__xludf.DUMMYFUNCTION("""COMPUTED_VALUE"""),0.12580128205128205)</f>
        <v>0.1258012821</v>
      </c>
      <c r="F3091" s="5">
        <f>IFERROR(__xludf.DUMMYFUNCTION("""COMPUTED_VALUE"""),0.1955128205128205)</f>
        <v>0.1955128205</v>
      </c>
      <c r="G3091" s="5">
        <f>IFERROR(__xludf.DUMMYFUNCTION("""COMPUTED_VALUE"""),0.16346153846153846)</f>
        <v>0.1634615385</v>
      </c>
      <c r="H3091" s="5">
        <f>IFERROR(__xludf.DUMMYFUNCTION("""COMPUTED_VALUE"""),0.5655737704918032)</f>
        <v>0.5655737705</v>
      </c>
      <c r="I3091" s="11">
        <f>IFERROR(__xludf.DUMMYFUNCTION("""COMPUTED_VALUE"""),6001.024590163935)</f>
        <v>6001.02459</v>
      </c>
      <c r="J3091" s="10">
        <f>IFERROR(__xludf.DUMMYFUNCTION("""COMPUTED_VALUE"""),0.0)</f>
        <v>0</v>
      </c>
      <c r="K3091" s="5">
        <f>IFERROR(__xludf.DUMMYFUNCTION("""COMPUTED_VALUE"""),0.0)</f>
        <v>0</v>
      </c>
      <c r="L3091" s="10">
        <f>IFERROR(__xludf.DUMMYFUNCTION("""COMPUTED_VALUE"""),184.0)</f>
        <v>184</v>
      </c>
      <c r="M3091" s="5">
        <f>IFERROR(__xludf.DUMMYFUNCTION("""COMPUTED_VALUE"""),0.7896995708154506)</f>
        <v>0.7896995708</v>
      </c>
    </row>
    <row r="3092">
      <c r="A3092" s="10" t="str">
        <f>IFERROR(__xludf.DUMMYFUNCTION("""COMPUTED_VALUE"""),"nimutan")</f>
        <v>nimutan</v>
      </c>
      <c r="B3092" s="10">
        <f>IFERROR(__xludf.DUMMYFUNCTION("""COMPUTED_VALUE"""),474.0)</f>
        <v>474</v>
      </c>
      <c r="C3092" s="10">
        <f>IFERROR(__xludf.DUMMYFUNCTION("""COMPUTED_VALUE"""),5482.0)</f>
        <v>5482</v>
      </c>
      <c r="D3092" s="5">
        <f>IFERROR(__xludf.DUMMYFUNCTION("""COMPUTED_VALUE"""),0.31110223642172524)</f>
        <v>0.3111022364</v>
      </c>
      <c r="E3092" s="5">
        <f>IFERROR(__xludf.DUMMYFUNCTION("""COMPUTED_VALUE"""),0.12579872204472844)</f>
        <v>0.125798722</v>
      </c>
      <c r="F3092" s="5">
        <f>IFERROR(__xludf.DUMMYFUNCTION("""COMPUTED_VALUE"""),0.19109424920127796)</f>
        <v>0.1910942492</v>
      </c>
      <c r="G3092" s="5">
        <f>IFERROR(__xludf.DUMMYFUNCTION("""COMPUTED_VALUE"""),0.15375399361022365)</f>
        <v>0.1537539936</v>
      </c>
      <c r="H3092" s="5">
        <f>IFERROR(__xludf.DUMMYFUNCTION("""COMPUTED_VALUE"""),0.599791013584117)</f>
        <v>0.5997910136</v>
      </c>
      <c r="I3092" s="11">
        <f>IFERROR(__xludf.DUMMYFUNCTION("""COMPUTED_VALUE"""),5519.435736677116)</f>
        <v>5519.435737</v>
      </c>
      <c r="J3092" s="10">
        <f>IFERROR(__xludf.DUMMYFUNCTION("""COMPUTED_VALUE"""),1.0)</f>
        <v>1</v>
      </c>
      <c r="K3092" s="5">
        <f>IFERROR(__xludf.DUMMYFUNCTION("""COMPUTED_VALUE"""),0.002109704641350211)</f>
        <v>0.002109704641</v>
      </c>
      <c r="L3092" s="10">
        <f>IFERROR(__xludf.DUMMYFUNCTION("""COMPUTED_VALUE"""),474.0)</f>
        <v>474</v>
      </c>
      <c r="M3092" s="5">
        <f>IFERROR(__xludf.DUMMYFUNCTION("""COMPUTED_VALUE"""),1.0)</f>
        <v>1</v>
      </c>
    </row>
    <row r="3093">
      <c r="A3093" s="10" t="str">
        <f>IFERROR(__xludf.DUMMYFUNCTION("""COMPUTED_VALUE"""),"Negitoro")</f>
        <v>Negitoro</v>
      </c>
      <c r="B3093" s="10">
        <f>IFERROR(__xludf.DUMMYFUNCTION("""COMPUTED_VALUE"""),1008.0)</f>
        <v>1008</v>
      </c>
      <c r="C3093" s="10">
        <f>IFERROR(__xludf.DUMMYFUNCTION("""COMPUTED_VALUE"""),11684.0)</f>
        <v>11684</v>
      </c>
      <c r="D3093" s="5">
        <f>IFERROR(__xludf.DUMMYFUNCTION("""COMPUTED_VALUE"""),0.38291494941925813)</f>
        <v>0.3829149494</v>
      </c>
      <c r="E3093" s="5">
        <f>IFERROR(__xludf.DUMMYFUNCTION("""COMPUTED_VALUE"""),0.12579617834394904)</f>
        <v>0.1257961783</v>
      </c>
      <c r="F3093" s="5">
        <f>IFERROR(__xludf.DUMMYFUNCTION("""COMPUTED_VALUE"""),0.21421880854252529)</f>
        <v>0.2142188085</v>
      </c>
      <c r="G3093" s="5">
        <f>IFERROR(__xludf.DUMMYFUNCTION("""COMPUTED_VALUE"""),0.19014612214312476)</f>
        <v>0.1901461221</v>
      </c>
      <c r="H3093" s="5">
        <f>IFERROR(__xludf.DUMMYFUNCTION("""COMPUTED_VALUE"""),0.570179274158286)</f>
        <v>0.5701792742</v>
      </c>
      <c r="I3093" s="11">
        <f>IFERROR(__xludf.DUMMYFUNCTION("""COMPUTED_VALUE"""),5771.403585483165)</f>
        <v>5771.403585</v>
      </c>
      <c r="J3093" s="10">
        <f>IFERROR(__xludf.DUMMYFUNCTION("""COMPUTED_VALUE"""),3.0)</f>
        <v>3</v>
      </c>
      <c r="K3093" s="5">
        <f>IFERROR(__xludf.DUMMYFUNCTION("""COMPUTED_VALUE"""),0.002976190476190476)</f>
        <v>0.002976190476</v>
      </c>
      <c r="L3093" s="10">
        <f>IFERROR(__xludf.DUMMYFUNCTION("""COMPUTED_VALUE"""),1008.0)</f>
        <v>1008</v>
      </c>
      <c r="M3093" s="5">
        <f>IFERROR(__xludf.DUMMYFUNCTION("""COMPUTED_VALUE"""),1.0)</f>
        <v>1</v>
      </c>
    </row>
    <row r="3094">
      <c r="A3094" s="10" t="str">
        <f>IFERROR(__xludf.DUMMYFUNCTION("""COMPUTED_VALUE"""),"ブラフ・Navi")</f>
        <v>ブラフ・Navi</v>
      </c>
      <c r="B3094" s="10">
        <f>IFERROR(__xludf.DUMMYFUNCTION("""COMPUTED_VALUE"""),513.0)</f>
        <v>513</v>
      </c>
      <c r="C3094" s="10">
        <f>IFERROR(__xludf.DUMMYFUNCTION("""COMPUTED_VALUE"""),6030.0)</f>
        <v>6030</v>
      </c>
      <c r="D3094" s="5">
        <f>IFERROR(__xludf.DUMMYFUNCTION("""COMPUTED_VALUE"""),0.2963567156063078)</f>
        <v>0.2963567156</v>
      </c>
      <c r="E3094" s="5">
        <f>IFERROR(__xludf.DUMMYFUNCTION("""COMPUTED_VALUE"""),0.12579300344390068)</f>
        <v>0.1257930034</v>
      </c>
      <c r="F3094" s="5">
        <f>IFERROR(__xludf.DUMMYFUNCTION("""COMPUTED_VALUE"""),0.21950335327170564)</f>
        <v>0.2195033533</v>
      </c>
      <c r="G3094" s="5">
        <f>IFERROR(__xludf.DUMMYFUNCTION("""COMPUTED_VALUE"""),0.19249592169657423)</f>
        <v>0.1924959217</v>
      </c>
      <c r="H3094" s="5">
        <f>IFERROR(__xludf.DUMMYFUNCTION("""COMPUTED_VALUE"""),0.6077621800165153)</f>
        <v>0.60776218</v>
      </c>
      <c r="I3094" s="11">
        <f>IFERROR(__xludf.DUMMYFUNCTION("""COMPUTED_VALUE"""),5662.840627580512)</f>
        <v>5662.840628</v>
      </c>
      <c r="J3094" s="10">
        <f>IFERROR(__xludf.DUMMYFUNCTION("""COMPUTED_VALUE"""),1.0)</f>
        <v>1</v>
      </c>
      <c r="K3094" s="5">
        <f>IFERROR(__xludf.DUMMYFUNCTION("""COMPUTED_VALUE"""),0.001949317738791423)</f>
        <v>0.001949317739</v>
      </c>
      <c r="L3094" s="10">
        <f>IFERROR(__xludf.DUMMYFUNCTION("""COMPUTED_VALUE"""),513.0)</f>
        <v>513</v>
      </c>
      <c r="M3094" s="5">
        <f>IFERROR(__xludf.DUMMYFUNCTION("""COMPUTED_VALUE"""),1.0)</f>
        <v>1</v>
      </c>
    </row>
    <row r="3095">
      <c r="A3095" s="10" t="str">
        <f>IFERROR(__xludf.DUMMYFUNCTION("""COMPUTED_VALUE"""),"(っ'ヮ'c)")</f>
        <v>(っ'ヮ'c)</v>
      </c>
      <c r="B3095" s="10">
        <f>IFERROR(__xludf.DUMMYFUNCTION("""COMPUTED_VALUE"""),1062.0)</f>
        <v>1062</v>
      </c>
      <c r="C3095" s="10">
        <f>IFERROR(__xludf.DUMMYFUNCTION("""COMPUTED_VALUE"""),12422.0)</f>
        <v>12422</v>
      </c>
      <c r="D3095" s="5">
        <f>IFERROR(__xludf.DUMMYFUNCTION("""COMPUTED_VALUE"""),0.325)</f>
        <v>0.325</v>
      </c>
      <c r="E3095" s="5">
        <f>IFERROR(__xludf.DUMMYFUNCTION("""COMPUTED_VALUE"""),0.12579225352112677)</f>
        <v>0.1257922535</v>
      </c>
      <c r="F3095" s="5">
        <f>IFERROR(__xludf.DUMMYFUNCTION("""COMPUTED_VALUE"""),0.2186619718309859)</f>
        <v>0.2186619718</v>
      </c>
      <c r="G3095" s="5">
        <f>IFERROR(__xludf.DUMMYFUNCTION("""COMPUTED_VALUE"""),0.18441901408450703)</f>
        <v>0.1844190141</v>
      </c>
      <c r="H3095" s="5">
        <f>IFERROR(__xludf.DUMMYFUNCTION("""COMPUTED_VALUE"""),0.5780998389694042)</f>
        <v>0.578099839</v>
      </c>
      <c r="I3095" s="11">
        <f>IFERROR(__xludf.DUMMYFUNCTION("""COMPUTED_VALUE"""),5641.94847020934)</f>
        <v>5641.94847</v>
      </c>
      <c r="J3095" s="10">
        <f>IFERROR(__xludf.DUMMYFUNCTION("""COMPUTED_VALUE"""),2.0)</f>
        <v>2</v>
      </c>
      <c r="K3095" s="5">
        <f>IFERROR(__xludf.DUMMYFUNCTION("""COMPUTED_VALUE"""),0.0018832391713747645)</f>
        <v>0.001883239171</v>
      </c>
      <c r="L3095" s="10">
        <f>IFERROR(__xludf.DUMMYFUNCTION("""COMPUTED_VALUE"""),173.0)</f>
        <v>173</v>
      </c>
      <c r="M3095" s="5">
        <f>IFERROR(__xludf.DUMMYFUNCTION("""COMPUTED_VALUE"""),0.16290018832391714)</f>
        <v>0.1629001883</v>
      </c>
    </row>
    <row r="3096">
      <c r="A3096" s="10" t="str">
        <f>IFERROR(__xludf.DUMMYFUNCTION("""COMPUTED_VALUE"""),"アンこび")</f>
        <v>アンこび</v>
      </c>
      <c r="B3096" s="10">
        <f>IFERROR(__xludf.DUMMYFUNCTION("""COMPUTED_VALUE"""),2542.0)</f>
        <v>2542</v>
      </c>
      <c r="C3096" s="10">
        <f>IFERROR(__xludf.DUMMYFUNCTION("""COMPUTED_VALUE"""),29770.0)</f>
        <v>29770</v>
      </c>
      <c r="D3096" s="5">
        <f>IFERROR(__xludf.DUMMYFUNCTION("""COMPUTED_VALUE"""),0.29374173644777435)</f>
        <v>0.2937417364</v>
      </c>
      <c r="E3096" s="5">
        <f>IFERROR(__xludf.DUMMYFUNCTION("""COMPUTED_VALUE"""),0.12578962832378435)</f>
        <v>0.1257896283</v>
      </c>
      <c r="F3096" s="5">
        <f>IFERROR(__xludf.DUMMYFUNCTION("""COMPUTED_VALUE"""),0.20629499045100633)</f>
        <v>0.2062949905</v>
      </c>
      <c r="G3096" s="5">
        <f>IFERROR(__xludf.DUMMYFUNCTION("""COMPUTED_VALUE"""),0.18624210371676217)</f>
        <v>0.1862421037</v>
      </c>
      <c r="H3096" s="5">
        <f>IFERROR(__xludf.DUMMYFUNCTION("""COMPUTED_VALUE"""),0.5777105216307638)</f>
        <v>0.5777105216</v>
      </c>
      <c r="I3096" s="11">
        <f>IFERROR(__xludf.DUMMYFUNCTION("""COMPUTED_VALUE"""),5807.210254584297)</f>
        <v>5807.210255</v>
      </c>
      <c r="J3096" s="10">
        <f>IFERROR(__xludf.DUMMYFUNCTION("""COMPUTED_VALUE"""),3.0)</f>
        <v>3</v>
      </c>
      <c r="K3096" s="5">
        <f>IFERROR(__xludf.DUMMYFUNCTION("""COMPUTED_VALUE"""),0.0011801730920535012)</f>
        <v>0.001180173092</v>
      </c>
      <c r="L3096" s="10">
        <f>IFERROR(__xludf.DUMMYFUNCTION("""COMPUTED_VALUE"""),1016.0)</f>
        <v>1016</v>
      </c>
      <c r="M3096" s="5">
        <f>IFERROR(__xludf.DUMMYFUNCTION("""COMPUTED_VALUE"""),0.3996852871754524)</f>
        <v>0.3996852872</v>
      </c>
    </row>
    <row r="3097">
      <c r="A3097" s="10" t="str">
        <f>IFERROR(__xludf.DUMMYFUNCTION("""COMPUTED_VALUE"""),"AurorA")</f>
        <v>AurorA</v>
      </c>
      <c r="B3097" s="10">
        <f>IFERROR(__xludf.DUMMYFUNCTION("""COMPUTED_VALUE"""),512.0)</f>
        <v>512</v>
      </c>
      <c r="C3097" s="10">
        <f>IFERROR(__xludf.DUMMYFUNCTION("""COMPUTED_VALUE"""),5918.0)</f>
        <v>5918</v>
      </c>
      <c r="D3097" s="5">
        <f>IFERROR(__xludf.DUMMYFUNCTION("""COMPUTED_VALUE"""),0.2671106178320385)</f>
        <v>0.2671106178</v>
      </c>
      <c r="E3097" s="5">
        <f>IFERROR(__xludf.DUMMYFUNCTION("""COMPUTED_VALUE"""),0.12578616352201258)</f>
        <v>0.1257861635</v>
      </c>
      <c r="F3097" s="5">
        <f>IFERROR(__xludf.DUMMYFUNCTION("""COMPUTED_VALUE"""),0.207732149463559)</f>
        <v>0.2077321495</v>
      </c>
      <c r="G3097" s="5">
        <f>IFERROR(__xludf.DUMMYFUNCTION("""COMPUTED_VALUE"""),0.16463189049204588)</f>
        <v>0.1646318905</v>
      </c>
      <c r="H3097" s="5">
        <f>IFERROR(__xludf.DUMMYFUNCTION("""COMPUTED_VALUE"""),0.591273374888691)</f>
        <v>0.5912733749</v>
      </c>
      <c r="I3097" s="11">
        <f>IFERROR(__xludf.DUMMYFUNCTION("""COMPUTED_VALUE"""),5845.057880676759)</f>
        <v>5845.057881</v>
      </c>
      <c r="J3097" s="10">
        <f>IFERROR(__xludf.DUMMYFUNCTION("""COMPUTED_VALUE"""),0.0)</f>
        <v>0</v>
      </c>
      <c r="K3097" s="5">
        <f>IFERROR(__xludf.DUMMYFUNCTION("""COMPUTED_VALUE"""),0.0)</f>
        <v>0</v>
      </c>
      <c r="L3097" s="10">
        <f>IFERROR(__xludf.DUMMYFUNCTION("""COMPUTED_VALUE"""),495.0)</f>
        <v>495</v>
      </c>
      <c r="M3097" s="5">
        <f>IFERROR(__xludf.DUMMYFUNCTION("""COMPUTED_VALUE"""),0.966796875)</f>
        <v>0.966796875</v>
      </c>
    </row>
    <row r="3098">
      <c r="A3098" s="10" t="str">
        <f>IFERROR(__xludf.DUMMYFUNCTION("""COMPUTED_VALUE"""),"ever17*")</f>
        <v>ever17*</v>
      </c>
      <c r="B3098" s="10">
        <f>IFERROR(__xludf.DUMMYFUNCTION("""COMPUTED_VALUE"""),678.0)</f>
        <v>678</v>
      </c>
      <c r="C3098" s="10">
        <f>IFERROR(__xludf.DUMMYFUNCTION("""COMPUTED_VALUE"""),7865.0)</f>
        <v>7865</v>
      </c>
      <c r="D3098" s="5">
        <f>IFERROR(__xludf.DUMMYFUNCTION("""COMPUTED_VALUE"""),0.3524419090023654)</f>
        <v>0.352441909</v>
      </c>
      <c r="E3098" s="5">
        <f>IFERROR(__xludf.DUMMYFUNCTION("""COMPUTED_VALUE"""),0.12578266314178377)</f>
        <v>0.1257826631</v>
      </c>
      <c r="F3098" s="5">
        <f>IFERROR(__xludf.DUMMYFUNCTION("""COMPUTED_VALUE"""),0.20829275080005566)</f>
        <v>0.2082927508</v>
      </c>
      <c r="G3098" s="5">
        <f>IFERROR(__xludf.DUMMYFUNCTION("""COMPUTED_VALUE"""),0.1665507165715876)</f>
        <v>0.1665507166</v>
      </c>
      <c r="H3098" s="5">
        <f>IFERROR(__xludf.DUMMYFUNCTION("""COMPUTED_VALUE"""),0.6112224448897795)</f>
        <v>0.6112224449</v>
      </c>
      <c r="I3098" s="11">
        <f>IFERROR(__xludf.DUMMYFUNCTION("""COMPUTED_VALUE"""),5412.825651302605)</f>
        <v>5412.825651</v>
      </c>
      <c r="J3098" s="10">
        <f>IFERROR(__xludf.DUMMYFUNCTION("""COMPUTED_VALUE"""),4.0)</f>
        <v>4</v>
      </c>
      <c r="K3098" s="5">
        <f>IFERROR(__xludf.DUMMYFUNCTION("""COMPUTED_VALUE"""),0.0058997050147492625)</f>
        <v>0.005899705015</v>
      </c>
      <c r="L3098" s="10">
        <f>IFERROR(__xludf.DUMMYFUNCTION("""COMPUTED_VALUE"""),678.0)</f>
        <v>678</v>
      </c>
      <c r="M3098" s="5">
        <f>IFERROR(__xludf.DUMMYFUNCTION("""COMPUTED_VALUE"""),1.0)</f>
        <v>1</v>
      </c>
    </row>
    <row r="3099">
      <c r="A3099" s="10" t="str">
        <f>IFERROR(__xludf.DUMMYFUNCTION("""COMPUTED_VALUE"""),"チュート福田似")</f>
        <v>チュート福田似</v>
      </c>
      <c r="B3099" s="10">
        <f>IFERROR(__xludf.DUMMYFUNCTION("""COMPUTED_VALUE"""),647.0)</f>
        <v>647</v>
      </c>
      <c r="C3099" s="10">
        <f>IFERROR(__xludf.DUMMYFUNCTION("""COMPUTED_VALUE"""),7572.0)</f>
        <v>7572</v>
      </c>
      <c r="D3099" s="5">
        <f>IFERROR(__xludf.DUMMYFUNCTION("""COMPUTED_VALUE"""),0.2807220216606498)</f>
        <v>0.2807220217</v>
      </c>
      <c r="E3099" s="5">
        <f>IFERROR(__xludf.DUMMYFUNCTION("""COMPUTED_VALUE"""),0.12577617328519855)</f>
        <v>0.1257761733</v>
      </c>
      <c r="F3099" s="5">
        <f>IFERROR(__xludf.DUMMYFUNCTION("""COMPUTED_VALUE"""),0.192057761732852)</f>
        <v>0.1920577617</v>
      </c>
      <c r="G3099" s="5">
        <f>IFERROR(__xludf.DUMMYFUNCTION("""COMPUTED_VALUE"""),0.1620216606498195)</f>
        <v>0.1620216606</v>
      </c>
      <c r="H3099" s="5">
        <f>IFERROR(__xludf.DUMMYFUNCTION("""COMPUTED_VALUE"""),0.6135338345864662)</f>
        <v>0.6135338346</v>
      </c>
      <c r="I3099" s="11">
        <f>IFERROR(__xludf.DUMMYFUNCTION("""COMPUTED_VALUE"""),5961.353383458647)</f>
        <v>5961.353383</v>
      </c>
      <c r="J3099" s="10">
        <f>IFERROR(__xludf.DUMMYFUNCTION("""COMPUTED_VALUE"""),2.0)</f>
        <v>2</v>
      </c>
      <c r="K3099" s="5">
        <f>IFERROR(__xludf.DUMMYFUNCTION("""COMPUTED_VALUE"""),0.0030911901081916537)</f>
        <v>0.003091190108</v>
      </c>
      <c r="L3099" s="10">
        <f>IFERROR(__xludf.DUMMYFUNCTION("""COMPUTED_VALUE"""),647.0)</f>
        <v>647</v>
      </c>
      <c r="M3099" s="5">
        <f>IFERROR(__xludf.DUMMYFUNCTION("""COMPUTED_VALUE"""),1.0)</f>
        <v>1</v>
      </c>
    </row>
    <row r="3100">
      <c r="A3100" s="10" t="str">
        <f>IFERROR(__xludf.DUMMYFUNCTION("""COMPUTED_VALUE"""),"★★原村和★★")</f>
        <v>★★原村和★★</v>
      </c>
      <c r="B3100" s="10">
        <f>IFERROR(__xludf.DUMMYFUNCTION("""COMPUTED_VALUE"""),267.0)</f>
        <v>267</v>
      </c>
      <c r="C3100" s="10">
        <f>IFERROR(__xludf.DUMMYFUNCTION("""COMPUTED_VALUE"""),3169.0)</f>
        <v>3169</v>
      </c>
      <c r="D3100" s="5">
        <f>IFERROR(__xludf.DUMMYFUNCTION("""COMPUTED_VALUE"""),0.3049620951068229)</f>
        <v>0.3049620951</v>
      </c>
      <c r="E3100" s="5">
        <f>IFERROR(__xludf.DUMMYFUNCTION("""COMPUTED_VALUE"""),0.12577532736044109)</f>
        <v>0.1257753274</v>
      </c>
      <c r="F3100" s="5">
        <f>IFERROR(__xludf.DUMMYFUNCTION("""COMPUTED_VALUE"""),0.20503101309441765)</f>
        <v>0.2050310131</v>
      </c>
      <c r="G3100" s="5">
        <f>IFERROR(__xludf.DUMMYFUNCTION("""COMPUTED_VALUE"""),0.20813232253618194)</f>
        <v>0.2081323225</v>
      </c>
      <c r="H3100" s="5">
        <f>IFERROR(__xludf.DUMMYFUNCTION("""COMPUTED_VALUE"""),0.5546218487394958)</f>
        <v>0.5546218487</v>
      </c>
      <c r="I3100" s="11">
        <f>IFERROR(__xludf.DUMMYFUNCTION("""COMPUTED_VALUE"""),5845.714285714285)</f>
        <v>5845.714286</v>
      </c>
      <c r="J3100" s="10">
        <f>IFERROR(__xludf.DUMMYFUNCTION("""COMPUTED_VALUE"""),0.0)</f>
        <v>0</v>
      </c>
      <c r="K3100" s="5">
        <f>IFERROR(__xludf.DUMMYFUNCTION("""COMPUTED_VALUE"""),0.0)</f>
        <v>0</v>
      </c>
      <c r="L3100" s="10">
        <f>IFERROR(__xludf.DUMMYFUNCTION("""COMPUTED_VALUE"""),267.0)</f>
        <v>267</v>
      </c>
      <c r="M3100" s="5">
        <f>IFERROR(__xludf.DUMMYFUNCTION("""COMPUTED_VALUE"""),1.0)</f>
        <v>1</v>
      </c>
    </row>
    <row r="3101">
      <c r="A3101" s="10" t="str">
        <f>IFERROR(__xludf.DUMMYFUNCTION("""COMPUTED_VALUE"""),"ドラロンダイヴ")</f>
        <v>ドラロンダイヴ</v>
      </c>
      <c r="B3101" s="10">
        <f>IFERROR(__xludf.DUMMYFUNCTION("""COMPUTED_VALUE"""),1357.0)</f>
        <v>1357</v>
      </c>
      <c r="C3101" s="10">
        <f>IFERROR(__xludf.DUMMYFUNCTION("""COMPUTED_VALUE"""),16098.0)</f>
        <v>16098</v>
      </c>
      <c r="D3101" s="5">
        <f>IFERROR(__xludf.DUMMYFUNCTION("""COMPUTED_VALUE"""),0.32935350383284717)</f>
        <v>0.3293535038</v>
      </c>
      <c r="E3101" s="5">
        <f>IFERROR(__xludf.DUMMYFUNCTION("""COMPUTED_VALUE"""),0.1257716572824096)</f>
        <v>0.1257716573</v>
      </c>
      <c r="F3101" s="5">
        <f>IFERROR(__xludf.DUMMYFUNCTION("""COMPUTED_VALUE"""),0.21572484906044367)</f>
        <v>0.2157248491</v>
      </c>
      <c r="G3101" s="5">
        <f>IFERROR(__xludf.DUMMYFUNCTION("""COMPUTED_VALUE"""),0.16376093887795942)</f>
        <v>0.1637609389</v>
      </c>
      <c r="H3101" s="5">
        <f>IFERROR(__xludf.DUMMYFUNCTION("""COMPUTED_VALUE"""),0.5962264150943396)</f>
        <v>0.5962264151</v>
      </c>
      <c r="I3101" s="11">
        <f>IFERROR(__xludf.DUMMYFUNCTION("""COMPUTED_VALUE"""),5168.270440251572)</f>
        <v>5168.27044</v>
      </c>
      <c r="J3101" s="10">
        <f>IFERROR(__xludf.DUMMYFUNCTION("""COMPUTED_VALUE"""),2.0)</f>
        <v>2</v>
      </c>
      <c r="K3101" s="5">
        <f>IFERROR(__xludf.DUMMYFUNCTION("""COMPUTED_VALUE"""),0.0014738393515106854)</f>
        <v>0.001473839352</v>
      </c>
      <c r="L3101" s="10">
        <f>IFERROR(__xludf.DUMMYFUNCTION("""COMPUTED_VALUE"""),1357.0)</f>
        <v>1357</v>
      </c>
      <c r="M3101" s="5">
        <f>IFERROR(__xludf.DUMMYFUNCTION("""COMPUTED_VALUE"""),1.0)</f>
        <v>1</v>
      </c>
    </row>
    <row r="3102">
      <c r="A3102" s="10" t="str">
        <f>IFERROR(__xludf.DUMMYFUNCTION("""COMPUTED_VALUE"""),"HOUHOU")</f>
        <v>HOUHOU</v>
      </c>
      <c r="B3102" s="10">
        <f>IFERROR(__xludf.DUMMYFUNCTION("""COMPUTED_VALUE"""),177.0)</f>
        <v>177</v>
      </c>
      <c r="C3102" s="10">
        <f>IFERROR(__xludf.DUMMYFUNCTION("""COMPUTED_VALUE"""),2133.0)</f>
        <v>2133</v>
      </c>
      <c r="D3102" s="5">
        <f>IFERROR(__xludf.DUMMYFUNCTION("""COMPUTED_VALUE"""),0.39519427402862983)</f>
        <v>0.395194274</v>
      </c>
      <c r="E3102" s="5">
        <f>IFERROR(__xludf.DUMMYFUNCTION("""COMPUTED_VALUE"""),0.12576687116564417)</f>
        <v>0.1257668712</v>
      </c>
      <c r="F3102" s="5">
        <f>IFERROR(__xludf.DUMMYFUNCTION("""COMPUTED_VALUE"""),0.19325153374233128)</f>
        <v>0.1932515337</v>
      </c>
      <c r="G3102" s="5">
        <f>IFERROR(__xludf.DUMMYFUNCTION("""COMPUTED_VALUE"""),0.1329243353783231)</f>
        <v>0.1329243354</v>
      </c>
      <c r="H3102" s="5">
        <f>IFERROR(__xludf.DUMMYFUNCTION("""COMPUTED_VALUE"""),0.6058201058201058)</f>
        <v>0.6058201058</v>
      </c>
      <c r="I3102" s="11">
        <f>IFERROR(__xludf.DUMMYFUNCTION("""COMPUTED_VALUE"""),5292.592592592592)</f>
        <v>5292.592593</v>
      </c>
      <c r="J3102" s="10">
        <f>IFERROR(__xludf.DUMMYFUNCTION("""COMPUTED_VALUE"""),0.0)</f>
        <v>0</v>
      </c>
      <c r="K3102" s="5">
        <f>IFERROR(__xludf.DUMMYFUNCTION("""COMPUTED_VALUE"""),0.0)</f>
        <v>0</v>
      </c>
      <c r="L3102" s="10">
        <f>IFERROR(__xludf.DUMMYFUNCTION("""COMPUTED_VALUE"""),177.0)</f>
        <v>177</v>
      </c>
      <c r="M3102" s="5">
        <f>IFERROR(__xludf.DUMMYFUNCTION("""COMPUTED_VALUE"""),1.0)</f>
        <v>1</v>
      </c>
    </row>
    <row r="3103">
      <c r="A3103" s="10" t="str">
        <f>IFERROR(__xludf.DUMMYFUNCTION("""COMPUTED_VALUE"""),"ばいきると")</f>
        <v>ばいきると</v>
      </c>
      <c r="B3103" s="10">
        <f>IFERROR(__xludf.DUMMYFUNCTION("""COMPUTED_VALUE"""),218.0)</f>
        <v>218</v>
      </c>
      <c r="C3103" s="10">
        <f>IFERROR(__xludf.DUMMYFUNCTION("""COMPUTED_VALUE"""),2508.0)</f>
        <v>2508</v>
      </c>
      <c r="D3103" s="5">
        <f>IFERROR(__xludf.DUMMYFUNCTION("""COMPUTED_VALUE"""),0.30305676855895197)</f>
        <v>0.3030567686</v>
      </c>
      <c r="E3103" s="5">
        <f>IFERROR(__xludf.DUMMYFUNCTION("""COMPUTED_VALUE"""),0.125764192139738)</f>
        <v>0.1257641921</v>
      </c>
      <c r="F3103" s="5">
        <f>IFERROR(__xludf.DUMMYFUNCTION("""COMPUTED_VALUE"""),0.2091703056768559)</f>
        <v>0.2091703057</v>
      </c>
      <c r="G3103" s="5">
        <f>IFERROR(__xludf.DUMMYFUNCTION("""COMPUTED_VALUE"""),0.17510917030567685)</f>
        <v>0.1751091703</v>
      </c>
      <c r="H3103" s="5">
        <f>IFERROR(__xludf.DUMMYFUNCTION("""COMPUTED_VALUE"""),0.5657620041753654)</f>
        <v>0.5657620042</v>
      </c>
      <c r="I3103" s="11">
        <f>IFERROR(__xludf.DUMMYFUNCTION("""COMPUTED_VALUE"""),5674.947807933194)</f>
        <v>5674.947808</v>
      </c>
      <c r="J3103" s="10">
        <f>IFERROR(__xludf.DUMMYFUNCTION("""COMPUTED_VALUE"""),0.0)</f>
        <v>0</v>
      </c>
      <c r="K3103" s="5">
        <f>IFERROR(__xludf.DUMMYFUNCTION("""COMPUTED_VALUE"""),0.0)</f>
        <v>0</v>
      </c>
      <c r="L3103" s="10">
        <f>IFERROR(__xludf.DUMMYFUNCTION("""COMPUTED_VALUE"""),218.0)</f>
        <v>218</v>
      </c>
      <c r="M3103" s="5">
        <f>IFERROR(__xludf.DUMMYFUNCTION("""COMPUTED_VALUE"""),1.0)</f>
        <v>1</v>
      </c>
    </row>
    <row r="3104">
      <c r="A3104" s="10" t="str">
        <f>IFERROR(__xludf.DUMMYFUNCTION("""COMPUTED_VALUE"""),"ひえい☆")</f>
        <v>ひえい☆</v>
      </c>
      <c r="B3104" s="10">
        <f>IFERROR(__xludf.DUMMYFUNCTION("""COMPUTED_VALUE"""),105.0)</f>
        <v>105</v>
      </c>
      <c r="C3104" s="10">
        <f>IFERROR(__xludf.DUMMYFUNCTION("""COMPUTED_VALUE"""),1250.0)</f>
        <v>1250</v>
      </c>
      <c r="D3104" s="5">
        <f>IFERROR(__xludf.DUMMYFUNCTION("""COMPUTED_VALUE"""),0.23580786026200873)</f>
        <v>0.2358078603</v>
      </c>
      <c r="E3104" s="5">
        <f>IFERROR(__xludf.DUMMYFUNCTION("""COMPUTED_VALUE"""),0.125764192139738)</f>
        <v>0.1257641921</v>
      </c>
      <c r="F3104" s="5">
        <f>IFERROR(__xludf.DUMMYFUNCTION("""COMPUTED_VALUE"""),0.17729257641921398)</f>
        <v>0.1772925764</v>
      </c>
      <c r="G3104" s="5">
        <f>IFERROR(__xludf.DUMMYFUNCTION("""COMPUTED_VALUE"""),0.14410480349344978)</f>
        <v>0.1441048035</v>
      </c>
      <c r="H3104" s="5">
        <f>IFERROR(__xludf.DUMMYFUNCTION("""COMPUTED_VALUE"""),0.5812807881773399)</f>
        <v>0.5812807882</v>
      </c>
      <c r="I3104" s="11">
        <f>IFERROR(__xludf.DUMMYFUNCTION("""COMPUTED_VALUE"""),5556.15763546798)</f>
        <v>5556.157635</v>
      </c>
      <c r="J3104" s="10">
        <f>IFERROR(__xludf.DUMMYFUNCTION("""COMPUTED_VALUE"""),0.0)</f>
        <v>0</v>
      </c>
      <c r="K3104" s="5">
        <f>IFERROR(__xludf.DUMMYFUNCTION("""COMPUTED_VALUE"""),0.0)</f>
        <v>0</v>
      </c>
      <c r="L3104" s="10">
        <f>IFERROR(__xludf.DUMMYFUNCTION("""COMPUTED_VALUE"""),105.0)</f>
        <v>105</v>
      </c>
      <c r="M3104" s="5">
        <f>IFERROR(__xludf.DUMMYFUNCTION("""COMPUTED_VALUE"""),1.0)</f>
        <v>1</v>
      </c>
    </row>
    <row r="3105">
      <c r="A3105" s="10" t="str">
        <f>IFERROR(__xludf.DUMMYFUNCTION("""COMPUTED_VALUE"""),"ドラくれ")</f>
        <v>ドラくれ</v>
      </c>
      <c r="B3105" s="10">
        <f>IFERROR(__xludf.DUMMYFUNCTION("""COMPUTED_VALUE"""),1428.0)</f>
        <v>1428</v>
      </c>
      <c r="C3105" s="10">
        <f>IFERROR(__xludf.DUMMYFUNCTION("""COMPUTED_VALUE"""),16815.0)</f>
        <v>16815</v>
      </c>
      <c r="D3105" s="5">
        <f>IFERROR(__xludf.DUMMYFUNCTION("""COMPUTED_VALUE"""),0.27555728862026385)</f>
        <v>0.2755572886</v>
      </c>
      <c r="E3105" s="5">
        <f>IFERROR(__xludf.DUMMYFUNCTION("""COMPUTED_VALUE"""),0.12575550789627607)</f>
        <v>0.1257555079</v>
      </c>
      <c r="F3105" s="5">
        <f>IFERROR(__xludf.DUMMYFUNCTION("""COMPUTED_VALUE"""),0.19555468902320142)</f>
        <v>0.195554689</v>
      </c>
      <c r="G3105" s="5">
        <f>IFERROR(__xludf.DUMMYFUNCTION("""COMPUTED_VALUE"""),0.1882758172483265)</f>
        <v>0.1882758172</v>
      </c>
      <c r="H3105" s="5">
        <f>IFERROR(__xludf.DUMMYFUNCTION("""COMPUTED_VALUE"""),0.5716184778996344)</f>
        <v>0.5716184779</v>
      </c>
      <c r="I3105" s="11">
        <f>IFERROR(__xludf.DUMMYFUNCTION("""COMPUTED_VALUE"""),6268.162180126288)</f>
        <v>6268.16218</v>
      </c>
      <c r="J3105" s="10">
        <f>IFERROR(__xludf.DUMMYFUNCTION("""COMPUTED_VALUE"""),7.0)</f>
        <v>7</v>
      </c>
      <c r="K3105" s="5">
        <f>IFERROR(__xludf.DUMMYFUNCTION("""COMPUTED_VALUE"""),0.004901960784313725)</f>
        <v>0.004901960784</v>
      </c>
      <c r="L3105" s="10">
        <f>IFERROR(__xludf.DUMMYFUNCTION("""COMPUTED_VALUE"""),1428.0)</f>
        <v>1428</v>
      </c>
      <c r="M3105" s="5">
        <f>IFERROR(__xludf.DUMMYFUNCTION("""COMPUTED_VALUE"""),1.0)</f>
        <v>1</v>
      </c>
    </row>
    <row r="3106">
      <c r="A3106" s="10" t="str">
        <f>IFERROR(__xludf.DUMMYFUNCTION("""COMPUTED_VALUE"""),"AISLINN")</f>
        <v>AISLINN</v>
      </c>
      <c r="B3106" s="10">
        <f>IFERROR(__xludf.DUMMYFUNCTION("""COMPUTED_VALUE"""),390.0)</f>
        <v>390</v>
      </c>
      <c r="C3106" s="10">
        <f>IFERROR(__xludf.DUMMYFUNCTION("""COMPUTED_VALUE"""),4700.0)</f>
        <v>4700</v>
      </c>
      <c r="D3106" s="5">
        <f>IFERROR(__xludf.DUMMYFUNCTION("""COMPUTED_VALUE"""),0.3846867749419954)</f>
        <v>0.3846867749</v>
      </c>
      <c r="E3106" s="5">
        <f>IFERROR(__xludf.DUMMYFUNCTION("""COMPUTED_VALUE"""),0.12575406032482597)</f>
        <v>0.1257540603</v>
      </c>
      <c r="F3106" s="5">
        <f>IFERROR(__xludf.DUMMYFUNCTION("""COMPUTED_VALUE"""),0.20928074245939676)</f>
        <v>0.2092807425</v>
      </c>
      <c r="G3106" s="5">
        <f>IFERROR(__xludf.DUMMYFUNCTION("""COMPUTED_VALUE"""),0.13990719257540604)</f>
        <v>0.1399071926</v>
      </c>
      <c r="H3106" s="5">
        <f>IFERROR(__xludf.DUMMYFUNCTION("""COMPUTED_VALUE"""),0.6197339246119734)</f>
        <v>0.6197339246</v>
      </c>
      <c r="I3106" s="11">
        <f>IFERROR(__xludf.DUMMYFUNCTION("""COMPUTED_VALUE"""),5408.536585365854)</f>
        <v>5408.536585</v>
      </c>
      <c r="J3106" s="10">
        <f>IFERROR(__xludf.DUMMYFUNCTION("""COMPUTED_VALUE"""),0.0)</f>
        <v>0</v>
      </c>
      <c r="K3106" s="5">
        <f>IFERROR(__xludf.DUMMYFUNCTION("""COMPUTED_VALUE"""),0.0)</f>
        <v>0</v>
      </c>
      <c r="L3106" s="10">
        <f>IFERROR(__xludf.DUMMYFUNCTION("""COMPUTED_VALUE"""),0.0)</f>
        <v>0</v>
      </c>
      <c r="M3106" s="5">
        <f>IFERROR(__xludf.DUMMYFUNCTION("""COMPUTED_VALUE"""),0.0)</f>
        <v>0</v>
      </c>
    </row>
    <row r="3107">
      <c r="A3107" s="10" t="str">
        <f>IFERROR(__xludf.DUMMYFUNCTION("""COMPUTED_VALUE"""),"まおぽん")</f>
        <v>まおぽん</v>
      </c>
      <c r="B3107" s="10">
        <f>IFERROR(__xludf.DUMMYFUNCTION("""COMPUTED_VALUE"""),561.0)</f>
        <v>561</v>
      </c>
      <c r="C3107" s="10">
        <f>IFERROR(__xludf.DUMMYFUNCTION("""COMPUTED_VALUE"""),6645.0)</f>
        <v>6645</v>
      </c>
      <c r="D3107" s="5">
        <f>IFERROR(__xludf.DUMMYFUNCTION("""COMPUTED_VALUE"""),0.32018408941485865)</f>
        <v>0.3201840894</v>
      </c>
      <c r="E3107" s="5">
        <f>IFERROR(__xludf.DUMMYFUNCTION("""COMPUTED_VALUE"""),0.1257396449704142)</f>
        <v>0.125739645</v>
      </c>
      <c r="F3107" s="5">
        <f>IFERROR(__xludf.DUMMYFUNCTION("""COMPUTED_VALUE"""),0.20874424720578566)</f>
        <v>0.2087442472</v>
      </c>
      <c r="G3107" s="5">
        <f>IFERROR(__xludf.DUMMYFUNCTION("""COMPUTED_VALUE"""),0.15631163708086784)</f>
        <v>0.1563116371</v>
      </c>
      <c r="H3107" s="5">
        <f>IFERROR(__xludf.DUMMYFUNCTION("""COMPUTED_VALUE"""),0.6165354330708661)</f>
        <v>0.6165354331</v>
      </c>
      <c r="I3107" s="11">
        <f>IFERROR(__xludf.DUMMYFUNCTION("""COMPUTED_VALUE"""),5427.40157480315)</f>
        <v>5427.401575</v>
      </c>
      <c r="J3107" s="10">
        <f>IFERROR(__xludf.DUMMYFUNCTION("""COMPUTED_VALUE"""),1.0)</f>
        <v>1</v>
      </c>
      <c r="K3107" s="5">
        <f>IFERROR(__xludf.DUMMYFUNCTION("""COMPUTED_VALUE"""),0.0017825311942959)</f>
        <v>0.001782531194</v>
      </c>
      <c r="L3107" s="10">
        <f>IFERROR(__xludf.DUMMYFUNCTION("""COMPUTED_VALUE"""),0.0)</f>
        <v>0</v>
      </c>
      <c r="M3107" s="5">
        <f>IFERROR(__xludf.DUMMYFUNCTION("""COMPUTED_VALUE"""),0.0)</f>
        <v>0</v>
      </c>
    </row>
    <row r="3108">
      <c r="A3108" s="10" t="str">
        <f>IFERROR(__xludf.DUMMYFUNCTION("""COMPUTED_VALUE"""),"あっとにゃん")</f>
        <v>あっとにゃん</v>
      </c>
      <c r="B3108" s="10">
        <f>IFERROR(__xludf.DUMMYFUNCTION("""COMPUTED_VALUE"""),321.0)</f>
        <v>321</v>
      </c>
      <c r="C3108" s="10">
        <f>IFERROR(__xludf.DUMMYFUNCTION("""COMPUTED_VALUE"""),3709.0)</f>
        <v>3709</v>
      </c>
      <c r="D3108" s="5">
        <f>IFERROR(__xludf.DUMMYFUNCTION("""COMPUTED_VALUE"""),0.33087367178276267)</f>
        <v>0.3308736718</v>
      </c>
      <c r="E3108" s="5">
        <f>IFERROR(__xludf.DUMMYFUNCTION("""COMPUTED_VALUE"""),0.1257378984651712)</f>
        <v>0.1257378985</v>
      </c>
      <c r="F3108" s="5">
        <f>IFERROR(__xludf.DUMMYFUNCTION("""COMPUTED_VALUE"""),0.1936245572609209)</f>
        <v>0.1936245573</v>
      </c>
      <c r="G3108" s="5">
        <f>IFERROR(__xludf.DUMMYFUNCTION("""COMPUTED_VALUE"""),0.15850059031877214)</f>
        <v>0.1585005903</v>
      </c>
      <c r="H3108" s="5">
        <f>IFERROR(__xludf.DUMMYFUNCTION("""COMPUTED_VALUE"""),0.6189024390243902)</f>
        <v>0.618902439</v>
      </c>
      <c r="I3108" s="11">
        <f>IFERROR(__xludf.DUMMYFUNCTION("""COMPUTED_VALUE"""),5835.0609756097565)</f>
        <v>5835.060976</v>
      </c>
      <c r="J3108" s="10">
        <f>IFERROR(__xludf.DUMMYFUNCTION("""COMPUTED_VALUE"""),2.0)</f>
        <v>2</v>
      </c>
      <c r="K3108" s="5">
        <f>IFERROR(__xludf.DUMMYFUNCTION("""COMPUTED_VALUE"""),0.006230529595015576)</f>
        <v>0.006230529595</v>
      </c>
      <c r="L3108" s="10">
        <f>IFERROR(__xludf.DUMMYFUNCTION("""COMPUTED_VALUE"""),314.0)</f>
        <v>314</v>
      </c>
      <c r="M3108" s="5">
        <f>IFERROR(__xludf.DUMMYFUNCTION("""COMPUTED_VALUE"""),0.9781931464174455)</f>
        <v>0.9781931464</v>
      </c>
    </row>
    <row r="3109">
      <c r="A3109" s="10" t="str">
        <f>IFERROR(__xludf.DUMMYFUNCTION("""COMPUTED_VALUE"""),"【鈴木孝徳】プロ")</f>
        <v>【鈴木孝徳】プロ</v>
      </c>
      <c r="B3109" s="10">
        <f>IFERROR(__xludf.DUMMYFUNCTION("""COMPUTED_VALUE"""),656.0)</f>
        <v>656</v>
      </c>
      <c r="C3109" s="10">
        <f>IFERROR(__xludf.DUMMYFUNCTION("""COMPUTED_VALUE"""),7607.0)</f>
        <v>7607</v>
      </c>
      <c r="D3109" s="5">
        <f>IFERROR(__xludf.DUMMYFUNCTION("""COMPUTED_VALUE"""),0.30527981585383396)</f>
        <v>0.3052798159</v>
      </c>
      <c r="E3109" s="5">
        <f>IFERROR(__xludf.DUMMYFUNCTION("""COMPUTED_VALUE"""),0.12573730398503813)</f>
        <v>0.125737304</v>
      </c>
      <c r="F3109" s="5">
        <f>IFERROR(__xludf.DUMMYFUNCTION("""COMPUTED_VALUE"""),0.2094662638469285)</f>
        <v>0.2094662638</v>
      </c>
      <c r="G3109" s="5">
        <f>IFERROR(__xludf.DUMMYFUNCTION("""COMPUTED_VALUE"""),0.19608689397209034)</f>
        <v>0.196086894</v>
      </c>
      <c r="H3109" s="5">
        <f>IFERROR(__xludf.DUMMYFUNCTION("""COMPUTED_VALUE"""),0.5975274725274725)</f>
        <v>0.5975274725</v>
      </c>
      <c r="I3109" s="11">
        <f>IFERROR(__xludf.DUMMYFUNCTION("""COMPUTED_VALUE"""),6112.431318681319)</f>
        <v>6112.431319</v>
      </c>
      <c r="J3109" s="10">
        <f>IFERROR(__xludf.DUMMYFUNCTION("""COMPUTED_VALUE"""),1.0)</f>
        <v>1</v>
      </c>
      <c r="K3109" s="5">
        <f>IFERROR(__xludf.DUMMYFUNCTION("""COMPUTED_VALUE"""),0.001524390243902439)</f>
        <v>0.001524390244</v>
      </c>
      <c r="L3109" s="10">
        <f>IFERROR(__xludf.DUMMYFUNCTION("""COMPUTED_VALUE"""),86.0)</f>
        <v>86</v>
      </c>
      <c r="M3109" s="5">
        <f>IFERROR(__xludf.DUMMYFUNCTION("""COMPUTED_VALUE"""),0.13109756097560976)</f>
        <v>0.131097561</v>
      </c>
    </row>
    <row r="3110">
      <c r="A3110" s="10" t="str">
        <f>IFERROR(__xludf.DUMMYFUNCTION("""COMPUTED_VALUE"""),"コッパン")</f>
        <v>コッパン</v>
      </c>
      <c r="B3110" s="10">
        <f>IFERROR(__xludf.DUMMYFUNCTION("""COMPUTED_VALUE"""),324.0)</f>
        <v>324</v>
      </c>
      <c r="C3110" s="10">
        <f>IFERROR(__xludf.DUMMYFUNCTION("""COMPUTED_VALUE"""),3808.0)</f>
        <v>3808</v>
      </c>
      <c r="D3110" s="5">
        <f>IFERROR(__xludf.DUMMYFUNCTION("""COMPUTED_VALUE"""),0.21096440872560276)</f>
        <v>0.2109644087</v>
      </c>
      <c r="E3110" s="5">
        <f>IFERROR(__xludf.DUMMYFUNCTION("""COMPUTED_VALUE"""),0.12571756601607348)</f>
        <v>0.125717566</v>
      </c>
      <c r="F3110" s="5">
        <f>IFERROR(__xludf.DUMMYFUNCTION("""COMPUTED_VALUE"""),0.18800229621125145)</f>
        <v>0.1880022962</v>
      </c>
      <c r="G3110" s="5">
        <f>IFERROR(__xludf.DUMMYFUNCTION("""COMPUTED_VALUE"""),0.134902411021814)</f>
        <v>0.134902411</v>
      </c>
      <c r="H3110" s="5">
        <f>IFERROR(__xludf.DUMMYFUNCTION("""COMPUTED_VALUE"""),0.5893129770992367)</f>
        <v>0.5893129771</v>
      </c>
      <c r="I3110" s="11">
        <f>IFERROR(__xludf.DUMMYFUNCTION("""COMPUTED_VALUE"""),6290.534351145038)</f>
        <v>6290.534351</v>
      </c>
      <c r="J3110" s="10">
        <f>IFERROR(__xludf.DUMMYFUNCTION("""COMPUTED_VALUE"""),1.0)</f>
        <v>1</v>
      </c>
      <c r="K3110" s="5">
        <f>IFERROR(__xludf.DUMMYFUNCTION("""COMPUTED_VALUE"""),0.0030864197530864196)</f>
        <v>0.003086419753</v>
      </c>
      <c r="L3110" s="10">
        <f>IFERROR(__xludf.DUMMYFUNCTION("""COMPUTED_VALUE"""),324.0)</f>
        <v>324</v>
      </c>
      <c r="M3110" s="5">
        <f>IFERROR(__xludf.DUMMYFUNCTION("""COMPUTED_VALUE"""),1.0)</f>
        <v>1</v>
      </c>
    </row>
    <row r="3111">
      <c r="A3111" s="10" t="str">
        <f>IFERROR(__xludf.DUMMYFUNCTION("""COMPUTED_VALUE"""),"そうたった")</f>
        <v>そうたった</v>
      </c>
      <c r="B3111" s="10">
        <f>IFERROR(__xludf.DUMMYFUNCTION("""COMPUTED_VALUE"""),236.0)</f>
        <v>236</v>
      </c>
      <c r="C3111" s="10">
        <f>IFERROR(__xludf.DUMMYFUNCTION("""COMPUTED_VALUE"""),2678.0)</f>
        <v>2678</v>
      </c>
      <c r="D3111" s="5">
        <f>IFERROR(__xludf.DUMMYFUNCTION("""COMPUTED_VALUE"""),0.35298935298935297)</f>
        <v>0.352989353</v>
      </c>
      <c r="E3111" s="5">
        <f>IFERROR(__xludf.DUMMYFUNCTION("""COMPUTED_VALUE"""),0.12571662571662573)</f>
        <v>0.1257166257</v>
      </c>
      <c r="F3111" s="5">
        <f>IFERROR(__xludf.DUMMYFUNCTION("""COMPUTED_VALUE"""),0.1977886977886978)</f>
        <v>0.1977886978</v>
      </c>
      <c r="G3111" s="5">
        <f>IFERROR(__xludf.DUMMYFUNCTION("""COMPUTED_VALUE"""),0.2022932022932023)</f>
        <v>0.2022932023</v>
      </c>
      <c r="H3111" s="5">
        <f>IFERROR(__xludf.DUMMYFUNCTION("""COMPUTED_VALUE"""),0.629399585921325)</f>
        <v>0.6293995859</v>
      </c>
      <c r="I3111" s="11">
        <f>IFERROR(__xludf.DUMMYFUNCTION("""COMPUTED_VALUE"""),5846.583850931677)</f>
        <v>5846.583851</v>
      </c>
      <c r="J3111" s="10">
        <f>IFERROR(__xludf.DUMMYFUNCTION("""COMPUTED_VALUE"""),1.0)</f>
        <v>1</v>
      </c>
      <c r="K3111" s="5">
        <f>IFERROR(__xludf.DUMMYFUNCTION("""COMPUTED_VALUE"""),0.00423728813559322)</f>
        <v>0.004237288136</v>
      </c>
      <c r="L3111" s="10">
        <f>IFERROR(__xludf.DUMMYFUNCTION("""COMPUTED_VALUE"""),236.0)</f>
        <v>236</v>
      </c>
      <c r="M3111" s="5">
        <f>IFERROR(__xludf.DUMMYFUNCTION("""COMPUTED_VALUE"""),1.0)</f>
        <v>1</v>
      </c>
    </row>
    <row r="3112">
      <c r="A3112" s="10" t="str">
        <f>IFERROR(__xludf.DUMMYFUNCTION("""COMPUTED_VALUE"""),"renkun")</f>
        <v>renkun</v>
      </c>
      <c r="B3112" s="10">
        <f>IFERROR(__xludf.DUMMYFUNCTION("""COMPUTED_VALUE"""),768.0)</f>
        <v>768</v>
      </c>
      <c r="C3112" s="10">
        <f>IFERROR(__xludf.DUMMYFUNCTION("""COMPUTED_VALUE"""),8985.0)</f>
        <v>8985</v>
      </c>
      <c r="D3112" s="5">
        <f>IFERROR(__xludf.DUMMYFUNCTION("""COMPUTED_VALUE"""),0.3794572228307168)</f>
        <v>0.3794572228</v>
      </c>
      <c r="E3112" s="5">
        <f>IFERROR(__xludf.DUMMYFUNCTION("""COMPUTED_VALUE"""),0.12571498113666787)</f>
        <v>0.1257149811</v>
      </c>
      <c r="F3112" s="5">
        <f>IFERROR(__xludf.DUMMYFUNCTION("""COMPUTED_VALUE"""),0.21431179262504563)</f>
        <v>0.2143117926</v>
      </c>
      <c r="G3112" s="5">
        <f>IFERROR(__xludf.DUMMYFUNCTION("""COMPUTED_VALUE"""),0.17208226846781063)</f>
        <v>0.1720822685</v>
      </c>
      <c r="H3112" s="5">
        <f>IFERROR(__xludf.DUMMYFUNCTION("""COMPUTED_VALUE"""),0.5911413969335605)</f>
        <v>0.5911413969</v>
      </c>
      <c r="I3112" s="11">
        <f>IFERROR(__xludf.DUMMYFUNCTION("""COMPUTED_VALUE"""),5781.9420783645655)</f>
        <v>5781.942078</v>
      </c>
      <c r="J3112" s="10">
        <f>IFERROR(__xludf.DUMMYFUNCTION("""COMPUTED_VALUE"""),1.0)</f>
        <v>1</v>
      </c>
      <c r="K3112" s="5">
        <f>IFERROR(__xludf.DUMMYFUNCTION("""COMPUTED_VALUE"""),0.0013020833333333333)</f>
        <v>0.001302083333</v>
      </c>
      <c r="L3112" s="10">
        <f>IFERROR(__xludf.DUMMYFUNCTION("""COMPUTED_VALUE"""),759.0)</f>
        <v>759</v>
      </c>
      <c r="M3112" s="5">
        <f>IFERROR(__xludf.DUMMYFUNCTION("""COMPUTED_VALUE"""),0.98828125)</f>
        <v>0.98828125</v>
      </c>
    </row>
    <row r="3113">
      <c r="A3113" s="10" t="str">
        <f>IFERROR(__xludf.DUMMYFUNCTION("""COMPUTED_VALUE"""),"白鹿愛莉")</f>
        <v>白鹿愛莉</v>
      </c>
      <c r="B3113" s="10">
        <f>IFERROR(__xludf.DUMMYFUNCTION("""COMPUTED_VALUE"""),3593.0)</f>
        <v>3593</v>
      </c>
      <c r="C3113" s="10">
        <f>IFERROR(__xludf.DUMMYFUNCTION("""COMPUTED_VALUE"""),42117.0)</f>
        <v>42117</v>
      </c>
      <c r="D3113" s="5">
        <f>IFERROR(__xludf.DUMMYFUNCTION("""COMPUTED_VALUE"""),0.39284601806665975)</f>
        <v>0.3928460181</v>
      </c>
      <c r="E3113" s="5">
        <f>IFERROR(__xludf.DUMMYFUNCTION("""COMPUTED_VALUE"""),0.1257138407226664)</f>
        <v>0.1257138407</v>
      </c>
      <c r="F3113" s="5">
        <f>IFERROR(__xludf.DUMMYFUNCTION("""COMPUTED_VALUE"""),0.2245872702730765)</f>
        <v>0.2245872703</v>
      </c>
      <c r="G3113" s="5">
        <f>IFERROR(__xludf.DUMMYFUNCTION("""COMPUTED_VALUE"""),0.18025127193437857)</f>
        <v>0.1802512719</v>
      </c>
      <c r="H3113" s="5">
        <f>IFERROR(__xludf.DUMMYFUNCTION("""COMPUTED_VALUE"""),0.5957004160887656)</f>
        <v>0.5957004161</v>
      </c>
      <c r="I3113" s="11">
        <f>IFERROR(__xludf.DUMMYFUNCTION("""COMPUTED_VALUE"""),5362.725381414702)</f>
        <v>5362.725381</v>
      </c>
      <c r="J3113" s="10">
        <f>IFERROR(__xludf.DUMMYFUNCTION("""COMPUTED_VALUE"""),6.0)</f>
        <v>6</v>
      </c>
      <c r="K3113" s="5">
        <f>IFERROR(__xludf.DUMMYFUNCTION("""COMPUTED_VALUE"""),0.0016699137211244085)</f>
        <v>0.001669913721</v>
      </c>
      <c r="L3113" s="10">
        <f>IFERROR(__xludf.DUMMYFUNCTION("""COMPUTED_VALUE"""),1.0)</f>
        <v>1</v>
      </c>
      <c r="M3113" s="5">
        <f>IFERROR(__xludf.DUMMYFUNCTION("""COMPUTED_VALUE"""),2.7831895352073476E-4)</f>
        <v>0.0002783189535</v>
      </c>
    </row>
    <row r="3114">
      <c r="A3114" s="10" t="str">
        <f>IFERROR(__xludf.DUMMYFUNCTION("""COMPUTED_VALUE"""),"東風の央")</f>
        <v>東風の央</v>
      </c>
      <c r="B3114" s="10">
        <f>IFERROR(__xludf.DUMMYFUNCTION("""COMPUTED_VALUE"""),463.0)</f>
        <v>463</v>
      </c>
      <c r="C3114" s="10">
        <f>IFERROR(__xludf.DUMMYFUNCTION("""COMPUTED_VALUE"""),5427.0)</f>
        <v>5427</v>
      </c>
      <c r="D3114" s="5">
        <f>IFERROR(__xludf.DUMMYFUNCTION("""COMPUTED_VALUE"""),0.40350523771152297)</f>
        <v>0.4035052377</v>
      </c>
      <c r="E3114" s="5">
        <f>IFERROR(__xludf.DUMMYFUNCTION("""COMPUTED_VALUE"""),0.12570507655116842)</f>
        <v>0.1257050766</v>
      </c>
      <c r="F3114" s="5">
        <f>IFERROR(__xludf.DUMMYFUNCTION("""COMPUTED_VALUE"""),0.2191780821917808)</f>
        <v>0.2191780822</v>
      </c>
      <c r="G3114" s="5">
        <f>IFERROR(__xludf.DUMMYFUNCTION("""COMPUTED_VALUE"""),0.14826752618855762)</f>
        <v>0.1482675262</v>
      </c>
      <c r="H3114" s="5">
        <f>IFERROR(__xludf.DUMMYFUNCTION("""COMPUTED_VALUE"""),0.5891544117647058)</f>
        <v>0.5891544118</v>
      </c>
      <c r="I3114" s="11">
        <f>IFERROR(__xludf.DUMMYFUNCTION("""COMPUTED_VALUE"""),5189.0625)</f>
        <v>5189.0625</v>
      </c>
      <c r="J3114" s="10">
        <f>IFERROR(__xludf.DUMMYFUNCTION("""COMPUTED_VALUE"""),1.0)</f>
        <v>1</v>
      </c>
      <c r="K3114" s="5">
        <f>IFERROR(__xludf.DUMMYFUNCTION("""COMPUTED_VALUE"""),0.0021598272138228943)</f>
        <v>0.002159827214</v>
      </c>
      <c r="L3114" s="10">
        <f>IFERROR(__xludf.DUMMYFUNCTION("""COMPUTED_VALUE"""),463.0)</f>
        <v>463</v>
      </c>
      <c r="M3114" s="5">
        <f>IFERROR(__xludf.DUMMYFUNCTION("""COMPUTED_VALUE"""),1.0)</f>
        <v>1</v>
      </c>
    </row>
    <row r="3115">
      <c r="A3115" s="10" t="str">
        <f>IFERROR(__xludf.DUMMYFUNCTION("""COMPUTED_VALUE"""),"裏栗拾い")</f>
        <v>裏栗拾い</v>
      </c>
      <c r="B3115" s="10">
        <f>IFERROR(__xludf.DUMMYFUNCTION("""COMPUTED_VALUE"""),688.0)</f>
        <v>688</v>
      </c>
      <c r="C3115" s="10">
        <f>IFERROR(__xludf.DUMMYFUNCTION("""COMPUTED_VALUE"""),8111.0)</f>
        <v>8111</v>
      </c>
      <c r="D3115" s="5">
        <f>IFERROR(__xludf.DUMMYFUNCTION("""COMPUTED_VALUE"""),0.3741075037047016)</f>
        <v>0.3741075037</v>
      </c>
      <c r="E3115" s="5">
        <f>IFERROR(__xludf.DUMMYFUNCTION("""COMPUTED_VALUE"""),0.12569042166240066)</f>
        <v>0.1256904217</v>
      </c>
      <c r="F3115" s="5">
        <f>IFERROR(__xludf.DUMMYFUNCTION("""COMPUTED_VALUE"""),0.21433382729354708)</f>
        <v>0.2143338273</v>
      </c>
      <c r="G3115" s="5">
        <f>IFERROR(__xludf.DUMMYFUNCTION("""COMPUTED_VALUE"""),0.17513134851138354)</f>
        <v>0.1751313485</v>
      </c>
      <c r="H3115" s="5">
        <f>IFERROR(__xludf.DUMMYFUNCTION("""COMPUTED_VALUE"""),0.5713387806411062)</f>
        <v>0.5713387806</v>
      </c>
      <c r="I3115" s="11">
        <f>IFERROR(__xludf.DUMMYFUNCTION("""COMPUTED_VALUE"""),5532.746700188561)</f>
        <v>5532.7467</v>
      </c>
      <c r="J3115" s="10">
        <f>IFERROR(__xludf.DUMMYFUNCTION("""COMPUTED_VALUE"""),1.0)</f>
        <v>1</v>
      </c>
      <c r="K3115" s="5">
        <f>IFERROR(__xludf.DUMMYFUNCTION("""COMPUTED_VALUE"""),0.0014534883720930232)</f>
        <v>0.001453488372</v>
      </c>
      <c r="L3115" s="10">
        <f>IFERROR(__xludf.DUMMYFUNCTION("""COMPUTED_VALUE"""),688.0)</f>
        <v>688</v>
      </c>
      <c r="M3115" s="5">
        <f>IFERROR(__xludf.DUMMYFUNCTION("""COMPUTED_VALUE"""),1.0)</f>
        <v>1</v>
      </c>
    </row>
    <row r="3116">
      <c r="A3116" s="10" t="str">
        <f>IFERROR(__xludf.DUMMYFUNCTION("""COMPUTED_VALUE"""),"咲畑梨深")</f>
        <v>咲畑梨深</v>
      </c>
      <c r="B3116" s="10">
        <f>IFERROR(__xludf.DUMMYFUNCTION("""COMPUTED_VALUE"""),809.0)</f>
        <v>809</v>
      </c>
      <c r="C3116" s="10">
        <f>IFERROR(__xludf.DUMMYFUNCTION("""COMPUTED_VALUE"""),9569.0)</f>
        <v>9569</v>
      </c>
      <c r="D3116" s="5">
        <f>IFERROR(__xludf.DUMMYFUNCTION("""COMPUTED_VALUE"""),0.3373287671232877)</f>
        <v>0.3373287671</v>
      </c>
      <c r="E3116" s="5">
        <f>IFERROR(__xludf.DUMMYFUNCTION("""COMPUTED_VALUE"""),0.1256849315068493)</f>
        <v>0.1256849315</v>
      </c>
      <c r="F3116" s="5">
        <f>IFERROR(__xludf.DUMMYFUNCTION("""COMPUTED_VALUE"""),0.20342465753424657)</f>
        <v>0.2034246575</v>
      </c>
      <c r="G3116" s="5">
        <f>IFERROR(__xludf.DUMMYFUNCTION("""COMPUTED_VALUE"""),0.1678082191780822)</f>
        <v>0.1678082192</v>
      </c>
      <c r="H3116" s="5">
        <f>IFERROR(__xludf.DUMMYFUNCTION("""COMPUTED_VALUE"""),0.5824915824915825)</f>
        <v>0.5824915825</v>
      </c>
      <c r="I3116" s="11">
        <f>IFERROR(__xludf.DUMMYFUNCTION("""COMPUTED_VALUE"""),5654.320987654321)</f>
        <v>5654.320988</v>
      </c>
      <c r="J3116" s="10">
        <f>IFERROR(__xludf.DUMMYFUNCTION("""COMPUTED_VALUE"""),1.0)</f>
        <v>1</v>
      </c>
      <c r="K3116" s="5">
        <f>IFERROR(__xludf.DUMMYFUNCTION("""COMPUTED_VALUE"""),0.0012360939431396785)</f>
        <v>0.001236093943</v>
      </c>
      <c r="L3116" s="10">
        <f>IFERROR(__xludf.DUMMYFUNCTION("""COMPUTED_VALUE"""),0.0)</f>
        <v>0</v>
      </c>
      <c r="M3116" s="5">
        <f>IFERROR(__xludf.DUMMYFUNCTION("""COMPUTED_VALUE"""),0.0)</f>
        <v>0</v>
      </c>
    </row>
    <row r="3117">
      <c r="A3117" s="10" t="str">
        <f>IFERROR(__xludf.DUMMYFUNCTION("""COMPUTED_VALUE"""),"海ほたる")</f>
        <v>海ほたる</v>
      </c>
      <c r="B3117" s="10">
        <f>IFERROR(__xludf.DUMMYFUNCTION("""COMPUTED_VALUE"""),516.0)</f>
        <v>516</v>
      </c>
      <c r="C3117" s="10">
        <f>IFERROR(__xludf.DUMMYFUNCTION("""COMPUTED_VALUE"""),5998.0)</f>
        <v>5998</v>
      </c>
      <c r="D3117" s="5">
        <f>IFERROR(__xludf.DUMMYFUNCTION("""COMPUTED_VALUE"""),0.3772345859175483)</f>
        <v>0.3772345859</v>
      </c>
      <c r="E3117" s="5">
        <f>IFERROR(__xludf.DUMMYFUNCTION("""COMPUTED_VALUE"""),0.1256840569135352)</f>
        <v>0.1256840569</v>
      </c>
      <c r="F3117" s="5">
        <f>IFERROR(__xludf.DUMMYFUNCTION("""COMPUTED_VALUE"""),0.22272893104706312)</f>
        <v>0.222728931</v>
      </c>
      <c r="G3117" s="5">
        <f>IFERROR(__xludf.DUMMYFUNCTION("""COMPUTED_VALUE"""),0.1822327617657789)</f>
        <v>0.1822327618</v>
      </c>
      <c r="H3117" s="5">
        <f>IFERROR(__xludf.DUMMYFUNCTION("""COMPUTED_VALUE"""),0.5904995904995906)</f>
        <v>0.5904995905</v>
      </c>
      <c r="I3117" s="11">
        <f>IFERROR(__xludf.DUMMYFUNCTION("""COMPUTED_VALUE"""),5531.367731367732)</f>
        <v>5531.367731</v>
      </c>
      <c r="J3117" s="10">
        <f>IFERROR(__xludf.DUMMYFUNCTION("""COMPUTED_VALUE"""),2.0)</f>
        <v>2</v>
      </c>
      <c r="K3117" s="5">
        <f>IFERROR(__xludf.DUMMYFUNCTION("""COMPUTED_VALUE"""),0.003875968992248062)</f>
        <v>0.003875968992</v>
      </c>
      <c r="L3117" s="10">
        <f>IFERROR(__xludf.DUMMYFUNCTION("""COMPUTED_VALUE"""),516.0)</f>
        <v>516</v>
      </c>
      <c r="M3117" s="5">
        <f>IFERROR(__xludf.DUMMYFUNCTION("""COMPUTED_VALUE"""),1.0)</f>
        <v>1</v>
      </c>
    </row>
    <row r="3118">
      <c r="A3118" s="10" t="str">
        <f>IFERROR(__xludf.DUMMYFUNCTION("""COMPUTED_VALUE"""),"First")</f>
        <v>First</v>
      </c>
      <c r="B3118" s="10">
        <f>IFERROR(__xludf.DUMMYFUNCTION("""COMPUTED_VALUE"""),1130.0)</f>
        <v>1130</v>
      </c>
      <c r="C3118" s="10">
        <f>IFERROR(__xludf.DUMMYFUNCTION("""COMPUTED_VALUE"""),13224.0)</f>
        <v>13224</v>
      </c>
      <c r="D3118" s="5">
        <f>IFERROR(__xludf.DUMMYFUNCTION("""COMPUTED_VALUE"""),0.2950223251198942)</f>
        <v>0.2950223251</v>
      </c>
      <c r="E3118" s="5">
        <f>IFERROR(__xludf.DUMMYFUNCTION("""COMPUTED_VALUE"""),0.12568215644121053)</f>
        <v>0.1256821564</v>
      </c>
      <c r="F3118" s="5">
        <f>IFERROR(__xludf.DUMMYFUNCTION("""COMPUTED_VALUE"""),0.1864560939308748)</f>
        <v>0.1864560939</v>
      </c>
      <c r="G3118" s="5">
        <f>IFERROR(__xludf.DUMMYFUNCTION("""COMPUTED_VALUE"""),0.15751612369770135)</f>
        <v>0.1575161237</v>
      </c>
      <c r="H3118" s="5">
        <f>IFERROR(__xludf.DUMMYFUNCTION("""COMPUTED_VALUE"""),0.5977827050997783)</f>
        <v>0.5977827051</v>
      </c>
      <c r="I3118" s="11">
        <f>IFERROR(__xludf.DUMMYFUNCTION("""COMPUTED_VALUE"""),6380.753880266076)</f>
        <v>6380.75388</v>
      </c>
      <c r="J3118" s="10">
        <f>IFERROR(__xludf.DUMMYFUNCTION("""COMPUTED_VALUE"""),1.0)</f>
        <v>1</v>
      </c>
      <c r="K3118" s="5">
        <f>IFERROR(__xludf.DUMMYFUNCTION("""COMPUTED_VALUE"""),8.849557522123894E-4)</f>
        <v>0.0008849557522</v>
      </c>
      <c r="L3118" s="10">
        <f>IFERROR(__xludf.DUMMYFUNCTION("""COMPUTED_VALUE"""),1130.0)</f>
        <v>1130</v>
      </c>
      <c r="M3118" s="5">
        <f>IFERROR(__xludf.DUMMYFUNCTION("""COMPUTED_VALUE"""),1.0)</f>
        <v>1</v>
      </c>
    </row>
    <row r="3119">
      <c r="A3119" s="10" t="str">
        <f>IFERROR(__xludf.DUMMYFUNCTION("""COMPUTED_VALUE"""),"※433※")</f>
        <v>※433※</v>
      </c>
      <c r="B3119" s="10">
        <f>IFERROR(__xludf.DUMMYFUNCTION("""COMPUTED_VALUE"""),1852.0)</f>
        <v>1852</v>
      </c>
      <c r="C3119" s="10">
        <f>IFERROR(__xludf.DUMMYFUNCTION("""COMPUTED_VALUE"""),21696.0)</f>
        <v>21696</v>
      </c>
      <c r="D3119" s="5">
        <f>IFERROR(__xludf.DUMMYFUNCTION("""COMPUTED_VALUE"""),0.33370288248337027)</f>
        <v>0.3337028825</v>
      </c>
      <c r="E3119" s="5">
        <f>IFERROR(__xludf.DUMMYFUNCTION("""COMPUTED_VALUE"""),0.12568030638984076)</f>
        <v>0.1256803064</v>
      </c>
      <c r="F3119" s="5">
        <f>IFERROR(__xludf.DUMMYFUNCTION("""COMPUTED_VALUE"""),0.20116911912920782)</f>
        <v>0.2011691191</v>
      </c>
      <c r="G3119" s="5">
        <f>IFERROR(__xludf.DUMMYFUNCTION("""COMPUTED_VALUE"""),0.15274138278572869)</f>
        <v>0.1527413828</v>
      </c>
      <c r="H3119" s="5">
        <f>IFERROR(__xludf.DUMMYFUNCTION("""COMPUTED_VALUE"""),0.5994488977955912)</f>
        <v>0.5994488978</v>
      </c>
      <c r="I3119" s="11">
        <f>IFERROR(__xludf.DUMMYFUNCTION("""COMPUTED_VALUE"""),5401.25250501002)</f>
        <v>5401.252505</v>
      </c>
      <c r="J3119" s="10">
        <f>IFERROR(__xludf.DUMMYFUNCTION("""COMPUTED_VALUE"""),5.0)</f>
        <v>5</v>
      </c>
      <c r="K3119" s="5">
        <f>IFERROR(__xludf.DUMMYFUNCTION("""COMPUTED_VALUE"""),0.0026997840172786176)</f>
        <v>0.002699784017</v>
      </c>
      <c r="L3119" s="10">
        <f>IFERROR(__xludf.DUMMYFUNCTION("""COMPUTED_VALUE"""),1852.0)</f>
        <v>1852</v>
      </c>
      <c r="M3119" s="5">
        <f>IFERROR(__xludf.DUMMYFUNCTION("""COMPUTED_VALUE"""),1.0)</f>
        <v>1</v>
      </c>
    </row>
    <row r="3120">
      <c r="A3120" s="10" t="str">
        <f>IFERROR(__xludf.DUMMYFUNCTION("""COMPUTED_VALUE"""),"【zero】")</f>
        <v>【zero】</v>
      </c>
      <c r="B3120" s="10">
        <f>IFERROR(__xludf.DUMMYFUNCTION("""COMPUTED_VALUE"""),1815.0)</f>
        <v>1815</v>
      </c>
      <c r="C3120" s="10">
        <f>IFERROR(__xludf.DUMMYFUNCTION("""COMPUTED_VALUE"""),21318.0)</f>
        <v>21318</v>
      </c>
      <c r="D3120" s="5">
        <f>IFERROR(__xludf.DUMMYFUNCTION("""COMPUTED_VALUE"""),0.35604778751986876)</f>
        <v>0.3560477875</v>
      </c>
      <c r="E3120" s="5">
        <f>IFERROR(__xludf.DUMMYFUNCTION("""COMPUTED_VALUE"""),0.12567297338870942)</f>
        <v>0.1256729734</v>
      </c>
      <c r="F3120" s="5">
        <f>IFERROR(__xludf.DUMMYFUNCTION("""COMPUTED_VALUE"""),0.22150438394093216)</f>
        <v>0.2215043839</v>
      </c>
      <c r="G3120" s="5">
        <f>IFERROR(__xludf.DUMMYFUNCTION("""COMPUTED_VALUE"""),0.16997385017689587)</f>
        <v>0.1699738502</v>
      </c>
      <c r="H3120" s="5">
        <f>IFERROR(__xludf.DUMMYFUNCTION("""COMPUTED_VALUE"""),0.5993055555555555)</f>
        <v>0.5993055556</v>
      </c>
      <c r="I3120" s="11">
        <f>IFERROR(__xludf.DUMMYFUNCTION("""COMPUTED_VALUE"""),5520.694444444444)</f>
        <v>5520.694444</v>
      </c>
      <c r="J3120" s="10">
        <f>IFERROR(__xludf.DUMMYFUNCTION("""COMPUTED_VALUE"""),4.0)</f>
        <v>4</v>
      </c>
      <c r="K3120" s="5">
        <f>IFERROR(__xludf.DUMMYFUNCTION("""COMPUTED_VALUE"""),0.0022038567493112946)</f>
        <v>0.002203856749</v>
      </c>
      <c r="L3120" s="10">
        <f>IFERROR(__xludf.DUMMYFUNCTION("""COMPUTED_VALUE"""),1815.0)</f>
        <v>1815</v>
      </c>
      <c r="M3120" s="5">
        <f>IFERROR(__xludf.DUMMYFUNCTION("""COMPUTED_VALUE"""),1.0)</f>
        <v>1</v>
      </c>
    </row>
    <row r="3121">
      <c r="A3121" s="10" t="str">
        <f>IFERROR(__xludf.DUMMYFUNCTION("""COMPUTED_VALUE"""),"俺のツモを見ろ")</f>
        <v>俺のツモを見ろ</v>
      </c>
      <c r="B3121" s="10">
        <f>IFERROR(__xludf.DUMMYFUNCTION("""COMPUTED_VALUE"""),104.0)</f>
        <v>104</v>
      </c>
      <c r="C3121" s="10">
        <f>IFERROR(__xludf.DUMMYFUNCTION("""COMPUTED_VALUE"""),1234.0)</f>
        <v>1234</v>
      </c>
      <c r="D3121" s="5">
        <f>IFERROR(__xludf.DUMMYFUNCTION("""COMPUTED_VALUE"""),0.25663716814159293)</f>
        <v>0.2566371681</v>
      </c>
      <c r="E3121" s="5">
        <f>IFERROR(__xludf.DUMMYFUNCTION("""COMPUTED_VALUE"""),0.1256637168141593)</f>
        <v>0.1256637168</v>
      </c>
      <c r="F3121" s="5">
        <f>IFERROR(__xludf.DUMMYFUNCTION("""COMPUTED_VALUE"""),0.1920353982300885)</f>
        <v>0.1920353982</v>
      </c>
      <c r="G3121" s="5">
        <f>IFERROR(__xludf.DUMMYFUNCTION("""COMPUTED_VALUE"""),0.17256637168141592)</f>
        <v>0.1725663717</v>
      </c>
      <c r="H3121" s="5">
        <f>IFERROR(__xludf.DUMMYFUNCTION("""COMPUTED_VALUE"""),0.5668202764976958)</f>
        <v>0.5668202765</v>
      </c>
      <c r="I3121" s="11">
        <f>IFERROR(__xludf.DUMMYFUNCTION("""COMPUTED_VALUE"""),5666.820276497696)</f>
        <v>5666.820276</v>
      </c>
      <c r="J3121" s="10">
        <f>IFERROR(__xludf.DUMMYFUNCTION("""COMPUTED_VALUE"""),0.0)</f>
        <v>0</v>
      </c>
      <c r="K3121" s="5">
        <f>IFERROR(__xludf.DUMMYFUNCTION("""COMPUTED_VALUE"""),0.0)</f>
        <v>0</v>
      </c>
      <c r="L3121" s="10">
        <f>IFERROR(__xludf.DUMMYFUNCTION("""COMPUTED_VALUE"""),104.0)</f>
        <v>104</v>
      </c>
      <c r="M3121" s="5">
        <f>IFERROR(__xludf.DUMMYFUNCTION("""COMPUTED_VALUE"""),1.0)</f>
        <v>1</v>
      </c>
    </row>
    <row r="3122">
      <c r="A3122" s="10" t="str">
        <f>IFERROR(__xludf.DUMMYFUNCTION("""COMPUTED_VALUE"""),"あるてみしおん")</f>
        <v>あるてみしおん</v>
      </c>
      <c r="B3122" s="10">
        <f>IFERROR(__xludf.DUMMYFUNCTION("""COMPUTED_VALUE"""),419.0)</f>
        <v>419</v>
      </c>
      <c r="C3122" s="10">
        <f>IFERROR(__xludf.DUMMYFUNCTION("""COMPUTED_VALUE"""),4955.0)</f>
        <v>4955</v>
      </c>
      <c r="D3122" s="5">
        <f>IFERROR(__xludf.DUMMYFUNCTION("""COMPUTED_VALUE"""),0.33994708994708994)</f>
        <v>0.3399470899</v>
      </c>
      <c r="E3122" s="5">
        <f>IFERROR(__xludf.DUMMYFUNCTION("""COMPUTED_VALUE"""),0.12566137566137567)</f>
        <v>0.1256613757</v>
      </c>
      <c r="F3122" s="5">
        <f>IFERROR(__xludf.DUMMYFUNCTION("""COMPUTED_VALUE"""),0.222663139329806)</f>
        <v>0.2226631393</v>
      </c>
      <c r="G3122" s="5">
        <f>IFERROR(__xludf.DUMMYFUNCTION("""COMPUTED_VALUE"""),0.167989417989418)</f>
        <v>0.167989418</v>
      </c>
      <c r="H3122" s="5">
        <f>IFERROR(__xludf.DUMMYFUNCTION("""COMPUTED_VALUE"""),0.599009900990099)</f>
        <v>0.599009901</v>
      </c>
      <c r="I3122" s="11">
        <f>IFERROR(__xludf.DUMMYFUNCTION("""COMPUTED_VALUE"""),5391.089108910891)</f>
        <v>5391.089109</v>
      </c>
      <c r="J3122" s="10">
        <f>IFERROR(__xludf.DUMMYFUNCTION("""COMPUTED_VALUE"""),0.0)</f>
        <v>0</v>
      </c>
      <c r="K3122" s="5">
        <f>IFERROR(__xludf.DUMMYFUNCTION("""COMPUTED_VALUE"""),0.0)</f>
        <v>0</v>
      </c>
      <c r="L3122" s="10">
        <f>IFERROR(__xludf.DUMMYFUNCTION("""COMPUTED_VALUE"""),361.0)</f>
        <v>361</v>
      </c>
      <c r="M3122" s="5">
        <f>IFERROR(__xludf.DUMMYFUNCTION("""COMPUTED_VALUE"""),0.8615751789976134)</f>
        <v>0.861575179</v>
      </c>
    </row>
    <row r="3123">
      <c r="A3123" s="10" t="str">
        <f>IFERROR(__xludf.DUMMYFUNCTION("""COMPUTED_VALUE"""),"Hooooooi")</f>
        <v>Hooooooi</v>
      </c>
      <c r="B3123" s="10">
        <f>IFERROR(__xludf.DUMMYFUNCTION("""COMPUTED_VALUE"""),944.0)</f>
        <v>944</v>
      </c>
      <c r="C3123" s="10">
        <f>IFERROR(__xludf.DUMMYFUNCTION("""COMPUTED_VALUE"""),10910.0)</f>
        <v>10910</v>
      </c>
      <c r="D3123" s="5">
        <f>IFERROR(__xludf.DUMMYFUNCTION("""COMPUTED_VALUE"""),0.37407184427051976)</f>
        <v>0.3740718443</v>
      </c>
      <c r="E3123" s="5">
        <f>IFERROR(__xludf.DUMMYFUNCTION("""COMPUTED_VALUE"""),0.1256271322496488)</f>
        <v>0.1256271322</v>
      </c>
      <c r="F3123" s="5">
        <f>IFERROR(__xludf.DUMMYFUNCTION("""COMPUTED_VALUE"""),0.21212121212121213)</f>
        <v>0.2121212121</v>
      </c>
      <c r="G3123" s="5">
        <f>IFERROR(__xludf.DUMMYFUNCTION("""COMPUTED_VALUE"""),0.16877383102548665)</f>
        <v>0.168773831</v>
      </c>
      <c r="H3123" s="5">
        <f>IFERROR(__xludf.DUMMYFUNCTION("""COMPUTED_VALUE"""),0.5719016083254493)</f>
        <v>0.5719016083</v>
      </c>
      <c r="I3123" s="11">
        <f>IFERROR(__xludf.DUMMYFUNCTION("""COMPUTED_VALUE"""),5562.582781456954)</f>
        <v>5562.582781</v>
      </c>
      <c r="J3123" s="10">
        <f>IFERROR(__xludf.DUMMYFUNCTION("""COMPUTED_VALUE"""),1.0)</f>
        <v>1</v>
      </c>
      <c r="K3123" s="5">
        <f>IFERROR(__xludf.DUMMYFUNCTION("""COMPUTED_VALUE"""),0.001059322033898305)</f>
        <v>0.001059322034</v>
      </c>
      <c r="L3123" s="10">
        <f>IFERROR(__xludf.DUMMYFUNCTION("""COMPUTED_VALUE"""),944.0)</f>
        <v>944</v>
      </c>
      <c r="M3123" s="5">
        <f>IFERROR(__xludf.DUMMYFUNCTION("""COMPUTED_VALUE"""),1.0)</f>
        <v>1</v>
      </c>
    </row>
    <row r="3124">
      <c r="A3124" s="10" t="str">
        <f>IFERROR(__xludf.DUMMYFUNCTION("""COMPUTED_VALUE"""),"ゐっちょん")</f>
        <v>ゐっちょん</v>
      </c>
      <c r="B3124" s="10">
        <f>IFERROR(__xludf.DUMMYFUNCTION("""COMPUTED_VALUE"""),1122.0)</f>
        <v>1122</v>
      </c>
      <c r="C3124" s="10">
        <f>IFERROR(__xludf.DUMMYFUNCTION("""COMPUTED_VALUE"""),13150.0)</f>
        <v>13150</v>
      </c>
      <c r="D3124" s="5">
        <f>IFERROR(__xludf.DUMMYFUNCTION("""COMPUTED_VALUE"""),0.3252411040904556)</f>
        <v>0.3252411041</v>
      </c>
      <c r="E3124" s="5">
        <f>IFERROR(__xludf.DUMMYFUNCTION("""COMPUTED_VALUE"""),0.12562354506152312)</f>
        <v>0.1256235451</v>
      </c>
      <c r="F3124" s="5">
        <f>IFERROR(__xludf.DUMMYFUNCTION("""COMPUTED_VALUE"""),0.20369138676421683)</f>
        <v>0.2036913868</v>
      </c>
      <c r="G3124" s="5">
        <f>IFERROR(__xludf.DUMMYFUNCTION("""COMPUTED_VALUE"""),0.15256069171932157)</f>
        <v>0.1525606917</v>
      </c>
      <c r="H3124" s="5">
        <f>IFERROR(__xludf.DUMMYFUNCTION("""COMPUTED_VALUE"""),0.5942857142857143)</f>
        <v>0.5942857143</v>
      </c>
      <c r="I3124" s="11">
        <f>IFERROR(__xludf.DUMMYFUNCTION("""COMPUTED_VALUE"""),5701.142857142857)</f>
        <v>5701.142857</v>
      </c>
      <c r="J3124" s="10">
        <f>IFERROR(__xludf.DUMMYFUNCTION("""COMPUTED_VALUE"""),2.0)</f>
        <v>2</v>
      </c>
      <c r="K3124" s="5">
        <f>IFERROR(__xludf.DUMMYFUNCTION("""COMPUTED_VALUE"""),0.0017825311942959)</f>
        <v>0.001782531194</v>
      </c>
      <c r="L3124" s="10">
        <f>IFERROR(__xludf.DUMMYFUNCTION("""COMPUTED_VALUE"""),0.0)</f>
        <v>0</v>
      </c>
      <c r="M3124" s="5">
        <f>IFERROR(__xludf.DUMMYFUNCTION("""COMPUTED_VALUE"""),0.0)</f>
        <v>0</v>
      </c>
    </row>
    <row r="3125">
      <c r="A3125" s="10" t="str">
        <f>IFERROR(__xludf.DUMMYFUNCTION("""COMPUTED_VALUE"""),"xlDailx")</f>
        <v>xlDailx</v>
      </c>
      <c r="B3125" s="10">
        <f>IFERROR(__xludf.DUMMYFUNCTION("""COMPUTED_VALUE"""),2552.0)</f>
        <v>2552</v>
      </c>
      <c r="C3125" s="10">
        <f>IFERROR(__xludf.DUMMYFUNCTION("""COMPUTED_VALUE"""),29824.0)</f>
        <v>29824</v>
      </c>
      <c r="D3125" s="5">
        <f>IFERROR(__xludf.DUMMYFUNCTION("""COMPUTED_VALUE"""),0.3532194191845116)</f>
        <v>0.3532194192</v>
      </c>
      <c r="E3125" s="5">
        <f>IFERROR(__xludf.DUMMYFUNCTION("""COMPUTED_VALUE"""),0.12562334995599883)</f>
        <v>0.12562335</v>
      </c>
      <c r="F3125" s="5">
        <f>IFERROR(__xludf.DUMMYFUNCTION("""COMPUTED_VALUE"""),0.2062921677911411)</f>
        <v>0.2062921678</v>
      </c>
      <c r="G3125" s="5">
        <f>IFERROR(__xludf.DUMMYFUNCTION("""COMPUTED_VALUE"""),0.18154150777354064)</f>
        <v>0.1815415078</v>
      </c>
      <c r="H3125" s="5">
        <f>IFERROR(__xludf.DUMMYFUNCTION("""COMPUTED_VALUE"""),0.5863846427301813)</f>
        <v>0.5863846427</v>
      </c>
      <c r="I3125" s="11">
        <f>IFERROR(__xludf.DUMMYFUNCTION("""COMPUTED_VALUE"""),5712.140063988624)</f>
        <v>5712.140064</v>
      </c>
      <c r="J3125" s="10">
        <f>IFERROR(__xludf.DUMMYFUNCTION("""COMPUTED_VALUE"""),3.0)</f>
        <v>3</v>
      </c>
      <c r="K3125" s="5">
        <f>IFERROR(__xludf.DUMMYFUNCTION("""COMPUTED_VALUE"""),0.0011755485893416929)</f>
        <v>0.001175548589</v>
      </c>
      <c r="L3125" s="10">
        <f>IFERROR(__xludf.DUMMYFUNCTION("""COMPUTED_VALUE"""),2022.0)</f>
        <v>2022</v>
      </c>
      <c r="M3125" s="5">
        <f>IFERROR(__xludf.DUMMYFUNCTION("""COMPUTED_VALUE"""),0.792319749216301)</f>
        <v>0.7923197492</v>
      </c>
    </row>
    <row r="3126">
      <c r="A3126" s="10" t="str">
        <f>IFERROR(__xludf.DUMMYFUNCTION("""COMPUTED_VALUE"""),"ふみずき21")</f>
        <v>ふみずき21</v>
      </c>
      <c r="B3126" s="10">
        <f>IFERROR(__xludf.DUMMYFUNCTION("""COMPUTED_VALUE"""),130.0)</f>
        <v>130</v>
      </c>
      <c r="C3126" s="10">
        <f>IFERROR(__xludf.DUMMYFUNCTION("""COMPUTED_VALUE"""),1539.0)</f>
        <v>1539</v>
      </c>
      <c r="D3126" s="5">
        <f>IFERROR(__xludf.DUMMYFUNCTION("""COMPUTED_VALUE"""),0.42228530872959547)</f>
        <v>0.4222853087</v>
      </c>
      <c r="E3126" s="5">
        <f>IFERROR(__xludf.DUMMYFUNCTION("""COMPUTED_VALUE"""),0.1256210078069553)</f>
        <v>0.1256210078</v>
      </c>
      <c r="F3126" s="5">
        <f>IFERROR(__xludf.DUMMYFUNCTION("""COMPUTED_VALUE"""),0.21362668559261888)</f>
        <v>0.2136266856</v>
      </c>
      <c r="G3126" s="5">
        <f>IFERROR(__xludf.DUMMYFUNCTION("""COMPUTED_VALUE"""),0.15755855216465578)</f>
        <v>0.1575585522</v>
      </c>
      <c r="H3126" s="5">
        <f>IFERROR(__xludf.DUMMYFUNCTION("""COMPUTED_VALUE"""),0.5980066445182725)</f>
        <v>0.5980066445</v>
      </c>
      <c r="I3126" s="11">
        <f>IFERROR(__xludf.DUMMYFUNCTION("""COMPUTED_VALUE"""),5203.986710963455)</f>
        <v>5203.986711</v>
      </c>
      <c r="J3126" s="10">
        <f>IFERROR(__xludf.DUMMYFUNCTION("""COMPUTED_VALUE"""),0.0)</f>
        <v>0</v>
      </c>
      <c r="K3126" s="5">
        <f>IFERROR(__xludf.DUMMYFUNCTION("""COMPUTED_VALUE"""),0.0)</f>
        <v>0</v>
      </c>
      <c r="L3126" s="10">
        <f>IFERROR(__xludf.DUMMYFUNCTION("""COMPUTED_VALUE"""),130.0)</f>
        <v>130</v>
      </c>
      <c r="M3126" s="5">
        <f>IFERROR(__xludf.DUMMYFUNCTION("""COMPUTED_VALUE"""),1.0)</f>
        <v>1</v>
      </c>
    </row>
    <row r="3127">
      <c r="A3127" s="10" t="str">
        <f>IFERROR(__xludf.DUMMYFUNCTION("""COMPUTED_VALUE"""),"あらくれ")</f>
        <v>あらくれ</v>
      </c>
      <c r="B3127" s="10">
        <f>IFERROR(__xludf.DUMMYFUNCTION("""COMPUTED_VALUE"""),464.0)</f>
        <v>464</v>
      </c>
      <c r="C3127" s="10">
        <f>IFERROR(__xludf.DUMMYFUNCTION("""COMPUTED_VALUE"""),5344.0)</f>
        <v>5344</v>
      </c>
      <c r="D3127" s="5">
        <f>IFERROR(__xludf.DUMMYFUNCTION("""COMPUTED_VALUE"""),0.3432377049180328)</f>
        <v>0.3432377049</v>
      </c>
      <c r="E3127" s="5">
        <f>IFERROR(__xludf.DUMMYFUNCTION("""COMPUTED_VALUE"""),0.12561475409836065)</f>
        <v>0.1256147541</v>
      </c>
      <c r="F3127" s="5">
        <f>IFERROR(__xludf.DUMMYFUNCTION("""COMPUTED_VALUE"""),0.22110655737704918)</f>
        <v>0.2211065574</v>
      </c>
      <c r="G3127" s="5">
        <f>IFERROR(__xludf.DUMMYFUNCTION("""COMPUTED_VALUE"""),0.17438524590163934)</f>
        <v>0.1743852459</v>
      </c>
      <c r="H3127" s="5">
        <f>IFERROR(__xludf.DUMMYFUNCTION("""COMPUTED_VALUE"""),0.6014828544949027)</f>
        <v>0.6014828545</v>
      </c>
      <c r="I3127" s="11">
        <f>IFERROR(__xludf.DUMMYFUNCTION("""COMPUTED_VALUE"""),5700.5560704355885)</f>
        <v>5700.55607</v>
      </c>
      <c r="J3127" s="10">
        <f>IFERROR(__xludf.DUMMYFUNCTION("""COMPUTED_VALUE"""),0.0)</f>
        <v>0</v>
      </c>
      <c r="K3127" s="5">
        <f>IFERROR(__xludf.DUMMYFUNCTION("""COMPUTED_VALUE"""),0.0)</f>
        <v>0</v>
      </c>
      <c r="L3127" s="10">
        <f>IFERROR(__xludf.DUMMYFUNCTION("""COMPUTED_VALUE"""),3.0)</f>
        <v>3</v>
      </c>
      <c r="M3127" s="5">
        <f>IFERROR(__xludf.DUMMYFUNCTION("""COMPUTED_VALUE"""),0.00646551724137931)</f>
        <v>0.006465517241</v>
      </c>
    </row>
    <row r="3128">
      <c r="A3128" s="10" t="str">
        <f>IFERROR(__xludf.DUMMYFUNCTION("""COMPUTED_VALUE"""),"wata.")</f>
        <v>wata.</v>
      </c>
      <c r="B3128" s="10">
        <f>IFERROR(__xludf.DUMMYFUNCTION("""COMPUTED_VALUE"""),1381.0)</f>
        <v>1381</v>
      </c>
      <c r="C3128" s="10">
        <f>IFERROR(__xludf.DUMMYFUNCTION("""COMPUTED_VALUE"""),16237.0)</f>
        <v>16237</v>
      </c>
      <c r="D3128" s="5">
        <f>IFERROR(__xludf.DUMMYFUNCTION("""COMPUTED_VALUE"""),0.3193995691976306)</f>
        <v>0.3193995692</v>
      </c>
      <c r="E3128" s="5">
        <f>IFERROR(__xludf.DUMMYFUNCTION("""COMPUTED_VALUE"""),0.12560581583198707)</f>
        <v>0.1256058158</v>
      </c>
      <c r="F3128" s="5">
        <f>IFERROR(__xludf.DUMMYFUNCTION("""COMPUTED_VALUE"""),0.20786214324178784)</f>
        <v>0.2078621432</v>
      </c>
      <c r="G3128" s="5">
        <f>IFERROR(__xludf.DUMMYFUNCTION("""COMPUTED_VALUE"""),0.19015885837372107)</f>
        <v>0.1901588584</v>
      </c>
      <c r="H3128" s="5">
        <f>IFERROR(__xludf.DUMMYFUNCTION("""COMPUTED_VALUE"""),0.5926165803108808)</f>
        <v>0.5926165803</v>
      </c>
      <c r="I3128" s="11">
        <f>IFERROR(__xludf.DUMMYFUNCTION("""COMPUTED_VALUE"""),5673.704663212436)</f>
        <v>5673.704663</v>
      </c>
      <c r="J3128" s="10">
        <f>IFERROR(__xludf.DUMMYFUNCTION("""COMPUTED_VALUE"""),4.0)</f>
        <v>4</v>
      </c>
      <c r="K3128" s="5">
        <f>IFERROR(__xludf.DUMMYFUNCTION("""COMPUTED_VALUE"""),0.002896451846488052)</f>
        <v>0.002896451846</v>
      </c>
      <c r="L3128" s="10">
        <f>IFERROR(__xludf.DUMMYFUNCTION("""COMPUTED_VALUE"""),1381.0)</f>
        <v>1381</v>
      </c>
      <c r="M3128" s="5">
        <f>IFERROR(__xludf.DUMMYFUNCTION("""COMPUTED_VALUE"""),1.0)</f>
        <v>1</v>
      </c>
    </row>
    <row r="3129">
      <c r="A3129" s="10" t="str">
        <f>IFERROR(__xludf.DUMMYFUNCTION("""COMPUTED_VALUE"""),"船越英一郎")</f>
        <v>船越英一郎</v>
      </c>
      <c r="B3129" s="10">
        <f>IFERROR(__xludf.DUMMYFUNCTION("""COMPUTED_VALUE"""),1584.0)</f>
        <v>1584</v>
      </c>
      <c r="C3129" s="10">
        <f>IFERROR(__xludf.DUMMYFUNCTION("""COMPUTED_VALUE"""),18327.0)</f>
        <v>18327</v>
      </c>
      <c r="D3129" s="5">
        <f>IFERROR(__xludf.DUMMYFUNCTION("""COMPUTED_VALUE"""),0.3240160066893627)</f>
        <v>0.3240160067</v>
      </c>
      <c r="E3129" s="5">
        <f>IFERROR(__xludf.DUMMYFUNCTION("""COMPUTED_VALUE"""),0.1256047303350654)</f>
        <v>0.1256047303</v>
      </c>
      <c r="F3129" s="5">
        <f>IFERROR(__xludf.DUMMYFUNCTION("""COMPUTED_VALUE"""),0.21399988054709432)</f>
        <v>0.2139998805</v>
      </c>
      <c r="G3129" s="5">
        <f>IFERROR(__xludf.DUMMYFUNCTION("""COMPUTED_VALUE"""),0.19906826733560293)</f>
        <v>0.1990682673</v>
      </c>
      <c r="H3129" s="5">
        <f>IFERROR(__xludf.DUMMYFUNCTION("""COMPUTED_VALUE"""),0.6173597543957577)</f>
        <v>0.6173597544</v>
      </c>
      <c r="I3129" s="11">
        <f>IFERROR(__xludf.DUMMYFUNCTION("""COMPUTED_VALUE"""),5952.497906782026)</f>
        <v>5952.497907</v>
      </c>
      <c r="J3129" s="10">
        <f>IFERROR(__xludf.DUMMYFUNCTION("""COMPUTED_VALUE"""),1.0)</f>
        <v>1</v>
      </c>
      <c r="K3129" s="5">
        <f>IFERROR(__xludf.DUMMYFUNCTION("""COMPUTED_VALUE"""),6.313131313131314E-4)</f>
        <v>0.0006313131313</v>
      </c>
      <c r="L3129" s="10">
        <f>IFERROR(__xludf.DUMMYFUNCTION("""COMPUTED_VALUE"""),1584.0)</f>
        <v>1584</v>
      </c>
      <c r="M3129" s="5">
        <f>IFERROR(__xludf.DUMMYFUNCTION("""COMPUTED_VALUE"""),1.0)</f>
        <v>1</v>
      </c>
    </row>
    <row r="3130">
      <c r="A3130" s="10" t="str">
        <f>IFERROR(__xludf.DUMMYFUNCTION("""COMPUTED_VALUE"""),"小手返撲滅会長")</f>
        <v>小手返撲滅会長</v>
      </c>
      <c r="B3130" s="10">
        <f>IFERROR(__xludf.DUMMYFUNCTION("""COMPUTED_VALUE"""),5702.0)</f>
        <v>5702</v>
      </c>
      <c r="C3130" s="10">
        <f>IFERROR(__xludf.DUMMYFUNCTION("""COMPUTED_VALUE"""),66568.0)</f>
        <v>66568</v>
      </c>
      <c r="D3130" s="5">
        <f>IFERROR(__xludf.DUMMYFUNCTION("""COMPUTED_VALUE"""),0.35050767259225185)</f>
        <v>0.3505076726</v>
      </c>
      <c r="E3130" s="5">
        <f>IFERROR(__xludf.DUMMYFUNCTION("""COMPUTED_VALUE"""),0.12558735583084152)</f>
        <v>0.1255873558</v>
      </c>
      <c r="F3130" s="5">
        <f>IFERROR(__xludf.DUMMYFUNCTION("""COMPUTED_VALUE"""),0.21200670324976179)</f>
        <v>0.2120067032</v>
      </c>
      <c r="G3130" s="5">
        <f>IFERROR(__xludf.DUMMYFUNCTION("""COMPUTED_VALUE"""),0.1610422896198206)</f>
        <v>0.1610422896</v>
      </c>
      <c r="H3130" s="5">
        <f>IFERROR(__xludf.DUMMYFUNCTION("""COMPUTED_VALUE"""),0.6034562926224426)</f>
        <v>0.6034562926</v>
      </c>
      <c r="I3130" s="11">
        <f>IFERROR(__xludf.DUMMYFUNCTION("""COMPUTED_VALUE"""),5640.584314941104)</f>
        <v>5640.584315</v>
      </c>
      <c r="J3130" s="10">
        <f>IFERROR(__xludf.DUMMYFUNCTION("""COMPUTED_VALUE"""),6.0)</f>
        <v>6</v>
      </c>
      <c r="K3130" s="5">
        <f>IFERROR(__xludf.DUMMYFUNCTION("""COMPUTED_VALUE"""),0.001052262364082778)</f>
        <v>0.001052262364</v>
      </c>
      <c r="L3130" s="10">
        <f>IFERROR(__xludf.DUMMYFUNCTION("""COMPUTED_VALUE"""),867.0)</f>
        <v>867</v>
      </c>
      <c r="M3130" s="5">
        <f>IFERROR(__xludf.DUMMYFUNCTION("""COMPUTED_VALUE"""),0.15205191160996143)</f>
        <v>0.1520519116</v>
      </c>
    </row>
    <row r="3131">
      <c r="A3131" s="10" t="str">
        <f>IFERROR(__xludf.DUMMYFUNCTION("""COMPUTED_VALUE"""),"タッツン＠ユーズ")</f>
        <v>タッツン＠ユーズ</v>
      </c>
      <c r="B3131" s="10">
        <f>IFERROR(__xludf.DUMMYFUNCTION("""COMPUTED_VALUE"""),594.0)</f>
        <v>594</v>
      </c>
      <c r="C3131" s="10">
        <f>IFERROR(__xludf.DUMMYFUNCTION("""COMPUTED_VALUE"""),6805.0)</f>
        <v>6805</v>
      </c>
      <c r="D3131" s="5">
        <f>IFERROR(__xludf.DUMMYFUNCTION("""COMPUTED_VALUE"""),0.2621156013524392)</f>
        <v>0.2621156014</v>
      </c>
      <c r="E3131" s="5">
        <f>IFERROR(__xludf.DUMMYFUNCTION("""COMPUTED_VALUE"""),0.12558364192561583)</f>
        <v>0.1255836419</v>
      </c>
      <c r="F3131" s="5">
        <f>IFERROR(__xludf.DUMMYFUNCTION("""COMPUTED_VALUE"""),0.1990017710513605)</f>
        <v>0.1990017711</v>
      </c>
      <c r="G3131" s="5">
        <f>IFERROR(__xludf.DUMMYFUNCTION("""COMPUTED_VALUE"""),0.189663500241507)</f>
        <v>0.1896635002</v>
      </c>
      <c r="H3131" s="5">
        <f>IFERROR(__xludf.DUMMYFUNCTION("""COMPUTED_VALUE"""),0.5631067961165048)</f>
        <v>0.5631067961</v>
      </c>
      <c r="I3131" s="11">
        <f>IFERROR(__xludf.DUMMYFUNCTION("""COMPUTED_VALUE"""),6160.760517799353)</f>
        <v>6160.760518</v>
      </c>
      <c r="J3131" s="10">
        <f>IFERROR(__xludf.DUMMYFUNCTION("""COMPUTED_VALUE"""),1.0)</f>
        <v>1</v>
      </c>
      <c r="K3131" s="5">
        <f>IFERROR(__xludf.DUMMYFUNCTION("""COMPUTED_VALUE"""),0.0016835016835016834)</f>
        <v>0.001683501684</v>
      </c>
      <c r="L3131" s="10">
        <f>IFERROR(__xludf.DUMMYFUNCTION("""COMPUTED_VALUE"""),594.0)</f>
        <v>594</v>
      </c>
      <c r="M3131" s="5">
        <f>IFERROR(__xludf.DUMMYFUNCTION("""COMPUTED_VALUE"""),1.0)</f>
        <v>1</v>
      </c>
    </row>
    <row r="3132">
      <c r="A3132" s="10" t="str">
        <f>IFERROR(__xludf.DUMMYFUNCTION("""COMPUTED_VALUE"""),"チャオラー")</f>
        <v>チャオラー</v>
      </c>
      <c r="B3132" s="10">
        <f>IFERROR(__xludf.DUMMYFUNCTION("""COMPUTED_VALUE"""),285.0)</f>
        <v>285</v>
      </c>
      <c r="C3132" s="10">
        <f>IFERROR(__xludf.DUMMYFUNCTION("""COMPUTED_VALUE"""),3327.0)</f>
        <v>3327</v>
      </c>
      <c r="D3132" s="5">
        <f>IFERROR(__xludf.DUMMYFUNCTION("""COMPUTED_VALUE"""),0.3717948717948718)</f>
        <v>0.3717948718</v>
      </c>
      <c r="E3132" s="5">
        <f>IFERROR(__xludf.DUMMYFUNCTION("""COMPUTED_VALUE"""),0.12557527942143326)</f>
        <v>0.1255752794</v>
      </c>
      <c r="F3132" s="5">
        <f>IFERROR(__xludf.DUMMYFUNCTION("""COMPUTED_VALUE"""),0.2182774490466798)</f>
        <v>0.218277449</v>
      </c>
      <c r="G3132" s="5">
        <f>IFERROR(__xludf.DUMMYFUNCTION("""COMPUTED_VALUE"""),0.1752136752136752)</f>
        <v>0.1752136752</v>
      </c>
      <c r="H3132" s="5">
        <f>IFERROR(__xludf.DUMMYFUNCTION("""COMPUTED_VALUE"""),0.6039156626506024)</f>
        <v>0.6039156627</v>
      </c>
      <c r="I3132" s="11">
        <f>IFERROR(__xludf.DUMMYFUNCTION("""COMPUTED_VALUE"""),5380.27108433735)</f>
        <v>5380.271084</v>
      </c>
      <c r="J3132" s="10">
        <f>IFERROR(__xludf.DUMMYFUNCTION("""COMPUTED_VALUE"""),1.0)</f>
        <v>1</v>
      </c>
      <c r="K3132" s="5">
        <f>IFERROR(__xludf.DUMMYFUNCTION("""COMPUTED_VALUE"""),0.0035087719298245615)</f>
        <v>0.00350877193</v>
      </c>
      <c r="L3132" s="10">
        <f>IFERROR(__xludf.DUMMYFUNCTION("""COMPUTED_VALUE"""),285.0)</f>
        <v>285</v>
      </c>
      <c r="M3132" s="5">
        <f>IFERROR(__xludf.DUMMYFUNCTION("""COMPUTED_VALUE"""),1.0)</f>
        <v>1</v>
      </c>
    </row>
    <row r="3133">
      <c r="A3133" s="10" t="str">
        <f>IFERROR(__xludf.DUMMYFUNCTION("""COMPUTED_VALUE"""),"msigeru")</f>
        <v>msigeru</v>
      </c>
      <c r="B3133" s="10">
        <f>IFERROR(__xludf.DUMMYFUNCTION("""COMPUTED_VALUE"""),345.0)</f>
        <v>345</v>
      </c>
      <c r="C3133" s="10">
        <f>IFERROR(__xludf.DUMMYFUNCTION("""COMPUTED_VALUE"""),4064.0)</f>
        <v>4064</v>
      </c>
      <c r="D3133" s="5">
        <f>IFERROR(__xludf.DUMMYFUNCTION("""COMPUTED_VALUE"""),0.31755848346329657)</f>
        <v>0.3175584835</v>
      </c>
      <c r="E3133" s="5">
        <f>IFERROR(__xludf.DUMMYFUNCTION("""COMPUTED_VALUE"""),0.1255713901586448)</f>
        <v>0.1255713902</v>
      </c>
      <c r="F3133" s="5">
        <f>IFERROR(__xludf.DUMMYFUNCTION("""COMPUTED_VALUE"""),0.19628932508738908)</f>
        <v>0.1962893251</v>
      </c>
      <c r="G3133" s="5">
        <f>IFERROR(__xludf.DUMMYFUNCTION("""COMPUTED_VALUE"""),0.15998924442054316)</f>
        <v>0.1599892444</v>
      </c>
      <c r="H3133" s="5">
        <f>IFERROR(__xludf.DUMMYFUNCTION("""COMPUTED_VALUE"""),0.6301369863013698)</f>
        <v>0.6301369863</v>
      </c>
      <c r="I3133" s="11">
        <f>IFERROR(__xludf.DUMMYFUNCTION("""COMPUTED_VALUE"""),5585.2054794520545)</f>
        <v>5585.205479</v>
      </c>
      <c r="J3133" s="10">
        <f>IFERROR(__xludf.DUMMYFUNCTION("""COMPUTED_VALUE"""),2.0)</f>
        <v>2</v>
      </c>
      <c r="K3133" s="5">
        <f>IFERROR(__xludf.DUMMYFUNCTION("""COMPUTED_VALUE"""),0.005797101449275362)</f>
        <v>0.005797101449</v>
      </c>
      <c r="L3133" s="10">
        <f>IFERROR(__xludf.DUMMYFUNCTION("""COMPUTED_VALUE"""),345.0)</f>
        <v>345</v>
      </c>
      <c r="M3133" s="5">
        <f>IFERROR(__xludf.DUMMYFUNCTION("""COMPUTED_VALUE"""),1.0)</f>
        <v>1</v>
      </c>
    </row>
    <row r="3134">
      <c r="A3134" s="10" t="str">
        <f>IFERROR(__xludf.DUMMYFUNCTION("""COMPUTED_VALUE"""),"eranvita")</f>
        <v>eranvita</v>
      </c>
      <c r="B3134" s="10">
        <f>IFERROR(__xludf.DUMMYFUNCTION("""COMPUTED_VALUE"""),2636.0)</f>
        <v>2636</v>
      </c>
      <c r="C3134" s="10">
        <f>IFERROR(__xludf.DUMMYFUNCTION("""COMPUTED_VALUE"""),30732.0)</f>
        <v>30732</v>
      </c>
      <c r="D3134" s="5">
        <f>IFERROR(__xludf.DUMMYFUNCTION("""COMPUTED_VALUE"""),0.3248149202733485)</f>
        <v>0.3248149203</v>
      </c>
      <c r="E3134" s="5">
        <f>IFERROR(__xludf.DUMMYFUNCTION("""COMPUTED_VALUE"""),0.12556947608200456)</f>
        <v>0.1255694761</v>
      </c>
      <c r="F3134" s="5">
        <f>IFERROR(__xludf.DUMMYFUNCTION("""COMPUTED_VALUE"""),0.20561645785876992)</f>
        <v>0.2056164579</v>
      </c>
      <c r="G3134" s="5">
        <f>IFERROR(__xludf.DUMMYFUNCTION("""COMPUTED_VALUE"""),0.17518507972665148)</f>
        <v>0.1751850797</v>
      </c>
      <c r="H3134" s="5">
        <f>IFERROR(__xludf.DUMMYFUNCTION("""COMPUTED_VALUE"""),0.6018694824303271)</f>
        <v>0.6018694824</v>
      </c>
      <c r="I3134" s="11">
        <f>IFERROR(__xludf.DUMMYFUNCTION("""COMPUTED_VALUE"""),6006.508568461139)</f>
        <v>6006.508568</v>
      </c>
      <c r="J3134" s="10">
        <f>IFERROR(__xludf.DUMMYFUNCTION("""COMPUTED_VALUE"""),7.0)</f>
        <v>7</v>
      </c>
      <c r="K3134" s="5">
        <f>IFERROR(__xludf.DUMMYFUNCTION("""COMPUTED_VALUE"""),0.002655538694992413)</f>
        <v>0.002655538695</v>
      </c>
      <c r="L3134" s="10">
        <f>IFERROR(__xludf.DUMMYFUNCTION("""COMPUTED_VALUE"""),2636.0)</f>
        <v>2636</v>
      </c>
      <c r="M3134" s="5">
        <f>IFERROR(__xludf.DUMMYFUNCTION("""COMPUTED_VALUE"""),1.0)</f>
        <v>1</v>
      </c>
    </row>
    <row r="3135">
      <c r="A3135" s="10" t="str">
        <f>IFERROR(__xludf.DUMMYFUNCTION("""COMPUTED_VALUE"""),"MRF")</f>
        <v>MRF</v>
      </c>
      <c r="B3135" s="10">
        <f>IFERROR(__xludf.DUMMYFUNCTION("""COMPUTED_VALUE"""),472.0)</f>
        <v>472</v>
      </c>
      <c r="C3135" s="10">
        <f>IFERROR(__xludf.DUMMYFUNCTION("""COMPUTED_VALUE"""),5545.0)</f>
        <v>5545</v>
      </c>
      <c r="D3135" s="5">
        <f>IFERROR(__xludf.DUMMYFUNCTION("""COMPUTED_VALUE"""),0.3847821801695249)</f>
        <v>0.3847821802</v>
      </c>
      <c r="E3135" s="5">
        <f>IFERROR(__xludf.DUMMYFUNCTION("""COMPUTED_VALUE"""),0.12556672580327222)</f>
        <v>0.1255667258</v>
      </c>
      <c r="F3135" s="5">
        <f>IFERROR(__xludf.DUMMYFUNCTION("""COMPUTED_VALUE"""),0.21643997634535778)</f>
        <v>0.2164399763</v>
      </c>
      <c r="G3135" s="5">
        <f>IFERROR(__xludf.DUMMYFUNCTION("""COMPUTED_VALUE"""),0.17819830475064063)</f>
        <v>0.1781983048</v>
      </c>
      <c r="H3135" s="5">
        <f>IFERROR(__xludf.DUMMYFUNCTION("""COMPUTED_VALUE"""),0.5774134790528234)</f>
        <v>0.5774134791</v>
      </c>
      <c r="I3135" s="11">
        <f>IFERROR(__xludf.DUMMYFUNCTION("""COMPUTED_VALUE"""),5496.630236794172)</f>
        <v>5496.630237</v>
      </c>
      <c r="J3135" s="10">
        <f>IFERROR(__xludf.DUMMYFUNCTION("""COMPUTED_VALUE"""),1.0)</f>
        <v>1</v>
      </c>
      <c r="K3135" s="5">
        <f>IFERROR(__xludf.DUMMYFUNCTION("""COMPUTED_VALUE"""),0.00211864406779661)</f>
        <v>0.002118644068</v>
      </c>
      <c r="L3135" s="10">
        <f>IFERROR(__xludf.DUMMYFUNCTION("""COMPUTED_VALUE"""),472.0)</f>
        <v>472</v>
      </c>
      <c r="M3135" s="5">
        <f>IFERROR(__xludf.DUMMYFUNCTION("""COMPUTED_VALUE"""),1.0)</f>
        <v>1</v>
      </c>
    </row>
    <row r="3136">
      <c r="A3136" s="10" t="str">
        <f>IFERROR(__xludf.DUMMYFUNCTION("""COMPUTED_VALUE"""),"はらぺこリグル")</f>
        <v>はらぺこリグル</v>
      </c>
      <c r="B3136" s="10">
        <f>IFERROR(__xludf.DUMMYFUNCTION("""COMPUTED_VALUE"""),262.0)</f>
        <v>262</v>
      </c>
      <c r="C3136" s="10">
        <f>IFERROR(__xludf.DUMMYFUNCTION("""COMPUTED_VALUE"""),3161.0)</f>
        <v>3161</v>
      </c>
      <c r="D3136" s="5">
        <f>IFERROR(__xludf.DUMMYFUNCTION("""COMPUTED_VALUE"""),0.4091065884787858)</f>
        <v>0.4091065885</v>
      </c>
      <c r="E3136" s="5">
        <f>IFERROR(__xludf.DUMMYFUNCTION("""COMPUTED_VALUE"""),0.12556053811659193)</f>
        <v>0.1255605381</v>
      </c>
      <c r="F3136" s="5">
        <f>IFERROR(__xludf.DUMMYFUNCTION("""COMPUTED_VALUE"""),0.20179372197309417)</f>
        <v>0.201793722</v>
      </c>
      <c r="G3136" s="5">
        <f>IFERROR(__xludf.DUMMYFUNCTION("""COMPUTED_VALUE"""),0.15143152811314245)</f>
        <v>0.1514315281</v>
      </c>
      <c r="H3136" s="5">
        <f>IFERROR(__xludf.DUMMYFUNCTION("""COMPUTED_VALUE"""),0.5948717948717949)</f>
        <v>0.5948717949</v>
      </c>
      <c r="I3136" s="11">
        <f>IFERROR(__xludf.DUMMYFUNCTION("""COMPUTED_VALUE"""),5424.615384615385)</f>
        <v>5424.615385</v>
      </c>
      <c r="J3136" s="10">
        <f>IFERROR(__xludf.DUMMYFUNCTION("""COMPUTED_VALUE"""),0.0)</f>
        <v>0</v>
      </c>
      <c r="K3136" s="5">
        <f>IFERROR(__xludf.DUMMYFUNCTION("""COMPUTED_VALUE"""),0.0)</f>
        <v>0</v>
      </c>
      <c r="L3136" s="10">
        <f>IFERROR(__xludf.DUMMYFUNCTION("""COMPUTED_VALUE"""),0.0)</f>
        <v>0</v>
      </c>
      <c r="M3136" s="5">
        <f>IFERROR(__xludf.DUMMYFUNCTION("""COMPUTED_VALUE"""),0.0)</f>
        <v>0</v>
      </c>
    </row>
    <row r="3137">
      <c r="A3137" s="10" t="str">
        <f>IFERROR(__xludf.DUMMYFUNCTION("""COMPUTED_VALUE"""),"andymori")</f>
        <v>andymori</v>
      </c>
      <c r="B3137" s="10">
        <f>IFERROR(__xludf.DUMMYFUNCTION("""COMPUTED_VALUE"""),1338.0)</f>
        <v>1338</v>
      </c>
      <c r="C3137" s="10">
        <f>IFERROR(__xludf.DUMMYFUNCTION("""COMPUTED_VALUE"""),15706.0)</f>
        <v>15706</v>
      </c>
      <c r="D3137" s="5">
        <f>IFERROR(__xludf.DUMMYFUNCTION("""COMPUTED_VALUE"""),0.3517538975501114)</f>
        <v>0.3517538976</v>
      </c>
      <c r="E3137" s="5">
        <f>IFERROR(__xludf.DUMMYFUNCTION("""COMPUTED_VALUE"""),0.12555679287305122)</f>
        <v>0.1255567929</v>
      </c>
      <c r="F3137" s="5">
        <f>IFERROR(__xludf.DUMMYFUNCTION("""COMPUTED_VALUE"""),0.1963390868596882)</f>
        <v>0.1963390869</v>
      </c>
      <c r="G3137" s="5">
        <f>IFERROR(__xludf.DUMMYFUNCTION("""COMPUTED_VALUE"""),0.1715618040089087)</f>
        <v>0.171561804</v>
      </c>
      <c r="H3137" s="5">
        <f>IFERROR(__xludf.DUMMYFUNCTION("""COMPUTED_VALUE"""),0.5824175824175825)</f>
        <v>0.5824175824</v>
      </c>
      <c r="I3137" s="11">
        <f>IFERROR(__xludf.DUMMYFUNCTION("""COMPUTED_VALUE"""),5967.103863878057)</f>
        <v>5967.103864</v>
      </c>
      <c r="J3137" s="10">
        <f>IFERROR(__xludf.DUMMYFUNCTION("""COMPUTED_VALUE"""),1.0)</f>
        <v>1</v>
      </c>
      <c r="K3137" s="5">
        <f>IFERROR(__xludf.DUMMYFUNCTION("""COMPUTED_VALUE"""),7.473841554559044E-4)</f>
        <v>0.0007473841555</v>
      </c>
      <c r="L3137" s="10">
        <f>IFERROR(__xludf.DUMMYFUNCTION("""COMPUTED_VALUE"""),1338.0)</f>
        <v>1338</v>
      </c>
      <c r="M3137" s="5">
        <f>IFERROR(__xludf.DUMMYFUNCTION("""COMPUTED_VALUE"""),1.0)</f>
        <v>1</v>
      </c>
    </row>
    <row r="3138">
      <c r="A3138" s="10" t="str">
        <f>IFERROR(__xludf.DUMMYFUNCTION("""COMPUTED_VALUE"""),"あんざん")</f>
        <v>あんざん</v>
      </c>
      <c r="B3138" s="10">
        <f>IFERROR(__xludf.DUMMYFUNCTION("""COMPUTED_VALUE"""),381.0)</f>
        <v>381</v>
      </c>
      <c r="C3138" s="10">
        <f>IFERROR(__xludf.DUMMYFUNCTION("""COMPUTED_VALUE"""),4443.0)</f>
        <v>4443</v>
      </c>
      <c r="D3138" s="5">
        <f>IFERROR(__xludf.DUMMYFUNCTION("""COMPUTED_VALUE"""),0.39438700147710487)</f>
        <v>0.3943870015</v>
      </c>
      <c r="E3138" s="5">
        <f>IFERROR(__xludf.DUMMYFUNCTION("""COMPUTED_VALUE"""),0.1255539143279173)</f>
        <v>0.1255539143</v>
      </c>
      <c r="F3138" s="5">
        <f>IFERROR(__xludf.DUMMYFUNCTION("""COMPUTED_VALUE"""),0.21787296898079764)</f>
        <v>0.217872969</v>
      </c>
      <c r="G3138" s="5">
        <f>IFERROR(__xludf.DUMMYFUNCTION("""COMPUTED_VALUE"""),0.18193008370260955)</f>
        <v>0.1819300837</v>
      </c>
      <c r="H3138" s="5">
        <f>IFERROR(__xludf.DUMMYFUNCTION("""COMPUTED_VALUE"""),0.5988700564971752)</f>
        <v>0.5988700565</v>
      </c>
      <c r="I3138" s="11">
        <f>IFERROR(__xludf.DUMMYFUNCTION("""COMPUTED_VALUE"""),5417.28813559322)</f>
        <v>5417.288136</v>
      </c>
      <c r="J3138" s="10">
        <f>IFERROR(__xludf.DUMMYFUNCTION("""COMPUTED_VALUE"""),0.0)</f>
        <v>0</v>
      </c>
      <c r="K3138" s="5">
        <f>IFERROR(__xludf.DUMMYFUNCTION("""COMPUTED_VALUE"""),0.0)</f>
        <v>0</v>
      </c>
      <c r="L3138" s="10">
        <f>IFERROR(__xludf.DUMMYFUNCTION("""COMPUTED_VALUE"""),371.0)</f>
        <v>371</v>
      </c>
      <c r="M3138" s="5">
        <f>IFERROR(__xludf.DUMMYFUNCTION("""COMPUTED_VALUE"""),0.973753280839895)</f>
        <v>0.9737532808</v>
      </c>
    </row>
    <row r="3139">
      <c r="A3139" s="10" t="str">
        <f>IFERROR(__xludf.DUMMYFUNCTION("""COMPUTED_VALUE"""),"hangaku")</f>
        <v>hangaku</v>
      </c>
      <c r="B3139" s="10">
        <f>IFERROR(__xludf.DUMMYFUNCTION("""COMPUTED_VALUE"""),299.0)</f>
        <v>299</v>
      </c>
      <c r="C3139" s="10">
        <f>IFERROR(__xludf.DUMMYFUNCTION("""COMPUTED_VALUE"""),3509.0)</f>
        <v>3509</v>
      </c>
      <c r="D3139" s="5">
        <f>IFERROR(__xludf.DUMMYFUNCTION("""COMPUTED_VALUE"""),0.38193146417445484)</f>
        <v>0.3819314642</v>
      </c>
      <c r="E3139" s="5">
        <f>IFERROR(__xludf.DUMMYFUNCTION("""COMPUTED_VALUE"""),0.12554517133956386)</f>
        <v>0.1255451713</v>
      </c>
      <c r="F3139" s="5">
        <f>IFERROR(__xludf.DUMMYFUNCTION("""COMPUTED_VALUE"""),0.20809968847352026)</f>
        <v>0.2080996885</v>
      </c>
      <c r="G3139" s="5">
        <f>IFERROR(__xludf.DUMMYFUNCTION("""COMPUTED_VALUE"""),0.1691588785046729)</f>
        <v>0.1691588785</v>
      </c>
      <c r="H3139" s="5">
        <f>IFERROR(__xludf.DUMMYFUNCTION("""COMPUTED_VALUE"""),0.6107784431137725)</f>
        <v>0.6107784431</v>
      </c>
      <c r="I3139" s="11">
        <f>IFERROR(__xludf.DUMMYFUNCTION("""COMPUTED_VALUE"""),5407.784431137725)</f>
        <v>5407.784431</v>
      </c>
      <c r="J3139" s="10">
        <f>IFERROR(__xludf.DUMMYFUNCTION("""COMPUTED_VALUE"""),0.0)</f>
        <v>0</v>
      </c>
      <c r="K3139" s="5">
        <f>IFERROR(__xludf.DUMMYFUNCTION("""COMPUTED_VALUE"""),0.0)</f>
        <v>0</v>
      </c>
      <c r="L3139" s="10">
        <f>IFERROR(__xludf.DUMMYFUNCTION("""COMPUTED_VALUE"""),299.0)</f>
        <v>299</v>
      </c>
      <c r="M3139" s="5">
        <f>IFERROR(__xludf.DUMMYFUNCTION("""COMPUTED_VALUE"""),1.0)</f>
        <v>1</v>
      </c>
    </row>
    <row r="3140">
      <c r="A3140" s="10" t="str">
        <f>IFERROR(__xludf.DUMMYFUNCTION("""COMPUTED_VALUE"""),"ノブキ")</f>
        <v>ノブキ</v>
      </c>
      <c r="B3140" s="10">
        <f>IFERROR(__xludf.DUMMYFUNCTION("""COMPUTED_VALUE"""),893.0)</f>
        <v>893</v>
      </c>
      <c r="C3140" s="10">
        <f>IFERROR(__xludf.DUMMYFUNCTION("""COMPUTED_VALUE"""),10547.0)</f>
        <v>10547</v>
      </c>
      <c r="D3140" s="5">
        <f>IFERROR(__xludf.DUMMYFUNCTION("""COMPUTED_VALUE"""),0.364615703335405)</f>
        <v>0.3646157033</v>
      </c>
      <c r="E3140" s="5">
        <f>IFERROR(__xludf.DUMMYFUNCTION("""COMPUTED_VALUE"""),0.12554381603480422)</f>
        <v>0.125543816</v>
      </c>
      <c r="F3140" s="5">
        <f>IFERROR(__xludf.DUMMYFUNCTION("""COMPUTED_VALUE"""),0.21825150196809612)</f>
        <v>0.218251502</v>
      </c>
      <c r="G3140" s="5">
        <f>IFERROR(__xludf.DUMMYFUNCTION("""COMPUTED_VALUE"""),0.19411642842345142)</f>
        <v>0.1941164284</v>
      </c>
      <c r="H3140" s="5">
        <f>IFERROR(__xludf.DUMMYFUNCTION("""COMPUTED_VALUE"""),0.5757000474608448)</f>
        <v>0.5757000475</v>
      </c>
      <c r="I3140" s="11">
        <f>IFERROR(__xludf.DUMMYFUNCTION("""COMPUTED_VALUE"""),5661.651637399145)</f>
        <v>5661.651637</v>
      </c>
      <c r="J3140" s="10">
        <f>IFERROR(__xludf.DUMMYFUNCTION("""COMPUTED_VALUE"""),2.0)</f>
        <v>2</v>
      </c>
      <c r="K3140" s="5">
        <f>IFERROR(__xludf.DUMMYFUNCTION("""COMPUTED_VALUE"""),0.0022396416573348264)</f>
        <v>0.002239641657</v>
      </c>
      <c r="L3140" s="10">
        <f>IFERROR(__xludf.DUMMYFUNCTION("""COMPUTED_VALUE"""),893.0)</f>
        <v>893</v>
      </c>
      <c r="M3140" s="5">
        <f>IFERROR(__xludf.DUMMYFUNCTION("""COMPUTED_VALUE"""),1.0)</f>
        <v>1</v>
      </c>
    </row>
    <row r="3141">
      <c r="A3141" s="10" t="str">
        <f>IFERROR(__xludf.DUMMYFUNCTION("""COMPUTED_VALUE"""),"破壊魔ちるみ")</f>
        <v>破壊魔ちるみ</v>
      </c>
      <c r="B3141" s="10">
        <f>IFERROR(__xludf.DUMMYFUNCTION("""COMPUTED_VALUE"""),440.0)</f>
        <v>440</v>
      </c>
      <c r="C3141" s="10">
        <f>IFERROR(__xludf.DUMMYFUNCTION("""COMPUTED_VALUE"""),5068.0)</f>
        <v>5068</v>
      </c>
      <c r="D3141" s="5">
        <f>IFERROR(__xludf.DUMMYFUNCTION("""COMPUTED_VALUE"""),0.3409680207433016)</f>
        <v>0.3409680207</v>
      </c>
      <c r="E3141" s="5">
        <f>IFERROR(__xludf.DUMMYFUNCTION("""COMPUTED_VALUE"""),0.1255401901469317)</f>
        <v>0.1255401901</v>
      </c>
      <c r="F3141" s="5">
        <f>IFERROR(__xludf.DUMMYFUNCTION("""COMPUTED_VALUE"""),0.21521175453759722)</f>
        <v>0.2152117545</v>
      </c>
      <c r="G3141" s="5">
        <f>IFERROR(__xludf.DUMMYFUNCTION("""COMPUTED_VALUE"""),0.17934312878133102)</f>
        <v>0.1793431288</v>
      </c>
      <c r="H3141" s="5">
        <f>IFERROR(__xludf.DUMMYFUNCTION("""COMPUTED_VALUE"""),0.5662650602409639)</f>
        <v>0.5662650602</v>
      </c>
      <c r="I3141" s="11">
        <f>IFERROR(__xludf.DUMMYFUNCTION("""COMPUTED_VALUE"""),5920.582329317269)</f>
        <v>5920.582329</v>
      </c>
      <c r="J3141" s="10">
        <f>IFERROR(__xludf.DUMMYFUNCTION("""COMPUTED_VALUE"""),2.0)</f>
        <v>2</v>
      </c>
      <c r="K3141" s="5">
        <f>IFERROR(__xludf.DUMMYFUNCTION("""COMPUTED_VALUE"""),0.004545454545454545)</f>
        <v>0.004545454545</v>
      </c>
      <c r="L3141" s="10">
        <f>IFERROR(__xludf.DUMMYFUNCTION("""COMPUTED_VALUE"""),1.0)</f>
        <v>1</v>
      </c>
      <c r="M3141" s="5">
        <f>IFERROR(__xludf.DUMMYFUNCTION("""COMPUTED_VALUE"""),0.0022727272727272726)</f>
        <v>0.002272727273</v>
      </c>
    </row>
    <row r="3142">
      <c r="A3142" s="10" t="str">
        <f>IFERROR(__xludf.DUMMYFUNCTION("""COMPUTED_VALUE"""),"爆牌ウシジマくん")</f>
        <v>爆牌ウシジマくん</v>
      </c>
      <c r="B3142" s="10">
        <f>IFERROR(__xludf.DUMMYFUNCTION("""COMPUTED_VALUE"""),1565.0)</f>
        <v>1565</v>
      </c>
      <c r="C3142" s="10">
        <f>IFERROR(__xludf.DUMMYFUNCTION("""COMPUTED_VALUE"""),18357.0)</f>
        <v>18357</v>
      </c>
      <c r="D3142" s="5">
        <f>IFERROR(__xludf.DUMMYFUNCTION("""COMPUTED_VALUE"""),0.35737255836112436)</f>
        <v>0.3573725584</v>
      </c>
      <c r="E3142" s="5">
        <f>IFERROR(__xludf.DUMMYFUNCTION("""COMPUTED_VALUE"""),0.12553596950929014)</f>
        <v>0.1255359695</v>
      </c>
      <c r="F3142" s="5">
        <f>IFERROR(__xludf.DUMMYFUNCTION("""COMPUTED_VALUE"""),0.21367317770366842)</f>
        <v>0.2136731777</v>
      </c>
      <c r="G3142" s="5">
        <f>IFERROR(__xludf.DUMMYFUNCTION("""COMPUTED_VALUE"""),0.16079085278704144)</f>
        <v>0.1607908528</v>
      </c>
      <c r="H3142" s="5">
        <f>IFERROR(__xludf.DUMMYFUNCTION("""COMPUTED_VALUE"""),0.5866778149386845)</f>
        <v>0.5866778149</v>
      </c>
      <c r="I3142" s="11">
        <f>IFERROR(__xludf.DUMMYFUNCTION("""COMPUTED_VALUE"""),5536.371237458194)</f>
        <v>5536.371237</v>
      </c>
      <c r="J3142" s="10">
        <f>IFERROR(__xludf.DUMMYFUNCTION("""COMPUTED_VALUE"""),1.0)</f>
        <v>1</v>
      </c>
      <c r="K3142" s="5">
        <f>IFERROR(__xludf.DUMMYFUNCTION("""COMPUTED_VALUE"""),6.389776357827476E-4)</f>
        <v>0.0006389776358</v>
      </c>
      <c r="L3142" s="10">
        <f>IFERROR(__xludf.DUMMYFUNCTION("""COMPUTED_VALUE"""),1565.0)</f>
        <v>1565</v>
      </c>
      <c r="M3142" s="5">
        <f>IFERROR(__xludf.DUMMYFUNCTION("""COMPUTED_VALUE"""),1.0)</f>
        <v>1</v>
      </c>
    </row>
    <row r="3143">
      <c r="A3143" s="10" t="str">
        <f>IFERROR(__xludf.DUMMYFUNCTION("""COMPUTED_VALUE"""),"キミタマゴ")</f>
        <v>キミタマゴ</v>
      </c>
      <c r="B3143" s="10">
        <f>IFERROR(__xludf.DUMMYFUNCTION("""COMPUTED_VALUE"""),817.0)</f>
        <v>817</v>
      </c>
      <c r="C3143" s="10">
        <f>IFERROR(__xludf.DUMMYFUNCTION("""COMPUTED_VALUE"""),9508.0)</f>
        <v>9508</v>
      </c>
      <c r="D3143" s="5">
        <f>IFERROR(__xludf.DUMMYFUNCTION("""COMPUTED_VALUE"""),0.34921182832815556)</f>
        <v>0.3492118283</v>
      </c>
      <c r="E3143" s="5">
        <f>IFERROR(__xludf.DUMMYFUNCTION("""COMPUTED_VALUE"""),0.1255321597054424)</f>
        <v>0.1255321597</v>
      </c>
      <c r="F3143" s="5">
        <f>IFERROR(__xludf.DUMMYFUNCTION("""COMPUTED_VALUE"""),0.20895178920722587)</f>
        <v>0.2089517892</v>
      </c>
      <c r="G3143" s="5">
        <f>IFERROR(__xludf.DUMMYFUNCTION("""COMPUTED_VALUE"""),0.15360717984121505)</f>
        <v>0.1536071798</v>
      </c>
      <c r="H3143" s="5">
        <f>IFERROR(__xludf.DUMMYFUNCTION("""COMPUTED_VALUE"""),0.6233480176211453)</f>
        <v>0.6233480176</v>
      </c>
      <c r="I3143" s="11">
        <f>IFERROR(__xludf.DUMMYFUNCTION("""COMPUTED_VALUE"""),5728.028634361233)</f>
        <v>5728.028634</v>
      </c>
      <c r="J3143" s="10">
        <f>IFERROR(__xludf.DUMMYFUNCTION("""COMPUTED_VALUE"""),3.0)</f>
        <v>3</v>
      </c>
      <c r="K3143" s="5">
        <f>IFERROR(__xludf.DUMMYFUNCTION("""COMPUTED_VALUE"""),0.0036719706242350062)</f>
        <v>0.003671970624</v>
      </c>
      <c r="L3143" s="10">
        <f>IFERROR(__xludf.DUMMYFUNCTION("""COMPUTED_VALUE"""),817.0)</f>
        <v>817</v>
      </c>
      <c r="M3143" s="5">
        <f>IFERROR(__xludf.DUMMYFUNCTION("""COMPUTED_VALUE"""),1.0)</f>
        <v>1</v>
      </c>
    </row>
    <row r="3144">
      <c r="A3144" s="10" t="str">
        <f>IFERROR(__xludf.DUMMYFUNCTION("""COMPUTED_VALUE"""),"安定四段")</f>
        <v>安定四段</v>
      </c>
      <c r="B3144" s="10">
        <f>IFERROR(__xludf.DUMMYFUNCTION("""COMPUTED_VALUE"""),356.0)</f>
        <v>356</v>
      </c>
      <c r="C3144" s="10">
        <f>IFERROR(__xludf.DUMMYFUNCTION("""COMPUTED_VALUE"""),4244.0)</f>
        <v>4244</v>
      </c>
      <c r="D3144" s="5">
        <f>IFERROR(__xludf.DUMMYFUNCTION("""COMPUTED_VALUE"""),0.2811213991769547)</f>
        <v>0.2811213992</v>
      </c>
      <c r="E3144" s="5">
        <f>IFERROR(__xludf.DUMMYFUNCTION("""COMPUTED_VALUE"""),0.12551440329218108)</f>
        <v>0.1255144033</v>
      </c>
      <c r="F3144" s="5">
        <f>IFERROR(__xludf.DUMMYFUNCTION("""COMPUTED_VALUE"""),0.205761316872428)</f>
        <v>0.2057613169</v>
      </c>
      <c r="G3144" s="5">
        <f>IFERROR(__xludf.DUMMYFUNCTION("""COMPUTED_VALUE"""),0.16512345679012347)</f>
        <v>0.1651234568</v>
      </c>
      <c r="H3144" s="5">
        <f>IFERROR(__xludf.DUMMYFUNCTION("""COMPUTED_VALUE"""),0.59)</f>
        <v>0.59</v>
      </c>
      <c r="I3144" s="11">
        <f>IFERROR(__xludf.DUMMYFUNCTION("""COMPUTED_VALUE"""),5821.875)</f>
        <v>5821.875</v>
      </c>
      <c r="J3144" s="10">
        <f>IFERROR(__xludf.DUMMYFUNCTION("""COMPUTED_VALUE"""),0.0)</f>
        <v>0</v>
      </c>
      <c r="K3144" s="5">
        <f>IFERROR(__xludf.DUMMYFUNCTION("""COMPUTED_VALUE"""),0.0)</f>
        <v>0</v>
      </c>
      <c r="L3144" s="10">
        <f>IFERROR(__xludf.DUMMYFUNCTION("""COMPUTED_VALUE"""),356.0)</f>
        <v>356</v>
      </c>
      <c r="M3144" s="5">
        <f>IFERROR(__xludf.DUMMYFUNCTION("""COMPUTED_VALUE"""),1.0)</f>
        <v>1</v>
      </c>
    </row>
    <row r="3145">
      <c r="A3145" s="10" t="str">
        <f>IFERROR(__xludf.DUMMYFUNCTION("""COMPUTED_VALUE"""),"国専")</f>
        <v>国専</v>
      </c>
      <c r="B3145" s="10">
        <f>IFERROR(__xludf.DUMMYFUNCTION("""COMPUTED_VALUE"""),155.0)</f>
        <v>155</v>
      </c>
      <c r="C3145" s="10">
        <f>IFERROR(__xludf.DUMMYFUNCTION("""COMPUTED_VALUE"""),1876.0)</f>
        <v>1876</v>
      </c>
      <c r="D3145" s="5">
        <f>IFERROR(__xludf.DUMMYFUNCTION("""COMPUTED_VALUE"""),0.35037768739105174)</f>
        <v>0.3503776874</v>
      </c>
      <c r="E3145" s="5">
        <f>IFERROR(__xludf.DUMMYFUNCTION("""COMPUTED_VALUE"""),0.12550842533410808)</f>
        <v>0.1255084253</v>
      </c>
      <c r="F3145" s="5">
        <f>IFERROR(__xludf.DUMMYFUNCTION("""COMPUTED_VALUE"""),0.19291109819872168)</f>
        <v>0.1929110982</v>
      </c>
      <c r="G3145" s="5">
        <f>IFERROR(__xludf.DUMMYFUNCTION("""COMPUTED_VALUE"""),0.1464264962231261)</f>
        <v>0.1464264962</v>
      </c>
      <c r="H3145" s="5">
        <f>IFERROR(__xludf.DUMMYFUNCTION("""COMPUTED_VALUE"""),0.5451807228915663)</f>
        <v>0.5451807229</v>
      </c>
      <c r="I3145" s="11">
        <f>IFERROR(__xludf.DUMMYFUNCTION("""COMPUTED_VALUE"""),5210.240963855422)</f>
        <v>5210.240964</v>
      </c>
      <c r="J3145" s="10">
        <f>IFERROR(__xludf.DUMMYFUNCTION("""COMPUTED_VALUE"""),0.0)</f>
        <v>0</v>
      </c>
      <c r="K3145" s="5">
        <f>IFERROR(__xludf.DUMMYFUNCTION("""COMPUTED_VALUE"""),0.0)</f>
        <v>0</v>
      </c>
      <c r="L3145" s="10">
        <f>IFERROR(__xludf.DUMMYFUNCTION("""COMPUTED_VALUE"""),155.0)</f>
        <v>155</v>
      </c>
      <c r="M3145" s="5">
        <f>IFERROR(__xludf.DUMMYFUNCTION("""COMPUTED_VALUE"""),1.0)</f>
        <v>1</v>
      </c>
    </row>
    <row r="3146">
      <c r="A3146" s="10" t="str">
        <f>IFERROR(__xludf.DUMMYFUNCTION("""COMPUTED_VALUE"""),"エルゲルージ")</f>
        <v>エルゲルージ</v>
      </c>
      <c r="B3146" s="10">
        <f>IFERROR(__xludf.DUMMYFUNCTION("""COMPUTED_VALUE"""),586.0)</f>
        <v>586</v>
      </c>
      <c r="C3146" s="10">
        <f>IFERROR(__xludf.DUMMYFUNCTION("""COMPUTED_VALUE"""),6841.0)</f>
        <v>6841</v>
      </c>
      <c r="D3146" s="5">
        <f>IFERROR(__xludf.DUMMYFUNCTION("""COMPUTED_VALUE"""),0.3950439648281375)</f>
        <v>0.3950439648</v>
      </c>
      <c r="E3146" s="5">
        <f>IFERROR(__xludf.DUMMYFUNCTION("""COMPUTED_VALUE"""),0.1254996003197442)</f>
        <v>0.1254996003</v>
      </c>
      <c r="F3146" s="5">
        <f>IFERROR(__xludf.DUMMYFUNCTION("""COMPUTED_VALUE"""),0.21007194244604316)</f>
        <v>0.2100719424</v>
      </c>
      <c r="G3146" s="5">
        <f>IFERROR(__xludf.DUMMYFUNCTION("""COMPUTED_VALUE"""),0.16243005595523582)</f>
        <v>0.162430056</v>
      </c>
      <c r="H3146" s="5">
        <f>IFERROR(__xludf.DUMMYFUNCTION("""COMPUTED_VALUE"""),0.6057838660578386)</f>
        <v>0.6057838661</v>
      </c>
      <c r="I3146" s="11">
        <f>IFERROR(__xludf.DUMMYFUNCTION("""COMPUTED_VALUE"""),5398.782343987824)</f>
        <v>5398.782344</v>
      </c>
      <c r="J3146" s="10">
        <f>IFERROR(__xludf.DUMMYFUNCTION("""COMPUTED_VALUE"""),1.0)</f>
        <v>1</v>
      </c>
      <c r="K3146" s="5">
        <f>IFERROR(__xludf.DUMMYFUNCTION("""COMPUTED_VALUE"""),0.0017064846416382253)</f>
        <v>0.001706484642</v>
      </c>
      <c r="L3146" s="10">
        <f>IFERROR(__xludf.DUMMYFUNCTION("""COMPUTED_VALUE"""),586.0)</f>
        <v>586</v>
      </c>
      <c r="M3146" s="5">
        <f>IFERROR(__xludf.DUMMYFUNCTION("""COMPUTED_VALUE"""),1.0)</f>
        <v>1</v>
      </c>
    </row>
    <row r="3147">
      <c r="A3147" s="10" t="str">
        <f>IFERROR(__xludf.DUMMYFUNCTION("""COMPUTED_VALUE"""),"魂魄妖夢。")</f>
        <v>魂魄妖夢。</v>
      </c>
      <c r="B3147" s="10">
        <f>IFERROR(__xludf.DUMMYFUNCTION("""COMPUTED_VALUE"""),553.0)</f>
        <v>553</v>
      </c>
      <c r="C3147" s="10">
        <f>IFERROR(__xludf.DUMMYFUNCTION("""COMPUTED_VALUE"""),6411.0)</f>
        <v>6411</v>
      </c>
      <c r="D3147" s="5">
        <f>IFERROR(__xludf.DUMMYFUNCTION("""COMPUTED_VALUE"""),0.4112325025606009)</f>
        <v>0.4112325026</v>
      </c>
      <c r="E3147" s="5">
        <f>IFERROR(__xludf.DUMMYFUNCTION("""COMPUTED_VALUE"""),0.12546944349607375)</f>
        <v>0.1254694435</v>
      </c>
      <c r="F3147" s="5">
        <f>IFERROR(__xludf.DUMMYFUNCTION("""COMPUTED_VALUE"""),0.21372482075793786)</f>
        <v>0.2137248208</v>
      </c>
      <c r="G3147" s="5">
        <f>IFERROR(__xludf.DUMMYFUNCTION("""COMPUTED_VALUE"""),0.1592693752133834)</f>
        <v>0.1592693752</v>
      </c>
      <c r="H3147" s="5">
        <f>IFERROR(__xludf.DUMMYFUNCTION("""COMPUTED_VALUE"""),0.6182108626198083)</f>
        <v>0.6182108626</v>
      </c>
      <c r="I3147" s="11">
        <f>IFERROR(__xludf.DUMMYFUNCTION("""COMPUTED_VALUE"""),4992.012779552716)</f>
        <v>4992.01278</v>
      </c>
      <c r="J3147" s="10">
        <f>IFERROR(__xludf.DUMMYFUNCTION("""COMPUTED_VALUE"""),0.0)</f>
        <v>0</v>
      </c>
      <c r="K3147" s="5">
        <f>IFERROR(__xludf.DUMMYFUNCTION("""COMPUTED_VALUE"""),0.0)</f>
        <v>0</v>
      </c>
      <c r="L3147" s="10">
        <f>IFERROR(__xludf.DUMMYFUNCTION("""COMPUTED_VALUE"""),0.0)</f>
        <v>0</v>
      </c>
      <c r="M3147" s="5">
        <f>IFERROR(__xludf.DUMMYFUNCTION("""COMPUTED_VALUE"""),0.0)</f>
        <v>0</v>
      </c>
    </row>
    <row r="3148">
      <c r="A3148" s="10" t="str">
        <f>IFERROR(__xludf.DUMMYFUNCTION("""COMPUTED_VALUE"""),"赤城みりあ")</f>
        <v>赤城みりあ</v>
      </c>
      <c r="B3148" s="10">
        <f>IFERROR(__xludf.DUMMYFUNCTION("""COMPUTED_VALUE"""),1677.0)</f>
        <v>1677</v>
      </c>
      <c r="C3148" s="10">
        <f>IFERROR(__xludf.DUMMYFUNCTION("""COMPUTED_VALUE"""),19610.0)</f>
        <v>19610</v>
      </c>
      <c r="D3148" s="5">
        <f>IFERROR(__xludf.DUMMYFUNCTION("""COMPUTED_VALUE"""),0.3570512463056934)</f>
        <v>0.3570512463</v>
      </c>
      <c r="E3148" s="5">
        <f>IFERROR(__xludf.DUMMYFUNCTION("""COMPUTED_VALUE"""),0.12546701611554117)</f>
        <v>0.1254670161</v>
      </c>
      <c r="F3148" s="5">
        <f>IFERROR(__xludf.DUMMYFUNCTION("""COMPUTED_VALUE"""),0.21463224223498578)</f>
        <v>0.2146322422</v>
      </c>
      <c r="G3148" s="5">
        <f>IFERROR(__xludf.DUMMYFUNCTION("""COMPUTED_VALUE"""),0.1691295377237495)</f>
        <v>0.1691295377</v>
      </c>
      <c r="H3148" s="5">
        <f>IFERROR(__xludf.DUMMYFUNCTION("""COMPUTED_VALUE"""),0.5970381917381138)</f>
        <v>0.5970381917</v>
      </c>
      <c r="I3148" s="11">
        <f>IFERROR(__xludf.DUMMYFUNCTION("""COMPUTED_VALUE"""),5539.204988308652)</f>
        <v>5539.204988</v>
      </c>
      <c r="J3148" s="10">
        <f>IFERROR(__xludf.DUMMYFUNCTION("""COMPUTED_VALUE"""),1.0)</f>
        <v>1</v>
      </c>
      <c r="K3148" s="5">
        <f>IFERROR(__xludf.DUMMYFUNCTION("""COMPUTED_VALUE"""),5.963029218843172E-4)</f>
        <v>0.0005963029219</v>
      </c>
      <c r="L3148" s="10">
        <f>IFERROR(__xludf.DUMMYFUNCTION("""COMPUTED_VALUE"""),7.0)</f>
        <v>7</v>
      </c>
      <c r="M3148" s="5">
        <f>IFERROR(__xludf.DUMMYFUNCTION("""COMPUTED_VALUE"""),0.0041741204531902205)</f>
        <v>0.004174120453</v>
      </c>
    </row>
    <row r="3149">
      <c r="A3149" s="10" t="str">
        <f>IFERROR(__xludf.DUMMYFUNCTION("""COMPUTED_VALUE"""),"若宮ひな子")</f>
        <v>若宮ひな子</v>
      </c>
      <c r="B3149" s="10">
        <f>IFERROR(__xludf.DUMMYFUNCTION("""COMPUTED_VALUE"""),287.0)</f>
        <v>287</v>
      </c>
      <c r="C3149" s="10">
        <f>IFERROR(__xludf.DUMMYFUNCTION("""COMPUTED_VALUE"""),3236.0)</f>
        <v>3236</v>
      </c>
      <c r="D3149" s="5">
        <f>IFERROR(__xludf.DUMMYFUNCTION("""COMPUTED_VALUE"""),0.41200406917599186)</f>
        <v>0.4120040692</v>
      </c>
      <c r="E3149" s="5">
        <f>IFERROR(__xludf.DUMMYFUNCTION("""COMPUTED_VALUE"""),0.12546625974906747)</f>
        <v>0.1254662597</v>
      </c>
      <c r="F3149" s="5">
        <f>IFERROR(__xludf.DUMMYFUNCTION("""COMPUTED_VALUE"""),0.2122753475754493)</f>
        <v>0.2122753476</v>
      </c>
      <c r="G3149" s="5">
        <f>IFERROR(__xludf.DUMMYFUNCTION("""COMPUTED_VALUE"""),0.169548999660902)</f>
        <v>0.1695489997</v>
      </c>
      <c r="H3149" s="5">
        <f>IFERROR(__xludf.DUMMYFUNCTION("""COMPUTED_VALUE"""),0.646964856230032)</f>
        <v>0.6469648562</v>
      </c>
      <c r="I3149" s="11">
        <f>IFERROR(__xludf.DUMMYFUNCTION("""COMPUTED_VALUE"""),5515.495207667732)</f>
        <v>5515.495208</v>
      </c>
      <c r="J3149" s="10">
        <f>IFERROR(__xludf.DUMMYFUNCTION("""COMPUTED_VALUE"""),0.0)</f>
        <v>0</v>
      </c>
      <c r="K3149" s="5">
        <f>IFERROR(__xludf.DUMMYFUNCTION("""COMPUTED_VALUE"""),0.0)</f>
        <v>0</v>
      </c>
      <c r="L3149" s="10">
        <f>IFERROR(__xludf.DUMMYFUNCTION("""COMPUTED_VALUE"""),11.0)</f>
        <v>11</v>
      </c>
      <c r="M3149" s="5">
        <f>IFERROR(__xludf.DUMMYFUNCTION("""COMPUTED_VALUE"""),0.03832752613240418)</f>
        <v>0.03832752613</v>
      </c>
    </row>
    <row r="3150">
      <c r="A3150" s="10" t="str">
        <f>IFERROR(__xludf.DUMMYFUNCTION("""COMPUTED_VALUE"""),"雀たま☆乱太郎")</f>
        <v>雀たま☆乱太郎</v>
      </c>
      <c r="B3150" s="10">
        <f>IFERROR(__xludf.DUMMYFUNCTION("""COMPUTED_VALUE"""),150.0)</f>
        <v>150</v>
      </c>
      <c r="C3150" s="10">
        <f>IFERROR(__xludf.DUMMYFUNCTION("""COMPUTED_VALUE"""),1760.0)</f>
        <v>1760</v>
      </c>
      <c r="D3150" s="5">
        <f>IFERROR(__xludf.DUMMYFUNCTION("""COMPUTED_VALUE"""),0.3341614906832298)</f>
        <v>0.3341614907</v>
      </c>
      <c r="E3150" s="5">
        <f>IFERROR(__xludf.DUMMYFUNCTION("""COMPUTED_VALUE"""),0.12546583850931678)</f>
        <v>0.1254658385</v>
      </c>
      <c r="F3150" s="5">
        <f>IFERROR(__xludf.DUMMYFUNCTION("""COMPUTED_VALUE"""),0.20124223602484473)</f>
        <v>0.201242236</v>
      </c>
      <c r="G3150" s="5">
        <f>IFERROR(__xludf.DUMMYFUNCTION("""COMPUTED_VALUE"""),0.17515527950310558)</f>
        <v>0.1751552795</v>
      </c>
      <c r="H3150" s="5">
        <f>IFERROR(__xludf.DUMMYFUNCTION("""COMPUTED_VALUE"""),0.6327160493827161)</f>
        <v>0.6327160494</v>
      </c>
      <c r="I3150" s="11">
        <f>IFERROR(__xludf.DUMMYFUNCTION("""COMPUTED_VALUE"""),5484.259259259259)</f>
        <v>5484.259259</v>
      </c>
      <c r="J3150" s="10">
        <f>IFERROR(__xludf.DUMMYFUNCTION("""COMPUTED_VALUE"""),0.0)</f>
        <v>0</v>
      </c>
      <c r="K3150" s="5">
        <f>IFERROR(__xludf.DUMMYFUNCTION("""COMPUTED_VALUE"""),0.0)</f>
        <v>0</v>
      </c>
      <c r="L3150" s="10">
        <f>IFERROR(__xludf.DUMMYFUNCTION("""COMPUTED_VALUE"""),150.0)</f>
        <v>150</v>
      </c>
      <c r="M3150" s="5">
        <f>IFERROR(__xludf.DUMMYFUNCTION("""COMPUTED_VALUE"""),1.0)</f>
        <v>1</v>
      </c>
    </row>
    <row r="3151">
      <c r="A3151" s="10" t="str">
        <f>IFERROR(__xludf.DUMMYFUNCTION("""COMPUTED_VALUE"""),"ahhhhhha")</f>
        <v>ahhhhhha</v>
      </c>
      <c r="B3151" s="10">
        <f>IFERROR(__xludf.DUMMYFUNCTION("""COMPUTED_VALUE"""),1389.0)</f>
        <v>1389</v>
      </c>
      <c r="C3151" s="10">
        <f>IFERROR(__xludf.DUMMYFUNCTION("""COMPUTED_VALUE"""),16477.0)</f>
        <v>16477</v>
      </c>
      <c r="D3151" s="5">
        <f>IFERROR(__xludf.DUMMYFUNCTION("""COMPUTED_VALUE"""),0.34027041357370097)</f>
        <v>0.3402704136</v>
      </c>
      <c r="E3151" s="5">
        <f>IFERROR(__xludf.DUMMYFUNCTION("""COMPUTED_VALUE"""),0.12546394485683987)</f>
        <v>0.1254639449</v>
      </c>
      <c r="F3151" s="5">
        <f>IFERROR(__xludf.DUMMYFUNCTION("""COMPUTED_VALUE"""),0.21659597030752917)</f>
        <v>0.2165959703</v>
      </c>
      <c r="G3151" s="5">
        <f>IFERROR(__xludf.DUMMYFUNCTION("""COMPUTED_VALUE"""),0.1721235418875928)</f>
        <v>0.1721235419</v>
      </c>
      <c r="H3151" s="5">
        <f>IFERROR(__xludf.DUMMYFUNCTION("""COMPUTED_VALUE"""),0.6092411260709915)</f>
        <v>0.6092411261</v>
      </c>
      <c r="I3151" s="11">
        <f>IFERROR(__xludf.DUMMYFUNCTION("""COMPUTED_VALUE"""),5544.645042839657)</f>
        <v>5544.645043</v>
      </c>
      <c r="J3151" s="10">
        <f>IFERROR(__xludf.DUMMYFUNCTION("""COMPUTED_VALUE"""),0.0)</f>
        <v>0</v>
      </c>
      <c r="K3151" s="5">
        <f>IFERROR(__xludf.DUMMYFUNCTION("""COMPUTED_VALUE"""),0.0)</f>
        <v>0</v>
      </c>
      <c r="L3151" s="10">
        <f>IFERROR(__xludf.DUMMYFUNCTION("""COMPUTED_VALUE"""),1389.0)</f>
        <v>1389</v>
      </c>
      <c r="M3151" s="5">
        <f>IFERROR(__xludf.DUMMYFUNCTION("""COMPUTED_VALUE"""),1.0)</f>
        <v>1</v>
      </c>
    </row>
    <row r="3152">
      <c r="A3152" s="10" t="str">
        <f>IFERROR(__xludf.DUMMYFUNCTION("""COMPUTED_VALUE"""),"makota")</f>
        <v>makota</v>
      </c>
      <c r="B3152" s="10">
        <f>IFERROR(__xludf.DUMMYFUNCTION("""COMPUTED_VALUE"""),129.0)</f>
        <v>129</v>
      </c>
      <c r="C3152" s="10">
        <f>IFERROR(__xludf.DUMMYFUNCTION("""COMPUTED_VALUE"""),1484.0)</f>
        <v>1484</v>
      </c>
      <c r="D3152" s="5">
        <f>IFERROR(__xludf.DUMMYFUNCTION("""COMPUTED_VALUE"""),0.3195571955719557)</f>
        <v>0.3195571956</v>
      </c>
      <c r="E3152" s="5">
        <f>IFERROR(__xludf.DUMMYFUNCTION("""COMPUTED_VALUE"""),0.12546125461254612)</f>
        <v>0.1254612546</v>
      </c>
      <c r="F3152" s="5">
        <f>IFERROR(__xludf.DUMMYFUNCTION("""COMPUTED_VALUE"""),0.2022140221402214)</f>
        <v>0.2022140221</v>
      </c>
      <c r="G3152" s="5">
        <f>IFERROR(__xludf.DUMMYFUNCTION("""COMPUTED_VALUE"""),0.17638376383763837)</f>
        <v>0.1763837638</v>
      </c>
      <c r="H3152" s="5">
        <f>IFERROR(__xludf.DUMMYFUNCTION("""COMPUTED_VALUE"""),0.6131386861313869)</f>
        <v>0.6131386861</v>
      </c>
      <c r="I3152" s="11">
        <f>IFERROR(__xludf.DUMMYFUNCTION("""COMPUTED_VALUE"""),5690.14598540146)</f>
        <v>5690.145985</v>
      </c>
      <c r="J3152" s="10">
        <f>IFERROR(__xludf.DUMMYFUNCTION("""COMPUTED_VALUE"""),0.0)</f>
        <v>0</v>
      </c>
      <c r="K3152" s="5">
        <f>IFERROR(__xludf.DUMMYFUNCTION("""COMPUTED_VALUE"""),0.0)</f>
        <v>0</v>
      </c>
      <c r="L3152" s="10">
        <f>IFERROR(__xludf.DUMMYFUNCTION("""COMPUTED_VALUE"""),129.0)</f>
        <v>129</v>
      </c>
      <c r="M3152" s="5">
        <f>IFERROR(__xludf.DUMMYFUNCTION("""COMPUTED_VALUE"""),1.0)</f>
        <v>1</v>
      </c>
    </row>
    <row r="3153">
      <c r="A3153" s="10" t="str">
        <f>IFERROR(__xludf.DUMMYFUNCTION("""COMPUTED_VALUE"""),"しおやだん")</f>
        <v>しおやだん</v>
      </c>
      <c r="B3153" s="10">
        <f>IFERROR(__xludf.DUMMYFUNCTION("""COMPUTED_VALUE"""),2256.0)</f>
        <v>2256</v>
      </c>
      <c r="C3153" s="10">
        <f>IFERROR(__xludf.DUMMYFUNCTION("""COMPUTED_VALUE"""),26561.0)</f>
        <v>26561</v>
      </c>
      <c r="D3153" s="5">
        <f>IFERROR(__xludf.DUMMYFUNCTION("""COMPUTED_VALUE"""),0.33022011931701295)</f>
        <v>0.3302201193</v>
      </c>
      <c r="E3153" s="5">
        <f>IFERROR(__xludf.DUMMYFUNCTION("""COMPUTED_VALUE"""),0.12544743879860112)</f>
        <v>0.1254474388</v>
      </c>
      <c r="F3153" s="5">
        <f>IFERROR(__xludf.DUMMYFUNCTION("""COMPUTED_VALUE"""),0.2121785640814647)</f>
        <v>0.2121785641</v>
      </c>
      <c r="G3153" s="5">
        <f>IFERROR(__xludf.DUMMYFUNCTION("""COMPUTED_VALUE"""),0.15210861962559144)</f>
        <v>0.1521086196</v>
      </c>
      <c r="H3153" s="5">
        <f>IFERROR(__xludf.DUMMYFUNCTION("""COMPUTED_VALUE"""),0.6106263331394222)</f>
        <v>0.6106263331</v>
      </c>
      <c r="I3153" s="11">
        <f>IFERROR(__xludf.DUMMYFUNCTION("""COMPUTED_VALUE"""),5535.9899166181885)</f>
        <v>5535.989917</v>
      </c>
      <c r="J3153" s="10">
        <f>IFERROR(__xludf.DUMMYFUNCTION("""COMPUTED_VALUE"""),2.0)</f>
        <v>2</v>
      </c>
      <c r="K3153" s="5">
        <f>IFERROR(__xludf.DUMMYFUNCTION("""COMPUTED_VALUE"""),8.865248226950354E-4)</f>
        <v>0.0008865248227</v>
      </c>
      <c r="L3153" s="10">
        <f>IFERROR(__xludf.DUMMYFUNCTION("""COMPUTED_VALUE"""),0.0)</f>
        <v>0</v>
      </c>
      <c r="M3153" s="5">
        <f>IFERROR(__xludf.DUMMYFUNCTION("""COMPUTED_VALUE"""),0.0)</f>
        <v>0</v>
      </c>
    </row>
    <row r="3154">
      <c r="A3154" s="10" t="str">
        <f>IFERROR(__xludf.DUMMYFUNCTION("""COMPUTED_VALUE"""),"トンネル天国")</f>
        <v>トンネル天国</v>
      </c>
      <c r="B3154" s="10">
        <f>IFERROR(__xludf.DUMMYFUNCTION("""COMPUTED_VALUE"""),1052.0)</f>
        <v>1052</v>
      </c>
      <c r="C3154" s="10">
        <f>IFERROR(__xludf.DUMMYFUNCTION("""COMPUTED_VALUE"""),12372.0)</f>
        <v>12372</v>
      </c>
      <c r="D3154" s="5">
        <f>IFERROR(__xludf.DUMMYFUNCTION("""COMPUTED_VALUE"""),0.32826855123674914)</f>
        <v>0.3282685512</v>
      </c>
      <c r="E3154" s="5">
        <f>IFERROR(__xludf.DUMMYFUNCTION("""COMPUTED_VALUE"""),0.1254416961130742)</f>
        <v>0.1254416961</v>
      </c>
      <c r="F3154" s="5">
        <f>IFERROR(__xludf.DUMMYFUNCTION("""COMPUTED_VALUE"""),0.2107773851590106)</f>
        <v>0.2107773852</v>
      </c>
      <c r="G3154" s="5">
        <f>IFERROR(__xludf.DUMMYFUNCTION("""COMPUTED_VALUE"""),0.1751766784452297)</f>
        <v>0.1751766784</v>
      </c>
      <c r="H3154" s="5">
        <f>IFERROR(__xludf.DUMMYFUNCTION("""COMPUTED_VALUE"""),0.5829840737636212)</f>
        <v>0.5829840738</v>
      </c>
      <c r="I3154" s="11">
        <f>IFERROR(__xludf.DUMMYFUNCTION("""COMPUTED_VALUE"""),5826.571668063705)</f>
        <v>5826.571668</v>
      </c>
      <c r="J3154" s="10">
        <f>IFERROR(__xludf.DUMMYFUNCTION("""COMPUTED_VALUE"""),1.0)</f>
        <v>1</v>
      </c>
      <c r="K3154" s="5">
        <f>IFERROR(__xludf.DUMMYFUNCTION("""COMPUTED_VALUE"""),9.505703422053232E-4)</f>
        <v>0.0009505703422</v>
      </c>
      <c r="L3154" s="10">
        <f>IFERROR(__xludf.DUMMYFUNCTION("""COMPUTED_VALUE"""),881.0)</f>
        <v>881</v>
      </c>
      <c r="M3154" s="5">
        <f>IFERROR(__xludf.DUMMYFUNCTION("""COMPUTED_VALUE"""),0.8374524714828897)</f>
        <v>0.8374524715</v>
      </c>
    </row>
    <row r="3155">
      <c r="A3155" s="10" t="str">
        <f>IFERROR(__xludf.DUMMYFUNCTION("""COMPUTED_VALUE"""),"ヌッキーナ")</f>
        <v>ヌッキーナ</v>
      </c>
      <c r="B3155" s="10">
        <f>IFERROR(__xludf.DUMMYFUNCTION("""COMPUTED_VALUE"""),833.0)</f>
        <v>833</v>
      </c>
      <c r="C3155" s="10">
        <f>IFERROR(__xludf.DUMMYFUNCTION("""COMPUTED_VALUE"""),9682.0)</f>
        <v>9682</v>
      </c>
      <c r="D3155" s="5">
        <f>IFERROR(__xludf.DUMMYFUNCTION("""COMPUTED_VALUE"""),0.4107808791953893)</f>
        <v>0.4107808792</v>
      </c>
      <c r="E3155" s="5">
        <f>IFERROR(__xludf.DUMMYFUNCTION("""COMPUTED_VALUE"""),0.12543790258786303)</f>
        <v>0.1254379026</v>
      </c>
      <c r="F3155" s="5">
        <f>IFERROR(__xludf.DUMMYFUNCTION("""COMPUTED_VALUE"""),0.21313142727991863)</f>
        <v>0.2131314273</v>
      </c>
      <c r="G3155" s="5">
        <f>IFERROR(__xludf.DUMMYFUNCTION("""COMPUTED_VALUE"""),0.1695106791727879)</f>
        <v>0.1695106792</v>
      </c>
      <c r="H3155" s="5">
        <f>IFERROR(__xludf.DUMMYFUNCTION("""COMPUTED_VALUE"""),0.5980911983032874)</f>
        <v>0.5980911983</v>
      </c>
      <c r="I3155" s="11">
        <f>IFERROR(__xludf.DUMMYFUNCTION("""COMPUTED_VALUE"""),5530.487804878048)</f>
        <v>5530.487805</v>
      </c>
      <c r="J3155" s="10">
        <f>IFERROR(__xludf.DUMMYFUNCTION("""COMPUTED_VALUE"""),3.0)</f>
        <v>3</v>
      </c>
      <c r="K3155" s="5">
        <f>IFERROR(__xludf.DUMMYFUNCTION("""COMPUTED_VALUE"""),0.003601440576230492)</f>
        <v>0.003601440576</v>
      </c>
      <c r="L3155" s="10">
        <f>IFERROR(__xludf.DUMMYFUNCTION("""COMPUTED_VALUE"""),20.0)</f>
        <v>20</v>
      </c>
      <c r="M3155" s="5">
        <f>IFERROR(__xludf.DUMMYFUNCTION("""COMPUTED_VALUE"""),0.024009603841536616)</f>
        <v>0.02400960384</v>
      </c>
    </row>
    <row r="3156">
      <c r="A3156" s="10" t="str">
        <f>IFERROR(__xludf.DUMMYFUNCTION("""COMPUTED_VALUE"""),"ぼんやり")</f>
        <v>ぼんやり</v>
      </c>
      <c r="B3156" s="10">
        <f>IFERROR(__xludf.DUMMYFUNCTION("""COMPUTED_VALUE"""),260.0)</f>
        <v>260</v>
      </c>
      <c r="C3156" s="10">
        <f>IFERROR(__xludf.DUMMYFUNCTION("""COMPUTED_VALUE"""),3138.0)</f>
        <v>3138</v>
      </c>
      <c r="D3156" s="5">
        <f>IFERROR(__xludf.DUMMYFUNCTION("""COMPUTED_VALUE"""),0.3933287004864489)</f>
        <v>0.3933287005</v>
      </c>
      <c r="E3156" s="5">
        <f>IFERROR(__xludf.DUMMYFUNCTION("""COMPUTED_VALUE"""),0.1254343293954135)</f>
        <v>0.1254343294</v>
      </c>
      <c r="F3156" s="5">
        <f>IFERROR(__xludf.DUMMYFUNCTION("""COMPUTED_VALUE"""),0.2192494788047255)</f>
        <v>0.2192494788</v>
      </c>
      <c r="G3156" s="5">
        <f>IFERROR(__xludf.DUMMYFUNCTION("""COMPUTED_VALUE"""),0.1507991660875608)</f>
        <v>0.1507991661</v>
      </c>
      <c r="H3156" s="5">
        <f>IFERROR(__xludf.DUMMYFUNCTION("""COMPUTED_VALUE"""),0.6022187004754358)</f>
        <v>0.6022187005</v>
      </c>
      <c r="I3156" s="11">
        <f>IFERROR(__xludf.DUMMYFUNCTION("""COMPUTED_VALUE"""),5266.877971473851)</f>
        <v>5266.877971</v>
      </c>
      <c r="J3156" s="10">
        <f>IFERROR(__xludf.DUMMYFUNCTION("""COMPUTED_VALUE"""),1.0)</f>
        <v>1</v>
      </c>
      <c r="K3156" s="5">
        <f>IFERROR(__xludf.DUMMYFUNCTION("""COMPUTED_VALUE"""),0.0038461538461538464)</f>
        <v>0.003846153846</v>
      </c>
      <c r="L3156" s="10">
        <f>IFERROR(__xludf.DUMMYFUNCTION("""COMPUTED_VALUE"""),260.0)</f>
        <v>260</v>
      </c>
      <c r="M3156" s="5">
        <f>IFERROR(__xludf.DUMMYFUNCTION("""COMPUTED_VALUE"""),1.0)</f>
        <v>1</v>
      </c>
    </row>
    <row r="3157">
      <c r="A3157" s="10" t="str">
        <f>IFERROR(__xludf.DUMMYFUNCTION("""COMPUTED_VALUE"""),"akatuki^")</f>
        <v>akatuki^</v>
      </c>
      <c r="B3157" s="10">
        <f>IFERROR(__xludf.DUMMYFUNCTION("""COMPUTED_VALUE"""),567.0)</f>
        <v>567</v>
      </c>
      <c r="C3157" s="10">
        <f>IFERROR(__xludf.DUMMYFUNCTION("""COMPUTED_VALUE"""),6618.0)</f>
        <v>6618</v>
      </c>
      <c r="D3157" s="5">
        <f>IFERROR(__xludf.DUMMYFUNCTION("""COMPUTED_VALUE"""),0.328375475128078)</f>
        <v>0.3283754751</v>
      </c>
      <c r="E3157" s="5">
        <f>IFERROR(__xludf.DUMMYFUNCTION("""COMPUTED_VALUE"""),0.12543381259295985)</f>
        <v>0.1254338126</v>
      </c>
      <c r="F3157" s="5">
        <f>IFERROR(__xludf.DUMMYFUNCTION("""COMPUTED_VALUE"""),0.20542059163774581)</f>
        <v>0.2054205916</v>
      </c>
      <c r="G3157" s="5">
        <f>IFERROR(__xludf.DUMMYFUNCTION("""COMPUTED_VALUE"""),0.1685671789786812)</f>
        <v>0.168567179</v>
      </c>
      <c r="H3157" s="5">
        <f>IFERROR(__xludf.DUMMYFUNCTION("""COMPUTED_VALUE"""),0.6154465004022526)</f>
        <v>0.6154465004</v>
      </c>
      <c r="I3157" s="11">
        <f>IFERROR(__xludf.DUMMYFUNCTION("""COMPUTED_VALUE"""),5581.335478680611)</f>
        <v>5581.335479</v>
      </c>
      <c r="J3157" s="10">
        <f>IFERROR(__xludf.DUMMYFUNCTION("""COMPUTED_VALUE"""),0.0)</f>
        <v>0</v>
      </c>
      <c r="K3157" s="5">
        <f>IFERROR(__xludf.DUMMYFUNCTION("""COMPUTED_VALUE"""),0.0)</f>
        <v>0</v>
      </c>
      <c r="L3157" s="10">
        <f>IFERROR(__xludf.DUMMYFUNCTION("""COMPUTED_VALUE"""),567.0)</f>
        <v>567</v>
      </c>
      <c r="M3157" s="5">
        <f>IFERROR(__xludf.DUMMYFUNCTION("""COMPUTED_VALUE"""),1.0)</f>
        <v>1</v>
      </c>
    </row>
    <row r="3158">
      <c r="A3158" s="10" t="str">
        <f>IFERROR(__xludf.DUMMYFUNCTION("""COMPUTED_VALUE"""),"刑部家")</f>
        <v>刑部家</v>
      </c>
      <c r="B3158" s="10">
        <f>IFERROR(__xludf.DUMMYFUNCTION("""COMPUTED_VALUE"""),163.0)</f>
        <v>163</v>
      </c>
      <c r="C3158" s="10">
        <f>IFERROR(__xludf.DUMMYFUNCTION("""COMPUTED_VALUE"""),1909.0)</f>
        <v>1909</v>
      </c>
      <c r="D3158" s="5">
        <f>IFERROR(__xludf.DUMMYFUNCTION("""COMPUTED_VALUE"""),0.3539518900343643)</f>
        <v>0.35395189</v>
      </c>
      <c r="E3158" s="5">
        <f>IFERROR(__xludf.DUMMYFUNCTION("""COMPUTED_VALUE"""),0.1254295532646048)</f>
        <v>0.1254295533</v>
      </c>
      <c r="F3158" s="5">
        <f>IFERROR(__xludf.DUMMYFUNCTION("""COMPUTED_VALUE"""),0.20790378006872853)</f>
        <v>0.2079037801</v>
      </c>
      <c r="G3158" s="5">
        <f>IFERROR(__xludf.DUMMYFUNCTION("""COMPUTED_VALUE"""),0.15922107674684993)</f>
        <v>0.1592210767</v>
      </c>
      <c r="H3158" s="5">
        <f>IFERROR(__xludf.DUMMYFUNCTION("""COMPUTED_VALUE"""),0.5647382920110193)</f>
        <v>0.564738292</v>
      </c>
      <c r="I3158" s="11">
        <f>IFERROR(__xludf.DUMMYFUNCTION("""COMPUTED_VALUE"""),6176.584022038567)</f>
        <v>6176.584022</v>
      </c>
      <c r="J3158" s="10">
        <f>IFERROR(__xludf.DUMMYFUNCTION("""COMPUTED_VALUE"""),1.0)</f>
        <v>1</v>
      </c>
      <c r="K3158" s="5">
        <f>IFERROR(__xludf.DUMMYFUNCTION("""COMPUTED_VALUE"""),0.006134969325153374)</f>
        <v>0.006134969325</v>
      </c>
      <c r="L3158" s="10">
        <f>IFERROR(__xludf.DUMMYFUNCTION("""COMPUTED_VALUE"""),90.0)</f>
        <v>90</v>
      </c>
      <c r="M3158" s="5">
        <f>IFERROR(__xludf.DUMMYFUNCTION("""COMPUTED_VALUE"""),0.5521472392638037)</f>
        <v>0.5521472393</v>
      </c>
    </row>
    <row r="3159">
      <c r="A3159" s="10" t="str">
        <f>IFERROR(__xludf.DUMMYFUNCTION("""COMPUTED_VALUE"""),"水宮しげ")</f>
        <v>水宮しげ</v>
      </c>
      <c r="B3159" s="10">
        <f>IFERROR(__xludf.DUMMYFUNCTION("""COMPUTED_VALUE"""),915.0)</f>
        <v>915</v>
      </c>
      <c r="C3159" s="10">
        <f>IFERROR(__xludf.DUMMYFUNCTION("""COMPUTED_VALUE"""),10913.0)</f>
        <v>10913</v>
      </c>
      <c r="D3159" s="5">
        <f>IFERROR(__xludf.DUMMYFUNCTION("""COMPUTED_VALUE"""),0.3677735547109422)</f>
        <v>0.3677735547</v>
      </c>
      <c r="E3159" s="5">
        <f>IFERROR(__xludf.DUMMYFUNCTION("""COMPUTED_VALUE"""),0.1254250850170034)</f>
        <v>0.125425085</v>
      </c>
      <c r="F3159" s="5">
        <f>IFERROR(__xludf.DUMMYFUNCTION("""COMPUTED_VALUE"""),0.21414282856571315)</f>
        <v>0.2141428286</v>
      </c>
      <c r="G3159" s="5">
        <f>IFERROR(__xludf.DUMMYFUNCTION("""COMPUTED_VALUE"""),0.18483696739347868)</f>
        <v>0.1848369674</v>
      </c>
      <c r="H3159" s="5">
        <f>IFERROR(__xludf.DUMMYFUNCTION("""COMPUTED_VALUE"""),0.5903783278841663)</f>
        <v>0.5903783279</v>
      </c>
      <c r="I3159" s="11">
        <f>IFERROR(__xludf.DUMMYFUNCTION("""COMPUTED_VALUE"""),5602.475478748249)</f>
        <v>5602.475479</v>
      </c>
      <c r="J3159" s="10">
        <f>IFERROR(__xludf.DUMMYFUNCTION("""COMPUTED_VALUE"""),1.0)</f>
        <v>1</v>
      </c>
      <c r="K3159" s="5">
        <f>IFERROR(__xludf.DUMMYFUNCTION("""COMPUTED_VALUE"""),0.001092896174863388)</f>
        <v>0.001092896175</v>
      </c>
      <c r="L3159" s="10">
        <f>IFERROR(__xludf.DUMMYFUNCTION("""COMPUTED_VALUE"""),915.0)</f>
        <v>915</v>
      </c>
      <c r="M3159" s="5">
        <f>IFERROR(__xludf.DUMMYFUNCTION("""COMPUTED_VALUE"""),1.0)</f>
        <v>1</v>
      </c>
    </row>
    <row r="3160">
      <c r="A3160" s="10" t="str">
        <f>IFERROR(__xludf.DUMMYFUNCTION("""COMPUTED_VALUE"""),"安本彩花")</f>
        <v>安本彩花</v>
      </c>
      <c r="B3160" s="10">
        <f>IFERROR(__xludf.DUMMYFUNCTION("""COMPUTED_VALUE"""),363.0)</f>
        <v>363</v>
      </c>
      <c r="C3160" s="10">
        <f>IFERROR(__xludf.DUMMYFUNCTION("""COMPUTED_VALUE"""),4246.0)</f>
        <v>4246</v>
      </c>
      <c r="D3160" s="5">
        <f>IFERROR(__xludf.DUMMYFUNCTION("""COMPUTED_VALUE"""),0.37625547257275305)</f>
        <v>0.3762554726</v>
      </c>
      <c r="E3160" s="5">
        <f>IFERROR(__xludf.DUMMYFUNCTION("""COMPUTED_VALUE"""),0.12541849085758433)</f>
        <v>0.1254184909</v>
      </c>
      <c r="F3160" s="5">
        <f>IFERROR(__xludf.DUMMYFUNCTION("""COMPUTED_VALUE"""),0.2086015967035797)</f>
        <v>0.2086015967</v>
      </c>
      <c r="G3160" s="5">
        <f>IFERROR(__xludf.DUMMYFUNCTION("""COMPUTED_VALUE"""),0.17100180272984805)</f>
        <v>0.1710018027</v>
      </c>
      <c r="H3160" s="5">
        <f>IFERROR(__xludf.DUMMYFUNCTION("""COMPUTED_VALUE"""),0.5987654320987654)</f>
        <v>0.5987654321</v>
      </c>
      <c r="I3160" s="11">
        <f>IFERROR(__xludf.DUMMYFUNCTION("""COMPUTED_VALUE"""),5420.0)</f>
        <v>5420</v>
      </c>
      <c r="J3160" s="10">
        <f>IFERROR(__xludf.DUMMYFUNCTION("""COMPUTED_VALUE"""),2.0)</f>
        <v>2</v>
      </c>
      <c r="K3160" s="5">
        <f>IFERROR(__xludf.DUMMYFUNCTION("""COMPUTED_VALUE"""),0.005509641873278237)</f>
        <v>0.005509641873</v>
      </c>
      <c r="L3160" s="10">
        <f>IFERROR(__xludf.DUMMYFUNCTION("""COMPUTED_VALUE"""),0.0)</f>
        <v>0</v>
      </c>
      <c r="M3160" s="5">
        <f>IFERROR(__xludf.DUMMYFUNCTION("""COMPUTED_VALUE"""),0.0)</f>
        <v>0</v>
      </c>
    </row>
    <row r="3161">
      <c r="A3161" s="10" t="str">
        <f>IFERROR(__xludf.DUMMYFUNCTION("""COMPUTED_VALUE"""),"人修羅サン")</f>
        <v>人修羅サン</v>
      </c>
      <c r="B3161" s="10">
        <f>IFERROR(__xludf.DUMMYFUNCTION("""COMPUTED_VALUE"""),140.0)</f>
        <v>140</v>
      </c>
      <c r="C3161" s="10">
        <f>IFERROR(__xludf.DUMMYFUNCTION("""COMPUTED_VALUE"""),1679.0)</f>
        <v>1679</v>
      </c>
      <c r="D3161" s="5">
        <f>IFERROR(__xludf.DUMMYFUNCTION("""COMPUTED_VALUE"""),0.2729044834307992)</f>
        <v>0.2729044834</v>
      </c>
      <c r="E3161" s="5">
        <f>IFERROR(__xludf.DUMMYFUNCTION("""COMPUTED_VALUE"""),0.1254061078622482)</f>
        <v>0.1254061079</v>
      </c>
      <c r="F3161" s="5">
        <f>IFERROR(__xludf.DUMMYFUNCTION("""COMPUTED_VALUE"""),0.21442495126705652)</f>
        <v>0.2144249513</v>
      </c>
      <c r="G3161" s="5">
        <f>IFERROR(__xludf.DUMMYFUNCTION("""COMPUTED_VALUE"""),0.2046783625730994)</f>
        <v>0.2046783626</v>
      </c>
      <c r="H3161" s="5">
        <f>IFERROR(__xludf.DUMMYFUNCTION("""COMPUTED_VALUE"""),0.6272727272727273)</f>
        <v>0.6272727273</v>
      </c>
      <c r="I3161" s="11">
        <f>IFERROR(__xludf.DUMMYFUNCTION("""COMPUTED_VALUE"""),6154.545454545455)</f>
        <v>6154.545455</v>
      </c>
      <c r="J3161" s="10">
        <f>IFERROR(__xludf.DUMMYFUNCTION("""COMPUTED_VALUE"""),1.0)</f>
        <v>1</v>
      </c>
      <c r="K3161" s="5">
        <f>IFERROR(__xludf.DUMMYFUNCTION("""COMPUTED_VALUE"""),0.007142857142857143)</f>
        <v>0.007142857143</v>
      </c>
      <c r="L3161" s="10">
        <f>IFERROR(__xludf.DUMMYFUNCTION("""COMPUTED_VALUE"""),140.0)</f>
        <v>140</v>
      </c>
      <c r="M3161" s="5">
        <f>IFERROR(__xludf.DUMMYFUNCTION("""COMPUTED_VALUE"""),1.0)</f>
        <v>1</v>
      </c>
    </row>
    <row r="3162">
      <c r="A3162" s="10" t="str">
        <f>IFERROR(__xludf.DUMMYFUNCTION("""COMPUTED_VALUE"""),"4bephy")</f>
        <v>4bephy</v>
      </c>
      <c r="B3162" s="10">
        <f>IFERROR(__xludf.DUMMYFUNCTION("""COMPUTED_VALUE"""),228.0)</f>
        <v>228</v>
      </c>
      <c r="C3162" s="10">
        <f>IFERROR(__xludf.DUMMYFUNCTION("""COMPUTED_VALUE"""),2692.0)</f>
        <v>2692</v>
      </c>
      <c r="D3162" s="5">
        <f>IFERROR(__xludf.DUMMYFUNCTION("""COMPUTED_VALUE"""),0.35795454545454547)</f>
        <v>0.3579545455</v>
      </c>
      <c r="E3162" s="5">
        <f>IFERROR(__xludf.DUMMYFUNCTION("""COMPUTED_VALUE"""),0.12540584415584416)</f>
        <v>0.1254058442</v>
      </c>
      <c r="F3162" s="5">
        <f>IFERROR(__xludf.DUMMYFUNCTION("""COMPUTED_VALUE"""),0.20819805194805194)</f>
        <v>0.2081980519</v>
      </c>
      <c r="G3162" s="5">
        <f>IFERROR(__xludf.DUMMYFUNCTION("""COMPUTED_VALUE"""),0.1875)</f>
        <v>0.1875</v>
      </c>
      <c r="H3162" s="5">
        <f>IFERROR(__xludf.DUMMYFUNCTION("""COMPUTED_VALUE"""),0.621832358674464)</f>
        <v>0.6218323587</v>
      </c>
      <c r="I3162" s="11">
        <f>IFERROR(__xludf.DUMMYFUNCTION("""COMPUTED_VALUE"""),5684.01559454191)</f>
        <v>5684.015595</v>
      </c>
      <c r="J3162" s="10">
        <f>IFERROR(__xludf.DUMMYFUNCTION("""COMPUTED_VALUE"""),0.0)</f>
        <v>0</v>
      </c>
      <c r="K3162" s="5">
        <f>IFERROR(__xludf.DUMMYFUNCTION("""COMPUTED_VALUE"""),0.0)</f>
        <v>0</v>
      </c>
      <c r="L3162" s="10">
        <f>IFERROR(__xludf.DUMMYFUNCTION("""COMPUTED_VALUE"""),228.0)</f>
        <v>228</v>
      </c>
      <c r="M3162" s="5">
        <f>IFERROR(__xludf.DUMMYFUNCTION("""COMPUTED_VALUE"""),1.0)</f>
        <v>1</v>
      </c>
    </row>
    <row r="3163">
      <c r="A3163" s="10" t="str">
        <f>IFERROR(__xludf.DUMMYFUNCTION("""COMPUTED_VALUE"""),"みかん太")</f>
        <v>みかん太</v>
      </c>
      <c r="B3163" s="10">
        <f>IFERROR(__xludf.DUMMYFUNCTION("""COMPUTED_VALUE"""),2421.0)</f>
        <v>2421</v>
      </c>
      <c r="C3163" s="10">
        <f>IFERROR(__xludf.DUMMYFUNCTION("""COMPUTED_VALUE"""),28355.0)</f>
        <v>28355</v>
      </c>
      <c r="D3163" s="5">
        <f>IFERROR(__xludf.DUMMYFUNCTION("""COMPUTED_VALUE"""),0.2745816302922804)</f>
        <v>0.2745816303</v>
      </c>
      <c r="E3163" s="5">
        <f>IFERROR(__xludf.DUMMYFUNCTION("""COMPUTED_VALUE"""),0.12539523405567982)</f>
        <v>0.1253952341</v>
      </c>
      <c r="F3163" s="5">
        <f>IFERROR(__xludf.DUMMYFUNCTION("""COMPUTED_VALUE"""),0.2043649263515077)</f>
        <v>0.2043649264</v>
      </c>
      <c r="G3163" s="5">
        <f>IFERROR(__xludf.DUMMYFUNCTION("""COMPUTED_VALUE"""),0.18238605691370402)</f>
        <v>0.1823860569</v>
      </c>
      <c r="H3163" s="5">
        <f>IFERROR(__xludf.DUMMYFUNCTION("""COMPUTED_VALUE"""),0.5986792452830189)</f>
        <v>0.5986792453</v>
      </c>
      <c r="I3163" s="11">
        <f>IFERROR(__xludf.DUMMYFUNCTION("""COMPUTED_VALUE"""),6165.509433962264)</f>
        <v>6165.509434</v>
      </c>
      <c r="J3163" s="10">
        <f>IFERROR(__xludf.DUMMYFUNCTION("""COMPUTED_VALUE"""),8.0)</f>
        <v>8</v>
      </c>
      <c r="K3163" s="5">
        <f>IFERROR(__xludf.DUMMYFUNCTION("""COMPUTED_VALUE"""),0.003304419661296985)</f>
        <v>0.003304419661</v>
      </c>
      <c r="L3163" s="10">
        <f>IFERROR(__xludf.DUMMYFUNCTION("""COMPUTED_VALUE"""),2421.0)</f>
        <v>2421</v>
      </c>
      <c r="M3163" s="5">
        <f>IFERROR(__xludf.DUMMYFUNCTION("""COMPUTED_VALUE"""),1.0)</f>
        <v>1</v>
      </c>
    </row>
    <row r="3164">
      <c r="A3164" s="10" t="str">
        <f>IFERROR(__xludf.DUMMYFUNCTION("""COMPUTED_VALUE"""),"koudai23")</f>
        <v>koudai23</v>
      </c>
      <c r="B3164" s="10">
        <f>IFERROR(__xludf.DUMMYFUNCTION("""COMPUTED_VALUE"""),186.0)</f>
        <v>186</v>
      </c>
      <c r="C3164" s="10">
        <f>IFERROR(__xludf.DUMMYFUNCTION("""COMPUTED_VALUE"""),2196.0)</f>
        <v>2196</v>
      </c>
      <c r="D3164" s="5">
        <f>IFERROR(__xludf.DUMMYFUNCTION("""COMPUTED_VALUE"""),0.31293532338308455)</f>
        <v>0.3129353234</v>
      </c>
      <c r="E3164" s="5">
        <f>IFERROR(__xludf.DUMMYFUNCTION("""COMPUTED_VALUE"""),0.1253731343283582)</f>
        <v>0.1253731343</v>
      </c>
      <c r="F3164" s="5">
        <f>IFERROR(__xludf.DUMMYFUNCTION("""COMPUTED_VALUE"""),0.19502487562189055)</f>
        <v>0.1950248756</v>
      </c>
      <c r="G3164" s="5">
        <f>IFERROR(__xludf.DUMMYFUNCTION("""COMPUTED_VALUE"""),0.17512437810945275)</f>
        <v>0.1751243781</v>
      </c>
      <c r="H3164" s="5">
        <f>IFERROR(__xludf.DUMMYFUNCTION("""COMPUTED_VALUE"""),0.5918367346938775)</f>
        <v>0.5918367347</v>
      </c>
      <c r="I3164" s="11">
        <f>IFERROR(__xludf.DUMMYFUNCTION("""COMPUTED_VALUE"""),5427.806122448979)</f>
        <v>5427.806122</v>
      </c>
      <c r="J3164" s="10">
        <f>IFERROR(__xludf.DUMMYFUNCTION("""COMPUTED_VALUE"""),1.0)</f>
        <v>1</v>
      </c>
      <c r="K3164" s="5">
        <f>IFERROR(__xludf.DUMMYFUNCTION("""COMPUTED_VALUE"""),0.005376344086021506)</f>
        <v>0.005376344086</v>
      </c>
      <c r="L3164" s="10">
        <f>IFERROR(__xludf.DUMMYFUNCTION("""COMPUTED_VALUE"""),186.0)</f>
        <v>186</v>
      </c>
      <c r="M3164" s="5">
        <f>IFERROR(__xludf.DUMMYFUNCTION("""COMPUTED_VALUE"""),1.0)</f>
        <v>1</v>
      </c>
    </row>
    <row r="3165">
      <c r="A3165" s="10" t="str">
        <f>IFERROR(__xludf.DUMMYFUNCTION("""COMPUTED_VALUE"""),"ふぁいちゃむ★")</f>
        <v>ふぁいちゃむ★</v>
      </c>
      <c r="B3165" s="10">
        <f>IFERROR(__xludf.DUMMYFUNCTION("""COMPUTED_VALUE"""),1042.0)</f>
        <v>1042</v>
      </c>
      <c r="C3165" s="10">
        <f>IFERROR(__xludf.DUMMYFUNCTION("""COMPUTED_VALUE"""),12448.0)</f>
        <v>12448</v>
      </c>
      <c r="D3165" s="5">
        <f>IFERROR(__xludf.DUMMYFUNCTION("""COMPUTED_VALUE"""),0.45879361739435387)</f>
        <v>0.4587936174</v>
      </c>
      <c r="E3165" s="5">
        <f>IFERROR(__xludf.DUMMYFUNCTION("""COMPUTED_VALUE"""),0.12537261090654042)</f>
        <v>0.1253726109</v>
      </c>
      <c r="F3165" s="5">
        <f>IFERROR(__xludf.DUMMYFUNCTION("""COMPUTED_VALUE"""),0.22190075398912854)</f>
        <v>0.221900754</v>
      </c>
      <c r="G3165" s="5">
        <f>IFERROR(__xludf.DUMMYFUNCTION("""COMPUTED_VALUE"""),0.14317026126600035)</f>
        <v>0.1431702613</v>
      </c>
      <c r="H3165" s="5">
        <f>IFERROR(__xludf.DUMMYFUNCTION("""COMPUTED_VALUE"""),0.6092453575661794)</f>
        <v>0.6092453576</v>
      </c>
      <c r="I3165" s="11">
        <f>IFERROR(__xludf.DUMMYFUNCTION("""COMPUTED_VALUE"""),5067.246147767681)</f>
        <v>5067.246148</v>
      </c>
      <c r="J3165" s="10">
        <f>IFERROR(__xludf.DUMMYFUNCTION("""COMPUTED_VALUE"""),3.0)</f>
        <v>3</v>
      </c>
      <c r="K3165" s="5">
        <f>IFERROR(__xludf.DUMMYFUNCTION("""COMPUTED_VALUE"""),0.0028790786948176585)</f>
        <v>0.002879078695</v>
      </c>
      <c r="L3165" s="10">
        <f>IFERROR(__xludf.DUMMYFUNCTION("""COMPUTED_VALUE"""),1042.0)</f>
        <v>1042</v>
      </c>
      <c r="M3165" s="5">
        <f>IFERROR(__xludf.DUMMYFUNCTION("""COMPUTED_VALUE"""),1.0)</f>
        <v>1</v>
      </c>
    </row>
    <row r="3166">
      <c r="A3166" s="10" t="str">
        <f>IFERROR(__xludf.DUMMYFUNCTION("""COMPUTED_VALUE"""),"杉浦綾乃v")</f>
        <v>杉浦綾乃v</v>
      </c>
      <c r="B3166" s="10">
        <f>IFERROR(__xludf.DUMMYFUNCTION("""COMPUTED_VALUE"""),344.0)</f>
        <v>344</v>
      </c>
      <c r="C3166" s="10">
        <f>IFERROR(__xludf.DUMMYFUNCTION("""COMPUTED_VALUE"""),4077.0)</f>
        <v>4077</v>
      </c>
      <c r="D3166" s="5">
        <f>IFERROR(__xludf.DUMMYFUNCTION("""COMPUTED_VALUE"""),0.4312885079024913)</f>
        <v>0.4312885079</v>
      </c>
      <c r="E3166" s="5">
        <f>IFERROR(__xludf.DUMMYFUNCTION("""COMPUTED_VALUE"""),0.12536833645861237)</f>
        <v>0.1253683365</v>
      </c>
      <c r="F3166" s="5">
        <f>IFERROR(__xludf.DUMMYFUNCTION("""COMPUTED_VALUE"""),0.20921510849182962)</f>
        <v>0.2092151085</v>
      </c>
      <c r="G3166" s="5">
        <f>IFERROR(__xludf.DUMMYFUNCTION("""COMPUTED_VALUE"""),0.11733190463434236)</f>
        <v>0.1173319046</v>
      </c>
      <c r="H3166" s="5">
        <f>IFERROR(__xludf.DUMMYFUNCTION("""COMPUTED_VALUE"""),0.6312419974391805)</f>
        <v>0.6312419974</v>
      </c>
      <c r="I3166" s="11">
        <f>IFERROR(__xludf.DUMMYFUNCTION("""COMPUTED_VALUE"""),5165.813060179257)</f>
        <v>5165.81306</v>
      </c>
      <c r="J3166" s="10">
        <f>IFERROR(__xludf.DUMMYFUNCTION("""COMPUTED_VALUE"""),2.0)</f>
        <v>2</v>
      </c>
      <c r="K3166" s="5">
        <f>IFERROR(__xludf.DUMMYFUNCTION("""COMPUTED_VALUE"""),0.005813953488372093)</f>
        <v>0.005813953488</v>
      </c>
      <c r="L3166" s="10">
        <f>IFERROR(__xludf.DUMMYFUNCTION("""COMPUTED_VALUE"""),344.0)</f>
        <v>344</v>
      </c>
      <c r="M3166" s="5">
        <f>IFERROR(__xludf.DUMMYFUNCTION("""COMPUTED_VALUE"""),1.0)</f>
        <v>1</v>
      </c>
    </row>
    <row r="3167">
      <c r="A3167" s="10" t="str">
        <f>IFERROR(__xludf.DUMMYFUNCTION("""COMPUTED_VALUE"""),"てぃみん")</f>
        <v>てぃみん</v>
      </c>
      <c r="B3167" s="10">
        <f>IFERROR(__xludf.DUMMYFUNCTION("""COMPUTED_VALUE"""),407.0)</f>
        <v>407</v>
      </c>
      <c r="C3167" s="10">
        <f>IFERROR(__xludf.DUMMYFUNCTION("""COMPUTED_VALUE"""),4842.0)</f>
        <v>4842</v>
      </c>
      <c r="D3167" s="5">
        <f>IFERROR(__xludf.DUMMYFUNCTION("""COMPUTED_VALUE"""),0.38196166854565955)</f>
        <v>0.3819616685</v>
      </c>
      <c r="E3167" s="5">
        <f>IFERROR(__xludf.DUMMYFUNCTION("""COMPUTED_VALUE"""),0.1253664036076663)</f>
        <v>0.1253664036</v>
      </c>
      <c r="F3167" s="5">
        <f>IFERROR(__xludf.DUMMYFUNCTION("""COMPUTED_VALUE"""),0.20834272829763248)</f>
        <v>0.2083427283</v>
      </c>
      <c r="G3167" s="5">
        <f>IFERROR(__xludf.DUMMYFUNCTION("""COMPUTED_VALUE"""),0.15873731679819617)</f>
        <v>0.1587373168</v>
      </c>
      <c r="H3167" s="5">
        <f>IFERROR(__xludf.DUMMYFUNCTION("""COMPUTED_VALUE"""),0.5887445887445888)</f>
        <v>0.5887445887</v>
      </c>
      <c r="I3167" s="11">
        <f>IFERROR(__xludf.DUMMYFUNCTION("""COMPUTED_VALUE"""),5646.645021645022)</f>
        <v>5646.645022</v>
      </c>
      <c r="J3167" s="10">
        <f>IFERROR(__xludf.DUMMYFUNCTION("""COMPUTED_VALUE"""),3.0)</f>
        <v>3</v>
      </c>
      <c r="K3167" s="5">
        <f>IFERROR(__xludf.DUMMYFUNCTION("""COMPUTED_VALUE"""),0.007371007371007371)</f>
        <v>0.007371007371</v>
      </c>
      <c r="L3167" s="10">
        <f>IFERROR(__xludf.DUMMYFUNCTION("""COMPUTED_VALUE"""),407.0)</f>
        <v>407</v>
      </c>
      <c r="M3167" s="5">
        <f>IFERROR(__xludf.DUMMYFUNCTION("""COMPUTED_VALUE"""),1.0)</f>
        <v>1</v>
      </c>
    </row>
    <row r="3168">
      <c r="A3168" s="10" t="str">
        <f>IFERROR(__xludf.DUMMYFUNCTION("""COMPUTED_VALUE"""),"パイタン")</f>
        <v>パイタン</v>
      </c>
      <c r="B3168" s="10">
        <f>IFERROR(__xludf.DUMMYFUNCTION("""COMPUTED_VALUE"""),546.0)</f>
        <v>546</v>
      </c>
      <c r="C3168" s="10">
        <f>IFERROR(__xludf.DUMMYFUNCTION("""COMPUTED_VALUE"""),6401.0)</f>
        <v>6401</v>
      </c>
      <c r="D3168" s="5">
        <f>IFERROR(__xludf.DUMMYFUNCTION("""COMPUTED_VALUE"""),0.39214346712211784)</f>
        <v>0.3921434671</v>
      </c>
      <c r="E3168" s="5">
        <f>IFERROR(__xludf.DUMMYFUNCTION("""COMPUTED_VALUE"""),0.12536293766011955)</f>
        <v>0.1253629377</v>
      </c>
      <c r="F3168" s="5">
        <f>IFERROR(__xludf.DUMMYFUNCTION("""COMPUTED_VALUE"""),0.2129803586678053)</f>
        <v>0.2129803587</v>
      </c>
      <c r="G3168" s="5">
        <f>IFERROR(__xludf.DUMMYFUNCTION("""COMPUTED_VALUE"""),0.16464560204953033)</f>
        <v>0.164645602</v>
      </c>
      <c r="H3168" s="5">
        <f>IFERROR(__xludf.DUMMYFUNCTION("""COMPUTED_VALUE"""),0.6038492381716118)</f>
        <v>0.6038492382</v>
      </c>
      <c r="I3168" s="11">
        <f>IFERROR(__xludf.DUMMYFUNCTION("""COMPUTED_VALUE"""),5467.923015236568)</f>
        <v>5467.923015</v>
      </c>
      <c r="J3168" s="10">
        <f>IFERROR(__xludf.DUMMYFUNCTION("""COMPUTED_VALUE"""),2.0)</f>
        <v>2</v>
      </c>
      <c r="K3168" s="5">
        <f>IFERROR(__xludf.DUMMYFUNCTION("""COMPUTED_VALUE"""),0.003663003663003663)</f>
        <v>0.003663003663</v>
      </c>
      <c r="L3168" s="10">
        <f>IFERROR(__xludf.DUMMYFUNCTION("""COMPUTED_VALUE"""),546.0)</f>
        <v>546</v>
      </c>
      <c r="M3168" s="5">
        <f>IFERROR(__xludf.DUMMYFUNCTION("""COMPUTED_VALUE"""),1.0)</f>
        <v>1</v>
      </c>
    </row>
    <row r="3169">
      <c r="A3169" s="10" t="str">
        <f>IFERROR(__xludf.DUMMYFUNCTION("""COMPUTED_VALUE"""),"やたケン")</f>
        <v>やたケン</v>
      </c>
      <c r="B3169" s="10">
        <f>IFERROR(__xludf.DUMMYFUNCTION("""COMPUTED_VALUE"""),928.0)</f>
        <v>928</v>
      </c>
      <c r="C3169" s="10">
        <f>IFERROR(__xludf.DUMMYFUNCTION("""COMPUTED_VALUE"""),10923.0)</f>
        <v>10923</v>
      </c>
      <c r="D3169" s="5">
        <f>IFERROR(__xludf.DUMMYFUNCTION("""COMPUTED_VALUE"""),0.3949974987493747)</f>
        <v>0.3949974987</v>
      </c>
      <c r="E3169" s="5">
        <f>IFERROR(__xludf.DUMMYFUNCTION("""COMPUTED_VALUE"""),0.12536268134067033)</f>
        <v>0.1253626813</v>
      </c>
      <c r="F3169" s="5">
        <f>IFERROR(__xludf.DUMMYFUNCTION("""COMPUTED_VALUE"""),0.21870935467733868)</f>
        <v>0.2187093547</v>
      </c>
      <c r="G3169" s="5">
        <f>IFERROR(__xludf.DUMMYFUNCTION("""COMPUTED_VALUE"""),0.16708354177088544)</f>
        <v>0.1670835418</v>
      </c>
      <c r="H3169" s="5">
        <f>IFERROR(__xludf.DUMMYFUNCTION("""COMPUTED_VALUE"""),0.5924062214089661)</f>
        <v>0.5924062214</v>
      </c>
      <c r="I3169" s="11">
        <f>IFERROR(__xludf.DUMMYFUNCTION("""COMPUTED_VALUE"""),5546.111619396157)</f>
        <v>5546.111619</v>
      </c>
      <c r="J3169" s="10">
        <f>IFERROR(__xludf.DUMMYFUNCTION("""COMPUTED_VALUE"""),3.0)</f>
        <v>3</v>
      </c>
      <c r="K3169" s="5">
        <f>IFERROR(__xludf.DUMMYFUNCTION("""COMPUTED_VALUE"""),0.003232758620689655)</f>
        <v>0.003232758621</v>
      </c>
      <c r="L3169" s="10">
        <f>IFERROR(__xludf.DUMMYFUNCTION("""COMPUTED_VALUE"""),626.0)</f>
        <v>626</v>
      </c>
      <c r="M3169" s="5">
        <f>IFERROR(__xludf.DUMMYFUNCTION("""COMPUTED_VALUE"""),0.6745689655172413)</f>
        <v>0.6745689655</v>
      </c>
    </row>
    <row r="3170">
      <c r="A3170" s="10" t="str">
        <f>IFERROR(__xludf.DUMMYFUNCTION("""COMPUTED_VALUE"""),"sandiris")</f>
        <v>sandiris</v>
      </c>
      <c r="B3170" s="10">
        <f>IFERROR(__xludf.DUMMYFUNCTION("""COMPUTED_VALUE"""),7515.0)</f>
        <v>7515</v>
      </c>
      <c r="C3170" s="10">
        <f>IFERROR(__xludf.DUMMYFUNCTION("""COMPUTED_VALUE"""),87356.0)</f>
        <v>87356</v>
      </c>
      <c r="D3170" s="5">
        <f>IFERROR(__xludf.DUMMYFUNCTION("""COMPUTED_VALUE"""),0.3635350258639045)</f>
        <v>0.3635350259</v>
      </c>
      <c r="E3170" s="5">
        <f>IFERROR(__xludf.DUMMYFUNCTION("""COMPUTED_VALUE"""),0.12536165629188012)</f>
        <v>0.1253616563</v>
      </c>
      <c r="F3170" s="5">
        <f>IFERROR(__xludf.DUMMYFUNCTION("""COMPUTED_VALUE"""),0.22081386756177904)</f>
        <v>0.2208138676</v>
      </c>
      <c r="G3170" s="5">
        <f>IFERROR(__xludf.DUMMYFUNCTION("""COMPUTED_VALUE"""),0.16973735298906578)</f>
        <v>0.169737353</v>
      </c>
      <c r="H3170" s="5">
        <f>IFERROR(__xludf.DUMMYFUNCTION("""COMPUTED_VALUE"""),0.5956891661939875)</f>
        <v>0.5956891662</v>
      </c>
      <c r="I3170" s="11">
        <f>IFERROR(__xludf.DUMMYFUNCTION("""COMPUTED_VALUE"""),5714.747589336358)</f>
        <v>5714.747589</v>
      </c>
      <c r="J3170" s="10">
        <f>IFERROR(__xludf.DUMMYFUNCTION("""COMPUTED_VALUE"""),15.0)</f>
        <v>15</v>
      </c>
      <c r="K3170" s="5">
        <f>IFERROR(__xludf.DUMMYFUNCTION("""COMPUTED_VALUE"""),0.001996007984031936)</f>
        <v>0.001996007984</v>
      </c>
      <c r="L3170" s="10">
        <f>IFERROR(__xludf.DUMMYFUNCTION("""COMPUTED_VALUE"""),7515.0)</f>
        <v>7515</v>
      </c>
      <c r="M3170" s="5">
        <f>IFERROR(__xludf.DUMMYFUNCTION("""COMPUTED_VALUE"""),1.0)</f>
        <v>1</v>
      </c>
    </row>
    <row r="3171">
      <c r="A3171" s="10" t="str">
        <f>IFERROR(__xludf.DUMMYFUNCTION("""COMPUTED_VALUE"""),"よしか")</f>
        <v>よしか</v>
      </c>
      <c r="B3171" s="10">
        <f>IFERROR(__xludf.DUMMYFUNCTION("""COMPUTED_VALUE"""),328.0)</f>
        <v>328</v>
      </c>
      <c r="C3171" s="10">
        <f>IFERROR(__xludf.DUMMYFUNCTION("""COMPUTED_VALUE"""),3830.0)</f>
        <v>3830</v>
      </c>
      <c r="D3171" s="5">
        <f>IFERROR(__xludf.DUMMYFUNCTION("""COMPUTED_VALUE"""),0.3340948029697316)</f>
        <v>0.334094803</v>
      </c>
      <c r="E3171" s="5">
        <f>IFERROR(__xludf.DUMMYFUNCTION("""COMPUTED_VALUE"""),0.12535693889206168)</f>
        <v>0.1253569389</v>
      </c>
      <c r="F3171" s="5">
        <f>IFERROR(__xludf.DUMMYFUNCTION("""COMPUTED_VALUE"""),0.2118789263278127)</f>
        <v>0.2118789263</v>
      </c>
      <c r="G3171" s="5">
        <f>IFERROR(__xludf.DUMMYFUNCTION("""COMPUTED_VALUE"""),0.17875499714448886)</f>
        <v>0.1787549971</v>
      </c>
      <c r="H3171" s="5">
        <f>IFERROR(__xludf.DUMMYFUNCTION("""COMPUTED_VALUE"""),0.6078167115902965)</f>
        <v>0.6078167116</v>
      </c>
      <c r="I3171" s="11">
        <f>IFERROR(__xludf.DUMMYFUNCTION("""COMPUTED_VALUE"""),5418.463611859838)</f>
        <v>5418.463612</v>
      </c>
      <c r="J3171" s="10">
        <f>IFERROR(__xludf.DUMMYFUNCTION("""COMPUTED_VALUE"""),0.0)</f>
        <v>0</v>
      </c>
      <c r="K3171" s="5">
        <f>IFERROR(__xludf.DUMMYFUNCTION("""COMPUTED_VALUE"""),0.0)</f>
        <v>0</v>
      </c>
      <c r="L3171" s="10">
        <f>IFERROR(__xludf.DUMMYFUNCTION("""COMPUTED_VALUE"""),328.0)</f>
        <v>328</v>
      </c>
      <c r="M3171" s="5">
        <f>IFERROR(__xludf.DUMMYFUNCTION("""COMPUTED_VALUE"""),1.0)</f>
        <v>1</v>
      </c>
    </row>
    <row r="3172">
      <c r="A3172" s="10" t="str">
        <f>IFERROR(__xludf.DUMMYFUNCTION("""COMPUTED_VALUE"""),"龍涎香")</f>
        <v>龍涎香</v>
      </c>
      <c r="B3172" s="10">
        <f>IFERROR(__xludf.DUMMYFUNCTION("""COMPUTED_VALUE"""),231.0)</f>
        <v>231</v>
      </c>
      <c r="C3172" s="10">
        <f>IFERROR(__xludf.DUMMYFUNCTION("""COMPUTED_VALUE"""),2784.0)</f>
        <v>2784</v>
      </c>
      <c r="D3172" s="5">
        <f>IFERROR(__xludf.DUMMYFUNCTION("""COMPUTED_VALUE"""),0.31805718762240504)</f>
        <v>0.3180571876</v>
      </c>
      <c r="E3172" s="5">
        <f>IFERROR(__xludf.DUMMYFUNCTION("""COMPUTED_VALUE"""),0.12534273403838622)</f>
        <v>0.125342734</v>
      </c>
      <c r="F3172" s="5">
        <f>IFERROR(__xludf.DUMMYFUNCTION("""COMPUTED_VALUE"""),0.20603211907559735)</f>
        <v>0.2060321191</v>
      </c>
      <c r="G3172" s="5">
        <f>IFERROR(__xludf.DUMMYFUNCTION("""COMPUTED_VALUE"""),0.1707794751273012)</f>
        <v>0.1707794751</v>
      </c>
      <c r="H3172" s="5">
        <f>IFERROR(__xludf.DUMMYFUNCTION("""COMPUTED_VALUE"""),0.5893536121673004)</f>
        <v>0.5893536122</v>
      </c>
      <c r="I3172" s="11">
        <f>IFERROR(__xludf.DUMMYFUNCTION("""COMPUTED_VALUE"""),5643.726235741445)</f>
        <v>5643.726236</v>
      </c>
      <c r="J3172" s="10">
        <f>IFERROR(__xludf.DUMMYFUNCTION("""COMPUTED_VALUE"""),0.0)</f>
        <v>0</v>
      </c>
      <c r="K3172" s="5">
        <f>IFERROR(__xludf.DUMMYFUNCTION("""COMPUTED_VALUE"""),0.0)</f>
        <v>0</v>
      </c>
      <c r="L3172" s="10">
        <f>IFERROR(__xludf.DUMMYFUNCTION("""COMPUTED_VALUE"""),231.0)</f>
        <v>231</v>
      </c>
      <c r="M3172" s="5">
        <f>IFERROR(__xludf.DUMMYFUNCTION("""COMPUTED_VALUE"""),1.0)</f>
        <v>1</v>
      </c>
    </row>
    <row r="3173">
      <c r="A3173" s="10" t="str">
        <f>IFERROR(__xludf.DUMMYFUNCTION("""COMPUTED_VALUE"""),"ぐぜん@LiB")</f>
        <v>ぐぜん@LiB</v>
      </c>
      <c r="B3173" s="10">
        <f>IFERROR(__xludf.DUMMYFUNCTION("""COMPUTED_VALUE"""),1002.0)</f>
        <v>1002</v>
      </c>
      <c r="C3173" s="10">
        <f>IFERROR(__xludf.DUMMYFUNCTION("""COMPUTED_VALUE"""),11781.0)</f>
        <v>11781</v>
      </c>
      <c r="D3173" s="5">
        <f>IFERROR(__xludf.DUMMYFUNCTION("""COMPUTED_VALUE"""),0.2907505334446609)</f>
        <v>0.2907505334</v>
      </c>
      <c r="E3173" s="5">
        <f>IFERROR(__xludf.DUMMYFUNCTION("""COMPUTED_VALUE"""),0.12533630206883756)</f>
        <v>0.1253363021</v>
      </c>
      <c r="F3173" s="5">
        <f>IFERROR(__xludf.DUMMYFUNCTION("""COMPUTED_VALUE"""),0.21235736153632062)</f>
        <v>0.2123573615</v>
      </c>
      <c r="G3173" s="5">
        <f>IFERROR(__xludf.DUMMYFUNCTION("""COMPUTED_VALUE"""),0.17821690323777717)</f>
        <v>0.1782169032</v>
      </c>
      <c r="H3173" s="5">
        <f>IFERROR(__xludf.DUMMYFUNCTION("""COMPUTED_VALUE"""),0.5792922673656619)</f>
        <v>0.5792922674</v>
      </c>
      <c r="I3173" s="11">
        <f>IFERROR(__xludf.DUMMYFUNCTION("""COMPUTED_VALUE"""),5708.213193534294)</f>
        <v>5708.213194</v>
      </c>
      <c r="J3173" s="10">
        <f>IFERROR(__xludf.DUMMYFUNCTION("""COMPUTED_VALUE"""),4.0)</f>
        <v>4</v>
      </c>
      <c r="K3173" s="5">
        <f>IFERROR(__xludf.DUMMYFUNCTION("""COMPUTED_VALUE"""),0.003992015968063872)</f>
        <v>0.003992015968</v>
      </c>
      <c r="L3173" s="10">
        <f>IFERROR(__xludf.DUMMYFUNCTION("""COMPUTED_VALUE"""),871.0)</f>
        <v>871</v>
      </c>
      <c r="M3173" s="5">
        <f>IFERROR(__xludf.DUMMYFUNCTION("""COMPUTED_VALUE"""),0.8692614770459082)</f>
        <v>0.869261477</v>
      </c>
    </row>
    <row r="3174">
      <c r="A3174" s="10" t="str">
        <f>IFERROR(__xludf.DUMMYFUNCTION("""COMPUTED_VALUE"""),"エトぺン")</f>
        <v>エトぺン</v>
      </c>
      <c r="B3174" s="10">
        <f>IFERROR(__xludf.DUMMYFUNCTION("""COMPUTED_VALUE"""),1569.0)</f>
        <v>1569</v>
      </c>
      <c r="C3174" s="10">
        <f>IFERROR(__xludf.DUMMYFUNCTION("""COMPUTED_VALUE"""),18692.0)</f>
        <v>18692</v>
      </c>
      <c r="D3174" s="5">
        <f>IFERROR(__xludf.DUMMYFUNCTION("""COMPUTED_VALUE"""),0.2939905390410559)</f>
        <v>0.293990539</v>
      </c>
      <c r="E3174" s="5">
        <f>IFERROR(__xludf.DUMMYFUNCTION("""COMPUTED_VALUE"""),0.1253285055188927)</f>
        <v>0.1253285055</v>
      </c>
      <c r="F3174" s="5">
        <f>IFERROR(__xludf.DUMMYFUNCTION("""COMPUTED_VALUE"""),0.2041698300531449)</f>
        <v>0.2041698301</v>
      </c>
      <c r="G3174" s="5">
        <f>IFERROR(__xludf.DUMMYFUNCTION("""COMPUTED_VALUE"""),0.15464579804940723)</f>
        <v>0.154645798</v>
      </c>
      <c r="H3174" s="5">
        <f>IFERROR(__xludf.DUMMYFUNCTION("""COMPUTED_VALUE"""),0.5986842105263158)</f>
        <v>0.5986842105</v>
      </c>
      <c r="I3174" s="11">
        <f>IFERROR(__xludf.DUMMYFUNCTION("""COMPUTED_VALUE"""),5654.176201372998)</f>
        <v>5654.176201</v>
      </c>
      <c r="J3174" s="10">
        <f>IFERROR(__xludf.DUMMYFUNCTION("""COMPUTED_VALUE"""),4.0)</f>
        <v>4</v>
      </c>
      <c r="K3174" s="5">
        <f>IFERROR(__xludf.DUMMYFUNCTION("""COMPUTED_VALUE"""),0.0025493945188017845)</f>
        <v>0.002549394519</v>
      </c>
      <c r="L3174" s="10">
        <f>IFERROR(__xludf.DUMMYFUNCTION("""COMPUTED_VALUE"""),0.0)</f>
        <v>0</v>
      </c>
      <c r="M3174" s="5">
        <f>IFERROR(__xludf.DUMMYFUNCTION("""COMPUTED_VALUE"""),0.0)</f>
        <v>0</v>
      </c>
    </row>
    <row r="3175">
      <c r="A3175" s="10" t="str">
        <f>IFERROR(__xludf.DUMMYFUNCTION("""COMPUTED_VALUE"""),"四筒エース")</f>
        <v>四筒エース</v>
      </c>
      <c r="B3175" s="10">
        <f>IFERROR(__xludf.DUMMYFUNCTION("""COMPUTED_VALUE"""),280.0)</f>
        <v>280</v>
      </c>
      <c r="C3175" s="10">
        <f>IFERROR(__xludf.DUMMYFUNCTION("""COMPUTED_VALUE"""),3400.0)</f>
        <v>3400</v>
      </c>
      <c r="D3175" s="5">
        <f>IFERROR(__xludf.DUMMYFUNCTION("""COMPUTED_VALUE"""),0.37083333333333335)</f>
        <v>0.3708333333</v>
      </c>
      <c r="E3175" s="5">
        <f>IFERROR(__xludf.DUMMYFUNCTION("""COMPUTED_VALUE"""),0.12532051282051282)</f>
        <v>0.1253205128</v>
      </c>
      <c r="F3175" s="5">
        <f>IFERROR(__xludf.DUMMYFUNCTION("""COMPUTED_VALUE"""),0.19903846153846153)</f>
        <v>0.1990384615</v>
      </c>
      <c r="G3175" s="5">
        <f>IFERROR(__xludf.DUMMYFUNCTION("""COMPUTED_VALUE"""),0.1519230769230769)</f>
        <v>0.1519230769</v>
      </c>
      <c r="H3175" s="5">
        <f>IFERROR(__xludf.DUMMYFUNCTION("""COMPUTED_VALUE"""),0.6376811594202898)</f>
        <v>0.6376811594</v>
      </c>
      <c r="I3175" s="11">
        <f>IFERROR(__xludf.DUMMYFUNCTION("""COMPUTED_VALUE"""),5503.7037037037035)</f>
        <v>5503.703704</v>
      </c>
      <c r="J3175" s="10">
        <f>IFERROR(__xludf.DUMMYFUNCTION("""COMPUTED_VALUE"""),0.0)</f>
        <v>0</v>
      </c>
      <c r="K3175" s="5">
        <f>IFERROR(__xludf.DUMMYFUNCTION("""COMPUTED_VALUE"""),0.0)</f>
        <v>0</v>
      </c>
      <c r="L3175" s="10">
        <f>IFERROR(__xludf.DUMMYFUNCTION("""COMPUTED_VALUE"""),280.0)</f>
        <v>280</v>
      </c>
      <c r="M3175" s="5">
        <f>IFERROR(__xludf.DUMMYFUNCTION("""COMPUTED_VALUE"""),1.0)</f>
        <v>1</v>
      </c>
    </row>
    <row r="3176">
      <c r="A3176" s="10" t="str">
        <f>IFERROR(__xludf.DUMMYFUNCTION("""COMPUTED_VALUE"""),"花澪")</f>
        <v>花澪</v>
      </c>
      <c r="B3176" s="10">
        <f>IFERROR(__xludf.DUMMYFUNCTION("""COMPUTED_VALUE"""),432.0)</f>
        <v>432</v>
      </c>
      <c r="C3176" s="10">
        <f>IFERROR(__xludf.DUMMYFUNCTION("""COMPUTED_VALUE"""),5140.0)</f>
        <v>5140</v>
      </c>
      <c r="D3176" s="5">
        <f>IFERROR(__xludf.DUMMYFUNCTION("""COMPUTED_VALUE"""),0.3096856414613424)</f>
        <v>0.3096856415</v>
      </c>
      <c r="E3176" s="5">
        <f>IFERROR(__xludf.DUMMYFUNCTION("""COMPUTED_VALUE"""),0.12531860662701785)</f>
        <v>0.1253186066</v>
      </c>
      <c r="F3176" s="5">
        <f>IFERROR(__xludf.DUMMYFUNCTION("""COMPUTED_VALUE"""),0.20390824129141885)</f>
        <v>0.2039082413</v>
      </c>
      <c r="G3176" s="5">
        <f>IFERROR(__xludf.DUMMYFUNCTION("""COMPUTED_VALUE"""),0.16928632115548004)</f>
        <v>0.1692863212</v>
      </c>
      <c r="H3176" s="5">
        <f>IFERROR(__xludf.DUMMYFUNCTION("""COMPUTED_VALUE"""),0.575)</f>
        <v>0.575</v>
      </c>
      <c r="I3176" s="11">
        <f>IFERROR(__xludf.DUMMYFUNCTION("""COMPUTED_VALUE"""),5636.458333333333)</f>
        <v>5636.458333</v>
      </c>
      <c r="J3176" s="10">
        <f>IFERROR(__xludf.DUMMYFUNCTION("""COMPUTED_VALUE"""),1.0)</f>
        <v>1</v>
      </c>
      <c r="K3176" s="5">
        <f>IFERROR(__xludf.DUMMYFUNCTION("""COMPUTED_VALUE"""),0.0023148148148148147)</f>
        <v>0.002314814815</v>
      </c>
      <c r="L3176" s="10">
        <f>IFERROR(__xludf.DUMMYFUNCTION("""COMPUTED_VALUE"""),0.0)</f>
        <v>0</v>
      </c>
      <c r="M3176" s="5">
        <f>IFERROR(__xludf.DUMMYFUNCTION("""COMPUTED_VALUE"""),0.0)</f>
        <v>0</v>
      </c>
    </row>
    <row r="3177">
      <c r="A3177" s="10" t="str">
        <f>IFERROR(__xludf.DUMMYFUNCTION("""COMPUTED_VALUE"""),"月千一夜")</f>
        <v>月千一夜</v>
      </c>
      <c r="B3177" s="10">
        <f>IFERROR(__xludf.DUMMYFUNCTION("""COMPUTED_VALUE"""),1993.0)</f>
        <v>1993</v>
      </c>
      <c r="C3177" s="10">
        <f>IFERROR(__xludf.DUMMYFUNCTION("""COMPUTED_VALUE"""),23579.0)</f>
        <v>23579</v>
      </c>
      <c r="D3177" s="5">
        <f>IFERROR(__xludf.DUMMYFUNCTION("""COMPUTED_VALUE"""),0.36384693783007505)</f>
        <v>0.3638469378</v>
      </c>
      <c r="E3177" s="5">
        <f>IFERROR(__xludf.DUMMYFUNCTION("""COMPUTED_VALUE"""),0.12531270267766145)</f>
        <v>0.1253127027</v>
      </c>
      <c r="F3177" s="5">
        <f>IFERROR(__xludf.DUMMYFUNCTION("""COMPUTED_VALUE"""),0.21361067358473085)</f>
        <v>0.2136106736</v>
      </c>
      <c r="G3177" s="5">
        <f>IFERROR(__xludf.DUMMYFUNCTION("""COMPUTED_VALUE"""),0.16292967664226812)</f>
        <v>0.1629296766</v>
      </c>
      <c r="H3177" s="5">
        <f>IFERROR(__xludf.DUMMYFUNCTION("""COMPUTED_VALUE"""),0.6137497289091304)</f>
        <v>0.6137497289</v>
      </c>
      <c r="I3177" s="11">
        <f>IFERROR(__xludf.DUMMYFUNCTION("""COMPUTED_VALUE"""),5469.420949902407)</f>
        <v>5469.42095</v>
      </c>
      <c r="J3177" s="10">
        <f>IFERROR(__xludf.DUMMYFUNCTION("""COMPUTED_VALUE"""),5.0)</f>
        <v>5</v>
      </c>
      <c r="K3177" s="5">
        <f>IFERROR(__xludf.DUMMYFUNCTION("""COMPUTED_VALUE"""),0.002508780732563974)</f>
        <v>0.002508780733</v>
      </c>
      <c r="L3177" s="10">
        <f>IFERROR(__xludf.DUMMYFUNCTION("""COMPUTED_VALUE"""),2.0)</f>
        <v>2</v>
      </c>
      <c r="M3177" s="5">
        <f>IFERROR(__xludf.DUMMYFUNCTION("""COMPUTED_VALUE"""),0.0010035122930255895)</f>
        <v>0.001003512293</v>
      </c>
    </row>
    <row r="3178">
      <c r="A3178" s="10" t="str">
        <f>IFERROR(__xludf.DUMMYFUNCTION("""COMPUTED_VALUE"""),"野崎維織★")</f>
        <v>野崎維織★</v>
      </c>
      <c r="B3178" s="10">
        <f>IFERROR(__xludf.DUMMYFUNCTION("""COMPUTED_VALUE"""),1536.0)</f>
        <v>1536</v>
      </c>
      <c r="C3178" s="10">
        <f>IFERROR(__xludf.DUMMYFUNCTION("""COMPUTED_VALUE"""),17993.0)</f>
        <v>17993</v>
      </c>
      <c r="D3178" s="5">
        <f>IFERROR(__xludf.DUMMYFUNCTION("""COMPUTED_VALUE"""),0.37041988211703225)</f>
        <v>0.3704198821</v>
      </c>
      <c r="E3178" s="5">
        <f>IFERROR(__xludf.DUMMYFUNCTION("""COMPUTED_VALUE"""),0.12529622652974418)</f>
        <v>0.1252962265</v>
      </c>
      <c r="F3178" s="5">
        <f>IFERROR(__xludf.DUMMYFUNCTION("""COMPUTED_VALUE"""),0.21516679832290211)</f>
        <v>0.2151667983</v>
      </c>
      <c r="G3178" s="5">
        <f>IFERROR(__xludf.DUMMYFUNCTION("""COMPUTED_VALUE"""),0.18393388831500274)</f>
        <v>0.1839338883</v>
      </c>
      <c r="H3178" s="5">
        <f>IFERROR(__xludf.DUMMYFUNCTION("""COMPUTED_VALUE"""),0.5820389720417961)</f>
        <v>0.582038972</v>
      </c>
      <c r="I3178" s="11">
        <f>IFERROR(__xludf.DUMMYFUNCTION("""COMPUTED_VALUE"""),5795.170855690483)</f>
        <v>5795.170856</v>
      </c>
      <c r="J3178" s="10">
        <f>IFERROR(__xludf.DUMMYFUNCTION("""COMPUTED_VALUE"""),2.0)</f>
        <v>2</v>
      </c>
      <c r="K3178" s="5">
        <f>IFERROR(__xludf.DUMMYFUNCTION("""COMPUTED_VALUE"""),0.0013020833333333333)</f>
        <v>0.001302083333</v>
      </c>
      <c r="L3178" s="10">
        <f>IFERROR(__xludf.DUMMYFUNCTION("""COMPUTED_VALUE"""),849.0)</f>
        <v>849</v>
      </c>
      <c r="M3178" s="5">
        <f>IFERROR(__xludf.DUMMYFUNCTION("""COMPUTED_VALUE"""),0.552734375)</f>
        <v>0.552734375</v>
      </c>
    </row>
    <row r="3179">
      <c r="A3179" s="10" t="str">
        <f>IFERROR(__xludf.DUMMYFUNCTION("""COMPUTED_VALUE"""),"ゆまゆまー")</f>
        <v>ゆまゆまー</v>
      </c>
      <c r="B3179" s="10">
        <f>IFERROR(__xludf.DUMMYFUNCTION("""COMPUTED_VALUE"""),446.0)</f>
        <v>446</v>
      </c>
      <c r="C3179" s="10">
        <f>IFERROR(__xludf.DUMMYFUNCTION("""COMPUTED_VALUE"""),5243.0)</f>
        <v>5243</v>
      </c>
      <c r="D3179" s="5">
        <f>IFERROR(__xludf.DUMMYFUNCTION("""COMPUTED_VALUE"""),0.30810923493850323)</f>
        <v>0.3081092349</v>
      </c>
      <c r="E3179" s="5">
        <f>IFERROR(__xludf.DUMMYFUNCTION("""COMPUTED_VALUE"""),0.12528663748175944)</f>
        <v>0.1252866375</v>
      </c>
      <c r="F3179" s="5">
        <f>IFERROR(__xludf.DUMMYFUNCTION("""COMPUTED_VALUE"""),0.2026266416510319)</f>
        <v>0.2026266417</v>
      </c>
      <c r="G3179" s="5">
        <f>IFERROR(__xludf.DUMMYFUNCTION("""COMPUTED_VALUE"""),0.18198874296435272)</f>
        <v>0.181988743</v>
      </c>
      <c r="H3179" s="5">
        <f>IFERROR(__xludf.DUMMYFUNCTION("""COMPUTED_VALUE"""),0.5606995884773662)</f>
        <v>0.5606995885</v>
      </c>
      <c r="I3179" s="11">
        <f>IFERROR(__xludf.DUMMYFUNCTION("""COMPUTED_VALUE"""),5462.242798353909)</f>
        <v>5462.242798</v>
      </c>
      <c r="J3179" s="10">
        <f>IFERROR(__xludf.DUMMYFUNCTION("""COMPUTED_VALUE"""),1.0)</f>
        <v>1</v>
      </c>
      <c r="K3179" s="5">
        <f>IFERROR(__xludf.DUMMYFUNCTION("""COMPUTED_VALUE"""),0.002242152466367713)</f>
        <v>0.002242152466</v>
      </c>
      <c r="L3179" s="10">
        <f>IFERROR(__xludf.DUMMYFUNCTION("""COMPUTED_VALUE"""),220.0)</f>
        <v>220</v>
      </c>
      <c r="M3179" s="5">
        <f>IFERROR(__xludf.DUMMYFUNCTION("""COMPUTED_VALUE"""),0.49327354260089684)</f>
        <v>0.4932735426</v>
      </c>
    </row>
    <row r="3180">
      <c r="A3180" s="10" t="str">
        <f>IFERROR(__xludf.DUMMYFUNCTION("""COMPUTED_VALUE"""),"バビンスキー")</f>
        <v>バビンスキー</v>
      </c>
      <c r="B3180" s="10">
        <f>IFERROR(__xludf.DUMMYFUNCTION("""COMPUTED_VALUE"""),775.0)</f>
        <v>775</v>
      </c>
      <c r="C3180" s="10">
        <f>IFERROR(__xludf.DUMMYFUNCTION("""COMPUTED_VALUE"""),9068.0)</f>
        <v>9068</v>
      </c>
      <c r="D3180" s="5">
        <f>IFERROR(__xludf.DUMMYFUNCTION("""COMPUTED_VALUE"""),0.326299288556614)</f>
        <v>0.3262992886</v>
      </c>
      <c r="E3180" s="5">
        <f>IFERROR(__xludf.DUMMYFUNCTION("""COMPUTED_VALUE"""),0.12528638610876644)</f>
        <v>0.1252863861</v>
      </c>
      <c r="F3180" s="5">
        <f>IFERROR(__xludf.DUMMYFUNCTION("""COMPUTED_VALUE"""),0.20089231882310382)</f>
        <v>0.2008923188</v>
      </c>
      <c r="G3180" s="5">
        <f>IFERROR(__xludf.DUMMYFUNCTION("""COMPUTED_VALUE"""),0.1823224406125648)</f>
        <v>0.1823224406</v>
      </c>
      <c r="H3180" s="5">
        <f>IFERROR(__xludf.DUMMYFUNCTION("""COMPUTED_VALUE"""),0.5894357743097239)</f>
        <v>0.5894357743</v>
      </c>
      <c r="I3180" s="11">
        <f>IFERROR(__xludf.DUMMYFUNCTION("""COMPUTED_VALUE"""),5967.406962785114)</f>
        <v>5967.406963</v>
      </c>
      <c r="J3180" s="10">
        <f>IFERROR(__xludf.DUMMYFUNCTION("""COMPUTED_VALUE"""),3.0)</f>
        <v>3</v>
      </c>
      <c r="K3180" s="5">
        <f>IFERROR(__xludf.DUMMYFUNCTION("""COMPUTED_VALUE"""),0.003870967741935484)</f>
        <v>0.003870967742</v>
      </c>
      <c r="L3180" s="10">
        <f>IFERROR(__xludf.DUMMYFUNCTION("""COMPUTED_VALUE"""),775.0)</f>
        <v>775</v>
      </c>
      <c r="M3180" s="5">
        <f>IFERROR(__xludf.DUMMYFUNCTION("""COMPUTED_VALUE"""),1.0)</f>
        <v>1</v>
      </c>
    </row>
    <row r="3181">
      <c r="A3181" s="10" t="str">
        <f>IFERROR(__xludf.DUMMYFUNCTION("""COMPUTED_VALUE"""),"しぇりっど")</f>
        <v>しぇりっど</v>
      </c>
      <c r="B3181" s="10">
        <f>IFERROR(__xludf.DUMMYFUNCTION("""COMPUTED_VALUE"""),208.0)</f>
        <v>208</v>
      </c>
      <c r="C3181" s="10">
        <f>IFERROR(__xludf.DUMMYFUNCTION("""COMPUTED_VALUE"""),2395.0)</f>
        <v>2395</v>
      </c>
      <c r="D3181" s="5">
        <f>IFERROR(__xludf.DUMMYFUNCTION("""COMPUTED_VALUE"""),0.3388203017832647)</f>
        <v>0.3388203018</v>
      </c>
      <c r="E3181" s="5">
        <f>IFERROR(__xludf.DUMMYFUNCTION("""COMPUTED_VALUE"""),0.12528577960676726)</f>
        <v>0.1252857796</v>
      </c>
      <c r="F3181" s="5">
        <f>IFERROR(__xludf.DUMMYFUNCTION("""COMPUTED_VALUE"""),0.18609967992684043)</f>
        <v>0.1860996799</v>
      </c>
      <c r="G3181" s="5">
        <f>IFERROR(__xludf.DUMMYFUNCTION("""COMPUTED_VALUE"""),0.17238225880201188)</f>
        <v>0.1723822588</v>
      </c>
      <c r="H3181" s="5">
        <f>IFERROR(__xludf.DUMMYFUNCTION("""COMPUTED_VALUE"""),0.628992628992629)</f>
        <v>0.628992629</v>
      </c>
      <c r="I3181" s="11">
        <f>IFERROR(__xludf.DUMMYFUNCTION("""COMPUTED_VALUE"""),5608.108108108108)</f>
        <v>5608.108108</v>
      </c>
      <c r="J3181" s="10">
        <f>IFERROR(__xludf.DUMMYFUNCTION("""COMPUTED_VALUE"""),0.0)</f>
        <v>0</v>
      </c>
      <c r="K3181" s="5">
        <f>IFERROR(__xludf.DUMMYFUNCTION("""COMPUTED_VALUE"""),0.0)</f>
        <v>0</v>
      </c>
      <c r="L3181" s="10">
        <f>IFERROR(__xludf.DUMMYFUNCTION("""COMPUTED_VALUE"""),208.0)</f>
        <v>208</v>
      </c>
      <c r="M3181" s="5">
        <f>IFERROR(__xludf.DUMMYFUNCTION("""COMPUTED_VALUE"""),1.0)</f>
        <v>1</v>
      </c>
    </row>
    <row r="3182">
      <c r="A3182" s="10" t="str">
        <f>IFERROR(__xludf.DUMMYFUNCTION("""COMPUTED_VALUE"""),"numahoso")</f>
        <v>numahoso</v>
      </c>
      <c r="B3182" s="10">
        <f>IFERROR(__xludf.DUMMYFUNCTION("""COMPUTED_VALUE"""),248.0)</f>
        <v>248</v>
      </c>
      <c r="C3182" s="10">
        <f>IFERROR(__xludf.DUMMYFUNCTION("""COMPUTED_VALUE"""),2874.0)</f>
        <v>2874</v>
      </c>
      <c r="D3182" s="5">
        <f>IFERROR(__xludf.DUMMYFUNCTION("""COMPUTED_VALUE"""),0.3156892612338157)</f>
        <v>0.3156892612</v>
      </c>
      <c r="E3182" s="5">
        <f>IFERROR(__xludf.DUMMYFUNCTION("""COMPUTED_VALUE"""),0.12528560548362527)</f>
        <v>0.1252856055</v>
      </c>
      <c r="F3182" s="5">
        <f>IFERROR(__xludf.DUMMYFUNCTION("""COMPUTED_VALUE"""),0.2079207920792079)</f>
        <v>0.2079207921</v>
      </c>
      <c r="G3182" s="5">
        <f>IFERROR(__xludf.DUMMYFUNCTION("""COMPUTED_VALUE"""),0.15156130997715156)</f>
        <v>0.15156131</v>
      </c>
      <c r="H3182" s="5">
        <f>IFERROR(__xludf.DUMMYFUNCTION("""COMPUTED_VALUE"""),0.6172161172161172)</f>
        <v>0.6172161172</v>
      </c>
      <c r="I3182" s="11">
        <f>IFERROR(__xludf.DUMMYFUNCTION("""COMPUTED_VALUE"""),5594.871794871795)</f>
        <v>5594.871795</v>
      </c>
      <c r="J3182" s="10">
        <f>IFERROR(__xludf.DUMMYFUNCTION("""COMPUTED_VALUE"""),1.0)</f>
        <v>1</v>
      </c>
      <c r="K3182" s="5">
        <f>IFERROR(__xludf.DUMMYFUNCTION("""COMPUTED_VALUE"""),0.004032258064516129)</f>
        <v>0.004032258065</v>
      </c>
      <c r="L3182" s="10">
        <f>IFERROR(__xludf.DUMMYFUNCTION("""COMPUTED_VALUE"""),248.0)</f>
        <v>248</v>
      </c>
      <c r="M3182" s="5">
        <f>IFERROR(__xludf.DUMMYFUNCTION("""COMPUTED_VALUE"""),1.0)</f>
        <v>1</v>
      </c>
    </row>
    <row r="3183">
      <c r="A3183" s="10" t="str">
        <f>IFERROR(__xludf.DUMMYFUNCTION("""COMPUTED_VALUE"""),"KINO")</f>
        <v>KINO</v>
      </c>
      <c r="B3183" s="10">
        <f>IFERROR(__xludf.DUMMYFUNCTION("""COMPUTED_VALUE"""),2298.0)</f>
        <v>2298</v>
      </c>
      <c r="C3183" s="10">
        <f>IFERROR(__xludf.DUMMYFUNCTION("""COMPUTED_VALUE"""),26994.0)</f>
        <v>26994</v>
      </c>
      <c r="D3183" s="5">
        <f>IFERROR(__xludf.DUMMYFUNCTION("""COMPUTED_VALUE"""),0.38969873663751214)</f>
        <v>0.3896987366</v>
      </c>
      <c r="E3183" s="5">
        <f>IFERROR(__xludf.DUMMYFUNCTION("""COMPUTED_VALUE"""),0.12528344671201813)</f>
        <v>0.1252834467</v>
      </c>
      <c r="F3183" s="5">
        <f>IFERROR(__xludf.DUMMYFUNCTION("""COMPUTED_VALUE"""),0.21991415613864593)</f>
        <v>0.2199141561</v>
      </c>
      <c r="G3183" s="5">
        <f>IFERROR(__xludf.DUMMYFUNCTION("""COMPUTED_VALUE"""),0.17359086491739553)</f>
        <v>0.1735908649</v>
      </c>
      <c r="H3183" s="5">
        <f>IFERROR(__xludf.DUMMYFUNCTION("""COMPUTED_VALUE"""),0.5783465291843123)</f>
        <v>0.5783465292</v>
      </c>
      <c r="I3183" s="11">
        <f>IFERROR(__xludf.DUMMYFUNCTION("""COMPUTED_VALUE"""),5516.958202909224)</f>
        <v>5516.958203</v>
      </c>
      <c r="J3183" s="10">
        <f>IFERROR(__xludf.DUMMYFUNCTION("""COMPUTED_VALUE"""),6.0)</f>
        <v>6</v>
      </c>
      <c r="K3183" s="5">
        <f>IFERROR(__xludf.DUMMYFUNCTION("""COMPUTED_VALUE"""),0.0026109660574412533)</f>
        <v>0.002610966057</v>
      </c>
      <c r="L3183" s="10">
        <f>IFERROR(__xludf.DUMMYFUNCTION("""COMPUTED_VALUE"""),23.0)</f>
        <v>23</v>
      </c>
      <c r="M3183" s="5">
        <f>IFERROR(__xludf.DUMMYFUNCTION("""COMPUTED_VALUE"""),0.010008703220191472)</f>
        <v>0.01000870322</v>
      </c>
    </row>
    <row r="3184">
      <c r="A3184" s="10" t="str">
        <f>IFERROR(__xludf.DUMMYFUNCTION("""COMPUTED_VALUE"""),"まる助")</f>
        <v>まる助</v>
      </c>
      <c r="B3184" s="10">
        <f>IFERROR(__xludf.DUMMYFUNCTION("""COMPUTED_VALUE"""),1499.0)</f>
        <v>1499</v>
      </c>
      <c r="C3184" s="10">
        <f>IFERROR(__xludf.DUMMYFUNCTION("""COMPUTED_VALUE"""),17495.0)</f>
        <v>17495</v>
      </c>
      <c r="D3184" s="5">
        <f>IFERROR(__xludf.DUMMYFUNCTION("""COMPUTED_VALUE"""),0.3689672418104526)</f>
        <v>0.3689672418</v>
      </c>
      <c r="E3184" s="5">
        <f>IFERROR(__xludf.DUMMYFUNCTION("""COMPUTED_VALUE"""),0.12528132033008252)</f>
        <v>0.1252813203</v>
      </c>
      <c r="F3184" s="5">
        <f>IFERROR(__xludf.DUMMYFUNCTION("""COMPUTED_VALUE"""),0.2154913728432108)</f>
        <v>0.2154913728</v>
      </c>
      <c r="G3184" s="5">
        <f>IFERROR(__xludf.DUMMYFUNCTION("""COMPUTED_VALUE"""),0.18067016754188547)</f>
        <v>0.1806701675</v>
      </c>
      <c r="H3184" s="5">
        <f>IFERROR(__xludf.DUMMYFUNCTION("""COMPUTED_VALUE"""),0.5918189730200174)</f>
        <v>0.591818973</v>
      </c>
      <c r="I3184" s="11">
        <f>IFERROR(__xludf.DUMMYFUNCTION("""COMPUTED_VALUE"""),5704.206556425877)</f>
        <v>5704.206556</v>
      </c>
      <c r="J3184" s="10">
        <f>IFERROR(__xludf.DUMMYFUNCTION("""COMPUTED_VALUE"""),5.0)</f>
        <v>5</v>
      </c>
      <c r="K3184" s="5">
        <f>IFERROR(__xludf.DUMMYFUNCTION("""COMPUTED_VALUE"""),0.00333555703802535)</f>
        <v>0.003335557038</v>
      </c>
      <c r="L3184" s="10">
        <f>IFERROR(__xludf.DUMMYFUNCTION("""COMPUTED_VALUE"""),1499.0)</f>
        <v>1499</v>
      </c>
      <c r="M3184" s="5">
        <f>IFERROR(__xludf.DUMMYFUNCTION("""COMPUTED_VALUE"""),1.0)</f>
        <v>1</v>
      </c>
    </row>
    <row r="3185">
      <c r="A3185" s="10" t="str">
        <f>IFERROR(__xludf.DUMMYFUNCTION("""COMPUTED_VALUE"""),"こうようながえ")</f>
        <v>こうようながえ</v>
      </c>
      <c r="B3185" s="10">
        <f>IFERROR(__xludf.DUMMYFUNCTION("""COMPUTED_VALUE"""),304.0)</f>
        <v>304</v>
      </c>
      <c r="C3185" s="10">
        <f>IFERROR(__xludf.DUMMYFUNCTION("""COMPUTED_VALUE"""),3489.0)</f>
        <v>3489</v>
      </c>
      <c r="D3185" s="5">
        <f>IFERROR(__xludf.DUMMYFUNCTION("""COMPUTED_VALUE"""),0.2549450549450549)</f>
        <v>0.2549450549</v>
      </c>
      <c r="E3185" s="5">
        <f>IFERROR(__xludf.DUMMYFUNCTION("""COMPUTED_VALUE"""),0.12527472527472527)</f>
        <v>0.1252747253</v>
      </c>
      <c r="F3185" s="5">
        <f>IFERROR(__xludf.DUMMYFUNCTION("""COMPUTED_VALUE"""),0.20282574568288855)</f>
        <v>0.2028257457</v>
      </c>
      <c r="G3185" s="5">
        <f>IFERROR(__xludf.DUMMYFUNCTION("""COMPUTED_VALUE"""),0.17676609105180532)</f>
        <v>0.1767660911</v>
      </c>
      <c r="H3185" s="5">
        <f>IFERROR(__xludf.DUMMYFUNCTION("""COMPUTED_VALUE"""),0.5727554179566563)</f>
        <v>0.572755418</v>
      </c>
      <c r="I3185" s="11">
        <f>IFERROR(__xludf.DUMMYFUNCTION("""COMPUTED_VALUE"""),5861.300309597524)</f>
        <v>5861.30031</v>
      </c>
      <c r="J3185" s="10">
        <f>IFERROR(__xludf.DUMMYFUNCTION("""COMPUTED_VALUE"""),1.0)</f>
        <v>1</v>
      </c>
      <c r="K3185" s="5">
        <f>IFERROR(__xludf.DUMMYFUNCTION("""COMPUTED_VALUE"""),0.003289473684210526)</f>
        <v>0.003289473684</v>
      </c>
      <c r="L3185" s="10">
        <f>IFERROR(__xludf.DUMMYFUNCTION("""COMPUTED_VALUE"""),304.0)</f>
        <v>304</v>
      </c>
      <c r="M3185" s="5">
        <f>IFERROR(__xludf.DUMMYFUNCTION("""COMPUTED_VALUE"""),1.0)</f>
        <v>1</v>
      </c>
    </row>
    <row r="3186">
      <c r="A3186" s="10" t="str">
        <f>IFERROR(__xludf.DUMMYFUNCTION("""COMPUTED_VALUE"""),"サスティンペダル")</f>
        <v>サスティンペダル</v>
      </c>
      <c r="B3186" s="10">
        <f>IFERROR(__xludf.DUMMYFUNCTION("""COMPUTED_VALUE"""),135.0)</f>
        <v>135</v>
      </c>
      <c r="C3186" s="10">
        <f>IFERROR(__xludf.DUMMYFUNCTION("""COMPUTED_VALUE"""),1596.0)</f>
        <v>1596</v>
      </c>
      <c r="D3186" s="5">
        <f>IFERROR(__xludf.DUMMYFUNCTION("""COMPUTED_VALUE"""),0.3490759753593429)</f>
        <v>0.3490759754</v>
      </c>
      <c r="E3186" s="5">
        <f>IFERROR(__xludf.DUMMYFUNCTION("""COMPUTED_VALUE"""),0.12525667351129363)</f>
        <v>0.1252566735</v>
      </c>
      <c r="F3186" s="5">
        <f>IFERROR(__xludf.DUMMYFUNCTION("""COMPUTED_VALUE"""),0.24503764544832307)</f>
        <v>0.2450376454</v>
      </c>
      <c r="G3186" s="5">
        <f>IFERROR(__xludf.DUMMYFUNCTION("""COMPUTED_VALUE"""),0.19028062970568105)</f>
        <v>0.1902806297</v>
      </c>
      <c r="H3186" s="5">
        <f>IFERROR(__xludf.DUMMYFUNCTION("""COMPUTED_VALUE"""),0.5810055865921788)</f>
        <v>0.5810055866</v>
      </c>
      <c r="I3186" s="11">
        <f>IFERROR(__xludf.DUMMYFUNCTION("""COMPUTED_VALUE"""),5509.217877094972)</f>
        <v>5509.217877</v>
      </c>
      <c r="J3186" s="10">
        <f>IFERROR(__xludf.DUMMYFUNCTION("""COMPUTED_VALUE"""),0.0)</f>
        <v>0</v>
      </c>
      <c r="K3186" s="5">
        <f>IFERROR(__xludf.DUMMYFUNCTION("""COMPUTED_VALUE"""),0.0)</f>
        <v>0</v>
      </c>
      <c r="L3186" s="10">
        <f>IFERROR(__xludf.DUMMYFUNCTION("""COMPUTED_VALUE"""),135.0)</f>
        <v>135</v>
      </c>
      <c r="M3186" s="5">
        <f>IFERROR(__xludf.DUMMYFUNCTION("""COMPUTED_VALUE"""),1.0)</f>
        <v>1</v>
      </c>
    </row>
    <row r="3187">
      <c r="A3187" s="10" t="str">
        <f>IFERROR(__xludf.DUMMYFUNCTION("""COMPUTED_VALUE"""),"如月カルナ")</f>
        <v>如月カルナ</v>
      </c>
      <c r="B3187" s="10">
        <f>IFERROR(__xludf.DUMMYFUNCTION("""COMPUTED_VALUE"""),491.0)</f>
        <v>491</v>
      </c>
      <c r="C3187" s="10">
        <f>IFERROR(__xludf.DUMMYFUNCTION("""COMPUTED_VALUE"""),5737.0)</f>
        <v>5737</v>
      </c>
      <c r="D3187" s="5">
        <f>IFERROR(__xludf.DUMMYFUNCTION("""COMPUTED_VALUE"""),0.3118566526877621)</f>
        <v>0.3118566527</v>
      </c>
      <c r="E3187" s="5">
        <f>IFERROR(__xludf.DUMMYFUNCTION("""COMPUTED_VALUE"""),0.12523827678231034)</f>
        <v>0.1252382768</v>
      </c>
      <c r="F3187" s="5">
        <f>IFERROR(__xludf.DUMMYFUNCTION("""COMPUTED_VALUE"""),0.20415554708349218)</f>
        <v>0.2041555471</v>
      </c>
      <c r="G3187" s="5">
        <f>IFERROR(__xludf.DUMMYFUNCTION("""COMPUTED_VALUE"""),0.18242470453678994)</f>
        <v>0.1824247045</v>
      </c>
      <c r="H3187" s="5">
        <f>IFERROR(__xludf.DUMMYFUNCTION("""COMPUTED_VALUE"""),0.5891690009337068)</f>
        <v>0.5891690009</v>
      </c>
      <c r="I3187" s="11">
        <f>IFERROR(__xludf.DUMMYFUNCTION("""COMPUTED_VALUE"""),5467.693744164332)</f>
        <v>5467.693744</v>
      </c>
      <c r="J3187" s="10">
        <f>IFERROR(__xludf.DUMMYFUNCTION("""COMPUTED_VALUE"""),0.0)</f>
        <v>0</v>
      </c>
      <c r="K3187" s="5">
        <f>IFERROR(__xludf.DUMMYFUNCTION("""COMPUTED_VALUE"""),0.0)</f>
        <v>0</v>
      </c>
      <c r="L3187" s="10">
        <f>IFERROR(__xludf.DUMMYFUNCTION("""COMPUTED_VALUE"""),491.0)</f>
        <v>491</v>
      </c>
      <c r="M3187" s="5">
        <f>IFERROR(__xludf.DUMMYFUNCTION("""COMPUTED_VALUE"""),1.0)</f>
        <v>1</v>
      </c>
    </row>
    <row r="3188">
      <c r="A3188" s="10" t="str">
        <f>IFERROR(__xludf.DUMMYFUNCTION("""COMPUTED_VALUE"""),"佐藤カイジ")</f>
        <v>佐藤カイジ</v>
      </c>
      <c r="B3188" s="10">
        <f>IFERROR(__xludf.DUMMYFUNCTION("""COMPUTED_VALUE"""),1234.0)</f>
        <v>1234</v>
      </c>
      <c r="C3188" s="10">
        <f>IFERROR(__xludf.DUMMYFUNCTION("""COMPUTED_VALUE"""),14377.0)</f>
        <v>14377</v>
      </c>
      <c r="D3188" s="5">
        <f>IFERROR(__xludf.DUMMYFUNCTION("""COMPUTED_VALUE"""),0.3687133835501788)</f>
        <v>0.3687133836</v>
      </c>
      <c r="E3188" s="5">
        <f>IFERROR(__xludf.DUMMYFUNCTION("""COMPUTED_VALUE"""),0.1252377691546831)</f>
        <v>0.1252377692</v>
      </c>
      <c r="F3188" s="5">
        <f>IFERROR(__xludf.DUMMYFUNCTION("""COMPUTED_VALUE"""),0.22803013010728143)</f>
        <v>0.2280301301</v>
      </c>
      <c r="G3188" s="5">
        <f>IFERROR(__xludf.DUMMYFUNCTION("""COMPUTED_VALUE"""),0.18580232823556267)</f>
        <v>0.1858023282</v>
      </c>
      <c r="H3188" s="5">
        <f>IFERROR(__xludf.DUMMYFUNCTION("""COMPUTED_VALUE"""),0.6029362696029362)</f>
        <v>0.6029362696</v>
      </c>
      <c r="I3188" s="11">
        <f>IFERROR(__xludf.DUMMYFUNCTION("""COMPUTED_VALUE"""),5508.074741408075)</f>
        <v>5508.074741</v>
      </c>
      <c r="J3188" s="10">
        <f>IFERROR(__xludf.DUMMYFUNCTION("""COMPUTED_VALUE"""),2.0)</f>
        <v>2</v>
      </c>
      <c r="K3188" s="5">
        <f>IFERROR(__xludf.DUMMYFUNCTION("""COMPUTED_VALUE"""),0.0016207455429497568)</f>
        <v>0.001620745543</v>
      </c>
      <c r="L3188" s="10">
        <f>IFERROR(__xludf.DUMMYFUNCTION("""COMPUTED_VALUE"""),1010.0)</f>
        <v>1010</v>
      </c>
      <c r="M3188" s="5">
        <f>IFERROR(__xludf.DUMMYFUNCTION("""COMPUTED_VALUE"""),0.8184764991896273)</f>
        <v>0.8184764992</v>
      </c>
    </row>
    <row r="3189">
      <c r="A3189" s="10" t="str">
        <f>IFERROR(__xludf.DUMMYFUNCTION("""COMPUTED_VALUE"""),"よじげん")</f>
        <v>よじげん</v>
      </c>
      <c r="B3189" s="10">
        <f>IFERROR(__xludf.DUMMYFUNCTION("""COMPUTED_VALUE"""),1236.0)</f>
        <v>1236</v>
      </c>
      <c r="C3189" s="10">
        <f>IFERROR(__xludf.DUMMYFUNCTION("""COMPUTED_VALUE"""),14507.0)</f>
        <v>14507</v>
      </c>
      <c r="D3189" s="5">
        <f>IFERROR(__xludf.DUMMYFUNCTION("""COMPUTED_VALUE"""),0.28362595132243235)</f>
        <v>0.2836259513</v>
      </c>
      <c r="E3189" s="5">
        <f>IFERROR(__xludf.DUMMYFUNCTION("""COMPUTED_VALUE"""),0.12523547584959688)</f>
        <v>0.1252354758</v>
      </c>
      <c r="F3189" s="5">
        <f>IFERROR(__xludf.DUMMYFUNCTION("""COMPUTED_VALUE"""),0.2044307135860146)</f>
        <v>0.2044307136</v>
      </c>
      <c r="G3189" s="5">
        <f>IFERROR(__xludf.DUMMYFUNCTION("""COMPUTED_VALUE"""),0.1639665435912893)</f>
        <v>0.1639665436</v>
      </c>
      <c r="H3189" s="5">
        <f>IFERROR(__xludf.DUMMYFUNCTION("""COMPUTED_VALUE"""),0.6085514190932547)</f>
        <v>0.6085514191</v>
      </c>
      <c r="I3189" s="11">
        <f>IFERROR(__xludf.DUMMYFUNCTION("""COMPUTED_VALUE"""),5593.881312200516)</f>
        <v>5593.881312</v>
      </c>
      <c r="J3189" s="10">
        <f>IFERROR(__xludf.DUMMYFUNCTION("""COMPUTED_VALUE"""),2.0)</f>
        <v>2</v>
      </c>
      <c r="K3189" s="5">
        <f>IFERROR(__xludf.DUMMYFUNCTION("""COMPUTED_VALUE"""),0.0016181229773462784)</f>
        <v>0.001618122977</v>
      </c>
      <c r="L3189" s="10">
        <f>IFERROR(__xludf.DUMMYFUNCTION("""COMPUTED_VALUE"""),1236.0)</f>
        <v>1236</v>
      </c>
      <c r="M3189" s="5">
        <f>IFERROR(__xludf.DUMMYFUNCTION("""COMPUTED_VALUE"""),1.0)</f>
        <v>1</v>
      </c>
    </row>
    <row r="3190">
      <c r="A3190" s="10" t="str">
        <f>IFERROR(__xludf.DUMMYFUNCTION("""COMPUTED_VALUE"""),"知らんがな")</f>
        <v>知らんがな</v>
      </c>
      <c r="B3190" s="10">
        <f>IFERROR(__xludf.DUMMYFUNCTION("""COMPUTED_VALUE"""),787.0)</f>
        <v>787</v>
      </c>
      <c r="C3190" s="10">
        <f>IFERROR(__xludf.DUMMYFUNCTION("""COMPUTED_VALUE"""),9100.0)</f>
        <v>9100</v>
      </c>
      <c r="D3190" s="5">
        <f>IFERROR(__xludf.DUMMYFUNCTION("""COMPUTED_VALUE"""),0.34355828220858897)</f>
        <v>0.3435582822</v>
      </c>
      <c r="E3190" s="5">
        <f>IFERROR(__xludf.DUMMYFUNCTION("""COMPUTED_VALUE"""),0.12522555034283653)</f>
        <v>0.1252255503</v>
      </c>
      <c r="F3190" s="5">
        <f>IFERROR(__xludf.DUMMYFUNCTION("""COMPUTED_VALUE"""),0.21785155780103452)</f>
        <v>0.2178515578</v>
      </c>
      <c r="G3190" s="5">
        <f>IFERROR(__xludf.DUMMYFUNCTION("""COMPUTED_VALUE"""),0.19475520269457477)</f>
        <v>0.1947552027</v>
      </c>
      <c r="H3190" s="5">
        <f>IFERROR(__xludf.DUMMYFUNCTION("""COMPUTED_VALUE"""),0.5946990612921038)</f>
        <v>0.5946990613</v>
      </c>
      <c r="I3190" s="11">
        <f>IFERROR(__xludf.DUMMYFUNCTION("""COMPUTED_VALUE"""),5745.554942020983)</f>
        <v>5745.554942</v>
      </c>
      <c r="J3190" s="10">
        <f>IFERROR(__xludf.DUMMYFUNCTION("""COMPUTED_VALUE"""),1.0)</f>
        <v>1</v>
      </c>
      <c r="K3190" s="5">
        <f>IFERROR(__xludf.DUMMYFUNCTION("""COMPUTED_VALUE"""),0.0012706480304955528)</f>
        <v>0.00127064803</v>
      </c>
      <c r="L3190" s="10">
        <f>IFERROR(__xludf.DUMMYFUNCTION("""COMPUTED_VALUE"""),614.0)</f>
        <v>614</v>
      </c>
      <c r="M3190" s="5">
        <f>IFERROR(__xludf.DUMMYFUNCTION("""COMPUTED_VALUE"""),0.7801778907242694)</f>
        <v>0.7801778907</v>
      </c>
    </row>
    <row r="3191">
      <c r="A3191" s="10" t="str">
        <f>IFERROR(__xludf.DUMMYFUNCTION("""COMPUTED_VALUE"""),"廃人達集合")</f>
        <v>廃人達集合</v>
      </c>
      <c r="B3191" s="10">
        <f>IFERROR(__xludf.DUMMYFUNCTION("""COMPUTED_VALUE"""),1043.0)</f>
        <v>1043</v>
      </c>
      <c r="C3191" s="10">
        <f>IFERROR(__xludf.DUMMYFUNCTION("""COMPUTED_VALUE"""),12135.0)</f>
        <v>12135</v>
      </c>
      <c r="D3191" s="5">
        <f>IFERROR(__xludf.DUMMYFUNCTION("""COMPUTED_VALUE"""),0.2811936530833033)</f>
        <v>0.2811936531</v>
      </c>
      <c r="E3191" s="5">
        <f>IFERROR(__xludf.DUMMYFUNCTION("""COMPUTED_VALUE"""),0.12522538766678687)</f>
        <v>0.1252253877</v>
      </c>
      <c r="F3191" s="5">
        <f>IFERROR(__xludf.DUMMYFUNCTION("""COMPUTED_VALUE"""),0.19392354850342589)</f>
        <v>0.1939235485</v>
      </c>
      <c r="G3191" s="5">
        <f>IFERROR(__xludf.DUMMYFUNCTION("""COMPUTED_VALUE"""),0.18049044356292823)</f>
        <v>0.1804904436</v>
      </c>
      <c r="H3191" s="5">
        <f>IFERROR(__xludf.DUMMYFUNCTION("""COMPUTED_VALUE"""),0.5960018596001859)</f>
        <v>0.5960018596</v>
      </c>
      <c r="I3191" s="11">
        <f>IFERROR(__xludf.DUMMYFUNCTION("""COMPUTED_VALUE"""),5918.828451882845)</f>
        <v>5918.828452</v>
      </c>
      <c r="J3191" s="10">
        <f>IFERROR(__xludf.DUMMYFUNCTION("""COMPUTED_VALUE"""),2.0)</f>
        <v>2</v>
      </c>
      <c r="K3191" s="5">
        <f>IFERROR(__xludf.DUMMYFUNCTION("""COMPUTED_VALUE"""),0.0019175455417066154)</f>
        <v>0.001917545542</v>
      </c>
      <c r="L3191" s="10">
        <f>IFERROR(__xludf.DUMMYFUNCTION("""COMPUTED_VALUE"""),1043.0)</f>
        <v>1043</v>
      </c>
      <c r="M3191" s="5">
        <f>IFERROR(__xludf.DUMMYFUNCTION("""COMPUTED_VALUE"""),1.0)</f>
        <v>1</v>
      </c>
    </row>
    <row r="3192">
      <c r="A3192" s="10" t="str">
        <f>IFERROR(__xludf.DUMMYFUNCTION("""COMPUTED_VALUE"""),"ムササビKK")</f>
        <v>ムササビKK</v>
      </c>
      <c r="B3192" s="10">
        <f>IFERROR(__xludf.DUMMYFUNCTION("""COMPUTED_VALUE"""),535.0)</f>
        <v>535</v>
      </c>
      <c r="C3192" s="10">
        <f>IFERROR(__xludf.DUMMYFUNCTION("""COMPUTED_VALUE"""),6293.0)</f>
        <v>6293</v>
      </c>
      <c r="D3192" s="5">
        <f>IFERROR(__xludf.DUMMYFUNCTION("""COMPUTED_VALUE"""),0.39753386592566864)</f>
        <v>0.3975338659</v>
      </c>
      <c r="E3192" s="5">
        <f>IFERROR(__xludf.DUMMYFUNCTION("""COMPUTED_VALUE"""),0.12521708926710665)</f>
        <v>0.1252170893</v>
      </c>
      <c r="F3192" s="5">
        <f>IFERROR(__xludf.DUMMYFUNCTION("""COMPUTED_VALUE"""),0.21326849600555747)</f>
        <v>0.213268496</v>
      </c>
      <c r="G3192" s="5">
        <f>IFERROR(__xludf.DUMMYFUNCTION("""COMPUTED_VALUE"""),0.17245571378951025)</f>
        <v>0.1724557138</v>
      </c>
      <c r="H3192" s="5">
        <f>IFERROR(__xludf.DUMMYFUNCTION("""COMPUTED_VALUE"""),0.6188925081433225)</f>
        <v>0.6188925081</v>
      </c>
      <c r="I3192" s="11">
        <f>IFERROR(__xludf.DUMMYFUNCTION("""COMPUTED_VALUE"""),5274.42996742671)</f>
        <v>5274.429967</v>
      </c>
      <c r="J3192" s="10">
        <f>IFERROR(__xludf.DUMMYFUNCTION("""COMPUTED_VALUE"""),3.0)</f>
        <v>3</v>
      </c>
      <c r="K3192" s="5">
        <f>IFERROR(__xludf.DUMMYFUNCTION("""COMPUTED_VALUE"""),0.005607476635514018)</f>
        <v>0.005607476636</v>
      </c>
      <c r="L3192" s="10">
        <f>IFERROR(__xludf.DUMMYFUNCTION("""COMPUTED_VALUE"""),535.0)</f>
        <v>535</v>
      </c>
      <c r="M3192" s="5">
        <f>IFERROR(__xludf.DUMMYFUNCTION("""COMPUTED_VALUE"""),1.0)</f>
        <v>1</v>
      </c>
    </row>
    <row r="3193">
      <c r="A3193" s="10" t="str">
        <f>IFERROR(__xludf.DUMMYFUNCTION("""COMPUTED_VALUE"""),"たかってぃー")</f>
        <v>たかってぃー</v>
      </c>
      <c r="B3193" s="10">
        <f>IFERROR(__xludf.DUMMYFUNCTION("""COMPUTED_VALUE"""),5311.0)</f>
        <v>5311</v>
      </c>
      <c r="C3193" s="10">
        <f>IFERROR(__xludf.DUMMYFUNCTION("""COMPUTED_VALUE"""),61981.0)</f>
        <v>61981</v>
      </c>
      <c r="D3193" s="5">
        <f>IFERROR(__xludf.DUMMYFUNCTION("""COMPUTED_VALUE"""),0.34429151226398447)</f>
        <v>0.3442915123</v>
      </c>
      <c r="E3193" s="5">
        <f>IFERROR(__xludf.DUMMYFUNCTION("""COMPUTED_VALUE"""),0.12521616375507322)</f>
        <v>0.1252161638</v>
      </c>
      <c r="F3193" s="5">
        <f>IFERROR(__xludf.DUMMYFUNCTION("""COMPUTED_VALUE"""),0.2293806246691371)</f>
        <v>0.2293806247</v>
      </c>
      <c r="G3193" s="5">
        <f>IFERROR(__xludf.DUMMYFUNCTION("""COMPUTED_VALUE"""),0.18394212105170285)</f>
        <v>0.1839421211</v>
      </c>
      <c r="H3193" s="5">
        <f>IFERROR(__xludf.DUMMYFUNCTION("""COMPUTED_VALUE"""),0.6105085006538965)</f>
        <v>0.6105085007</v>
      </c>
      <c r="I3193" s="11">
        <f>IFERROR(__xludf.DUMMYFUNCTION("""COMPUTED_VALUE"""),5304.061850911608)</f>
        <v>5304.061851</v>
      </c>
      <c r="J3193" s="10">
        <f>IFERROR(__xludf.DUMMYFUNCTION("""COMPUTED_VALUE"""),14.0)</f>
        <v>14</v>
      </c>
      <c r="K3193" s="5">
        <f>IFERROR(__xludf.DUMMYFUNCTION("""COMPUTED_VALUE"""),0.0026360384108454153)</f>
        <v>0.002636038411</v>
      </c>
      <c r="L3193" s="10">
        <f>IFERROR(__xludf.DUMMYFUNCTION("""COMPUTED_VALUE"""),1089.0)</f>
        <v>1089</v>
      </c>
      <c r="M3193" s="5">
        <f>IFERROR(__xludf.DUMMYFUNCTION("""COMPUTED_VALUE"""),0.2050461306721898)</f>
        <v>0.2050461307</v>
      </c>
    </row>
    <row r="3194">
      <c r="A3194" s="10" t="str">
        <f>IFERROR(__xludf.DUMMYFUNCTION("""COMPUTED_VALUE"""),"ｙｏｕ’ｓ裕くん")</f>
        <v>ｙｏｕ’ｓ裕くん</v>
      </c>
      <c r="B3194" s="10">
        <f>IFERROR(__xludf.DUMMYFUNCTION("""COMPUTED_VALUE"""),283.0)</f>
        <v>283</v>
      </c>
      <c r="C3194" s="10">
        <f>IFERROR(__xludf.DUMMYFUNCTION("""COMPUTED_VALUE"""),3278.0)</f>
        <v>3278</v>
      </c>
      <c r="D3194" s="5">
        <f>IFERROR(__xludf.DUMMYFUNCTION("""COMPUTED_VALUE"""),0.31185308848080134)</f>
        <v>0.3118530885</v>
      </c>
      <c r="E3194" s="5">
        <f>IFERROR(__xludf.DUMMYFUNCTION("""COMPUTED_VALUE"""),0.12520868113522537)</f>
        <v>0.1252086811</v>
      </c>
      <c r="F3194" s="5">
        <f>IFERROR(__xludf.DUMMYFUNCTION("""COMPUTED_VALUE"""),0.19432387312186977)</f>
        <v>0.1943238731</v>
      </c>
      <c r="G3194" s="5">
        <f>IFERROR(__xludf.DUMMYFUNCTION("""COMPUTED_VALUE"""),0.16060100166944907)</f>
        <v>0.1606010017</v>
      </c>
      <c r="H3194" s="5">
        <f>IFERROR(__xludf.DUMMYFUNCTION("""COMPUTED_VALUE"""),0.5756013745704467)</f>
        <v>0.5756013746</v>
      </c>
      <c r="I3194" s="11">
        <f>IFERROR(__xludf.DUMMYFUNCTION("""COMPUTED_VALUE"""),5541.92439862543)</f>
        <v>5541.924399</v>
      </c>
      <c r="J3194" s="10">
        <f>IFERROR(__xludf.DUMMYFUNCTION("""COMPUTED_VALUE"""),0.0)</f>
        <v>0</v>
      </c>
      <c r="K3194" s="5">
        <f>IFERROR(__xludf.DUMMYFUNCTION("""COMPUTED_VALUE"""),0.0)</f>
        <v>0</v>
      </c>
      <c r="L3194" s="10">
        <f>IFERROR(__xludf.DUMMYFUNCTION("""COMPUTED_VALUE"""),283.0)</f>
        <v>283</v>
      </c>
      <c r="M3194" s="5">
        <f>IFERROR(__xludf.DUMMYFUNCTION("""COMPUTED_VALUE"""),1.0)</f>
        <v>1</v>
      </c>
    </row>
    <row r="3195">
      <c r="A3195" s="10" t="str">
        <f>IFERROR(__xludf.DUMMYFUNCTION("""COMPUTED_VALUE"""),"青山学院４年")</f>
        <v>青山学院４年</v>
      </c>
      <c r="B3195" s="10">
        <f>IFERROR(__xludf.DUMMYFUNCTION("""COMPUTED_VALUE"""),2038.0)</f>
        <v>2038</v>
      </c>
      <c r="C3195" s="10">
        <f>IFERROR(__xludf.DUMMYFUNCTION("""COMPUTED_VALUE"""),23674.0)</f>
        <v>23674</v>
      </c>
      <c r="D3195" s="5">
        <f>IFERROR(__xludf.DUMMYFUNCTION("""COMPUTED_VALUE"""),0.33541320022185245)</f>
        <v>0.3354132002</v>
      </c>
      <c r="E3195" s="5">
        <f>IFERROR(__xludf.DUMMYFUNCTION("""COMPUTED_VALUE"""),0.1252079866888519)</f>
        <v>0.1252079867</v>
      </c>
      <c r="F3195" s="5">
        <f>IFERROR(__xludf.DUMMYFUNCTION("""COMPUTED_VALUE"""),0.20858753928637455)</f>
        <v>0.2085875393</v>
      </c>
      <c r="G3195" s="5">
        <f>IFERROR(__xludf.DUMMYFUNCTION("""COMPUTED_VALUE"""),0.18409132926603808)</f>
        <v>0.1840913293</v>
      </c>
      <c r="H3195" s="5">
        <f>IFERROR(__xludf.DUMMYFUNCTION("""COMPUTED_VALUE"""),0.6113450033237314)</f>
        <v>0.6113450033</v>
      </c>
      <c r="I3195" s="11">
        <f>IFERROR(__xludf.DUMMYFUNCTION("""COMPUTED_VALUE"""),5773.498781298471)</f>
        <v>5773.498781</v>
      </c>
      <c r="J3195" s="10">
        <f>IFERROR(__xludf.DUMMYFUNCTION("""COMPUTED_VALUE"""),1.0)</f>
        <v>1</v>
      </c>
      <c r="K3195" s="5">
        <f>IFERROR(__xludf.DUMMYFUNCTION("""COMPUTED_VALUE"""),4.906771344455348E-4)</f>
        <v>0.0004906771344</v>
      </c>
      <c r="L3195" s="10">
        <f>IFERROR(__xludf.DUMMYFUNCTION("""COMPUTED_VALUE"""),1988.0)</f>
        <v>1988</v>
      </c>
      <c r="M3195" s="5">
        <f>IFERROR(__xludf.DUMMYFUNCTION("""COMPUTED_VALUE"""),0.9754661432777233)</f>
        <v>0.9754661433</v>
      </c>
    </row>
    <row r="3196">
      <c r="A3196" s="10" t="str">
        <f>IFERROR(__xludf.DUMMYFUNCTION("""COMPUTED_VALUE"""),"koboz2")</f>
        <v>koboz2</v>
      </c>
      <c r="B3196" s="10">
        <f>IFERROR(__xludf.DUMMYFUNCTION("""COMPUTED_VALUE"""),2202.0)</f>
        <v>2202</v>
      </c>
      <c r="C3196" s="10">
        <f>IFERROR(__xludf.DUMMYFUNCTION("""COMPUTED_VALUE"""),25605.0)</f>
        <v>25605</v>
      </c>
      <c r="D3196" s="5">
        <f>IFERROR(__xludf.DUMMYFUNCTION("""COMPUTED_VALUE"""),0.32038627526385505)</f>
        <v>0.3203862753</v>
      </c>
      <c r="E3196" s="5">
        <f>IFERROR(__xludf.DUMMYFUNCTION("""COMPUTED_VALUE"""),0.12519762423620903)</f>
        <v>0.1251976242</v>
      </c>
      <c r="F3196" s="5">
        <f>IFERROR(__xludf.DUMMYFUNCTION("""COMPUTED_VALUE"""),0.2145024142203991)</f>
        <v>0.2145024142</v>
      </c>
      <c r="G3196" s="5">
        <f>IFERROR(__xludf.DUMMYFUNCTION("""COMPUTED_VALUE"""),0.15545015596291073)</f>
        <v>0.155450156</v>
      </c>
      <c r="H3196" s="5">
        <f>IFERROR(__xludf.DUMMYFUNCTION("""COMPUTED_VALUE"""),0.6109561752988047)</f>
        <v>0.6109561753</v>
      </c>
      <c r="I3196" s="11">
        <f>IFERROR(__xludf.DUMMYFUNCTION("""COMPUTED_VALUE"""),5584.422310756972)</f>
        <v>5584.422311</v>
      </c>
      <c r="J3196" s="10">
        <f>IFERROR(__xludf.DUMMYFUNCTION("""COMPUTED_VALUE"""),6.0)</f>
        <v>6</v>
      </c>
      <c r="K3196" s="5">
        <f>IFERROR(__xludf.DUMMYFUNCTION("""COMPUTED_VALUE"""),0.0027247956403269754)</f>
        <v>0.00272479564</v>
      </c>
      <c r="L3196" s="10">
        <f>IFERROR(__xludf.DUMMYFUNCTION("""COMPUTED_VALUE"""),2119.0)</f>
        <v>2119</v>
      </c>
      <c r="M3196" s="5">
        <f>IFERROR(__xludf.DUMMYFUNCTION("""COMPUTED_VALUE"""),0.9623069936421436)</f>
        <v>0.9623069936</v>
      </c>
    </row>
    <row r="3197">
      <c r="A3197" s="10" t="str">
        <f>IFERROR(__xludf.DUMMYFUNCTION("""COMPUTED_VALUE"""),"戰場ヶ原ひたぎ")</f>
        <v>戰場ヶ原ひたぎ</v>
      </c>
      <c r="B3197" s="10">
        <f>IFERROR(__xludf.DUMMYFUNCTION("""COMPUTED_VALUE"""),1346.0)</f>
        <v>1346</v>
      </c>
      <c r="C3197" s="10">
        <f>IFERROR(__xludf.DUMMYFUNCTION("""COMPUTED_VALUE"""),15821.0)</f>
        <v>15821</v>
      </c>
      <c r="D3197" s="5">
        <f>IFERROR(__xludf.DUMMYFUNCTION("""COMPUTED_VALUE"""),0.33768566493955093)</f>
        <v>0.3376856649</v>
      </c>
      <c r="E3197" s="5">
        <f>IFERROR(__xludf.DUMMYFUNCTION("""COMPUTED_VALUE"""),0.12518134715025905)</f>
        <v>0.1251813472</v>
      </c>
      <c r="F3197" s="5">
        <f>IFERROR(__xludf.DUMMYFUNCTION("""COMPUTED_VALUE"""),0.19827288428324696)</f>
        <v>0.1982728843</v>
      </c>
      <c r="G3197" s="5">
        <f>IFERROR(__xludf.DUMMYFUNCTION("""COMPUTED_VALUE"""),0.1252504317789292)</f>
        <v>0.1252504318</v>
      </c>
      <c r="H3197" s="5">
        <f>IFERROR(__xludf.DUMMYFUNCTION("""COMPUTED_VALUE"""),0.6146341463414634)</f>
        <v>0.6146341463</v>
      </c>
      <c r="I3197" s="11">
        <f>IFERROR(__xludf.DUMMYFUNCTION("""COMPUTED_VALUE"""),5474.668989547038)</f>
        <v>5474.66899</v>
      </c>
      <c r="J3197" s="10">
        <f>IFERROR(__xludf.DUMMYFUNCTION("""COMPUTED_VALUE"""),5.0)</f>
        <v>5</v>
      </c>
      <c r="K3197" s="5">
        <f>IFERROR(__xludf.DUMMYFUNCTION("""COMPUTED_VALUE"""),0.003714710252600297)</f>
        <v>0.003714710253</v>
      </c>
      <c r="L3197" s="10">
        <f>IFERROR(__xludf.DUMMYFUNCTION("""COMPUTED_VALUE"""),225.0)</f>
        <v>225</v>
      </c>
      <c r="M3197" s="5">
        <f>IFERROR(__xludf.DUMMYFUNCTION("""COMPUTED_VALUE"""),0.16716196136701336)</f>
        <v>0.1671619614</v>
      </c>
    </row>
    <row r="3198">
      <c r="A3198" s="10" t="str">
        <f>IFERROR(__xludf.DUMMYFUNCTION("""COMPUTED_VALUE"""),"湾奥アングラー")</f>
        <v>湾奥アングラー</v>
      </c>
      <c r="B3198" s="10">
        <f>IFERROR(__xludf.DUMMYFUNCTION("""COMPUTED_VALUE"""),338.0)</f>
        <v>338</v>
      </c>
      <c r="C3198" s="10">
        <f>IFERROR(__xludf.DUMMYFUNCTION("""COMPUTED_VALUE"""),3877.0)</f>
        <v>3877</v>
      </c>
      <c r="D3198" s="5">
        <f>IFERROR(__xludf.DUMMYFUNCTION("""COMPUTED_VALUE"""),0.30573608363944615)</f>
        <v>0.3057360836</v>
      </c>
      <c r="E3198" s="5">
        <f>IFERROR(__xludf.DUMMYFUNCTION("""COMPUTED_VALUE"""),0.12517660356032778)</f>
        <v>0.1251766036</v>
      </c>
      <c r="F3198" s="5">
        <f>IFERROR(__xludf.DUMMYFUNCTION("""COMPUTED_VALUE"""),0.2102288782141848)</f>
        <v>0.2102288782</v>
      </c>
      <c r="G3198" s="5">
        <f>IFERROR(__xludf.DUMMYFUNCTION("""COMPUTED_VALUE"""),0.1644532353772252)</f>
        <v>0.1644532354</v>
      </c>
      <c r="H3198" s="5">
        <f>IFERROR(__xludf.DUMMYFUNCTION("""COMPUTED_VALUE"""),0.6290322580645161)</f>
        <v>0.6290322581</v>
      </c>
      <c r="I3198" s="11">
        <f>IFERROR(__xludf.DUMMYFUNCTION("""COMPUTED_VALUE"""),5814.112903225807)</f>
        <v>5814.112903</v>
      </c>
      <c r="J3198" s="10">
        <f>IFERROR(__xludf.DUMMYFUNCTION("""COMPUTED_VALUE"""),0.0)</f>
        <v>0</v>
      </c>
      <c r="K3198" s="5">
        <f>IFERROR(__xludf.DUMMYFUNCTION("""COMPUTED_VALUE"""),0.0)</f>
        <v>0</v>
      </c>
      <c r="L3198" s="10">
        <f>IFERROR(__xludf.DUMMYFUNCTION("""COMPUTED_VALUE"""),338.0)</f>
        <v>338</v>
      </c>
      <c r="M3198" s="5">
        <f>IFERROR(__xludf.DUMMYFUNCTION("""COMPUTED_VALUE"""),1.0)</f>
        <v>1</v>
      </c>
    </row>
    <row r="3199">
      <c r="A3199" s="10" t="str">
        <f>IFERROR(__xludf.DUMMYFUNCTION("""COMPUTED_VALUE"""),"つつよん")</f>
        <v>つつよん</v>
      </c>
      <c r="B3199" s="10">
        <f>IFERROR(__xludf.DUMMYFUNCTION("""COMPUTED_VALUE"""),200.0)</f>
        <v>200</v>
      </c>
      <c r="C3199" s="10">
        <f>IFERROR(__xludf.DUMMYFUNCTION("""COMPUTED_VALUE"""),2349.0)</f>
        <v>2349</v>
      </c>
      <c r="D3199" s="5">
        <f>IFERROR(__xludf.DUMMYFUNCTION("""COMPUTED_VALUE"""),0.3829688227082364)</f>
        <v>0.3829688227</v>
      </c>
      <c r="E3199" s="5">
        <f>IFERROR(__xludf.DUMMYFUNCTION("""COMPUTED_VALUE"""),0.12517449976733364)</f>
        <v>0.1251744998</v>
      </c>
      <c r="F3199" s="5">
        <f>IFERROR(__xludf.DUMMYFUNCTION("""COMPUTED_VALUE"""),0.20986505351326198)</f>
        <v>0.2098650535</v>
      </c>
      <c r="G3199" s="5">
        <f>IFERROR(__xludf.DUMMYFUNCTION("""COMPUTED_VALUE"""),0.14239181014425314)</f>
        <v>0.1423918101</v>
      </c>
      <c r="H3199" s="5">
        <f>IFERROR(__xludf.DUMMYFUNCTION("""COMPUTED_VALUE"""),0.6208425720620843)</f>
        <v>0.6208425721</v>
      </c>
      <c r="I3199" s="11">
        <f>IFERROR(__xludf.DUMMYFUNCTION("""COMPUTED_VALUE"""),5104.656319290466)</f>
        <v>5104.656319</v>
      </c>
      <c r="J3199" s="10">
        <f>IFERROR(__xludf.DUMMYFUNCTION("""COMPUTED_VALUE"""),1.0)</f>
        <v>1</v>
      </c>
      <c r="K3199" s="5">
        <f>IFERROR(__xludf.DUMMYFUNCTION("""COMPUTED_VALUE"""),0.005)</f>
        <v>0.005</v>
      </c>
      <c r="L3199" s="10">
        <f>IFERROR(__xludf.DUMMYFUNCTION("""COMPUTED_VALUE"""),200.0)</f>
        <v>200</v>
      </c>
      <c r="M3199" s="5">
        <f>IFERROR(__xludf.DUMMYFUNCTION("""COMPUTED_VALUE"""),1.0)</f>
        <v>1</v>
      </c>
    </row>
    <row r="3200">
      <c r="A3200" s="10" t="str">
        <f>IFERROR(__xludf.DUMMYFUNCTION("""COMPUTED_VALUE"""),"Kojifumi")</f>
        <v>Kojifumi</v>
      </c>
      <c r="B3200" s="10">
        <f>IFERROR(__xludf.DUMMYFUNCTION("""COMPUTED_VALUE"""),615.0)</f>
        <v>615</v>
      </c>
      <c r="C3200" s="10">
        <f>IFERROR(__xludf.DUMMYFUNCTION("""COMPUTED_VALUE"""),7110.0)</f>
        <v>7110</v>
      </c>
      <c r="D3200" s="5">
        <f>IFERROR(__xludf.DUMMYFUNCTION("""COMPUTED_VALUE"""),0.3227097767513472)</f>
        <v>0.3227097768</v>
      </c>
      <c r="E3200" s="5">
        <f>IFERROR(__xludf.DUMMYFUNCTION("""COMPUTED_VALUE"""),0.12517321016166283)</f>
        <v>0.1251732102</v>
      </c>
      <c r="F3200" s="5">
        <f>IFERROR(__xludf.DUMMYFUNCTION("""COMPUTED_VALUE"""),0.19707467282525018)</f>
        <v>0.1970746728</v>
      </c>
      <c r="G3200" s="5">
        <f>IFERROR(__xludf.DUMMYFUNCTION("""COMPUTED_VALUE"""),0.18029253271747497)</f>
        <v>0.1802925327</v>
      </c>
      <c r="H3200" s="5">
        <f>IFERROR(__xludf.DUMMYFUNCTION("""COMPUTED_VALUE"""),0.5953125)</f>
        <v>0.5953125</v>
      </c>
      <c r="I3200" s="11">
        <f>IFERROR(__xludf.DUMMYFUNCTION("""COMPUTED_VALUE"""),6183.984375)</f>
        <v>6183.984375</v>
      </c>
      <c r="J3200" s="10">
        <f>IFERROR(__xludf.DUMMYFUNCTION("""COMPUTED_VALUE"""),1.0)</f>
        <v>1</v>
      </c>
      <c r="K3200" s="5">
        <f>IFERROR(__xludf.DUMMYFUNCTION("""COMPUTED_VALUE"""),0.0016260162601626016)</f>
        <v>0.00162601626</v>
      </c>
      <c r="L3200" s="10">
        <f>IFERROR(__xludf.DUMMYFUNCTION("""COMPUTED_VALUE"""),615.0)</f>
        <v>615</v>
      </c>
      <c r="M3200" s="5">
        <f>IFERROR(__xludf.DUMMYFUNCTION("""COMPUTED_VALUE"""),1.0)</f>
        <v>1</v>
      </c>
    </row>
    <row r="3201">
      <c r="A3201" s="10" t="str">
        <f>IFERROR(__xludf.DUMMYFUNCTION("""COMPUTED_VALUE"""),"振込太陽")</f>
        <v>振込太陽</v>
      </c>
      <c r="B3201" s="10">
        <f>IFERROR(__xludf.DUMMYFUNCTION("""COMPUTED_VALUE"""),3126.0)</f>
        <v>3126</v>
      </c>
      <c r="C3201" s="10">
        <f>IFERROR(__xludf.DUMMYFUNCTION("""COMPUTED_VALUE"""),36800.0)</f>
        <v>36800</v>
      </c>
      <c r="D3201" s="5">
        <f>IFERROR(__xludf.DUMMYFUNCTION("""COMPUTED_VALUE"""),0.3821048880441884)</f>
        <v>0.382104888</v>
      </c>
      <c r="E3201" s="5">
        <f>IFERROR(__xludf.DUMMYFUNCTION("""COMPUTED_VALUE"""),0.12517075488507454)</f>
        <v>0.1251707549</v>
      </c>
      <c r="F3201" s="5">
        <f>IFERROR(__xludf.DUMMYFUNCTION("""COMPUTED_VALUE"""),0.2238522302072816)</f>
        <v>0.2238522302</v>
      </c>
      <c r="G3201" s="5">
        <f>IFERROR(__xludf.DUMMYFUNCTION("""COMPUTED_VALUE"""),0.1574508522896003)</f>
        <v>0.1574508523</v>
      </c>
      <c r="H3201" s="5">
        <f>IFERROR(__xludf.DUMMYFUNCTION("""COMPUTED_VALUE"""),0.6187317590872911)</f>
        <v>0.6187317591</v>
      </c>
      <c r="I3201" s="11">
        <f>IFERROR(__xludf.DUMMYFUNCTION("""COMPUTED_VALUE"""),5342.955691164765)</f>
        <v>5342.955691</v>
      </c>
      <c r="J3201" s="10">
        <f>IFERROR(__xludf.DUMMYFUNCTION("""COMPUTED_VALUE"""),9.0)</f>
        <v>9</v>
      </c>
      <c r="K3201" s="5">
        <f>IFERROR(__xludf.DUMMYFUNCTION("""COMPUTED_VALUE"""),0.0028790786948176585)</f>
        <v>0.002879078695</v>
      </c>
      <c r="L3201" s="10">
        <f>IFERROR(__xludf.DUMMYFUNCTION("""COMPUTED_VALUE"""),3126.0)</f>
        <v>3126</v>
      </c>
      <c r="M3201" s="5">
        <f>IFERROR(__xludf.DUMMYFUNCTION("""COMPUTED_VALUE"""),1.0)</f>
        <v>1</v>
      </c>
    </row>
    <row r="3202">
      <c r="A3202" s="10" t="str">
        <f>IFERROR(__xludf.DUMMYFUNCTION("""COMPUTED_VALUE"""),"バトルドーム！")</f>
        <v>バトルドーム！</v>
      </c>
      <c r="B3202" s="10">
        <f>IFERROR(__xludf.DUMMYFUNCTION("""COMPUTED_VALUE"""),966.0)</f>
        <v>966</v>
      </c>
      <c r="C3202" s="10">
        <f>IFERROR(__xludf.DUMMYFUNCTION("""COMPUTED_VALUE"""),11448.0)</f>
        <v>11448</v>
      </c>
      <c r="D3202" s="5">
        <f>IFERROR(__xludf.DUMMYFUNCTION("""COMPUTED_VALUE"""),0.32818164472428923)</f>
        <v>0.3281816447</v>
      </c>
      <c r="E3202" s="5">
        <f>IFERROR(__xludf.DUMMYFUNCTION("""COMPUTED_VALUE"""),0.12516695287158938)</f>
        <v>0.1251669529</v>
      </c>
      <c r="F3202" s="5">
        <f>IFERROR(__xludf.DUMMYFUNCTION("""COMPUTED_VALUE"""),0.20053424918908605)</f>
        <v>0.2005342492</v>
      </c>
      <c r="G3202" s="5">
        <f>IFERROR(__xludf.DUMMYFUNCTION("""COMPUTED_VALUE"""),0.17296317496660943)</f>
        <v>0.172963175</v>
      </c>
      <c r="H3202" s="5">
        <f>IFERROR(__xludf.DUMMYFUNCTION("""COMPUTED_VALUE"""),0.5818268315889629)</f>
        <v>0.5818268316</v>
      </c>
      <c r="I3202" s="11">
        <f>IFERROR(__xludf.DUMMYFUNCTION("""COMPUTED_VALUE"""),5660.846812559467)</f>
        <v>5660.846813</v>
      </c>
      <c r="J3202" s="10">
        <f>IFERROR(__xludf.DUMMYFUNCTION("""COMPUTED_VALUE"""),1.0)</f>
        <v>1</v>
      </c>
      <c r="K3202" s="5">
        <f>IFERROR(__xludf.DUMMYFUNCTION("""COMPUTED_VALUE"""),0.0010351966873706005)</f>
        <v>0.001035196687</v>
      </c>
      <c r="L3202" s="10">
        <f>IFERROR(__xludf.DUMMYFUNCTION("""COMPUTED_VALUE"""),966.0)</f>
        <v>966</v>
      </c>
      <c r="M3202" s="5">
        <f>IFERROR(__xludf.DUMMYFUNCTION("""COMPUTED_VALUE"""),1.0)</f>
        <v>1</v>
      </c>
    </row>
    <row r="3203">
      <c r="A3203" s="10" t="str">
        <f>IFERROR(__xludf.DUMMYFUNCTION("""COMPUTED_VALUE"""),"にせ西園寺")</f>
        <v>にせ西園寺</v>
      </c>
      <c r="B3203" s="10">
        <f>IFERROR(__xludf.DUMMYFUNCTION("""COMPUTED_VALUE"""),1953.0)</f>
        <v>1953</v>
      </c>
      <c r="C3203" s="10">
        <f>IFERROR(__xludf.DUMMYFUNCTION("""COMPUTED_VALUE"""),22941.0)</f>
        <v>22941</v>
      </c>
      <c r="D3203" s="5">
        <f>IFERROR(__xludf.DUMMYFUNCTION("""COMPUTED_VALUE"""),0.3222793977510959)</f>
        <v>0.3222793978</v>
      </c>
      <c r="E3203" s="5">
        <f>IFERROR(__xludf.DUMMYFUNCTION("""COMPUTED_VALUE"""),0.12516676195921478)</f>
        <v>0.125166762</v>
      </c>
      <c r="F3203" s="5">
        <f>IFERROR(__xludf.DUMMYFUNCTION("""COMPUTED_VALUE"""),0.2074995235372594)</f>
        <v>0.2074995235</v>
      </c>
      <c r="G3203" s="5">
        <f>IFERROR(__xludf.DUMMYFUNCTION("""COMPUTED_VALUE"""),0.16952544311034878)</f>
        <v>0.1695254431</v>
      </c>
      <c r="H3203" s="5">
        <f>IFERROR(__xludf.DUMMYFUNCTION("""COMPUTED_VALUE"""),0.5924225028702641)</f>
        <v>0.5924225029</v>
      </c>
      <c r="I3203" s="11">
        <f>IFERROR(__xludf.DUMMYFUNCTION("""COMPUTED_VALUE"""),5458.231917336395)</f>
        <v>5458.231917</v>
      </c>
      <c r="J3203" s="10">
        <f>IFERROR(__xludf.DUMMYFUNCTION("""COMPUTED_VALUE"""),4.0)</f>
        <v>4</v>
      </c>
      <c r="K3203" s="5">
        <f>IFERROR(__xludf.DUMMYFUNCTION("""COMPUTED_VALUE"""),0.002048131080389145)</f>
        <v>0.00204813108</v>
      </c>
      <c r="L3203" s="10">
        <f>IFERROR(__xludf.DUMMYFUNCTION("""COMPUTED_VALUE"""),1953.0)</f>
        <v>1953</v>
      </c>
      <c r="M3203" s="5">
        <f>IFERROR(__xludf.DUMMYFUNCTION("""COMPUTED_VALUE"""),1.0)</f>
        <v>1</v>
      </c>
    </row>
    <row r="3204">
      <c r="A3204" s="10" t="str">
        <f>IFERROR(__xludf.DUMMYFUNCTION("""COMPUTED_VALUE"""),"kanegane")</f>
        <v>kanegane</v>
      </c>
      <c r="B3204" s="10">
        <f>IFERROR(__xludf.DUMMYFUNCTION("""COMPUTED_VALUE"""),487.0)</f>
        <v>487</v>
      </c>
      <c r="C3204" s="10">
        <f>IFERROR(__xludf.DUMMYFUNCTION("""COMPUTED_VALUE"""),5752.0)</f>
        <v>5752</v>
      </c>
      <c r="D3204" s="5">
        <f>IFERROR(__xludf.DUMMYFUNCTION("""COMPUTED_VALUE"""),0.39620132953466286)</f>
        <v>0.3962013295</v>
      </c>
      <c r="E3204" s="5">
        <f>IFERROR(__xludf.DUMMYFUNCTION("""COMPUTED_VALUE"""),0.1251661918328585)</f>
        <v>0.1251661918</v>
      </c>
      <c r="F3204" s="5">
        <f>IFERROR(__xludf.DUMMYFUNCTION("""COMPUTED_VALUE"""),0.2056980056980057)</f>
        <v>0.2056980057</v>
      </c>
      <c r="G3204" s="5">
        <f>IFERROR(__xludf.DUMMYFUNCTION("""COMPUTED_VALUE"""),0.1413105413105413)</f>
        <v>0.1413105413</v>
      </c>
      <c r="H3204" s="5">
        <f>IFERROR(__xludf.DUMMYFUNCTION("""COMPUTED_VALUE"""),0.5955678670360111)</f>
        <v>0.595567867</v>
      </c>
      <c r="I3204" s="11">
        <f>IFERROR(__xludf.DUMMYFUNCTION("""COMPUTED_VALUE"""),5171.468144044321)</f>
        <v>5171.468144</v>
      </c>
      <c r="J3204" s="10">
        <f>IFERROR(__xludf.DUMMYFUNCTION("""COMPUTED_VALUE"""),0.0)</f>
        <v>0</v>
      </c>
      <c r="K3204" s="5">
        <f>IFERROR(__xludf.DUMMYFUNCTION("""COMPUTED_VALUE"""),0.0)</f>
        <v>0</v>
      </c>
      <c r="L3204" s="10">
        <f>IFERROR(__xludf.DUMMYFUNCTION("""COMPUTED_VALUE"""),487.0)</f>
        <v>487</v>
      </c>
      <c r="M3204" s="5">
        <f>IFERROR(__xludf.DUMMYFUNCTION("""COMPUTED_VALUE"""),1.0)</f>
        <v>1</v>
      </c>
    </row>
    <row r="3205">
      <c r="A3205" s="10" t="str">
        <f>IFERROR(__xludf.DUMMYFUNCTION("""COMPUTED_VALUE"""),"goshikku")</f>
        <v>goshikku</v>
      </c>
      <c r="B3205" s="10">
        <f>IFERROR(__xludf.DUMMYFUNCTION("""COMPUTED_VALUE"""),1269.0)</f>
        <v>1269</v>
      </c>
      <c r="C3205" s="10">
        <f>IFERROR(__xludf.DUMMYFUNCTION("""COMPUTED_VALUE"""),14939.0)</f>
        <v>14939</v>
      </c>
      <c r="D3205" s="5">
        <f>IFERROR(__xludf.DUMMYFUNCTION("""COMPUTED_VALUE"""),0.3472567666422824)</f>
        <v>0.3472567666</v>
      </c>
      <c r="E3205" s="5">
        <f>IFERROR(__xludf.DUMMYFUNCTION("""COMPUTED_VALUE"""),0.12516459400146307)</f>
        <v>0.125164594</v>
      </c>
      <c r="F3205" s="5">
        <f>IFERROR(__xludf.DUMMYFUNCTION("""COMPUTED_VALUE"""),0.21485003657644478)</f>
        <v>0.2148500366</v>
      </c>
      <c r="G3205" s="5">
        <f>IFERROR(__xludf.DUMMYFUNCTION("""COMPUTED_VALUE"""),0.18558888076079005)</f>
        <v>0.1855888808</v>
      </c>
      <c r="H3205" s="5">
        <f>IFERROR(__xludf.DUMMYFUNCTION("""COMPUTED_VALUE"""),0.5955056179775281)</f>
        <v>0.595505618</v>
      </c>
      <c r="I3205" s="11">
        <f>IFERROR(__xludf.DUMMYFUNCTION("""COMPUTED_VALUE"""),5703.575076608785)</f>
        <v>5703.575077</v>
      </c>
      <c r="J3205" s="10">
        <f>IFERROR(__xludf.DUMMYFUNCTION("""COMPUTED_VALUE"""),4.0)</f>
        <v>4</v>
      </c>
      <c r="K3205" s="5">
        <f>IFERROR(__xludf.DUMMYFUNCTION("""COMPUTED_VALUE"""),0.0031520882584712374)</f>
        <v>0.003152088258</v>
      </c>
      <c r="L3205" s="10">
        <f>IFERROR(__xludf.DUMMYFUNCTION("""COMPUTED_VALUE"""),8.0)</f>
        <v>8</v>
      </c>
      <c r="M3205" s="5">
        <f>IFERROR(__xludf.DUMMYFUNCTION("""COMPUTED_VALUE"""),0.006304176516942475)</f>
        <v>0.006304176517</v>
      </c>
    </row>
    <row r="3206">
      <c r="A3206" s="10" t="str">
        <f>IFERROR(__xludf.DUMMYFUNCTION("""COMPUTED_VALUE"""),"8823‐隼")</f>
        <v>8823‐隼</v>
      </c>
      <c r="B3206" s="10">
        <f>IFERROR(__xludf.DUMMYFUNCTION("""COMPUTED_VALUE"""),367.0)</f>
        <v>367</v>
      </c>
      <c r="C3206" s="10">
        <f>IFERROR(__xludf.DUMMYFUNCTION("""COMPUTED_VALUE"""),4442.0)</f>
        <v>4442</v>
      </c>
      <c r="D3206" s="5">
        <f>IFERROR(__xludf.DUMMYFUNCTION("""COMPUTED_VALUE"""),0.30012269938650304)</f>
        <v>0.3001226994</v>
      </c>
      <c r="E3206" s="5">
        <f>IFERROR(__xludf.DUMMYFUNCTION("""COMPUTED_VALUE"""),0.12515337423312883)</f>
        <v>0.1251533742</v>
      </c>
      <c r="F3206" s="5">
        <f>IFERROR(__xludf.DUMMYFUNCTION("""COMPUTED_VALUE"""),0.19631901840490798)</f>
        <v>0.1963190184</v>
      </c>
      <c r="G3206" s="5">
        <f>IFERROR(__xludf.DUMMYFUNCTION("""COMPUTED_VALUE"""),0.1732515337423313)</f>
        <v>0.1732515337</v>
      </c>
      <c r="H3206" s="5">
        <f>IFERROR(__xludf.DUMMYFUNCTION("""COMPUTED_VALUE"""),0.59375)</f>
        <v>0.59375</v>
      </c>
      <c r="I3206" s="11">
        <f>IFERROR(__xludf.DUMMYFUNCTION("""COMPUTED_VALUE"""),5642.0)</f>
        <v>5642</v>
      </c>
      <c r="J3206" s="10">
        <f>IFERROR(__xludf.DUMMYFUNCTION("""COMPUTED_VALUE"""),2.0)</f>
        <v>2</v>
      </c>
      <c r="K3206" s="5">
        <f>IFERROR(__xludf.DUMMYFUNCTION("""COMPUTED_VALUE"""),0.005449591280653951)</f>
        <v>0.005449591281</v>
      </c>
      <c r="L3206" s="10">
        <f>IFERROR(__xludf.DUMMYFUNCTION("""COMPUTED_VALUE"""),367.0)</f>
        <v>367</v>
      </c>
      <c r="M3206" s="5">
        <f>IFERROR(__xludf.DUMMYFUNCTION("""COMPUTED_VALUE"""),1.0)</f>
        <v>1</v>
      </c>
    </row>
    <row r="3207">
      <c r="A3207" s="10" t="str">
        <f>IFERROR(__xludf.DUMMYFUNCTION("""COMPUTED_VALUE"""),"青森県民")</f>
        <v>青森県民</v>
      </c>
      <c r="B3207" s="10">
        <f>IFERROR(__xludf.DUMMYFUNCTION("""COMPUTED_VALUE"""),549.0)</f>
        <v>549</v>
      </c>
      <c r="C3207" s="10">
        <f>IFERROR(__xludf.DUMMYFUNCTION("""COMPUTED_VALUE"""),6502.0)</f>
        <v>6502</v>
      </c>
      <c r="D3207" s="5">
        <f>IFERROR(__xludf.DUMMYFUNCTION("""COMPUTED_VALUE"""),0.36082647404669915)</f>
        <v>0.360826474</v>
      </c>
      <c r="E3207" s="5">
        <f>IFERROR(__xludf.DUMMYFUNCTION("""COMPUTED_VALUE"""),0.1251469847135898)</f>
        <v>0.1251469847</v>
      </c>
      <c r="F3207" s="5">
        <f>IFERROR(__xludf.DUMMYFUNCTION("""COMPUTED_VALUE"""),0.22072904417940534)</f>
        <v>0.2207290442</v>
      </c>
      <c r="G3207" s="5">
        <f>IFERROR(__xludf.DUMMYFUNCTION("""COMPUTED_VALUE"""),0.14513690576180077)</f>
        <v>0.1451369058</v>
      </c>
      <c r="H3207" s="5">
        <f>IFERROR(__xludf.DUMMYFUNCTION("""COMPUTED_VALUE"""),0.6210045662100456)</f>
        <v>0.6210045662</v>
      </c>
      <c r="I3207" s="11">
        <f>IFERROR(__xludf.DUMMYFUNCTION("""COMPUTED_VALUE"""),5485.007610350076)</f>
        <v>5485.00761</v>
      </c>
      <c r="J3207" s="10">
        <f>IFERROR(__xludf.DUMMYFUNCTION("""COMPUTED_VALUE"""),0.0)</f>
        <v>0</v>
      </c>
      <c r="K3207" s="5">
        <f>IFERROR(__xludf.DUMMYFUNCTION("""COMPUTED_VALUE"""),0.0)</f>
        <v>0</v>
      </c>
      <c r="L3207" s="10">
        <f>IFERROR(__xludf.DUMMYFUNCTION("""COMPUTED_VALUE"""),0.0)</f>
        <v>0</v>
      </c>
      <c r="M3207" s="5">
        <f>IFERROR(__xludf.DUMMYFUNCTION("""COMPUTED_VALUE"""),0.0)</f>
        <v>0</v>
      </c>
    </row>
    <row r="3208">
      <c r="A3208" s="10" t="str">
        <f>IFERROR(__xludf.DUMMYFUNCTION("""COMPUTED_VALUE"""),"enkaism")</f>
        <v>enkaism</v>
      </c>
      <c r="B3208" s="10">
        <f>IFERROR(__xludf.DUMMYFUNCTION("""COMPUTED_VALUE"""),955.0)</f>
        <v>955</v>
      </c>
      <c r="C3208" s="10">
        <f>IFERROR(__xludf.DUMMYFUNCTION("""COMPUTED_VALUE"""),11311.0)</f>
        <v>11311</v>
      </c>
      <c r="D3208" s="5">
        <f>IFERROR(__xludf.DUMMYFUNCTION("""COMPUTED_VALUE"""),0.37137891077636154)</f>
        <v>0.3713789108</v>
      </c>
      <c r="E3208" s="5">
        <f>IFERROR(__xludf.DUMMYFUNCTION("""COMPUTED_VALUE"""),0.12514484356894554)</f>
        <v>0.1251448436</v>
      </c>
      <c r="F3208" s="5">
        <f>IFERROR(__xludf.DUMMYFUNCTION("""COMPUTED_VALUE"""),0.20316724604094244)</f>
        <v>0.203167246</v>
      </c>
      <c r="G3208" s="5">
        <f>IFERROR(__xludf.DUMMYFUNCTION("""COMPUTED_VALUE"""),0.15961761297798377)</f>
        <v>0.159617613</v>
      </c>
      <c r="H3208" s="5">
        <f>IFERROR(__xludf.DUMMYFUNCTION("""COMPUTED_VALUE"""),0.5879277566539924)</f>
        <v>0.5879277567</v>
      </c>
      <c r="I3208" s="11">
        <f>IFERROR(__xludf.DUMMYFUNCTION("""COMPUTED_VALUE"""),5411.074144486692)</f>
        <v>5411.074144</v>
      </c>
      <c r="J3208" s="10">
        <f>IFERROR(__xludf.DUMMYFUNCTION("""COMPUTED_VALUE"""),3.0)</f>
        <v>3</v>
      </c>
      <c r="K3208" s="5">
        <f>IFERROR(__xludf.DUMMYFUNCTION("""COMPUTED_VALUE"""),0.0031413612565445027)</f>
        <v>0.003141361257</v>
      </c>
      <c r="L3208" s="10">
        <f>IFERROR(__xludf.DUMMYFUNCTION("""COMPUTED_VALUE"""),917.0)</f>
        <v>917</v>
      </c>
      <c r="M3208" s="5">
        <f>IFERROR(__xludf.DUMMYFUNCTION("""COMPUTED_VALUE"""),0.9602094240837696)</f>
        <v>0.9602094241</v>
      </c>
    </row>
    <row r="3209">
      <c r="A3209" s="10" t="str">
        <f>IFERROR(__xludf.DUMMYFUNCTION("""COMPUTED_VALUE"""),"ちびお君")</f>
        <v>ちびお君</v>
      </c>
      <c r="B3209" s="10">
        <f>IFERROR(__xludf.DUMMYFUNCTION("""COMPUTED_VALUE"""),161.0)</f>
        <v>161</v>
      </c>
      <c r="C3209" s="10">
        <f>IFERROR(__xludf.DUMMYFUNCTION("""COMPUTED_VALUE"""),1895.0)</f>
        <v>1895</v>
      </c>
      <c r="D3209" s="5">
        <f>IFERROR(__xludf.DUMMYFUNCTION("""COMPUTED_VALUE"""),0.35928489042675893)</f>
        <v>0.3592848904</v>
      </c>
      <c r="E3209" s="5">
        <f>IFERROR(__xludf.DUMMYFUNCTION("""COMPUTED_VALUE"""),0.1251441753171857)</f>
        <v>0.1251441753</v>
      </c>
      <c r="F3209" s="5">
        <f>IFERROR(__xludf.DUMMYFUNCTION("""COMPUTED_VALUE"""),0.2231833910034602)</f>
        <v>0.223183391</v>
      </c>
      <c r="G3209" s="5">
        <f>IFERROR(__xludf.DUMMYFUNCTION("""COMPUTED_VALUE"""),0.1707035755478662)</f>
        <v>0.1707035755</v>
      </c>
      <c r="H3209" s="5">
        <f>IFERROR(__xludf.DUMMYFUNCTION("""COMPUTED_VALUE"""),0.5736434108527132)</f>
        <v>0.5736434109</v>
      </c>
      <c r="I3209" s="11">
        <f>IFERROR(__xludf.DUMMYFUNCTION("""COMPUTED_VALUE"""),6088.372093023256)</f>
        <v>6088.372093</v>
      </c>
      <c r="J3209" s="10">
        <f>IFERROR(__xludf.DUMMYFUNCTION("""COMPUTED_VALUE"""),0.0)</f>
        <v>0</v>
      </c>
      <c r="K3209" s="5">
        <f>IFERROR(__xludf.DUMMYFUNCTION("""COMPUTED_VALUE"""),0.0)</f>
        <v>0</v>
      </c>
      <c r="L3209" s="10">
        <f>IFERROR(__xludf.DUMMYFUNCTION("""COMPUTED_VALUE"""),161.0)</f>
        <v>161</v>
      </c>
      <c r="M3209" s="5">
        <f>IFERROR(__xludf.DUMMYFUNCTION("""COMPUTED_VALUE"""),1.0)</f>
        <v>1</v>
      </c>
    </row>
    <row r="3210">
      <c r="A3210" s="10" t="str">
        <f>IFERROR(__xludf.DUMMYFUNCTION("""COMPUTED_VALUE"""),"天月めぐる")</f>
        <v>天月めぐる</v>
      </c>
      <c r="B3210" s="10">
        <f>IFERROR(__xludf.DUMMYFUNCTION("""COMPUTED_VALUE"""),499.0)</f>
        <v>499</v>
      </c>
      <c r="C3210" s="10">
        <f>IFERROR(__xludf.DUMMYFUNCTION("""COMPUTED_VALUE"""),5765.0)</f>
        <v>5765</v>
      </c>
      <c r="D3210" s="5">
        <f>IFERROR(__xludf.DUMMYFUNCTION("""COMPUTED_VALUE"""),0.3420053171287505)</f>
        <v>0.3420053171</v>
      </c>
      <c r="E3210" s="5">
        <f>IFERROR(__xludf.DUMMYFUNCTION("""COMPUTED_VALUE"""),0.12514242309153056)</f>
        <v>0.1251424231</v>
      </c>
      <c r="F3210" s="5">
        <f>IFERROR(__xludf.DUMMYFUNCTION("""COMPUTED_VALUE"""),0.2066084314470186)</f>
        <v>0.2066084314</v>
      </c>
      <c r="G3210" s="5">
        <f>IFERROR(__xludf.DUMMYFUNCTION("""COMPUTED_VALUE"""),0.19122673756171668)</f>
        <v>0.1912267376</v>
      </c>
      <c r="H3210" s="5">
        <f>IFERROR(__xludf.DUMMYFUNCTION("""COMPUTED_VALUE"""),0.6038602941176471)</f>
        <v>0.6038602941</v>
      </c>
      <c r="I3210" s="11">
        <f>IFERROR(__xludf.DUMMYFUNCTION("""COMPUTED_VALUE"""),5778.216911764706)</f>
        <v>5778.216912</v>
      </c>
      <c r="J3210" s="10">
        <f>IFERROR(__xludf.DUMMYFUNCTION("""COMPUTED_VALUE"""),2.0)</f>
        <v>2</v>
      </c>
      <c r="K3210" s="5">
        <f>IFERROR(__xludf.DUMMYFUNCTION("""COMPUTED_VALUE"""),0.004008016032064128)</f>
        <v>0.004008016032</v>
      </c>
      <c r="L3210" s="10">
        <f>IFERROR(__xludf.DUMMYFUNCTION("""COMPUTED_VALUE"""),3.0)</f>
        <v>3</v>
      </c>
      <c r="M3210" s="5">
        <f>IFERROR(__xludf.DUMMYFUNCTION("""COMPUTED_VALUE"""),0.006012024048096192)</f>
        <v>0.006012024048</v>
      </c>
    </row>
    <row r="3211">
      <c r="A3211" s="10" t="str">
        <f>IFERROR(__xludf.DUMMYFUNCTION("""COMPUTED_VALUE"""),"ネカフェの恋人")</f>
        <v>ネカフェの恋人</v>
      </c>
      <c r="B3211" s="10">
        <f>IFERROR(__xludf.DUMMYFUNCTION("""COMPUTED_VALUE"""),183.0)</f>
        <v>183</v>
      </c>
      <c r="C3211" s="10">
        <f>IFERROR(__xludf.DUMMYFUNCTION("""COMPUTED_VALUE"""),2181.0)</f>
        <v>2181</v>
      </c>
      <c r="D3211" s="5">
        <f>IFERROR(__xludf.DUMMYFUNCTION("""COMPUTED_VALUE"""),0.37037037037037035)</f>
        <v>0.3703703704</v>
      </c>
      <c r="E3211" s="5">
        <f>IFERROR(__xludf.DUMMYFUNCTION("""COMPUTED_VALUE"""),0.12512512512512514)</f>
        <v>0.1251251251</v>
      </c>
      <c r="F3211" s="5">
        <f>IFERROR(__xludf.DUMMYFUNCTION("""COMPUTED_VALUE"""),0.22272272272272273)</f>
        <v>0.2227227227</v>
      </c>
      <c r="G3211" s="5">
        <f>IFERROR(__xludf.DUMMYFUNCTION("""COMPUTED_VALUE"""),0.1961961961961962)</f>
        <v>0.1961961962</v>
      </c>
      <c r="H3211" s="5">
        <f>IFERROR(__xludf.DUMMYFUNCTION("""COMPUTED_VALUE"""),0.597752808988764)</f>
        <v>0.597752809</v>
      </c>
      <c r="I3211" s="11">
        <f>IFERROR(__xludf.DUMMYFUNCTION("""COMPUTED_VALUE"""),5546.516853932584)</f>
        <v>5546.516854</v>
      </c>
      <c r="J3211" s="10">
        <f>IFERROR(__xludf.DUMMYFUNCTION("""COMPUTED_VALUE"""),0.0)</f>
        <v>0</v>
      </c>
      <c r="K3211" s="5">
        <f>IFERROR(__xludf.DUMMYFUNCTION("""COMPUTED_VALUE"""),0.0)</f>
        <v>0</v>
      </c>
      <c r="L3211" s="10">
        <f>IFERROR(__xludf.DUMMYFUNCTION("""COMPUTED_VALUE"""),183.0)</f>
        <v>183</v>
      </c>
      <c r="M3211" s="5">
        <f>IFERROR(__xludf.DUMMYFUNCTION("""COMPUTED_VALUE"""),1.0)</f>
        <v>1</v>
      </c>
    </row>
    <row r="3212">
      <c r="A3212" s="10" t="str">
        <f>IFERROR(__xludf.DUMMYFUNCTION("""COMPUTED_VALUE"""),"きゅりおすぃてぃ")</f>
        <v>きゅりおすぃてぃ</v>
      </c>
      <c r="B3212" s="10">
        <f>IFERROR(__xludf.DUMMYFUNCTION("""COMPUTED_VALUE"""),185.0)</f>
        <v>185</v>
      </c>
      <c r="C3212" s="10">
        <f>IFERROR(__xludf.DUMMYFUNCTION("""COMPUTED_VALUE"""),2223.0)</f>
        <v>2223</v>
      </c>
      <c r="D3212" s="5">
        <f>IFERROR(__xludf.DUMMYFUNCTION("""COMPUTED_VALUE"""),0.3464180569185476)</f>
        <v>0.3464180569</v>
      </c>
      <c r="E3212" s="5">
        <f>IFERROR(__xludf.DUMMYFUNCTION("""COMPUTED_VALUE"""),0.12512266928361138)</f>
        <v>0.1251226693</v>
      </c>
      <c r="F3212" s="5">
        <f>IFERROR(__xludf.DUMMYFUNCTION("""COMPUTED_VALUE"""),0.1997055937193327)</f>
        <v>0.1997055937</v>
      </c>
      <c r="G3212" s="5">
        <f>IFERROR(__xludf.DUMMYFUNCTION("""COMPUTED_VALUE"""),0.11187438665358194)</f>
        <v>0.1118743867</v>
      </c>
      <c r="H3212" s="5">
        <f>IFERROR(__xludf.DUMMYFUNCTION("""COMPUTED_VALUE"""),0.6412776412776413)</f>
        <v>0.6412776413</v>
      </c>
      <c r="I3212" s="11">
        <f>IFERROR(__xludf.DUMMYFUNCTION("""COMPUTED_VALUE"""),5411.056511056511)</f>
        <v>5411.056511</v>
      </c>
      <c r="J3212" s="10">
        <f>IFERROR(__xludf.DUMMYFUNCTION("""COMPUTED_VALUE"""),0.0)</f>
        <v>0</v>
      </c>
      <c r="K3212" s="5">
        <f>IFERROR(__xludf.DUMMYFUNCTION("""COMPUTED_VALUE"""),0.0)</f>
        <v>0</v>
      </c>
      <c r="L3212" s="10">
        <f>IFERROR(__xludf.DUMMYFUNCTION("""COMPUTED_VALUE"""),185.0)</f>
        <v>185</v>
      </c>
      <c r="M3212" s="5">
        <f>IFERROR(__xludf.DUMMYFUNCTION("""COMPUTED_VALUE"""),1.0)</f>
        <v>1</v>
      </c>
    </row>
    <row r="3213">
      <c r="A3213" s="10" t="str">
        <f>IFERROR(__xludf.DUMMYFUNCTION("""COMPUTED_VALUE"""),"きんいろモザイク")</f>
        <v>きんいろモザイク</v>
      </c>
      <c r="B3213" s="10">
        <f>IFERROR(__xludf.DUMMYFUNCTION("""COMPUTED_VALUE"""),101.0)</f>
        <v>101</v>
      </c>
      <c r="C3213" s="10">
        <f>IFERROR(__xludf.DUMMYFUNCTION("""COMPUTED_VALUE"""),1204.0)</f>
        <v>1204</v>
      </c>
      <c r="D3213" s="5">
        <f>IFERROR(__xludf.DUMMYFUNCTION("""COMPUTED_VALUE"""),0.3680870353581142)</f>
        <v>0.3680870354</v>
      </c>
      <c r="E3213" s="5">
        <f>IFERROR(__xludf.DUMMYFUNCTION("""COMPUTED_VALUE"""),0.12511332728921123)</f>
        <v>0.1251133273</v>
      </c>
      <c r="F3213" s="5">
        <f>IFERROR(__xludf.DUMMYFUNCTION("""COMPUTED_VALUE"""),0.2112420670897552)</f>
        <v>0.2112420671</v>
      </c>
      <c r="G3213" s="5">
        <f>IFERROR(__xludf.DUMMYFUNCTION("""COMPUTED_VALUE"""),0.1314596554850408)</f>
        <v>0.1314596555</v>
      </c>
      <c r="H3213" s="5">
        <f>IFERROR(__xludf.DUMMYFUNCTION("""COMPUTED_VALUE"""),0.6266094420600858)</f>
        <v>0.6266094421</v>
      </c>
      <c r="I3213" s="11">
        <f>IFERROR(__xludf.DUMMYFUNCTION("""COMPUTED_VALUE"""),5057.510729613734)</f>
        <v>5057.51073</v>
      </c>
      <c r="J3213" s="10">
        <f>IFERROR(__xludf.DUMMYFUNCTION("""COMPUTED_VALUE"""),0.0)</f>
        <v>0</v>
      </c>
      <c r="K3213" s="5">
        <f>IFERROR(__xludf.DUMMYFUNCTION("""COMPUTED_VALUE"""),0.0)</f>
        <v>0</v>
      </c>
      <c r="L3213" s="10">
        <f>IFERROR(__xludf.DUMMYFUNCTION("""COMPUTED_VALUE"""),0.0)</f>
        <v>0</v>
      </c>
      <c r="M3213" s="5">
        <f>IFERROR(__xludf.DUMMYFUNCTION("""COMPUTED_VALUE"""),0.0)</f>
        <v>0</v>
      </c>
    </row>
    <row r="3214">
      <c r="A3214" s="10" t="str">
        <f>IFERROR(__xludf.DUMMYFUNCTION("""COMPUTED_VALUE"""),"valkyrie")</f>
        <v>valkyrie</v>
      </c>
      <c r="B3214" s="10">
        <f>IFERROR(__xludf.DUMMYFUNCTION("""COMPUTED_VALUE"""),424.0)</f>
        <v>424</v>
      </c>
      <c r="C3214" s="10">
        <f>IFERROR(__xludf.DUMMYFUNCTION("""COMPUTED_VALUE"""),5012.0)</f>
        <v>5012</v>
      </c>
      <c r="D3214" s="5">
        <f>IFERROR(__xludf.DUMMYFUNCTION("""COMPUTED_VALUE"""),0.3108108108108108)</f>
        <v>0.3108108108</v>
      </c>
      <c r="E3214" s="5">
        <f>IFERROR(__xludf.DUMMYFUNCTION("""COMPUTED_VALUE"""),0.12510897994768963)</f>
        <v>0.1251089799</v>
      </c>
      <c r="F3214" s="5">
        <f>IFERROR(__xludf.DUMMYFUNCTION("""COMPUTED_VALUE"""),0.21904969485614648)</f>
        <v>0.2190496949</v>
      </c>
      <c r="G3214" s="5">
        <f>IFERROR(__xludf.DUMMYFUNCTION("""COMPUTED_VALUE"""),0.19289450741063643)</f>
        <v>0.1928945074</v>
      </c>
      <c r="H3214" s="5">
        <f>IFERROR(__xludf.DUMMYFUNCTION("""COMPUTED_VALUE"""),0.6029850746268657)</f>
        <v>0.6029850746</v>
      </c>
      <c r="I3214" s="11">
        <f>IFERROR(__xludf.DUMMYFUNCTION("""COMPUTED_VALUE"""),5814.12935323383)</f>
        <v>5814.129353</v>
      </c>
      <c r="J3214" s="10">
        <f>IFERROR(__xludf.DUMMYFUNCTION("""COMPUTED_VALUE"""),0.0)</f>
        <v>0</v>
      </c>
      <c r="K3214" s="5">
        <f>IFERROR(__xludf.DUMMYFUNCTION("""COMPUTED_VALUE"""),0.0)</f>
        <v>0</v>
      </c>
      <c r="L3214" s="10">
        <f>IFERROR(__xludf.DUMMYFUNCTION("""COMPUTED_VALUE"""),0.0)</f>
        <v>0</v>
      </c>
      <c r="M3214" s="5">
        <f>IFERROR(__xludf.DUMMYFUNCTION("""COMPUTED_VALUE"""),0.0)</f>
        <v>0</v>
      </c>
    </row>
    <row r="3215">
      <c r="A3215" s="10" t="str">
        <f>IFERROR(__xludf.DUMMYFUNCTION("""COMPUTED_VALUE"""),"かき氷")</f>
        <v>かき氷</v>
      </c>
      <c r="B3215" s="10">
        <f>IFERROR(__xludf.DUMMYFUNCTION("""COMPUTED_VALUE"""),1449.0)</f>
        <v>1449</v>
      </c>
      <c r="C3215" s="10">
        <f>IFERROR(__xludf.DUMMYFUNCTION("""COMPUTED_VALUE"""),16756.0)</f>
        <v>16756</v>
      </c>
      <c r="D3215" s="5">
        <f>IFERROR(__xludf.DUMMYFUNCTION("""COMPUTED_VALUE"""),0.3257986542104919)</f>
        <v>0.3257986542</v>
      </c>
      <c r="E3215" s="5">
        <f>IFERROR(__xludf.DUMMYFUNCTION("""COMPUTED_VALUE"""),0.12510616058012675)</f>
        <v>0.1251061606</v>
      </c>
      <c r="F3215" s="5">
        <f>IFERROR(__xludf.DUMMYFUNCTION("""COMPUTED_VALUE"""),0.2070947932318547)</f>
        <v>0.2070947932</v>
      </c>
      <c r="G3215" s="5">
        <f>IFERROR(__xludf.DUMMYFUNCTION("""COMPUTED_VALUE"""),0.1840987783367087)</f>
        <v>0.1840987783</v>
      </c>
      <c r="H3215" s="5">
        <f>IFERROR(__xludf.DUMMYFUNCTION("""COMPUTED_VALUE"""),0.602839116719243)</f>
        <v>0.6028391167</v>
      </c>
      <c r="I3215" s="11">
        <f>IFERROR(__xludf.DUMMYFUNCTION("""COMPUTED_VALUE"""),5915.299684542587)</f>
        <v>5915.299685</v>
      </c>
      <c r="J3215" s="10">
        <f>IFERROR(__xludf.DUMMYFUNCTION("""COMPUTED_VALUE"""),3.0)</f>
        <v>3</v>
      </c>
      <c r="K3215" s="5">
        <f>IFERROR(__xludf.DUMMYFUNCTION("""COMPUTED_VALUE"""),0.002070393374741201)</f>
        <v>0.002070393375</v>
      </c>
      <c r="L3215" s="10">
        <f>IFERROR(__xludf.DUMMYFUNCTION("""COMPUTED_VALUE"""),1117.0)</f>
        <v>1117</v>
      </c>
      <c r="M3215" s="5">
        <f>IFERROR(__xludf.DUMMYFUNCTION("""COMPUTED_VALUE"""),0.7708764665286404)</f>
        <v>0.7708764665</v>
      </c>
    </row>
    <row r="3216">
      <c r="A3216" s="10" t="str">
        <f>IFERROR(__xludf.DUMMYFUNCTION("""COMPUTED_VALUE"""),"Potoshi")</f>
        <v>Potoshi</v>
      </c>
      <c r="B3216" s="10">
        <f>IFERROR(__xludf.DUMMYFUNCTION("""COMPUTED_VALUE"""),1835.0)</f>
        <v>1835</v>
      </c>
      <c r="C3216" s="10">
        <f>IFERROR(__xludf.DUMMYFUNCTION("""COMPUTED_VALUE"""),21548.0)</f>
        <v>21548</v>
      </c>
      <c r="D3216" s="5">
        <f>IFERROR(__xludf.DUMMYFUNCTION("""COMPUTED_VALUE"""),0.27976462233044186)</f>
        <v>0.2797646223</v>
      </c>
      <c r="E3216" s="5">
        <f>IFERROR(__xludf.DUMMYFUNCTION("""COMPUTED_VALUE"""),0.12509511489879774)</f>
        <v>0.1250951149</v>
      </c>
      <c r="F3216" s="5">
        <f>IFERROR(__xludf.DUMMYFUNCTION("""COMPUTED_VALUE"""),0.20798457870440826)</f>
        <v>0.2079845787</v>
      </c>
      <c r="G3216" s="5">
        <f>IFERROR(__xludf.DUMMYFUNCTION("""COMPUTED_VALUE"""),0.19210673159843758)</f>
        <v>0.1921067316</v>
      </c>
      <c r="H3216" s="5">
        <f>IFERROR(__xludf.DUMMYFUNCTION("""COMPUTED_VALUE"""),0.5853658536585366)</f>
        <v>0.5853658537</v>
      </c>
      <c r="I3216" s="11">
        <f>IFERROR(__xludf.DUMMYFUNCTION("""COMPUTED_VALUE"""),5854.0)</f>
        <v>5854</v>
      </c>
      <c r="J3216" s="10">
        <f>IFERROR(__xludf.DUMMYFUNCTION("""COMPUTED_VALUE"""),2.0)</f>
        <v>2</v>
      </c>
      <c r="K3216" s="5">
        <f>IFERROR(__xludf.DUMMYFUNCTION("""COMPUTED_VALUE"""),0.0010899182561307902)</f>
        <v>0.001089918256</v>
      </c>
      <c r="L3216" s="10">
        <f>IFERROR(__xludf.DUMMYFUNCTION("""COMPUTED_VALUE"""),10.0)</f>
        <v>10</v>
      </c>
      <c r="M3216" s="5">
        <f>IFERROR(__xludf.DUMMYFUNCTION("""COMPUTED_VALUE"""),0.005449591280653951)</f>
        <v>0.005449591281</v>
      </c>
    </row>
    <row r="3217">
      <c r="A3217" s="10" t="str">
        <f>IFERROR(__xludf.DUMMYFUNCTION("""COMPUTED_VALUE"""),"かのん♪")</f>
        <v>かのん♪</v>
      </c>
      <c r="B3217" s="10">
        <f>IFERROR(__xludf.DUMMYFUNCTION("""COMPUTED_VALUE"""),767.0)</f>
        <v>767</v>
      </c>
      <c r="C3217" s="10">
        <f>IFERROR(__xludf.DUMMYFUNCTION("""COMPUTED_VALUE"""),9033.0)</f>
        <v>9033</v>
      </c>
      <c r="D3217" s="5">
        <f>IFERROR(__xludf.DUMMYFUNCTION("""COMPUTED_VALUE"""),0.4033389789499153)</f>
        <v>0.4033389789</v>
      </c>
      <c r="E3217" s="5">
        <f>IFERROR(__xludf.DUMMYFUNCTION("""COMPUTED_VALUE"""),0.125090733123639)</f>
        <v>0.1250907331</v>
      </c>
      <c r="F3217" s="5">
        <f>IFERROR(__xludf.DUMMYFUNCTION("""COMPUTED_VALUE"""),0.21642874425356884)</f>
        <v>0.2164287443</v>
      </c>
      <c r="G3217" s="5">
        <f>IFERROR(__xludf.DUMMYFUNCTION("""COMPUTED_VALUE"""),0.1363416404548754)</f>
        <v>0.1363416405</v>
      </c>
      <c r="H3217" s="5">
        <f>IFERROR(__xludf.DUMMYFUNCTION("""COMPUTED_VALUE"""),0.5953046394633874)</f>
        <v>0.5953046395</v>
      </c>
      <c r="I3217" s="11">
        <f>IFERROR(__xludf.DUMMYFUNCTION("""COMPUTED_VALUE"""),5036.780324203465)</f>
        <v>5036.780324</v>
      </c>
      <c r="J3217" s="10">
        <f>IFERROR(__xludf.DUMMYFUNCTION("""COMPUTED_VALUE"""),4.0)</f>
        <v>4</v>
      </c>
      <c r="K3217" s="5">
        <f>IFERROR(__xludf.DUMMYFUNCTION("""COMPUTED_VALUE"""),0.005215123859191656)</f>
        <v>0.005215123859</v>
      </c>
      <c r="L3217" s="10">
        <f>IFERROR(__xludf.DUMMYFUNCTION("""COMPUTED_VALUE"""),436.0)</f>
        <v>436</v>
      </c>
      <c r="M3217" s="5">
        <f>IFERROR(__xludf.DUMMYFUNCTION("""COMPUTED_VALUE"""),0.5684485006518905)</f>
        <v>0.5684485007</v>
      </c>
    </row>
    <row r="3218">
      <c r="A3218" s="10" t="str">
        <f>IFERROR(__xludf.DUMMYFUNCTION("""COMPUTED_VALUE"""),"キムラテ")</f>
        <v>キムラテ</v>
      </c>
      <c r="B3218" s="10">
        <f>IFERROR(__xludf.DUMMYFUNCTION("""COMPUTED_VALUE"""),386.0)</f>
        <v>386</v>
      </c>
      <c r="C3218" s="10">
        <f>IFERROR(__xludf.DUMMYFUNCTION("""COMPUTED_VALUE"""),4527.0)</f>
        <v>4527</v>
      </c>
      <c r="D3218" s="5">
        <f>IFERROR(__xludf.DUMMYFUNCTION("""COMPUTED_VALUE"""),0.4312967882154069)</f>
        <v>0.4312967882</v>
      </c>
      <c r="E3218" s="5">
        <f>IFERROR(__xludf.DUMMYFUNCTION("""COMPUTED_VALUE"""),0.12509055783627143)</f>
        <v>0.1250905578</v>
      </c>
      <c r="F3218" s="5">
        <f>IFERROR(__xludf.DUMMYFUNCTION("""COMPUTED_VALUE"""),0.21540690654431296)</f>
        <v>0.2154069065</v>
      </c>
      <c r="G3218" s="5">
        <f>IFERROR(__xludf.DUMMYFUNCTION("""COMPUTED_VALUE"""),0.1603477420912823)</f>
        <v>0.1603477421</v>
      </c>
      <c r="H3218" s="5">
        <f>IFERROR(__xludf.DUMMYFUNCTION("""COMPUTED_VALUE"""),0.6132286995515696)</f>
        <v>0.6132286996</v>
      </c>
      <c r="I3218" s="11">
        <f>IFERROR(__xludf.DUMMYFUNCTION("""COMPUTED_VALUE"""),5239.798206278027)</f>
        <v>5239.798206</v>
      </c>
      <c r="J3218" s="10">
        <f>IFERROR(__xludf.DUMMYFUNCTION("""COMPUTED_VALUE"""),2.0)</f>
        <v>2</v>
      </c>
      <c r="K3218" s="5">
        <f>IFERROR(__xludf.DUMMYFUNCTION("""COMPUTED_VALUE"""),0.0051813471502590676)</f>
        <v>0.00518134715</v>
      </c>
      <c r="L3218" s="10">
        <f>IFERROR(__xludf.DUMMYFUNCTION("""COMPUTED_VALUE"""),386.0)</f>
        <v>386</v>
      </c>
      <c r="M3218" s="5">
        <f>IFERROR(__xludf.DUMMYFUNCTION("""COMPUTED_VALUE"""),1.0)</f>
        <v>1</v>
      </c>
    </row>
    <row r="3219">
      <c r="A3219" s="10" t="str">
        <f>IFERROR(__xludf.DUMMYFUNCTION("""COMPUTED_VALUE"""),"nisi5028")</f>
        <v>nisi5028</v>
      </c>
      <c r="B3219" s="10">
        <f>IFERROR(__xludf.DUMMYFUNCTION("""COMPUTED_VALUE"""),1592.0)</f>
        <v>1592</v>
      </c>
      <c r="C3219" s="10">
        <f>IFERROR(__xludf.DUMMYFUNCTION("""COMPUTED_VALUE"""),18676.0)</f>
        <v>18676</v>
      </c>
      <c r="D3219" s="5">
        <f>IFERROR(__xludf.DUMMYFUNCTION("""COMPUTED_VALUE"""),0.3839850152189183)</f>
        <v>0.3839850152</v>
      </c>
      <c r="E3219" s="5">
        <f>IFERROR(__xludf.DUMMYFUNCTION("""COMPUTED_VALUE"""),0.12508780145165066)</f>
        <v>0.1250878015</v>
      </c>
      <c r="F3219" s="5">
        <f>IFERROR(__xludf.DUMMYFUNCTION("""COMPUTED_VALUE"""),0.21786466869585577)</f>
        <v>0.2178646687</v>
      </c>
      <c r="G3219" s="5">
        <f>IFERROR(__xludf.DUMMYFUNCTION("""COMPUTED_VALUE"""),0.1823928822289862)</f>
        <v>0.1823928822</v>
      </c>
      <c r="H3219" s="5">
        <f>IFERROR(__xludf.DUMMYFUNCTION("""COMPUTED_VALUE"""),0.600214938205266)</f>
        <v>0.6002149382</v>
      </c>
      <c r="I3219" s="11">
        <f>IFERROR(__xludf.DUMMYFUNCTION("""COMPUTED_VALUE"""),5609.752821063944)</f>
        <v>5609.752821</v>
      </c>
      <c r="J3219" s="10">
        <f>IFERROR(__xludf.DUMMYFUNCTION("""COMPUTED_VALUE"""),1.0)</f>
        <v>1</v>
      </c>
      <c r="K3219" s="5">
        <f>IFERROR(__xludf.DUMMYFUNCTION("""COMPUTED_VALUE"""),6.28140703517588E-4)</f>
        <v>0.0006281407035</v>
      </c>
      <c r="L3219" s="10">
        <f>IFERROR(__xludf.DUMMYFUNCTION("""COMPUTED_VALUE"""),1592.0)</f>
        <v>1592</v>
      </c>
      <c r="M3219" s="5">
        <f>IFERROR(__xludf.DUMMYFUNCTION("""COMPUTED_VALUE"""),1.0)</f>
        <v>1</v>
      </c>
    </row>
    <row r="3220">
      <c r="A3220" s="10" t="str">
        <f>IFERROR(__xludf.DUMMYFUNCTION("""COMPUTED_VALUE"""),"WIN神")</f>
        <v>WIN神</v>
      </c>
      <c r="B3220" s="10">
        <f>IFERROR(__xludf.DUMMYFUNCTION("""COMPUTED_VALUE"""),2412.0)</f>
        <v>2412</v>
      </c>
      <c r="C3220" s="10">
        <f>IFERROR(__xludf.DUMMYFUNCTION("""COMPUTED_VALUE"""),28595.0)</f>
        <v>28595</v>
      </c>
      <c r="D3220" s="5">
        <f>IFERROR(__xludf.DUMMYFUNCTION("""COMPUTED_VALUE"""),0.34686628728564334)</f>
        <v>0.3468662873</v>
      </c>
      <c r="E3220" s="5">
        <f>IFERROR(__xludf.DUMMYFUNCTION("""COMPUTED_VALUE"""),0.12508115953099339)</f>
        <v>0.1250811595</v>
      </c>
      <c r="F3220" s="5">
        <f>IFERROR(__xludf.DUMMYFUNCTION("""COMPUTED_VALUE"""),0.2121605621968453)</f>
        <v>0.2121605622</v>
      </c>
      <c r="G3220" s="5">
        <f>IFERROR(__xludf.DUMMYFUNCTION("""COMPUTED_VALUE"""),0.13184127105373716)</f>
        <v>0.1318412711</v>
      </c>
      <c r="H3220" s="5">
        <f>IFERROR(__xludf.DUMMYFUNCTION("""COMPUTED_VALUE"""),0.6043204320432043)</f>
        <v>0.604320432</v>
      </c>
      <c r="I3220" s="11">
        <f>IFERROR(__xludf.DUMMYFUNCTION("""COMPUTED_VALUE"""),5110.999099909991)</f>
        <v>5110.9991</v>
      </c>
      <c r="J3220" s="10">
        <f>IFERROR(__xludf.DUMMYFUNCTION("""COMPUTED_VALUE"""),7.0)</f>
        <v>7</v>
      </c>
      <c r="K3220" s="5">
        <f>IFERROR(__xludf.DUMMYFUNCTION("""COMPUTED_VALUE"""),0.002902155887230514)</f>
        <v>0.002902155887</v>
      </c>
      <c r="L3220" s="10">
        <f>IFERROR(__xludf.DUMMYFUNCTION("""COMPUTED_VALUE"""),2412.0)</f>
        <v>2412</v>
      </c>
      <c r="M3220" s="5">
        <f>IFERROR(__xludf.DUMMYFUNCTION("""COMPUTED_VALUE"""),1.0)</f>
        <v>1</v>
      </c>
    </row>
    <row r="3221">
      <c r="A3221" s="10" t="str">
        <f>IFERROR(__xludf.DUMMYFUNCTION("""COMPUTED_VALUE"""),"sairasu")</f>
        <v>sairasu</v>
      </c>
      <c r="B3221" s="10">
        <f>IFERROR(__xludf.DUMMYFUNCTION("""COMPUTED_VALUE"""),2817.0)</f>
        <v>2817</v>
      </c>
      <c r="C3221" s="10">
        <f>IFERROR(__xludf.DUMMYFUNCTION("""COMPUTED_VALUE"""),32798.0)</f>
        <v>32798</v>
      </c>
      <c r="D3221" s="5">
        <f>IFERROR(__xludf.DUMMYFUNCTION("""COMPUTED_VALUE"""),0.3636302991894867)</f>
        <v>0.3636302992</v>
      </c>
      <c r="E3221" s="5">
        <f>IFERROR(__xludf.DUMMYFUNCTION("""COMPUTED_VALUE"""),0.1250792168373303)</f>
        <v>0.1250792168</v>
      </c>
      <c r="F3221" s="5">
        <f>IFERROR(__xludf.DUMMYFUNCTION("""COMPUTED_VALUE"""),0.2068309929622094)</f>
        <v>0.206830993</v>
      </c>
      <c r="G3221" s="5">
        <f>IFERROR(__xludf.DUMMYFUNCTION("""COMPUTED_VALUE"""),0.16870684767019112)</f>
        <v>0.1687068477</v>
      </c>
      <c r="H3221" s="5">
        <f>IFERROR(__xludf.DUMMYFUNCTION("""COMPUTED_VALUE"""),0.6052249637155298)</f>
        <v>0.6052249637</v>
      </c>
      <c r="I3221" s="11">
        <f>IFERROR(__xludf.DUMMYFUNCTION("""COMPUTED_VALUE"""),5738.28414771811)</f>
        <v>5738.284148</v>
      </c>
      <c r="J3221" s="10">
        <f>IFERROR(__xludf.DUMMYFUNCTION("""COMPUTED_VALUE"""),9.0)</f>
        <v>9</v>
      </c>
      <c r="K3221" s="5">
        <f>IFERROR(__xludf.DUMMYFUNCTION("""COMPUTED_VALUE"""),0.003194888178913738)</f>
        <v>0.003194888179</v>
      </c>
      <c r="L3221" s="10">
        <f>IFERROR(__xludf.DUMMYFUNCTION("""COMPUTED_VALUE"""),2817.0)</f>
        <v>2817</v>
      </c>
      <c r="M3221" s="5">
        <f>IFERROR(__xludf.DUMMYFUNCTION("""COMPUTED_VALUE"""),1.0)</f>
        <v>1</v>
      </c>
    </row>
    <row r="3222">
      <c r="A3222" s="10" t="str">
        <f>IFERROR(__xludf.DUMMYFUNCTION("""COMPUTED_VALUE"""),"pccabc")</f>
        <v>pccabc</v>
      </c>
      <c r="B3222" s="10">
        <f>IFERROR(__xludf.DUMMYFUNCTION("""COMPUTED_VALUE"""),891.0)</f>
        <v>891</v>
      </c>
      <c r="C3222" s="10">
        <f>IFERROR(__xludf.DUMMYFUNCTION("""COMPUTED_VALUE"""),10477.0)</f>
        <v>10477</v>
      </c>
      <c r="D3222" s="5">
        <f>IFERROR(__xludf.DUMMYFUNCTION("""COMPUTED_VALUE"""),0.3938034633841018)</f>
        <v>0.3938034634</v>
      </c>
      <c r="E3222" s="5">
        <f>IFERROR(__xludf.DUMMYFUNCTION("""COMPUTED_VALUE"""),0.1250782390986856)</f>
        <v>0.1250782391</v>
      </c>
      <c r="F3222" s="5">
        <f>IFERROR(__xludf.DUMMYFUNCTION("""COMPUTED_VALUE"""),0.20675985812643438)</f>
        <v>0.2067598581</v>
      </c>
      <c r="G3222" s="5">
        <f>IFERROR(__xludf.DUMMYFUNCTION("""COMPUTED_VALUE"""),0.15626955977467138)</f>
        <v>0.1562695598</v>
      </c>
      <c r="H3222" s="5">
        <f>IFERROR(__xludf.DUMMYFUNCTION("""COMPUTED_VALUE"""),0.5918264379414733)</f>
        <v>0.5918264379</v>
      </c>
      <c r="I3222" s="11">
        <f>IFERROR(__xludf.DUMMYFUNCTION("""COMPUTED_VALUE"""),5373.612512613522)</f>
        <v>5373.612513</v>
      </c>
      <c r="J3222" s="10">
        <f>IFERROR(__xludf.DUMMYFUNCTION("""COMPUTED_VALUE"""),1.0)</f>
        <v>1</v>
      </c>
      <c r="K3222" s="5">
        <f>IFERROR(__xludf.DUMMYFUNCTION("""COMPUTED_VALUE"""),0.001122334455667789)</f>
        <v>0.001122334456</v>
      </c>
      <c r="L3222" s="10">
        <f>IFERROR(__xludf.DUMMYFUNCTION("""COMPUTED_VALUE"""),891.0)</f>
        <v>891</v>
      </c>
      <c r="M3222" s="5">
        <f>IFERROR(__xludf.DUMMYFUNCTION("""COMPUTED_VALUE"""),1.0)</f>
        <v>1</v>
      </c>
    </row>
    <row r="3223">
      <c r="A3223" s="10" t="str">
        <f>IFERROR(__xludf.DUMMYFUNCTION("""COMPUTED_VALUE"""),"汐見")</f>
        <v>汐見</v>
      </c>
      <c r="B3223" s="10">
        <f>IFERROR(__xludf.DUMMYFUNCTION("""COMPUTED_VALUE"""),191.0)</f>
        <v>191</v>
      </c>
      <c r="C3223" s="10">
        <f>IFERROR(__xludf.DUMMYFUNCTION("""COMPUTED_VALUE"""),2302.0)</f>
        <v>2302</v>
      </c>
      <c r="D3223" s="5">
        <f>IFERROR(__xludf.DUMMYFUNCTION("""COMPUTED_VALUE"""),0.40265277119848414)</f>
        <v>0.4026527712</v>
      </c>
      <c r="E3223" s="5">
        <f>IFERROR(__xludf.DUMMYFUNCTION("""COMPUTED_VALUE"""),0.1250592136428233)</f>
        <v>0.1250592136</v>
      </c>
      <c r="F3223" s="5">
        <f>IFERROR(__xludf.DUMMYFUNCTION("""COMPUTED_VALUE"""),0.20322122216958788)</f>
        <v>0.2032212222</v>
      </c>
      <c r="G3223" s="5">
        <f>IFERROR(__xludf.DUMMYFUNCTION("""COMPUTED_VALUE"""),0.15206063477025106)</f>
        <v>0.1520606348</v>
      </c>
      <c r="H3223" s="5">
        <f>IFERROR(__xludf.DUMMYFUNCTION("""COMPUTED_VALUE"""),0.6223776223776224)</f>
        <v>0.6223776224</v>
      </c>
      <c r="I3223" s="11">
        <f>IFERROR(__xludf.DUMMYFUNCTION("""COMPUTED_VALUE"""),5403.263403263403)</f>
        <v>5403.263403</v>
      </c>
      <c r="J3223" s="10">
        <f>IFERROR(__xludf.DUMMYFUNCTION("""COMPUTED_VALUE"""),0.0)</f>
        <v>0</v>
      </c>
      <c r="K3223" s="5">
        <f>IFERROR(__xludf.DUMMYFUNCTION("""COMPUTED_VALUE"""),0.0)</f>
        <v>0</v>
      </c>
      <c r="L3223" s="10">
        <f>IFERROR(__xludf.DUMMYFUNCTION("""COMPUTED_VALUE"""),191.0)</f>
        <v>191</v>
      </c>
      <c r="M3223" s="5">
        <f>IFERROR(__xludf.DUMMYFUNCTION("""COMPUTED_VALUE"""),1.0)</f>
        <v>1</v>
      </c>
    </row>
    <row r="3224">
      <c r="A3224" s="10" t="str">
        <f>IFERROR(__xludf.DUMMYFUNCTION("""COMPUTED_VALUE"""),"かざばな")</f>
        <v>かざばな</v>
      </c>
      <c r="B3224" s="10">
        <f>IFERROR(__xludf.DUMMYFUNCTION("""COMPUTED_VALUE"""),225.0)</f>
        <v>225</v>
      </c>
      <c r="C3224" s="10">
        <f>IFERROR(__xludf.DUMMYFUNCTION("""COMPUTED_VALUE"""),2712.0)</f>
        <v>2712</v>
      </c>
      <c r="D3224" s="5">
        <f>IFERROR(__xludf.DUMMYFUNCTION("""COMPUTED_VALUE"""),0.26940088459991957)</f>
        <v>0.2694008846</v>
      </c>
      <c r="E3224" s="5">
        <f>IFERROR(__xludf.DUMMYFUNCTION("""COMPUTED_VALUE"""),0.12505026135906716)</f>
        <v>0.1250502614</v>
      </c>
      <c r="F3224" s="5">
        <f>IFERROR(__xludf.DUMMYFUNCTION("""COMPUTED_VALUE"""),0.19823080016083636)</f>
        <v>0.1982308002</v>
      </c>
      <c r="G3224" s="5">
        <f>IFERROR(__xludf.DUMMYFUNCTION("""COMPUTED_VALUE"""),0.19380780056292723)</f>
        <v>0.1938078006</v>
      </c>
      <c r="H3224" s="5">
        <f>IFERROR(__xludf.DUMMYFUNCTION("""COMPUTED_VALUE"""),0.5862068965517241)</f>
        <v>0.5862068966</v>
      </c>
      <c r="I3224" s="11">
        <f>IFERROR(__xludf.DUMMYFUNCTION("""COMPUTED_VALUE"""),5738.742393509127)</f>
        <v>5738.742394</v>
      </c>
      <c r="J3224" s="10">
        <f>IFERROR(__xludf.DUMMYFUNCTION("""COMPUTED_VALUE"""),0.0)</f>
        <v>0</v>
      </c>
      <c r="K3224" s="5">
        <f>IFERROR(__xludf.DUMMYFUNCTION("""COMPUTED_VALUE"""),0.0)</f>
        <v>0</v>
      </c>
      <c r="L3224" s="10">
        <f>IFERROR(__xludf.DUMMYFUNCTION("""COMPUTED_VALUE"""),225.0)</f>
        <v>225</v>
      </c>
      <c r="M3224" s="5">
        <f>IFERROR(__xludf.DUMMYFUNCTION("""COMPUTED_VALUE"""),1.0)</f>
        <v>1</v>
      </c>
    </row>
    <row r="3225">
      <c r="A3225" s="10" t="str">
        <f>IFERROR(__xludf.DUMMYFUNCTION("""COMPUTED_VALUE"""),"しーぺふ")</f>
        <v>しーぺふ</v>
      </c>
      <c r="B3225" s="10">
        <f>IFERROR(__xludf.DUMMYFUNCTION("""COMPUTED_VALUE"""),304.0)</f>
        <v>304</v>
      </c>
      <c r="C3225" s="10">
        <f>IFERROR(__xludf.DUMMYFUNCTION("""COMPUTED_VALUE"""),3559.0)</f>
        <v>3559</v>
      </c>
      <c r="D3225" s="5">
        <f>IFERROR(__xludf.DUMMYFUNCTION("""COMPUTED_VALUE"""),0.3705069124423963)</f>
        <v>0.3705069124</v>
      </c>
      <c r="E3225" s="5">
        <f>IFERROR(__xludf.DUMMYFUNCTION("""COMPUTED_VALUE"""),0.1250384024577573)</f>
        <v>0.1250384025</v>
      </c>
      <c r="F3225" s="5">
        <f>IFERROR(__xludf.DUMMYFUNCTION("""COMPUTED_VALUE"""),0.2162826420890937)</f>
        <v>0.2162826421</v>
      </c>
      <c r="G3225" s="5">
        <f>IFERROR(__xludf.DUMMYFUNCTION("""COMPUTED_VALUE"""),0.15913978494623657)</f>
        <v>0.1591397849</v>
      </c>
      <c r="H3225" s="5">
        <f>IFERROR(__xludf.DUMMYFUNCTION("""COMPUTED_VALUE"""),0.6079545454545454)</f>
        <v>0.6079545455</v>
      </c>
      <c r="I3225" s="11">
        <f>IFERROR(__xludf.DUMMYFUNCTION("""COMPUTED_VALUE"""),4960.227272727273)</f>
        <v>4960.227273</v>
      </c>
      <c r="J3225" s="10">
        <f>IFERROR(__xludf.DUMMYFUNCTION("""COMPUTED_VALUE"""),1.0)</f>
        <v>1</v>
      </c>
      <c r="K3225" s="5">
        <f>IFERROR(__xludf.DUMMYFUNCTION("""COMPUTED_VALUE"""),0.003289473684210526)</f>
        <v>0.003289473684</v>
      </c>
      <c r="L3225" s="10">
        <f>IFERROR(__xludf.DUMMYFUNCTION("""COMPUTED_VALUE"""),237.0)</f>
        <v>237</v>
      </c>
      <c r="M3225" s="5">
        <f>IFERROR(__xludf.DUMMYFUNCTION("""COMPUTED_VALUE"""),0.7796052631578947)</f>
        <v>0.7796052632</v>
      </c>
    </row>
    <row r="3226">
      <c r="A3226" s="10" t="str">
        <f>IFERROR(__xludf.DUMMYFUNCTION("""COMPUTED_VALUE"""),"マーボウ")</f>
        <v>マーボウ</v>
      </c>
      <c r="B3226" s="10">
        <f>IFERROR(__xludf.DUMMYFUNCTION("""COMPUTED_VALUE"""),627.0)</f>
        <v>627</v>
      </c>
      <c r="C3226" s="10">
        <f>IFERROR(__xludf.DUMMYFUNCTION("""COMPUTED_VALUE"""),7361.0)</f>
        <v>7361</v>
      </c>
      <c r="D3226" s="5">
        <f>IFERROR(__xludf.DUMMYFUNCTION("""COMPUTED_VALUE"""),0.37659637659637657)</f>
        <v>0.3765963766</v>
      </c>
      <c r="E3226" s="5">
        <f>IFERROR(__xludf.DUMMYFUNCTION("""COMPUTED_VALUE"""),0.12503712503712502)</f>
        <v>0.125037125</v>
      </c>
      <c r="F3226" s="5">
        <f>IFERROR(__xludf.DUMMYFUNCTION("""COMPUTED_VALUE"""),0.19483219483219483)</f>
        <v>0.1948321948</v>
      </c>
      <c r="G3226" s="5">
        <f>IFERROR(__xludf.DUMMYFUNCTION("""COMPUTED_VALUE"""),0.1617166617166617)</f>
        <v>0.1617166617</v>
      </c>
      <c r="H3226" s="5">
        <f>IFERROR(__xludf.DUMMYFUNCTION("""COMPUTED_VALUE"""),0.586890243902439)</f>
        <v>0.5868902439</v>
      </c>
      <c r="I3226" s="11">
        <f>IFERROR(__xludf.DUMMYFUNCTION("""COMPUTED_VALUE"""),5648.399390243902)</f>
        <v>5648.39939</v>
      </c>
      <c r="J3226" s="10">
        <f>IFERROR(__xludf.DUMMYFUNCTION("""COMPUTED_VALUE"""),3.0)</f>
        <v>3</v>
      </c>
      <c r="K3226" s="5">
        <f>IFERROR(__xludf.DUMMYFUNCTION("""COMPUTED_VALUE"""),0.004784688995215311)</f>
        <v>0.004784688995</v>
      </c>
      <c r="L3226" s="10">
        <f>IFERROR(__xludf.DUMMYFUNCTION("""COMPUTED_VALUE"""),627.0)</f>
        <v>627</v>
      </c>
      <c r="M3226" s="5">
        <f>IFERROR(__xludf.DUMMYFUNCTION("""COMPUTED_VALUE"""),1.0)</f>
        <v>1</v>
      </c>
    </row>
    <row r="3227">
      <c r="A3227" s="10" t="str">
        <f>IFERROR(__xludf.DUMMYFUNCTION("""COMPUTED_VALUE"""),"霧島翔子")</f>
        <v>霧島翔子</v>
      </c>
      <c r="B3227" s="10">
        <f>IFERROR(__xludf.DUMMYFUNCTION("""COMPUTED_VALUE"""),342.0)</f>
        <v>342</v>
      </c>
      <c r="C3227" s="10">
        <f>IFERROR(__xludf.DUMMYFUNCTION("""COMPUTED_VALUE"""),3973.0)</f>
        <v>3973</v>
      </c>
      <c r="D3227" s="5">
        <f>IFERROR(__xludf.DUMMYFUNCTION("""COMPUTED_VALUE"""),0.3858441200771137)</f>
        <v>0.3858441201</v>
      </c>
      <c r="E3227" s="5">
        <f>IFERROR(__xludf.DUMMYFUNCTION("""COMPUTED_VALUE"""),0.1250344257780226)</f>
        <v>0.1250344258</v>
      </c>
      <c r="F3227" s="5">
        <f>IFERROR(__xludf.DUMMYFUNCTION("""COMPUTED_VALUE"""),0.22307904158633984)</f>
        <v>0.2230790416</v>
      </c>
      <c r="G3227" s="5">
        <f>IFERROR(__xludf.DUMMYFUNCTION("""COMPUTED_VALUE"""),0.16304048471495455)</f>
        <v>0.1630404847</v>
      </c>
      <c r="H3227" s="5">
        <f>IFERROR(__xludf.DUMMYFUNCTION("""COMPUTED_VALUE"""),0.6259259259259259)</f>
        <v>0.6259259259</v>
      </c>
      <c r="I3227" s="11">
        <f>IFERROR(__xludf.DUMMYFUNCTION("""COMPUTED_VALUE"""),5295.061728395061)</f>
        <v>5295.061728</v>
      </c>
      <c r="J3227" s="10">
        <f>IFERROR(__xludf.DUMMYFUNCTION("""COMPUTED_VALUE"""),0.0)</f>
        <v>0</v>
      </c>
      <c r="K3227" s="5">
        <f>IFERROR(__xludf.DUMMYFUNCTION("""COMPUTED_VALUE"""),0.0)</f>
        <v>0</v>
      </c>
      <c r="L3227" s="10">
        <f>IFERROR(__xludf.DUMMYFUNCTION("""COMPUTED_VALUE"""),0.0)</f>
        <v>0</v>
      </c>
      <c r="M3227" s="5">
        <f>IFERROR(__xludf.DUMMYFUNCTION("""COMPUTED_VALUE"""),0.0)</f>
        <v>0</v>
      </c>
    </row>
    <row r="3228">
      <c r="A3228" s="10" t="str">
        <f>IFERROR(__xludf.DUMMYFUNCTION("""COMPUTED_VALUE"""),"seiiga3")</f>
        <v>seiiga3</v>
      </c>
      <c r="B3228" s="10">
        <f>IFERROR(__xludf.DUMMYFUNCTION("""COMPUTED_VALUE"""),729.0)</f>
        <v>729</v>
      </c>
      <c r="C3228" s="10">
        <f>IFERROR(__xludf.DUMMYFUNCTION("""COMPUTED_VALUE"""),8616.0)</f>
        <v>8616</v>
      </c>
      <c r="D3228" s="5">
        <f>IFERROR(__xludf.DUMMYFUNCTION("""COMPUTED_VALUE"""),0.4288068974261443)</f>
        <v>0.4288068974</v>
      </c>
      <c r="E3228" s="5">
        <f>IFERROR(__xludf.DUMMYFUNCTION("""COMPUTED_VALUE"""),0.12501584886522124)</f>
        <v>0.1250158489</v>
      </c>
      <c r="F3228" s="5">
        <f>IFERROR(__xludf.DUMMYFUNCTION("""COMPUTED_VALUE"""),0.20413338404970205)</f>
        <v>0.204133384</v>
      </c>
      <c r="G3228" s="5">
        <f>IFERROR(__xludf.DUMMYFUNCTION("""COMPUTED_VALUE"""),0.15645999746418157)</f>
        <v>0.1564599975</v>
      </c>
      <c r="H3228" s="5">
        <f>IFERROR(__xludf.DUMMYFUNCTION("""COMPUTED_VALUE"""),0.5987577639751552)</f>
        <v>0.598757764</v>
      </c>
      <c r="I3228" s="11">
        <f>IFERROR(__xludf.DUMMYFUNCTION("""COMPUTED_VALUE"""),5522.919254658385)</f>
        <v>5522.919255</v>
      </c>
      <c r="J3228" s="10">
        <f>IFERROR(__xludf.DUMMYFUNCTION("""COMPUTED_VALUE"""),1.0)</f>
        <v>1</v>
      </c>
      <c r="K3228" s="5">
        <f>IFERROR(__xludf.DUMMYFUNCTION("""COMPUTED_VALUE"""),0.0013717421124828531)</f>
        <v>0.001371742112</v>
      </c>
      <c r="L3228" s="10">
        <f>IFERROR(__xludf.DUMMYFUNCTION("""COMPUTED_VALUE"""),729.0)</f>
        <v>729</v>
      </c>
      <c r="M3228" s="5">
        <f>IFERROR(__xludf.DUMMYFUNCTION("""COMPUTED_VALUE"""),1.0)</f>
        <v>1</v>
      </c>
    </row>
    <row r="3229">
      <c r="A3229" s="10" t="str">
        <f>IFERROR(__xludf.DUMMYFUNCTION("""COMPUTED_VALUE"""),"@u")</f>
        <v>@u</v>
      </c>
      <c r="B3229" s="10">
        <f>IFERROR(__xludf.DUMMYFUNCTION("""COMPUTED_VALUE"""),1641.0)</f>
        <v>1641</v>
      </c>
      <c r="C3229" s="10">
        <f>IFERROR(__xludf.DUMMYFUNCTION("""COMPUTED_VALUE"""),19240.0)</f>
        <v>19240</v>
      </c>
      <c r="D3229" s="5">
        <f>IFERROR(__xludf.DUMMYFUNCTION("""COMPUTED_VALUE"""),0.284220694357634)</f>
        <v>0.2842206944</v>
      </c>
      <c r="E3229" s="5">
        <f>IFERROR(__xludf.DUMMYFUNCTION("""COMPUTED_VALUE"""),0.12500710267628842)</f>
        <v>0.1250071027</v>
      </c>
      <c r="F3229" s="5">
        <f>IFERROR(__xludf.DUMMYFUNCTION("""COMPUTED_VALUE"""),0.18779476106596965)</f>
        <v>0.1877947611</v>
      </c>
      <c r="G3229" s="5">
        <f>IFERROR(__xludf.DUMMYFUNCTION("""COMPUTED_VALUE"""),0.18597647593613273)</f>
        <v>0.1859764759</v>
      </c>
      <c r="H3229" s="5">
        <f>IFERROR(__xludf.DUMMYFUNCTION("""COMPUTED_VALUE"""),0.56732223903177)</f>
        <v>0.567322239</v>
      </c>
      <c r="I3229" s="11">
        <f>IFERROR(__xludf.DUMMYFUNCTION("""COMPUTED_VALUE"""),6279.1527987897125)</f>
        <v>6279.152799</v>
      </c>
      <c r="J3229" s="10">
        <f>IFERROR(__xludf.DUMMYFUNCTION("""COMPUTED_VALUE"""),6.0)</f>
        <v>6</v>
      </c>
      <c r="K3229" s="5">
        <f>IFERROR(__xludf.DUMMYFUNCTION("""COMPUTED_VALUE"""),0.003656307129798903)</f>
        <v>0.00365630713</v>
      </c>
      <c r="L3229" s="10">
        <f>IFERROR(__xludf.DUMMYFUNCTION("""COMPUTED_VALUE"""),0.0)</f>
        <v>0</v>
      </c>
      <c r="M3229" s="5">
        <f>IFERROR(__xludf.DUMMYFUNCTION("""COMPUTED_VALUE"""),0.0)</f>
        <v>0</v>
      </c>
    </row>
    <row r="3230">
      <c r="A3230" s="10" t="str">
        <f>IFERROR(__xludf.DUMMYFUNCTION("""COMPUTED_VALUE"""),"msむーさん")</f>
        <v>msむーさん</v>
      </c>
      <c r="B3230" s="10">
        <f>IFERROR(__xludf.DUMMYFUNCTION("""COMPUTED_VALUE"""),1064.0)</f>
        <v>1064</v>
      </c>
      <c r="C3230" s="10">
        <f>IFERROR(__xludf.DUMMYFUNCTION("""COMPUTED_VALUE"""),12408.0)</f>
        <v>12408</v>
      </c>
      <c r="D3230" s="5">
        <f>IFERROR(__xludf.DUMMYFUNCTION("""COMPUTED_VALUE"""),0.37552891396332866)</f>
        <v>0.375528914</v>
      </c>
      <c r="E3230" s="5">
        <f>IFERROR(__xludf.DUMMYFUNCTION("""COMPUTED_VALUE"""),0.125)</f>
        <v>0.125</v>
      </c>
      <c r="F3230" s="5">
        <f>IFERROR(__xludf.DUMMYFUNCTION("""COMPUTED_VALUE"""),0.21791255289139633)</f>
        <v>0.2179125529</v>
      </c>
      <c r="G3230" s="5">
        <f>IFERROR(__xludf.DUMMYFUNCTION("""COMPUTED_VALUE"""),0.17709802538787023)</f>
        <v>0.1770980254</v>
      </c>
      <c r="H3230" s="5">
        <f>IFERROR(__xludf.DUMMYFUNCTION("""COMPUTED_VALUE"""),0.5885922330097088)</f>
        <v>0.588592233</v>
      </c>
      <c r="I3230" s="11">
        <f>IFERROR(__xludf.DUMMYFUNCTION("""COMPUTED_VALUE"""),5813.956310679611)</f>
        <v>5813.956311</v>
      </c>
      <c r="J3230" s="10">
        <f>IFERROR(__xludf.DUMMYFUNCTION("""COMPUTED_VALUE"""),3.0)</f>
        <v>3</v>
      </c>
      <c r="K3230" s="5">
        <f>IFERROR(__xludf.DUMMYFUNCTION("""COMPUTED_VALUE"""),0.002819548872180451)</f>
        <v>0.002819548872</v>
      </c>
      <c r="L3230" s="10">
        <f>IFERROR(__xludf.DUMMYFUNCTION("""COMPUTED_VALUE"""),1064.0)</f>
        <v>1064</v>
      </c>
      <c r="M3230" s="5">
        <f>IFERROR(__xludf.DUMMYFUNCTION("""COMPUTED_VALUE"""),1.0)</f>
        <v>1</v>
      </c>
    </row>
    <row r="3231">
      <c r="A3231" s="10" t="str">
        <f>IFERROR(__xludf.DUMMYFUNCTION("""COMPUTED_VALUE"""),"南国しろくま")</f>
        <v>南国しろくま</v>
      </c>
      <c r="B3231" s="10">
        <f>IFERROR(__xludf.DUMMYFUNCTION("""COMPUTED_VALUE"""),486.0)</f>
        <v>486</v>
      </c>
      <c r="C3231" s="10">
        <f>IFERROR(__xludf.DUMMYFUNCTION("""COMPUTED_VALUE"""),5870.0)</f>
        <v>5870</v>
      </c>
      <c r="D3231" s="5">
        <f>IFERROR(__xludf.DUMMYFUNCTION("""COMPUTED_VALUE"""),0.3562407132243685)</f>
        <v>0.3562407132</v>
      </c>
      <c r="E3231" s="5">
        <f>IFERROR(__xludf.DUMMYFUNCTION("""COMPUTED_VALUE"""),0.125)</f>
        <v>0.125</v>
      </c>
      <c r="F3231" s="5">
        <f>IFERROR(__xludf.DUMMYFUNCTION("""COMPUTED_VALUE"""),0.2262258543833581)</f>
        <v>0.2262258544</v>
      </c>
      <c r="G3231" s="5">
        <f>IFERROR(__xludf.DUMMYFUNCTION("""COMPUTED_VALUE"""),0.1576894502228826)</f>
        <v>0.1576894502</v>
      </c>
      <c r="H3231" s="5">
        <f>IFERROR(__xludf.DUMMYFUNCTION("""COMPUTED_VALUE"""),0.6124794745484401)</f>
        <v>0.6124794745</v>
      </c>
      <c r="I3231" s="11">
        <f>IFERROR(__xludf.DUMMYFUNCTION("""COMPUTED_VALUE"""),5260.591133004926)</f>
        <v>5260.591133</v>
      </c>
      <c r="J3231" s="10">
        <f>IFERROR(__xludf.DUMMYFUNCTION("""COMPUTED_VALUE"""),1.0)</f>
        <v>1</v>
      </c>
      <c r="K3231" s="5">
        <f>IFERROR(__xludf.DUMMYFUNCTION("""COMPUTED_VALUE"""),0.00205761316872428)</f>
        <v>0.002057613169</v>
      </c>
      <c r="L3231" s="10">
        <f>IFERROR(__xludf.DUMMYFUNCTION("""COMPUTED_VALUE"""),486.0)</f>
        <v>486</v>
      </c>
      <c r="M3231" s="5">
        <f>IFERROR(__xludf.DUMMYFUNCTION("""COMPUTED_VALUE"""),1.0)</f>
        <v>1</v>
      </c>
    </row>
    <row r="3232">
      <c r="A3232" s="10" t="str">
        <f>IFERROR(__xludf.DUMMYFUNCTION("""COMPUTED_VALUE"""),"hk_kiba")</f>
        <v>hk_kiba</v>
      </c>
      <c r="B3232" s="10">
        <f>IFERROR(__xludf.DUMMYFUNCTION("""COMPUTED_VALUE"""),174.0)</f>
        <v>174</v>
      </c>
      <c r="C3232" s="10">
        <f>IFERROR(__xludf.DUMMYFUNCTION("""COMPUTED_VALUE"""),2054.0)</f>
        <v>2054</v>
      </c>
      <c r="D3232" s="5">
        <f>IFERROR(__xludf.DUMMYFUNCTION("""COMPUTED_VALUE"""),0.42606382978723406)</f>
        <v>0.4260638298</v>
      </c>
      <c r="E3232" s="5">
        <f>IFERROR(__xludf.DUMMYFUNCTION("""COMPUTED_VALUE"""),0.125)</f>
        <v>0.125</v>
      </c>
      <c r="F3232" s="5">
        <f>IFERROR(__xludf.DUMMYFUNCTION("""COMPUTED_VALUE"""),0.21117021276595746)</f>
        <v>0.2111702128</v>
      </c>
      <c r="G3232" s="5">
        <f>IFERROR(__xludf.DUMMYFUNCTION("""COMPUTED_VALUE"""),0.15106382978723404)</f>
        <v>0.1510638298</v>
      </c>
      <c r="H3232" s="5">
        <f>IFERROR(__xludf.DUMMYFUNCTION("""COMPUTED_VALUE"""),0.6221662468513854)</f>
        <v>0.6221662469</v>
      </c>
      <c r="I3232" s="11">
        <f>IFERROR(__xludf.DUMMYFUNCTION("""COMPUTED_VALUE"""),5513.60201511335)</f>
        <v>5513.602015</v>
      </c>
      <c r="J3232" s="10">
        <f>IFERROR(__xludf.DUMMYFUNCTION("""COMPUTED_VALUE"""),2.0)</f>
        <v>2</v>
      </c>
      <c r="K3232" s="5">
        <f>IFERROR(__xludf.DUMMYFUNCTION("""COMPUTED_VALUE"""),0.011494252873563218)</f>
        <v>0.01149425287</v>
      </c>
      <c r="L3232" s="10">
        <f>IFERROR(__xludf.DUMMYFUNCTION("""COMPUTED_VALUE"""),174.0)</f>
        <v>174</v>
      </c>
      <c r="M3232" s="5">
        <f>IFERROR(__xludf.DUMMYFUNCTION("""COMPUTED_VALUE"""),1.0)</f>
        <v>1</v>
      </c>
    </row>
    <row r="3233">
      <c r="A3233" s="10" t="str">
        <f>IFERROR(__xludf.DUMMYFUNCTION("""COMPUTED_VALUE"""),"ささささ")</f>
        <v>ささささ</v>
      </c>
      <c r="B3233" s="10">
        <f>IFERROR(__xludf.DUMMYFUNCTION("""COMPUTED_VALUE"""),1212.0)</f>
        <v>1212</v>
      </c>
      <c r="C3233" s="10">
        <f>IFERROR(__xludf.DUMMYFUNCTION("""COMPUTED_VALUE"""),14452.0)</f>
        <v>14452</v>
      </c>
      <c r="D3233" s="5">
        <f>IFERROR(__xludf.DUMMYFUNCTION("""COMPUTED_VALUE"""),0.3688821752265861)</f>
        <v>0.3688821752</v>
      </c>
      <c r="E3233" s="5">
        <f>IFERROR(__xludf.DUMMYFUNCTION("""COMPUTED_VALUE"""),0.125)</f>
        <v>0.125</v>
      </c>
      <c r="F3233" s="5">
        <f>IFERROR(__xludf.DUMMYFUNCTION("""COMPUTED_VALUE"""),0.20211480362537765)</f>
        <v>0.2021148036</v>
      </c>
      <c r="G3233" s="5">
        <f>IFERROR(__xludf.DUMMYFUNCTION("""COMPUTED_VALUE"""),0.1450906344410876)</f>
        <v>0.1450906344</v>
      </c>
      <c r="H3233" s="5">
        <f>IFERROR(__xludf.DUMMYFUNCTION("""COMPUTED_VALUE"""),0.5866965620328849)</f>
        <v>0.586696562</v>
      </c>
      <c r="I3233" s="11">
        <f>IFERROR(__xludf.DUMMYFUNCTION("""COMPUTED_VALUE"""),5601.1958146487295)</f>
        <v>5601.195815</v>
      </c>
      <c r="J3233" s="10">
        <f>IFERROR(__xludf.DUMMYFUNCTION("""COMPUTED_VALUE"""),2.0)</f>
        <v>2</v>
      </c>
      <c r="K3233" s="5">
        <f>IFERROR(__xludf.DUMMYFUNCTION("""COMPUTED_VALUE"""),0.0016501650165016502)</f>
        <v>0.001650165017</v>
      </c>
      <c r="L3233" s="10">
        <f>IFERROR(__xludf.DUMMYFUNCTION("""COMPUTED_VALUE"""),1212.0)</f>
        <v>1212</v>
      </c>
      <c r="M3233" s="5">
        <f>IFERROR(__xludf.DUMMYFUNCTION("""COMPUTED_VALUE"""),1.0)</f>
        <v>1</v>
      </c>
    </row>
    <row r="3234">
      <c r="A3234" s="10" t="str">
        <f>IFERROR(__xludf.DUMMYFUNCTION("""COMPUTED_VALUE"""),"新宿方面")</f>
        <v>新宿方面</v>
      </c>
      <c r="B3234" s="10">
        <f>IFERROR(__xludf.DUMMYFUNCTION("""COMPUTED_VALUE"""),2064.0)</f>
        <v>2064</v>
      </c>
      <c r="C3234" s="10">
        <f>IFERROR(__xludf.DUMMYFUNCTION("""COMPUTED_VALUE"""),24249.0)</f>
        <v>24249</v>
      </c>
      <c r="D3234" s="5">
        <f>IFERROR(__xludf.DUMMYFUNCTION("""COMPUTED_VALUE"""),0.3761099842235745)</f>
        <v>0.3761099842</v>
      </c>
      <c r="E3234" s="5">
        <f>IFERROR(__xludf.DUMMYFUNCTION("""COMPUTED_VALUE"""),0.12499436556231688)</f>
        <v>0.1249943656</v>
      </c>
      <c r="F3234" s="5">
        <f>IFERROR(__xludf.DUMMYFUNCTION("""COMPUTED_VALUE"""),0.21410863195853053)</f>
        <v>0.214108632</v>
      </c>
      <c r="G3234" s="5">
        <f>IFERROR(__xludf.DUMMYFUNCTION("""COMPUTED_VALUE"""),0.15681766959657426)</f>
        <v>0.1568176696</v>
      </c>
      <c r="H3234" s="5">
        <f>IFERROR(__xludf.DUMMYFUNCTION("""COMPUTED_VALUE"""),0.5778947368421052)</f>
        <v>0.5778947368</v>
      </c>
      <c r="I3234" s="11">
        <f>IFERROR(__xludf.DUMMYFUNCTION("""COMPUTED_VALUE"""),5696.210526315789)</f>
        <v>5696.210526</v>
      </c>
      <c r="J3234" s="10">
        <f>IFERROR(__xludf.DUMMYFUNCTION("""COMPUTED_VALUE"""),3.0)</f>
        <v>3</v>
      </c>
      <c r="K3234" s="5">
        <f>IFERROR(__xludf.DUMMYFUNCTION("""COMPUTED_VALUE"""),0.0014534883720930232)</f>
        <v>0.001453488372</v>
      </c>
      <c r="L3234" s="10">
        <f>IFERROR(__xludf.DUMMYFUNCTION("""COMPUTED_VALUE"""),2064.0)</f>
        <v>2064</v>
      </c>
      <c r="M3234" s="5">
        <f>IFERROR(__xludf.DUMMYFUNCTION("""COMPUTED_VALUE"""),1.0)</f>
        <v>1</v>
      </c>
    </row>
    <row r="3235">
      <c r="A3235" s="10" t="str">
        <f>IFERROR(__xludf.DUMMYFUNCTION("""COMPUTED_VALUE"""),"AUGURI")</f>
        <v>AUGURI</v>
      </c>
      <c r="B3235" s="10">
        <f>IFERROR(__xludf.DUMMYFUNCTION("""COMPUTED_VALUE"""),748.0)</f>
        <v>748</v>
      </c>
      <c r="C3235" s="10">
        <f>IFERROR(__xludf.DUMMYFUNCTION("""COMPUTED_VALUE"""),8726.0)</f>
        <v>8726</v>
      </c>
      <c r="D3235" s="5">
        <f>IFERROR(__xludf.DUMMYFUNCTION("""COMPUTED_VALUE"""),0.3992228628729005)</f>
        <v>0.3992228629</v>
      </c>
      <c r="E3235" s="5">
        <f>IFERROR(__xludf.DUMMYFUNCTION("""COMPUTED_VALUE"""),0.12496866382552017)</f>
        <v>0.1249686638</v>
      </c>
      <c r="F3235" s="5">
        <f>IFERROR(__xludf.DUMMYFUNCTION("""COMPUTED_VALUE"""),0.2132113311606919)</f>
        <v>0.2132113312</v>
      </c>
      <c r="G3235" s="5">
        <f>IFERROR(__xludf.DUMMYFUNCTION("""COMPUTED_VALUE"""),0.17648533467034344)</f>
        <v>0.1764853347</v>
      </c>
      <c r="H3235" s="5">
        <f>IFERROR(__xludf.DUMMYFUNCTION("""COMPUTED_VALUE"""),0.6025867136978248)</f>
        <v>0.6025867137</v>
      </c>
      <c r="I3235" s="11">
        <f>IFERROR(__xludf.DUMMYFUNCTION("""COMPUTED_VALUE"""),5545.5026455026455)</f>
        <v>5545.502646</v>
      </c>
      <c r="J3235" s="10">
        <f>IFERROR(__xludf.DUMMYFUNCTION("""COMPUTED_VALUE"""),1.0)</f>
        <v>1</v>
      </c>
      <c r="K3235" s="5">
        <f>IFERROR(__xludf.DUMMYFUNCTION("""COMPUTED_VALUE"""),0.001336898395721925)</f>
        <v>0.001336898396</v>
      </c>
      <c r="L3235" s="10">
        <f>IFERROR(__xludf.DUMMYFUNCTION("""COMPUTED_VALUE"""),445.0)</f>
        <v>445</v>
      </c>
      <c r="M3235" s="5">
        <f>IFERROR(__xludf.DUMMYFUNCTION("""COMPUTED_VALUE"""),0.5949197860962567)</f>
        <v>0.5949197861</v>
      </c>
    </row>
    <row r="3236">
      <c r="A3236" s="10" t="str">
        <f>IFERROR(__xludf.DUMMYFUNCTION("""COMPUTED_VALUE"""),"AyouF")</f>
        <v>AyouF</v>
      </c>
      <c r="B3236" s="10">
        <f>IFERROR(__xludf.DUMMYFUNCTION("""COMPUTED_VALUE"""),2872.0)</f>
        <v>2872</v>
      </c>
      <c r="C3236" s="10">
        <f>IFERROR(__xludf.DUMMYFUNCTION("""COMPUTED_VALUE"""),33777.0)</f>
        <v>33777</v>
      </c>
      <c r="D3236" s="5">
        <f>IFERROR(__xludf.DUMMYFUNCTION("""COMPUTED_VALUE"""),0.3578061802297363)</f>
        <v>0.3578061802</v>
      </c>
      <c r="E3236" s="5">
        <f>IFERROR(__xludf.DUMMYFUNCTION("""COMPUTED_VALUE"""),0.12496359812328102)</f>
        <v>0.1249635981</v>
      </c>
      <c r="F3236" s="5">
        <f>IFERROR(__xludf.DUMMYFUNCTION("""COMPUTED_VALUE"""),0.21818475974761364)</f>
        <v>0.2181847597</v>
      </c>
      <c r="G3236" s="5">
        <f>IFERROR(__xludf.DUMMYFUNCTION("""COMPUTED_VALUE"""),0.14143342501213396)</f>
        <v>0.141433425</v>
      </c>
      <c r="H3236" s="5">
        <f>IFERROR(__xludf.DUMMYFUNCTION("""COMPUTED_VALUE"""),0.6170843838054278)</f>
        <v>0.6170843838</v>
      </c>
      <c r="I3236" s="11">
        <f>IFERROR(__xludf.DUMMYFUNCTION("""COMPUTED_VALUE"""),5476.182707993475)</f>
        <v>5476.182708</v>
      </c>
      <c r="J3236" s="10">
        <f>IFERROR(__xludf.DUMMYFUNCTION("""COMPUTED_VALUE"""),5.0)</f>
        <v>5</v>
      </c>
      <c r="K3236" s="5">
        <f>IFERROR(__xludf.DUMMYFUNCTION("""COMPUTED_VALUE"""),0.0017409470752089136)</f>
        <v>0.001740947075</v>
      </c>
      <c r="L3236" s="10">
        <f>IFERROR(__xludf.DUMMYFUNCTION("""COMPUTED_VALUE"""),2872.0)</f>
        <v>2872</v>
      </c>
      <c r="M3236" s="5">
        <f>IFERROR(__xludf.DUMMYFUNCTION("""COMPUTED_VALUE"""),1.0)</f>
        <v>1</v>
      </c>
    </row>
    <row r="3237">
      <c r="A3237" s="10" t="str">
        <f>IFERROR(__xludf.DUMMYFUNCTION("""COMPUTED_VALUE"""),"ヤコブコーエン")</f>
        <v>ヤコブコーエン</v>
      </c>
      <c r="B3237" s="10">
        <f>IFERROR(__xludf.DUMMYFUNCTION("""COMPUTED_VALUE"""),4431.0)</f>
        <v>4431</v>
      </c>
      <c r="C3237" s="10">
        <f>IFERROR(__xludf.DUMMYFUNCTION("""COMPUTED_VALUE"""),51392.0)</f>
        <v>51392</v>
      </c>
      <c r="D3237" s="5">
        <f>IFERROR(__xludf.DUMMYFUNCTION("""COMPUTED_VALUE"""),0.30812802112391136)</f>
        <v>0.3081280211</v>
      </c>
      <c r="E3237" s="5">
        <f>IFERROR(__xludf.DUMMYFUNCTION("""COMPUTED_VALUE"""),0.12495474968590958)</f>
        <v>0.1249547497</v>
      </c>
      <c r="F3237" s="5">
        <f>IFERROR(__xludf.DUMMYFUNCTION("""COMPUTED_VALUE"""),0.2073848512595558)</f>
        <v>0.2073848513</v>
      </c>
      <c r="G3237" s="5">
        <f>IFERROR(__xludf.DUMMYFUNCTION("""COMPUTED_VALUE"""),0.14697302016566938)</f>
        <v>0.1469730202</v>
      </c>
      <c r="H3237" s="5">
        <f>IFERROR(__xludf.DUMMYFUNCTION("""COMPUTED_VALUE"""),0.6058116849779238)</f>
        <v>0.605811685</v>
      </c>
      <c r="I3237" s="11">
        <f>IFERROR(__xludf.DUMMYFUNCTION("""COMPUTED_VALUE"""),5712.516685491323)</f>
        <v>5712.516685</v>
      </c>
      <c r="J3237" s="10">
        <f>IFERROR(__xludf.DUMMYFUNCTION("""COMPUTED_VALUE"""),5.0)</f>
        <v>5</v>
      </c>
      <c r="K3237" s="5">
        <f>IFERROR(__xludf.DUMMYFUNCTION("""COMPUTED_VALUE"""),0.0011284134506883321)</f>
        <v>0.001128413451</v>
      </c>
      <c r="L3237" s="10">
        <f>IFERROR(__xludf.DUMMYFUNCTION("""COMPUTED_VALUE"""),4431.0)</f>
        <v>4431</v>
      </c>
      <c r="M3237" s="5">
        <f>IFERROR(__xludf.DUMMYFUNCTION("""COMPUTED_VALUE"""),1.0)</f>
        <v>1</v>
      </c>
    </row>
    <row r="3238">
      <c r="A3238" s="10" t="str">
        <f>IFERROR(__xludf.DUMMYFUNCTION("""COMPUTED_VALUE"""),"てんほうせっけん")</f>
        <v>てんほうせっけん</v>
      </c>
      <c r="B3238" s="10">
        <f>IFERROR(__xludf.DUMMYFUNCTION("""COMPUTED_VALUE"""),245.0)</f>
        <v>245</v>
      </c>
      <c r="C3238" s="10">
        <f>IFERROR(__xludf.DUMMYFUNCTION("""COMPUTED_VALUE"""),2862.0)</f>
        <v>2862</v>
      </c>
      <c r="D3238" s="5">
        <f>IFERROR(__xludf.DUMMYFUNCTION("""COMPUTED_VALUE"""),0.37905999235766147)</f>
        <v>0.3790599924</v>
      </c>
      <c r="E3238" s="5">
        <f>IFERROR(__xludf.DUMMYFUNCTION("""COMPUTED_VALUE"""),0.12495223538402751)</f>
        <v>0.1249522354</v>
      </c>
      <c r="F3238" s="5">
        <f>IFERROR(__xludf.DUMMYFUNCTION("""COMPUTED_VALUE"""),0.21360336262896445)</f>
        <v>0.2136033626</v>
      </c>
      <c r="G3238" s="5">
        <f>IFERROR(__xludf.DUMMYFUNCTION("""COMPUTED_VALUE"""),0.15743217424531908)</f>
        <v>0.1574321742</v>
      </c>
      <c r="H3238" s="5">
        <f>IFERROR(__xludf.DUMMYFUNCTION("""COMPUTED_VALUE"""),0.6046511627906976)</f>
        <v>0.6046511628</v>
      </c>
      <c r="I3238" s="11">
        <f>IFERROR(__xludf.DUMMYFUNCTION("""COMPUTED_VALUE"""),4930.232558139535)</f>
        <v>4930.232558</v>
      </c>
      <c r="J3238" s="10">
        <f>IFERROR(__xludf.DUMMYFUNCTION("""COMPUTED_VALUE"""),1.0)</f>
        <v>1</v>
      </c>
      <c r="K3238" s="5">
        <f>IFERROR(__xludf.DUMMYFUNCTION("""COMPUTED_VALUE"""),0.004081632653061225)</f>
        <v>0.004081632653</v>
      </c>
      <c r="L3238" s="10">
        <f>IFERROR(__xludf.DUMMYFUNCTION("""COMPUTED_VALUE"""),245.0)</f>
        <v>245</v>
      </c>
      <c r="M3238" s="5">
        <f>IFERROR(__xludf.DUMMYFUNCTION("""COMPUTED_VALUE"""),1.0)</f>
        <v>1</v>
      </c>
    </row>
    <row r="3239">
      <c r="A3239" s="10" t="str">
        <f>IFERROR(__xludf.DUMMYFUNCTION("""COMPUTED_VALUE"""),"ひのとりのひとり")</f>
        <v>ひのとりのひとり</v>
      </c>
      <c r="B3239" s="10">
        <f>IFERROR(__xludf.DUMMYFUNCTION("""COMPUTED_VALUE"""),422.0)</f>
        <v>422</v>
      </c>
      <c r="C3239" s="10">
        <f>IFERROR(__xludf.DUMMYFUNCTION("""COMPUTED_VALUE"""),4944.0)</f>
        <v>4944</v>
      </c>
      <c r="D3239" s="5">
        <f>IFERROR(__xludf.DUMMYFUNCTION("""COMPUTED_VALUE"""),0.4042459088898717)</f>
        <v>0.4042459089</v>
      </c>
      <c r="E3239" s="5">
        <f>IFERROR(__xludf.DUMMYFUNCTION("""COMPUTED_VALUE"""),0.12494471472799647)</f>
        <v>0.1249447147</v>
      </c>
      <c r="F3239" s="5">
        <f>IFERROR(__xludf.DUMMYFUNCTION("""COMPUTED_VALUE"""),0.21384343210968598)</f>
        <v>0.2138434321</v>
      </c>
      <c r="G3239" s="5">
        <f>IFERROR(__xludf.DUMMYFUNCTION("""COMPUTED_VALUE"""),0.17669172932330826)</f>
        <v>0.1766917293</v>
      </c>
      <c r="H3239" s="5">
        <f>IFERROR(__xludf.DUMMYFUNCTION("""COMPUTED_VALUE"""),0.6132368148914168)</f>
        <v>0.6132368149</v>
      </c>
      <c r="I3239" s="11">
        <f>IFERROR(__xludf.DUMMYFUNCTION("""COMPUTED_VALUE"""),5399.8965873836605)</f>
        <v>5399.896587</v>
      </c>
      <c r="J3239" s="10">
        <f>IFERROR(__xludf.DUMMYFUNCTION("""COMPUTED_VALUE"""),1.0)</f>
        <v>1</v>
      </c>
      <c r="K3239" s="5">
        <f>IFERROR(__xludf.DUMMYFUNCTION("""COMPUTED_VALUE"""),0.002369668246445498)</f>
        <v>0.002369668246</v>
      </c>
      <c r="L3239" s="10">
        <f>IFERROR(__xludf.DUMMYFUNCTION("""COMPUTED_VALUE"""),422.0)</f>
        <v>422</v>
      </c>
      <c r="M3239" s="5">
        <f>IFERROR(__xludf.DUMMYFUNCTION("""COMPUTED_VALUE"""),1.0)</f>
        <v>1</v>
      </c>
    </row>
    <row r="3240">
      <c r="A3240" s="10" t="str">
        <f>IFERROR(__xludf.DUMMYFUNCTION("""COMPUTED_VALUE"""),"黒柱勃樹")</f>
        <v>黒柱勃樹</v>
      </c>
      <c r="B3240" s="10">
        <f>IFERROR(__xludf.DUMMYFUNCTION("""COMPUTED_VALUE"""),204.0)</f>
        <v>204</v>
      </c>
      <c r="C3240" s="10">
        <f>IFERROR(__xludf.DUMMYFUNCTION("""COMPUTED_VALUE"""),2397.0)</f>
        <v>2397</v>
      </c>
      <c r="D3240" s="5">
        <f>IFERROR(__xludf.DUMMYFUNCTION("""COMPUTED_VALUE"""),0.34655722754217966)</f>
        <v>0.3465572275</v>
      </c>
      <c r="E3240" s="5">
        <f>IFERROR(__xludf.DUMMYFUNCTION("""COMPUTED_VALUE"""),0.12494300045599635)</f>
        <v>0.1249430005</v>
      </c>
      <c r="F3240" s="5">
        <f>IFERROR(__xludf.DUMMYFUNCTION("""COMPUTED_VALUE"""),0.20109439124487005)</f>
        <v>0.2010943912</v>
      </c>
      <c r="G3240" s="5">
        <f>IFERROR(__xludf.DUMMYFUNCTION("""COMPUTED_VALUE"""),0.1823985408116735)</f>
        <v>0.1823985408</v>
      </c>
      <c r="H3240" s="5">
        <f>IFERROR(__xludf.DUMMYFUNCTION("""COMPUTED_VALUE"""),0.5963718820861678)</f>
        <v>0.5963718821</v>
      </c>
      <c r="I3240" s="11">
        <f>IFERROR(__xludf.DUMMYFUNCTION("""COMPUTED_VALUE"""),5121.768707482993)</f>
        <v>5121.768707</v>
      </c>
      <c r="J3240" s="10">
        <f>IFERROR(__xludf.DUMMYFUNCTION("""COMPUTED_VALUE"""),0.0)</f>
        <v>0</v>
      </c>
      <c r="K3240" s="5">
        <f>IFERROR(__xludf.DUMMYFUNCTION("""COMPUTED_VALUE"""),0.0)</f>
        <v>0</v>
      </c>
      <c r="L3240" s="10">
        <f>IFERROR(__xludf.DUMMYFUNCTION("""COMPUTED_VALUE"""),19.0)</f>
        <v>19</v>
      </c>
      <c r="M3240" s="5">
        <f>IFERROR(__xludf.DUMMYFUNCTION("""COMPUTED_VALUE"""),0.09313725490196079)</f>
        <v>0.0931372549</v>
      </c>
    </row>
    <row r="3241">
      <c r="A3241" s="10" t="str">
        <f>IFERROR(__xludf.DUMMYFUNCTION("""COMPUTED_VALUE"""),"黛由紀江")</f>
        <v>黛由紀江</v>
      </c>
      <c r="B3241" s="10">
        <f>IFERROR(__xludf.DUMMYFUNCTION("""COMPUTED_VALUE"""),600.0)</f>
        <v>600</v>
      </c>
      <c r="C3241" s="10">
        <f>IFERROR(__xludf.DUMMYFUNCTION("""COMPUTED_VALUE"""),6979.0)</f>
        <v>6979</v>
      </c>
      <c r="D3241" s="5">
        <f>IFERROR(__xludf.DUMMYFUNCTION("""COMPUTED_VALUE"""),0.3726289387051262)</f>
        <v>0.3726289387</v>
      </c>
      <c r="E3241" s="5">
        <f>IFERROR(__xludf.DUMMYFUNCTION("""COMPUTED_VALUE"""),0.12494121335632544)</f>
        <v>0.1249412134</v>
      </c>
      <c r="F3241" s="5">
        <f>IFERROR(__xludf.DUMMYFUNCTION("""COMPUTED_VALUE"""),0.20849662956576265)</f>
        <v>0.2084966296</v>
      </c>
      <c r="G3241" s="5">
        <f>IFERROR(__xludf.DUMMYFUNCTION("""COMPUTED_VALUE"""),0.16303495845743848)</f>
        <v>0.1630349585</v>
      </c>
      <c r="H3241" s="5">
        <f>IFERROR(__xludf.DUMMYFUNCTION("""COMPUTED_VALUE"""),0.6097744360902255)</f>
        <v>0.6097744361</v>
      </c>
      <c r="I3241" s="11">
        <f>IFERROR(__xludf.DUMMYFUNCTION("""COMPUTED_VALUE"""),5533.984962406015)</f>
        <v>5533.984962</v>
      </c>
      <c r="J3241" s="10">
        <f>IFERROR(__xludf.DUMMYFUNCTION("""COMPUTED_VALUE"""),0.0)</f>
        <v>0</v>
      </c>
      <c r="K3241" s="5">
        <f>IFERROR(__xludf.DUMMYFUNCTION("""COMPUTED_VALUE"""),0.0)</f>
        <v>0</v>
      </c>
      <c r="L3241" s="10">
        <f>IFERROR(__xludf.DUMMYFUNCTION("""COMPUTED_VALUE"""),21.0)</f>
        <v>21</v>
      </c>
      <c r="M3241" s="5">
        <f>IFERROR(__xludf.DUMMYFUNCTION("""COMPUTED_VALUE"""),0.035)</f>
        <v>0.035</v>
      </c>
    </row>
    <row r="3242">
      <c r="A3242" s="10" t="str">
        <f>IFERROR(__xludf.DUMMYFUNCTION("""COMPUTED_VALUE"""),"セブルス")</f>
        <v>セブルス</v>
      </c>
      <c r="B3242" s="10">
        <f>IFERROR(__xludf.DUMMYFUNCTION("""COMPUTED_VALUE"""),342.0)</f>
        <v>342</v>
      </c>
      <c r="C3242" s="10">
        <f>IFERROR(__xludf.DUMMYFUNCTION("""COMPUTED_VALUE"""),4040.0)</f>
        <v>4040</v>
      </c>
      <c r="D3242" s="5">
        <f>IFERROR(__xludf.DUMMYFUNCTION("""COMPUTED_VALUE"""),0.30665224445646294)</f>
        <v>0.3066522445</v>
      </c>
      <c r="E3242" s="5">
        <f>IFERROR(__xludf.DUMMYFUNCTION("""COMPUTED_VALUE"""),0.12493239588967009)</f>
        <v>0.1249323959</v>
      </c>
      <c r="F3242" s="5">
        <f>IFERROR(__xludf.DUMMYFUNCTION("""COMPUTED_VALUE"""),0.20146024878312602)</f>
        <v>0.2014602488</v>
      </c>
      <c r="G3242" s="5">
        <f>IFERROR(__xludf.DUMMYFUNCTION("""COMPUTED_VALUE"""),0.17766360194699837)</f>
        <v>0.1776636019</v>
      </c>
      <c r="H3242" s="5">
        <f>IFERROR(__xludf.DUMMYFUNCTION("""COMPUTED_VALUE"""),0.5691275167785235)</f>
        <v>0.5691275168</v>
      </c>
      <c r="I3242" s="11">
        <f>IFERROR(__xludf.DUMMYFUNCTION("""COMPUTED_VALUE"""),5302.818791946309)</f>
        <v>5302.818792</v>
      </c>
      <c r="J3242" s="10">
        <f>IFERROR(__xludf.DUMMYFUNCTION("""COMPUTED_VALUE"""),0.0)</f>
        <v>0</v>
      </c>
      <c r="K3242" s="5">
        <f>IFERROR(__xludf.DUMMYFUNCTION("""COMPUTED_VALUE"""),0.0)</f>
        <v>0</v>
      </c>
      <c r="L3242" s="10">
        <f>IFERROR(__xludf.DUMMYFUNCTION("""COMPUTED_VALUE"""),0.0)</f>
        <v>0</v>
      </c>
      <c r="M3242" s="5">
        <f>IFERROR(__xludf.DUMMYFUNCTION("""COMPUTED_VALUE"""),0.0)</f>
        <v>0</v>
      </c>
    </row>
    <row r="3243">
      <c r="A3243" s="10" t="str">
        <f>IFERROR(__xludf.DUMMYFUNCTION("""COMPUTED_VALUE"""),"げんたろ～")</f>
        <v>げんたろ～</v>
      </c>
      <c r="B3243" s="10">
        <f>IFERROR(__xludf.DUMMYFUNCTION("""COMPUTED_VALUE"""),2173.0)</f>
        <v>2173</v>
      </c>
      <c r="C3243" s="10">
        <f>IFERROR(__xludf.DUMMYFUNCTION("""COMPUTED_VALUE"""),25516.0)</f>
        <v>25516</v>
      </c>
      <c r="D3243" s="5">
        <f>IFERROR(__xludf.DUMMYFUNCTION("""COMPUTED_VALUE"""),0.3760442102557512)</f>
        <v>0.3760442103</v>
      </c>
      <c r="E3243" s="5">
        <f>IFERROR(__xludf.DUMMYFUNCTION("""COMPUTED_VALUE"""),0.12491967613417299)</f>
        <v>0.1249196761</v>
      </c>
      <c r="F3243" s="5">
        <f>IFERROR(__xludf.DUMMYFUNCTION("""COMPUTED_VALUE"""),0.222036584843422)</f>
        <v>0.2220365848</v>
      </c>
      <c r="G3243" s="5">
        <f>IFERROR(__xludf.DUMMYFUNCTION("""COMPUTED_VALUE"""),0.18647988690399692)</f>
        <v>0.1864798869</v>
      </c>
      <c r="H3243" s="5">
        <f>IFERROR(__xludf.DUMMYFUNCTION("""COMPUTED_VALUE"""),0.5874975882693421)</f>
        <v>0.5874975883</v>
      </c>
      <c r="I3243" s="11">
        <f>IFERROR(__xludf.DUMMYFUNCTION("""COMPUTED_VALUE"""),5397.800501639977)</f>
        <v>5397.800502</v>
      </c>
      <c r="J3243" s="10">
        <f>IFERROR(__xludf.DUMMYFUNCTION("""COMPUTED_VALUE"""),2.0)</f>
        <v>2</v>
      </c>
      <c r="K3243" s="5">
        <f>IFERROR(__xludf.DUMMYFUNCTION("""COMPUTED_VALUE"""),9.203865623561896E-4)</f>
        <v>0.0009203865624</v>
      </c>
      <c r="L3243" s="10">
        <f>IFERROR(__xludf.DUMMYFUNCTION("""COMPUTED_VALUE"""),2173.0)</f>
        <v>2173</v>
      </c>
      <c r="M3243" s="5">
        <f>IFERROR(__xludf.DUMMYFUNCTION("""COMPUTED_VALUE"""),1.0)</f>
        <v>1</v>
      </c>
    </row>
    <row r="3244">
      <c r="A3244" s="10" t="str">
        <f>IFERROR(__xludf.DUMMYFUNCTION("""COMPUTED_VALUE"""),"アメンポてふ")</f>
        <v>アメンポてふ</v>
      </c>
      <c r="B3244" s="10">
        <f>IFERROR(__xludf.DUMMYFUNCTION("""COMPUTED_VALUE"""),2847.0)</f>
        <v>2847</v>
      </c>
      <c r="C3244" s="10">
        <f>IFERROR(__xludf.DUMMYFUNCTION("""COMPUTED_VALUE"""),33135.0)</f>
        <v>33135</v>
      </c>
      <c r="D3244" s="5">
        <f>IFERROR(__xludf.DUMMYFUNCTION("""COMPUTED_VALUE"""),0.4506405176967776)</f>
        <v>0.4506405177</v>
      </c>
      <c r="E3244" s="5">
        <f>IFERROR(__xludf.DUMMYFUNCTION("""COMPUTED_VALUE"""),0.12490095087163233)</f>
        <v>0.1249009509</v>
      </c>
      <c r="F3244" s="5">
        <f>IFERROR(__xludf.DUMMYFUNCTION("""COMPUTED_VALUE"""),0.21536582144743793)</f>
        <v>0.2153658214</v>
      </c>
      <c r="G3244" s="5">
        <f>IFERROR(__xludf.DUMMYFUNCTION("""COMPUTED_VALUE"""),0.15507791864764922)</f>
        <v>0.1550779186</v>
      </c>
      <c r="H3244" s="5">
        <f>IFERROR(__xludf.DUMMYFUNCTION("""COMPUTED_VALUE"""),0.6035566457151618)</f>
        <v>0.6035566457</v>
      </c>
      <c r="I3244" s="11">
        <f>IFERROR(__xludf.DUMMYFUNCTION("""COMPUTED_VALUE"""),5504.169860493638)</f>
        <v>5504.16986</v>
      </c>
      <c r="J3244" s="10">
        <f>IFERROR(__xludf.DUMMYFUNCTION("""COMPUTED_VALUE"""),11.0)</f>
        <v>11</v>
      </c>
      <c r="K3244" s="5">
        <f>IFERROR(__xludf.DUMMYFUNCTION("""COMPUTED_VALUE"""),0.003863716192483316)</f>
        <v>0.003863716192</v>
      </c>
      <c r="L3244" s="10">
        <f>IFERROR(__xludf.DUMMYFUNCTION("""COMPUTED_VALUE"""),2847.0)</f>
        <v>2847</v>
      </c>
      <c r="M3244" s="5">
        <f>IFERROR(__xludf.DUMMYFUNCTION("""COMPUTED_VALUE"""),1.0)</f>
        <v>1</v>
      </c>
    </row>
    <row r="3245">
      <c r="A3245" s="10" t="str">
        <f>IFERROR(__xludf.DUMMYFUNCTION("""COMPUTED_VALUE"""),"らぁら")</f>
        <v>らぁら</v>
      </c>
      <c r="B3245" s="10">
        <f>IFERROR(__xludf.DUMMYFUNCTION("""COMPUTED_VALUE"""),118.0)</f>
        <v>118</v>
      </c>
      <c r="C3245" s="10">
        <f>IFERROR(__xludf.DUMMYFUNCTION("""COMPUTED_VALUE"""),1375.0)</f>
        <v>1375</v>
      </c>
      <c r="D3245" s="5">
        <f>IFERROR(__xludf.DUMMYFUNCTION("""COMPUTED_VALUE"""),0.31026252983293556)</f>
        <v>0.3102625298</v>
      </c>
      <c r="E3245" s="5">
        <f>IFERROR(__xludf.DUMMYFUNCTION("""COMPUTED_VALUE"""),0.1249005568814638)</f>
        <v>0.1249005569</v>
      </c>
      <c r="F3245" s="5">
        <f>IFERROR(__xludf.DUMMYFUNCTION("""COMPUTED_VALUE"""),0.19013524264120923)</f>
        <v>0.1901352426</v>
      </c>
      <c r="G3245" s="5">
        <f>IFERROR(__xludf.DUMMYFUNCTION("""COMPUTED_VALUE"""),0.18138424821002386)</f>
        <v>0.1813842482</v>
      </c>
      <c r="H3245" s="5">
        <f>IFERROR(__xludf.DUMMYFUNCTION("""COMPUTED_VALUE"""),0.6443514644351465)</f>
        <v>0.6443514644</v>
      </c>
      <c r="I3245" s="11">
        <f>IFERROR(__xludf.DUMMYFUNCTION("""COMPUTED_VALUE"""),5939.748953974896)</f>
        <v>5939.748954</v>
      </c>
      <c r="J3245" s="10">
        <f>IFERROR(__xludf.DUMMYFUNCTION("""COMPUTED_VALUE"""),0.0)</f>
        <v>0</v>
      </c>
      <c r="K3245" s="5">
        <f>IFERROR(__xludf.DUMMYFUNCTION("""COMPUTED_VALUE"""),0.0)</f>
        <v>0</v>
      </c>
      <c r="L3245" s="10">
        <f>IFERROR(__xludf.DUMMYFUNCTION("""COMPUTED_VALUE"""),12.0)</f>
        <v>12</v>
      </c>
      <c r="M3245" s="5">
        <f>IFERROR(__xludf.DUMMYFUNCTION("""COMPUTED_VALUE"""),0.1016949152542373)</f>
        <v>0.1016949153</v>
      </c>
    </row>
    <row r="3246">
      <c r="A3246" s="10" t="str">
        <f>IFERROR(__xludf.DUMMYFUNCTION("""COMPUTED_VALUE"""),"れんらく")</f>
        <v>れんらく</v>
      </c>
      <c r="B3246" s="10">
        <f>IFERROR(__xludf.DUMMYFUNCTION("""COMPUTED_VALUE"""),1285.0)</f>
        <v>1285</v>
      </c>
      <c r="C3246" s="10">
        <f>IFERROR(__xludf.DUMMYFUNCTION("""COMPUTED_VALUE"""),15104.0)</f>
        <v>15104</v>
      </c>
      <c r="D3246" s="5">
        <f>IFERROR(__xludf.DUMMYFUNCTION("""COMPUTED_VALUE"""),0.358998480353137)</f>
        <v>0.3589984804</v>
      </c>
      <c r="E3246" s="5">
        <f>IFERROR(__xludf.DUMMYFUNCTION("""COMPUTED_VALUE"""),0.1249004993125407)</f>
        <v>0.1249004993</v>
      </c>
      <c r="F3246" s="5">
        <f>IFERROR(__xludf.DUMMYFUNCTION("""COMPUTED_VALUE"""),0.2105796367320356)</f>
        <v>0.2105796367</v>
      </c>
      <c r="G3246" s="5">
        <f>IFERROR(__xludf.DUMMYFUNCTION("""COMPUTED_VALUE"""),0.1698386279759751)</f>
        <v>0.169838628</v>
      </c>
      <c r="H3246" s="5">
        <f>IFERROR(__xludf.DUMMYFUNCTION("""COMPUTED_VALUE"""),0.6151202749140894)</f>
        <v>0.6151202749</v>
      </c>
      <c r="I3246" s="11">
        <f>IFERROR(__xludf.DUMMYFUNCTION("""COMPUTED_VALUE"""),5445.051546391753)</f>
        <v>5445.051546</v>
      </c>
      <c r="J3246" s="10">
        <f>IFERROR(__xludf.DUMMYFUNCTION("""COMPUTED_VALUE"""),2.0)</f>
        <v>2</v>
      </c>
      <c r="K3246" s="5">
        <f>IFERROR(__xludf.DUMMYFUNCTION("""COMPUTED_VALUE"""),0.0015564202334630351)</f>
        <v>0.001556420233</v>
      </c>
      <c r="L3246" s="10">
        <f>IFERROR(__xludf.DUMMYFUNCTION("""COMPUTED_VALUE"""),1285.0)</f>
        <v>1285</v>
      </c>
      <c r="M3246" s="5">
        <f>IFERROR(__xludf.DUMMYFUNCTION("""COMPUTED_VALUE"""),1.0)</f>
        <v>1</v>
      </c>
    </row>
    <row r="3247">
      <c r="A3247" s="10" t="str">
        <f>IFERROR(__xludf.DUMMYFUNCTION("""COMPUTED_VALUE"""),"willpowe")</f>
        <v>willpowe</v>
      </c>
      <c r="B3247" s="10">
        <f>IFERROR(__xludf.DUMMYFUNCTION("""COMPUTED_VALUE"""),113.0)</f>
        <v>113</v>
      </c>
      <c r="C3247" s="10">
        <f>IFERROR(__xludf.DUMMYFUNCTION("""COMPUTED_VALUE"""),1298.0)</f>
        <v>1298</v>
      </c>
      <c r="D3247" s="5">
        <f>IFERROR(__xludf.DUMMYFUNCTION("""COMPUTED_VALUE"""),0.32827004219409284)</f>
        <v>0.3282700422</v>
      </c>
      <c r="E3247" s="5">
        <f>IFERROR(__xludf.DUMMYFUNCTION("""COMPUTED_VALUE"""),0.1248945147679325)</f>
        <v>0.1248945148</v>
      </c>
      <c r="F3247" s="5">
        <f>IFERROR(__xludf.DUMMYFUNCTION("""COMPUTED_VALUE"""),0.20168776371308017)</f>
        <v>0.2016877637</v>
      </c>
      <c r="G3247" s="5">
        <f>IFERROR(__xludf.DUMMYFUNCTION("""COMPUTED_VALUE"""),0.19324894514767932)</f>
        <v>0.1932489451</v>
      </c>
      <c r="H3247" s="5">
        <f>IFERROR(__xludf.DUMMYFUNCTION("""COMPUTED_VALUE"""),0.5732217573221757)</f>
        <v>0.5732217573</v>
      </c>
      <c r="I3247" s="11">
        <f>IFERROR(__xludf.DUMMYFUNCTION("""COMPUTED_VALUE"""),5798.326359832636)</f>
        <v>5798.32636</v>
      </c>
      <c r="J3247" s="10">
        <f>IFERROR(__xludf.DUMMYFUNCTION("""COMPUTED_VALUE"""),0.0)</f>
        <v>0</v>
      </c>
      <c r="K3247" s="5">
        <f>IFERROR(__xludf.DUMMYFUNCTION("""COMPUTED_VALUE"""),0.0)</f>
        <v>0</v>
      </c>
      <c r="L3247" s="10">
        <f>IFERROR(__xludf.DUMMYFUNCTION("""COMPUTED_VALUE"""),113.0)</f>
        <v>113</v>
      </c>
      <c r="M3247" s="5">
        <f>IFERROR(__xludf.DUMMYFUNCTION("""COMPUTED_VALUE"""),1.0)</f>
        <v>1</v>
      </c>
    </row>
    <row r="3248">
      <c r="A3248" s="10" t="str">
        <f>IFERROR(__xludf.DUMMYFUNCTION("""COMPUTED_VALUE"""),"暴走妄想")</f>
        <v>暴走妄想</v>
      </c>
      <c r="B3248" s="10">
        <f>IFERROR(__xludf.DUMMYFUNCTION("""COMPUTED_VALUE"""),473.0)</f>
        <v>473</v>
      </c>
      <c r="C3248" s="10">
        <f>IFERROR(__xludf.DUMMYFUNCTION("""COMPUTED_VALUE"""),5638.0)</f>
        <v>5638</v>
      </c>
      <c r="D3248" s="5">
        <f>IFERROR(__xludf.DUMMYFUNCTION("""COMPUTED_VALUE"""),0.3914811229428848)</f>
        <v>0.3914811229</v>
      </c>
      <c r="E3248" s="5">
        <f>IFERROR(__xludf.DUMMYFUNCTION("""COMPUTED_VALUE"""),0.12487899322362052)</f>
        <v>0.1248789932</v>
      </c>
      <c r="F3248" s="5">
        <f>IFERROR(__xludf.DUMMYFUNCTION("""COMPUTED_VALUE"""),0.2185866408518877)</f>
        <v>0.2185866409</v>
      </c>
      <c r="G3248" s="5">
        <f>IFERROR(__xludf.DUMMYFUNCTION("""COMPUTED_VALUE"""),0.13978702807357213)</f>
        <v>0.1397870281</v>
      </c>
      <c r="H3248" s="5">
        <f>IFERROR(__xludf.DUMMYFUNCTION("""COMPUTED_VALUE"""),0.6138175376439327)</f>
        <v>0.6138175376</v>
      </c>
      <c r="I3248" s="11">
        <f>IFERROR(__xludf.DUMMYFUNCTION("""COMPUTED_VALUE"""),5622.497785651019)</f>
        <v>5622.497786</v>
      </c>
      <c r="J3248" s="10">
        <f>IFERROR(__xludf.DUMMYFUNCTION("""COMPUTED_VALUE"""),0.0)</f>
        <v>0</v>
      </c>
      <c r="K3248" s="5">
        <f>IFERROR(__xludf.DUMMYFUNCTION("""COMPUTED_VALUE"""),0.0)</f>
        <v>0</v>
      </c>
      <c r="L3248" s="10">
        <f>IFERROR(__xludf.DUMMYFUNCTION("""COMPUTED_VALUE"""),473.0)</f>
        <v>473</v>
      </c>
      <c r="M3248" s="5">
        <f>IFERROR(__xludf.DUMMYFUNCTION("""COMPUTED_VALUE"""),1.0)</f>
        <v>1</v>
      </c>
    </row>
    <row r="3249">
      <c r="A3249" s="10" t="str">
        <f>IFERROR(__xludf.DUMMYFUNCTION("""COMPUTED_VALUE"""),"アリアンロード")</f>
        <v>アリアンロード</v>
      </c>
      <c r="B3249" s="10">
        <f>IFERROR(__xludf.DUMMYFUNCTION("""COMPUTED_VALUE"""),279.0)</f>
        <v>279</v>
      </c>
      <c r="C3249" s="10">
        <f>IFERROR(__xludf.DUMMYFUNCTION("""COMPUTED_VALUE"""),3290.0)</f>
        <v>3290</v>
      </c>
      <c r="D3249" s="5">
        <f>IFERROR(__xludf.DUMMYFUNCTION("""COMPUTED_VALUE"""),0.3145134506808369)</f>
        <v>0.3145134507</v>
      </c>
      <c r="E3249" s="5">
        <f>IFERROR(__xludf.DUMMYFUNCTION("""COMPUTED_VALUE"""),0.1248754566589173)</f>
        <v>0.1248754567</v>
      </c>
      <c r="F3249" s="5">
        <f>IFERROR(__xludf.DUMMYFUNCTION("""COMPUTED_VALUE"""),0.20458319495184324)</f>
        <v>0.204583195</v>
      </c>
      <c r="G3249" s="5">
        <f>IFERROR(__xludf.DUMMYFUNCTION("""COMPUTED_VALUE"""),0.19163068747924278)</f>
        <v>0.1916306875</v>
      </c>
      <c r="H3249" s="5">
        <f>IFERROR(__xludf.DUMMYFUNCTION("""COMPUTED_VALUE"""),0.6185064935064936)</f>
        <v>0.6185064935</v>
      </c>
      <c r="I3249" s="11">
        <f>IFERROR(__xludf.DUMMYFUNCTION("""COMPUTED_VALUE"""),5763.636363636364)</f>
        <v>5763.636364</v>
      </c>
      <c r="J3249" s="10">
        <f>IFERROR(__xludf.DUMMYFUNCTION("""COMPUTED_VALUE"""),0.0)</f>
        <v>0</v>
      </c>
      <c r="K3249" s="5">
        <f>IFERROR(__xludf.DUMMYFUNCTION("""COMPUTED_VALUE"""),0.0)</f>
        <v>0</v>
      </c>
      <c r="L3249" s="10">
        <f>IFERROR(__xludf.DUMMYFUNCTION("""COMPUTED_VALUE"""),18.0)</f>
        <v>18</v>
      </c>
      <c r="M3249" s="5">
        <f>IFERROR(__xludf.DUMMYFUNCTION("""COMPUTED_VALUE"""),0.06451612903225806)</f>
        <v>0.06451612903</v>
      </c>
    </row>
    <row r="3250">
      <c r="A3250" s="10" t="str">
        <f>IFERROR(__xludf.DUMMYFUNCTION("""COMPUTED_VALUE"""),"リーチ１")</f>
        <v>リーチ１</v>
      </c>
      <c r="B3250" s="10">
        <f>IFERROR(__xludf.DUMMYFUNCTION("""COMPUTED_VALUE"""),3788.0)</f>
        <v>3788</v>
      </c>
      <c r="C3250" s="10">
        <f>IFERROR(__xludf.DUMMYFUNCTION("""COMPUTED_VALUE"""),44693.0)</f>
        <v>44693</v>
      </c>
      <c r="D3250" s="5">
        <f>IFERROR(__xludf.DUMMYFUNCTION("""COMPUTED_VALUE"""),0.35298863219655296)</f>
        <v>0.3529886322</v>
      </c>
      <c r="E3250" s="5">
        <f>IFERROR(__xludf.DUMMYFUNCTION("""COMPUTED_VALUE"""),0.12487470969319155)</f>
        <v>0.1248747097</v>
      </c>
      <c r="F3250" s="5">
        <f>IFERROR(__xludf.DUMMYFUNCTION("""COMPUTED_VALUE"""),0.22117100598948783)</f>
        <v>0.221171006</v>
      </c>
      <c r="G3250" s="5">
        <f>IFERROR(__xludf.DUMMYFUNCTION("""COMPUTED_VALUE"""),0.15797579757975796)</f>
        <v>0.1579757976</v>
      </c>
      <c r="H3250" s="5">
        <f>IFERROR(__xludf.DUMMYFUNCTION("""COMPUTED_VALUE"""),0.610699679451752)</f>
        <v>0.6106996795</v>
      </c>
      <c r="I3250" s="11">
        <f>IFERROR(__xludf.DUMMYFUNCTION("""COMPUTED_VALUE"""),5468.862606388858)</f>
        <v>5468.862606</v>
      </c>
      <c r="J3250" s="10">
        <f>IFERROR(__xludf.DUMMYFUNCTION("""COMPUTED_VALUE"""),4.0)</f>
        <v>4</v>
      </c>
      <c r="K3250" s="5">
        <f>IFERROR(__xludf.DUMMYFUNCTION("""COMPUTED_VALUE"""),0.0010559662090813093)</f>
        <v>0.001055966209</v>
      </c>
      <c r="L3250" s="10">
        <f>IFERROR(__xludf.DUMMYFUNCTION("""COMPUTED_VALUE"""),3560.0)</f>
        <v>3560</v>
      </c>
      <c r="M3250" s="5">
        <f>IFERROR(__xludf.DUMMYFUNCTION("""COMPUTED_VALUE"""),0.9398099260823654)</f>
        <v>0.9398099261</v>
      </c>
    </row>
    <row r="3251">
      <c r="A3251" s="10" t="str">
        <f>IFERROR(__xludf.DUMMYFUNCTION("""COMPUTED_VALUE"""),"★taruto★")</f>
        <v>★taruto★</v>
      </c>
      <c r="B3251" s="10">
        <f>IFERROR(__xludf.DUMMYFUNCTION("""COMPUTED_VALUE"""),1481.0)</f>
        <v>1481</v>
      </c>
      <c r="C3251" s="10">
        <f>IFERROR(__xludf.DUMMYFUNCTION("""COMPUTED_VALUE"""),17442.0)</f>
        <v>17442</v>
      </c>
      <c r="D3251" s="5">
        <f>IFERROR(__xludf.DUMMYFUNCTION("""COMPUTED_VALUE"""),0.3367583484744064)</f>
        <v>0.3367583485</v>
      </c>
      <c r="E3251" s="5">
        <f>IFERROR(__xludf.DUMMYFUNCTION("""COMPUTED_VALUE"""),0.12486686297851012)</f>
        <v>0.124866863</v>
      </c>
      <c r="F3251" s="5">
        <f>IFERROR(__xludf.DUMMYFUNCTION("""COMPUTED_VALUE"""),0.2083829334001629)</f>
        <v>0.2083829334</v>
      </c>
      <c r="G3251" s="5">
        <f>IFERROR(__xludf.DUMMYFUNCTION("""COMPUTED_VALUE"""),0.14623143913288641)</f>
        <v>0.1462314391</v>
      </c>
      <c r="H3251" s="5">
        <f>IFERROR(__xludf.DUMMYFUNCTION("""COMPUTED_VALUE"""),0.6097414311485267)</f>
        <v>0.6097414311</v>
      </c>
      <c r="I3251" s="11">
        <f>IFERROR(__xludf.DUMMYFUNCTION("""COMPUTED_VALUE"""),5641.791942273001)</f>
        <v>5641.791942</v>
      </c>
      <c r="J3251" s="10">
        <f>IFERROR(__xludf.DUMMYFUNCTION("""COMPUTED_VALUE"""),1.0)</f>
        <v>1</v>
      </c>
      <c r="K3251" s="5">
        <f>IFERROR(__xludf.DUMMYFUNCTION("""COMPUTED_VALUE"""),6.752194463200541E-4)</f>
        <v>0.0006752194463</v>
      </c>
      <c r="L3251" s="10">
        <f>IFERROR(__xludf.DUMMYFUNCTION("""COMPUTED_VALUE"""),1481.0)</f>
        <v>1481</v>
      </c>
      <c r="M3251" s="5">
        <f>IFERROR(__xludf.DUMMYFUNCTION("""COMPUTED_VALUE"""),1.0)</f>
        <v>1</v>
      </c>
    </row>
    <row r="3252">
      <c r="A3252" s="10" t="str">
        <f>IFERROR(__xludf.DUMMYFUNCTION("""COMPUTED_VALUE"""),"lab")</f>
        <v>lab</v>
      </c>
      <c r="B3252" s="10">
        <f>IFERROR(__xludf.DUMMYFUNCTION("""COMPUTED_VALUE"""),517.0)</f>
        <v>517</v>
      </c>
      <c r="C3252" s="10">
        <f>IFERROR(__xludf.DUMMYFUNCTION("""COMPUTED_VALUE"""),6131.0)</f>
        <v>6131</v>
      </c>
      <c r="D3252" s="5">
        <f>IFERROR(__xludf.DUMMYFUNCTION("""COMPUTED_VALUE"""),0.3478802992518703)</f>
        <v>0.3478802993</v>
      </c>
      <c r="E3252" s="5">
        <f>IFERROR(__xludf.DUMMYFUNCTION("""COMPUTED_VALUE"""),0.12486640541503384)</f>
        <v>0.1248664054</v>
      </c>
      <c r="F3252" s="5">
        <f>IFERROR(__xludf.DUMMYFUNCTION("""COMPUTED_VALUE"""),0.18471677947987175)</f>
        <v>0.1847167795</v>
      </c>
      <c r="G3252" s="5">
        <f>IFERROR(__xludf.DUMMYFUNCTION("""COMPUTED_VALUE"""),0.1530103313145707)</f>
        <v>0.1530103313</v>
      </c>
      <c r="H3252" s="5">
        <f>IFERROR(__xludf.DUMMYFUNCTION("""COMPUTED_VALUE"""),0.600771456123433)</f>
        <v>0.6007714561</v>
      </c>
      <c r="I3252" s="11">
        <f>IFERROR(__xludf.DUMMYFUNCTION("""COMPUTED_VALUE"""),5671.3596914175505)</f>
        <v>5671.359691</v>
      </c>
      <c r="J3252" s="10">
        <f>IFERROR(__xludf.DUMMYFUNCTION("""COMPUTED_VALUE"""),0.0)</f>
        <v>0</v>
      </c>
      <c r="K3252" s="5">
        <f>IFERROR(__xludf.DUMMYFUNCTION("""COMPUTED_VALUE"""),0.0)</f>
        <v>0</v>
      </c>
      <c r="L3252" s="10">
        <f>IFERROR(__xludf.DUMMYFUNCTION("""COMPUTED_VALUE"""),517.0)</f>
        <v>517</v>
      </c>
      <c r="M3252" s="5">
        <f>IFERROR(__xludf.DUMMYFUNCTION("""COMPUTED_VALUE"""),1.0)</f>
        <v>1</v>
      </c>
    </row>
    <row r="3253">
      <c r="A3253" s="10" t="str">
        <f>IFERROR(__xludf.DUMMYFUNCTION("""COMPUTED_VALUE"""),"杉本四葉")</f>
        <v>杉本四葉</v>
      </c>
      <c r="B3253" s="10">
        <f>IFERROR(__xludf.DUMMYFUNCTION("""COMPUTED_VALUE"""),167.0)</f>
        <v>167</v>
      </c>
      <c r="C3253" s="10">
        <f>IFERROR(__xludf.DUMMYFUNCTION("""COMPUTED_VALUE"""),2001.0)</f>
        <v>2001</v>
      </c>
      <c r="D3253" s="5">
        <f>IFERROR(__xludf.DUMMYFUNCTION("""COMPUTED_VALUE"""),0.31025081788440567)</f>
        <v>0.3102508179</v>
      </c>
      <c r="E3253" s="5">
        <f>IFERROR(__xludf.DUMMYFUNCTION("""COMPUTED_VALUE"""),0.12486368593238822)</f>
        <v>0.1248636859</v>
      </c>
      <c r="F3253" s="5">
        <f>IFERROR(__xludf.DUMMYFUNCTION("""COMPUTED_VALUE"""),0.20283533260632497)</f>
        <v>0.2028353326</v>
      </c>
      <c r="G3253" s="5">
        <f>IFERROR(__xludf.DUMMYFUNCTION("""COMPUTED_VALUE"""),0.1777535441657579)</f>
        <v>0.1777535442</v>
      </c>
      <c r="H3253" s="5">
        <f>IFERROR(__xludf.DUMMYFUNCTION("""COMPUTED_VALUE"""),0.5752688172043011)</f>
        <v>0.5752688172</v>
      </c>
      <c r="I3253" s="11">
        <f>IFERROR(__xludf.DUMMYFUNCTION("""COMPUTED_VALUE"""),5818.279569892473)</f>
        <v>5818.27957</v>
      </c>
      <c r="J3253" s="10">
        <f>IFERROR(__xludf.DUMMYFUNCTION("""COMPUTED_VALUE"""),0.0)</f>
        <v>0</v>
      </c>
      <c r="K3253" s="5">
        <f>IFERROR(__xludf.DUMMYFUNCTION("""COMPUTED_VALUE"""),0.0)</f>
        <v>0</v>
      </c>
      <c r="L3253" s="10">
        <f>IFERROR(__xludf.DUMMYFUNCTION("""COMPUTED_VALUE"""),167.0)</f>
        <v>167</v>
      </c>
      <c r="M3253" s="5">
        <f>IFERROR(__xludf.DUMMYFUNCTION("""COMPUTED_VALUE"""),1.0)</f>
        <v>1</v>
      </c>
    </row>
    <row r="3254">
      <c r="A3254" s="10" t="str">
        <f>IFERROR(__xludf.DUMMYFUNCTION("""COMPUTED_VALUE"""),"ぬーん(＾ω＾)")</f>
        <v>ぬーん(＾ω＾)</v>
      </c>
      <c r="B3254" s="10">
        <f>IFERROR(__xludf.DUMMYFUNCTION("""COMPUTED_VALUE"""),345.0)</f>
        <v>345</v>
      </c>
      <c r="C3254" s="10">
        <f>IFERROR(__xludf.DUMMYFUNCTION("""COMPUTED_VALUE"""),3997.0)</f>
        <v>3997</v>
      </c>
      <c r="D3254" s="5">
        <f>IFERROR(__xludf.DUMMYFUNCTION("""COMPUTED_VALUE"""),0.2713581599123768)</f>
        <v>0.2713581599</v>
      </c>
      <c r="E3254" s="5">
        <f>IFERROR(__xludf.DUMMYFUNCTION("""COMPUTED_VALUE"""),0.1248630887185104)</f>
        <v>0.1248630887</v>
      </c>
      <c r="F3254" s="5">
        <f>IFERROR(__xludf.DUMMYFUNCTION("""COMPUTED_VALUE"""),0.19906900328587077)</f>
        <v>0.1990690033</v>
      </c>
      <c r="G3254" s="5">
        <f>IFERROR(__xludf.DUMMYFUNCTION("""COMPUTED_VALUE"""),0.17059145673603504)</f>
        <v>0.1705914567</v>
      </c>
      <c r="H3254" s="5">
        <f>IFERROR(__xludf.DUMMYFUNCTION("""COMPUTED_VALUE"""),0.6107290233837689)</f>
        <v>0.6107290234</v>
      </c>
      <c r="I3254" s="11">
        <f>IFERROR(__xludf.DUMMYFUNCTION("""COMPUTED_VALUE"""),5803.4387895460795)</f>
        <v>5803.43879</v>
      </c>
      <c r="J3254" s="10">
        <f>IFERROR(__xludf.DUMMYFUNCTION("""COMPUTED_VALUE"""),0.0)</f>
        <v>0</v>
      </c>
      <c r="K3254" s="5">
        <f>IFERROR(__xludf.DUMMYFUNCTION("""COMPUTED_VALUE"""),0.0)</f>
        <v>0</v>
      </c>
      <c r="L3254" s="10">
        <f>IFERROR(__xludf.DUMMYFUNCTION("""COMPUTED_VALUE"""),345.0)</f>
        <v>345</v>
      </c>
      <c r="M3254" s="5">
        <f>IFERROR(__xludf.DUMMYFUNCTION("""COMPUTED_VALUE"""),1.0)</f>
        <v>1</v>
      </c>
    </row>
    <row r="3255">
      <c r="A3255" s="10" t="str">
        <f>IFERROR(__xludf.DUMMYFUNCTION("""COMPUTED_VALUE"""),"いけたん")</f>
        <v>いけたん</v>
      </c>
      <c r="B3255" s="10">
        <f>IFERROR(__xludf.DUMMYFUNCTION("""COMPUTED_VALUE"""),920.0)</f>
        <v>920</v>
      </c>
      <c r="C3255" s="10">
        <f>IFERROR(__xludf.DUMMYFUNCTION("""COMPUTED_VALUE"""),10771.0)</f>
        <v>10771</v>
      </c>
      <c r="D3255" s="5">
        <f>IFERROR(__xludf.DUMMYFUNCTION("""COMPUTED_VALUE"""),0.33793523500152267)</f>
        <v>0.337935235</v>
      </c>
      <c r="E3255" s="5">
        <f>IFERROR(__xludf.DUMMYFUNCTION("""COMPUTED_VALUE"""),0.12486042026190235)</f>
        <v>0.1248604203</v>
      </c>
      <c r="F3255" s="5">
        <f>IFERROR(__xludf.DUMMYFUNCTION("""COMPUTED_VALUE"""),0.20505532433255508)</f>
        <v>0.2050553243</v>
      </c>
      <c r="G3255" s="5">
        <f>IFERROR(__xludf.DUMMYFUNCTION("""COMPUTED_VALUE"""),0.17338341285148715)</f>
        <v>0.1733834129</v>
      </c>
      <c r="H3255" s="5">
        <f>IFERROR(__xludf.DUMMYFUNCTION("""COMPUTED_VALUE"""),0.5757425742574257)</f>
        <v>0.5757425743</v>
      </c>
      <c r="I3255" s="11">
        <f>IFERROR(__xludf.DUMMYFUNCTION("""COMPUTED_VALUE"""),5689.653465346535)</f>
        <v>5689.653465</v>
      </c>
      <c r="J3255" s="10">
        <f>IFERROR(__xludf.DUMMYFUNCTION("""COMPUTED_VALUE"""),4.0)</f>
        <v>4</v>
      </c>
      <c r="K3255" s="5">
        <f>IFERROR(__xludf.DUMMYFUNCTION("""COMPUTED_VALUE"""),0.004347826086956522)</f>
        <v>0.004347826087</v>
      </c>
      <c r="L3255" s="10">
        <f>IFERROR(__xludf.DUMMYFUNCTION("""COMPUTED_VALUE"""),920.0)</f>
        <v>920</v>
      </c>
      <c r="M3255" s="5">
        <f>IFERROR(__xludf.DUMMYFUNCTION("""COMPUTED_VALUE"""),1.0)</f>
        <v>1</v>
      </c>
    </row>
    <row r="3256">
      <c r="A3256" s="10" t="str">
        <f>IFERROR(__xludf.DUMMYFUNCTION("""COMPUTED_VALUE"""),"まーちゃむ")</f>
        <v>まーちゃむ</v>
      </c>
      <c r="B3256" s="10">
        <f>IFERROR(__xludf.DUMMYFUNCTION("""COMPUTED_VALUE"""),964.0)</f>
        <v>964</v>
      </c>
      <c r="C3256" s="10">
        <f>IFERROR(__xludf.DUMMYFUNCTION("""COMPUTED_VALUE"""),11376.0)</f>
        <v>11376</v>
      </c>
      <c r="D3256" s="5">
        <f>IFERROR(__xludf.DUMMYFUNCTION("""COMPUTED_VALUE"""),0.3337495197848636)</f>
        <v>0.3337495198</v>
      </c>
      <c r="E3256" s="5">
        <f>IFERROR(__xludf.DUMMYFUNCTION("""COMPUTED_VALUE"""),0.12485593545908567)</f>
        <v>0.1248559355</v>
      </c>
      <c r="F3256" s="5">
        <f>IFERROR(__xludf.DUMMYFUNCTION("""COMPUTED_VALUE"""),0.2037072608528621)</f>
        <v>0.2037072609</v>
      </c>
      <c r="G3256" s="5">
        <f>IFERROR(__xludf.DUMMYFUNCTION("""COMPUTED_VALUE"""),0.14089512101421436)</f>
        <v>0.140895121</v>
      </c>
      <c r="H3256" s="5">
        <f>IFERROR(__xludf.DUMMYFUNCTION("""COMPUTED_VALUE"""),0.5898161244695899)</f>
        <v>0.5898161245</v>
      </c>
      <c r="I3256" s="11">
        <f>IFERROR(__xludf.DUMMYFUNCTION("""COMPUTED_VALUE"""),5596.699669966997)</f>
        <v>5596.69967</v>
      </c>
      <c r="J3256" s="10">
        <f>IFERROR(__xludf.DUMMYFUNCTION("""COMPUTED_VALUE"""),1.0)</f>
        <v>1</v>
      </c>
      <c r="K3256" s="5">
        <f>IFERROR(__xludf.DUMMYFUNCTION("""COMPUTED_VALUE"""),0.001037344398340249)</f>
        <v>0.001037344398</v>
      </c>
      <c r="L3256" s="10">
        <f>IFERROR(__xludf.DUMMYFUNCTION("""COMPUTED_VALUE"""),139.0)</f>
        <v>139</v>
      </c>
      <c r="M3256" s="5">
        <f>IFERROR(__xludf.DUMMYFUNCTION("""COMPUTED_VALUE"""),0.1441908713692946)</f>
        <v>0.1441908714</v>
      </c>
    </row>
    <row r="3257">
      <c r="A3257" s="10" t="str">
        <f>IFERROR(__xludf.DUMMYFUNCTION("""COMPUTED_VALUE"""),"ユウ０１２９")</f>
        <v>ユウ０１２９</v>
      </c>
      <c r="B3257" s="10">
        <f>IFERROR(__xludf.DUMMYFUNCTION("""COMPUTED_VALUE"""),306.0)</f>
        <v>306</v>
      </c>
      <c r="C3257" s="10">
        <f>IFERROR(__xludf.DUMMYFUNCTION("""COMPUTED_VALUE"""),3518.0)</f>
        <v>3518</v>
      </c>
      <c r="D3257" s="5">
        <f>IFERROR(__xludf.DUMMYFUNCTION("""COMPUTED_VALUE"""),0.2830012453300125)</f>
        <v>0.2830012453</v>
      </c>
      <c r="E3257" s="5">
        <f>IFERROR(__xludf.DUMMYFUNCTION("""COMPUTED_VALUE"""),0.12484433374844334)</f>
        <v>0.1248443337</v>
      </c>
      <c r="F3257" s="5">
        <f>IFERROR(__xludf.DUMMYFUNCTION("""COMPUTED_VALUE"""),0.20516811955168118)</f>
        <v>0.2051681196</v>
      </c>
      <c r="G3257" s="5">
        <f>IFERROR(__xludf.DUMMYFUNCTION("""COMPUTED_VALUE"""),0.18306351183063513)</f>
        <v>0.1830635118</v>
      </c>
      <c r="H3257" s="5">
        <f>IFERROR(__xludf.DUMMYFUNCTION("""COMPUTED_VALUE"""),0.5963581183611533)</f>
        <v>0.5963581184</v>
      </c>
      <c r="I3257" s="11">
        <f>IFERROR(__xludf.DUMMYFUNCTION("""COMPUTED_VALUE"""),6069.954476479515)</f>
        <v>6069.954476</v>
      </c>
      <c r="J3257" s="10">
        <f>IFERROR(__xludf.DUMMYFUNCTION("""COMPUTED_VALUE"""),1.0)</f>
        <v>1</v>
      </c>
      <c r="K3257" s="5">
        <f>IFERROR(__xludf.DUMMYFUNCTION("""COMPUTED_VALUE"""),0.0032679738562091504)</f>
        <v>0.003267973856</v>
      </c>
      <c r="L3257" s="10">
        <f>IFERROR(__xludf.DUMMYFUNCTION("""COMPUTED_VALUE"""),306.0)</f>
        <v>306</v>
      </c>
      <c r="M3257" s="5">
        <f>IFERROR(__xludf.DUMMYFUNCTION("""COMPUTED_VALUE"""),1.0)</f>
        <v>1</v>
      </c>
    </row>
    <row r="3258">
      <c r="A3258" s="10" t="str">
        <f>IFERROR(__xludf.DUMMYFUNCTION("""COMPUTED_VALUE"""),"又2日で飽きる")</f>
        <v>又2日で飽きる</v>
      </c>
      <c r="B3258" s="10">
        <f>IFERROR(__xludf.DUMMYFUNCTION("""COMPUTED_VALUE"""),217.0)</f>
        <v>217</v>
      </c>
      <c r="C3258" s="10">
        <f>IFERROR(__xludf.DUMMYFUNCTION("""COMPUTED_VALUE"""),2500.0)</f>
        <v>2500</v>
      </c>
      <c r="D3258" s="5">
        <f>IFERROR(__xludf.DUMMYFUNCTION("""COMPUTED_VALUE"""),0.30924222514235655)</f>
        <v>0.3092422251</v>
      </c>
      <c r="E3258" s="5">
        <f>IFERROR(__xludf.DUMMYFUNCTION("""COMPUTED_VALUE"""),0.12483574244415244)</f>
        <v>0.1248357424</v>
      </c>
      <c r="F3258" s="5">
        <f>IFERROR(__xludf.DUMMYFUNCTION("""COMPUTED_VALUE"""),0.21550591327201052)</f>
        <v>0.2155059133</v>
      </c>
      <c r="G3258" s="5">
        <f>IFERROR(__xludf.DUMMYFUNCTION("""COMPUTED_VALUE"""),0.19097678493210687)</f>
        <v>0.1909767849</v>
      </c>
      <c r="H3258" s="5">
        <f>IFERROR(__xludf.DUMMYFUNCTION("""COMPUTED_VALUE"""),0.5548780487804879)</f>
        <v>0.5548780488</v>
      </c>
      <c r="I3258" s="11">
        <f>IFERROR(__xludf.DUMMYFUNCTION("""COMPUTED_VALUE"""),6059.756097560976)</f>
        <v>6059.756098</v>
      </c>
      <c r="J3258" s="10">
        <f>IFERROR(__xludf.DUMMYFUNCTION("""COMPUTED_VALUE"""),0.0)</f>
        <v>0</v>
      </c>
      <c r="K3258" s="5">
        <f>IFERROR(__xludf.DUMMYFUNCTION("""COMPUTED_VALUE"""),0.0)</f>
        <v>0</v>
      </c>
      <c r="L3258" s="10">
        <f>IFERROR(__xludf.DUMMYFUNCTION("""COMPUTED_VALUE"""),5.0)</f>
        <v>5</v>
      </c>
      <c r="M3258" s="5">
        <f>IFERROR(__xludf.DUMMYFUNCTION("""COMPUTED_VALUE"""),0.02304147465437788)</f>
        <v>0.02304147465</v>
      </c>
    </row>
    <row r="3259">
      <c r="A3259" s="10" t="str">
        <f>IFERROR(__xludf.DUMMYFUNCTION("""COMPUTED_VALUE"""),"リーツモドラウラ")</f>
        <v>リーツモドラウラ</v>
      </c>
      <c r="B3259" s="10">
        <f>IFERROR(__xludf.DUMMYFUNCTION("""COMPUTED_VALUE"""),930.0)</f>
        <v>930</v>
      </c>
      <c r="C3259" s="10">
        <f>IFERROR(__xludf.DUMMYFUNCTION("""COMPUTED_VALUE"""),10784.0)</f>
        <v>10784</v>
      </c>
      <c r="D3259" s="5">
        <f>IFERROR(__xludf.DUMMYFUNCTION("""COMPUTED_VALUE"""),0.2772478181449158)</f>
        <v>0.2772478181</v>
      </c>
      <c r="E3259" s="5">
        <f>IFERROR(__xludf.DUMMYFUNCTION("""COMPUTED_VALUE"""),0.12482240714430688)</f>
        <v>0.1248224071</v>
      </c>
      <c r="F3259" s="5">
        <f>IFERROR(__xludf.DUMMYFUNCTION("""COMPUTED_VALUE"""),0.19575806778973007)</f>
        <v>0.1957580678</v>
      </c>
      <c r="G3259" s="5">
        <f>IFERROR(__xludf.DUMMYFUNCTION("""COMPUTED_VALUE"""),0.16906839861984982)</f>
        <v>0.1690683986</v>
      </c>
      <c r="H3259" s="5">
        <f>IFERROR(__xludf.DUMMYFUNCTION("""COMPUTED_VALUE"""),0.6080870917573873)</f>
        <v>0.6080870918</v>
      </c>
      <c r="I3259" s="11">
        <f>IFERROR(__xludf.DUMMYFUNCTION("""COMPUTED_VALUE"""),6286.521513737688)</f>
        <v>6286.521514</v>
      </c>
      <c r="J3259" s="10">
        <f>IFERROR(__xludf.DUMMYFUNCTION("""COMPUTED_VALUE"""),2.0)</f>
        <v>2</v>
      </c>
      <c r="K3259" s="5">
        <f>IFERROR(__xludf.DUMMYFUNCTION("""COMPUTED_VALUE"""),0.002150537634408602)</f>
        <v>0.002150537634</v>
      </c>
      <c r="L3259" s="10">
        <f>IFERROR(__xludf.DUMMYFUNCTION("""COMPUTED_VALUE"""),930.0)</f>
        <v>930</v>
      </c>
      <c r="M3259" s="5">
        <f>IFERROR(__xludf.DUMMYFUNCTION("""COMPUTED_VALUE"""),1.0)</f>
        <v>1</v>
      </c>
    </row>
    <row r="3260">
      <c r="A3260" s="10" t="str">
        <f>IFERROR(__xludf.DUMMYFUNCTION("""COMPUTED_VALUE"""),"neporih")</f>
        <v>neporih</v>
      </c>
      <c r="B3260" s="10">
        <f>IFERROR(__xludf.DUMMYFUNCTION("""COMPUTED_VALUE"""),639.0)</f>
        <v>639</v>
      </c>
      <c r="C3260" s="10">
        <f>IFERROR(__xludf.DUMMYFUNCTION("""COMPUTED_VALUE"""),7513.0)</f>
        <v>7513</v>
      </c>
      <c r="D3260" s="5">
        <f>IFERROR(__xludf.DUMMYFUNCTION("""COMPUTED_VALUE"""),0.3673261565318592)</f>
        <v>0.3673261565</v>
      </c>
      <c r="E3260" s="5">
        <f>IFERROR(__xludf.DUMMYFUNCTION("""COMPUTED_VALUE"""),0.12481815536805353)</f>
        <v>0.1248181554</v>
      </c>
      <c r="F3260" s="5">
        <f>IFERROR(__xludf.DUMMYFUNCTION("""COMPUTED_VALUE"""),0.21123072446901367)</f>
        <v>0.2112307245</v>
      </c>
      <c r="G3260" s="5">
        <f>IFERROR(__xludf.DUMMYFUNCTION("""COMPUTED_VALUE"""),0.17951702065755018)</f>
        <v>0.1795170207</v>
      </c>
      <c r="H3260" s="5">
        <f>IFERROR(__xludf.DUMMYFUNCTION("""COMPUTED_VALUE"""),0.6115702479338843)</f>
        <v>0.6115702479</v>
      </c>
      <c r="I3260" s="11">
        <f>IFERROR(__xludf.DUMMYFUNCTION("""COMPUTED_VALUE"""),5330.7162534435265)</f>
        <v>5330.716253</v>
      </c>
      <c r="J3260" s="10">
        <f>IFERROR(__xludf.DUMMYFUNCTION("""COMPUTED_VALUE"""),3.0)</f>
        <v>3</v>
      </c>
      <c r="K3260" s="5">
        <f>IFERROR(__xludf.DUMMYFUNCTION("""COMPUTED_VALUE"""),0.004694835680751174)</f>
        <v>0.004694835681</v>
      </c>
      <c r="L3260" s="10">
        <f>IFERROR(__xludf.DUMMYFUNCTION("""COMPUTED_VALUE"""),637.0)</f>
        <v>637</v>
      </c>
      <c r="M3260" s="5">
        <f>IFERROR(__xludf.DUMMYFUNCTION("""COMPUTED_VALUE"""),0.9968701095461658)</f>
        <v>0.9968701095</v>
      </c>
    </row>
    <row r="3261">
      <c r="A3261" s="10" t="str">
        <f>IFERROR(__xludf.DUMMYFUNCTION("""COMPUTED_VALUE"""),"a131848")</f>
        <v>a131848</v>
      </c>
      <c r="B3261" s="10">
        <f>IFERROR(__xludf.DUMMYFUNCTION("""COMPUTED_VALUE"""),873.0)</f>
        <v>873</v>
      </c>
      <c r="C3261" s="10">
        <f>IFERROR(__xludf.DUMMYFUNCTION("""COMPUTED_VALUE"""),10431.0)</f>
        <v>10431</v>
      </c>
      <c r="D3261" s="5">
        <f>IFERROR(__xludf.DUMMYFUNCTION("""COMPUTED_VALUE"""),0.38010043942247335)</f>
        <v>0.3801004394</v>
      </c>
      <c r="E3261" s="5">
        <f>IFERROR(__xludf.DUMMYFUNCTION("""COMPUTED_VALUE"""),0.12481690730278301)</f>
        <v>0.1248169073</v>
      </c>
      <c r="F3261" s="5">
        <f>IFERROR(__xludf.DUMMYFUNCTION("""COMPUTED_VALUE"""),0.21803724628583385)</f>
        <v>0.2180372463</v>
      </c>
      <c r="G3261" s="5">
        <f>IFERROR(__xludf.DUMMYFUNCTION("""COMPUTED_VALUE"""),0.17147938899351328)</f>
        <v>0.171479389</v>
      </c>
      <c r="H3261" s="5">
        <f>IFERROR(__xludf.DUMMYFUNCTION("""COMPUTED_VALUE"""),0.5820537428023033)</f>
        <v>0.5820537428</v>
      </c>
      <c r="I3261" s="11">
        <f>IFERROR(__xludf.DUMMYFUNCTION("""COMPUTED_VALUE"""),5313.963531669866)</f>
        <v>5313.963532</v>
      </c>
      <c r="J3261" s="10">
        <f>IFERROR(__xludf.DUMMYFUNCTION("""COMPUTED_VALUE"""),0.0)</f>
        <v>0</v>
      </c>
      <c r="K3261" s="5">
        <f>IFERROR(__xludf.DUMMYFUNCTION("""COMPUTED_VALUE"""),0.0)</f>
        <v>0</v>
      </c>
      <c r="L3261" s="10">
        <f>IFERROR(__xludf.DUMMYFUNCTION("""COMPUTED_VALUE"""),865.0)</f>
        <v>865</v>
      </c>
      <c r="M3261" s="5">
        <f>IFERROR(__xludf.DUMMYFUNCTION("""COMPUTED_VALUE"""),0.9908361970217641)</f>
        <v>0.990836197</v>
      </c>
    </row>
    <row r="3262">
      <c r="A3262" s="10" t="str">
        <f>IFERROR(__xludf.DUMMYFUNCTION("""COMPUTED_VALUE"""),"おしげてゃん")</f>
        <v>おしげてゃん</v>
      </c>
      <c r="B3262" s="10">
        <f>IFERROR(__xludf.DUMMYFUNCTION("""COMPUTED_VALUE"""),883.0)</f>
        <v>883</v>
      </c>
      <c r="C3262" s="10">
        <f>IFERROR(__xludf.DUMMYFUNCTION("""COMPUTED_VALUE"""),10281.0)</f>
        <v>10281</v>
      </c>
      <c r="D3262" s="5">
        <f>IFERROR(__xludf.DUMMYFUNCTION("""COMPUTED_VALUE"""),0.3078314535007448)</f>
        <v>0.3078314535</v>
      </c>
      <c r="E3262" s="5">
        <f>IFERROR(__xludf.DUMMYFUNCTION("""COMPUTED_VALUE"""),0.12481379016812087)</f>
        <v>0.1248137902</v>
      </c>
      <c r="F3262" s="5">
        <f>IFERROR(__xludf.DUMMYFUNCTION("""COMPUTED_VALUE"""),0.20951266226856777)</f>
        <v>0.2095126623</v>
      </c>
      <c r="G3262" s="5">
        <f>IFERROR(__xludf.DUMMYFUNCTION("""COMPUTED_VALUE"""),0.19121089593530538)</f>
        <v>0.1912108959</v>
      </c>
      <c r="H3262" s="5">
        <f>IFERROR(__xludf.DUMMYFUNCTION("""COMPUTED_VALUE"""),0.6043676993397664)</f>
        <v>0.6043676993</v>
      </c>
      <c r="I3262" s="11">
        <f>IFERROR(__xludf.DUMMYFUNCTION("""COMPUTED_VALUE"""),5862.7729812087355)</f>
        <v>5862.772981</v>
      </c>
      <c r="J3262" s="10">
        <f>IFERROR(__xludf.DUMMYFUNCTION("""COMPUTED_VALUE"""),3.0)</f>
        <v>3</v>
      </c>
      <c r="K3262" s="5">
        <f>IFERROR(__xludf.DUMMYFUNCTION("""COMPUTED_VALUE"""),0.0033975084937712344)</f>
        <v>0.003397508494</v>
      </c>
      <c r="L3262" s="10">
        <f>IFERROR(__xludf.DUMMYFUNCTION("""COMPUTED_VALUE"""),883.0)</f>
        <v>883</v>
      </c>
      <c r="M3262" s="5">
        <f>IFERROR(__xludf.DUMMYFUNCTION("""COMPUTED_VALUE"""),1.0)</f>
        <v>1</v>
      </c>
    </row>
    <row r="3263">
      <c r="A3263" s="10" t="str">
        <f>IFERROR(__xludf.DUMMYFUNCTION("""COMPUTED_VALUE"""),"ベータ")</f>
        <v>ベータ</v>
      </c>
      <c r="B3263" s="10">
        <f>IFERROR(__xludf.DUMMYFUNCTION("""COMPUTED_VALUE"""),119.0)</f>
        <v>119</v>
      </c>
      <c r="C3263" s="10">
        <f>IFERROR(__xludf.DUMMYFUNCTION("""COMPUTED_VALUE"""),1361.0)</f>
        <v>1361</v>
      </c>
      <c r="D3263" s="5">
        <f>IFERROR(__xludf.DUMMYFUNCTION("""COMPUTED_VALUE"""),0.3421900161030596)</f>
        <v>0.3421900161</v>
      </c>
      <c r="E3263" s="5">
        <f>IFERROR(__xludf.DUMMYFUNCTION("""COMPUTED_VALUE"""),0.1247987117552335)</f>
        <v>0.1247987118</v>
      </c>
      <c r="F3263" s="5">
        <f>IFERROR(__xludf.DUMMYFUNCTION("""COMPUTED_VALUE"""),0.21900161030595813)</f>
        <v>0.2190016103</v>
      </c>
      <c r="G3263" s="5">
        <f>IFERROR(__xludf.DUMMYFUNCTION("""COMPUTED_VALUE"""),0.21578099838969403)</f>
        <v>0.2157809984</v>
      </c>
      <c r="H3263" s="5">
        <f>IFERROR(__xludf.DUMMYFUNCTION("""COMPUTED_VALUE"""),0.6397058823529411)</f>
        <v>0.6397058824</v>
      </c>
      <c r="I3263" s="11">
        <f>IFERROR(__xludf.DUMMYFUNCTION("""COMPUTED_VALUE"""),5333.455882352941)</f>
        <v>5333.455882</v>
      </c>
      <c r="J3263" s="10">
        <f>IFERROR(__xludf.DUMMYFUNCTION("""COMPUTED_VALUE"""),0.0)</f>
        <v>0</v>
      </c>
      <c r="K3263" s="5">
        <f>IFERROR(__xludf.DUMMYFUNCTION("""COMPUTED_VALUE"""),0.0)</f>
        <v>0</v>
      </c>
      <c r="L3263" s="10">
        <f>IFERROR(__xludf.DUMMYFUNCTION("""COMPUTED_VALUE"""),119.0)</f>
        <v>119</v>
      </c>
      <c r="M3263" s="5">
        <f>IFERROR(__xludf.DUMMYFUNCTION("""COMPUTED_VALUE"""),1.0)</f>
        <v>1</v>
      </c>
    </row>
    <row r="3264">
      <c r="A3264" s="10" t="str">
        <f>IFERROR(__xludf.DUMMYFUNCTION("""COMPUTED_VALUE"""),"飛びたいとびうお")</f>
        <v>飛びたいとびうお</v>
      </c>
      <c r="B3264" s="10">
        <f>IFERROR(__xludf.DUMMYFUNCTION("""COMPUTED_VALUE"""),257.0)</f>
        <v>257</v>
      </c>
      <c r="C3264" s="10">
        <f>IFERROR(__xludf.DUMMYFUNCTION("""COMPUTED_VALUE"""),3054.0)</f>
        <v>3054</v>
      </c>
      <c r="D3264" s="5">
        <f>IFERROR(__xludf.DUMMYFUNCTION("""COMPUTED_VALUE"""),0.3471576689309975)</f>
        <v>0.3471576689</v>
      </c>
      <c r="E3264" s="5">
        <f>IFERROR(__xludf.DUMMYFUNCTION("""COMPUTED_VALUE"""),0.12477654629960672)</f>
        <v>0.1247765463</v>
      </c>
      <c r="F3264" s="5">
        <f>IFERROR(__xludf.DUMMYFUNCTION("""COMPUTED_VALUE"""),0.21558813013943512)</f>
        <v>0.2155881301</v>
      </c>
      <c r="G3264" s="5">
        <f>IFERROR(__xludf.DUMMYFUNCTION("""COMPUTED_VALUE"""),0.1723274937432964)</f>
        <v>0.1723274937</v>
      </c>
      <c r="H3264" s="5">
        <f>IFERROR(__xludf.DUMMYFUNCTION("""COMPUTED_VALUE"""),0.5804311774461028)</f>
        <v>0.5804311774</v>
      </c>
      <c r="I3264" s="11">
        <f>IFERROR(__xludf.DUMMYFUNCTION("""COMPUTED_VALUE"""),5555.058043117745)</f>
        <v>5555.058043</v>
      </c>
      <c r="J3264" s="10">
        <f>IFERROR(__xludf.DUMMYFUNCTION("""COMPUTED_VALUE"""),0.0)</f>
        <v>0</v>
      </c>
      <c r="K3264" s="5">
        <f>IFERROR(__xludf.DUMMYFUNCTION("""COMPUTED_VALUE"""),0.0)</f>
        <v>0</v>
      </c>
      <c r="L3264" s="10">
        <f>IFERROR(__xludf.DUMMYFUNCTION("""COMPUTED_VALUE"""),257.0)</f>
        <v>257</v>
      </c>
      <c r="M3264" s="5">
        <f>IFERROR(__xludf.DUMMYFUNCTION("""COMPUTED_VALUE"""),1.0)</f>
        <v>1</v>
      </c>
    </row>
    <row r="3265">
      <c r="A3265" s="10" t="str">
        <f>IFERROR(__xludf.DUMMYFUNCTION("""COMPUTED_VALUE"""),"ディオバン")</f>
        <v>ディオバン</v>
      </c>
      <c r="B3265" s="10">
        <f>IFERROR(__xludf.DUMMYFUNCTION("""COMPUTED_VALUE"""),1089.0)</f>
        <v>1089</v>
      </c>
      <c r="C3265" s="10">
        <f>IFERROR(__xludf.DUMMYFUNCTION("""COMPUTED_VALUE"""),12935.0)</f>
        <v>12935</v>
      </c>
      <c r="D3265" s="5">
        <f>IFERROR(__xludf.DUMMYFUNCTION("""COMPUTED_VALUE"""),0.4332264055377343)</f>
        <v>0.4332264055</v>
      </c>
      <c r="E3265" s="5">
        <f>IFERROR(__xludf.DUMMYFUNCTION("""COMPUTED_VALUE"""),0.12476785412797568)</f>
        <v>0.1247678541</v>
      </c>
      <c r="F3265" s="5">
        <f>IFERROR(__xludf.DUMMYFUNCTION("""COMPUTED_VALUE"""),0.22513928752321458)</f>
        <v>0.2251392875</v>
      </c>
      <c r="G3265" s="5">
        <f>IFERROR(__xludf.DUMMYFUNCTION("""COMPUTED_VALUE"""),0.14131352355225393)</f>
        <v>0.1413135236</v>
      </c>
      <c r="H3265" s="5">
        <f>IFERROR(__xludf.DUMMYFUNCTION("""COMPUTED_VALUE"""),0.6212973378327709)</f>
        <v>0.6212973378</v>
      </c>
      <c r="I3265" s="11">
        <f>IFERROR(__xludf.DUMMYFUNCTION("""COMPUTED_VALUE"""),5021.222347206599)</f>
        <v>5021.222347</v>
      </c>
      <c r="J3265" s="10">
        <f>IFERROR(__xludf.DUMMYFUNCTION("""COMPUTED_VALUE"""),6.0)</f>
        <v>6</v>
      </c>
      <c r="K3265" s="5">
        <f>IFERROR(__xludf.DUMMYFUNCTION("""COMPUTED_VALUE"""),0.005509641873278237)</f>
        <v>0.005509641873</v>
      </c>
      <c r="L3265" s="10">
        <f>IFERROR(__xludf.DUMMYFUNCTION("""COMPUTED_VALUE"""),1089.0)</f>
        <v>1089</v>
      </c>
      <c r="M3265" s="5">
        <f>IFERROR(__xludf.DUMMYFUNCTION("""COMPUTED_VALUE"""),1.0)</f>
        <v>1</v>
      </c>
    </row>
    <row r="3266">
      <c r="A3266" s="10" t="str">
        <f>IFERROR(__xludf.DUMMYFUNCTION("""COMPUTED_VALUE"""),"ヒコ")</f>
        <v>ヒコ</v>
      </c>
      <c r="B3266" s="10">
        <f>IFERROR(__xludf.DUMMYFUNCTION("""COMPUTED_VALUE"""),1641.0)</f>
        <v>1641</v>
      </c>
      <c r="C3266" s="10">
        <f>IFERROR(__xludf.DUMMYFUNCTION("""COMPUTED_VALUE"""),19290.0)</f>
        <v>19290</v>
      </c>
      <c r="D3266" s="5">
        <f>IFERROR(__xludf.DUMMYFUNCTION("""COMPUTED_VALUE"""),0.29236783953765083)</f>
        <v>0.2923678395</v>
      </c>
      <c r="E3266" s="5">
        <f>IFERROR(__xludf.DUMMYFUNCTION("""COMPUTED_VALUE"""),0.12476627570967194)</f>
        <v>0.1247662757</v>
      </c>
      <c r="F3266" s="5">
        <f>IFERROR(__xludf.DUMMYFUNCTION("""COMPUTED_VALUE"""),0.21763272706668932)</f>
        <v>0.2176327271</v>
      </c>
      <c r="G3266" s="5">
        <f>IFERROR(__xludf.DUMMYFUNCTION("""COMPUTED_VALUE"""),0.18590288401609156)</f>
        <v>0.185902884</v>
      </c>
      <c r="H3266" s="5">
        <f>IFERROR(__xludf.DUMMYFUNCTION("""COMPUTED_VALUE"""),0.6183285602707628)</f>
        <v>0.6183285603</v>
      </c>
      <c r="I3266" s="11">
        <f>IFERROR(__xludf.DUMMYFUNCTION("""COMPUTED_VALUE"""),5700.468627961468)</f>
        <v>5700.468628</v>
      </c>
      <c r="J3266" s="10">
        <f>IFERROR(__xludf.DUMMYFUNCTION("""COMPUTED_VALUE"""),3.0)</f>
        <v>3</v>
      </c>
      <c r="K3266" s="5">
        <f>IFERROR(__xludf.DUMMYFUNCTION("""COMPUTED_VALUE"""),0.0018281535648994515)</f>
        <v>0.001828153565</v>
      </c>
      <c r="L3266" s="10">
        <f>IFERROR(__xludf.DUMMYFUNCTION("""COMPUTED_VALUE"""),1641.0)</f>
        <v>1641</v>
      </c>
      <c r="M3266" s="5">
        <f>IFERROR(__xludf.DUMMYFUNCTION("""COMPUTED_VALUE"""),1.0)</f>
        <v>1</v>
      </c>
    </row>
    <row r="3267">
      <c r="A3267" s="10" t="str">
        <f>IFERROR(__xludf.DUMMYFUNCTION("""COMPUTED_VALUE"""),"エッフェル塔")</f>
        <v>エッフェル塔</v>
      </c>
      <c r="B3267" s="10">
        <f>IFERROR(__xludf.DUMMYFUNCTION("""COMPUTED_VALUE"""),6314.0)</f>
        <v>6314</v>
      </c>
      <c r="C3267" s="10">
        <f>IFERROR(__xludf.DUMMYFUNCTION("""COMPUTED_VALUE"""),74237.0)</f>
        <v>74237</v>
      </c>
      <c r="D3267" s="5">
        <f>IFERROR(__xludf.DUMMYFUNCTION("""COMPUTED_VALUE"""),0.28455751365516835)</f>
        <v>0.2845575137</v>
      </c>
      <c r="E3267" s="5">
        <f>IFERROR(__xludf.DUMMYFUNCTION("""COMPUTED_VALUE"""),0.12475891818677032)</f>
        <v>0.1247589182</v>
      </c>
      <c r="F3267" s="5">
        <f>IFERROR(__xludf.DUMMYFUNCTION("""COMPUTED_VALUE"""),0.20390736569350587)</f>
        <v>0.2039073657</v>
      </c>
      <c r="G3267" s="5">
        <f>IFERROR(__xludf.DUMMYFUNCTION("""COMPUTED_VALUE"""),0.17235693358656126)</f>
        <v>0.1723569336</v>
      </c>
      <c r="H3267" s="5">
        <f>IFERROR(__xludf.DUMMYFUNCTION("""COMPUTED_VALUE"""),0.5963176895306859)</f>
        <v>0.5963176895</v>
      </c>
      <c r="I3267" s="11">
        <f>IFERROR(__xludf.DUMMYFUNCTION("""COMPUTED_VALUE"""),5887.061371841155)</f>
        <v>5887.061372</v>
      </c>
      <c r="J3267" s="10">
        <f>IFERROR(__xludf.DUMMYFUNCTION("""COMPUTED_VALUE"""),23.0)</f>
        <v>23</v>
      </c>
      <c r="K3267" s="5">
        <f>IFERROR(__xludf.DUMMYFUNCTION("""COMPUTED_VALUE"""),0.003642698764649984)</f>
        <v>0.003642698765</v>
      </c>
      <c r="L3267" s="10">
        <f>IFERROR(__xludf.DUMMYFUNCTION("""COMPUTED_VALUE"""),6152.0)</f>
        <v>6152</v>
      </c>
      <c r="M3267" s="5">
        <f>IFERROR(__xludf.DUMMYFUNCTION("""COMPUTED_VALUE"""),0.9743427304402914)</f>
        <v>0.9743427304</v>
      </c>
    </row>
    <row r="3268">
      <c r="A3268" s="10" t="str">
        <f>IFERROR(__xludf.DUMMYFUNCTION("""COMPUTED_VALUE"""),"オナラン")</f>
        <v>オナラン</v>
      </c>
      <c r="B3268" s="10">
        <f>IFERROR(__xludf.DUMMYFUNCTION("""COMPUTED_VALUE"""),226.0)</f>
        <v>226</v>
      </c>
      <c r="C3268" s="10">
        <f>IFERROR(__xludf.DUMMYFUNCTION("""COMPUTED_VALUE"""),2703.0)</f>
        <v>2703</v>
      </c>
      <c r="D3268" s="5">
        <f>IFERROR(__xludf.DUMMYFUNCTION("""COMPUTED_VALUE"""),0.31408962454582157)</f>
        <v>0.3140896245</v>
      </c>
      <c r="E3268" s="5">
        <f>IFERROR(__xludf.DUMMYFUNCTION("""COMPUTED_VALUE"""),0.12474767864352039)</f>
        <v>0.1247476786</v>
      </c>
      <c r="F3268" s="5">
        <f>IFERROR(__xludf.DUMMYFUNCTION("""COMPUTED_VALUE"""),0.20629794105773114)</f>
        <v>0.2062979411</v>
      </c>
      <c r="G3268" s="5">
        <f>IFERROR(__xludf.DUMMYFUNCTION("""COMPUTED_VALUE"""),0.16188938231731934)</f>
        <v>0.1618893823</v>
      </c>
      <c r="H3268" s="5">
        <f>IFERROR(__xludf.DUMMYFUNCTION("""COMPUTED_VALUE"""),0.598825831702544)</f>
        <v>0.5988258317</v>
      </c>
      <c r="I3268" s="11">
        <f>IFERROR(__xludf.DUMMYFUNCTION("""COMPUTED_VALUE"""),5485.127201565558)</f>
        <v>5485.127202</v>
      </c>
      <c r="J3268" s="10">
        <f>IFERROR(__xludf.DUMMYFUNCTION("""COMPUTED_VALUE"""),1.0)</f>
        <v>1</v>
      </c>
      <c r="K3268" s="5">
        <f>IFERROR(__xludf.DUMMYFUNCTION("""COMPUTED_VALUE"""),0.004424778761061947)</f>
        <v>0.004424778761</v>
      </c>
      <c r="L3268" s="10">
        <f>IFERROR(__xludf.DUMMYFUNCTION("""COMPUTED_VALUE"""),226.0)</f>
        <v>226</v>
      </c>
      <c r="M3268" s="5">
        <f>IFERROR(__xludf.DUMMYFUNCTION("""COMPUTED_VALUE"""),1.0)</f>
        <v>1</v>
      </c>
    </row>
    <row r="3269">
      <c r="A3269" s="10" t="str">
        <f>IFERROR(__xludf.DUMMYFUNCTION("""COMPUTED_VALUE"""),"ロボコプ")</f>
        <v>ロボコプ</v>
      </c>
      <c r="B3269" s="10">
        <f>IFERROR(__xludf.DUMMYFUNCTION("""COMPUTED_VALUE"""),223.0)</f>
        <v>223</v>
      </c>
      <c r="C3269" s="10">
        <f>IFERROR(__xludf.DUMMYFUNCTION("""COMPUTED_VALUE"""),2636.0)</f>
        <v>2636</v>
      </c>
      <c r="D3269" s="5">
        <f>IFERROR(__xludf.DUMMYFUNCTION("""COMPUTED_VALUE"""),0.24450891007045172)</f>
        <v>0.2445089101</v>
      </c>
      <c r="E3269" s="5">
        <f>IFERROR(__xludf.DUMMYFUNCTION("""COMPUTED_VALUE"""),0.12474098632407792)</f>
        <v>0.1247409863</v>
      </c>
      <c r="F3269" s="5">
        <f>IFERROR(__xludf.DUMMYFUNCTION("""COMPUTED_VALUE"""),0.20099461251554082)</f>
        <v>0.2009946125</v>
      </c>
      <c r="G3269" s="5">
        <f>IFERROR(__xludf.DUMMYFUNCTION("""COMPUTED_VALUE"""),0.1848321591380025)</f>
        <v>0.1848321591</v>
      </c>
      <c r="H3269" s="5">
        <f>IFERROR(__xludf.DUMMYFUNCTION("""COMPUTED_VALUE"""),0.622680412371134)</f>
        <v>0.6226804124</v>
      </c>
      <c r="I3269" s="11">
        <f>IFERROR(__xludf.DUMMYFUNCTION("""COMPUTED_VALUE"""),5505.360824742268)</f>
        <v>5505.360825</v>
      </c>
      <c r="J3269" s="10">
        <f>IFERROR(__xludf.DUMMYFUNCTION("""COMPUTED_VALUE"""),0.0)</f>
        <v>0</v>
      </c>
      <c r="K3269" s="5">
        <f>IFERROR(__xludf.DUMMYFUNCTION("""COMPUTED_VALUE"""),0.0)</f>
        <v>0</v>
      </c>
      <c r="L3269" s="10">
        <f>IFERROR(__xludf.DUMMYFUNCTION("""COMPUTED_VALUE"""),223.0)</f>
        <v>223</v>
      </c>
      <c r="M3269" s="5">
        <f>IFERROR(__xludf.DUMMYFUNCTION("""COMPUTED_VALUE"""),1.0)</f>
        <v>1</v>
      </c>
    </row>
    <row r="3270">
      <c r="A3270" s="10" t="str">
        <f>IFERROR(__xludf.DUMMYFUNCTION("""COMPUTED_VALUE"""),"☆マジック")</f>
        <v>☆マジック</v>
      </c>
      <c r="B3270" s="10">
        <f>IFERROR(__xludf.DUMMYFUNCTION("""COMPUTED_VALUE"""),666.0)</f>
        <v>666</v>
      </c>
      <c r="C3270" s="10">
        <f>IFERROR(__xludf.DUMMYFUNCTION("""COMPUTED_VALUE"""),7889.0)</f>
        <v>7889</v>
      </c>
      <c r="D3270" s="5">
        <f>IFERROR(__xludf.DUMMYFUNCTION("""COMPUTED_VALUE"""),0.4398449397757165)</f>
        <v>0.4398449398</v>
      </c>
      <c r="E3270" s="5">
        <f>IFERROR(__xludf.DUMMYFUNCTION("""COMPUTED_VALUE"""),0.1247404125709539)</f>
        <v>0.1247404126</v>
      </c>
      <c r="F3270" s="5">
        <f>IFERROR(__xludf.DUMMYFUNCTION("""COMPUTED_VALUE"""),0.22400664543818358)</f>
        <v>0.2240066454</v>
      </c>
      <c r="G3270" s="5">
        <f>IFERROR(__xludf.DUMMYFUNCTION("""COMPUTED_VALUE"""),0.16572061470303198)</f>
        <v>0.1657206147</v>
      </c>
      <c r="H3270" s="5">
        <f>IFERROR(__xludf.DUMMYFUNCTION("""COMPUTED_VALUE"""),0.6087762669962917)</f>
        <v>0.608776267</v>
      </c>
      <c r="I3270" s="11">
        <f>IFERROR(__xludf.DUMMYFUNCTION("""COMPUTED_VALUE"""),5277.070457354759)</f>
        <v>5277.070457</v>
      </c>
      <c r="J3270" s="10">
        <f>IFERROR(__xludf.DUMMYFUNCTION("""COMPUTED_VALUE"""),1.0)</f>
        <v>1</v>
      </c>
      <c r="K3270" s="5">
        <f>IFERROR(__xludf.DUMMYFUNCTION("""COMPUTED_VALUE"""),0.0015015015015015015)</f>
        <v>0.001501501502</v>
      </c>
      <c r="L3270" s="10">
        <f>IFERROR(__xludf.DUMMYFUNCTION("""COMPUTED_VALUE"""),666.0)</f>
        <v>666</v>
      </c>
      <c r="M3270" s="5">
        <f>IFERROR(__xludf.DUMMYFUNCTION("""COMPUTED_VALUE"""),1.0)</f>
        <v>1</v>
      </c>
    </row>
    <row r="3271">
      <c r="A3271" s="10" t="str">
        <f>IFERROR(__xludf.DUMMYFUNCTION("""COMPUTED_VALUE"""),"Carlyle")</f>
        <v>Carlyle</v>
      </c>
      <c r="B3271" s="10">
        <f>IFERROR(__xludf.DUMMYFUNCTION("""COMPUTED_VALUE"""),366.0)</f>
        <v>366</v>
      </c>
      <c r="C3271" s="10">
        <f>IFERROR(__xludf.DUMMYFUNCTION("""COMPUTED_VALUE"""),4190.0)</f>
        <v>4190</v>
      </c>
      <c r="D3271" s="5">
        <f>IFERROR(__xludf.DUMMYFUNCTION("""COMPUTED_VALUE"""),0.36061715481171547)</f>
        <v>0.3606171548</v>
      </c>
      <c r="E3271" s="5">
        <f>IFERROR(__xludf.DUMMYFUNCTION("""COMPUTED_VALUE"""),0.12473849372384938)</f>
        <v>0.1247384937</v>
      </c>
      <c r="F3271" s="5">
        <f>IFERROR(__xludf.DUMMYFUNCTION("""COMPUTED_VALUE"""),0.21809623430962344)</f>
        <v>0.2180962343</v>
      </c>
      <c r="G3271" s="5">
        <f>IFERROR(__xludf.DUMMYFUNCTION("""COMPUTED_VALUE"""),0.15873430962343096)</f>
        <v>0.1587343096</v>
      </c>
      <c r="H3271" s="5">
        <f>IFERROR(__xludf.DUMMYFUNCTION("""COMPUTED_VALUE"""),0.6163069544364509)</f>
        <v>0.6163069544</v>
      </c>
      <c r="I3271" s="11">
        <f>IFERROR(__xludf.DUMMYFUNCTION("""COMPUTED_VALUE"""),5581.654676258992)</f>
        <v>5581.654676</v>
      </c>
      <c r="J3271" s="10">
        <f>IFERROR(__xludf.DUMMYFUNCTION("""COMPUTED_VALUE"""),1.0)</f>
        <v>1</v>
      </c>
      <c r="K3271" s="5">
        <f>IFERROR(__xludf.DUMMYFUNCTION("""COMPUTED_VALUE"""),0.00273224043715847)</f>
        <v>0.002732240437</v>
      </c>
      <c r="L3271" s="10">
        <f>IFERROR(__xludf.DUMMYFUNCTION("""COMPUTED_VALUE"""),366.0)</f>
        <v>366</v>
      </c>
      <c r="M3271" s="5">
        <f>IFERROR(__xludf.DUMMYFUNCTION("""COMPUTED_VALUE"""),1.0)</f>
        <v>1</v>
      </c>
    </row>
    <row r="3272">
      <c r="A3272" s="10" t="str">
        <f>IFERROR(__xludf.DUMMYFUNCTION("""COMPUTED_VALUE"""),"清竜闘士")</f>
        <v>清竜闘士</v>
      </c>
      <c r="B3272" s="10">
        <f>IFERROR(__xludf.DUMMYFUNCTION("""COMPUTED_VALUE"""),3723.0)</f>
        <v>3723</v>
      </c>
      <c r="C3272" s="10">
        <f>IFERROR(__xludf.DUMMYFUNCTION("""COMPUTED_VALUE"""),43520.0)</f>
        <v>43520</v>
      </c>
      <c r="D3272" s="5">
        <f>IFERROR(__xludf.DUMMYFUNCTION("""COMPUTED_VALUE"""),0.33736211272206446)</f>
        <v>0.3373621127</v>
      </c>
      <c r="E3272" s="5">
        <f>IFERROR(__xludf.DUMMYFUNCTION("""COMPUTED_VALUE"""),0.12473302007689022)</f>
        <v>0.1247330201</v>
      </c>
      <c r="F3272" s="5">
        <f>IFERROR(__xludf.DUMMYFUNCTION("""COMPUTED_VALUE"""),0.20576927909138878)</f>
        <v>0.2057692791</v>
      </c>
      <c r="G3272" s="5">
        <f>IFERROR(__xludf.DUMMYFUNCTION("""COMPUTED_VALUE"""),0.14036233886976404)</f>
        <v>0.1403623389</v>
      </c>
      <c r="H3272" s="5">
        <f>IFERROR(__xludf.DUMMYFUNCTION("""COMPUTED_VALUE"""),0.6138722676761509)</f>
        <v>0.6138722677</v>
      </c>
      <c r="I3272" s="11">
        <f>IFERROR(__xludf.DUMMYFUNCTION("""COMPUTED_VALUE"""),5595.188667724997)</f>
        <v>5595.188668</v>
      </c>
      <c r="J3272" s="10">
        <f>IFERROR(__xludf.DUMMYFUNCTION("""COMPUTED_VALUE"""),16.0)</f>
        <v>16</v>
      </c>
      <c r="K3272" s="5">
        <f>IFERROR(__xludf.DUMMYFUNCTION("""COMPUTED_VALUE"""),0.0042976094547408005)</f>
        <v>0.004297609455</v>
      </c>
      <c r="L3272" s="10">
        <f>IFERROR(__xludf.DUMMYFUNCTION("""COMPUTED_VALUE"""),3625.0)</f>
        <v>3625</v>
      </c>
      <c r="M3272" s="5">
        <f>IFERROR(__xludf.DUMMYFUNCTION("""COMPUTED_VALUE"""),0.9736771420897126)</f>
        <v>0.9736771421</v>
      </c>
    </row>
    <row r="3273">
      <c r="A3273" s="10" t="str">
        <f>IFERROR(__xludf.DUMMYFUNCTION("""COMPUTED_VALUE"""),"ゆ。。")</f>
        <v>ゆ。。</v>
      </c>
      <c r="B3273" s="10">
        <f>IFERROR(__xludf.DUMMYFUNCTION("""COMPUTED_VALUE"""),1330.0)</f>
        <v>1330</v>
      </c>
      <c r="C3273" s="10">
        <f>IFERROR(__xludf.DUMMYFUNCTION("""COMPUTED_VALUE"""),15716.0)</f>
        <v>15716</v>
      </c>
      <c r="D3273" s="5">
        <f>IFERROR(__xludf.DUMMYFUNCTION("""COMPUTED_VALUE"""),0.34255526206033643)</f>
        <v>0.3425552621</v>
      </c>
      <c r="E3273" s="5">
        <f>IFERROR(__xludf.DUMMYFUNCTION("""COMPUTED_VALUE"""),0.12470457389128319)</f>
        <v>0.1247045739</v>
      </c>
      <c r="F3273" s="5">
        <f>IFERROR(__xludf.DUMMYFUNCTION("""COMPUTED_VALUE"""),0.20603364382038092)</f>
        <v>0.2060336438</v>
      </c>
      <c r="G3273" s="5">
        <f>IFERROR(__xludf.DUMMYFUNCTION("""COMPUTED_VALUE"""),0.1704434867232031)</f>
        <v>0.1704434867</v>
      </c>
      <c r="H3273" s="5">
        <f>IFERROR(__xludf.DUMMYFUNCTION("""COMPUTED_VALUE"""),0.5894062078272605)</f>
        <v>0.5894062078</v>
      </c>
      <c r="I3273" s="11">
        <f>IFERROR(__xludf.DUMMYFUNCTION("""COMPUTED_VALUE"""),5715.856950067477)</f>
        <v>5715.85695</v>
      </c>
      <c r="J3273" s="10">
        <f>IFERROR(__xludf.DUMMYFUNCTION("""COMPUTED_VALUE"""),3.0)</f>
        <v>3</v>
      </c>
      <c r="K3273" s="5">
        <f>IFERROR(__xludf.DUMMYFUNCTION("""COMPUTED_VALUE"""),0.002255639097744361)</f>
        <v>0.002255639098</v>
      </c>
      <c r="L3273" s="10">
        <f>IFERROR(__xludf.DUMMYFUNCTION("""COMPUTED_VALUE"""),1330.0)</f>
        <v>1330</v>
      </c>
      <c r="M3273" s="5">
        <f>IFERROR(__xludf.DUMMYFUNCTION("""COMPUTED_VALUE"""),1.0)</f>
        <v>1</v>
      </c>
    </row>
    <row r="3274">
      <c r="A3274" s="10" t="str">
        <f>IFERROR(__xludf.DUMMYFUNCTION("""COMPUTED_VALUE"""),"維新")</f>
        <v>維新</v>
      </c>
      <c r="B3274" s="10">
        <f>IFERROR(__xludf.DUMMYFUNCTION("""COMPUTED_VALUE"""),390.0)</f>
        <v>390</v>
      </c>
      <c r="C3274" s="10">
        <f>IFERROR(__xludf.DUMMYFUNCTION("""COMPUTED_VALUE"""),4600.0)</f>
        <v>4600</v>
      </c>
      <c r="D3274" s="5">
        <f>IFERROR(__xludf.DUMMYFUNCTION("""COMPUTED_VALUE"""),0.3121140142517815)</f>
        <v>0.3121140143</v>
      </c>
      <c r="E3274" s="5">
        <f>IFERROR(__xludf.DUMMYFUNCTION("""COMPUTED_VALUE"""),0.12470308788598575)</f>
        <v>0.1247030879</v>
      </c>
      <c r="F3274" s="5">
        <f>IFERROR(__xludf.DUMMYFUNCTION("""COMPUTED_VALUE"""),0.2156769596199525)</f>
        <v>0.2156769596</v>
      </c>
      <c r="G3274" s="5">
        <f>IFERROR(__xludf.DUMMYFUNCTION("""COMPUTED_VALUE"""),0.19619952494061757)</f>
        <v>0.1961995249</v>
      </c>
      <c r="H3274" s="5">
        <f>IFERROR(__xludf.DUMMYFUNCTION("""COMPUTED_VALUE"""),0.566079295154185)</f>
        <v>0.5660792952</v>
      </c>
      <c r="I3274" s="11">
        <f>IFERROR(__xludf.DUMMYFUNCTION("""COMPUTED_VALUE"""),5837.665198237885)</f>
        <v>5837.665198</v>
      </c>
      <c r="J3274" s="10">
        <f>IFERROR(__xludf.DUMMYFUNCTION("""COMPUTED_VALUE"""),0.0)</f>
        <v>0</v>
      </c>
      <c r="K3274" s="5">
        <f>IFERROR(__xludf.DUMMYFUNCTION("""COMPUTED_VALUE"""),0.0)</f>
        <v>0</v>
      </c>
      <c r="L3274" s="10">
        <f>IFERROR(__xludf.DUMMYFUNCTION("""COMPUTED_VALUE"""),390.0)</f>
        <v>390</v>
      </c>
      <c r="M3274" s="5">
        <f>IFERROR(__xludf.DUMMYFUNCTION("""COMPUTED_VALUE"""),1.0)</f>
        <v>1</v>
      </c>
    </row>
    <row r="3275">
      <c r="A3275" s="10" t="str">
        <f>IFERROR(__xludf.DUMMYFUNCTION("""COMPUTED_VALUE"""),"コロラド")</f>
        <v>コロラド</v>
      </c>
      <c r="B3275" s="10">
        <f>IFERROR(__xludf.DUMMYFUNCTION("""COMPUTED_VALUE"""),428.0)</f>
        <v>428</v>
      </c>
      <c r="C3275" s="10">
        <f>IFERROR(__xludf.DUMMYFUNCTION("""COMPUTED_VALUE"""),5055.0)</f>
        <v>5055</v>
      </c>
      <c r="D3275" s="5">
        <f>IFERROR(__xludf.DUMMYFUNCTION("""COMPUTED_VALUE"""),0.4032850659174411)</f>
        <v>0.4032850659</v>
      </c>
      <c r="E3275" s="5">
        <f>IFERROR(__xludf.DUMMYFUNCTION("""COMPUTED_VALUE"""),0.12470283120812621)</f>
        <v>0.1247028312</v>
      </c>
      <c r="F3275" s="5">
        <f>IFERROR(__xludf.DUMMYFUNCTION("""COMPUTED_VALUE"""),0.2349254376485844)</f>
        <v>0.2349254376</v>
      </c>
      <c r="G3275" s="5">
        <f>IFERROR(__xludf.DUMMYFUNCTION("""COMPUTED_VALUE"""),0.18219148476334557)</f>
        <v>0.1821914848</v>
      </c>
      <c r="H3275" s="5">
        <f>IFERROR(__xludf.DUMMYFUNCTION("""COMPUTED_VALUE"""),0.5998160073597056)</f>
        <v>0.5998160074</v>
      </c>
      <c r="I3275" s="11">
        <f>IFERROR(__xludf.DUMMYFUNCTION("""COMPUTED_VALUE"""),5266.88132474701)</f>
        <v>5266.881325</v>
      </c>
      <c r="J3275" s="10">
        <f>IFERROR(__xludf.DUMMYFUNCTION("""COMPUTED_VALUE"""),1.0)</f>
        <v>1</v>
      </c>
      <c r="K3275" s="5">
        <f>IFERROR(__xludf.DUMMYFUNCTION("""COMPUTED_VALUE"""),0.002336448598130841)</f>
        <v>0.002336448598</v>
      </c>
      <c r="L3275" s="10">
        <f>IFERROR(__xludf.DUMMYFUNCTION("""COMPUTED_VALUE"""),428.0)</f>
        <v>428</v>
      </c>
      <c r="M3275" s="5">
        <f>IFERROR(__xludf.DUMMYFUNCTION("""COMPUTED_VALUE"""),1.0)</f>
        <v>1</v>
      </c>
    </row>
    <row r="3276">
      <c r="A3276" s="10" t="str">
        <f>IFERROR(__xludf.DUMMYFUNCTION("""COMPUTED_VALUE"""),"Saki☆")</f>
        <v>Saki☆</v>
      </c>
      <c r="B3276" s="10">
        <f>IFERROR(__xludf.DUMMYFUNCTION("""COMPUTED_VALUE"""),660.0)</f>
        <v>660</v>
      </c>
      <c r="C3276" s="10">
        <f>IFERROR(__xludf.DUMMYFUNCTION("""COMPUTED_VALUE"""),7605.0)</f>
        <v>7605</v>
      </c>
      <c r="D3276" s="5">
        <f>IFERROR(__xludf.DUMMYFUNCTION("""COMPUTED_VALUE"""),0.34758819294456444)</f>
        <v>0.3475881929</v>
      </c>
      <c r="E3276" s="5">
        <f>IFERROR(__xludf.DUMMYFUNCTION("""COMPUTED_VALUE"""),0.12469402447804176)</f>
        <v>0.1246940245</v>
      </c>
      <c r="F3276" s="5">
        <f>IFERROR(__xludf.DUMMYFUNCTION("""COMPUTED_VALUE"""),0.21238300935925125)</f>
        <v>0.2123830094</v>
      </c>
      <c r="G3276" s="5">
        <f>IFERROR(__xludf.DUMMYFUNCTION("""COMPUTED_VALUE"""),0.19222462203023757)</f>
        <v>0.192224622</v>
      </c>
      <c r="H3276" s="5">
        <f>IFERROR(__xludf.DUMMYFUNCTION("""COMPUTED_VALUE"""),0.583728813559322)</f>
        <v>0.5837288136</v>
      </c>
      <c r="I3276" s="11">
        <f>IFERROR(__xludf.DUMMYFUNCTION("""COMPUTED_VALUE"""),5984.745762711865)</f>
        <v>5984.745763</v>
      </c>
      <c r="J3276" s="10">
        <f>IFERROR(__xludf.DUMMYFUNCTION("""COMPUTED_VALUE"""),2.0)</f>
        <v>2</v>
      </c>
      <c r="K3276" s="5">
        <f>IFERROR(__xludf.DUMMYFUNCTION("""COMPUTED_VALUE"""),0.0030303030303030303)</f>
        <v>0.00303030303</v>
      </c>
      <c r="L3276" s="10">
        <f>IFERROR(__xludf.DUMMYFUNCTION("""COMPUTED_VALUE"""),0.0)</f>
        <v>0</v>
      </c>
      <c r="M3276" s="5">
        <f>IFERROR(__xludf.DUMMYFUNCTION("""COMPUTED_VALUE"""),0.0)</f>
        <v>0</v>
      </c>
    </row>
    <row r="3277">
      <c r="A3277" s="10" t="str">
        <f>IFERROR(__xludf.DUMMYFUNCTION("""COMPUTED_VALUE"""),"k_m_b")</f>
        <v>k_m_b</v>
      </c>
      <c r="B3277" s="10">
        <f>IFERROR(__xludf.DUMMYFUNCTION("""COMPUTED_VALUE"""),3005.0)</f>
        <v>3005</v>
      </c>
      <c r="C3277" s="10">
        <f>IFERROR(__xludf.DUMMYFUNCTION("""COMPUTED_VALUE"""),35084.0)</f>
        <v>35084</v>
      </c>
      <c r="D3277" s="5">
        <f>IFERROR(__xludf.DUMMYFUNCTION("""COMPUTED_VALUE"""),0.3785342435861467)</f>
        <v>0.3785342436</v>
      </c>
      <c r="E3277" s="5">
        <f>IFERROR(__xludf.DUMMYFUNCTION("""COMPUTED_VALUE"""),0.12469216621465756)</f>
        <v>0.1246921662</v>
      </c>
      <c r="F3277" s="5">
        <f>IFERROR(__xludf.DUMMYFUNCTION("""COMPUTED_VALUE"""),0.2107921069858786)</f>
        <v>0.210792107</v>
      </c>
      <c r="G3277" s="5">
        <f>IFERROR(__xludf.DUMMYFUNCTION("""COMPUTED_VALUE"""),0.14641977617756163)</f>
        <v>0.1464197762</v>
      </c>
      <c r="H3277" s="5">
        <f>IFERROR(__xludf.DUMMYFUNCTION("""COMPUTED_VALUE"""),0.6051464063886424)</f>
        <v>0.6051464064</v>
      </c>
      <c r="I3277" s="11">
        <f>IFERROR(__xludf.DUMMYFUNCTION("""COMPUTED_VALUE"""),5265.498373262349)</f>
        <v>5265.498373</v>
      </c>
      <c r="J3277" s="10">
        <f>IFERROR(__xludf.DUMMYFUNCTION("""COMPUTED_VALUE"""),2.0)</f>
        <v>2</v>
      </c>
      <c r="K3277" s="5">
        <f>IFERROR(__xludf.DUMMYFUNCTION("""COMPUTED_VALUE"""),6.655574043261231E-4)</f>
        <v>0.0006655574043</v>
      </c>
      <c r="L3277" s="10">
        <f>IFERROR(__xludf.DUMMYFUNCTION("""COMPUTED_VALUE"""),3005.0)</f>
        <v>3005</v>
      </c>
      <c r="M3277" s="5">
        <f>IFERROR(__xludf.DUMMYFUNCTION("""COMPUTED_VALUE"""),1.0)</f>
        <v>1</v>
      </c>
    </row>
    <row r="3278">
      <c r="A3278" s="10" t="str">
        <f>IFERROR(__xludf.DUMMYFUNCTION("""COMPUTED_VALUE"""),"ママご飯まだ？")</f>
        <v>ママご飯まだ？</v>
      </c>
      <c r="B3278" s="10">
        <f>IFERROR(__xludf.DUMMYFUNCTION("""COMPUTED_VALUE"""),227.0)</f>
        <v>227</v>
      </c>
      <c r="C3278" s="10">
        <f>IFERROR(__xludf.DUMMYFUNCTION("""COMPUTED_VALUE"""),2657.0)</f>
        <v>2657</v>
      </c>
      <c r="D3278" s="5">
        <f>IFERROR(__xludf.DUMMYFUNCTION("""COMPUTED_VALUE"""),0.3530864197530864)</f>
        <v>0.3530864198</v>
      </c>
      <c r="E3278" s="5">
        <f>IFERROR(__xludf.DUMMYFUNCTION("""COMPUTED_VALUE"""),0.12469135802469136)</f>
        <v>0.124691358</v>
      </c>
      <c r="F3278" s="5">
        <f>IFERROR(__xludf.DUMMYFUNCTION("""COMPUTED_VALUE"""),0.205761316872428)</f>
        <v>0.2057613169</v>
      </c>
      <c r="G3278" s="5">
        <f>IFERROR(__xludf.DUMMYFUNCTION("""COMPUTED_VALUE"""),0.18065843621399177)</f>
        <v>0.1806584362</v>
      </c>
      <c r="H3278" s="5">
        <f>IFERROR(__xludf.DUMMYFUNCTION("""COMPUTED_VALUE"""),0.548)</f>
        <v>0.548</v>
      </c>
      <c r="I3278" s="11">
        <f>IFERROR(__xludf.DUMMYFUNCTION("""COMPUTED_VALUE"""),5323.2)</f>
        <v>5323.2</v>
      </c>
      <c r="J3278" s="10">
        <f>IFERROR(__xludf.DUMMYFUNCTION("""COMPUTED_VALUE"""),0.0)</f>
        <v>0</v>
      </c>
      <c r="K3278" s="5">
        <f>IFERROR(__xludf.DUMMYFUNCTION("""COMPUTED_VALUE"""),0.0)</f>
        <v>0</v>
      </c>
      <c r="L3278" s="10">
        <f>IFERROR(__xludf.DUMMYFUNCTION("""COMPUTED_VALUE"""),206.0)</f>
        <v>206</v>
      </c>
      <c r="M3278" s="5">
        <f>IFERROR(__xludf.DUMMYFUNCTION("""COMPUTED_VALUE"""),0.9074889867841409)</f>
        <v>0.9074889868</v>
      </c>
    </row>
    <row r="3279">
      <c r="A3279" s="10" t="str">
        <f>IFERROR(__xludf.DUMMYFUNCTION("""COMPUTED_VALUE"""),"ラセット")</f>
        <v>ラセット</v>
      </c>
      <c r="B3279" s="10">
        <f>IFERROR(__xludf.DUMMYFUNCTION("""COMPUTED_VALUE"""),336.0)</f>
        <v>336</v>
      </c>
      <c r="C3279" s="10">
        <f>IFERROR(__xludf.DUMMYFUNCTION("""COMPUTED_VALUE"""),3977.0)</f>
        <v>3977</v>
      </c>
      <c r="D3279" s="5">
        <f>IFERROR(__xludf.DUMMYFUNCTION("""COMPUTED_VALUE"""),0.3949464432848119)</f>
        <v>0.3949464433</v>
      </c>
      <c r="E3279" s="5">
        <f>IFERROR(__xludf.DUMMYFUNCTION("""COMPUTED_VALUE"""),0.12469101895083769)</f>
        <v>0.124691019</v>
      </c>
      <c r="F3279" s="5">
        <f>IFERROR(__xludf.DUMMYFUNCTION("""COMPUTED_VALUE"""),0.21120571271628674)</f>
        <v>0.2112057127</v>
      </c>
      <c r="G3279" s="5">
        <f>IFERROR(__xludf.DUMMYFUNCTION("""COMPUTED_VALUE"""),0.13485306234550948)</f>
        <v>0.1348530623</v>
      </c>
      <c r="H3279" s="5">
        <f>IFERROR(__xludf.DUMMYFUNCTION("""COMPUTED_VALUE"""),0.6124837451235371)</f>
        <v>0.6124837451</v>
      </c>
      <c r="I3279" s="11">
        <f>IFERROR(__xludf.DUMMYFUNCTION("""COMPUTED_VALUE"""),5126.657997399219)</f>
        <v>5126.657997</v>
      </c>
      <c r="J3279" s="10">
        <f>IFERROR(__xludf.DUMMYFUNCTION("""COMPUTED_VALUE"""),0.0)</f>
        <v>0</v>
      </c>
      <c r="K3279" s="5">
        <f>IFERROR(__xludf.DUMMYFUNCTION("""COMPUTED_VALUE"""),0.0)</f>
        <v>0</v>
      </c>
      <c r="L3279" s="10">
        <f>IFERROR(__xludf.DUMMYFUNCTION("""COMPUTED_VALUE"""),336.0)</f>
        <v>336</v>
      </c>
      <c r="M3279" s="5">
        <f>IFERROR(__xludf.DUMMYFUNCTION("""COMPUTED_VALUE"""),1.0)</f>
        <v>1</v>
      </c>
    </row>
    <row r="3280">
      <c r="A3280" s="10" t="str">
        <f>IFERROR(__xludf.DUMMYFUNCTION("""COMPUTED_VALUE"""),"魔法のタコス")</f>
        <v>魔法のタコス</v>
      </c>
      <c r="B3280" s="10">
        <f>IFERROR(__xludf.DUMMYFUNCTION("""COMPUTED_VALUE"""),417.0)</f>
        <v>417</v>
      </c>
      <c r="C3280" s="10">
        <f>IFERROR(__xludf.DUMMYFUNCTION("""COMPUTED_VALUE"""),4852.0)</f>
        <v>4852</v>
      </c>
      <c r="D3280" s="5">
        <f>IFERROR(__xludf.DUMMYFUNCTION("""COMPUTED_VALUE"""),0.3706877113866967)</f>
        <v>0.3706877114</v>
      </c>
      <c r="E3280" s="5">
        <f>IFERROR(__xludf.DUMMYFUNCTION("""COMPUTED_VALUE"""),0.12468996617812853)</f>
        <v>0.1246899662</v>
      </c>
      <c r="F3280" s="5">
        <f>IFERROR(__xludf.DUMMYFUNCTION("""COMPUTED_VALUE"""),0.21848928974069898)</f>
        <v>0.2184892897</v>
      </c>
      <c r="G3280" s="5">
        <f>IFERROR(__xludf.DUMMYFUNCTION("""COMPUTED_VALUE"""),0.17271702367531003)</f>
        <v>0.1727170237</v>
      </c>
      <c r="H3280" s="5">
        <f>IFERROR(__xludf.DUMMYFUNCTION("""COMPUTED_VALUE"""),0.5964912280701754)</f>
        <v>0.5964912281</v>
      </c>
      <c r="I3280" s="11">
        <f>IFERROR(__xludf.DUMMYFUNCTION("""COMPUTED_VALUE"""),5542.827657378741)</f>
        <v>5542.827657</v>
      </c>
      <c r="J3280" s="10">
        <f>IFERROR(__xludf.DUMMYFUNCTION("""COMPUTED_VALUE"""),1.0)</f>
        <v>1</v>
      </c>
      <c r="K3280" s="5">
        <f>IFERROR(__xludf.DUMMYFUNCTION("""COMPUTED_VALUE"""),0.002398081534772182)</f>
        <v>0.002398081535</v>
      </c>
      <c r="L3280" s="10">
        <f>IFERROR(__xludf.DUMMYFUNCTION("""COMPUTED_VALUE"""),417.0)</f>
        <v>417</v>
      </c>
      <c r="M3280" s="5">
        <f>IFERROR(__xludf.DUMMYFUNCTION("""COMPUTED_VALUE"""),1.0)</f>
        <v>1</v>
      </c>
    </row>
    <row r="3281">
      <c r="A3281" s="10" t="str">
        <f>IFERROR(__xludf.DUMMYFUNCTION("""COMPUTED_VALUE"""),"シンデルラ")</f>
        <v>シンデルラ</v>
      </c>
      <c r="B3281" s="10">
        <f>IFERROR(__xludf.DUMMYFUNCTION("""COMPUTED_VALUE"""),4193.0)</f>
        <v>4193</v>
      </c>
      <c r="C3281" s="10">
        <f>IFERROR(__xludf.DUMMYFUNCTION("""COMPUTED_VALUE"""),49602.0)</f>
        <v>49602</v>
      </c>
      <c r="D3281" s="5">
        <f>IFERROR(__xludf.DUMMYFUNCTION("""COMPUTED_VALUE"""),0.3638045321412055)</f>
        <v>0.3638045321</v>
      </c>
      <c r="E3281" s="5">
        <f>IFERROR(__xludf.DUMMYFUNCTION("""COMPUTED_VALUE"""),0.12468893831619282)</f>
        <v>0.1246889383</v>
      </c>
      <c r="F3281" s="5">
        <f>IFERROR(__xludf.DUMMYFUNCTION("""COMPUTED_VALUE"""),0.21407650465766698)</f>
        <v>0.2140765047</v>
      </c>
      <c r="G3281" s="5">
        <f>IFERROR(__xludf.DUMMYFUNCTION("""COMPUTED_VALUE"""),0.1659582902067872)</f>
        <v>0.1659582902</v>
      </c>
      <c r="H3281" s="5">
        <f>IFERROR(__xludf.DUMMYFUNCTION("""COMPUTED_VALUE"""),0.593354593148853)</f>
        <v>0.5933545931</v>
      </c>
      <c r="I3281" s="11">
        <f>IFERROR(__xludf.DUMMYFUNCTION("""COMPUTED_VALUE"""),5325.26489044337)</f>
        <v>5325.26489</v>
      </c>
      <c r="J3281" s="10">
        <f>IFERROR(__xludf.DUMMYFUNCTION("""COMPUTED_VALUE"""),4.0)</f>
        <v>4</v>
      </c>
      <c r="K3281" s="5">
        <f>IFERROR(__xludf.DUMMYFUNCTION("""COMPUTED_VALUE"""),9.539709038874314E-4)</f>
        <v>0.0009539709039</v>
      </c>
      <c r="L3281" s="10">
        <f>IFERROR(__xludf.DUMMYFUNCTION("""COMPUTED_VALUE"""),2141.0)</f>
        <v>2141</v>
      </c>
      <c r="M3281" s="5">
        <f>IFERROR(__xludf.DUMMYFUNCTION("""COMPUTED_VALUE"""),0.5106129263057477)</f>
        <v>0.5106129263</v>
      </c>
    </row>
    <row r="3282">
      <c r="A3282" s="10" t="str">
        <f>IFERROR(__xludf.DUMMYFUNCTION("""COMPUTED_VALUE"""),"haly")</f>
        <v>haly</v>
      </c>
      <c r="B3282" s="10">
        <f>IFERROR(__xludf.DUMMYFUNCTION("""COMPUTED_VALUE"""),403.0)</f>
        <v>403</v>
      </c>
      <c r="C3282" s="10">
        <f>IFERROR(__xludf.DUMMYFUNCTION("""COMPUTED_VALUE"""),4774.0)</f>
        <v>4774</v>
      </c>
      <c r="D3282" s="5">
        <f>IFERROR(__xludf.DUMMYFUNCTION("""COMPUTED_VALUE"""),0.42049874170670326)</f>
        <v>0.4204987417</v>
      </c>
      <c r="E3282" s="5">
        <f>IFERROR(__xludf.DUMMYFUNCTION("""COMPUTED_VALUE"""),0.12468542667581789)</f>
        <v>0.1246854267</v>
      </c>
      <c r="F3282" s="5">
        <f>IFERROR(__xludf.DUMMYFUNCTION("""COMPUTED_VALUE"""),0.20498741706703272)</f>
        <v>0.2049874171</v>
      </c>
      <c r="G3282" s="5">
        <f>IFERROR(__xludf.DUMMYFUNCTION("""COMPUTED_VALUE"""),0.1377259208419126)</f>
        <v>0.1377259208</v>
      </c>
      <c r="H3282" s="5">
        <f>IFERROR(__xludf.DUMMYFUNCTION("""COMPUTED_VALUE"""),0.6037946428571429)</f>
        <v>0.6037946429</v>
      </c>
      <c r="I3282" s="11">
        <f>IFERROR(__xludf.DUMMYFUNCTION("""COMPUTED_VALUE"""),5282.03125)</f>
        <v>5282.03125</v>
      </c>
      <c r="J3282" s="10">
        <f>IFERROR(__xludf.DUMMYFUNCTION("""COMPUTED_VALUE"""),0.0)</f>
        <v>0</v>
      </c>
      <c r="K3282" s="5">
        <f>IFERROR(__xludf.DUMMYFUNCTION("""COMPUTED_VALUE"""),0.0)</f>
        <v>0</v>
      </c>
      <c r="L3282" s="10">
        <f>IFERROR(__xludf.DUMMYFUNCTION("""COMPUTED_VALUE"""),403.0)</f>
        <v>403</v>
      </c>
      <c r="M3282" s="5">
        <f>IFERROR(__xludf.DUMMYFUNCTION("""COMPUTED_VALUE"""),1.0)</f>
        <v>1</v>
      </c>
    </row>
    <row r="3283">
      <c r="A3283" s="10" t="str">
        <f>IFERROR(__xludf.DUMMYFUNCTION("""COMPUTED_VALUE"""),"こんべっくす凸子")</f>
        <v>こんべっくす凸子</v>
      </c>
      <c r="B3283" s="10">
        <f>IFERROR(__xludf.DUMMYFUNCTION("""COMPUTED_VALUE"""),298.0)</f>
        <v>298</v>
      </c>
      <c r="C3283" s="10">
        <f>IFERROR(__xludf.DUMMYFUNCTION("""COMPUTED_VALUE"""),3442.0)</f>
        <v>3442</v>
      </c>
      <c r="D3283" s="5">
        <f>IFERROR(__xludf.DUMMYFUNCTION("""COMPUTED_VALUE"""),0.3552798982188295)</f>
        <v>0.3552798982</v>
      </c>
      <c r="E3283" s="5">
        <f>IFERROR(__xludf.DUMMYFUNCTION("""COMPUTED_VALUE"""),0.12468193384223919)</f>
        <v>0.1246819338</v>
      </c>
      <c r="F3283" s="5">
        <f>IFERROR(__xludf.DUMMYFUNCTION("""COMPUTED_VALUE"""),0.20896946564885496)</f>
        <v>0.2089694656</v>
      </c>
      <c r="G3283" s="5">
        <f>IFERROR(__xludf.DUMMYFUNCTION("""COMPUTED_VALUE"""),0.17111959287531806)</f>
        <v>0.1711195929</v>
      </c>
      <c r="H3283" s="5">
        <f>IFERROR(__xludf.DUMMYFUNCTION("""COMPUTED_VALUE"""),0.6210045662100456)</f>
        <v>0.6210045662</v>
      </c>
      <c r="I3283" s="11">
        <f>IFERROR(__xludf.DUMMYFUNCTION("""COMPUTED_VALUE"""),5527.853881278539)</f>
        <v>5527.853881</v>
      </c>
      <c r="J3283" s="10">
        <f>IFERROR(__xludf.DUMMYFUNCTION("""COMPUTED_VALUE"""),1.0)</f>
        <v>1</v>
      </c>
      <c r="K3283" s="5">
        <f>IFERROR(__xludf.DUMMYFUNCTION("""COMPUTED_VALUE"""),0.003355704697986577)</f>
        <v>0.003355704698</v>
      </c>
      <c r="L3283" s="10">
        <f>IFERROR(__xludf.DUMMYFUNCTION("""COMPUTED_VALUE"""),124.0)</f>
        <v>124</v>
      </c>
      <c r="M3283" s="5">
        <f>IFERROR(__xludf.DUMMYFUNCTION("""COMPUTED_VALUE"""),0.4161073825503356)</f>
        <v>0.4161073826</v>
      </c>
    </row>
    <row r="3284">
      <c r="A3284" s="10" t="str">
        <f>IFERROR(__xludf.DUMMYFUNCTION("""COMPUTED_VALUE"""),"鬼門☆")</f>
        <v>鬼門☆</v>
      </c>
      <c r="B3284" s="10">
        <f>IFERROR(__xludf.DUMMYFUNCTION("""COMPUTED_VALUE"""),1945.0)</f>
        <v>1945</v>
      </c>
      <c r="C3284" s="10">
        <f>IFERROR(__xludf.DUMMYFUNCTION("""COMPUTED_VALUE"""),22678.0)</f>
        <v>22678</v>
      </c>
      <c r="D3284" s="5">
        <f>IFERROR(__xludf.DUMMYFUNCTION("""COMPUTED_VALUE"""),0.2552934934645252)</f>
        <v>0.2552934935</v>
      </c>
      <c r="E3284" s="5">
        <f>IFERROR(__xludf.DUMMYFUNCTION("""COMPUTED_VALUE"""),0.12468046110066078)</f>
        <v>0.1246804611</v>
      </c>
      <c r="F3284" s="5">
        <f>IFERROR(__xludf.DUMMYFUNCTION("""COMPUTED_VALUE"""),0.20503545073071913)</f>
        <v>0.2050354507</v>
      </c>
      <c r="G3284" s="5">
        <f>IFERROR(__xludf.DUMMYFUNCTION("""COMPUTED_VALUE"""),0.1817874885448319)</f>
        <v>0.1817874885</v>
      </c>
      <c r="H3284" s="5">
        <f>IFERROR(__xludf.DUMMYFUNCTION("""COMPUTED_VALUE"""),0.5913902611150318)</f>
        <v>0.5913902611</v>
      </c>
      <c r="I3284" s="11">
        <f>IFERROR(__xludf.DUMMYFUNCTION("""COMPUTED_VALUE"""),6011.526699600094)</f>
        <v>6011.5267</v>
      </c>
      <c r="J3284" s="10">
        <f>IFERROR(__xludf.DUMMYFUNCTION("""COMPUTED_VALUE"""),2.0)</f>
        <v>2</v>
      </c>
      <c r="K3284" s="5">
        <f>IFERROR(__xludf.DUMMYFUNCTION("""COMPUTED_VALUE"""),0.0010282776349614395)</f>
        <v>0.001028277635</v>
      </c>
      <c r="L3284" s="10">
        <f>IFERROR(__xludf.DUMMYFUNCTION("""COMPUTED_VALUE"""),1945.0)</f>
        <v>1945</v>
      </c>
      <c r="M3284" s="5">
        <f>IFERROR(__xludf.DUMMYFUNCTION("""COMPUTED_VALUE"""),1.0)</f>
        <v>1</v>
      </c>
    </row>
    <row r="3285">
      <c r="A3285" s="10" t="str">
        <f>IFERROR(__xludf.DUMMYFUNCTION("""COMPUTED_VALUE"""),"沖ヒカル（本物）")</f>
        <v>沖ヒカル（本物）</v>
      </c>
      <c r="B3285" s="10">
        <f>IFERROR(__xludf.DUMMYFUNCTION("""COMPUTED_VALUE"""),3835.0)</f>
        <v>3835</v>
      </c>
      <c r="C3285" s="10">
        <f>IFERROR(__xludf.DUMMYFUNCTION("""COMPUTED_VALUE"""),45022.0)</f>
        <v>45022</v>
      </c>
      <c r="D3285" s="5">
        <f>IFERROR(__xludf.DUMMYFUNCTION("""COMPUTED_VALUE"""),0.34372496175977857)</f>
        <v>0.3437249618</v>
      </c>
      <c r="E3285" s="5">
        <f>IFERROR(__xludf.DUMMYFUNCTION("""COMPUTED_VALUE"""),0.12467526161167358)</f>
        <v>0.1246752616</v>
      </c>
      <c r="F3285" s="5">
        <f>IFERROR(__xludf.DUMMYFUNCTION("""COMPUTED_VALUE"""),0.20550173598465535)</f>
        <v>0.205501736</v>
      </c>
      <c r="G3285" s="5">
        <f>IFERROR(__xludf.DUMMYFUNCTION("""COMPUTED_VALUE"""),0.150314419598417)</f>
        <v>0.1503144196</v>
      </c>
      <c r="H3285" s="5">
        <f>IFERROR(__xludf.DUMMYFUNCTION("""COMPUTED_VALUE"""),0.6094045368620038)</f>
        <v>0.6094045369</v>
      </c>
      <c r="I3285" s="11">
        <f>IFERROR(__xludf.DUMMYFUNCTION("""COMPUTED_VALUE"""),5437.523629489603)</f>
        <v>5437.523629</v>
      </c>
      <c r="J3285" s="10">
        <f>IFERROR(__xludf.DUMMYFUNCTION("""COMPUTED_VALUE"""),11.0)</f>
        <v>11</v>
      </c>
      <c r="K3285" s="5">
        <f>IFERROR(__xludf.DUMMYFUNCTION("""COMPUTED_VALUE"""),0.0028683181225554106)</f>
        <v>0.002868318123</v>
      </c>
      <c r="L3285" s="10">
        <f>IFERROR(__xludf.DUMMYFUNCTION("""COMPUTED_VALUE"""),0.0)</f>
        <v>0</v>
      </c>
      <c r="M3285" s="5">
        <f>IFERROR(__xludf.DUMMYFUNCTION("""COMPUTED_VALUE"""),0.0)</f>
        <v>0</v>
      </c>
    </row>
    <row r="3286">
      <c r="A3286" s="10" t="str">
        <f>IFERROR(__xludf.DUMMYFUNCTION("""COMPUTED_VALUE"""),"雷神魔理沙")</f>
        <v>雷神魔理沙</v>
      </c>
      <c r="B3286" s="10">
        <f>IFERROR(__xludf.DUMMYFUNCTION("""COMPUTED_VALUE"""),1019.0)</f>
        <v>1019</v>
      </c>
      <c r="C3286" s="10">
        <f>IFERROR(__xludf.DUMMYFUNCTION("""COMPUTED_VALUE"""),11775.0)</f>
        <v>11775</v>
      </c>
      <c r="D3286" s="5">
        <f>IFERROR(__xludf.DUMMYFUNCTION("""COMPUTED_VALUE"""),0.3514317590182224)</f>
        <v>0.351431759</v>
      </c>
      <c r="E3286" s="5">
        <f>IFERROR(__xludf.DUMMYFUNCTION("""COMPUTED_VALUE"""),0.12467460022313127)</f>
        <v>0.1246746002</v>
      </c>
      <c r="F3286" s="5">
        <f>IFERROR(__xludf.DUMMYFUNCTION("""COMPUTED_VALUE"""),0.22480476013387876)</f>
        <v>0.2248047601</v>
      </c>
      <c r="G3286" s="5">
        <f>IFERROR(__xludf.DUMMYFUNCTION("""COMPUTED_VALUE"""),0.17943473410189661)</f>
        <v>0.1794347341</v>
      </c>
      <c r="H3286" s="5">
        <f>IFERROR(__xludf.DUMMYFUNCTION("""COMPUTED_VALUE"""),0.6000827129859387)</f>
        <v>0.600082713</v>
      </c>
      <c r="I3286" s="11">
        <f>IFERROR(__xludf.DUMMYFUNCTION("""COMPUTED_VALUE"""),5471.712158808933)</f>
        <v>5471.712159</v>
      </c>
      <c r="J3286" s="10">
        <f>IFERROR(__xludf.DUMMYFUNCTION("""COMPUTED_VALUE"""),3.0)</f>
        <v>3</v>
      </c>
      <c r="K3286" s="5">
        <f>IFERROR(__xludf.DUMMYFUNCTION("""COMPUTED_VALUE"""),0.002944062806673209)</f>
        <v>0.002944062807</v>
      </c>
      <c r="L3286" s="10">
        <f>IFERROR(__xludf.DUMMYFUNCTION("""COMPUTED_VALUE"""),6.0)</f>
        <v>6</v>
      </c>
      <c r="M3286" s="5">
        <f>IFERROR(__xludf.DUMMYFUNCTION("""COMPUTED_VALUE"""),0.005888125613346418)</f>
        <v>0.005888125613</v>
      </c>
    </row>
    <row r="3287">
      <c r="A3287" s="10" t="str">
        <f>IFERROR(__xludf.DUMMYFUNCTION("""COMPUTED_VALUE"""),"静流＠サンマ")</f>
        <v>静流＠サンマ</v>
      </c>
      <c r="B3287" s="10">
        <f>IFERROR(__xludf.DUMMYFUNCTION("""COMPUTED_VALUE"""),280.0)</f>
        <v>280</v>
      </c>
      <c r="C3287" s="10">
        <f>IFERROR(__xludf.DUMMYFUNCTION("""COMPUTED_VALUE"""),3336.0)</f>
        <v>3336</v>
      </c>
      <c r="D3287" s="5">
        <f>IFERROR(__xludf.DUMMYFUNCTION("""COMPUTED_VALUE"""),0.3805628272251309)</f>
        <v>0.3805628272</v>
      </c>
      <c r="E3287" s="5">
        <f>IFERROR(__xludf.DUMMYFUNCTION("""COMPUTED_VALUE"""),0.12467277486910995)</f>
        <v>0.1246727749</v>
      </c>
      <c r="F3287" s="5">
        <f>IFERROR(__xludf.DUMMYFUNCTION("""COMPUTED_VALUE"""),0.21400523560209425)</f>
        <v>0.2140052356</v>
      </c>
      <c r="G3287" s="5">
        <f>IFERROR(__xludf.DUMMYFUNCTION("""COMPUTED_VALUE"""),0.15575916230366493)</f>
        <v>0.1557591623</v>
      </c>
      <c r="H3287" s="5">
        <f>IFERROR(__xludf.DUMMYFUNCTION("""COMPUTED_VALUE"""),0.6207951070336392)</f>
        <v>0.620795107</v>
      </c>
      <c r="I3287" s="11">
        <f>IFERROR(__xludf.DUMMYFUNCTION("""COMPUTED_VALUE"""),5517.737003058104)</f>
        <v>5517.737003</v>
      </c>
      <c r="J3287" s="10">
        <f>IFERROR(__xludf.DUMMYFUNCTION("""COMPUTED_VALUE"""),1.0)</f>
        <v>1</v>
      </c>
      <c r="K3287" s="5">
        <f>IFERROR(__xludf.DUMMYFUNCTION("""COMPUTED_VALUE"""),0.0035714285714285713)</f>
        <v>0.003571428571</v>
      </c>
      <c r="L3287" s="10">
        <f>IFERROR(__xludf.DUMMYFUNCTION("""COMPUTED_VALUE"""),0.0)</f>
        <v>0</v>
      </c>
      <c r="M3287" s="5">
        <f>IFERROR(__xludf.DUMMYFUNCTION("""COMPUTED_VALUE"""),0.0)</f>
        <v>0</v>
      </c>
    </row>
    <row r="3288">
      <c r="A3288" s="10" t="str">
        <f>IFERROR(__xludf.DUMMYFUNCTION("""COMPUTED_VALUE"""),"☆タオパイパイ☆")</f>
        <v>☆タオパイパイ☆</v>
      </c>
      <c r="B3288" s="10">
        <f>IFERROR(__xludf.DUMMYFUNCTION("""COMPUTED_VALUE"""),1092.0)</f>
        <v>1092</v>
      </c>
      <c r="C3288" s="10">
        <f>IFERROR(__xludf.DUMMYFUNCTION("""COMPUTED_VALUE"""),13012.0)</f>
        <v>13012</v>
      </c>
      <c r="D3288" s="5">
        <f>IFERROR(__xludf.DUMMYFUNCTION("""COMPUTED_VALUE"""),0.34639261744966443)</f>
        <v>0.3463926174</v>
      </c>
      <c r="E3288" s="5">
        <f>IFERROR(__xludf.DUMMYFUNCTION("""COMPUTED_VALUE"""),0.12466442953020135)</f>
        <v>0.1246644295</v>
      </c>
      <c r="F3288" s="5">
        <f>IFERROR(__xludf.DUMMYFUNCTION("""COMPUTED_VALUE"""),0.20973154362416108)</f>
        <v>0.2097315436</v>
      </c>
      <c r="G3288" s="5">
        <f>IFERROR(__xludf.DUMMYFUNCTION("""COMPUTED_VALUE"""),0.19253355704697986)</f>
        <v>0.192533557</v>
      </c>
      <c r="H3288" s="5">
        <f>IFERROR(__xludf.DUMMYFUNCTION("""COMPUTED_VALUE"""),0.5788)</f>
        <v>0.5788</v>
      </c>
      <c r="I3288" s="11">
        <f>IFERROR(__xludf.DUMMYFUNCTION("""COMPUTED_VALUE"""),5584.44)</f>
        <v>5584.44</v>
      </c>
      <c r="J3288" s="10">
        <f>IFERROR(__xludf.DUMMYFUNCTION("""COMPUTED_VALUE"""),0.0)</f>
        <v>0</v>
      </c>
      <c r="K3288" s="5">
        <f>IFERROR(__xludf.DUMMYFUNCTION("""COMPUTED_VALUE"""),0.0)</f>
        <v>0</v>
      </c>
      <c r="L3288" s="10">
        <f>IFERROR(__xludf.DUMMYFUNCTION("""COMPUTED_VALUE"""),1092.0)</f>
        <v>1092</v>
      </c>
      <c r="M3288" s="5">
        <f>IFERROR(__xludf.DUMMYFUNCTION("""COMPUTED_VALUE"""),1.0)</f>
        <v>1</v>
      </c>
    </row>
    <row r="3289">
      <c r="A3289" s="10" t="str">
        <f>IFERROR(__xludf.DUMMYFUNCTION("""COMPUTED_VALUE"""),"TESHIMAN")</f>
        <v>TESHIMAN</v>
      </c>
      <c r="B3289" s="10">
        <f>IFERROR(__xludf.DUMMYFUNCTION("""COMPUTED_VALUE"""),447.0)</f>
        <v>447</v>
      </c>
      <c r="C3289" s="10">
        <f>IFERROR(__xludf.DUMMYFUNCTION("""COMPUTED_VALUE"""),5276.0)</f>
        <v>5276</v>
      </c>
      <c r="D3289" s="5">
        <f>IFERROR(__xludf.DUMMYFUNCTION("""COMPUTED_VALUE"""),0.3476910333402361)</f>
        <v>0.3476910333</v>
      </c>
      <c r="E3289" s="5">
        <f>IFERROR(__xludf.DUMMYFUNCTION("""COMPUTED_VALUE"""),0.12466349140608822)</f>
        <v>0.1246634914</v>
      </c>
      <c r="F3289" s="5">
        <f>IFERROR(__xludf.DUMMYFUNCTION("""COMPUTED_VALUE"""),0.21350176019879893)</f>
        <v>0.2135017602</v>
      </c>
      <c r="G3289" s="5">
        <f>IFERROR(__xludf.DUMMYFUNCTION("""COMPUTED_VALUE"""),0.17477738662248912)</f>
        <v>0.1747773866</v>
      </c>
      <c r="H3289" s="5">
        <f>IFERROR(__xludf.DUMMYFUNCTION("""COMPUTED_VALUE"""),0.5994180407371484)</f>
        <v>0.5994180407</v>
      </c>
      <c r="I3289" s="11">
        <f>IFERROR(__xludf.DUMMYFUNCTION("""COMPUTED_VALUE"""),5328.5160038797285)</f>
        <v>5328.516004</v>
      </c>
      <c r="J3289" s="10">
        <f>IFERROR(__xludf.DUMMYFUNCTION("""COMPUTED_VALUE"""),0.0)</f>
        <v>0</v>
      </c>
      <c r="K3289" s="5">
        <f>IFERROR(__xludf.DUMMYFUNCTION("""COMPUTED_VALUE"""),0.0)</f>
        <v>0</v>
      </c>
      <c r="L3289" s="10">
        <f>IFERROR(__xludf.DUMMYFUNCTION("""COMPUTED_VALUE"""),447.0)</f>
        <v>447</v>
      </c>
      <c r="M3289" s="5">
        <f>IFERROR(__xludf.DUMMYFUNCTION("""COMPUTED_VALUE"""),1.0)</f>
        <v>1</v>
      </c>
    </row>
    <row r="3290">
      <c r="A3290" s="10" t="str">
        <f>IFERROR(__xludf.DUMMYFUNCTION("""COMPUTED_VALUE"""),"Leirion")</f>
        <v>Leirion</v>
      </c>
      <c r="B3290" s="10">
        <f>IFERROR(__xludf.DUMMYFUNCTION("""COMPUTED_VALUE"""),515.0)</f>
        <v>515</v>
      </c>
      <c r="C3290" s="10">
        <f>IFERROR(__xludf.DUMMYFUNCTION("""COMPUTED_VALUE"""),6074.0)</f>
        <v>6074</v>
      </c>
      <c r="D3290" s="5">
        <f>IFERROR(__xludf.DUMMYFUNCTION("""COMPUTED_VALUE"""),0.41572225220363374)</f>
        <v>0.4157222522</v>
      </c>
      <c r="E3290" s="5">
        <f>IFERROR(__xludf.DUMMYFUNCTION("""COMPUTED_VALUE"""),0.12466270912034538)</f>
        <v>0.1246627091</v>
      </c>
      <c r="F3290" s="5">
        <f>IFERROR(__xludf.DUMMYFUNCTION("""COMPUTED_VALUE"""),0.22576002878215506)</f>
        <v>0.2257600288</v>
      </c>
      <c r="G3290" s="5">
        <f>IFERROR(__xludf.DUMMYFUNCTION("""COMPUTED_VALUE"""),0.1266414822809858)</f>
        <v>0.1266414823</v>
      </c>
      <c r="H3290" s="5">
        <f>IFERROR(__xludf.DUMMYFUNCTION("""COMPUTED_VALUE"""),0.6366533864541832)</f>
        <v>0.6366533865</v>
      </c>
      <c r="I3290" s="11">
        <f>IFERROR(__xludf.DUMMYFUNCTION("""COMPUTED_VALUE"""),5119.521912350598)</f>
        <v>5119.521912</v>
      </c>
      <c r="J3290" s="10">
        <f>IFERROR(__xludf.DUMMYFUNCTION("""COMPUTED_VALUE"""),1.0)</f>
        <v>1</v>
      </c>
      <c r="K3290" s="5">
        <f>IFERROR(__xludf.DUMMYFUNCTION("""COMPUTED_VALUE"""),0.001941747572815534)</f>
        <v>0.001941747573</v>
      </c>
      <c r="L3290" s="10">
        <f>IFERROR(__xludf.DUMMYFUNCTION("""COMPUTED_VALUE"""),515.0)</f>
        <v>515</v>
      </c>
      <c r="M3290" s="5">
        <f>IFERROR(__xludf.DUMMYFUNCTION("""COMPUTED_VALUE"""),1.0)</f>
        <v>1</v>
      </c>
    </row>
    <row r="3291">
      <c r="A3291" s="10" t="str">
        <f>IFERROR(__xludf.DUMMYFUNCTION("""COMPUTED_VALUE"""),"@zakuro@")</f>
        <v>@zakuro@</v>
      </c>
      <c r="B3291" s="10">
        <f>IFERROR(__xludf.DUMMYFUNCTION("""COMPUTED_VALUE"""),1781.0)</f>
        <v>1781</v>
      </c>
      <c r="C3291" s="10">
        <f>IFERROR(__xludf.DUMMYFUNCTION("""COMPUTED_VALUE"""),20865.0)</f>
        <v>20865</v>
      </c>
      <c r="D3291" s="5">
        <f>IFERROR(__xludf.DUMMYFUNCTION("""COMPUTED_VALUE"""),0.36124502200796477)</f>
        <v>0.361245022</v>
      </c>
      <c r="E3291" s="5">
        <f>IFERROR(__xludf.DUMMYFUNCTION("""COMPUTED_VALUE"""),0.12465940054495912)</f>
        <v>0.1246594005</v>
      </c>
      <c r="F3291" s="5">
        <f>IFERROR(__xludf.DUMMYFUNCTION("""COMPUTED_VALUE"""),0.20561727101236638)</f>
        <v>0.205617271</v>
      </c>
      <c r="G3291" s="5">
        <f>IFERROR(__xludf.DUMMYFUNCTION("""COMPUTED_VALUE"""),0.1764829176273318)</f>
        <v>0.1764829176</v>
      </c>
      <c r="H3291" s="5">
        <f>IFERROR(__xludf.DUMMYFUNCTION("""COMPUTED_VALUE"""),0.6027013251783894)</f>
        <v>0.6027013252</v>
      </c>
      <c r="I3291" s="11">
        <f>IFERROR(__xludf.DUMMYFUNCTION("""COMPUTED_VALUE"""),5707.084607543323)</f>
        <v>5707.084608</v>
      </c>
      <c r="J3291" s="10">
        <f>IFERROR(__xludf.DUMMYFUNCTION("""COMPUTED_VALUE"""),4.0)</f>
        <v>4</v>
      </c>
      <c r="K3291" s="5">
        <f>IFERROR(__xludf.DUMMYFUNCTION("""COMPUTED_VALUE"""),0.0022459292532285235)</f>
        <v>0.002245929253</v>
      </c>
      <c r="L3291" s="10">
        <f>IFERROR(__xludf.DUMMYFUNCTION("""COMPUTED_VALUE"""),1780.0)</f>
        <v>1780</v>
      </c>
      <c r="M3291" s="5">
        <f>IFERROR(__xludf.DUMMYFUNCTION("""COMPUTED_VALUE"""),0.9994385176866929)</f>
        <v>0.9994385177</v>
      </c>
    </row>
    <row r="3292">
      <c r="A3292" s="10" t="str">
        <f>IFERROR(__xludf.DUMMYFUNCTION("""COMPUTED_VALUE"""),"ハマ・オカモト")</f>
        <v>ハマ・オカモト</v>
      </c>
      <c r="B3292" s="10">
        <f>IFERROR(__xludf.DUMMYFUNCTION("""COMPUTED_VALUE"""),166.0)</f>
        <v>166</v>
      </c>
      <c r="C3292" s="10">
        <f>IFERROR(__xludf.DUMMYFUNCTION("""COMPUTED_VALUE"""),1987.0)</f>
        <v>1987</v>
      </c>
      <c r="D3292" s="5">
        <f>IFERROR(__xludf.DUMMYFUNCTION("""COMPUTED_VALUE"""),0.3261943986820428)</f>
        <v>0.3261943987</v>
      </c>
      <c r="E3292" s="5">
        <f>IFERROR(__xludf.DUMMYFUNCTION("""COMPUTED_VALUE"""),0.12465678198791873)</f>
        <v>0.124656782</v>
      </c>
      <c r="F3292" s="5">
        <f>IFERROR(__xludf.DUMMYFUNCTION("""COMPUTED_VALUE"""),0.20043931905546403)</f>
        <v>0.2004393191</v>
      </c>
      <c r="G3292" s="5">
        <f>IFERROR(__xludf.DUMMYFUNCTION("""COMPUTED_VALUE"""),0.17957166392092258)</f>
        <v>0.1795716639</v>
      </c>
      <c r="H3292" s="5">
        <f>IFERROR(__xludf.DUMMYFUNCTION("""COMPUTED_VALUE"""),0.5917808219178082)</f>
        <v>0.5917808219</v>
      </c>
      <c r="I3292" s="11">
        <f>IFERROR(__xludf.DUMMYFUNCTION("""COMPUTED_VALUE"""),5814.246575342466)</f>
        <v>5814.246575</v>
      </c>
      <c r="J3292" s="10">
        <f>IFERROR(__xludf.DUMMYFUNCTION("""COMPUTED_VALUE"""),0.0)</f>
        <v>0</v>
      </c>
      <c r="K3292" s="5">
        <f>IFERROR(__xludf.DUMMYFUNCTION("""COMPUTED_VALUE"""),0.0)</f>
        <v>0</v>
      </c>
      <c r="L3292" s="10">
        <f>IFERROR(__xludf.DUMMYFUNCTION("""COMPUTED_VALUE"""),166.0)</f>
        <v>166</v>
      </c>
      <c r="M3292" s="5">
        <f>IFERROR(__xludf.DUMMYFUNCTION("""COMPUTED_VALUE"""),1.0)</f>
        <v>1</v>
      </c>
    </row>
    <row r="3293">
      <c r="A3293" s="10" t="str">
        <f>IFERROR(__xludf.DUMMYFUNCTION("""COMPUTED_VALUE"""),"kuroma")</f>
        <v>kuroma</v>
      </c>
      <c r="B3293" s="10">
        <f>IFERROR(__xludf.DUMMYFUNCTION("""COMPUTED_VALUE"""),641.0)</f>
        <v>641</v>
      </c>
      <c r="C3293" s="10">
        <f>IFERROR(__xludf.DUMMYFUNCTION("""COMPUTED_VALUE"""),7486.0)</f>
        <v>7486</v>
      </c>
      <c r="D3293" s="5">
        <f>IFERROR(__xludf.DUMMYFUNCTION("""COMPUTED_VALUE"""),0.3195032870708546)</f>
        <v>0.3195032871</v>
      </c>
      <c r="E3293" s="5">
        <f>IFERROR(__xludf.DUMMYFUNCTION("""COMPUTED_VALUE"""),0.12461650840029219)</f>
        <v>0.1246165084</v>
      </c>
      <c r="F3293" s="5">
        <f>IFERROR(__xludf.DUMMYFUNCTION("""COMPUTED_VALUE"""),0.20613586559532507)</f>
        <v>0.2061358656</v>
      </c>
      <c r="G3293" s="5">
        <f>IFERROR(__xludf.DUMMYFUNCTION("""COMPUTED_VALUE"""),0.17589481373265156)</f>
        <v>0.1758948137</v>
      </c>
      <c r="H3293" s="5">
        <f>IFERROR(__xludf.DUMMYFUNCTION("""COMPUTED_VALUE"""),0.5960311835577604)</f>
        <v>0.5960311836</v>
      </c>
      <c r="I3293" s="11">
        <f>IFERROR(__xludf.DUMMYFUNCTION("""COMPUTED_VALUE"""),5682.4238128986535)</f>
        <v>5682.423813</v>
      </c>
      <c r="J3293" s="10">
        <f>IFERROR(__xludf.DUMMYFUNCTION("""COMPUTED_VALUE"""),0.0)</f>
        <v>0</v>
      </c>
      <c r="K3293" s="5">
        <f>IFERROR(__xludf.DUMMYFUNCTION("""COMPUTED_VALUE"""),0.0)</f>
        <v>0</v>
      </c>
      <c r="L3293" s="10">
        <f>IFERROR(__xludf.DUMMYFUNCTION("""COMPUTED_VALUE"""),263.0)</f>
        <v>263</v>
      </c>
      <c r="M3293" s="5">
        <f>IFERROR(__xludf.DUMMYFUNCTION("""COMPUTED_VALUE"""),0.41029641185647425)</f>
        <v>0.4102964119</v>
      </c>
    </row>
    <row r="3294">
      <c r="A3294" s="10" t="str">
        <f>IFERROR(__xludf.DUMMYFUNCTION("""COMPUTED_VALUE"""),"ゴットゥーさん")</f>
        <v>ゴットゥーさん</v>
      </c>
      <c r="B3294" s="10">
        <f>IFERROR(__xludf.DUMMYFUNCTION("""COMPUTED_VALUE"""),349.0)</f>
        <v>349</v>
      </c>
      <c r="C3294" s="10">
        <f>IFERROR(__xludf.DUMMYFUNCTION("""COMPUTED_VALUE"""),4201.0)</f>
        <v>4201</v>
      </c>
      <c r="D3294" s="5">
        <f>IFERROR(__xludf.DUMMYFUNCTION("""COMPUTED_VALUE"""),0.34475597092419524)</f>
        <v>0.3447559709</v>
      </c>
      <c r="E3294" s="5">
        <f>IFERROR(__xludf.DUMMYFUNCTION("""COMPUTED_VALUE"""),0.12461059190031153)</f>
        <v>0.1246105919</v>
      </c>
      <c r="F3294" s="5">
        <f>IFERROR(__xludf.DUMMYFUNCTION("""COMPUTED_VALUE"""),0.20275181723779856)</f>
        <v>0.2027518172</v>
      </c>
      <c r="G3294" s="5">
        <f>IFERROR(__xludf.DUMMYFUNCTION("""COMPUTED_VALUE"""),0.13110072689511942)</f>
        <v>0.1311007269</v>
      </c>
      <c r="H3294" s="5">
        <f>IFERROR(__xludf.DUMMYFUNCTION("""COMPUTED_VALUE"""),0.6094750320102432)</f>
        <v>0.609475032</v>
      </c>
      <c r="I3294" s="11">
        <f>IFERROR(__xludf.DUMMYFUNCTION("""COMPUTED_VALUE"""),5361.203585147247)</f>
        <v>5361.203585</v>
      </c>
      <c r="J3294" s="10">
        <f>IFERROR(__xludf.DUMMYFUNCTION("""COMPUTED_VALUE"""),1.0)</f>
        <v>1</v>
      </c>
      <c r="K3294" s="5">
        <f>IFERROR(__xludf.DUMMYFUNCTION("""COMPUTED_VALUE"""),0.0028653295128939827)</f>
        <v>0.002865329513</v>
      </c>
      <c r="L3294" s="10">
        <f>IFERROR(__xludf.DUMMYFUNCTION("""COMPUTED_VALUE"""),349.0)</f>
        <v>349</v>
      </c>
      <c r="M3294" s="5">
        <f>IFERROR(__xludf.DUMMYFUNCTION("""COMPUTED_VALUE"""),1.0)</f>
        <v>1</v>
      </c>
    </row>
    <row r="3295">
      <c r="A3295" s="10" t="str">
        <f>IFERROR(__xludf.DUMMYFUNCTION("""COMPUTED_VALUE"""),"shinkawa")</f>
        <v>shinkawa</v>
      </c>
      <c r="B3295" s="10">
        <f>IFERROR(__xludf.DUMMYFUNCTION("""COMPUTED_VALUE"""),969.0)</f>
        <v>969</v>
      </c>
      <c r="C3295" s="10">
        <f>IFERROR(__xludf.DUMMYFUNCTION("""COMPUTED_VALUE"""),11555.0)</f>
        <v>11555</v>
      </c>
      <c r="D3295" s="5">
        <f>IFERROR(__xludf.DUMMYFUNCTION("""COMPUTED_VALUE"""),0.4020404307576044)</f>
        <v>0.4020404308</v>
      </c>
      <c r="E3295" s="5">
        <f>IFERROR(__xludf.DUMMYFUNCTION("""COMPUTED_VALUE"""),0.12459852635556395)</f>
        <v>0.1245985264</v>
      </c>
      <c r="F3295" s="5">
        <f>IFERROR(__xludf.DUMMYFUNCTION("""COMPUTED_VALUE"""),0.21689023238239183)</f>
        <v>0.2168902324</v>
      </c>
      <c r="G3295" s="5">
        <f>IFERROR(__xludf.DUMMYFUNCTION("""COMPUTED_VALUE"""),0.1411297940676365)</f>
        <v>0.1411297941</v>
      </c>
      <c r="H3295" s="5">
        <f>IFERROR(__xludf.DUMMYFUNCTION("""COMPUTED_VALUE"""),0.6036585365853658)</f>
        <v>0.6036585366</v>
      </c>
      <c r="I3295" s="11">
        <f>IFERROR(__xludf.DUMMYFUNCTION("""COMPUTED_VALUE"""),5266.98606271777)</f>
        <v>5266.986063</v>
      </c>
      <c r="J3295" s="10">
        <f>IFERROR(__xludf.DUMMYFUNCTION("""COMPUTED_VALUE"""),1.0)</f>
        <v>1</v>
      </c>
      <c r="K3295" s="5">
        <f>IFERROR(__xludf.DUMMYFUNCTION("""COMPUTED_VALUE"""),0.0010319917440660474)</f>
        <v>0.001031991744</v>
      </c>
      <c r="L3295" s="10">
        <f>IFERROR(__xludf.DUMMYFUNCTION("""COMPUTED_VALUE"""),585.0)</f>
        <v>585</v>
      </c>
      <c r="M3295" s="5">
        <f>IFERROR(__xludf.DUMMYFUNCTION("""COMPUTED_VALUE"""),0.6037151702786377)</f>
        <v>0.6037151703</v>
      </c>
    </row>
    <row r="3296">
      <c r="A3296" s="10" t="str">
        <f>IFERROR(__xludf.DUMMYFUNCTION("""COMPUTED_VALUE"""),"raiki03")</f>
        <v>raiki03</v>
      </c>
      <c r="B3296" s="10">
        <f>IFERROR(__xludf.DUMMYFUNCTION("""COMPUTED_VALUE"""),648.0)</f>
        <v>648</v>
      </c>
      <c r="C3296" s="10">
        <f>IFERROR(__xludf.DUMMYFUNCTION("""COMPUTED_VALUE"""),7607.0)</f>
        <v>7607</v>
      </c>
      <c r="D3296" s="5">
        <f>IFERROR(__xludf.DUMMYFUNCTION("""COMPUTED_VALUE"""),0.3108205201896824)</f>
        <v>0.3108205202</v>
      </c>
      <c r="E3296" s="5">
        <f>IFERROR(__xludf.DUMMYFUNCTION("""COMPUTED_VALUE"""),0.12458686592901279)</f>
        <v>0.1245868659</v>
      </c>
      <c r="F3296" s="5">
        <f>IFERROR(__xludf.DUMMYFUNCTION("""COMPUTED_VALUE"""),0.2231642477367438)</f>
        <v>0.2231642477</v>
      </c>
      <c r="G3296" s="5">
        <f>IFERROR(__xludf.DUMMYFUNCTION("""COMPUTED_VALUE"""),0.18019830435407386)</f>
        <v>0.1801983044</v>
      </c>
      <c r="H3296" s="5">
        <f>IFERROR(__xludf.DUMMYFUNCTION("""COMPUTED_VALUE"""),0.5859626529298133)</f>
        <v>0.5859626529</v>
      </c>
      <c r="I3296" s="11">
        <f>IFERROR(__xludf.DUMMYFUNCTION("""COMPUTED_VALUE"""),5539.214423696072)</f>
        <v>5539.214424</v>
      </c>
      <c r="J3296" s="10">
        <f>IFERROR(__xludf.DUMMYFUNCTION("""COMPUTED_VALUE"""),1.0)</f>
        <v>1</v>
      </c>
      <c r="K3296" s="5">
        <f>IFERROR(__xludf.DUMMYFUNCTION("""COMPUTED_VALUE"""),0.0015432098765432098)</f>
        <v>0.001543209877</v>
      </c>
      <c r="L3296" s="10">
        <f>IFERROR(__xludf.DUMMYFUNCTION("""COMPUTED_VALUE"""),648.0)</f>
        <v>648</v>
      </c>
      <c r="M3296" s="5">
        <f>IFERROR(__xludf.DUMMYFUNCTION("""COMPUTED_VALUE"""),1.0)</f>
        <v>1</v>
      </c>
    </row>
    <row r="3297">
      <c r="A3297" s="10" t="str">
        <f>IFERROR(__xludf.DUMMYFUNCTION("""COMPUTED_VALUE"""),"楕円軌道")</f>
        <v>楕円軌道</v>
      </c>
      <c r="B3297" s="10">
        <f>IFERROR(__xludf.DUMMYFUNCTION("""COMPUTED_VALUE"""),113.0)</f>
        <v>113</v>
      </c>
      <c r="C3297" s="10">
        <f>IFERROR(__xludf.DUMMYFUNCTION("""COMPUTED_VALUE"""),1317.0)</f>
        <v>1317</v>
      </c>
      <c r="D3297" s="5">
        <f>IFERROR(__xludf.DUMMYFUNCTION("""COMPUTED_VALUE"""),0.3073089700996678)</f>
        <v>0.3073089701</v>
      </c>
      <c r="E3297" s="5">
        <f>IFERROR(__xludf.DUMMYFUNCTION("""COMPUTED_VALUE"""),0.12458471760797342)</f>
        <v>0.1245847176</v>
      </c>
      <c r="F3297" s="5">
        <f>IFERROR(__xludf.DUMMYFUNCTION("""COMPUTED_VALUE"""),0.2009966777408638)</f>
        <v>0.2009966777</v>
      </c>
      <c r="G3297" s="5">
        <f>IFERROR(__xludf.DUMMYFUNCTION("""COMPUTED_VALUE"""),0.1644518272425249)</f>
        <v>0.1644518272</v>
      </c>
      <c r="H3297" s="5">
        <f>IFERROR(__xludf.DUMMYFUNCTION("""COMPUTED_VALUE"""),0.5785123966942148)</f>
        <v>0.5785123967</v>
      </c>
      <c r="I3297" s="11">
        <f>IFERROR(__xludf.DUMMYFUNCTION("""COMPUTED_VALUE"""),5833.05785123967)</f>
        <v>5833.057851</v>
      </c>
      <c r="J3297" s="10">
        <f>IFERROR(__xludf.DUMMYFUNCTION("""COMPUTED_VALUE"""),0.0)</f>
        <v>0</v>
      </c>
      <c r="K3297" s="5">
        <f>IFERROR(__xludf.DUMMYFUNCTION("""COMPUTED_VALUE"""),0.0)</f>
        <v>0</v>
      </c>
      <c r="L3297" s="10">
        <f>IFERROR(__xludf.DUMMYFUNCTION("""COMPUTED_VALUE"""),113.0)</f>
        <v>113</v>
      </c>
      <c r="M3297" s="5">
        <f>IFERROR(__xludf.DUMMYFUNCTION("""COMPUTED_VALUE"""),1.0)</f>
        <v>1</v>
      </c>
    </row>
    <row r="3298">
      <c r="A3298" s="10" t="str">
        <f>IFERROR(__xludf.DUMMYFUNCTION("""COMPUTED_VALUE"""),"四宮紅輝")</f>
        <v>四宮紅輝</v>
      </c>
      <c r="B3298" s="10">
        <f>IFERROR(__xludf.DUMMYFUNCTION("""COMPUTED_VALUE"""),907.0)</f>
        <v>907</v>
      </c>
      <c r="C3298" s="10">
        <f>IFERROR(__xludf.DUMMYFUNCTION("""COMPUTED_VALUE"""),10523.0)</f>
        <v>10523</v>
      </c>
      <c r="D3298" s="5">
        <f>IFERROR(__xludf.DUMMYFUNCTION("""COMPUTED_VALUE"""),0.3536813643926789)</f>
        <v>0.3536813644</v>
      </c>
      <c r="E3298" s="5">
        <f>IFERROR(__xludf.DUMMYFUNCTION("""COMPUTED_VALUE"""),0.12458402662229617)</f>
        <v>0.1245840266</v>
      </c>
      <c r="F3298" s="5">
        <f>IFERROR(__xludf.DUMMYFUNCTION("""COMPUTED_VALUE"""),0.21745008319467554)</f>
        <v>0.2174500832</v>
      </c>
      <c r="G3298" s="5">
        <f>IFERROR(__xludf.DUMMYFUNCTION("""COMPUTED_VALUE"""),0.19342762063227953)</f>
        <v>0.1934276206</v>
      </c>
      <c r="H3298" s="5">
        <f>IFERROR(__xludf.DUMMYFUNCTION("""COMPUTED_VALUE"""),0.5810616929698709)</f>
        <v>0.581061693</v>
      </c>
      <c r="I3298" s="11">
        <f>IFERROR(__xludf.DUMMYFUNCTION("""COMPUTED_VALUE"""),5995.934959349594)</f>
        <v>5995.934959</v>
      </c>
      <c r="J3298" s="10">
        <f>IFERROR(__xludf.DUMMYFUNCTION("""COMPUTED_VALUE"""),4.0)</f>
        <v>4</v>
      </c>
      <c r="K3298" s="5">
        <f>IFERROR(__xludf.DUMMYFUNCTION("""COMPUTED_VALUE"""),0.004410143329658214)</f>
        <v>0.00441014333</v>
      </c>
      <c r="L3298" s="10">
        <f>IFERROR(__xludf.DUMMYFUNCTION("""COMPUTED_VALUE"""),430.0)</f>
        <v>430</v>
      </c>
      <c r="M3298" s="5">
        <f>IFERROR(__xludf.DUMMYFUNCTION("""COMPUTED_VALUE"""),0.474090407938258)</f>
        <v>0.4740904079</v>
      </c>
    </row>
    <row r="3299">
      <c r="A3299" s="10" t="str">
        <f>IFERROR(__xludf.DUMMYFUNCTION("""COMPUTED_VALUE"""),"リヒャ")</f>
        <v>リヒャ</v>
      </c>
      <c r="B3299" s="10">
        <f>IFERROR(__xludf.DUMMYFUNCTION("""COMPUTED_VALUE"""),276.0)</f>
        <v>276</v>
      </c>
      <c r="C3299" s="10">
        <f>IFERROR(__xludf.DUMMYFUNCTION("""COMPUTED_VALUE"""),3262.0)</f>
        <v>3262</v>
      </c>
      <c r="D3299" s="5">
        <f>IFERROR(__xludf.DUMMYFUNCTION("""COMPUTED_VALUE"""),0.3563295378432686)</f>
        <v>0.3563295378</v>
      </c>
      <c r="E3299" s="5">
        <f>IFERROR(__xludf.DUMMYFUNCTION("""COMPUTED_VALUE"""),0.1245813797722706)</f>
        <v>0.1245813798</v>
      </c>
      <c r="F3299" s="5">
        <f>IFERROR(__xludf.DUMMYFUNCTION("""COMPUTED_VALUE"""),0.19390488948425988)</f>
        <v>0.1939048895</v>
      </c>
      <c r="G3299" s="5">
        <f>IFERROR(__xludf.DUMMYFUNCTION("""COMPUTED_VALUE"""),0.1667782987273945)</f>
        <v>0.1667782987</v>
      </c>
      <c r="H3299" s="5">
        <f>IFERROR(__xludf.DUMMYFUNCTION("""COMPUTED_VALUE"""),0.5751295336787565)</f>
        <v>0.5751295337</v>
      </c>
      <c r="I3299" s="11">
        <f>IFERROR(__xludf.DUMMYFUNCTION("""COMPUTED_VALUE"""),5691.191709844559)</f>
        <v>5691.19171</v>
      </c>
      <c r="J3299" s="10">
        <f>IFERROR(__xludf.DUMMYFUNCTION("""COMPUTED_VALUE"""),0.0)</f>
        <v>0</v>
      </c>
      <c r="K3299" s="5">
        <f>IFERROR(__xludf.DUMMYFUNCTION("""COMPUTED_VALUE"""),0.0)</f>
        <v>0</v>
      </c>
      <c r="L3299" s="10">
        <f>IFERROR(__xludf.DUMMYFUNCTION("""COMPUTED_VALUE"""),274.0)</f>
        <v>274</v>
      </c>
      <c r="M3299" s="5">
        <f>IFERROR(__xludf.DUMMYFUNCTION("""COMPUTED_VALUE"""),0.9927536231884058)</f>
        <v>0.9927536232</v>
      </c>
    </row>
    <row r="3300">
      <c r="A3300" s="10" t="str">
        <f>IFERROR(__xludf.DUMMYFUNCTION("""COMPUTED_VALUE"""),"ゆきひら")</f>
        <v>ゆきひら</v>
      </c>
      <c r="B3300" s="10">
        <f>IFERROR(__xludf.DUMMYFUNCTION("""COMPUTED_VALUE"""),167.0)</f>
        <v>167</v>
      </c>
      <c r="C3300" s="10">
        <f>IFERROR(__xludf.DUMMYFUNCTION("""COMPUTED_VALUE"""),1949.0)</f>
        <v>1949</v>
      </c>
      <c r="D3300" s="5">
        <f>IFERROR(__xludf.DUMMYFUNCTION("""COMPUTED_VALUE"""),0.3400673400673401)</f>
        <v>0.3400673401</v>
      </c>
      <c r="E3300" s="5">
        <f>IFERROR(__xludf.DUMMYFUNCTION("""COMPUTED_VALUE"""),0.12457912457912458)</f>
        <v>0.1245791246</v>
      </c>
      <c r="F3300" s="5">
        <f>IFERROR(__xludf.DUMMYFUNCTION("""COMPUTED_VALUE"""),0.19248035914702583)</f>
        <v>0.1924803591</v>
      </c>
      <c r="G3300" s="5">
        <f>IFERROR(__xludf.DUMMYFUNCTION("""COMPUTED_VALUE"""),0.1531986531986532)</f>
        <v>0.1531986532</v>
      </c>
      <c r="H3300" s="5">
        <f>IFERROR(__xludf.DUMMYFUNCTION("""COMPUTED_VALUE"""),0.6122448979591837)</f>
        <v>0.612244898</v>
      </c>
      <c r="I3300" s="11">
        <f>IFERROR(__xludf.DUMMYFUNCTION("""COMPUTED_VALUE"""),5789.212827988338)</f>
        <v>5789.212828</v>
      </c>
      <c r="J3300" s="10">
        <f>IFERROR(__xludf.DUMMYFUNCTION("""COMPUTED_VALUE"""),0.0)</f>
        <v>0</v>
      </c>
      <c r="K3300" s="5">
        <f>IFERROR(__xludf.DUMMYFUNCTION("""COMPUTED_VALUE"""),0.0)</f>
        <v>0</v>
      </c>
      <c r="L3300" s="10">
        <f>IFERROR(__xludf.DUMMYFUNCTION("""COMPUTED_VALUE"""),167.0)</f>
        <v>167</v>
      </c>
      <c r="M3300" s="5">
        <f>IFERROR(__xludf.DUMMYFUNCTION("""COMPUTED_VALUE"""),1.0)</f>
        <v>1</v>
      </c>
    </row>
    <row r="3301">
      <c r="A3301" s="10" t="str">
        <f>IFERROR(__xludf.DUMMYFUNCTION("""COMPUTED_VALUE"""),"ブリヒラマサ")</f>
        <v>ブリヒラマサ</v>
      </c>
      <c r="B3301" s="10">
        <f>IFERROR(__xludf.DUMMYFUNCTION("""COMPUTED_VALUE"""),140.0)</f>
        <v>140</v>
      </c>
      <c r="C3301" s="10">
        <f>IFERROR(__xludf.DUMMYFUNCTION("""COMPUTED_VALUE"""),1617.0)</f>
        <v>1617</v>
      </c>
      <c r="D3301" s="5">
        <f>IFERROR(__xludf.DUMMYFUNCTION("""COMPUTED_VALUE"""),0.3053486797562627)</f>
        <v>0.3053486798</v>
      </c>
      <c r="E3301" s="5">
        <f>IFERROR(__xludf.DUMMYFUNCTION("""COMPUTED_VALUE"""),0.12457684495599188)</f>
        <v>0.124576845</v>
      </c>
      <c r="F3301" s="5">
        <f>IFERROR(__xludf.DUMMYFUNCTION("""COMPUTED_VALUE"""),0.18009478672985782)</f>
        <v>0.1800947867</v>
      </c>
      <c r="G3301" s="5">
        <f>IFERROR(__xludf.DUMMYFUNCTION("""COMPUTED_VALUE"""),0.14962762356127285)</f>
        <v>0.1496276236</v>
      </c>
      <c r="H3301" s="5">
        <f>IFERROR(__xludf.DUMMYFUNCTION("""COMPUTED_VALUE"""),0.5789473684210527)</f>
        <v>0.5789473684</v>
      </c>
      <c r="I3301" s="11">
        <f>IFERROR(__xludf.DUMMYFUNCTION("""COMPUTED_VALUE"""),5525.563909774436)</f>
        <v>5525.56391</v>
      </c>
      <c r="J3301" s="10">
        <f>IFERROR(__xludf.DUMMYFUNCTION("""COMPUTED_VALUE"""),0.0)</f>
        <v>0</v>
      </c>
      <c r="K3301" s="5">
        <f>IFERROR(__xludf.DUMMYFUNCTION("""COMPUTED_VALUE"""),0.0)</f>
        <v>0</v>
      </c>
      <c r="L3301" s="10">
        <f>IFERROR(__xludf.DUMMYFUNCTION("""COMPUTED_VALUE"""),140.0)</f>
        <v>140</v>
      </c>
      <c r="M3301" s="5">
        <f>IFERROR(__xludf.DUMMYFUNCTION("""COMPUTED_VALUE"""),1.0)</f>
        <v>1</v>
      </c>
    </row>
    <row r="3302">
      <c r="A3302" s="10" t="str">
        <f>IFERROR(__xludf.DUMMYFUNCTION("""COMPUTED_VALUE"""),"アカ☆ウーピン")</f>
        <v>アカ☆ウーピン</v>
      </c>
      <c r="B3302" s="10">
        <f>IFERROR(__xludf.DUMMYFUNCTION("""COMPUTED_VALUE"""),1130.0)</f>
        <v>1130</v>
      </c>
      <c r="C3302" s="10">
        <f>IFERROR(__xludf.DUMMYFUNCTION("""COMPUTED_VALUE"""),13235.0)</f>
        <v>13235</v>
      </c>
      <c r="D3302" s="5">
        <f>IFERROR(__xludf.DUMMYFUNCTION("""COMPUTED_VALUE"""),0.36224700536968196)</f>
        <v>0.3622470054</v>
      </c>
      <c r="E3302" s="5">
        <f>IFERROR(__xludf.DUMMYFUNCTION("""COMPUTED_VALUE"""),0.12457662123089633)</f>
        <v>0.1245766212</v>
      </c>
      <c r="F3302" s="5">
        <f>IFERROR(__xludf.DUMMYFUNCTION("""COMPUTED_VALUE"""),0.2177612556794713)</f>
        <v>0.2177612557</v>
      </c>
      <c r="G3302" s="5">
        <f>IFERROR(__xludf.DUMMYFUNCTION("""COMPUTED_VALUE"""),0.15307724080958282)</f>
        <v>0.1530772408</v>
      </c>
      <c r="H3302" s="5">
        <f>IFERROR(__xludf.DUMMYFUNCTION("""COMPUTED_VALUE"""),0.6244309559939302)</f>
        <v>0.624430956</v>
      </c>
      <c r="I3302" s="11">
        <f>IFERROR(__xludf.DUMMYFUNCTION("""COMPUTED_VALUE"""),5469.954476479515)</f>
        <v>5469.954476</v>
      </c>
      <c r="J3302" s="10">
        <f>IFERROR(__xludf.DUMMYFUNCTION("""COMPUTED_VALUE"""),1.0)</f>
        <v>1</v>
      </c>
      <c r="K3302" s="5">
        <f>IFERROR(__xludf.DUMMYFUNCTION("""COMPUTED_VALUE"""),8.849557522123894E-4)</f>
        <v>0.0008849557522</v>
      </c>
      <c r="L3302" s="10">
        <f>IFERROR(__xludf.DUMMYFUNCTION("""COMPUTED_VALUE"""),1130.0)</f>
        <v>1130</v>
      </c>
      <c r="M3302" s="5">
        <f>IFERROR(__xludf.DUMMYFUNCTION("""COMPUTED_VALUE"""),1.0)</f>
        <v>1</v>
      </c>
    </row>
    <row r="3303">
      <c r="A3303" s="10" t="str">
        <f>IFERROR(__xludf.DUMMYFUNCTION("""COMPUTED_VALUE"""),"-BK201-")</f>
        <v>-BK201-</v>
      </c>
      <c r="B3303" s="10">
        <f>IFERROR(__xludf.DUMMYFUNCTION("""COMPUTED_VALUE"""),576.0)</f>
        <v>576</v>
      </c>
      <c r="C3303" s="10">
        <f>IFERROR(__xludf.DUMMYFUNCTION("""COMPUTED_VALUE"""),6749.0)</f>
        <v>6749</v>
      </c>
      <c r="D3303" s="5">
        <f>IFERROR(__xludf.DUMMYFUNCTION("""COMPUTED_VALUE"""),0.3827960473027701)</f>
        <v>0.3827960473</v>
      </c>
      <c r="E3303" s="5">
        <f>IFERROR(__xludf.DUMMYFUNCTION("""COMPUTED_VALUE"""),0.12457476105621254)</f>
        <v>0.1245747611</v>
      </c>
      <c r="F3303" s="5">
        <f>IFERROR(__xludf.DUMMYFUNCTION("""COMPUTED_VALUE"""),0.212214482423457)</f>
        <v>0.2122144824</v>
      </c>
      <c r="G3303" s="5">
        <f>IFERROR(__xludf.DUMMYFUNCTION("""COMPUTED_VALUE"""),0.1734974890652843)</f>
        <v>0.1734974891</v>
      </c>
      <c r="H3303" s="5">
        <f>IFERROR(__xludf.DUMMYFUNCTION("""COMPUTED_VALUE"""),0.5793893129770993)</f>
        <v>0.579389313</v>
      </c>
      <c r="I3303" s="11">
        <f>IFERROR(__xludf.DUMMYFUNCTION("""COMPUTED_VALUE"""),5990.916030534351)</f>
        <v>5990.916031</v>
      </c>
      <c r="J3303" s="10">
        <f>IFERROR(__xludf.DUMMYFUNCTION("""COMPUTED_VALUE"""),1.0)</f>
        <v>1</v>
      </c>
      <c r="K3303" s="5">
        <f>IFERROR(__xludf.DUMMYFUNCTION("""COMPUTED_VALUE"""),0.001736111111111111)</f>
        <v>0.001736111111</v>
      </c>
      <c r="L3303" s="10">
        <f>IFERROR(__xludf.DUMMYFUNCTION("""COMPUTED_VALUE"""),576.0)</f>
        <v>576</v>
      </c>
      <c r="M3303" s="5">
        <f>IFERROR(__xludf.DUMMYFUNCTION("""COMPUTED_VALUE"""),1.0)</f>
        <v>1</v>
      </c>
    </row>
    <row r="3304">
      <c r="A3304" s="10" t="str">
        <f>IFERROR(__xludf.DUMMYFUNCTION("""COMPUTED_VALUE"""),"yksrdlab")</f>
        <v>yksrdlab</v>
      </c>
      <c r="B3304" s="10">
        <f>IFERROR(__xludf.DUMMYFUNCTION("""COMPUTED_VALUE"""),635.0)</f>
        <v>635</v>
      </c>
      <c r="C3304" s="10">
        <f>IFERROR(__xludf.DUMMYFUNCTION("""COMPUTED_VALUE"""),7386.0)</f>
        <v>7386</v>
      </c>
      <c r="D3304" s="5">
        <f>IFERROR(__xludf.DUMMYFUNCTION("""COMPUTED_VALUE"""),0.3387646274625981)</f>
        <v>0.3387646275</v>
      </c>
      <c r="E3304" s="5">
        <f>IFERROR(__xludf.DUMMYFUNCTION("""COMPUTED_VALUE"""),0.12457413716486447)</f>
        <v>0.1245741372</v>
      </c>
      <c r="F3304" s="5">
        <f>IFERROR(__xludf.DUMMYFUNCTION("""COMPUTED_VALUE"""),0.2070804325285143)</f>
        <v>0.2070804325</v>
      </c>
      <c r="G3304" s="5">
        <f>IFERROR(__xludf.DUMMYFUNCTION("""COMPUTED_VALUE"""),0.17019700785068878)</f>
        <v>0.1701970079</v>
      </c>
      <c r="H3304" s="5">
        <f>IFERROR(__xludf.DUMMYFUNCTION("""COMPUTED_VALUE"""),0.6130185979971388)</f>
        <v>0.613018598</v>
      </c>
      <c r="I3304" s="11">
        <f>IFERROR(__xludf.DUMMYFUNCTION("""COMPUTED_VALUE"""),5556.8669527897)</f>
        <v>5556.866953</v>
      </c>
      <c r="J3304" s="10">
        <f>IFERROR(__xludf.DUMMYFUNCTION("""COMPUTED_VALUE"""),1.0)</f>
        <v>1</v>
      </c>
      <c r="K3304" s="5">
        <f>IFERROR(__xludf.DUMMYFUNCTION("""COMPUTED_VALUE"""),0.0015748031496062992)</f>
        <v>0.00157480315</v>
      </c>
      <c r="L3304" s="10">
        <f>IFERROR(__xludf.DUMMYFUNCTION("""COMPUTED_VALUE"""),635.0)</f>
        <v>635</v>
      </c>
      <c r="M3304" s="5">
        <f>IFERROR(__xludf.DUMMYFUNCTION("""COMPUTED_VALUE"""),1.0)</f>
        <v>1</v>
      </c>
    </row>
    <row r="3305">
      <c r="A3305" s="10" t="str">
        <f>IFERROR(__xludf.DUMMYFUNCTION("""COMPUTED_VALUE"""),"心夜")</f>
        <v>心夜</v>
      </c>
      <c r="B3305" s="10">
        <f>IFERROR(__xludf.DUMMYFUNCTION("""COMPUTED_VALUE"""),512.0)</f>
        <v>512</v>
      </c>
      <c r="C3305" s="10">
        <f>IFERROR(__xludf.DUMMYFUNCTION("""COMPUTED_VALUE"""),6075.0)</f>
        <v>6075</v>
      </c>
      <c r="D3305" s="5">
        <f>IFERROR(__xludf.DUMMYFUNCTION("""COMPUTED_VALUE"""),0.43411828150278625)</f>
        <v>0.4341182815</v>
      </c>
      <c r="E3305" s="5">
        <f>IFERROR(__xludf.DUMMYFUNCTION("""COMPUTED_VALUE"""),0.12457307208340823)</f>
        <v>0.1245730721</v>
      </c>
      <c r="F3305" s="5">
        <f>IFERROR(__xludf.DUMMYFUNCTION("""COMPUTED_VALUE"""),0.2103181736473126)</f>
        <v>0.2103181736</v>
      </c>
      <c r="G3305" s="5">
        <f>IFERROR(__xludf.DUMMYFUNCTION("""COMPUTED_VALUE"""),0.1635808017256876)</f>
        <v>0.1635808017</v>
      </c>
      <c r="H3305" s="5">
        <f>IFERROR(__xludf.DUMMYFUNCTION("""COMPUTED_VALUE"""),0.6076923076923076)</f>
        <v>0.6076923077</v>
      </c>
      <c r="I3305" s="11">
        <f>IFERROR(__xludf.DUMMYFUNCTION("""COMPUTED_VALUE"""),5584.786324786325)</f>
        <v>5584.786325</v>
      </c>
      <c r="J3305" s="10">
        <f>IFERROR(__xludf.DUMMYFUNCTION("""COMPUTED_VALUE"""),1.0)</f>
        <v>1</v>
      </c>
      <c r="K3305" s="5">
        <f>IFERROR(__xludf.DUMMYFUNCTION("""COMPUTED_VALUE"""),0.001953125)</f>
        <v>0.001953125</v>
      </c>
      <c r="L3305" s="10">
        <f>IFERROR(__xludf.DUMMYFUNCTION("""COMPUTED_VALUE"""),494.0)</f>
        <v>494</v>
      </c>
      <c r="M3305" s="5">
        <f>IFERROR(__xludf.DUMMYFUNCTION("""COMPUTED_VALUE"""),0.96484375)</f>
        <v>0.96484375</v>
      </c>
    </row>
    <row r="3306">
      <c r="A3306" s="10" t="str">
        <f>IFERROR(__xludf.DUMMYFUNCTION("""COMPUTED_VALUE"""),"みかづきも")</f>
        <v>みかづきも</v>
      </c>
      <c r="B3306" s="10">
        <f>IFERROR(__xludf.DUMMYFUNCTION("""COMPUTED_VALUE"""),365.0)</f>
        <v>365</v>
      </c>
      <c r="C3306" s="10">
        <f>IFERROR(__xludf.DUMMYFUNCTION("""COMPUTED_VALUE"""),4162.0)</f>
        <v>4162</v>
      </c>
      <c r="D3306" s="5">
        <f>IFERROR(__xludf.DUMMYFUNCTION("""COMPUTED_VALUE"""),0.3294706347116144)</f>
        <v>0.3294706347</v>
      </c>
      <c r="E3306" s="5">
        <f>IFERROR(__xludf.DUMMYFUNCTION("""COMPUTED_VALUE"""),0.12457203055043456)</f>
        <v>0.1245720306</v>
      </c>
      <c r="F3306" s="5">
        <f>IFERROR(__xludf.DUMMYFUNCTION("""COMPUTED_VALUE"""),0.22149065051356334)</f>
        <v>0.2214906505</v>
      </c>
      <c r="G3306" s="5">
        <f>IFERROR(__xludf.DUMMYFUNCTION("""COMPUTED_VALUE"""),0.17250460890176456)</f>
        <v>0.1725046089</v>
      </c>
      <c r="H3306" s="5">
        <f>IFERROR(__xludf.DUMMYFUNCTION("""COMPUTED_VALUE"""),0.5814506539833532)</f>
        <v>0.581450654</v>
      </c>
      <c r="I3306" s="11">
        <f>IFERROR(__xludf.DUMMYFUNCTION("""COMPUTED_VALUE"""),5735.671819262782)</f>
        <v>5735.671819</v>
      </c>
      <c r="J3306" s="10">
        <f>IFERROR(__xludf.DUMMYFUNCTION("""COMPUTED_VALUE"""),1.0)</f>
        <v>1</v>
      </c>
      <c r="K3306" s="5">
        <f>IFERROR(__xludf.DUMMYFUNCTION("""COMPUTED_VALUE"""),0.0027397260273972603)</f>
        <v>0.002739726027</v>
      </c>
      <c r="L3306" s="10">
        <f>IFERROR(__xludf.DUMMYFUNCTION("""COMPUTED_VALUE"""),365.0)</f>
        <v>365</v>
      </c>
      <c r="M3306" s="5">
        <f>IFERROR(__xludf.DUMMYFUNCTION("""COMPUTED_VALUE"""),1.0)</f>
        <v>1</v>
      </c>
    </row>
    <row r="3307">
      <c r="A3307" s="10" t="str">
        <f>IFERROR(__xludf.DUMMYFUNCTION("""COMPUTED_VALUE"""),"ラムダさん")</f>
        <v>ラムダさん</v>
      </c>
      <c r="B3307" s="10">
        <f>IFERROR(__xludf.DUMMYFUNCTION("""COMPUTED_VALUE"""),5457.0)</f>
        <v>5457</v>
      </c>
      <c r="C3307" s="10">
        <f>IFERROR(__xludf.DUMMYFUNCTION("""COMPUTED_VALUE"""),64130.0)</f>
        <v>64130</v>
      </c>
      <c r="D3307" s="5">
        <f>IFERROR(__xludf.DUMMYFUNCTION("""COMPUTED_VALUE"""),0.30158676052017114)</f>
        <v>0.3015867605</v>
      </c>
      <c r="E3307" s="5">
        <f>IFERROR(__xludf.DUMMYFUNCTION("""COMPUTED_VALUE"""),0.12457177918292911)</f>
        <v>0.1245717792</v>
      </c>
      <c r="F3307" s="5">
        <f>IFERROR(__xludf.DUMMYFUNCTION("""COMPUTED_VALUE"""),0.2047790295365841)</f>
        <v>0.2047790295</v>
      </c>
      <c r="G3307" s="5">
        <f>IFERROR(__xludf.DUMMYFUNCTION("""COMPUTED_VALUE"""),0.1898317795238014)</f>
        <v>0.1898317795</v>
      </c>
      <c r="H3307" s="5">
        <f>IFERROR(__xludf.DUMMYFUNCTION("""COMPUTED_VALUE"""),0.590595089471494)</f>
        <v>0.5905950895</v>
      </c>
      <c r="I3307" s="11">
        <f>IFERROR(__xludf.DUMMYFUNCTION("""COMPUTED_VALUE"""),5851.585518102372)</f>
        <v>5851.585518</v>
      </c>
      <c r="J3307" s="10">
        <f>IFERROR(__xludf.DUMMYFUNCTION("""COMPUTED_VALUE"""),8.0)</f>
        <v>8</v>
      </c>
      <c r="K3307" s="5">
        <f>IFERROR(__xludf.DUMMYFUNCTION("""COMPUTED_VALUE"""),0.0014660069635330768)</f>
        <v>0.001466006964</v>
      </c>
      <c r="L3307" s="10">
        <f>IFERROR(__xludf.DUMMYFUNCTION("""COMPUTED_VALUE"""),5457.0)</f>
        <v>5457</v>
      </c>
      <c r="M3307" s="5">
        <f>IFERROR(__xludf.DUMMYFUNCTION("""COMPUTED_VALUE"""),1.0)</f>
        <v>1</v>
      </c>
    </row>
    <row r="3308">
      <c r="A3308" s="10" t="str">
        <f>IFERROR(__xludf.DUMMYFUNCTION("""COMPUTED_VALUE"""),"旅人ちよすけ")</f>
        <v>旅人ちよすけ</v>
      </c>
      <c r="B3308" s="10">
        <f>IFERROR(__xludf.DUMMYFUNCTION("""COMPUTED_VALUE"""),2916.0)</f>
        <v>2916</v>
      </c>
      <c r="C3308" s="10">
        <f>IFERROR(__xludf.DUMMYFUNCTION("""COMPUTED_VALUE"""),34498.0)</f>
        <v>34498</v>
      </c>
      <c r="D3308" s="5">
        <f>IFERROR(__xludf.DUMMYFUNCTION("""COMPUTED_VALUE"""),0.3246152871889051)</f>
        <v>0.3246152872</v>
      </c>
      <c r="E3308" s="5">
        <f>IFERROR(__xludf.DUMMYFUNCTION("""COMPUTED_VALUE"""),0.12456462541954277)</f>
        <v>0.1245646254</v>
      </c>
      <c r="F3308" s="5">
        <f>IFERROR(__xludf.DUMMYFUNCTION("""COMPUTED_VALUE"""),0.22785130770692166)</f>
        <v>0.2278513077</v>
      </c>
      <c r="G3308" s="5">
        <f>IFERROR(__xludf.DUMMYFUNCTION("""COMPUTED_VALUE"""),0.18155911595212462)</f>
        <v>0.181559116</v>
      </c>
      <c r="H3308" s="5">
        <f>IFERROR(__xludf.DUMMYFUNCTION("""COMPUTED_VALUE"""),0.6006114508060033)</f>
        <v>0.6006114508</v>
      </c>
      <c r="I3308" s="11">
        <f>IFERROR(__xludf.DUMMYFUNCTION("""COMPUTED_VALUE"""),5358.685380767093)</f>
        <v>5358.685381</v>
      </c>
      <c r="J3308" s="10">
        <f>IFERROR(__xludf.DUMMYFUNCTION("""COMPUTED_VALUE"""),7.0)</f>
        <v>7</v>
      </c>
      <c r="K3308" s="5">
        <f>IFERROR(__xludf.DUMMYFUNCTION("""COMPUTED_VALUE"""),0.0024005486968449933)</f>
        <v>0.002400548697</v>
      </c>
      <c r="L3308" s="10">
        <f>IFERROR(__xludf.DUMMYFUNCTION("""COMPUTED_VALUE"""),2916.0)</f>
        <v>2916</v>
      </c>
      <c r="M3308" s="5">
        <f>IFERROR(__xludf.DUMMYFUNCTION("""COMPUTED_VALUE"""),1.0)</f>
        <v>1</v>
      </c>
    </row>
    <row r="3309">
      <c r="A3309" s="10" t="str">
        <f>IFERROR(__xludf.DUMMYFUNCTION("""COMPUTED_VALUE"""),"きみどりん")</f>
        <v>きみどりん</v>
      </c>
      <c r="B3309" s="10">
        <f>IFERROR(__xludf.DUMMYFUNCTION("""COMPUTED_VALUE"""),1670.0)</f>
        <v>1670</v>
      </c>
      <c r="C3309" s="10">
        <f>IFERROR(__xludf.DUMMYFUNCTION("""COMPUTED_VALUE"""),19429.0)</f>
        <v>19429</v>
      </c>
      <c r="D3309" s="5">
        <f>IFERROR(__xludf.DUMMYFUNCTION("""COMPUTED_VALUE"""),0.3505264936088744)</f>
        <v>0.3505264936</v>
      </c>
      <c r="E3309" s="5">
        <f>IFERROR(__xludf.DUMMYFUNCTION("""COMPUTED_VALUE"""),0.12455656286953094)</f>
        <v>0.1245565629</v>
      </c>
      <c r="F3309" s="5">
        <f>IFERROR(__xludf.DUMMYFUNCTION("""COMPUTED_VALUE"""),0.21572160594628076)</f>
        <v>0.2157216059</v>
      </c>
      <c r="G3309" s="5">
        <f>IFERROR(__xludf.DUMMYFUNCTION("""COMPUTED_VALUE"""),0.15715974998592264)</f>
        <v>0.15715975</v>
      </c>
      <c r="H3309" s="5">
        <f>IFERROR(__xludf.DUMMYFUNCTION("""COMPUTED_VALUE"""),0.6095014356564865)</f>
        <v>0.6095014357</v>
      </c>
      <c r="I3309" s="11">
        <f>IFERROR(__xludf.DUMMYFUNCTION("""COMPUTED_VALUE"""),5670.895327590707)</f>
        <v>5670.895328</v>
      </c>
      <c r="J3309" s="10">
        <f>IFERROR(__xludf.DUMMYFUNCTION("""COMPUTED_VALUE"""),5.0)</f>
        <v>5</v>
      </c>
      <c r="K3309" s="5">
        <f>IFERROR(__xludf.DUMMYFUNCTION("""COMPUTED_VALUE"""),0.0029940119760479044)</f>
        <v>0.002994011976</v>
      </c>
      <c r="L3309" s="10">
        <f>IFERROR(__xludf.DUMMYFUNCTION("""COMPUTED_VALUE"""),0.0)</f>
        <v>0</v>
      </c>
      <c r="M3309" s="5">
        <f>IFERROR(__xludf.DUMMYFUNCTION("""COMPUTED_VALUE"""),0.0)</f>
        <v>0</v>
      </c>
    </row>
    <row r="3310">
      <c r="A3310" s="10" t="str">
        <f>IFERROR(__xludf.DUMMYFUNCTION("""COMPUTED_VALUE"""),"zeroRX")</f>
        <v>zeroRX</v>
      </c>
      <c r="B3310" s="10">
        <f>IFERROR(__xludf.DUMMYFUNCTION("""COMPUTED_VALUE"""),5405.0)</f>
        <v>5405</v>
      </c>
      <c r="C3310" s="10">
        <f>IFERROR(__xludf.DUMMYFUNCTION("""COMPUTED_VALUE"""),64078.0)</f>
        <v>64078</v>
      </c>
      <c r="D3310" s="5">
        <f>IFERROR(__xludf.DUMMYFUNCTION("""COMPUTED_VALUE"""),0.37947607928689514)</f>
        <v>0.3794760793</v>
      </c>
      <c r="E3310" s="5">
        <f>IFERROR(__xludf.DUMMYFUNCTION("""COMPUTED_VALUE"""),0.12455473556831934)</f>
        <v>0.1245547356</v>
      </c>
      <c r="F3310" s="5">
        <f>IFERROR(__xludf.DUMMYFUNCTION("""COMPUTED_VALUE"""),0.22136246655190633)</f>
        <v>0.2213624666</v>
      </c>
      <c r="G3310" s="5">
        <f>IFERROR(__xludf.DUMMYFUNCTION("""COMPUTED_VALUE"""),0.16177798987609293)</f>
        <v>0.1617779899</v>
      </c>
      <c r="H3310" s="5">
        <f>IFERROR(__xludf.DUMMYFUNCTION("""COMPUTED_VALUE"""),0.5992454573452418)</f>
        <v>0.5992454573</v>
      </c>
      <c r="I3310" s="11">
        <f>IFERROR(__xludf.DUMMYFUNCTION("""COMPUTED_VALUE"""),5259.362488450878)</f>
        <v>5259.362488</v>
      </c>
      <c r="J3310" s="10">
        <f>IFERROR(__xludf.DUMMYFUNCTION("""COMPUTED_VALUE"""),8.0)</f>
        <v>8</v>
      </c>
      <c r="K3310" s="5">
        <f>IFERROR(__xludf.DUMMYFUNCTION("""COMPUTED_VALUE"""),0.0014801110083256244)</f>
        <v>0.001480111008</v>
      </c>
      <c r="L3310" s="10">
        <f>IFERROR(__xludf.DUMMYFUNCTION("""COMPUTED_VALUE"""),5405.0)</f>
        <v>5405</v>
      </c>
      <c r="M3310" s="5">
        <f>IFERROR(__xludf.DUMMYFUNCTION("""COMPUTED_VALUE"""),1.0)</f>
        <v>1</v>
      </c>
    </row>
    <row r="3311">
      <c r="A3311" s="10" t="str">
        <f>IFERROR(__xludf.DUMMYFUNCTION("""COMPUTED_VALUE"""),"うみキチ")</f>
        <v>うみキチ</v>
      </c>
      <c r="B3311" s="10">
        <f>IFERROR(__xludf.DUMMYFUNCTION("""COMPUTED_VALUE"""),674.0)</f>
        <v>674</v>
      </c>
      <c r="C3311" s="10">
        <f>IFERROR(__xludf.DUMMYFUNCTION("""COMPUTED_VALUE"""),7844.0)</f>
        <v>7844</v>
      </c>
      <c r="D3311" s="5">
        <f>IFERROR(__xludf.DUMMYFUNCTION("""COMPUTED_VALUE"""),0.36541143654114366)</f>
        <v>0.3654114365</v>
      </c>
      <c r="E3311" s="5">
        <f>IFERROR(__xludf.DUMMYFUNCTION("""COMPUTED_VALUE"""),0.12454672245467224)</f>
        <v>0.1245467225</v>
      </c>
      <c r="F3311" s="5">
        <f>IFERROR(__xludf.DUMMYFUNCTION("""COMPUTED_VALUE"""),0.20390516039051604)</f>
        <v>0.2039051604</v>
      </c>
      <c r="G3311" s="5">
        <f>IFERROR(__xludf.DUMMYFUNCTION("""COMPUTED_VALUE"""),0.17405857740585773)</f>
        <v>0.1740585774</v>
      </c>
      <c r="H3311" s="5">
        <f>IFERROR(__xludf.DUMMYFUNCTION("""COMPUTED_VALUE"""),0.6094391244870041)</f>
        <v>0.6094391245</v>
      </c>
      <c r="I3311" s="11">
        <f>IFERROR(__xludf.DUMMYFUNCTION("""COMPUTED_VALUE"""),5631.190150478797)</f>
        <v>5631.19015</v>
      </c>
      <c r="J3311" s="10">
        <f>IFERROR(__xludf.DUMMYFUNCTION("""COMPUTED_VALUE"""),0.0)</f>
        <v>0</v>
      </c>
      <c r="K3311" s="5">
        <f>IFERROR(__xludf.DUMMYFUNCTION("""COMPUTED_VALUE"""),0.0)</f>
        <v>0</v>
      </c>
      <c r="L3311" s="10">
        <f>IFERROR(__xludf.DUMMYFUNCTION("""COMPUTED_VALUE"""),674.0)</f>
        <v>674</v>
      </c>
      <c r="M3311" s="5">
        <f>IFERROR(__xludf.DUMMYFUNCTION("""COMPUTED_VALUE"""),1.0)</f>
        <v>1</v>
      </c>
    </row>
    <row r="3312">
      <c r="A3312" s="10" t="str">
        <f>IFERROR(__xludf.DUMMYFUNCTION("""COMPUTED_VALUE"""),"ユーチー")</f>
        <v>ユーチー</v>
      </c>
      <c r="B3312" s="10">
        <f>IFERROR(__xludf.DUMMYFUNCTION("""COMPUTED_VALUE"""),315.0)</f>
        <v>315</v>
      </c>
      <c r="C3312" s="10">
        <f>IFERROR(__xludf.DUMMYFUNCTION("""COMPUTED_VALUE"""),3615.0)</f>
        <v>3615</v>
      </c>
      <c r="D3312" s="5">
        <f>IFERROR(__xludf.DUMMYFUNCTION("""COMPUTED_VALUE"""),0.33121212121212124)</f>
        <v>0.3312121212</v>
      </c>
      <c r="E3312" s="5">
        <f>IFERROR(__xludf.DUMMYFUNCTION("""COMPUTED_VALUE"""),0.12454545454545454)</f>
        <v>0.1245454545</v>
      </c>
      <c r="F3312" s="5">
        <f>IFERROR(__xludf.DUMMYFUNCTION("""COMPUTED_VALUE"""),0.21666666666666667)</f>
        <v>0.2166666667</v>
      </c>
      <c r="G3312" s="5">
        <f>IFERROR(__xludf.DUMMYFUNCTION("""COMPUTED_VALUE"""),0.1715151515151515)</f>
        <v>0.1715151515</v>
      </c>
      <c r="H3312" s="5">
        <f>IFERROR(__xludf.DUMMYFUNCTION("""COMPUTED_VALUE"""),0.5986013986013986)</f>
        <v>0.5986013986</v>
      </c>
      <c r="I3312" s="11">
        <f>IFERROR(__xludf.DUMMYFUNCTION("""COMPUTED_VALUE"""),5563.4965034965035)</f>
        <v>5563.496503</v>
      </c>
      <c r="J3312" s="10">
        <f>IFERROR(__xludf.DUMMYFUNCTION("""COMPUTED_VALUE"""),1.0)</f>
        <v>1</v>
      </c>
      <c r="K3312" s="5">
        <f>IFERROR(__xludf.DUMMYFUNCTION("""COMPUTED_VALUE"""),0.0031746031746031746)</f>
        <v>0.003174603175</v>
      </c>
      <c r="L3312" s="10">
        <f>IFERROR(__xludf.DUMMYFUNCTION("""COMPUTED_VALUE"""),315.0)</f>
        <v>315</v>
      </c>
      <c r="M3312" s="5">
        <f>IFERROR(__xludf.DUMMYFUNCTION("""COMPUTED_VALUE"""),1.0)</f>
        <v>1</v>
      </c>
    </row>
    <row r="3313">
      <c r="A3313" s="10" t="str">
        <f>IFERROR(__xludf.DUMMYFUNCTION("""COMPUTED_VALUE"""),"魔法使いの朝")</f>
        <v>魔法使いの朝</v>
      </c>
      <c r="B3313" s="10">
        <f>IFERROR(__xludf.DUMMYFUNCTION("""COMPUTED_VALUE"""),249.0)</f>
        <v>249</v>
      </c>
      <c r="C3313" s="10">
        <f>IFERROR(__xludf.DUMMYFUNCTION("""COMPUTED_VALUE"""),2915.0)</f>
        <v>2915</v>
      </c>
      <c r="D3313" s="5">
        <f>IFERROR(__xludf.DUMMYFUNCTION("""COMPUTED_VALUE"""),0.3390847711927982)</f>
        <v>0.3390847712</v>
      </c>
      <c r="E3313" s="5">
        <f>IFERROR(__xludf.DUMMYFUNCTION("""COMPUTED_VALUE"""),0.1245311327831958)</f>
        <v>0.1245311328</v>
      </c>
      <c r="F3313" s="5">
        <f>IFERROR(__xludf.DUMMYFUNCTION("""COMPUTED_VALUE"""),0.19317329332333083)</f>
        <v>0.1931732933</v>
      </c>
      <c r="G3313" s="5">
        <f>IFERROR(__xludf.DUMMYFUNCTION("""COMPUTED_VALUE"""),0.14328582145536384)</f>
        <v>0.1432858215</v>
      </c>
      <c r="H3313" s="5">
        <f>IFERROR(__xludf.DUMMYFUNCTION("""COMPUTED_VALUE"""),0.6)</f>
        <v>0.6</v>
      </c>
      <c r="I3313" s="11">
        <f>IFERROR(__xludf.DUMMYFUNCTION("""COMPUTED_VALUE"""),5983.300970873786)</f>
        <v>5983.300971</v>
      </c>
      <c r="J3313" s="10">
        <f>IFERROR(__xludf.DUMMYFUNCTION("""COMPUTED_VALUE"""),2.0)</f>
        <v>2</v>
      </c>
      <c r="K3313" s="5">
        <f>IFERROR(__xludf.DUMMYFUNCTION("""COMPUTED_VALUE"""),0.008032128514056224)</f>
        <v>0.008032128514</v>
      </c>
      <c r="L3313" s="10">
        <f>IFERROR(__xludf.DUMMYFUNCTION("""COMPUTED_VALUE"""),249.0)</f>
        <v>249</v>
      </c>
      <c r="M3313" s="5">
        <f>IFERROR(__xludf.DUMMYFUNCTION("""COMPUTED_VALUE"""),1.0)</f>
        <v>1</v>
      </c>
    </row>
    <row r="3314">
      <c r="A3314" s="10" t="str">
        <f>IFERROR(__xludf.DUMMYFUNCTION("""COMPUTED_VALUE"""),"中村しらす")</f>
        <v>中村しらす</v>
      </c>
      <c r="B3314" s="10">
        <f>IFERROR(__xludf.DUMMYFUNCTION("""COMPUTED_VALUE"""),244.0)</f>
        <v>244</v>
      </c>
      <c r="C3314" s="10">
        <f>IFERROR(__xludf.DUMMYFUNCTION("""COMPUTED_VALUE"""),2886.0)</f>
        <v>2886</v>
      </c>
      <c r="D3314" s="5">
        <f>IFERROR(__xludf.DUMMYFUNCTION("""COMPUTED_VALUE"""),0.3607115821347464)</f>
        <v>0.3607115821</v>
      </c>
      <c r="E3314" s="5">
        <f>IFERROR(__xludf.DUMMYFUNCTION("""COMPUTED_VALUE"""),0.12452687358062074)</f>
        <v>0.1245268736</v>
      </c>
      <c r="F3314" s="5">
        <f>IFERROR(__xludf.DUMMYFUNCTION("""COMPUTED_VALUE"""),0.19568508705526116)</f>
        <v>0.1956850871</v>
      </c>
      <c r="G3314" s="5">
        <f>IFERROR(__xludf.DUMMYFUNCTION("""COMPUTED_VALUE"""),0.14496593489780468)</f>
        <v>0.1449659349</v>
      </c>
      <c r="H3314" s="5">
        <f>IFERROR(__xludf.DUMMYFUNCTION("""COMPUTED_VALUE"""),0.5880077369439072)</f>
        <v>0.5880077369</v>
      </c>
      <c r="I3314" s="11">
        <f>IFERROR(__xludf.DUMMYFUNCTION("""COMPUTED_VALUE"""),5524.177949709864)</f>
        <v>5524.17795</v>
      </c>
      <c r="J3314" s="10">
        <f>IFERROR(__xludf.DUMMYFUNCTION("""COMPUTED_VALUE"""),2.0)</f>
        <v>2</v>
      </c>
      <c r="K3314" s="5">
        <f>IFERROR(__xludf.DUMMYFUNCTION("""COMPUTED_VALUE"""),0.00819672131147541)</f>
        <v>0.008196721311</v>
      </c>
      <c r="L3314" s="10">
        <f>IFERROR(__xludf.DUMMYFUNCTION("""COMPUTED_VALUE"""),244.0)</f>
        <v>244</v>
      </c>
      <c r="M3314" s="5">
        <f>IFERROR(__xludf.DUMMYFUNCTION("""COMPUTED_VALUE"""),1.0)</f>
        <v>1</v>
      </c>
    </row>
    <row r="3315">
      <c r="A3315" s="10" t="str">
        <f>IFERROR(__xludf.DUMMYFUNCTION("""COMPUTED_VALUE"""),"クロスロール")</f>
        <v>クロスロール</v>
      </c>
      <c r="B3315" s="10">
        <f>IFERROR(__xludf.DUMMYFUNCTION("""COMPUTED_VALUE"""),1091.0)</f>
        <v>1091</v>
      </c>
      <c r="C3315" s="10">
        <f>IFERROR(__xludf.DUMMYFUNCTION("""COMPUTED_VALUE"""),12872.0)</f>
        <v>12872</v>
      </c>
      <c r="D3315" s="5">
        <f>IFERROR(__xludf.DUMMYFUNCTION("""COMPUTED_VALUE"""),0.39860792801969275)</f>
        <v>0.398607928</v>
      </c>
      <c r="E3315" s="5">
        <f>IFERROR(__xludf.DUMMYFUNCTION("""COMPUTED_VALUE"""),0.12452253628724216)</f>
        <v>0.1245225363</v>
      </c>
      <c r="F3315" s="5">
        <f>IFERROR(__xludf.DUMMYFUNCTION("""COMPUTED_VALUE"""),0.21806298276886513)</f>
        <v>0.2180629828</v>
      </c>
      <c r="G3315" s="5">
        <f>IFERROR(__xludf.DUMMYFUNCTION("""COMPUTED_VALUE"""),0.16645446057210764)</f>
        <v>0.1664544606</v>
      </c>
      <c r="H3315" s="5">
        <f>IFERROR(__xludf.DUMMYFUNCTION("""COMPUTED_VALUE"""),0.6181393538341767)</f>
        <v>0.6181393538</v>
      </c>
      <c r="I3315" s="11">
        <f>IFERROR(__xludf.DUMMYFUNCTION("""COMPUTED_VALUE"""),5179.019073569482)</f>
        <v>5179.019074</v>
      </c>
      <c r="J3315" s="10">
        <f>IFERROR(__xludf.DUMMYFUNCTION("""COMPUTED_VALUE"""),0.0)</f>
        <v>0</v>
      </c>
      <c r="K3315" s="5">
        <f>IFERROR(__xludf.DUMMYFUNCTION("""COMPUTED_VALUE"""),0.0)</f>
        <v>0</v>
      </c>
      <c r="L3315" s="10">
        <f>IFERROR(__xludf.DUMMYFUNCTION("""COMPUTED_VALUE"""),1091.0)</f>
        <v>1091</v>
      </c>
      <c r="M3315" s="5">
        <f>IFERROR(__xludf.DUMMYFUNCTION("""COMPUTED_VALUE"""),1.0)</f>
        <v>1</v>
      </c>
    </row>
    <row r="3316">
      <c r="A3316" s="10" t="str">
        <f>IFERROR(__xludf.DUMMYFUNCTION("""COMPUTED_VALUE"""),"〓白龍〓")</f>
        <v>〓白龍〓</v>
      </c>
      <c r="B3316" s="10">
        <f>IFERROR(__xludf.DUMMYFUNCTION("""COMPUTED_VALUE"""),920.0)</f>
        <v>920</v>
      </c>
      <c r="C3316" s="10">
        <f>IFERROR(__xludf.DUMMYFUNCTION("""COMPUTED_VALUE"""),10862.0)</f>
        <v>10862</v>
      </c>
      <c r="D3316" s="5">
        <f>IFERROR(__xludf.DUMMYFUNCTION("""COMPUTED_VALUE"""),0.34902434117883724)</f>
        <v>0.3490243412</v>
      </c>
      <c r="E3316" s="5">
        <f>IFERROR(__xludf.DUMMYFUNCTION("""COMPUTED_VALUE"""),0.12452222892778113)</f>
        <v>0.1245222289</v>
      </c>
      <c r="F3316" s="5">
        <f>IFERROR(__xludf.DUMMYFUNCTION("""COMPUTED_VALUE"""),0.21444377388855362)</f>
        <v>0.2144437739</v>
      </c>
      <c r="G3316" s="5">
        <f>IFERROR(__xludf.DUMMYFUNCTION("""COMPUTED_VALUE"""),0.1620398310199155)</f>
        <v>0.162039831</v>
      </c>
      <c r="H3316" s="5">
        <f>IFERROR(__xludf.DUMMYFUNCTION("""COMPUTED_VALUE"""),0.6036585365853658)</f>
        <v>0.6036585366</v>
      </c>
      <c r="I3316" s="11">
        <f>IFERROR(__xludf.DUMMYFUNCTION("""COMPUTED_VALUE"""),5432.129455909943)</f>
        <v>5432.129456</v>
      </c>
      <c r="J3316" s="10">
        <f>IFERROR(__xludf.DUMMYFUNCTION("""COMPUTED_VALUE"""),1.0)</f>
        <v>1</v>
      </c>
      <c r="K3316" s="5">
        <f>IFERROR(__xludf.DUMMYFUNCTION("""COMPUTED_VALUE"""),0.0010869565217391304)</f>
        <v>0.001086956522</v>
      </c>
      <c r="L3316" s="10">
        <f>IFERROR(__xludf.DUMMYFUNCTION("""COMPUTED_VALUE"""),920.0)</f>
        <v>920</v>
      </c>
      <c r="M3316" s="5">
        <f>IFERROR(__xludf.DUMMYFUNCTION("""COMPUTED_VALUE"""),1.0)</f>
        <v>1</v>
      </c>
    </row>
    <row r="3317">
      <c r="A3317" s="10" t="str">
        <f>IFERROR(__xludf.DUMMYFUNCTION("""COMPUTED_VALUE"""),"＝高橋パンダ＝")</f>
        <v>＝高橋パンダ＝</v>
      </c>
      <c r="B3317" s="10">
        <f>IFERROR(__xludf.DUMMYFUNCTION("""COMPUTED_VALUE"""),920.0)</f>
        <v>920</v>
      </c>
      <c r="C3317" s="10">
        <f>IFERROR(__xludf.DUMMYFUNCTION("""COMPUTED_VALUE"""),10927.0)</f>
        <v>10927</v>
      </c>
      <c r="D3317" s="5">
        <f>IFERROR(__xludf.DUMMYFUNCTION("""COMPUTED_VALUE"""),0.3830318776856201)</f>
        <v>0.3830318777</v>
      </c>
      <c r="E3317" s="5">
        <f>IFERROR(__xludf.DUMMYFUNCTION("""COMPUTED_VALUE"""),0.12451284101129209)</f>
        <v>0.124512841</v>
      </c>
      <c r="F3317" s="5">
        <f>IFERROR(__xludf.DUMMYFUNCTION("""COMPUTED_VALUE"""),0.2120515639052663)</f>
        <v>0.2120515639</v>
      </c>
      <c r="G3317" s="5">
        <f>IFERROR(__xludf.DUMMYFUNCTION("""COMPUTED_VALUE"""),0.15878884780653543)</f>
        <v>0.1587888478</v>
      </c>
      <c r="H3317" s="5">
        <f>IFERROR(__xludf.DUMMYFUNCTION("""COMPUTED_VALUE"""),0.5989632422243166)</f>
        <v>0.5989632422</v>
      </c>
      <c r="I3317" s="11">
        <f>IFERROR(__xludf.DUMMYFUNCTION("""COMPUTED_VALUE"""),5577.002827521206)</f>
        <v>5577.002828</v>
      </c>
      <c r="J3317" s="10">
        <f>IFERROR(__xludf.DUMMYFUNCTION("""COMPUTED_VALUE"""),2.0)</f>
        <v>2</v>
      </c>
      <c r="K3317" s="5">
        <f>IFERROR(__xludf.DUMMYFUNCTION("""COMPUTED_VALUE"""),0.002173913043478261)</f>
        <v>0.002173913043</v>
      </c>
      <c r="L3317" s="10">
        <f>IFERROR(__xludf.DUMMYFUNCTION("""COMPUTED_VALUE"""),887.0)</f>
        <v>887</v>
      </c>
      <c r="M3317" s="5">
        <f>IFERROR(__xludf.DUMMYFUNCTION("""COMPUTED_VALUE"""),0.9641304347826087)</f>
        <v>0.9641304348</v>
      </c>
    </row>
    <row r="3318">
      <c r="A3318" s="10" t="str">
        <f>IFERROR(__xludf.DUMMYFUNCTION("""COMPUTED_VALUE"""),"大竹")</f>
        <v>大竹</v>
      </c>
      <c r="B3318" s="10">
        <f>IFERROR(__xludf.DUMMYFUNCTION("""COMPUTED_VALUE"""),591.0)</f>
        <v>591</v>
      </c>
      <c r="C3318" s="10">
        <f>IFERROR(__xludf.DUMMYFUNCTION("""COMPUTED_VALUE"""),6905.0)</f>
        <v>6905</v>
      </c>
      <c r="D3318" s="5">
        <f>IFERROR(__xludf.DUMMYFUNCTION("""COMPUTED_VALUE"""),0.3173899271460247)</f>
        <v>0.3173899271</v>
      </c>
      <c r="E3318" s="5">
        <f>IFERROR(__xludf.DUMMYFUNCTION("""COMPUTED_VALUE"""),0.12448527082673425)</f>
        <v>0.1244852708</v>
      </c>
      <c r="F3318" s="5">
        <f>IFERROR(__xludf.DUMMYFUNCTION("""COMPUTED_VALUE"""),0.19638897687678175)</f>
        <v>0.1963889769</v>
      </c>
      <c r="G3318" s="5">
        <f>IFERROR(__xludf.DUMMYFUNCTION("""COMPUTED_VALUE"""),0.18070953436807094)</f>
        <v>0.1807095344</v>
      </c>
      <c r="H3318" s="5">
        <f>IFERROR(__xludf.DUMMYFUNCTION("""COMPUTED_VALUE"""),0.5943548387096774)</f>
        <v>0.5943548387</v>
      </c>
      <c r="I3318" s="11">
        <f>IFERROR(__xludf.DUMMYFUNCTION("""COMPUTED_VALUE"""),5794.193548387097)</f>
        <v>5794.193548</v>
      </c>
      <c r="J3318" s="10">
        <f>IFERROR(__xludf.DUMMYFUNCTION("""COMPUTED_VALUE"""),0.0)</f>
        <v>0</v>
      </c>
      <c r="K3318" s="5">
        <f>IFERROR(__xludf.DUMMYFUNCTION("""COMPUTED_VALUE"""),0.0)</f>
        <v>0</v>
      </c>
      <c r="L3318" s="10">
        <f>IFERROR(__xludf.DUMMYFUNCTION("""COMPUTED_VALUE"""),591.0)</f>
        <v>591</v>
      </c>
      <c r="M3318" s="5">
        <f>IFERROR(__xludf.DUMMYFUNCTION("""COMPUTED_VALUE"""),1.0)</f>
        <v>1</v>
      </c>
    </row>
    <row r="3319">
      <c r="A3319" s="10" t="str">
        <f>IFERROR(__xludf.DUMMYFUNCTION("""COMPUTED_VALUE"""),"evacania")</f>
        <v>evacania</v>
      </c>
      <c r="B3319" s="10">
        <f>IFERROR(__xludf.DUMMYFUNCTION("""COMPUTED_VALUE"""),301.0)</f>
        <v>301</v>
      </c>
      <c r="C3319" s="10">
        <f>IFERROR(__xludf.DUMMYFUNCTION("""COMPUTED_VALUE"""),3450.0)</f>
        <v>3450</v>
      </c>
      <c r="D3319" s="5">
        <f>IFERROR(__xludf.DUMMYFUNCTION("""COMPUTED_VALUE"""),0.34455382661162276)</f>
        <v>0.3445538266</v>
      </c>
      <c r="E3319" s="5">
        <f>IFERROR(__xludf.DUMMYFUNCTION("""COMPUTED_VALUE"""),0.12448396316290886)</f>
        <v>0.1244839632</v>
      </c>
      <c r="F3319" s="5">
        <f>IFERROR(__xludf.DUMMYFUNCTION("""COMPUTED_VALUE"""),0.20069863448713876)</f>
        <v>0.2006986345</v>
      </c>
      <c r="G3319" s="5">
        <f>IFERROR(__xludf.DUMMYFUNCTION("""COMPUTED_VALUE"""),0.18990155604953954)</f>
        <v>0.189901556</v>
      </c>
      <c r="H3319" s="5">
        <f>IFERROR(__xludf.DUMMYFUNCTION("""COMPUTED_VALUE"""),0.5743670886075949)</f>
        <v>0.5743670886</v>
      </c>
      <c r="I3319" s="11">
        <f>IFERROR(__xludf.DUMMYFUNCTION("""COMPUTED_VALUE"""),5874.683544303797)</f>
        <v>5874.683544</v>
      </c>
      <c r="J3319" s="10">
        <f>IFERROR(__xludf.DUMMYFUNCTION("""COMPUTED_VALUE"""),0.0)</f>
        <v>0</v>
      </c>
      <c r="K3319" s="5">
        <f>IFERROR(__xludf.DUMMYFUNCTION("""COMPUTED_VALUE"""),0.0)</f>
        <v>0</v>
      </c>
      <c r="L3319" s="10">
        <f>IFERROR(__xludf.DUMMYFUNCTION("""COMPUTED_VALUE"""),301.0)</f>
        <v>301</v>
      </c>
      <c r="M3319" s="5">
        <f>IFERROR(__xludf.DUMMYFUNCTION("""COMPUTED_VALUE"""),1.0)</f>
        <v>1</v>
      </c>
    </row>
    <row r="3320">
      <c r="A3320" s="10" t="str">
        <f>IFERROR(__xludf.DUMMYFUNCTION("""COMPUTED_VALUE"""),"駒鳥蓮華")</f>
        <v>駒鳥蓮華</v>
      </c>
      <c r="B3320" s="10">
        <f>IFERROR(__xludf.DUMMYFUNCTION("""COMPUTED_VALUE"""),2024.0)</f>
        <v>2024</v>
      </c>
      <c r="C3320" s="10">
        <f>IFERROR(__xludf.DUMMYFUNCTION("""COMPUTED_VALUE"""),23682.0)</f>
        <v>23682</v>
      </c>
      <c r="D3320" s="5">
        <f>IFERROR(__xludf.DUMMYFUNCTION("""COMPUTED_VALUE"""),0.35612706621109985)</f>
        <v>0.3561270662</v>
      </c>
      <c r="E3320" s="5">
        <f>IFERROR(__xludf.DUMMYFUNCTION("""COMPUTED_VALUE"""),0.12448056145535137)</f>
        <v>0.1244805615</v>
      </c>
      <c r="F3320" s="5">
        <f>IFERROR(__xludf.DUMMYFUNCTION("""COMPUTED_VALUE"""),0.2153015052174716)</f>
        <v>0.2153015052</v>
      </c>
      <c r="G3320" s="5">
        <f>IFERROR(__xludf.DUMMYFUNCTION("""COMPUTED_VALUE"""),0.17383876627574107)</f>
        <v>0.1738387663</v>
      </c>
      <c r="H3320" s="5">
        <f>IFERROR(__xludf.DUMMYFUNCTION("""COMPUTED_VALUE"""),0.5833154621488312)</f>
        <v>0.5833154621</v>
      </c>
      <c r="I3320" s="11">
        <f>IFERROR(__xludf.DUMMYFUNCTION("""COMPUTED_VALUE"""),5571.94938880549)</f>
        <v>5571.949389</v>
      </c>
      <c r="J3320" s="10">
        <f>IFERROR(__xludf.DUMMYFUNCTION("""COMPUTED_VALUE"""),6.0)</f>
        <v>6</v>
      </c>
      <c r="K3320" s="5">
        <f>IFERROR(__xludf.DUMMYFUNCTION("""COMPUTED_VALUE"""),0.0029644268774703555)</f>
        <v>0.002964426877</v>
      </c>
      <c r="L3320" s="10">
        <f>IFERROR(__xludf.DUMMYFUNCTION("""COMPUTED_VALUE"""),390.0)</f>
        <v>390</v>
      </c>
      <c r="M3320" s="5">
        <f>IFERROR(__xludf.DUMMYFUNCTION("""COMPUTED_VALUE"""),0.19268774703557312)</f>
        <v>0.192687747</v>
      </c>
    </row>
    <row r="3321">
      <c r="A3321" s="10" t="str">
        <f>IFERROR(__xludf.DUMMYFUNCTION("""COMPUTED_VALUE"""),"けんぞーくん")</f>
        <v>けんぞーくん</v>
      </c>
      <c r="B3321" s="10">
        <f>IFERROR(__xludf.DUMMYFUNCTION("""COMPUTED_VALUE"""),452.0)</f>
        <v>452</v>
      </c>
      <c r="C3321" s="10">
        <f>IFERROR(__xludf.DUMMYFUNCTION("""COMPUTED_VALUE"""),5264.0)</f>
        <v>5264</v>
      </c>
      <c r="D3321" s="5">
        <f>IFERROR(__xludf.DUMMYFUNCTION("""COMPUTED_VALUE"""),0.33686616791354945)</f>
        <v>0.3368661679</v>
      </c>
      <c r="E3321" s="5">
        <f>IFERROR(__xludf.DUMMYFUNCTION("""COMPUTED_VALUE"""),0.1244804655029094)</f>
        <v>0.1244804655</v>
      </c>
      <c r="F3321" s="5">
        <f>IFERROR(__xludf.DUMMYFUNCTION("""COMPUTED_VALUE"""),0.20074812967581046)</f>
        <v>0.2007481297</v>
      </c>
      <c r="G3321" s="5">
        <f>IFERROR(__xludf.DUMMYFUNCTION("""COMPUTED_VALUE"""),0.18765586034912718)</f>
        <v>0.1876558603</v>
      </c>
      <c r="H3321" s="5">
        <f>IFERROR(__xludf.DUMMYFUNCTION("""COMPUTED_VALUE"""),0.567287784679089)</f>
        <v>0.5672877847</v>
      </c>
      <c r="I3321" s="11">
        <f>IFERROR(__xludf.DUMMYFUNCTION("""COMPUTED_VALUE"""),5876.811594202899)</f>
        <v>5876.811594</v>
      </c>
      <c r="J3321" s="10">
        <f>IFERROR(__xludf.DUMMYFUNCTION("""COMPUTED_VALUE"""),0.0)</f>
        <v>0</v>
      </c>
      <c r="K3321" s="5">
        <f>IFERROR(__xludf.DUMMYFUNCTION("""COMPUTED_VALUE"""),0.0)</f>
        <v>0</v>
      </c>
      <c r="L3321" s="10">
        <f>IFERROR(__xludf.DUMMYFUNCTION("""COMPUTED_VALUE"""),452.0)</f>
        <v>452</v>
      </c>
      <c r="M3321" s="5">
        <f>IFERROR(__xludf.DUMMYFUNCTION("""COMPUTED_VALUE"""),1.0)</f>
        <v>1</v>
      </c>
    </row>
    <row r="3322">
      <c r="A3322" s="10" t="str">
        <f>IFERROR(__xludf.DUMMYFUNCTION("""COMPUTED_VALUE"""),"ykf55389")</f>
        <v>ykf55389</v>
      </c>
      <c r="B3322" s="10">
        <f>IFERROR(__xludf.DUMMYFUNCTION("""COMPUTED_VALUE"""),517.0)</f>
        <v>517</v>
      </c>
      <c r="C3322" s="10">
        <f>IFERROR(__xludf.DUMMYFUNCTION("""COMPUTED_VALUE"""),6044.0)</f>
        <v>6044</v>
      </c>
      <c r="D3322" s="5">
        <f>IFERROR(__xludf.DUMMYFUNCTION("""COMPUTED_VALUE"""),0.3705445992400941)</f>
        <v>0.3705445992</v>
      </c>
      <c r="E3322" s="5">
        <f>IFERROR(__xludf.DUMMYFUNCTION("""COMPUTED_VALUE"""),0.12447982630721911)</f>
        <v>0.1244798263</v>
      </c>
      <c r="F3322" s="5">
        <f>IFERROR(__xludf.DUMMYFUNCTION("""COMPUTED_VALUE"""),0.20933598697304143)</f>
        <v>0.209335987</v>
      </c>
      <c r="G3322" s="5">
        <f>IFERROR(__xludf.DUMMYFUNCTION("""COMPUTED_VALUE"""),0.1740546408539895)</f>
        <v>0.1740546409</v>
      </c>
      <c r="H3322" s="5">
        <f>IFERROR(__xludf.DUMMYFUNCTION("""COMPUTED_VALUE"""),0.5894554883318929)</f>
        <v>0.5894554883</v>
      </c>
      <c r="I3322" s="11">
        <f>IFERROR(__xludf.DUMMYFUNCTION("""COMPUTED_VALUE"""),5110.630942091616)</f>
        <v>5110.630942</v>
      </c>
      <c r="J3322" s="10">
        <f>IFERROR(__xludf.DUMMYFUNCTION("""COMPUTED_VALUE"""),0.0)</f>
        <v>0</v>
      </c>
      <c r="K3322" s="5">
        <f>IFERROR(__xludf.DUMMYFUNCTION("""COMPUTED_VALUE"""),0.0)</f>
        <v>0</v>
      </c>
      <c r="L3322" s="10">
        <f>IFERROR(__xludf.DUMMYFUNCTION("""COMPUTED_VALUE"""),517.0)</f>
        <v>517</v>
      </c>
      <c r="M3322" s="5">
        <f>IFERROR(__xludf.DUMMYFUNCTION("""COMPUTED_VALUE"""),1.0)</f>
        <v>1</v>
      </c>
    </row>
    <row r="3323">
      <c r="A3323" s="10" t="str">
        <f>IFERROR(__xludf.DUMMYFUNCTION("""COMPUTED_VALUE"""),"ぷるるん大佐")</f>
        <v>ぷるるん大佐</v>
      </c>
      <c r="B3323" s="10">
        <f>IFERROR(__xludf.DUMMYFUNCTION("""COMPUTED_VALUE"""),530.0)</f>
        <v>530</v>
      </c>
      <c r="C3323" s="10">
        <f>IFERROR(__xludf.DUMMYFUNCTION("""COMPUTED_VALUE"""),6282.0)</f>
        <v>6282</v>
      </c>
      <c r="D3323" s="5">
        <f>IFERROR(__xludf.DUMMYFUNCTION("""COMPUTED_VALUE"""),0.3482267037552156)</f>
        <v>0.3482267038</v>
      </c>
      <c r="E3323" s="5">
        <f>IFERROR(__xludf.DUMMYFUNCTION("""COMPUTED_VALUE"""),0.12447844228094576)</f>
        <v>0.1244784423</v>
      </c>
      <c r="F3323" s="5">
        <f>IFERROR(__xludf.DUMMYFUNCTION("""COMPUTED_VALUE"""),0.2006258692628651)</f>
        <v>0.2006258693</v>
      </c>
      <c r="G3323" s="5">
        <f>IFERROR(__xludf.DUMMYFUNCTION("""COMPUTED_VALUE"""),0.17020166898470096)</f>
        <v>0.170201669</v>
      </c>
      <c r="H3323" s="5">
        <f>IFERROR(__xludf.DUMMYFUNCTION("""COMPUTED_VALUE"""),0.6022530329289428)</f>
        <v>0.6022530329</v>
      </c>
      <c r="I3323" s="11">
        <f>IFERROR(__xludf.DUMMYFUNCTION("""COMPUTED_VALUE"""),5707.798960138648)</f>
        <v>5707.79896</v>
      </c>
      <c r="J3323" s="10">
        <f>IFERROR(__xludf.DUMMYFUNCTION("""COMPUTED_VALUE"""),1.0)</f>
        <v>1</v>
      </c>
      <c r="K3323" s="5">
        <f>IFERROR(__xludf.DUMMYFUNCTION("""COMPUTED_VALUE"""),0.0018867924528301887)</f>
        <v>0.001886792453</v>
      </c>
      <c r="L3323" s="10">
        <f>IFERROR(__xludf.DUMMYFUNCTION("""COMPUTED_VALUE"""),317.0)</f>
        <v>317</v>
      </c>
      <c r="M3323" s="5">
        <f>IFERROR(__xludf.DUMMYFUNCTION("""COMPUTED_VALUE"""),0.5981132075471698)</f>
        <v>0.5981132075</v>
      </c>
    </row>
    <row r="3324">
      <c r="A3324" s="10" t="str">
        <f>IFERROR(__xludf.DUMMYFUNCTION("""COMPUTED_VALUE"""),"量子(りょうし)")</f>
        <v>量子(りょうし)</v>
      </c>
      <c r="B3324" s="10">
        <f>IFERROR(__xludf.DUMMYFUNCTION("""COMPUTED_VALUE"""),110.0)</f>
        <v>110</v>
      </c>
      <c r="C3324" s="10">
        <f>IFERROR(__xludf.DUMMYFUNCTION("""COMPUTED_VALUE"""),1299.0)</f>
        <v>1299</v>
      </c>
      <c r="D3324" s="5">
        <f>IFERROR(__xludf.DUMMYFUNCTION("""COMPUTED_VALUE"""),0.31959629941127)</f>
        <v>0.3195962994</v>
      </c>
      <c r="E3324" s="5">
        <f>IFERROR(__xludf.DUMMYFUNCTION("""COMPUTED_VALUE"""),0.12447434819175777)</f>
        <v>0.1244743482</v>
      </c>
      <c r="F3324" s="5">
        <f>IFERROR(__xludf.DUMMYFUNCTION("""COMPUTED_VALUE"""),0.20185029436501262)</f>
        <v>0.2018502944</v>
      </c>
      <c r="G3324" s="5">
        <f>IFERROR(__xludf.DUMMYFUNCTION("""COMPUTED_VALUE"""),0.10428931875525652)</f>
        <v>0.1042893188</v>
      </c>
      <c r="H3324" s="5">
        <f>IFERROR(__xludf.DUMMYFUNCTION("""COMPUTED_VALUE"""),0.6041666666666666)</f>
        <v>0.6041666667</v>
      </c>
      <c r="I3324" s="11">
        <f>IFERROR(__xludf.DUMMYFUNCTION("""COMPUTED_VALUE"""),5734.166666666667)</f>
        <v>5734.166667</v>
      </c>
      <c r="J3324" s="10">
        <f>IFERROR(__xludf.DUMMYFUNCTION("""COMPUTED_VALUE"""),0.0)</f>
        <v>0</v>
      </c>
      <c r="K3324" s="5">
        <f>IFERROR(__xludf.DUMMYFUNCTION("""COMPUTED_VALUE"""),0.0)</f>
        <v>0</v>
      </c>
      <c r="L3324" s="10">
        <f>IFERROR(__xludf.DUMMYFUNCTION("""COMPUTED_VALUE"""),110.0)</f>
        <v>110</v>
      </c>
      <c r="M3324" s="5">
        <f>IFERROR(__xludf.DUMMYFUNCTION("""COMPUTED_VALUE"""),1.0)</f>
        <v>1</v>
      </c>
    </row>
    <row r="3325">
      <c r="A3325" s="10" t="str">
        <f>IFERROR(__xludf.DUMMYFUNCTION("""COMPUTED_VALUE"""),"万点坊")</f>
        <v>万点坊</v>
      </c>
      <c r="B3325" s="10">
        <f>IFERROR(__xludf.DUMMYFUNCTION("""COMPUTED_VALUE"""),312.0)</f>
        <v>312</v>
      </c>
      <c r="C3325" s="10">
        <f>IFERROR(__xludf.DUMMYFUNCTION("""COMPUTED_VALUE"""),3630.0)</f>
        <v>3630</v>
      </c>
      <c r="D3325" s="5">
        <f>IFERROR(__xludf.DUMMYFUNCTION("""COMPUTED_VALUE"""),0.3794454490657022)</f>
        <v>0.3794454491</v>
      </c>
      <c r="E3325" s="5">
        <f>IFERROR(__xludf.DUMMYFUNCTION("""COMPUTED_VALUE"""),0.12447257383966245)</f>
        <v>0.1244725738</v>
      </c>
      <c r="F3325" s="5">
        <f>IFERROR(__xludf.DUMMYFUNCTION("""COMPUTED_VALUE"""),0.22031344183242918)</f>
        <v>0.2203134418</v>
      </c>
      <c r="G3325" s="5">
        <f>IFERROR(__xludf.DUMMYFUNCTION("""COMPUTED_VALUE"""),0.17811934900542495)</f>
        <v>0.178119349</v>
      </c>
      <c r="H3325" s="5">
        <f>IFERROR(__xludf.DUMMYFUNCTION("""COMPUTED_VALUE"""),0.5909712722298222)</f>
        <v>0.5909712722</v>
      </c>
      <c r="I3325" s="11">
        <f>IFERROR(__xludf.DUMMYFUNCTION("""COMPUTED_VALUE"""),5311.491108071135)</f>
        <v>5311.491108</v>
      </c>
      <c r="J3325" s="10">
        <f>IFERROR(__xludf.DUMMYFUNCTION("""COMPUTED_VALUE"""),0.0)</f>
        <v>0</v>
      </c>
      <c r="K3325" s="5">
        <f>IFERROR(__xludf.DUMMYFUNCTION("""COMPUTED_VALUE"""),0.0)</f>
        <v>0</v>
      </c>
      <c r="L3325" s="10">
        <f>IFERROR(__xludf.DUMMYFUNCTION("""COMPUTED_VALUE"""),312.0)</f>
        <v>312</v>
      </c>
      <c r="M3325" s="5">
        <f>IFERROR(__xludf.DUMMYFUNCTION("""COMPUTED_VALUE"""),1.0)</f>
        <v>1</v>
      </c>
    </row>
    <row r="3326">
      <c r="A3326" s="10" t="str">
        <f>IFERROR(__xludf.DUMMYFUNCTION("""COMPUTED_VALUE"""),"H.Metal")</f>
        <v>H.Metal</v>
      </c>
      <c r="B3326" s="10">
        <f>IFERROR(__xludf.DUMMYFUNCTION("""COMPUTED_VALUE"""),545.0)</f>
        <v>545</v>
      </c>
      <c r="C3326" s="10">
        <f>IFERROR(__xludf.DUMMYFUNCTION("""COMPUTED_VALUE"""),6298.0)</f>
        <v>6298</v>
      </c>
      <c r="D3326" s="5">
        <f>IFERROR(__xludf.DUMMYFUNCTION("""COMPUTED_VALUE"""),0.33860594472449157)</f>
        <v>0.3386059447</v>
      </c>
      <c r="E3326" s="5">
        <f>IFERROR(__xludf.DUMMYFUNCTION("""COMPUTED_VALUE"""),0.12445680514514167)</f>
        <v>0.1244568051</v>
      </c>
      <c r="F3326" s="5">
        <f>IFERROR(__xludf.DUMMYFUNCTION("""COMPUTED_VALUE"""),0.1998957065878672)</f>
        <v>0.1998957066</v>
      </c>
      <c r="G3326" s="5">
        <f>IFERROR(__xludf.DUMMYFUNCTION("""COMPUTED_VALUE"""),0.1856422735963845)</f>
        <v>0.1856422736</v>
      </c>
      <c r="H3326" s="5">
        <f>IFERROR(__xludf.DUMMYFUNCTION("""COMPUTED_VALUE"""),0.5904347826086956)</f>
        <v>0.5904347826</v>
      </c>
      <c r="I3326" s="11">
        <f>IFERROR(__xludf.DUMMYFUNCTION("""COMPUTED_VALUE"""),5737.391304347826)</f>
        <v>5737.391304</v>
      </c>
      <c r="J3326" s="10">
        <f>IFERROR(__xludf.DUMMYFUNCTION("""COMPUTED_VALUE"""),0.0)</f>
        <v>0</v>
      </c>
      <c r="K3326" s="5">
        <f>IFERROR(__xludf.DUMMYFUNCTION("""COMPUTED_VALUE"""),0.0)</f>
        <v>0</v>
      </c>
      <c r="L3326" s="10">
        <f>IFERROR(__xludf.DUMMYFUNCTION("""COMPUTED_VALUE"""),545.0)</f>
        <v>545</v>
      </c>
      <c r="M3326" s="5">
        <f>IFERROR(__xludf.DUMMYFUNCTION("""COMPUTED_VALUE"""),1.0)</f>
        <v>1</v>
      </c>
    </row>
    <row r="3327">
      <c r="A3327" s="10" t="str">
        <f>IFERROR(__xludf.DUMMYFUNCTION("""COMPUTED_VALUE"""),"マイコン")</f>
        <v>マイコン</v>
      </c>
      <c r="B3327" s="10">
        <f>IFERROR(__xludf.DUMMYFUNCTION("""COMPUTED_VALUE"""),429.0)</f>
        <v>429</v>
      </c>
      <c r="C3327" s="10">
        <f>IFERROR(__xludf.DUMMYFUNCTION("""COMPUTED_VALUE"""),5001.0)</f>
        <v>5001</v>
      </c>
      <c r="D3327" s="5">
        <f>IFERROR(__xludf.DUMMYFUNCTION("""COMPUTED_VALUE"""),0.2747156605424322)</f>
        <v>0.2747156605</v>
      </c>
      <c r="E3327" s="5">
        <f>IFERROR(__xludf.DUMMYFUNCTION("""COMPUTED_VALUE"""),0.12445319335083115)</f>
        <v>0.1244531934</v>
      </c>
      <c r="F3327" s="5">
        <f>IFERROR(__xludf.DUMMYFUNCTION("""COMPUTED_VALUE"""),0.2189413823272091)</f>
        <v>0.2189413823</v>
      </c>
      <c r="G3327" s="5">
        <f>IFERROR(__xludf.DUMMYFUNCTION("""COMPUTED_VALUE"""),0.18569553805774278)</f>
        <v>0.1856955381</v>
      </c>
      <c r="H3327" s="5">
        <f>IFERROR(__xludf.DUMMYFUNCTION("""COMPUTED_VALUE"""),0.6143856143856143)</f>
        <v>0.6143856144</v>
      </c>
      <c r="I3327" s="11">
        <f>IFERROR(__xludf.DUMMYFUNCTION("""COMPUTED_VALUE"""),6348.051948051948)</f>
        <v>6348.051948</v>
      </c>
      <c r="J3327" s="10">
        <f>IFERROR(__xludf.DUMMYFUNCTION("""COMPUTED_VALUE"""),1.0)</f>
        <v>1</v>
      </c>
      <c r="K3327" s="5">
        <f>IFERROR(__xludf.DUMMYFUNCTION("""COMPUTED_VALUE"""),0.002331002331002331)</f>
        <v>0.002331002331</v>
      </c>
      <c r="L3327" s="10">
        <f>IFERROR(__xludf.DUMMYFUNCTION("""COMPUTED_VALUE"""),429.0)</f>
        <v>429</v>
      </c>
      <c r="M3327" s="5">
        <f>IFERROR(__xludf.DUMMYFUNCTION("""COMPUTED_VALUE"""),1.0)</f>
        <v>1</v>
      </c>
    </row>
    <row r="3328">
      <c r="A3328" s="10" t="str">
        <f>IFERROR(__xludf.DUMMYFUNCTION("""COMPUTED_VALUE"""),"どらご")</f>
        <v>どらご</v>
      </c>
      <c r="B3328" s="10">
        <f>IFERROR(__xludf.DUMMYFUNCTION("""COMPUTED_VALUE"""),875.0)</f>
        <v>875</v>
      </c>
      <c r="C3328" s="10">
        <f>IFERROR(__xludf.DUMMYFUNCTION("""COMPUTED_VALUE"""),10381.0)</f>
        <v>10381</v>
      </c>
      <c r="D3328" s="5">
        <f>IFERROR(__xludf.DUMMYFUNCTION("""COMPUTED_VALUE"""),0.3247422680412371)</f>
        <v>0.324742268</v>
      </c>
      <c r="E3328" s="5">
        <f>IFERROR(__xludf.DUMMYFUNCTION("""COMPUTED_VALUE"""),0.12444771723122239)</f>
        <v>0.1244477172</v>
      </c>
      <c r="F3328" s="5">
        <f>IFERROR(__xludf.DUMMYFUNCTION("""COMPUTED_VALUE"""),0.20692194403534608)</f>
        <v>0.206921944</v>
      </c>
      <c r="G3328" s="5">
        <f>IFERROR(__xludf.DUMMYFUNCTION("""COMPUTED_VALUE"""),0.12623606143488322)</f>
        <v>0.1262360614</v>
      </c>
      <c r="H3328" s="5">
        <f>IFERROR(__xludf.DUMMYFUNCTION("""COMPUTED_VALUE"""),0.5998983223182511)</f>
        <v>0.5998983223</v>
      </c>
      <c r="I3328" s="11">
        <f>IFERROR(__xludf.DUMMYFUNCTION("""COMPUTED_VALUE"""),5281.748856126081)</f>
        <v>5281.748856</v>
      </c>
      <c r="J3328" s="10">
        <f>IFERROR(__xludf.DUMMYFUNCTION("""COMPUTED_VALUE"""),0.0)</f>
        <v>0</v>
      </c>
      <c r="K3328" s="5">
        <f>IFERROR(__xludf.DUMMYFUNCTION("""COMPUTED_VALUE"""),0.0)</f>
        <v>0</v>
      </c>
      <c r="L3328" s="10">
        <f>IFERROR(__xludf.DUMMYFUNCTION("""COMPUTED_VALUE"""),875.0)</f>
        <v>875</v>
      </c>
      <c r="M3328" s="5">
        <f>IFERROR(__xludf.DUMMYFUNCTION("""COMPUTED_VALUE"""),1.0)</f>
        <v>1</v>
      </c>
    </row>
    <row r="3329">
      <c r="A3329" s="10" t="str">
        <f>IFERROR(__xludf.DUMMYFUNCTION("""COMPUTED_VALUE"""),"大星☆淡")</f>
        <v>大星☆淡</v>
      </c>
      <c r="B3329" s="10">
        <f>IFERROR(__xludf.DUMMYFUNCTION("""COMPUTED_VALUE"""),209.0)</f>
        <v>209</v>
      </c>
      <c r="C3329" s="10">
        <f>IFERROR(__xludf.DUMMYFUNCTION("""COMPUTED_VALUE"""),2443.0)</f>
        <v>2443</v>
      </c>
      <c r="D3329" s="5">
        <f>IFERROR(__xludf.DUMMYFUNCTION("""COMPUTED_VALUE"""),0.3397493285586392)</f>
        <v>0.3397493286</v>
      </c>
      <c r="E3329" s="5">
        <f>IFERROR(__xludf.DUMMYFUNCTION("""COMPUTED_VALUE"""),0.12444046553267682)</f>
        <v>0.1244404655</v>
      </c>
      <c r="F3329" s="5">
        <f>IFERROR(__xludf.DUMMYFUNCTION("""COMPUTED_VALUE"""),0.2233661593554163)</f>
        <v>0.2233661594</v>
      </c>
      <c r="G3329" s="5">
        <f>IFERROR(__xludf.DUMMYFUNCTION("""COMPUTED_VALUE"""),0.17815577439570277)</f>
        <v>0.1781557744</v>
      </c>
      <c r="H3329" s="5">
        <f>IFERROR(__xludf.DUMMYFUNCTION("""COMPUTED_VALUE"""),0.5651302605210421)</f>
        <v>0.5651302605</v>
      </c>
      <c r="I3329" s="11">
        <f>IFERROR(__xludf.DUMMYFUNCTION("""COMPUTED_VALUE"""),5963.12625250501)</f>
        <v>5963.126253</v>
      </c>
      <c r="J3329" s="10">
        <f>IFERROR(__xludf.DUMMYFUNCTION("""COMPUTED_VALUE"""),1.0)</f>
        <v>1</v>
      </c>
      <c r="K3329" s="5">
        <f>IFERROR(__xludf.DUMMYFUNCTION("""COMPUTED_VALUE"""),0.004784688995215311)</f>
        <v>0.004784688995</v>
      </c>
      <c r="L3329" s="10">
        <f>IFERROR(__xludf.DUMMYFUNCTION("""COMPUTED_VALUE"""),127.0)</f>
        <v>127</v>
      </c>
      <c r="M3329" s="5">
        <f>IFERROR(__xludf.DUMMYFUNCTION("""COMPUTED_VALUE"""),0.6076555023923444)</f>
        <v>0.6076555024</v>
      </c>
    </row>
    <row r="3330">
      <c r="A3330" s="10" t="str">
        <f>IFERROR(__xludf.DUMMYFUNCTION("""COMPUTED_VALUE"""),"yachi358")</f>
        <v>yachi358</v>
      </c>
      <c r="B3330" s="10">
        <f>IFERROR(__xludf.DUMMYFUNCTION("""COMPUTED_VALUE"""),6063.0)</f>
        <v>6063</v>
      </c>
      <c r="C3330" s="10">
        <f>IFERROR(__xludf.DUMMYFUNCTION("""COMPUTED_VALUE"""),70552.0)</f>
        <v>70552</v>
      </c>
      <c r="D3330" s="5">
        <f>IFERROR(__xludf.DUMMYFUNCTION("""COMPUTED_VALUE"""),0.45007675727643476)</f>
        <v>0.4500767573</v>
      </c>
      <c r="E3330" s="5">
        <f>IFERROR(__xludf.DUMMYFUNCTION("""COMPUTED_VALUE"""),0.12443982694723131)</f>
        <v>0.1244398269</v>
      </c>
      <c r="F3330" s="5">
        <f>IFERROR(__xludf.DUMMYFUNCTION("""COMPUTED_VALUE"""),0.21057854827955155)</f>
        <v>0.2105785483</v>
      </c>
      <c r="G3330" s="5">
        <f>IFERROR(__xludf.DUMMYFUNCTION("""COMPUTED_VALUE"""),0.1547860875498147)</f>
        <v>0.1547860875</v>
      </c>
      <c r="H3330" s="5">
        <f>IFERROR(__xludf.DUMMYFUNCTION("""COMPUTED_VALUE"""),0.6035346097201767)</f>
        <v>0.6035346097</v>
      </c>
      <c r="I3330" s="11">
        <f>IFERROR(__xludf.DUMMYFUNCTION("""COMPUTED_VALUE"""),5603.681885125184)</f>
        <v>5603.681885</v>
      </c>
      <c r="J3330" s="10">
        <f>IFERROR(__xludf.DUMMYFUNCTION("""COMPUTED_VALUE"""),14.0)</f>
        <v>14</v>
      </c>
      <c r="K3330" s="5">
        <f>IFERROR(__xludf.DUMMYFUNCTION("""COMPUTED_VALUE"""),0.002309087910275441)</f>
        <v>0.00230908791</v>
      </c>
      <c r="L3330" s="10">
        <f>IFERROR(__xludf.DUMMYFUNCTION("""COMPUTED_VALUE"""),6063.0)</f>
        <v>6063</v>
      </c>
      <c r="M3330" s="5">
        <f>IFERROR(__xludf.DUMMYFUNCTION("""COMPUTED_VALUE"""),1.0)</f>
        <v>1</v>
      </c>
    </row>
    <row r="3331">
      <c r="A3331" s="10" t="str">
        <f>IFERROR(__xludf.DUMMYFUNCTION("""COMPUTED_VALUE"""),"なりたぶらいあん")</f>
        <v>なりたぶらいあん</v>
      </c>
      <c r="B3331" s="10">
        <f>IFERROR(__xludf.DUMMYFUNCTION("""COMPUTED_VALUE"""),1754.0)</f>
        <v>1754</v>
      </c>
      <c r="C3331" s="10">
        <f>IFERROR(__xludf.DUMMYFUNCTION("""COMPUTED_VALUE"""),20583.0)</f>
        <v>20583</v>
      </c>
      <c r="D3331" s="5">
        <f>IFERROR(__xludf.DUMMYFUNCTION("""COMPUTED_VALUE"""),0.2976791120080727)</f>
        <v>0.297679112</v>
      </c>
      <c r="E3331" s="5">
        <f>IFERROR(__xludf.DUMMYFUNCTION("""COMPUTED_VALUE"""),0.12443571087152797)</f>
        <v>0.1244357109</v>
      </c>
      <c r="F3331" s="5">
        <f>IFERROR(__xludf.DUMMYFUNCTION("""COMPUTED_VALUE"""),0.21392532795156408)</f>
        <v>0.213925328</v>
      </c>
      <c r="G3331" s="5">
        <f>IFERROR(__xludf.DUMMYFUNCTION("""COMPUTED_VALUE"""),0.1664453768123639)</f>
        <v>0.1664453768</v>
      </c>
      <c r="H3331" s="5">
        <f>IFERROR(__xludf.DUMMYFUNCTION("""COMPUTED_VALUE"""),0.6074975173783516)</f>
        <v>0.6074975174</v>
      </c>
      <c r="I3331" s="11">
        <f>IFERROR(__xludf.DUMMYFUNCTION("""COMPUTED_VALUE"""),5580.536246276068)</f>
        <v>5580.536246</v>
      </c>
      <c r="J3331" s="10">
        <f>IFERROR(__xludf.DUMMYFUNCTION("""COMPUTED_VALUE"""),4.0)</f>
        <v>4</v>
      </c>
      <c r="K3331" s="5">
        <f>IFERROR(__xludf.DUMMYFUNCTION("""COMPUTED_VALUE"""),0.002280501710376283)</f>
        <v>0.00228050171</v>
      </c>
      <c r="L3331" s="10">
        <f>IFERROR(__xludf.DUMMYFUNCTION("""COMPUTED_VALUE"""),1754.0)</f>
        <v>1754</v>
      </c>
      <c r="M3331" s="5">
        <f>IFERROR(__xludf.DUMMYFUNCTION("""COMPUTED_VALUE"""),1.0)</f>
        <v>1</v>
      </c>
    </row>
    <row r="3332">
      <c r="A3332" s="10" t="str">
        <f>IFERROR(__xludf.DUMMYFUNCTION("""COMPUTED_VALUE"""),"残ちゃん")</f>
        <v>残ちゃん</v>
      </c>
      <c r="B3332" s="10">
        <f>IFERROR(__xludf.DUMMYFUNCTION("""COMPUTED_VALUE"""),564.0)</f>
        <v>564</v>
      </c>
      <c r="C3332" s="10">
        <f>IFERROR(__xludf.DUMMYFUNCTION("""COMPUTED_VALUE"""),6752.0)</f>
        <v>6752</v>
      </c>
      <c r="D3332" s="5">
        <f>IFERROR(__xludf.DUMMYFUNCTION("""COMPUTED_VALUE"""),0.38752424046541695)</f>
        <v>0.3875242405</v>
      </c>
      <c r="E3332" s="5">
        <f>IFERROR(__xludf.DUMMYFUNCTION("""COMPUTED_VALUE"""),0.1244343891402715)</f>
        <v>0.1244343891</v>
      </c>
      <c r="F3332" s="5">
        <f>IFERROR(__xludf.DUMMYFUNCTION("""COMPUTED_VALUE"""),0.21283128636069812)</f>
        <v>0.2128312864</v>
      </c>
      <c r="G3332" s="5">
        <f>IFERROR(__xludf.DUMMYFUNCTION("""COMPUTED_VALUE"""),0.1583710407239819)</f>
        <v>0.1583710407</v>
      </c>
      <c r="H3332" s="5">
        <f>IFERROR(__xludf.DUMMYFUNCTION("""COMPUTED_VALUE"""),0.574791192103265)</f>
        <v>0.5747911921</v>
      </c>
      <c r="I3332" s="11">
        <f>IFERROR(__xludf.DUMMYFUNCTION("""COMPUTED_VALUE"""),5337.357630979499)</f>
        <v>5337.357631</v>
      </c>
      <c r="J3332" s="10">
        <f>IFERROR(__xludf.DUMMYFUNCTION("""COMPUTED_VALUE"""),1.0)</f>
        <v>1</v>
      </c>
      <c r="K3332" s="5">
        <f>IFERROR(__xludf.DUMMYFUNCTION("""COMPUTED_VALUE"""),0.0017730496453900709)</f>
        <v>0.001773049645</v>
      </c>
      <c r="L3332" s="10">
        <f>IFERROR(__xludf.DUMMYFUNCTION("""COMPUTED_VALUE"""),564.0)</f>
        <v>564</v>
      </c>
      <c r="M3332" s="5">
        <f>IFERROR(__xludf.DUMMYFUNCTION("""COMPUTED_VALUE"""),1.0)</f>
        <v>1</v>
      </c>
    </row>
    <row r="3333">
      <c r="A3333" s="10" t="str">
        <f>IFERROR(__xludf.DUMMYFUNCTION("""COMPUTED_VALUE"""),"CAPTAIN")</f>
        <v>CAPTAIN</v>
      </c>
      <c r="B3333" s="10">
        <f>IFERROR(__xludf.DUMMYFUNCTION("""COMPUTED_VALUE"""),423.0)</f>
        <v>423</v>
      </c>
      <c r="C3333" s="10">
        <f>IFERROR(__xludf.DUMMYFUNCTION("""COMPUTED_VALUE"""),5036.0)</f>
        <v>5036</v>
      </c>
      <c r="D3333" s="5">
        <f>IFERROR(__xludf.DUMMYFUNCTION("""COMPUTED_VALUE"""),0.3435941903316714)</f>
        <v>0.3435941903</v>
      </c>
      <c r="E3333" s="5">
        <f>IFERROR(__xludf.DUMMYFUNCTION("""COMPUTED_VALUE"""),0.1244309559939302)</f>
        <v>0.124430956</v>
      </c>
      <c r="F3333" s="5">
        <f>IFERROR(__xludf.DUMMYFUNCTION("""COMPUTED_VALUE"""),0.19184912204639062)</f>
        <v>0.191849122</v>
      </c>
      <c r="G3333" s="5">
        <f>IFERROR(__xludf.DUMMYFUNCTION("""COMPUTED_VALUE"""),0.1582484283546499)</f>
        <v>0.1582484284</v>
      </c>
      <c r="H3333" s="5">
        <f>IFERROR(__xludf.DUMMYFUNCTION("""COMPUTED_VALUE"""),0.6067796610169491)</f>
        <v>0.606779661</v>
      </c>
      <c r="I3333" s="11">
        <f>IFERROR(__xludf.DUMMYFUNCTION("""COMPUTED_VALUE"""),5975.367231638418)</f>
        <v>5975.367232</v>
      </c>
      <c r="J3333" s="10">
        <f>IFERROR(__xludf.DUMMYFUNCTION("""COMPUTED_VALUE"""),2.0)</f>
        <v>2</v>
      </c>
      <c r="K3333" s="5">
        <f>IFERROR(__xludf.DUMMYFUNCTION("""COMPUTED_VALUE"""),0.004728132387706856)</f>
        <v>0.004728132388</v>
      </c>
      <c r="L3333" s="10">
        <f>IFERROR(__xludf.DUMMYFUNCTION("""COMPUTED_VALUE"""),423.0)</f>
        <v>423</v>
      </c>
      <c r="M3333" s="5">
        <f>IFERROR(__xludf.DUMMYFUNCTION("""COMPUTED_VALUE"""),1.0)</f>
        <v>1</v>
      </c>
    </row>
    <row r="3334">
      <c r="A3334" s="10" t="str">
        <f>IFERROR(__xludf.DUMMYFUNCTION("""COMPUTED_VALUE"""),"やちくん")</f>
        <v>やちくん</v>
      </c>
      <c r="B3334" s="10">
        <f>IFERROR(__xludf.DUMMYFUNCTION("""COMPUTED_VALUE"""),383.0)</f>
        <v>383</v>
      </c>
      <c r="C3334" s="10">
        <f>IFERROR(__xludf.DUMMYFUNCTION("""COMPUTED_VALUE"""),4554.0)</f>
        <v>4554</v>
      </c>
      <c r="D3334" s="5">
        <f>IFERROR(__xludf.DUMMYFUNCTION("""COMPUTED_VALUE"""),0.3855190601774155)</f>
        <v>0.3855190602</v>
      </c>
      <c r="E3334" s="5">
        <f>IFERROR(__xludf.DUMMYFUNCTION("""COMPUTED_VALUE"""),0.12443059218412851)</f>
        <v>0.1244305922</v>
      </c>
      <c r="F3334" s="5">
        <f>IFERROR(__xludf.DUMMYFUNCTION("""COMPUTED_VALUE"""),0.2138575881083673)</f>
        <v>0.2138575881</v>
      </c>
      <c r="G3334" s="5">
        <f>IFERROR(__xludf.DUMMYFUNCTION("""COMPUTED_VALUE"""),0.1426516422920163)</f>
        <v>0.1426516423</v>
      </c>
      <c r="H3334" s="5">
        <f>IFERROR(__xludf.DUMMYFUNCTION("""COMPUTED_VALUE"""),0.6121076233183856)</f>
        <v>0.6121076233</v>
      </c>
      <c r="I3334" s="11">
        <f>IFERROR(__xludf.DUMMYFUNCTION("""COMPUTED_VALUE"""),5418.497757847534)</f>
        <v>5418.497758</v>
      </c>
      <c r="J3334" s="10">
        <f>IFERROR(__xludf.DUMMYFUNCTION("""COMPUTED_VALUE"""),0.0)</f>
        <v>0</v>
      </c>
      <c r="K3334" s="5">
        <f>IFERROR(__xludf.DUMMYFUNCTION("""COMPUTED_VALUE"""),0.0)</f>
        <v>0</v>
      </c>
      <c r="L3334" s="10">
        <f>IFERROR(__xludf.DUMMYFUNCTION("""COMPUTED_VALUE"""),383.0)</f>
        <v>383</v>
      </c>
      <c r="M3334" s="5">
        <f>IFERROR(__xludf.DUMMYFUNCTION("""COMPUTED_VALUE"""),1.0)</f>
        <v>1</v>
      </c>
    </row>
    <row r="3335">
      <c r="A3335" s="10" t="str">
        <f>IFERROR(__xludf.DUMMYFUNCTION("""COMPUTED_VALUE"""),"Cinecuss")</f>
        <v>Cinecuss</v>
      </c>
      <c r="B3335" s="10">
        <f>IFERROR(__xludf.DUMMYFUNCTION("""COMPUTED_VALUE"""),558.0)</f>
        <v>558</v>
      </c>
      <c r="C3335" s="10">
        <f>IFERROR(__xludf.DUMMYFUNCTION("""COMPUTED_VALUE"""),6473.0)</f>
        <v>6473</v>
      </c>
      <c r="D3335" s="5">
        <f>IFERROR(__xludf.DUMMYFUNCTION("""COMPUTED_VALUE"""),0.3743026204564666)</f>
        <v>0.3743026205</v>
      </c>
      <c r="E3335" s="5">
        <f>IFERROR(__xludf.DUMMYFUNCTION("""COMPUTED_VALUE"""),0.12442941673710904)</f>
        <v>0.1244294167</v>
      </c>
      <c r="F3335" s="5">
        <f>IFERROR(__xludf.DUMMYFUNCTION("""COMPUTED_VALUE"""),0.21673710904480134)</f>
        <v>0.216737109</v>
      </c>
      <c r="G3335" s="5">
        <f>IFERROR(__xludf.DUMMYFUNCTION("""COMPUTED_VALUE"""),0.1349112426035503)</f>
        <v>0.1349112426</v>
      </c>
      <c r="H3335" s="5">
        <f>IFERROR(__xludf.DUMMYFUNCTION("""COMPUTED_VALUE"""),0.6357254290171607)</f>
        <v>0.635725429</v>
      </c>
      <c r="I3335" s="11">
        <f>IFERROR(__xludf.DUMMYFUNCTION("""COMPUTED_VALUE"""),5465.288611544462)</f>
        <v>5465.288612</v>
      </c>
      <c r="J3335" s="10">
        <f>IFERROR(__xludf.DUMMYFUNCTION("""COMPUTED_VALUE"""),2.0)</f>
        <v>2</v>
      </c>
      <c r="K3335" s="5">
        <f>IFERROR(__xludf.DUMMYFUNCTION("""COMPUTED_VALUE"""),0.0035842293906810036)</f>
        <v>0.003584229391</v>
      </c>
      <c r="L3335" s="10">
        <f>IFERROR(__xludf.DUMMYFUNCTION("""COMPUTED_VALUE"""),524.0)</f>
        <v>524</v>
      </c>
      <c r="M3335" s="5">
        <f>IFERROR(__xludf.DUMMYFUNCTION("""COMPUTED_VALUE"""),0.9390681003584229)</f>
        <v>0.9390681004</v>
      </c>
    </row>
    <row r="3336">
      <c r="A3336" s="10" t="str">
        <f>IFERROR(__xludf.DUMMYFUNCTION("""COMPUTED_VALUE"""),"堀ススム")</f>
        <v>堀ススム</v>
      </c>
      <c r="B3336" s="10">
        <f>IFERROR(__xludf.DUMMYFUNCTION("""COMPUTED_VALUE"""),193.0)</f>
        <v>193</v>
      </c>
      <c r="C3336" s="10">
        <f>IFERROR(__xludf.DUMMYFUNCTION("""COMPUTED_VALUE"""),2355.0)</f>
        <v>2355</v>
      </c>
      <c r="D3336" s="5">
        <f>IFERROR(__xludf.DUMMYFUNCTION("""COMPUTED_VALUE"""),0.34782608695652173)</f>
        <v>0.347826087</v>
      </c>
      <c r="E3336" s="5">
        <f>IFERROR(__xludf.DUMMYFUNCTION("""COMPUTED_VALUE"""),0.1244218316373728)</f>
        <v>0.1244218316</v>
      </c>
      <c r="F3336" s="5">
        <f>IFERROR(__xludf.DUMMYFUNCTION("""COMPUTED_VALUE"""),0.20582793709528216)</f>
        <v>0.2058279371</v>
      </c>
      <c r="G3336" s="5">
        <f>IFERROR(__xludf.DUMMYFUNCTION("""COMPUTED_VALUE"""),0.17483811285846437)</f>
        <v>0.1748381129</v>
      </c>
      <c r="H3336" s="5">
        <f>IFERROR(__xludf.DUMMYFUNCTION("""COMPUTED_VALUE"""),0.5887640449438202)</f>
        <v>0.5887640449</v>
      </c>
      <c r="I3336" s="11">
        <f>IFERROR(__xludf.DUMMYFUNCTION("""COMPUTED_VALUE"""),5089.438202247191)</f>
        <v>5089.438202</v>
      </c>
      <c r="J3336" s="10">
        <f>IFERROR(__xludf.DUMMYFUNCTION("""COMPUTED_VALUE"""),0.0)</f>
        <v>0</v>
      </c>
      <c r="K3336" s="5">
        <f>IFERROR(__xludf.DUMMYFUNCTION("""COMPUTED_VALUE"""),0.0)</f>
        <v>0</v>
      </c>
      <c r="L3336" s="10">
        <f>IFERROR(__xludf.DUMMYFUNCTION("""COMPUTED_VALUE"""),193.0)</f>
        <v>193</v>
      </c>
      <c r="M3336" s="5">
        <f>IFERROR(__xludf.DUMMYFUNCTION("""COMPUTED_VALUE"""),1.0)</f>
        <v>1</v>
      </c>
    </row>
    <row r="3337">
      <c r="A3337" s="10" t="str">
        <f>IFERROR(__xludf.DUMMYFUNCTION("""COMPUTED_VALUE"""),"絶対乱舞")</f>
        <v>絶対乱舞</v>
      </c>
      <c r="B3337" s="10">
        <f>IFERROR(__xludf.DUMMYFUNCTION("""COMPUTED_VALUE"""),704.0)</f>
        <v>704</v>
      </c>
      <c r="C3337" s="10">
        <f>IFERROR(__xludf.DUMMYFUNCTION("""COMPUTED_VALUE"""),8267.0)</f>
        <v>8267</v>
      </c>
      <c r="D3337" s="5">
        <f>IFERROR(__xludf.DUMMYFUNCTION("""COMPUTED_VALUE"""),0.28599761999206663)</f>
        <v>0.28599762</v>
      </c>
      <c r="E3337" s="5">
        <f>IFERROR(__xludf.DUMMYFUNCTION("""COMPUTED_VALUE"""),0.1244215258495306)</f>
        <v>0.1244215258</v>
      </c>
      <c r="F3337" s="5">
        <f>IFERROR(__xludf.DUMMYFUNCTION("""COMPUTED_VALUE"""),0.20243289699854555)</f>
        <v>0.202432897</v>
      </c>
      <c r="G3337" s="5">
        <f>IFERROR(__xludf.DUMMYFUNCTION("""COMPUTED_VALUE"""),0.1853761734761338)</f>
        <v>0.1853761735</v>
      </c>
      <c r="H3337" s="5">
        <f>IFERROR(__xludf.DUMMYFUNCTION("""COMPUTED_VALUE"""),0.5839320705421294)</f>
        <v>0.5839320705</v>
      </c>
      <c r="I3337" s="11">
        <f>IFERROR(__xludf.DUMMYFUNCTION("""COMPUTED_VALUE"""),5890.46374918354)</f>
        <v>5890.463749</v>
      </c>
      <c r="J3337" s="10">
        <f>IFERROR(__xludf.DUMMYFUNCTION("""COMPUTED_VALUE"""),0.0)</f>
        <v>0</v>
      </c>
      <c r="K3337" s="5">
        <f>IFERROR(__xludf.DUMMYFUNCTION("""COMPUTED_VALUE"""),0.0)</f>
        <v>0</v>
      </c>
      <c r="L3337" s="10">
        <f>IFERROR(__xludf.DUMMYFUNCTION("""COMPUTED_VALUE"""),330.0)</f>
        <v>330</v>
      </c>
      <c r="M3337" s="5">
        <f>IFERROR(__xludf.DUMMYFUNCTION("""COMPUTED_VALUE"""),0.46875)</f>
        <v>0.46875</v>
      </c>
    </row>
    <row r="3338">
      <c r="A3338" s="10" t="str">
        <f>IFERROR(__xludf.DUMMYFUNCTION("""COMPUTED_VALUE"""),"みかんさむらい")</f>
        <v>みかんさむらい</v>
      </c>
      <c r="B3338" s="10">
        <f>IFERROR(__xludf.DUMMYFUNCTION("""COMPUTED_VALUE"""),835.0)</f>
        <v>835</v>
      </c>
      <c r="C3338" s="10">
        <f>IFERROR(__xludf.DUMMYFUNCTION("""COMPUTED_VALUE"""),9660.0)</f>
        <v>9660</v>
      </c>
      <c r="D3338" s="5">
        <f>IFERROR(__xludf.DUMMYFUNCTION("""COMPUTED_VALUE"""),0.3559206798866856)</f>
        <v>0.3559206799</v>
      </c>
      <c r="E3338" s="5">
        <f>IFERROR(__xludf.DUMMYFUNCTION("""COMPUTED_VALUE"""),0.12441926345609065)</f>
        <v>0.1244192635</v>
      </c>
      <c r="F3338" s="5">
        <f>IFERROR(__xludf.DUMMYFUNCTION("""COMPUTED_VALUE"""),0.21824362606232295)</f>
        <v>0.2182436261</v>
      </c>
      <c r="G3338" s="5">
        <f>IFERROR(__xludf.DUMMYFUNCTION("""COMPUTED_VALUE"""),0.1781303116147309)</f>
        <v>0.1781303116</v>
      </c>
      <c r="H3338" s="5">
        <f>IFERROR(__xludf.DUMMYFUNCTION("""COMPUTED_VALUE"""),0.59865005192108)</f>
        <v>0.5986500519</v>
      </c>
      <c r="I3338" s="11">
        <f>IFERROR(__xludf.DUMMYFUNCTION("""COMPUTED_VALUE"""),5675.285565939772)</f>
        <v>5675.285566</v>
      </c>
      <c r="J3338" s="10">
        <f>IFERROR(__xludf.DUMMYFUNCTION("""COMPUTED_VALUE"""),3.0)</f>
        <v>3</v>
      </c>
      <c r="K3338" s="5">
        <f>IFERROR(__xludf.DUMMYFUNCTION("""COMPUTED_VALUE"""),0.003592814371257485)</f>
        <v>0.003592814371</v>
      </c>
      <c r="L3338" s="10">
        <f>IFERROR(__xludf.DUMMYFUNCTION("""COMPUTED_VALUE"""),835.0)</f>
        <v>835</v>
      </c>
      <c r="M3338" s="5">
        <f>IFERROR(__xludf.DUMMYFUNCTION("""COMPUTED_VALUE"""),1.0)</f>
        <v>1</v>
      </c>
    </row>
    <row r="3339">
      <c r="A3339" s="10" t="str">
        <f>IFERROR(__xludf.DUMMYFUNCTION("""COMPUTED_VALUE"""),"支倉曜子")</f>
        <v>支倉曜子</v>
      </c>
      <c r="B3339" s="10">
        <f>IFERROR(__xludf.DUMMYFUNCTION("""COMPUTED_VALUE"""),118.0)</f>
        <v>118</v>
      </c>
      <c r="C3339" s="10">
        <f>IFERROR(__xludf.DUMMYFUNCTION("""COMPUTED_VALUE"""),1404.0)</f>
        <v>1404</v>
      </c>
      <c r="D3339" s="5">
        <f>IFERROR(__xludf.DUMMYFUNCTION("""COMPUTED_VALUE"""),0.4144634525660964)</f>
        <v>0.4144634526</v>
      </c>
      <c r="E3339" s="5">
        <f>IFERROR(__xludf.DUMMYFUNCTION("""COMPUTED_VALUE"""),0.12441679626749612)</f>
        <v>0.1244167963</v>
      </c>
      <c r="F3339" s="5">
        <f>IFERROR(__xludf.DUMMYFUNCTION("""COMPUTED_VALUE"""),0.21384136858475894)</f>
        <v>0.2138413686</v>
      </c>
      <c r="G3339" s="5">
        <f>IFERROR(__xludf.DUMMYFUNCTION("""COMPUTED_VALUE"""),0.1625194401244168)</f>
        <v>0.1625194401</v>
      </c>
      <c r="H3339" s="5">
        <f>IFERROR(__xludf.DUMMYFUNCTION("""COMPUTED_VALUE"""),0.6181818181818182)</f>
        <v>0.6181818182</v>
      </c>
      <c r="I3339" s="11">
        <f>IFERROR(__xludf.DUMMYFUNCTION("""COMPUTED_VALUE"""),5459.636363636364)</f>
        <v>5459.636364</v>
      </c>
      <c r="J3339" s="10">
        <f>IFERROR(__xludf.DUMMYFUNCTION("""COMPUTED_VALUE"""),0.0)</f>
        <v>0</v>
      </c>
      <c r="K3339" s="5">
        <f>IFERROR(__xludf.DUMMYFUNCTION("""COMPUTED_VALUE"""),0.0)</f>
        <v>0</v>
      </c>
      <c r="L3339" s="10">
        <f>IFERROR(__xludf.DUMMYFUNCTION("""COMPUTED_VALUE"""),0.0)</f>
        <v>0</v>
      </c>
      <c r="M3339" s="5">
        <f>IFERROR(__xludf.DUMMYFUNCTION("""COMPUTED_VALUE"""),0.0)</f>
        <v>0</v>
      </c>
    </row>
    <row r="3340">
      <c r="A3340" s="10" t="str">
        <f>IFERROR(__xludf.DUMMYFUNCTION("""COMPUTED_VALUE"""),"耳かりかり")</f>
        <v>耳かりかり</v>
      </c>
      <c r="B3340" s="10">
        <f>IFERROR(__xludf.DUMMYFUNCTION("""COMPUTED_VALUE"""),317.0)</f>
        <v>317</v>
      </c>
      <c r="C3340" s="10">
        <f>IFERROR(__xludf.DUMMYFUNCTION("""COMPUTED_VALUE"""),3725.0)</f>
        <v>3725</v>
      </c>
      <c r="D3340" s="5">
        <f>IFERROR(__xludf.DUMMYFUNCTION("""COMPUTED_VALUE"""),0.3268779342723005)</f>
        <v>0.3268779343</v>
      </c>
      <c r="E3340" s="5">
        <f>IFERROR(__xludf.DUMMYFUNCTION("""COMPUTED_VALUE"""),0.12441314553990611)</f>
        <v>0.1244131455</v>
      </c>
      <c r="F3340" s="5">
        <f>IFERROR(__xludf.DUMMYFUNCTION("""COMPUTED_VALUE"""),0.20657276995305165)</f>
        <v>0.20657277</v>
      </c>
      <c r="G3340" s="5">
        <f>IFERROR(__xludf.DUMMYFUNCTION("""COMPUTED_VALUE"""),0.15316901408450703)</f>
        <v>0.1531690141</v>
      </c>
      <c r="H3340" s="5">
        <f>IFERROR(__xludf.DUMMYFUNCTION("""COMPUTED_VALUE"""),0.59375)</f>
        <v>0.59375</v>
      </c>
      <c r="I3340" s="11">
        <f>IFERROR(__xludf.DUMMYFUNCTION("""COMPUTED_VALUE"""),5427.556818181818)</f>
        <v>5427.556818</v>
      </c>
      <c r="J3340" s="10">
        <f>IFERROR(__xludf.DUMMYFUNCTION("""COMPUTED_VALUE"""),0.0)</f>
        <v>0</v>
      </c>
      <c r="K3340" s="5">
        <f>IFERROR(__xludf.DUMMYFUNCTION("""COMPUTED_VALUE"""),0.0)</f>
        <v>0</v>
      </c>
      <c r="L3340" s="10">
        <f>IFERROR(__xludf.DUMMYFUNCTION("""COMPUTED_VALUE"""),172.0)</f>
        <v>172</v>
      </c>
      <c r="M3340" s="5">
        <f>IFERROR(__xludf.DUMMYFUNCTION("""COMPUTED_VALUE"""),0.5425867507886435)</f>
        <v>0.5425867508</v>
      </c>
    </row>
    <row r="3341">
      <c r="A3341" s="10" t="str">
        <f>IFERROR(__xludf.DUMMYFUNCTION("""COMPUTED_VALUE"""),"クロベエ")</f>
        <v>クロベエ</v>
      </c>
      <c r="B3341" s="10">
        <f>IFERROR(__xludf.DUMMYFUNCTION("""COMPUTED_VALUE"""),323.0)</f>
        <v>323</v>
      </c>
      <c r="C3341" s="10">
        <f>IFERROR(__xludf.DUMMYFUNCTION("""COMPUTED_VALUE"""),3715.0)</f>
        <v>3715</v>
      </c>
      <c r="D3341" s="5">
        <f>IFERROR(__xludf.DUMMYFUNCTION("""COMPUTED_VALUE"""),0.3160377358490566)</f>
        <v>0.3160377358</v>
      </c>
      <c r="E3341" s="5">
        <f>IFERROR(__xludf.DUMMYFUNCTION("""COMPUTED_VALUE"""),0.12441037735849056)</f>
        <v>0.1244103774</v>
      </c>
      <c r="F3341" s="5">
        <f>IFERROR(__xludf.DUMMYFUNCTION("""COMPUTED_VALUE"""),0.20253537735849056)</f>
        <v>0.2025353774</v>
      </c>
      <c r="G3341" s="5">
        <f>IFERROR(__xludf.DUMMYFUNCTION("""COMPUTED_VALUE"""),0.16892688679245282)</f>
        <v>0.1689268868</v>
      </c>
      <c r="H3341" s="5">
        <f>IFERROR(__xludf.DUMMYFUNCTION("""COMPUTED_VALUE"""),0.6026200873362445)</f>
        <v>0.6026200873</v>
      </c>
      <c r="I3341" s="11">
        <f>IFERROR(__xludf.DUMMYFUNCTION("""COMPUTED_VALUE"""),6023.144104803493)</f>
        <v>6023.144105</v>
      </c>
      <c r="J3341" s="10">
        <f>IFERROR(__xludf.DUMMYFUNCTION("""COMPUTED_VALUE"""),0.0)</f>
        <v>0</v>
      </c>
      <c r="K3341" s="5">
        <f>IFERROR(__xludf.DUMMYFUNCTION("""COMPUTED_VALUE"""),0.0)</f>
        <v>0</v>
      </c>
      <c r="L3341" s="10">
        <f>IFERROR(__xludf.DUMMYFUNCTION("""COMPUTED_VALUE"""),323.0)</f>
        <v>323</v>
      </c>
      <c r="M3341" s="5">
        <f>IFERROR(__xludf.DUMMYFUNCTION("""COMPUTED_VALUE"""),1.0)</f>
        <v>1</v>
      </c>
    </row>
    <row r="3342">
      <c r="A3342" s="10" t="str">
        <f>IFERROR(__xludf.DUMMYFUNCTION("""COMPUTED_VALUE"""),"SEKI-7")</f>
        <v>SEKI-7</v>
      </c>
      <c r="B3342" s="10">
        <f>IFERROR(__xludf.DUMMYFUNCTION("""COMPUTED_VALUE"""),1180.0)</f>
        <v>1180</v>
      </c>
      <c r="C3342" s="10">
        <f>IFERROR(__xludf.DUMMYFUNCTION("""COMPUTED_VALUE"""),14001.0)</f>
        <v>14001</v>
      </c>
      <c r="D3342" s="5">
        <f>IFERROR(__xludf.DUMMYFUNCTION("""COMPUTED_VALUE"""),0.34264097964277357)</f>
        <v>0.3426409796</v>
      </c>
      <c r="E3342" s="5">
        <f>IFERROR(__xludf.DUMMYFUNCTION("""COMPUTED_VALUE"""),0.12440527259964121)</f>
        <v>0.1244052726</v>
      </c>
      <c r="F3342" s="5">
        <f>IFERROR(__xludf.DUMMYFUNCTION("""COMPUTED_VALUE"""),0.2039622494345215)</f>
        <v>0.2039622494</v>
      </c>
      <c r="G3342" s="5">
        <f>IFERROR(__xludf.DUMMYFUNCTION("""COMPUTED_VALUE"""),0.16527571952265813)</f>
        <v>0.1652757195</v>
      </c>
      <c r="H3342" s="5">
        <f>IFERROR(__xludf.DUMMYFUNCTION("""COMPUTED_VALUE"""),0.5801147227533461)</f>
        <v>0.5801147228</v>
      </c>
      <c r="I3342" s="11">
        <f>IFERROR(__xludf.DUMMYFUNCTION("""COMPUTED_VALUE"""),5598.126195028681)</f>
        <v>5598.126195</v>
      </c>
      <c r="J3342" s="10">
        <f>IFERROR(__xludf.DUMMYFUNCTION("""COMPUTED_VALUE"""),4.0)</f>
        <v>4</v>
      </c>
      <c r="K3342" s="5">
        <f>IFERROR(__xludf.DUMMYFUNCTION("""COMPUTED_VALUE"""),0.003389830508474576)</f>
        <v>0.003389830508</v>
      </c>
      <c r="L3342" s="10">
        <f>IFERROR(__xludf.DUMMYFUNCTION("""COMPUTED_VALUE"""),1179.0)</f>
        <v>1179</v>
      </c>
      <c r="M3342" s="5">
        <f>IFERROR(__xludf.DUMMYFUNCTION("""COMPUTED_VALUE"""),0.9991525423728813)</f>
        <v>0.9991525424</v>
      </c>
    </row>
    <row r="3343">
      <c r="A3343" s="10" t="str">
        <f>IFERROR(__xludf.DUMMYFUNCTION("""COMPUTED_VALUE"""),"タイソン＠")</f>
        <v>タイソン＠</v>
      </c>
      <c r="B3343" s="10">
        <f>IFERROR(__xludf.DUMMYFUNCTION("""COMPUTED_VALUE"""),138.0)</f>
        <v>138</v>
      </c>
      <c r="C3343" s="10">
        <f>IFERROR(__xludf.DUMMYFUNCTION("""COMPUTED_VALUE"""),1585.0)</f>
        <v>1585</v>
      </c>
      <c r="D3343" s="5">
        <f>IFERROR(__xludf.DUMMYFUNCTION("""COMPUTED_VALUE"""),0.2570836212854181)</f>
        <v>0.2570836213</v>
      </c>
      <c r="E3343" s="5">
        <f>IFERROR(__xludf.DUMMYFUNCTION("""COMPUTED_VALUE"""),0.1243953006219765)</f>
        <v>0.1243953006</v>
      </c>
      <c r="F3343" s="5">
        <f>IFERROR(__xludf.DUMMYFUNCTION("""COMPUTED_VALUE"""),0.19488597097442986)</f>
        <v>0.194885971</v>
      </c>
      <c r="G3343" s="5">
        <f>IFERROR(__xludf.DUMMYFUNCTION("""COMPUTED_VALUE"""),0.18175535590877678)</f>
        <v>0.1817553559</v>
      </c>
      <c r="H3343" s="5">
        <f>IFERROR(__xludf.DUMMYFUNCTION("""COMPUTED_VALUE"""),0.5780141843971631)</f>
        <v>0.5780141844</v>
      </c>
      <c r="I3343" s="11">
        <f>IFERROR(__xludf.DUMMYFUNCTION("""COMPUTED_VALUE"""),6488.652482269504)</f>
        <v>6488.652482</v>
      </c>
      <c r="J3343" s="10">
        <f>IFERROR(__xludf.DUMMYFUNCTION("""COMPUTED_VALUE"""),1.0)</f>
        <v>1</v>
      </c>
      <c r="K3343" s="5">
        <f>IFERROR(__xludf.DUMMYFUNCTION("""COMPUTED_VALUE"""),0.007246376811594203)</f>
        <v>0.007246376812</v>
      </c>
      <c r="L3343" s="10">
        <f>IFERROR(__xludf.DUMMYFUNCTION("""COMPUTED_VALUE"""),138.0)</f>
        <v>138</v>
      </c>
      <c r="M3343" s="5">
        <f>IFERROR(__xludf.DUMMYFUNCTION("""COMPUTED_VALUE"""),1.0)</f>
        <v>1</v>
      </c>
    </row>
    <row r="3344">
      <c r="A3344" s="10" t="str">
        <f>IFERROR(__xludf.DUMMYFUNCTION("""COMPUTED_VALUE"""),"右腕@宇フ付")</f>
        <v>右腕@宇フ付</v>
      </c>
      <c r="B3344" s="10">
        <f>IFERROR(__xludf.DUMMYFUNCTION("""COMPUTED_VALUE"""),210.0)</f>
        <v>210</v>
      </c>
      <c r="C3344" s="10">
        <f>IFERROR(__xludf.DUMMYFUNCTION("""COMPUTED_VALUE"""),2477.0)</f>
        <v>2477</v>
      </c>
      <c r="D3344" s="5">
        <f>IFERROR(__xludf.DUMMYFUNCTION("""COMPUTED_VALUE"""),0.2995147772386414)</f>
        <v>0.2995147772</v>
      </c>
      <c r="E3344" s="5">
        <f>IFERROR(__xludf.DUMMYFUNCTION("""COMPUTED_VALUE"""),0.12439347154830172)</f>
        <v>0.1243934715</v>
      </c>
      <c r="F3344" s="5">
        <f>IFERROR(__xludf.DUMMYFUNCTION("""COMPUTED_VALUE"""),0.21746801940891045)</f>
        <v>0.2174680194</v>
      </c>
      <c r="G3344" s="5">
        <f>IFERROR(__xludf.DUMMYFUNCTION("""COMPUTED_VALUE"""),0.1557123952359947)</f>
        <v>0.1557123952</v>
      </c>
      <c r="H3344" s="5">
        <f>IFERROR(__xludf.DUMMYFUNCTION("""COMPUTED_VALUE"""),0.5983772819472617)</f>
        <v>0.5983772819</v>
      </c>
      <c r="I3344" s="11">
        <f>IFERROR(__xludf.DUMMYFUNCTION("""COMPUTED_VALUE"""),5483.772819472617)</f>
        <v>5483.772819</v>
      </c>
      <c r="J3344" s="10">
        <f>IFERROR(__xludf.DUMMYFUNCTION("""COMPUTED_VALUE"""),0.0)</f>
        <v>0</v>
      </c>
      <c r="K3344" s="5">
        <f>IFERROR(__xludf.DUMMYFUNCTION("""COMPUTED_VALUE"""),0.0)</f>
        <v>0</v>
      </c>
      <c r="L3344" s="10">
        <f>IFERROR(__xludf.DUMMYFUNCTION("""COMPUTED_VALUE"""),0.0)</f>
        <v>0</v>
      </c>
      <c r="M3344" s="5">
        <f>IFERROR(__xludf.DUMMYFUNCTION("""COMPUTED_VALUE"""),0.0)</f>
        <v>0</v>
      </c>
    </row>
    <row r="3345">
      <c r="A3345" s="10" t="str">
        <f>IFERROR(__xludf.DUMMYFUNCTION("""COMPUTED_VALUE"""),"マツザキ")</f>
        <v>マツザキ</v>
      </c>
      <c r="B3345" s="10">
        <f>IFERROR(__xludf.DUMMYFUNCTION("""COMPUTED_VALUE"""),1477.0)</f>
        <v>1477</v>
      </c>
      <c r="C3345" s="10">
        <f>IFERROR(__xludf.DUMMYFUNCTION("""COMPUTED_VALUE"""),17612.0)</f>
        <v>17612</v>
      </c>
      <c r="D3345" s="5">
        <f>IFERROR(__xludf.DUMMYFUNCTION("""COMPUTED_VALUE"""),0.37719243879764486)</f>
        <v>0.3771924388</v>
      </c>
      <c r="E3345" s="5">
        <f>IFERROR(__xludf.DUMMYFUNCTION("""COMPUTED_VALUE"""),0.12438797644871398)</f>
        <v>0.1243879764</v>
      </c>
      <c r="F3345" s="5">
        <f>IFERROR(__xludf.DUMMYFUNCTION("""COMPUTED_VALUE"""),0.21896498295630618)</f>
        <v>0.218964983</v>
      </c>
      <c r="G3345" s="5">
        <f>IFERROR(__xludf.DUMMYFUNCTION("""COMPUTED_VALUE"""),0.18035326929036258)</f>
        <v>0.1803532693</v>
      </c>
      <c r="H3345" s="5">
        <f>IFERROR(__xludf.DUMMYFUNCTION("""COMPUTED_VALUE"""),0.6048683838097934)</f>
        <v>0.6048683838</v>
      </c>
      <c r="I3345" s="11">
        <f>IFERROR(__xludf.DUMMYFUNCTION("""COMPUTED_VALUE"""),5227.625247664874)</f>
        <v>5227.625248</v>
      </c>
      <c r="J3345" s="10">
        <f>IFERROR(__xludf.DUMMYFUNCTION("""COMPUTED_VALUE"""),4.0)</f>
        <v>4</v>
      </c>
      <c r="K3345" s="5">
        <f>IFERROR(__xludf.DUMMYFUNCTION("""COMPUTED_VALUE"""),0.002708192281651997)</f>
        <v>0.002708192282</v>
      </c>
      <c r="L3345" s="10">
        <f>IFERROR(__xludf.DUMMYFUNCTION("""COMPUTED_VALUE"""),1459.0)</f>
        <v>1459</v>
      </c>
      <c r="M3345" s="5">
        <f>IFERROR(__xludf.DUMMYFUNCTION("""COMPUTED_VALUE"""),0.987813134732566)</f>
        <v>0.9878131347</v>
      </c>
    </row>
    <row r="3346">
      <c r="A3346" s="10" t="str">
        <f>IFERROR(__xludf.DUMMYFUNCTION("""COMPUTED_VALUE"""),"せんとぽーる")</f>
        <v>せんとぽーる</v>
      </c>
      <c r="B3346" s="10">
        <f>IFERROR(__xludf.DUMMYFUNCTION("""COMPUTED_VALUE"""),2175.0)</f>
        <v>2175</v>
      </c>
      <c r="C3346" s="10">
        <f>IFERROR(__xludf.DUMMYFUNCTION("""COMPUTED_VALUE"""),25548.0)</f>
        <v>25548</v>
      </c>
      <c r="D3346" s="5">
        <f>IFERROR(__xludf.DUMMYFUNCTION("""COMPUTED_VALUE"""),0.3144226243956702)</f>
        <v>0.3144226244</v>
      </c>
      <c r="E3346" s="5">
        <f>IFERROR(__xludf.DUMMYFUNCTION("""COMPUTED_VALUE"""),0.12437427801309203)</f>
        <v>0.124374278</v>
      </c>
      <c r="F3346" s="5">
        <f>IFERROR(__xludf.DUMMYFUNCTION("""COMPUTED_VALUE"""),0.207033756898986)</f>
        <v>0.2070337569</v>
      </c>
      <c r="G3346" s="5">
        <f>IFERROR(__xludf.DUMMYFUNCTION("""COMPUTED_VALUE"""),0.16305138407564285)</f>
        <v>0.1630513841</v>
      </c>
      <c r="H3346" s="5">
        <f>IFERROR(__xludf.DUMMYFUNCTION("""COMPUTED_VALUE"""),0.5773920231452779)</f>
        <v>0.5773920231</v>
      </c>
      <c r="I3346" s="11">
        <f>IFERROR(__xludf.DUMMYFUNCTION("""COMPUTED_VALUE"""),5747.613143211407)</f>
        <v>5747.613143</v>
      </c>
      <c r="J3346" s="10">
        <f>IFERROR(__xludf.DUMMYFUNCTION("""COMPUTED_VALUE"""),5.0)</f>
        <v>5</v>
      </c>
      <c r="K3346" s="5">
        <f>IFERROR(__xludf.DUMMYFUNCTION("""COMPUTED_VALUE"""),0.0022988505747126436)</f>
        <v>0.002298850575</v>
      </c>
      <c r="L3346" s="10">
        <f>IFERROR(__xludf.DUMMYFUNCTION("""COMPUTED_VALUE"""),158.0)</f>
        <v>158</v>
      </c>
      <c r="M3346" s="5">
        <f>IFERROR(__xludf.DUMMYFUNCTION("""COMPUTED_VALUE"""),0.07264367816091954)</f>
        <v>0.07264367816</v>
      </c>
    </row>
    <row r="3347">
      <c r="A3347" s="10" t="str">
        <f>IFERROR(__xludf.DUMMYFUNCTION("""COMPUTED_VALUE"""),"西園寺琴歌")</f>
        <v>西園寺琴歌</v>
      </c>
      <c r="B3347" s="10">
        <f>IFERROR(__xludf.DUMMYFUNCTION("""COMPUTED_VALUE"""),111.0)</f>
        <v>111</v>
      </c>
      <c r="C3347" s="10">
        <f>IFERROR(__xludf.DUMMYFUNCTION("""COMPUTED_VALUE"""),1301.0)</f>
        <v>1301</v>
      </c>
      <c r="D3347" s="5">
        <f>IFERROR(__xludf.DUMMYFUNCTION("""COMPUTED_VALUE"""),0.2546218487394958)</f>
        <v>0.2546218487</v>
      </c>
      <c r="E3347" s="5">
        <f>IFERROR(__xludf.DUMMYFUNCTION("""COMPUTED_VALUE"""),0.12436974789915967)</f>
        <v>0.1243697479</v>
      </c>
      <c r="F3347" s="5">
        <f>IFERROR(__xludf.DUMMYFUNCTION("""COMPUTED_VALUE"""),0.1949579831932773)</f>
        <v>0.1949579832</v>
      </c>
      <c r="G3347" s="5">
        <f>IFERROR(__xludf.DUMMYFUNCTION("""COMPUTED_VALUE"""),0.19831932773109243)</f>
        <v>0.1983193277</v>
      </c>
      <c r="H3347" s="5">
        <f>IFERROR(__xludf.DUMMYFUNCTION("""COMPUTED_VALUE"""),0.5948275862068966)</f>
        <v>0.5948275862</v>
      </c>
      <c r="I3347" s="11">
        <f>IFERROR(__xludf.DUMMYFUNCTION("""COMPUTED_VALUE"""),6168.103448275862)</f>
        <v>6168.103448</v>
      </c>
      <c r="J3347" s="10">
        <f>IFERROR(__xludf.DUMMYFUNCTION("""COMPUTED_VALUE"""),0.0)</f>
        <v>0</v>
      </c>
      <c r="K3347" s="5">
        <f>IFERROR(__xludf.DUMMYFUNCTION("""COMPUTED_VALUE"""),0.0)</f>
        <v>0</v>
      </c>
      <c r="L3347" s="10">
        <f>IFERROR(__xludf.DUMMYFUNCTION("""COMPUTED_VALUE"""),0.0)</f>
        <v>0</v>
      </c>
      <c r="M3347" s="5">
        <f>IFERROR(__xludf.DUMMYFUNCTION("""COMPUTED_VALUE"""),0.0)</f>
        <v>0</v>
      </c>
    </row>
    <row r="3348">
      <c r="A3348" s="10" t="str">
        <f>IFERROR(__xludf.DUMMYFUNCTION("""COMPUTED_VALUE"""),"fgghhdf")</f>
        <v>fgghhdf</v>
      </c>
      <c r="B3348" s="10">
        <f>IFERROR(__xludf.DUMMYFUNCTION("""COMPUTED_VALUE"""),286.0)</f>
        <v>286</v>
      </c>
      <c r="C3348" s="10">
        <f>IFERROR(__xludf.DUMMYFUNCTION("""COMPUTED_VALUE"""),3454.0)</f>
        <v>3454</v>
      </c>
      <c r="D3348" s="5">
        <f>IFERROR(__xludf.DUMMYFUNCTION("""COMPUTED_VALUE"""),0.39109848484848486)</f>
        <v>0.3910984848</v>
      </c>
      <c r="E3348" s="5">
        <f>IFERROR(__xludf.DUMMYFUNCTION("""COMPUTED_VALUE"""),0.12436868686868686)</f>
        <v>0.1243686869</v>
      </c>
      <c r="F3348" s="5">
        <f>IFERROR(__xludf.DUMMYFUNCTION("""COMPUTED_VALUE"""),0.2178030303030303)</f>
        <v>0.2178030303</v>
      </c>
      <c r="G3348" s="5">
        <f>IFERROR(__xludf.DUMMYFUNCTION("""COMPUTED_VALUE"""),0.17077020202020202)</f>
        <v>0.170770202</v>
      </c>
      <c r="H3348" s="5">
        <f>IFERROR(__xludf.DUMMYFUNCTION("""COMPUTED_VALUE"""),0.5956521739130435)</f>
        <v>0.5956521739</v>
      </c>
      <c r="I3348" s="11">
        <f>IFERROR(__xludf.DUMMYFUNCTION("""COMPUTED_VALUE"""),4974.782608695652)</f>
        <v>4974.782609</v>
      </c>
      <c r="J3348" s="10">
        <f>IFERROR(__xludf.DUMMYFUNCTION("""COMPUTED_VALUE"""),0.0)</f>
        <v>0</v>
      </c>
      <c r="K3348" s="5">
        <f>IFERROR(__xludf.DUMMYFUNCTION("""COMPUTED_VALUE"""),0.0)</f>
        <v>0</v>
      </c>
      <c r="L3348" s="10">
        <f>IFERROR(__xludf.DUMMYFUNCTION("""COMPUTED_VALUE"""),286.0)</f>
        <v>286</v>
      </c>
      <c r="M3348" s="5">
        <f>IFERROR(__xludf.DUMMYFUNCTION("""COMPUTED_VALUE"""),1.0)</f>
        <v>1</v>
      </c>
    </row>
    <row r="3349">
      <c r="A3349" s="10" t="str">
        <f>IFERROR(__xludf.DUMMYFUNCTION("""COMPUTED_VALUE"""),"ふかつぁー")</f>
        <v>ふかつぁー</v>
      </c>
      <c r="B3349" s="10">
        <f>IFERROR(__xludf.DUMMYFUNCTION("""COMPUTED_VALUE"""),1570.0)</f>
        <v>1570</v>
      </c>
      <c r="C3349" s="10">
        <f>IFERROR(__xludf.DUMMYFUNCTION("""COMPUTED_VALUE"""),18584.0)</f>
        <v>18584</v>
      </c>
      <c r="D3349" s="5">
        <f>IFERROR(__xludf.DUMMYFUNCTION("""COMPUTED_VALUE"""),0.3510050546608675)</f>
        <v>0.3510050547</v>
      </c>
      <c r="E3349" s="5">
        <f>IFERROR(__xludf.DUMMYFUNCTION("""COMPUTED_VALUE"""),0.1243681673915599)</f>
        <v>0.1243681674</v>
      </c>
      <c r="F3349" s="5">
        <f>IFERROR(__xludf.DUMMYFUNCTION("""COMPUTED_VALUE"""),0.2070647701892559)</f>
        <v>0.2070647702</v>
      </c>
      <c r="G3349" s="5">
        <f>IFERROR(__xludf.DUMMYFUNCTION("""COMPUTED_VALUE"""),0.17033031621017986)</f>
        <v>0.1703303162</v>
      </c>
      <c r="H3349" s="5">
        <f>IFERROR(__xludf.DUMMYFUNCTION("""COMPUTED_VALUE"""),0.5855804711893273)</f>
        <v>0.5855804712</v>
      </c>
      <c r="I3349" s="11">
        <f>IFERROR(__xludf.DUMMYFUNCTION("""COMPUTED_VALUE"""),5564.2066420664205)</f>
        <v>5564.206642</v>
      </c>
      <c r="J3349" s="10">
        <f>IFERROR(__xludf.DUMMYFUNCTION("""COMPUTED_VALUE"""),1.0)</f>
        <v>1</v>
      </c>
      <c r="K3349" s="5">
        <f>IFERROR(__xludf.DUMMYFUNCTION("""COMPUTED_VALUE"""),6.369426751592356E-4)</f>
        <v>0.0006369426752</v>
      </c>
      <c r="L3349" s="10">
        <f>IFERROR(__xludf.DUMMYFUNCTION("""COMPUTED_VALUE"""),1570.0)</f>
        <v>1570</v>
      </c>
      <c r="M3349" s="5">
        <f>IFERROR(__xludf.DUMMYFUNCTION("""COMPUTED_VALUE"""),1.0)</f>
        <v>1</v>
      </c>
    </row>
    <row r="3350">
      <c r="A3350" s="10" t="str">
        <f>IFERROR(__xludf.DUMMYFUNCTION("""COMPUTED_VALUE"""),"普賢")</f>
        <v>普賢</v>
      </c>
      <c r="B3350" s="10">
        <f>IFERROR(__xludf.DUMMYFUNCTION("""COMPUTED_VALUE"""),1681.0)</f>
        <v>1681</v>
      </c>
      <c r="C3350" s="10">
        <f>IFERROR(__xludf.DUMMYFUNCTION("""COMPUTED_VALUE"""),19684.0)</f>
        <v>19684</v>
      </c>
      <c r="D3350" s="5">
        <f>IFERROR(__xludf.DUMMYFUNCTION("""COMPUTED_VALUE"""),0.322779536743876)</f>
        <v>0.3227795367</v>
      </c>
      <c r="E3350" s="5">
        <f>IFERROR(__xludf.DUMMYFUNCTION("""COMPUTED_VALUE"""),0.12436816086207854)</f>
        <v>0.1243681609</v>
      </c>
      <c r="F3350" s="5">
        <f>IFERROR(__xludf.DUMMYFUNCTION("""COMPUTED_VALUE"""),0.20435482975059713)</f>
        <v>0.2043548298</v>
      </c>
      <c r="G3350" s="5">
        <f>IFERROR(__xludf.DUMMYFUNCTION("""COMPUTED_VALUE"""),0.16752763428317502)</f>
        <v>0.1675276343</v>
      </c>
      <c r="H3350" s="5">
        <f>IFERROR(__xludf.DUMMYFUNCTION("""COMPUTED_VALUE"""),0.5939113889643926)</f>
        <v>0.593911389</v>
      </c>
      <c r="I3350" s="11">
        <f>IFERROR(__xludf.DUMMYFUNCTION("""COMPUTED_VALUE"""),5564.637129654798)</f>
        <v>5564.63713</v>
      </c>
      <c r="J3350" s="10">
        <f>IFERROR(__xludf.DUMMYFUNCTION("""COMPUTED_VALUE"""),2.0)</f>
        <v>2</v>
      </c>
      <c r="K3350" s="5">
        <f>IFERROR(__xludf.DUMMYFUNCTION("""COMPUTED_VALUE"""),0.001189767995240928)</f>
        <v>0.001189767995</v>
      </c>
      <c r="L3350" s="10">
        <f>IFERROR(__xludf.DUMMYFUNCTION("""COMPUTED_VALUE"""),328.0)</f>
        <v>328</v>
      </c>
      <c r="M3350" s="5">
        <f>IFERROR(__xludf.DUMMYFUNCTION("""COMPUTED_VALUE"""),0.1951219512195122)</f>
        <v>0.1951219512</v>
      </c>
    </row>
    <row r="3351">
      <c r="A3351" s="10" t="str">
        <f>IFERROR(__xludf.DUMMYFUNCTION("""COMPUTED_VALUE"""),"おーるいん")</f>
        <v>おーるいん</v>
      </c>
      <c r="B3351" s="10">
        <f>IFERROR(__xludf.DUMMYFUNCTION("""COMPUTED_VALUE"""),221.0)</f>
        <v>221</v>
      </c>
      <c r="C3351" s="10">
        <f>IFERROR(__xludf.DUMMYFUNCTION("""COMPUTED_VALUE"""),2561.0)</f>
        <v>2561</v>
      </c>
      <c r="D3351" s="5">
        <f>IFERROR(__xludf.DUMMYFUNCTION("""COMPUTED_VALUE"""),0.3717948717948718)</f>
        <v>0.3717948718</v>
      </c>
      <c r="E3351" s="5">
        <f>IFERROR(__xludf.DUMMYFUNCTION("""COMPUTED_VALUE"""),0.12435897435897436)</f>
        <v>0.1243589744</v>
      </c>
      <c r="F3351" s="5">
        <f>IFERROR(__xludf.DUMMYFUNCTION("""COMPUTED_VALUE"""),0.19957264957264959)</f>
        <v>0.1995726496</v>
      </c>
      <c r="G3351" s="5">
        <f>IFERROR(__xludf.DUMMYFUNCTION("""COMPUTED_VALUE"""),0.15726495726495726)</f>
        <v>0.1572649573</v>
      </c>
      <c r="H3351" s="5">
        <f>IFERROR(__xludf.DUMMYFUNCTION("""COMPUTED_VALUE"""),0.6231263383297645)</f>
        <v>0.6231263383</v>
      </c>
      <c r="I3351" s="11">
        <f>IFERROR(__xludf.DUMMYFUNCTION("""COMPUTED_VALUE"""),5419.271948608137)</f>
        <v>5419.271949</v>
      </c>
      <c r="J3351" s="10">
        <f>IFERROR(__xludf.DUMMYFUNCTION("""COMPUTED_VALUE"""),0.0)</f>
        <v>0</v>
      </c>
      <c r="K3351" s="5">
        <f>IFERROR(__xludf.DUMMYFUNCTION("""COMPUTED_VALUE"""),0.0)</f>
        <v>0</v>
      </c>
      <c r="L3351" s="10">
        <f>IFERROR(__xludf.DUMMYFUNCTION("""COMPUTED_VALUE"""),221.0)</f>
        <v>221</v>
      </c>
      <c r="M3351" s="5">
        <f>IFERROR(__xludf.DUMMYFUNCTION("""COMPUTED_VALUE"""),1.0)</f>
        <v>1</v>
      </c>
    </row>
    <row r="3352">
      <c r="A3352" s="10" t="str">
        <f>IFERROR(__xludf.DUMMYFUNCTION("""COMPUTED_VALUE"""),"mikeinu")</f>
        <v>mikeinu</v>
      </c>
      <c r="B3352" s="10">
        <f>IFERROR(__xludf.DUMMYFUNCTION("""COMPUTED_VALUE"""),644.0)</f>
        <v>644</v>
      </c>
      <c r="C3352" s="10">
        <f>IFERROR(__xludf.DUMMYFUNCTION("""COMPUTED_VALUE"""),7665.0)</f>
        <v>7665</v>
      </c>
      <c r="D3352" s="5">
        <f>IFERROR(__xludf.DUMMYFUNCTION("""COMPUTED_VALUE"""),0.34824099131177894)</f>
        <v>0.3482409913</v>
      </c>
      <c r="E3352" s="5">
        <f>IFERROR(__xludf.DUMMYFUNCTION("""COMPUTED_VALUE"""),0.12434126192850022)</f>
        <v>0.1243412619</v>
      </c>
      <c r="F3352" s="5">
        <f>IFERROR(__xludf.DUMMYFUNCTION("""COMPUTED_VALUE"""),0.20381712006836633)</f>
        <v>0.2038171201</v>
      </c>
      <c r="G3352" s="5">
        <f>IFERROR(__xludf.DUMMYFUNCTION("""COMPUTED_VALUE"""),0.14755732801595214)</f>
        <v>0.147557328</v>
      </c>
      <c r="H3352" s="5">
        <f>IFERROR(__xludf.DUMMYFUNCTION("""COMPUTED_VALUE"""),0.5932914046121593)</f>
        <v>0.5932914046</v>
      </c>
      <c r="I3352" s="11">
        <f>IFERROR(__xludf.DUMMYFUNCTION("""COMPUTED_VALUE"""),5783.577917540181)</f>
        <v>5783.577918</v>
      </c>
      <c r="J3352" s="10">
        <f>IFERROR(__xludf.DUMMYFUNCTION("""COMPUTED_VALUE"""),4.0)</f>
        <v>4</v>
      </c>
      <c r="K3352" s="5">
        <f>IFERROR(__xludf.DUMMYFUNCTION("""COMPUTED_VALUE"""),0.006211180124223602)</f>
        <v>0.006211180124</v>
      </c>
      <c r="L3352" s="10">
        <f>IFERROR(__xludf.DUMMYFUNCTION("""COMPUTED_VALUE"""),644.0)</f>
        <v>644</v>
      </c>
      <c r="M3352" s="5">
        <f>IFERROR(__xludf.DUMMYFUNCTION("""COMPUTED_VALUE"""),1.0)</f>
        <v>1</v>
      </c>
    </row>
    <row r="3353">
      <c r="A3353" s="10" t="str">
        <f>IFERROR(__xludf.DUMMYFUNCTION("""COMPUTED_VALUE"""),"おむらいす")</f>
        <v>おむらいす</v>
      </c>
      <c r="B3353" s="10">
        <f>IFERROR(__xludf.DUMMYFUNCTION("""COMPUTED_VALUE"""),495.0)</f>
        <v>495</v>
      </c>
      <c r="C3353" s="10">
        <f>IFERROR(__xludf.DUMMYFUNCTION("""COMPUTED_VALUE"""),5803.0)</f>
        <v>5803</v>
      </c>
      <c r="D3353" s="5">
        <f>IFERROR(__xludf.DUMMYFUNCTION("""COMPUTED_VALUE"""),0.3287490580256217)</f>
        <v>0.328749058</v>
      </c>
      <c r="E3353" s="5">
        <f>IFERROR(__xludf.DUMMYFUNCTION("""COMPUTED_VALUE"""),0.12434061793519216)</f>
        <v>0.1243406179</v>
      </c>
      <c r="F3353" s="5">
        <f>IFERROR(__xludf.DUMMYFUNCTION("""COMPUTED_VALUE"""),0.2132629992464205)</f>
        <v>0.2132629992</v>
      </c>
      <c r="G3353" s="5">
        <f>IFERROR(__xludf.DUMMYFUNCTION("""COMPUTED_VALUE"""),0.166164280331575)</f>
        <v>0.1661642803</v>
      </c>
      <c r="H3353" s="5">
        <f>IFERROR(__xludf.DUMMYFUNCTION("""COMPUTED_VALUE"""),0.6139575971731449)</f>
        <v>0.6139575972</v>
      </c>
      <c r="I3353" s="11">
        <f>IFERROR(__xludf.DUMMYFUNCTION("""COMPUTED_VALUE"""),5529.593639575972)</f>
        <v>5529.59364</v>
      </c>
      <c r="J3353" s="10">
        <f>IFERROR(__xludf.DUMMYFUNCTION("""COMPUTED_VALUE"""),0.0)</f>
        <v>0</v>
      </c>
      <c r="K3353" s="5">
        <f>IFERROR(__xludf.DUMMYFUNCTION("""COMPUTED_VALUE"""),0.0)</f>
        <v>0</v>
      </c>
      <c r="L3353" s="10">
        <f>IFERROR(__xludf.DUMMYFUNCTION("""COMPUTED_VALUE"""),495.0)</f>
        <v>495</v>
      </c>
      <c r="M3353" s="5">
        <f>IFERROR(__xludf.DUMMYFUNCTION("""COMPUTED_VALUE"""),1.0)</f>
        <v>1</v>
      </c>
    </row>
    <row r="3354">
      <c r="A3354" s="10" t="str">
        <f>IFERROR(__xludf.DUMMYFUNCTION("""COMPUTED_VALUE"""),"S.Dancer")</f>
        <v>S.Dancer</v>
      </c>
      <c r="B3354" s="10">
        <f>IFERROR(__xludf.DUMMYFUNCTION("""COMPUTED_VALUE"""),1082.0)</f>
        <v>1082</v>
      </c>
      <c r="C3354" s="10">
        <f>IFERROR(__xludf.DUMMYFUNCTION("""COMPUTED_VALUE"""),12744.0)</f>
        <v>12744</v>
      </c>
      <c r="D3354" s="5">
        <f>IFERROR(__xludf.DUMMYFUNCTION("""COMPUTED_VALUE"""),0.3441090722003087)</f>
        <v>0.3441090722</v>
      </c>
      <c r="E3354" s="5">
        <f>IFERROR(__xludf.DUMMYFUNCTION("""COMPUTED_VALUE"""),0.12433544846510032)</f>
        <v>0.1243354485</v>
      </c>
      <c r="F3354" s="5">
        <f>IFERROR(__xludf.DUMMYFUNCTION("""COMPUTED_VALUE"""),0.21522894872234608)</f>
        <v>0.2152289487</v>
      </c>
      <c r="G3354" s="5">
        <f>IFERROR(__xludf.DUMMYFUNCTION("""COMPUTED_VALUE"""),0.16095009432344368)</f>
        <v>0.1609500943</v>
      </c>
      <c r="H3354" s="5">
        <f>IFERROR(__xludf.DUMMYFUNCTION("""COMPUTED_VALUE"""),0.6175298804780877)</f>
        <v>0.6175298805</v>
      </c>
      <c r="I3354" s="11">
        <f>IFERROR(__xludf.DUMMYFUNCTION("""COMPUTED_VALUE"""),5622.788844621514)</f>
        <v>5622.788845</v>
      </c>
      <c r="J3354" s="10">
        <f>IFERROR(__xludf.DUMMYFUNCTION("""COMPUTED_VALUE"""),2.0)</f>
        <v>2</v>
      </c>
      <c r="K3354" s="5">
        <f>IFERROR(__xludf.DUMMYFUNCTION("""COMPUTED_VALUE"""),0.0018484288354898336)</f>
        <v>0.001848428835</v>
      </c>
      <c r="L3354" s="10">
        <f>IFERROR(__xludf.DUMMYFUNCTION("""COMPUTED_VALUE"""),1082.0)</f>
        <v>1082</v>
      </c>
      <c r="M3354" s="5">
        <f>IFERROR(__xludf.DUMMYFUNCTION("""COMPUTED_VALUE"""),1.0)</f>
        <v>1</v>
      </c>
    </row>
    <row r="3355">
      <c r="A3355" s="10" t="str">
        <f>IFERROR(__xludf.DUMMYFUNCTION("""COMPUTED_VALUE"""),"愛と正義")</f>
        <v>愛と正義</v>
      </c>
      <c r="B3355" s="10">
        <f>IFERROR(__xludf.DUMMYFUNCTION("""COMPUTED_VALUE"""),266.0)</f>
        <v>266</v>
      </c>
      <c r="C3355" s="10">
        <f>IFERROR(__xludf.DUMMYFUNCTION("""COMPUTED_VALUE"""),3081.0)</f>
        <v>3081</v>
      </c>
      <c r="D3355" s="5">
        <f>IFERROR(__xludf.DUMMYFUNCTION("""COMPUTED_VALUE"""),0.3868561278863233)</f>
        <v>0.3868561279</v>
      </c>
      <c r="E3355" s="5">
        <f>IFERROR(__xludf.DUMMYFUNCTION("""COMPUTED_VALUE"""),0.12433392539964476)</f>
        <v>0.1243339254</v>
      </c>
      <c r="F3355" s="5">
        <f>IFERROR(__xludf.DUMMYFUNCTION("""COMPUTED_VALUE"""),0.21953818827708704)</f>
        <v>0.2195381883</v>
      </c>
      <c r="G3355" s="5">
        <f>IFERROR(__xludf.DUMMYFUNCTION("""COMPUTED_VALUE"""),0.15346358792184725)</f>
        <v>0.1534635879</v>
      </c>
      <c r="H3355" s="5">
        <f>IFERROR(__xludf.DUMMYFUNCTION("""COMPUTED_VALUE"""),0.6003236245954693)</f>
        <v>0.6003236246</v>
      </c>
      <c r="I3355" s="11">
        <f>IFERROR(__xludf.DUMMYFUNCTION("""COMPUTED_VALUE"""),5431.715210355987)</f>
        <v>5431.71521</v>
      </c>
      <c r="J3355" s="10">
        <f>IFERROR(__xludf.DUMMYFUNCTION("""COMPUTED_VALUE"""),0.0)</f>
        <v>0</v>
      </c>
      <c r="K3355" s="5">
        <f>IFERROR(__xludf.DUMMYFUNCTION("""COMPUTED_VALUE"""),0.0)</f>
        <v>0</v>
      </c>
      <c r="L3355" s="10">
        <f>IFERROR(__xludf.DUMMYFUNCTION("""COMPUTED_VALUE"""),266.0)</f>
        <v>266</v>
      </c>
      <c r="M3355" s="5">
        <f>IFERROR(__xludf.DUMMYFUNCTION("""COMPUTED_VALUE"""),1.0)</f>
        <v>1</v>
      </c>
    </row>
    <row r="3356">
      <c r="A3356" s="10" t="str">
        <f>IFERROR(__xludf.DUMMYFUNCTION("""COMPUTED_VALUE"""),"現大真龍将")</f>
        <v>現大真龍将</v>
      </c>
      <c r="B3356" s="10">
        <f>IFERROR(__xludf.DUMMYFUNCTION("""COMPUTED_VALUE"""),687.0)</f>
        <v>687</v>
      </c>
      <c r="C3356" s="10">
        <f>IFERROR(__xludf.DUMMYFUNCTION("""COMPUTED_VALUE"""),7998.0)</f>
        <v>7998</v>
      </c>
      <c r="D3356" s="5">
        <f>IFERROR(__xludf.DUMMYFUNCTION("""COMPUTED_VALUE"""),0.2913418137053755)</f>
        <v>0.2913418137</v>
      </c>
      <c r="E3356" s="5">
        <f>IFERROR(__xludf.DUMMYFUNCTION("""COMPUTED_VALUE"""),0.12433319655313911)</f>
        <v>0.1243331966</v>
      </c>
      <c r="F3356" s="5">
        <f>IFERROR(__xludf.DUMMYFUNCTION("""COMPUTED_VALUE"""),0.22719190261250172)</f>
        <v>0.2271919026</v>
      </c>
      <c r="G3356" s="5">
        <f>IFERROR(__xludf.DUMMYFUNCTION("""COMPUTED_VALUE"""),0.21324032280125838)</f>
        <v>0.2132403228</v>
      </c>
      <c r="H3356" s="5">
        <f>IFERROR(__xludf.DUMMYFUNCTION("""COMPUTED_VALUE"""),0.5924142083082481)</f>
        <v>0.5924142083</v>
      </c>
      <c r="I3356" s="11">
        <f>IFERROR(__xludf.DUMMYFUNCTION("""COMPUTED_VALUE"""),5507.46538229982)</f>
        <v>5507.465382</v>
      </c>
      <c r="J3356" s="10">
        <f>IFERROR(__xludf.DUMMYFUNCTION("""COMPUTED_VALUE"""),0.0)</f>
        <v>0</v>
      </c>
      <c r="K3356" s="5">
        <f>IFERROR(__xludf.DUMMYFUNCTION("""COMPUTED_VALUE"""),0.0)</f>
        <v>0</v>
      </c>
      <c r="L3356" s="10">
        <f>IFERROR(__xludf.DUMMYFUNCTION("""COMPUTED_VALUE"""),687.0)</f>
        <v>687</v>
      </c>
      <c r="M3356" s="5">
        <f>IFERROR(__xludf.DUMMYFUNCTION("""COMPUTED_VALUE"""),1.0)</f>
        <v>1</v>
      </c>
    </row>
    <row r="3357">
      <c r="A3357" s="10" t="str">
        <f>IFERROR(__xludf.DUMMYFUNCTION("""COMPUTED_VALUE"""),"Furuya")</f>
        <v>Furuya</v>
      </c>
      <c r="B3357" s="10">
        <f>IFERROR(__xludf.DUMMYFUNCTION("""COMPUTED_VALUE"""),2897.0)</f>
        <v>2897</v>
      </c>
      <c r="C3357" s="10">
        <f>IFERROR(__xludf.DUMMYFUNCTION("""COMPUTED_VALUE"""),34377.0)</f>
        <v>34377</v>
      </c>
      <c r="D3357" s="5">
        <f>IFERROR(__xludf.DUMMYFUNCTION("""COMPUTED_VALUE"""),0.3634053367217281)</f>
        <v>0.3634053367</v>
      </c>
      <c r="E3357" s="5">
        <f>IFERROR(__xludf.DUMMYFUNCTION("""COMPUTED_VALUE"""),0.12433290978398984)</f>
        <v>0.1243329098</v>
      </c>
      <c r="F3357" s="5">
        <f>IFERROR(__xludf.DUMMYFUNCTION("""COMPUTED_VALUE"""),0.21003811944091486)</f>
        <v>0.2100381194</v>
      </c>
      <c r="G3357" s="5">
        <f>IFERROR(__xludf.DUMMYFUNCTION("""COMPUTED_VALUE"""),0.17322109275730624)</f>
        <v>0.1732210928</v>
      </c>
      <c r="H3357" s="5">
        <f>IFERROR(__xludf.DUMMYFUNCTION("""COMPUTED_VALUE"""),0.5977011494252874)</f>
        <v>0.5977011494</v>
      </c>
      <c r="I3357" s="11">
        <f>IFERROR(__xludf.DUMMYFUNCTION("""COMPUTED_VALUE"""),5634.46763460375)</f>
        <v>5634.467635</v>
      </c>
      <c r="J3357" s="10">
        <f>IFERROR(__xludf.DUMMYFUNCTION("""COMPUTED_VALUE"""),2.0)</f>
        <v>2</v>
      </c>
      <c r="K3357" s="5">
        <f>IFERROR(__xludf.DUMMYFUNCTION("""COMPUTED_VALUE"""),6.903693476009665E-4)</f>
        <v>0.0006903693476</v>
      </c>
      <c r="L3357" s="10">
        <f>IFERROR(__xludf.DUMMYFUNCTION("""COMPUTED_VALUE"""),2897.0)</f>
        <v>2897</v>
      </c>
      <c r="M3357" s="5">
        <f>IFERROR(__xludf.DUMMYFUNCTION("""COMPUTED_VALUE"""),1.0)</f>
        <v>1</v>
      </c>
    </row>
    <row r="3358">
      <c r="A3358" s="10" t="str">
        <f>IFERROR(__xludf.DUMMYFUNCTION("""COMPUTED_VALUE"""),"祭人")</f>
        <v>祭人</v>
      </c>
      <c r="B3358" s="10">
        <f>IFERROR(__xludf.DUMMYFUNCTION("""COMPUTED_VALUE"""),1087.0)</f>
        <v>1087</v>
      </c>
      <c r="C3358" s="10">
        <f>IFERROR(__xludf.DUMMYFUNCTION("""COMPUTED_VALUE"""),12711.0)</f>
        <v>12711</v>
      </c>
      <c r="D3358" s="5">
        <f>IFERROR(__xludf.DUMMYFUNCTION("""COMPUTED_VALUE"""),0.3851514108740537)</f>
        <v>0.3851514109</v>
      </c>
      <c r="E3358" s="5">
        <f>IFERROR(__xludf.DUMMYFUNCTION("""COMPUTED_VALUE"""),0.12431176875430144)</f>
        <v>0.1243117688</v>
      </c>
      <c r="F3358" s="5">
        <f>IFERROR(__xludf.DUMMYFUNCTION("""COMPUTED_VALUE"""),0.2157604955264969)</f>
        <v>0.2157604955</v>
      </c>
      <c r="G3358" s="5">
        <f>IFERROR(__xludf.DUMMYFUNCTION("""COMPUTED_VALUE"""),0.16405712319339297)</f>
        <v>0.1640571232</v>
      </c>
      <c r="H3358" s="5">
        <f>IFERROR(__xludf.DUMMYFUNCTION("""COMPUTED_VALUE"""),0.5829346092503987)</f>
        <v>0.5829346093</v>
      </c>
      <c r="I3358" s="11">
        <f>IFERROR(__xludf.DUMMYFUNCTION("""COMPUTED_VALUE"""),5252.830940988836)</f>
        <v>5252.830941</v>
      </c>
      <c r="J3358" s="10">
        <f>IFERROR(__xludf.DUMMYFUNCTION("""COMPUTED_VALUE"""),1.0)</f>
        <v>1</v>
      </c>
      <c r="K3358" s="5">
        <f>IFERROR(__xludf.DUMMYFUNCTION("""COMPUTED_VALUE"""),9.199632014719411E-4)</f>
        <v>0.0009199632015</v>
      </c>
      <c r="L3358" s="10">
        <f>IFERROR(__xludf.DUMMYFUNCTION("""COMPUTED_VALUE"""),1087.0)</f>
        <v>1087</v>
      </c>
      <c r="M3358" s="5">
        <f>IFERROR(__xludf.DUMMYFUNCTION("""COMPUTED_VALUE"""),1.0)</f>
        <v>1</v>
      </c>
    </row>
    <row r="3359">
      <c r="A3359" s="10" t="str">
        <f>IFERROR(__xludf.DUMMYFUNCTION("""COMPUTED_VALUE"""),"ますぞえ")</f>
        <v>ますぞえ</v>
      </c>
      <c r="B3359" s="10">
        <f>IFERROR(__xludf.DUMMYFUNCTION("""COMPUTED_VALUE"""),413.0)</f>
        <v>413</v>
      </c>
      <c r="C3359" s="10">
        <f>IFERROR(__xludf.DUMMYFUNCTION("""COMPUTED_VALUE"""),4749.0)</f>
        <v>4749</v>
      </c>
      <c r="D3359" s="5">
        <f>IFERROR(__xludf.DUMMYFUNCTION("""COMPUTED_VALUE"""),0.3547047970479705)</f>
        <v>0.354704797</v>
      </c>
      <c r="E3359" s="5">
        <f>IFERROR(__xludf.DUMMYFUNCTION("""COMPUTED_VALUE"""),0.12430811808118081)</f>
        <v>0.1243081181</v>
      </c>
      <c r="F3359" s="5">
        <f>IFERROR(__xludf.DUMMYFUNCTION("""COMPUTED_VALUE"""),0.2091789667896679)</f>
        <v>0.2091789668</v>
      </c>
      <c r="G3359" s="5">
        <f>IFERROR(__xludf.DUMMYFUNCTION("""COMPUTED_VALUE"""),0.17412361623616235)</f>
        <v>0.1741236162</v>
      </c>
      <c r="H3359" s="5">
        <f>IFERROR(__xludf.DUMMYFUNCTION("""COMPUTED_VALUE"""),0.5997794928335171)</f>
        <v>0.5997794928</v>
      </c>
      <c r="I3359" s="11">
        <f>IFERROR(__xludf.DUMMYFUNCTION("""COMPUTED_VALUE"""),5591.730981256891)</f>
        <v>5591.730981</v>
      </c>
      <c r="J3359" s="10">
        <f>IFERROR(__xludf.DUMMYFUNCTION("""COMPUTED_VALUE"""),3.0)</f>
        <v>3</v>
      </c>
      <c r="K3359" s="5">
        <f>IFERROR(__xludf.DUMMYFUNCTION("""COMPUTED_VALUE"""),0.007263922518159807)</f>
        <v>0.007263922518</v>
      </c>
      <c r="L3359" s="10">
        <f>IFERROR(__xludf.DUMMYFUNCTION("""COMPUTED_VALUE"""),413.0)</f>
        <v>413</v>
      </c>
      <c r="M3359" s="5">
        <f>IFERROR(__xludf.DUMMYFUNCTION("""COMPUTED_VALUE"""),1.0)</f>
        <v>1</v>
      </c>
    </row>
    <row r="3360">
      <c r="A3360" s="10" t="str">
        <f>IFERROR(__xludf.DUMMYFUNCTION("""COMPUTED_VALUE"""),"カミコ")</f>
        <v>カミコ</v>
      </c>
      <c r="B3360" s="10">
        <f>IFERROR(__xludf.DUMMYFUNCTION("""COMPUTED_VALUE"""),295.0)</f>
        <v>295</v>
      </c>
      <c r="C3360" s="10">
        <f>IFERROR(__xludf.DUMMYFUNCTION("""COMPUTED_VALUE"""),3529.0)</f>
        <v>3529</v>
      </c>
      <c r="D3360" s="5">
        <f>IFERROR(__xludf.DUMMYFUNCTION("""COMPUTED_VALUE"""),0.33116883116883117)</f>
        <v>0.3311688312</v>
      </c>
      <c r="E3360" s="5">
        <f>IFERROR(__xludf.DUMMYFUNCTION("""COMPUTED_VALUE"""),0.12430426716141002)</f>
        <v>0.1243042672</v>
      </c>
      <c r="F3360" s="5">
        <f>IFERROR(__xludf.DUMMYFUNCTION("""COMPUTED_VALUE"""),0.20810142238713666)</f>
        <v>0.2081014224</v>
      </c>
      <c r="G3360" s="5">
        <f>IFERROR(__xludf.DUMMYFUNCTION("""COMPUTED_VALUE"""),0.16419294990723562)</f>
        <v>0.1641929499</v>
      </c>
      <c r="H3360" s="5">
        <f>IFERROR(__xludf.DUMMYFUNCTION("""COMPUTED_VALUE"""),0.6077265973254086)</f>
        <v>0.6077265973</v>
      </c>
      <c r="I3360" s="11">
        <f>IFERROR(__xludf.DUMMYFUNCTION("""COMPUTED_VALUE"""),5639.078751857355)</f>
        <v>5639.078752</v>
      </c>
      <c r="J3360" s="10">
        <f>IFERROR(__xludf.DUMMYFUNCTION("""COMPUTED_VALUE"""),1.0)</f>
        <v>1</v>
      </c>
      <c r="K3360" s="5">
        <f>IFERROR(__xludf.DUMMYFUNCTION("""COMPUTED_VALUE"""),0.003389830508474576)</f>
        <v>0.003389830508</v>
      </c>
      <c r="L3360" s="10">
        <f>IFERROR(__xludf.DUMMYFUNCTION("""COMPUTED_VALUE"""),295.0)</f>
        <v>295</v>
      </c>
      <c r="M3360" s="5">
        <f>IFERROR(__xludf.DUMMYFUNCTION("""COMPUTED_VALUE"""),1.0)</f>
        <v>1</v>
      </c>
    </row>
    <row r="3361">
      <c r="A3361" s="10" t="str">
        <f>IFERROR(__xludf.DUMMYFUNCTION("""COMPUTED_VALUE"""),"シェフチョコ")</f>
        <v>シェフチョコ</v>
      </c>
      <c r="B3361" s="10">
        <f>IFERROR(__xludf.DUMMYFUNCTION("""COMPUTED_VALUE"""),3408.0)</f>
        <v>3408</v>
      </c>
      <c r="C3361" s="10">
        <f>IFERROR(__xludf.DUMMYFUNCTION("""COMPUTED_VALUE"""),40243.0)</f>
        <v>40243</v>
      </c>
      <c r="D3361" s="5">
        <f>IFERROR(__xludf.DUMMYFUNCTION("""COMPUTED_VALUE"""),0.39823537396497893)</f>
        <v>0.398235374</v>
      </c>
      <c r="E3361" s="5">
        <f>IFERROR(__xludf.DUMMYFUNCTION("""COMPUTED_VALUE"""),0.12428396905117416)</f>
        <v>0.1242839691</v>
      </c>
      <c r="F3361" s="5">
        <f>IFERROR(__xludf.DUMMYFUNCTION("""COMPUTED_VALUE"""),0.21650604045065835)</f>
        <v>0.2165060405</v>
      </c>
      <c r="G3361" s="5">
        <f>IFERROR(__xludf.DUMMYFUNCTION("""COMPUTED_VALUE"""),0.15743179041672323)</f>
        <v>0.1574317904</v>
      </c>
      <c r="H3361" s="5">
        <f>IFERROR(__xludf.DUMMYFUNCTION("""COMPUTED_VALUE"""),0.6068965517241379)</f>
        <v>0.6068965517</v>
      </c>
      <c r="I3361" s="11">
        <f>IFERROR(__xludf.DUMMYFUNCTION("""COMPUTED_VALUE"""),5224.815047021943)</f>
        <v>5224.815047</v>
      </c>
      <c r="J3361" s="10">
        <f>IFERROR(__xludf.DUMMYFUNCTION("""COMPUTED_VALUE"""),2.0)</f>
        <v>2</v>
      </c>
      <c r="K3361" s="5">
        <f>IFERROR(__xludf.DUMMYFUNCTION("""COMPUTED_VALUE"""),5.868544600938967E-4)</f>
        <v>0.0005868544601</v>
      </c>
      <c r="L3361" s="10">
        <f>IFERROR(__xludf.DUMMYFUNCTION("""COMPUTED_VALUE"""),3361.0)</f>
        <v>3361</v>
      </c>
      <c r="M3361" s="5">
        <f>IFERROR(__xludf.DUMMYFUNCTION("""COMPUTED_VALUE"""),0.9862089201877934)</f>
        <v>0.9862089202</v>
      </c>
    </row>
    <row r="3362">
      <c r="A3362" s="10" t="str">
        <f>IFERROR(__xludf.DUMMYFUNCTION("""COMPUTED_VALUE"""),"ほわほわ")</f>
        <v>ほわほわ</v>
      </c>
      <c r="B3362" s="10">
        <f>IFERROR(__xludf.DUMMYFUNCTION("""COMPUTED_VALUE"""),551.0)</f>
        <v>551</v>
      </c>
      <c r="C3362" s="10">
        <f>IFERROR(__xludf.DUMMYFUNCTION("""COMPUTED_VALUE"""),6481.0)</f>
        <v>6481</v>
      </c>
      <c r="D3362" s="5">
        <f>IFERROR(__xludf.DUMMYFUNCTION("""COMPUTED_VALUE"""),0.32192242833052276)</f>
        <v>0.3219224283</v>
      </c>
      <c r="E3362" s="5">
        <f>IFERROR(__xludf.DUMMYFUNCTION("""COMPUTED_VALUE"""),0.12428330522765599)</f>
        <v>0.1242833052</v>
      </c>
      <c r="F3362" s="5">
        <f>IFERROR(__xludf.DUMMYFUNCTION("""COMPUTED_VALUE"""),0.21231028667790894)</f>
        <v>0.2123102867</v>
      </c>
      <c r="G3362" s="5">
        <f>IFERROR(__xludf.DUMMYFUNCTION("""COMPUTED_VALUE"""),0.18145025295109612)</f>
        <v>0.181450253</v>
      </c>
      <c r="H3362" s="5">
        <f>IFERROR(__xludf.DUMMYFUNCTION("""COMPUTED_VALUE"""),0.5758538522637013)</f>
        <v>0.5758538523</v>
      </c>
      <c r="I3362" s="11">
        <f>IFERROR(__xludf.DUMMYFUNCTION("""COMPUTED_VALUE"""),5688.0063542494045)</f>
        <v>5688.006354</v>
      </c>
      <c r="J3362" s="10">
        <f>IFERROR(__xludf.DUMMYFUNCTION("""COMPUTED_VALUE"""),1.0)</f>
        <v>1</v>
      </c>
      <c r="K3362" s="5">
        <f>IFERROR(__xludf.DUMMYFUNCTION("""COMPUTED_VALUE"""),0.0018148820326678765)</f>
        <v>0.001814882033</v>
      </c>
      <c r="L3362" s="10">
        <f>IFERROR(__xludf.DUMMYFUNCTION("""COMPUTED_VALUE"""),551.0)</f>
        <v>551</v>
      </c>
      <c r="M3362" s="5">
        <f>IFERROR(__xludf.DUMMYFUNCTION("""COMPUTED_VALUE"""),1.0)</f>
        <v>1</v>
      </c>
    </row>
    <row r="3363">
      <c r="A3363" s="10" t="str">
        <f>IFERROR(__xludf.DUMMYFUNCTION("""COMPUTED_VALUE"""),"やくしまるえつこ")</f>
        <v>やくしまるえつこ</v>
      </c>
      <c r="B3363" s="10">
        <f>IFERROR(__xludf.DUMMYFUNCTION("""COMPUTED_VALUE"""),878.0)</f>
        <v>878</v>
      </c>
      <c r="C3363" s="10">
        <f>IFERROR(__xludf.DUMMYFUNCTION("""COMPUTED_VALUE"""),10292.0)</f>
        <v>10292</v>
      </c>
      <c r="D3363" s="5">
        <f>IFERROR(__xludf.DUMMYFUNCTION("""COMPUTED_VALUE"""),0.35617165923093264)</f>
        <v>0.3561716592</v>
      </c>
      <c r="E3363" s="5">
        <f>IFERROR(__xludf.DUMMYFUNCTION("""COMPUTED_VALUE"""),0.124282982791587)</f>
        <v>0.1242829828</v>
      </c>
      <c r="F3363" s="5">
        <f>IFERROR(__xludf.DUMMYFUNCTION("""COMPUTED_VALUE"""),0.21606118546845124)</f>
        <v>0.2160611855</v>
      </c>
      <c r="G3363" s="5">
        <f>IFERROR(__xludf.DUMMYFUNCTION("""COMPUTED_VALUE"""),0.17548332271085618)</f>
        <v>0.1754833227</v>
      </c>
      <c r="H3363" s="5">
        <f>IFERROR(__xludf.DUMMYFUNCTION("""COMPUTED_VALUE"""),0.6047197640117994)</f>
        <v>0.604719764</v>
      </c>
      <c r="I3363" s="11">
        <f>IFERROR(__xludf.DUMMYFUNCTION("""COMPUTED_VALUE"""),5362.241887905605)</f>
        <v>5362.241888</v>
      </c>
      <c r="J3363" s="10">
        <f>IFERROR(__xludf.DUMMYFUNCTION("""COMPUTED_VALUE"""),1.0)</f>
        <v>1</v>
      </c>
      <c r="K3363" s="5">
        <f>IFERROR(__xludf.DUMMYFUNCTION("""COMPUTED_VALUE"""),0.0011389521640091116)</f>
        <v>0.001138952164</v>
      </c>
      <c r="L3363" s="10">
        <f>IFERROR(__xludf.DUMMYFUNCTION("""COMPUTED_VALUE"""),1.0)</f>
        <v>1</v>
      </c>
      <c r="M3363" s="5">
        <f>IFERROR(__xludf.DUMMYFUNCTION("""COMPUTED_VALUE"""),0.0011389521640091116)</f>
        <v>0.001138952164</v>
      </c>
    </row>
    <row r="3364">
      <c r="A3364" s="10" t="str">
        <f>IFERROR(__xludf.DUMMYFUNCTION("""COMPUTED_VALUE"""),"シャンテン地獄☆")</f>
        <v>シャンテン地獄☆</v>
      </c>
      <c r="B3364" s="10">
        <f>IFERROR(__xludf.DUMMYFUNCTION("""COMPUTED_VALUE"""),1215.0)</f>
        <v>1215</v>
      </c>
      <c r="C3364" s="10">
        <f>IFERROR(__xludf.DUMMYFUNCTION("""COMPUTED_VALUE"""),14250.0)</f>
        <v>14250</v>
      </c>
      <c r="D3364" s="5">
        <f>IFERROR(__xludf.DUMMYFUNCTION("""COMPUTED_VALUE"""),0.34859992328346756)</f>
        <v>0.3485999233</v>
      </c>
      <c r="E3364" s="5">
        <f>IFERROR(__xludf.DUMMYFUNCTION("""COMPUTED_VALUE"""),0.12428078250863062)</f>
        <v>0.1242807825</v>
      </c>
      <c r="F3364" s="5">
        <f>IFERROR(__xludf.DUMMYFUNCTION("""COMPUTED_VALUE"""),0.21212121212121213)</f>
        <v>0.2121212121</v>
      </c>
      <c r="G3364" s="5">
        <f>IFERROR(__xludf.DUMMYFUNCTION("""COMPUTED_VALUE"""),0.16478711162255466)</f>
        <v>0.1647871116</v>
      </c>
      <c r="H3364" s="5">
        <f>IFERROR(__xludf.DUMMYFUNCTION("""COMPUTED_VALUE"""),0.5887884267631103)</f>
        <v>0.5887884268</v>
      </c>
      <c r="I3364" s="11">
        <f>IFERROR(__xludf.DUMMYFUNCTION("""COMPUTED_VALUE"""),5318.987341772152)</f>
        <v>5318.987342</v>
      </c>
      <c r="J3364" s="10">
        <f>IFERROR(__xludf.DUMMYFUNCTION("""COMPUTED_VALUE"""),2.0)</f>
        <v>2</v>
      </c>
      <c r="K3364" s="5">
        <f>IFERROR(__xludf.DUMMYFUNCTION("""COMPUTED_VALUE"""),0.0016460905349794238)</f>
        <v>0.001646090535</v>
      </c>
      <c r="L3364" s="10">
        <f>IFERROR(__xludf.DUMMYFUNCTION("""COMPUTED_VALUE"""),921.0)</f>
        <v>921</v>
      </c>
      <c r="M3364" s="5">
        <f>IFERROR(__xludf.DUMMYFUNCTION("""COMPUTED_VALUE"""),0.7580246913580246)</f>
        <v>0.7580246914</v>
      </c>
    </row>
    <row r="3365">
      <c r="A3365" s="10" t="str">
        <f>IFERROR(__xludf.DUMMYFUNCTION("""COMPUTED_VALUE"""),"コンテニュー")</f>
        <v>コンテニュー</v>
      </c>
      <c r="B3365" s="10">
        <f>IFERROR(__xludf.DUMMYFUNCTION("""COMPUTED_VALUE"""),116.0)</f>
        <v>116</v>
      </c>
      <c r="C3365" s="10">
        <f>IFERROR(__xludf.DUMMYFUNCTION("""COMPUTED_VALUE"""),1331.0)</f>
        <v>1331</v>
      </c>
      <c r="D3365" s="5">
        <f>IFERROR(__xludf.DUMMYFUNCTION("""COMPUTED_VALUE"""),0.2559670781893004)</f>
        <v>0.2559670782</v>
      </c>
      <c r="E3365" s="5">
        <f>IFERROR(__xludf.DUMMYFUNCTION("""COMPUTED_VALUE"""),0.1242798353909465)</f>
        <v>0.1242798354</v>
      </c>
      <c r="F3365" s="5">
        <f>IFERROR(__xludf.DUMMYFUNCTION("""COMPUTED_VALUE"""),0.21069958847736625)</f>
        <v>0.2106995885</v>
      </c>
      <c r="G3365" s="5">
        <f>IFERROR(__xludf.DUMMYFUNCTION("""COMPUTED_VALUE"""),0.1794238683127572)</f>
        <v>0.1794238683</v>
      </c>
      <c r="H3365" s="5">
        <f>IFERROR(__xludf.DUMMYFUNCTION("""COMPUTED_VALUE"""),0.6796875)</f>
        <v>0.6796875</v>
      </c>
      <c r="I3365" s="11">
        <f>IFERROR(__xludf.DUMMYFUNCTION("""COMPUTED_VALUE"""),6656.25)</f>
        <v>6656.25</v>
      </c>
      <c r="J3365" s="10">
        <f>IFERROR(__xludf.DUMMYFUNCTION("""COMPUTED_VALUE"""),0.0)</f>
        <v>0</v>
      </c>
      <c r="K3365" s="5">
        <f>IFERROR(__xludf.DUMMYFUNCTION("""COMPUTED_VALUE"""),0.0)</f>
        <v>0</v>
      </c>
      <c r="L3365" s="10">
        <f>IFERROR(__xludf.DUMMYFUNCTION("""COMPUTED_VALUE"""),116.0)</f>
        <v>116</v>
      </c>
      <c r="M3365" s="5">
        <f>IFERROR(__xludf.DUMMYFUNCTION("""COMPUTED_VALUE"""),1.0)</f>
        <v>1</v>
      </c>
    </row>
    <row r="3366">
      <c r="A3366" s="10" t="str">
        <f>IFERROR(__xludf.DUMMYFUNCTION("""COMPUTED_VALUE"""),"jijii-e")</f>
        <v>jijii-e</v>
      </c>
      <c r="B3366" s="10">
        <f>IFERROR(__xludf.DUMMYFUNCTION("""COMPUTED_VALUE"""),567.0)</f>
        <v>567</v>
      </c>
      <c r="C3366" s="10">
        <f>IFERROR(__xludf.DUMMYFUNCTION("""COMPUTED_VALUE"""),6651.0)</f>
        <v>6651</v>
      </c>
      <c r="D3366" s="5">
        <f>IFERROR(__xludf.DUMMYFUNCTION("""COMPUTED_VALUE"""),0.37442472057856674)</f>
        <v>0.3744247206</v>
      </c>
      <c r="E3366" s="5">
        <f>IFERROR(__xludf.DUMMYFUNCTION("""COMPUTED_VALUE"""),0.1242603550295858)</f>
        <v>0.124260355</v>
      </c>
      <c r="F3366" s="5">
        <f>IFERROR(__xludf.DUMMYFUNCTION("""COMPUTED_VALUE"""),0.20200525969756739)</f>
        <v>0.2020052597</v>
      </c>
      <c r="G3366" s="5">
        <f>IFERROR(__xludf.DUMMYFUNCTION("""COMPUTED_VALUE"""),0.15861275476660092)</f>
        <v>0.1586127548</v>
      </c>
      <c r="H3366" s="5">
        <f>IFERROR(__xludf.DUMMYFUNCTION("""COMPUTED_VALUE"""),0.5947925142392189)</f>
        <v>0.5947925142</v>
      </c>
      <c r="I3366" s="11">
        <f>IFERROR(__xludf.DUMMYFUNCTION("""COMPUTED_VALUE"""),5689.991863303499)</f>
        <v>5689.991863</v>
      </c>
      <c r="J3366" s="10">
        <f>IFERROR(__xludf.DUMMYFUNCTION("""COMPUTED_VALUE"""),2.0)</f>
        <v>2</v>
      </c>
      <c r="K3366" s="5">
        <f>IFERROR(__xludf.DUMMYFUNCTION("""COMPUTED_VALUE"""),0.003527336860670194)</f>
        <v>0.003527336861</v>
      </c>
      <c r="L3366" s="10">
        <f>IFERROR(__xludf.DUMMYFUNCTION("""COMPUTED_VALUE"""),567.0)</f>
        <v>567</v>
      </c>
      <c r="M3366" s="5">
        <f>IFERROR(__xludf.DUMMYFUNCTION("""COMPUTED_VALUE"""),1.0)</f>
        <v>1</v>
      </c>
    </row>
    <row r="3367">
      <c r="A3367" s="10" t="str">
        <f>IFERROR(__xludf.DUMMYFUNCTION("""COMPUTED_VALUE"""),"bugyawi")</f>
        <v>bugyawi</v>
      </c>
      <c r="B3367" s="10">
        <f>IFERROR(__xludf.DUMMYFUNCTION("""COMPUTED_VALUE"""),1740.0)</f>
        <v>1740</v>
      </c>
      <c r="C3367" s="10">
        <f>IFERROR(__xludf.DUMMYFUNCTION("""COMPUTED_VALUE"""),20685.0)</f>
        <v>20685</v>
      </c>
      <c r="D3367" s="5">
        <f>IFERROR(__xludf.DUMMYFUNCTION("""COMPUTED_VALUE"""),0.4006334125098971)</f>
        <v>0.4006334125</v>
      </c>
      <c r="E3367" s="5">
        <f>IFERROR(__xludf.DUMMYFUNCTION("""COMPUTED_VALUE"""),0.12425442069147533)</f>
        <v>0.1242544207</v>
      </c>
      <c r="F3367" s="5">
        <f>IFERROR(__xludf.DUMMYFUNCTION("""COMPUTED_VALUE"""),0.2106624439166007)</f>
        <v>0.2106624439</v>
      </c>
      <c r="G3367" s="5">
        <f>IFERROR(__xludf.DUMMYFUNCTION("""COMPUTED_VALUE"""),0.1608867775138559)</f>
        <v>0.1608867775</v>
      </c>
      <c r="H3367" s="5">
        <f>IFERROR(__xludf.DUMMYFUNCTION("""COMPUTED_VALUE"""),0.601102480581308)</f>
        <v>0.6011024806</v>
      </c>
      <c r="I3367" s="11">
        <f>IFERROR(__xludf.DUMMYFUNCTION("""COMPUTED_VALUE"""),5484.18942620897)</f>
        <v>5484.189426</v>
      </c>
      <c r="J3367" s="10">
        <f>IFERROR(__xludf.DUMMYFUNCTION("""COMPUTED_VALUE"""),1.0)</f>
        <v>1</v>
      </c>
      <c r="K3367" s="5">
        <f>IFERROR(__xludf.DUMMYFUNCTION("""COMPUTED_VALUE"""),5.747126436781609E-4)</f>
        <v>0.0005747126437</v>
      </c>
      <c r="L3367" s="10">
        <f>IFERROR(__xludf.DUMMYFUNCTION("""COMPUTED_VALUE"""),1728.0)</f>
        <v>1728</v>
      </c>
      <c r="M3367" s="5">
        <f>IFERROR(__xludf.DUMMYFUNCTION("""COMPUTED_VALUE"""),0.993103448275862)</f>
        <v>0.9931034483</v>
      </c>
    </row>
    <row r="3368">
      <c r="A3368" s="10" t="str">
        <f>IFERROR(__xludf.DUMMYFUNCTION("""COMPUTED_VALUE"""),"★ゆー☆")</f>
        <v>★ゆー☆</v>
      </c>
      <c r="B3368" s="10">
        <f>IFERROR(__xludf.DUMMYFUNCTION("""COMPUTED_VALUE"""),588.0)</f>
        <v>588</v>
      </c>
      <c r="C3368" s="10">
        <f>IFERROR(__xludf.DUMMYFUNCTION("""COMPUTED_VALUE"""),6898.0)</f>
        <v>6898</v>
      </c>
      <c r="D3368" s="5">
        <f>IFERROR(__xludf.DUMMYFUNCTION("""COMPUTED_VALUE"""),0.37892234548335973)</f>
        <v>0.3789223455</v>
      </c>
      <c r="E3368" s="5">
        <f>IFERROR(__xludf.DUMMYFUNCTION("""COMPUTED_VALUE"""),0.12424722662440571)</f>
        <v>0.1242472266</v>
      </c>
      <c r="F3368" s="5">
        <f>IFERROR(__xludf.DUMMYFUNCTION("""COMPUTED_VALUE"""),0.21458003169572107)</f>
        <v>0.2145800317</v>
      </c>
      <c r="G3368" s="5">
        <f>IFERROR(__xludf.DUMMYFUNCTION("""COMPUTED_VALUE"""),0.18478605388272584)</f>
        <v>0.1847860539</v>
      </c>
      <c r="H3368" s="5">
        <f>IFERROR(__xludf.DUMMYFUNCTION("""COMPUTED_VALUE"""),0.5878877400295421)</f>
        <v>0.58788774</v>
      </c>
      <c r="I3368" s="11">
        <f>IFERROR(__xludf.DUMMYFUNCTION("""COMPUTED_VALUE"""),5779.763663220088)</f>
        <v>5779.763663</v>
      </c>
      <c r="J3368" s="10">
        <f>IFERROR(__xludf.DUMMYFUNCTION("""COMPUTED_VALUE"""),3.0)</f>
        <v>3</v>
      </c>
      <c r="K3368" s="5">
        <f>IFERROR(__xludf.DUMMYFUNCTION("""COMPUTED_VALUE"""),0.00510204081632653)</f>
        <v>0.005102040816</v>
      </c>
      <c r="L3368" s="10">
        <f>IFERROR(__xludf.DUMMYFUNCTION("""COMPUTED_VALUE"""),587.0)</f>
        <v>587</v>
      </c>
      <c r="M3368" s="5">
        <f>IFERROR(__xludf.DUMMYFUNCTION("""COMPUTED_VALUE"""),0.9982993197278912)</f>
        <v>0.9982993197</v>
      </c>
    </row>
    <row r="3369">
      <c r="A3369" s="10" t="str">
        <f>IFERROR(__xludf.DUMMYFUNCTION("""COMPUTED_VALUE"""),"kiyonari")</f>
        <v>kiyonari</v>
      </c>
      <c r="B3369" s="10">
        <f>IFERROR(__xludf.DUMMYFUNCTION("""COMPUTED_VALUE"""),2183.0)</f>
        <v>2183</v>
      </c>
      <c r="C3369" s="10">
        <f>IFERROR(__xludf.DUMMYFUNCTION("""COMPUTED_VALUE"""),25548.0)</f>
        <v>25548</v>
      </c>
      <c r="D3369" s="5">
        <f>IFERROR(__xludf.DUMMYFUNCTION("""COMPUTED_VALUE"""),0.3688850845281404)</f>
        <v>0.3688850845</v>
      </c>
      <c r="E3369" s="5">
        <f>IFERROR(__xludf.DUMMYFUNCTION("""COMPUTED_VALUE"""),0.1242456665953349)</f>
        <v>0.1242456666</v>
      </c>
      <c r="F3369" s="5">
        <f>IFERROR(__xludf.DUMMYFUNCTION("""COMPUTED_VALUE"""),0.21386689492831157)</f>
        <v>0.2138668949</v>
      </c>
      <c r="G3369" s="5">
        <f>IFERROR(__xludf.DUMMYFUNCTION("""COMPUTED_VALUE"""),0.17633212069334475)</f>
        <v>0.1763321207</v>
      </c>
      <c r="H3369" s="5">
        <f>IFERROR(__xludf.DUMMYFUNCTION("""COMPUTED_VALUE"""),0.5919551731038624)</f>
        <v>0.5919551731</v>
      </c>
      <c r="I3369" s="11">
        <f>IFERROR(__xludf.DUMMYFUNCTION("""COMPUTED_VALUE"""),5418.551130678407)</f>
        <v>5418.551131</v>
      </c>
      <c r="J3369" s="10">
        <f>IFERROR(__xludf.DUMMYFUNCTION("""COMPUTED_VALUE"""),4.0)</f>
        <v>4</v>
      </c>
      <c r="K3369" s="5">
        <f>IFERROR(__xludf.DUMMYFUNCTION("""COMPUTED_VALUE"""),0.0018323408153916628)</f>
        <v>0.001832340815</v>
      </c>
      <c r="L3369" s="10">
        <f>IFERROR(__xludf.DUMMYFUNCTION("""COMPUTED_VALUE"""),2183.0)</f>
        <v>2183</v>
      </c>
      <c r="M3369" s="5">
        <f>IFERROR(__xludf.DUMMYFUNCTION("""COMPUTED_VALUE"""),1.0)</f>
        <v>1</v>
      </c>
    </row>
    <row r="3370">
      <c r="A3370" s="10" t="str">
        <f>IFERROR(__xludf.DUMMYFUNCTION("""COMPUTED_VALUE"""),"④センチ")</f>
        <v>④センチ</v>
      </c>
      <c r="B3370" s="10">
        <f>IFERROR(__xludf.DUMMYFUNCTION("""COMPUTED_VALUE"""),9772.0)</f>
        <v>9772</v>
      </c>
      <c r="C3370" s="10">
        <f>IFERROR(__xludf.DUMMYFUNCTION("""COMPUTED_VALUE"""),114485.0)</f>
        <v>114485</v>
      </c>
      <c r="D3370" s="5">
        <f>IFERROR(__xludf.DUMMYFUNCTION("""COMPUTED_VALUE"""),0.34055943388118)</f>
        <v>0.3405594339</v>
      </c>
      <c r="E3370" s="5">
        <f>IFERROR(__xludf.DUMMYFUNCTION("""COMPUTED_VALUE"""),0.12424436316407705)</f>
        <v>0.1242443632</v>
      </c>
      <c r="F3370" s="5">
        <f>IFERROR(__xludf.DUMMYFUNCTION("""COMPUTED_VALUE"""),0.21998223716252996)</f>
        <v>0.2199822372</v>
      </c>
      <c r="G3370" s="5">
        <f>IFERROR(__xludf.DUMMYFUNCTION("""COMPUTED_VALUE"""),0.18480035907671444)</f>
        <v>0.1848003591</v>
      </c>
      <c r="H3370" s="5">
        <f>IFERROR(__xludf.DUMMYFUNCTION("""COMPUTED_VALUE"""),0.5989146950293033)</f>
        <v>0.598914695</v>
      </c>
      <c r="I3370" s="11">
        <f>IFERROR(__xludf.DUMMYFUNCTION("""COMPUTED_VALUE"""),5733.948339483395)</f>
        <v>5733.948339</v>
      </c>
      <c r="J3370" s="10">
        <f>IFERROR(__xludf.DUMMYFUNCTION("""COMPUTED_VALUE"""),29.0)</f>
        <v>29</v>
      </c>
      <c r="K3370" s="5">
        <f>IFERROR(__xludf.DUMMYFUNCTION("""COMPUTED_VALUE"""),0.0029676627097830538)</f>
        <v>0.00296766271</v>
      </c>
      <c r="L3370" s="10">
        <f>IFERROR(__xludf.DUMMYFUNCTION("""COMPUTED_VALUE"""),9772.0)</f>
        <v>9772</v>
      </c>
      <c r="M3370" s="5">
        <f>IFERROR(__xludf.DUMMYFUNCTION("""COMPUTED_VALUE"""),1.0)</f>
        <v>1</v>
      </c>
    </row>
    <row r="3371">
      <c r="A3371" s="10" t="str">
        <f>IFERROR(__xludf.DUMMYFUNCTION("""COMPUTED_VALUE"""),"魔王こっぺぱん")</f>
        <v>魔王こっぺぱん</v>
      </c>
      <c r="B3371" s="10">
        <f>IFERROR(__xludf.DUMMYFUNCTION("""COMPUTED_VALUE"""),739.0)</f>
        <v>739</v>
      </c>
      <c r="C3371" s="10">
        <f>IFERROR(__xludf.DUMMYFUNCTION("""COMPUTED_VALUE"""),8756.0)</f>
        <v>8756</v>
      </c>
      <c r="D3371" s="5">
        <f>IFERROR(__xludf.DUMMYFUNCTION("""COMPUTED_VALUE"""),0.3763253087189722)</f>
        <v>0.3763253087</v>
      </c>
      <c r="E3371" s="5">
        <f>IFERROR(__xludf.DUMMYFUNCTION("""COMPUTED_VALUE"""),0.12423599850318075)</f>
        <v>0.1242359985</v>
      </c>
      <c r="F3371" s="5">
        <f>IFERROR(__xludf.DUMMYFUNCTION("""COMPUTED_VALUE"""),0.20705999750530124)</f>
        <v>0.2070599975</v>
      </c>
      <c r="G3371" s="5">
        <f>IFERROR(__xludf.DUMMYFUNCTION("""COMPUTED_VALUE"""),0.16502432331295996)</f>
        <v>0.1650243233</v>
      </c>
      <c r="H3371" s="5">
        <f>IFERROR(__xludf.DUMMYFUNCTION("""COMPUTED_VALUE"""),0.5843373493975904)</f>
        <v>0.5843373494</v>
      </c>
      <c r="I3371" s="11">
        <f>IFERROR(__xludf.DUMMYFUNCTION("""COMPUTED_VALUE"""),5513.192771084337)</f>
        <v>5513.192771</v>
      </c>
      <c r="J3371" s="10">
        <f>IFERROR(__xludf.DUMMYFUNCTION("""COMPUTED_VALUE"""),1.0)</f>
        <v>1</v>
      </c>
      <c r="K3371" s="5">
        <f>IFERROR(__xludf.DUMMYFUNCTION("""COMPUTED_VALUE"""),0.0013531799729364006)</f>
        <v>0.001353179973</v>
      </c>
      <c r="L3371" s="10">
        <f>IFERROR(__xludf.DUMMYFUNCTION("""COMPUTED_VALUE"""),739.0)</f>
        <v>739</v>
      </c>
      <c r="M3371" s="5">
        <f>IFERROR(__xludf.DUMMYFUNCTION("""COMPUTED_VALUE"""),1.0)</f>
        <v>1</v>
      </c>
    </row>
    <row r="3372">
      <c r="A3372" s="10" t="str">
        <f>IFERROR(__xludf.DUMMYFUNCTION("""COMPUTED_VALUE"""),"カール")</f>
        <v>カール</v>
      </c>
      <c r="B3372" s="10">
        <f>IFERROR(__xludf.DUMMYFUNCTION("""COMPUTED_VALUE"""),279.0)</f>
        <v>279</v>
      </c>
      <c r="C3372" s="10">
        <f>IFERROR(__xludf.DUMMYFUNCTION("""COMPUTED_VALUE"""),3217.0)</f>
        <v>3217</v>
      </c>
      <c r="D3372" s="5">
        <f>IFERROR(__xludf.DUMMYFUNCTION("""COMPUTED_VALUE"""),0.388359428182437)</f>
        <v>0.3883594282</v>
      </c>
      <c r="E3372" s="5">
        <f>IFERROR(__xludf.DUMMYFUNCTION("""COMPUTED_VALUE"""),0.12423417290673928)</f>
        <v>0.1242341729</v>
      </c>
      <c r="F3372" s="5">
        <f>IFERROR(__xludf.DUMMYFUNCTION("""COMPUTED_VALUE"""),0.20626276378488767)</f>
        <v>0.2062627638</v>
      </c>
      <c r="G3372" s="5">
        <f>IFERROR(__xludf.DUMMYFUNCTION("""COMPUTED_VALUE"""),0.1524846834581348)</f>
        <v>0.1524846835</v>
      </c>
      <c r="H3372" s="5">
        <f>IFERROR(__xludf.DUMMYFUNCTION("""COMPUTED_VALUE"""),0.5825082508250825)</f>
        <v>0.5825082508</v>
      </c>
      <c r="I3372" s="11">
        <f>IFERROR(__xludf.DUMMYFUNCTION("""COMPUTED_VALUE"""),5381.683168316832)</f>
        <v>5381.683168</v>
      </c>
      <c r="J3372" s="10">
        <f>IFERROR(__xludf.DUMMYFUNCTION("""COMPUTED_VALUE"""),2.0)</f>
        <v>2</v>
      </c>
      <c r="K3372" s="5">
        <f>IFERROR(__xludf.DUMMYFUNCTION("""COMPUTED_VALUE"""),0.007168458781362007)</f>
        <v>0.007168458781</v>
      </c>
      <c r="L3372" s="10">
        <f>IFERROR(__xludf.DUMMYFUNCTION("""COMPUTED_VALUE"""),279.0)</f>
        <v>279</v>
      </c>
      <c r="M3372" s="5">
        <f>IFERROR(__xludf.DUMMYFUNCTION("""COMPUTED_VALUE"""),1.0)</f>
        <v>1</v>
      </c>
    </row>
    <row r="3373">
      <c r="A3373" s="10" t="str">
        <f>IFERROR(__xludf.DUMMYFUNCTION("""COMPUTED_VALUE"""),"にせ悟空")</f>
        <v>にせ悟空</v>
      </c>
      <c r="B3373" s="10">
        <f>IFERROR(__xludf.DUMMYFUNCTION("""COMPUTED_VALUE"""),2165.0)</f>
        <v>2165</v>
      </c>
      <c r="C3373" s="10">
        <f>IFERROR(__xludf.DUMMYFUNCTION("""COMPUTED_VALUE"""),25318.0)</f>
        <v>25318</v>
      </c>
      <c r="D3373" s="5">
        <f>IFERROR(__xludf.DUMMYFUNCTION("""COMPUTED_VALUE"""),0.33779639787500537)</f>
        <v>0.3377963979</v>
      </c>
      <c r="E3373" s="5">
        <f>IFERROR(__xludf.DUMMYFUNCTION("""COMPUTED_VALUE"""),0.12421716408240832)</f>
        <v>0.1242171641</v>
      </c>
      <c r="F3373" s="5">
        <f>IFERROR(__xludf.DUMMYFUNCTION("""COMPUTED_VALUE"""),0.20191767805467975)</f>
        <v>0.2019176781</v>
      </c>
      <c r="G3373" s="5">
        <f>IFERROR(__xludf.DUMMYFUNCTION("""COMPUTED_VALUE"""),0.16200924286269597)</f>
        <v>0.1620092429</v>
      </c>
      <c r="H3373" s="5">
        <f>IFERROR(__xludf.DUMMYFUNCTION("""COMPUTED_VALUE"""),0.6)</f>
        <v>0.6</v>
      </c>
      <c r="I3373" s="11">
        <f>IFERROR(__xludf.DUMMYFUNCTION("""COMPUTED_VALUE"""),5987.229946524064)</f>
        <v>5987.229947</v>
      </c>
      <c r="J3373" s="10">
        <f>IFERROR(__xludf.DUMMYFUNCTION("""COMPUTED_VALUE"""),7.0)</f>
        <v>7</v>
      </c>
      <c r="K3373" s="5">
        <f>IFERROR(__xludf.DUMMYFUNCTION("""COMPUTED_VALUE"""),0.003233256351039261)</f>
        <v>0.003233256351</v>
      </c>
      <c r="L3373" s="10">
        <f>IFERROR(__xludf.DUMMYFUNCTION("""COMPUTED_VALUE"""),2165.0)</f>
        <v>2165</v>
      </c>
      <c r="M3373" s="5">
        <f>IFERROR(__xludf.DUMMYFUNCTION("""COMPUTED_VALUE"""),1.0)</f>
        <v>1</v>
      </c>
    </row>
    <row r="3374">
      <c r="A3374" s="10" t="str">
        <f>IFERROR(__xludf.DUMMYFUNCTION("""COMPUTED_VALUE"""),"しゃーもん3")</f>
        <v>しゃーもん3</v>
      </c>
      <c r="B3374" s="10">
        <f>IFERROR(__xludf.DUMMYFUNCTION("""COMPUTED_VALUE"""),536.0)</f>
        <v>536</v>
      </c>
      <c r="C3374" s="10">
        <f>IFERROR(__xludf.DUMMYFUNCTION("""COMPUTED_VALUE"""),6260.0)</f>
        <v>6260</v>
      </c>
      <c r="D3374" s="5">
        <f>IFERROR(__xludf.DUMMYFUNCTION("""COMPUTED_VALUE"""),0.3555206149545772)</f>
        <v>0.355520615</v>
      </c>
      <c r="E3374" s="5">
        <f>IFERROR(__xludf.DUMMYFUNCTION("""COMPUTED_VALUE"""),0.12421383647798742)</f>
        <v>0.1242138365</v>
      </c>
      <c r="F3374" s="5">
        <f>IFERROR(__xludf.DUMMYFUNCTION("""COMPUTED_VALUE"""),0.20632424877707897)</f>
        <v>0.2063242488</v>
      </c>
      <c r="G3374" s="5">
        <f>IFERROR(__xludf.DUMMYFUNCTION("""COMPUTED_VALUE"""),0.1563591893780573)</f>
        <v>0.1563591894</v>
      </c>
      <c r="H3374" s="5">
        <f>IFERROR(__xludf.DUMMYFUNCTION("""COMPUTED_VALUE"""),0.598645215918713)</f>
        <v>0.5986452159</v>
      </c>
      <c r="I3374" s="11">
        <f>IFERROR(__xludf.DUMMYFUNCTION("""COMPUTED_VALUE"""),5441.659610499577)</f>
        <v>5441.65961</v>
      </c>
      <c r="J3374" s="10">
        <f>IFERROR(__xludf.DUMMYFUNCTION("""COMPUTED_VALUE"""),1.0)</f>
        <v>1</v>
      </c>
      <c r="K3374" s="5">
        <f>IFERROR(__xludf.DUMMYFUNCTION("""COMPUTED_VALUE"""),0.0018656716417910447)</f>
        <v>0.001865671642</v>
      </c>
      <c r="L3374" s="10">
        <f>IFERROR(__xludf.DUMMYFUNCTION("""COMPUTED_VALUE"""),536.0)</f>
        <v>536</v>
      </c>
      <c r="M3374" s="5">
        <f>IFERROR(__xludf.DUMMYFUNCTION("""COMPUTED_VALUE"""),1.0)</f>
        <v>1</v>
      </c>
    </row>
    <row r="3375">
      <c r="A3375" s="10" t="str">
        <f>IFERROR(__xludf.DUMMYFUNCTION("""COMPUTED_VALUE"""),"エアロムスク")</f>
        <v>エアロムスク</v>
      </c>
      <c r="B3375" s="10">
        <f>IFERROR(__xludf.DUMMYFUNCTION("""COMPUTED_VALUE"""),221.0)</f>
        <v>221</v>
      </c>
      <c r="C3375" s="10">
        <f>IFERROR(__xludf.DUMMYFUNCTION("""COMPUTED_VALUE"""),2604.0)</f>
        <v>2604</v>
      </c>
      <c r="D3375" s="5">
        <f>IFERROR(__xludf.DUMMYFUNCTION("""COMPUTED_VALUE"""),0.3189257238774654)</f>
        <v>0.3189257239</v>
      </c>
      <c r="E3375" s="5">
        <f>IFERROR(__xludf.DUMMYFUNCTION("""COMPUTED_VALUE"""),0.12421317666806546)</f>
        <v>0.1242131767</v>
      </c>
      <c r="F3375" s="5">
        <f>IFERROR(__xludf.DUMMYFUNCTION("""COMPUTED_VALUE"""),0.1980696600923206)</f>
        <v>0.1980696601</v>
      </c>
      <c r="G3375" s="5">
        <f>IFERROR(__xludf.DUMMYFUNCTION("""COMPUTED_VALUE"""),0.18254301300881243)</f>
        <v>0.182543013</v>
      </c>
      <c r="H3375" s="5">
        <f>IFERROR(__xludf.DUMMYFUNCTION("""COMPUTED_VALUE"""),0.5932203389830508)</f>
        <v>0.593220339</v>
      </c>
      <c r="I3375" s="11">
        <f>IFERROR(__xludf.DUMMYFUNCTION("""COMPUTED_VALUE"""),5670.338983050848)</f>
        <v>5670.338983</v>
      </c>
      <c r="J3375" s="10">
        <f>IFERROR(__xludf.DUMMYFUNCTION("""COMPUTED_VALUE"""),0.0)</f>
        <v>0</v>
      </c>
      <c r="K3375" s="5">
        <f>IFERROR(__xludf.DUMMYFUNCTION("""COMPUTED_VALUE"""),0.0)</f>
        <v>0</v>
      </c>
      <c r="L3375" s="10">
        <f>IFERROR(__xludf.DUMMYFUNCTION("""COMPUTED_VALUE"""),221.0)</f>
        <v>221</v>
      </c>
      <c r="M3375" s="5">
        <f>IFERROR(__xludf.DUMMYFUNCTION("""COMPUTED_VALUE"""),1.0)</f>
        <v>1</v>
      </c>
    </row>
    <row r="3376">
      <c r="A3376" s="10" t="str">
        <f>IFERROR(__xludf.DUMMYFUNCTION("""COMPUTED_VALUE"""),"AMKR")</f>
        <v>AMKR</v>
      </c>
      <c r="B3376" s="10">
        <f>IFERROR(__xludf.DUMMYFUNCTION("""COMPUTED_VALUE"""),194.0)</f>
        <v>194</v>
      </c>
      <c r="C3376" s="10">
        <f>IFERROR(__xludf.DUMMYFUNCTION("""COMPUTED_VALUE"""),2255.0)</f>
        <v>2255</v>
      </c>
      <c r="D3376" s="5">
        <f>IFERROR(__xludf.DUMMYFUNCTION("""COMPUTED_VALUE"""),0.3508005822416303)</f>
        <v>0.3508005822</v>
      </c>
      <c r="E3376" s="5">
        <f>IFERROR(__xludf.DUMMYFUNCTION("""COMPUTED_VALUE"""),0.12421154779233382)</f>
        <v>0.1242115478</v>
      </c>
      <c r="F3376" s="5">
        <f>IFERROR(__xludf.DUMMYFUNCTION("""COMPUTED_VALUE"""),0.19019893255701115)</f>
        <v>0.1901989326</v>
      </c>
      <c r="G3376" s="5">
        <f>IFERROR(__xludf.DUMMYFUNCTION("""COMPUTED_VALUE"""),0.16448326055312956)</f>
        <v>0.1644832606</v>
      </c>
      <c r="H3376" s="5">
        <f>IFERROR(__xludf.DUMMYFUNCTION("""COMPUTED_VALUE"""),0.5994897959183674)</f>
        <v>0.5994897959</v>
      </c>
      <c r="I3376" s="11">
        <f>IFERROR(__xludf.DUMMYFUNCTION("""COMPUTED_VALUE"""),5784.948979591837)</f>
        <v>5784.94898</v>
      </c>
      <c r="J3376" s="10">
        <f>IFERROR(__xludf.DUMMYFUNCTION("""COMPUTED_VALUE"""),2.0)</f>
        <v>2</v>
      </c>
      <c r="K3376" s="5">
        <f>IFERROR(__xludf.DUMMYFUNCTION("""COMPUTED_VALUE"""),0.010309278350515464)</f>
        <v>0.01030927835</v>
      </c>
      <c r="L3376" s="10">
        <f>IFERROR(__xludf.DUMMYFUNCTION("""COMPUTED_VALUE"""),194.0)</f>
        <v>194</v>
      </c>
      <c r="M3376" s="5">
        <f>IFERROR(__xludf.DUMMYFUNCTION("""COMPUTED_VALUE"""),1.0)</f>
        <v>1</v>
      </c>
    </row>
    <row r="3377">
      <c r="A3377" s="10" t="str">
        <f>IFERROR(__xludf.DUMMYFUNCTION("""COMPUTED_VALUE"""),"ppaaoo")</f>
        <v>ppaaoo</v>
      </c>
      <c r="B3377" s="10">
        <f>IFERROR(__xludf.DUMMYFUNCTION("""COMPUTED_VALUE"""),2701.0)</f>
        <v>2701</v>
      </c>
      <c r="C3377" s="10">
        <f>IFERROR(__xludf.DUMMYFUNCTION("""COMPUTED_VALUE"""),31789.0)</f>
        <v>31789</v>
      </c>
      <c r="D3377" s="5">
        <f>IFERROR(__xludf.DUMMYFUNCTION("""COMPUTED_VALUE"""),0.36870874587458746)</f>
        <v>0.3687087459</v>
      </c>
      <c r="E3377" s="5">
        <f>IFERROR(__xludf.DUMMYFUNCTION("""COMPUTED_VALUE"""),0.12420929592959296)</f>
        <v>0.1242092959</v>
      </c>
      <c r="F3377" s="5">
        <f>IFERROR(__xludf.DUMMYFUNCTION("""COMPUTED_VALUE"""),0.21221809680968096)</f>
        <v>0.2122180968</v>
      </c>
      <c r="G3377" s="5">
        <f>IFERROR(__xludf.DUMMYFUNCTION("""COMPUTED_VALUE"""),0.16536028602860287)</f>
        <v>0.165360286</v>
      </c>
      <c r="H3377" s="5">
        <f>IFERROR(__xludf.DUMMYFUNCTION("""COMPUTED_VALUE"""),0.5901506560829418)</f>
        <v>0.5901506561</v>
      </c>
      <c r="I3377" s="11">
        <f>IFERROR(__xludf.DUMMYFUNCTION("""COMPUTED_VALUE"""),5552.97262271181)</f>
        <v>5552.972623</v>
      </c>
      <c r="J3377" s="10">
        <f>IFERROR(__xludf.DUMMYFUNCTION("""COMPUTED_VALUE"""),7.0)</f>
        <v>7</v>
      </c>
      <c r="K3377" s="5">
        <f>IFERROR(__xludf.DUMMYFUNCTION("""COMPUTED_VALUE"""),0.00259163272861903)</f>
        <v>0.002591632729</v>
      </c>
      <c r="L3377" s="10">
        <f>IFERROR(__xludf.DUMMYFUNCTION("""COMPUTED_VALUE"""),2700.0)</f>
        <v>2700</v>
      </c>
      <c r="M3377" s="5">
        <f>IFERROR(__xludf.DUMMYFUNCTION("""COMPUTED_VALUE"""),0.9996297667530544)</f>
        <v>0.9996297668</v>
      </c>
    </row>
    <row r="3378">
      <c r="A3378" s="10" t="str">
        <f>IFERROR(__xludf.DUMMYFUNCTION("""COMPUTED_VALUE"""),"ふじお")</f>
        <v>ふじお</v>
      </c>
      <c r="B3378" s="10">
        <f>IFERROR(__xludf.DUMMYFUNCTION("""COMPUTED_VALUE"""),2741.0)</f>
        <v>2741</v>
      </c>
      <c r="C3378" s="10">
        <f>IFERROR(__xludf.DUMMYFUNCTION("""COMPUTED_VALUE"""),32290.0)</f>
        <v>32290</v>
      </c>
      <c r="D3378" s="5">
        <f>IFERROR(__xludf.DUMMYFUNCTION("""COMPUTED_VALUE"""),0.3296558259162747)</f>
        <v>0.3296558259</v>
      </c>
      <c r="E3378" s="5">
        <f>IFERROR(__xludf.DUMMYFUNCTION("""COMPUTED_VALUE"""),0.1242004805577177)</f>
        <v>0.1242004806</v>
      </c>
      <c r="F3378" s="5">
        <f>IFERROR(__xludf.DUMMYFUNCTION("""COMPUTED_VALUE"""),0.21652170970252801)</f>
        <v>0.2165217097</v>
      </c>
      <c r="G3378" s="5">
        <f>IFERROR(__xludf.DUMMYFUNCTION("""COMPUTED_VALUE"""),0.1900571931368236)</f>
        <v>0.1900571931</v>
      </c>
      <c r="H3378" s="5">
        <f>IFERROR(__xludf.DUMMYFUNCTION("""COMPUTED_VALUE"""),0.5867458580806502)</f>
        <v>0.5867458581</v>
      </c>
      <c r="I3378" s="11">
        <f>IFERROR(__xludf.DUMMYFUNCTION("""COMPUTED_VALUE"""),5594.607689903095)</f>
        <v>5594.60769</v>
      </c>
      <c r="J3378" s="10">
        <f>IFERROR(__xludf.DUMMYFUNCTION("""COMPUTED_VALUE"""),5.0)</f>
        <v>5</v>
      </c>
      <c r="K3378" s="5">
        <f>IFERROR(__xludf.DUMMYFUNCTION("""COMPUTED_VALUE"""),0.0018241517694272164)</f>
        <v>0.001824151769</v>
      </c>
      <c r="L3378" s="10">
        <f>IFERROR(__xludf.DUMMYFUNCTION("""COMPUTED_VALUE"""),2741.0)</f>
        <v>2741</v>
      </c>
      <c r="M3378" s="5">
        <f>IFERROR(__xludf.DUMMYFUNCTION("""COMPUTED_VALUE"""),1.0)</f>
        <v>1</v>
      </c>
    </row>
    <row r="3379">
      <c r="A3379" s="10" t="str">
        <f>IFERROR(__xludf.DUMMYFUNCTION("""COMPUTED_VALUE"""),"Naruka")</f>
        <v>Naruka</v>
      </c>
      <c r="B3379" s="10">
        <f>IFERROR(__xludf.DUMMYFUNCTION("""COMPUTED_VALUE"""),732.0)</f>
        <v>732</v>
      </c>
      <c r="C3379" s="10">
        <f>IFERROR(__xludf.DUMMYFUNCTION("""COMPUTED_VALUE"""),8695.0)</f>
        <v>8695</v>
      </c>
      <c r="D3379" s="5">
        <f>IFERROR(__xludf.DUMMYFUNCTION("""COMPUTED_VALUE"""),0.4287328896144669)</f>
        <v>0.4287328896</v>
      </c>
      <c r="E3379" s="5">
        <f>IFERROR(__xludf.DUMMYFUNCTION("""COMPUTED_VALUE"""),0.12419942232826824)</f>
        <v>0.1241994223</v>
      </c>
      <c r="F3379" s="5">
        <f>IFERROR(__xludf.DUMMYFUNCTION("""COMPUTED_VALUE"""),0.2136129599397212)</f>
        <v>0.2136129599</v>
      </c>
      <c r="G3379" s="5">
        <f>IFERROR(__xludf.DUMMYFUNCTION("""COMPUTED_VALUE"""),0.12696220017581314)</f>
        <v>0.1269622002</v>
      </c>
      <c r="H3379" s="5">
        <f>IFERROR(__xludf.DUMMYFUNCTION("""COMPUTED_VALUE"""),0.6219870664315109)</f>
        <v>0.6219870664</v>
      </c>
      <c r="I3379" s="11">
        <f>IFERROR(__xludf.DUMMYFUNCTION("""COMPUTED_VALUE"""),5016.696061140506)</f>
        <v>5016.696061</v>
      </c>
      <c r="J3379" s="10">
        <f>IFERROR(__xludf.DUMMYFUNCTION("""COMPUTED_VALUE"""),3.0)</f>
        <v>3</v>
      </c>
      <c r="K3379" s="5">
        <f>IFERROR(__xludf.DUMMYFUNCTION("""COMPUTED_VALUE"""),0.004098360655737705)</f>
        <v>0.004098360656</v>
      </c>
      <c r="L3379" s="10">
        <f>IFERROR(__xludf.DUMMYFUNCTION("""COMPUTED_VALUE"""),0.0)</f>
        <v>0</v>
      </c>
      <c r="M3379" s="5">
        <f>IFERROR(__xludf.DUMMYFUNCTION("""COMPUTED_VALUE"""),0.0)</f>
        <v>0</v>
      </c>
    </row>
    <row r="3380">
      <c r="A3380" s="10" t="str">
        <f>IFERROR(__xludf.DUMMYFUNCTION("""COMPUTED_VALUE"""),"あははは笑")</f>
        <v>あははは笑</v>
      </c>
      <c r="B3380" s="10">
        <f>IFERROR(__xludf.DUMMYFUNCTION("""COMPUTED_VALUE"""),118.0)</f>
        <v>118</v>
      </c>
      <c r="C3380" s="10">
        <f>IFERROR(__xludf.DUMMYFUNCTION("""COMPUTED_VALUE"""),1358.0)</f>
        <v>1358</v>
      </c>
      <c r="D3380" s="5">
        <f>IFERROR(__xludf.DUMMYFUNCTION("""COMPUTED_VALUE"""),0.3088709677419355)</f>
        <v>0.3088709677</v>
      </c>
      <c r="E3380" s="5">
        <f>IFERROR(__xludf.DUMMYFUNCTION("""COMPUTED_VALUE"""),0.12419354838709677)</f>
        <v>0.1241935484</v>
      </c>
      <c r="F3380" s="5">
        <f>IFERROR(__xludf.DUMMYFUNCTION("""COMPUTED_VALUE"""),0.17661290322580644)</f>
        <v>0.1766129032</v>
      </c>
      <c r="G3380" s="5">
        <f>IFERROR(__xludf.DUMMYFUNCTION("""COMPUTED_VALUE"""),0.17580645161290323)</f>
        <v>0.1758064516</v>
      </c>
      <c r="H3380" s="5">
        <f>IFERROR(__xludf.DUMMYFUNCTION("""COMPUTED_VALUE"""),0.5844748858447488)</f>
        <v>0.5844748858</v>
      </c>
      <c r="I3380" s="11">
        <f>IFERROR(__xludf.DUMMYFUNCTION("""COMPUTED_VALUE"""),5802.2831050228315)</f>
        <v>5802.283105</v>
      </c>
      <c r="J3380" s="10">
        <f>IFERROR(__xludf.DUMMYFUNCTION("""COMPUTED_VALUE"""),1.0)</f>
        <v>1</v>
      </c>
      <c r="K3380" s="5">
        <f>IFERROR(__xludf.DUMMYFUNCTION("""COMPUTED_VALUE"""),0.00847457627118644)</f>
        <v>0.008474576271</v>
      </c>
      <c r="L3380" s="10">
        <f>IFERROR(__xludf.DUMMYFUNCTION("""COMPUTED_VALUE"""),118.0)</f>
        <v>118</v>
      </c>
      <c r="M3380" s="5">
        <f>IFERROR(__xludf.DUMMYFUNCTION("""COMPUTED_VALUE"""),1.0)</f>
        <v>1</v>
      </c>
    </row>
    <row r="3381">
      <c r="A3381" s="10" t="str">
        <f>IFERROR(__xludf.DUMMYFUNCTION("""COMPUTED_VALUE"""),"正確には伯爵")</f>
        <v>正確には伯爵</v>
      </c>
      <c r="B3381" s="10">
        <f>IFERROR(__xludf.DUMMYFUNCTION("""COMPUTED_VALUE"""),114.0)</f>
        <v>114</v>
      </c>
      <c r="C3381" s="10">
        <f>IFERROR(__xludf.DUMMYFUNCTION("""COMPUTED_VALUE"""),1354.0)</f>
        <v>1354</v>
      </c>
      <c r="D3381" s="5">
        <f>IFERROR(__xludf.DUMMYFUNCTION("""COMPUTED_VALUE"""),0.35)</f>
        <v>0.35</v>
      </c>
      <c r="E3381" s="5">
        <f>IFERROR(__xludf.DUMMYFUNCTION("""COMPUTED_VALUE"""),0.12419354838709677)</f>
        <v>0.1241935484</v>
      </c>
      <c r="F3381" s="5">
        <f>IFERROR(__xludf.DUMMYFUNCTION("""COMPUTED_VALUE"""),0.19838709677419356)</f>
        <v>0.1983870968</v>
      </c>
      <c r="G3381" s="5">
        <f>IFERROR(__xludf.DUMMYFUNCTION("""COMPUTED_VALUE"""),0.15725806451612903)</f>
        <v>0.1572580645</v>
      </c>
      <c r="H3381" s="5">
        <f>IFERROR(__xludf.DUMMYFUNCTION("""COMPUTED_VALUE"""),0.5528455284552846)</f>
        <v>0.5528455285</v>
      </c>
      <c r="I3381" s="11">
        <f>IFERROR(__xludf.DUMMYFUNCTION("""COMPUTED_VALUE"""),5512.195121951219)</f>
        <v>5512.195122</v>
      </c>
      <c r="J3381" s="10">
        <f>IFERROR(__xludf.DUMMYFUNCTION("""COMPUTED_VALUE"""),0.0)</f>
        <v>0</v>
      </c>
      <c r="K3381" s="5">
        <f>IFERROR(__xludf.DUMMYFUNCTION("""COMPUTED_VALUE"""),0.0)</f>
        <v>0</v>
      </c>
      <c r="L3381" s="10">
        <f>IFERROR(__xludf.DUMMYFUNCTION("""COMPUTED_VALUE"""),0.0)</f>
        <v>0</v>
      </c>
      <c r="M3381" s="5">
        <f>IFERROR(__xludf.DUMMYFUNCTION("""COMPUTED_VALUE"""),0.0)</f>
        <v>0</v>
      </c>
    </row>
    <row r="3382">
      <c r="A3382" s="10" t="str">
        <f>IFERROR(__xludf.DUMMYFUNCTION("""COMPUTED_VALUE"""),"GYO")</f>
        <v>GYO</v>
      </c>
      <c r="B3382" s="10">
        <f>IFERROR(__xludf.DUMMYFUNCTION("""COMPUTED_VALUE"""),2574.0)</f>
        <v>2574</v>
      </c>
      <c r="C3382" s="10">
        <f>IFERROR(__xludf.DUMMYFUNCTION("""COMPUTED_VALUE"""),30080.0)</f>
        <v>30080</v>
      </c>
      <c r="D3382" s="5">
        <f>IFERROR(__xludf.DUMMYFUNCTION("""COMPUTED_VALUE"""),0.3253835526794154)</f>
        <v>0.3253835527</v>
      </c>
      <c r="E3382" s="5">
        <f>IFERROR(__xludf.DUMMYFUNCTION("""COMPUTED_VALUE"""),0.12419108558132771)</f>
        <v>0.1241910856</v>
      </c>
      <c r="F3382" s="5">
        <f>IFERROR(__xludf.DUMMYFUNCTION("""COMPUTED_VALUE"""),0.21206282265687487)</f>
        <v>0.2120628227</v>
      </c>
      <c r="G3382" s="5">
        <f>IFERROR(__xludf.DUMMYFUNCTION("""COMPUTED_VALUE"""),0.16320075619864757)</f>
        <v>0.1632007562</v>
      </c>
      <c r="H3382" s="5">
        <f>IFERROR(__xludf.DUMMYFUNCTION("""COMPUTED_VALUE"""),0.5919766843819647)</f>
        <v>0.5919766844</v>
      </c>
      <c r="I3382" s="11">
        <f>IFERROR(__xludf.DUMMYFUNCTION("""COMPUTED_VALUE"""),5764.975141436654)</f>
        <v>5764.975141</v>
      </c>
      <c r="J3382" s="10">
        <f>IFERROR(__xludf.DUMMYFUNCTION("""COMPUTED_VALUE"""),5.0)</f>
        <v>5</v>
      </c>
      <c r="K3382" s="5">
        <f>IFERROR(__xludf.DUMMYFUNCTION("""COMPUTED_VALUE"""),0.0019425019425019425)</f>
        <v>0.001942501943</v>
      </c>
      <c r="L3382" s="10">
        <f>IFERROR(__xludf.DUMMYFUNCTION("""COMPUTED_VALUE"""),2574.0)</f>
        <v>2574</v>
      </c>
      <c r="M3382" s="5">
        <f>IFERROR(__xludf.DUMMYFUNCTION("""COMPUTED_VALUE"""),1.0)</f>
        <v>1</v>
      </c>
    </row>
    <row r="3383">
      <c r="A3383" s="10" t="str">
        <f>IFERROR(__xludf.DUMMYFUNCTION("""COMPUTED_VALUE"""),"Purutan")</f>
        <v>Purutan</v>
      </c>
      <c r="B3383" s="10">
        <f>IFERROR(__xludf.DUMMYFUNCTION("""COMPUTED_VALUE"""),138.0)</f>
        <v>138</v>
      </c>
      <c r="C3383" s="10">
        <f>IFERROR(__xludf.DUMMYFUNCTION("""COMPUTED_VALUE"""),1652.0)</f>
        <v>1652</v>
      </c>
      <c r="D3383" s="5">
        <f>IFERROR(__xludf.DUMMYFUNCTION("""COMPUTED_VALUE"""),0.22324966974900926)</f>
        <v>0.2232496697</v>
      </c>
      <c r="E3383" s="5">
        <f>IFERROR(__xludf.DUMMYFUNCTION("""COMPUTED_VALUE"""),0.12417437252311757)</f>
        <v>0.1241743725</v>
      </c>
      <c r="F3383" s="5">
        <f>IFERROR(__xludf.DUMMYFUNCTION("""COMPUTED_VALUE"""),0.18428005284015853)</f>
        <v>0.1842800528</v>
      </c>
      <c r="G3383" s="5">
        <f>IFERROR(__xludf.DUMMYFUNCTION("""COMPUTED_VALUE"""),0.19484808454425362)</f>
        <v>0.1948480845</v>
      </c>
      <c r="H3383" s="5">
        <f>IFERROR(__xludf.DUMMYFUNCTION("""COMPUTED_VALUE"""),0.5591397849462365)</f>
        <v>0.5591397849</v>
      </c>
      <c r="I3383" s="11">
        <f>IFERROR(__xludf.DUMMYFUNCTION("""COMPUTED_VALUE"""),6232.616487455197)</f>
        <v>6232.616487</v>
      </c>
      <c r="J3383" s="10">
        <f>IFERROR(__xludf.DUMMYFUNCTION("""COMPUTED_VALUE"""),2.0)</f>
        <v>2</v>
      </c>
      <c r="K3383" s="5">
        <f>IFERROR(__xludf.DUMMYFUNCTION("""COMPUTED_VALUE"""),0.014492753623188406)</f>
        <v>0.01449275362</v>
      </c>
      <c r="L3383" s="10">
        <f>IFERROR(__xludf.DUMMYFUNCTION("""COMPUTED_VALUE"""),138.0)</f>
        <v>138</v>
      </c>
      <c r="M3383" s="5">
        <f>IFERROR(__xludf.DUMMYFUNCTION("""COMPUTED_VALUE"""),1.0)</f>
        <v>1</v>
      </c>
    </row>
    <row r="3384">
      <c r="A3384" s="10" t="str">
        <f>IFERROR(__xludf.DUMMYFUNCTION("""COMPUTED_VALUE"""),"tntnbrbr")</f>
        <v>tntnbrbr</v>
      </c>
      <c r="B3384" s="10">
        <f>IFERROR(__xludf.DUMMYFUNCTION("""COMPUTED_VALUE"""),934.0)</f>
        <v>934</v>
      </c>
      <c r="C3384" s="10">
        <f>IFERROR(__xludf.DUMMYFUNCTION("""COMPUTED_VALUE"""),10896.0)</f>
        <v>10896</v>
      </c>
      <c r="D3384" s="5">
        <f>IFERROR(__xludf.DUMMYFUNCTION("""COMPUTED_VALUE"""),0.3748243324633608)</f>
        <v>0.3748243325</v>
      </c>
      <c r="E3384" s="5">
        <f>IFERROR(__xludf.DUMMYFUNCTION("""COMPUTED_VALUE"""),0.12417185304155792)</f>
        <v>0.124171853</v>
      </c>
      <c r="F3384" s="5">
        <f>IFERROR(__xludf.DUMMYFUNCTION("""COMPUTED_VALUE"""),0.20899417787592853)</f>
        <v>0.2089941779</v>
      </c>
      <c r="G3384" s="5">
        <f>IFERROR(__xludf.DUMMYFUNCTION("""COMPUTED_VALUE"""),0.17426219634611523)</f>
        <v>0.1742621963</v>
      </c>
      <c r="H3384" s="5">
        <f>IFERROR(__xludf.DUMMYFUNCTION("""COMPUTED_VALUE"""),0.5946205571565802)</f>
        <v>0.5946205572</v>
      </c>
      <c r="I3384" s="11">
        <f>IFERROR(__xludf.DUMMYFUNCTION("""COMPUTED_VALUE"""),5848.751200768492)</f>
        <v>5848.751201</v>
      </c>
      <c r="J3384" s="10">
        <f>IFERROR(__xludf.DUMMYFUNCTION("""COMPUTED_VALUE"""),1.0)</f>
        <v>1</v>
      </c>
      <c r="K3384" s="5">
        <f>IFERROR(__xludf.DUMMYFUNCTION("""COMPUTED_VALUE"""),0.0010706638115631692)</f>
        <v>0.001070663812</v>
      </c>
      <c r="L3384" s="10">
        <f>IFERROR(__xludf.DUMMYFUNCTION("""COMPUTED_VALUE"""),909.0)</f>
        <v>909</v>
      </c>
      <c r="M3384" s="5">
        <f>IFERROR(__xludf.DUMMYFUNCTION("""COMPUTED_VALUE"""),0.9732334047109208)</f>
        <v>0.9732334047</v>
      </c>
    </row>
    <row r="3385">
      <c r="A3385" s="10" t="str">
        <f>IFERROR(__xludf.DUMMYFUNCTION("""COMPUTED_VALUE"""),"モイヒャン")</f>
        <v>モイヒャン</v>
      </c>
      <c r="B3385" s="10">
        <f>IFERROR(__xludf.DUMMYFUNCTION("""COMPUTED_VALUE"""),2380.0)</f>
        <v>2380</v>
      </c>
      <c r="C3385" s="10">
        <f>IFERROR(__xludf.DUMMYFUNCTION("""COMPUTED_VALUE"""),27716.0)</f>
        <v>27716</v>
      </c>
      <c r="D3385" s="5">
        <f>IFERROR(__xludf.DUMMYFUNCTION("""COMPUTED_VALUE"""),0.28445689927376067)</f>
        <v>0.2844568993</v>
      </c>
      <c r="E3385" s="5">
        <f>IFERROR(__xludf.DUMMYFUNCTION("""COMPUTED_VALUE"""),0.12417113988001263)</f>
        <v>0.1241711399</v>
      </c>
      <c r="F3385" s="5">
        <f>IFERROR(__xludf.DUMMYFUNCTION("""COMPUTED_VALUE"""),0.20184717398168614)</f>
        <v>0.201847174</v>
      </c>
      <c r="G3385" s="5">
        <f>IFERROR(__xludf.DUMMYFUNCTION("""COMPUTED_VALUE"""),0.18278339122197662)</f>
        <v>0.1827833912</v>
      </c>
      <c r="H3385" s="5">
        <f>IFERROR(__xludf.DUMMYFUNCTION("""COMPUTED_VALUE"""),0.5915134923738756)</f>
        <v>0.5915134924</v>
      </c>
      <c r="I3385" s="11">
        <f>IFERROR(__xludf.DUMMYFUNCTION("""COMPUTED_VALUE"""),5706.667970277669)</f>
        <v>5706.66797</v>
      </c>
      <c r="J3385" s="10">
        <f>IFERROR(__xludf.DUMMYFUNCTION("""COMPUTED_VALUE"""),1.0)</f>
        <v>1</v>
      </c>
      <c r="K3385" s="5">
        <f>IFERROR(__xludf.DUMMYFUNCTION("""COMPUTED_VALUE"""),4.201680672268908E-4)</f>
        <v>0.0004201680672</v>
      </c>
      <c r="L3385" s="10">
        <f>IFERROR(__xludf.DUMMYFUNCTION("""COMPUTED_VALUE"""),1001.0)</f>
        <v>1001</v>
      </c>
      <c r="M3385" s="5">
        <f>IFERROR(__xludf.DUMMYFUNCTION("""COMPUTED_VALUE"""),0.42058823529411765)</f>
        <v>0.4205882353</v>
      </c>
    </row>
    <row r="3386">
      <c r="A3386" s="10" t="str">
        <f>IFERROR(__xludf.DUMMYFUNCTION("""COMPUTED_VALUE"""),"だぐど")</f>
        <v>だぐど</v>
      </c>
      <c r="B3386" s="10">
        <f>IFERROR(__xludf.DUMMYFUNCTION("""COMPUTED_VALUE"""),723.0)</f>
        <v>723</v>
      </c>
      <c r="C3386" s="10">
        <f>IFERROR(__xludf.DUMMYFUNCTION("""COMPUTED_VALUE"""),8398.0)</f>
        <v>8398</v>
      </c>
      <c r="D3386" s="5">
        <f>IFERROR(__xludf.DUMMYFUNCTION("""COMPUTED_VALUE"""),0.33485342019543973)</f>
        <v>0.3348534202</v>
      </c>
      <c r="E3386" s="5">
        <f>IFERROR(__xludf.DUMMYFUNCTION("""COMPUTED_VALUE"""),0.12416938110749186)</f>
        <v>0.1241693811</v>
      </c>
      <c r="F3386" s="5">
        <f>IFERROR(__xludf.DUMMYFUNCTION("""COMPUTED_VALUE"""),0.19895765472312704)</f>
        <v>0.1989576547</v>
      </c>
      <c r="G3386" s="5">
        <f>IFERROR(__xludf.DUMMYFUNCTION("""COMPUTED_VALUE"""),0.14762214983713354)</f>
        <v>0.1476221498</v>
      </c>
      <c r="H3386" s="5">
        <f>IFERROR(__xludf.DUMMYFUNCTION("""COMPUTED_VALUE"""),0.6116568434839554)</f>
        <v>0.6116568435</v>
      </c>
      <c r="I3386" s="11">
        <f>IFERROR(__xludf.DUMMYFUNCTION("""COMPUTED_VALUE"""),5716.175507531107)</f>
        <v>5716.175508</v>
      </c>
      <c r="J3386" s="10">
        <f>IFERROR(__xludf.DUMMYFUNCTION("""COMPUTED_VALUE"""),2.0)</f>
        <v>2</v>
      </c>
      <c r="K3386" s="5">
        <f>IFERROR(__xludf.DUMMYFUNCTION("""COMPUTED_VALUE"""),0.0027662517289073307)</f>
        <v>0.002766251729</v>
      </c>
      <c r="L3386" s="10">
        <f>IFERROR(__xludf.DUMMYFUNCTION("""COMPUTED_VALUE"""),723.0)</f>
        <v>723</v>
      </c>
      <c r="M3386" s="5">
        <f>IFERROR(__xludf.DUMMYFUNCTION("""COMPUTED_VALUE"""),1.0)</f>
        <v>1</v>
      </c>
    </row>
    <row r="3387">
      <c r="A3387" s="10" t="str">
        <f>IFERROR(__xludf.DUMMYFUNCTION("""COMPUTED_VALUE"""),"見崎鳴ちゃん！")</f>
        <v>見崎鳴ちゃん！</v>
      </c>
      <c r="B3387" s="10">
        <f>IFERROR(__xludf.DUMMYFUNCTION("""COMPUTED_VALUE"""),1170.0)</f>
        <v>1170</v>
      </c>
      <c r="C3387" s="10">
        <f>IFERROR(__xludf.DUMMYFUNCTION("""COMPUTED_VALUE"""),14104.0)</f>
        <v>14104</v>
      </c>
      <c r="D3387" s="5">
        <f>IFERROR(__xludf.DUMMYFUNCTION("""COMPUTED_VALUE"""),0.39709293335395085)</f>
        <v>0.3970929334</v>
      </c>
      <c r="E3387" s="5">
        <f>IFERROR(__xludf.DUMMYFUNCTION("""COMPUTED_VALUE"""),0.12416885727539817)</f>
        <v>0.1241688573</v>
      </c>
      <c r="F3387" s="5">
        <f>IFERROR(__xludf.DUMMYFUNCTION("""COMPUTED_VALUE"""),0.21269522189577858)</f>
        <v>0.2126952219</v>
      </c>
      <c r="G3387" s="5">
        <f>IFERROR(__xludf.DUMMYFUNCTION("""COMPUTED_VALUE"""),0.14790474717798052)</f>
        <v>0.1479047472</v>
      </c>
      <c r="H3387" s="5">
        <f>IFERROR(__xludf.DUMMYFUNCTION("""COMPUTED_VALUE"""),0.5859687386404944)</f>
        <v>0.5859687386</v>
      </c>
      <c r="I3387" s="11">
        <f>IFERROR(__xludf.DUMMYFUNCTION("""COMPUTED_VALUE"""),5272.628135223555)</f>
        <v>5272.628135</v>
      </c>
      <c r="J3387" s="10">
        <f>IFERROR(__xludf.DUMMYFUNCTION("""COMPUTED_VALUE"""),1.0)</f>
        <v>1</v>
      </c>
      <c r="K3387" s="5">
        <f>IFERROR(__xludf.DUMMYFUNCTION("""COMPUTED_VALUE"""),8.547008547008547E-4)</f>
        <v>0.0008547008547</v>
      </c>
      <c r="L3387" s="10">
        <f>IFERROR(__xludf.DUMMYFUNCTION("""COMPUTED_VALUE"""),1170.0)</f>
        <v>1170</v>
      </c>
      <c r="M3387" s="5">
        <f>IFERROR(__xludf.DUMMYFUNCTION("""COMPUTED_VALUE"""),1.0)</f>
        <v>1</v>
      </c>
    </row>
    <row r="3388">
      <c r="A3388" s="10" t="str">
        <f>IFERROR(__xludf.DUMMYFUNCTION("""COMPUTED_VALUE"""),"凜堂耶々")</f>
        <v>凜堂耶々</v>
      </c>
      <c r="B3388" s="10">
        <f>IFERROR(__xludf.DUMMYFUNCTION("""COMPUTED_VALUE"""),277.0)</f>
        <v>277</v>
      </c>
      <c r="C3388" s="10">
        <f>IFERROR(__xludf.DUMMYFUNCTION("""COMPUTED_VALUE"""),3209.0)</f>
        <v>3209</v>
      </c>
      <c r="D3388" s="5">
        <f>IFERROR(__xludf.DUMMYFUNCTION("""COMPUTED_VALUE"""),0.4178035470668486)</f>
        <v>0.4178035471</v>
      </c>
      <c r="E3388" s="5">
        <f>IFERROR(__xludf.DUMMYFUNCTION("""COMPUTED_VALUE"""),0.12414733969986358)</f>
        <v>0.1241473397</v>
      </c>
      <c r="F3388" s="5">
        <f>IFERROR(__xludf.DUMMYFUNCTION("""COMPUTED_VALUE"""),0.21452933151432468)</f>
        <v>0.2145293315</v>
      </c>
      <c r="G3388" s="5">
        <f>IFERROR(__xludf.DUMMYFUNCTION("""COMPUTED_VALUE"""),0.18281036834924966)</f>
        <v>0.1828103683</v>
      </c>
      <c r="H3388" s="5">
        <f>IFERROR(__xludf.DUMMYFUNCTION("""COMPUTED_VALUE"""),0.5707472178060413)</f>
        <v>0.5707472178</v>
      </c>
      <c r="I3388" s="11">
        <f>IFERROR(__xludf.DUMMYFUNCTION("""COMPUTED_VALUE"""),5505.882352941177)</f>
        <v>5505.882353</v>
      </c>
      <c r="J3388" s="10">
        <f>IFERROR(__xludf.DUMMYFUNCTION("""COMPUTED_VALUE"""),0.0)</f>
        <v>0</v>
      </c>
      <c r="K3388" s="5">
        <f>IFERROR(__xludf.DUMMYFUNCTION("""COMPUTED_VALUE"""),0.0)</f>
        <v>0</v>
      </c>
      <c r="L3388" s="10">
        <f>IFERROR(__xludf.DUMMYFUNCTION("""COMPUTED_VALUE"""),277.0)</f>
        <v>277</v>
      </c>
      <c r="M3388" s="5">
        <f>IFERROR(__xludf.DUMMYFUNCTION("""COMPUTED_VALUE"""),1.0)</f>
        <v>1</v>
      </c>
    </row>
    <row r="3389">
      <c r="A3389" s="10" t="str">
        <f>IFERROR(__xludf.DUMMYFUNCTION("""COMPUTED_VALUE"""),"lubon")</f>
        <v>lubon</v>
      </c>
      <c r="B3389" s="10">
        <f>IFERROR(__xludf.DUMMYFUNCTION("""COMPUTED_VALUE"""),342.0)</f>
        <v>342</v>
      </c>
      <c r="C3389" s="10">
        <f>IFERROR(__xludf.DUMMYFUNCTION("""COMPUTED_VALUE"""),4112.0)</f>
        <v>4112</v>
      </c>
      <c r="D3389" s="5">
        <f>IFERROR(__xludf.DUMMYFUNCTION("""COMPUTED_VALUE"""),0.34615384615384615)</f>
        <v>0.3461538462</v>
      </c>
      <c r="E3389" s="5">
        <f>IFERROR(__xludf.DUMMYFUNCTION("""COMPUTED_VALUE"""),0.12413793103448276)</f>
        <v>0.124137931</v>
      </c>
      <c r="F3389" s="5">
        <f>IFERROR(__xludf.DUMMYFUNCTION("""COMPUTED_VALUE"""),0.19310344827586207)</f>
        <v>0.1931034483</v>
      </c>
      <c r="G3389" s="5">
        <f>IFERROR(__xludf.DUMMYFUNCTION("""COMPUTED_VALUE"""),0.15358090185676393)</f>
        <v>0.1535809019</v>
      </c>
      <c r="H3389" s="5">
        <f>IFERROR(__xludf.DUMMYFUNCTION("""COMPUTED_VALUE"""),0.5796703296703297)</f>
        <v>0.5796703297</v>
      </c>
      <c r="I3389" s="11">
        <f>IFERROR(__xludf.DUMMYFUNCTION("""COMPUTED_VALUE"""),5606.181318681319)</f>
        <v>5606.181319</v>
      </c>
      <c r="J3389" s="10">
        <f>IFERROR(__xludf.DUMMYFUNCTION("""COMPUTED_VALUE"""),2.0)</f>
        <v>2</v>
      </c>
      <c r="K3389" s="5">
        <f>IFERROR(__xludf.DUMMYFUNCTION("""COMPUTED_VALUE"""),0.005847953216374269)</f>
        <v>0.005847953216</v>
      </c>
      <c r="L3389" s="10">
        <f>IFERROR(__xludf.DUMMYFUNCTION("""COMPUTED_VALUE"""),342.0)</f>
        <v>342</v>
      </c>
      <c r="M3389" s="5">
        <f>IFERROR(__xludf.DUMMYFUNCTION("""COMPUTED_VALUE"""),1.0)</f>
        <v>1</v>
      </c>
    </row>
    <row r="3390">
      <c r="A3390" s="10" t="str">
        <f>IFERROR(__xludf.DUMMYFUNCTION("""COMPUTED_VALUE"""),"三麻はｋｓｇ")</f>
        <v>三麻はｋｓｇ</v>
      </c>
      <c r="B3390" s="10">
        <f>IFERROR(__xludf.DUMMYFUNCTION("""COMPUTED_VALUE"""),158.0)</f>
        <v>158</v>
      </c>
      <c r="C3390" s="10">
        <f>IFERROR(__xludf.DUMMYFUNCTION("""COMPUTED_VALUE"""),1882.0)</f>
        <v>1882</v>
      </c>
      <c r="D3390" s="5">
        <f>IFERROR(__xludf.DUMMYFUNCTION("""COMPUTED_VALUE"""),0.37412993039443154)</f>
        <v>0.3741299304</v>
      </c>
      <c r="E3390" s="5">
        <f>IFERROR(__xludf.DUMMYFUNCTION("""COMPUTED_VALUE"""),0.12412993039443156)</f>
        <v>0.1241299304</v>
      </c>
      <c r="F3390" s="5">
        <f>IFERROR(__xludf.DUMMYFUNCTION("""COMPUTED_VALUE"""),0.20707656612529002)</f>
        <v>0.2070765661</v>
      </c>
      <c r="G3390" s="5">
        <f>IFERROR(__xludf.DUMMYFUNCTION("""COMPUTED_VALUE"""),0.16241299303944315)</f>
        <v>0.162412993</v>
      </c>
      <c r="H3390" s="5">
        <f>IFERROR(__xludf.DUMMYFUNCTION("""COMPUTED_VALUE"""),0.5882352941176471)</f>
        <v>0.5882352941</v>
      </c>
      <c r="I3390" s="11">
        <f>IFERROR(__xludf.DUMMYFUNCTION("""COMPUTED_VALUE"""),5863.865546218487)</f>
        <v>5863.865546</v>
      </c>
      <c r="J3390" s="10">
        <f>IFERROR(__xludf.DUMMYFUNCTION("""COMPUTED_VALUE"""),0.0)</f>
        <v>0</v>
      </c>
      <c r="K3390" s="5">
        <f>IFERROR(__xludf.DUMMYFUNCTION("""COMPUTED_VALUE"""),0.0)</f>
        <v>0</v>
      </c>
      <c r="L3390" s="10">
        <f>IFERROR(__xludf.DUMMYFUNCTION("""COMPUTED_VALUE"""),158.0)</f>
        <v>158</v>
      </c>
      <c r="M3390" s="5">
        <f>IFERROR(__xludf.DUMMYFUNCTION("""COMPUTED_VALUE"""),1.0)</f>
        <v>1</v>
      </c>
    </row>
    <row r="3391">
      <c r="A3391" s="10" t="str">
        <f>IFERROR(__xludf.DUMMYFUNCTION("""COMPUTED_VALUE"""),"wadopro")</f>
        <v>wadopro</v>
      </c>
      <c r="B3391" s="10">
        <f>IFERROR(__xludf.DUMMYFUNCTION("""COMPUTED_VALUE"""),900.0)</f>
        <v>900</v>
      </c>
      <c r="C3391" s="10">
        <f>IFERROR(__xludf.DUMMYFUNCTION("""COMPUTED_VALUE"""),10503.0)</f>
        <v>10503</v>
      </c>
      <c r="D3391" s="5">
        <f>IFERROR(__xludf.DUMMYFUNCTION("""COMPUTED_VALUE"""),0.33208372383630114)</f>
        <v>0.3320837238</v>
      </c>
      <c r="E3391" s="5">
        <f>IFERROR(__xludf.DUMMYFUNCTION("""COMPUTED_VALUE"""),0.12412787670519629)</f>
        <v>0.1241278767</v>
      </c>
      <c r="F3391" s="5">
        <f>IFERROR(__xludf.DUMMYFUNCTION("""COMPUTED_VALUE"""),0.21378735811725502)</f>
        <v>0.2137873581</v>
      </c>
      <c r="G3391" s="5">
        <f>IFERROR(__xludf.DUMMYFUNCTION("""COMPUTED_VALUE"""),0.17379985421222535)</f>
        <v>0.1737998542</v>
      </c>
      <c r="H3391" s="5">
        <f>IFERROR(__xludf.DUMMYFUNCTION("""COMPUTED_VALUE"""),0.5879201169020944)</f>
        <v>0.5879201169</v>
      </c>
      <c r="I3391" s="11">
        <f>IFERROR(__xludf.DUMMYFUNCTION("""COMPUTED_VALUE"""),5556.697515830492)</f>
        <v>5556.697516</v>
      </c>
      <c r="J3391" s="10">
        <f>IFERROR(__xludf.DUMMYFUNCTION("""COMPUTED_VALUE"""),2.0)</f>
        <v>2</v>
      </c>
      <c r="K3391" s="5">
        <f>IFERROR(__xludf.DUMMYFUNCTION("""COMPUTED_VALUE"""),0.0022222222222222222)</f>
        <v>0.002222222222</v>
      </c>
      <c r="L3391" s="10">
        <f>IFERROR(__xludf.DUMMYFUNCTION("""COMPUTED_VALUE"""),900.0)</f>
        <v>900</v>
      </c>
      <c r="M3391" s="5">
        <f>IFERROR(__xludf.DUMMYFUNCTION("""COMPUTED_VALUE"""),1.0)</f>
        <v>1</v>
      </c>
    </row>
    <row r="3392">
      <c r="A3392" s="10" t="str">
        <f>IFERROR(__xludf.DUMMYFUNCTION("""COMPUTED_VALUE"""),"ダンテ")</f>
        <v>ダンテ</v>
      </c>
      <c r="B3392" s="10">
        <f>IFERROR(__xludf.DUMMYFUNCTION("""COMPUTED_VALUE"""),812.0)</f>
        <v>812</v>
      </c>
      <c r="C3392" s="10">
        <f>IFERROR(__xludf.DUMMYFUNCTION("""COMPUTED_VALUE"""),9553.0)</f>
        <v>9553</v>
      </c>
      <c r="D3392" s="5">
        <f>IFERROR(__xludf.DUMMYFUNCTION("""COMPUTED_VALUE"""),0.3597986500400412)</f>
        <v>0.35979865</v>
      </c>
      <c r="E3392" s="5">
        <f>IFERROR(__xludf.DUMMYFUNCTION("""COMPUTED_VALUE"""),0.1241276741791557)</f>
        <v>0.1241276742</v>
      </c>
      <c r="F3392" s="5">
        <f>IFERROR(__xludf.DUMMYFUNCTION("""COMPUTED_VALUE"""),0.21118865118407504)</f>
        <v>0.2111886512</v>
      </c>
      <c r="G3392" s="5">
        <f>IFERROR(__xludf.DUMMYFUNCTION("""COMPUTED_VALUE"""),0.1648552797162796)</f>
        <v>0.1648552797</v>
      </c>
      <c r="H3392" s="5">
        <f>IFERROR(__xludf.DUMMYFUNCTION("""COMPUTED_VALUE"""),0.6018418201516793)</f>
        <v>0.6018418202</v>
      </c>
      <c r="I3392" s="11">
        <f>IFERROR(__xludf.DUMMYFUNCTION("""COMPUTED_VALUE"""),5552.925243770314)</f>
        <v>5552.925244</v>
      </c>
      <c r="J3392" s="10">
        <f>IFERROR(__xludf.DUMMYFUNCTION("""COMPUTED_VALUE"""),3.0)</f>
        <v>3</v>
      </c>
      <c r="K3392" s="5">
        <f>IFERROR(__xludf.DUMMYFUNCTION("""COMPUTED_VALUE"""),0.003694581280788177)</f>
        <v>0.003694581281</v>
      </c>
      <c r="L3392" s="10">
        <f>IFERROR(__xludf.DUMMYFUNCTION("""COMPUTED_VALUE"""),748.0)</f>
        <v>748</v>
      </c>
      <c r="M3392" s="5">
        <f>IFERROR(__xludf.DUMMYFUNCTION("""COMPUTED_VALUE"""),0.9211822660098522)</f>
        <v>0.921182266</v>
      </c>
    </row>
    <row r="3393">
      <c r="A3393" s="10" t="str">
        <f>IFERROR(__xludf.DUMMYFUNCTION("""COMPUTED_VALUE"""),"ともきゅん♪")</f>
        <v>ともきゅん♪</v>
      </c>
      <c r="B3393" s="10">
        <f>IFERROR(__xludf.DUMMYFUNCTION("""COMPUTED_VALUE"""),1300.0)</f>
        <v>1300</v>
      </c>
      <c r="C3393" s="10">
        <f>IFERROR(__xludf.DUMMYFUNCTION("""COMPUTED_VALUE"""),15189.0)</f>
        <v>15189</v>
      </c>
      <c r="D3393" s="5">
        <f>IFERROR(__xludf.DUMMYFUNCTION("""COMPUTED_VALUE"""),0.32939736482108145)</f>
        <v>0.3293973648</v>
      </c>
      <c r="E3393" s="5">
        <f>IFERROR(__xludf.DUMMYFUNCTION("""COMPUTED_VALUE"""),0.12412700698394413)</f>
        <v>0.124127007</v>
      </c>
      <c r="F3393" s="5">
        <f>IFERROR(__xludf.DUMMYFUNCTION("""COMPUTED_VALUE"""),0.20195838433292534)</f>
        <v>0.2019583843</v>
      </c>
      <c r="G3393" s="5">
        <f>IFERROR(__xludf.DUMMYFUNCTION("""COMPUTED_VALUE"""),0.1609907120743034)</f>
        <v>0.1609907121</v>
      </c>
      <c r="H3393" s="5">
        <f>IFERROR(__xludf.DUMMYFUNCTION("""COMPUTED_VALUE"""),0.5907308377896613)</f>
        <v>0.5907308378</v>
      </c>
      <c r="I3393" s="11">
        <f>IFERROR(__xludf.DUMMYFUNCTION("""COMPUTED_VALUE"""),5535.080213903743)</f>
        <v>5535.080214</v>
      </c>
      <c r="J3393" s="10">
        <f>IFERROR(__xludf.DUMMYFUNCTION("""COMPUTED_VALUE"""),1.0)</f>
        <v>1</v>
      </c>
      <c r="K3393" s="5">
        <f>IFERROR(__xludf.DUMMYFUNCTION("""COMPUTED_VALUE"""),7.692307692307692E-4)</f>
        <v>0.0007692307692</v>
      </c>
      <c r="L3393" s="10">
        <f>IFERROR(__xludf.DUMMYFUNCTION("""COMPUTED_VALUE"""),65.0)</f>
        <v>65</v>
      </c>
      <c r="M3393" s="5">
        <f>IFERROR(__xludf.DUMMYFUNCTION("""COMPUTED_VALUE"""),0.05)</f>
        <v>0.05</v>
      </c>
    </row>
    <row r="3394">
      <c r="A3394" s="10" t="str">
        <f>IFERROR(__xludf.DUMMYFUNCTION("""COMPUTED_VALUE"""),"椎名りく")</f>
        <v>椎名りく</v>
      </c>
      <c r="B3394" s="10">
        <f>IFERROR(__xludf.DUMMYFUNCTION("""COMPUTED_VALUE"""),745.0)</f>
        <v>745</v>
      </c>
      <c r="C3394" s="10">
        <f>IFERROR(__xludf.DUMMYFUNCTION("""COMPUTED_VALUE"""),8681.0)</f>
        <v>8681</v>
      </c>
      <c r="D3394" s="5">
        <f>IFERROR(__xludf.DUMMYFUNCTION("""COMPUTED_VALUE"""),0.4196068548387097)</f>
        <v>0.4196068548</v>
      </c>
      <c r="E3394" s="5">
        <f>IFERROR(__xludf.DUMMYFUNCTION("""COMPUTED_VALUE"""),0.1241179435483871)</f>
        <v>0.1241179435</v>
      </c>
      <c r="F3394" s="5">
        <f>IFERROR(__xludf.DUMMYFUNCTION("""COMPUTED_VALUE"""),0.2256804435483871)</f>
        <v>0.2256804435</v>
      </c>
      <c r="G3394" s="5">
        <f>IFERROR(__xludf.DUMMYFUNCTION("""COMPUTED_VALUE"""),0.1866179435483871)</f>
        <v>0.1866179435</v>
      </c>
      <c r="H3394" s="5">
        <f>IFERROR(__xludf.DUMMYFUNCTION("""COMPUTED_VALUE"""),0.5996649916247906)</f>
        <v>0.5996649916</v>
      </c>
      <c r="I3394" s="11">
        <f>IFERROR(__xludf.DUMMYFUNCTION("""COMPUTED_VALUE"""),5452.037967615857)</f>
        <v>5452.037968</v>
      </c>
      <c r="J3394" s="10">
        <f>IFERROR(__xludf.DUMMYFUNCTION("""COMPUTED_VALUE"""),1.0)</f>
        <v>1</v>
      </c>
      <c r="K3394" s="5">
        <f>IFERROR(__xludf.DUMMYFUNCTION("""COMPUTED_VALUE"""),0.0013422818791946308)</f>
        <v>0.001342281879</v>
      </c>
      <c r="L3394" s="10">
        <f>IFERROR(__xludf.DUMMYFUNCTION("""COMPUTED_VALUE"""),458.0)</f>
        <v>458</v>
      </c>
      <c r="M3394" s="5">
        <f>IFERROR(__xludf.DUMMYFUNCTION("""COMPUTED_VALUE"""),0.614765100671141)</f>
        <v>0.6147651007</v>
      </c>
    </row>
    <row r="3395">
      <c r="A3395" s="10" t="str">
        <f>IFERROR(__xludf.DUMMYFUNCTION("""COMPUTED_VALUE"""),"ジギタリス")</f>
        <v>ジギタリス</v>
      </c>
      <c r="B3395" s="10">
        <f>IFERROR(__xludf.DUMMYFUNCTION("""COMPUTED_VALUE"""),1274.0)</f>
        <v>1274</v>
      </c>
      <c r="C3395" s="10">
        <f>IFERROR(__xludf.DUMMYFUNCTION("""COMPUTED_VALUE"""),14947.0)</f>
        <v>14947</v>
      </c>
      <c r="D3395" s="5">
        <f>IFERROR(__xludf.DUMMYFUNCTION("""COMPUTED_VALUE"""),0.38067724712937906)</f>
        <v>0.3806772471</v>
      </c>
      <c r="E3395" s="5">
        <f>IFERROR(__xludf.DUMMYFUNCTION("""COMPUTED_VALUE"""),0.12411321582681197)</f>
        <v>0.1241132158</v>
      </c>
      <c r="F3395" s="5">
        <f>IFERROR(__xludf.DUMMYFUNCTION("""COMPUTED_VALUE"""),0.19637241278431947)</f>
        <v>0.1963724128</v>
      </c>
      <c r="G3395" s="5">
        <f>IFERROR(__xludf.DUMMYFUNCTION("""COMPUTED_VALUE"""),0.14949169896877057)</f>
        <v>0.149491699</v>
      </c>
      <c r="H3395" s="5">
        <f>IFERROR(__xludf.DUMMYFUNCTION("""COMPUTED_VALUE"""),0.6007448789571694)</f>
        <v>0.600744879</v>
      </c>
      <c r="I3395" s="11">
        <f>IFERROR(__xludf.DUMMYFUNCTION("""COMPUTED_VALUE"""),5708.7895716945995)</f>
        <v>5708.789572</v>
      </c>
      <c r="J3395" s="10">
        <f>IFERROR(__xludf.DUMMYFUNCTION("""COMPUTED_VALUE"""),1.0)</f>
        <v>1</v>
      </c>
      <c r="K3395" s="5">
        <f>IFERROR(__xludf.DUMMYFUNCTION("""COMPUTED_VALUE"""),7.849293563579278E-4)</f>
        <v>0.0007849293564</v>
      </c>
      <c r="L3395" s="10">
        <f>IFERROR(__xludf.DUMMYFUNCTION("""COMPUTED_VALUE"""),1265.0)</f>
        <v>1265</v>
      </c>
      <c r="M3395" s="5">
        <f>IFERROR(__xludf.DUMMYFUNCTION("""COMPUTED_VALUE"""),0.9929356357927787)</f>
        <v>0.9929356358</v>
      </c>
    </row>
    <row r="3396">
      <c r="A3396" s="10" t="str">
        <f>IFERROR(__xludf.DUMMYFUNCTION("""COMPUTED_VALUE"""),"代打ちの神様")</f>
        <v>代打ちの神様</v>
      </c>
      <c r="B3396" s="10">
        <f>IFERROR(__xludf.DUMMYFUNCTION("""COMPUTED_VALUE"""),4961.0)</f>
        <v>4961</v>
      </c>
      <c r="C3396" s="10">
        <f>IFERROR(__xludf.DUMMYFUNCTION("""COMPUTED_VALUE"""),58058.0)</f>
        <v>58058</v>
      </c>
      <c r="D3396" s="5">
        <f>IFERROR(__xludf.DUMMYFUNCTION("""COMPUTED_VALUE"""),0.3202817484980319)</f>
        <v>0.3202817485</v>
      </c>
      <c r="E3396" s="5">
        <f>IFERROR(__xludf.DUMMYFUNCTION("""COMPUTED_VALUE"""),0.12411247339774376)</f>
        <v>0.1241124734</v>
      </c>
      <c r="F3396" s="5">
        <f>IFERROR(__xludf.DUMMYFUNCTION("""COMPUTED_VALUE"""),0.22174510800986874)</f>
        <v>0.221745108</v>
      </c>
      <c r="G3396" s="5">
        <f>IFERROR(__xludf.DUMMYFUNCTION("""COMPUTED_VALUE"""),0.18080117520763886)</f>
        <v>0.1808011752</v>
      </c>
      <c r="H3396" s="5">
        <f>IFERROR(__xludf.DUMMYFUNCTION("""COMPUTED_VALUE"""),0.6084593171394598)</f>
        <v>0.6084593171</v>
      </c>
      <c r="I3396" s="11">
        <f>IFERROR(__xludf.DUMMYFUNCTION("""COMPUTED_VALUE"""),5686.121963648718)</f>
        <v>5686.121964</v>
      </c>
      <c r="J3396" s="10">
        <f>IFERROR(__xludf.DUMMYFUNCTION("""COMPUTED_VALUE"""),12.0)</f>
        <v>12</v>
      </c>
      <c r="K3396" s="5">
        <f>IFERROR(__xludf.DUMMYFUNCTION("""COMPUTED_VALUE"""),0.0024188671638782503)</f>
        <v>0.002418867164</v>
      </c>
      <c r="L3396" s="10">
        <f>IFERROR(__xludf.DUMMYFUNCTION("""COMPUTED_VALUE"""),4960.0)</f>
        <v>4960</v>
      </c>
      <c r="M3396" s="5">
        <f>IFERROR(__xludf.DUMMYFUNCTION("""COMPUTED_VALUE"""),0.9997984277363435)</f>
        <v>0.9997984277</v>
      </c>
    </row>
    <row r="3397">
      <c r="A3397" s="10" t="str">
        <f>IFERROR(__xludf.DUMMYFUNCTION("""COMPUTED_VALUE"""),"bookerK")</f>
        <v>bookerK</v>
      </c>
      <c r="B3397" s="10">
        <f>IFERROR(__xludf.DUMMYFUNCTION("""COMPUTED_VALUE"""),331.0)</f>
        <v>331</v>
      </c>
      <c r="C3397" s="10">
        <f>IFERROR(__xludf.DUMMYFUNCTION("""COMPUTED_VALUE"""),3949.0)</f>
        <v>3949</v>
      </c>
      <c r="D3397" s="5">
        <f>IFERROR(__xludf.DUMMYFUNCTION("""COMPUTED_VALUE"""),0.3562741846323936)</f>
        <v>0.3562741846</v>
      </c>
      <c r="E3397" s="5">
        <f>IFERROR(__xludf.DUMMYFUNCTION("""COMPUTED_VALUE"""),0.12410171365395246)</f>
        <v>0.1241017137</v>
      </c>
      <c r="F3397" s="5">
        <f>IFERROR(__xludf.DUMMYFUNCTION("""COMPUTED_VALUE"""),0.18933112216694306)</f>
        <v>0.1893311222</v>
      </c>
      <c r="G3397" s="5">
        <f>IFERROR(__xludf.DUMMYFUNCTION("""COMPUTED_VALUE"""),0.16832504145936983)</f>
        <v>0.1683250415</v>
      </c>
      <c r="H3397" s="5">
        <f>IFERROR(__xludf.DUMMYFUNCTION("""COMPUTED_VALUE"""),0.6204379562043796)</f>
        <v>0.6204379562</v>
      </c>
      <c r="I3397" s="11">
        <f>IFERROR(__xludf.DUMMYFUNCTION("""COMPUTED_VALUE"""),5919.56204379562)</f>
        <v>5919.562044</v>
      </c>
      <c r="J3397" s="10">
        <f>IFERROR(__xludf.DUMMYFUNCTION("""COMPUTED_VALUE"""),0.0)</f>
        <v>0</v>
      </c>
      <c r="K3397" s="5">
        <f>IFERROR(__xludf.DUMMYFUNCTION("""COMPUTED_VALUE"""),0.0)</f>
        <v>0</v>
      </c>
      <c r="L3397" s="10">
        <f>IFERROR(__xludf.DUMMYFUNCTION("""COMPUTED_VALUE"""),331.0)</f>
        <v>331</v>
      </c>
      <c r="M3397" s="5">
        <f>IFERROR(__xludf.DUMMYFUNCTION("""COMPUTED_VALUE"""),1.0)</f>
        <v>1</v>
      </c>
    </row>
    <row r="3398">
      <c r="A3398" s="10" t="str">
        <f>IFERROR(__xludf.DUMMYFUNCTION("""COMPUTED_VALUE"""),"芋＠０８’")</f>
        <v>芋＠０８’</v>
      </c>
      <c r="B3398" s="10">
        <f>IFERROR(__xludf.DUMMYFUNCTION("""COMPUTED_VALUE"""),430.0)</f>
        <v>430</v>
      </c>
      <c r="C3398" s="10">
        <f>IFERROR(__xludf.DUMMYFUNCTION("""COMPUTED_VALUE"""),5152.0)</f>
        <v>5152</v>
      </c>
      <c r="D3398" s="5">
        <f>IFERROR(__xludf.DUMMYFUNCTION("""COMPUTED_VALUE"""),0.36658195679796696)</f>
        <v>0.3665819568</v>
      </c>
      <c r="E3398" s="5">
        <f>IFERROR(__xludf.DUMMYFUNCTION("""COMPUTED_VALUE"""),0.12409995764506565)</f>
        <v>0.1240999576</v>
      </c>
      <c r="F3398" s="5">
        <f>IFERROR(__xludf.DUMMYFUNCTION("""COMPUTED_VALUE"""),0.21008047437526473)</f>
        <v>0.2100804744</v>
      </c>
      <c r="G3398" s="5">
        <f>IFERROR(__xludf.DUMMYFUNCTION("""COMPUTED_VALUE"""),0.16476069462092333)</f>
        <v>0.1647606946</v>
      </c>
      <c r="H3398" s="5">
        <f>IFERROR(__xludf.DUMMYFUNCTION("""COMPUTED_VALUE"""),0.5856854838709677)</f>
        <v>0.5856854839</v>
      </c>
      <c r="I3398" s="11">
        <f>IFERROR(__xludf.DUMMYFUNCTION("""COMPUTED_VALUE"""),5422.479838709677)</f>
        <v>5422.479839</v>
      </c>
      <c r="J3398" s="10">
        <f>IFERROR(__xludf.DUMMYFUNCTION("""COMPUTED_VALUE"""),1.0)</f>
        <v>1</v>
      </c>
      <c r="K3398" s="5">
        <f>IFERROR(__xludf.DUMMYFUNCTION("""COMPUTED_VALUE"""),0.002325581395348837)</f>
        <v>0.002325581395</v>
      </c>
      <c r="L3398" s="10">
        <f>IFERROR(__xludf.DUMMYFUNCTION("""COMPUTED_VALUE"""),430.0)</f>
        <v>430</v>
      </c>
      <c r="M3398" s="5">
        <f>IFERROR(__xludf.DUMMYFUNCTION("""COMPUTED_VALUE"""),1.0)</f>
        <v>1</v>
      </c>
    </row>
    <row r="3399">
      <c r="A3399" s="10" t="str">
        <f>IFERROR(__xludf.DUMMYFUNCTION("""COMPUTED_VALUE"""),"キュアエース")</f>
        <v>キュアエース</v>
      </c>
      <c r="B3399" s="10">
        <f>IFERROR(__xludf.DUMMYFUNCTION("""COMPUTED_VALUE"""),949.0)</f>
        <v>949</v>
      </c>
      <c r="C3399" s="10">
        <f>IFERROR(__xludf.DUMMYFUNCTION("""COMPUTED_VALUE"""),11215.0)</f>
        <v>11215</v>
      </c>
      <c r="D3399" s="5">
        <f>IFERROR(__xludf.DUMMYFUNCTION("""COMPUTED_VALUE"""),0.39353204753555426)</f>
        <v>0.3935320475</v>
      </c>
      <c r="E3399" s="5">
        <f>IFERROR(__xludf.DUMMYFUNCTION("""COMPUTED_VALUE"""),0.12409896746541983)</f>
        <v>0.1240989675</v>
      </c>
      <c r="F3399" s="5">
        <f>IFERROR(__xludf.DUMMYFUNCTION("""COMPUTED_VALUE"""),0.21907266705630235)</f>
        <v>0.2190726671</v>
      </c>
      <c r="G3399" s="5">
        <f>IFERROR(__xludf.DUMMYFUNCTION("""COMPUTED_VALUE"""),0.16608221313072277)</f>
        <v>0.1660822131</v>
      </c>
      <c r="H3399" s="5">
        <f>IFERROR(__xludf.DUMMYFUNCTION("""COMPUTED_VALUE"""),0.5993775011116051)</f>
        <v>0.5993775011</v>
      </c>
      <c r="I3399" s="11">
        <f>IFERROR(__xludf.DUMMYFUNCTION("""COMPUTED_VALUE"""),5345.975989328591)</f>
        <v>5345.975989</v>
      </c>
      <c r="J3399" s="10">
        <f>IFERROR(__xludf.DUMMYFUNCTION("""COMPUTED_VALUE"""),2.0)</f>
        <v>2</v>
      </c>
      <c r="K3399" s="5">
        <f>IFERROR(__xludf.DUMMYFUNCTION("""COMPUTED_VALUE"""),0.002107481559536354)</f>
        <v>0.00210748156</v>
      </c>
      <c r="L3399" s="10">
        <f>IFERROR(__xludf.DUMMYFUNCTION("""COMPUTED_VALUE"""),0.0)</f>
        <v>0</v>
      </c>
      <c r="M3399" s="5">
        <f>IFERROR(__xludf.DUMMYFUNCTION("""COMPUTED_VALUE"""),0.0)</f>
        <v>0</v>
      </c>
    </row>
    <row r="3400">
      <c r="A3400" s="10" t="str">
        <f>IFERROR(__xludf.DUMMYFUNCTION("""COMPUTED_VALUE"""),"yassan")</f>
        <v>yassan</v>
      </c>
      <c r="B3400" s="10">
        <f>IFERROR(__xludf.DUMMYFUNCTION("""COMPUTED_VALUE"""),386.0)</f>
        <v>386</v>
      </c>
      <c r="C3400" s="10">
        <f>IFERROR(__xludf.DUMMYFUNCTION("""COMPUTED_VALUE"""),4536.0)</f>
        <v>4536</v>
      </c>
      <c r="D3400" s="5">
        <f>IFERROR(__xludf.DUMMYFUNCTION("""COMPUTED_VALUE"""),0.36987951807228914)</f>
        <v>0.3698795181</v>
      </c>
      <c r="E3400" s="5">
        <f>IFERROR(__xludf.DUMMYFUNCTION("""COMPUTED_VALUE"""),0.12409638554216867)</f>
        <v>0.1240963855</v>
      </c>
      <c r="F3400" s="5">
        <f>IFERROR(__xludf.DUMMYFUNCTION("""COMPUTED_VALUE"""),0.22192771084337348)</f>
        <v>0.2219277108</v>
      </c>
      <c r="G3400" s="5">
        <f>IFERROR(__xludf.DUMMYFUNCTION("""COMPUTED_VALUE"""),0.16072289156626507)</f>
        <v>0.1607228916</v>
      </c>
      <c r="H3400" s="5">
        <f>IFERROR(__xludf.DUMMYFUNCTION("""COMPUTED_VALUE"""),0.6026058631921825)</f>
        <v>0.6026058632</v>
      </c>
      <c r="I3400" s="11">
        <f>IFERROR(__xludf.DUMMYFUNCTION("""COMPUTED_VALUE"""),5718.892508143323)</f>
        <v>5718.892508</v>
      </c>
      <c r="J3400" s="10">
        <f>IFERROR(__xludf.DUMMYFUNCTION("""COMPUTED_VALUE"""),2.0)</f>
        <v>2</v>
      </c>
      <c r="K3400" s="5">
        <f>IFERROR(__xludf.DUMMYFUNCTION("""COMPUTED_VALUE"""),0.0051813471502590676)</f>
        <v>0.00518134715</v>
      </c>
      <c r="L3400" s="10">
        <f>IFERROR(__xludf.DUMMYFUNCTION("""COMPUTED_VALUE"""),386.0)</f>
        <v>386</v>
      </c>
      <c r="M3400" s="5">
        <f>IFERROR(__xludf.DUMMYFUNCTION("""COMPUTED_VALUE"""),1.0)</f>
        <v>1</v>
      </c>
    </row>
    <row r="3401">
      <c r="A3401" s="10" t="str">
        <f>IFERROR(__xludf.DUMMYFUNCTION("""COMPUTED_VALUE"""),"鳩りゅうくん")</f>
        <v>鳩りゅうくん</v>
      </c>
      <c r="B3401" s="10">
        <f>IFERROR(__xludf.DUMMYFUNCTION("""COMPUTED_VALUE"""),1593.0)</f>
        <v>1593</v>
      </c>
      <c r="C3401" s="10">
        <f>IFERROR(__xludf.DUMMYFUNCTION("""COMPUTED_VALUE"""),18613.0)</f>
        <v>18613</v>
      </c>
      <c r="D3401" s="5">
        <f>IFERROR(__xludf.DUMMYFUNCTION("""COMPUTED_VALUE"""),0.3010575793184489)</f>
        <v>0.3010575793</v>
      </c>
      <c r="E3401" s="5">
        <f>IFERROR(__xludf.DUMMYFUNCTION("""COMPUTED_VALUE"""),0.12408930669800235)</f>
        <v>0.1240893067</v>
      </c>
      <c r="F3401" s="5">
        <f>IFERROR(__xludf.DUMMYFUNCTION("""COMPUTED_VALUE"""),0.19847238542890716)</f>
        <v>0.1984723854</v>
      </c>
      <c r="G3401" s="5">
        <f>IFERROR(__xludf.DUMMYFUNCTION("""COMPUTED_VALUE"""),0.13490011750881317)</f>
        <v>0.1349001175</v>
      </c>
      <c r="H3401" s="5">
        <f>IFERROR(__xludf.DUMMYFUNCTION("""COMPUTED_VALUE"""),0.605683836589698)</f>
        <v>0.6056838366</v>
      </c>
      <c r="I3401" s="11">
        <f>IFERROR(__xludf.DUMMYFUNCTION("""COMPUTED_VALUE"""),5685.109532267614)</f>
        <v>5685.109532</v>
      </c>
      <c r="J3401" s="10">
        <f>IFERROR(__xludf.DUMMYFUNCTION("""COMPUTED_VALUE"""),4.0)</f>
        <v>4</v>
      </c>
      <c r="K3401" s="5">
        <f>IFERROR(__xludf.DUMMYFUNCTION("""COMPUTED_VALUE"""),0.0025109855618330196)</f>
        <v>0.002510985562</v>
      </c>
      <c r="L3401" s="10">
        <f>IFERROR(__xludf.DUMMYFUNCTION("""COMPUTED_VALUE"""),1593.0)</f>
        <v>1593</v>
      </c>
      <c r="M3401" s="5">
        <f>IFERROR(__xludf.DUMMYFUNCTION("""COMPUTED_VALUE"""),1.0)</f>
        <v>1</v>
      </c>
    </row>
    <row r="3402">
      <c r="A3402" s="10" t="str">
        <f>IFERROR(__xludf.DUMMYFUNCTION("""COMPUTED_VALUE"""),"（*^◯^*）")</f>
        <v>（*^◯^*）</v>
      </c>
      <c r="B3402" s="10">
        <f>IFERROR(__xludf.DUMMYFUNCTION("""COMPUTED_VALUE"""),129.0)</f>
        <v>129</v>
      </c>
      <c r="C3402" s="10">
        <f>IFERROR(__xludf.DUMMYFUNCTION("""COMPUTED_VALUE"""),1499.0)</f>
        <v>1499</v>
      </c>
      <c r="D3402" s="5">
        <f>IFERROR(__xludf.DUMMYFUNCTION("""COMPUTED_VALUE"""),0.28029197080291973)</f>
        <v>0.2802919708</v>
      </c>
      <c r="E3402" s="5">
        <f>IFERROR(__xludf.DUMMYFUNCTION("""COMPUTED_VALUE"""),0.12408759124087591)</f>
        <v>0.1240875912</v>
      </c>
      <c r="F3402" s="5">
        <f>IFERROR(__xludf.DUMMYFUNCTION("""COMPUTED_VALUE"""),0.20145985401459854)</f>
        <v>0.201459854</v>
      </c>
      <c r="G3402" s="5">
        <f>IFERROR(__xludf.DUMMYFUNCTION("""COMPUTED_VALUE"""),0.17007299270072992)</f>
        <v>0.1700729927</v>
      </c>
      <c r="H3402" s="5">
        <f>IFERROR(__xludf.DUMMYFUNCTION("""COMPUTED_VALUE"""),0.5615942028985508)</f>
        <v>0.5615942029</v>
      </c>
      <c r="I3402" s="11">
        <f>IFERROR(__xludf.DUMMYFUNCTION("""COMPUTED_VALUE"""),5838.04347826087)</f>
        <v>5838.043478</v>
      </c>
      <c r="J3402" s="10">
        <f>IFERROR(__xludf.DUMMYFUNCTION("""COMPUTED_VALUE"""),0.0)</f>
        <v>0</v>
      </c>
      <c r="K3402" s="5">
        <f>IFERROR(__xludf.DUMMYFUNCTION("""COMPUTED_VALUE"""),0.0)</f>
        <v>0</v>
      </c>
      <c r="L3402" s="10">
        <f>IFERROR(__xludf.DUMMYFUNCTION("""COMPUTED_VALUE"""),129.0)</f>
        <v>129</v>
      </c>
      <c r="M3402" s="5">
        <f>IFERROR(__xludf.DUMMYFUNCTION("""COMPUTED_VALUE"""),1.0)</f>
        <v>1</v>
      </c>
    </row>
    <row r="3403">
      <c r="A3403" s="10" t="str">
        <f>IFERROR(__xludf.DUMMYFUNCTION("""COMPUTED_VALUE"""),"KKD")</f>
        <v>KKD</v>
      </c>
      <c r="B3403" s="10">
        <f>IFERROR(__xludf.DUMMYFUNCTION("""COMPUTED_VALUE"""),1686.0)</f>
        <v>1686</v>
      </c>
      <c r="C3403" s="10">
        <f>IFERROR(__xludf.DUMMYFUNCTION("""COMPUTED_VALUE"""),19351.0)</f>
        <v>19351</v>
      </c>
      <c r="D3403" s="5">
        <f>IFERROR(__xludf.DUMMYFUNCTION("""COMPUTED_VALUE"""),0.33665440135861874)</f>
        <v>0.3366544014</v>
      </c>
      <c r="E3403" s="5">
        <f>IFERROR(__xludf.DUMMYFUNCTION("""COMPUTED_VALUE"""),0.12408717803566374)</f>
        <v>0.124087178</v>
      </c>
      <c r="F3403" s="5">
        <f>IFERROR(__xludf.DUMMYFUNCTION("""COMPUTED_VALUE"""),0.22411548259269742)</f>
        <v>0.2241154826</v>
      </c>
      <c r="G3403" s="5">
        <f>IFERROR(__xludf.DUMMYFUNCTION("""COMPUTED_VALUE"""),0.2103028587602604)</f>
        <v>0.2103028588</v>
      </c>
      <c r="H3403" s="5">
        <f>IFERROR(__xludf.DUMMYFUNCTION("""COMPUTED_VALUE"""),0.6254104571861582)</f>
        <v>0.6254104572</v>
      </c>
      <c r="I3403" s="11">
        <f>IFERROR(__xludf.DUMMYFUNCTION("""COMPUTED_VALUE"""),5778.125789340743)</f>
        <v>5778.125789</v>
      </c>
      <c r="J3403" s="10">
        <f>IFERROR(__xludf.DUMMYFUNCTION("""COMPUTED_VALUE"""),3.0)</f>
        <v>3</v>
      </c>
      <c r="K3403" s="5">
        <f>IFERROR(__xludf.DUMMYFUNCTION("""COMPUTED_VALUE"""),0.0017793594306049821)</f>
        <v>0.001779359431</v>
      </c>
      <c r="L3403" s="10">
        <f>IFERROR(__xludf.DUMMYFUNCTION("""COMPUTED_VALUE"""),1686.0)</f>
        <v>1686</v>
      </c>
      <c r="M3403" s="5">
        <f>IFERROR(__xludf.DUMMYFUNCTION("""COMPUTED_VALUE"""),1.0)</f>
        <v>1</v>
      </c>
    </row>
    <row r="3404">
      <c r="A3404" s="10" t="str">
        <f>IFERROR(__xludf.DUMMYFUNCTION("""COMPUTED_VALUE"""),"daaaaaaa")</f>
        <v>daaaaaaa</v>
      </c>
      <c r="B3404" s="10">
        <f>IFERROR(__xludf.DUMMYFUNCTION("""COMPUTED_VALUE"""),379.0)</f>
        <v>379</v>
      </c>
      <c r="C3404" s="10">
        <f>IFERROR(__xludf.DUMMYFUNCTION("""COMPUTED_VALUE"""),4481.0)</f>
        <v>4481</v>
      </c>
      <c r="D3404" s="5">
        <f>IFERROR(__xludf.DUMMYFUNCTION("""COMPUTED_VALUE"""),0.393954168698196)</f>
        <v>0.3939541687</v>
      </c>
      <c r="E3404" s="5">
        <f>IFERROR(__xludf.DUMMYFUNCTION("""COMPUTED_VALUE"""),0.12408581179912238)</f>
        <v>0.1240858118</v>
      </c>
      <c r="F3404" s="5">
        <f>IFERROR(__xludf.DUMMYFUNCTION("""COMPUTED_VALUE"""),0.2098976109215017)</f>
        <v>0.2098976109</v>
      </c>
      <c r="G3404" s="5">
        <f>IFERROR(__xludf.DUMMYFUNCTION("""COMPUTED_VALUE"""),0.17113603120429058)</f>
        <v>0.1711360312</v>
      </c>
      <c r="H3404" s="5">
        <f>IFERROR(__xludf.DUMMYFUNCTION("""COMPUTED_VALUE"""),0.5923344947735192)</f>
        <v>0.5923344948</v>
      </c>
      <c r="I3404" s="11">
        <f>IFERROR(__xludf.DUMMYFUNCTION("""COMPUTED_VALUE"""),5179.674796747968)</f>
        <v>5179.674797</v>
      </c>
      <c r="J3404" s="10">
        <f>IFERROR(__xludf.DUMMYFUNCTION("""COMPUTED_VALUE"""),1.0)</f>
        <v>1</v>
      </c>
      <c r="K3404" s="5">
        <f>IFERROR(__xludf.DUMMYFUNCTION("""COMPUTED_VALUE"""),0.002638522427440633)</f>
        <v>0.002638522427</v>
      </c>
      <c r="L3404" s="10">
        <f>IFERROR(__xludf.DUMMYFUNCTION("""COMPUTED_VALUE"""),294.0)</f>
        <v>294</v>
      </c>
      <c r="M3404" s="5">
        <f>IFERROR(__xludf.DUMMYFUNCTION("""COMPUTED_VALUE"""),0.7757255936675461)</f>
        <v>0.7757255937</v>
      </c>
    </row>
    <row r="3405">
      <c r="A3405" s="10" t="str">
        <f>IFERROR(__xludf.DUMMYFUNCTION("""COMPUTED_VALUE"""),"gijyutu")</f>
        <v>gijyutu</v>
      </c>
      <c r="B3405" s="10">
        <f>IFERROR(__xludf.DUMMYFUNCTION("""COMPUTED_VALUE"""),2900.0)</f>
        <v>2900</v>
      </c>
      <c r="C3405" s="10">
        <f>IFERROR(__xludf.DUMMYFUNCTION("""COMPUTED_VALUE"""),34234.0)</f>
        <v>34234</v>
      </c>
      <c r="D3405" s="5">
        <f>IFERROR(__xludf.DUMMYFUNCTION("""COMPUTED_VALUE"""),0.38373651624433525)</f>
        <v>0.3837365162</v>
      </c>
      <c r="E3405" s="5">
        <f>IFERROR(__xludf.DUMMYFUNCTION("""COMPUTED_VALUE"""),0.12408246633050361)</f>
        <v>0.1240824663</v>
      </c>
      <c r="F3405" s="5">
        <f>IFERROR(__xludf.DUMMYFUNCTION("""COMPUTED_VALUE"""),0.20948490457649838)</f>
        <v>0.2094849046</v>
      </c>
      <c r="G3405" s="5">
        <f>IFERROR(__xludf.DUMMYFUNCTION("""COMPUTED_VALUE"""),0.15606050935086488)</f>
        <v>0.1560605094</v>
      </c>
      <c r="H3405" s="5">
        <f>IFERROR(__xludf.DUMMYFUNCTION("""COMPUTED_VALUE"""),0.6180682510664229)</f>
        <v>0.6180682511</v>
      </c>
      <c r="I3405" s="11">
        <f>IFERROR(__xludf.DUMMYFUNCTION("""COMPUTED_VALUE"""),5645.307739183425)</f>
        <v>5645.307739</v>
      </c>
      <c r="J3405" s="10">
        <f>IFERROR(__xludf.DUMMYFUNCTION("""COMPUTED_VALUE"""),5.0)</f>
        <v>5</v>
      </c>
      <c r="K3405" s="5">
        <f>IFERROR(__xludf.DUMMYFUNCTION("""COMPUTED_VALUE"""),0.0017241379310344827)</f>
        <v>0.001724137931</v>
      </c>
      <c r="L3405" s="10">
        <f>IFERROR(__xludf.DUMMYFUNCTION("""COMPUTED_VALUE"""),2900.0)</f>
        <v>2900</v>
      </c>
      <c r="M3405" s="5">
        <f>IFERROR(__xludf.DUMMYFUNCTION("""COMPUTED_VALUE"""),1.0)</f>
        <v>1</v>
      </c>
    </row>
    <row r="3406">
      <c r="A3406" s="10" t="str">
        <f>IFERROR(__xludf.DUMMYFUNCTION("""COMPUTED_VALUE"""),"Kate2")</f>
        <v>Kate2</v>
      </c>
      <c r="B3406" s="10">
        <f>IFERROR(__xludf.DUMMYFUNCTION("""COMPUTED_VALUE"""),501.0)</f>
        <v>501</v>
      </c>
      <c r="C3406" s="10">
        <f>IFERROR(__xludf.DUMMYFUNCTION("""COMPUTED_VALUE"""),5804.0)</f>
        <v>5804</v>
      </c>
      <c r="D3406" s="5">
        <f>IFERROR(__xludf.DUMMYFUNCTION("""COMPUTED_VALUE"""),0.33848764850084856)</f>
        <v>0.3384876485</v>
      </c>
      <c r="E3406" s="5">
        <f>IFERROR(__xludf.DUMMYFUNCTION("""COMPUTED_VALUE"""),0.12408070903262304)</f>
        <v>0.124080709</v>
      </c>
      <c r="F3406" s="5">
        <f>IFERROR(__xludf.DUMMYFUNCTION("""COMPUTED_VALUE"""),0.19837827644729397)</f>
        <v>0.1983782764</v>
      </c>
      <c r="G3406" s="5">
        <f>IFERROR(__xludf.DUMMYFUNCTION("""COMPUTED_VALUE"""),0.16141806524608712)</f>
        <v>0.1614180652</v>
      </c>
      <c r="H3406" s="5">
        <f>IFERROR(__xludf.DUMMYFUNCTION("""COMPUTED_VALUE"""),0.5769961977186312)</f>
        <v>0.5769961977</v>
      </c>
      <c r="I3406" s="11">
        <f>IFERROR(__xludf.DUMMYFUNCTION("""COMPUTED_VALUE"""),5958.174904942965)</f>
        <v>5958.174905</v>
      </c>
      <c r="J3406" s="10">
        <f>IFERROR(__xludf.DUMMYFUNCTION("""COMPUTED_VALUE"""),1.0)</f>
        <v>1</v>
      </c>
      <c r="K3406" s="5">
        <f>IFERROR(__xludf.DUMMYFUNCTION("""COMPUTED_VALUE"""),0.001996007984031936)</f>
        <v>0.001996007984</v>
      </c>
      <c r="L3406" s="10">
        <f>IFERROR(__xludf.DUMMYFUNCTION("""COMPUTED_VALUE"""),501.0)</f>
        <v>501</v>
      </c>
      <c r="M3406" s="5">
        <f>IFERROR(__xludf.DUMMYFUNCTION("""COMPUTED_VALUE"""),1.0)</f>
        <v>1</v>
      </c>
    </row>
    <row r="3407">
      <c r="A3407" s="10" t="str">
        <f>IFERROR(__xludf.DUMMYFUNCTION("""COMPUTED_VALUE"""),"北白川あんこ")</f>
        <v>北白川あんこ</v>
      </c>
      <c r="B3407" s="10">
        <f>IFERROR(__xludf.DUMMYFUNCTION("""COMPUTED_VALUE"""),1360.0)</f>
        <v>1360</v>
      </c>
      <c r="C3407" s="10">
        <f>IFERROR(__xludf.DUMMYFUNCTION("""COMPUTED_VALUE"""),16044.0)</f>
        <v>16044</v>
      </c>
      <c r="D3407" s="5">
        <f>IFERROR(__xludf.DUMMYFUNCTION("""COMPUTED_VALUE"""),0.3339689457913375)</f>
        <v>0.3339689458</v>
      </c>
      <c r="E3407" s="5">
        <f>IFERROR(__xludf.DUMMYFUNCTION("""COMPUTED_VALUE"""),0.12408063198038681)</f>
        <v>0.124080632</v>
      </c>
      <c r="F3407" s="5">
        <f>IFERROR(__xludf.DUMMYFUNCTION("""COMPUTED_VALUE"""),0.20723236175429038)</f>
        <v>0.2072323618</v>
      </c>
      <c r="G3407" s="5">
        <f>IFERROR(__xludf.DUMMYFUNCTION("""COMPUTED_VALUE"""),0.16609915554344865)</f>
        <v>0.1660991555</v>
      </c>
      <c r="H3407" s="5">
        <f>IFERROR(__xludf.DUMMYFUNCTION("""COMPUTED_VALUE"""),0.613539270456786)</f>
        <v>0.6135392705</v>
      </c>
      <c r="I3407" s="11">
        <f>IFERROR(__xludf.DUMMYFUNCTION("""COMPUTED_VALUE"""),5655.471574104502)</f>
        <v>5655.471574</v>
      </c>
      <c r="J3407" s="10">
        <f>IFERROR(__xludf.DUMMYFUNCTION("""COMPUTED_VALUE"""),2.0)</f>
        <v>2</v>
      </c>
      <c r="K3407" s="5">
        <f>IFERROR(__xludf.DUMMYFUNCTION("""COMPUTED_VALUE"""),0.0014705882352941176)</f>
        <v>0.001470588235</v>
      </c>
      <c r="L3407" s="10">
        <f>IFERROR(__xludf.DUMMYFUNCTION("""COMPUTED_VALUE"""),0.0)</f>
        <v>0</v>
      </c>
      <c r="M3407" s="5">
        <f>IFERROR(__xludf.DUMMYFUNCTION("""COMPUTED_VALUE"""),0.0)</f>
        <v>0</v>
      </c>
    </row>
    <row r="3408">
      <c r="A3408" s="10" t="str">
        <f>IFERROR(__xludf.DUMMYFUNCTION("""COMPUTED_VALUE"""),"akinari0")</f>
        <v>akinari0</v>
      </c>
      <c r="B3408" s="10">
        <f>IFERROR(__xludf.DUMMYFUNCTION("""COMPUTED_VALUE"""),641.0)</f>
        <v>641</v>
      </c>
      <c r="C3408" s="10">
        <f>IFERROR(__xludf.DUMMYFUNCTION("""COMPUTED_VALUE"""),7589.0)</f>
        <v>7589</v>
      </c>
      <c r="D3408" s="5">
        <f>IFERROR(__xludf.DUMMYFUNCTION("""COMPUTED_VALUE"""),0.3098733448474381)</f>
        <v>0.3098733448</v>
      </c>
      <c r="E3408" s="5">
        <f>IFERROR(__xludf.DUMMYFUNCTION("""COMPUTED_VALUE"""),0.12406447898675878)</f>
        <v>0.124064479</v>
      </c>
      <c r="F3408" s="5">
        <f>IFERROR(__xludf.DUMMYFUNCTION("""COMPUTED_VALUE"""),0.20768566493955096)</f>
        <v>0.2076856649</v>
      </c>
      <c r="G3408" s="5">
        <f>IFERROR(__xludf.DUMMYFUNCTION("""COMPUTED_VALUE"""),0.15385722510074842)</f>
        <v>0.1538572251</v>
      </c>
      <c r="H3408" s="5">
        <f>IFERROR(__xludf.DUMMYFUNCTION("""COMPUTED_VALUE"""),0.5717255717255717)</f>
        <v>0.5717255717</v>
      </c>
      <c r="I3408" s="11">
        <f>IFERROR(__xludf.DUMMYFUNCTION("""COMPUTED_VALUE"""),5762.993762993763)</f>
        <v>5762.993763</v>
      </c>
      <c r="J3408" s="10">
        <f>IFERROR(__xludf.DUMMYFUNCTION("""COMPUTED_VALUE"""),3.0)</f>
        <v>3</v>
      </c>
      <c r="K3408" s="5">
        <f>IFERROR(__xludf.DUMMYFUNCTION("""COMPUTED_VALUE"""),0.0046801872074883)</f>
        <v>0.004680187207</v>
      </c>
      <c r="L3408" s="10">
        <f>IFERROR(__xludf.DUMMYFUNCTION("""COMPUTED_VALUE"""),0.0)</f>
        <v>0</v>
      </c>
      <c r="M3408" s="5">
        <f>IFERROR(__xludf.DUMMYFUNCTION("""COMPUTED_VALUE"""),0.0)</f>
        <v>0</v>
      </c>
    </row>
    <row r="3409">
      <c r="A3409" s="10" t="str">
        <f>IFERROR(__xludf.DUMMYFUNCTION("""COMPUTED_VALUE"""),"賢者ぬこ")</f>
        <v>賢者ぬこ</v>
      </c>
      <c r="B3409" s="10">
        <f>IFERROR(__xludf.DUMMYFUNCTION("""COMPUTED_VALUE"""),1370.0)</f>
        <v>1370</v>
      </c>
      <c r="C3409" s="10">
        <f>IFERROR(__xludf.DUMMYFUNCTION("""COMPUTED_VALUE"""),16203.0)</f>
        <v>16203</v>
      </c>
      <c r="D3409" s="5">
        <f>IFERROR(__xludf.DUMMYFUNCTION("""COMPUTED_VALUE"""),0.3386368232994)</f>
        <v>0.3386368233</v>
      </c>
      <c r="E3409" s="5">
        <f>IFERROR(__xludf.DUMMYFUNCTION("""COMPUTED_VALUE"""),0.1240477314096946)</f>
        <v>0.1240477314</v>
      </c>
      <c r="F3409" s="5">
        <f>IFERROR(__xludf.DUMMYFUNCTION("""COMPUTED_VALUE"""),0.2040720016180139)</f>
        <v>0.2040720016</v>
      </c>
      <c r="G3409" s="5">
        <f>IFERROR(__xludf.DUMMYFUNCTION("""COMPUTED_VALUE"""),0.16429582687251398)</f>
        <v>0.1642958269</v>
      </c>
      <c r="H3409" s="5">
        <f>IFERROR(__xludf.DUMMYFUNCTION("""COMPUTED_VALUE"""),0.6045589692765114)</f>
        <v>0.6045589693</v>
      </c>
      <c r="I3409" s="11">
        <f>IFERROR(__xludf.DUMMYFUNCTION("""COMPUTED_VALUE"""),5579.352494218699)</f>
        <v>5579.352494</v>
      </c>
      <c r="J3409" s="10">
        <f>IFERROR(__xludf.DUMMYFUNCTION("""COMPUTED_VALUE"""),5.0)</f>
        <v>5</v>
      </c>
      <c r="K3409" s="5">
        <f>IFERROR(__xludf.DUMMYFUNCTION("""COMPUTED_VALUE"""),0.0036496350364963502)</f>
        <v>0.003649635036</v>
      </c>
      <c r="L3409" s="10">
        <f>IFERROR(__xludf.DUMMYFUNCTION("""COMPUTED_VALUE"""),12.0)</f>
        <v>12</v>
      </c>
      <c r="M3409" s="5">
        <f>IFERROR(__xludf.DUMMYFUNCTION("""COMPUTED_VALUE"""),0.008759124087591242)</f>
        <v>0.008759124088</v>
      </c>
    </row>
    <row r="3410">
      <c r="A3410" s="10" t="str">
        <f>IFERROR(__xludf.DUMMYFUNCTION("""COMPUTED_VALUE"""),"些渡を超える者")</f>
        <v>些渡を超える者</v>
      </c>
      <c r="B3410" s="10">
        <f>IFERROR(__xludf.DUMMYFUNCTION("""COMPUTED_VALUE"""),155.0)</f>
        <v>155</v>
      </c>
      <c r="C3410" s="10">
        <f>IFERROR(__xludf.DUMMYFUNCTION("""COMPUTED_VALUE"""),1840.0)</f>
        <v>1840</v>
      </c>
      <c r="D3410" s="5">
        <f>IFERROR(__xludf.DUMMYFUNCTION("""COMPUTED_VALUE"""),0.39762611275964393)</f>
        <v>0.3976261128</v>
      </c>
      <c r="E3410" s="5">
        <f>IFERROR(__xludf.DUMMYFUNCTION("""COMPUTED_VALUE"""),0.12403560830860534)</f>
        <v>0.1240356083</v>
      </c>
      <c r="F3410" s="5">
        <f>IFERROR(__xludf.DUMMYFUNCTION("""COMPUTED_VALUE"""),0.2142433234421365)</f>
        <v>0.2142433234</v>
      </c>
      <c r="G3410" s="5">
        <f>IFERROR(__xludf.DUMMYFUNCTION("""COMPUTED_VALUE"""),0.17329376854599407)</f>
        <v>0.1732937685</v>
      </c>
      <c r="H3410" s="5">
        <f>IFERROR(__xludf.DUMMYFUNCTION("""COMPUTED_VALUE"""),0.6149584487534626)</f>
        <v>0.6149584488</v>
      </c>
      <c r="I3410" s="11">
        <f>IFERROR(__xludf.DUMMYFUNCTION("""COMPUTED_VALUE"""),5005.817174515236)</f>
        <v>5005.817175</v>
      </c>
      <c r="J3410" s="10">
        <f>IFERROR(__xludf.DUMMYFUNCTION("""COMPUTED_VALUE"""),0.0)</f>
        <v>0</v>
      </c>
      <c r="K3410" s="5">
        <f>IFERROR(__xludf.DUMMYFUNCTION("""COMPUTED_VALUE"""),0.0)</f>
        <v>0</v>
      </c>
      <c r="L3410" s="10">
        <f>IFERROR(__xludf.DUMMYFUNCTION("""COMPUTED_VALUE"""),9.0)</f>
        <v>9</v>
      </c>
      <c r="M3410" s="5">
        <f>IFERROR(__xludf.DUMMYFUNCTION("""COMPUTED_VALUE"""),0.05806451612903226)</f>
        <v>0.05806451613</v>
      </c>
    </row>
    <row r="3411">
      <c r="A3411" s="10" t="str">
        <f>IFERROR(__xludf.DUMMYFUNCTION("""COMPUTED_VALUE"""),"南斗無音拳")</f>
        <v>南斗無音拳</v>
      </c>
      <c r="B3411" s="10">
        <f>IFERROR(__xludf.DUMMYFUNCTION("""COMPUTED_VALUE"""),974.0)</f>
        <v>974</v>
      </c>
      <c r="C3411" s="10">
        <f>IFERROR(__xludf.DUMMYFUNCTION("""COMPUTED_VALUE"""),11342.0)</f>
        <v>11342</v>
      </c>
      <c r="D3411" s="5">
        <f>IFERROR(__xludf.DUMMYFUNCTION("""COMPUTED_VALUE"""),0.32098765432098764)</f>
        <v>0.3209876543</v>
      </c>
      <c r="E3411" s="5">
        <f>IFERROR(__xludf.DUMMYFUNCTION("""COMPUTED_VALUE"""),0.12403549382716049)</f>
        <v>0.1240354938</v>
      </c>
      <c r="F3411" s="5">
        <f>IFERROR(__xludf.DUMMYFUNCTION("""COMPUTED_VALUE"""),0.20071373456790123)</f>
        <v>0.2007137346</v>
      </c>
      <c r="G3411" s="5">
        <f>IFERROR(__xludf.DUMMYFUNCTION("""COMPUTED_VALUE"""),0.1648341049382716)</f>
        <v>0.1648341049</v>
      </c>
      <c r="H3411" s="5">
        <f>IFERROR(__xludf.DUMMYFUNCTION("""COMPUTED_VALUE"""),0.6083613647284959)</f>
        <v>0.6083613647</v>
      </c>
      <c r="I3411" s="11">
        <f>IFERROR(__xludf.DUMMYFUNCTION("""COMPUTED_VALUE"""),5772.6573762614125)</f>
        <v>5772.657376</v>
      </c>
      <c r="J3411" s="10">
        <f>IFERROR(__xludf.DUMMYFUNCTION("""COMPUTED_VALUE"""),3.0)</f>
        <v>3</v>
      </c>
      <c r="K3411" s="5">
        <f>IFERROR(__xludf.DUMMYFUNCTION("""COMPUTED_VALUE"""),0.003080082135523614)</f>
        <v>0.003080082136</v>
      </c>
      <c r="L3411" s="10">
        <f>IFERROR(__xludf.DUMMYFUNCTION("""COMPUTED_VALUE"""),974.0)</f>
        <v>974</v>
      </c>
      <c r="M3411" s="5">
        <f>IFERROR(__xludf.DUMMYFUNCTION("""COMPUTED_VALUE"""),1.0)</f>
        <v>1</v>
      </c>
    </row>
    <row r="3412">
      <c r="A3412" s="10" t="str">
        <f>IFERROR(__xludf.DUMMYFUNCTION("""COMPUTED_VALUE"""),"やまじろう")</f>
        <v>やまじろう</v>
      </c>
      <c r="B3412" s="10">
        <f>IFERROR(__xludf.DUMMYFUNCTION("""COMPUTED_VALUE"""),192.0)</f>
        <v>192</v>
      </c>
      <c r="C3412" s="10">
        <f>IFERROR(__xludf.DUMMYFUNCTION("""COMPUTED_VALUE"""),2264.0)</f>
        <v>2264</v>
      </c>
      <c r="D3412" s="5">
        <f>IFERROR(__xludf.DUMMYFUNCTION("""COMPUTED_VALUE"""),0.33783783783783783)</f>
        <v>0.3378378378</v>
      </c>
      <c r="E3412" s="5">
        <f>IFERROR(__xludf.DUMMYFUNCTION("""COMPUTED_VALUE"""),0.12403474903474904)</f>
        <v>0.124034749</v>
      </c>
      <c r="F3412" s="5">
        <f>IFERROR(__xludf.DUMMYFUNCTION("""COMPUTED_VALUE"""),0.208011583011583)</f>
        <v>0.208011583</v>
      </c>
      <c r="G3412" s="5">
        <f>IFERROR(__xludf.DUMMYFUNCTION("""COMPUTED_VALUE"""),0.18001930501930502)</f>
        <v>0.180019305</v>
      </c>
      <c r="H3412" s="5">
        <f>IFERROR(__xludf.DUMMYFUNCTION("""COMPUTED_VALUE"""),0.6078886310904872)</f>
        <v>0.6078886311</v>
      </c>
      <c r="I3412" s="11">
        <f>IFERROR(__xludf.DUMMYFUNCTION("""COMPUTED_VALUE"""),5711.136890951276)</f>
        <v>5711.136891</v>
      </c>
      <c r="J3412" s="10">
        <f>IFERROR(__xludf.DUMMYFUNCTION("""COMPUTED_VALUE"""),1.0)</f>
        <v>1</v>
      </c>
      <c r="K3412" s="5">
        <f>IFERROR(__xludf.DUMMYFUNCTION("""COMPUTED_VALUE"""),0.005208333333333333)</f>
        <v>0.005208333333</v>
      </c>
      <c r="L3412" s="10">
        <f>IFERROR(__xludf.DUMMYFUNCTION("""COMPUTED_VALUE"""),182.0)</f>
        <v>182</v>
      </c>
      <c r="M3412" s="5">
        <f>IFERROR(__xludf.DUMMYFUNCTION("""COMPUTED_VALUE"""),0.9479166666666666)</f>
        <v>0.9479166667</v>
      </c>
    </row>
    <row r="3413">
      <c r="A3413" s="10" t="str">
        <f>IFERROR(__xludf.DUMMYFUNCTION("""COMPUTED_VALUE"""),"困ったら立直")</f>
        <v>困ったら立直</v>
      </c>
      <c r="B3413" s="10">
        <f>IFERROR(__xludf.DUMMYFUNCTION("""COMPUTED_VALUE"""),804.0)</f>
        <v>804</v>
      </c>
      <c r="C3413" s="10">
        <f>IFERROR(__xludf.DUMMYFUNCTION("""COMPUTED_VALUE"""),9342.0)</f>
        <v>9342</v>
      </c>
      <c r="D3413" s="5">
        <f>IFERROR(__xludf.DUMMYFUNCTION("""COMPUTED_VALUE"""),0.3097915202623565)</f>
        <v>0.3097915203</v>
      </c>
      <c r="E3413" s="5">
        <f>IFERROR(__xludf.DUMMYFUNCTION("""COMPUTED_VALUE"""),0.12403373155305693)</f>
        <v>0.1240337316</v>
      </c>
      <c r="F3413" s="5">
        <f>IFERROR(__xludf.DUMMYFUNCTION("""COMPUTED_VALUE"""),0.20847973764347622)</f>
        <v>0.2084797376</v>
      </c>
      <c r="G3413" s="5">
        <f>IFERROR(__xludf.DUMMYFUNCTION("""COMPUTED_VALUE"""),0.1971187631763879)</f>
        <v>0.1971187632</v>
      </c>
      <c r="H3413" s="5">
        <f>IFERROR(__xludf.DUMMYFUNCTION("""COMPUTED_VALUE"""),0.5904494382022472)</f>
        <v>0.5904494382</v>
      </c>
      <c r="I3413" s="11">
        <f>IFERROR(__xludf.DUMMYFUNCTION("""COMPUTED_VALUE"""),6022.808988764045)</f>
        <v>6022.808989</v>
      </c>
      <c r="J3413" s="10">
        <f>IFERROR(__xludf.DUMMYFUNCTION("""COMPUTED_VALUE"""),1.0)</f>
        <v>1</v>
      </c>
      <c r="K3413" s="5">
        <f>IFERROR(__xludf.DUMMYFUNCTION("""COMPUTED_VALUE"""),0.0012437810945273632)</f>
        <v>0.001243781095</v>
      </c>
      <c r="L3413" s="10">
        <f>IFERROR(__xludf.DUMMYFUNCTION("""COMPUTED_VALUE"""),804.0)</f>
        <v>804</v>
      </c>
      <c r="M3413" s="5">
        <f>IFERROR(__xludf.DUMMYFUNCTION("""COMPUTED_VALUE"""),1.0)</f>
        <v>1</v>
      </c>
    </row>
    <row r="3414">
      <c r="A3414" s="10" t="str">
        <f>IFERROR(__xludf.DUMMYFUNCTION("""COMPUTED_VALUE"""),"／(＾o＾)＼")</f>
        <v>／(＾o＾)＼</v>
      </c>
      <c r="B3414" s="10">
        <f>IFERROR(__xludf.DUMMYFUNCTION("""COMPUTED_VALUE"""),514.0)</f>
        <v>514</v>
      </c>
      <c r="C3414" s="10">
        <f>IFERROR(__xludf.DUMMYFUNCTION("""COMPUTED_VALUE"""),6069.0)</f>
        <v>6069</v>
      </c>
      <c r="D3414" s="5">
        <f>IFERROR(__xludf.DUMMYFUNCTION("""COMPUTED_VALUE"""),0.3990999099909991)</f>
        <v>0.39909991</v>
      </c>
      <c r="E3414" s="5">
        <f>IFERROR(__xludf.DUMMYFUNCTION("""COMPUTED_VALUE"""),0.12403240324032404)</f>
        <v>0.1240324032</v>
      </c>
      <c r="F3414" s="5">
        <f>IFERROR(__xludf.DUMMYFUNCTION("""COMPUTED_VALUE"""),0.2163816381638164)</f>
        <v>0.2163816382</v>
      </c>
      <c r="G3414" s="5">
        <f>IFERROR(__xludf.DUMMYFUNCTION("""COMPUTED_VALUE"""),0.16831683168316833)</f>
        <v>0.1683168317</v>
      </c>
      <c r="H3414" s="5">
        <f>IFERROR(__xludf.DUMMYFUNCTION("""COMPUTED_VALUE"""),0.610648918469218)</f>
        <v>0.6106489185</v>
      </c>
      <c r="I3414" s="11">
        <f>IFERROR(__xludf.DUMMYFUNCTION("""COMPUTED_VALUE"""),5295.424292845258)</f>
        <v>5295.424293</v>
      </c>
      <c r="J3414" s="10">
        <f>IFERROR(__xludf.DUMMYFUNCTION("""COMPUTED_VALUE"""),0.0)</f>
        <v>0</v>
      </c>
      <c r="K3414" s="5">
        <f>IFERROR(__xludf.DUMMYFUNCTION("""COMPUTED_VALUE"""),0.0)</f>
        <v>0</v>
      </c>
      <c r="L3414" s="10">
        <f>IFERROR(__xludf.DUMMYFUNCTION("""COMPUTED_VALUE"""),514.0)</f>
        <v>514</v>
      </c>
      <c r="M3414" s="5">
        <f>IFERROR(__xludf.DUMMYFUNCTION("""COMPUTED_VALUE"""),1.0)</f>
        <v>1</v>
      </c>
    </row>
    <row r="3415">
      <c r="A3415" s="10" t="str">
        <f>IFERROR(__xludf.DUMMYFUNCTION("""COMPUTED_VALUE"""),"ロリータな焼肉")</f>
        <v>ロリータな焼肉</v>
      </c>
      <c r="B3415" s="10">
        <f>IFERROR(__xludf.DUMMYFUNCTION("""COMPUTED_VALUE"""),1271.0)</f>
        <v>1271</v>
      </c>
      <c r="C3415" s="10">
        <f>IFERROR(__xludf.DUMMYFUNCTION("""COMPUTED_VALUE"""),14945.0)</f>
        <v>14945</v>
      </c>
      <c r="D3415" s="5">
        <f>IFERROR(__xludf.DUMMYFUNCTION("""COMPUTED_VALUE"""),0.4082199795231827)</f>
        <v>0.4082199795</v>
      </c>
      <c r="E3415" s="5">
        <f>IFERROR(__xludf.DUMMYFUNCTION("""COMPUTED_VALUE"""),0.12403100775193798)</f>
        <v>0.1240310078</v>
      </c>
      <c r="F3415" s="5">
        <f>IFERROR(__xludf.DUMMYFUNCTION("""COMPUTED_VALUE"""),0.21420213543952027)</f>
        <v>0.2142021354</v>
      </c>
      <c r="G3415" s="5">
        <f>IFERROR(__xludf.DUMMYFUNCTION("""COMPUTED_VALUE"""),0.17251718590024864)</f>
        <v>0.1725171859</v>
      </c>
      <c r="H3415" s="5">
        <f>IFERROR(__xludf.DUMMYFUNCTION("""COMPUTED_VALUE"""),0.599522021167634)</f>
        <v>0.5995220212</v>
      </c>
      <c r="I3415" s="11">
        <f>IFERROR(__xludf.DUMMYFUNCTION("""COMPUTED_VALUE"""),5480.334585182656)</f>
        <v>5480.334585</v>
      </c>
      <c r="J3415" s="10">
        <f>IFERROR(__xludf.DUMMYFUNCTION("""COMPUTED_VALUE"""),6.0)</f>
        <v>6</v>
      </c>
      <c r="K3415" s="5">
        <f>IFERROR(__xludf.DUMMYFUNCTION("""COMPUTED_VALUE"""),0.004720692368214005)</f>
        <v>0.004720692368</v>
      </c>
      <c r="L3415" s="10">
        <f>IFERROR(__xludf.DUMMYFUNCTION("""COMPUTED_VALUE"""),648.0)</f>
        <v>648</v>
      </c>
      <c r="M3415" s="5">
        <f>IFERROR(__xludf.DUMMYFUNCTION("""COMPUTED_VALUE"""),0.5098347757671126)</f>
        <v>0.5098347758</v>
      </c>
    </row>
    <row r="3416">
      <c r="A3416" s="10" t="str">
        <f>IFERROR(__xludf.DUMMYFUNCTION("""COMPUTED_VALUE"""),"霜月さん")</f>
        <v>霜月さん</v>
      </c>
      <c r="B3416" s="10">
        <f>IFERROR(__xludf.DUMMYFUNCTION("""COMPUTED_VALUE"""),1638.0)</f>
        <v>1638</v>
      </c>
      <c r="C3416" s="10">
        <f>IFERROR(__xludf.DUMMYFUNCTION("""COMPUTED_VALUE"""),19368.0)</f>
        <v>19368</v>
      </c>
      <c r="D3416" s="5">
        <f>IFERROR(__xludf.DUMMYFUNCTION("""COMPUTED_VALUE"""),0.3212633953750705)</f>
        <v>0.3212633954</v>
      </c>
      <c r="E3416" s="5">
        <f>IFERROR(__xludf.DUMMYFUNCTION("""COMPUTED_VALUE"""),0.12402707275803722)</f>
        <v>0.1240270728</v>
      </c>
      <c r="F3416" s="5">
        <f>IFERROR(__xludf.DUMMYFUNCTION("""COMPUTED_VALUE"""),0.2051325437112239)</f>
        <v>0.2051325437</v>
      </c>
      <c r="G3416" s="5">
        <f>IFERROR(__xludf.DUMMYFUNCTION("""COMPUTED_VALUE"""),0.1524534686971235)</f>
        <v>0.1524534687</v>
      </c>
      <c r="H3416" s="5">
        <f>IFERROR(__xludf.DUMMYFUNCTION("""COMPUTED_VALUE"""),0.5985702502062139)</f>
        <v>0.5985702502</v>
      </c>
      <c r="I3416" s="11">
        <f>IFERROR(__xludf.DUMMYFUNCTION("""COMPUTED_VALUE"""),5454.1930162221615)</f>
        <v>5454.193016</v>
      </c>
      <c r="J3416" s="10">
        <f>IFERROR(__xludf.DUMMYFUNCTION("""COMPUTED_VALUE"""),5.0)</f>
        <v>5</v>
      </c>
      <c r="K3416" s="5">
        <f>IFERROR(__xludf.DUMMYFUNCTION("""COMPUTED_VALUE"""),0.0030525030525030525)</f>
        <v>0.003052503053</v>
      </c>
      <c r="L3416" s="10">
        <f>IFERROR(__xludf.DUMMYFUNCTION("""COMPUTED_VALUE"""),1638.0)</f>
        <v>1638</v>
      </c>
      <c r="M3416" s="5">
        <f>IFERROR(__xludf.DUMMYFUNCTION("""COMPUTED_VALUE"""),1.0)</f>
        <v>1</v>
      </c>
    </row>
    <row r="3417">
      <c r="A3417" s="10" t="str">
        <f>IFERROR(__xludf.DUMMYFUNCTION("""COMPUTED_VALUE"""),"ふうが♪")</f>
        <v>ふうが♪</v>
      </c>
      <c r="B3417" s="10">
        <f>IFERROR(__xludf.DUMMYFUNCTION("""COMPUTED_VALUE"""),1334.0)</f>
        <v>1334</v>
      </c>
      <c r="C3417" s="10">
        <f>IFERROR(__xludf.DUMMYFUNCTION("""COMPUTED_VALUE"""),15727.0)</f>
        <v>15727</v>
      </c>
      <c r="D3417" s="5">
        <f>IFERROR(__xludf.DUMMYFUNCTION("""COMPUTED_VALUE"""),0.3471826582366428)</f>
        <v>0.3471826582</v>
      </c>
      <c r="E3417" s="5">
        <f>IFERROR(__xludf.DUMMYFUNCTION("""COMPUTED_VALUE"""),0.12401862016257903)</f>
        <v>0.1240186202</v>
      </c>
      <c r="F3417" s="5">
        <f>IFERROR(__xludf.DUMMYFUNCTION("""COMPUTED_VALUE"""),0.21614673799763773)</f>
        <v>0.216146738</v>
      </c>
      <c r="G3417" s="5">
        <f>IFERROR(__xludf.DUMMYFUNCTION("""COMPUTED_VALUE"""),0.17703050093795594)</f>
        <v>0.1770305009</v>
      </c>
      <c r="H3417" s="5">
        <f>IFERROR(__xludf.DUMMYFUNCTION("""COMPUTED_VALUE"""),0.5801992928318869)</f>
        <v>0.5801992928</v>
      </c>
      <c r="I3417" s="11">
        <f>IFERROR(__xludf.DUMMYFUNCTION("""COMPUTED_VALUE"""),5601.06075216972)</f>
        <v>5601.060752</v>
      </c>
      <c r="J3417" s="10">
        <f>IFERROR(__xludf.DUMMYFUNCTION("""COMPUTED_VALUE"""),5.0)</f>
        <v>5</v>
      </c>
      <c r="K3417" s="5">
        <f>IFERROR(__xludf.DUMMYFUNCTION("""COMPUTED_VALUE"""),0.0037481259370314842)</f>
        <v>0.003748125937</v>
      </c>
      <c r="L3417" s="10">
        <f>IFERROR(__xludf.DUMMYFUNCTION("""COMPUTED_VALUE"""),1334.0)</f>
        <v>1334</v>
      </c>
      <c r="M3417" s="5">
        <f>IFERROR(__xludf.DUMMYFUNCTION("""COMPUTED_VALUE"""),1.0)</f>
        <v>1</v>
      </c>
    </row>
    <row r="3418">
      <c r="A3418" s="10" t="str">
        <f>IFERROR(__xludf.DUMMYFUNCTION("""COMPUTED_VALUE"""),"はげしくウツ")</f>
        <v>はげしくウツ</v>
      </c>
      <c r="B3418" s="10">
        <f>IFERROR(__xludf.DUMMYFUNCTION("""COMPUTED_VALUE"""),3235.0)</f>
        <v>3235</v>
      </c>
      <c r="C3418" s="10">
        <f>IFERROR(__xludf.DUMMYFUNCTION("""COMPUTED_VALUE"""),37788.0)</f>
        <v>37788</v>
      </c>
      <c r="D3418" s="5">
        <f>IFERROR(__xludf.DUMMYFUNCTION("""COMPUTED_VALUE"""),0.32416866842242353)</f>
        <v>0.3241686684</v>
      </c>
      <c r="E3418" s="5">
        <f>IFERROR(__xludf.DUMMYFUNCTION("""COMPUTED_VALUE"""),0.12401238676815327)</f>
        <v>0.1240123868</v>
      </c>
      <c r="F3418" s="5">
        <f>IFERROR(__xludf.DUMMYFUNCTION("""COMPUTED_VALUE"""),0.20684166353138655)</f>
        <v>0.2068416635</v>
      </c>
      <c r="G3418" s="5">
        <f>IFERROR(__xludf.DUMMYFUNCTION("""COMPUTED_VALUE"""),0.17772697016178046)</f>
        <v>0.1777269702</v>
      </c>
      <c r="H3418" s="5">
        <f>IFERROR(__xludf.DUMMYFUNCTION("""COMPUTED_VALUE"""),0.587519238841472)</f>
        <v>0.5875192388</v>
      </c>
      <c r="I3418" s="11">
        <f>IFERROR(__xludf.DUMMYFUNCTION("""COMPUTED_VALUE"""),5819.6865817825665)</f>
        <v>5819.686582</v>
      </c>
      <c r="J3418" s="10">
        <f>IFERROR(__xludf.DUMMYFUNCTION("""COMPUTED_VALUE"""),7.0)</f>
        <v>7</v>
      </c>
      <c r="K3418" s="5">
        <f>IFERROR(__xludf.DUMMYFUNCTION("""COMPUTED_VALUE"""),0.0021638330757341576)</f>
        <v>0.002163833076</v>
      </c>
      <c r="L3418" s="10">
        <f>IFERROR(__xludf.DUMMYFUNCTION("""COMPUTED_VALUE"""),3235.0)</f>
        <v>3235</v>
      </c>
      <c r="M3418" s="5">
        <f>IFERROR(__xludf.DUMMYFUNCTION("""COMPUTED_VALUE"""),1.0)</f>
        <v>1</v>
      </c>
    </row>
    <row r="3419">
      <c r="A3419" s="10" t="str">
        <f>IFERROR(__xludf.DUMMYFUNCTION("""COMPUTED_VALUE"""),"来週の糸井")</f>
        <v>来週の糸井</v>
      </c>
      <c r="B3419" s="10">
        <f>IFERROR(__xludf.DUMMYFUNCTION("""COMPUTED_VALUE"""),1482.0)</f>
        <v>1482</v>
      </c>
      <c r="C3419" s="10">
        <f>IFERROR(__xludf.DUMMYFUNCTION("""COMPUTED_VALUE"""),17545.0)</f>
        <v>17545</v>
      </c>
      <c r="D3419" s="5">
        <f>IFERROR(__xludf.DUMMYFUNCTION("""COMPUTED_VALUE"""),0.3546037477432609)</f>
        <v>0.3546037477</v>
      </c>
      <c r="E3419" s="5">
        <f>IFERROR(__xludf.DUMMYFUNCTION("""COMPUTED_VALUE"""),0.12401170391583141)</f>
        <v>0.1240117039</v>
      </c>
      <c r="F3419" s="5">
        <f>IFERROR(__xludf.DUMMYFUNCTION("""COMPUTED_VALUE"""),0.21347195418041462)</f>
        <v>0.2134719542</v>
      </c>
      <c r="G3419" s="5">
        <f>IFERROR(__xludf.DUMMYFUNCTION("""COMPUTED_VALUE"""),0.1829048123015626)</f>
        <v>0.1829048123</v>
      </c>
      <c r="H3419" s="5">
        <f>IFERROR(__xludf.DUMMYFUNCTION("""COMPUTED_VALUE"""),0.5867599883347915)</f>
        <v>0.5867599883</v>
      </c>
      <c r="I3419" s="11">
        <f>IFERROR(__xludf.DUMMYFUNCTION("""COMPUTED_VALUE"""),5464.246135899679)</f>
        <v>5464.246136</v>
      </c>
      <c r="J3419" s="10">
        <f>IFERROR(__xludf.DUMMYFUNCTION("""COMPUTED_VALUE"""),2.0)</f>
        <v>2</v>
      </c>
      <c r="K3419" s="5">
        <f>IFERROR(__xludf.DUMMYFUNCTION("""COMPUTED_VALUE"""),0.001349527665317139)</f>
        <v>0.001349527665</v>
      </c>
      <c r="L3419" s="10">
        <f>IFERROR(__xludf.DUMMYFUNCTION("""COMPUTED_VALUE"""),1479.0)</f>
        <v>1479</v>
      </c>
      <c r="M3419" s="5">
        <f>IFERROR(__xludf.DUMMYFUNCTION("""COMPUTED_VALUE"""),0.9979757085020243)</f>
        <v>0.9979757085</v>
      </c>
    </row>
    <row r="3420">
      <c r="A3420" s="10" t="str">
        <f>IFERROR(__xludf.DUMMYFUNCTION("""COMPUTED_VALUE"""),"hisa8000")</f>
        <v>hisa8000</v>
      </c>
      <c r="B3420" s="10">
        <f>IFERROR(__xludf.DUMMYFUNCTION("""COMPUTED_VALUE"""),224.0)</f>
        <v>224</v>
      </c>
      <c r="C3420" s="10">
        <f>IFERROR(__xludf.DUMMYFUNCTION("""COMPUTED_VALUE"""),2627.0)</f>
        <v>2627</v>
      </c>
      <c r="D3420" s="5">
        <f>IFERROR(__xludf.DUMMYFUNCTION("""COMPUTED_VALUE"""),0.3449854348730753)</f>
        <v>0.3449854349</v>
      </c>
      <c r="E3420" s="5">
        <f>IFERROR(__xludf.DUMMYFUNCTION("""COMPUTED_VALUE"""),0.12401165210153975)</f>
        <v>0.1240116521</v>
      </c>
      <c r="F3420" s="5">
        <f>IFERROR(__xludf.DUMMYFUNCTION("""COMPUTED_VALUE"""),0.2009987515605493)</f>
        <v>0.2009987516</v>
      </c>
      <c r="G3420" s="5">
        <f>IFERROR(__xludf.DUMMYFUNCTION("""COMPUTED_VALUE"""),0.2064086558468581)</f>
        <v>0.2064086558</v>
      </c>
      <c r="H3420" s="5">
        <f>IFERROR(__xludf.DUMMYFUNCTION("""COMPUTED_VALUE"""),0.5942028985507246)</f>
        <v>0.5942028986</v>
      </c>
      <c r="I3420" s="11">
        <f>IFERROR(__xludf.DUMMYFUNCTION("""COMPUTED_VALUE"""),6246.7908902691515)</f>
        <v>6246.79089</v>
      </c>
      <c r="J3420" s="10">
        <f>IFERROR(__xludf.DUMMYFUNCTION("""COMPUTED_VALUE"""),0.0)</f>
        <v>0</v>
      </c>
      <c r="K3420" s="5">
        <f>IFERROR(__xludf.DUMMYFUNCTION("""COMPUTED_VALUE"""),0.0)</f>
        <v>0</v>
      </c>
      <c r="L3420" s="10">
        <f>IFERROR(__xludf.DUMMYFUNCTION("""COMPUTED_VALUE"""),224.0)</f>
        <v>224</v>
      </c>
      <c r="M3420" s="5">
        <f>IFERROR(__xludf.DUMMYFUNCTION("""COMPUTED_VALUE"""),1.0)</f>
        <v>1</v>
      </c>
    </row>
    <row r="3421">
      <c r="A3421" s="10" t="str">
        <f>IFERROR(__xludf.DUMMYFUNCTION("""COMPUTED_VALUE"""),"Park_8")</f>
        <v>Park_8</v>
      </c>
      <c r="B3421" s="10">
        <f>IFERROR(__xludf.DUMMYFUNCTION("""COMPUTED_VALUE"""),1078.0)</f>
        <v>1078</v>
      </c>
      <c r="C3421" s="10">
        <f>IFERROR(__xludf.DUMMYFUNCTION("""COMPUTED_VALUE"""),12755.0)</f>
        <v>12755</v>
      </c>
      <c r="D3421" s="5">
        <f>IFERROR(__xludf.DUMMYFUNCTION("""COMPUTED_VALUE"""),0.38742827781108163)</f>
        <v>0.3874282778</v>
      </c>
      <c r="E3421" s="5">
        <f>IFERROR(__xludf.DUMMYFUNCTION("""COMPUTED_VALUE"""),0.12400445319859553)</f>
        <v>0.1240044532</v>
      </c>
      <c r="F3421" s="5">
        <f>IFERROR(__xludf.DUMMYFUNCTION("""COMPUTED_VALUE"""),0.21409608632354202)</f>
        <v>0.2140960863</v>
      </c>
      <c r="G3421" s="5">
        <f>IFERROR(__xludf.DUMMYFUNCTION("""COMPUTED_VALUE"""),0.15252205189689133)</f>
        <v>0.1525220519</v>
      </c>
      <c r="H3421" s="5">
        <f>IFERROR(__xludf.DUMMYFUNCTION("""COMPUTED_VALUE"""),0.608)</f>
        <v>0.608</v>
      </c>
      <c r="I3421" s="11">
        <f>IFERROR(__xludf.DUMMYFUNCTION("""COMPUTED_VALUE"""),5367.76)</f>
        <v>5367.76</v>
      </c>
      <c r="J3421" s="10">
        <f>IFERROR(__xludf.DUMMYFUNCTION("""COMPUTED_VALUE"""),4.0)</f>
        <v>4</v>
      </c>
      <c r="K3421" s="5">
        <f>IFERROR(__xludf.DUMMYFUNCTION("""COMPUTED_VALUE"""),0.0037105751391465678)</f>
        <v>0.003710575139</v>
      </c>
      <c r="L3421" s="10">
        <f>IFERROR(__xludf.DUMMYFUNCTION("""COMPUTED_VALUE"""),1078.0)</f>
        <v>1078</v>
      </c>
      <c r="M3421" s="5">
        <f>IFERROR(__xludf.DUMMYFUNCTION("""COMPUTED_VALUE"""),1.0)</f>
        <v>1</v>
      </c>
    </row>
    <row r="3422">
      <c r="A3422" s="10" t="str">
        <f>IFERROR(__xludf.DUMMYFUNCTION("""COMPUTED_VALUE"""),"runasnow")</f>
        <v>runasnow</v>
      </c>
      <c r="B3422" s="10">
        <f>IFERROR(__xludf.DUMMYFUNCTION("""COMPUTED_VALUE"""),256.0)</f>
        <v>256</v>
      </c>
      <c r="C3422" s="10">
        <f>IFERROR(__xludf.DUMMYFUNCTION("""COMPUTED_VALUE"""),3014.0)</f>
        <v>3014</v>
      </c>
      <c r="D3422" s="5">
        <f>IFERROR(__xludf.DUMMYFUNCTION("""COMPUTED_VALUE"""),0.3056562726613488)</f>
        <v>0.3056562727</v>
      </c>
      <c r="E3422" s="5">
        <f>IFERROR(__xludf.DUMMYFUNCTION("""COMPUTED_VALUE"""),0.12400290065264685)</f>
        <v>0.1240029007</v>
      </c>
      <c r="F3422" s="5">
        <f>IFERROR(__xludf.DUMMYFUNCTION("""COMPUTED_VALUE"""),0.19724437998549674)</f>
        <v>0.19724438</v>
      </c>
      <c r="G3422" s="5">
        <f>IFERROR(__xludf.DUMMYFUNCTION("""COMPUTED_VALUE"""),0.19253081943437272)</f>
        <v>0.1925308194</v>
      </c>
      <c r="H3422" s="5">
        <f>IFERROR(__xludf.DUMMYFUNCTION("""COMPUTED_VALUE"""),0.5514705882352942)</f>
        <v>0.5514705882</v>
      </c>
      <c r="I3422" s="11">
        <f>IFERROR(__xludf.DUMMYFUNCTION("""COMPUTED_VALUE"""),5342.830882352941)</f>
        <v>5342.830882</v>
      </c>
      <c r="J3422" s="10">
        <f>IFERROR(__xludf.DUMMYFUNCTION("""COMPUTED_VALUE"""),1.0)</f>
        <v>1</v>
      </c>
      <c r="K3422" s="5">
        <f>IFERROR(__xludf.DUMMYFUNCTION("""COMPUTED_VALUE"""),0.00390625)</f>
        <v>0.00390625</v>
      </c>
      <c r="L3422" s="10">
        <f>IFERROR(__xludf.DUMMYFUNCTION("""COMPUTED_VALUE"""),256.0)</f>
        <v>256</v>
      </c>
      <c r="M3422" s="5">
        <f>IFERROR(__xludf.DUMMYFUNCTION("""COMPUTED_VALUE"""),1.0)</f>
        <v>1</v>
      </c>
    </row>
    <row r="3423">
      <c r="A3423" s="10" t="str">
        <f>IFERROR(__xludf.DUMMYFUNCTION("""COMPUTED_VALUE"""),"avq87003")</f>
        <v>avq87003</v>
      </c>
      <c r="B3423" s="10">
        <f>IFERROR(__xludf.DUMMYFUNCTION("""COMPUTED_VALUE"""),650.0)</f>
        <v>650</v>
      </c>
      <c r="C3423" s="10">
        <f>IFERROR(__xludf.DUMMYFUNCTION("""COMPUTED_VALUE"""),7731.0)</f>
        <v>7731</v>
      </c>
      <c r="D3423" s="5">
        <f>IFERROR(__xludf.DUMMYFUNCTION("""COMPUTED_VALUE"""),0.30899590453325804)</f>
        <v>0.3089959045</v>
      </c>
      <c r="E3423" s="5">
        <f>IFERROR(__xludf.DUMMYFUNCTION("""COMPUTED_VALUE"""),0.12399378618839146)</f>
        <v>0.1239937862</v>
      </c>
      <c r="F3423" s="5">
        <f>IFERROR(__xludf.DUMMYFUNCTION("""COMPUTED_VALUE"""),0.18584945629148425)</f>
        <v>0.1858494563</v>
      </c>
      <c r="G3423" s="5">
        <f>IFERROR(__xludf.DUMMYFUNCTION("""COMPUTED_VALUE"""),0.16381866967942382)</f>
        <v>0.1638186697</v>
      </c>
      <c r="H3423" s="5">
        <f>IFERROR(__xludf.DUMMYFUNCTION("""COMPUTED_VALUE"""),0.5858662613981763)</f>
        <v>0.5858662614</v>
      </c>
      <c r="I3423" s="11">
        <f>IFERROR(__xludf.DUMMYFUNCTION("""COMPUTED_VALUE"""),5922.340425531915)</f>
        <v>5922.340426</v>
      </c>
      <c r="J3423" s="10">
        <f>IFERROR(__xludf.DUMMYFUNCTION("""COMPUTED_VALUE"""),1.0)</f>
        <v>1</v>
      </c>
      <c r="K3423" s="5">
        <f>IFERROR(__xludf.DUMMYFUNCTION("""COMPUTED_VALUE"""),0.0015384615384615385)</f>
        <v>0.001538461538</v>
      </c>
      <c r="L3423" s="10">
        <f>IFERROR(__xludf.DUMMYFUNCTION("""COMPUTED_VALUE"""),650.0)</f>
        <v>650</v>
      </c>
      <c r="M3423" s="5">
        <f>IFERROR(__xludf.DUMMYFUNCTION("""COMPUTED_VALUE"""),1.0)</f>
        <v>1</v>
      </c>
    </row>
    <row r="3424">
      <c r="A3424" s="10" t="str">
        <f>IFERROR(__xludf.DUMMYFUNCTION("""COMPUTED_VALUE"""),"若宮明日香")</f>
        <v>若宮明日香</v>
      </c>
      <c r="B3424" s="10">
        <f>IFERROR(__xludf.DUMMYFUNCTION("""COMPUTED_VALUE"""),1722.0)</f>
        <v>1722</v>
      </c>
      <c r="C3424" s="10">
        <f>IFERROR(__xludf.DUMMYFUNCTION("""COMPUTED_VALUE"""),20102.0)</f>
        <v>20102</v>
      </c>
      <c r="D3424" s="5">
        <f>IFERROR(__xludf.DUMMYFUNCTION("""COMPUTED_VALUE"""),0.35054406964091406)</f>
        <v>0.3505440696</v>
      </c>
      <c r="E3424" s="5">
        <f>IFERROR(__xludf.DUMMYFUNCTION("""COMPUTED_VALUE"""),0.12399347116430903)</f>
        <v>0.1239934712</v>
      </c>
      <c r="F3424" s="5">
        <f>IFERROR(__xludf.DUMMYFUNCTION("""COMPUTED_VALUE"""),0.2089771490750816)</f>
        <v>0.2089771491</v>
      </c>
      <c r="G3424" s="5">
        <f>IFERROR(__xludf.DUMMYFUNCTION("""COMPUTED_VALUE"""),0.19211099020674646)</f>
        <v>0.1921109902</v>
      </c>
      <c r="H3424" s="5">
        <f>IFERROR(__xludf.DUMMYFUNCTION("""COMPUTED_VALUE"""),0.5943764644623796)</f>
        <v>0.5943764645</v>
      </c>
      <c r="I3424" s="11">
        <f>IFERROR(__xludf.DUMMYFUNCTION("""COMPUTED_VALUE"""),5812.757094506639)</f>
        <v>5812.757095</v>
      </c>
      <c r="J3424" s="10">
        <f>IFERROR(__xludf.DUMMYFUNCTION("""COMPUTED_VALUE"""),2.0)</f>
        <v>2</v>
      </c>
      <c r="K3424" s="5">
        <f>IFERROR(__xludf.DUMMYFUNCTION("""COMPUTED_VALUE"""),0.0011614401858304297)</f>
        <v>0.001161440186</v>
      </c>
      <c r="L3424" s="10">
        <f>IFERROR(__xludf.DUMMYFUNCTION("""COMPUTED_VALUE"""),0.0)</f>
        <v>0</v>
      </c>
      <c r="M3424" s="5">
        <f>IFERROR(__xludf.DUMMYFUNCTION("""COMPUTED_VALUE"""),0.0)</f>
        <v>0</v>
      </c>
    </row>
    <row r="3425">
      <c r="A3425" s="10" t="str">
        <f>IFERROR(__xludf.DUMMYFUNCTION("""COMPUTED_VALUE"""),"花鳥玲愛")</f>
        <v>花鳥玲愛</v>
      </c>
      <c r="B3425" s="10">
        <f>IFERROR(__xludf.DUMMYFUNCTION("""COMPUTED_VALUE"""),596.0)</f>
        <v>596</v>
      </c>
      <c r="C3425" s="10">
        <f>IFERROR(__xludf.DUMMYFUNCTION("""COMPUTED_VALUE"""),6911.0)</f>
        <v>6911</v>
      </c>
      <c r="D3425" s="5">
        <f>IFERROR(__xludf.DUMMYFUNCTION("""COMPUTED_VALUE"""),0.2954869358669834)</f>
        <v>0.2954869359</v>
      </c>
      <c r="E3425" s="5">
        <f>IFERROR(__xludf.DUMMYFUNCTION("""COMPUTED_VALUE"""),0.12399049881235154)</f>
        <v>0.1239904988</v>
      </c>
      <c r="F3425" s="5">
        <f>IFERROR(__xludf.DUMMYFUNCTION("""COMPUTED_VALUE"""),0.2063341250989707)</f>
        <v>0.2063341251</v>
      </c>
      <c r="G3425" s="5">
        <f>IFERROR(__xludf.DUMMYFUNCTION("""COMPUTED_VALUE"""),0.18891528107680128)</f>
        <v>0.1889152811</v>
      </c>
      <c r="H3425" s="5">
        <f>IFERROR(__xludf.DUMMYFUNCTION("""COMPUTED_VALUE"""),0.602455871066769)</f>
        <v>0.6024558711</v>
      </c>
      <c r="I3425" s="11">
        <f>IFERROR(__xludf.DUMMYFUNCTION("""COMPUTED_VALUE"""),6030.391404451267)</f>
        <v>6030.391404</v>
      </c>
      <c r="J3425" s="10">
        <f>IFERROR(__xludf.DUMMYFUNCTION("""COMPUTED_VALUE"""),1.0)</f>
        <v>1</v>
      </c>
      <c r="K3425" s="5">
        <f>IFERROR(__xludf.DUMMYFUNCTION("""COMPUTED_VALUE"""),0.0016778523489932886)</f>
        <v>0.001677852349</v>
      </c>
      <c r="L3425" s="10">
        <f>IFERROR(__xludf.DUMMYFUNCTION("""COMPUTED_VALUE"""),389.0)</f>
        <v>389</v>
      </c>
      <c r="M3425" s="5">
        <f>IFERROR(__xludf.DUMMYFUNCTION("""COMPUTED_VALUE"""),0.6526845637583892)</f>
        <v>0.6526845638</v>
      </c>
    </row>
    <row r="3426">
      <c r="A3426" s="10" t="str">
        <f>IFERROR(__xludf.DUMMYFUNCTION("""COMPUTED_VALUE"""),"liszt-17")</f>
        <v>liszt-17</v>
      </c>
      <c r="B3426" s="10">
        <f>IFERROR(__xludf.DUMMYFUNCTION("""COMPUTED_VALUE"""),857.0)</f>
        <v>857</v>
      </c>
      <c r="C3426" s="10">
        <f>IFERROR(__xludf.DUMMYFUNCTION("""COMPUTED_VALUE"""),10012.0)</f>
        <v>10012</v>
      </c>
      <c r="D3426" s="5">
        <f>IFERROR(__xludf.DUMMYFUNCTION("""COMPUTED_VALUE"""),0.3750955761878755)</f>
        <v>0.3750955762</v>
      </c>
      <c r="E3426" s="5">
        <f>IFERROR(__xludf.DUMMYFUNCTION("""COMPUTED_VALUE"""),0.12397596941561988)</f>
        <v>0.1239759694</v>
      </c>
      <c r="F3426" s="5">
        <f>IFERROR(__xludf.DUMMYFUNCTION("""COMPUTED_VALUE"""),0.2182413981430912)</f>
        <v>0.2182413981</v>
      </c>
      <c r="G3426" s="5">
        <f>IFERROR(__xludf.DUMMYFUNCTION("""COMPUTED_VALUE"""),0.1604587657018023)</f>
        <v>0.1604587657</v>
      </c>
      <c r="H3426" s="5">
        <f>IFERROR(__xludf.DUMMYFUNCTION("""COMPUTED_VALUE"""),0.6096096096096096)</f>
        <v>0.6096096096</v>
      </c>
      <c r="I3426" s="11">
        <f>IFERROR(__xludf.DUMMYFUNCTION("""COMPUTED_VALUE"""),5196.896896896897)</f>
        <v>5196.896897</v>
      </c>
      <c r="J3426" s="10">
        <f>IFERROR(__xludf.DUMMYFUNCTION("""COMPUTED_VALUE"""),1.0)</f>
        <v>1</v>
      </c>
      <c r="K3426" s="5">
        <f>IFERROR(__xludf.DUMMYFUNCTION("""COMPUTED_VALUE"""),0.0011668611435239206)</f>
        <v>0.001166861144</v>
      </c>
      <c r="L3426" s="10">
        <f>IFERROR(__xludf.DUMMYFUNCTION("""COMPUTED_VALUE"""),857.0)</f>
        <v>857</v>
      </c>
      <c r="M3426" s="5">
        <f>IFERROR(__xludf.DUMMYFUNCTION("""COMPUTED_VALUE"""),1.0)</f>
        <v>1</v>
      </c>
    </row>
    <row r="3427">
      <c r="A3427" s="10" t="str">
        <f>IFERROR(__xludf.DUMMYFUNCTION("""COMPUTED_VALUE"""),"leo160")</f>
        <v>leo160</v>
      </c>
      <c r="B3427" s="10">
        <f>IFERROR(__xludf.DUMMYFUNCTION("""COMPUTED_VALUE"""),715.0)</f>
        <v>715</v>
      </c>
      <c r="C3427" s="10">
        <f>IFERROR(__xludf.DUMMYFUNCTION("""COMPUTED_VALUE"""),8338.0)</f>
        <v>8338</v>
      </c>
      <c r="D3427" s="5">
        <f>IFERROR(__xludf.DUMMYFUNCTION("""COMPUTED_VALUE"""),0.3412042502951594)</f>
        <v>0.3412042503</v>
      </c>
      <c r="E3427" s="5">
        <f>IFERROR(__xludf.DUMMYFUNCTION("""COMPUTED_VALUE"""),0.12396694214876033)</f>
        <v>0.1239669421</v>
      </c>
      <c r="F3427" s="5">
        <f>IFERROR(__xludf.DUMMYFUNCTION("""COMPUTED_VALUE"""),0.20910402728584546)</f>
        <v>0.2091040273</v>
      </c>
      <c r="G3427" s="5">
        <f>IFERROR(__xludf.DUMMYFUNCTION("""COMPUTED_VALUE"""),0.18654073199527746)</f>
        <v>0.186540732</v>
      </c>
      <c r="H3427" s="5">
        <f>IFERROR(__xludf.DUMMYFUNCTION("""COMPUTED_VALUE"""),0.5915934755332497)</f>
        <v>0.5915934755</v>
      </c>
      <c r="I3427" s="11">
        <f>IFERROR(__xludf.DUMMYFUNCTION("""COMPUTED_VALUE"""),5499.247176913425)</f>
        <v>5499.247177</v>
      </c>
      <c r="J3427" s="10">
        <f>IFERROR(__xludf.DUMMYFUNCTION("""COMPUTED_VALUE"""),1.0)</f>
        <v>1</v>
      </c>
      <c r="K3427" s="5">
        <f>IFERROR(__xludf.DUMMYFUNCTION("""COMPUTED_VALUE"""),0.0013986013986013986)</f>
        <v>0.001398601399</v>
      </c>
      <c r="L3427" s="10">
        <f>IFERROR(__xludf.DUMMYFUNCTION("""COMPUTED_VALUE"""),715.0)</f>
        <v>715</v>
      </c>
      <c r="M3427" s="5">
        <f>IFERROR(__xludf.DUMMYFUNCTION("""COMPUTED_VALUE"""),1.0)</f>
        <v>1</v>
      </c>
    </row>
    <row r="3428">
      <c r="A3428" s="10" t="str">
        <f>IFERROR(__xludf.DUMMYFUNCTION("""COMPUTED_VALUE"""),"すきま妖怪")</f>
        <v>すきま妖怪</v>
      </c>
      <c r="B3428" s="10">
        <f>IFERROR(__xludf.DUMMYFUNCTION("""COMPUTED_VALUE"""),507.0)</f>
        <v>507</v>
      </c>
      <c r="C3428" s="10">
        <f>IFERROR(__xludf.DUMMYFUNCTION("""COMPUTED_VALUE"""),5969.0)</f>
        <v>5969</v>
      </c>
      <c r="D3428" s="5">
        <f>IFERROR(__xludf.DUMMYFUNCTION("""COMPUTED_VALUE"""),0.3740388136213841)</f>
        <v>0.3740388136</v>
      </c>
      <c r="E3428" s="5">
        <f>IFERROR(__xludf.DUMMYFUNCTION("""COMPUTED_VALUE"""),0.12394727206151593)</f>
        <v>0.1239472721</v>
      </c>
      <c r="F3428" s="5">
        <f>IFERROR(__xludf.DUMMYFUNCTION("""COMPUTED_VALUE"""),0.21622116440864153)</f>
        <v>0.2162211644</v>
      </c>
      <c r="G3428" s="5">
        <f>IFERROR(__xludf.DUMMYFUNCTION("""COMPUTED_VALUE"""),0.16404247528377883)</f>
        <v>0.1640424753</v>
      </c>
      <c r="H3428" s="5">
        <f>IFERROR(__xludf.DUMMYFUNCTION("""COMPUTED_VALUE"""),0.6130397967823878)</f>
        <v>0.6130397968</v>
      </c>
      <c r="I3428" s="11">
        <f>IFERROR(__xludf.DUMMYFUNCTION("""COMPUTED_VALUE"""),5446.401354784081)</f>
        <v>5446.401355</v>
      </c>
      <c r="J3428" s="10">
        <f>IFERROR(__xludf.DUMMYFUNCTION("""COMPUTED_VALUE"""),0.0)</f>
        <v>0</v>
      </c>
      <c r="K3428" s="5">
        <f>IFERROR(__xludf.DUMMYFUNCTION("""COMPUTED_VALUE"""),0.0)</f>
        <v>0</v>
      </c>
      <c r="L3428" s="10">
        <f>IFERROR(__xludf.DUMMYFUNCTION("""COMPUTED_VALUE"""),507.0)</f>
        <v>507</v>
      </c>
      <c r="M3428" s="5">
        <f>IFERROR(__xludf.DUMMYFUNCTION("""COMPUTED_VALUE"""),1.0)</f>
        <v>1</v>
      </c>
    </row>
    <row r="3429">
      <c r="A3429" s="10" t="str">
        <f>IFERROR(__xludf.DUMMYFUNCTION("""COMPUTED_VALUE"""),"まあぼう大佐")</f>
        <v>まあぼう大佐</v>
      </c>
      <c r="B3429" s="10">
        <f>IFERROR(__xludf.DUMMYFUNCTION("""COMPUTED_VALUE"""),4357.0)</f>
        <v>4357</v>
      </c>
      <c r="C3429" s="10">
        <f>IFERROR(__xludf.DUMMYFUNCTION("""COMPUTED_VALUE"""),51725.0)</f>
        <v>51725</v>
      </c>
      <c r="D3429" s="5">
        <f>IFERROR(__xludf.DUMMYFUNCTION("""COMPUTED_VALUE"""),0.39657574733997636)</f>
        <v>0.3965757473</v>
      </c>
      <c r="E3429" s="5">
        <f>IFERROR(__xludf.DUMMYFUNCTION("""COMPUTED_VALUE"""),0.12394443506164499)</f>
        <v>0.1239444351</v>
      </c>
      <c r="F3429" s="5">
        <f>IFERROR(__xludf.DUMMYFUNCTION("""COMPUTED_VALUE"""),0.2111129876710015)</f>
        <v>0.2111129877</v>
      </c>
      <c r="G3429" s="5">
        <f>IFERROR(__xludf.DUMMYFUNCTION("""COMPUTED_VALUE"""),0.1543869278838034)</f>
        <v>0.1543869279</v>
      </c>
      <c r="H3429" s="5">
        <f>IFERROR(__xludf.DUMMYFUNCTION("""COMPUTED_VALUE"""),0.6011)</f>
        <v>0.6011</v>
      </c>
      <c r="I3429" s="11">
        <f>IFERROR(__xludf.DUMMYFUNCTION("""COMPUTED_VALUE"""),5505.8)</f>
        <v>5505.8</v>
      </c>
      <c r="J3429" s="10">
        <f>IFERROR(__xludf.DUMMYFUNCTION("""COMPUTED_VALUE"""),9.0)</f>
        <v>9</v>
      </c>
      <c r="K3429" s="5">
        <f>IFERROR(__xludf.DUMMYFUNCTION("""COMPUTED_VALUE"""),0.0020656414964425065)</f>
        <v>0.002065641496</v>
      </c>
      <c r="L3429" s="10">
        <f>IFERROR(__xludf.DUMMYFUNCTION("""COMPUTED_VALUE"""),1.0)</f>
        <v>1</v>
      </c>
      <c r="M3429" s="5">
        <f>IFERROR(__xludf.DUMMYFUNCTION("""COMPUTED_VALUE"""),2.2951572182694515E-4)</f>
        <v>0.0002295157218</v>
      </c>
    </row>
    <row r="3430">
      <c r="A3430" s="10" t="str">
        <f>IFERROR(__xludf.DUMMYFUNCTION("""COMPUTED_VALUE"""),"yojo")</f>
        <v>yojo</v>
      </c>
      <c r="B3430" s="10">
        <f>IFERROR(__xludf.DUMMYFUNCTION("""COMPUTED_VALUE"""),2328.0)</f>
        <v>2328</v>
      </c>
      <c r="C3430" s="10">
        <f>IFERROR(__xludf.DUMMYFUNCTION("""COMPUTED_VALUE"""),27477.0)</f>
        <v>27477</v>
      </c>
      <c r="D3430" s="5">
        <f>IFERROR(__xludf.DUMMYFUNCTION("""COMPUTED_VALUE"""),0.358105690087081)</f>
        <v>0.3581056901</v>
      </c>
      <c r="E3430" s="5">
        <f>IFERROR(__xludf.DUMMYFUNCTION("""COMPUTED_VALUE"""),0.12394130979362997)</f>
        <v>0.1239413098</v>
      </c>
      <c r="F3430" s="5">
        <f>IFERROR(__xludf.DUMMYFUNCTION("""COMPUTED_VALUE"""),0.21635055071772238)</f>
        <v>0.2163505507</v>
      </c>
      <c r="G3430" s="5">
        <f>IFERROR(__xludf.DUMMYFUNCTION("""COMPUTED_VALUE"""),0.16052328124378704)</f>
        <v>0.1605232812</v>
      </c>
      <c r="H3430" s="5">
        <f>IFERROR(__xludf.DUMMYFUNCTION("""COMPUTED_VALUE"""),0.6017276235986032)</f>
        <v>0.6017276236</v>
      </c>
      <c r="I3430" s="11">
        <f>IFERROR(__xludf.DUMMYFUNCTION("""COMPUTED_VALUE"""),5355.430986950928)</f>
        <v>5355.430987</v>
      </c>
      <c r="J3430" s="10">
        <f>IFERROR(__xludf.DUMMYFUNCTION("""COMPUTED_VALUE"""),2.0)</f>
        <v>2</v>
      </c>
      <c r="K3430" s="5">
        <f>IFERROR(__xludf.DUMMYFUNCTION("""COMPUTED_VALUE"""),8.59106529209622E-4)</f>
        <v>0.0008591065292</v>
      </c>
      <c r="L3430" s="10">
        <f>IFERROR(__xludf.DUMMYFUNCTION("""COMPUTED_VALUE"""),0.0)</f>
        <v>0</v>
      </c>
      <c r="M3430" s="5">
        <f>IFERROR(__xludf.DUMMYFUNCTION("""COMPUTED_VALUE"""),0.0)</f>
        <v>0</v>
      </c>
    </row>
    <row r="3431">
      <c r="A3431" s="10" t="str">
        <f>IFERROR(__xludf.DUMMYFUNCTION("""COMPUTED_VALUE"""),"広能昌三")</f>
        <v>広能昌三</v>
      </c>
      <c r="B3431" s="10">
        <f>IFERROR(__xludf.DUMMYFUNCTION("""COMPUTED_VALUE"""),625.0)</f>
        <v>625</v>
      </c>
      <c r="C3431" s="10">
        <f>IFERROR(__xludf.DUMMYFUNCTION("""COMPUTED_VALUE"""),7306.0)</f>
        <v>7306</v>
      </c>
      <c r="D3431" s="5">
        <f>IFERROR(__xludf.DUMMYFUNCTION("""COMPUTED_VALUE"""),0.36192186798383474)</f>
        <v>0.361921868</v>
      </c>
      <c r="E3431" s="5">
        <f>IFERROR(__xludf.DUMMYFUNCTION("""COMPUTED_VALUE"""),0.12393354288280198)</f>
        <v>0.1239335429</v>
      </c>
      <c r="F3431" s="5">
        <f>IFERROR(__xludf.DUMMYFUNCTION("""COMPUTED_VALUE"""),0.2255650351743751)</f>
        <v>0.2255650352</v>
      </c>
      <c r="G3431" s="5">
        <f>IFERROR(__xludf.DUMMYFUNCTION("""COMPUTED_VALUE"""),0.16105373447088758)</f>
        <v>0.1610537345</v>
      </c>
      <c r="H3431" s="5">
        <f>IFERROR(__xludf.DUMMYFUNCTION("""COMPUTED_VALUE"""),0.617120106171201)</f>
        <v>0.6171201062</v>
      </c>
      <c r="I3431" s="11">
        <f>IFERROR(__xludf.DUMMYFUNCTION("""COMPUTED_VALUE"""),5327.007299270073)</f>
        <v>5327.007299</v>
      </c>
      <c r="J3431" s="10">
        <f>IFERROR(__xludf.DUMMYFUNCTION("""COMPUTED_VALUE"""),1.0)</f>
        <v>1</v>
      </c>
      <c r="K3431" s="5">
        <f>IFERROR(__xludf.DUMMYFUNCTION("""COMPUTED_VALUE"""),0.0016)</f>
        <v>0.0016</v>
      </c>
      <c r="L3431" s="10">
        <f>IFERROR(__xludf.DUMMYFUNCTION("""COMPUTED_VALUE"""),625.0)</f>
        <v>625</v>
      </c>
      <c r="M3431" s="5">
        <f>IFERROR(__xludf.DUMMYFUNCTION("""COMPUTED_VALUE"""),1.0)</f>
        <v>1</v>
      </c>
    </row>
    <row r="3432">
      <c r="A3432" s="10" t="str">
        <f>IFERROR(__xludf.DUMMYFUNCTION("""COMPUTED_VALUE"""),"ぐりもあ")</f>
        <v>ぐりもあ</v>
      </c>
      <c r="B3432" s="10">
        <f>IFERROR(__xludf.DUMMYFUNCTION("""COMPUTED_VALUE"""),903.0)</f>
        <v>903</v>
      </c>
      <c r="C3432" s="10">
        <f>IFERROR(__xludf.DUMMYFUNCTION("""COMPUTED_VALUE"""),10691.0)</f>
        <v>10691</v>
      </c>
      <c r="D3432" s="5">
        <f>IFERROR(__xludf.DUMMYFUNCTION("""COMPUTED_VALUE"""),0.24192889252145483)</f>
        <v>0.2419288925</v>
      </c>
      <c r="E3432" s="5">
        <f>IFERROR(__xludf.DUMMYFUNCTION("""COMPUTED_VALUE"""),0.12392725786677565)</f>
        <v>0.1239272579</v>
      </c>
      <c r="F3432" s="5">
        <f>IFERROR(__xludf.DUMMYFUNCTION("""COMPUTED_VALUE"""),0.19053943604413567)</f>
        <v>0.190539436</v>
      </c>
      <c r="G3432" s="5">
        <f>IFERROR(__xludf.DUMMYFUNCTION("""COMPUTED_VALUE"""),0.18226399673069063)</f>
        <v>0.1822639967</v>
      </c>
      <c r="H3432" s="5">
        <f>IFERROR(__xludf.DUMMYFUNCTION("""COMPUTED_VALUE"""),0.5855227882037534)</f>
        <v>0.5855227882</v>
      </c>
      <c r="I3432" s="11">
        <f>IFERROR(__xludf.DUMMYFUNCTION("""COMPUTED_VALUE"""),5967.774798927614)</f>
        <v>5967.774799</v>
      </c>
      <c r="J3432" s="10">
        <f>IFERROR(__xludf.DUMMYFUNCTION("""COMPUTED_VALUE"""),0.0)</f>
        <v>0</v>
      </c>
      <c r="K3432" s="5">
        <f>IFERROR(__xludf.DUMMYFUNCTION("""COMPUTED_VALUE"""),0.0)</f>
        <v>0</v>
      </c>
      <c r="L3432" s="10">
        <f>IFERROR(__xludf.DUMMYFUNCTION("""COMPUTED_VALUE"""),903.0)</f>
        <v>903</v>
      </c>
      <c r="M3432" s="5">
        <f>IFERROR(__xludf.DUMMYFUNCTION("""COMPUTED_VALUE"""),1.0)</f>
        <v>1</v>
      </c>
    </row>
    <row r="3433">
      <c r="A3433" s="10" t="str">
        <f>IFERROR(__xludf.DUMMYFUNCTION("""COMPUTED_VALUE"""),"M@SO")</f>
        <v>M@SO</v>
      </c>
      <c r="B3433" s="10">
        <f>IFERROR(__xludf.DUMMYFUNCTION("""COMPUTED_VALUE"""),1039.0)</f>
        <v>1039</v>
      </c>
      <c r="C3433" s="10">
        <f>IFERROR(__xludf.DUMMYFUNCTION("""COMPUTED_VALUE"""),12167.0)</f>
        <v>12167</v>
      </c>
      <c r="D3433" s="5">
        <f>IFERROR(__xludf.DUMMYFUNCTION("""COMPUTED_VALUE"""),0.4089683680805176)</f>
        <v>0.4089683681</v>
      </c>
      <c r="E3433" s="5">
        <f>IFERROR(__xludf.DUMMYFUNCTION("""COMPUTED_VALUE"""),0.123921639108555)</f>
        <v>0.1239216391</v>
      </c>
      <c r="F3433" s="5">
        <f>IFERROR(__xludf.DUMMYFUNCTION("""COMPUTED_VALUE"""),0.21702012940330698)</f>
        <v>0.2170201294</v>
      </c>
      <c r="G3433" s="5">
        <f>IFERROR(__xludf.DUMMYFUNCTION("""COMPUTED_VALUE"""),0.16516894320632639)</f>
        <v>0.1651689432</v>
      </c>
      <c r="H3433" s="5">
        <f>IFERROR(__xludf.DUMMYFUNCTION("""COMPUTED_VALUE"""),0.5971014492753624)</f>
        <v>0.5971014493</v>
      </c>
      <c r="I3433" s="11">
        <f>IFERROR(__xludf.DUMMYFUNCTION("""COMPUTED_VALUE"""),5119.089026915114)</f>
        <v>5119.089027</v>
      </c>
      <c r="J3433" s="10">
        <f>IFERROR(__xludf.DUMMYFUNCTION("""COMPUTED_VALUE"""),2.0)</f>
        <v>2</v>
      </c>
      <c r="K3433" s="5">
        <f>IFERROR(__xludf.DUMMYFUNCTION("""COMPUTED_VALUE"""),0.0019249278152069298)</f>
        <v>0.001924927815</v>
      </c>
      <c r="L3433" s="10">
        <f>IFERROR(__xludf.DUMMYFUNCTION("""COMPUTED_VALUE"""),1039.0)</f>
        <v>1039</v>
      </c>
      <c r="M3433" s="5">
        <f>IFERROR(__xludf.DUMMYFUNCTION("""COMPUTED_VALUE"""),1.0)</f>
        <v>1</v>
      </c>
    </row>
    <row r="3434">
      <c r="A3434" s="10" t="str">
        <f>IFERROR(__xludf.DUMMYFUNCTION("""COMPUTED_VALUE"""),"VONAPALT")</f>
        <v>VONAPALT</v>
      </c>
      <c r="B3434" s="10">
        <f>IFERROR(__xludf.DUMMYFUNCTION("""COMPUTED_VALUE"""),1822.0)</f>
        <v>1822</v>
      </c>
      <c r="C3434" s="10">
        <f>IFERROR(__xludf.DUMMYFUNCTION("""COMPUTED_VALUE"""),21295.0)</f>
        <v>21295</v>
      </c>
      <c r="D3434" s="5">
        <f>IFERROR(__xludf.DUMMYFUNCTION("""COMPUTED_VALUE"""),0.31736250192574333)</f>
        <v>0.3173625019</v>
      </c>
      <c r="E3434" s="5">
        <f>IFERROR(__xludf.DUMMYFUNCTION("""COMPUTED_VALUE"""),0.12391516458686386)</f>
        <v>0.1239151646</v>
      </c>
      <c r="F3434" s="5">
        <f>IFERROR(__xludf.DUMMYFUNCTION("""COMPUTED_VALUE"""),0.2157346068915935)</f>
        <v>0.2157346069</v>
      </c>
      <c r="G3434" s="5">
        <f>IFERROR(__xludf.DUMMYFUNCTION("""COMPUTED_VALUE"""),0.16448415755148155)</f>
        <v>0.1644841576</v>
      </c>
      <c r="H3434" s="5">
        <f>IFERROR(__xludf.DUMMYFUNCTION("""COMPUTED_VALUE"""),0.5879552487502976)</f>
        <v>0.5879552488</v>
      </c>
      <c r="I3434" s="11">
        <f>IFERROR(__xludf.DUMMYFUNCTION("""COMPUTED_VALUE"""),5326.8269459652465)</f>
        <v>5326.826946</v>
      </c>
      <c r="J3434" s="10">
        <f>IFERROR(__xludf.DUMMYFUNCTION("""COMPUTED_VALUE"""),3.0)</f>
        <v>3</v>
      </c>
      <c r="K3434" s="5">
        <f>IFERROR(__xludf.DUMMYFUNCTION("""COMPUTED_VALUE"""),0.001646542261251372)</f>
        <v>0.001646542261</v>
      </c>
      <c r="L3434" s="10">
        <f>IFERROR(__xludf.DUMMYFUNCTION("""COMPUTED_VALUE"""),1822.0)</f>
        <v>1822</v>
      </c>
      <c r="M3434" s="5">
        <f>IFERROR(__xludf.DUMMYFUNCTION("""COMPUTED_VALUE"""),1.0)</f>
        <v>1</v>
      </c>
    </row>
    <row r="3435">
      <c r="A3435" s="10" t="str">
        <f>IFERROR(__xludf.DUMMYFUNCTION("""COMPUTED_VALUE"""),"猿-Saru-")</f>
        <v>猿-Saru-</v>
      </c>
      <c r="B3435" s="10">
        <f>IFERROR(__xludf.DUMMYFUNCTION("""COMPUTED_VALUE"""),243.0)</f>
        <v>243</v>
      </c>
      <c r="C3435" s="10">
        <f>IFERROR(__xludf.DUMMYFUNCTION("""COMPUTED_VALUE"""),2777.0)</f>
        <v>2777</v>
      </c>
      <c r="D3435" s="5">
        <f>IFERROR(__xludf.DUMMYFUNCTION("""COMPUTED_VALUE"""),0.31373322809786897)</f>
        <v>0.3137332281</v>
      </c>
      <c r="E3435" s="5">
        <f>IFERROR(__xludf.DUMMYFUNCTION("""COMPUTED_VALUE"""),0.1239147592738753)</f>
        <v>0.1239147593</v>
      </c>
      <c r="F3435" s="5">
        <f>IFERROR(__xludf.DUMMYFUNCTION("""COMPUTED_VALUE"""),0.21586424625098657)</f>
        <v>0.2158642463</v>
      </c>
      <c r="G3435" s="5">
        <f>IFERROR(__xludf.DUMMYFUNCTION("""COMPUTED_VALUE"""),0.2079715864246251)</f>
        <v>0.2079715864</v>
      </c>
      <c r="H3435" s="5">
        <f>IFERROR(__xludf.DUMMYFUNCTION("""COMPUTED_VALUE"""),0.5941499085923218)</f>
        <v>0.5941499086</v>
      </c>
      <c r="I3435" s="11">
        <f>IFERROR(__xludf.DUMMYFUNCTION("""COMPUTED_VALUE"""),5576.782449725777)</f>
        <v>5576.78245</v>
      </c>
      <c r="J3435" s="10">
        <f>IFERROR(__xludf.DUMMYFUNCTION("""COMPUTED_VALUE"""),1.0)</f>
        <v>1</v>
      </c>
      <c r="K3435" s="5">
        <f>IFERROR(__xludf.DUMMYFUNCTION("""COMPUTED_VALUE"""),0.00411522633744856)</f>
        <v>0.004115226337</v>
      </c>
      <c r="L3435" s="10">
        <f>IFERROR(__xludf.DUMMYFUNCTION("""COMPUTED_VALUE"""),243.0)</f>
        <v>243</v>
      </c>
      <c r="M3435" s="5">
        <f>IFERROR(__xludf.DUMMYFUNCTION("""COMPUTED_VALUE"""),1.0)</f>
        <v>1</v>
      </c>
    </row>
    <row r="3436">
      <c r="A3436" s="10" t="str">
        <f>IFERROR(__xludf.DUMMYFUNCTION("""COMPUTED_VALUE"""),"乱れ打ちのみ可")</f>
        <v>乱れ打ちのみ可</v>
      </c>
      <c r="B3436" s="10">
        <f>IFERROR(__xludf.DUMMYFUNCTION("""COMPUTED_VALUE"""),480.0)</f>
        <v>480</v>
      </c>
      <c r="C3436" s="10">
        <f>IFERROR(__xludf.DUMMYFUNCTION("""COMPUTED_VALUE"""),5637.0)</f>
        <v>5637</v>
      </c>
      <c r="D3436" s="5">
        <f>IFERROR(__xludf.DUMMYFUNCTION("""COMPUTED_VALUE"""),0.3061857669187512)</f>
        <v>0.3061857669</v>
      </c>
      <c r="E3436" s="5">
        <f>IFERROR(__xludf.DUMMYFUNCTION("""COMPUTED_VALUE"""),0.12390924956369982)</f>
        <v>0.1239092496</v>
      </c>
      <c r="F3436" s="5">
        <f>IFERROR(__xludf.DUMMYFUNCTION("""COMPUTED_VALUE"""),0.2183439984487105)</f>
        <v>0.2183439984</v>
      </c>
      <c r="G3436" s="5">
        <f>IFERROR(__xludf.DUMMYFUNCTION("""COMPUTED_VALUE"""),0.17258095792127207)</f>
        <v>0.1725809579</v>
      </c>
      <c r="H3436" s="5">
        <f>IFERROR(__xludf.DUMMYFUNCTION("""COMPUTED_VALUE"""),0.5896980461811723)</f>
        <v>0.5896980462</v>
      </c>
      <c r="I3436" s="11">
        <f>IFERROR(__xludf.DUMMYFUNCTION("""COMPUTED_VALUE"""),5309.236234458259)</f>
        <v>5309.236234</v>
      </c>
      <c r="J3436" s="10">
        <f>IFERROR(__xludf.DUMMYFUNCTION("""COMPUTED_VALUE"""),2.0)</f>
        <v>2</v>
      </c>
      <c r="K3436" s="5">
        <f>IFERROR(__xludf.DUMMYFUNCTION("""COMPUTED_VALUE"""),0.004166666666666667)</f>
        <v>0.004166666667</v>
      </c>
      <c r="L3436" s="10">
        <f>IFERROR(__xludf.DUMMYFUNCTION("""COMPUTED_VALUE"""),480.0)</f>
        <v>480</v>
      </c>
      <c r="M3436" s="5">
        <f>IFERROR(__xludf.DUMMYFUNCTION("""COMPUTED_VALUE"""),1.0)</f>
        <v>1</v>
      </c>
    </row>
    <row r="3437">
      <c r="A3437" s="10" t="str">
        <f>IFERROR(__xludf.DUMMYFUNCTION("""COMPUTED_VALUE"""),"sumail")</f>
        <v>sumail</v>
      </c>
      <c r="B3437" s="10">
        <f>IFERROR(__xludf.DUMMYFUNCTION("""COMPUTED_VALUE"""),463.0)</f>
        <v>463</v>
      </c>
      <c r="C3437" s="10">
        <f>IFERROR(__xludf.DUMMYFUNCTION("""COMPUTED_VALUE"""),5467.0)</f>
        <v>5467</v>
      </c>
      <c r="D3437" s="5">
        <f>IFERROR(__xludf.DUMMYFUNCTION("""COMPUTED_VALUE"""),0.4186650679456435)</f>
        <v>0.4186650679</v>
      </c>
      <c r="E3437" s="5">
        <f>IFERROR(__xludf.DUMMYFUNCTION("""COMPUTED_VALUE"""),0.12390087929656275)</f>
        <v>0.1239008793</v>
      </c>
      <c r="F3437" s="5">
        <f>IFERROR(__xludf.DUMMYFUNCTION("""COMPUTED_VALUE"""),0.20783373301358912)</f>
        <v>0.207833733</v>
      </c>
      <c r="G3437" s="5">
        <f>IFERROR(__xludf.DUMMYFUNCTION("""COMPUTED_VALUE"""),0.1682653876898481)</f>
        <v>0.1682653877</v>
      </c>
      <c r="H3437" s="5">
        <f>IFERROR(__xludf.DUMMYFUNCTION("""COMPUTED_VALUE"""),0.5942307692307692)</f>
        <v>0.5942307692</v>
      </c>
      <c r="I3437" s="11">
        <f>IFERROR(__xludf.DUMMYFUNCTION("""COMPUTED_VALUE"""),5410.0)</f>
        <v>5410</v>
      </c>
      <c r="J3437" s="10">
        <f>IFERROR(__xludf.DUMMYFUNCTION("""COMPUTED_VALUE"""),0.0)</f>
        <v>0</v>
      </c>
      <c r="K3437" s="5">
        <f>IFERROR(__xludf.DUMMYFUNCTION("""COMPUTED_VALUE"""),0.0)</f>
        <v>0</v>
      </c>
      <c r="L3437" s="10">
        <f>IFERROR(__xludf.DUMMYFUNCTION("""COMPUTED_VALUE"""),344.0)</f>
        <v>344</v>
      </c>
      <c r="M3437" s="5">
        <f>IFERROR(__xludf.DUMMYFUNCTION("""COMPUTED_VALUE"""),0.7429805615550756)</f>
        <v>0.7429805616</v>
      </c>
    </row>
    <row r="3438">
      <c r="A3438" s="10" t="str">
        <f>IFERROR(__xludf.DUMMYFUNCTION("""COMPUTED_VALUE"""),"mi1kteaa")</f>
        <v>mi1kteaa</v>
      </c>
      <c r="B3438" s="10">
        <f>IFERROR(__xludf.DUMMYFUNCTION("""COMPUTED_VALUE"""),240.0)</f>
        <v>240</v>
      </c>
      <c r="C3438" s="10">
        <f>IFERROR(__xludf.DUMMYFUNCTION("""COMPUTED_VALUE"""),2726.0)</f>
        <v>2726</v>
      </c>
      <c r="D3438" s="5">
        <f>IFERROR(__xludf.DUMMYFUNCTION("""COMPUTED_VALUE"""),0.3085277554304103)</f>
        <v>0.3085277554</v>
      </c>
      <c r="E3438" s="5">
        <f>IFERROR(__xludf.DUMMYFUNCTION("""COMPUTED_VALUE"""),0.12389380530973451)</f>
        <v>0.1238938053</v>
      </c>
      <c r="F3438" s="5">
        <f>IFERROR(__xludf.DUMMYFUNCTION("""COMPUTED_VALUE"""),0.19549477071600965)</f>
        <v>0.1954947707</v>
      </c>
      <c r="G3438" s="5">
        <f>IFERROR(__xludf.DUMMYFUNCTION("""COMPUTED_VALUE"""),0.18704746580852777)</f>
        <v>0.1870474658</v>
      </c>
      <c r="H3438" s="5">
        <f>IFERROR(__xludf.DUMMYFUNCTION("""COMPUTED_VALUE"""),0.5679012345679012)</f>
        <v>0.5679012346</v>
      </c>
      <c r="I3438" s="11">
        <f>IFERROR(__xludf.DUMMYFUNCTION("""COMPUTED_VALUE"""),5587.242798353909)</f>
        <v>5587.242798</v>
      </c>
      <c r="J3438" s="10">
        <f>IFERROR(__xludf.DUMMYFUNCTION("""COMPUTED_VALUE"""),0.0)</f>
        <v>0</v>
      </c>
      <c r="K3438" s="5">
        <f>IFERROR(__xludf.DUMMYFUNCTION("""COMPUTED_VALUE"""),0.0)</f>
        <v>0</v>
      </c>
      <c r="L3438" s="10">
        <f>IFERROR(__xludf.DUMMYFUNCTION("""COMPUTED_VALUE"""),72.0)</f>
        <v>72</v>
      </c>
      <c r="M3438" s="5">
        <f>IFERROR(__xludf.DUMMYFUNCTION("""COMPUTED_VALUE"""),0.3)</f>
        <v>0.3</v>
      </c>
    </row>
    <row r="3439">
      <c r="A3439" s="10" t="str">
        <f>IFERROR(__xludf.DUMMYFUNCTION("""COMPUTED_VALUE"""),"ドーンド")</f>
        <v>ドーンド</v>
      </c>
      <c r="B3439" s="10">
        <f>IFERROR(__xludf.DUMMYFUNCTION("""COMPUTED_VALUE"""),267.0)</f>
        <v>267</v>
      </c>
      <c r="C3439" s="10">
        <f>IFERROR(__xludf.DUMMYFUNCTION("""COMPUTED_VALUE"""),3068.0)</f>
        <v>3068</v>
      </c>
      <c r="D3439" s="5">
        <f>IFERROR(__xludf.DUMMYFUNCTION("""COMPUTED_VALUE"""),0.41163870046411993)</f>
        <v>0.4116387005</v>
      </c>
      <c r="E3439" s="5">
        <f>IFERROR(__xludf.DUMMYFUNCTION("""COMPUTED_VALUE"""),0.12388432702606213)</f>
        <v>0.123884327</v>
      </c>
      <c r="F3439" s="5">
        <f>IFERROR(__xludf.DUMMYFUNCTION("""COMPUTED_VALUE"""),0.21135308818279186)</f>
        <v>0.2113530882</v>
      </c>
      <c r="G3439" s="5">
        <f>IFERROR(__xludf.DUMMYFUNCTION("""COMPUTED_VALUE"""),0.1385219564441271)</f>
        <v>0.1385219564</v>
      </c>
      <c r="H3439" s="5">
        <f>IFERROR(__xludf.DUMMYFUNCTION("""COMPUTED_VALUE"""),0.597972972972973)</f>
        <v>0.597972973</v>
      </c>
      <c r="I3439" s="11">
        <f>IFERROR(__xludf.DUMMYFUNCTION("""COMPUTED_VALUE"""),5557.601351351352)</f>
        <v>5557.601351</v>
      </c>
      <c r="J3439" s="10">
        <f>IFERROR(__xludf.DUMMYFUNCTION("""COMPUTED_VALUE"""),0.0)</f>
        <v>0</v>
      </c>
      <c r="K3439" s="5">
        <f>IFERROR(__xludf.DUMMYFUNCTION("""COMPUTED_VALUE"""),0.0)</f>
        <v>0</v>
      </c>
      <c r="L3439" s="10">
        <f>IFERROR(__xludf.DUMMYFUNCTION("""COMPUTED_VALUE"""),267.0)</f>
        <v>267</v>
      </c>
      <c r="M3439" s="5">
        <f>IFERROR(__xludf.DUMMYFUNCTION("""COMPUTED_VALUE"""),1.0)</f>
        <v>1</v>
      </c>
    </row>
    <row r="3440">
      <c r="A3440" s="10" t="str">
        <f>IFERROR(__xludf.DUMMYFUNCTION("""COMPUTED_VALUE"""),"ダマはずるい")</f>
        <v>ダマはずるい</v>
      </c>
      <c r="B3440" s="10">
        <f>IFERROR(__xludf.DUMMYFUNCTION("""COMPUTED_VALUE"""),217.0)</f>
        <v>217</v>
      </c>
      <c r="C3440" s="10">
        <f>IFERROR(__xludf.DUMMYFUNCTION("""COMPUTED_VALUE"""),2558.0)</f>
        <v>2558</v>
      </c>
      <c r="D3440" s="5">
        <f>IFERROR(__xludf.DUMMYFUNCTION("""COMPUTED_VALUE"""),0.37163605296881674)</f>
        <v>0.371636053</v>
      </c>
      <c r="E3440" s="5">
        <f>IFERROR(__xludf.DUMMYFUNCTION("""COMPUTED_VALUE"""),0.12387868432293891)</f>
        <v>0.1238786843</v>
      </c>
      <c r="F3440" s="5">
        <f>IFERROR(__xludf.DUMMYFUNCTION("""COMPUTED_VALUE"""),0.20076890217855617)</f>
        <v>0.2007689022</v>
      </c>
      <c r="G3440" s="5">
        <f>IFERROR(__xludf.DUMMYFUNCTION("""COMPUTED_VALUE"""),0.16146945749679625)</f>
        <v>0.1614694575</v>
      </c>
      <c r="H3440" s="5">
        <f>IFERROR(__xludf.DUMMYFUNCTION("""COMPUTED_VALUE"""),0.6170212765957447)</f>
        <v>0.6170212766</v>
      </c>
      <c r="I3440" s="11">
        <f>IFERROR(__xludf.DUMMYFUNCTION("""COMPUTED_VALUE"""),5344.893617021276)</f>
        <v>5344.893617</v>
      </c>
      <c r="J3440" s="10">
        <f>IFERROR(__xludf.DUMMYFUNCTION("""COMPUTED_VALUE"""),0.0)</f>
        <v>0</v>
      </c>
      <c r="K3440" s="5">
        <f>IFERROR(__xludf.DUMMYFUNCTION("""COMPUTED_VALUE"""),0.0)</f>
        <v>0</v>
      </c>
      <c r="L3440" s="10">
        <f>IFERROR(__xludf.DUMMYFUNCTION("""COMPUTED_VALUE"""),217.0)</f>
        <v>217</v>
      </c>
      <c r="M3440" s="5">
        <f>IFERROR(__xludf.DUMMYFUNCTION("""COMPUTED_VALUE"""),1.0)</f>
        <v>1</v>
      </c>
    </row>
    <row r="3441">
      <c r="A3441" s="10" t="str">
        <f>IFERROR(__xludf.DUMMYFUNCTION("""COMPUTED_VALUE"""),"†チタンダエル†")</f>
        <v>†チタンダエル†</v>
      </c>
      <c r="B3441" s="10">
        <f>IFERROR(__xludf.DUMMYFUNCTION("""COMPUTED_VALUE"""),215.0)</f>
        <v>215</v>
      </c>
      <c r="C3441" s="10">
        <f>IFERROR(__xludf.DUMMYFUNCTION("""COMPUTED_VALUE"""),2548.0)</f>
        <v>2548</v>
      </c>
      <c r="D3441" s="5">
        <f>IFERROR(__xludf.DUMMYFUNCTION("""COMPUTED_VALUE"""),0.3206172310330047)</f>
        <v>0.320617231</v>
      </c>
      <c r="E3441" s="5">
        <f>IFERROR(__xludf.DUMMYFUNCTION("""COMPUTED_VALUE"""),0.12387483926275182)</f>
        <v>0.1238748393</v>
      </c>
      <c r="F3441" s="5">
        <f>IFERROR(__xludf.DUMMYFUNCTION("""COMPUTED_VALUE"""),0.22117445349335618)</f>
        <v>0.2211744535</v>
      </c>
      <c r="G3441" s="5">
        <f>IFERROR(__xludf.DUMMYFUNCTION("""COMPUTED_VALUE"""),0.19717102443206172)</f>
        <v>0.1971710244</v>
      </c>
      <c r="H3441" s="5">
        <f>IFERROR(__xludf.DUMMYFUNCTION("""COMPUTED_VALUE"""),0.5794573643410853)</f>
        <v>0.5794573643</v>
      </c>
      <c r="I3441" s="11">
        <f>IFERROR(__xludf.DUMMYFUNCTION("""COMPUTED_VALUE"""),5048.2558139534885)</f>
        <v>5048.255814</v>
      </c>
      <c r="J3441" s="10">
        <f>IFERROR(__xludf.DUMMYFUNCTION("""COMPUTED_VALUE"""),0.0)</f>
        <v>0</v>
      </c>
      <c r="K3441" s="5">
        <f>IFERROR(__xludf.DUMMYFUNCTION("""COMPUTED_VALUE"""),0.0)</f>
        <v>0</v>
      </c>
      <c r="L3441" s="10">
        <f>IFERROR(__xludf.DUMMYFUNCTION("""COMPUTED_VALUE"""),213.0)</f>
        <v>213</v>
      </c>
      <c r="M3441" s="5">
        <f>IFERROR(__xludf.DUMMYFUNCTION("""COMPUTED_VALUE"""),0.9906976744186047)</f>
        <v>0.9906976744</v>
      </c>
    </row>
    <row r="3442">
      <c r="A3442" s="10" t="str">
        <f>IFERROR(__xludf.DUMMYFUNCTION("""COMPUTED_VALUE"""),"wawa3030")</f>
        <v>wawa3030</v>
      </c>
      <c r="B3442" s="10">
        <f>IFERROR(__xludf.DUMMYFUNCTION("""COMPUTED_VALUE"""),4854.0)</f>
        <v>4854</v>
      </c>
      <c r="C3442" s="10">
        <f>IFERROR(__xludf.DUMMYFUNCTION("""COMPUTED_VALUE"""),56845.0)</f>
        <v>56845</v>
      </c>
      <c r="D3442" s="5">
        <f>IFERROR(__xludf.DUMMYFUNCTION("""COMPUTED_VALUE"""),0.26314169760150796)</f>
        <v>0.2631416976</v>
      </c>
      <c r="E3442" s="5">
        <f>IFERROR(__xludf.DUMMYFUNCTION("""COMPUTED_VALUE"""),0.12386759246792714)</f>
        <v>0.1238675925</v>
      </c>
      <c r="F3442" s="5">
        <f>IFERROR(__xludf.DUMMYFUNCTION("""COMPUTED_VALUE"""),0.20320824758131215)</f>
        <v>0.2032082476</v>
      </c>
      <c r="G3442" s="5">
        <f>IFERROR(__xludf.DUMMYFUNCTION("""COMPUTED_VALUE"""),0.19799580696659036)</f>
        <v>0.197995807</v>
      </c>
      <c r="H3442" s="5">
        <f>IFERROR(__xludf.DUMMYFUNCTION("""COMPUTED_VALUE"""),0.5851396119261714)</f>
        <v>0.5851396119</v>
      </c>
      <c r="I3442" s="11">
        <f>IFERROR(__xludf.DUMMYFUNCTION("""COMPUTED_VALUE"""),5972.077614765736)</f>
        <v>5972.077615</v>
      </c>
      <c r="J3442" s="10">
        <f>IFERROR(__xludf.DUMMYFUNCTION("""COMPUTED_VALUE"""),11.0)</f>
        <v>11</v>
      </c>
      <c r="K3442" s="5">
        <f>IFERROR(__xludf.DUMMYFUNCTION("""COMPUTED_VALUE"""),0.002266172229089411)</f>
        <v>0.002266172229</v>
      </c>
      <c r="L3442" s="10">
        <f>IFERROR(__xludf.DUMMYFUNCTION("""COMPUTED_VALUE"""),4854.0)</f>
        <v>4854</v>
      </c>
      <c r="M3442" s="5">
        <f>IFERROR(__xludf.DUMMYFUNCTION("""COMPUTED_VALUE"""),1.0)</f>
        <v>1</v>
      </c>
    </row>
    <row r="3443">
      <c r="A3443" s="10" t="str">
        <f>IFERROR(__xludf.DUMMYFUNCTION("""COMPUTED_VALUE"""),"つばきち03")</f>
        <v>つばきち03</v>
      </c>
      <c r="B3443" s="10">
        <f>IFERROR(__xludf.DUMMYFUNCTION("""COMPUTED_VALUE"""),3137.0)</f>
        <v>3137</v>
      </c>
      <c r="C3443" s="10">
        <f>IFERROR(__xludf.DUMMYFUNCTION("""COMPUTED_VALUE"""),37174.0)</f>
        <v>37174</v>
      </c>
      <c r="D3443" s="5">
        <f>IFERROR(__xludf.DUMMYFUNCTION("""COMPUTED_VALUE"""),0.4321179892469959)</f>
        <v>0.4321179892</v>
      </c>
      <c r="E3443" s="5">
        <f>IFERROR(__xludf.DUMMYFUNCTION("""COMPUTED_VALUE"""),0.12386520551164909)</f>
        <v>0.1238652055</v>
      </c>
      <c r="F3443" s="5">
        <f>IFERROR(__xludf.DUMMYFUNCTION("""COMPUTED_VALUE"""),0.21582395628286866)</f>
        <v>0.2158239563</v>
      </c>
      <c r="G3443" s="5">
        <f>IFERROR(__xludf.DUMMYFUNCTION("""COMPUTED_VALUE"""),0.16197079648617682)</f>
        <v>0.1619707965</v>
      </c>
      <c r="H3443" s="5">
        <f>IFERROR(__xludf.DUMMYFUNCTION("""COMPUTED_VALUE"""),0.6018241219711408)</f>
        <v>0.601824122</v>
      </c>
      <c r="I3443" s="11">
        <f>IFERROR(__xludf.DUMMYFUNCTION("""COMPUTED_VALUE"""),5463.150013612851)</f>
        <v>5463.150014</v>
      </c>
      <c r="J3443" s="10">
        <f>IFERROR(__xludf.DUMMYFUNCTION("""COMPUTED_VALUE"""),10.0)</f>
        <v>10</v>
      </c>
      <c r="K3443" s="5">
        <f>IFERROR(__xludf.DUMMYFUNCTION("""COMPUTED_VALUE"""),0.0031877590054191903)</f>
        <v>0.003187759005</v>
      </c>
      <c r="L3443" s="10">
        <f>IFERROR(__xludf.DUMMYFUNCTION("""COMPUTED_VALUE"""),2982.0)</f>
        <v>2982</v>
      </c>
      <c r="M3443" s="5">
        <f>IFERROR(__xludf.DUMMYFUNCTION("""COMPUTED_VALUE"""),0.9505897354160026)</f>
        <v>0.9505897354</v>
      </c>
    </row>
    <row r="3444">
      <c r="A3444" s="10" t="str">
        <f>IFERROR(__xludf.DUMMYFUNCTION("""COMPUTED_VALUE"""),"残尿感ない？")</f>
        <v>残尿感ない？</v>
      </c>
      <c r="B3444" s="10">
        <f>IFERROR(__xludf.DUMMYFUNCTION("""COMPUTED_VALUE"""),1391.0)</f>
        <v>1391</v>
      </c>
      <c r="C3444" s="10">
        <f>IFERROR(__xludf.DUMMYFUNCTION("""COMPUTED_VALUE"""),16433.0)</f>
        <v>16433</v>
      </c>
      <c r="D3444" s="5">
        <f>IFERROR(__xludf.DUMMYFUNCTION("""COMPUTED_VALUE"""),0.3823959579843106)</f>
        <v>0.382395958</v>
      </c>
      <c r="E3444" s="5">
        <f>IFERROR(__xludf.DUMMYFUNCTION("""COMPUTED_VALUE"""),0.12385321100917432)</f>
        <v>0.123853211</v>
      </c>
      <c r="F3444" s="5">
        <f>IFERROR(__xludf.DUMMYFUNCTION("""COMPUTED_VALUE"""),0.21745778486903336)</f>
        <v>0.2174577849</v>
      </c>
      <c r="G3444" s="5">
        <f>IFERROR(__xludf.DUMMYFUNCTION("""COMPUTED_VALUE"""),0.15124318574657625)</f>
        <v>0.1512431857</v>
      </c>
      <c r="H3444" s="5">
        <f>IFERROR(__xludf.DUMMYFUNCTION("""COMPUTED_VALUE"""),0.6001222867624579)</f>
        <v>0.6001222868</v>
      </c>
      <c r="I3444" s="11">
        <f>IFERROR(__xludf.DUMMYFUNCTION("""COMPUTED_VALUE"""),5552.980739834913)</f>
        <v>5552.98074</v>
      </c>
      <c r="J3444" s="10">
        <f>IFERROR(__xludf.DUMMYFUNCTION("""COMPUTED_VALUE"""),2.0)</f>
        <v>2</v>
      </c>
      <c r="K3444" s="5">
        <f>IFERROR(__xludf.DUMMYFUNCTION("""COMPUTED_VALUE"""),0.0014378145219266715)</f>
        <v>0.001437814522</v>
      </c>
      <c r="L3444" s="10">
        <f>IFERROR(__xludf.DUMMYFUNCTION("""COMPUTED_VALUE"""),0.0)</f>
        <v>0</v>
      </c>
      <c r="M3444" s="5">
        <f>IFERROR(__xludf.DUMMYFUNCTION("""COMPUTED_VALUE"""),0.0)</f>
        <v>0</v>
      </c>
    </row>
    <row r="3445">
      <c r="A3445" s="10" t="str">
        <f>IFERROR(__xludf.DUMMYFUNCTION("""COMPUTED_VALUE"""),"まる")</f>
        <v>まる</v>
      </c>
      <c r="B3445" s="10">
        <f>IFERROR(__xludf.DUMMYFUNCTION("""COMPUTED_VALUE"""),1262.0)</f>
        <v>1262</v>
      </c>
      <c r="C3445" s="10">
        <f>IFERROR(__xludf.DUMMYFUNCTION("""COMPUTED_VALUE"""),14657.0)</f>
        <v>14657</v>
      </c>
      <c r="D3445" s="5">
        <f>IFERROR(__xludf.DUMMYFUNCTION("""COMPUTED_VALUE"""),0.3186263531168346)</f>
        <v>0.3186263531</v>
      </c>
      <c r="E3445" s="5">
        <f>IFERROR(__xludf.DUMMYFUNCTION("""COMPUTED_VALUE"""),0.1238521836506159)</f>
        <v>0.1238521837</v>
      </c>
      <c r="F3445" s="5">
        <f>IFERROR(__xludf.DUMMYFUNCTION("""COMPUTED_VALUE"""),0.2003732736095558)</f>
        <v>0.2003732736</v>
      </c>
      <c r="G3445" s="5">
        <f>IFERROR(__xludf.DUMMYFUNCTION("""COMPUTED_VALUE"""),0.18141097424412095)</f>
        <v>0.1814109742</v>
      </c>
      <c r="H3445" s="5">
        <f>IFERROR(__xludf.DUMMYFUNCTION("""COMPUTED_VALUE"""),0.5782414307004471)</f>
        <v>0.5782414307</v>
      </c>
      <c r="I3445" s="11">
        <f>IFERROR(__xludf.DUMMYFUNCTION("""COMPUTED_VALUE"""),5894.672131147541)</f>
        <v>5894.672131</v>
      </c>
      <c r="J3445" s="10">
        <f>IFERROR(__xludf.DUMMYFUNCTION("""COMPUTED_VALUE"""),5.0)</f>
        <v>5</v>
      </c>
      <c r="K3445" s="5">
        <f>IFERROR(__xludf.DUMMYFUNCTION("""COMPUTED_VALUE"""),0.003961965134706815)</f>
        <v>0.003961965135</v>
      </c>
      <c r="L3445" s="10">
        <f>IFERROR(__xludf.DUMMYFUNCTION("""COMPUTED_VALUE"""),1262.0)</f>
        <v>1262</v>
      </c>
      <c r="M3445" s="5">
        <f>IFERROR(__xludf.DUMMYFUNCTION("""COMPUTED_VALUE"""),1.0)</f>
        <v>1</v>
      </c>
    </row>
    <row r="3446">
      <c r="A3446" s="10" t="str">
        <f>IFERROR(__xludf.DUMMYFUNCTION("""COMPUTED_VALUE"""),"モブ池田♪")</f>
        <v>モブ池田♪</v>
      </c>
      <c r="B3446" s="10">
        <f>IFERROR(__xludf.DUMMYFUNCTION("""COMPUTED_VALUE"""),364.0)</f>
        <v>364</v>
      </c>
      <c r="C3446" s="10">
        <f>IFERROR(__xludf.DUMMYFUNCTION("""COMPUTED_VALUE"""),4256.0)</f>
        <v>4256</v>
      </c>
      <c r="D3446" s="5">
        <f>IFERROR(__xludf.DUMMYFUNCTION("""COMPUTED_VALUE"""),0.35303186022610483)</f>
        <v>0.3530318602</v>
      </c>
      <c r="E3446" s="5">
        <f>IFERROR(__xludf.DUMMYFUNCTION("""COMPUTED_VALUE"""),0.12384378211716342)</f>
        <v>0.1238437821</v>
      </c>
      <c r="F3446" s="5">
        <f>IFERROR(__xludf.DUMMYFUNCTION("""COMPUTED_VALUE"""),0.2091469681397739)</f>
        <v>0.2091469681</v>
      </c>
      <c r="G3446" s="5">
        <f>IFERROR(__xludf.DUMMYFUNCTION("""COMPUTED_VALUE"""),0.1986125385405961)</f>
        <v>0.1986125385</v>
      </c>
      <c r="H3446" s="5">
        <f>IFERROR(__xludf.DUMMYFUNCTION("""COMPUTED_VALUE"""),0.5700245700245701)</f>
        <v>0.57002457</v>
      </c>
      <c r="I3446" s="11">
        <f>IFERROR(__xludf.DUMMYFUNCTION("""COMPUTED_VALUE"""),5499.87714987715)</f>
        <v>5499.87715</v>
      </c>
      <c r="J3446" s="10">
        <f>IFERROR(__xludf.DUMMYFUNCTION("""COMPUTED_VALUE"""),0.0)</f>
        <v>0</v>
      </c>
      <c r="K3446" s="5">
        <f>IFERROR(__xludf.DUMMYFUNCTION("""COMPUTED_VALUE"""),0.0)</f>
        <v>0</v>
      </c>
      <c r="L3446" s="10">
        <f>IFERROR(__xludf.DUMMYFUNCTION("""COMPUTED_VALUE"""),0.0)</f>
        <v>0</v>
      </c>
      <c r="M3446" s="5">
        <f>IFERROR(__xludf.DUMMYFUNCTION("""COMPUTED_VALUE"""),0.0)</f>
        <v>0</v>
      </c>
    </row>
    <row r="3447">
      <c r="A3447" s="10" t="str">
        <f>IFERROR(__xludf.DUMMYFUNCTION("""COMPUTED_VALUE"""),"龍伯")</f>
        <v>龍伯</v>
      </c>
      <c r="B3447" s="10">
        <f>IFERROR(__xludf.DUMMYFUNCTION("""COMPUTED_VALUE"""),261.0)</f>
        <v>261</v>
      </c>
      <c r="C3447" s="10">
        <f>IFERROR(__xludf.DUMMYFUNCTION("""COMPUTED_VALUE"""),3063.0)</f>
        <v>3063</v>
      </c>
      <c r="D3447" s="5">
        <f>IFERROR(__xludf.DUMMYFUNCTION("""COMPUTED_VALUE"""),0.20057102069950036)</f>
        <v>0.2005710207</v>
      </c>
      <c r="E3447" s="5">
        <f>IFERROR(__xludf.DUMMYFUNCTION("""COMPUTED_VALUE"""),0.1238401142041399)</f>
        <v>0.1238401142</v>
      </c>
      <c r="F3447" s="5">
        <f>IFERROR(__xludf.DUMMYFUNCTION("""COMPUTED_VALUE"""),0.17059243397573162)</f>
        <v>0.170592434</v>
      </c>
      <c r="G3447" s="5">
        <f>IFERROR(__xludf.DUMMYFUNCTION("""COMPUTED_VALUE"""),0.17237687366167023)</f>
        <v>0.1723768737</v>
      </c>
      <c r="H3447" s="5">
        <f>IFERROR(__xludf.DUMMYFUNCTION("""COMPUTED_VALUE"""),0.5920502092050209)</f>
        <v>0.5920502092</v>
      </c>
      <c r="I3447" s="11">
        <f>IFERROR(__xludf.DUMMYFUNCTION("""COMPUTED_VALUE"""),6919.2468619246865)</f>
        <v>6919.246862</v>
      </c>
      <c r="J3447" s="10">
        <f>IFERROR(__xludf.DUMMYFUNCTION("""COMPUTED_VALUE"""),1.0)</f>
        <v>1</v>
      </c>
      <c r="K3447" s="5">
        <f>IFERROR(__xludf.DUMMYFUNCTION("""COMPUTED_VALUE"""),0.0038314176245210726)</f>
        <v>0.003831417625</v>
      </c>
      <c r="L3447" s="10">
        <f>IFERROR(__xludf.DUMMYFUNCTION("""COMPUTED_VALUE"""),261.0)</f>
        <v>261</v>
      </c>
      <c r="M3447" s="5">
        <f>IFERROR(__xludf.DUMMYFUNCTION("""COMPUTED_VALUE"""),1.0)</f>
        <v>1</v>
      </c>
    </row>
    <row r="3448">
      <c r="A3448" s="10" t="str">
        <f>IFERROR(__xludf.DUMMYFUNCTION("""COMPUTED_VALUE"""),"gotapooh")</f>
        <v>gotapooh</v>
      </c>
      <c r="B3448" s="10">
        <f>IFERROR(__xludf.DUMMYFUNCTION("""COMPUTED_VALUE"""),1625.0)</f>
        <v>1625</v>
      </c>
      <c r="C3448" s="10">
        <f>IFERROR(__xludf.DUMMYFUNCTION("""COMPUTED_VALUE"""),18817.0)</f>
        <v>18817</v>
      </c>
      <c r="D3448" s="5">
        <f>IFERROR(__xludf.DUMMYFUNCTION("""COMPUTED_VALUE"""),0.3442298743601675)</f>
        <v>0.3442298744</v>
      </c>
      <c r="E3448" s="5">
        <f>IFERROR(__xludf.DUMMYFUNCTION("""COMPUTED_VALUE"""),0.12383666821777571)</f>
        <v>0.1238366682</v>
      </c>
      <c r="F3448" s="5">
        <f>IFERROR(__xludf.DUMMYFUNCTION("""COMPUTED_VALUE"""),0.21690321079571895)</f>
        <v>0.2169032108</v>
      </c>
      <c r="G3448" s="5">
        <f>IFERROR(__xludf.DUMMYFUNCTION("""COMPUTED_VALUE"""),0.17961842717543045)</f>
        <v>0.1796184272</v>
      </c>
      <c r="H3448" s="5">
        <f>IFERROR(__xludf.DUMMYFUNCTION("""COMPUTED_VALUE"""),0.6076696165191741)</f>
        <v>0.6076696165</v>
      </c>
      <c r="I3448" s="11">
        <f>IFERROR(__xludf.DUMMYFUNCTION("""COMPUTED_VALUE"""),5896.111558058461)</f>
        <v>5896.111558</v>
      </c>
      <c r="J3448" s="10">
        <f>IFERROR(__xludf.DUMMYFUNCTION("""COMPUTED_VALUE"""),8.0)</f>
        <v>8</v>
      </c>
      <c r="K3448" s="5">
        <f>IFERROR(__xludf.DUMMYFUNCTION("""COMPUTED_VALUE"""),0.004923076923076923)</f>
        <v>0.004923076923</v>
      </c>
      <c r="L3448" s="10">
        <f>IFERROR(__xludf.DUMMYFUNCTION("""COMPUTED_VALUE"""),1625.0)</f>
        <v>1625</v>
      </c>
      <c r="M3448" s="5">
        <f>IFERROR(__xludf.DUMMYFUNCTION("""COMPUTED_VALUE"""),1.0)</f>
        <v>1</v>
      </c>
    </row>
    <row r="3449">
      <c r="A3449" s="10" t="str">
        <f>IFERROR(__xludf.DUMMYFUNCTION("""COMPUTED_VALUE"""),"usa")</f>
        <v>usa</v>
      </c>
      <c r="B3449" s="10">
        <f>IFERROR(__xludf.DUMMYFUNCTION("""COMPUTED_VALUE"""),395.0)</f>
        <v>395</v>
      </c>
      <c r="C3449" s="10">
        <f>IFERROR(__xludf.DUMMYFUNCTION("""COMPUTED_VALUE"""),4683.0)</f>
        <v>4683</v>
      </c>
      <c r="D3449" s="5">
        <f>IFERROR(__xludf.DUMMYFUNCTION("""COMPUTED_VALUE"""),0.357509328358209)</f>
        <v>0.3575093284</v>
      </c>
      <c r="E3449" s="5">
        <f>IFERROR(__xludf.DUMMYFUNCTION("""COMPUTED_VALUE"""),0.12383395522388059)</f>
        <v>0.1238339552</v>
      </c>
      <c r="F3449" s="5">
        <f>IFERROR(__xludf.DUMMYFUNCTION("""COMPUTED_VALUE"""),0.20755597014925373)</f>
        <v>0.2075559701</v>
      </c>
      <c r="G3449" s="5">
        <f>IFERROR(__xludf.DUMMYFUNCTION("""COMPUTED_VALUE"""),0.15858208955223882)</f>
        <v>0.1585820896</v>
      </c>
      <c r="H3449" s="5">
        <f>IFERROR(__xludf.DUMMYFUNCTION("""COMPUTED_VALUE"""),0.6213483146067416)</f>
        <v>0.6213483146</v>
      </c>
      <c r="I3449" s="11">
        <f>IFERROR(__xludf.DUMMYFUNCTION("""COMPUTED_VALUE"""),5184.494382022472)</f>
        <v>5184.494382</v>
      </c>
      <c r="J3449" s="10">
        <f>IFERROR(__xludf.DUMMYFUNCTION("""COMPUTED_VALUE"""),2.0)</f>
        <v>2</v>
      </c>
      <c r="K3449" s="5">
        <f>IFERROR(__xludf.DUMMYFUNCTION("""COMPUTED_VALUE"""),0.005063291139240506)</f>
        <v>0.005063291139</v>
      </c>
      <c r="L3449" s="10">
        <f>IFERROR(__xludf.DUMMYFUNCTION("""COMPUTED_VALUE"""),128.0)</f>
        <v>128</v>
      </c>
      <c r="M3449" s="5">
        <f>IFERROR(__xludf.DUMMYFUNCTION("""COMPUTED_VALUE"""),0.3240506329113924)</f>
        <v>0.3240506329</v>
      </c>
    </row>
    <row r="3450">
      <c r="A3450" s="10" t="str">
        <f>IFERROR(__xludf.DUMMYFUNCTION("""COMPUTED_VALUE"""),"灰原哀")</f>
        <v>灰原哀</v>
      </c>
      <c r="B3450" s="10">
        <f>IFERROR(__xludf.DUMMYFUNCTION("""COMPUTED_VALUE"""),675.0)</f>
        <v>675</v>
      </c>
      <c r="C3450" s="10">
        <f>IFERROR(__xludf.DUMMYFUNCTION("""COMPUTED_VALUE"""),7912.0)</f>
        <v>7912</v>
      </c>
      <c r="D3450" s="5">
        <f>IFERROR(__xludf.DUMMYFUNCTION("""COMPUTED_VALUE"""),0.3480724056929667)</f>
        <v>0.3480724057</v>
      </c>
      <c r="E3450" s="5">
        <f>IFERROR(__xludf.DUMMYFUNCTION("""COMPUTED_VALUE"""),0.12380820782092027)</f>
        <v>0.1238082078</v>
      </c>
      <c r="F3450" s="5">
        <f>IFERROR(__xludf.DUMMYFUNCTION("""COMPUTED_VALUE"""),0.1984247616415642)</f>
        <v>0.1984247616</v>
      </c>
      <c r="G3450" s="5">
        <f>IFERROR(__xludf.DUMMYFUNCTION("""COMPUTED_VALUE"""),0.14757496200082906)</f>
        <v>0.147574962</v>
      </c>
      <c r="H3450" s="5">
        <f>IFERROR(__xludf.DUMMYFUNCTION("""COMPUTED_VALUE"""),0.6002785515320335)</f>
        <v>0.6002785515</v>
      </c>
      <c r="I3450" s="11">
        <f>IFERROR(__xludf.DUMMYFUNCTION("""COMPUTED_VALUE"""),5594.220055710306)</f>
        <v>5594.220056</v>
      </c>
      <c r="J3450" s="10">
        <f>IFERROR(__xludf.DUMMYFUNCTION("""COMPUTED_VALUE"""),3.0)</f>
        <v>3</v>
      </c>
      <c r="K3450" s="5">
        <f>IFERROR(__xludf.DUMMYFUNCTION("""COMPUTED_VALUE"""),0.0044444444444444444)</f>
        <v>0.004444444444</v>
      </c>
      <c r="L3450" s="10">
        <f>IFERROR(__xludf.DUMMYFUNCTION("""COMPUTED_VALUE"""),0.0)</f>
        <v>0</v>
      </c>
      <c r="M3450" s="5">
        <f>IFERROR(__xludf.DUMMYFUNCTION("""COMPUTED_VALUE"""),0.0)</f>
        <v>0</v>
      </c>
    </row>
    <row r="3451">
      <c r="A3451" s="10" t="str">
        <f>IFERROR(__xludf.DUMMYFUNCTION("""COMPUTED_VALUE"""),"星流＠SeiRu")</f>
        <v>星流＠SeiRu</v>
      </c>
      <c r="B3451" s="10">
        <f>IFERROR(__xludf.DUMMYFUNCTION("""COMPUTED_VALUE"""),440.0)</f>
        <v>440</v>
      </c>
      <c r="C3451" s="10">
        <f>IFERROR(__xludf.DUMMYFUNCTION("""COMPUTED_VALUE"""),5093.0)</f>
        <v>5093</v>
      </c>
      <c r="D3451" s="5">
        <f>IFERROR(__xludf.DUMMYFUNCTION("""COMPUTED_VALUE"""),0.35375026864388565)</f>
        <v>0.3537502686</v>
      </c>
      <c r="E3451" s="5">
        <f>IFERROR(__xludf.DUMMYFUNCTION("""COMPUTED_VALUE"""),0.12379110251450677)</f>
        <v>0.1237911025</v>
      </c>
      <c r="F3451" s="5">
        <f>IFERROR(__xludf.DUMMYFUNCTION("""COMPUTED_VALUE"""),0.21448527831506556)</f>
        <v>0.2144852783</v>
      </c>
      <c r="G3451" s="5">
        <f>IFERROR(__xludf.DUMMYFUNCTION("""COMPUTED_VALUE"""),0.18998495594240275)</f>
        <v>0.1899849559</v>
      </c>
      <c r="H3451" s="5">
        <f>IFERROR(__xludf.DUMMYFUNCTION("""COMPUTED_VALUE"""),0.6022044088176353)</f>
        <v>0.6022044088</v>
      </c>
      <c r="I3451" s="11">
        <f>IFERROR(__xludf.DUMMYFUNCTION("""COMPUTED_VALUE"""),5812.925851703407)</f>
        <v>5812.925852</v>
      </c>
      <c r="J3451" s="10">
        <f>IFERROR(__xludf.DUMMYFUNCTION("""COMPUTED_VALUE"""),2.0)</f>
        <v>2</v>
      </c>
      <c r="K3451" s="5">
        <f>IFERROR(__xludf.DUMMYFUNCTION("""COMPUTED_VALUE"""),0.004545454545454545)</f>
        <v>0.004545454545</v>
      </c>
      <c r="L3451" s="10">
        <f>IFERROR(__xludf.DUMMYFUNCTION("""COMPUTED_VALUE"""),440.0)</f>
        <v>440</v>
      </c>
      <c r="M3451" s="5">
        <f>IFERROR(__xludf.DUMMYFUNCTION("""COMPUTED_VALUE"""),1.0)</f>
        <v>1</v>
      </c>
    </row>
    <row r="3452">
      <c r="A3452" s="10" t="str">
        <f>IFERROR(__xludf.DUMMYFUNCTION("""COMPUTED_VALUE"""),"疾風知勁草")</f>
        <v>疾風知勁草</v>
      </c>
      <c r="B3452" s="10">
        <f>IFERROR(__xludf.DUMMYFUNCTION("""COMPUTED_VALUE"""),307.0)</f>
        <v>307</v>
      </c>
      <c r="C3452" s="10">
        <f>IFERROR(__xludf.DUMMYFUNCTION("""COMPUTED_VALUE"""),3603.0)</f>
        <v>3603</v>
      </c>
      <c r="D3452" s="5">
        <f>IFERROR(__xludf.DUMMYFUNCTION("""COMPUTED_VALUE"""),0.33191747572815533)</f>
        <v>0.3319174757</v>
      </c>
      <c r="E3452" s="5">
        <f>IFERROR(__xludf.DUMMYFUNCTION("""COMPUTED_VALUE"""),0.12378640776699029)</f>
        <v>0.1237864078</v>
      </c>
      <c r="F3452" s="5">
        <f>IFERROR(__xludf.DUMMYFUNCTION("""COMPUTED_VALUE"""),0.20145631067961164)</f>
        <v>0.2014563107</v>
      </c>
      <c r="G3452" s="5">
        <f>IFERROR(__xludf.DUMMYFUNCTION("""COMPUTED_VALUE"""),0.1641383495145631)</f>
        <v>0.1641383495</v>
      </c>
      <c r="H3452" s="5">
        <f>IFERROR(__xludf.DUMMYFUNCTION("""COMPUTED_VALUE"""),0.5993975903614458)</f>
        <v>0.5993975904</v>
      </c>
      <c r="I3452" s="11">
        <f>IFERROR(__xludf.DUMMYFUNCTION("""COMPUTED_VALUE"""),5603.463855421687)</f>
        <v>5603.463855</v>
      </c>
      <c r="J3452" s="10">
        <f>IFERROR(__xludf.DUMMYFUNCTION("""COMPUTED_VALUE"""),0.0)</f>
        <v>0</v>
      </c>
      <c r="K3452" s="5">
        <f>IFERROR(__xludf.DUMMYFUNCTION("""COMPUTED_VALUE"""),0.0)</f>
        <v>0</v>
      </c>
      <c r="L3452" s="10">
        <f>IFERROR(__xludf.DUMMYFUNCTION("""COMPUTED_VALUE"""),0.0)</f>
        <v>0</v>
      </c>
      <c r="M3452" s="5">
        <f>IFERROR(__xludf.DUMMYFUNCTION("""COMPUTED_VALUE"""),0.0)</f>
        <v>0</v>
      </c>
    </row>
    <row r="3453">
      <c r="A3453" s="10" t="str">
        <f>IFERROR(__xludf.DUMMYFUNCTION("""COMPUTED_VALUE"""),"雀龍門_Yuti")</f>
        <v>雀龍門_Yuti</v>
      </c>
      <c r="B3453" s="10">
        <f>IFERROR(__xludf.DUMMYFUNCTION("""COMPUTED_VALUE"""),1390.0)</f>
        <v>1390</v>
      </c>
      <c r="C3453" s="10">
        <f>IFERROR(__xludf.DUMMYFUNCTION("""COMPUTED_VALUE"""),16303.0)</f>
        <v>16303</v>
      </c>
      <c r="D3453" s="5">
        <f>IFERROR(__xludf.DUMMYFUNCTION("""COMPUTED_VALUE"""),0.35546167773083887)</f>
        <v>0.3554616777</v>
      </c>
      <c r="E3453" s="5">
        <f>IFERROR(__xludf.DUMMYFUNCTION("""COMPUTED_VALUE"""),0.12378461744786427)</f>
        <v>0.1237846174</v>
      </c>
      <c r="F3453" s="5">
        <f>IFERROR(__xludf.DUMMYFUNCTION("""COMPUTED_VALUE"""),0.20472071347146784)</f>
        <v>0.2047207135</v>
      </c>
      <c r="G3453" s="5">
        <f>IFERROR(__xludf.DUMMYFUNCTION("""COMPUTED_VALUE"""),0.19211426272379803)</f>
        <v>0.1921142627</v>
      </c>
      <c r="H3453" s="5">
        <f>IFERROR(__xludf.DUMMYFUNCTION("""COMPUTED_VALUE"""),0.5908942024238454)</f>
        <v>0.5908942024</v>
      </c>
      <c r="I3453" s="11">
        <f>IFERROR(__xludf.DUMMYFUNCTION("""COMPUTED_VALUE"""),6045.266950540452)</f>
        <v>6045.266951</v>
      </c>
      <c r="J3453" s="10">
        <f>IFERROR(__xludf.DUMMYFUNCTION("""COMPUTED_VALUE"""),7.0)</f>
        <v>7</v>
      </c>
      <c r="K3453" s="5">
        <f>IFERROR(__xludf.DUMMYFUNCTION("""COMPUTED_VALUE"""),0.005035971223021582)</f>
        <v>0.005035971223</v>
      </c>
      <c r="L3453" s="10">
        <f>IFERROR(__xludf.DUMMYFUNCTION("""COMPUTED_VALUE"""),1390.0)</f>
        <v>1390</v>
      </c>
      <c r="M3453" s="5">
        <f>IFERROR(__xludf.DUMMYFUNCTION("""COMPUTED_VALUE"""),1.0)</f>
        <v>1</v>
      </c>
    </row>
    <row r="3454">
      <c r="A3454" s="10" t="str">
        <f>IFERROR(__xludf.DUMMYFUNCTION("""COMPUTED_VALUE"""),"xtyrantx")</f>
        <v>xtyrantx</v>
      </c>
      <c r="B3454" s="10">
        <f>IFERROR(__xludf.DUMMYFUNCTION("""COMPUTED_VALUE"""),185.0)</f>
        <v>185</v>
      </c>
      <c r="C3454" s="10">
        <f>IFERROR(__xludf.DUMMYFUNCTION("""COMPUTED_VALUE"""),2197.0)</f>
        <v>2197</v>
      </c>
      <c r="D3454" s="5">
        <f>IFERROR(__xludf.DUMMYFUNCTION("""COMPUTED_VALUE"""),0.2927435387673956)</f>
        <v>0.2927435388</v>
      </c>
      <c r="E3454" s="5">
        <f>IFERROR(__xludf.DUMMYFUNCTION("""COMPUTED_VALUE"""),0.12375745526838966)</f>
        <v>0.1237574553</v>
      </c>
      <c r="F3454" s="5">
        <f>IFERROR(__xludf.DUMMYFUNCTION("""COMPUTED_VALUE"""),0.1918489065606362)</f>
        <v>0.1918489066</v>
      </c>
      <c r="G3454" s="5">
        <f>IFERROR(__xludf.DUMMYFUNCTION("""COMPUTED_VALUE"""),0.1933399602385686)</f>
        <v>0.1933399602</v>
      </c>
      <c r="H3454" s="5">
        <f>IFERROR(__xludf.DUMMYFUNCTION("""COMPUTED_VALUE"""),0.5699481865284974)</f>
        <v>0.5699481865</v>
      </c>
      <c r="I3454" s="11">
        <f>IFERROR(__xludf.DUMMYFUNCTION("""COMPUTED_VALUE"""),6012.176165803109)</f>
        <v>6012.176166</v>
      </c>
      <c r="J3454" s="10">
        <f>IFERROR(__xludf.DUMMYFUNCTION("""COMPUTED_VALUE"""),0.0)</f>
        <v>0</v>
      </c>
      <c r="K3454" s="5">
        <f>IFERROR(__xludf.DUMMYFUNCTION("""COMPUTED_VALUE"""),0.0)</f>
        <v>0</v>
      </c>
      <c r="L3454" s="10">
        <f>IFERROR(__xludf.DUMMYFUNCTION("""COMPUTED_VALUE"""),185.0)</f>
        <v>185</v>
      </c>
      <c r="M3454" s="5">
        <f>IFERROR(__xludf.DUMMYFUNCTION("""COMPUTED_VALUE"""),1.0)</f>
        <v>1</v>
      </c>
    </row>
    <row r="3455">
      <c r="A3455" s="10" t="str">
        <f>IFERROR(__xludf.DUMMYFUNCTION("""COMPUTED_VALUE"""),"あひる")</f>
        <v>あひる</v>
      </c>
      <c r="B3455" s="10">
        <f>IFERROR(__xludf.DUMMYFUNCTION("""COMPUTED_VALUE"""),338.0)</f>
        <v>338</v>
      </c>
      <c r="C3455" s="10">
        <f>IFERROR(__xludf.DUMMYFUNCTION("""COMPUTED_VALUE"""),3958.0)</f>
        <v>3958</v>
      </c>
      <c r="D3455" s="5">
        <f>IFERROR(__xludf.DUMMYFUNCTION("""COMPUTED_VALUE"""),0.2696132596685083)</f>
        <v>0.2696132597</v>
      </c>
      <c r="E3455" s="5">
        <f>IFERROR(__xludf.DUMMYFUNCTION("""COMPUTED_VALUE"""),0.12375690607734807)</f>
        <v>0.1237569061</v>
      </c>
      <c r="F3455" s="5">
        <f>IFERROR(__xludf.DUMMYFUNCTION("""COMPUTED_VALUE"""),0.20801104972375692)</f>
        <v>0.2080110497</v>
      </c>
      <c r="G3455" s="5">
        <f>IFERROR(__xludf.DUMMYFUNCTION("""COMPUTED_VALUE"""),0.16657458563535912)</f>
        <v>0.1665745856</v>
      </c>
      <c r="H3455" s="5">
        <f>IFERROR(__xludf.DUMMYFUNCTION("""COMPUTED_VALUE"""),0.6254980079681275)</f>
        <v>0.625498008</v>
      </c>
      <c r="I3455" s="11">
        <f>IFERROR(__xludf.DUMMYFUNCTION("""COMPUTED_VALUE"""),5928.685258964143)</f>
        <v>5928.685259</v>
      </c>
      <c r="J3455" s="10">
        <f>IFERROR(__xludf.DUMMYFUNCTION("""COMPUTED_VALUE"""),1.0)</f>
        <v>1</v>
      </c>
      <c r="K3455" s="5">
        <f>IFERROR(__xludf.DUMMYFUNCTION("""COMPUTED_VALUE"""),0.0029585798816568047)</f>
        <v>0.002958579882</v>
      </c>
      <c r="L3455" s="10">
        <f>IFERROR(__xludf.DUMMYFUNCTION("""COMPUTED_VALUE"""),338.0)</f>
        <v>338</v>
      </c>
      <c r="M3455" s="5">
        <f>IFERROR(__xludf.DUMMYFUNCTION("""COMPUTED_VALUE"""),1.0)</f>
        <v>1</v>
      </c>
    </row>
    <row r="3456">
      <c r="A3456" s="10" t="str">
        <f>IFERROR(__xludf.DUMMYFUNCTION("""COMPUTED_VALUE"""),"女子力☆ごりら")</f>
        <v>女子力☆ごりら</v>
      </c>
      <c r="B3456" s="10">
        <f>IFERROR(__xludf.DUMMYFUNCTION("""COMPUTED_VALUE"""),1082.0)</f>
        <v>1082</v>
      </c>
      <c r="C3456" s="10">
        <f>IFERROR(__xludf.DUMMYFUNCTION("""COMPUTED_VALUE"""),12686.0)</f>
        <v>12686</v>
      </c>
      <c r="D3456" s="5">
        <f>IFERROR(__xludf.DUMMYFUNCTION("""COMPUTED_VALUE"""),0.35970355049982766)</f>
        <v>0.3597035505</v>
      </c>
      <c r="E3456" s="5">
        <f>IFERROR(__xludf.DUMMYFUNCTION("""COMPUTED_VALUE"""),0.12375043088590142)</f>
        <v>0.1237504309</v>
      </c>
      <c r="F3456" s="5">
        <f>IFERROR(__xludf.DUMMYFUNCTION("""COMPUTED_VALUE"""),0.2094105480868666)</f>
        <v>0.2094105481</v>
      </c>
      <c r="G3456" s="5">
        <f>IFERROR(__xludf.DUMMYFUNCTION("""COMPUTED_VALUE"""),0.18338503964150293)</f>
        <v>0.1833850396</v>
      </c>
      <c r="H3456" s="5">
        <f>IFERROR(__xludf.DUMMYFUNCTION("""COMPUTED_VALUE"""),0.591358024691358)</f>
        <v>0.5913580247</v>
      </c>
      <c r="I3456" s="11">
        <f>IFERROR(__xludf.DUMMYFUNCTION("""COMPUTED_VALUE"""),5709.300411522634)</f>
        <v>5709.300412</v>
      </c>
      <c r="J3456" s="10">
        <f>IFERROR(__xludf.DUMMYFUNCTION("""COMPUTED_VALUE"""),4.0)</f>
        <v>4</v>
      </c>
      <c r="K3456" s="5">
        <f>IFERROR(__xludf.DUMMYFUNCTION("""COMPUTED_VALUE"""),0.0036968576709796672)</f>
        <v>0.003696857671</v>
      </c>
      <c r="L3456" s="10">
        <f>IFERROR(__xludf.DUMMYFUNCTION("""COMPUTED_VALUE"""),370.0)</f>
        <v>370</v>
      </c>
      <c r="M3456" s="5">
        <f>IFERROR(__xludf.DUMMYFUNCTION("""COMPUTED_VALUE"""),0.3419593345656192)</f>
        <v>0.3419593346</v>
      </c>
    </row>
    <row r="3457">
      <c r="A3457" s="10" t="str">
        <f>IFERROR(__xludf.DUMMYFUNCTION("""COMPUTED_VALUE"""),"反町隆史")</f>
        <v>反町隆史</v>
      </c>
      <c r="B3457" s="10">
        <f>IFERROR(__xludf.DUMMYFUNCTION("""COMPUTED_VALUE"""),129.0)</f>
        <v>129</v>
      </c>
      <c r="C3457" s="10">
        <f>IFERROR(__xludf.DUMMYFUNCTION("""COMPUTED_VALUE"""),1527.0)</f>
        <v>1527</v>
      </c>
      <c r="D3457" s="5">
        <f>IFERROR(__xludf.DUMMYFUNCTION("""COMPUTED_VALUE"""),0.3655221745350501)</f>
        <v>0.3655221745</v>
      </c>
      <c r="E3457" s="5">
        <f>IFERROR(__xludf.DUMMYFUNCTION("""COMPUTED_VALUE"""),0.12374821173104435)</f>
        <v>0.1237482117</v>
      </c>
      <c r="F3457" s="5">
        <f>IFERROR(__xludf.DUMMYFUNCTION("""COMPUTED_VALUE"""),0.2067238912732475)</f>
        <v>0.2067238913</v>
      </c>
      <c r="G3457" s="5">
        <f>IFERROR(__xludf.DUMMYFUNCTION("""COMPUTED_VALUE"""),0.1680972818311874)</f>
        <v>0.1680972818</v>
      </c>
      <c r="H3457" s="5">
        <f>IFERROR(__xludf.DUMMYFUNCTION("""COMPUTED_VALUE"""),0.6020761245674741)</f>
        <v>0.6020761246</v>
      </c>
      <c r="I3457" s="11">
        <f>IFERROR(__xludf.DUMMYFUNCTION("""COMPUTED_VALUE"""),5253.63321799308)</f>
        <v>5253.633218</v>
      </c>
      <c r="J3457" s="10">
        <f>IFERROR(__xludf.DUMMYFUNCTION("""COMPUTED_VALUE"""),0.0)</f>
        <v>0</v>
      </c>
      <c r="K3457" s="5">
        <f>IFERROR(__xludf.DUMMYFUNCTION("""COMPUTED_VALUE"""),0.0)</f>
        <v>0</v>
      </c>
      <c r="L3457" s="10">
        <f>IFERROR(__xludf.DUMMYFUNCTION("""COMPUTED_VALUE"""),129.0)</f>
        <v>129</v>
      </c>
      <c r="M3457" s="5">
        <f>IFERROR(__xludf.DUMMYFUNCTION("""COMPUTED_VALUE"""),1.0)</f>
        <v>1</v>
      </c>
    </row>
    <row r="3458">
      <c r="A3458" s="10" t="str">
        <f>IFERROR(__xludf.DUMMYFUNCTION("""COMPUTED_VALUE"""),"腹痛のニコバン")</f>
        <v>腹痛のニコバン</v>
      </c>
      <c r="B3458" s="10">
        <f>IFERROR(__xludf.DUMMYFUNCTION("""COMPUTED_VALUE"""),407.0)</f>
        <v>407</v>
      </c>
      <c r="C3458" s="10">
        <f>IFERROR(__xludf.DUMMYFUNCTION("""COMPUTED_VALUE"""),4747.0)</f>
        <v>4747</v>
      </c>
      <c r="D3458" s="5">
        <f>IFERROR(__xludf.DUMMYFUNCTION("""COMPUTED_VALUE"""),0.38732718894009216)</f>
        <v>0.3873271889</v>
      </c>
      <c r="E3458" s="5">
        <f>IFERROR(__xludf.DUMMYFUNCTION("""COMPUTED_VALUE"""),0.12373271889400922)</f>
        <v>0.1237327189</v>
      </c>
      <c r="F3458" s="5">
        <f>IFERROR(__xludf.DUMMYFUNCTION("""COMPUTED_VALUE"""),0.2161290322580645)</f>
        <v>0.2161290323</v>
      </c>
      <c r="G3458" s="5">
        <f>IFERROR(__xludf.DUMMYFUNCTION("""COMPUTED_VALUE"""),0.17096774193548386)</f>
        <v>0.1709677419</v>
      </c>
      <c r="H3458" s="5">
        <f>IFERROR(__xludf.DUMMYFUNCTION("""COMPUTED_VALUE"""),0.6439232409381663)</f>
        <v>0.6439232409</v>
      </c>
      <c r="I3458" s="11">
        <f>IFERROR(__xludf.DUMMYFUNCTION("""COMPUTED_VALUE"""),5482.7292110874205)</f>
        <v>5482.729211</v>
      </c>
      <c r="J3458" s="10">
        <f>IFERROR(__xludf.DUMMYFUNCTION("""COMPUTED_VALUE"""),0.0)</f>
        <v>0</v>
      </c>
      <c r="K3458" s="5">
        <f>IFERROR(__xludf.DUMMYFUNCTION("""COMPUTED_VALUE"""),0.0)</f>
        <v>0</v>
      </c>
      <c r="L3458" s="10">
        <f>IFERROR(__xludf.DUMMYFUNCTION("""COMPUTED_VALUE"""),406.0)</f>
        <v>406</v>
      </c>
      <c r="M3458" s="5">
        <f>IFERROR(__xludf.DUMMYFUNCTION("""COMPUTED_VALUE"""),0.9975429975429976)</f>
        <v>0.9975429975</v>
      </c>
    </row>
    <row r="3459">
      <c r="A3459" s="10" t="str">
        <f>IFERROR(__xludf.DUMMYFUNCTION("""COMPUTED_VALUE"""),"傷は浅いうちに")</f>
        <v>傷は浅いうちに</v>
      </c>
      <c r="B3459" s="10">
        <f>IFERROR(__xludf.DUMMYFUNCTION("""COMPUTED_VALUE"""),2832.0)</f>
        <v>2832</v>
      </c>
      <c r="C3459" s="10">
        <f>IFERROR(__xludf.DUMMYFUNCTION("""COMPUTED_VALUE"""),33447.0)</f>
        <v>33447</v>
      </c>
      <c r="D3459" s="5">
        <f>IFERROR(__xludf.DUMMYFUNCTION("""COMPUTED_VALUE"""),0.3430017965049812)</f>
        <v>0.3430017965</v>
      </c>
      <c r="E3459" s="5">
        <f>IFERROR(__xludf.DUMMYFUNCTION("""COMPUTED_VALUE"""),0.12373019761554793)</f>
        <v>0.1237301976</v>
      </c>
      <c r="F3459" s="5">
        <f>IFERROR(__xludf.DUMMYFUNCTION("""COMPUTED_VALUE"""),0.20751265719418585)</f>
        <v>0.2075126572</v>
      </c>
      <c r="G3459" s="5">
        <f>IFERROR(__xludf.DUMMYFUNCTION("""COMPUTED_VALUE"""),0.17772333823289238)</f>
        <v>0.1777233382</v>
      </c>
      <c r="H3459" s="5">
        <f>IFERROR(__xludf.DUMMYFUNCTION("""COMPUTED_VALUE"""),0.6012907287895483)</f>
        <v>0.6012907288</v>
      </c>
      <c r="I3459" s="11">
        <f>IFERROR(__xludf.DUMMYFUNCTION("""COMPUTED_VALUE"""),5658.004092554698)</f>
        <v>5658.004093</v>
      </c>
      <c r="J3459" s="10">
        <f>IFERROR(__xludf.DUMMYFUNCTION("""COMPUTED_VALUE"""),4.0)</f>
        <v>4</v>
      </c>
      <c r="K3459" s="5">
        <f>IFERROR(__xludf.DUMMYFUNCTION("""COMPUTED_VALUE"""),0.0014124293785310734)</f>
        <v>0.001412429379</v>
      </c>
      <c r="L3459" s="10">
        <f>IFERROR(__xludf.DUMMYFUNCTION("""COMPUTED_VALUE"""),2832.0)</f>
        <v>2832</v>
      </c>
      <c r="M3459" s="5">
        <f>IFERROR(__xludf.DUMMYFUNCTION("""COMPUTED_VALUE"""),1.0)</f>
        <v>1</v>
      </c>
    </row>
    <row r="3460">
      <c r="A3460" s="10" t="str">
        <f>IFERROR(__xludf.DUMMYFUNCTION("""COMPUTED_VALUE"""),"がーねっと")</f>
        <v>がーねっと</v>
      </c>
      <c r="B3460" s="10">
        <f>IFERROR(__xludf.DUMMYFUNCTION("""COMPUTED_VALUE"""),710.0)</f>
        <v>710</v>
      </c>
      <c r="C3460" s="10">
        <f>IFERROR(__xludf.DUMMYFUNCTION("""COMPUTED_VALUE"""),8380.0)</f>
        <v>8380</v>
      </c>
      <c r="D3460" s="5">
        <f>IFERROR(__xludf.DUMMYFUNCTION("""COMPUTED_VALUE"""),0.3335071707953064)</f>
        <v>0.3335071708</v>
      </c>
      <c r="E3460" s="5">
        <f>IFERROR(__xludf.DUMMYFUNCTION("""COMPUTED_VALUE"""),0.12372881355932204)</f>
        <v>0.1237288136</v>
      </c>
      <c r="F3460" s="5">
        <f>IFERROR(__xludf.DUMMYFUNCTION("""COMPUTED_VALUE"""),0.20730117340286833)</f>
        <v>0.2073011734</v>
      </c>
      <c r="G3460" s="5">
        <f>IFERROR(__xludf.DUMMYFUNCTION("""COMPUTED_VALUE"""),0.17392438070404173)</f>
        <v>0.1739243807</v>
      </c>
      <c r="H3460" s="5">
        <f>IFERROR(__xludf.DUMMYFUNCTION("""COMPUTED_VALUE"""),0.5842767295597484)</f>
        <v>0.5842767296</v>
      </c>
      <c r="I3460" s="11">
        <f>IFERROR(__xludf.DUMMYFUNCTION("""COMPUTED_VALUE"""),5466.037735849057)</f>
        <v>5466.037736</v>
      </c>
      <c r="J3460" s="10">
        <f>IFERROR(__xludf.DUMMYFUNCTION("""COMPUTED_VALUE"""),0.0)</f>
        <v>0</v>
      </c>
      <c r="K3460" s="5">
        <f>IFERROR(__xludf.DUMMYFUNCTION("""COMPUTED_VALUE"""),0.0)</f>
        <v>0</v>
      </c>
      <c r="L3460" s="10">
        <f>IFERROR(__xludf.DUMMYFUNCTION("""COMPUTED_VALUE"""),694.0)</f>
        <v>694</v>
      </c>
      <c r="M3460" s="5">
        <f>IFERROR(__xludf.DUMMYFUNCTION("""COMPUTED_VALUE"""),0.9774647887323944)</f>
        <v>0.9774647887</v>
      </c>
    </row>
    <row r="3461">
      <c r="A3461" s="10" t="str">
        <f>IFERROR(__xludf.DUMMYFUNCTION("""COMPUTED_VALUE"""),"轟鋼鉄")</f>
        <v>轟鋼鉄</v>
      </c>
      <c r="B3461" s="10">
        <f>IFERROR(__xludf.DUMMYFUNCTION("""COMPUTED_VALUE"""),1400.0)</f>
        <v>1400</v>
      </c>
      <c r="C3461" s="10">
        <f>IFERROR(__xludf.DUMMYFUNCTION("""COMPUTED_VALUE"""),16215.0)</f>
        <v>16215</v>
      </c>
      <c r="D3461" s="5">
        <f>IFERROR(__xludf.DUMMYFUNCTION("""COMPUTED_VALUE"""),0.3041511981100236)</f>
        <v>0.3041511981</v>
      </c>
      <c r="E3461" s="5">
        <f>IFERROR(__xludf.DUMMYFUNCTION("""COMPUTED_VALUE"""),0.12372595342558218)</f>
        <v>0.1237259534</v>
      </c>
      <c r="F3461" s="5">
        <f>IFERROR(__xludf.DUMMYFUNCTION("""COMPUTED_VALUE"""),0.20560242996962538)</f>
        <v>0.20560243</v>
      </c>
      <c r="G3461" s="5">
        <f>IFERROR(__xludf.DUMMYFUNCTION("""COMPUTED_VALUE"""),0.1584205197435032)</f>
        <v>0.1584205197</v>
      </c>
      <c r="H3461" s="5">
        <f>IFERROR(__xludf.DUMMYFUNCTION("""COMPUTED_VALUE"""),0.5984898227183191)</f>
        <v>0.5984898227</v>
      </c>
      <c r="I3461" s="11">
        <f>IFERROR(__xludf.DUMMYFUNCTION("""COMPUTED_VALUE"""),5826.625082074852)</f>
        <v>5826.625082</v>
      </c>
      <c r="J3461" s="10">
        <f>IFERROR(__xludf.DUMMYFUNCTION("""COMPUTED_VALUE"""),2.0)</f>
        <v>2</v>
      </c>
      <c r="K3461" s="5">
        <f>IFERROR(__xludf.DUMMYFUNCTION("""COMPUTED_VALUE"""),0.0014285714285714286)</f>
        <v>0.001428571429</v>
      </c>
      <c r="L3461" s="10">
        <f>IFERROR(__xludf.DUMMYFUNCTION("""COMPUTED_VALUE"""),1400.0)</f>
        <v>1400</v>
      </c>
      <c r="M3461" s="5">
        <f>IFERROR(__xludf.DUMMYFUNCTION("""COMPUTED_VALUE"""),1.0)</f>
        <v>1</v>
      </c>
    </row>
    <row r="3462">
      <c r="A3462" s="10" t="str">
        <f>IFERROR(__xludf.DUMMYFUNCTION("""COMPUTED_VALUE"""),"青海の騎士")</f>
        <v>青海の騎士</v>
      </c>
      <c r="B3462" s="10">
        <f>IFERROR(__xludf.DUMMYFUNCTION("""COMPUTED_VALUE"""),263.0)</f>
        <v>263</v>
      </c>
      <c r="C3462" s="10">
        <f>IFERROR(__xludf.DUMMYFUNCTION("""COMPUTED_VALUE"""),3100.0)</f>
        <v>3100</v>
      </c>
      <c r="D3462" s="5">
        <f>IFERROR(__xludf.DUMMYFUNCTION("""COMPUTED_VALUE"""),0.351427564328516)</f>
        <v>0.3514275643</v>
      </c>
      <c r="E3462" s="5">
        <f>IFERROR(__xludf.DUMMYFUNCTION("""COMPUTED_VALUE"""),0.1237222418047233)</f>
        <v>0.1237222418</v>
      </c>
      <c r="F3462" s="5">
        <f>IFERROR(__xludf.DUMMYFUNCTION("""COMPUTED_VALUE"""),0.20373634120549877)</f>
        <v>0.2037363412</v>
      </c>
      <c r="G3462" s="5">
        <f>IFERROR(__xludf.DUMMYFUNCTION("""COMPUTED_VALUE"""),0.18223475502291153)</f>
        <v>0.182234755</v>
      </c>
      <c r="H3462" s="5">
        <f>IFERROR(__xludf.DUMMYFUNCTION("""COMPUTED_VALUE"""),0.5899653979238755)</f>
        <v>0.5899653979</v>
      </c>
      <c r="I3462" s="11">
        <f>IFERROR(__xludf.DUMMYFUNCTION("""COMPUTED_VALUE"""),5743.771626297578)</f>
        <v>5743.771626</v>
      </c>
      <c r="J3462" s="10">
        <f>IFERROR(__xludf.DUMMYFUNCTION("""COMPUTED_VALUE"""),1.0)</f>
        <v>1</v>
      </c>
      <c r="K3462" s="5">
        <f>IFERROR(__xludf.DUMMYFUNCTION("""COMPUTED_VALUE"""),0.0038022813688212928)</f>
        <v>0.003802281369</v>
      </c>
      <c r="L3462" s="10">
        <f>IFERROR(__xludf.DUMMYFUNCTION("""COMPUTED_VALUE"""),263.0)</f>
        <v>263</v>
      </c>
      <c r="M3462" s="5">
        <f>IFERROR(__xludf.DUMMYFUNCTION("""COMPUTED_VALUE"""),1.0)</f>
        <v>1</v>
      </c>
    </row>
    <row r="3463">
      <c r="A3463" s="10" t="str">
        <f>IFERROR(__xludf.DUMMYFUNCTION("""COMPUTED_VALUE"""),"ジュンヤ")</f>
        <v>ジュンヤ</v>
      </c>
      <c r="B3463" s="10">
        <f>IFERROR(__xludf.DUMMYFUNCTION("""COMPUTED_VALUE"""),118.0)</f>
        <v>118</v>
      </c>
      <c r="C3463" s="10">
        <f>IFERROR(__xludf.DUMMYFUNCTION("""COMPUTED_VALUE"""),1387.0)</f>
        <v>1387</v>
      </c>
      <c r="D3463" s="5">
        <f>IFERROR(__xludf.DUMMYFUNCTION("""COMPUTED_VALUE"""),0.27580772261623326)</f>
        <v>0.2758077226</v>
      </c>
      <c r="E3463" s="5">
        <f>IFERROR(__xludf.DUMMYFUNCTION("""COMPUTED_VALUE"""),0.12371946414499606)</f>
        <v>0.1237194641</v>
      </c>
      <c r="F3463" s="5">
        <f>IFERROR(__xludf.DUMMYFUNCTION("""COMPUTED_VALUE"""),0.18597320724980299)</f>
        <v>0.1859732072</v>
      </c>
      <c r="G3463" s="5">
        <f>IFERROR(__xludf.DUMMYFUNCTION("""COMPUTED_VALUE"""),0.19700551615445233)</f>
        <v>0.1970055162</v>
      </c>
      <c r="H3463" s="5">
        <f>IFERROR(__xludf.DUMMYFUNCTION("""COMPUTED_VALUE"""),0.5677966101694916)</f>
        <v>0.5677966102</v>
      </c>
      <c r="I3463" s="11">
        <f>IFERROR(__xludf.DUMMYFUNCTION("""COMPUTED_VALUE"""),6173.3050847457625)</f>
        <v>6173.305085</v>
      </c>
      <c r="J3463" s="10">
        <f>IFERROR(__xludf.DUMMYFUNCTION("""COMPUTED_VALUE"""),1.0)</f>
        <v>1</v>
      </c>
      <c r="K3463" s="5">
        <f>IFERROR(__xludf.DUMMYFUNCTION("""COMPUTED_VALUE"""),0.00847457627118644)</f>
        <v>0.008474576271</v>
      </c>
      <c r="L3463" s="10">
        <f>IFERROR(__xludf.DUMMYFUNCTION("""COMPUTED_VALUE"""),118.0)</f>
        <v>118</v>
      </c>
      <c r="M3463" s="5">
        <f>IFERROR(__xludf.DUMMYFUNCTION("""COMPUTED_VALUE"""),1.0)</f>
        <v>1</v>
      </c>
    </row>
    <row r="3464">
      <c r="A3464" s="10" t="str">
        <f>IFERROR(__xludf.DUMMYFUNCTION("""COMPUTED_VALUE"""),"TOR")</f>
        <v>TOR</v>
      </c>
      <c r="B3464" s="10">
        <f>IFERROR(__xludf.DUMMYFUNCTION("""COMPUTED_VALUE"""),1360.0)</f>
        <v>1360</v>
      </c>
      <c r="C3464" s="10">
        <f>IFERROR(__xludf.DUMMYFUNCTION("""COMPUTED_VALUE"""),15788.0)</f>
        <v>15788</v>
      </c>
      <c r="D3464" s="5">
        <f>IFERROR(__xludf.DUMMYFUNCTION("""COMPUTED_VALUE"""),0.3585389520377045)</f>
        <v>0.358538952</v>
      </c>
      <c r="E3464" s="5">
        <f>IFERROR(__xludf.DUMMYFUNCTION("""COMPUTED_VALUE"""),0.12371777100083171)</f>
        <v>0.123717771</v>
      </c>
      <c r="F3464" s="5">
        <f>IFERROR(__xludf.DUMMYFUNCTION("""COMPUTED_VALUE"""),0.21673135569725532)</f>
        <v>0.2167313557</v>
      </c>
      <c r="G3464" s="5">
        <f>IFERROR(__xludf.DUMMYFUNCTION("""COMPUTED_VALUE"""),0.18138342112558914)</f>
        <v>0.1813834211</v>
      </c>
      <c r="H3464" s="5">
        <f>IFERROR(__xludf.DUMMYFUNCTION("""COMPUTED_VALUE"""),0.6101694915254238)</f>
        <v>0.6101694915</v>
      </c>
      <c r="I3464" s="11">
        <f>IFERROR(__xludf.DUMMYFUNCTION("""COMPUTED_VALUE"""),5498.337064278861)</f>
        <v>5498.337064</v>
      </c>
      <c r="J3464" s="10">
        <f>IFERROR(__xludf.DUMMYFUNCTION("""COMPUTED_VALUE"""),1.0)</f>
        <v>1</v>
      </c>
      <c r="K3464" s="5">
        <f>IFERROR(__xludf.DUMMYFUNCTION("""COMPUTED_VALUE"""),7.352941176470588E-4)</f>
        <v>0.0007352941176</v>
      </c>
      <c r="L3464" s="10">
        <f>IFERROR(__xludf.DUMMYFUNCTION("""COMPUTED_VALUE"""),1360.0)</f>
        <v>1360</v>
      </c>
      <c r="M3464" s="5">
        <f>IFERROR(__xludf.DUMMYFUNCTION("""COMPUTED_VALUE"""),1.0)</f>
        <v>1</v>
      </c>
    </row>
    <row r="3465">
      <c r="A3465" s="10" t="str">
        <f>IFERROR(__xludf.DUMMYFUNCTION("""COMPUTED_VALUE"""),"メイアクト")</f>
        <v>メイアクト</v>
      </c>
      <c r="B3465" s="10">
        <f>IFERROR(__xludf.DUMMYFUNCTION("""COMPUTED_VALUE"""),4216.0)</f>
        <v>4216</v>
      </c>
      <c r="C3465" s="10">
        <f>IFERROR(__xludf.DUMMYFUNCTION("""COMPUTED_VALUE"""),49530.0)</f>
        <v>49530</v>
      </c>
      <c r="D3465" s="5">
        <f>IFERROR(__xludf.DUMMYFUNCTION("""COMPUTED_VALUE"""),0.2547115681687779)</f>
        <v>0.2547115682</v>
      </c>
      <c r="E3465" s="5">
        <f>IFERROR(__xludf.DUMMYFUNCTION("""COMPUTED_VALUE"""),0.12371452531226552)</f>
        <v>0.1237145253</v>
      </c>
      <c r="F3465" s="5">
        <f>IFERROR(__xludf.DUMMYFUNCTION("""COMPUTED_VALUE"""),0.19570110782539613)</f>
        <v>0.1957011078</v>
      </c>
      <c r="G3465" s="5">
        <f>IFERROR(__xludf.DUMMYFUNCTION("""COMPUTED_VALUE"""),0.16270909652645982)</f>
        <v>0.1627090965</v>
      </c>
      <c r="H3465" s="5">
        <f>IFERROR(__xludf.DUMMYFUNCTION("""COMPUTED_VALUE"""),0.6032927379341453)</f>
        <v>0.6032927379</v>
      </c>
      <c r="I3465" s="11">
        <f>IFERROR(__xludf.DUMMYFUNCTION("""COMPUTED_VALUE"""),6149.7068110058635)</f>
        <v>6149.706811</v>
      </c>
      <c r="J3465" s="10">
        <f>IFERROR(__xludf.DUMMYFUNCTION("""COMPUTED_VALUE"""),15.0)</f>
        <v>15</v>
      </c>
      <c r="K3465" s="5">
        <f>IFERROR(__xludf.DUMMYFUNCTION("""COMPUTED_VALUE"""),0.003557874762808349)</f>
        <v>0.003557874763</v>
      </c>
      <c r="L3465" s="10">
        <f>IFERROR(__xludf.DUMMYFUNCTION("""COMPUTED_VALUE"""),4216.0)</f>
        <v>4216</v>
      </c>
      <c r="M3465" s="5">
        <f>IFERROR(__xludf.DUMMYFUNCTION("""COMPUTED_VALUE"""),1.0)</f>
        <v>1</v>
      </c>
    </row>
    <row r="3466">
      <c r="A3466" s="10" t="str">
        <f>IFERROR(__xludf.DUMMYFUNCTION("""COMPUTED_VALUE"""),"リリアーヌ")</f>
        <v>リリアーヌ</v>
      </c>
      <c r="B3466" s="10">
        <f>IFERROR(__xludf.DUMMYFUNCTION("""COMPUTED_VALUE"""),445.0)</f>
        <v>445</v>
      </c>
      <c r="C3466" s="10">
        <f>IFERROR(__xludf.DUMMYFUNCTION("""COMPUTED_VALUE"""),5198.0)</f>
        <v>5198</v>
      </c>
      <c r="D3466" s="5">
        <f>IFERROR(__xludf.DUMMYFUNCTION("""COMPUTED_VALUE"""),0.3774458236903009)</f>
        <v>0.3774458237</v>
      </c>
      <c r="E3466" s="5">
        <f>IFERROR(__xludf.DUMMYFUNCTION("""COMPUTED_VALUE"""),0.12371134020618557)</f>
        <v>0.1237113402</v>
      </c>
      <c r="F3466" s="5">
        <f>IFERROR(__xludf.DUMMYFUNCTION("""COMPUTED_VALUE"""),0.2225962549968441)</f>
        <v>0.222596255</v>
      </c>
      <c r="G3466" s="5">
        <f>IFERROR(__xludf.DUMMYFUNCTION("""COMPUTED_VALUE"""),0.17252261729434043)</f>
        <v>0.1725226173</v>
      </c>
      <c r="H3466" s="5">
        <f>IFERROR(__xludf.DUMMYFUNCTION("""COMPUTED_VALUE"""),0.6030245746691871)</f>
        <v>0.6030245747</v>
      </c>
      <c r="I3466" s="11">
        <f>IFERROR(__xludf.DUMMYFUNCTION("""COMPUTED_VALUE"""),5436.95652173913)</f>
        <v>5436.956522</v>
      </c>
      <c r="J3466" s="10">
        <f>IFERROR(__xludf.DUMMYFUNCTION("""COMPUTED_VALUE"""),1.0)</f>
        <v>1</v>
      </c>
      <c r="K3466" s="5">
        <f>IFERROR(__xludf.DUMMYFUNCTION("""COMPUTED_VALUE"""),0.0022471910112359553)</f>
        <v>0.002247191011</v>
      </c>
      <c r="L3466" s="10">
        <f>IFERROR(__xludf.DUMMYFUNCTION("""COMPUTED_VALUE"""),72.0)</f>
        <v>72</v>
      </c>
      <c r="M3466" s="5">
        <f>IFERROR(__xludf.DUMMYFUNCTION("""COMPUTED_VALUE"""),0.16179775280898875)</f>
        <v>0.1617977528</v>
      </c>
    </row>
    <row r="3467">
      <c r="A3467" s="10" t="str">
        <f>IFERROR(__xludf.DUMMYFUNCTION("""COMPUTED_VALUE"""),"@/へらんと_#")</f>
        <v>@/へらんと_#</v>
      </c>
      <c r="B3467" s="10">
        <f>IFERROR(__xludf.DUMMYFUNCTION("""COMPUTED_VALUE"""),326.0)</f>
        <v>326</v>
      </c>
      <c r="C3467" s="10">
        <f>IFERROR(__xludf.DUMMYFUNCTION("""COMPUTED_VALUE"""),3810.0)</f>
        <v>3810</v>
      </c>
      <c r="D3467" s="5">
        <f>IFERROR(__xludf.DUMMYFUNCTION("""COMPUTED_VALUE"""),0.3467278989667049)</f>
        <v>0.346727899</v>
      </c>
      <c r="E3467" s="5">
        <f>IFERROR(__xludf.DUMMYFUNCTION("""COMPUTED_VALUE"""),0.12370838117106774)</f>
        <v>0.1237083812</v>
      </c>
      <c r="F3467" s="5">
        <f>IFERROR(__xludf.DUMMYFUNCTION("""COMPUTED_VALUE"""),0.2057979334098737)</f>
        <v>0.2057979334</v>
      </c>
      <c r="G3467" s="5">
        <f>IFERROR(__xludf.DUMMYFUNCTION("""COMPUTED_VALUE"""),0.18312284730195177)</f>
        <v>0.1831228473</v>
      </c>
      <c r="H3467" s="5">
        <f>IFERROR(__xludf.DUMMYFUNCTION("""COMPUTED_VALUE"""),0.6178521617852162)</f>
        <v>0.6178521618</v>
      </c>
      <c r="I3467" s="11">
        <f>IFERROR(__xludf.DUMMYFUNCTION("""COMPUTED_VALUE"""),5772.245467224547)</f>
        <v>5772.245467</v>
      </c>
      <c r="J3467" s="10">
        <f>IFERROR(__xludf.DUMMYFUNCTION("""COMPUTED_VALUE"""),1.0)</f>
        <v>1</v>
      </c>
      <c r="K3467" s="5">
        <f>IFERROR(__xludf.DUMMYFUNCTION("""COMPUTED_VALUE"""),0.003067484662576687)</f>
        <v>0.003067484663</v>
      </c>
      <c r="L3467" s="10">
        <f>IFERROR(__xludf.DUMMYFUNCTION("""COMPUTED_VALUE"""),2.0)</f>
        <v>2</v>
      </c>
      <c r="M3467" s="5">
        <f>IFERROR(__xludf.DUMMYFUNCTION("""COMPUTED_VALUE"""),0.006134969325153374)</f>
        <v>0.006134969325</v>
      </c>
    </row>
    <row r="3468">
      <c r="A3468" s="10" t="str">
        <f>IFERROR(__xludf.DUMMYFUNCTION("""COMPUTED_VALUE"""),"麻雀と私")</f>
        <v>麻雀と私</v>
      </c>
      <c r="B3468" s="10">
        <f>IFERROR(__xludf.DUMMYFUNCTION("""COMPUTED_VALUE"""),863.0)</f>
        <v>863</v>
      </c>
      <c r="C3468" s="10">
        <f>IFERROR(__xludf.DUMMYFUNCTION("""COMPUTED_VALUE"""),9957.0)</f>
        <v>9957</v>
      </c>
      <c r="D3468" s="5">
        <f>IFERROR(__xludf.DUMMYFUNCTION("""COMPUTED_VALUE"""),0.37970090169342424)</f>
        <v>0.3797009017</v>
      </c>
      <c r="E3468" s="5">
        <f>IFERROR(__xludf.DUMMYFUNCTION("""COMPUTED_VALUE"""),0.12370793930063778)</f>
        <v>0.1237079393</v>
      </c>
      <c r="F3468" s="5">
        <f>IFERROR(__xludf.DUMMYFUNCTION("""COMPUTED_VALUE"""),0.20156146910050582)</f>
        <v>0.2015614691</v>
      </c>
      <c r="G3468" s="5">
        <f>IFERROR(__xludf.DUMMYFUNCTION("""COMPUTED_VALUE"""),0.16736309654717396)</f>
        <v>0.1673630965</v>
      </c>
      <c r="H3468" s="5">
        <f>IFERROR(__xludf.DUMMYFUNCTION("""COMPUTED_VALUE"""),0.59683578832515)</f>
        <v>0.5968357883</v>
      </c>
      <c r="I3468" s="11">
        <f>IFERROR(__xludf.DUMMYFUNCTION("""COMPUTED_VALUE"""),5728.47790507365)</f>
        <v>5728.477905</v>
      </c>
      <c r="J3468" s="10">
        <f>IFERROR(__xludf.DUMMYFUNCTION("""COMPUTED_VALUE"""),2.0)</f>
        <v>2</v>
      </c>
      <c r="K3468" s="5">
        <f>IFERROR(__xludf.DUMMYFUNCTION("""COMPUTED_VALUE"""),0.002317497103128621)</f>
        <v>0.002317497103</v>
      </c>
      <c r="L3468" s="10">
        <f>IFERROR(__xludf.DUMMYFUNCTION("""COMPUTED_VALUE"""),863.0)</f>
        <v>863</v>
      </c>
      <c r="M3468" s="5">
        <f>IFERROR(__xludf.DUMMYFUNCTION("""COMPUTED_VALUE"""),1.0)</f>
        <v>1</v>
      </c>
    </row>
    <row r="3469">
      <c r="A3469" s="10" t="str">
        <f>IFERROR(__xludf.DUMMYFUNCTION("""COMPUTED_VALUE"""),"Matuura")</f>
        <v>Matuura</v>
      </c>
      <c r="B3469" s="10">
        <f>IFERROR(__xludf.DUMMYFUNCTION("""COMPUTED_VALUE"""),2299.0)</f>
        <v>2299</v>
      </c>
      <c r="C3469" s="10">
        <f>IFERROR(__xludf.DUMMYFUNCTION("""COMPUTED_VALUE"""),26891.0)</f>
        <v>26891</v>
      </c>
      <c r="D3469" s="5">
        <f>IFERROR(__xludf.DUMMYFUNCTION("""COMPUTED_VALUE"""),0.2727309694209499)</f>
        <v>0.2727309694</v>
      </c>
      <c r="E3469" s="5">
        <f>IFERROR(__xludf.DUMMYFUNCTION("""COMPUTED_VALUE"""),0.12369876382563436)</f>
        <v>0.1236987638</v>
      </c>
      <c r="F3469" s="5">
        <f>IFERROR(__xludf.DUMMYFUNCTION("""COMPUTED_VALUE"""),0.19904847104749512)</f>
        <v>0.199048471</v>
      </c>
      <c r="G3469" s="5">
        <f>IFERROR(__xludf.DUMMYFUNCTION("""COMPUTED_VALUE"""),0.17867599219258296)</f>
        <v>0.1786759922</v>
      </c>
      <c r="H3469" s="5">
        <f>IFERROR(__xludf.DUMMYFUNCTION("""COMPUTED_VALUE"""),0.6004085801838611)</f>
        <v>0.6004085802</v>
      </c>
      <c r="I3469" s="11">
        <f>IFERROR(__xludf.DUMMYFUNCTION("""COMPUTED_VALUE"""),6160.286006128703)</f>
        <v>6160.286006</v>
      </c>
      <c r="J3469" s="10">
        <f>IFERROR(__xludf.DUMMYFUNCTION("""COMPUTED_VALUE"""),10.0)</f>
        <v>10</v>
      </c>
      <c r="K3469" s="5">
        <f>IFERROR(__xludf.DUMMYFUNCTION("""COMPUTED_VALUE"""),0.004349717268377556)</f>
        <v>0.004349717268</v>
      </c>
      <c r="L3469" s="10">
        <f>IFERROR(__xludf.DUMMYFUNCTION("""COMPUTED_VALUE"""),2299.0)</f>
        <v>2299</v>
      </c>
      <c r="M3469" s="5">
        <f>IFERROR(__xludf.DUMMYFUNCTION("""COMPUTED_VALUE"""),1.0)</f>
        <v>1</v>
      </c>
    </row>
    <row r="3470">
      <c r="A3470" s="10" t="str">
        <f>IFERROR(__xludf.DUMMYFUNCTION("""COMPUTED_VALUE"""),"ケイ１３")</f>
        <v>ケイ１３</v>
      </c>
      <c r="B3470" s="10">
        <f>IFERROR(__xludf.DUMMYFUNCTION("""COMPUTED_VALUE"""),1239.0)</f>
        <v>1239</v>
      </c>
      <c r="C3470" s="10">
        <f>IFERROR(__xludf.DUMMYFUNCTION("""COMPUTED_VALUE"""),14556.0)</f>
        <v>14556</v>
      </c>
      <c r="D3470" s="5">
        <f>IFERROR(__xludf.DUMMYFUNCTION("""COMPUTED_VALUE"""),0.2909063602913569)</f>
        <v>0.2909063603</v>
      </c>
      <c r="E3470" s="5">
        <f>IFERROR(__xludf.DUMMYFUNCTION("""COMPUTED_VALUE"""),0.1236765037170534)</f>
        <v>0.1236765037</v>
      </c>
      <c r="F3470" s="5">
        <f>IFERROR(__xludf.DUMMYFUNCTION("""COMPUTED_VALUE"""),0.19193512052264022)</f>
        <v>0.1919351205</v>
      </c>
      <c r="G3470" s="5">
        <f>IFERROR(__xludf.DUMMYFUNCTION("""COMPUTED_VALUE"""),0.15739280618757978)</f>
        <v>0.1573928062</v>
      </c>
      <c r="H3470" s="5">
        <f>IFERROR(__xludf.DUMMYFUNCTION("""COMPUTED_VALUE"""),0.6193270735524257)</f>
        <v>0.6193270736</v>
      </c>
      <c r="I3470" s="11">
        <f>IFERROR(__xludf.DUMMYFUNCTION("""COMPUTED_VALUE"""),5600.743348982785)</f>
        <v>5600.743349</v>
      </c>
      <c r="J3470" s="10">
        <f>IFERROR(__xludf.DUMMYFUNCTION("""COMPUTED_VALUE"""),2.0)</f>
        <v>2</v>
      </c>
      <c r="K3470" s="5">
        <f>IFERROR(__xludf.DUMMYFUNCTION("""COMPUTED_VALUE"""),0.0016142050040355124)</f>
        <v>0.001614205004</v>
      </c>
      <c r="L3470" s="10">
        <f>IFERROR(__xludf.DUMMYFUNCTION("""COMPUTED_VALUE"""),1239.0)</f>
        <v>1239</v>
      </c>
      <c r="M3470" s="5">
        <f>IFERROR(__xludf.DUMMYFUNCTION("""COMPUTED_VALUE"""),1.0)</f>
        <v>1</v>
      </c>
    </row>
    <row r="3471">
      <c r="A3471" s="10" t="str">
        <f>IFERROR(__xludf.DUMMYFUNCTION("""COMPUTED_VALUE"""),"KANATA.H")</f>
        <v>KANATA.H</v>
      </c>
      <c r="B3471" s="10">
        <f>IFERROR(__xludf.DUMMYFUNCTION("""COMPUTED_VALUE"""),486.0)</f>
        <v>486</v>
      </c>
      <c r="C3471" s="10">
        <f>IFERROR(__xludf.DUMMYFUNCTION("""COMPUTED_VALUE"""),5710.0)</f>
        <v>5710</v>
      </c>
      <c r="D3471" s="5">
        <f>IFERROR(__xludf.DUMMYFUNCTION("""COMPUTED_VALUE"""),0.3675344563552833)</f>
        <v>0.3675344564</v>
      </c>
      <c r="E3471" s="5">
        <f>IFERROR(__xludf.DUMMYFUNCTION("""COMPUTED_VALUE"""),0.12366003062787136)</f>
        <v>0.1236600306</v>
      </c>
      <c r="F3471" s="5">
        <f>IFERROR(__xludf.DUMMYFUNCTION("""COMPUTED_VALUE"""),0.2063552833078101)</f>
        <v>0.2063552833</v>
      </c>
      <c r="G3471" s="5">
        <f>IFERROR(__xludf.DUMMYFUNCTION("""COMPUTED_VALUE"""),0.15333078101071976)</f>
        <v>0.153330781</v>
      </c>
      <c r="H3471" s="5">
        <f>IFERROR(__xludf.DUMMYFUNCTION("""COMPUTED_VALUE"""),0.5909090909090909)</f>
        <v>0.5909090909</v>
      </c>
      <c r="I3471" s="11">
        <f>IFERROR(__xludf.DUMMYFUNCTION("""COMPUTED_VALUE"""),5337.4768089053805)</f>
        <v>5337.476809</v>
      </c>
      <c r="J3471" s="10">
        <f>IFERROR(__xludf.DUMMYFUNCTION("""COMPUTED_VALUE"""),1.0)</f>
        <v>1</v>
      </c>
      <c r="K3471" s="5">
        <f>IFERROR(__xludf.DUMMYFUNCTION("""COMPUTED_VALUE"""),0.00205761316872428)</f>
        <v>0.002057613169</v>
      </c>
      <c r="L3471" s="10">
        <f>IFERROR(__xludf.DUMMYFUNCTION("""COMPUTED_VALUE"""),486.0)</f>
        <v>486</v>
      </c>
      <c r="M3471" s="5">
        <f>IFERROR(__xludf.DUMMYFUNCTION("""COMPUTED_VALUE"""),1.0)</f>
        <v>1</v>
      </c>
    </row>
    <row r="3472">
      <c r="A3472" s="10" t="str">
        <f>IFERROR(__xludf.DUMMYFUNCTION("""COMPUTED_VALUE"""),"名脇役")</f>
        <v>名脇役</v>
      </c>
      <c r="B3472" s="10">
        <f>IFERROR(__xludf.DUMMYFUNCTION("""COMPUTED_VALUE"""),250.0)</f>
        <v>250</v>
      </c>
      <c r="C3472" s="10">
        <f>IFERROR(__xludf.DUMMYFUNCTION("""COMPUTED_VALUE"""),2935.0)</f>
        <v>2935</v>
      </c>
      <c r="D3472" s="5">
        <f>IFERROR(__xludf.DUMMYFUNCTION("""COMPUTED_VALUE"""),0.3452513966480447)</f>
        <v>0.3452513966</v>
      </c>
      <c r="E3472" s="5">
        <f>IFERROR(__xludf.DUMMYFUNCTION("""COMPUTED_VALUE"""),0.12364990689013035)</f>
        <v>0.1236499069</v>
      </c>
      <c r="F3472" s="5">
        <f>IFERROR(__xludf.DUMMYFUNCTION("""COMPUTED_VALUE"""),0.20409683426443204)</f>
        <v>0.2040968343</v>
      </c>
      <c r="G3472" s="5">
        <f>IFERROR(__xludf.DUMMYFUNCTION("""COMPUTED_VALUE"""),0.16126629422718808)</f>
        <v>0.1612662942</v>
      </c>
      <c r="H3472" s="5">
        <f>IFERROR(__xludf.DUMMYFUNCTION("""COMPUTED_VALUE"""),0.614963503649635)</f>
        <v>0.6149635036</v>
      </c>
      <c r="I3472" s="11">
        <f>IFERROR(__xludf.DUMMYFUNCTION("""COMPUTED_VALUE"""),5024.4525547445255)</f>
        <v>5024.452555</v>
      </c>
      <c r="J3472" s="10">
        <f>IFERROR(__xludf.DUMMYFUNCTION("""COMPUTED_VALUE"""),0.0)</f>
        <v>0</v>
      </c>
      <c r="K3472" s="5">
        <f>IFERROR(__xludf.DUMMYFUNCTION("""COMPUTED_VALUE"""),0.0)</f>
        <v>0</v>
      </c>
      <c r="L3472" s="10">
        <f>IFERROR(__xludf.DUMMYFUNCTION("""COMPUTED_VALUE"""),250.0)</f>
        <v>250</v>
      </c>
      <c r="M3472" s="5">
        <f>IFERROR(__xludf.DUMMYFUNCTION("""COMPUTED_VALUE"""),1.0)</f>
        <v>1</v>
      </c>
    </row>
    <row r="3473">
      <c r="A3473" s="10" t="str">
        <f>IFERROR(__xludf.DUMMYFUNCTION("""COMPUTED_VALUE"""),"Dr.こうよう")</f>
        <v>Dr.こうよう</v>
      </c>
      <c r="B3473" s="10">
        <f>IFERROR(__xludf.DUMMYFUNCTION("""COMPUTED_VALUE"""),370.0)</f>
        <v>370</v>
      </c>
      <c r="C3473" s="10">
        <f>IFERROR(__xludf.DUMMYFUNCTION("""COMPUTED_VALUE"""),4252.0)</f>
        <v>4252</v>
      </c>
      <c r="D3473" s="5">
        <f>IFERROR(__xludf.DUMMYFUNCTION("""COMPUTED_VALUE"""),0.3173621844410098)</f>
        <v>0.3173621844</v>
      </c>
      <c r="E3473" s="5">
        <f>IFERROR(__xludf.DUMMYFUNCTION("""COMPUTED_VALUE"""),0.12364760432766615)</f>
        <v>0.1236476043</v>
      </c>
      <c r="F3473" s="5">
        <f>IFERROR(__xludf.DUMMYFUNCTION("""COMPUTED_VALUE"""),0.1955177743431221)</f>
        <v>0.1955177743</v>
      </c>
      <c r="G3473" s="5">
        <f>IFERROR(__xludf.DUMMYFUNCTION("""COMPUTED_VALUE"""),0.15765069551777433)</f>
        <v>0.1576506955</v>
      </c>
      <c r="H3473" s="5">
        <f>IFERROR(__xludf.DUMMYFUNCTION("""COMPUTED_VALUE"""),0.5981554677206851)</f>
        <v>0.5981554677</v>
      </c>
      <c r="I3473" s="11">
        <f>IFERROR(__xludf.DUMMYFUNCTION("""COMPUTED_VALUE"""),5853.886693017128)</f>
        <v>5853.886693</v>
      </c>
      <c r="J3473" s="10">
        <f>IFERROR(__xludf.DUMMYFUNCTION("""COMPUTED_VALUE"""),0.0)</f>
        <v>0</v>
      </c>
      <c r="K3473" s="5">
        <f>IFERROR(__xludf.DUMMYFUNCTION("""COMPUTED_VALUE"""),0.0)</f>
        <v>0</v>
      </c>
      <c r="L3473" s="10">
        <f>IFERROR(__xludf.DUMMYFUNCTION("""COMPUTED_VALUE"""),370.0)</f>
        <v>370</v>
      </c>
      <c r="M3473" s="5">
        <f>IFERROR(__xludf.DUMMYFUNCTION("""COMPUTED_VALUE"""),1.0)</f>
        <v>1</v>
      </c>
    </row>
    <row r="3474">
      <c r="A3474" s="10" t="str">
        <f>IFERROR(__xludf.DUMMYFUNCTION("""COMPUTED_VALUE"""),"Mizu１１２１")</f>
        <v>Mizu１１２１</v>
      </c>
      <c r="B3474" s="10">
        <f>IFERROR(__xludf.DUMMYFUNCTION("""COMPUTED_VALUE"""),155.0)</f>
        <v>155</v>
      </c>
      <c r="C3474" s="10">
        <f>IFERROR(__xludf.DUMMYFUNCTION("""COMPUTED_VALUE"""),1813.0)</f>
        <v>1813</v>
      </c>
      <c r="D3474" s="5">
        <f>IFERROR(__xludf.DUMMYFUNCTION("""COMPUTED_VALUE"""),0.39505428226779254)</f>
        <v>0.3950542823</v>
      </c>
      <c r="E3474" s="5">
        <f>IFERROR(__xludf.DUMMYFUNCTION("""COMPUTED_VALUE"""),0.12364294330518698)</f>
        <v>0.1236429433</v>
      </c>
      <c r="F3474" s="5">
        <f>IFERROR(__xludf.DUMMYFUNCTION("""COMPUTED_VALUE"""),0.20506634499396864)</f>
        <v>0.205066345</v>
      </c>
      <c r="G3474" s="5">
        <f>IFERROR(__xludf.DUMMYFUNCTION("""COMPUTED_VALUE"""),0.14294330518697226)</f>
        <v>0.1429433052</v>
      </c>
      <c r="H3474" s="5">
        <f>IFERROR(__xludf.DUMMYFUNCTION("""COMPUTED_VALUE"""),0.6)</f>
        <v>0.6</v>
      </c>
      <c r="I3474" s="11">
        <f>IFERROR(__xludf.DUMMYFUNCTION("""COMPUTED_VALUE"""),4879.411764705882)</f>
        <v>4879.411765</v>
      </c>
      <c r="J3474" s="10">
        <f>IFERROR(__xludf.DUMMYFUNCTION("""COMPUTED_VALUE"""),0.0)</f>
        <v>0</v>
      </c>
      <c r="K3474" s="5">
        <f>IFERROR(__xludf.DUMMYFUNCTION("""COMPUTED_VALUE"""),0.0)</f>
        <v>0</v>
      </c>
      <c r="L3474" s="10">
        <f>IFERROR(__xludf.DUMMYFUNCTION("""COMPUTED_VALUE"""),19.0)</f>
        <v>19</v>
      </c>
      <c r="M3474" s="5">
        <f>IFERROR(__xludf.DUMMYFUNCTION("""COMPUTED_VALUE"""),0.12258064516129032)</f>
        <v>0.1225806452</v>
      </c>
    </row>
    <row r="3475">
      <c r="A3475" s="10" t="str">
        <f>IFERROR(__xludf.DUMMYFUNCTION("""COMPUTED_VALUE"""),"偽善者高橋みなみ")</f>
        <v>偽善者高橋みなみ</v>
      </c>
      <c r="B3475" s="10">
        <f>IFERROR(__xludf.DUMMYFUNCTION("""COMPUTED_VALUE"""),1280.0)</f>
        <v>1280</v>
      </c>
      <c r="C3475" s="10">
        <f>IFERROR(__xludf.DUMMYFUNCTION("""COMPUTED_VALUE"""),15159.0)</f>
        <v>15159</v>
      </c>
      <c r="D3475" s="5">
        <f>IFERROR(__xludf.DUMMYFUNCTION("""COMPUTED_VALUE"""),0.358671374018301)</f>
        <v>0.358671374</v>
      </c>
      <c r="E3475" s="5">
        <f>IFERROR(__xludf.DUMMYFUNCTION("""COMPUTED_VALUE"""),0.12364003170257223)</f>
        <v>0.1236400317</v>
      </c>
      <c r="F3475" s="5">
        <f>IFERROR(__xludf.DUMMYFUNCTION("""COMPUTED_VALUE"""),0.22335903163052093)</f>
        <v>0.2233590316</v>
      </c>
      <c r="G3475" s="5">
        <f>IFERROR(__xludf.DUMMYFUNCTION("""COMPUTED_VALUE"""),0.1754449167807479)</f>
        <v>0.1754449168</v>
      </c>
      <c r="H3475" s="5">
        <f>IFERROR(__xludf.DUMMYFUNCTION("""COMPUTED_VALUE"""),0.6)</f>
        <v>0.6</v>
      </c>
      <c r="I3475" s="11">
        <f>IFERROR(__xludf.DUMMYFUNCTION("""COMPUTED_VALUE"""),5408.322580645161)</f>
        <v>5408.322581</v>
      </c>
      <c r="J3475" s="10">
        <f>IFERROR(__xludf.DUMMYFUNCTION("""COMPUTED_VALUE"""),2.0)</f>
        <v>2</v>
      </c>
      <c r="K3475" s="5">
        <f>IFERROR(__xludf.DUMMYFUNCTION("""COMPUTED_VALUE"""),0.0015625)</f>
        <v>0.0015625</v>
      </c>
      <c r="L3475" s="10">
        <f>IFERROR(__xludf.DUMMYFUNCTION("""COMPUTED_VALUE"""),241.0)</f>
        <v>241</v>
      </c>
      <c r="M3475" s="5">
        <f>IFERROR(__xludf.DUMMYFUNCTION("""COMPUTED_VALUE"""),0.18828125)</f>
        <v>0.18828125</v>
      </c>
    </row>
    <row r="3476">
      <c r="A3476" s="10" t="str">
        <f>IFERROR(__xludf.DUMMYFUNCTION("""COMPUTED_VALUE"""),"松本健男")</f>
        <v>松本健男</v>
      </c>
      <c r="B3476" s="10">
        <f>IFERROR(__xludf.DUMMYFUNCTION("""COMPUTED_VALUE"""),713.0)</f>
        <v>713</v>
      </c>
      <c r="C3476" s="10">
        <f>IFERROR(__xludf.DUMMYFUNCTION("""COMPUTED_VALUE"""),8397.0)</f>
        <v>8397</v>
      </c>
      <c r="D3476" s="5">
        <f>IFERROR(__xludf.DUMMYFUNCTION("""COMPUTED_VALUE"""),0.23282144716293596)</f>
        <v>0.2328214472</v>
      </c>
      <c r="E3476" s="5">
        <f>IFERROR(__xludf.DUMMYFUNCTION("""COMPUTED_VALUE"""),0.12363352420614264)</f>
        <v>0.1236335242</v>
      </c>
      <c r="F3476" s="5">
        <f>IFERROR(__xludf.DUMMYFUNCTION("""COMPUTED_VALUE"""),0.19117647058823528)</f>
        <v>0.1911764706</v>
      </c>
      <c r="G3476" s="5">
        <f>IFERROR(__xludf.DUMMYFUNCTION("""COMPUTED_VALUE"""),0.16137428422696512)</f>
        <v>0.1613742842</v>
      </c>
      <c r="H3476" s="5">
        <f>IFERROR(__xludf.DUMMYFUNCTION("""COMPUTED_VALUE"""),0.6106194690265486)</f>
        <v>0.610619469</v>
      </c>
      <c r="I3476" s="11">
        <f>IFERROR(__xludf.DUMMYFUNCTION("""COMPUTED_VALUE"""),5860.653505786249)</f>
        <v>5860.653506</v>
      </c>
      <c r="J3476" s="10">
        <f>IFERROR(__xludf.DUMMYFUNCTION("""COMPUTED_VALUE"""),1.0)</f>
        <v>1</v>
      </c>
      <c r="K3476" s="5">
        <f>IFERROR(__xludf.DUMMYFUNCTION("""COMPUTED_VALUE"""),0.001402524544179523)</f>
        <v>0.001402524544</v>
      </c>
      <c r="L3476" s="10">
        <f>IFERROR(__xludf.DUMMYFUNCTION("""COMPUTED_VALUE"""),713.0)</f>
        <v>713</v>
      </c>
      <c r="M3476" s="5">
        <f>IFERROR(__xludf.DUMMYFUNCTION("""COMPUTED_VALUE"""),1.0)</f>
        <v>1</v>
      </c>
    </row>
    <row r="3477">
      <c r="A3477" s="10" t="str">
        <f>IFERROR(__xludf.DUMMYFUNCTION("""COMPUTED_VALUE"""),"〓究風〓")</f>
        <v>〓究風〓</v>
      </c>
      <c r="B3477" s="10">
        <f>IFERROR(__xludf.DUMMYFUNCTION("""COMPUTED_VALUE"""),730.0)</f>
        <v>730</v>
      </c>
      <c r="C3477" s="10">
        <f>IFERROR(__xludf.DUMMYFUNCTION("""COMPUTED_VALUE"""),8673.0)</f>
        <v>8673</v>
      </c>
      <c r="D3477" s="5">
        <f>IFERROR(__xludf.DUMMYFUNCTION("""COMPUTED_VALUE"""),0.3260732720634521)</f>
        <v>0.3260732721</v>
      </c>
      <c r="E3477" s="5">
        <f>IFERROR(__xludf.DUMMYFUNCTION("""COMPUTED_VALUE"""),0.12363086994838222)</f>
        <v>0.1236308699</v>
      </c>
      <c r="F3477" s="5">
        <f>IFERROR(__xludf.DUMMYFUNCTION("""COMPUTED_VALUE"""),0.21062570817071635)</f>
        <v>0.2106257082</v>
      </c>
      <c r="G3477" s="5">
        <f>IFERROR(__xludf.DUMMYFUNCTION("""COMPUTED_VALUE"""),0.15875613747954173)</f>
        <v>0.1587561375</v>
      </c>
      <c r="H3477" s="5">
        <f>IFERROR(__xludf.DUMMYFUNCTION("""COMPUTED_VALUE"""),0.6120741183502689)</f>
        <v>0.6120741184</v>
      </c>
      <c r="I3477" s="11">
        <f>IFERROR(__xludf.DUMMYFUNCTION("""COMPUTED_VALUE"""),5480.932456664675)</f>
        <v>5480.932457</v>
      </c>
      <c r="J3477" s="10">
        <f>IFERROR(__xludf.DUMMYFUNCTION("""COMPUTED_VALUE"""),1.0)</f>
        <v>1</v>
      </c>
      <c r="K3477" s="5">
        <f>IFERROR(__xludf.DUMMYFUNCTION("""COMPUTED_VALUE"""),0.0013698630136986301)</f>
        <v>0.001369863014</v>
      </c>
      <c r="L3477" s="10">
        <f>IFERROR(__xludf.DUMMYFUNCTION("""COMPUTED_VALUE"""),730.0)</f>
        <v>730</v>
      </c>
      <c r="M3477" s="5">
        <f>IFERROR(__xludf.DUMMYFUNCTION("""COMPUTED_VALUE"""),1.0)</f>
        <v>1</v>
      </c>
    </row>
    <row r="3478">
      <c r="A3478" s="10" t="str">
        <f>IFERROR(__xludf.DUMMYFUNCTION("""COMPUTED_VALUE"""),"gnysta")</f>
        <v>gnysta</v>
      </c>
      <c r="B3478" s="10">
        <f>IFERROR(__xludf.DUMMYFUNCTION("""COMPUTED_VALUE"""),281.0)</f>
        <v>281</v>
      </c>
      <c r="C3478" s="10">
        <f>IFERROR(__xludf.DUMMYFUNCTION("""COMPUTED_VALUE"""),3274.0)</f>
        <v>3274</v>
      </c>
      <c r="D3478" s="5">
        <f>IFERROR(__xludf.DUMMYFUNCTION("""COMPUTED_VALUE"""),0.40962245238890743)</f>
        <v>0.4096224524</v>
      </c>
      <c r="E3478" s="5">
        <f>IFERROR(__xludf.DUMMYFUNCTION("""COMPUTED_VALUE"""),0.12362178416304712)</f>
        <v>0.1236217842</v>
      </c>
      <c r="F3478" s="5">
        <f>IFERROR(__xludf.DUMMYFUNCTION("""COMPUTED_VALUE"""),0.21316404944871367)</f>
        <v>0.2131640494</v>
      </c>
      <c r="G3478" s="5">
        <f>IFERROR(__xludf.DUMMYFUNCTION("""COMPUTED_VALUE"""),0.18509856331440028)</f>
        <v>0.1850985633</v>
      </c>
      <c r="H3478" s="5">
        <f>IFERROR(__xludf.DUMMYFUNCTION("""COMPUTED_VALUE"""),0.5611285266457681)</f>
        <v>0.5611285266</v>
      </c>
      <c r="I3478" s="11">
        <f>IFERROR(__xludf.DUMMYFUNCTION("""COMPUTED_VALUE"""),5592.633228840125)</f>
        <v>5592.633229</v>
      </c>
      <c r="J3478" s="10">
        <f>IFERROR(__xludf.DUMMYFUNCTION("""COMPUTED_VALUE"""),1.0)</f>
        <v>1</v>
      </c>
      <c r="K3478" s="5">
        <f>IFERROR(__xludf.DUMMYFUNCTION("""COMPUTED_VALUE"""),0.0035587188612099642)</f>
        <v>0.003558718861</v>
      </c>
      <c r="L3478" s="10">
        <f>IFERROR(__xludf.DUMMYFUNCTION("""COMPUTED_VALUE"""),280.0)</f>
        <v>280</v>
      </c>
      <c r="M3478" s="5">
        <f>IFERROR(__xludf.DUMMYFUNCTION("""COMPUTED_VALUE"""),0.99644128113879)</f>
        <v>0.9964412811</v>
      </c>
    </row>
    <row r="3479">
      <c r="A3479" s="10" t="str">
        <f>IFERROR(__xludf.DUMMYFUNCTION("""COMPUTED_VALUE"""),"おーいお茶")</f>
        <v>おーいお茶</v>
      </c>
      <c r="B3479" s="10">
        <f>IFERROR(__xludf.DUMMYFUNCTION("""COMPUTED_VALUE"""),1056.0)</f>
        <v>1056</v>
      </c>
      <c r="C3479" s="10">
        <f>IFERROR(__xludf.DUMMYFUNCTION("""COMPUTED_VALUE"""),12543.0)</f>
        <v>12543</v>
      </c>
      <c r="D3479" s="5">
        <f>IFERROR(__xludf.DUMMYFUNCTION("""COMPUTED_VALUE"""),0.3698093496996605)</f>
        <v>0.3698093497</v>
      </c>
      <c r="E3479" s="5">
        <f>IFERROR(__xludf.DUMMYFUNCTION("""COMPUTED_VALUE"""),0.12361800295986768)</f>
        <v>0.123618003</v>
      </c>
      <c r="F3479" s="5">
        <f>IFERROR(__xludf.DUMMYFUNCTION("""COMPUTED_VALUE"""),0.2099764951684513)</f>
        <v>0.2099764952</v>
      </c>
      <c r="G3479" s="5">
        <f>IFERROR(__xludf.DUMMYFUNCTION("""COMPUTED_VALUE"""),0.17175938016888656)</f>
        <v>0.1717593802</v>
      </c>
      <c r="H3479" s="5">
        <f>IFERROR(__xludf.DUMMYFUNCTION("""COMPUTED_VALUE"""),0.593698175787728)</f>
        <v>0.5936981758</v>
      </c>
      <c r="I3479" s="11">
        <f>IFERROR(__xludf.DUMMYFUNCTION("""COMPUTED_VALUE"""),5497.968490878939)</f>
        <v>5497.968491</v>
      </c>
      <c r="J3479" s="10">
        <f>IFERROR(__xludf.DUMMYFUNCTION("""COMPUTED_VALUE"""),0.0)</f>
        <v>0</v>
      </c>
      <c r="K3479" s="5">
        <f>IFERROR(__xludf.DUMMYFUNCTION("""COMPUTED_VALUE"""),0.0)</f>
        <v>0</v>
      </c>
      <c r="L3479" s="10">
        <f>IFERROR(__xludf.DUMMYFUNCTION("""COMPUTED_VALUE"""),1014.0)</f>
        <v>1014</v>
      </c>
      <c r="M3479" s="5">
        <f>IFERROR(__xludf.DUMMYFUNCTION("""COMPUTED_VALUE"""),0.9602272727272727)</f>
        <v>0.9602272727</v>
      </c>
    </row>
    <row r="3480">
      <c r="A3480" s="10" t="str">
        <f>IFERROR(__xludf.DUMMYFUNCTION("""COMPUTED_VALUE"""),"欅")</f>
        <v>欅</v>
      </c>
      <c r="B3480" s="10">
        <f>IFERROR(__xludf.DUMMYFUNCTION("""COMPUTED_VALUE"""),241.0)</f>
        <v>241</v>
      </c>
      <c r="C3480" s="10">
        <f>IFERROR(__xludf.DUMMYFUNCTION("""COMPUTED_VALUE"""),2757.0)</f>
        <v>2757</v>
      </c>
      <c r="D3480" s="5">
        <f>IFERROR(__xludf.DUMMYFUNCTION("""COMPUTED_VALUE"""),0.2444356120826709)</f>
        <v>0.2444356121</v>
      </c>
      <c r="E3480" s="5">
        <f>IFERROR(__xludf.DUMMYFUNCTION("""COMPUTED_VALUE"""),0.12360890302066772)</f>
        <v>0.123608903</v>
      </c>
      <c r="F3480" s="5">
        <f>IFERROR(__xludf.DUMMYFUNCTION("""COMPUTED_VALUE"""),0.18481717011128776)</f>
        <v>0.1848171701</v>
      </c>
      <c r="G3480" s="5">
        <f>IFERROR(__xludf.DUMMYFUNCTION("""COMPUTED_VALUE"""),0.16057233704292528)</f>
        <v>0.160572337</v>
      </c>
      <c r="H3480" s="5">
        <f>IFERROR(__xludf.DUMMYFUNCTION("""COMPUTED_VALUE"""),0.5827956989247312)</f>
        <v>0.5827956989</v>
      </c>
      <c r="I3480" s="11">
        <f>IFERROR(__xludf.DUMMYFUNCTION("""COMPUTED_VALUE"""),6023.225806451613)</f>
        <v>6023.225806</v>
      </c>
      <c r="J3480" s="10">
        <f>IFERROR(__xludf.DUMMYFUNCTION("""COMPUTED_VALUE"""),1.0)</f>
        <v>1</v>
      </c>
      <c r="K3480" s="5">
        <f>IFERROR(__xludf.DUMMYFUNCTION("""COMPUTED_VALUE"""),0.004149377593360996)</f>
        <v>0.004149377593</v>
      </c>
      <c r="L3480" s="10">
        <f>IFERROR(__xludf.DUMMYFUNCTION("""COMPUTED_VALUE"""),241.0)</f>
        <v>241</v>
      </c>
      <c r="M3480" s="5">
        <f>IFERROR(__xludf.DUMMYFUNCTION("""COMPUTED_VALUE"""),1.0)</f>
        <v>1</v>
      </c>
    </row>
    <row r="3481">
      <c r="A3481" s="10" t="str">
        <f>IFERROR(__xludf.DUMMYFUNCTION("""COMPUTED_VALUE"""),"本の虫")</f>
        <v>本の虫</v>
      </c>
      <c r="B3481" s="10">
        <f>IFERROR(__xludf.DUMMYFUNCTION("""COMPUTED_VALUE"""),129.0)</f>
        <v>129</v>
      </c>
      <c r="C3481" s="10">
        <f>IFERROR(__xludf.DUMMYFUNCTION("""COMPUTED_VALUE"""),1464.0)</f>
        <v>1464</v>
      </c>
      <c r="D3481" s="5">
        <f>IFERROR(__xludf.DUMMYFUNCTION("""COMPUTED_VALUE"""),0.35655430711610486)</f>
        <v>0.3565543071</v>
      </c>
      <c r="E3481" s="5">
        <f>IFERROR(__xludf.DUMMYFUNCTION("""COMPUTED_VALUE"""),0.12359550561797752)</f>
        <v>0.1235955056</v>
      </c>
      <c r="F3481" s="5">
        <f>IFERROR(__xludf.DUMMYFUNCTION("""COMPUTED_VALUE"""),0.18352059925093633)</f>
        <v>0.1835205993</v>
      </c>
      <c r="G3481" s="5">
        <f>IFERROR(__xludf.DUMMYFUNCTION("""COMPUTED_VALUE"""),0.16104868913857678)</f>
        <v>0.1610486891</v>
      </c>
      <c r="H3481" s="5">
        <f>IFERROR(__xludf.DUMMYFUNCTION("""COMPUTED_VALUE"""),0.6244897959183674)</f>
        <v>0.6244897959</v>
      </c>
      <c r="I3481" s="11">
        <f>IFERROR(__xludf.DUMMYFUNCTION("""COMPUTED_VALUE"""),5542.448979591837)</f>
        <v>5542.44898</v>
      </c>
      <c r="J3481" s="10">
        <f>IFERROR(__xludf.DUMMYFUNCTION("""COMPUTED_VALUE"""),1.0)</f>
        <v>1</v>
      </c>
      <c r="K3481" s="5">
        <f>IFERROR(__xludf.DUMMYFUNCTION("""COMPUTED_VALUE"""),0.007751937984496124)</f>
        <v>0.007751937984</v>
      </c>
      <c r="L3481" s="10">
        <f>IFERROR(__xludf.DUMMYFUNCTION("""COMPUTED_VALUE"""),129.0)</f>
        <v>129</v>
      </c>
      <c r="M3481" s="5">
        <f>IFERROR(__xludf.DUMMYFUNCTION("""COMPUTED_VALUE"""),1.0)</f>
        <v>1</v>
      </c>
    </row>
    <row r="3482">
      <c r="A3482" s="10" t="str">
        <f>IFERROR(__xludf.DUMMYFUNCTION("""COMPUTED_VALUE"""),"般卓民の朝は早い")</f>
        <v>般卓民の朝は早い</v>
      </c>
      <c r="B3482" s="10">
        <f>IFERROR(__xludf.DUMMYFUNCTION("""COMPUTED_VALUE"""),3008.0)</f>
        <v>3008</v>
      </c>
      <c r="C3482" s="10">
        <f>IFERROR(__xludf.DUMMYFUNCTION("""COMPUTED_VALUE"""),34944.0)</f>
        <v>34944</v>
      </c>
      <c r="D3482" s="5">
        <f>IFERROR(__xludf.DUMMYFUNCTION("""COMPUTED_VALUE"""),0.35470941883767537)</f>
        <v>0.3547094188</v>
      </c>
      <c r="E3482" s="5">
        <f>IFERROR(__xludf.DUMMYFUNCTION("""COMPUTED_VALUE"""),0.12359093186372745)</f>
        <v>0.1235909319</v>
      </c>
      <c r="F3482" s="5">
        <f>IFERROR(__xludf.DUMMYFUNCTION("""COMPUTED_VALUE"""),0.21652680360721444)</f>
        <v>0.2165268036</v>
      </c>
      <c r="G3482" s="5">
        <f>IFERROR(__xludf.DUMMYFUNCTION("""COMPUTED_VALUE"""),0.1685558617234469)</f>
        <v>0.1685558617</v>
      </c>
      <c r="H3482" s="5">
        <f>IFERROR(__xludf.DUMMYFUNCTION("""COMPUTED_VALUE"""),0.5962400578452639)</f>
        <v>0.5962400578</v>
      </c>
      <c r="I3482" s="11">
        <f>IFERROR(__xludf.DUMMYFUNCTION("""COMPUTED_VALUE"""),5707.66449746927)</f>
        <v>5707.664497</v>
      </c>
      <c r="J3482" s="10">
        <f>IFERROR(__xludf.DUMMYFUNCTION("""COMPUTED_VALUE"""),8.0)</f>
        <v>8</v>
      </c>
      <c r="K3482" s="5">
        <f>IFERROR(__xludf.DUMMYFUNCTION("""COMPUTED_VALUE"""),0.0026595744680851063)</f>
        <v>0.002659574468</v>
      </c>
      <c r="L3482" s="10">
        <f>IFERROR(__xludf.DUMMYFUNCTION("""COMPUTED_VALUE"""),2229.0)</f>
        <v>2229</v>
      </c>
      <c r="M3482" s="5">
        <f>IFERROR(__xludf.DUMMYFUNCTION("""COMPUTED_VALUE"""),0.7410239361702128)</f>
        <v>0.7410239362</v>
      </c>
    </row>
    <row r="3483">
      <c r="A3483" s="10" t="str">
        <f>IFERROR(__xludf.DUMMYFUNCTION("""COMPUTED_VALUE"""),"Corak")</f>
        <v>Corak</v>
      </c>
      <c r="B3483" s="10">
        <f>IFERROR(__xludf.DUMMYFUNCTION("""COMPUTED_VALUE"""),225.0)</f>
        <v>225</v>
      </c>
      <c r="C3483" s="10">
        <f>IFERROR(__xludf.DUMMYFUNCTION("""COMPUTED_VALUE"""),2620.0)</f>
        <v>2620</v>
      </c>
      <c r="D3483" s="5">
        <f>IFERROR(__xludf.DUMMYFUNCTION("""COMPUTED_VALUE"""),0.3515657620041754)</f>
        <v>0.351565762</v>
      </c>
      <c r="E3483" s="5">
        <f>IFERROR(__xludf.DUMMYFUNCTION("""COMPUTED_VALUE"""),0.12359081419624217)</f>
        <v>0.1235908142</v>
      </c>
      <c r="F3483" s="5">
        <f>IFERROR(__xludf.DUMMYFUNCTION("""COMPUTED_VALUE"""),0.18663883089770356)</f>
        <v>0.1866388309</v>
      </c>
      <c r="G3483" s="5">
        <f>IFERROR(__xludf.DUMMYFUNCTION("""COMPUTED_VALUE"""),0.17620041753653445)</f>
        <v>0.1762004175</v>
      </c>
      <c r="H3483" s="5">
        <f>IFERROR(__xludf.DUMMYFUNCTION("""COMPUTED_VALUE"""),0.5861297539149888)</f>
        <v>0.5861297539</v>
      </c>
      <c r="I3483" s="11">
        <f>IFERROR(__xludf.DUMMYFUNCTION("""COMPUTED_VALUE"""),5825.279642058165)</f>
        <v>5825.279642</v>
      </c>
      <c r="J3483" s="10">
        <f>IFERROR(__xludf.DUMMYFUNCTION("""COMPUTED_VALUE"""),0.0)</f>
        <v>0</v>
      </c>
      <c r="K3483" s="5">
        <f>IFERROR(__xludf.DUMMYFUNCTION("""COMPUTED_VALUE"""),0.0)</f>
        <v>0</v>
      </c>
      <c r="L3483" s="10">
        <f>IFERROR(__xludf.DUMMYFUNCTION("""COMPUTED_VALUE"""),225.0)</f>
        <v>225</v>
      </c>
      <c r="M3483" s="5">
        <f>IFERROR(__xludf.DUMMYFUNCTION("""COMPUTED_VALUE"""),1.0)</f>
        <v>1</v>
      </c>
    </row>
    <row r="3484">
      <c r="A3484" s="10" t="str">
        <f>IFERROR(__xludf.DUMMYFUNCTION("""COMPUTED_VALUE"""),"☆すいすい☆")</f>
        <v>☆すいすい☆</v>
      </c>
      <c r="B3484" s="10">
        <f>IFERROR(__xludf.DUMMYFUNCTION("""COMPUTED_VALUE"""),655.0)</f>
        <v>655</v>
      </c>
      <c r="C3484" s="10">
        <f>IFERROR(__xludf.DUMMYFUNCTION("""COMPUTED_VALUE"""),7654.0)</f>
        <v>7654</v>
      </c>
      <c r="D3484" s="5">
        <f>IFERROR(__xludf.DUMMYFUNCTION("""COMPUTED_VALUE"""),0.2940420060008573)</f>
        <v>0.294042006</v>
      </c>
      <c r="E3484" s="5">
        <f>IFERROR(__xludf.DUMMYFUNCTION("""COMPUTED_VALUE"""),0.12358908415487926)</f>
        <v>0.1235890842</v>
      </c>
      <c r="F3484" s="5">
        <f>IFERROR(__xludf.DUMMYFUNCTION("""COMPUTED_VALUE"""),0.18902700385769394)</f>
        <v>0.1890270039</v>
      </c>
      <c r="G3484" s="5">
        <f>IFERROR(__xludf.DUMMYFUNCTION("""COMPUTED_VALUE"""),0.15916559508501216)</f>
        <v>0.1591655951</v>
      </c>
      <c r="H3484" s="5">
        <f>IFERROR(__xludf.DUMMYFUNCTION("""COMPUTED_VALUE"""),0.6122448979591837)</f>
        <v>0.612244898</v>
      </c>
      <c r="I3484" s="11">
        <f>IFERROR(__xludf.DUMMYFUNCTION("""COMPUTED_VALUE"""),6037.18820861678)</f>
        <v>6037.188209</v>
      </c>
      <c r="J3484" s="10">
        <f>IFERROR(__xludf.DUMMYFUNCTION("""COMPUTED_VALUE"""),2.0)</f>
        <v>2</v>
      </c>
      <c r="K3484" s="5">
        <f>IFERROR(__xludf.DUMMYFUNCTION("""COMPUTED_VALUE"""),0.0030534351145038168)</f>
        <v>0.003053435115</v>
      </c>
      <c r="L3484" s="10">
        <f>IFERROR(__xludf.DUMMYFUNCTION("""COMPUTED_VALUE"""),655.0)</f>
        <v>655</v>
      </c>
      <c r="M3484" s="5">
        <f>IFERROR(__xludf.DUMMYFUNCTION("""COMPUTED_VALUE"""),1.0)</f>
        <v>1</v>
      </c>
    </row>
    <row r="3485">
      <c r="A3485" s="10" t="str">
        <f>IFERROR(__xludf.DUMMYFUNCTION("""COMPUTED_VALUE"""),"南極ダンサー")</f>
        <v>南極ダンサー</v>
      </c>
      <c r="B3485" s="10">
        <f>IFERROR(__xludf.DUMMYFUNCTION("""COMPUTED_VALUE"""),399.0)</f>
        <v>399</v>
      </c>
      <c r="C3485" s="10">
        <f>IFERROR(__xludf.DUMMYFUNCTION("""COMPUTED_VALUE"""),4785.0)</f>
        <v>4785</v>
      </c>
      <c r="D3485" s="5">
        <f>IFERROR(__xludf.DUMMYFUNCTION("""COMPUTED_VALUE"""),0.3989968080255358)</f>
        <v>0.398996808</v>
      </c>
      <c r="E3485" s="5">
        <f>IFERROR(__xludf.DUMMYFUNCTION("""COMPUTED_VALUE"""),0.1235750113999088)</f>
        <v>0.1235750114</v>
      </c>
      <c r="F3485" s="5">
        <f>IFERROR(__xludf.DUMMYFUNCTION("""COMPUTED_VALUE"""),0.20314637482900136)</f>
        <v>0.2031463748</v>
      </c>
      <c r="G3485" s="5">
        <f>IFERROR(__xludf.DUMMYFUNCTION("""COMPUTED_VALUE"""),0.13132694938440492)</f>
        <v>0.1313269494</v>
      </c>
      <c r="H3485" s="5">
        <f>IFERROR(__xludf.DUMMYFUNCTION("""COMPUTED_VALUE"""),0.590347923681257)</f>
        <v>0.5903479237</v>
      </c>
      <c r="I3485" s="11">
        <f>IFERROR(__xludf.DUMMYFUNCTION("""COMPUTED_VALUE"""),5393.490460157127)</f>
        <v>5393.49046</v>
      </c>
      <c r="J3485" s="10">
        <f>IFERROR(__xludf.DUMMYFUNCTION("""COMPUTED_VALUE"""),0.0)</f>
        <v>0</v>
      </c>
      <c r="K3485" s="5">
        <f>IFERROR(__xludf.DUMMYFUNCTION("""COMPUTED_VALUE"""),0.0)</f>
        <v>0</v>
      </c>
      <c r="L3485" s="10">
        <f>IFERROR(__xludf.DUMMYFUNCTION("""COMPUTED_VALUE"""),399.0)</f>
        <v>399</v>
      </c>
      <c r="M3485" s="5">
        <f>IFERROR(__xludf.DUMMYFUNCTION("""COMPUTED_VALUE"""),1.0)</f>
        <v>1</v>
      </c>
    </row>
    <row r="3486">
      <c r="A3486" s="10" t="str">
        <f>IFERROR(__xludf.DUMMYFUNCTION("""COMPUTED_VALUE"""),"れっどあい")</f>
        <v>れっどあい</v>
      </c>
      <c r="B3486" s="10">
        <f>IFERROR(__xludf.DUMMYFUNCTION("""COMPUTED_VALUE"""),884.0)</f>
        <v>884</v>
      </c>
      <c r="C3486" s="10">
        <f>IFERROR(__xludf.DUMMYFUNCTION("""COMPUTED_VALUE"""),10320.0)</f>
        <v>10320</v>
      </c>
      <c r="D3486" s="5">
        <f>IFERROR(__xludf.DUMMYFUNCTION("""COMPUTED_VALUE"""),0.3805637982195846)</f>
        <v>0.3805637982</v>
      </c>
      <c r="E3486" s="5">
        <f>IFERROR(__xludf.DUMMYFUNCTION("""COMPUTED_VALUE"""),0.12356930902924969)</f>
        <v>0.123569309</v>
      </c>
      <c r="F3486" s="5">
        <f>IFERROR(__xludf.DUMMYFUNCTION("""COMPUTED_VALUE"""),0.20941076727426874)</f>
        <v>0.2094107673</v>
      </c>
      <c r="G3486" s="5">
        <f>IFERROR(__xludf.DUMMYFUNCTION("""COMPUTED_VALUE"""),0.155574395930479)</f>
        <v>0.1555743959</v>
      </c>
      <c r="H3486" s="5">
        <f>IFERROR(__xludf.DUMMYFUNCTION("""COMPUTED_VALUE"""),0.6022267206477733)</f>
        <v>0.6022267206</v>
      </c>
      <c r="I3486" s="11">
        <f>IFERROR(__xludf.DUMMYFUNCTION("""COMPUTED_VALUE"""),5488.967611336032)</f>
        <v>5488.967611</v>
      </c>
      <c r="J3486" s="10">
        <f>IFERROR(__xludf.DUMMYFUNCTION("""COMPUTED_VALUE"""),3.0)</f>
        <v>3</v>
      </c>
      <c r="K3486" s="5">
        <f>IFERROR(__xludf.DUMMYFUNCTION("""COMPUTED_VALUE"""),0.003393665158371041)</f>
        <v>0.003393665158</v>
      </c>
      <c r="L3486" s="10">
        <f>IFERROR(__xludf.DUMMYFUNCTION("""COMPUTED_VALUE"""),884.0)</f>
        <v>884</v>
      </c>
      <c r="M3486" s="5">
        <f>IFERROR(__xludf.DUMMYFUNCTION("""COMPUTED_VALUE"""),1.0)</f>
        <v>1</v>
      </c>
    </row>
    <row r="3487">
      <c r="A3487" s="10" t="str">
        <f>IFERROR(__xludf.DUMMYFUNCTION("""COMPUTED_VALUE"""),"jun-K")</f>
        <v>jun-K</v>
      </c>
      <c r="B3487" s="10">
        <f>IFERROR(__xludf.DUMMYFUNCTION("""COMPUTED_VALUE"""),112.0)</f>
        <v>112</v>
      </c>
      <c r="C3487" s="10">
        <f>IFERROR(__xludf.DUMMYFUNCTION("""COMPUTED_VALUE"""),1334.0)</f>
        <v>1334</v>
      </c>
      <c r="D3487" s="5">
        <f>IFERROR(__xludf.DUMMYFUNCTION("""COMPUTED_VALUE"""),0.353518821603928)</f>
        <v>0.3535188216</v>
      </c>
      <c r="E3487" s="5">
        <f>IFERROR(__xludf.DUMMYFUNCTION("""COMPUTED_VALUE"""),0.12356792144026187)</f>
        <v>0.1235679214</v>
      </c>
      <c r="F3487" s="5">
        <f>IFERROR(__xludf.DUMMYFUNCTION("""COMPUTED_VALUE"""),0.1939443535188216)</f>
        <v>0.1939443535</v>
      </c>
      <c r="G3487" s="5">
        <f>IFERROR(__xludf.DUMMYFUNCTION("""COMPUTED_VALUE"""),0.1546644844517185)</f>
        <v>0.1546644845</v>
      </c>
      <c r="H3487" s="5">
        <f>IFERROR(__xludf.DUMMYFUNCTION("""COMPUTED_VALUE"""),0.6286919831223629)</f>
        <v>0.6286919831</v>
      </c>
      <c r="I3487" s="11">
        <f>IFERROR(__xludf.DUMMYFUNCTION("""COMPUTED_VALUE"""),5422.362869198312)</f>
        <v>5422.362869</v>
      </c>
      <c r="J3487" s="10">
        <f>IFERROR(__xludf.DUMMYFUNCTION("""COMPUTED_VALUE"""),0.0)</f>
        <v>0</v>
      </c>
      <c r="K3487" s="5">
        <f>IFERROR(__xludf.DUMMYFUNCTION("""COMPUTED_VALUE"""),0.0)</f>
        <v>0</v>
      </c>
      <c r="L3487" s="10">
        <f>IFERROR(__xludf.DUMMYFUNCTION("""COMPUTED_VALUE"""),112.0)</f>
        <v>112</v>
      </c>
      <c r="M3487" s="5">
        <f>IFERROR(__xludf.DUMMYFUNCTION("""COMPUTED_VALUE"""),1.0)</f>
        <v>1</v>
      </c>
    </row>
    <row r="3488">
      <c r="A3488" s="10" t="str">
        <f>IFERROR(__xludf.DUMMYFUNCTION("""COMPUTED_VALUE"""),"わたぴん")</f>
        <v>わたぴん</v>
      </c>
      <c r="B3488" s="10">
        <f>IFERROR(__xludf.DUMMYFUNCTION("""COMPUTED_VALUE"""),644.0)</f>
        <v>644</v>
      </c>
      <c r="C3488" s="10">
        <f>IFERROR(__xludf.DUMMYFUNCTION("""COMPUTED_VALUE"""),7434.0)</f>
        <v>7434</v>
      </c>
      <c r="D3488" s="5">
        <f>IFERROR(__xludf.DUMMYFUNCTION("""COMPUTED_VALUE"""),0.3783505154639175)</f>
        <v>0.3783505155</v>
      </c>
      <c r="E3488" s="5">
        <f>IFERROR(__xludf.DUMMYFUNCTION("""COMPUTED_VALUE"""),0.12356406480117821)</f>
        <v>0.1235640648</v>
      </c>
      <c r="F3488" s="5">
        <f>IFERROR(__xludf.DUMMYFUNCTION("""COMPUTED_VALUE"""),0.22709867452135493)</f>
        <v>0.2270986745</v>
      </c>
      <c r="G3488" s="5">
        <f>IFERROR(__xludf.DUMMYFUNCTION("""COMPUTED_VALUE"""),0.19617083946980854)</f>
        <v>0.1961708395</v>
      </c>
      <c r="H3488" s="5">
        <f>IFERROR(__xludf.DUMMYFUNCTION("""COMPUTED_VALUE"""),0.5972762645914397)</f>
        <v>0.5972762646</v>
      </c>
      <c r="I3488" s="11">
        <f>IFERROR(__xludf.DUMMYFUNCTION("""COMPUTED_VALUE"""),5777.6264591439685)</f>
        <v>5777.626459</v>
      </c>
      <c r="J3488" s="10">
        <f>IFERROR(__xludf.DUMMYFUNCTION("""COMPUTED_VALUE"""),3.0)</f>
        <v>3</v>
      </c>
      <c r="K3488" s="5">
        <f>IFERROR(__xludf.DUMMYFUNCTION("""COMPUTED_VALUE"""),0.004658385093167702)</f>
        <v>0.004658385093</v>
      </c>
      <c r="L3488" s="10">
        <f>IFERROR(__xludf.DUMMYFUNCTION("""COMPUTED_VALUE"""),644.0)</f>
        <v>644</v>
      </c>
      <c r="M3488" s="5">
        <f>IFERROR(__xludf.DUMMYFUNCTION("""COMPUTED_VALUE"""),1.0)</f>
        <v>1</v>
      </c>
    </row>
    <row r="3489">
      <c r="A3489" s="10" t="str">
        <f>IFERROR(__xludf.DUMMYFUNCTION("""COMPUTED_VALUE"""),"白の空")</f>
        <v>白の空</v>
      </c>
      <c r="B3489" s="10">
        <f>IFERROR(__xludf.DUMMYFUNCTION("""COMPUTED_VALUE"""),516.0)</f>
        <v>516</v>
      </c>
      <c r="C3489" s="10">
        <f>IFERROR(__xludf.DUMMYFUNCTION("""COMPUTED_VALUE"""),5971.0)</f>
        <v>5971</v>
      </c>
      <c r="D3489" s="5">
        <f>IFERROR(__xludf.DUMMYFUNCTION("""COMPUTED_VALUE"""),0.368102658111824)</f>
        <v>0.3681026581</v>
      </c>
      <c r="E3489" s="5">
        <f>IFERROR(__xludf.DUMMYFUNCTION("""COMPUTED_VALUE"""),0.1235563703024748)</f>
        <v>0.1235563703</v>
      </c>
      <c r="F3489" s="5">
        <f>IFERROR(__xludf.DUMMYFUNCTION("""COMPUTED_VALUE"""),0.21118240146654446)</f>
        <v>0.2111824015</v>
      </c>
      <c r="G3489" s="5">
        <f>IFERROR(__xludf.DUMMYFUNCTION("""COMPUTED_VALUE"""),0.1763519706691109)</f>
        <v>0.1763519707</v>
      </c>
      <c r="H3489" s="5">
        <f>IFERROR(__xludf.DUMMYFUNCTION("""COMPUTED_VALUE"""),0.6302083333333334)</f>
        <v>0.6302083333</v>
      </c>
      <c r="I3489" s="11">
        <f>IFERROR(__xludf.DUMMYFUNCTION("""COMPUTED_VALUE"""),5787.760416666667)</f>
        <v>5787.760417</v>
      </c>
      <c r="J3489" s="10">
        <f>IFERROR(__xludf.DUMMYFUNCTION("""COMPUTED_VALUE"""),2.0)</f>
        <v>2</v>
      </c>
      <c r="K3489" s="5">
        <f>IFERROR(__xludf.DUMMYFUNCTION("""COMPUTED_VALUE"""),0.003875968992248062)</f>
        <v>0.003875968992</v>
      </c>
      <c r="L3489" s="10">
        <f>IFERROR(__xludf.DUMMYFUNCTION("""COMPUTED_VALUE"""),516.0)</f>
        <v>516</v>
      </c>
      <c r="M3489" s="5">
        <f>IFERROR(__xludf.DUMMYFUNCTION("""COMPUTED_VALUE"""),1.0)</f>
        <v>1</v>
      </c>
    </row>
    <row r="3490">
      <c r="A3490" s="10" t="str">
        <f>IFERROR(__xludf.DUMMYFUNCTION("""COMPUTED_VALUE"""),"たなかつ")</f>
        <v>たなかつ</v>
      </c>
      <c r="B3490" s="10">
        <f>IFERROR(__xludf.DUMMYFUNCTION("""COMPUTED_VALUE"""),192.0)</f>
        <v>192</v>
      </c>
      <c r="C3490" s="10">
        <f>IFERROR(__xludf.DUMMYFUNCTION("""COMPUTED_VALUE"""),2264.0)</f>
        <v>2264</v>
      </c>
      <c r="D3490" s="5">
        <f>IFERROR(__xludf.DUMMYFUNCTION("""COMPUTED_VALUE"""),0.35376447876447875)</f>
        <v>0.3537644788</v>
      </c>
      <c r="E3490" s="5">
        <f>IFERROR(__xludf.DUMMYFUNCTION("""COMPUTED_VALUE"""),0.12355212355212356)</f>
        <v>0.1235521236</v>
      </c>
      <c r="F3490" s="5">
        <f>IFERROR(__xludf.DUMMYFUNCTION("""COMPUTED_VALUE"""),0.208011583011583)</f>
        <v>0.208011583</v>
      </c>
      <c r="G3490" s="5">
        <f>IFERROR(__xludf.DUMMYFUNCTION("""COMPUTED_VALUE"""),0.18725868725868725)</f>
        <v>0.1872586873</v>
      </c>
      <c r="H3490" s="5">
        <f>IFERROR(__xludf.DUMMYFUNCTION("""COMPUTED_VALUE"""),0.6009280742459396)</f>
        <v>0.6009280742</v>
      </c>
      <c r="I3490" s="11">
        <f>IFERROR(__xludf.DUMMYFUNCTION("""COMPUTED_VALUE"""),5681.902552204177)</f>
        <v>5681.902552</v>
      </c>
      <c r="J3490" s="10">
        <f>IFERROR(__xludf.DUMMYFUNCTION("""COMPUTED_VALUE"""),1.0)</f>
        <v>1</v>
      </c>
      <c r="K3490" s="5">
        <f>IFERROR(__xludf.DUMMYFUNCTION("""COMPUTED_VALUE"""),0.005208333333333333)</f>
        <v>0.005208333333</v>
      </c>
      <c r="L3490" s="10">
        <f>IFERROR(__xludf.DUMMYFUNCTION("""COMPUTED_VALUE"""),192.0)</f>
        <v>192</v>
      </c>
      <c r="M3490" s="5">
        <f>IFERROR(__xludf.DUMMYFUNCTION("""COMPUTED_VALUE"""),1.0)</f>
        <v>1</v>
      </c>
    </row>
    <row r="3491">
      <c r="A3491" s="10" t="str">
        <f>IFERROR(__xludf.DUMMYFUNCTION("""COMPUTED_VALUE"""),"豚")</f>
        <v>豚</v>
      </c>
      <c r="B3491" s="10">
        <f>IFERROR(__xludf.DUMMYFUNCTION("""COMPUTED_VALUE"""),417.0)</f>
        <v>417</v>
      </c>
      <c r="C3491" s="10">
        <f>IFERROR(__xludf.DUMMYFUNCTION("""COMPUTED_VALUE"""),4974.0)</f>
        <v>4974</v>
      </c>
      <c r="D3491" s="5">
        <f>IFERROR(__xludf.DUMMYFUNCTION("""COMPUTED_VALUE"""),0.39280228220320385)</f>
        <v>0.3928022822</v>
      </c>
      <c r="E3491" s="5">
        <f>IFERROR(__xludf.DUMMYFUNCTION("""COMPUTED_VALUE"""),0.12354619267061663)</f>
        <v>0.1235461927</v>
      </c>
      <c r="F3491" s="5">
        <f>IFERROR(__xludf.DUMMYFUNCTION("""COMPUTED_VALUE"""),0.21000658327847269)</f>
        <v>0.2100065833</v>
      </c>
      <c r="G3491" s="5">
        <f>IFERROR(__xludf.DUMMYFUNCTION("""COMPUTED_VALUE"""),0.16348474873820495)</f>
        <v>0.1634847487</v>
      </c>
      <c r="H3491" s="5">
        <f>IFERROR(__xludf.DUMMYFUNCTION("""COMPUTED_VALUE"""),0.5945663531870429)</f>
        <v>0.5945663532</v>
      </c>
      <c r="I3491" s="11">
        <f>IFERROR(__xludf.DUMMYFUNCTION("""COMPUTED_VALUE"""),5470.637408568443)</f>
        <v>5470.637409</v>
      </c>
      <c r="J3491" s="10">
        <f>IFERROR(__xludf.DUMMYFUNCTION("""COMPUTED_VALUE"""),1.0)</f>
        <v>1</v>
      </c>
      <c r="K3491" s="5">
        <f>IFERROR(__xludf.DUMMYFUNCTION("""COMPUTED_VALUE"""),0.002398081534772182)</f>
        <v>0.002398081535</v>
      </c>
      <c r="L3491" s="10">
        <f>IFERROR(__xludf.DUMMYFUNCTION("""COMPUTED_VALUE"""),7.0)</f>
        <v>7</v>
      </c>
      <c r="M3491" s="5">
        <f>IFERROR(__xludf.DUMMYFUNCTION("""COMPUTED_VALUE"""),0.016786570743405275)</f>
        <v>0.01678657074</v>
      </c>
    </row>
    <row r="3492">
      <c r="A3492" s="10" t="str">
        <f>IFERROR(__xludf.DUMMYFUNCTION("""COMPUTED_VALUE"""),"白帯＠月岡道場")</f>
        <v>白帯＠月岡道場</v>
      </c>
      <c r="B3492" s="10">
        <f>IFERROR(__xludf.DUMMYFUNCTION("""COMPUTED_VALUE"""),167.0)</f>
        <v>167</v>
      </c>
      <c r="C3492" s="10">
        <f>IFERROR(__xludf.DUMMYFUNCTION("""COMPUTED_VALUE"""),1972.0)</f>
        <v>1972</v>
      </c>
      <c r="D3492" s="5">
        <f>IFERROR(__xludf.DUMMYFUNCTION("""COMPUTED_VALUE"""),0.37285318559556785)</f>
        <v>0.3728531856</v>
      </c>
      <c r="E3492" s="5">
        <f>IFERROR(__xludf.DUMMYFUNCTION("""COMPUTED_VALUE"""),0.12354570637119114)</f>
        <v>0.1235457064</v>
      </c>
      <c r="F3492" s="5">
        <f>IFERROR(__xludf.DUMMYFUNCTION("""COMPUTED_VALUE"""),0.20166204986149586)</f>
        <v>0.2016620499</v>
      </c>
      <c r="G3492" s="5">
        <f>IFERROR(__xludf.DUMMYFUNCTION("""COMPUTED_VALUE"""),0.15734072022160664)</f>
        <v>0.1573407202</v>
      </c>
      <c r="H3492" s="5">
        <f>IFERROR(__xludf.DUMMYFUNCTION("""COMPUTED_VALUE"""),0.5137362637362637)</f>
        <v>0.5137362637</v>
      </c>
      <c r="I3492" s="11">
        <f>IFERROR(__xludf.DUMMYFUNCTION("""COMPUTED_VALUE"""),5594.780219780219)</f>
        <v>5594.78022</v>
      </c>
      <c r="J3492" s="10">
        <f>IFERROR(__xludf.DUMMYFUNCTION("""COMPUTED_VALUE"""),0.0)</f>
        <v>0</v>
      </c>
      <c r="K3492" s="5">
        <f>IFERROR(__xludf.DUMMYFUNCTION("""COMPUTED_VALUE"""),0.0)</f>
        <v>0</v>
      </c>
      <c r="L3492" s="10">
        <f>IFERROR(__xludf.DUMMYFUNCTION("""COMPUTED_VALUE"""),164.0)</f>
        <v>164</v>
      </c>
      <c r="M3492" s="5">
        <f>IFERROR(__xludf.DUMMYFUNCTION("""COMPUTED_VALUE"""),0.9820359281437125)</f>
        <v>0.9820359281</v>
      </c>
    </row>
    <row r="3493">
      <c r="A3493" s="10" t="str">
        <f>IFERROR(__xludf.DUMMYFUNCTION("""COMPUTED_VALUE"""),"(*´ー｀)")</f>
        <v>(*´ー｀)</v>
      </c>
      <c r="B3493" s="10">
        <f>IFERROR(__xludf.DUMMYFUNCTION("""COMPUTED_VALUE"""),412.0)</f>
        <v>412</v>
      </c>
      <c r="C3493" s="10">
        <f>IFERROR(__xludf.DUMMYFUNCTION("""COMPUTED_VALUE"""),4953.0)</f>
        <v>4953</v>
      </c>
      <c r="D3493" s="5">
        <f>IFERROR(__xludf.DUMMYFUNCTION("""COMPUTED_VALUE"""),0.3353886809072891)</f>
        <v>0.3353886809</v>
      </c>
      <c r="E3493" s="5">
        <f>IFERROR(__xludf.DUMMYFUNCTION("""COMPUTED_VALUE"""),0.12354107024884387)</f>
        <v>0.1235410702</v>
      </c>
      <c r="F3493" s="5">
        <f>IFERROR(__xludf.DUMMYFUNCTION("""COMPUTED_VALUE"""),0.20171768332966308)</f>
        <v>0.2017176833</v>
      </c>
      <c r="G3493" s="5">
        <f>IFERROR(__xludf.DUMMYFUNCTION("""COMPUTED_VALUE"""),0.15106804668575205)</f>
        <v>0.1510680467</v>
      </c>
      <c r="H3493" s="5">
        <f>IFERROR(__xludf.DUMMYFUNCTION("""COMPUTED_VALUE"""),0.5949781659388647)</f>
        <v>0.5949781659</v>
      </c>
      <c r="I3493" s="11">
        <f>IFERROR(__xludf.DUMMYFUNCTION("""COMPUTED_VALUE"""),5522.161572052401)</f>
        <v>5522.161572</v>
      </c>
      <c r="J3493" s="10">
        <f>IFERROR(__xludf.DUMMYFUNCTION("""COMPUTED_VALUE"""),2.0)</f>
        <v>2</v>
      </c>
      <c r="K3493" s="5">
        <f>IFERROR(__xludf.DUMMYFUNCTION("""COMPUTED_VALUE"""),0.0048543689320388345)</f>
        <v>0.004854368932</v>
      </c>
      <c r="L3493" s="10">
        <f>IFERROR(__xludf.DUMMYFUNCTION("""COMPUTED_VALUE"""),84.0)</f>
        <v>84</v>
      </c>
      <c r="M3493" s="5">
        <f>IFERROR(__xludf.DUMMYFUNCTION("""COMPUTED_VALUE"""),0.20388349514563106)</f>
        <v>0.2038834951</v>
      </c>
    </row>
    <row r="3494">
      <c r="A3494" s="10" t="str">
        <f>IFERROR(__xludf.DUMMYFUNCTION("""COMPUTED_VALUE"""),"ほーりー")</f>
        <v>ほーりー</v>
      </c>
      <c r="B3494" s="10">
        <f>IFERROR(__xludf.DUMMYFUNCTION("""COMPUTED_VALUE"""),623.0)</f>
        <v>623</v>
      </c>
      <c r="C3494" s="10">
        <f>IFERROR(__xludf.DUMMYFUNCTION("""COMPUTED_VALUE"""),7196.0)</f>
        <v>7196</v>
      </c>
      <c r="D3494" s="5">
        <f>IFERROR(__xludf.DUMMYFUNCTION("""COMPUTED_VALUE"""),0.36695572797809217)</f>
        <v>0.366955728</v>
      </c>
      <c r="E3494" s="5">
        <f>IFERROR(__xludf.DUMMYFUNCTION("""COMPUTED_VALUE"""),0.1235356762513312)</f>
        <v>0.1235356763</v>
      </c>
      <c r="F3494" s="5">
        <f>IFERROR(__xludf.DUMMYFUNCTION("""COMPUTED_VALUE"""),0.21542674577818346)</f>
        <v>0.2154267458</v>
      </c>
      <c r="G3494" s="5">
        <f>IFERROR(__xludf.DUMMYFUNCTION("""COMPUTED_VALUE"""),0.17891373801916932)</f>
        <v>0.178913738</v>
      </c>
      <c r="H3494" s="5">
        <f>IFERROR(__xludf.DUMMYFUNCTION("""COMPUTED_VALUE"""),0.5798022598870056)</f>
        <v>0.5798022599</v>
      </c>
      <c r="I3494" s="11">
        <f>IFERROR(__xludf.DUMMYFUNCTION("""COMPUTED_VALUE"""),5508.686440677966)</f>
        <v>5508.686441</v>
      </c>
      <c r="J3494" s="10">
        <f>IFERROR(__xludf.DUMMYFUNCTION("""COMPUTED_VALUE"""),0.0)</f>
        <v>0</v>
      </c>
      <c r="K3494" s="5">
        <f>IFERROR(__xludf.DUMMYFUNCTION("""COMPUTED_VALUE"""),0.0)</f>
        <v>0</v>
      </c>
      <c r="L3494" s="10">
        <f>IFERROR(__xludf.DUMMYFUNCTION("""COMPUTED_VALUE"""),623.0)</f>
        <v>623</v>
      </c>
      <c r="M3494" s="5">
        <f>IFERROR(__xludf.DUMMYFUNCTION("""COMPUTED_VALUE"""),1.0)</f>
        <v>1</v>
      </c>
    </row>
    <row r="3495">
      <c r="A3495" s="10" t="str">
        <f>IFERROR(__xludf.DUMMYFUNCTION("""COMPUTED_VALUE"""),"本田翼")</f>
        <v>本田翼</v>
      </c>
      <c r="B3495" s="10">
        <f>IFERROR(__xludf.DUMMYFUNCTION("""COMPUTED_VALUE"""),712.0)</f>
        <v>712</v>
      </c>
      <c r="C3495" s="10">
        <f>IFERROR(__xludf.DUMMYFUNCTION("""COMPUTED_VALUE"""),8370.0)</f>
        <v>8370</v>
      </c>
      <c r="D3495" s="5">
        <f>IFERROR(__xludf.DUMMYFUNCTION("""COMPUTED_VALUE"""),0.35870984591277094)</f>
        <v>0.3587098459</v>
      </c>
      <c r="E3495" s="5">
        <f>IFERROR(__xludf.DUMMYFUNCTION("""COMPUTED_VALUE"""),0.1235309480282058)</f>
        <v>0.123530948</v>
      </c>
      <c r="F3495" s="5">
        <f>IFERROR(__xludf.DUMMYFUNCTION("""COMPUTED_VALUE"""),0.2091930007834944)</f>
        <v>0.2091930008</v>
      </c>
      <c r="G3495" s="5">
        <f>IFERROR(__xludf.DUMMYFUNCTION("""COMPUTED_VALUE"""),0.14586053799947768)</f>
        <v>0.145860538</v>
      </c>
      <c r="H3495" s="5">
        <f>IFERROR(__xludf.DUMMYFUNCTION("""COMPUTED_VALUE"""),0.6217228464419475)</f>
        <v>0.6217228464</v>
      </c>
      <c r="I3495" s="11">
        <f>IFERROR(__xludf.DUMMYFUNCTION("""COMPUTED_VALUE"""),5517.228464419476)</f>
        <v>5517.228464</v>
      </c>
      <c r="J3495" s="10">
        <f>IFERROR(__xludf.DUMMYFUNCTION("""COMPUTED_VALUE"""),3.0)</f>
        <v>3</v>
      </c>
      <c r="K3495" s="5">
        <f>IFERROR(__xludf.DUMMYFUNCTION("""COMPUTED_VALUE"""),0.004213483146067416)</f>
        <v>0.004213483146</v>
      </c>
      <c r="L3495" s="10">
        <f>IFERROR(__xludf.DUMMYFUNCTION("""COMPUTED_VALUE"""),0.0)</f>
        <v>0</v>
      </c>
      <c r="M3495" s="5">
        <f>IFERROR(__xludf.DUMMYFUNCTION("""COMPUTED_VALUE"""),0.0)</f>
        <v>0</v>
      </c>
    </row>
    <row r="3496">
      <c r="A3496" s="10" t="str">
        <f>IFERROR(__xludf.DUMMYFUNCTION("""COMPUTED_VALUE"""),"はなび")</f>
        <v>はなび</v>
      </c>
      <c r="B3496" s="10">
        <f>IFERROR(__xludf.DUMMYFUNCTION("""COMPUTED_VALUE"""),337.0)</f>
        <v>337</v>
      </c>
      <c r="C3496" s="10">
        <f>IFERROR(__xludf.DUMMYFUNCTION("""COMPUTED_VALUE"""),4045.0)</f>
        <v>4045</v>
      </c>
      <c r="D3496" s="5">
        <f>IFERROR(__xludf.DUMMYFUNCTION("""COMPUTED_VALUE"""),0.3861920172599784)</f>
        <v>0.3861920173</v>
      </c>
      <c r="E3496" s="5">
        <f>IFERROR(__xludf.DUMMYFUNCTION("""COMPUTED_VALUE"""),0.12351672060409924)</f>
        <v>0.1235167206</v>
      </c>
      <c r="F3496" s="5">
        <f>IFERROR(__xludf.DUMMYFUNCTION("""COMPUTED_VALUE"""),0.2017259978425027)</f>
        <v>0.2017259978</v>
      </c>
      <c r="G3496" s="5">
        <f>IFERROR(__xludf.DUMMYFUNCTION("""COMPUTED_VALUE"""),0.16909385113268607)</f>
        <v>0.1690938511</v>
      </c>
      <c r="H3496" s="5">
        <f>IFERROR(__xludf.DUMMYFUNCTION("""COMPUTED_VALUE"""),0.5588235294117647)</f>
        <v>0.5588235294</v>
      </c>
      <c r="I3496" s="11">
        <f>IFERROR(__xludf.DUMMYFUNCTION("""COMPUTED_VALUE"""),5428.60962566845)</f>
        <v>5428.609626</v>
      </c>
      <c r="J3496" s="10">
        <f>IFERROR(__xludf.DUMMYFUNCTION("""COMPUTED_VALUE"""),0.0)</f>
        <v>0</v>
      </c>
      <c r="K3496" s="5">
        <f>IFERROR(__xludf.DUMMYFUNCTION("""COMPUTED_VALUE"""),0.0)</f>
        <v>0</v>
      </c>
      <c r="L3496" s="10">
        <f>IFERROR(__xludf.DUMMYFUNCTION("""COMPUTED_VALUE"""),337.0)</f>
        <v>337</v>
      </c>
      <c r="M3496" s="5">
        <f>IFERROR(__xludf.DUMMYFUNCTION("""COMPUTED_VALUE"""),1.0)</f>
        <v>1</v>
      </c>
    </row>
    <row r="3497">
      <c r="A3497" s="10" t="str">
        <f>IFERROR(__xludf.DUMMYFUNCTION("""COMPUTED_VALUE"""),"洩矢諏訪子")</f>
        <v>洩矢諏訪子</v>
      </c>
      <c r="B3497" s="10">
        <f>IFERROR(__xludf.DUMMYFUNCTION("""COMPUTED_VALUE"""),520.0)</f>
        <v>520</v>
      </c>
      <c r="C3497" s="10">
        <f>IFERROR(__xludf.DUMMYFUNCTION("""COMPUTED_VALUE"""),6074.0)</f>
        <v>6074</v>
      </c>
      <c r="D3497" s="5">
        <f>IFERROR(__xludf.DUMMYFUNCTION("""COMPUTED_VALUE"""),0.3579402232625135)</f>
        <v>0.3579402233</v>
      </c>
      <c r="E3497" s="5">
        <f>IFERROR(__xludf.DUMMYFUNCTION("""COMPUTED_VALUE"""),0.12351458408354339)</f>
        <v>0.1235145841</v>
      </c>
      <c r="F3497" s="5">
        <f>IFERROR(__xludf.DUMMYFUNCTION("""COMPUTED_VALUE"""),0.20183651422398272)</f>
        <v>0.2018365142</v>
      </c>
      <c r="G3497" s="5">
        <f>IFERROR(__xludf.DUMMYFUNCTION("""COMPUTED_VALUE"""),0.17248829672308247)</f>
        <v>0.1724882967</v>
      </c>
      <c r="H3497" s="5">
        <f>IFERROR(__xludf.DUMMYFUNCTION("""COMPUTED_VALUE"""),0.6039250669045495)</f>
        <v>0.6039250669</v>
      </c>
      <c r="I3497" s="11">
        <f>IFERROR(__xludf.DUMMYFUNCTION("""COMPUTED_VALUE"""),5433.184656556646)</f>
        <v>5433.184657</v>
      </c>
      <c r="J3497" s="10">
        <f>IFERROR(__xludf.DUMMYFUNCTION("""COMPUTED_VALUE"""),1.0)</f>
        <v>1</v>
      </c>
      <c r="K3497" s="5">
        <f>IFERROR(__xludf.DUMMYFUNCTION("""COMPUTED_VALUE"""),0.0019230769230769232)</f>
        <v>0.001923076923</v>
      </c>
      <c r="L3497" s="10">
        <f>IFERROR(__xludf.DUMMYFUNCTION("""COMPUTED_VALUE"""),57.0)</f>
        <v>57</v>
      </c>
      <c r="M3497" s="5">
        <f>IFERROR(__xludf.DUMMYFUNCTION("""COMPUTED_VALUE"""),0.10961538461538461)</f>
        <v>0.1096153846</v>
      </c>
    </row>
    <row r="3498">
      <c r="A3498" s="10" t="str">
        <f>IFERROR(__xludf.DUMMYFUNCTION("""COMPUTED_VALUE"""),"ひぐらし絆")</f>
        <v>ひぐらし絆</v>
      </c>
      <c r="B3498" s="10">
        <f>IFERROR(__xludf.DUMMYFUNCTION("""COMPUTED_VALUE"""),802.0)</f>
        <v>802</v>
      </c>
      <c r="C3498" s="10">
        <f>IFERROR(__xludf.DUMMYFUNCTION("""COMPUTED_VALUE"""),9465.0)</f>
        <v>9465</v>
      </c>
      <c r="D3498" s="5">
        <f>IFERROR(__xludf.DUMMYFUNCTION("""COMPUTED_VALUE"""),0.34306822117049524)</f>
        <v>0.3430682212</v>
      </c>
      <c r="E3498" s="5">
        <f>IFERROR(__xludf.DUMMYFUNCTION("""COMPUTED_VALUE"""),0.12351379429758744)</f>
        <v>0.1235137943</v>
      </c>
      <c r="F3498" s="5">
        <f>IFERROR(__xludf.DUMMYFUNCTION("""COMPUTED_VALUE"""),0.20951171649544037)</f>
        <v>0.2095117165</v>
      </c>
      <c r="G3498" s="5">
        <f>IFERROR(__xludf.DUMMYFUNCTION("""COMPUTED_VALUE"""),0.16911000808034168)</f>
        <v>0.1691100081</v>
      </c>
      <c r="H3498" s="5">
        <f>IFERROR(__xludf.DUMMYFUNCTION("""COMPUTED_VALUE"""),0.5889807162534435)</f>
        <v>0.5889807163</v>
      </c>
      <c r="I3498" s="11">
        <f>IFERROR(__xludf.DUMMYFUNCTION("""COMPUTED_VALUE"""),5763.415977961433)</f>
        <v>5763.415978</v>
      </c>
      <c r="J3498" s="10">
        <f>IFERROR(__xludf.DUMMYFUNCTION("""COMPUTED_VALUE"""),5.0)</f>
        <v>5</v>
      </c>
      <c r="K3498" s="5">
        <f>IFERROR(__xludf.DUMMYFUNCTION("""COMPUTED_VALUE"""),0.006234413965087282)</f>
        <v>0.006234413965</v>
      </c>
      <c r="L3498" s="10">
        <f>IFERROR(__xludf.DUMMYFUNCTION("""COMPUTED_VALUE"""),802.0)</f>
        <v>802</v>
      </c>
      <c r="M3498" s="5">
        <f>IFERROR(__xludf.DUMMYFUNCTION("""COMPUTED_VALUE"""),1.0)</f>
        <v>1</v>
      </c>
    </row>
    <row r="3499">
      <c r="A3499" s="10" t="str">
        <f>IFERROR(__xludf.DUMMYFUNCTION("""COMPUTED_VALUE"""),"赤阪郁乃")</f>
        <v>赤阪郁乃</v>
      </c>
      <c r="B3499" s="10">
        <f>IFERROR(__xludf.DUMMYFUNCTION("""COMPUTED_VALUE"""),930.0)</f>
        <v>930</v>
      </c>
      <c r="C3499" s="10">
        <f>IFERROR(__xludf.DUMMYFUNCTION("""COMPUTED_VALUE"""),10937.0)</f>
        <v>10937</v>
      </c>
      <c r="D3499" s="5">
        <f>IFERROR(__xludf.DUMMYFUNCTION("""COMPUTED_VALUE"""),0.40671529929049666)</f>
        <v>0.4067152993</v>
      </c>
      <c r="E3499" s="5">
        <f>IFERROR(__xludf.DUMMYFUNCTION("""COMPUTED_VALUE"""),0.12351354052163485)</f>
        <v>0.1235135405</v>
      </c>
      <c r="F3499" s="5">
        <f>IFERROR(__xludf.DUMMYFUNCTION("""COMPUTED_VALUE"""),0.2124512841011292)</f>
        <v>0.2124512841</v>
      </c>
      <c r="G3499" s="5">
        <f>IFERROR(__xludf.DUMMYFUNCTION("""COMPUTED_VALUE"""),0.15219346457479765)</f>
        <v>0.1521934646</v>
      </c>
      <c r="H3499" s="5">
        <f>IFERROR(__xludf.DUMMYFUNCTION("""COMPUTED_VALUE"""),0.5898400752587017)</f>
        <v>0.5898400753</v>
      </c>
      <c r="I3499" s="11">
        <f>IFERROR(__xludf.DUMMYFUNCTION("""COMPUTED_VALUE"""),5266.18062088429)</f>
        <v>5266.180621</v>
      </c>
      <c r="J3499" s="10">
        <f>IFERROR(__xludf.DUMMYFUNCTION("""COMPUTED_VALUE"""),3.0)</f>
        <v>3</v>
      </c>
      <c r="K3499" s="5">
        <f>IFERROR(__xludf.DUMMYFUNCTION("""COMPUTED_VALUE"""),0.0032258064516129032)</f>
        <v>0.003225806452</v>
      </c>
      <c r="L3499" s="10">
        <f>IFERROR(__xludf.DUMMYFUNCTION("""COMPUTED_VALUE"""),0.0)</f>
        <v>0</v>
      </c>
      <c r="M3499" s="5">
        <f>IFERROR(__xludf.DUMMYFUNCTION("""COMPUTED_VALUE"""),0.0)</f>
        <v>0</v>
      </c>
    </row>
    <row r="3500">
      <c r="A3500" s="10" t="str">
        <f>IFERROR(__xludf.DUMMYFUNCTION("""COMPUTED_VALUE"""),"sakura1s")</f>
        <v>sakura1s</v>
      </c>
      <c r="B3500" s="10">
        <f>IFERROR(__xludf.DUMMYFUNCTION("""COMPUTED_VALUE"""),771.0)</f>
        <v>771</v>
      </c>
      <c r="C3500" s="10">
        <f>IFERROR(__xludf.DUMMYFUNCTION("""COMPUTED_VALUE"""),9054.0)</f>
        <v>9054</v>
      </c>
      <c r="D3500" s="5">
        <f>IFERROR(__xludf.DUMMYFUNCTION("""COMPUTED_VALUE"""),0.3245201014125317)</f>
        <v>0.3245201014</v>
      </c>
      <c r="E3500" s="5">
        <f>IFERROR(__xludf.DUMMYFUNCTION("""COMPUTED_VALUE"""),0.12350597609561753)</f>
        <v>0.1235059761</v>
      </c>
      <c r="F3500" s="5">
        <f>IFERROR(__xludf.DUMMYFUNCTION("""COMPUTED_VALUE"""),0.2058432934926959)</f>
        <v>0.2058432935</v>
      </c>
      <c r="G3500" s="5">
        <f>IFERROR(__xludf.DUMMYFUNCTION("""COMPUTED_VALUE"""),0.19002776771701074)</f>
        <v>0.1900277677</v>
      </c>
      <c r="H3500" s="5">
        <f>IFERROR(__xludf.DUMMYFUNCTION("""COMPUTED_VALUE"""),0.5982404692082112)</f>
        <v>0.5982404692</v>
      </c>
      <c r="I3500" s="11">
        <f>IFERROR(__xludf.DUMMYFUNCTION("""COMPUTED_VALUE"""),5607.390029325513)</f>
        <v>5607.390029</v>
      </c>
      <c r="J3500" s="10">
        <f>IFERROR(__xludf.DUMMYFUNCTION("""COMPUTED_VALUE"""),1.0)</f>
        <v>1</v>
      </c>
      <c r="K3500" s="5">
        <f>IFERROR(__xludf.DUMMYFUNCTION("""COMPUTED_VALUE"""),0.0012970168612191958)</f>
        <v>0.001297016861</v>
      </c>
      <c r="L3500" s="10">
        <f>IFERROR(__xludf.DUMMYFUNCTION("""COMPUTED_VALUE"""),770.0)</f>
        <v>770</v>
      </c>
      <c r="M3500" s="5">
        <f>IFERROR(__xludf.DUMMYFUNCTION("""COMPUTED_VALUE"""),0.9987029831387808)</f>
        <v>0.9987029831</v>
      </c>
    </row>
    <row r="3501">
      <c r="A3501" s="10" t="str">
        <f>IFERROR(__xludf.DUMMYFUNCTION("""COMPUTED_VALUE"""),"閃光の指圧師")</f>
        <v>閃光の指圧師</v>
      </c>
      <c r="B3501" s="10">
        <f>IFERROR(__xludf.DUMMYFUNCTION("""COMPUTED_VALUE"""),1318.0)</f>
        <v>1318</v>
      </c>
      <c r="C3501" s="10">
        <f>IFERROR(__xludf.DUMMYFUNCTION("""COMPUTED_VALUE"""),15605.0)</f>
        <v>15605</v>
      </c>
      <c r="D3501" s="5">
        <f>IFERROR(__xludf.DUMMYFUNCTION("""COMPUTED_VALUE"""),0.3093021628053475)</f>
        <v>0.3093021628</v>
      </c>
      <c r="E3501" s="5">
        <f>IFERROR(__xludf.DUMMYFUNCTION("""COMPUTED_VALUE"""),0.12346888780009799)</f>
        <v>0.1234688878</v>
      </c>
      <c r="F3501" s="5">
        <f>IFERROR(__xludf.DUMMYFUNCTION("""COMPUTED_VALUE"""),0.20774130328270457)</f>
        <v>0.2077413033</v>
      </c>
      <c r="G3501" s="5">
        <f>IFERROR(__xludf.DUMMYFUNCTION("""COMPUTED_VALUE"""),0.174214320711136)</f>
        <v>0.1742143207</v>
      </c>
      <c r="H3501" s="5">
        <f>IFERROR(__xludf.DUMMYFUNCTION("""COMPUTED_VALUE"""),0.6108490566037735)</f>
        <v>0.6108490566</v>
      </c>
      <c r="I3501" s="11">
        <f>IFERROR(__xludf.DUMMYFUNCTION("""COMPUTED_VALUE"""),5878.672506738544)</f>
        <v>5878.672507</v>
      </c>
      <c r="J3501" s="10">
        <f>IFERROR(__xludf.DUMMYFUNCTION("""COMPUTED_VALUE"""),2.0)</f>
        <v>2</v>
      </c>
      <c r="K3501" s="5">
        <f>IFERROR(__xludf.DUMMYFUNCTION("""COMPUTED_VALUE"""),0.0015174506828528073)</f>
        <v>0.001517450683</v>
      </c>
      <c r="L3501" s="10">
        <f>IFERROR(__xludf.DUMMYFUNCTION("""COMPUTED_VALUE"""),0.0)</f>
        <v>0</v>
      </c>
      <c r="M3501" s="5">
        <f>IFERROR(__xludf.DUMMYFUNCTION("""COMPUTED_VALUE"""),0.0)</f>
        <v>0</v>
      </c>
    </row>
    <row r="3502">
      <c r="A3502" s="10" t="str">
        <f>IFERROR(__xludf.DUMMYFUNCTION("""COMPUTED_VALUE"""),"暇人＠配信垢")</f>
        <v>暇人＠配信垢</v>
      </c>
      <c r="B3502" s="10">
        <f>IFERROR(__xludf.DUMMYFUNCTION("""COMPUTED_VALUE"""),674.0)</f>
        <v>674</v>
      </c>
      <c r="C3502" s="10">
        <f>IFERROR(__xludf.DUMMYFUNCTION("""COMPUTED_VALUE"""),7842.0)</f>
        <v>7842</v>
      </c>
      <c r="D3502" s="5">
        <f>IFERROR(__xludf.DUMMYFUNCTION("""COMPUTED_VALUE"""),0.3833705357142857)</f>
        <v>0.3833705357</v>
      </c>
      <c r="E3502" s="5">
        <f>IFERROR(__xludf.DUMMYFUNCTION("""COMPUTED_VALUE"""),0.12346540178571429)</f>
        <v>0.1234654018</v>
      </c>
      <c r="F3502" s="5">
        <f>IFERROR(__xludf.DUMMYFUNCTION("""COMPUTED_VALUE"""),0.22056361607142858)</f>
        <v>0.2205636161</v>
      </c>
      <c r="G3502" s="5">
        <f>IFERROR(__xludf.DUMMYFUNCTION("""COMPUTED_VALUE"""),0.1748046875)</f>
        <v>0.1748046875</v>
      </c>
      <c r="H3502" s="5">
        <f>IFERROR(__xludf.DUMMYFUNCTION("""COMPUTED_VALUE"""),0.5876027830487034)</f>
        <v>0.587602783</v>
      </c>
      <c r="I3502" s="11">
        <f>IFERROR(__xludf.DUMMYFUNCTION("""COMPUTED_VALUE"""),5625.806451612903)</f>
        <v>5625.806452</v>
      </c>
      <c r="J3502" s="10">
        <f>IFERROR(__xludf.DUMMYFUNCTION("""COMPUTED_VALUE"""),3.0)</f>
        <v>3</v>
      </c>
      <c r="K3502" s="5">
        <f>IFERROR(__xludf.DUMMYFUNCTION("""COMPUTED_VALUE"""),0.004451038575667656)</f>
        <v>0.004451038576</v>
      </c>
      <c r="L3502" s="10">
        <f>IFERROR(__xludf.DUMMYFUNCTION("""COMPUTED_VALUE"""),0.0)</f>
        <v>0</v>
      </c>
      <c r="M3502" s="5">
        <f>IFERROR(__xludf.DUMMYFUNCTION("""COMPUTED_VALUE"""),0.0)</f>
        <v>0</v>
      </c>
    </row>
    <row r="3503">
      <c r="A3503" s="10" t="str">
        <f>IFERROR(__xludf.DUMMYFUNCTION("""COMPUTED_VALUE"""),"pmjpmpa")</f>
        <v>pmjpmpa</v>
      </c>
      <c r="B3503" s="10">
        <f>IFERROR(__xludf.DUMMYFUNCTION("""COMPUTED_VALUE"""),780.0)</f>
        <v>780</v>
      </c>
      <c r="C3503" s="10">
        <f>IFERROR(__xludf.DUMMYFUNCTION("""COMPUTED_VALUE"""),9066.0)</f>
        <v>9066</v>
      </c>
      <c r="D3503" s="5">
        <f>IFERROR(__xludf.DUMMYFUNCTION("""COMPUTED_VALUE"""),0.3633840212406469)</f>
        <v>0.3633840212</v>
      </c>
      <c r="E3503" s="5">
        <f>IFERROR(__xludf.DUMMYFUNCTION("""COMPUTED_VALUE"""),0.12346125995655322)</f>
        <v>0.12346126</v>
      </c>
      <c r="F3503" s="5">
        <f>IFERROR(__xludf.DUMMYFUNCTION("""COMPUTED_VALUE"""),0.19973449191407192)</f>
        <v>0.1997344919</v>
      </c>
      <c r="G3503" s="5">
        <f>IFERROR(__xludf.DUMMYFUNCTION("""COMPUTED_VALUE"""),0.1742698527636978)</f>
        <v>0.1742698528</v>
      </c>
      <c r="H3503" s="5">
        <f>IFERROR(__xludf.DUMMYFUNCTION("""COMPUTED_VALUE"""),0.5818731117824774)</f>
        <v>0.5818731118</v>
      </c>
      <c r="I3503" s="11">
        <f>IFERROR(__xludf.DUMMYFUNCTION("""COMPUTED_VALUE"""),5723.323262839879)</f>
        <v>5723.323263</v>
      </c>
      <c r="J3503" s="10">
        <f>IFERROR(__xludf.DUMMYFUNCTION("""COMPUTED_VALUE"""),0.0)</f>
        <v>0</v>
      </c>
      <c r="K3503" s="5">
        <f>IFERROR(__xludf.DUMMYFUNCTION("""COMPUTED_VALUE"""),0.0)</f>
        <v>0</v>
      </c>
      <c r="L3503" s="10">
        <f>IFERROR(__xludf.DUMMYFUNCTION("""COMPUTED_VALUE"""),374.0)</f>
        <v>374</v>
      </c>
      <c r="M3503" s="5">
        <f>IFERROR(__xludf.DUMMYFUNCTION("""COMPUTED_VALUE"""),0.4794871794871795)</f>
        <v>0.4794871795</v>
      </c>
    </row>
    <row r="3504">
      <c r="A3504" s="10" t="str">
        <f>IFERROR(__xludf.DUMMYFUNCTION("""COMPUTED_VALUE"""),"ゆうさくｐ")</f>
        <v>ゆうさくｐ</v>
      </c>
      <c r="B3504" s="10">
        <f>IFERROR(__xludf.DUMMYFUNCTION("""COMPUTED_VALUE"""),773.0)</f>
        <v>773</v>
      </c>
      <c r="C3504" s="10">
        <f>IFERROR(__xludf.DUMMYFUNCTION("""COMPUTED_VALUE"""),9157.0)</f>
        <v>9157</v>
      </c>
      <c r="D3504" s="5">
        <f>IFERROR(__xludf.DUMMYFUNCTION("""COMPUTED_VALUE"""),0.34041030534351147)</f>
        <v>0.3404103053</v>
      </c>
      <c r="E3504" s="5">
        <f>IFERROR(__xludf.DUMMYFUNCTION("""COMPUTED_VALUE"""),0.12344942748091603)</f>
        <v>0.1234494275</v>
      </c>
      <c r="F3504" s="5">
        <f>IFERROR(__xludf.DUMMYFUNCTION("""COMPUTED_VALUE"""),0.20264790076335878)</f>
        <v>0.2026479008</v>
      </c>
      <c r="G3504" s="5">
        <f>IFERROR(__xludf.DUMMYFUNCTION("""COMPUTED_VALUE"""),0.16841603053435114)</f>
        <v>0.1684160305</v>
      </c>
      <c r="H3504" s="5">
        <f>IFERROR(__xludf.DUMMYFUNCTION("""COMPUTED_VALUE"""),0.631547969393761)</f>
        <v>0.6315479694</v>
      </c>
      <c r="I3504" s="11">
        <f>IFERROR(__xludf.DUMMYFUNCTION("""COMPUTED_VALUE"""),5724.014125956445)</f>
        <v>5724.014126</v>
      </c>
      <c r="J3504" s="10">
        <f>IFERROR(__xludf.DUMMYFUNCTION("""COMPUTED_VALUE"""),1.0)</f>
        <v>1</v>
      </c>
      <c r="K3504" s="5">
        <f>IFERROR(__xludf.DUMMYFUNCTION("""COMPUTED_VALUE"""),0.00129366106080207)</f>
        <v>0.001293661061</v>
      </c>
      <c r="L3504" s="10">
        <f>IFERROR(__xludf.DUMMYFUNCTION("""COMPUTED_VALUE"""),739.0)</f>
        <v>739</v>
      </c>
      <c r="M3504" s="5">
        <f>IFERROR(__xludf.DUMMYFUNCTION("""COMPUTED_VALUE"""),0.9560155239327296)</f>
        <v>0.9560155239</v>
      </c>
    </row>
    <row r="3505">
      <c r="A3505" s="10" t="str">
        <f>IFERROR(__xludf.DUMMYFUNCTION("""COMPUTED_VALUE"""),"融")</f>
        <v>融</v>
      </c>
      <c r="B3505" s="10">
        <f>IFERROR(__xludf.DUMMYFUNCTION("""COMPUTED_VALUE"""),2073.0)</f>
        <v>2073</v>
      </c>
      <c r="C3505" s="10">
        <f>IFERROR(__xludf.DUMMYFUNCTION("""COMPUTED_VALUE"""),24052.0)</f>
        <v>24052</v>
      </c>
      <c r="D3505" s="5">
        <f>IFERROR(__xludf.DUMMYFUNCTION("""COMPUTED_VALUE"""),0.3598889849401702)</f>
        <v>0.3598889849</v>
      </c>
      <c r="E3505" s="5">
        <f>IFERROR(__xludf.DUMMYFUNCTION("""COMPUTED_VALUE"""),0.12343600709768415)</f>
        <v>0.1234360071</v>
      </c>
      <c r="F3505" s="5">
        <f>IFERROR(__xludf.DUMMYFUNCTION("""COMPUTED_VALUE"""),0.2191182492379089)</f>
        <v>0.2191182492</v>
      </c>
      <c r="G3505" s="5">
        <f>IFERROR(__xludf.DUMMYFUNCTION("""COMPUTED_VALUE"""),0.18171891350834887)</f>
        <v>0.1817189135</v>
      </c>
      <c r="H3505" s="5">
        <f>IFERROR(__xludf.DUMMYFUNCTION("""COMPUTED_VALUE"""),0.5921926910299004)</f>
        <v>0.592192691</v>
      </c>
      <c r="I3505" s="11">
        <f>IFERROR(__xludf.DUMMYFUNCTION("""COMPUTED_VALUE"""),5686.648671096345)</f>
        <v>5686.648671</v>
      </c>
      <c r="J3505" s="10">
        <f>IFERROR(__xludf.DUMMYFUNCTION("""COMPUTED_VALUE"""),3.0)</f>
        <v>3</v>
      </c>
      <c r="K3505" s="5">
        <f>IFERROR(__xludf.DUMMYFUNCTION("""COMPUTED_VALUE"""),0.001447178002894356)</f>
        <v>0.001447178003</v>
      </c>
      <c r="L3505" s="10">
        <f>IFERROR(__xludf.DUMMYFUNCTION("""COMPUTED_VALUE"""),2042.0)</f>
        <v>2042</v>
      </c>
      <c r="M3505" s="5">
        <f>IFERROR(__xludf.DUMMYFUNCTION("""COMPUTED_VALUE"""),0.9850458273034249)</f>
        <v>0.9850458273</v>
      </c>
    </row>
    <row r="3506">
      <c r="A3506" s="10" t="str">
        <f>IFERROR(__xludf.DUMMYFUNCTION("""COMPUTED_VALUE"""),"新子憧＠即鳴雀士")</f>
        <v>新子憧＠即鳴雀士</v>
      </c>
      <c r="B3506" s="10">
        <f>IFERROR(__xludf.DUMMYFUNCTION("""COMPUTED_VALUE"""),321.0)</f>
        <v>321</v>
      </c>
      <c r="C3506" s="10">
        <f>IFERROR(__xludf.DUMMYFUNCTION("""COMPUTED_VALUE"""),3902.0)</f>
        <v>3902</v>
      </c>
      <c r="D3506" s="5">
        <f>IFERROR(__xludf.DUMMYFUNCTION("""COMPUTED_VALUE"""),0.37838592571907287)</f>
        <v>0.3783859257</v>
      </c>
      <c r="E3506" s="5">
        <f>IFERROR(__xludf.DUMMYFUNCTION("""COMPUTED_VALUE"""),0.12342920971795587)</f>
        <v>0.1234292097</v>
      </c>
      <c r="F3506" s="5">
        <f>IFERROR(__xludf.DUMMYFUNCTION("""COMPUTED_VALUE"""),0.20524993018709858)</f>
        <v>0.2052499302</v>
      </c>
      <c r="G3506" s="5">
        <f>IFERROR(__xludf.DUMMYFUNCTION("""COMPUTED_VALUE"""),0.15638089919017034)</f>
        <v>0.1563808992</v>
      </c>
      <c r="H3506" s="5">
        <f>IFERROR(__xludf.DUMMYFUNCTION("""COMPUTED_VALUE"""),0.5591836734693878)</f>
        <v>0.5591836735</v>
      </c>
      <c r="I3506" s="11">
        <f>IFERROR(__xludf.DUMMYFUNCTION("""COMPUTED_VALUE"""),5248.571428571428)</f>
        <v>5248.571429</v>
      </c>
      <c r="J3506" s="10">
        <f>IFERROR(__xludf.DUMMYFUNCTION("""COMPUTED_VALUE"""),1.0)</f>
        <v>1</v>
      </c>
      <c r="K3506" s="5">
        <f>IFERROR(__xludf.DUMMYFUNCTION("""COMPUTED_VALUE"""),0.003115264797507788)</f>
        <v>0.003115264798</v>
      </c>
      <c r="L3506" s="10">
        <f>IFERROR(__xludf.DUMMYFUNCTION("""COMPUTED_VALUE"""),6.0)</f>
        <v>6</v>
      </c>
      <c r="M3506" s="5">
        <f>IFERROR(__xludf.DUMMYFUNCTION("""COMPUTED_VALUE"""),0.018691588785046728)</f>
        <v>0.01869158879</v>
      </c>
    </row>
    <row r="3507">
      <c r="A3507" s="10" t="str">
        <f>IFERROR(__xludf.DUMMYFUNCTION("""COMPUTED_VALUE"""),"くろはち")</f>
        <v>くろはち</v>
      </c>
      <c r="B3507" s="10">
        <f>IFERROR(__xludf.DUMMYFUNCTION("""COMPUTED_VALUE"""),2539.0)</f>
        <v>2539</v>
      </c>
      <c r="C3507" s="10">
        <f>IFERROR(__xludf.DUMMYFUNCTION("""COMPUTED_VALUE"""),29940.0)</f>
        <v>29940</v>
      </c>
      <c r="D3507" s="5">
        <f>IFERROR(__xludf.DUMMYFUNCTION("""COMPUTED_VALUE"""),0.3576146855954162)</f>
        <v>0.3576146856</v>
      </c>
      <c r="E3507" s="5">
        <f>IFERROR(__xludf.DUMMYFUNCTION("""COMPUTED_VALUE"""),0.12342615233020693)</f>
        <v>0.1234261523</v>
      </c>
      <c r="F3507" s="5">
        <f>IFERROR(__xludf.DUMMYFUNCTION("""COMPUTED_VALUE"""),0.22426188825225357)</f>
        <v>0.2242618883</v>
      </c>
      <c r="G3507" s="5">
        <f>IFERROR(__xludf.DUMMYFUNCTION("""COMPUTED_VALUE"""),0.16477500821137914)</f>
        <v>0.1647750082</v>
      </c>
      <c r="H3507" s="5">
        <f>IFERROR(__xludf.DUMMYFUNCTION("""COMPUTED_VALUE"""),0.5977217249796583)</f>
        <v>0.597721725</v>
      </c>
      <c r="I3507" s="11">
        <f>IFERROR(__xludf.DUMMYFUNCTION("""COMPUTED_VALUE"""),5321.366965012205)</f>
        <v>5321.366965</v>
      </c>
      <c r="J3507" s="10">
        <f>IFERROR(__xludf.DUMMYFUNCTION("""COMPUTED_VALUE"""),2.0)</f>
        <v>2</v>
      </c>
      <c r="K3507" s="5">
        <f>IFERROR(__xludf.DUMMYFUNCTION("""COMPUTED_VALUE"""),7.877116975187081E-4)</f>
        <v>0.0007877116975</v>
      </c>
      <c r="L3507" s="10">
        <f>IFERROR(__xludf.DUMMYFUNCTION("""COMPUTED_VALUE"""),2539.0)</f>
        <v>2539</v>
      </c>
      <c r="M3507" s="5">
        <f>IFERROR(__xludf.DUMMYFUNCTION("""COMPUTED_VALUE"""),1.0)</f>
        <v>1</v>
      </c>
    </row>
    <row r="3508">
      <c r="A3508" s="10" t="str">
        <f>IFERROR(__xludf.DUMMYFUNCTION("""COMPUTED_VALUE"""),"ぽん＠牌賊")</f>
        <v>ぽん＠牌賊</v>
      </c>
      <c r="B3508" s="10">
        <f>IFERROR(__xludf.DUMMYFUNCTION("""COMPUTED_VALUE"""),485.0)</f>
        <v>485</v>
      </c>
      <c r="C3508" s="10">
        <f>IFERROR(__xludf.DUMMYFUNCTION("""COMPUTED_VALUE"""),5557.0)</f>
        <v>5557</v>
      </c>
      <c r="D3508" s="5">
        <f>IFERROR(__xludf.DUMMYFUNCTION("""COMPUTED_VALUE"""),0.28213722397476343)</f>
        <v>0.282137224</v>
      </c>
      <c r="E3508" s="5">
        <f>IFERROR(__xludf.DUMMYFUNCTION("""COMPUTED_VALUE"""),0.12342271293375394)</f>
        <v>0.1234227129</v>
      </c>
      <c r="F3508" s="5">
        <f>IFERROR(__xludf.DUMMYFUNCTION("""COMPUTED_VALUE"""),0.20623028391167192)</f>
        <v>0.2062302839</v>
      </c>
      <c r="G3508" s="5">
        <f>IFERROR(__xludf.DUMMYFUNCTION("""COMPUTED_VALUE"""),0.16305205047318613)</f>
        <v>0.1630520505</v>
      </c>
      <c r="H3508" s="5">
        <f>IFERROR(__xludf.DUMMYFUNCTION("""COMPUTED_VALUE"""),0.5975143403441683)</f>
        <v>0.5975143403</v>
      </c>
      <c r="I3508" s="11">
        <f>IFERROR(__xludf.DUMMYFUNCTION("""COMPUTED_VALUE"""),5826.481835564054)</f>
        <v>5826.481836</v>
      </c>
      <c r="J3508" s="10">
        <f>IFERROR(__xludf.DUMMYFUNCTION("""COMPUTED_VALUE"""),2.0)</f>
        <v>2</v>
      </c>
      <c r="K3508" s="5">
        <f>IFERROR(__xludf.DUMMYFUNCTION("""COMPUTED_VALUE"""),0.004123711340206186)</f>
        <v>0.00412371134</v>
      </c>
      <c r="L3508" s="10">
        <f>IFERROR(__xludf.DUMMYFUNCTION("""COMPUTED_VALUE"""),485.0)</f>
        <v>485</v>
      </c>
      <c r="M3508" s="5">
        <f>IFERROR(__xludf.DUMMYFUNCTION("""COMPUTED_VALUE"""),1.0)</f>
        <v>1</v>
      </c>
    </row>
    <row r="3509">
      <c r="A3509" s="10" t="str">
        <f>IFERROR(__xludf.DUMMYFUNCTION("""COMPUTED_VALUE"""),"もうりぃ")</f>
        <v>もうりぃ</v>
      </c>
      <c r="B3509" s="10">
        <f>IFERROR(__xludf.DUMMYFUNCTION("""COMPUTED_VALUE"""),694.0)</f>
        <v>694</v>
      </c>
      <c r="C3509" s="10">
        <f>IFERROR(__xludf.DUMMYFUNCTION("""COMPUTED_VALUE"""),8116.0)</f>
        <v>8116</v>
      </c>
      <c r="D3509" s="5">
        <f>IFERROR(__xludf.DUMMYFUNCTION("""COMPUTED_VALUE"""),0.28280786849905687)</f>
        <v>0.2828078685</v>
      </c>
      <c r="E3509" s="5">
        <f>IFERROR(__xludf.DUMMYFUNCTION("""COMPUTED_VALUE"""),0.123416868768526)</f>
        <v>0.1234168688</v>
      </c>
      <c r="F3509" s="5">
        <f>IFERROR(__xludf.DUMMYFUNCTION("""COMPUTED_VALUE"""),0.21153327943950417)</f>
        <v>0.2115332794</v>
      </c>
      <c r="G3509" s="5">
        <f>IFERROR(__xludf.DUMMYFUNCTION("""COMPUTED_VALUE"""),0.15669630827270278)</f>
        <v>0.1566963083</v>
      </c>
      <c r="H3509" s="5">
        <f>IFERROR(__xludf.DUMMYFUNCTION("""COMPUTED_VALUE"""),0.6031847133757962)</f>
        <v>0.6031847134</v>
      </c>
      <c r="I3509" s="11">
        <f>IFERROR(__xludf.DUMMYFUNCTION("""COMPUTED_VALUE"""),5490.764331210191)</f>
        <v>5490.764331</v>
      </c>
      <c r="J3509" s="10">
        <f>IFERROR(__xludf.DUMMYFUNCTION("""COMPUTED_VALUE"""),5.0)</f>
        <v>5</v>
      </c>
      <c r="K3509" s="5">
        <f>IFERROR(__xludf.DUMMYFUNCTION("""COMPUTED_VALUE"""),0.007204610951008645)</f>
        <v>0.007204610951</v>
      </c>
      <c r="L3509" s="10">
        <f>IFERROR(__xludf.DUMMYFUNCTION("""COMPUTED_VALUE"""),0.0)</f>
        <v>0</v>
      </c>
      <c r="M3509" s="5">
        <f>IFERROR(__xludf.DUMMYFUNCTION("""COMPUTED_VALUE"""),0.0)</f>
        <v>0</v>
      </c>
    </row>
    <row r="3510">
      <c r="A3510" s="10" t="str">
        <f>IFERROR(__xludf.DUMMYFUNCTION("""COMPUTED_VALUE"""),"長門は俺の嫁。")</f>
        <v>長門は俺の嫁。</v>
      </c>
      <c r="B3510" s="10">
        <f>IFERROR(__xludf.DUMMYFUNCTION("""COMPUTED_VALUE"""),230.0)</f>
        <v>230</v>
      </c>
      <c r="C3510" s="10">
        <f>IFERROR(__xludf.DUMMYFUNCTION("""COMPUTED_VALUE"""),2750.0)</f>
        <v>2750</v>
      </c>
      <c r="D3510" s="5">
        <f>IFERROR(__xludf.DUMMYFUNCTION("""COMPUTED_VALUE"""),0.3408730158730159)</f>
        <v>0.3408730159</v>
      </c>
      <c r="E3510" s="5">
        <f>IFERROR(__xludf.DUMMYFUNCTION("""COMPUTED_VALUE"""),0.12341269841269842)</f>
        <v>0.1234126984</v>
      </c>
      <c r="F3510" s="5">
        <f>IFERROR(__xludf.DUMMYFUNCTION("""COMPUTED_VALUE"""),0.19365079365079366)</f>
        <v>0.1936507937</v>
      </c>
      <c r="G3510" s="5">
        <f>IFERROR(__xludf.DUMMYFUNCTION("""COMPUTED_VALUE"""),0.1503968253968254)</f>
        <v>0.1503968254</v>
      </c>
      <c r="H3510" s="5">
        <f>IFERROR(__xludf.DUMMYFUNCTION("""COMPUTED_VALUE"""),0.5737704918032787)</f>
        <v>0.5737704918</v>
      </c>
      <c r="I3510" s="11">
        <f>IFERROR(__xludf.DUMMYFUNCTION("""COMPUTED_VALUE"""),5961.88524590164)</f>
        <v>5961.885246</v>
      </c>
      <c r="J3510" s="10">
        <f>IFERROR(__xludf.DUMMYFUNCTION("""COMPUTED_VALUE"""),0.0)</f>
        <v>0</v>
      </c>
      <c r="K3510" s="5">
        <f>IFERROR(__xludf.DUMMYFUNCTION("""COMPUTED_VALUE"""),0.0)</f>
        <v>0</v>
      </c>
      <c r="L3510" s="10">
        <f>IFERROR(__xludf.DUMMYFUNCTION("""COMPUTED_VALUE"""),230.0)</f>
        <v>230</v>
      </c>
      <c r="M3510" s="5">
        <f>IFERROR(__xludf.DUMMYFUNCTION("""COMPUTED_VALUE"""),1.0)</f>
        <v>1</v>
      </c>
    </row>
    <row r="3511">
      <c r="A3511" s="10" t="str">
        <f>IFERROR(__xludf.DUMMYFUNCTION("""COMPUTED_VALUE"""),"JARNAL")</f>
        <v>JARNAL</v>
      </c>
      <c r="B3511" s="10">
        <f>IFERROR(__xludf.DUMMYFUNCTION("""COMPUTED_VALUE"""),514.0)</f>
        <v>514</v>
      </c>
      <c r="C3511" s="10">
        <f>IFERROR(__xludf.DUMMYFUNCTION("""COMPUTED_VALUE"""),6146.0)</f>
        <v>6146</v>
      </c>
      <c r="D3511" s="5">
        <f>IFERROR(__xludf.DUMMYFUNCTION("""COMPUTED_VALUE"""),0.3449928977272727)</f>
        <v>0.3449928977</v>
      </c>
      <c r="E3511" s="5">
        <f>IFERROR(__xludf.DUMMYFUNCTION("""COMPUTED_VALUE"""),0.12340198863636363)</f>
        <v>0.1234019886</v>
      </c>
      <c r="F3511" s="5">
        <f>IFERROR(__xludf.DUMMYFUNCTION("""COMPUTED_VALUE"""),0.20578835227272727)</f>
        <v>0.2057883523</v>
      </c>
      <c r="G3511" s="5">
        <f>IFERROR(__xludf.DUMMYFUNCTION("""COMPUTED_VALUE"""),0.16352982954545456)</f>
        <v>0.1635298295</v>
      </c>
      <c r="H3511" s="5">
        <f>IFERROR(__xludf.DUMMYFUNCTION("""COMPUTED_VALUE"""),0.5893011216566005)</f>
        <v>0.5893011217</v>
      </c>
      <c r="I3511" s="11">
        <f>IFERROR(__xludf.DUMMYFUNCTION("""COMPUTED_VALUE"""),5807.679033649698)</f>
        <v>5807.679034</v>
      </c>
      <c r="J3511" s="10">
        <f>IFERROR(__xludf.DUMMYFUNCTION("""COMPUTED_VALUE"""),5.0)</f>
        <v>5</v>
      </c>
      <c r="K3511" s="5">
        <f>IFERROR(__xludf.DUMMYFUNCTION("""COMPUTED_VALUE"""),0.009727626459143969)</f>
        <v>0.009727626459</v>
      </c>
      <c r="L3511" s="10">
        <f>IFERROR(__xludf.DUMMYFUNCTION("""COMPUTED_VALUE"""),456.0)</f>
        <v>456</v>
      </c>
      <c r="M3511" s="5">
        <f>IFERROR(__xludf.DUMMYFUNCTION("""COMPUTED_VALUE"""),0.8871595330739299)</f>
        <v>0.8871595331</v>
      </c>
    </row>
    <row r="3512">
      <c r="A3512" s="10" t="str">
        <f>IFERROR(__xludf.DUMMYFUNCTION("""COMPUTED_VALUE"""),"第二音楽室")</f>
        <v>第二音楽室</v>
      </c>
      <c r="B3512" s="10">
        <f>IFERROR(__xludf.DUMMYFUNCTION("""COMPUTED_VALUE"""),144.0)</f>
        <v>144</v>
      </c>
      <c r="C3512" s="10">
        <f>IFERROR(__xludf.DUMMYFUNCTION("""COMPUTED_VALUE"""),1708.0)</f>
        <v>1708</v>
      </c>
      <c r="D3512" s="5">
        <f>IFERROR(__xludf.DUMMYFUNCTION("""COMPUTED_VALUE"""),0.3446291560102302)</f>
        <v>0.344629156</v>
      </c>
      <c r="E3512" s="5">
        <f>IFERROR(__xludf.DUMMYFUNCTION("""COMPUTED_VALUE"""),0.12340153452685422)</f>
        <v>0.1234015345</v>
      </c>
      <c r="F3512" s="5">
        <f>IFERROR(__xludf.DUMMYFUNCTION("""COMPUTED_VALUE"""),0.18861892583120204)</f>
        <v>0.1886189258</v>
      </c>
      <c r="G3512" s="5">
        <f>IFERROR(__xludf.DUMMYFUNCTION("""COMPUTED_VALUE"""),0.13810741687979539)</f>
        <v>0.1381074169</v>
      </c>
      <c r="H3512" s="5">
        <f>IFERROR(__xludf.DUMMYFUNCTION("""COMPUTED_VALUE"""),0.6135593220338983)</f>
        <v>0.613559322</v>
      </c>
      <c r="I3512" s="11">
        <f>IFERROR(__xludf.DUMMYFUNCTION("""COMPUTED_VALUE"""),5505.762711864407)</f>
        <v>5505.762712</v>
      </c>
      <c r="J3512" s="10">
        <f>IFERROR(__xludf.DUMMYFUNCTION("""COMPUTED_VALUE"""),0.0)</f>
        <v>0</v>
      </c>
      <c r="K3512" s="5">
        <f>IFERROR(__xludf.DUMMYFUNCTION("""COMPUTED_VALUE"""),0.0)</f>
        <v>0</v>
      </c>
      <c r="L3512" s="10">
        <f>IFERROR(__xludf.DUMMYFUNCTION("""COMPUTED_VALUE"""),0.0)</f>
        <v>0</v>
      </c>
      <c r="M3512" s="5">
        <f>IFERROR(__xludf.DUMMYFUNCTION("""COMPUTED_VALUE"""),0.0)</f>
        <v>0</v>
      </c>
    </row>
    <row r="3513">
      <c r="A3513" s="10" t="str">
        <f>IFERROR(__xludf.DUMMYFUNCTION("""COMPUTED_VALUE"""),"武田舞彩")</f>
        <v>武田舞彩</v>
      </c>
      <c r="B3513" s="10">
        <f>IFERROR(__xludf.DUMMYFUNCTION("""COMPUTED_VALUE"""),1167.0)</f>
        <v>1167</v>
      </c>
      <c r="C3513" s="10">
        <f>IFERROR(__xludf.DUMMYFUNCTION("""COMPUTED_VALUE"""),13671.0)</f>
        <v>13671</v>
      </c>
      <c r="D3513" s="5">
        <f>IFERROR(__xludf.DUMMYFUNCTION("""COMPUTED_VALUE"""),0.39859245041586694)</f>
        <v>0.3985924504</v>
      </c>
      <c r="E3513" s="5">
        <f>IFERROR(__xludf.DUMMYFUNCTION("""COMPUTED_VALUE"""),0.12340051183621241)</f>
        <v>0.1234005118</v>
      </c>
      <c r="F3513" s="5">
        <f>IFERROR(__xludf.DUMMYFUNCTION("""COMPUTED_VALUE"""),0.21225207933461293)</f>
        <v>0.2122520793</v>
      </c>
      <c r="G3513" s="5">
        <f>IFERROR(__xludf.DUMMYFUNCTION("""COMPUTED_VALUE"""),0.15075175943698016)</f>
        <v>0.1507517594</v>
      </c>
      <c r="H3513" s="5">
        <f>IFERROR(__xludf.DUMMYFUNCTION("""COMPUTED_VALUE"""),0.6103993971363979)</f>
        <v>0.6103993971</v>
      </c>
      <c r="I3513" s="11">
        <f>IFERROR(__xludf.DUMMYFUNCTION("""COMPUTED_VALUE"""),5398.869630746044)</f>
        <v>5398.869631</v>
      </c>
      <c r="J3513" s="10">
        <f>IFERROR(__xludf.DUMMYFUNCTION("""COMPUTED_VALUE"""),4.0)</f>
        <v>4</v>
      </c>
      <c r="K3513" s="5">
        <f>IFERROR(__xludf.DUMMYFUNCTION("""COMPUTED_VALUE"""),0.003427592116538132)</f>
        <v>0.003427592117</v>
      </c>
      <c r="L3513" s="10">
        <f>IFERROR(__xludf.DUMMYFUNCTION("""COMPUTED_VALUE"""),1167.0)</f>
        <v>1167</v>
      </c>
      <c r="M3513" s="5">
        <f>IFERROR(__xludf.DUMMYFUNCTION("""COMPUTED_VALUE"""),1.0)</f>
        <v>1</v>
      </c>
    </row>
    <row r="3514">
      <c r="A3514" s="10" t="str">
        <f>IFERROR(__xludf.DUMMYFUNCTION("""COMPUTED_VALUE"""),"根元から吹っ飛ぶ")</f>
        <v>根元から吹っ飛ぶ</v>
      </c>
      <c r="B3514" s="10">
        <f>IFERROR(__xludf.DUMMYFUNCTION("""COMPUTED_VALUE"""),1016.0)</f>
        <v>1016</v>
      </c>
      <c r="C3514" s="10">
        <f>IFERROR(__xludf.DUMMYFUNCTION("""COMPUTED_VALUE"""),11786.0)</f>
        <v>11786</v>
      </c>
      <c r="D3514" s="5">
        <f>IFERROR(__xludf.DUMMYFUNCTION("""COMPUTED_VALUE"""),0.4401114206128134)</f>
        <v>0.4401114206</v>
      </c>
      <c r="E3514" s="5">
        <f>IFERROR(__xludf.DUMMYFUNCTION("""COMPUTED_VALUE"""),0.1233983286908078)</f>
        <v>0.1233983287</v>
      </c>
      <c r="F3514" s="5">
        <f>IFERROR(__xludf.DUMMYFUNCTION("""COMPUTED_VALUE"""),0.22349117920148562)</f>
        <v>0.2234911792</v>
      </c>
      <c r="G3514" s="5">
        <f>IFERROR(__xludf.DUMMYFUNCTION("""COMPUTED_VALUE"""),0.17298050139275767)</f>
        <v>0.1729805014</v>
      </c>
      <c r="H3514" s="5">
        <f>IFERROR(__xludf.DUMMYFUNCTION("""COMPUTED_VALUE"""),0.5720814291649357)</f>
        <v>0.5720814292</v>
      </c>
      <c r="I3514" s="11">
        <f>IFERROR(__xludf.DUMMYFUNCTION("""COMPUTED_VALUE"""),5428.417116742833)</f>
        <v>5428.417117</v>
      </c>
      <c r="J3514" s="10">
        <f>IFERROR(__xludf.DUMMYFUNCTION("""COMPUTED_VALUE"""),5.0)</f>
        <v>5</v>
      </c>
      <c r="K3514" s="5">
        <f>IFERROR(__xludf.DUMMYFUNCTION("""COMPUTED_VALUE"""),0.004921259842519685)</f>
        <v>0.004921259843</v>
      </c>
      <c r="L3514" s="10">
        <f>IFERROR(__xludf.DUMMYFUNCTION("""COMPUTED_VALUE"""),5.0)</f>
        <v>5</v>
      </c>
      <c r="M3514" s="5">
        <f>IFERROR(__xludf.DUMMYFUNCTION("""COMPUTED_VALUE"""),0.004921259842519685)</f>
        <v>0.004921259843</v>
      </c>
    </row>
    <row r="3515">
      <c r="A3515" s="10" t="str">
        <f>IFERROR(__xludf.DUMMYFUNCTION("""COMPUTED_VALUE"""),"とだぁ！")</f>
        <v>とだぁ！</v>
      </c>
      <c r="B3515" s="10">
        <f>IFERROR(__xludf.DUMMYFUNCTION("""COMPUTED_VALUE"""),130.0)</f>
        <v>130</v>
      </c>
      <c r="C3515" s="10">
        <f>IFERROR(__xludf.DUMMYFUNCTION("""COMPUTED_VALUE"""),1532.0)</f>
        <v>1532</v>
      </c>
      <c r="D3515" s="5">
        <f>IFERROR(__xludf.DUMMYFUNCTION("""COMPUTED_VALUE"""),0.32168330955777463)</f>
        <v>0.3216833096</v>
      </c>
      <c r="E3515" s="5">
        <f>IFERROR(__xludf.DUMMYFUNCTION("""COMPUTED_VALUE"""),0.12339514978601997)</f>
        <v>0.1233951498</v>
      </c>
      <c r="F3515" s="5">
        <f>IFERROR(__xludf.DUMMYFUNCTION("""COMPUTED_VALUE"""),0.19686162624821682)</f>
        <v>0.1968616262</v>
      </c>
      <c r="G3515" s="5">
        <f>IFERROR(__xludf.DUMMYFUNCTION("""COMPUTED_VALUE"""),0.18544935805991442)</f>
        <v>0.1854493581</v>
      </c>
      <c r="H3515" s="5">
        <f>IFERROR(__xludf.DUMMYFUNCTION("""COMPUTED_VALUE"""),0.572463768115942)</f>
        <v>0.5724637681</v>
      </c>
      <c r="I3515" s="11">
        <f>IFERROR(__xludf.DUMMYFUNCTION("""COMPUTED_VALUE"""),6123.913043478261)</f>
        <v>6123.913043</v>
      </c>
      <c r="J3515" s="10">
        <f>IFERROR(__xludf.DUMMYFUNCTION("""COMPUTED_VALUE"""),0.0)</f>
        <v>0</v>
      </c>
      <c r="K3515" s="5">
        <f>IFERROR(__xludf.DUMMYFUNCTION("""COMPUTED_VALUE"""),0.0)</f>
        <v>0</v>
      </c>
      <c r="L3515" s="10">
        <f>IFERROR(__xludf.DUMMYFUNCTION("""COMPUTED_VALUE"""),130.0)</f>
        <v>130</v>
      </c>
      <c r="M3515" s="5">
        <f>IFERROR(__xludf.DUMMYFUNCTION("""COMPUTED_VALUE"""),1.0)</f>
        <v>1</v>
      </c>
    </row>
    <row r="3516">
      <c r="A3516" s="10" t="str">
        <f>IFERROR(__xludf.DUMMYFUNCTION("""COMPUTED_VALUE"""),"十字猛夫")</f>
        <v>十字猛夫</v>
      </c>
      <c r="B3516" s="10">
        <f>IFERROR(__xludf.DUMMYFUNCTION("""COMPUTED_VALUE"""),1904.0)</f>
        <v>1904</v>
      </c>
      <c r="C3516" s="10">
        <f>IFERROR(__xludf.DUMMYFUNCTION("""COMPUTED_VALUE"""),22278.0)</f>
        <v>22278</v>
      </c>
      <c r="D3516" s="5">
        <f>IFERROR(__xludf.DUMMYFUNCTION("""COMPUTED_VALUE"""),0.36551487189555315)</f>
        <v>0.3655148719</v>
      </c>
      <c r="E3516" s="5">
        <f>IFERROR(__xludf.DUMMYFUNCTION("""COMPUTED_VALUE"""),0.12339255914400707)</f>
        <v>0.1233925591</v>
      </c>
      <c r="F3516" s="5">
        <f>IFERROR(__xludf.DUMMYFUNCTION("""COMPUTED_VALUE"""),0.2008932953764602)</f>
        <v>0.2008932954</v>
      </c>
      <c r="G3516" s="5">
        <f>IFERROR(__xludf.DUMMYFUNCTION("""COMPUTED_VALUE"""),0.15828997742220477)</f>
        <v>0.1582899774</v>
      </c>
      <c r="H3516" s="5">
        <f>IFERROR(__xludf.DUMMYFUNCTION("""COMPUTED_VALUE"""),0.6027363791839726)</f>
        <v>0.6027363792</v>
      </c>
      <c r="I3516" s="11">
        <f>IFERROR(__xludf.DUMMYFUNCTION("""COMPUTED_VALUE"""),5789.396530662106)</f>
        <v>5789.396531</v>
      </c>
      <c r="J3516" s="10">
        <f>IFERROR(__xludf.DUMMYFUNCTION("""COMPUTED_VALUE"""),3.0)</f>
        <v>3</v>
      </c>
      <c r="K3516" s="5">
        <f>IFERROR(__xludf.DUMMYFUNCTION("""COMPUTED_VALUE"""),0.0015756302521008404)</f>
        <v>0.001575630252</v>
      </c>
      <c r="L3516" s="10">
        <f>IFERROR(__xludf.DUMMYFUNCTION("""COMPUTED_VALUE"""),1903.0)</f>
        <v>1903</v>
      </c>
      <c r="M3516" s="5">
        <f>IFERROR(__xludf.DUMMYFUNCTION("""COMPUTED_VALUE"""),0.9994747899159664)</f>
        <v>0.9994747899</v>
      </c>
    </row>
    <row r="3517">
      <c r="A3517" s="10" t="str">
        <f>IFERROR(__xludf.DUMMYFUNCTION("""COMPUTED_VALUE"""),"＊桜杜＊")</f>
        <v>＊桜杜＊</v>
      </c>
      <c r="B3517" s="10">
        <f>IFERROR(__xludf.DUMMYFUNCTION("""COMPUTED_VALUE"""),286.0)</f>
        <v>286</v>
      </c>
      <c r="C3517" s="10">
        <f>IFERROR(__xludf.DUMMYFUNCTION("""COMPUTED_VALUE"""),3317.0)</f>
        <v>3317</v>
      </c>
      <c r="D3517" s="5">
        <f>IFERROR(__xludf.DUMMYFUNCTION("""COMPUTED_VALUE"""),0.3282744968657209)</f>
        <v>0.3282744969</v>
      </c>
      <c r="E3517" s="5">
        <f>IFERROR(__xludf.DUMMYFUNCTION("""COMPUTED_VALUE"""),0.12339161992741669)</f>
        <v>0.1233916199</v>
      </c>
      <c r="F3517" s="5">
        <f>IFERROR(__xludf.DUMMYFUNCTION("""COMPUTED_VALUE"""),0.19036621577037283)</f>
        <v>0.1903662158</v>
      </c>
      <c r="G3517" s="5">
        <f>IFERROR(__xludf.DUMMYFUNCTION("""COMPUTED_VALUE"""),0.17584955460244145)</f>
        <v>0.1758495546</v>
      </c>
      <c r="H3517" s="5">
        <f>IFERROR(__xludf.DUMMYFUNCTION("""COMPUTED_VALUE"""),0.5805892547660312)</f>
        <v>0.5805892548</v>
      </c>
      <c r="I3517" s="11">
        <f>IFERROR(__xludf.DUMMYFUNCTION("""COMPUTED_VALUE"""),5882.842287694974)</f>
        <v>5882.842288</v>
      </c>
      <c r="J3517" s="10">
        <f>IFERROR(__xludf.DUMMYFUNCTION("""COMPUTED_VALUE"""),0.0)</f>
        <v>0</v>
      </c>
      <c r="K3517" s="5">
        <f>IFERROR(__xludf.DUMMYFUNCTION("""COMPUTED_VALUE"""),0.0)</f>
        <v>0</v>
      </c>
      <c r="L3517" s="10">
        <f>IFERROR(__xludf.DUMMYFUNCTION("""COMPUTED_VALUE"""),286.0)</f>
        <v>286</v>
      </c>
      <c r="M3517" s="5">
        <f>IFERROR(__xludf.DUMMYFUNCTION("""COMPUTED_VALUE"""),1.0)</f>
        <v>1</v>
      </c>
    </row>
    <row r="3518">
      <c r="A3518" s="10" t="str">
        <f>IFERROR(__xludf.DUMMYFUNCTION("""COMPUTED_VALUE"""),"たかなしひな３才")</f>
        <v>たかなしひな３才</v>
      </c>
      <c r="B3518" s="10">
        <f>IFERROR(__xludf.DUMMYFUNCTION("""COMPUTED_VALUE"""),275.0)</f>
        <v>275</v>
      </c>
      <c r="C3518" s="10">
        <f>IFERROR(__xludf.DUMMYFUNCTION("""COMPUTED_VALUE"""),3298.0)</f>
        <v>3298</v>
      </c>
      <c r="D3518" s="5">
        <f>IFERROR(__xludf.DUMMYFUNCTION("""COMPUTED_VALUE"""),0.41878928217002975)</f>
        <v>0.4187892822</v>
      </c>
      <c r="E3518" s="5">
        <f>IFERROR(__xludf.DUMMYFUNCTION("""COMPUTED_VALUE"""),0.12338736354614621)</f>
        <v>0.1233873635</v>
      </c>
      <c r="F3518" s="5">
        <f>IFERROR(__xludf.DUMMYFUNCTION("""COMPUTED_VALUE"""),0.20443268276546478)</f>
        <v>0.2044326828</v>
      </c>
      <c r="G3518" s="5">
        <f>IFERROR(__xludf.DUMMYFUNCTION("""COMPUTED_VALUE"""),0.16374462454515382)</f>
        <v>0.1637446245</v>
      </c>
      <c r="H3518" s="5">
        <f>IFERROR(__xludf.DUMMYFUNCTION("""COMPUTED_VALUE"""),0.6067961165048543)</f>
        <v>0.6067961165</v>
      </c>
      <c r="I3518" s="11">
        <f>IFERROR(__xludf.DUMMYFUNCTION("""COMPUTED_VALUE"""),5137.864077669903)</f>
        <v>5137.864078</v>
      </c>
      <c r="J3518" s="10">
        <f>IFERROR(__xludf.DUMMYFUNCTION("""COMPUTED_VALUE"""),0.0)</f>
        <v>0</v>
      </c>
      <c r="K3518" s="5">
        <f>IFERROR(__xludf.DUMMYFUNCTION("""COMPUTED_VALUE"""),0.0)</f>
        <v>0</v>
      </c>
      <c r="L3518" s="10">
        <f>IFERROR(__xludf.DUMMYFUNCTION("""COMPUTED_VALUE"""),0.0)</f>
        <v>0</v>
      </c>
      <c r="M3518" s="5">
        <f>IFERROR(__xludf.DUMMYFUNCTION("""COMPUTED_VALUE"""),0.0)</f>
        <v>0</v>
      </c>
    </row>
    <row r="3519">
      <c r="A3519" s="10" t="str">
        <f>IFERROR(__xludf.DUMMYFUNCTION("""COMPUTED_VALUE"""),"ひまじんＥＸ")</f>
        <v>ひまじんＥＸ</v>
      </c>
      <c r="B3519" s="10">
        <f>IFERROR(__xludf.DUMMYFUNCTION("""COMPUTED_VALUE"""),100.0)</f>
        <v>100</v>
      </c>
      <c r="C3519" s="10">
        <f>IFERROR(__xludf.DUMMYFUNCTION("""COMPUTED_VALUE"""),1170.0)</f>
        <v>1170</v>
      </c>
      <c r="D3519" s="5">
        <f>IFERROR(__xludf.DUMMYFUNCTION("""COMPUTED_VALUE"""),0.3850467289719626)</f>
        <v>0.385046729</v>
      </c>
      <c r="E3519" s="5">
        <f>IFERROR(__xludf.DUMMYFUNCTION("""COMPUTED_VALUE"""),0.1233644859813084)</f>
        <v>0.123364486</v>
      </c>
      <c r="F3519" s="5">
        <f>IFERROR(__xludf.DUMMYFUNCTION("""COMPUTED_VALUE"""),0.2)</f>
        <v>0.2</v>
      </c>
      <c r="G3519" s="5">
        <f>IFERROR(__xludf.DUMMYFUNCTION("""COMPUTED_VALUE"""),0.17009345794392525)</f>
        <v>0.1700934579</v>
      </c>
      <c r="H3519" s="5">
        <f>IFERROR(__xludf.DUMMYFUNCTION("""COMPUTED_VALUE"""),0.6495327102803738)</f>
        <v>0.6495327103</v>
      </c>
      <c r="I3519" s="11">
        <f>IFERROR(__xludf.DUMMYFUNCTION("""COMPUTED_VALUE"""),5069.158878504673)</f>
        <v>5069.158879</v>
      </c>
      <c r="J3519" s="10">
        <f>IFERROR(__xludf.DUMMYFUNCTION("""COMPUTED_VALUE"""),0.0)</f>
        <v>0</v>
      </c>
      <c r="K3519" s="5">
        <f>IFERROR(__xludf.DUMMYFUNCTION("""COMPUTED_VALUE"""),0.0)</f>
        <v>0</v>
      </c>
      <c r="L3519" s="10">
        <f>IFERROR(__xludf.DUMMYFUNCTION("""COMPUTED_VALUE"""),5.0)</f>
        <v>5</v>
      </c>
      <c r="M3519" s="5">
        <f>IFERROR(__xludf.DUMMYFUNCTION("""COMPUTED_VALUE"""),0.05)</f>
        <v>0.05</v>
      </c>
    </row>
    <row r="3520">
      <c r="A3520" s="10" t="str">
        <f>IFERROR(__xludf.DUMMYFUNCTION("""COMPUTED_VALUE"""),"文豪")</f>
        <v>文豪</v>
      </c>
      <c r="B3520" s="10">
        <f>IFERROR(__xludf.DUMMYFUNCTION("""COMPUTED_VALUE"""),683.0)</f>
        <v>683</v>
      </c>
      <c r="C3520" s="10">
        <f>IFERROR(__xludf.DUMMYFUNCTION("""COMPUTED_VALUE"""),7768.0)</f>
        <v>7768</v>
      </c>
      <c r="D3520" s="5">
        <f>IFERROR(__xludf.DUMMYFUNCTION("""COMPUTED_VALUE"""),0.4310515172900494)</f>
        <v>0.4310515173</v>
      </c>
      <c r="E3520" s="5">
        <f>IFERROR(__xludf.DUMMYFUNCTION("""COMPUTED_VALUE"""),0.12335920959774171)</f>
        <v>0.1233592096</v>
      </c>
      <c r="F3520" s="5">
        <f>IFERROR(__xludf.DUMMYFUNCTION("""COMPUTED_VALUE"""),0.20790402258292168)</f>
        <v>0.2079040226</v>
      </c>
      <c r="G3520" s="5">
        <f>IFERROR(__xludf.DUMMYFUNCTION("""COMPUTED_VALUE"""),0.17995765702187722)</f>
        <v>0.179957657</v>
      </c>
      <c r="H3520" s="5">
        <f>IFERROR(__xludf.DUMMYFUNCTION("""COMPUTED_VALUE"""),0.5967413441955194)</f>
        <v>0.5967413442</v>
      </c>
      <c r="I3520" s="11">
        <f>IFERROR(__xludf.DUMMYFUNCTION("""COMPUTED_VALUE"""),5493.143245078072)</f>
        <v>5493.143245</v>
      </c>
      <c r="J3520" s="10">
        <f>IFERROR(__xludf.DUMMYFUNCTION("""COMPUTED_VALUE"""),1.0)</f>
        <v>1</v>
      </c>
      <c r="K3520" s="5">
        <f>IFERROR(__xludf.DUMMYFUNCTION("""COMPUTED_VALUE"""),0.0014641288433382138)</f>
        <v>0.001464128843</v>
      </c>
      <c r="L3520" s="10">
        <f>IFERROR(__xludf.DUMMYFUNCTION("""COMPUTED_VALUE"""),683.0)</f>
        <v>683</v>
      </c>
      <c r="M3520" s="5">
        <f>IFERROR(__xludf.DUMMYFUNCTION("""COMPUTED_VALUE"""),1.0)</f>
        <v>1</v>
      </c>
    </row>
    <row r="3521">
      <c r="A3521" s="10" t="str">
        <f>IFERROR(__xludf.DUMMYFUNCTION("""COMPUTED_VALUE"""),"ぺんぎんさん")</f>
        <v>ぺんぎんさん</v>
      </c>
      <c r="B3521" s="10">
        <f>IFERROR(__xludf.DUMMYFUNCTION("""COMPUTED_VALUE"""),802.0)</f>
        <v>802</v>
      </c>
      <c r="C3521" s="10">
        <f>IFERROR(__xludf.DUMMYFUNCTION("""COMPUTED_VALUE"""),9403.0)</f>
        <v>9403</v>
      </c>
      <c r="D3521" s="5">
        <f>IFERROR(__xludf.DUMMYFUNCTION("""COMPUTED_VALUE"""),0.3206603883269387)</f>
        <v>0.3206603883</v>
      </c>
      <c r="E3521" s="5">
        <f>IFERROR(__xludf.DUMMYFUNCTION("""COMPUTED_VALUE"""),0.12335774909894198)</f>
        <v>0.1233577491</v>
      </c>
      <c r="F3521" s="5">
        <f>IFERROR(__xludf.DUMMYFUNCTION("""COMPUTED_VALUE"""),0.20683641437042205)</f>
        <v>0.2068364144</v>
      </c>
      <c r="G3521" s="5">
        <f>IFERROR(__xludf.DUMMYFUNCTION("""COMPUTED_VALUE"""),0.1544006510870829)</f>
        <v>0.1544006511</v>
      </c>
      <c r="H3521" s="5">
        <f>IFERROR(__xludf.DUMMYFUNCTION("""COMPUTED_VALUE"""),0.5879707700955593)</f>
        <v>0.5879707701</v>
      </c>
      <c r="I3521" s="11">
        <f>IFERROR(__xludf.DUMMYFUNCTION("""COMPUTED_VALUE"""),5605.171444631816)</f>
        <v>5605.171445</v>
      </c>
      <c r="J3521" s="10">
        <f>IFERROR(__xludf.DUMMYFUNCTION("""COMPUTED_VALUE"""),3.0)</f>
        <v>3</v>
      </c>
      <c r="K3521" s="5">
        <f>IFERROR(__xludf.DUMMYFUNCTION("""COMPUTED_VALUE"""),0.003740648379052369)</f>
        <v>0.003740648379</v>
      </c>
      <c r="L3521" s="10">
        <f>IFERROR(__xludf.DUMMYFUNCTION("""COMPUTED_VALUE"""),0.0)</f>
        <v>0</v>
      </c>
      <c r="M3521" s="5">
        <f>IFERROR(__xludf.DUMMYFUNCTION("""COMPUTED_VALUE"""),0.0)</f>
        <v>0</v>
      </c>
    </row>
    <row r="3522">
      <c r="A3522" s="10" t="str">
        <f>IFERROR(__xludf.DUMMYFUNCTION("""COMPUTED_VALUE"""),"鳳姫")</f>
        <v>鳳姫</v>
      </c>
      <c r="B3522" s="10">
        <f>IFERROR(__xludf.DUMMYFUNCTION("""COMPUTED_VALUE"""),183.0)</f>
        <v>183</v>
      </c>
      <c r="C3522" s="10">
        <f>IFERROR(__xludf.DUMMYFUNCTION("""COMPUTED_VALUE"""),2153.0)</f>
        <v>2153</v>
      </c>
      <c r="D3522" s="5">
        <f>IFERROR(__xludf.DUMMYFUNCTION("""COMPUTED_VALUE"""),0.42588832487309647)</f>
        <v>0.4258883249</v>
      </c>
      <c r="E3522" s="5">
        <f>IFERROR(__xludf.DUMMYFUNCTION("""COMPUTED_VALUE"""),0.1233502538071066)</f>
        <v>0.1233502538</v>
      </c>
      <c r="F3522" s="5">
        <f>IFERROR(__xludf.DUMMYFUNCTION("""COMPUTED_VALUE"""),0.21065989847715735)</f>
        <v>0.2106598985</v>
      </c>
      <c r="G3522" s="5">
        <f>IFERROR(__xludf.DUMMYFUNCTION("""COMPUTED_VALUE"""),0.14771573604060914)</f>
        <v>0.147715736</v>
      </c>
      <c r="H3522" s="5">
        <f>IFERROR(__xludf.DUMMYFUNCTION("""COMPUTED_VALUE"""),0.6240963855421687)</f>
        <v>0.6240963855</v>
      </c>
      <c r="I3522" s="11">
        <f>IFERROR(__xludf.DUMMYFUNCTION("""COMPUTED_VALUE"""),5597.590361445783)</f>
        <v>5597.590361</v>
      </c>
      <c r="J3522" s="10">
        <f>IFERROR(__xludf.DUMMYFUNCTION("""COMPUTED_VALUE"""),0.0)</f>
        <v>0</v>
      </c>
      <c r="K3522" s="5">
        <f>IFERROR(__xludf.DUMMYFUNCTION("""COMPUTED_VALUE"""),0.0)</f>
        <v>0</v>
      </c>
      <c r="L3522" s="10">
        <f>IFERROR(__xludf.DUMMYFUNCTION("""COMPUTED_VALUE"""),183.0)</f>
        <v>183</v>
      </c>
      <c r="M3522" s="5">
        <f>IFERROR(__xludf.DUMMYFUNCTION("""COMPUTED_VALUE"""),1.0)</f>
        <v>1</v>
      </c>
    </row>
    <row r="3523">
      <c r="A3523" s="10" t="str">
        <f>IFERROR(__xludf.DUMMYFUNCTION("""COMPUTED_VALUE"""),"Cr7")</f>
        <v>Cr7</v>
      </c>
      <c r="B3523" s="10">
        <f>IFERROR(__xludf.DUMMYFUNCTION("""COMPUTED_VALUE"""),739.0)</f>
        <v>739</v>
      </c>
      <c r="C3523" s="10">
        <f>IFERROR(__xludf.DUMMYFUNCTION("""COMPUTED_VALUE"""),8538.0)</f>
        <v>8538</v>
      </c>
      <c r="D3523" s="5">
        <f>IFERROR(__xludf.DUMMYFUNCTION("""COMPUTED_VALUE"""),0.3844082574689063)</f>
        <v>0.3844082575</v>
      </c>
      <c r="E3523" s="5">
        <f>IFERROR(__xludf.DUMMYFUNCTION("""COMPUTED_VALUE"""),0.12334914732658032)</f>
        <v>0.1233491473</v>
      </c>
      <c r="F3523" s="5">
        <f>IFERROR(__xludf.DUMMYFUNCTION("""COMPUTED_VALUE"""),0.20912937556096936)</f>
        <v>0.2091293756</v>
      </c>
      <c r="G3523" s="5">
        <f>IFERROR(__xludf.DUMMYFUNCTION("""COMPUTED_VALUE"""),0.17784331324528785)</f>
        <v>0.1778433132</v>
      </c>
      <c r="H3523" s="5">
        <f>IFERROR(__xludf.DUMMYFUNCTION("""COMPUTED_VALUE"""),0.5898221949724096)</f>
        <v>0.589822195</v>
      </c>
      <c r="I3523" s="11">
        <f>IFERROR(__xludf.DUMMYFUNCTION("""COMPUTED_VALUE"""),5746.474555487431)</f>
        <v>5746.474555</v>
      </c>
      <c r="J3523" s="10">
        <f>IFERROR(__xludf.DUMMYFUNCTION("""COMPUTED_VALUE"""),1.0)</f>
        <v>1</v>
      </c>
      <c r="K3523" s="5">
        <f>IFERROR(__xludf.DUMMYFUNCTION("""COMPUTED_VALUE"""),0.0013531799729364006)</f>
        <v>0.001353179973</v>
      </c>
      <c r="L3523" s="10">
        <f>IFERROR(__xludf.DUMMYFUNCTION("""COMPUTED_VALUE"""),739.0)</f>
        <v>739</v>
      </c>
      <c r="M3523" s="5">
        <f>IFERROR(__xludf.DUMMYFUNCTION("""COMPUTED_VALUE"""),1.0)</f>
        <v>1</v>
      </c>
    </row>
    <row r="3524">
      <c r="A3524" s="10" t="str">
        <f>IFERROR(__xludf.DUMMYFUNCTION("""COMPUTED_VALUE"""),"キミの隣りで")</f>
        <v>キミの隣りで</v>
      </c>
      <c r="B3524" s="10">
        <f>IFERROR(__xludf.DUMMYFUNCTION("""COMPUTED_VALUE"""),526.0)</f>
        <v>526</v>
      </c>
      <c r="C3524" s="10">
        <f>IFERROR(__xludf.DUMMYFUNCTION("""COMPUTED_VALUE"""),6201.0)</f>
        <v>6201</v>
      </c>
      <c r="D3524" s="5">
        <f>IFERROR(__xludf.DUMMYFUNCTION("""COMPUTED_VALUE"""),0.3896035242290749)</f>
        <v>0.3896035242</v>
      </c>
      <c r="E3524" s="5">
        <f>IFERROR(__xludf.DUMMYFUNCTION("""COMPUTED_VALUE"""),0.12334801762114538)</f>
        <v>0.1233480176</v>
      </c>
      <c r="F3524" s="5">
        <f>IFERROR(__xludf.DUMMYFUNCTION("""COMPUTED_VALUE"""),0.21691629955947136)</f>
        <v>0.2169162996</v>
      </c>
      <c r="G3524" s="5">
        <f>IFERROR(__xludf.DUMMYFUNCTION("""COMPUTED_VALUE"""),0.16281938325991188)</f>
        <v>0.1628193833</v>
      </c>
      <c r="H3524" s="5">
        <f>IFERROR(__xludf.DUMMYFUNCTION("""COMPUTED_VALUE"""),0.5824532900081235)</f>
        <v>0.58245329</v>
      </c>
      <c r="I3524" s="11">
        <f>IFERROR(__xludf.DUMMYFUNCTION("""COMPUTED_VALUE"""),5269.293257514216)</f>
        <v>5269.293258</v>
      </c>
      <c r="J3524" s="10">
        <f>IFERROR(__xludf.DUMMYFUNCTION("""COMPUTED_VALUE"""),1.0)</f>
        <v>1</v>
      </c>
      <c r="K3524" s="5">
        <f>IFERROR(__xludf.DUMMYFUNCTION("""COMPUTED_VALUE"""),0.0019011406844106464)</f>
        <v>0.001901140684</v>
      </c>
      <c r="L3524" s="10">
        <f>IFERROR(__xludf.DUMMYFUNCTION("""COMPUTED_VALUE"""),322.0)</f>
        <v>322</v>
      </c>
      <c r="M3524" s="5">
        <f>IFERROR(__xludf.DUMMYFUNCTION("""COMPUTED_VALUE"""),0.6121673003802282)</f>
        <v>0.6121673004</v>
      </c>
    </row>
    <row r="3525">
      <c r="A3525" s="10" t="str">
        <f>IFERROR(__xludf.DUMMYFUNCTION("""COMPUTED_VALUE"""),"！？ｗ")</f>
        <v>！？ｗ</v>
      </c>
      <c r="B3525" s="10">
        <f>IFERROR(__xludf.DUMMYFUNCTION("""COMPUTED_VALUE"""),705.0)</f>
        <v>705</v>
      </c>
      <c r="C3525" s="10">
        <f>IFERROR(__xludf.DUMMYFUNCTION("""COMPUTED_VALUE"""),8261.0)</f>
        <v>8261</v>
      </c>
      <c r="D3525" s="5">
        <f>IFERROR(__xludf.DUMMYFUNCTION("""COMPUTED_VALUE"""),0.3722869242985707)</f>
        <v>0.3722869243</v>
      </c>
      <c r="E3525" s="5">
        <f>IFERROR(__xludf.DUMMYFUNCTION("""COMPUTED_VALUE"""),0.12334568554790895)</f>
        <v>0.1233456855</v>
      </c>
      <c r="F3525" s="5">
        <f>IFERROR(__xludf.DUMMYFUNCTION("""COMPUTED_VALUE"""),0.22657490735839067)</f>
        <v>0.2265749074</v>
      </c>
      <c r="G3525" s="5">
        <f>IFERROR(__xludf.DUMMYFUNCTION("""COMPUTED_VALUE"""),0.18197458973001587)</f>
        <v>0.1819745897</v>
      </c>
      <c r="H3525" s="5">
        <f>IFERROR(__xludf.DUMMYFUNCTION("""COMPUTED_VALUE"""),0.6103971962616822)</f>
        <v>0.6103971963</v>
      </c>
      <c r="I3525" s="11">
        <f>IFERROR(__xludf.DUMMYFUNCTION("""COMPUTED_VALUE"""),5686.214953271028)</f>
        <v>5686.214953</v>
      </c>
      <c r="J3525" s="10">
        <f>IFERROR(__xludf.DUMMYFUNCTION("""COMPUTED_VALUE"""),1.0)</f>
        <v>1</v>
      </c>
      <c r="K3525" s="5">
        <f>IFERROR(__xludf.DUMMYFUNCTION("""COMPUTED_VALUE"""),0.0014184397163120568)</f>
        <v>0.001418439716</v>
      </c>
      <c r="L3525" s="10">
        <f>IFERROR(__xludf.DUMMYFUNCTION("""COMPUTED_VALUE"""),705.0)</f>
        <v>705</v>
      </c>
      <c r="M3525" s="5">
        <f>IFERROR(__xludf.DUMMYFUNCTION("""COMPUTED_VALUE"""),1.0)</f>
        <v>1</v>
      </c>
    </row>
    <row r="3526">
      <c r="A3526" s="10" t="str">
        <f>IFERROR(__xludf.DUMMYFUNCTION("""COMPUTED_VALUE"""),"deb5")</f>
        <v>deb5</v>
      </c>
      <c r="B3526" s="10">
        <f>IFERROR(__xludf.DUMMYFUNCTION("""COMPUTED_VALUE"""),111.0)</f>
        <v>111</v>
      </c>
      <c r="C3526" s="10">
        <f>IFERROR(__xludf.DUMMYFUNCTION("""COMPUTED_VALUE"""),1392.0)</f>
        <v>1392</v>
      </c>
      <c r="D3526" s="5">
        <f>IFERROR(__xludf.DUMMYFUNCTION("""COMPUTED_VALUE"""),0.3590944574551132)</f>
        <v>0.3590944575</v>
      </c>
      <c r="E3526" s="5">
        <f>IFERROR(__xludf.DUMMYFUNCTION("""COMPUTED_VALUE"""),0.12334113973458236)</f>
        <v>0.1233411397</v>
      </c>
      <c r="F3526" s="5">
        <f>IFERROR(__xludf.DUMMYFUNCTION("""COMPUTED_VALUE"""),0.18032786885245902)</f>
        <v>0.1803278689</v>
      </c>
      <c r="G3526" s="5">
        <f>IFERROR(__xludf.DUMMYFUNCTION("""COMPUTED_VALUE"""),0.13817330210772832)</f>
        <v>0.1381733021</v>
      </c>
      <c r="H3526" s="5">
        <f>IFERROR(__xludf.DUMMYFUNCTION("""COMPUTED_VALUE"""),0.6233766233766234)</f>
        <v>0.6233766234</v>
      </c>
      <c r="I3526" s="11">
        <f>IFERROR(__xludf.DUMMYFUNCTION("""COMPUTED_VALUE"""),5533.333333333333)</f>
        <v>5533.333333</v>
      </c>
      <c r="J3526" s="10">
        <f>IFERROR(__xludf.DUMMYFUNCTION("""COMPUTED_VALUE"""),0.0)</f>
        <v>0</v>
      </c>
      <c r="K3526" s="5">
        <f>IFERROR(__xludf.DUMMYFUNCTION("""COMPUTED_VALUE"""),0.0)</f>
        <v>0</v>
      </c>
      <c r="L3526" s="10">
        <f>IFERROR(__xludf.DUMMYFUNCTION("""COMPUTED_VALUE"""),111.0)</f>
        <v>111</v>
      </c>
      <c r="M3526" s="5">
        <f>IFERROR(__xludf.DUMMYFUNCTION("""COMPUTED_VALUE"""),1.0)</f>
        <v>1</v>
      </c>
    </row>
    <row r="3527">
      <c r="A3527" s="10" t="str">
        <f>IFERROR(__xludf.DUMMYFUNCTION("""COMPUTED_VALUE"""),"Lemres")</f>
        <v>Lemres</v>
      </c>
      <c r="B3527" s="10">
        <f>IFERROR(__xludf.DUMMYFUNCTION("""COMPUTED_VALUE"""),604.0)</f>
        <v>604</v>
      </c>
      <c r="C3527" s="10">
        <f>IFERROR(__xludf.DUMMYFUNCTION("""COMPUTED_VALUE"""),7074.0)</f>
        <v>7074</v>
      </c>
      <c r="D3527" s="5">
        <f>IFERROR(__xludf.DUMMYFUNCTION("""COMPUTED_VALUE"""),0.34034003091190107)</f>
        <v>0.3403400309</v>
      </c>
      <c r="E3527" s="5">
        <f>IFERROR(__xludf.DUMMYFUNCTION("""COMPUTED_VALUE"""),0.12333848531684699)</f>
        <v>0.1233384853</v>
      </c>
      <c r="F3527" s="5">
        <f>IFERROR(__xludf.DUMMYFUNCTION("""COMPUTED_VALUE"""),0.21298299845440494)</f>
        <v>0.2129829985</v>
      </c>
      <c r="G3527" s="5">
        <f>IFERROR(__xludf.DUMMYFUNCTION("""COMPUTED_VALUE"""),0.17897990726429674)</f>
        <v>0.1789799073</v>
      </c>
      <c r="H3527" s="5">
        <f>IFERROR(__xludf.DUMMYFUNCTION("""COMPUTED_VALUE"""),0.6052249637155298)</f>
        <v>0.6052249637</v>
      </c>
      <c r="I3527" s="11">
        <f>IFERROR(__xludf.DUMMYFUNCTION("""COMPUTED_VALUE"""),5246.081277213353)</f>
        <v>5246.081277</v>
      </c>
      <c r="J3527" s="10">
        <f>IFERROR(__xludf.DUMMYFUNCTION("""COMPUTED_VALUE"""),1.0)</f>
        <v>1</v>
      </c>
      <c r="K3527" s="5">
        <f>IFERROR(__xludf.DUMMYFUNCTION("""COMPUTED_VALUE"""),0.0016556291390728477)</f>
        <v>0.001655629139</v>
      </c>
      <c r="L3527" s="10">
        <f>IFERROR(__xludf.DUMMYFUNCTION("""COMPUTED_VALUE"""),604.0)</f>
        <v>604</v>
      </c>
      <c r="M3527" s="5">
        <f>IFERROR(__xludf.DUMMYFUNCTION("""COMPUTED_VALUE"""),1.0)</f>
        <v>1</v>
      </c>
    </row>
    <row r="3528">
      <c r="A3528" s="10" t="str">
        <f>IFERROR(__xludf.DUMMYFUNCTION("""COMPUTED_VALUE"""),"Ponta")</f>
        <v>Ponta</v>
      </c>
      <c r="B3528" s="10">
        <f>IFERROR(__xludf.DUMMYFUNCTION("""COMPUTED_VALUE"""),331.0)</f>
        <v>331</v>
      </c>
      <c r="C3528" s="10">
        <f>IFERROR(__xludf.DUMMYFUNCTION("""COMPUTED_VALUE"""),3866.0)</f>
        <v>3866</v>
      </c>
      <c r="D3528" s="5">
        <f>IFERROR(__xludf.DUMMYFUNCTION("""COMPUTED_VALUE"""),0.3674681753889675)</f>
        <v>0.3674681754</v>
      </c>
      <c r="E3528" s="5">
        <f>IFERROR(__xludf.DUMMYFUNCTION("""COMPUTED_VALUE"""),0.12333804809052334)</f>
        <v>0.1233380481</v>
      </c>
      <c r="F3528" s="5">
        <f>IFERROR(__xludf.DUMMYFUNCTION("""COMPUTED_VALUE"""),0.20735502121640736)</f>
        <v>0.2073550212</v>
      </c>
      <c r="G3528" s="5">
        <f>IFERROR(__xludf.DUMMYFUNCTION("""COMPUTED_VALUE"""),0.1422913719943423)</f>
        <v>0.142291372</v>
      </c>
      <c r="H3528" s="5">
        <f>IFERROR(__xludf.DUMMYFUNCTION("""COMPUTED_VALUE"""),0.5702592087312415)</f>
        <v>0.5702592087</v>
      </c>
      <c r="I3528" s="11">
        <f>IFERROR(__xludf.DUMMYFUNCTION("""COMPUTED_VALUE"""),5103.68349249659)</f>
        <v>5103.683492</v>
      </c>
      <c r="J3528" s="10">
        <f>IFERROR(__xludf.DUMMYFUNCTION("""COMPUTED_VALUE"""),0.0)</f>
        <v>0</v>
      </c>
      <c r="K3528" s="5">
        <f>IFERROR(__xludf.DUMMYFUNCTION("""COMPUTED_VALUE"""),0.0)</f>
        <v>0</v>
      </c>
      <c r="L3528" s="10">
        <f>IFERROR(__xludf.DUMMYFUNCTION("""COMPUTED_VALUE"""),331.0)</f>
        <v>331</v>
      </c>
      <c r="M3528" s="5">
        <f>IFERROR(__xludf.DUMMYFUNCTION("""COMPUTED_VALUE"""),1.0)</f>
        <v>1</v>
      </c>
    </row>
    <row r="3529">
      <c r="A3529" s="10" t="str">
        <f>IFERROR(__xludf.DUMMYFUNCTION("""COMPUTED_VALUE"""),"澤村拓一")</f>
        <v>澤村拓一</v>
      </c>
      <c r="B3529" s="10">
        <f>IFERROR(__xludf.DUMMYFUNCTION("""COMPUTED_VALUE"""),589.0)</f>
        <v>589</v>
      </c>
      <c r="C3529" s="10">
        <f>IFERROR(__xludf.DUMMYFUNCTION("""COMPUTED_VALUE"""),6824.0)</f>
        <v>6824</v>
      </c>
      <c r="D3529" s="5">
        <f>IFERROR(__xludf.DUMMYFUNCTION("""COMPUTED_VALUE"""),0.37161186848436245)</f>
        <v>0.3716118685</v>
      </c>
      <c r="E3529" s="5">
        <f>IFERROR(__xludf.DUMMYFUNCTION("""COMPUTED_VALUE"""),0.12333600641539695)</f>
        <v>0.1233360064</v>
      </c>
      <c r="F3529" s="5">
        <f>IFERROR(__xludf.DUMMYFUNCTION("""COMPUTED_VALUE"""),0.21251002405773858)</f>
        <v>0.2125100241</v>
      </c>
      <c r="G3529" s="5">
        <f>IFERROR(__xludf.DUMMYFUNCTION("""COMPUTED_VALUE"""),0.17000801924619086)</f>
        <v>0.1700080192</v>
      </c>
      <c r="H3529" s="5">
        <f>IFERROR(__xludf.DUMMYFUNCTION("""COMPUTED_VALUE"""),0.5856603773584905)</f>
        <v>0.5856603774</v>
      </c>
      <c r="I3529" s="11">
        <f>IFERROR(__xludf.DUMMYFUNCTION("""COMPUTED_VALUE"""),6044.905660377359)</f>
        <v>6044.90566</v>
      </c>
      <c r="J3529" s="10">
        <f>IFERROR(__xludf.DUMMYFUNCTION("""COMPUTED_VALUE"""),1.0)</f>
        <v>1</v>
      </c>
      <c r="K3529" s="5">
        <f>IFERROR(__xludf.DUMMYFUNCTION("""COMPUTED_VALUE"""),0.001697792869269949)</f>
        <v>0.001697792869</v>
      </c>
      <c r="L3529" s="10">
        <f>IFERROR(__xludf.DUMMYFUNCTION("""COMPUTED_VALUE"""),589.0)</f>
        <v>589</v>
      </c>
      <c r="M3529" s="5">
        <f>IFERROR(__xludf.DUMMYFUNCTION("""COMPUTED_VALUE"""),1.0)</f>
        <v>1</v>
      </c>
    </row>
    <row r="3530">
      <c r="A3530" s="10" t="str">
        <f>IFERROR(__xludf.DUMMYFUNCTION("""COMPUTED_VALUE"""),"ジャックランタン")</f>
        <v>ジャックランタン</v>
      </c>
      <c r="B3530" s="10">
        <f>IFERROR(__xludf.DUMMYFUNCTION("""COMPUTED_VALUE"""),254.0)</f>
        <v>254</v>
      </c>
      <c r="C3530" s="10">
        <f>IFERROR(__xludf.DUMMYFUNCTION("""COMPUTED_VALUE"""),3027.0)</f>
        <v>3027</v>
      </c>
      <c r="D3530" s="5">
        <f>IFERROR(__xludf.DUMMYFUNCTION("""COMPUTED_VALUE"""),0.3458348359177786)</f>
        <v>0.3458348359</v>
      </c>
      <c r="E3530" s="5">
        <f>IFERROR(__xludf.DUMMYFUNCTION("""COMPUTED_VALUE"""),0.12333213126577713)</f>
        <v>0.1233321313</v>
      </c>
      <c r="F3530" s="5">
        <f>IFERROR(__xludf.DUMMYFUNCTION("""COMPUTED_VALUE"""),0.21060223584565452)</f>
        <v>0.2106022358</v>
      </c>
      <c r="G3530" s="5">
        <f>IFERROR(__xludf.DUMMYFUNCTION("""COMPUTED_VALUE"""),0.1983411467724486)</f>
        <v>0.1983411468</v>
      </c>
      <c r="H3530" s="5">
        <f>IFERROR(__xludf.DUMMYFUNCTION("""COMPUTED_VALUE"""),0.571917808219178)</f>
        <v>0.5719178082</v>
      </c>
      <c r="I3530" s="11">
        <f>IFERROR(__xludf.DUMMYFUNCTION("""COMPUTED_VALUE"""),5667.2945205479455)</f>
        <v>5667.294521</v>
      </c>
      <c r="J3530" s="10">
        <f>IFERROR(__xludf.DUMMYFUNCTION("""COMPUTED_VALUE"""),0.0)</f>
        <v>0</v>
      </c>
      <c r="K3530" s="5">
        <f>IFERROR(__xludf.DUMMYFUNCTION("""COMPUTED_VALUE"""),0.0)</f>
        <v>0</v>
      </c>
      <c r="L3530" s="10">
        <f>IFERROR(__xludf.DUMMYFUNCTION("""COMPUTED_VALUE"""),32.0)</f>
        <v>32</v>
      </c>
      <c r="M3530" s="5">
        <f>IFERROR(__xludf.DUMMYFUNCTION("""COMPUTED_VALUE"""),0.12598425196850394)</f>
        <v>0.125984252</v>
      </c>
    </row>
    <row r="3531">
      <c r="A3531" s="10" t="str">
        <f>IFERROR(__xludf.DUMMYFUNCTION("""COMPUTED_VALUE"""),"18F-FDG")</f>
        <v>18F-FDG</v>
      </c>
      <c r="B3531" s="10">
        <f>IFERROR(__xludf.DUMMYFUNCTION("""COMPUTED_VALUE"""),385.0)</f>
        <v>385</v>
      </c>
      <c r="C3531" s="10">
        <f>IFERROR(__xludf.DUMMYFUNCTION("""COMPUTED_VALUE"""),4431.0)</f>
        <v>4431</v>
      </c>
      <c r="D3531" s="5">
        <f>IFERROR(__xludf.DUMMYFUNCTION("""COMPUTED_VALUE"""),0.3255066732575383)</f>
        <v>0.3255066733</v>
      </c>
      <c r="E3531" s="5">
        <f>IFERROR(__xludf.DUMMYFUNCTION("""COMPUTED_VALUE"""),0.12333168561542264)</f>
        <v>0.1233316856</v>
      </c>
      <c r="F3531" s="5">
        <f>IFERROR(__xludf.DUMMYFUNCTION("""COMPUTED_VALUE"""),0.21033119130004943)</f>
        <v>0.2103311913</v>
      </c>
      <c r="G3531" s="5">
        <f>IFERROR(__xludf.DUMMYFUNCTION("""COMPUTED_VALUE"""),0.19179436480474543)</f>
        <v>0.1917943648</v>
      </c>
      <c r="H3531" s="5">
        <f>IFERROR(__xludf.DUMMYFUNCTION("""COMPUTED_VALUE"""),0.6098707403055229)</f>
        <v>0.6098707403</v>
      </c>
      <c r="I3531" s="11">
        <f>IFERROR(__xludf.DUMMYFUNCTION("""COMPUTED_VALUE"""),5718.918918918919)</f>
        <v>5718.918919</v>
      </c>
      <c r="J3531" s="10">
        <f>IFERROR(__xludf.DUMMYFUNCTION("""COMPUTED_VALUE"""),1.0)</f>
        <v>1</v>
      </c>
      <c r="K3531" s="5">
        <f>IFERROR(__xludf.DUMMYFUNCTION("""COMPUTED_VALUE"""),0.0025974025974025974)</f>
        <v>0.002597402597</v>
      </c>
      <c r="L3531" s="10">
        <f>IFERROR(__xludf.DUMMYFUNCTION("""COMPUTED_VALUE"""),385.0)</f>
        <v>385</v>
      </c>
      <c r="M3531" s="5">
        <f>IFERROR(__xludf.DUMMYFUNCTION("""COMPUTED_VALUE"""),1.0)</f>
        <v>1</v>
      </c>
    </row>
    <row r="3532">
      <c r="A3532" s="10" t="str">
        <f>IFERROR(__xludf.DUMMYFUNCTION("""COMPUTED_VALUE"""),"Sidecar")</f>
        <v>Sidecar</v>
      </c>
      <c r="B3532" s="10">
        <f>IFERROR(__xludf.DUMMYFUNCTION("""COMPUTED_VALUE"""),673.0)</f>
        <v>673</v>
      </c>
      <c r="C3532" s="10">
        <f>IFERROR(__xludf.DUMMYFUNCTION("""COMPUTED_VALUE"""),8011.0)</f>
        <v>8011</v>
      </c>
      <c r="D3532" s="5">
        <f>IFERROR(__xludf.DUMMYFUNCTION("""COMPUTED_VALUE"""),0.3277459798310166)</f>
        <v>0.3277459798</v>
      </c>
      <c r="E3532" s="5">
        <f>IFERROR(__xludf.DUMMYFUNCTION("""COMPUTED_VALUE"""),0.12333060779503952)</f>
        <v>0.1233306078</v>
      </c>
      <c r="F3532" s="5">
        <f>IFERROR(__xludf.DUMMYFUNCTION("""COMPUTED_VALUE"""),0.20700463341509948)</f>
        <v>0.2070046334</v>
      </c>
      <c r="G3532" s="5">
        <f>IFERROR(__xludf.DUMMYFUNCTION("""COMPUTED_VALUE"""),0.19092395748160262)</f>
        <v>0.1909239575</v>
      </c>
      <c r="H3532" s="5">
        <f>IFERROR(__xludf.DUMMYFUNCTION("""COMPUTED_VALUE"""),0.5826201448321264)</f>
        <v>0.5826201448</v>
      </c>
      <c r="I3532" s="11">
        <f>IFERROR(__xludf.DUMMYFUNCTION("""COMPUTED_VALUE"""),5859.183673469388)</f>
        <v>5859.183673</v>
      </c>
      <c r="J3532" s="10">
        <f>IFERROR(__xludf.DUMMYFUNCTION("""COMPUTED_VALUE"""),2.0)</f>
        <v>2</v>
      </c>
      <c r="K3532" s="5">
        <f>IFERROR(__xludf.DUMMYFUNCTION("""COMPUTED_VALUE"""),0.0029717682020802376)</f>
        <v>0.002971768202</v>
      </c>
      <c r="L3532" s="10">
        <f>IFERROR(__xludf.DUMMYFUNCTION("""COMPUTED_VALUE"""),0.0)</f>
        <v>0</v>
      </c>
      <c r="M3532" s="5">
        <f>IFERROR(__xludf.DUMMYFUNCTION("""COMPUTED_VALUE"""),0.0)</f>
        <v>0</v>
      </c>
    </row>
    <row r="3533">
      <c r="A3533" s="10" t="str">
        <f>IFERROR(__xludf.DUMMYFUNCTION("""COMPUTED_VALUE"""),"toitoi4")</f>
        <v>toitoi4</v>
      </c>
      <c r="B3533" s="10">
        <f>IFERROR(__xludf.DUMMYFUNCTION("""COMPUTED_VALUE"""),2224.0)</f>
        <v>2224</v>
      </c>
      <c r="C3533" s="10">
        <f>IFERROR(__xludf.DUMMYFUNCTION("""COMPUTED_VALUE"""),26282.0)</f>
        <v>26282</v>
      </c>
      <c r="D3533" s="5">
        <f>IFERROR(__xludf.DUMMYFUNCTION("""COMPUTED_VALUE"""),0.33040984287970737)</f>
        <v>0.3304098429</v>
      </c>
      <c r="E3533" s="5">
        <f>IFERROR(__xludf.DUMMYFUNCTION("""COMPUTED_VALUE"""),0.12332695984703633)</f>
        <v>0.1233269598</v>
      </c>
      <c r="F3533" s="5">
        <f>IFERROR(__xludf.DUMMYFUNCTION("""COMPUTED_VALUE"""),0.199642530551168)</f>
        <v>0.1996425306</v>
      </c>
      <c r="G3533" s="5">
        <f>IFERROR(__xludf.DUMMYFUNCTION("""COMPUTED_VALUE"""),0.13799983373514008)</f>
        <v>0.1379998337</v>
      </c>
      <c r="H3533" s="5">
        <f>IFERROR(__xludf.DUMMYFUNCTION("""COMPUTED_VALUE"""),0.6077451592754528)</f>
        <v>0.6077451593</v>
      </c>
      <c r="I3533" s="11">
        <f>IFERROR(__xludf.DUMMYFUNCTION("""COMPUTED_VALUE"""),5831.272121590672)</f>
        <v>5831.272122</v>
      </c>
      <c r="J3533" s="10">
        <f>IFERROR(__xludf.DUMMYFUNCTION("""COMPUTED_VALUE"""),7.0)</f>
        <v>7</v>
      </c>
      <c r="K3533" s="5">
        <f>IFERROR(__xludf.DUMMYFUNCTION("""COMPUTED_VALUE"""),0.003147482014388489)</f>
        <v>0.003147482014</v>
      </c>
      <c r="L3533" s="10">
        <f>IFERROR(__xludf.DUMMYFUNCTION("""COMPUTED_VALUE"""),2224.0)</f>
        <v>2224</v>
      </c>
      <c r="M3533" s="5">
        <f>IFERROR(__xludf.DUMMYFUNCTION("""COMPUTED_VALUE"""),1.0)</f>
        <v>1</v>
      </c>
    </row>
    <row r="3534">
      <c r="A3534" s="10" t="str">
        <f>IFERROR(__xludf.DUMMYFUNCTION("""COMPUTED_VALUE"""),"零番隊隊長")</f>
        <v>零番隊隊長</v>
      </c>
      <c r="B3534" s="10">
        <f>IFERROR(__xludf.DUMMYFUNCTION("""COMPUTED_VALUE"""),1443.0)</f>
        <v>1443</v>
      </c>
      <c r="C3534" s="10">
        <f>IFERROR(__xludf.DUMMYFUNCTION("""COMPUTED_VALUE"""),16730.0)</f>
        <v>16730</v>
      </c>
      <c r="D3534" s="5">
        <f>IFERROR(__xludf.DUMMYFUNCTION("""COMPUTED_VALUE"""),0.29947013802577355)</f>
        <v>0.299470138</v>
      </c>
      <c r="E3534" s="5">
        <f>IFERROR(__xludf.DUMMYFUNCTION("""COMPUTED_VALUE"""),0.12330738536010989)</f>
        <v>0.1233073854</v>
      </c>
      <c r="F3534" s="5">
        <f>IFERROR(__xludf.DUMMYFUNCTION("""COMPUTED_VALUE"""),0.2228691044678485)</f>
        <v>0.2228691045</v>
      </c>
      <c r="G3534" s="5">
        <f>IFERROR(__xludf.DUMMYFUNCTION("""COMPUTED_VALUE"""),0.15784653627264997)</f>
        <v>0.1578465363</v>
      </c>
      <c r="H3534" s="5">
        <f>IFERROR(__xludf.DUMMYFUNCTION("""COMPUTED_VALUE"""),0.6096272380393308)</f>
        <v>0.609627238</v>
      </c>
      <c r="I3534" s="11">
        <f>IFERROR(__xludf.DUMMYFUNCTION("""COMPUTED_VALUE"""),5799.090108599941)</f>
        <v>5799.090109</v>
      </c>
      <c r="J3534" s="10">
        <f>IFERROR(__xludf.DUMMYFUNCTION("""COMPUTED_VALUE"""),4.0)</f>
        <v>4</v>
      </c>
      <c r="K3534" s="5">
        <f>IFERROR(__xludf.DUMMYFUNCTION("""COMPUTED_VALUE"""),0.002772002772002772)</f>
        <v>0.002772002772</v>
      </c>
      <c r="L3534" s="10">
        <f>IFERROR(__xludf.DUMMYFUNCTION("""COMPUTED_VALUE"""),1443.0)</f>
        <v>1443</v>
      </c>
      <c r="M3534" s="5">
        <f>IFERROR(__xludf.DUMMYFUNCTION("""COMPUTED_VALUE"""),1.0)</f>
        <v>1</v>
      </c>
    </row>
    <row r="3535">
      <c r="A3535" s="10" t="str">
        <f>IFERROR(__xludf.DUMMYFUNCTION("""COMPUTED_VALUE"""),"deaiup.c")</f>
        <v>deaiup.c</v>
      </c>
      <c r="B3535" s="10">
        <f>IFERROR(__xludf.DUMMYFUNCTION("""COMPUTED_VALUE"""),2399.0)</f>
        <v>2399</v>
      </c>
      <c r="C3535" s="10">
        <f>IFERROR(__xludf.DUMMYFUNCTION("""COMPUTED_VALUE"""),28303.0)</f>
        <v>28303</v>
      </c>
      <c r="D3535" s="5">
        <f>IFERROR(__xludf.DUMMYFUNCTION("""COMPUTED_VALUE"""),0.3251621371216801)</f>
        <v>0.3251621371</v>
      </c>
      <c r="E3535" s="5">
        <f>IFERROR(__xludf.DUMMYFUNCTION("""COMPUTED_VALUE"""),0.12330142063001853)</f>
        <v>0.1233014206</v>
      </c>
      <c r="F3535" s="5">
        <f>IFERROR(__xludf.DUMMYFUNCTION("""COMPUTED_VALUE"""),0.21070105003088327)</f>
        <v>0.21070105</v>
      </c>
      <c r="G3535" s="5">
        <f>IFERROR(__xludf.DUMMYFUNCTION("""COMPUTED_VALUE"""),0.1640673255095738)</f>
        <v>0.1640673255</v>
      </c>
      <c r="H3535" s="5">
        <f>IFERROR(__xludf.DUMMYFUNCTION("""COMPUTED_VALUE"""),0.5958226456577501)</f>
        <v>0.5958226457</v>
      </c>
      <c r="I3535" s="11">
        <f>IFERROR(__xludf.DUMMYFUNCTION("""COMPUTED_VALUE"""),5568.065225357273)</f>
        <v>5568.065225</v>
      </c>
      <c r="J3535" s="10">
        <f>IFERROR(__xludf.DUMMYFUNCTION("""COMPUTED_VALUE"""),4.0)</f>
        <v>4</v>
      </c>
      <c r="K3535" s="5">
        <f>IFERROR(__xludf.DUMMYFUNCTION("""COMPUTED_VALUE"""),0.0016673614005835765)</f>
        <v>0.001667361401</v>
      </c>
      <c r="L3535" s="10">
        <f>IFERROR(__xludf.DUMMYFUNCTION("""COMPUTED_VALUE"""),2399.0)</f>
        <v>2399</v>
      </c>
      <c r="M3535" s="5">
        <f>IFERROR(__xludf.DUMMYFUNCTION("""COMPUTED_VALUE"""),1.0)</f>
        <v>1</v>
      </c>
    </row>
    <row r="3536">
      <c r="A3536" s="10" t="str">
        <f>IFERROR(__xludf.DUMMYFUNCTION("""COMPUTED_VALUE"""),"「円」")</f>
        <v>「円」</v>
      </c>
      <c r="B3536" s="10">
        <f>IFERROR(__xludf.DUMMYFUNCTION("""COMPUTED_VALUE"""),2115.0)</f>
        <v>2115</v>
      </c>
      <c r="C3536" s="10">
        <f>IFERROR(__xludf.DUMMYFUNCTION("""COMPUTED_VALUE"""),24582.0)</f>
        <v>24582</v>
      </c>
      <c r="D3536" s="5">
        <f>IFERROR(__xludf.DUMMYFUNCTION("""COMPUTED_VALUE"""),0.33627097520808297)</f>
        <v>0.3362709752</v>
      </c>
      <c r="E3536" s="5">
        <f>IFERROR(__xludf.DUMMYFUNCTION("""COMPUTED_VALUE"""),0.1232919392887346)</f>
        <v>0.1232919393</v>
      </c>
      <c r="F3536" s="5">
        <f>IFERROR(__xludf.DUMMYFUNCTION("""COMPUTED_VALUE"""),0.21524903191347308)</f>
        <v>0.2152490319</v>
      </c>
      <c r="G3536" s="5">
        <f>IFERROR(__xludf.DUMMYFUNCTION("""COMPUTED_VALUE"""),0.16628833400097923)</f>
        <v>0.166288334</v>
      </c>
      <c r="H3536" s="5">
        <f>IFERROR(__xludf.DUMMYFUNCTION("""COMPUTED_VALUE"""),0.5998759305210918)</f>
        <v>0.5998759305</v>
      </c>
      <c r="I3536" s="11">
        <f>IFERROR(__xludf.DUMMYFUNCTION("""COMPUTED_VALUE"""),5867.411083540116)</f>
        <v>5867.411084</v>
      </c>
      <c r="J3536" s="10">
        <f>IFERROR(__xludf.DUMMYFUNCTION("""COMPUTED_VALUE"""),3.0)</f>
        <v>3</v>
      </c>
      <c r="K3536" s="5">
        <f>IFERROR(__xludf.DUMMYFUNCTION("""COMPUTED_VALUE"""),0.0014184397163120568)</f>
        <v>0.001418439716</v>
      </c>
      <c r="L3536" s="10">
        <f>IFERROR(__xludf.DUMMYFUNCTION("""COMPUTED_VALUE"""),2115.0)</f>
        <v>2115</v>
      </c>
      <c r="M3536" s="5">
        <f>IFERROR(__xludf.DUMMYFUNCTION("""COMPUTED_VALUE"""),1.0)</f>
        <v>1</v>
      </c>
    </row>
    <row r="3537">
      <c r="A3537" s="10" t="str">
        <f>IFERROR(__xludf.DUMMYFUNCTION("""COMPUTED_VALUE"""),"由良拓海")</f>
        <v>由良拓海</v>
      </c>
      <c r="B3537" s="10">
        <f>IFERROR(__xludf.DUMMYFUNCTION("""COMPUTED_VALUE"""),189.0)</f>
        <v>189</v>
      </c>
      <c r="C3537" s="10">
        <f>IFERROR(__xludf.DUMMYFUNCTION("""COMPUTED_VALUE"""),2233.0)</f>
        <v>2233</v>
      </c>
      <c r="D3537" s="5">
        <f>IFERROR(__xludf.DUMMYFUNCTION("""COMPUTED_VALUE"""),0.34442270058708413)</f>
        <v>0.3444227006</v>
      </c>
      <c r="E3537" s="5">
        <f>IFERROR(__xludf.DUMMYFUNCTION("""COMPUTED_VALUE"""),0.1232876712328767)</f>
        <v>0.1232876712</v>
      </c>
      <c r="F3537" s="5">
        <f>IFERROR(__xludf.DUMMYFUNCTION("""COMPUTED_VALUE"""),0.2025440313111546)</f>
        <v>0.2025440313</v>
      </c>
      <c r="G3537" s="5">
        <f>IFERROR(__xludf.DUMMYFUNCTION("""COMPUTED_VALUE"""),0.16144814090019569)</f>
        <v>0.1614481409</v>
      </c>
      <c r="H3537" s="5">
        <f>IFERROR(__xludf.DUMMYFUNCTION("""COMPUTED_VALUE"""),0.6231884057971014)</f>
        <v>0.6231884058</v>
      </c>
      <c r="I3537" s="11">
        <f>IFERROR(__xludf.DUMMYFUNCTION("""COMPUTED_VALUE"""),5498.550724637681)</f>
        <v>5498.550725</v>
      </c>
      <c r="J3537" s="10">
        <f>IFERROR(__xludf.DUMMYFUNCTION("""COMPUTED_VALUE"""),0.0)</f>
        <v>0</v>
      </c>
      <c r="K3537" s="5">
        <f>IFERROR(__xludf.DUMMYFUNCTION("""COMPUTED_VALUE"""),0.0)</f>
        <v>0</v>
      </c>
      <c r="L3537" s="10">
        <f>IFERROR(__xludf.DUMMYFUNCTION("""COMPUTED_VALUE"""),189.0)</f>
        <v>189</v>
      </c>
      <c r="M3537" s="5">
        <f>IFERROR(__xludf.DUMMYFUNCTION("""COMPUTED_VALUE"""),1.0)</f>
        <v>1</v>
      </c>
    </row>
    <row r="3538">
      <c r="A3538" s="10" t="str">
        <f>IFERROR(__xludf.DUMMYFUNCTION("""COMPUTED_VALUE"""),".=風見一姫=")</f>
        <v>.=風見一姫=</v>
      </c>
      <c r="B3538" s="10">
        <f>IFERROR(__xludf.DUMMYFUNCTION("""COMPUTED_VALUE"""),142.0)</f>
        <v>142</v>
      </c>
      <c r="C3538" s="10">
        <f>IFERROR(__xludf.DUMMYFUNCTION("""COMPUTED_VALUE"""),1659.0)</f>
        <v>1659</v>
      </c>
      <c r="D3538" s="5">
        <f>IFERROR(__xludf.DUMMYFUNCTION("""COMPUTED_VALUE"""),0.34937376400791037)</f>
        <v>0.349373764</v>
      </c>
      <c r="E3538" s="5">
        <f>IFERROR(__xludf.DUMMYFUNCTION("""COMPUTED_VALUE"""),0.12326961107448912)</f>
        <v>0.1232696111</v>
      </c>
      <c r="F3538" s="5">
        <f>IFERROR(__xludf.DUMMYFUNCTION("""COMPUTED_VALUE"""),0.1964403427818062)</f>
        <v>0.1964403428</v>
      </c>
      <c r="G3538" s="5">
        <f>IFERROR(__xludf.DUMMYFUNCTION("""COMPUTED_VALUE"""),0.1852340145023072)</f>
        <v>0.1852340145</v>
      </c>
      <c r="H3538" s="5">
        <f>IFERROR(__xludf.DUMMYFUNCTION("""COMPUTED_VALUE"""),0.5939597315436241)</f>
        <v>0.5939597315</v>
      </c>
      <c r="I3538" s="11">
        <f>IFERROR(__xludf.DUMMYFUNCTION("""COMPUTED_VALUE"""),5432.214765100671)</f>
        <v>5432.214765</v>
      </c>
      <c r="J3538" s="10">
        <f>IFERROR(__xludf.DUMMYFUNCTION("""COMPUTED_VALUE"""),0.0)</f>
        <v>0</v>
      </c>
      <c r="K3538" s="5">
        <f>IFERROR(__xludf.DUMMYFUNCTION("""COMPUTED_VALUE"""),0.0)</f>
        <v>0</v>
      </c>
      <c r="L3538" s="10">
        <f>IFERROR(__xludf.DUMMYFUNCTION("""COMPUTED_VALUE"""),0.0)</f>
        <v>0</v>
      </c>
      <c r="M3538" s="5">
        <f>IFERROR(__xludf.DUMMYFUNCTION("""COMPUTED_VALUE"""),0.0)</f>
        <v>0</v>
      </c>
    </row>
    <row r="3539">
      <c r="A3539" s="10" t="str">
        <f>IFERROR(__xludf.DUMMYFUNCTION("""COMPUTED_VALUE"""),"銀融機関")</f>
        <v>銀融機関</v>
      </c>
      <c r="B3539" s="10">
        <f>IFERROR(__xludf.DUMMYFUNCTION("""COMPUTED_VALUE"""),224.0)</f>
        <v>224</v>
      </c>
      <c r="C3539" s="10">
        <f>IFERROR(__xludf.DUMMYFUNCTION("""COMPUTED_VALUE"""),2585.0)</f>
        <v>2585</v>
      </c>
      <c r="D3539" s="5">
        <f>IFERROR(__xludf.DUMMYFUNCTION("""COMPUTED_VALUE"""),0.2676831850910631)</f>
        <v>0.2676831851</v>
      </c>
      <c r="E3539" s="5">
        <f>IFERROR(__xludf.DUMMYFUNCTION("""COMPUTED_VALUE"""),0.12325285895806862)</f>
        <v>0.123252859</v>
      </c>
      <c r="F3539" s="5">
        <f>IFERROR(__xludf.DUMMYFUNCTION("""COMPUTED_VALUE"""),0.2092333756882677)</f>
        <v>0.2092333757</v>
      </c>
      <c r="G3539" s="5">
        <f>IFERROR(__xludf.DUMMYFUNCTION("""COMPUTED_VALUE"""),0.1952562473528166)</f>
        <v>0.1952562474</v>
      </c>
      <c r="H3539" s="5">
        <f>IFERROR(__xludf.DUMMYFUNCTION("""COMPUTED_VALUE"""),0.597165991902834)</f>
        <v>0.5971659919</v>
      </c>
      <c r="I3539" s="11">
        <f>IFERROR(__xludf.DUMMYFUNCTION("""COMPUTED_VALUE"""),5725.506072874494)</f>
        <v>5725.506073</v>
      </c>
      <c r="J3539" s="10">
        <f>IFERROR(__xludf.DUMMYFUNCTION("""COMPUTED_VALUE"""),0.0)</f>
        <v>0</v>
      </c>
      <c r="K3539" s="5">
        <f>IFERROR(__xludf.DUMMYFUNCTION("""COMPUTED_VALUE"""),0.0)</f>
        <v>0</v>
      </c>
      <c r="L3539" s="10">
        <f>IFERROR(__xludf.DUMMYFUNCTION("""COMPUTED_VALUE"""),224.0)</f>
        <v>224</v>
      </c>
      <c r="M3539" s="5">
        <f>IFERROR(__xludf.DUMMYFUNCTION("""COMPUTED_VALUE"""),1.0)</f>
        <v>1</v>
      </c>
    </row>
    <row r="3540">
      <c r="A3540" s="10" t="str">
        <f>IFERROR(__xludf.DUMMYFUNCTION("""COMPUTED_VALUE"""),"やのち")</f>
        <v>やのち</v>
      </c>
      <c r="B3540" s="10">
        <f>IFERROR(__xludf.DUMMYFUNCTION("""COMPUTED_VALUE"""),195.0)</f>
        <v>195</v>
      </c>
      <c r="C3540" s="10">
        <f>IFERROR(__xludf.DUMMYFUNCTION("""COMPUTED_VALUE"""),2264.0)</f>
        <v>2264</v>
      </c>
      <c r="D3540" s="5">
        <f>IFERROR(__xludf.DUMMYFUNCTION("""COMPUTED_VALUE"""),0.3441275978733688)</f>
        <v>0.3441275979</v>
      </c>
      <c r="E3540" s="5">
        <f>IFERROR(__xludf.DUMMYFUNCTION("""COMPUTED_VALUE"""),0.12324794586756888)</f>
        <v>0.1232479459</v>
      </c>
      <c r="F3540" s="5">
        <f>IFERROR(__xludf.DUMMYFUNCTION("""COMPUTED_VALUE"""),0.18946350894151764)</f>
        <v>0.1894635089</v>
      </c>
      <c r="G3540" s="5">
        <f>IFERROR(__xludf.DUMMYFUNCTION("""COMPUTED_VALUE"""),0.15224746254229096)</f>
        <v>0.1522474625</v>
      </c>
      <c r="H3540" s="5">
        <f>IFERROR(__xludf.DUMMYFUNCTION("""COMPUTED_VALUE"""),0.5892857142857143)</f>
        <v>0.5892857143</v>
      </c>
      <c r="I3540" s="11">
        <f>IFERROR(__xludf.DUMMYFUNCTION("""COMPUTED_VALUE"""),5749.234693877551)</f>
        <v>5749.234694</v>
      </c>
      <c r="J3540" s="10">
        <f>IFERROR(__xludf.DUMMYFUNCTION("""COMPUTED_VALUE"""),1.0)</f>
        <v>1</v>
      </c>
      <c r="K3540" s="5">
        <f>IFERROR(__xludf.DUMMYFUNCTION("""COMPUTED_VALUE"""),0.005128205128205128)</f>
        <v>0.005128205128</v>
      </c>
      <c r="L3540" s="10">
        <f>IFERROR(__xludf.DUMMYFUNCTION("""COMPUTED_VALUE"""),195.0)</f>
        <v>195</v>
      </c>
      <c r="M3540" s="5">
        <f>IFERROR(__xludf.DUMMYFUNCTION("""COMPUTED_VALUE"""),1.0)</f>
        <v>1</v>
      </c>
    </row>
    <row r="3541">
      <c r="A3541" s="10" t="str">
        <f>IFERROR(__xludf.DUMMYFUNCTION("""COMPUTED_VALUE"""),".=上埜久=")</f>
        <v>.=上埜久=</v>
      </c>
      <c r="B3541" s="10">
        <f>IFERROR(__xludf.DUMMYFUNCTION("""COMPUTED_VALUE"""),1804.0)</f>
        <v>1804</v>
      </c>
      <c r="C3541" s="10">
        <f>IFERROR(__xludf.DUMMYFUNCTION("""COMPUTED_VALUE"""),21107.0)</f>
        <v>21107</v>
      </c>
      <c r="D3541" s="5">
        <f>IFERROR(__xludf.DUMMYFUNCTION("""COMPUTED_VALUE"""),0.3396881313785422)</f>
        <v>0.3396881314</v>
      </c>
      <c r="E3541" s="5">
        <f>IFERROR(__xludf.DUMMYFUNCTION("""COMPUTED_VALUE"""),0.12324509143656426)</f>
        <v>0.1232450914</v>
      </c>
      <c r="F3541" s="5">
        <f>IFERROR(__xludf.DUMMYFUNCTION("""COMPUTED_VALUE"""),0.2121949955965394)</f>
        <v>0.2121949956</v>
      </c>
      <c r="G3541" s="5">
        <f>IFERROR(__xludf.DUMMYFUNCTION("""COMPUTED_VALUE"""),0.1848935398642698)</f>
        <v>0.1848935399</v>
      </c>
      <c r="H3541" s="5">
        <f>IFERROR(__xludf.DUMMYFUNCTION("""COMPUTED_VALUE"""),0.5859375)</f>
        <v>0.5859375</v>
      </c>
      <c r="I3541" s="11">
        <f>IFERROR(__xludf.DUMMYFUNCTION("""COMPUTED_VALUE"""),5765.72265625)</f>
        <v>5765.722656</v>
      </c>
      <c r="J3541" s="10">
        <f>IFERROR(__xludf.DUMMYFUNCTION("""COMPUTED_VALUE"""),4.0)</f>
        <v>4</v>
      </c>
      <c r="K3541" s="5">
        <f>IFERROR(__xludf.DUMMYFUNCTION("""COMPUTED_VALUE"""),0.0022172949002217295)</f>
        <v>0.0022172949</v>
      </c>
      <c r="L3541" s="10">
        <f>IFERROR(__xludf.DUMMYFUNCTION("""COMPUTED_VALUE"""),639.0)</f>
        <v>639</v>
      </c>
      <c r="M3541" s="5">
        <f>IFERROR(__xludf.DUMMYFUNCTION("""COMPUTED_VALUE"""),0.35421286031042126)</f>
        <v>0.3542128603</v>
      </c>
    </row>
    <row r="3542">
      <c r="A3542" s="10" t="str">
        <f>IFERROR(__xludf.DUMMYFUNCTION("""COMPUTED_VALUE"""),"kaspar")</f>
        <v>kaspar</v>
      </c>
      <c r="B3542" s="10">
        <f>IFERROR(__xludf.DUMMYFUNCTION("""COMPUTED_VALUE"""),1316.0)</f>
        <v>1316</v>
      </c>
      <c r="C3542" s="10">
        <f>IFERROR(__xludf.DUMMYFUNCTION("""COMPUTED_VALUE"""),15548.0)</f>
        <v>15548</v>
      </c>
      <c r="D3542" s="5">
        <f>IFERROR(__xludf.DUMMYFUNCTION("""COMPUTED_VALUE"""),0.3871557054525014)</f>
        <v>0.3871557055</v>
      </c>
      <c r="E3542" s="5">
        <f>IFERROR(__xludf.DUMMYFUNCTION("""COMPUTED_VALUE"""),0.1232433951658235)</f>
        <v>0.1232433952</v>
      </c>
      <c r="F3542" s="5">
        <f>IFERROR(__xludf.DUMMYFUNCTION("""COMPUTED_VALUE"""),0.20102585722315908)</f>
        <v>0.2010258572</v>
      </c>
      <c r="G3542" s="5">
        <f>IFERROR(__xludf.DUMMYFUNCTION("""COMPUTED_VALUE"""),0.1262647554806071)</f>
        <v>0.1262647555</v>
      </c>
      <c r="H3542" s="5">
        <f>IFERROR(__xludf.DUMMYFUNCTION("""COMPUTED_VALUE"""),0.610975183502272)</f>
        <v>0.6109751835</v>
      </c>
      <c r="I3542" s="11">
        <f>IFERROR(__xludf.DUMMYFUNCTION("""COMPUTED_VALUE"""),5640.894792030758)</f>
        <v>5640.894792</v>
      </c>
      <c r="J3542" s="10">
        <f>IFERROR(__xludf.DUMMYFUNCTION("""COMPUTED_VALUE"""),8.0)</f>
        <v>8</v>
      </c>
      <c r="K3542" s="5">
        <f>IFERROR(__xludf.DUMMYFUNCTION("""COMPUTED_VALUE"""),0.0060790273556231)</f>
        <v>0.006079027356</v>
      </c>
      <c r="L3542" s="10">
        <f>IFERROR(__xludf.DUMMYFUNCTION("""COMPUTED_VALUE"""),1316.0)</f>
        <v>1316</v>
      </c>
      <c r="M3542" s="5">
        <f>IFERROR(__xludf.DUMMYFUNCTION("""COMPUTED_VALUE"""),1.0)</f>
        <v>1</v>
      </c>
    </row>
    <row r="3543">
      <c r="A3543" s="10" t="str">
        <f>IFERROR(__xludf.DUMMYFUNCTION("""COMPUTED_VALUE"""),"Dr.雀")</f>
        <v>Dr.雀</v>
      </c>
      <c r="B3543" s="10">
        <f>IFERROR(__xludf.DUMMYFUNCTION("""COMPUTED_VALUE"""),172.0)</f>
        <v>172</v>
      </c>
      <c r="C3543" s="10">
        <f>IFERROR(__xludf.DUMMYFUNCTION("""COMPUTED_VALUE"""),2022.0)</f>
        <v>2022</v>
      </c>
      <c r="D3543" s="5">
        <f>IFERROR(__xludf.DUMMYFUNCTION("""COMPUTED_VALUE"""),0.31891891891891894)</f>
        <v>0.3189189189</v>
      </c>
      <c r="E3543" s="5">
        <f>IFERROR(__xludf.DUMMYFUNCTION("""COMPUTED_VALUE"""),0.12324324324324325)</f>
        <v>0.1232432432</v>
      </c>
      <c r="F3543" s="5">
        <f>IFERROR(__xludf.DUMMYFUNCTION("""COMPUTED_VALUE"""),0.21297297297297296)</f>
        <v>0.212972973</v>
      </c>
      <c r="G3543" s="5">
        <f>IFERROR(__xludf.DUMMYFUNCTION("""COMPUTED_VALUE"""),0.15945945945945947)</f>
        <v>0.1594594595</v>
      </c>
      <c r="H3543" s="5">
        <f>IFERROR(__xludf.DUMMYFUNCTION("""COMPUTED_VALUE"""),0.5862944162436549)</f>
        <v>0.5862944162</v>
      </c>
      <c r="I3543" s="11">
        <f>IFERROR(__xludf.DUMMYFUNCTION("""COMPUTED_VALUE"""),5456.598984771574)</f>
        <v>5456.598985</v>
      </c>
      <c r="J3543" s="10">
        <f>IFERROR(__xludf.DUMMYFUNCTION("""COMPUTED_VALUE"""),1.0)</f>
        <v>1</v>
      </c>
      <c r="K3543" s="5">
        <f>IFERROR(__xludf.DUMMYFUNCTION("""COMPUTED_VALUE"""),0.005813953488372093)</f>
        <v>0.005813953488</v>
      </c>
      <c r="L3543" s="10">
        <f>IFERROR(__xludf.DUMMYFUNCTION("""COMPUTED_VALUE"""),172.0)</f>
        <v>172</v>
      </c>
      <c r="M3543" s="5">
        <f>IFERROR(__xludf.DUMMYFUNCTION("""COMPUTED_VALUE"""),1.0)</f>
        <v>1</v>
      </c>
    </row>
    <row r="3544">
      <c r="A3544" s="10" t="str">
        <f>IFERROR(__xludf.DUMMYFUNCTION("""COMPUTED_VALUE"""),"ステルスkino")</f>
        <v>ステルスkino</v>
      </c>
      <c r="B3544" s="10">
        <f>IFERROR(__xludf.DUMMYFUNCTION("""COMPUTED_VALUE"""),445.0)</f>
        <v>445</v>
      </c>
      <c r="C3544" s="10">
        <f>IFERROR(__xludf.DUMMYFUNCTION("""COMPUTED_VALUE"""),5273.0)</f>
        <v>5273</v>
      </c>
      <c r="D3544" s="5">
        <f>IFERROR(__xludf.DUMMYFUNCTION("""COMPUTED_VALUE"""),0.35584092792046396)</f>
        <v>0.3558409279</v>
      </c>
      <c r="E3544" s="5">
        <f>IFERROR(__xludf.DUMMYFUNCTION("""COMPUTED_VALUE"""),0.12323943661971831)</f>
        <v>0.1232394366</v>
      </c>
      <c r="F3544" s="5">
        <f>IFERROR(__xludf.DUMMYFUNCTION("""COMPUTED_VALUE"""),0.2112676056338028)</f>
        <v>0.2112676056</v>
      </c>
      <c r="G3544" s="5">
        <f>IFERROR(__xludf.DUMMYFUNCTION("""COMPUTED_VALUE"""),0.18351284175642088)</f>
        <v>0.1835128418</v>
      </c>
      <c r="H3544" s="5">
        <f>IFERROR(__xludf.DUMMYFUNCTION("""COMPUTED_VALUE"""),0.5764705882352941)</f>
        <v>0.5764705882</v>
      </c>
      <c r="I3544" s="11">
        <f>IFERROR(__xludf.DUMMYFUNCTION("""COMPUTED_VALUE"""),5743.725490196079)</f>
        <v>5743.72549</v>
      </c>
      <c r="J3544" s="10">
        <f>IFERROR(__xludf.DUMMYFUNCTION("""COMPUTED_VALUE"""),0.0)</f>
        <v>0</v>
      </c>
      <c r="K3544" s="5">
        <f>IFERROR(__xludf.DUMMYFUNCTION("""COMPUTED_VALUE"""),0.0)</f>
        <v>0</v>
      </c>
      <c r="L3544" s="10">
        <f>IFERROR(__xludf.DUMMYFUNCTION("""COMPUTED_VALUE"""),0.0)</f>
        <v>0</v>
      </c>
      <c r="M3544" s="5">
        <f>IFERROR(__xludf.DUMMYFUNCTION("""COMPUTED_VALUE"""),0.0)</f>
        <v>0</v>
      </c>
    </row>
    <row r="3545">
      <c r="A3545" s="10" t="str">
        <f>IFERROR(__xludf.DUMMYFUNCTION("""COMPUTED_VALUE"""),"振られた")</f>
        <v>振られた</v>
      </c>
      <c r="B3545" s="10">
        <f>IFERROR(__xludf.DUMMYFUNCTION("""COMPUTED_VALUE"""),367.0)</f>
        <v>367</v>
      </c>
      <c r="C3545" s="10">
        <f>IFERROR(__xludf.DUMMYFUNCTION("""COMPUTED_VALUE"""),4246.0)</f>
        <v>4246</v>
      </c>
      <c r="D3545" s="5">
        <f>IFERROR(__xludf.DUMMYFUNCTION("""COMPUTED_VALUE"""),0.38179943284351636)</f>
        <v>0.3817994328</v>
      </c>
      <c r="E3545" s="5">
        <f>IFERROR(__xludf.DUMMYFUNCTION("""COMPUTED_VALUE"""),0.12322763598865687)</f>
        <v>0.123227636</v>
      </c>
      <c r="F3545" s="5">
        <f>IFERROR(__xludf.DUMMYFUNCTION("""COMPUTED_VALUE"""),0.21036349574632637)</f>
        <v>0.2103634957</v>
      </c>
      <c r="G3545" s="5">
        <f>IFERROR(__xludf.DUMMYFUNCTION("""COMPUTED_VALUE"""),0.17504511472028875)</f>
        <v>0.1750451147</v>
      </c>
      <c r="H3545" s="5">
        <f>IFERROR(__xludf.DUMMYFUNCTION("""COMPUTED_VALUE"""),0.5894607843137255)</f>
        <v>0.5894607843</v>
      </c>
      <c r="I3545" s="11">
        <f>IFERROR(__xludf.DUMMYFUNCTION("""COMPUTED_VALUE"""),5266.911764705882)</f>
        <v>5266.911765</v>
      </c>
      <c r="J3545" s="10">
        <f>IFERROR(__xludf.DUMMYFUNCTION("""COMPUTED_VALUE"""),1.0)</f>
        <v>1</v>
      </c>
      <c r="K3545" s="5">
        <f>IFERROR(__xludf.DUMMYFUNCTION("""COMPUTED_VALUE"""),0.0027247956403269754)</f>
        <v>0.00272479564</v>
      </c>
      <c r="L3545" s="10">
        <f>IFERROR(__xludf.DUMMYFUNCTION("""COMPUTED_VALUE"""),299.0)</f>
        <v>299</v>
      </c>
      <c r="M3545" s="5">
        <f>IFERROR(__xludf.DUMMYFUNCTION("""COMPUTED_VALUE"""),0.8147138964577657)</f>
        <v>0.8147138965</v>
      </c>
    </row>
    <row r="3546">
      <c r="A3546" s="10" t="str">
        <f>IFERROR(__xludf.DUMMYFUNCTION("""COMPUTED_VALUE"""),"実家TJ")</f>
        <v>実家TJ</v>
      </c>
      <c r="B3546" s="10">
        <f>IFERROR(__xludf.DUMMYFUNCTION("""COMPUTED_VALUE"""),281.0)</f>
        <v>281</v>
      </c>
      <c r="C3546" s="10">
        <f>IFERROR(__xludf.DUMMYFUNCTION("""COMPUTED_VALUE"""),3381.0)</f>
        <v>3381</v>
      </c>
      <c r="D3546" s="5">
        <f>IFERROR(__xludf.DUMMYFUNCTION("""COMPUTED_VALUE"""),0.30032258064516126)</f>
        <v>0.3003225806</v>
      </c>
      <c r="E3546" s="5">
        <f>IFERROR(__xludf.DUMMYFUNCTION("""COMPUTED_VALUE"""),0.12322580645161291)</f>
        <v>0.1232258065</v>
      </c>
      <c r="F3546" s="5">
        <f>IFERROR(__xludf.DUMMYFUNCTION("""COMPUTED_VALUE"""),0.20741935483870969)</f>
        <v>0.2074193548</v>
      </c>
      <c r="G3546" s="5">
        <f>IFERROR(__xludf.DUMMYFUNCTION("""COMPUTED_VALUE"""),0.18225806451612903)</f>
        <v>0.1822580645</v>
      </c>
      <c r="H3546" s="5">
        <f>IFERROR(__xludf.DUMMYFUNCTION("""COMPUTED_VALUE"""),0.5987558320373251)</f>
        <v>0.598755832</v>
      </c>
      <c r="I3546" s="11">
        <f>IFERROR(__xludf.DUMMYFUNCTION("""COMPUTED_VALUE"""),5649.300155520996)</f>
        <v>5649.300156</v>
      </c>
      <c r="J3546" s="10">
        <f>IFERROR(__xludf.DUMMYFUNCTION("""COMPUTED_VALUE"""),0.0)</f>
        <v>0</v>
      </c>
      <c r="K3546" s="5">
        <f>IFERROR(__xludf.DUMMYFUNCTION("""COMPUTED_VALUE"""),0.0)</f>
        <v>0</v>
      </c>
      <c r="L3546" s="10">
        <f>IFERROR(__xludf.DUMMYFUNCTION("""COMPUTED_VALUE"""),281.0)</f>
        <v>281</v>
      </c>
      <c r="M3546" s="5">
        <f>IFERROR(__xludf.DUMMYFUNCTION("""COMPUTED_VALUE"""),1.0)</f>
        <v>1</v>
      </c>
    </row>
    <row r="3547">
      <c r="A3547" s="10" t="str">
        <f>IFERROR(__xludf.DUMMYFUNCTION("""COMPUTED_VALUE"""),"‡†コウメイ†‡")</f>
        <v>‡†コウメイ†‡</v>
      </c>
      <c r="B3547" s="10">
        <f>IFERROR(__xludf.DUMMYFUNCTION("""COMPUTED_VALUE"""),542.0)</f>
        <v>542</v>
      </c>
      <c r="C3547" s="10">
        <f>IFERROR(__xludf.DUMMYFUNCTION("""COMPUTED_VALUE"""),6450.0)</f>
        <v>6450</v>
      </c>
      <c r="D3547" s="5">
        <f>IFERROR(__xludf.DUMMYFUNCTION("""COMPUTED_VALUE"""),0.29434664861205145)</f>
        <v>0.2943466486</v>
      </c>
      <c r="E3547" s="5">
        <f>IFERROR(__xludf.DUMMYFUNCTION("""COMPUTED_VALUE"""),0.12322274881516587)</f>
        <v>0.1232227488</v>
      </c>
      <c r="F3547" s="5">
        <f>IFERROR(__xludf.DUMMYFUNCTION("""COMPUTED_VALUE"""),0.2064996614759648)</f>
        <v>0.2064996615</v>
      </c>
      <c r="G3547" s="5">
        <f>IFERROR(__xludf.DUMMYFUNCTION("""COMPUTED_VALUE"""),0.15402843601895735)</f>
        <v>0.154028436</v>
      </c>
      <c r="H3547" s="5">
        <f>IFERROR(__xludf.DUMMYFUNCTION("""COMPUTED_VALUE"""),0.5795081967213115)</f>
        <v>0.5795081967</v>
      </c>
      <c r="I3547" s="11">
        <f>IFERROR(__xludf.DUMMYFUNCTION("""COMPUTED_VALUE"""),5777.950819672131)</f>
        <v>5777.95082</v>
      </c>
      <c r="J3547" s="10">
        <f>IFERROR(__xludf.DUMMYFUNCTION("""COMPUTED_VALUE"""),0.0)</f>
        <v>0</v>
      </c>
      <c r="K3547" s="5">
        <f>IFERROR(__xludf.DUMMYFUNCTION("""COMPUTED_VALUE"""),0.0)</f>
        <v>0</v>
      </c>
      <c r="L3547" s="10">
        <f>IFERROR(__xludf.DUMMYFUNCTION("""COMPUTED_VALUE"""),542.0)</f>
        <v>542</v>
      </c>
      <c r="M3547" s="5">
        <f>IFERROR(__xludf.DUMMYFUNCTION("""COMPUTED_VALUE"""),1.0)</f>
        <v>1</v>
      </c>
    </row>
    <row r="3548">
      <c r="A3548" s="10" t="str">
        <f>IFERROR(__xludf.DUMMYFUNCTION("""COMPUTED_VALUE"""),"ムク")</f>
        <v>ムク</v>
      </c>
      <c r="B3548" s="10">
        <f>IFERROR(__xludf.DUMMYFUNCTION("""COMPUTED_VALUE"""),295.0)</f>
        <v>295</v>
      </c>
      <c r="C3548" s="10">
        <f>IFERROR(__xludf.DUMMYFUNCTION("""COMPUTED_VALUE"""),3436.0)</f>
        <v>3436</v>
      </c>
      <c r="D3548" s="5">
        <f>IFERROR(__xludf.DUMMYFUNCTION("""COMPUTED_VALUE"""),0.38299904489016234)</f>
        <v>0.3829990449</v>
      </c>
      <c r="E3548" s="5">
        <f>IFERROR(__xludf.DUMMYFUNCTION("""COMPUTED_VALUE"""),0.12320916905444126)</f>
        <v>0.1232091691</v>
      </c>
      <c r="F3548" s="5">
        <f>IFERROR(__xludf.DUMMYFUNCTION("""COMPUTED_VALUE"""),0.2152180834129258)</f>
        <v>0.2152180834</v>
      </c>
      <c r="G3548" s="5">
        <f>IFERROR(__xludf.DUMMYFUNCTION("""COMPUTED_VALUE"""),0.16045845272206305)</f>
        <v>0.1604584527</v>
      </c>
      <c r="H3548" s="5">
        <f>IFERROR(__xludf.DUMMYFUNCTION("""COMPUTED_VALUE"""),0.6257396449704142)</f>
        <v>0.625739645</v>
      </c>
      <c r="I3548" s="11">
        <f>IFERROR(__xludf.DUMMYFUNCTION("""COMPUTED_VALUE"""),5432.544378698225)</f>
        <v>5432.544379</v>
      </c>
      <c r="J3548" s="10">
        <f>IFERROR(__xludf.DUMMYFUNCTION("""COMPUTED_VALUE"""),1.0)</f>
        <v>1</v>
      </c>
      <c r="K3548" s="5">
        <f>IFERROR(__xludf.DUMMYFUNCTION("""COMPUTED_VALUE"""),0.003389830508474576)</f>
        <v>0.003389830508</v>
      </c>
      <c r="L3548" s="10">
        <f>IFERROR(__xludf.DUMMYFUNCTION("""COMPUTED_VALUE"""),295.0)</f>
        <v>295</v>
      </c>
      <c r="M3548" s="5">
        <f>IFERROR(__xludf.DUMMYFUNCTION("""COMPUTED_VALUE"""),1.0)</f>
        <v>1</v>
      </c>
    </row>
    <row r="3549">
      <c r="A3549" s="10" t="str">
        <f>IFERROR(__xludf.DUMMYFUNCTION("""COMPUTED_VALUE"""),"ぇるぇる")</f>
        <v>ぇるぇる</v>
      </c>
      <c r="B3549" s="10">
        <f>IFERROR(__xludf.DUMMYFUNCTION("""COMPUTED_VALUE"""),1759.0)</f>
        <v>1759</v>
      </c>
      <c r="C3549" s="10">
        <f>IFERROR(__xludf.DUMMYFUNCTION("""COMPUTED_VALUE"""),20477.0)</f>
        <v>20477</v>
      </c>
      <c r="D3549" s="5">
        <f>IFERROR(__xludf.DUMMYFUNCTION("""COMPUTED_VALUE"""),0.21492680841970296)</f>
        <v>0.2149268084</v>
      </c>
      <c r="E3549" s="5">
        <f>IFERROR(__xludf.DUMMYFUNCTION("""COMPUTED_VALUE"""),0.12319692274815686)</f>
        <v>0.1231969227</v>
      </c>
      <c r="F3549" s="5">
        <f>IFERROR(__xludf.DUMMYFUNCTION("""COMPUTED_VALUE"""),0.19264878726359655)</f>
        <v>0.1926487873</v>
      </c>
      <c r="G3549" s="5">
        <f>IFERROR(__xludf.DUMMYFUNCTION("""COMPUTED_VALUE"""),0.1844214125440752)</f>
        <v>0.1844214125</v>
      </c>
      <c r="H3549" s="5">
        <f>IFERROR(__xludf.DUMMYFUNCTION("""COMPUTED_VALUE"""),0.5898502495840267)</f>
        <v>0.5898502496</v>
      </c>
      <c r="I3549" s="11">
        <f>IFERROR(__xludf.DUMMYFUNCTION("""COMPUTED_VALUE"""),5836.577925679423)</f>
        <v>5836.577926</v>
      </c>
      <c r="J3549" s="10">
        <f>IFERROR(__xludf.DUMMYFUNCTION("""COMPUTED_VALUE"""),3.0)</f>
        <v>3</v>
      </c>
      <c r="K3549" s="5">
        <f>IFERROR(__xludf.DUMMYFUNCTION("""COMPUTED_VALUE"""),0.0017055144968732233)</f>
        <v>0.001705514497</v>
      </c>
      <c r="L3549" s="10">
        <f>IFERROR(__xludf.DUMMYFUNCTION("""COMPUTED_VALUE"""),490.0)</f>
        <v>490</v>
      </c>
      <c r="M3549" s="5">
        <f>IFERROR(__xludf.DUMMYFUNCTION("""COMPUTED_VALUE"""),0.2785673678226265)</f>
        <v>0.2785673678</v>
      </c>
    </row>
    <row r="3550">
      <c r="A3550" s="10" t="str">
        <f>IFERROR(__xludf.DUMMYFUNCTION("""COMPUTED_VALUE"""),"†守護天使†")</f>
        <v>†守護天使†</v>
      </c>
      <c r="B3550" s="10">
        <f>IFERROR(__xludf.DUMMYFUNCTION("""COMPUTED_VALUE"""),744.0)</f>
        <v>744</v>
      </c>
      <c r="C3550" s="10">
        <f>IFERROR(__xludf.DUMMYFUNCTION("""COMPUTED_VALUE"""),8715.0)</f>
        <v>8715</v>
      </c>
      <c r="D3550" s="5">
        <f>IFERROR(__xludf.DUMMYFUNCTION("""COMPUTED_VALUE"""),0.38000250909547106)</f>
        <v>0.3800025091</v>
      </c>
      <c r="E3550" s="5">
        <f>IFERROR(__xludf.DUMMYFUNCTION("""COMPUTED_VALUE"""),0.12319658763015932)</f>
        <v>0.1231965876</v>
      </c>
      <c r="F3550" s="5">
        <f>IFERROR(__xludf.DUMMYFUNCTION("""COMPUTED_VALUE"""),0.21502948187178522)</f>
        <v>0.2150294819</v>
      </c>
      <c r="G3550" s="5">
        <f>IFERROR(__xludf.DUMMYFUNCTION("""COMPUTED_VALUE"""),0.17350395182536696)</f>
        <v>0.1735039518</v>
      </c>
      <c r="H3550" s="5">
        <f>IFERROR(__xludf.DUMMYFUNCTION("""COMPUTED_VALUE"""),0.5892648774795799)</f>
        <v>0.5892648775</v>
      </c>
      <c r="I3550" s="11">
        <f>IFERROR(__xludf.DUMMYFUNCTION("""COMPUTED_VALUE"""),5295.799299883314)</f>
        <v>5295.7993</v>
      </c>
      <c r="J3550" s="10">
        <f>IFERROR(__xludf.DUMMYFUNCTION("""COMPUTED_VALUE"""),1.0)</f>
        <v>1</v>
      </c>
      <c r="K3550" s="5">
        <f>IFERROR(__xludf.DUMMYFUNCTION("""COMPUTED_VALUE"""),0.0013440860215053765)</f>
        <v>0.001344086022</v>
      </c>
      <c r="L3550" s="10">
        <f>IFERROR(__xludf.DUMMYFUNCTION("""COMPUTED_VALUE"""),669.0)</f>
        <v>669</v>
      </c>
      <c r="M3550" s="5">
        <f>IFERROR(__xludf.DUMMYFUNCTION("""COMPUTED_VALUE"""),0.8991935483870968)</f>
        <v>0.8991935484</v>
      </c>
    </row>
    <row r="3551">
      <c r="A3551" s="10" t="str">
        <f>IFERROR(__xludf.DUMMYFUNCTION("""COMPUTED_VALUE"""),"onestar")</f>
        <v>onestar</v>
      </c>
      <c r="B3551" s="10">
        <f>IFERROR(__xludf.DUMMYFUNCTION("""COMPUTED_VALUE"""),4207.0)</f>
        <v>4207</v>
      </c>
      <c r="C3551" s="10">
        <f>IFERROR(__xludf.DUMMYFUNCTION("""COMPUTED_VALUE"""),49162.0)</f>
        <v>49162</v>
      </c>
      <c r="D3551" s="5">
        <f>IFERROR(__xludf.DUMMYFUNCTION("""COMPUTED_VALUE"""),0.34198643087531977)</f>
        <v>0.3419864309</v>
      </c>
      <c r="E3551" s="5">
        <f>IFERROR(__xludf.DUMMYFUNCTION("""COMPUTED_VALUE"""),0.12318985652318985)</f>
        <v>0.1231898565</v>
      </c>
      <c r="F3551" s="5">
        <f>IFERROR(__xludf.DUMMYFUNCTION("""COMPUTED_VALUE"""),0.21405850294739184)</f>
        <v>0.2140585029</v>
      </c>
      <c r="G3551" s="5">
        <f>IFERROR(__xludf.DUMMYFUNCTION("""COMPUTED_VALUE"""),0.18427316205093983)</f>
        <v>0.1842731621</v>
      </c>
      <c r="H3551" s="5">
        <f>IFERROR(__xludf.DUMMYFUNCTION("""COMPUTED_VALUE"""),0.6049049153070768)</f>
        <v>0.6049049153</v>
      </c>
      <c r="I3551" s="11">
        <f>IFERROR(__xludf.DUMMYFUNCTION("""COMPUTED_VALUE"""),5566.465759118778)</f>
        <v>5566.465759</v>
      </c>
      <c r="J3551" s="10">
        <f>IFERROR(__xludf.DUMMYFUNCTION("""COMPUTED_VALUE"""),7.0)</f>
        <v>7</v>
      </c>
      <c r="K3551" s="5">
        <f>IFERROR(__xludf.DUMMYFUNCTION("""COMPUTED_VALUE"""),0.0016638935108153079)</f>
        <v>0.001663893511</v>
      </c>
      <c r="L3551" s="10">
        <f>IFERROR(__xludf.DUMMYFUNCTION("""COMPUTED_VALUE"""),4207.0)</f>
        <v>4207</v>
      </c>
      <c r="M3551" s="5">
        <f>IFERROR(__xludf.DUMMYFUNCTION("""COMPUTED_VALUE"""),1.0)</f>
        <v>1</v>
      </c>
    </row>
    <row r="3552">
      <c r="A3552" s="10" t="str">
        <f>IFERROR(__xludf.DUMMYFUNCTION("""COMPUTED_VALUE"""),"古清水怜")</f>
        <v>古清水怜</v>
      </c>
      <c r="B3552" s="10">
        <f>IFERROR(__xludf.DUMMYFUNCTION("""COMPUTED_VALUE"""),349.0)</f>
        <v>349</v>
      </c>
      <c r="C3552" s="10">
        <f>IFERROR(__xludf.DUMMYFUNCTION("""COMPUTED_VALUE"""),4051.0)</f>
        <v>4051</v>
      </c>
      <c r="D3552" s="5">
        <f>IFERROR(__xludf.DUMMYFUNCTION("""COMPUTED_VALUE"""),0.31118314424635335)</f>
        <v>0.3111831442</v>
      </c>
      <c r="E3552" s="5">
        <f>IFERROR(__xludf.DUMMYFUNCTION("""COMPUTED_VALUE"""),0.12317666126418152)</f>
        <v>0.1231766613</v>
      </c>
      <c r="F3552" s="5">
        <f>IFERROR(__xludf.DUMMYFUNCTION("""COMPUTED_VALUE"""),0.19746083198271205)</f>
        <v>0.197460832</v>
      </c>
      <c r="G3552" s="5">
        <f>IFERROR(__xludf.DUMMYFUNCTION("""COMPUTED_VALUE"""),0.17990275526742303)</f>
        <v>0.1799027553</v>
      </c>
      <c r="H3552" s="5">
        <f>IFERROR(__xludf.DUMMYFUNCTION("""COMPUTED_VALUE"""),0.5882352941176471)</f>
        <v>0.5882352941</v>
      </c>
      <c r="I3552" s="11">
        <f>IFERROR(__xludf.DUMMYFUNCTION("""COMPUTED_VALUE"""),5858.686730506156)</f>
        <v>5858.686731</v>
      </c>
      <c r="J3552" s="10">
        <f>IFERROR(__xludf.DUMMYFUNCTION("""COMPUTED_VALUE"""),0.0)</f>
        <v>0</v>
      </c>
      <c r="K3552" s="5">
        <f>IFERROR(__xludf.DUMMYFUNCTION("""COMPUTED_VALUE"""),0.0)</f>
        <v>0</v>
      </c>
      <c r="L3552" s="10">
        <f>IFERROR(__xludf.DUMMYFUNCTION("""COMPUTED_VALUE"""),0.0)</f>
        <v>0</v>
      </c>
      <c r="M3552" s="5">
        <f>IFERROR(__xludf.DUMMYFUNCTION("""COMPUTED_VALUE"""),0.0)</f>
        <v>0</v>
      </c>
    </row>
    <row r="3553">
      <c r="A3553" s="10" t="str">
        <f>IFERROR(__xludf.DUMMYFUNCTION("""COMPUTED_VALUE"""),"保癒身")</f>
        <v>保癒身</v>
      </c>
      <c r="B3553" s="10">
        <f>IFERROR(__xludf.DUMMYFUNCTION("""COMPUTED_VALUE"""),751.0)</f>
        <v>751</v>
      </c>
      <c r="C3553" s="10">
        <f>IFERROR(__xludf.DUMMYFUNCTION("""COMPUTED_VALUE"""),8764.0)</f>
        <v>8764</v>
      </c>
      <c r="D3553" s="5">
        <f>IFERROR(__xludf.DUMMYFUNCTION("""COMPUTED_VALUE"""),0.3924872082865344)</f>
        <v>0.3924872083</v>
      </c>
      <c r="E3553" s="5">
        <f>IFERROR(__xludf.DUMMYFUNCTION("""COMPUTED_VALUE"""),0.1231748408835642)</f>
        <v>0.1231748409</v>
      </c>
      <c r="F3553" s="5">
        <f>IFERROR(__xludf.DUMMYFUNCTION("""COMPUTED_VALUE"""),0.2039186322226382)</f>
        <v>0.2039186322</v>
      </c>
      <c r="G3553" s="5">
        <f>IFERROR(__xludf.DUMMYFUNCTION("""COMPUTED_VALUE"""),0.17958317733682766)</f>
        <v>0.1795831773</v>
      </c>
      <c r="H3553" s="5">
        <f>IFERROR(__xludf.DUMMYFUNCTION("""COMPUTED_VALUE"""),0.5936352509179926)</f>
        <v>0.5936352509</v>
      </c>
      <c r="I3553" s="11">
        <f>IFERROR(__xludf.DUMMYFUNCTION("""COMPUTED_VALUE"""),6058.629130966952)</f>
        <v>6058.629131</v>
      </c>
      <c r="J3553" s="10">
        <f>IFERROR(__xludf.DUMMYFUNCTION("""COMPUTED_VALUE"""),1.0)</f>
        <v>1</v>
      </c>
      <c r="K3553" s="5">
        <f>IFERROR(__xludf.DUMMYFUNCTION("""COMPUTED_VALUE"""),0.0013315579227696406)</f>
        <v>0.001331557923</v>
      </c>
      <c r="L3553" s="10">
        <f>IFERROR(__xludf.DUMMYFUNCTION("""COMPUTED_VALUE"""),751.0)</f>
        <v>751</v>
      </c>
      <c r="M3553" s="5">
        <f>IFERROR(__xludf.DUMMYFUNCTION("""COMPUTED_VALUE"""),1.0)</f>
        <v>1</v>
      </c>
    </row>
    <row r="3554">
      <c r="A3554" s="10" t="str">
        <f>IFERROR(__xludf.DUMMYFUNCTION("""COMPUTED_VALUE"""),"tetsu/")</f>
        <v>tetsu/</v>
      </c>
      <c r="B3554" s="10">
        <f>IFERROR(__xludf.DUMMYFUNCTION("""COMPUTED_VALUE"""),476.0)</f>
        <v>476</v>
      </c>
      <c r="C3554" s="10">
        <f>IFERROR(__xludf.DUMMYFUNCTION("""COMPUTED_VALUE"""),5607.0)</f>
        <v>5607</v>
      </c>
      <c r="D3554" s="5">
        <f>IFERROR(__xludf.DUMMYFUNCTION("""COMPUTED_VALUE"""),0.3502241278503216)</f>
        <v>0.3502241279</v>
      </c>
      <c r="E3554" s="5">
        <f>IFERROR(__xludf.DUMMYFUNCTION("""COMPUTED_VALUE"""),0.12317287078542194)</f>
        <v>0.1231728708</v>
      </c>
      <c r="F3554" s="5">
        <f>IFERROR(__xludf.DUMMYFUNCTION("""COMPUTED_VALUE"""),0.22061976222958488)</f>
        <v>0.2206197622</v>
      </c>
      <c r="G3554" s="5">
        <f>IFERROR(__xludf.DUMMYFUNCTION("""COMPUTED_VALUE"""),0.19119080101344768)</f>
        <v>0.191190801</v>
      </c>
      <c r="H3554" s="5">
        <f>IFERROR(__xludf.DUMMYFUNCTION("""COMPUTED_VALUE"""),0.6104240282685512)</f>
        <v>0.6104240283</v>
      </c>
      <c r="I3554" s="11">
        <f>IFERROR(__xludf.DUMMYFUNCTION("""COMPUTED_VALUE"""),5553.09187279152)</f>
        <v>5553.091873</v>
      </c>
      <c r="J3554" s="10">
        <f>IFERROR(__xludf.DUMMYFUNCTION("""COMPUTED_VALUE"""),1.0)</f>
        <v>1</v>
      </c>
      <c r="K3554" s="5">
        <f>IFERROR(__xludf.DUMMYFUNCTION("""COMPUTED_VALUE"""),0.0021008403361344537)</f>
        <v>0.002100840336</v>
      </c>
      <c r="L3554" s="10">
        <f>IFERROR(__xludf.DUMMYFUNCTION("""COMPUTED_VALUE"""),476.0)</f>
        <v>476</v>
      </c>
      <c r="M3554" s="5">
        <f>IFERROR(__xludf.DUMMYFUNCTION("""COMPUTED_VALUE"""),1.0)</f>
        <v>1</v>
      </c>
    </row>
    <row r="3555">
      <c r="A3555" s="10" t="str">
        <f>IFERROR(__xludf.DUMMYFUNCTION("""COMPUTED_VALUE"""),"留チョロ")</f>
        <v>留チョロ</v>
      </c>
      <c r="B3555" s="10">
        <f>IFERROR(__xludf.DUMMYFUNCTION("""COMPUTED_VALUE"""),1510.0)</f>
        <v>1510</v>
      </c>
      <c r="C3555" s="10">
        <f>IFERROR(__xludf.DUMMYFUNCTION("""COMPUTED_VALUE"""),17627.0)</f>
        <v>17627</v>
      </c>
      <c r="D3555" s="5">
        <f>IFERROR(__xludf.DUMMYFUNCTION("""COMPUTED_VALUE"""),0.363094868772104)</f>
        <v>0.3630948688</v>
      </c>
      <c r="E3555" s="5">
        <f>IFERROR(__xludf.DUMMYFUNCTION("""COMPUTED_VALUE"""),0.12316187876155613)</f>
        <v>0.1231618788</v>
      </c>
      <c r="F3555" s="5">
        <f>IFERROR(__xludf.DUMMYFUNCTION("""COMPUTED_VALUE"""),0.2076068747285475)</f>
        <v>0.2076068747</v>
      </c>
      <c r="G3555" s="5">
        <f>IFERROR(__xludf.DUMMYFUNCTION("""COMPUTED_VALUE"""),0.17881739777874295)</f>
        <v>0.1788173978</v>
      </c>
      <c r="H3555" s="5">
        <f>IFERROR(__xludf.DUMMYFUNCTION("""COMPUTED_VALUE"""),0.5890615660490137)</f>
        <v>0.589061566</v>
      </c>
      <c r="I3555" s="11">
        <f>IFERROR(__xludf.DUMMYFUNCTION("""COMPUTED_VALUE"""),5717.334130304842)</f>
        <v>5717.33413</v>
      </c>
      <c r="J3555" s="10">
        <f>IFERROR(__xludf.DUMMYFUNCTION("""COMPUTED_VALUE"""),5.0)</f>
        <v>5</v>
      </c>
      <c r="K3555" s="5">
        <f>IFERROR(__xludf.DUMMYFUNCTION("""COMPUTED_VALUE"""),0.0033112582781456954)</f>
        <v>0.003311258278</v>
      </c>
      <c r="L3555" s="10">
        <f>IFERROR(__xludf.DUMMYFUNCTION("""COMPUTED_VALUE"""),1510.0)</f>
        <v>1510</v>
      </c>
      <c r="M3555" s="5">
        <f>IFERROR(__xludf.DUMMYFUNCTION("""COMPUTED_VALUE"""),1.0)</f>
        <v>1</v>
      </c>
    </row>
    <row r="3556">
      <c r="A3556" s="10" t="str">
        <f>IFERROR(__xludf.DUMMYFUNCTION("""COMPUTED_VALUE"""),"群青日和＠")</f>
        <v>群青日和＠</v>
      </c>
      <c r="B3556" s="10">
        <f>IFERROR(__xludf.DUMMYFUNCTION("""COMPUTED_VALUE"""),468.0)</f>
        <v>468</v>
      </c>
      <c r="C3556" s="10">
        <f>IFERROR(__xludf.DUMMYFUNCTION("""COMPUTED_VALUE"""),5365.0)</f>
        <v>5365</v>
      </c>
      <c r="D3556" s="5">
        <f>IFERROR(__xludf.DUMMYFUNCTION("""COMPUTED_VALUE"""),0.3316316111905248)</f>
        <v>0.3316316112</v>
      </c>
      <c r="E3556" s="5">
        <f>IFERROR(__xludf.DUMMYFUNCTION("""COMPUTED_VALUE"""),0.12313661425362467)</f>
        <v>0.1231366143</v>
      </c>
      <c r="F3556" s="5">
        <f>IFERROR(__xludf.DUMMYFUNCTION("""COMPUTED_VALUE"""),0.21482540330814784)</f>
        <v>0.2148254033</v>
      </c>
      <c r="G3556" s="5">
        <f>IFERROR(__xludf.DUMMYFUNCTION("""COMPUTED_VALUE"""),0.17337145190933223)</f>
        <v>0.1733714519</v>
      </c>
      <c r="H3556" s="5">
        <f>IFERROR(__xludf.DUMMYFUNCTION("""COMPUTED_VALUE"""),0.6045627376425855)</f>
        <v>0.6045627376</v>
      </c>
      <c r="I3556" s="11">
        <f>IFERROR(__xludf.DUMMYFUNCTION("""COMPUTED_VALUE"""),5687.452471482889)</f>
        <v>5687.452471</v>
      </c>
      <c r="J3556" s="10">
        <f>IFERROR(__xludf.DUMMYFUNCTION("""COMPUTED_VALUE"""),1.0)</f>
        <v>1</v>
      </c>
      <c r="K3556" s="5">
        <f>IFERROR(__xludf.DUMMYFUNCTION("""COMPUTED_VALUE"""),0.002136752136752137)</f>
        <v>0.002136752137</v>
      </c>
      <c r="L3556" s="10">
        <f>IFERROR(__xludf.DUMMYFUNCTION("""COMPUTED_VALUE"""),0.0)</f>
        <v>0</v>
      </c>
      <c r="M3556" s="5">
        <f>IFERROR(__xludf.DUMMYFUNCTION("""COMPUTED_VALUE"""),0.0)</f>
        <v>0</v>
      </c>
    </row>
    <row r="3557">
      <c r="A3557" s="10" t="str">
        <f>IFERROR(__xludf.DUMMYFUNCTION("""COMPUTED_VALUE"""),"爆弾五郎２")</f>
        <v>爆弾五郎２</v>
      </c>
      <c r="B3557" s="10">
        <f>IFERROR(__xludf.DUMMYFUNCTION("""COMPUTED_VALUE"""),5903.0)</f>
        <v>5903</v>
      </c>
      <c r="C3557" s="10">
        <f>IFERROR(__xludf.DUMMYFUNCTION("""COMPUTED_VALUE"""),69095.0)</f>
        <v>69095</v>
      </c>
      <c r="D3557" s="5">
        <f>IFERROR(__xludf.DUMMYFUNCTION("""COMPUTED_VALUE"""),0.3286333713128244)</f>
        <v>0.3286333713</v>
      </c>
      <c r="E3557" s="5">
        <f>IFERROR(__xludf.DUMMYFUNCTION("""COMPUTED_VALUE"""),0.1231326750221547)</f>
        <v>0.123132675</v>
      </c>
      <c r="F3557" s="5">
        <f>IFERROR(__xludf.DUMMYFUNCTION("""COMPUTED_VALUE"""),0.20808013672616787)</f>
        <v>0.2080801367</v>
      </c>
      <c r="G3557" s="5">
        <f>IFERROR(__xludf.DUMMYFUNCTION("""COMPUTED_VALUE"""),0.1458570705152551)</f>
        <v>0.1458570705</v>
      </c>
      <c r="H3557" s="5">
        <f>IFERROR(__xludf.DUMMYFUNCTION("""COMPUTED_VALUE"""),0.6050650239561944)</f>
        <v>0.605065024</v>
      </c>
      <c r="I3557" s="11">
        <f>IFERROR(__xludf.DUMMYFUNCTION("""COMPUTED_VALUE"""),5672.362917332117)</f>
        <v>5672.362917</v>
      </c>
      <c r="J3557" s="10">
        <f>IFERROR(__xludf.DUMMYFUNCTION("""COMPUTED_VALUE"""),22.0)</f>
        <v>22</v>
      </c>
      <c r="K3557" s="5">
        <f>IFERROR(__xludf.DUMMYFUNCTION("""COMPUTED_VALUE"""),0.003726918516008809)</f>
        <v>0.003726918516</v>
      </c>
      <c r="L3557" s="10">
        <f>IFERROR(__xludf.DUMMYFUNCTION("""COMPUTED_VALUE"""),5900.0)</f>
        <v>5900</v>
      </c>
      <c r="M3557" s="5">
        <f>IFERROR(__xludf.DUMMYFUNCTION("""COMPUTED_VALUE"""),0.9994917838387261)</f>
        <v>0.9994917838</v>
      </c>
    </row>
    <row r="3558">
      <c r="A3558" s="10" t="str">
        <f>IFERROR(__xludf.DUMMYFUNCTION("""COMPUTED_VALUE"""),"プジョル")</f>
        <v>プジョル</v>
      </c>
      <c r="B3558" s="10">
        <f>IFERROR(__xludf.DUMMYFUNCTION("""COMPUTED_VALUE"""),189.0)</f>
        <v>189</v>
      </c>
      <c r="C3558" s="10">
        <f>IFERROR(__xludf.DUMMYFUNCTION("""COMPUTED_VALUE"""),2130.0)</f>
        <v>2130</v>
      </c>
      <c r="D3558" s="5">
        <f>IFERROR(__xludf.DUMMYFUNCTION("""COMPUTED_VALUE"""),0.3848531684698609)</f>
        <v>0.3848531685</v>
      </c>
      <c r="E3558" s="5">
        <f>IFERROR(__xludf.DUMMYFUNCTION("""COMPUTED_VALUE"""),0.12313240597630087)</f>
        <v>0.123132406</v>
      </c>
      <c r="F3558" s="5">
        <f>IFERROR(__xludf.DUMMYFUNCTION("""COMPUTED_VALUE"""),0.20607934054611024)</f>
        <v>0.2060793405</v>
      </c>
      <c r="G3558" s="5">
        <f>IFERROR(__xludf.DUMMYFUNCTION("""COMPUTED_VALUE"""),0.14940752189592993)</f>
        <v>0.1494075219</v>
      </c>
      <c r="H3558" s="5">
        <f>IFERROR(__xludf.DUMMYFUNCTION("""COMPUTED_VALUE"""),0.5975)</f>
        <v>0.5975</v>
      </c>
      <c r="I3558" s="11">
        <f>IFERROR(__xludf.DUMMYFUNCTION("""COMPUTED_VALUE"""),5296.5)</f>
        <v>5296.5</v>
      </c>
      <c r="J3558" s="10">
        <f>IFERROR(__xludf.DUMMYFUNCTION("""COMPUTED_VALUE"""),0.0)</f>
        <v>0</v>
      </c>
      <c r="K3558" s="5">
        <f>IFERROR(__xludf.DUMMYFUNCTION("""COMPUTED_VALUE"""),0.0)</f>
        <v>0</v>
      </c>
      <c r="L3558" s="10">
        <f>IFERROR(__xludf.DUMMYFUNCTION("""COMPUTED_VALUE"""),189.0)</f>
        <v>189</v>
      </c>
      <c r="M3558" s="5">
        <f>IFERROR(__xludf.DUMMYFUNCTION("""COMPUTED_VALUE"""),1.0)</f>
        <v>1</v>
      </c>
    </row>
    <row r="3559">
      <c r="A3559" s="10" t="str">
        <f>IFERROR(__xludf.DUMMYFUNCTION("""COMPUTED_VALUE"""),"ドールミー")</f>
        <v>ドールミー</v>
      </c>
      <c r="B3559" s="10">
        <f>IFERROR(__xludf.DUMMYFUNCTION("""COMPUTED_VALUE"""),569.0)</f>
        <v>569</v>
      </c>
      <c r="C3559" s="10">
        <f>IFERROR(__xludf.DUMMYFUNCTION("""COMPUTED_VALUE"""),6717.0)</f>
        <v>6717</v>
      </c>
      <c r="D3559" s="5">
        <f>IFERROR(__xludf.DUMMYFUNCTION("""COMPUTED_VALUE"""),0.40013012361743655)</f>
        <v>0.4001301236</v>
      </c>
      <c r="E3559" s="5">
        <f>IFERROR(__xludf.DUMMYFUNCTION("""COMPUTED_VALUE"""),0.12312947299934938)</f>
        <v>0.123129473</v>
      </c>
      <c r="F3559" s="5">
        <f>IFERROR(__xludf.DUMMYFUNCTION("""COMPUTED_VALUE"""),0.20803513337670787)</f>
        <v>0.2080351334</v>
      </c>
      <c r="G3559" s="5">
        <f>IFERROR(__xludf.DUMMYFUNCTION("""COMPUTED_VALUE"""),0.15517241379310345)</f>
        <v>0.1551724138</v>
      </c>
      <c r="H3559" s="5">
        <f>IFERROR(__xludf.DUMMYFUNCTION("""COMPUTED_VALUE"""),0.5754495699765442)</f>
        <v>0.57544957</v>
      </c>
      <c r="I3559" s="11">
        <f>IFERROR(__xludf.DUMMYFUNCTION("""COMPUTED_VALUE"""),5413.995308835028)</f>
        <v>5413.995309</v>
      </c>
      <c r="J3559" s="10">
        <f>IFERROR(__xludf.DUMMYFUNCTION("""COMPUTED_VALUE"""),1.0)</f>
        <v>1</v>
      </c>
      <c r="K3559" s="5">
        <f>IFERROR(__xludf.DUMMYFUNCTION("""COMPUTED_VALUE"""),0.0017574692442882249)</f>
        <v>0.001757469244</v>
      </c>
      <c r="L3559" s="10">
        <f>IFERROR(__xludf.DUMMYFUNCTION("""COMPUTED_VALUE"""),569.0)</f>
        <v>569</v>
      </c>
      <c r="M3559" s="5">
        <f>IFERROR(__xludf.DUMMYFUNCTION("""COMPUTED_VALUE"""),1.0)</f>
        <v>1</v>
      </c>
    </row>
    <row r="3560">
      <c r="A3560" s="10" t="str">
        <f>IFERROR(__xludf.DUMMYFUNCTION("""COMPUTED_VALUE"""),"much")</f>
        <v>much</v>
      </c>
      <c r="B3560" s="10">
        <f>IFERROR(__xludf.DUMMYFUNCTION("""COMPUTED_VALUE"""),496.0)</f>
        <v>496</v>
      </c>
      <c r="C3560" s="10">
        <f>IFERROR(__xludf.DUMMYFUNCTION("""COMPUTED_VALUE"""),5840.0)</f>
        <v>5840</v>
      </c>
      <c r="D3560" s="5">
        <f>IFERROR(__xludf.DUMMYFUNCTION("""COMPUTED_VALUE"""),0.3061377245508982)</f>
        <v>0.3061377246</v>
      </c>
      <c r="E3560" s="5">
        <f>IFERROR(__xludf.DUMMYFUNCTION("""COMPUTED_VALUE"""),0.12312874251497007)</f>
        <v>0.1231287425</v>
      </c>
      <c r="F3560" s="5">
        <f>IFERROR(__xludf.DUMMYFUNCTION("""COMPUTED_VALUE"""),0.19872754491017963)</f>
        <v>0.1987275449</v>
      </c>
      <c r="G3560" s="5">
        <f>IFERROR(__xludf.DUMMYFUNCTION("""COMPUTED_VALUE"""),0.17964071856287425)</f>
        <v>0.1796407186</v>
      </c>
      <c r="H3560" s="5">
        <f>IFERROR(__xludf.DUMMYFUNCTION("""COMPUTED_VALUE"""),0.5894538606403014)</f>
        <v>0.5894538606</v>
      </c>
      <c r="I3560" s="11">
        <f>IFERROR(__xludf.DUMMYFUNCTION("""COMPUTED_VALUE"""),5765.63088512241)</f>
        <v>5765.630885</v>
      </c>
      <c r="J3560" s="10">
        <f>IFERROR(__xludf.DUMMYFUNCTION("""COMPUTED_VALUE"""),1.0)</f>
        <v>1</v>
      </c>
      <c r="K3560" s="5">
        <f>IFERROR(__xludf.DUMMYFUNCTION("""COMPUTED_VALUE"""),0.0020161290322580645)</f>
        <v>0.002016129032</v>
      </c>
      <c r="L3560" s="10">
        <f>IFERROR(__xludf.DUMMYFUNCTION("""COMPUTED_VALUE"""),496.0)</f>
        <v>496</v>
      </c>
      <c r="M3560" s="5">
        <f>IFERROR(__xludf.DUMMYFUNCTION("""COMPUTED_VALUE"""),1.0)</f>
        <v>1</v>
      </c>
    </row>
    <row r="3561">
      <c r="A3561" s="10" t="str">
        <f>IFERROR(__xludf.DUMMYFUNCTION("""COMPUTED_VALUE"""),"布団＠働かない")</f>
        <v>布団＠働かない</v>
      </c>
      <c r="B3561" s="10">
        <f>IFERROR(__xludf.DUMMYFUNCTION("""COMPUTED_VALUE"""),122.0)</f>
        <v>122</v>
      </c>
      <c r="C3561" s="10">
        <f>IFERROR(__xludf.DUMMYFUNCTION("""COMPUTED_VALUE"""),1446.0)</f>
        <v>1446</v>
      </c>
      <c r="D3561" s="5">
        <f>IFERROR(__xludf.DUMMYFUNCTION("""COMPUTED_VALUE"""),0.37537764350453173)</f>
        <v>0.3753776435</v>
      </c>
      <c r="E3561" s="5">
        <f>IFERROR(__xludf.DUMMYFUNCTION("""COMPUTED_VALUE"""),0.12311178247734139)</f>
        <v>0.1231117825</v>
      </c>
      <c r="F3561" s="5">
        <f>IFERROR(__xludf.DUMMYFUNCTION("""COMPUTED_VALUE"""),0.2122356495468278)</f>
        <v>0.2122356495</v>
      </c>
      <c r="G3561" s="5">
        <f>IFERROR(__xludf.DUMMYFUNCTION("""COMPUTED_VALUE"""),0.18806646525679757)</f>
        <v>0.1880664653</v>
      </c>
      <c r="H3561" s="5">
        <f>IFERROR(__xludf.DUMMYFUNCTION("""COMPUTED_VALUE"""),0.6120996441281139)</f>
        <v>0.6120996441</v>
      </c>
      <c r="I3561" s="11">
        <f>IFERROR(__xludf.DUMMYFUNCTION("""COMPUTED_VALUE"""),5420.640569395018)</f>
        <v>5420.640569</v>
      </c>
      <c r="J3561" s="10">
        <f>IFERROR(__xludf.DUMMYFUNCTION("""COMPUTED_VALUE"""),0.0)</f>
        <v>0</v>
      </c>
      <c r="K3561" s="5">
        <f>IFERROR(__xludf.DUMMYFUNCTION("""COMPUTED_VALUE"""),0.0)</f>
        <v>0</v>
      </c>
      <c r="L3561" s="10">
        <f>IFERROR(__xludf.DUMMYFUNCTION("""COMPUTED_VALUE"""),0.0)</f>
        <v>0</v>
      </c>
      <c r="M3561" s="5">
        <f>IFERROR(__xludf.DUMMYFUNCTION("""COMPUTED_VALUE"""),0.0)</f>
        <v>0</v>
      </c>
    </row>
    <row r="3562">
      <c r="A3562" s="10" t="str">
        <f>IFERROR(__xludf.DUMMYFUNCTION("""COMPUTED_VALUE"""),"コじさん？")</f>
        <v>コじさん？</v>
      </c>
      <c r="B3562" s="10">
        <f>IFERROR(__xludf.DUMMYFUNCTION("""COMPUTED_VALUE"""),376.0)</f>
        <v>376</v>
      </c>
      <c r="C3562" s="10">
        <f>IFERROR(__xludf.DUMMYFUNCTION("""COMPUTED_VALUE"""),4405.0)</f>
        <v>4405</v>
      </c>
      <c r="D3562" s="5">
        <f>IFERROR(__xludf.DUMMYFUNCTION("""COMPUTED_VALUE"""),0.34971456937205264)</f>
        <v>0.3497145694</v>
      </c>
      <c r="E3562" s="5">
        <f>IFERROR(__xludf.DUMMYFUNCTION("""COMPUTED_VALUE"""),0.12310747083643583)</f>
        <v>0.1231074708</v>
      </c>
      <c r="F3562" s="5">
        <f>IFERROR(__xludf.DUMMYFUNCTION("""COMPUTED_VALUE"""),0.21543807396376272)</f>
        <v>0.215438074</v>
      </c>
      <c r="G3562" s="5">
        <f>IFERROR(__xludf.DUMMYFUNCTION("""COMPUTED_VALUE"""),0.18962521717547778)</f>
        <v>0.1896252172</v>
      </c>
      <c r="H3562" s="5">
        <f>IFERROR(__xludf.DUMMYFUNCTION("""COMPUTED_VALUE"""),0.6059907834101382)</f>
        <v>0.6059907834</v>
      </c>
      <c r="I3562" s="11">
        <f>IFERROR(__xludf.DUMMYFUNCTION("""COMPUTED_VALUE"""),5539.400921658987)</f>
        <v>5539.400922</v>
      </c>
      <c r="J3562" s="10">
        <f>IFERROR(__xludf.DUMMYFUNCTION("""COMPUTED_VALUE"""),3.0)</f>
        <v>3</v>
      </c>
      <c r="K3562" s="5">
        <f>IFERROR(__xludf.DUMMYFUNCTION("""COMPUTED_VALUE"""),0.007978723404255319)</f>
        <v>0.007978723404</v>
      </c>
      <c r="L3562" s="10">
        <f>IFERROR(__xludf.DUMMYFUNCTION("""COMPUTED_VALUE"""),376.0)</f>
        <v>376</v>
      </c>
      <c r="M3562" s="5">
        <f>IFERROR(__xludf.DUMMYFUNCTION("""COMPUTED_VALUE"""),1.0)</f>
        <v>1</v>
      </c>
    </row>
    <row r="3563">
      <c r="A3563" s="10" t="str">
        <f>IFERROR(__xludf.DUMMYFUNCTION("""COMPUTED_VALUE"""),"えぬま'")</f>
        <v>えぬま'</v>
      </c>
      <c r="B3563" s="10">
        <f>IFERROR(__xludf.DUMMYFUNCTION("""COMPUTED_VALUE"""),122.0)</f>
        <v>122</v>
      </c>
      <c r="C3563" s="10">
        <f>IFERROR(__xludf.DUMMYFUNCTION("""COMPUTED_VALUE"""),1438.0)</f>
        <v>1438</v>
      </c>
      <c r="D3563" s="5">
        <f>IFERROR(__xludf.DUMMYFUNCTION("""COMPUTED_VALUE"""),0.32142857142857145)</f>
        <v>0.3214285714</v>
      </c>
      <c r="E3563" s="5">
        <f>IFERROR(__xludf.DUMMYFUNCTION("""COMPUTED_VALUE"""),0.12310030395136778)</f>
        <v>0.123100304</v>
      </c>
      <c r="F3563" s="5">
        <f>IFERROR(__xludf.DUMMYFUNCTION("""COMPUTED_VALUE"""),0.1899696048632219)</f>
        <v>0.1899696049</v>
      </c>
      <c r="G3563" s="5">
        <f>IFERROR(__xludf.DUMMYFUNCTION("""COMPUTED_VALUE"""),0.17553191489361702)</f>
        <v>0.1755319149</v>
      </c>
      <c r="H3563" s="5">
        <f>IFERROR(__xludf.DUMMYFUNCTION("""COMPUTED_VALUE"""),0.608)</f>
        <v>0.608</v>
      </c>
      <c r="I3563" s="11">
        <f>IFERROR(__xludf.DUMMYFUNCTION("""COMPUTED_VALUE"""),5551.6)</f>
        <v>5551.6</v>
      </c>
      <c r="J3563" s="10">
        <f>IFERROR(__xludf.DUMMYFUNCTION("""COMPUTED_VALUE"""),1.0)</f>
        <v>1</v>
      </c>
      <c r="K3563" s="5">
        <f>IFERROR(__xludf.DUMMYFUNCTION("""COMPUTED_VALUE"""),0.00819672131147541)</f>
        <v>0.008196721311</v>
      </c>
      <c r="L3563" s="10">
        <f>IFERROR(__xludf.DUMMYFUNCTION("""COMPUTED_VALUE"""),72.0)</f>
        <v>72</v>
      </c>
      <c r="M3563" s="5">
        <f>IFERROR(__xludf.DUMMYFUNCTION("""COMPUTED_VALUE"""),0.5901639344262295)</f>
        <v>0.5901639344</v>
      </c>
    </row>
    <row r="3564">
      <c r="A3564" s="10" t="str">
        <f>IFERROR(__xludf.DUMMYFUNCTION("""COMPUTED_VALUE"""),"デース")</f>
        <v>デース</v>
      </c>
      <c r="B3564" s="10">
        <f>IFERROR(__xludf.DUMMYFUNCTION("""COMPUTED_VALUE"""),375.0)</f>
        <v>375</v>
      </c>
      <c r="C3564" s="10">
        <f>IFERROR(__xludf.DUMMYFUNCTION("""COMPUTED_VALUE"""),4453.0)</f>
        <v>4453</v>
      </c>
      <c r="D3564" s="5">
        <f>IFERROR(__xludf.DUMMYFUNCTION("""COMPUTED_VALUE"""),0.3006375674350172)</f>
        <v>0.3006375674</v>
      </c>
      <c r="E3564" s="5">
        <f>IFERROR(__xludf.DUMMYFUNCTION("""COMPUTED_VALUE"""),0.12309955860716038)</f>
        <v>0.1230995586</v>
      </c>
      <c r="F3564" s="5">
        <f>IFERROR(__xludf.DUMMYFUNCTION("""COMPUTED_VALUE"""),0.2226581657675331)</f>
        <v>0.2226581658</v>
      </c>
      <c r="G3564" s="5">
        <f>IFERROR(__xludf.DUMMYFUNCTION("""COMPUTED_VALUE"""),0.1356056890632663)</f>
        <v>0.1356056891</v>
      </c>
      <c r="H3564" s="5">
        <f>IFERROR(__xludf.DUMMYFUNCTION("""COMPUTED_VALUE"""),0.6277533039647577)</f>
        <v>0.627753304</v>
      </c>
      <c r="I3564" s="11">
        <f>IFERROR(__xludf.DUMMYFUNCTION("""COMPUTED_VALUE"""),4983.590308370044)</f>
        <v>4983.590308</v>
      </c>
      <c r="J3564" s="10">
        <f>IFERROR(__xludf.DUMMYFUNCTION("""COMPUTED_VALUE"""),0.0)</f>
        <v>0</v>
      </c>
      <c r="K3564" s="5">
        <f>IFERROR(__xludf.DUMMYFUNCTION("""COMPUTED_VALUE"""),0.0)</f>
        <v>0</v>
      </c>
      <c r="L3564" s="10">
        <f>IFERROR(__xludf.DUMMYFUNCTION("""COMPUTED_VALUE"""),375.0)</f>
        <v>375</v>
      </c>
      <c r="M3564" s="5">
        <f>IFERROR(__xludf.DUMMYFUNCTION("""COMPUTED_VALUE"""),1.0)</f>
        <v>1</v>
      </c>
    </row>
    <row r="3565">
      <c r="A3565" s="10" t="str">
        <f>IFERROR(__xludf.DUMMYFUNCTION("""COMPUTED_VALUE"""),"眼科医")</f>
        <v>眼科医</v>
      </c>
      <c r="B3565" s="10">
        <f>IFERROR(__xludf.DUMMYFUNCTION("""COMPUTED_VALUE"""),3104.0)</f>
        <v>3104</v>
      </c>
      <c r="C3565" s="10">
        <f>IFERROR(__xludf.DUMMYFUNCTION("""COMPUTED_VALUE"""),35891.0)</f>
        <v>35891</v>
      </c>
      <c r="D3565" s="5">
        <f>IFERROR(__xludf.DUMMYFUNCTION("""COMPUTED_VALUE"""),0.3052124317564889)</f>
        <v>0.3052124318</v>
      </c>
      <c r="E3565" s="5">
        <f>IFERROR(__xludf.DUMMYFUNCTION("""COMPUTED_VALUE"""),0.12309756915850795)</f>
        <v>0.1230975692</v>
      </c>
      <c r="F3565" s="5">
        <f>IFERROR(__xludf.DUMMYFUNCTION("""COMPUTED_VALUE"""),0.20370878701924544)</f>
        <v>0.203708787</v>
      </c>
      <c r="G3565" s="5">
        <f>IFERROR(__xludf.DUMMYFUNCTION("""COMPUTED_VALUE"""),0.19214932747735383)</f>
        <v>0.1921493275</v>
      </c>
      <c r="H3565" s="5">
        <f>IFERROR(__xludf.DUMMYFUNCTION("""COMPUTED_VALUE"""),0.5957478664470729)</f>
        <v>0.5957478664</v>
      </c>
      <c r="I3565" s="11">
        <f>IFERROR(__xludf.DUMMYFUNCTION("""COMPUTED_VALUE"""),5967.854469231921)</f>
        <v>5967.854469</v>
      </c>
      <c r="J3565" s="10">
        <f>IFERROR(__xludf.DUMMYFUNCTION("""COMPUTED_VALUE"""),4.0)</f>
        <v>4</v>
      </c>
      <c r="K3565" s="5">
        <f>IFERROR(__xludf.DUMMYFUNCTION("""COMPUTED_VALUE"""),0.001288659793814433)</f>
        <v>0.001288659794</v>
      </c>
      <c r="L3565" s="10">
        <f>IFERROR(__xludf.DUMMYFUNCTION("""COMPUTED_VALUE"""),3104.0)</f>
        <v>3104</v>
      </c>
      <c r="M3565" s="5">
        <f>IFERROR(__xludf.DUMMYFUNCTION("""COMPUTED_VALUE"""),1.0)</f>
        <v>1</v>
      </c>
    </row>
    <row r="3566">
      <c r="A3566" s="10" t="str">
        <f>IFERROR(__xludf.DUMMYFUNCTION("""COMPUTED_VALUE"""),"風津道")</f>
        <v>風津道</v>
      </c>
      <c r="B3566" s="10">
        <f>IFERROR(__xludf.DUMMYFUNCTION("""COMPUTED_VALUE"""),413.0)</f>
        <v>413</v>
      </c>
      <c r="C3566" s="10">
        <f>IFERROR(__xludf.DUMMYFUNCTION("""COMPUTED_VALUE"""),5076.0)</f>
        <v>5076</v>
      </c>
      <c r="D3566" s="5">
        <f>IFERROR(__xludf.DUMMYFUNCTION("""COMPUTED_VALUE"""),0.35384945314175426)</f>
        <v>0.3538494531</v>
      </c>
      <c r="E3566" s="5">
        <f>IFERROR(__xludf.DUMMYFUNCTION("""COMPUTED_VALUE"""),0.12309671885052541)</f>
        <v>0.1230967189</v>
      </c>
      <c r="F3566" s="5">
        <f>IFERROR(__xludf.DUMMYFUNCTION("""COMPUTED_VALUE"""),0.22024447780398884)</f>
        <v>0.2202444778</v>
      </c>
      <c r="G3566" s="5">
        <f>IFERROR(__xludf.DUMMYFUNCTION("""COMPUTED_VALUE"""),0.1606262063049539)</f>
        <v>0.1606262063</v>
      </c>
      <c r="H3566" s="5">
        <f>IFERROR(__xludf.DUMMYFUNCTION("""COMPUTED_VALUE"""),0.6085686465433301)</f>
        <v>0.6085686465</v>
      </c>
      <c r="I3566" s="11">
        <f>IFERROR(__xludf.DUMMYFUNCTION("""COMPUTED_VALUE"""),5148.003894839338)</f>
        <v>5148.003895</v>
      </c>
      <c r="J3566" s="10">
        <f>IFERROR(__xludf.DUMMYFUNCTION("""COMPUTED_VALUE"""),0.0)</f>
        <v>0</v>
      </c>
      <c r="K3566" s="5">
        <f>IFERROR(__xludf.DUMMYFUNCTION("""COMPUTED_VALUE"""),0.0)</f>
        <v>0</v>
      </c>
      <c r="L3566" s="10">
        <f>IFERROR(__xludf.DUMMYFUNCTION("""COMPUTED_VALUE"""),413.0)</f>
        <v>413</v>
      </c>
      <c r="M3566" s="5">
        <f>IFERROR(__xludf.DUMMYFUNCTION("""COMPUTED_VALUE"""),1.0)</f>
        <v>1</v>
      </c>
    </row>
    <row r="3567">
      <c r="A3567" s="10" t="str">
        <f>IFERROR(__xludf.DUMMYFUNCTION("""COMPUTED_VALUE"""),"Gullit")</f>
        <v>Gullit</v>
      </c>
      <c r="B3567" s="10">
        <f>IFERROR(__xludf.DUMMYFUNCTION("""COMPUTED_VALUE"""),184.0)</f>
        <v>184</v>
      </c>
      <c r="C3567" s="10">
        <f>IFERROR(__xludf.DUMMYFUNCTION("""COMPUTED_VALUE"""),2142.0)</f>
        <v>2142</v>
      </c>
      <c r="D3567" s="5">
        <f>IFERROR(__xludf.DUMMYFUNCTION("""COMPUTED_VALUE"""),0.27783452502553624)</f>
        <v>0.277834525</v>
      </c>
      <c r="E3567" s="5">
        <f>IFERROR(__xludf.DUMMYFUNCTION("""COMPUTED_VALUE"""),0.12308478038815117)</f>
        <v>0.1230847804</v>
      </c>
      <c r="F3567" s="5">
        <f>IFERROR(__xludf.DUMMYFUNCTION("""COMPUTED_VALUE"""),0.2139938712972421)</f>
        <v>0.2139938713</v>
      </c>
      <c r="G3567" s="5">
        <f>IFERROR(__xludf.DUMMYFUNCTION("""COMPUTED_VALUE"""),0.16394279877425944)</f>
        <v>0.1639427988</v>
      </c>
      <c r="H3567" s="5">
        <f>IFERROR(__xludf.DUMMYFUNCTION("""COMPUTED_VALUE"""),0.6252983293556086)</f>
        <v>0.6252983294</v>
      </c>
      <c r="I3567" s="11">
        <f>IFERROR(__xludf.DUMMYFUNCTION("""COMPUTED_VALUE"""),5719.570405727924)</f>
        <v>5719.570406</v>
      </c>
      <c r="J3567" s="10">
        <f>IFERROR(__xludf.DUMMYFUNCTION("""COMPUTED_VALUE"""),0.0)</f>
        <v>0</v>
      </c>
      <c r="K3567" s="5">
        <f>IFERROR(__xludf.DUMMYFUNCTION("""COMPUTED_VALUE"""),0.0)</f>
        <v>0</v>
      </c>
      <c r="L3567" s="10">
        <f>IFERROR(__xludf.DUMMYFUNCTION("""COMPUTED_VALUE"""),184.0)</f>
        <v>184</v>
      </c>
      <c r="M3567" s="5">
        <f>IFERROR(__xludf.DUMMYFUNCTION("""COMPUTED_VALUE"""),1.0)</f>
        <v>1</v>
      </c>
    </row>
    <row r="3568">
      <c r="A3568" s="10" t="str">
        <f>IFERROR(__xludf.DUMMYFUNCTION("""COMPUTED_VALUE"""),"うるきまる")</f>
        <v>うるきまる</v>
      </c>
      <c r="B3568" s="10">
        <f>IFERROR(__xludf.DUMMYFUNCTION("""COMPUTED_VALUE"""),306.0)</f>
        <v>306</v>
      </c>
      <c r="C3568" s="10">
        <f>IFERROR(__xludf.DUMMYFUNCTION("""COMPUTED_VALUE"""),3621.0)</f>
        <v>3621</v>
      </c>
      <c r="D3568" s="5">
        <f>IFERROR(__xludf.DUMMYFUNCTION("""COMPUTED_VALUE"""),0.2663650075414781)</f>
        <v>0.2663650075</v>
      </c>
      <c r="E3568" s="5">
        <f>IFERROR(__xludf.DUMMYFUNCTION("""COMPUTED_VALUE"""),0.12307692307692308)</f>
        <v>0.1230769231</v>
      </c>
      <c r="F3568" s="5">
        <f>IFERROR(__xludf.DUMMYFUNCTION("""COMPUTED_VALUE"""),0.20452488687782805)</f>
        <v>0.2045248869</v>
      </c>
      <c r="G3568" s="5">
        <f>IFERROR(__xludf.DUMMYFUNCTION("""COMPUTED_VALUE"""),0.19004524886877827)</f>
        <v>0.1900452489</v>
      </c>
      <c r="H3568" s="5">
        <f>IFERROR(__xludf.DUMMYFUNCTION("""COMPUTED_VALUE"""),0.5678466076696165)</f>
        <v>0.5678466077</v>
      </c>
      <c r="I3568" s="11">
        <f>IFERROR(__xludf.DUMMYFUNCTION("""COMPUTED_VALUE"""),5581.563421828909)</f>
        <v>5581.563422</v>
      </c>
      <c r="J3568" s="10">
        <f>IFERROR(__xludf.DUMMYFUNCTION("""COMPUTED_VALUE"""),0.0)</f>
        <v>0</v>
      </c>
      <c r="K3568" s="5">
        <f>IFERROR(__xludf.DUMMYFUNCTION("""COMPUTED_VALUE"""),0.0)</f>
        <v>0</v>
      </c>
      <c r="L3568" s="10">
        <f>IFERROR(__xludf.DUMMYFUNCTION("""COMPUTED_VALUE"""),0.0)</f>
        <v>0</v>
      </c>
      <c r="M3568" s="5">
        <f>IFERROR(__xludf.DUMMYFUNCTION("""COMPUTED_VALUE"""),0.0)</f>
        <v>0</v>
      </c>
    </row>
    <row r="3569">
      <c r="A3569" s="10" t="str">
        <f>IFERROR(__xludf.DUMMYFUNCTION("""COMPUTED_VALUE"""),"小浜")</f>
        <v>小浜</v>
      </c>
      <c r="B3569" s="10">
        <f>IFERROR(__xludf.DUMMYFUNCTION("""COMPUTED_VALUE"""),107.0)</f>
        <v>107</v>
      </c>
      <c r="C3569" s="10">
        <f>IFERROR(__xludf.DUMMYFUNCTION("""COMPUTED_VALUE"""),1212.0)</f>
        <v>1212</v>
      </c>
      <c r="D3569" s="5">
        <f>IFERROR(__xludf.DUMMYFUNCTION("""COMPUTED_VALUE"""),0.3257918552036199)</f>
        <v>0.3257918552</v>
      </c>
      <c r="E3569" s="5">
        <f>IFERROR(__xludf.DUMMYFUNCTION("""COMPUTED_VALUE"""),0.12307692307692308)</f>
        <v>0.1230769231</v>
      </c>
      <c r="F3569" s="5">
        <f>IFERROR(__xludf.DUMMYFUNCTION("""COMPUTED_VALUE"""),0.21176470588235294)</f>
        <v>0.2117647059</v>
      </c>
      <c r="G3569" s="5">
        <f>IFERROR(__xludf.DUMMYFUNCTION("""COMPUTED_VALUE"""),0.1665158371040724)</f>
        <v>0.1665158371</v>
      </c>
      <c r="H3569" s="5">
        <f>IFERROR(__xludf.DUMMYFUNCTION("""COMPUTED_VALUE"""),0.6410256410256411)</f>
        <v>0.641025641</v>
      </c>
      <c r="I3569" s="11">
        <f>IFERROR(__xludf.DUMMYFUNCTION("""COMPUTED_VALUE"""),5350.0)</f>
        <v>5350</v>
      </c>
      <c r="J3569" s="10">
        <f>IFERROR(__xludf.DUMMYFUNCTION("""COMPUTED_VALUE"""),0.0)</f>
        <v>0</v>
      </c>
      <c r="K3569" s="5">
        <f>IFERROR(__xludf.DUMMYFUNCTION("""COMPUTED_VALUE"""),0.0)</f>
        <v>0</v>
      </c>
      <c r="L3569" s="10">
        <f>IFERROR(__xludf.DUMMYFUNCTION("""COMPUTED_VALUE"""),107.0)</f>
        <v>107</v>
      </c>
      <c r="M3569" s="5">
        <f>IFERROR(__xludf.DUMMYFUNCTION("""COMPUTED_VALUE"""),1.0)</f>
        <v>1</v>
      </c>
    </row>
    <row r="3570">
      <c r="A3570" s="10" t="str">
        <f>IFERROR(__xludf.DUMMYFUNCTION("""COMPUTED_VALUE"""),"damdam")</f>
        <v>damdam</v>
      </c>
      <c r="B3570" s="10">
        <f>IFERROR(__xludf.DUMMYFUNCTION("""COMPUTED_VALUE"""),1458.0)</f>
        <v>1458</v>
      </c>
      <c r="C3570" s="10">
        <f>IFERROR(__xludf.DUMMYFUNCTION("""COMPUTED_VALUE"""),17376.0)</f>
        <v>17376</v>
      </c>
      <c r="D3570" s="5">
        <f>IFERROR(__xludf.DUMMYFUNCTION("""COMPUTED_VALUE"""),0.3592788038698329)</f>
        <v>0.3592788039</v>
      </c>
      <c r="E3570" s="5">
        <f>IFERROR(__xludf.DUMMYFUNCTION("""COMPUTED_VALUE"""),0.12306822465133811)</f>
        <v>0.1230682247</v>
      </c>
      <c r="F3570" s="5">
        <f>IFERROR(__xludf.DUMMYFUNCTION("""COMPUTED_VALUE"""),0.21296645307199397)</f>
        <v>0.2129664531</v>
      </c>
      <c r="G3570" s="5">
        <f>IFERROR(__xludf.DUMMYFUNCTION("""COMPUTED_VALUE"""),0.15177786154039452)</f>
        <v>0.1517778615</v>
      </c>
      <c r="H3570" s="5">
        <f>IFERROR(__xludf.DUMMYFUNCTION("""COMPUTED_VALUE"""),0.5997050147492625)</f>
        <v>0.5997050147</v>
      </c>
      <c r="I3570" s="11">
        <f>IFERROR(__xludf.DUMMYFUNCTION("""COMPUTED_VALUE"""),5256.135693215339)</f>
        <v>5256.135693</v>
      </c>
      <c r="J3570" s="10">
        <f>IFERROR(__xludf.DUMMYFUNCTION("""COMPUTED_VALUE"""),2.0)</f>
        <v>2</v>
      </c>
      <c r="K3570" s="5">
        <f>IFERROR(__xludf.DUMMYFUNCTION("""COMPUTED_VALUE"""),0.0013717421124828531)</f>
        <v>0.001371742112</v>
      </c>
      <c r="L3570" s="10">
        <f>IFERROR(__xludf.DUMMYFUNCTION("""COMPUTED_VALUE"""),1458.0)</f>
        <v>1458</v>
      </c>
      <c r="M3570" s="5">
        <f>IFERROR(__xludf.DUMMYFUNCTION("""COMPUTED_VALUE"""),1.0)</f>
        <v>1</v>
      </c>
    </row>
    <row r="3571">
      <c r="A3571" s="10" t="str">
        <f>IFERROR(__xludf.DUMMYFUNCTION("""COMPUTED_VALUE"""),"†Aqua†")</f>
        <v>†Aqua†</v>
      </c>
      <c r="B3571" s="10">
        <f>IFERROR(__xludf.DUMMYFUNCTION("""COMPUTED_VALUE"""),3955.0)</f>
        <v>3955</v>
      </c>
      <c r="C3571" s="10">
        <f>IFERROR(__xludf.DUMMYFUNCTION("""COMPUTED_VALUE"""),46915.0)</f>
        <v>46915</v>
      </c>
      <c r="D3571" s="5">
        <f>IFERROR(__xludf.DUMMYFUNCTION("""COMPUTED_VALUE"""),0.37181098696461823)</f>
        <v>0.371810987</v>
      </c>
      <c r="E3571" s="5">
        <f>IFERROR(__xludf.DUMMYFUNCTION("""COMPUTED_VALUE"""),0.12306797020484171)</f>
        <v>0.1230679702</v>
      </c>
      <c r="F3571" s="5">
        <f>IFERROR(__xludf.DUMMYFUNCTION("""COMPUTED_VALUE"""),0.2204143389199255)</f>
        <v>0.2204143389</v>
      </c>
      <c r="G3571" s="5">
        <f>IFERROR(__xludf.DUMMYFUNCTION("""COMPUTED_VALUE"""),0.18047020484171322)</f>
        <v>0.1804702048</v>
      </c>
      <c r="H3571" s="5">
        <f>IFERROR(__xludf.DUMMYFUNCTION("""COMPUTED_VALUE"""),0.5906642728904847)</f>
        <v>0.5906642729</v>
      </c>
      <c r="I3571" s="11">
        <f>IFERROR(__xludf.DUMMYFUNCTION("""COMPUTED_VALUE"""),5344.059562783821)</f>
        <v>5344.059563</v>
      </c>
      <c r="J3571" s="10">
        <f>IFERROR(__xludf.DUMMYFUNCTION("""COMPUTED_VALUE"""),6.0)</f>
        <v>6</v>
      </c>
      <c r="K3571" s="5">
        <f>IFERROR(__xludf.DUMMYFUNCTION("""COMPUTED_VALUE"""),0.0015170670037926676)</f>
        <v>0.001517067004</v>
      </c>
      <c r="L3571" s="10">
        <f>IFERROR(__xludf.DUMMYFUNCTION("""COMPUTED_VALUE"""),3951.0)</f>
        <v>3951</v>
      </c>
      <c r="M3571" s="5">
        <f>IFERROR(__xludf.DUMMYFUNCTION("""COMPUTED_VALUE"""),0.9989886219974715)</f>
        <v>0.998988622</v>
      </c>
    </row>
    <row r="3572">
      <c r="A3572" s="10" t="str">
        <f>IFERROR(__xludf.DUMMYFUNCTION("""COMPUTED_VALUE"""),"藍葉")</f>
        <v>藍葉</v>
      </c>
      <c r="B3572" s="10">
        <f>IFERROR(__xludf.DUMMYFUNCTION("""COMPUTED_VALUE"""),2078.0)</f>
        <v>2078</v>
      </c>
      <c r="C3572" s="10">
        <f>IFERROR(__xludf.DUMMYFUNCTION("""COMPUTED_VALUE"""),24765.0)</f>
        <v>24765</v>
      </c>
      <c r="D3572" s="5">
        <f>IFERROR(__xludf.DUMMYFUNCTION("""COMPUTED_VALUE"""),0.4142460439899502)</f>
        <v>0.414246044</v>
      </c>
      <c r="E3572" s="5">
        <f>IFERROR(__xludf.DUMMYFUNCTION("""COMPUTED_VALUE"""),0.12306607308150042)</f>
        <v>0.1230660731</v>
      </c>
      <c r="F3572" s="5">
        <f>IFERROR(__xludf.DUMMYFUNCTION("""COMPUTED_VALUE"""),0.21139859831621632)</f>
        <v>0.2113985983</v>
      </c>
      <c r="G3572" s="5">
        <f>IFERROR(__xludf.DUMMYFUNCTION("""COMPUTED_VALUE"""),0.1463393132631022)</f>
        <v>0.1463393133</v>
      </c>
      <c r="H3572" s="5">
        <f>IFERROR(__xludf.DUMMYFUNCTION("""COMPUTED_VALUE"""),0.5954962468723937)</f>
        <v>0.5954962469</v>
      </c>
      <c r="I3572" s="11">
        <f>IFERROR(__xludf.DUMMYFUNCTION("""COMPUTED_VALUE"""),5152.5646371976645)</f>
        <v>5152.564637</v>
      </c>
      <c r="J3572" s="10">
        <f>IFERROR(__xludf.DUMMYFUNCTION("""COMPUTED_VALUE"""),2.0)</f>
        <v>2</v>
      </c>
      <c r="K3572" s="5">
        <f>IFERROR(__xludf.DUMMYFUNCTION("""COMPUTED_VALUE"""),9.624639076034649E-4)</f>
        <v>0.0009624639076</v>
      </c>
      <c r="L3572" s="10">
        <f>IFERROR(__xludf.DUMMYFUNCTION("""COMPUTED_VALUE"""),2070.0)</f>
        <v>2070</v>
      </c>
      <c r="M3572" s="5">
        <f>IFERROR(__xludf.DUMMYFUNCTION("""COMPUTED_VALUE"""),0.9961501443695862)</f>
        <v>0.9961501444</v>
      </c>
    </row>
    <row r="3573">
      <c r="A3573" s="10" t="str">
        <f>IFERROR(__xludf.DUMMYFUNCTION("""COMPUTED_VALUE"""),"ビスコ")</f>
        <v>ビスコ</v>
      </c>
      <c r="B3573" s="10">
        <f>IFERROR(__xludf.DUMMYFUNCTION("""COMPUTED_VALUE"""),1150.0)</f>
        <v>1150</v>
      </c>
      <c r="C3573" s="10">
        <f>IFERROR(__xludf.DUMMYFUNCTION("""COMPUTED_VALUE"""),13242.0)</f>
        <v>13242</v>
      </c>
      <c r="D3573" s="5">
        <f>IFERROR(__xludf.DUMMYFUNCTION("""COMPUTED_VALUE"""),0.29184584849487266)</f>
        <v>0.2918458485</v>
      </c>
      <c r="E3573" s="5">
        <f>IFERROR(__xludf.DUMMYFUNCTION("""COMPUTED_VALUE"""),0.12305656632484287)</f>
        <v>0.1230565663</v>
      </c>
      <c r="F3573" s="5">
        <f>IFERROR(__xludf.DUMMYFUNCTION("""COMPUTED_VALUE"""),0.19947072444591465)</f>
        <v>0.1994707244</v>
      </c>
      <c r="G3573" s="5">
        <f>IFERROR(__xludf.DUMMYFUNCTION("""COMPUTED_VALUE"""),0.18425405226596098)</f>
        <v>0.1842540523</v>
      </c>
      <c r="H3573" s="5">
        <f>IFERROR(__xludf.DUMMYFUNCTION("""COMPUTED_VALUE"""),0.587893864013267)</f>
        <v>0.587893864</v>
      </c>
      <c r="I3573" s="11">
        <f>IFERROR(__xludf.DUMMYFUNCTION("""COMPUTED_VALUE"""),5857.006633499171)</f>
        <v>5857.006633</v>
      </c>
      <c r="J3573" s="10">
        <f>IFERROR(__xludf.DUMMYFUNCTION("""COMPUTED_VALUE"""),3.0)</f>
        <v>3</v>
      </c>
      <c r="K3573" s="5">
        <f>IFERROR(__xludf.DUMMYFUNCTION("""COMPUTED_VALUE"""),0.0026086956521739132)</f>
        <v>0.002608695652</v>
      </c>
      <c r="L3573" s="10">
        <f>IFERROR(__xludf.DUMMYFUNCTION("""COMPUTED_VALUE"""),0.0)</f>
        <v>0</v>
      </c>
      <c r="M3573" s="5">
        <f>IFERROR(__xludf.DUMMYFUNCTION("""COMPUTED_VALUE"""),0.0)</f>
        <v>0</v>
      </c>
    </row>
    <row r="3574">
      <c r="A3574" s="10" t="str">
        <f>IFERROR(__xludf.DUMMYFUNCTION("""COMPUTED_VALUE"""),"naohiroｋ")</f>
        <v>naohiroｋ</v>
      </c>
      <c r="B3574" s="10">
        <f>IFERROR(__xludf.DUMMYFUNCTION("""COMPUTED_VALUE"""),288.0)</f>
        <v>288</v>
      </c>
      <c r="C3574" s="10">
        <f>IFERROR(__xludf.DUMMYFUNCTION("""COMPUTED_VALUE"""),3482.0)</f>
        <v>3482</v>
      </c>
      <c r="D3574" s="5">
        <f>IFERROR(__xludf.DUMMYFUNCTION("""COMPUTED_VALUE"""),0.35597996242955543)</f>
        <v>0.3559799624</v>
      </c>
      <c r="E3574" s="5">
        <f>IFERROR(__xludf.DUMMYFUNCTION("""COMPUTED_VALUE"""),0.12304320601127114)</f>
        <v>0.123043206</v>
      </c>
      <c r="F3574" s="5">
        <f>IFERROR(__xludf.DUMMYFUNCTION("""COMPUTED_VALUE"""),0.20006261740763934)</f>
        <v>0.2000626174</v>
      </c>
      <c r="G3574" s="5">
        <f>IFERROR(__xludf.DUMMYFUNCTION("""COMPUTED_VALUE"""),0.16906700062617408)</f>
        <v>0.1690670006</v>
      </c>
      <c r="H3574" s="5">
        <f>IFERROR(__xludf.DUMMYFUNCTION("""COMPUTED_VALUE"""),0.6118935837245696)</f>
        <v>0.6118935837</v>
      </c>
      <c r="I3574" s="11">
        <f>IFERROR(__xludf.DUMMYFUNCTION("""COMPUTED_VALUE"""),5590.453834115806)</f>
        <v>5590.453834</v>
      </c>
      <c r="J3574" s="10">
        <f>IFERROR(__xludf.DUMMYFUNCTION("""COMPUTED_VALUE"""),1.0)</f>
        <v>1</v>
      </c>
      <c r="K3574" s="5">
        <f>IFERROR(__xludf.DUMMYFUNCTION("""COMPUTED_VALUE"""),0.003472222222222222)</f>
        <v>0.003472222222</v>
      </c>
      <c r="L3574" s="10">
        <f>IFERROR(__xludf.DUMMYFUNCTION("""COMPUTED_VALUE"""),288.0)</f>
        <v>288</v>
      </c>
      <c r="M3574" s="5">
        <f>IFERROR(__xludf.DUMMYFUNCTION("""COMPUTED_VALUE"""),1.0)</f>
        <v>1</v>
      </c>
    </row>
    <row r="3575">
      <c r="A3575" s="10" t="str">
        <f>IFERROR(__xludf.DUMMYFUNCTION("""COMPUTED_VALUE"""),"Aquarius")</f>
        <v>Aquarius</v>
      </c>
      <c r="B3575" s="10">
        <f>IFERROR(__xludf.DUMMYFUNCTION("""COMPUTED_VALUE"""),406.0)</f>
        <v>406</v>
      </c>
      <c r="C3575" s="10">
        <f>IFERROR(__xludf.DUMMYFUNCTION("""COMPUTED_VALUE"""),4795.0)</f>
        <v>4795</v>
      </c>
      <c r="D3575" s="5">
        <f>IFERROR(__xludf.DUMMYFUNCTION("""COMPUTED_VALUE"""),0.39963545226703123)</f>
        <v>0.3996354523</v>
      </c>
      <c r="E3575" s="5">
        <f>IFERROR(__xludf.DUMMYFUNCTION("""COMPUTED_VALUE"""),0.12303485987696514)</f>
        <v>0.1230348599</v>
      </c>
      <c r="F3575" s="5">
        <f>IFERROR(__xludf.DUMMYFUNCTION("""COMPUTED_VALUE"""),0.22670312143996355)</f>
        <v>0.2267031214</v>
      </c>
      <c r="G3575" s="5">
        <f>IFERROR(__xludf.DUMMYFUNCTION("""COMPUTED_VALUE"""),0.14262930052403736)</f>
        <v>0.1426293005</v>
      </c>
      <c r="H3575" s="5">
        <f>IFERROR(__xludf.DUMMYFUNCTION("""COMPUTED_VALUE"""),0.6371859296482412)</f>
        <v>0.6371859296</v>
      </c>
      <c r="I3575" s="11">
        <f>IFERROR(__xludf.DUMMYFUNCTION("""COMPUTED_VALUE"""),5232.763819095478)</f>
        <v>5232.763819</v>
      </c>
      <c r="J3575" s="10">
        <f>IFERROR(__xludf.DUMMYFUNCTION("""COMPUTED_VALUE"""),1.0)</f>
        <v>1</v>
      </c>
      <c r="K3575" s="5">
        <f>IFERROR(__xludf.DUMMYFUNCTION("""COMPUTED_VALUE"""),0.0024630541871921183)</f>
        <v>0.002463054187</v>
      </c>
      <c r="L3575" s="10">
        <f>IFERROR(__xludf.DUMMYFUNCTION("""COMPUTED_VALUE"""),406.0)</f>
        <v>406</v>
      </c>
      <c r="M3575" s="5">
        <f>IFERROR(__xludf.DUMMYFUNCTION("""COMPUTED_VALUE"""),1.0)</f>
        <v>1</v>
      </c>
    </row>
    <row r="3576">
      <c r="A3576" s="10" t="str">
        <f>IFERROR(__xludf.DUMMYFUNCTION("""COMPUTED_VALUE"""),"明日花キラリ")</f>
        <v>明日花キラリ</v>
      </c>
      <c r="B3576" s="10">
        <f>IFERROR(__xludf.DUMMYFUNCTION("""COMPUTED_VALUE"""),128.0)</f>
        <v>128</v>
      </c>
      <c r="C3576" s="10">
        <f>IFERROR(__xludf.DUMMYFUNCTION("""COMPUTED_VALUE"""),1526.0)</f>
        <v>1526</v>
      </c>
      <c r="D3576" s="5">
        <f>IFERROR(__xludf.DUMMYFUNCTION("""COMPUTED_VALUE"""),0.35550786838340487)</f>
        <v>0.3555078684</v>
      </c>
      <c r="E3576" s="5">
        <f>IFERROR(__xludf.DUMMYFUNCTION("""COMPUTED_VALUE"""),0.12303290414878398)</f>
        <v>0.1230329041</v>
      </c>
      <c r="F3576" s="5">
        <f>IFERROR(__xludf.DUMMYFUNCTION("""COMPUTED_VALUE"""),0.21530758226037197)</f>
        <v>0.2153075823</v>
      </c>
      <c r="G3576" s="5">
        <f>IFERROR(__xludf.DUMMYFUNCTION("""COMPUTED_VALUE"""),0.18454935622317598)</f>
        <v>0.1845493562</v>
      </c>
      <c r="H3576" s="5">
        <f>IFERROR(__xludf.DUMMYFUNCTION("""COMPUTED_VALUE"""),0.574750830564784)</f>
        <v>0.5747508306</v>
      </c>
      <c r="I3576" s="11">
        <f>IFERROR(__xludf.DUMMYFUNCTION("""COMPUTED_VALUE"""),5569.102990033222)</f>
        <v>5569.10299</v>
      </c>
      <c r="J3576" s="10">
        <f>IFERROR(__xludf.DUMMYFUNCTION("""COMPUTED_VALUE"""),0.0)</f>
        <v>0</v>
      </c>
      <c r="K3576" s="5">
        <f>IFERROR(__xludf.DUMMYFUNCTION("""COMPUTED_VALUE"""),0.0)</f>
        <v>0</v>
      </c>
      <c r="L3576" s="10">
        <f>IFERROR(__xludf.DUMMYFUNCTION("""COMPUTED_VALUE"""),0.0)</f>
        <v>0</v>
      </c>
      <c r="M3576" s="5">
        <f>IFERROR(__xludf.DUMMYFUNCTION("""COMPUTED_VALUE"""),0.0)</f>
        <v>0</v>
      </c>
    </row>
    <row r="3577">
      <c r="A3577" s="10" t="str">
        <f>IFERROR(__xludf.DUMMYFUNCTION("""COMPUTED_VALUE"""),"早田進")</f>
        <v>早田進</v>
      </c>
      <c r="B3577" s="10">
        <f>IFERROR(__xludf.DUMMYFUNCTION("""COMPUTED_VALUE"""),1666.0)</f>
        <v>1666</v>
      </c>
      <c r="C3577" s="10">
        <f>IFERROR(__xludf.DUMMYFUNCTION("""COMPUTED_VALUE"""),19686.0)</f>
        <v>19686</v>
      </c>
      <c r="D3577" s="5">
        <f>IFERROR(__xludf.DUMMYFUNCTION("""COMPUTED_VALUE"""),0.3107103218645949)</f>
        <v>0.3107103219</v>
      </c>
      <c r="E3577" s="5">
        <f>IFERROR(__xludf.DUMMYFUNCTION("""COMPUTED_VALUE"""),0.12302996670366259)</f>
        <v>0.1230299667</v>
      </c>
      <c r="F3577" s="5">
        <f>IFERROR(__xludf.DUMMYFUNCTION("""COMPUTED_VALUE"""),0.20493895671476137)</f>
        <v>0.2049389567</v>
      </c>
      <c r="G3577" s="5">
        <f>IFERROR(__xludf.DUMMYFUNCTION("""COMPUTED_VALUE"""),0.18634850166481687)</f>
        <v>0.1863485017</v>
      </c>
      <c r="H3577" s="5">
        <f>IFERROR(__xludf.DUMMYFUNCTION("""COMPUTED_VALUE"""),0.5938261575954509)</f>
        <v>0.5938261576</v>
      </c>
      <c r="I3577" s="11">
        <f>IFERROR(__xludf.DUMMYFUNCTION("""COMPUTED_VALUE"""),5867.126997021392)</f>
        <v>5867.126997</v>
      </c>
      <c r="J3577" s="10">
        <f>IFERROR(__xludf.DUMMYFUNCTION("""COMPUTED_VALUE"""),2.0)</f>
        <v>2</v>
      </c>
      <c r="K3577" s="5">
        <f>IFERROR(__xludf.DUMMYFUNCTION("""COMPUTED_VALUE"""),0.0012004801920768306)</f>
        <v>0.001200480192</v>
      </c>
      <c r="L3577" s="10">
        <f>IFERROR(__xludf.DUMMYFUNCTION("""COMPUTED_VALUE"""),1284.0)</f>
        <v>1284</v>
      </c>
      <c r="M3577" s="5">
        <f>IFERROR(__xludf.DUMMYFUNCTION("""COMPUTED_VALUE"""),0.7707082833133253)</f>
        <v>0.7707082833</v>
      </c>
    </row>
    <row r="3578">
      <c r="A3578" s="10" t="str">
        <f>IFERROR(__xludf.DUMMYFUNCTION("""COMPUTED_VALUE"""),"梅トラ兄弟")</f>
        <v>梅トラ兄弟</v>
      </c>
      <c r="B3578" s="10">
        <f>IFERROR(__xludf.DUMMYFUNCTION("""COMPUTED_VALUE"""),270.0)</f>
        <v>270</v>
      </c>
      <c r="C3578" s="10">
        <f>IFERROR(__xludf.DUMMYFUNCTION("""COMPUTED_VALUE"""),3188.0)</f>
        <v>3188</v>
      </c>
      <c r="D3578" s="5">
        <f>IFERROR(__xludf.DUMMYFUNCTION("""COMPUTED_VALUE"""),0.3464701850582591)</f>
        <v>0.3464701851</v>
      </c>
      <c r="E3578" s="5">
        <f>IFERROR(__xludf.DUMMYFUNCTION("""COMPUTED_VALUE"""),0.12302947224126114)</f>
        <v>0.1230294722</v>
      </c>
      <c r="F3578" s="5">
        <f>IFERROR(__xludf.DUMMYFUNCTION("""COMPUTED_VALUE"""),0.1925976696367375)</f>
        <v>0.1925976696</v>
      </c>
      <c r="G3578" s="5">
        <f>IFERROR(__xludf.DUMMYFUNCTION("""COMPUTED_VALUE"""),0.1439342015078821)</f>
        <v>0.1439342015</v>
      </c>
      <c r="H3578" s="5">
        <f>IFERROR(__xludf.DUMMYFUNCTION("""COMPUTED_VALUE"""),0.5889679715302492)</f>
        <v>0.5889679715</v>
      </c>
      <c r="I3578" s="11">
        <f>IFERROR(__xludf.DUMMYFUNCTION("""COMPUTED_VALUE"""),5555.693950177936)</f>
        <v>5555.69395</v>
      </c>
      <c r="J3578" s="10">
        <f>IFERROR(__xludf.DUMMYFUNCTION("""COMPUTED_VALUE"""),0.0)</f>
        <v>0</v>
      </c>
      <c r="K3578" s="5">
        <f>IFERROR(__xludf.DUMMYFUNCTION("""COMPUTED_VALUE"""),0.0)</f>
        <v>0</v>
      </c>
      <c r="L3578" s="10">
        <f>IFERROR(__xludf.DUMMYFUNCTION("""COMPUTED_VALUE"""),270.0)</f>
        <v>270</v>
      </c>
      <c r="M3578" s="5">
        <f>IFERROR(__xludf.DUMMYFUNCTION("""COMPUTED_VALUE"""),1.0)</f>
        <v>1</v>
      </c>
    </row>
    <row r="3579">
      <c r="A3579" s="10" t="str">
        <f>IFERROR(__xludf.DUMMYFUNCTION("""COMPUTED_VALUE"""),"ざりがにくん")</f>
        <v>ざりがにくん</v>
      </c>
      <c r="B3579" s="10">
        <f>IFERROR(__xludf.DUMMYFUNCTION("""COMPUTED_VALUE"""),1974.0)</f>
        <v>1974</v>
      </c>
      <c r="C3579" s="10">
        <f>IFERROR(__xludf.DUMMYFUNCTION("""COMPUTED_VALUE"""),22929.0)</f>
        <v>22929</v>
      </c>
      <c r="D3579" s="5">
        <f>IFERROR(__xludf.DUMMYFUNCTION("""COMPUTED_VALUE"""),0.33495585779050346)</f>
        <v>0.3349558578</v>
      </c>
      <c r="E3579" s="5">
        <f>IFERROR(__xludf.DUMMYFUNCTION("""COMPUTED_VALUE"""),0.12302553089954665)</f>
        <v>0.1230255309</v>
      </c>
      <c r="F3579" s="5">
        <f>IFERROR(__xludf.DUMMYFUNCTION("""COMPUTED_VALUE"""),0.2164638511095204)</f>
        <v>0.2164638511</v>
      </c>
      <c r="G3579" s="5">
        <f>IFERROR(__xludf.DUMMYFUNCTION("""COMPUTED_VALUE"""),0.1830112145072775)</f>
        <v>0.1830112145</v>
      </c>
      <c r="H3579" s="5">
        <f>IFERROR(__xludf.DUMMYFUNCTION("""COMPUTED_VALUE"""),0.593694885361552)</f>
        <v>0.5936948854</v>
      </c>
      <c r="I3579" s="11">
        <f>IFERROR(__xludf.DUMMYFUNCTION("""COMPUTED_VALUE"""),5731.084656084656)</f>
        <v>5731.084656</v>
      </c>
      <c r="J3579" s="10">
        <f>IFERROR(__xludf.DUMMYFUNCTION("""COMPUTED_VALUE"""),4.0)</f>
        <v>4</v>
      </c>
      <c r="K3579" s="5">
        <f>IFERROR(__xludf.DUMMYFUNCTION("""COMPUTED_VALUE"""),0.002026342451874367)</f>
        <v>0.002026342452</v>
      </c>
      <c r="L3579" s="10">
        <f>IFERROR(__xludf.DUMMYFUNCTION("""COMPUTED_VALUE"""),1974.0)</f>
        <v>1974</v>
      </c>
      <c r="M3579" s="5">
        <f>IFERROR(__xludf.DUMMYFUNCTION("""COMPUTED_VALUE"""),1.0)</f>
        <v>1</v>
      </c>
    </row>
    <row r="3580">
      <c r="A3580" s="10" t="str">
        <f>IFERROR(__xludf.DUMMYFUNCTION("""COMPUTED_VALUE"""),"sz.d1")</f>
        <v>sz.d1</v>
      </c>
      <c r="B3580" s="10">
        <f>IFERROR(__xludf.DUMMYFUNCTION("""COMPUTED_VALUE"""),193.0)</f>
        <v>193</v>
      </c>
      <c r="C3580" s="10">
        <f>IFERROR(__xludf.DUMMYFUNCTION("""COMPUTED_VALUE"""),2217.0)</f>
        <v>2217</v>
      </c>
      <c r="D3580" s="5">
        <f>IFERROR(__xludf.DUMMYFUNCTION("""COMPUTED_VALUE"""),0.3512845849802372)</f>
        <v>0.351284585</v>
      </c>
      <c r="E3580" s="5">
        <f>IFERROR(__xludf.DUMMYFUNCTION("""COMPUTED_VALUE"""),0.12302371541501976)</f>
        <v>0.1230237154</v>
      </c>
      <c r="F3580" s="5">
        <f>IFERROR(__xludf.DUMMYFUNCTION("""COMPUTED_VALUE"""),0.2075098814229249)</f>
        <v>0.2075098814</v>
      </c>
      <c r="G3580" s="5">
        <f>IFERROR(__xludf.DUMMYFUNCTION("""COMPUTED_VALUE"""),0.17440711462450592)</f>
        <v>0.1744071146</v>
      </c>
      <c r="H3580" s="5">
        <f>IFERROR(__xludf.DUMMYFUNCTION("""COMPUTED_VALUE"""),0.5428571428571428)</f>
        <v>0.5428571429</v>
      </c>
      <c r="I3580" s="11">
        <f>IFERROR(__xludf.DUMMYFUNCTION("""COMPUTED_VALUE"""),6270.952380952381)</f>
        <v>6270.952381</v>
      </c>
      <c r="J3580" s="10">
        <f>IFERROR(__xludf.DUMMYFUNCTION("""COMPUTED_VALUE"""),0.0)</f>
        <v>0</v>
      </c>
      <c r="K3580" s="5">
        <f>IFERROR(__xludf.DUMMYFUNCTION("""COMPUTED_VALUE"""),0.0)</f>
        <v>0</v>
      </c>
      <c r="L3580" s="10">
        <f>IFERROR(__xludf.DUMMYFUNCTION("""COMPUTED_VALUE"""),193.0)</f>
        <v>193</v>
      </c>
      <c r="M3580" s="5">
        <f>IFERROR(__xludf.DUMMYFUNCTION("""COMPUTED_VALUE"""),1.0)</f>
        <v>1</v>
      </c>
    </row>
    <row r="3581">
      <c r="A3581" s="10" t="str">
        <f>IFERROR(__xludf.DUMMYFUNCTION("""COMPUTED_VALUE"""),"ita-p")</f>
        <v>ita-p</v>
      </c>
      <c r="B3581" s="10">
        <f>IFERROR(__xludf.DUMMYFUNCTION("""COMPUTED_VALUE"""),1247.0)</f>
        <v>1247</v>
      </c>
      <c r="C3581" s="10">
        <f>IFERROR(__xludf.DUMMYFUNCTION("""COMPUTED_VALUE"""),14758.0)</f>
        <v>14758</v>
      </c>
      <c r="D3581" s="5">
        <f>IFERROR(__xludf.DUMMYFUNCTION("""COMPUTED_VALUE"""),0.35615424468951223)</f>
        <v>0.3561542447</v>
      </c>
      <c r="E3581" s="5">
        <f>IFERROR(__xludf.DUMMYFUNCTION("""COMPUTED_VALUE"""),0.1230108800236844)</f>
        <v>0.12301088</v>
      </c>
      <c r="F3581" s="5">
        <f>IFERROR(__xludf.DUMMYFUNCTION("""COMPUTED_VALUE"""),0.21486196432536453)</f>
        <v>0.2148619643</v>
      </c>
      <c r="G3581" s="5">
        <f>IFERROR(__xludf.DUMMYFUNCTION("""COMPUTED_VALUE"""),0.13596328917178596)</f>
        <v>0.1359632892</v>
      </c>
      <c r="H3581" s="5">
        <f>IFERROR(__xludf.DUMMYFUNCTION("""COMPUTED_VALUE"""),0.6217705821563899)</f>
        <v>0.6217705822</v>
      </c>
      <c r="I3581" s="11">
        <f>IFERROR(__xludf.DUMMYFUNCTION("""COMPUTED_VALUE"""),5377.23045125732)</f>
        <v>5377.230451</v>
      </c>
      <c r="J3581" s="10">
        <f>IFERROR(__xludf.DUMMYFUNCTION("""COMPUTED_VALUE"""),1.0)</f>
        <v>1</v>
      </c>
      <c r="K3581" s="5">
        <f>IFERROR(__xludf.DUMMYFUNCTION("""COMPUTED_VALUE"""),8.019246190858059E-4)</f>
        <v>0.0008019246191</v>
      </c>
      <c r="L3581" s="10">
        <f>IFERROR(__xludf.DUMMYFUNCTION("""COMPUTED_VALUE"""),1247.0)</f>
        <v>1247</v>
      </c>
      <c r="M3581" s="5">
        <f>IFERROR(__xludf.DUMMYFUNCTION("""COMPUTED_VALUE"""),1.0)</f>
        <v>1</v>
      </c>
    </row>
    <row r="3582">
      <c r="A3582" s="10" t="str">
        <f>IFERROR(__xludf.DUMMYFUNCTION("""COMPUTED_VALUE"""),"Wara^/^")</f>
        <v>Wara^/^</v>
      </c>
      <c r="B3582" s="10">
        <f>IFERROR(__xludf.DUMMYFUNCTION("""COMPUTED_VALUE"""),203.0)</f>
        <v>203</v>
      </c>
      <c r="C3582" s="10">
        <f>IFERROR(__xludf.DUMMYFUNCTION("""COMPUTED_VALUE"""),2463.0)</f>
        <v>2463</v>
      </c>
      <c r="D3582" s="5">
        <f>IFERROR(__xludf.DUMMYFUNCTION("""COMPUTED_VALUE"""),0.30575221238938055)</f>
        <v>0.3057522124</v>
      </c>
      <c r="E3582" s="5">
        <f>IFERROR(__xludf.DUMMYFUNCTION("""COMPUTED_VALUE"""),0.12300884955752213)</f>
        <v>0.1230088496</v>
      </c>
      <c r="F3582" s="5">
        <f>IFERROR(__xludf.DUMMYFUNCTION("""COMPUTED_VALUE"""),0.19778761061946903)</f>
        <v>0.1977876106</v>
      </c>
      <c r="G3582" s="5">
        <f>IFERROR(__xludf.DUMMYFUNCTION("""COMPUTED_VALUE"""),0.1747787610619469)</f>
        <v>0.1747787611</v>
      </c>
      <c r="H3582" s="5">
        <f>IFERROR(__xludf.DUMMYFUNCTION("""COMPUTED_VALUE"""),0.5749440715883669)</f>
        <v>0.5749440716</v>
      </c>
      <c r="I3582" s="11">
        <f>IFERROR(__xludf.DUMMYFUNCTION("""COMPUTED_VALUE"""),5429.753914988814)</f>
        <v>5429.753915</v>
      </c>
      <c r="J3582" s="10">
        <f>IFERROR(__xludf.DUMMYFUNCTION("""COMPUTED_VALUE"""),0.0)</f>
        <v>0</v>
      </c>
      <c r="K3582" s="5">
        <f>IFERROR(__xludf.DUMMYFUNCTION("""COMPUTED_VALUE"""),0.0)</f>
        <v>0</v>
      </c>
      <c r="L3582" s="10">
        <f>IFERROR(__xludf.DUMMYFUNCTION("""COMPUTED_VALUE"""),0.0)</f>
        <v>0</v>
      </c>
      <c r="M3582" s="5">
        <f>IFERROR(__xludf.DUMMYFUNCTION("""COMPUTED_VALUE"""),0.0)</f>
        <v>0</v>
      </c>
    </row>
    <row r="3583">
      <c r="A3583" s="10" t="str">
        <f>IFERROR(__xludf.DUMMYFUNCTION("""COMPUTED_VALUE"""),"たんたかたん")</f>
        <v>たんたかたん</v>
      </c>
      <c r="B3583" s="10">
        <f>IFERROR(__xludf.DUMMYFUNCTION("""COMPUTED_VALUE"""),176.0)</f>
        <v>176</v>
      </c>
      <c r="C3583" s="10">
        <f>IFERROR(__xludf.DUMMYFUNCTION("""COMPUTED_VALUE"""),2119.0)</f>
        <v>2119</v>
      </c>
      <c r="D3583" s="5">
        <f>IFERROR(__xludf.DUMMYFUNCTION("""COMPUTED_VALUE"""),0.3468862583633556)</f>
        <v>0.3468862584</v>
      </c>
      <c r="E3583" s="5">
        <f>IFERROR(__xludf.DUMMYFUNCTION("""COMPUTED_VALUE"""),0.12300566134843026)</f>
        <v>0.1230056613</v>
      </c>
      <c r="F3583" s="5">
        <f>IFERROR(__xludf.DUMMYFUNCTION("""COMPUTED_VALUE"""),0.20432321152856409)</f>
        <v>0.2043232115</v>
      </c>
      <c r="G3583" s="5">
        <f>IFERROR(__xludf.DUMMYFUNCTION("""COMPUTED_VALUE"""),0.11940298507462686)</f>
        <v>0.1194029851</v>
      </c>
      <c r="H3583" s="5">
        <f>IFERROR(__xludf.DUMMYFUNCTION("""COMPUTED_VALUE"""),0.5944584382871536)</f>
        <v>0.5944584383</v>
      </c>
      <c r="I3583" s="11">
        <f>IFERROR(__xludf.DUMMYFUNCTION("""COMPUTED_VALUE"""),5494.4584382871535)</f>
        <v>5494.458438</v>
      </c>
      <c r="J3583" s="10">
        <f>IFERROR(__xludf.DUMMYFUNCTION("""COMPUTED_VALUE"""),0.0)</f>
        <v>0</v>
      </c>
      <c r="K3583" s="5">
        <f>IFERROR(__xludf.DUMMYFUNCTION("""COMPUTED_VALUE"""),0.0)</f>
        <v>0</v>
      </c>
      <c r="L3583" s="10">
        <f>IFERROR(__xludf.DUMMYFUNCTION("""COMPUTED_VALUE"""),176.0)</f>
        <v>176</v>
      </c>
      <c r="M3583" s="5">
        <f>IFERROR(__xludf.DUMMYFUNCTION("""COMPUTED_VALUE"""),1.0)</f>
        <v>1</v>
      </c>
    </row>
    <row r="3584">
      <c r="A3584" s="10" t="str">
        <f>IFERROR(__xludf.DUMMYFUNCTION("""COMPUTED_VALUE"""),"鴨葱痔郎")</f>
        <v>鴨葱痔郎</v>
      </c>
      <c r="B3584" s="10">
        <f>IFERROR(__xludf.DUMMYFUNCTION("""COMPUTED_VALUE"""),1752.0)</f>
        <v>1752</v>
      </c>
      <c r="C3584" s="10">
        <f>IFERROR(__xludf.DUMMYFUNCTION("""COMPUTED_VALUE"""),20394.0)</f>
        <v>20394</v>
      </c>
      <c r="D3584" s="5">
        <f>IFERROR(__xludf.DUMMYFUNCTION("""COMPUTED_VALUE"""),0.28205128205128205)</f>
        <v>0.2820512821</v>
      </c>
      <c r="E3584" s="5">
        <f>IFERROR(__xludf.DUMMYFUNCTION("""COMPUTED_VALUE"""),0.12300182383864393)</f>
        <v>0.1230018238</v>
      </c>
      <c r="F3584" s="5">
        <f>IFERROR(__xludf.DUMMYFUNCTION("""COMPUTED_VALUE"""),0.20528913206737476)</f>
        <v>0.2052891321</v>
      </c>
      <c r="G3584" s="5">
        <f>IFERROR(__xludf.DUMMYFUNCTION("""COMPUTED_VALUE"""),0.13571505203304365)</f>
        <v>0.135715052</v>
      </c>
      <c r="H3584" s="5">
        <f>IFERROR(__xludf.DUMMYFUNCTION("""COMPUTED_VALUE"""),0.602038149986935)</f>
        <v>0.60203815</v>
      </c>
      <c r="I3584" s="11">
        <f>IFERROR(__xludf.DUMMYFUNCTION("""COMPUTED_VALUE"""),5928.142147896525)</f>
        <v>5928.142148</v>
      </c>
      <c r="J3584" s="10">
        <f>IFERROR(__xludf.DUMMYFUNCTION("""COMPUTED_VALUE"""),12.0)</f>
        <v>12</v>
      </c>
      <c r="K3584" s="5">
        <f>IFERROR(__xludf.DUMMYFUNCTION("""COMPUTED_VALUE"""),0.00684931506849315)</f>
        <v>0.006849315068</v>
      </c>
      <c r="L3584" s="10">
        <f>IFERROR(__xludf.DUMMYFUNCTION("""COMPUTED_VALUE"""),1752.0)</f>
        <v>1752</v>
      </c>
      <c r="M3584" s="5">
        <f>IFERROR(__xludf.DUMMYFUNCTION("""COMPUTED_VALUE"""),1.0)</f>
        <v>1</v>
      </c>
    </row>
    <row r="3585">
      <c r="A3585" s="10" t="str">
        <f>IFERROR(__xludf.DUMMYFUNCTION("""COMPUTED_VALUE"""),"ストロングゼロ")</f>
        <v>ストロングゼロ</v>
      </c>
      <c r="B3585" s="10">
        <f>IFERROR(__xludf.DUMMYFUNCTION("""COMPUTED_VALUE"""),337.0)</f>
        <v>337</v>
      </c>
      <c r="C3585" s="10">
        <f>IFERROR(__xludf.DUMMYFUNCTION("""COMPUTED_VALUE"""),3963.0)</f>
        <v>3963</v>
      </c>
      <c r="D3585" s="5">
        <f>IFERROR(__xludf.DUMMYFUNCTION("""COMPUTED_VALUE"""),0.3279095421952565)</f>
        <v>0.3279095422</v>
      </c>
      <c r="E3585" s="5">
        <f>IFERROR(__xludf.DUMMYFUNCTION("""COMPUTED_VALUE"""),0.12300055157198014)</f>
        <v>0.1230005516</v>
      </c>
      <c r="F3585" s="5">
        <f>IFERROR(__xludf.DUMMYFUNCTION("""COMPUTED_VALUE"""),0.20601213458356316)</f>
        <v>0.2060121346</v>
      </c>
      <c r="G3585" s="5">
        <f>IFERROR(__xludf.DUMMYFUNCTION("""COMPUTED_VALUE"""),0.14313292884721457)</f>
        <v>0.1431329288</v>
      </c>
      <c r="H3585" s="5">
        <f>IFERROR(__xludf.DUMMYFUNCTION("""COMPUTED_VALUE"""),0.6037483266398929)</f>
        <v>0.6037483266</v>
      </c>
      <c r="I3585" s="11">
        <f>IFERROR(__xludf.DUMMYFUNCTION("""COMPUTED_VALUE"""),5647.389558232931)</f>
        <v>5647.389558</v>
      </c>
      <c r="J3585" s="10">
        <f>IFERROR(__xludf.DUMMYFUNCTION("""COMPUTED_VALUE"""),2.0)</f>
        <v>2</v>
      </c>
      <c r="K3585" s="5">
        <f>IFERROR(__xludf.DUMMYFUNCTION("""COMPUTED_VALUE"""),0.005934718100890208)</f>
        <v>0.005934718101</v>
      </c>
      <c r="L3585" s="10">
        <f>IFERROR(__xludf.DUMMYFUNCTION("""COMPUTED_VALUE"""),0.0)</f>
        <v>0</v>
      </c>
      <c r="M3585" s="5">
        <f>IFERROR(__xludf.DUMMYFUNCTION("""COMPUTED_VALUE"""),0.0)</f>
        <v>0</v>
      </c>
    </row>
    <row r="3586">
      <c r="A3586" s="10" t="str">
        <f>IFERROR(__xludf.DUMMYFUNCTION("""COMPUTED_VALUE"""),"EndTGene")</f>
        <v>EndTGene</v>
      </c>
      <c r="B3586" s="10">
        <f>IFERROR(__xludf.DUMMYFUNCTION("""COMPUTED_VALUE"""),796.0)</f>
        <v>796</v>
      </c>
      <c r="C3586" s="10">
        <f>IFERROR(__xludf.DUMMYFUNCTION("""COMPUTED_VALUE"""),9390.0)</f>
        <v>9390</v>
      </c>
      <c r="D3586" s="5">
        <f>IFERROR(__xludf.DUMMYFUNCTION("""COMPUTED_VALUE"""),0.3094019083081219)</f>
        <v>0.3094019083</v>
      </c>
      <c r="E3586" s="5">
        <f>IFERROR(__xludf.DUMMYFUNCTION("""COMPUTED_VALUE"""),0.12299278566441703)</f>
        <v>0.1229927857</v>
      </c>
      <c r="F3586" s="5">
        <f>IFERROR(__xludf.DUMMYFUNCTION("""COMPUTED_VALUE"""),0.18606004188969047)</f>
        <v>0.1860600419</v>
      </c>
      <c r="G3586" s="5">
        <f>IFERROR(__xludf.DUMMYFUNCTION("""COMPUTED_VALUE"""),0.17966022806609264)</f>
        <v>0.1796602281</v>
      </c>
      <c r="H3586" s="5">
        <f>IFERROR(__xludf.DUMMYFUNCTION("""COMPUTED_VALUE"""),0.6022514071294559)</f>
        <v>0.6022514071</v>
      </c>
      <c r="I3586" s="11">
        <f>IFERROR(__xludf.DUMMYFUNCTION("""COMPUTED_VALUE"""),5996.497811131958)</f>
        <v>5996.497811</v>
      </c>
      <c r="J3586" s="10">
        <f>IFERROR(__xludf.DUMMYFUNCTION("""COMPUTED_VALUE"""),1.0)</f>
        <v>1</v>
      </c>
      <c r="K3586" s="5">
        <f>IFERROR(__xludf.DUMMYFUNCTION("""COMPUTED_VALUE"""),0.001256281407035176)</f>
        <v>0.001256281407</v>
      </c>
      <c r="L3586" s="10">
        <f>IFERROR(__xludf.DUMMYFUNCTION("""COMPUTED_VALUE"""),796.0)</f>
        <v>796</v>
      </c>
      <c r="M3586" s="5">
        <f>IFERROR(__xludf.DUMMYFUNCTION("""COMPUTED_VALUE"""),1.0)</f>
        <v>1</v>
      </c>
    </row>
    <row r="3587">
      <c r="A3587" s="10" t="str">
        <f>IFERROR(__xludf.DUMMYFUNCTION("""COMPUTED_VALUE"""),"ピコマスティフ")</f>
        <v>ピコマスティフ</v>
      </c>
      <c r="B3587" s="10">
        <f>IFERROR(__xludf.DUMMYFUNCTION("""COMPUTED_VALUE"""),4477.0)</f>
        <v>4477</v>
      </c>
      <c r="C3587" s="10">
        <f>IFERROR(__xludf.DUMMYFUNCTION("""COMPUTED_VALUE"""),52238.0)</f>
        <v>52238</v>
      </c>
      <c r="D3587" s="5">
        <f>IFERROR(__xludf.DUMMYFUNCTION("""COMPUTED_VALUE"""),0.38242499110152633)</f>
        <v>0.3824249911</v>
      </c>
      <c r="E3587" s="5">
        <f>IFERROR(__xludf.DUMMYFUNCTION("""COMPUTED_VALUE"""),0.12298737463620946)</f>
        <v>0.1229873746</v>
      </c>
      <c r="F3587" s="5">
        <f>IFERROR(__xludf.DUMMYFUNCTION("""COMPUTED_VALUE"""),0.21574087644731058)</f>
        <v>0.2157408764</v>
      </c>
      <c r="G3587" s="5">
        <f>IFERROR(__xludf.DUMMYFUNCTION("""COMPUTED_VALUE"""),0.17581290173991332)</f>
        <v>0.1758129017</v>
      </c>
      <c r="H3587" s="5">
        <f>IFERROR(__xludf.DUMMYFUNCTION("""COMPUTED_VALUE"""),0.5952057453416149)</f>
        <v>0.5952057453</v>
      </c>
      <c r="I3587" s="11">
        <f>IFERROR(__xludf.DUMMYFUNCTION("""COMPUTED_VALUE"""),5723.65100931677)</f>
        <v>5723.651009</v>
      </c>
      <c r="J3587" s="10">
        <f>IFERROR(__xludf.DUMMYFUNCTION("""COMPUTED_VALUE"""),13.0)</f>
        <v>13</v>
      </c>
      <c r="K3587" s="5">
        <f>IFERROR(__xludf.DUMMYFUNCTION("""COMPUTED_VALUE"""),0.002903730176457449)</f>
        <v>0.002903730176</v>
      </c>
      <c r="L3587" s="10">
        <f>IFERROR(__xludf.DUMMYFUNCTION("""COMPUTED_VALUE"""),4447.0)</f>
        <v>4447</v>
      </c>
      <c r="M3587" s="5">
        <f>IFERROR(__xludf.DUMMYFUNCTION("""COMPUTED_VALUE"""),0.9932990842081751)</f>
        <v>0.9932990842</v>
      </c>
    </row>
    <row r="3588">
      <c r="A3588" s="10" t="str">
        <f>IFERROR(__xludf.DUMMYFUNCTION("""COMPUTED_VALUE"""),"鴨葱太郎")</f>
        <v>鴨葱太郎</v>
      </c>
      <c r="B3588" s="10">
        <f>IFERROR(__xludf.DUMMYFUNCTION("""COMPUTED_VALUE"""),2355.0)</f>
        <v>2355</v>
      </c>
      <c r="C3588" s="10">
        <f>IFERROR(__xludf.DUMMYFUNCTION("""COMPUTED_VALUE"""),27553.0)</f>
        <v>27553</v>
      </c>
      <c r="D3588" s="5">
        <f>IFERROR(__xludf.DUMMYFUNCTION("""COMPUTED_VALUE"""),0.2956186998968172)</f>
        <v>0.2956186999</v>
      </c>
      <c r="E3588" s="5">
        <f>IFERROR(__xludf.DUMMYFUNCTION("""COMPUTED_VALUE"""),0.12298595126597349)</f>
        <v>0.1229859513</v>
      </c>
      <c r="F3588" s="5">
        <f>IFERROR(__xludf.DUMMYFUNCTION("""COMPUTED_VALUE"""),0.20930232558139536)</f>
        <v>0.2093023256</v>
      </c>
      <c r="G3588" s="5">
        <f>IFERROR(__xludf.DUMMYFUNCTION("""COMPUTED_VALUE"""),0.15282958964997223)</f>
        <v>0.1528295896</v>
      </c>
      <c r="H3588" s="5">
        <f>IFERROR(__xludf.DUMMYFUNCTION("""COMPUTED_VALUE"""),0.6194539249146758)</f>
        <v>0.6194539249</v>
      </c>
      <c r="I3588" s="11">
        <f>IFERROR(__xludf.DUMMYFUNCTION("""COMPUTED_VALUE"""),5918.790291998484)</f>
        <v>5918.790292</v>
      </c>
      <c r="J3588" s="10">
        <f>IFERROR(__xludf.DUMMYFUNCTION("""COMPUTED_VALUE"""),9.0)</f>
        <v>9</v>
      </c>
      <c r="K3588" s="5">
        <f>IFERROR(__xludf.DUMMYFUNCTION("""COMPUTED_VALUE"""),0.003821656050955414)</f>
        <v>0.003821656051</v>
      </c>
      <c r="L3588" s="10">
        <f>IFERROR(__xludf.DUMMYFUNCTION("""COMPUTED_VALUE"""),2355.0)</f>
        <v>2355</v>
      </c>
      <c r="M3588" s="5">
        <f>IFERROR(__xludf.DUMMYFUNCTION("""COMPUTED_VALUE"""),1.0)</f>
        <v>1</v>
      </c>
    </row>
    <row r="3589">
      <c r="A3589" s="10" t="str">
        <f>IFERROR(__xludf.DUMMYFUNCTION("""COMPUTED_VALUE"""),"豚の丸焼き")</f>
        <v>豚の丸焼き</v>
      </c>
      <c r="B3589" s="10">
        <f>IFERROR(__xludf.DUMMYFUNCTION("""COMPUTED_VALUE"""),859.0)</f>
        <v>859</v>
      </c>
      <c r="C3589" s="10">
        <f>IFERROR(__xludf.DUMMYFUNCTION("""COMPUTED_VALUE"""),9974.0)</f>
        <v>9974</v>
      </c>
      <c r="D3589" s="5">
        <f>IFERROR(__xludf.DUMMYFUNCTION("""COMPUTED_VALUE"""),0.2705430608886451)</f>
        <v>0.2705430609</v>
      </c>
      <c r="E3589" s="5">
        <f>IFERROR(__xludf.DUMMYFUNCTION("""COMPUTED_VALUE"""),0.12298409215578716)</f>
        <v>0.1229840922</v>
      </c>
      <c r="F3589" s="5">
        <f>IFERROR(__xludf.DUMMYFUNCTION("""COMPUTED_VALUE"""),0.195940756993966)</f>
        <v>0.195940757</v>
      </c>
      <c r="G3589" s="5">
        <f>IFERROR(__xludf.DUMMYFUNCTION("""COMPUTED_VALUE"""),0.19199122325836535)</f>
        <v>0.1919912233</v>
      </c>
      <c r="H3589" s="5">
        <f>IFERROR(__xludf.DUMMYFUNCTION("""COMPUTED_VALUE"""),0.5739081746920492)</f>
        <v>0.5739081747</v>
      </c>
      <c r="I3589" s="11">
        <f>IFERROR(__xludf.DUMMYFUNCTION("""COMPUTED_VALUE"""),6058.2306830907055)</f>
        <v>6058.230683</v>
      </c>
      <c r="J3589" s="10">
        <f>IFERROR(__xludf.DUMMYFUNCTION("""COMPUTED_VALUE"""),2.0)</f>
        <v>2</v>
      </c>
      <c r="K3589" s="5">
        <f>IFERROR(__xludf.DUMMYFUNCTION("""COMPUTED_VALUE"""),0.002328288707799767)</f>
        <v>0.002328288708</v>
      </c>
      <c r="L3589" s="10">
        <f>IFERROR(__xludf.DUMMYFUNCTION("""COMPUTED_VALUE"""),859.0)</f>
        <v>859</v>
      </c>
      <c r="M3589" s="5">
        <f>IFERROR(__xludf.DUMMYFUNCTION("""COMPUTED_VALUE"""),1.0)</f>
        <v>1</v>
      </c>
    </row>
    <row r="3590">
      <c r="A3590" s="10" t="str">
        <f>IFERROR(__xludf.DUMMYFUNCTION("""COMPUTED_VALUE"""),"k.i....")</f>
        <v>k.i....</v>
      </c>
      <c r="B3590" s="10">
        <f>IFERROR(__xludf.DUMMYFUNCTION("""COMPUTED_VALUE"""),251.0)</f>
        <v>251</v>
      </c>
      <c r="C3590" s="10">
        <f>IFERROR(__xludf.DUMMYFUNCTION("""COMPUTED_VALUE"""),2975.0)</f>
        <v>2975</v>
      </c>
      <c r="D3590" s="5">
        <f>IFERROR(__xludf.DUMMYFUNCTION("""COMPUTED_VALUE"""),0.4041850220264317)</f>
        <v>0.404185022</v>
      </c>
      <c r="E3590" s="5">
        <f>IFERROR(__xludf.DUMMYFUNCTION("""COMPUTED_VALUE"""),0.12298091042584434)</f>
        <v>0.1229809104</v>
      </c>
      <c r="F3590" s="5">
        <f>IFERROR(__xludf.DUMMYFUNCTION("""COMPUTED_VALUE"""),0.20484581497797358)</f>
        <v>0.204845815</v>
      </c>
      <c r="G3590" s="5">
        <f>IFERROR(__xludf.DUMMYFUNCTION("""COMPUTED_VALUE"""),0.18795888399412627)</f>
        <v>0.187958884</v>
      </c>
      <c r="H3590" s="5">
        <f>IFERROR(__xludf.DUMMYFUNCTION("""COMPUTED_VALUE"""),0.578853046594982)</f>
        <v>0.5788530466</v>
      </c>
      <c r="I3590" s="11">
        <f>IFERROR(__xludf.DUMMYFUNCTION("""COMPUTED_VALUE"""),5477.419354838709)</f>
        <v>5477.419355</v>
      </c>
      <c r="J3590" s="10">
        <f>IFERROR(__xludf.DUMMYFUNCTION("""COMPUTED_VALUE"""),0.0)</f>
        <v>0</v>
      </c>
      <c r="K3590" s="5">
        <f>IFERROR(__xludf.DUMMYFUNCTION("""COMPUTED_VALUE"""),0.0)</f>
        <v>0</v>
      </c>
      <c r="L3590" s="10">
        <f>IFERROR(__xludf.DUMMYFUNCTION("""COMPUTED_VALUE"""),251.0)</f>
        <v>251</v>
      </c>
      <c r="M3590" s="5">
        <f>IFERROR(__xludf.DUMMYFUNCTION("""COMPUTED_VALUE"""),1.0)</f>
        <v>1</v>
      </c>
    </row>
    <row r="3591">
      <c r="A3591" s="10" t="str">
        <f>IFERROR(__xludf.DUMMYFUNCTION("""COMPUTED_VALUE"""),"リフレクティア")</f>
        <v>リフレクティア</v>
      </c>
      <c r="B3591" s="10">
        <f>IFERROR(__xludf.DUMMYFUNCTION("""COMPUTED_VALUE"""),1283.0)</f>
        <v>1283</v>
      </c>
      <c r="C3591" s="10">
        <f>IFERROR(__xludf.DUMMYFUNCTION("""COMPUTED_VALUE"""),15172.0)</f>
        <v>15172</v>
      </c>
      <c r="D3591" s="5">
        <f>IFERROR(__xludf.DUMMYFUNCTION("""COMPUTED_VALUE"""),0.3443012455900353)</f>
        <v>0.3443012456</v>
      </c>
      <c r="E3591" s="5">
        <f>IFERROR(__xludf.DUMMYFUNCTION("""COMPUTED_VALUE"""),0.1229750161998704)</f>
        <v>0.1229750162</v>
      </c>
      <c r="F3591" s="5">
        <f>IFERROR(__xludf.DUMMYFUNCTION("""COMPUTED_VALUE"""),0.19706242350061198)</f>
        <v>0.1970624235</v>
      </c>
      <c r="G3591" s="5">
        <f>IFERROR(__xludf.DUMMYFUNCTION("""COMPUTED_VALUE"""),0.13643890848873208)</f>
        <v>0.1364389085</v>
      </c>
      <c r="H3591" s="5">
        <f>IFERROR(__xludf.DUMMYFUNCTION("""COMPUTED_VALUE"""),0.5970040189989039)</f>
        <v>0.597004019</v>
      </c>
      <c r="I3591" s="11">
        <f>IFERROR(__xludf.DUMMYFUNCTION("""COMPUTED_VALUE"""),5580.818414322251)</f>
        <v>5580.818414</v>
      </c>
      <c r="J3591" s="10">
        <f>IFERROR(__xludf.DUMMYFUNCTION("""COMPUTED_VALUE"""),5.0)</f>
        <v>5</v>
      </c>
      <c r="K3591" s="5">
        <f>IFERROR(__xludf.DUMMYFUNCTION("""COMPUTED_VALUE"""),0.003897116134060795)</f>
        <v>0.003897116134</v>
      </c>
      <c r="L3591" s="10">
        <f>IFERROR(__xludf.DUMMYFUNCTION("""COMPUTED_VALUE"""),0.0)</f>
        <v>0</v>
      </c>
      <c r="M3591" s="5">
        <f>IFERROR(__xludf.DUMMYFUNCTION("""COMPUTED_VALUE"""),0.0)</f>
        <v>0</v>
      </c>
    </row>
    <row r="3592">
      <c r="A3592" s="10" t="str">
        <f>IFERROR(__xludf.DUMMYFUNCTION("""COMPUTED_VALUE"""),"西木野真姫")</f>
        <v>西木野真姫</v>
      </c>
      <c r="B3592" s="10">
        <f>IFERROR(__xludf.DUMMYFUNCTION("""COMPUTED_VALUE"""),235.0)</f>
        <v>235</v>
      </c>
      <c r="C3592" s="10">
        <f>IFERROR(__xludf.DUMMYFUNCTION("""COMPUTED_VALUE"""),2699.0)</f>
        <v>2699</v>
      </c>
      <c r="D3592" s="5">
        <f>IFERROR(__xludf.DUMMYFUNCTION("""COMPUTED_VALUE"""),0.27881493506493504)</f>
        <v>0.2788149351</v>
      </c>
      <c r="E3592" s="5">
        <f>IFERROR(__xludf.DUMMYFUNCTION("""COMPUTED_VALUE"""),0.12297077922077922)</f>
        <v>0.1229707792</v>
      </c>
      <c r="F3592" s="5">
        <f>IFERROR(__xludf.DUMMYFUNCTION("""COMPUTED_VALUE"""),0.21103896103896103)</f>
        <v>0.211038961</v>
      </c>
      <c r="G3592" s="5">
        <f>IFERROR(__xludf.DUMMYFUNCTION("""COMPUTED_VALUE"""),0.16314935064935066)</f>
        <v>0.1631493506</v>
      </c>
      <c r="H3592" s="5">
        <f>IFERROR(__xludf.DUMMYFUNCTION("""COMPUTED_VALUE"""),0.6153846153846154)</f>
        <v>0.6153846154</v>
      </c>
      <c r="I3592" s="11">
        <f>IFERROR(__xludf.DUMMYFUNCTION("""COMPUTED_VALUE"""),5845.384615384615)</f>
        <v>5845.384615</v>
      </c>
      <c r="J3592" s="10">
        <f>IFERROR(__xludf.DUMMYFUNCTION("""COMPUTED_VALUE"""),1.0)</f>
        <v>1</v>
      </c>
      <c r="K3592" s="5">
        <f>IFERROR(__xludf.DUMMYFUNCTION("""COMPUTED_VALUE"""),0.00425531914893617)</f>
        <v>0.004255319149</v>
      </c>
      <c r="L3592" s="10">
        <f>IFERROR(__xludf.DUMMYFUNCTION("""COMPUTED_VALUE"""),235.0)</f>
        <v>235</v>
      </c>
      <c r="M3592" s="5">
        <f>IFERROR(__xludf.DUMMYFUNCTION("""COMPUTED_VALUE"""),1.0)</f>
        <v>1</v>
      </c>
    </row>
    <row r="3593">
      <c r="A3593" s="10" t="str">
        <f>IFERROR(__xludf.DUMMYFUNCTION("""COMPUTED_VALUE"""),"hayato☆")</f>
        <v>hayato☆</v>
      </c>
      <c r="B3593" s="10">
        <f>IFERROR(__xludf.DUMMYFUNCTION("""COMPUTED_VALUE"""),8806.0)</f>
        <v>8806</v>
      </c>
      <c r="C3593" s="10">
        <f>IFERROR(__xludf.DUMMYFUNCTION("""COMPUTED_VALUE"""),103821.0)</f>
        <v>103821</v>
      </c>
      <c r="D3593" s="5">
        <f>IFERROR(__xludf.DUMMYFUNCTION("""COMPUTED_VALUE"""),0.3157817186759985)</f>
        <v>0.3157817187</v>
      </c>
      <c r="E3593" s="5">
        <f>IFERROR(__xludf.DUMMYFUNCTION("""COMPUTED_VALUE"""),0.1229595327053623)</f>
        <v>0.1229595327</v>
      </c>
      <c r="F3593" s="5">
        <f>IFERROR(__xludf.DUMMYFUNCTION("""COMPUTED_VALUE"""),0.20873546282165975)</f>
        <v>0.2087354628</v>
      </c>
      <c r="G3593" s="5">
        <f>IFERROR(__xludf.DUMMYFUNCTION("""COMPUTED_VALUE"""),0.15547018891753933)</f>
        <v>0.1554701889</v>
      </c>
      <c r="H3593" s="5">
        <f>IFERROR(__xludf.DUMMYFUNCTION("""COMPUTED_VALUE"""),0.6023798719306207)</f>
        <v>0.6023798719</v>
      </c>
      <c r="I3593" s="11">
        <f>IFERROR(__xludf.DUMMYFUNCTION("""COMPUTED_VALUE"""),5706.645489840165)</f>
        <v>5706.64549</v>
      </c>
      <c r="J3593" s="10">
        <f>IFERROR(__xludf.DUMMYFUNCTION("""COMPUTED_VALUE"""),26.0)</f>
        <v>26</v>
      </c>
      <c r="K3593" s="5">
        <f>IFERROR(__xludf.DUMMYFUNCTION("""COMPUTED_VALUE"""),0.0029525323642970703)</f>
        <v>0.002952532364</v>
      </c>
      <c r="L3593" s="10">
        <f>IFERROR(__xludf.DUMMYFUNCTION("""COMPUTED_VALUE"""),8806.0)</f>
        <v>8806</v>
      </c>
      <c r="M3593" s="5">
        <f>IFERROR(__xludf.DUMMYFUNCTION("""COMPUTED_VALUE"""),1.0)</f>
        <v>1</v>
      </c>
    </row>
    <row r="3594">
      <c r="A3594" s="10" t="str">
        <f>IFERROR(__xludf.DUMMYFUNCTION("""COMPUTED_VALUE"""),"おれてん")</f>
        <v>おれてん</v>
      </c>
      <c r="B3594" s="10">
        <f>IFERROR(__xludf.DUMMYFUNCTION("""COMPUTED_VALUE"""),308.0)</f>
        <v>308</v>
      </c>
      <c r="C3594" s="10">
        <f>IFERROR(__xludf.DUMMYFUNCTION("""COMPUTED_VALUE"""),3667.0)</f>
        <v>3667</v>
      </c>
      <c r="D3594" s="5">
        <f>IFERROR(__xludf.DUMMYFUNCTION("""COMPUTED_VALUE"""),0.3030663888061923)</f>
        <v>0.3030663888</v>
      </c>
      <c r="E3594" s="5">
        <f>IFERROR(__xludf.DUMMYFUNCTION("""COMPUTED_VALUE"""),0.1229532598987794)</f>
        <v>0.1229532599</v>
      </c>
      <c r="F3594" s="5">
        <f>IFERROR(__xludf.DUMMYFUNCTION("""COMPUTED_VALUE"""),0.20452515629651682)</f>
        <v>0.2045251563</v>
      </c>
      <c r="G3594" s="5">
        <f>IFERROR(__xludf.DUMMYFUNCTION("""COMPUTED_VALUE"""),0.16522774635308127)</f>
        <v>0.1652277464</v>
      </c>
      <c r="H3594" s="5">
        <f>IFERROR(__xludf.DUMMYFUNCTION("""COMPUTED_VALUE"""),0.6098981077147017)</f>
        <v>0.6098981077</v>
      </c>
      <c r="I3594" s="11">
        <f>IFERROR(__xludf.DUMMYFUNCTION("""COMPUTED_VALUE"""),5757.4963609898105)</f>
        <v>5757.496361</v>
      </c>
      <c r="J3594" s="10">
        <f>IFERROR(__xludf.DUMMYFUNCTION("""COMPUTED_VALUE"""),1.0)</f>
        <v>1</v>
      </c>
      <c r="K3594" s="5">
        <f>IFERROR(__xludf.DUMMYFUNCTION("""COMPUTED_VALUE"""),0.003246753246753247)</f>
        <v>0.003246753247</v>
      </c>
      <c r="L3594" s="10">
        <f>IFERROR(__xludf.DUMMYFUNCTION("""COMPUTED_VALUE"""),308.0)</f>
        <v>308</v>
      </c>
      <c r="M3594" s="5">
        <f>IFERROR(__xludf.DUMMYFUNCTION("""COMPUTED_VALUE"""),1.0)</f>
        <v>1</v>
      </c>
    </row>
    <row r="3595">
      <c r="A3595" s="10" t="str">
        <f>IFERROR(__xludf.DUMMYFUNCTION("""COMPUTED_VALUE"""),"みしゃくら")</f>
        <v>みしゃくら</v>
      </c>
      <c r="B3595" s="10">
        <f>IFERROR(__xludf.DUMMYFUNCTION("""COMPUTED_VALUE"""),572.0)</f>
        <v>572</v>
      </c>
      <c r="C3595" s="10">
        <f>IFERROR(__xludf.DUMMYFUNCTION("""COMPUTED_VALUE"""),6737.0)</f>
        <v>6737</v>
      </c>
      <c r="D3595" s="5">
        <f>IFERROR(__xludf.DUMMYFUNCTION("""COMPUTED_VALUE"""),0.3261962692619627)</f>
        <v>0.3261962693</v>
      </c>
      <c r="E3595" s="5">
        <f>IFERROR(__xludf.DUMMYFUNCTION("""COMPUTED_VALUE"""),0.1229521492295215)</f>
        <v>0.1229521492</v>
      </c>
      <c r="F3595" s="5">
        <f>IFERROR(__xludf.DUMMYFUNCTION("""COMPUTED_VALUE"""),0.20048661800486617)</f>
        <v>0.200486618</v>
      </c>
      <c r="G3595" s="5">
        <f>IFERROR(__xludf.DUMMYFUNCTION("""COMPUTED_VALUE"""),0.16772100567721004)</f>
        <v>0.1677210057</v>
      </c>
      <c r="H3595" s="5">
        <f>IFERROR(__xludf.DUMMYFUNCTION("""COMPUTED_VALUE"""),0.6067961165048543)</f>
        <v>0.6067961165</v>
      </c>
      <c r="I3595" s="11">
        <f>IFERROR(__xludf.DUMMYFUNCTION("""COMPUTED_VALUE"""),5565.129449838188)</f>
        <v>5565.12945</v>
      </c>
      <c r="J3595" s="10">
        <f>IFERROR(__xludf.DUMMYFUNCTION("""COMPUTED_VALUE"""),0.0)</f>
        <v>0</v>
      </c>
      <c r="K3595" s="5">
        <f>IFERROR(__xludf.DUMMYFUNCTION("""COMPUTED_VALUE"""),0.0)</f>
        <v>0</v>
      </c>
      <c r="L3595" s="10">
        <f>IFERROR(__xludf.DUMMYFUNCTION("""COMPUTED_VALUE"""),572.0)</f>
        <v>572</v>
      </c>
      <c r="M3595" s="5">
        <f>IFERROR(__xludf.DUMMYFUNCTION("""COMPUTED_VALUE"""),1.0)</f>
        <v>1</v>
      </c>
    </row>
    <row r="3596">
      <c r="A3596" s="10" t="str">
        <f>IFERROR(__xludf.DUMMYFUNCTION("""COMPUTED_VALUE"""),"イヤァオ")</f>
        <v>イヤァオ</v>
      </c>
      <c r="B3596" s="10">
        <f>IFERROR(__xludf.DUMMYFUNCTION("""COMPUTED_VALUE"""),472.0)</f>
        <v>472</v>
      </c>
      <c r="C3596" s="10">
        <f>IFERROR(__xludf.DUMMYFUNCTION("""COMPUTED_VALUE"""),5523.0)</f>
        <v>5523</v>
      </c>
      <c r="D3596" s="5">
        <f>IFERROR(__xludf.DUMMYFUNCTION("""COMPUTED_VALUE"""),0.3460700851316571)</f>
        <v>0.3460700851</v>
      </c>
      <c r="E3596" s="5">
        <f>IFERROR(__xludf.DUMMYFUNCTION("""COMPUTED_VALUE"""),0.12294595129677291)</f>
        <v>0.1229459513</v>
      </c>
      <c r="F3596" s="5">
        <f>IFERROR(__xludf.DUMMYFUNCTION("""COMPUTED_VALUE"""),0.21124529796079985)</f>
        <v>0.211245298</v>
      </c>
      <c r="G3596" s="5">
        <f>IFERROR(__xludf.DUMMYFUNCTION("""COMPUTED_VALUE"""),0.14254603048901207)</f>
        <v>0.1425460305</v>
      </c>
      <c r="H3596" s="5">
        <f>IFERROR(__xludf.DUMMYFUNCTION("""COMPUTED_VALUE"""),0.6213683223992502)</f>
        <v>0.6213683224</v>
      </c>
      <c r="I3596" s="11">
        <f>IFERROR(__xludf.DUMMYFUNCTION("""COMPUTED_VALUE"""),5109.934395501406)</f>
        <v>5109.934396</v>
      </c>
      <c r="J3596" s="10">
        <f>IFERROR(__xludf.DUMMYFUNCTION("""COMPUTED_VALUE"""),0.0)</f>
        <v>0</v>
      </c>
      <c r="K3596" s="5">
        <f>IFERROR(__xludf.DUMMYFUNCTION("""COMPUTED_VALUE"""),0.0)</f>
        <v>0</v>
      </c>
      <c r="L3596" s="10">
        <f>IFERROR(__xludf.DUMMYFUNCTION("""COMPUTED_VALUE"""),472.0)</f>
        <v>472</v>
      </c>
      <c r="M3596" s="5">
        <f>IFERROR(__xludf.DUMMYFUNCTION("""COMPUTED_VALUE"""),1.0)</f>
        <v>1</v>
      </c>
    </row>
    <row r="3597">
      <c r="A3597" s="10" t="str">
        <f>IFERROR(__xludf.DUMMYFUNCTION("""COMPUTED_VALUE"""),"奏一")</f>
        <v>奏一</v>
      </c>
      <c r="B3597" s="10">
        <f>IFERROR(__xludf.DUMMYFUNCTION("""COMPUTED_VALUE"""),106.0)</f>
        <v>106</v>
      </c>
      <c r="C3597" s="10">
        <f>IFERROR(__xludf.DUMMYFUNCTION("""COMPUTED_VALUE"""),1261.0)</f>
        <v>1261</v>
      </c>
      <c r="D3597" s="5">
        <f>IFERROR(__xludf.DUMMYFUNCTION("""COMPUTED_VALUE"""),0.3064935064935065)</f>
        <v>0.3064935065</v>
      </c>
      <c r="E3597" s="5">
        <f>IFERROR(__xludf.DUMMYFUNCTION("""COMPUTED_VALUE"""),0.12294372294372294)</f>
        <v>0.1229437229</v>
      </c>
      <c r="F3597" s="5">
        <f>IFERROR(__xludf.DUMMYFUNCTION("""COMPUTED_VALUE"""),0.2)</f>
        <v>0.2</v>
      </c>
      <c r="G3597" s="5">
        <f>IFERROR(__xludf.DUMMYFUNCTION("""COMPUTED_VALUE"""),0.16623376623376623)</f>
        <v>0.1662337662</v>
      </c>
      <c r="H3597" s="5">
        <f>IFERROR(__xludf.DUMMYFUNCTION("""COMPUTED_VALUE"""),0.5324675324675324)</f>
        <v>0.5324675325</v>
      </c>
      <c r="I3597" s="11">
        <f>IFERROR(__xludf.DUMMYFUNCTION("""COMPUTED_VALUE"""),6322.510822510822)</f>
        <v>6322.510823</v>
      </c>
      <c r="J3597" s="10">
        <f>IFERROR(__xludf.DUMMYFUNCTION("""COMPUTED_VALUE"""),1.0)</f>
        <v>1</v>
      </c>
      <c r="K3597" s="5">
        <f>IFERROR(__xludf.DUMMYFUNCTION("""COMPUTED_VALUE"""),0.009433962264150943)</f>
        <v>0.009433962264</v>
      </c>
      <c r="L3597" s="10">
        <f>IFERROR(__xludf.DUMMYFUNCTION("""COMPUTED_VALUE"""),106.0)</f>
        <v>106</v>
      </c>
      <c r="M3597" s="5">
        <f>IFERROR(__xludf.DUMMYFUNCTION("""COMPUTED_VALUE"""),1.0)</f>
        <v>1</v>
      </c>
    </row>
    <row r="3598">
      <c r="A3598" s="10" t="str">
        <f>IFERROR(__xludf.DUMMYFUNCTION("""COMPUTED_VALUE"""),"Simoon")</f>
        <v>Simoon</v>
      </c>
      <c r="B3598" s="10">
        <f>IFERROR(__xludf.DUMMYFUNCTION("""COMPUTED_VALUE"""),1260.0)</f>
        <v>1260</v>
      </c>
      <c r="C3598" s="10">
        <f>IFERROR(__xludf.DUMMYFUNCTION("""COMPUTED_VALUE"""),14876.0)</f>
        <v>14876</v>
      </c>
      <c r="D3598" s="5">
        <f>IFERROR(__xludf.DUMMYFUNCTION("""COMPUTED_VALUE"""),0.3510575793184489)</f>
        <v>0.3510575793</v>
      </c>
      <c r="E3598" s="5">
        <f>IFERROR(__xludf.DUMMYFUNCTION("""COMPUTED_VALUE"""),0.12294359576968272)</f>
        <v>0.1229435958</v>
      </c>
      <c r="F3598" s="5">
        <f>IFERROR(__xludf.DUMMYFUNCTION("""COMPUTED_VALUE"""),0.2074764982373678)</f>
        <v>0.2074764982</v>
      </c>
      <c r="G3598" s="5">
        <f>IFERROR(__xludf.DUMMYFUNCTION("""COMPUTED_VALUE"""),0.1475470035252644)</f>
        <v>0.1475470035</v>
      </c>
      <c r="H3598" s="5">
        <f>IFERROR(__xludf.DUMMYFUNCTION("""COMPUTED_VALUE"""),0.5925663716814159)</f>
        <v>0.5925663717</v>
      </c>
      <c r="I3598" s="11">
        <f>IFERROR(__xludf.DUMMYFUNCTION("""COMPUTED_VALUE"""),5435.8230088495575)</f>
        <v>5435.823009</v>
      </c>
      <c r="J3598" s="10">
        <f>IFERROR(__xludf.DUMMYFUNCTION("""COMPUTED_VALUE"""),3.0)</f>
        <v>3</v>
      </c>
      <c r="K3598" s="5">
        <f>IFERROR(__xludf.DUMMYFUNCTION("""COMPUTED_VALUE"""),0.002380952380952381)</f>
        <v>0.002380952381</v>
      </c>
      <c r="L3598" s="10">
        <f>IFERROR(__xludf.DUMMYFUNCTION("""COMPUTED_VALUE"""),1260.0)</f>
        <v>1260</v>
      </c>
      <c r="M3598" s="5">
        <f>IFERROR(__xludf.DUMMYFUNCTION("""COMPUTED_VALUE"""),1.0)</f>
        <v>1</v>
      </c>
    </row>
    <row r="3599">
      <c r="A3599" s="10" t="str">
        <f>IFERROR(__xludf.DUMMYFUNCTION("""COMPUTED_VALUE"""),"まはもさん")</f>
        <v>まはもさん</v>
      </c>
      <c r="B3599" s="10">
        <f>IFERROR(__xludf.DUMMYFUNCTION("""COMPUTED_VALUE"""),156.0)</f>
        <v>156</v>
      </c>
      <c r="C3599" s="10">
        <f>IFERROR(__xludf.DUMMYFUNCTION("""COMPUTED_VALUE"""),1856.0)</f>
        <v>1856</v>
      </c>
      <c r="D3599" s="5">
        <f>IFERROR(__xludf.DUMMYFUNCTION("""COMPUTED_VALUE"""),0.34823529411764703)</f>
        <v>0.3482352941</v>
      </c>
      <c r="E3599" s="5">
        <f>IFERROR(__xludf.DUMMYFUNCTION("""COMPUTED_VALUE"""),0.12294117647058823)</f>
        <v>0.1229411765</v>
      </c>
      <c r="F3599" s="5">
        <f>IFERROR(__xludf.DUMMYFUNCTION("""COMPUTED_VALUE"""),0.20529411764705882)</f>
        <v>0.2052941176</v>
      </c>
      <c r="G3599" s="5">
        <f>IFERROR(__xludf.DUMMYFUNCTION("""COMPUTED_VALUE"""),0.15176470588235294)</f>
        <v>0.1517647059</v>
      </c>
      <c r="H3599" s="5">
        <f>IFERROR(__xludf.DUMMYFUNCTION("""COMPUTED_VALUE"""),0.6189111747851003)</f>
        <v>0.6189111748</v>
      </c>
      <c r="I3599" s="11">
        <f>IFERROR(__xludf.DUMMYFUNCTION("""COMPUTED_VALUE"""),5546.418338108882)</f>
        <v>5546.418338</v>
      </c>
      <c r="J3599" s="10">
        <f>IFERROR(__xludf.DUMMYFUNCTION("""COMPUTED_VALUE"""),1.0)</f>
        <v>1</v>
      </c>
      <c r="K3599" s="5">
        <f>IFERROR(__xludf.DUMMYFUNCTION("""COMPUTED_VALUE"""),0.00641025641025641)</f>
        <v>0.00641025641</v>
      </c>
      <c r="L3599" s="10">
        <f>IFERROR(__xludf.DUMMYFUNCTION("""COMPUTED_VALUE"""),142.0)</f>
        <v>142</v>
      </c>
      <c r="M3599" s="5">
        <f>IFERROR(__xludf.DUMMYFUNCTION("""COMPUTED_VALUE"""),0.9102564102564102)</f>
        <v>0.9102564103</v>
      </c>
    </row>
    <row r="3600">
      <c r="A3600" s="10" t="str">
        <f>IFERROR(__xludf.DUMMYFUNCTION("""COMPUTED_VALUE"""),"時國弥夜子")</f>
        <v>時國弥夜子</v>
      </c>
      <c r="B3600" s="10">
        <f>IFERROR(__xludf.DUMMYFUNCTION("""COMPUTED_VALUE"""),170.0)</f>
        <v>170</v>
      </c>
      <c r="C3600" s="10">
        <f>IFERROR(__xludf.DUMMYFUNCTION("""COMPUTED_VALUE"""),1984.0)</f>
        <v>1984</v>
      </c>
      <c r="D3600" s="5">
        <f>IFERROR(__xludf.DUMMYFUNCTION("""COMPUTED_VALUE"""),0.2227122381477398)</f>
        <v>0.2227122381</v>
      </c>
      <c r="E3600" s="5">
        <f>IFERROR(__xludf.DUMMYFUNCTION("""COMPUTED_VALUE"""),0.12293274531422271)</f>
        <v>0.1229327453</v>
      </c>
      <c r="F3600" s="5">
        <f>IFERROR(__xludf.DUMMYFUNCTION("""COMPUTED_VALUE"""),0.1918412348401323)</f>
        <v>0.1918412348</v>
      </c>
      <c r="G3600" s="5">
        <f>IFERROR(__xludf.DUMMYFUNCTION("""COMPUTED_VALUE"""),0.1819184123484013)</f>
        <v>0.1819184123</v>
      </c>
      <c r="H3600" s="5">
        <f>IFERROR(__xludf.DUMMYFUNCTION("""COMPUTED_VALUE"""),0.5862068965517241)</f>
        <v>0.5862068966</v>
      </c>
      <c r="I3600" s="11">
        <f>IFERROR(__xludf.DUMMYFUNCTION("""COMPUTED_VALUE"""),5545.977011494253)</f>
        <v>5545.977011</v>
      </c>
      <c r="J3600" s="10">
        <f>IFERROR(__xludf.DUMMYFUNCTION("""COMPUTED_VALUE"""),0.0)</f>
        <v>0</v>
      </c>
      <c r="K3600" s="5">
        <f>IFERROR(__xludf.DUMMYFUNCTION("""COMPUTED_VALUE"""),0.0)</f>
        <v>0</v>
      </c>
      <c r="L3600" s="10">
        <f>IFERROR(__xludf.DUMMYFUNCTION("""COMPUTED_VALUE"""),0.0)</f>
        <v>0</v>
      </c>
      <c r="M3600" s="5">
        <f>IFERROR(__xludf.DUMMYFUNCTION("""COMPUTED_VALUE"""),0.0)</f>
        <v>0</v>
      </c>
    </row>
    <row r="3601">
      <c r="A3601" s="10" t="str">
        <f>IFERROR(__xludf.DUMMYFUNCTION("""COMPUTED_VALUE"""),"魅惑のG")</f>
        <v>魅惑のG</v>
      </c>
      <c r="B3601" s="10">
        <f>IFERROR(__xludf.DUMMYFUNCTION("""COMPUTED_VALUE"""),771.0)</f>
        <v>771</v>
      </c>
      <c r="C3601" s="10">
        <f>IFERROR(__xludf.DUMMYFUNCTION("""COMPUTED_VALUE"""),9052.0)</f>
        <v>9052</v>
      </c>
      <c r="D3601" s="5">
        <f>IFERROR(__xludf.DUMMYFUNCTION("""COMPUTED_VALUE"""),0.28450670208911966)</f>
        <v>0.2845067021</v>
      </c>
      <c r="E3601" s="5">
        <f>IFERROR(__xludf.DUMMYFUNCTION("""COMPUTED_VALUE"""),0.12293201304190315)</f>
        <v>0.122932013</v>
      </c>
      <c r="F3601" s="5">
        <f>IFERROR(__xludf.DUMMYFUNCTION("""COMPUTED_VALUE"""),0.20504769955319405)</f>
        <v>0.2050476996</v>
      </c>
      <c r="G3601" s="5">
        <f>IFERROR(__xludf.DUMMYFUNCTION("""COMPUTED_VALUE"""),0.19925129815239706)</f>
        <v>0.1992512982</v>
      </c>
      <c r="H3601" s="5">
        <f>IFERROR(__xludf.DUMMYFUNCTION("""COMPUTED_VALUE"""),0.5630153121319199)</f>
        <v>0.5630153121</v>
      </c>
      <c r="I3601" s="11">
        <f>IFERROR(__xludf.DUMMYFUNCTION("""COMPUTED_VALUE"""),5930.506478209659)</f>
        <v>5930.506478</v>
      </c>
      <c r="J3601" s="10">
        <f>IFERROR(__xludf.DUMMYFUNCTION("""COMPUTED_VALUE"""),1.0)</f>
        <v>1</v>
      </c>
      <c r="K3601" s="5">
        <f>IFERROR(__xludf.DUMMYFUNCTION("""COMPUTED_VALUE"""),0.0012970168612191958)</f>
        <v>0.001297016861</v>
      </c>
      <c r="L3601" s="10">
        <f>IFERROR(__xludf.DUMMYFUNCTION("""COMPUTED_VALUE"""),771.0)</f>
        <v>771</v>
      </c>
      <c r="M3601" s="5">
        <f>IFERROR(__xludf.DUMMYFUNCTION("""COMPUTED_VALUE"""),1.0)</f>
        <v>1</v>
      </c>
    </row>
    <row r="3602">
      <c r="A3602" s="10" t="str">
        <f>IFERROR(__xludf.DUMMYFUNCTION("""COMPUTED_VALUE"""),"オラゴンクエスｔ")</f>
        <v>オラゴンクエスｔ</v>
      </c>
      <c r="B3602" s="10">
        <f>IFERROR(__xludf.DUMMYFUNCTION("""COMPUTED_VALUE"""),241.0)</f>
        <v>241</v>
      </c>
      <c r="C3602" s="10">
        <f>IFERROR(__xludf.DUMMYFUNCTION("""COMPUTED_VALUE"""),2828.0)</f>
        <v>2828</v>
      </c>
      <c r="D3602" s="5">
        <f>IFERROR(__xludf.DUMMYFUNCTION("""COMPUTED_VALUE"""),0.4105141090065713)</f>
        <v>0.410514109</v>
      </c>
      <c r="E3602" s="5">
        <f>IFERROR(__xludf.DUMMYFUNCTION("""COMPUTED_VALUE"""),0.12292230382682644)</f>
        <v>0.1229223038</v>
      </c>
      <c r="F3602" s="5">
        <f>IFERROR(__xludf.DUMMYFUNCTION("""COMPUTED_VALUE"""),0.21530730575956705)</f>
        <v>0.2153073058</v>
      </c>
      <c r="G3602" s="5">
        <f>IFERROR(__xludf.DUMMYFUNCTION("""COMPUTED_VALUE"""),0.18322381136451488)</f>
        <v>0.1832238114</v>
      </c>
      <c r="H3602" s="5">
        <f>IFERROR(__xludf.DUMMYFUNCTION("""COMPUTED_VALUE"""),0.585278276481149)</f>
        <v>0.5852782765</v>
      </c>
      <c r="I3602" s="11">
        <f>IFERROR(__xludf.DUMMYFUNCTION("""COMPUTED_VALUE"""),5865.529622980252)</f>
        <v>5865.529623</v>
      </c>
      <c r="J3602" s="10">
        <f>IFERROR(__xludf.DUMMYFUNCTION("""COMPUTED_VALUE"""),1.0)</f>
        <v>1</v>
      </c>
      <c r="K3602" s="5">
        <f>IFERROR(__xludf.DUMMYFUNCTION("""COMPUTED_VALUE"""),0.004149377593360996)</f>
        <v>0.004149377593</v>
      </c>
      <c r="L3602" s="10">
        <f>IFERROR(__xludf.DUMMYFUNCTION("""COMPUTED_VALUE"""),149.0)</f>
        <v>149</v>
      </c>
      <c r="M3602" s="5">
        <f>IFERROR(__xludf.DUMMYFUNCTION("""COMPUTED_VALUE"""),0.6182572614107884)</f>
        <v>0.6182572614</v>
      </c>
    </row>
    <row r="3603">
      <c r="A3603" s="10" t="str">
        <f>IFERROR(__xludf.DUMMYFUNCTION("""COMPUTED_VALUE"""),"紅衣")</f>
        <v>紅衣</v>
      </c>
      <c r="B3603" s="10">
        <f>IFERROR(__xludf.DUMMYFUNCTION("""COMPUTED_VALUE"""),929.0)</f>
        <v>929</v>
      </c>
      <c r="C3603" s="10">
        <f>IFERROR(__xludf.DUMMYFUNCTION("""COMPUTED_VALUE"""),10854.0)</f>
        <v>10854</v>
      </c>
      <c r="D3603" s="5">
        <f>IFERROR(__xludf.DUMMYFUNCTION("""COMPUTED_VALUE"""),0.3234256926952141)</f>
        <v>0.3234256927</v>
      </c>
      <c r="E3603" s="5">
        <f>IFERROR(__xludf.DUMMYFUNCTION("""COMPUTED_VALUE"""),0.12292191435768261)</f>
        <v>0.1229219144</v>
      </c>
      <c r="F3603" s="5">
        <f>IFERROR(__xludf.DUMMYFUNCTION("""COMPUTED_VALUE"""),0.19909319899244332)</f>
        <v>0.199093199</v>
      </c>
      <c r="G3603" s="5">
        <f>IFERROR(__xludf.DUMMYFUNCTION("""COMPUTED_VALUE"""),0.16090680100755667)</f>
        <v>0.160906801</v>
      </c>
      <c r="H3603" s="5">
        <f>IFERROR(__xludf.DUMMYFUNCTION("""COMPUTED_VALUE"""),0.6169028340080972)</f>
        <v>0.616902834</v>
      </c>
      <c r="I3603" s="11">
        <f>IFERROR(__xludf.DUMMYFUNCTION("""COMPUTED_VALUE"""),5398.886639676113)</f>
        <v>5398.88664</v>
      </c>
      <c r="J3603" s="10">
        <f>IFERROR(__xludf.DUMMYFUNCTION("""COMPUTED_VALUE"""),0.0)</f>
        <v>0</v>
      </c>
      <c r="K3603" s="5">
        <f>IFERROR(__xludf.DUMMYFUNCTION("""COMPUTED_VALUE"""),0.0)</f>
        <v>0</v>
      </c>
      <c r="L3603" s="10">
        <f>IFERROR(__xludf.DUMMYFUNCTION("""COMPUTED_VALUE"""),929.0)</f>
        <v>929</v>
      </c>
      <c r="M3603" s="5">
        <f>IFERROR(__xludf.DUMMYFUNCTION("""COMPUTED_VALUE"""),1.0)</f>
        <v>1</v>
      </c>
    </row>
    <row r="3604">
      <c r="A3604" s="10" t="str">
        <f>IFERROR(__xludf.DUMMYFUNCTION("""COMPUTED_VALUE"""),"無料天草")</f>
        <v>無料天草</v>
      </c>
      <c r="B3604" s="10">
        <f>IFERROR(__xludf.DUMMYFUNCTION("""COMPUTED_VALUE"""),1401.0)</f>
        <v>1401</v>
      </c>
      <c r="C3604" s="10">
        <f>IFERROR(__xludf.DUMMYFUNCTION("""COMPUTED_VALUE"""),16623.0)</f>
        <v>16623</v>
      </c>
      <c r="D3604" s="5">
        <f>IFERROR(__xludf.DUMMYFUNCTION("""COMPUTED_VALUE"""),0.3745894100643805)</f>
        <v>0.3745894101</v>
      </c>
      <c r="E3604" s="5">
        <f>IFERROR(__xludf.DUMMYFUNCTION("""COMPUTED_VALUE"""),0.12291420312705295)</f>
        <v>0.1229142031</v>
      </c>
      <c r="F3604" s="5">
        <f>IFERROR(__xludf.DUMMYFUNCTION("""COMPUTED_VALUE"""),0.20759427144921824)</f>
        <v>0.2075942714</v>
      </c>
      <c r="G3604" s="5">
        <f>IFERROR(__xludf.DUMMYFUNCTION("""COMPUTED_VALUE"""),0.14702404414662987)</f>
        <v>0.1470240441</v>
      </c>
      <c r="H3604" s="5">
        <f>IFERROR(__xludf.DUMMYFUNCTION("""COMPUTED_VALUE"""),0.6018987341772152)</f>
        <v>0.6018987342</v>
      </c>
      <c r="I3604" s="11">
        <f>IFERROR(__xludf.DUMMYFUNCTION("""COMPUTED_VALUE"""),5588.955696202532)</f>
        <v>5588.955696</v>
      </c>
      <c r="J3604" s="10">
        <f>IFERROR(__xludf.DUMMYFUNCTION("""COMPUTED_VALUE"""),6.0)</f>
        <v>6</v>
      </c>
      <c r="K3604" s="5">
        <f>IFERROR(__xludf.DUMMYFUNCTION("""COMPUTED_VALUE"""),0.004282655246252677)</f>
        <v>0.004282655246</v>
      </c>
      <c r="L3604" s="10">
        <f>IFERROR(__xludf.DUMMYFUNCTION("""COMPUTED_VALUE"""),1078.0)</f>
        <v>1078</v>
      </c>
      <c r="M3604" s="5">
        <f>IFERROR(__xludf.DUMMYFUNCTION("""COMPUTED_VALUE"""),0.7694503925767309)</f>
        <v>0.7694503926</v>
      </c>
    </row>
    <row r="3605">
      <c r="A3605" s="10" t="str">
        <f>IFERROR(__xludf.DUMMYFUNCTION("""COMPUTED_VALUE"""),"つのだ☆ひろ")</f>
        <v>つのだ☆ひろ</v>
      </c>
      <c r="B3605" s="10">
        <f>IFERROR(__xludf.DUMMYFUNCTION("""COMPUTED_VALUE"""),686.0)</f>
        <v>686</v>
      </c>
      <c r="C3605" s="10">
        <f>IFERROR(__xludf.DUMMYFUNCTION("""COMPUTED_VALUE"""),7927.0)</f>
        <v>7927</v>
      </c>
      <c r="D3605" s="5">
        <f>IFERROR(__xludf.DUMMYFUNCTION("""COMPUTED_VALUE"""),0.33462228973898633)</f>
        <v>0.3346222897</v>
      </c>
      <c r="E3605" s="5">
        <f>IFERROR(__xludf.DUMMYFUNCTION("""COMPUTED_VALUE"""),0.12291120011048198)</f>
        <v>0.1229112001</v>
      </c>
      <c r="F3605" s="5">
        <f>IFERROR(__xludf.DUMMYFUNCTION("""COMPUTED_VALUE"""),0.21019196243612762)</f>
        <v>0.2101919624</v>
      </c>
      <c r="G3605" s="5">
        <f>IFERROR(__xludf.DUMMYFUNCTION("""COMPUTED_VALUE"""),0.16558486396906505)</f>
        <v>0.165584864</v>
      </c>
      <c r="H3605" s="5">
        <f>IFERROR(__xludf.DUMMYFUNCTION("""COMPUTED_VALUE"""),0.6130091984231275)</f>
        <v>0.6130091984</v>
      </c>
      <c r="I3605" s="11">
        <f>IFERROR(__xludf.DUMMYFUNCTION("""COMPUTED_VALUE"""),5554.862023653088)</f>
        <v>5554.862024</v>
      </c>
      <c r="J3605" s="10">
        <f>IFERROR(__xludf.DUMMYFUNCTION("""COMPUTED_VALUE"""),0.0)</f>
        <v>0</v>
      </c>
      <c r="K3605" s="5">
        <f>IFERROR(__xludf.DUMMYFUNCTION("""COMPUTED_VALUE"""),0.0)</f>
        <v>0</v>
      </c>
      <c r="L3605" s="10">
        <f>IFERROR(__xludf.DUMMYFUNCTION("""COMPUTED_VALUE"""),162.0)</f>
        <v>162</v>
      </c>
      <c r="M3605" s="5">
        <f>IFERROR(__xludf.DUMMYFUNCTION("""COMPUTED_VALUE"""),0.23615160349854228)</f>
        <v>0.2361516035</v>
      </c>
    </row>
    <row r="3606">
      <c r="A3606" s="10" t="str">
        <f>IFERROR(__xludf.DUMMYFUNCTION("""COMPUTED_VALUE"""),"chrousa")</f>
        <v>chrousa</v>
      </c>
      <c r="B3606" s="10">
        <f>IFERROR(__xludf.DUMMYFUNCTION("""COMPUTED_VALUE"""),628.0)</f>
        <v>628</v>
      </c>
      <c r="C3606" s="10">
        <f>IFERROR(__xludf.DUMMYFUNCTION("""COMPUTED_VALUE"""),7446.0)</f>
        <v>7446</v>
      </c>
      <c r="D3606" s="5">
        <f>IFERROR(__xludf.DUMMYFUNCTION("""COMPUTED_VALUE"""),0.2953945438545028)</f>
        <v>0.2953945439</v>
      </c>
      <c r="E3606" s="5">
        <f>IFERROR(__xludf.DUMMYFUNCTION("""COMPUTED_VALUE"""),0.1229099442651804)</f>
        <v>0.1229099443</v>
      </c>
      <c r="F3606" s="5">
        <f>IFERROR(__xludf.DUMMYFUNCTION("""COMPUTED_VALUE"""),0.18289821061894984)</f>
        <v>0.1828982106</v>
      </c>
      <c r="G3606" s="5">
        <f>IFERROR(__xludf.DUMMYFUNCTION("""COMPUTED_VALUE"""),0.1540041067761807)</f>
        <v>0.1540041068</v>
      </c>
      <c r="H3606" s="5">
        <f>IFERROR(__xludf.DUMMYFUNCTION("""COMPUTED_VALUE"""),0.5677626303127506)</f>
        <v>0.5677626303</v>
      </c>
      <c r="I3606" s="11">
        <f>IFERROR(__xludf.DUMMYFUNCTION("""COMPUTED_VALUE"""),6210.3448275862065)</f>
        <v>6210.344828</v>
      </c>
      <c r="J3606" s="10">
        <f>IFERROR(__xludf.DUMMYFUNCTION("""COMPUTED_VALUE"""),3.0)</f>
        <v>3</v>
      </c>
      <c r="K3606" s="5">
        <f>IFERROR(__xludf.DUMMYFUNCTION("""COMPUTED_VALUE"""),0.004777070063694267)</f>
        <v>0.004777070064</v>
      </c>
      <c r="L3606" s="10">
        <f>IFERROR(__xludf.DUMMYFUNCTION("""COMPUTED_VALUE"""),628.0)</f>
        <v>628</v>
      </c>
      <c r="M3606" s="5">
        <f>IFERROR(__xludf.DUMMYFUNCTION("""COMPUTED_VALUE"""),1.0)</f>
        <v>1</v>
      </c>
    </row>
    <row r="3607">
      <c r="A3607" s="10" t="str">
        <f>IFERROR(__xludf.DUMMYFUNCTION("""COMPUTED_VALUE"""),"五代目ぶたじろう")</f>
        <v>五代目ぶたじろう</v>
      </c>
      <c r="B3607" s="10">
        <f>IFERROR(__xludf.DUMMYFUNCTION("""COMPUTED_VALUE"""),467.0)</f>
        <v>467</v>
      </c>
      <c r="C3607" s="10">
        <f>IFERROR(__xludf.DUMMYFUNCTION("""COMPUTED_VALUE"""),5422.0)</f>
        <v>5422</v>
      </c>
      <c r="D3607" s="5">
        <f>IFERROR(__xludf.DUMMYFUNCTION("""COMPUTED_VALUE"""),0.3136226034308779)</f>
        <v>0.3136226034</v>
      </c>
      <c r="E3607" s="5">
        <f>IFERROR(__xludf.DUMMYFUNCTION("""COMPUTED_VALUE"""),0.12290615539858729)</f>
        <v>0.1229061554</v>
      </c>
      <c r="F3607" s="5">
        <f>IFERROR(__xludf.DUMMYFUNCTION("""COMPUTED_VALUE"""),0.19677093844601412)</f>
        <v>0.1967709384</v>
      </c>
      <c r="G3607" s="5">
        <f>IFERROR(__xludf.DUMMYFUNCTION("""COMPUTED_VALUE"""),0.1893037336024218)</f>
        <v>0.1893037336</v>
      </c>
      <c r="H3607" s="5">
        <f>IFERROR(__xludf.DUMMYFUNCTION("""COMPUTED_VALUE"""),0.5682051282051283)</f>
        <v>0.5682051282</v>
      </c>
      <c r="I3607" s="11">
        <f>IFERROR(__xludf.DUMMYFUNCTION("""COMPUTED_VALUE"""),5912.102564102564)</f>
        <v>5912.102564</v>
      </c>
      <c r="J3607" s="10">
        <f>IFERROR(__xludf.DUMMYFUNCTION("""COMPUTED_VALUE"""),0.0)</f>
        <v>0</v>
      </c>
      <c r="K3607" s="5">
        <f>IFERROR(__xludf.DUMMYFUNCTION("""COMPUTED_VALUE"""),0.0)</f>
        <v>0</v>
      </c>
      <c r="L3607" s="10">
        <f>IFERROR(__xludf.DUMMYFUNCTION("""COMPUTED_VALUE"""),467.0)</f>
        <v>467</v>
      </c>
      <c r="M3607" s="5">
        <f>IFERROR(__xludf.DUMMYFUNCTION("""COMPUTED_VALUE"""),1.0)</f>
        <v>1</v>
      </c>
    </row>
    <row r="3608">
      <c r="A3608" s="10" t="str">
        <f>IFERROR(__xludf.DUMMYFUNCTION("""COMPUTED_VALUE"""),"つっき～2nd")</f>
        <v>つっき～2nd</v>
      </c>
      <c r="B3608" s="10">
        <f>IFERROR(__xludf.DUMMYFUNCTION("""COMPUTED_VALUE"""),2795.0)</f>
        <v>2795</v>
      </c>
      <c r="C3608" s="10">
        <f>IFERROR(__xludf.DUMMYFUNCTION("""COMPUTED_VALUE"""),32867.0)</f>
        <v>32867</v>
      </c>
      <c r="D3608" s="5">
        <f>IFERROR(__xludf.DUMMYFUNCTION("""COMPUTED_VALUE"""),0.3369579675445597)</f>
        <v>0.3369579675</v>
      </c>
      <c r="E3608" s="5">
        <f>IFERROR(__xludf.DUMMYFUNCTION("""COMPUTED_VALUE"""),0.12290502793296089)</f>
        <v>0.1229050279</v>
      </c>
      <c r="F3608" s="5">
        <f>IFERROR(__xludf.DUMMYFUNCTION("""COMPUTED_VALUE"""),0.21089385474860337)</f>
        <v>0.2108938547</v>
      </c>
      <c r="G3608" s="5">
        <f>IFERROR(__xludf.DUMMYFUNCTION("""COMPUTED_VALUE"""),0.18668528864059591)</f>
        <v>0.1866852886</v>
      </c>
      <c r="H3608" s="5">
        <f>IFERROR(__xludf.DUMMYFUNCTION("""COMPUTED_VALUE"""),0.5853043204036582)</f>
        <v>0.5853043204</v>
      </c>
      <c r="I3608" s="11">
        <f>IFERROR(__xludf.DUMMYFUNCTION("""COMPUTED_VALUE"""),5616.461684011353)</f>
        <v>5616.461684</v>
      </c>
      <c r="J3608" s="10">
        <f>IFERROR(__xludf.DUMMYFUNCTION("""COMPUTED_VALUE"""),4.0)</f>
        <v>4</v>
      </c>
      <c r="K3608" s="5">
        <f>IFERROR(__xludf.DUMMYFUNCTION("""COMPUTED_VALUE"""),0.0014311270125223613)</f>
        <v>0.001431127013</v>
      </c>
      <c r="L3608" s="10">
        <f>IFERROR(__xludf.DUMMYFUNCTION("""COMPUTED_VALUE"""),2222.0)</f>
        <v>2222</v>
      </c>
      <c r="M3608" s="5">
        <f>IFERROR(__xludf.DUMMYFUNCTION("""COMPUTED_VALUE"""),0.7949910554561718)</f>
        <v>0.7949910555</v>
      </c>
    </row>
    <row r="3609">
      <c r="A3609" s="10" t="str">
        <f>IFERROR(__xludf.DUMMYFUNCTION("""COMPUTED_VALUE"""),"鳳弥")</f>
        <v>鳳弥</v>
      </c>
      <c r="B3609" s="10">
        <f>IFERROR(__xludf.DUMMYFUNCTION("""COMPUTED_VALUE"""),1131.0)</f>
        <v>1131</v>
      </c>
      <c r="C3609" s="10">
        <f>IFERROR(__xludf.DUMMYFUNCTION("""COMPUTED_VALUE"""),13287.0)</f>
        <v>13287</v>
      </c>
      <c r="D3609" s="5">
        <f>IFERROR(__xludf.DUMMYFUNCTION("""COMPUTED_VALUE"""),0.34410990457387297)</f>
        <v>0.3441099046</v>
      </c>
      <c r="E3609" s="5">
        <f>IFERROR(__xludf.DUMMYFUNCTION("""COMPUTED_VALUE"""),0.12290227048371175)</f>
        <v>0.1229022705</v>
      </c>
      <c r="F3609" s="5">
        <f>IFERROR(__xludf.DUMMYFUNCTION("""COMPUTED_VALUE"""),0.20557749259624877)</f>
        <v>0.2055774926</v>
      </c>
      <c r="G3609" s="5">
        <f>IFERROR(__xludf.DUMMYFUNCTION("""COMPUTED_VALUE"""),0.16337611056268508)</f>
        <v>0.1633761106</v>
      </c>
      <c r="H3609" s="5">
        <f>IFERROR(__xludf.DUMMYFUNCTION("""COMPUTED_VALUE"""),0.6130452180872349)</f>
        <v>0.6130452181</v>
      </c>
      <c r="I3609" s="11">
        <f>IFERROR(__xludf.DUMMYFUNCTION("""COMPUTED_VALUE"""),5699.799919967987)</f>
        <v>5699.79992</v>
      </c>
      <c r="J3609" s="10">
        <f>IFERROR(__xludf.DUMMYFUNCTION("""COMPUTED_VALUE"""),3.0)</f>
        <v>3</v>
      </c>
      <c r="K3609" s="5">
        <f>IFERROR(__xludf.DUMMYFUNCTION("""COMPUTED_VALUE"""),0.002652519893899204)</f>
        <v>0.002652519894</v>
      </c>
      <c r="L3609" s="10">
        <f>IFERROR(__xludf.DUMMYFUNCTION("""COMPUTED_VALUE"""),1131.0)</f>
        <v>1131</v>
      </c>
      <c r="M3609" s="5">
        <f>IFERROR(__xludf.DUMMYFUNCTION("""COMPUTED_VALUE"""),1.0)</f>
        <v>1</v>
      </c>
    </row>
    <row r="3610">
      <c r="A3610" s="10" t="str">
        <f>IFERROR(__xludf.DUMMYFUNCTION("""COMPUTED_VALUE"""),"わた坊☆")</f>
        <v>わた坊☆</v>
      </c>
      <c r="B3610" s="10">
        <f>IFERROR(__xludf.DUMMYFUNCTION("""COMPUTED_VALUE"""),1641.0)</f>
        <v>1641</v>
      </c>
      <c r="C3610" s="10">
        <f>IFERROR(__xludf.DUMMYFUNCTION("""COMPUTED_VALUE"""),19159.0)</f>
        <v>19159</v>
      </c>
      <c r="D3610" s="5">
        <f>IFERROR(__xludf.DUMMYFUNCTION("""COMPUTED_VALUE"""),0.35386459641511586)</f>
        <v>0.3538645964</v>
      </c>
      <c r="E3610" s="5">
        <f>IFERROR(__xludf.DUMMYFUNCTION("""COMPUTED_VALUE"""),0.12290215778056855)</f>
        <v>0.1229021578</v>
      </c>
      <c r="F3610" s="5">
        <f>IFERROR(__xludf.DUMMYFUNCTION("""COMPUTED_VALUE"""),0.21640598241808426)</f>
        <v>0.2164059824</v>
      </c>
      <c r="G3610" s="5">
        <f>IFERROR(__xludf.DUMMYFUNCTION("""COMPUTED_VALUE"""),0.1525288274917228)</f>
        <v>0.1525288275</v>
      </c>
      <c r="H3610" s="5">
        <f>IFERROR(__xludf.DUMMYFUNCTION("""COMPUTED_VALUE"""),0.6093379055658138)</f>
        <v>0.6093379056</v>
      </c>
      <c r="I3610" s="11">
        <f>IFERROR(__xludf.DUMMYFUNCTION("""COMPUTED_VALUE"""),5361.250329728304)</f>
        <v>5361.25033</v>
      </c>
      <c r="J3610" s="10">
        <f>IFERROR(__xludf.DUMMYFUNCTION("""COMPUTED_VALUE"""),2.0)</f>
        <v>2</v>
      </c>
      <c r="K3610" s="5">
        <f>IFERROR(__xludf.DUMMYFUNCTION("""COMPUTED_VALUE"""),0.001218769043266301)</f>
        <v>0.001218769043</v>
      </c>
      <c r="L3610" s="10">
        <f>IFERROR(__xludf.DUMMYFUNCTION("""COMPUTED_VALUE"""),1641.0)</f>
        <v>1641</v>
      </c>
      <c r="M3610" s="5">
        <f>IFERROR(__xludf.DUMMYFUNCTION("""COMPUTED_VALUE"""),1.0)</f>
        <v>1</v>
      </c>
    </row>
    <row r="3611">
      <c r="A3611" s="10" t="str">
        <f>IFERROR(__xludf.DUMMYFUNCTION("""COMPUTED_VALUE"""),"G.K.")</f>
        <v>G.K.</v>
      </c>
      <c r="B3611" s="10">
        <f>IFERROR(__xludf.DUMMYFUNCTION("""COMPUTED_VALUE"""),2978.0)</f>
        <v>2978</v>
      </c>
      <c r="C3611" s="10">
        <f>IFERROR(__xludf.DUMMYFUNCTION("""COMPUTED_VALUE"""),34785.0)</f>
        <v>34785</v>
      </c>
      <c r="D3611" s="5">
        <f>IFERROR(__xludf.DUMMYFUNCTION("""COMPUTED_VALUE"""),0.3533184519131009)</f>
        <v>0.3533184519</v>
      </c>
      <c r="E3611" s="5">
        <f>IFERROR(__xludf.DUMMYFUNCTION("""COMPUTED_VALUE"""),0.12289747539849719)</f>
        <v>0.1228974754</v>
      </c>
      <c r="F3611" s="5">
        <f>IFERROR(__xludf.DUMMYFUNCTION("""COMPUTED_VALUE"""),0.21092841198478324)</f>
        <v>0.210928412</v>
      </c>
      <c r="G3611" s="5">
        <f>IFERROR(__xludf.DUMMYFUNCTION("""COMPUTED_VALUE"""),0.17917439557330148)</f>
        <v>0.1791743956</v>
      </c>
      <c r="H3611" s="5">
        <f>IFERROR(__xludf.DUMMYFUNCTION("""COMPUTED_VALUE"""),0.5978536294529736)</f>
        <v>0.5978536295</v>
      </c>
      <c r="I3611" s="11">
        <f>IFERROR(__xludf.DUMMYFUNCTION("""COMPUTED_VALUE"""),5721.150693098823)</f>
        <v>5721.150693</v>
      </c>
      <c r="J3611" s="10">
        <f>IFERROR(__xludf.DUMMYFUNCTION("""COMPUTED_VALUE"""),5.0)</f>
        <v>5</v>
      </c>
      <c r="K3611" s="5">
        <f>IFERROR(__xludf.DUMMYFUNCTION("""COMPUTED_VALUE"""),0.0016789791806581598)</f>
        <v>0.001678979181</v>
      </c>
      <c r="L3611" s="10">
        <f>IFERROR(__xludf.DUMMYFUNCTION("""COMPUTED_VALUE"""),2978.0)</f>
        <v>2978</v>
      </c>
      <c r="M3611" s="5">
        <f>IFERROR(__xludf.DUMMYFUNCTION("""COMPUTED_VALUE"""),1.0)</f>
        <v>1</v>
      </c>
    </row>
    <row r="3612">
      <c r="A3612" s="10" t="str">
        <f>IFERROR(__xludf.DUMMYFUNCTION("""COMPUTED_VALUE"""),"熊鷹")</f>
        <v>熊鷹</v>
      </c>
      <c r="B3612" s="10">
        <f>IFERROR(__xludf.DUMMYFUNCTION("""COMPUTED_VALUE"""),384.0)</f>
        <v>384</v>
      </c>
      <c r="C3612" s="10">
        <f>IFERROR(__xludf.DUMMYFUNCTION("""COMPUTED_VALUE"""),4485.0)</f>
        <v>4485</v>
      </c>
      <c r="D3612" s="5">
        <f>IFERROR(__xludf.DUMMYFUNCTION("""COMPUTED_VALUE"""),0.3511338697878566)</f>
        <v>0.3511338698</v>
      </c>
      <c r="E3612" s="5">
        <f>IFERROR(__xludf.DUMMYFUNCTION("""COMPUTED_VALUE"""),0.12289685442574981)</f>
        <v>0.1228968544</v>
      </c>
      <c r="F3612" s="5">
        <f>IFERROR(__xludf.DUMMYFUNCTION("""COMPUTED_VALUE"""),0.19287978541819067)</f>
        <v>0.1928797854</v>
      </c>
      <c r="G3612" s="5">
        <f>IFERROR(__xludf.DUMMYFUNCTION("""COMPUTED_VALUE"""),0.12070226773957571)</f>
        <v>0.1207022677</v>
      </c>
      <c r="H3612" s="5">
        <f>IFERROR(__xludf.DUMMYFUNCTION("""COMPUTED_VALUE"""),0.640960809102402)</f>
        <v>0.6409608091</v>
      </c>
      <c r="I3612" s="11">
        <f>IFERROR(__xludf.DUMMYFUNCTION("""COMPUTED_VALUE"""),5538.938053097345)</f>
        <v>5538.938053</v>
      </c>
      <c r="J3612" s="10">
        <f>IFERROR(__xludf.DUMMYFUNCTION("""COMPUTED_VALUE"""),1.0)</f>
        <v>1</v>
      </c>
      <c r="K3612" s="5">
        <f>IFERROR(__xludf.DUMMYFUNCTION("""COMPUTED_VALUE"""),0.0026041666666666665)</f>
        <v>0.002604166667</v>
      </c>
      <c r="L3612" s="10">
        <f>IFERROR(__xludf.DUMMYFUNCTION("""COMPUTED_VALUE"""),384.0)</f>
        <v>384</v>
      </c>
      <c r="M3612" s="5">
        <f>IFERROR(__xludf.DUMMYFUNCTION("""COMPUTED_VALUE"""),1.0)</f>
        <v>1</v>
      </c>
    </row>
    <row r="3613">
      <c r="A3613" s="10" t="str">
        <f>IFERROR(__xludf.DUMMYFUNCTION("""COMPUTED_VALUE"""),"パネポン")</f>
        <v>パネポン</v>
      </c>
      <c r="B3613" s="10">
        <f>IFERROR(__xludf.DUMMYFUNCTION("""COMPUTED_VALUE"""),187.0)</f>
        <v>187</v>
      </c>
      <c r="C3613" s="10">
        <f>IFERROR(__xludf.DUMMYFUNCTION("""COMPUTED_VALUE"""),2140.0)</f>
        <v>2140</v>
      </c>
      <c r="D3613" s="5">
        <f>IFERROR(__xludf.DUMMYFUNCTION("""COMPUTED_VALUE"""),0.3527905785970302)</f>
        <v>0.3527905786</v>
      </c>
      <c r="E3613" s="5">
        <f>IFERROR(__xludf.DUMMYFUNCTION("""COMPUTED_VALUE"""),0.1228878648233487)</f>
        <v>0.1228878648</v>
      </c>
      <c r="F3613" s="5">
        <f>IFERROR(__xludf.DUMMYFUNCTION("""COMPUTED_VALUE"""),0.20327700972862264)</f>
        <v>0.2032770097</v>
      </c>
      <c r="G3613" s="5">
        <f>IFERROR(__xludf.DUMMYFUNCTION("""COMPUTED_VALUE"""),0.1858678955453149)</f>
        <v>0.1858678955</v>
      </c>
      <c r="H3613" s="5">
        <f>IFERROR(__xludf.DUMMYFUNCTION("""COMPUTED_VALUE"""),0.5944584382871536)</f>
        <v>0.5944584383</v>
      </c>
      <c r="I3613" s="11">
        <f>IFERROR(__xludf.DUMMYFUNCTION("""COMPUTED_VALUE"""),5760.7052896725445)</f>
        <v>5760.70529</v>
      </c>
      <c r="J3613" s="10">
        <f>IFERROR(__xludf.DUMMYFUNCTION("""COMPUTED_VALUE"""),0.0)</f>
        <v>0</v>
      </c>
      <c r="K3613" s="5">
        <f>IFERROR(__xludf.DUMMYFUNCTION("""COMPUTED_VALUE"""),0.0)</f>
        <v>0</v>
      </c>
      <c r="L3613" s="10">
        <f>IFERROR(__xludf.DUMMYFUNCTION("""COMPUTED_VALUE"""),0.0)</f>
        <v>0</v>
      </c>
      <c r="M3613" s="5">
        <f>IFERROR(__xludf.DUMMYFUNCTION("""COMPUTED_VALUE"""),0.0)</f>
        <v>0</v>
      </c>
    </row>
    <row r="3614">
      <c r="A3614" s="10" t="str">
        <f>IFERROR(__xludf.DUMMYFUNCTION("""COMPUTED_VALUE"""),"Hibiki")</f>
        <v>Hibiki</v>
      </c>
      <c r="B3614" s="10">
        <f>IFERROR(__xludf.DUMMYFUNCTION("""COMPUTED_VALUE"""),215.0)</f>
        <v>215</v>
      </c>
      <c r="C3614" s="10">
        <f>IFERROR(__xludf.DUMMYFUNCTION("""COMPUTED_VALUE"""),2461.0)</f>
        <v>2461</v>
      </c>
      <c r="D3614" s="5">
        <f>IFERROR(__xludf.DUMMYFUNCTION("""COMPUTED_VALUE"""),0.3579697239536955)</f>
        <v>0.357969724</v>
      </c>
      <c r="E3614" s="5">
        <f>IFERROR(__xludf.DUMMYFUNCTION("""COMPUTED_VALUE"""),0.12288512911843277)</f>
        <v>0.1228851291</v>
      </c>
      <c r="F3614" s="5">
        <f>IFERROR(__xludf.DUMMYFUNCTION("""COMPUTED_VALUE"""),0.21682991985752448)</f>
        <v>0.2168299199</v>
      </c>
      <c r="G3614" s="5">
        <f>IFERROR(__xludf.DUMMYFUNCTION("""COMPUTED_VALUE"""),0.15449688334817455)</f>
        <v>0.1544968833</v>
      </c>
      <c r="H3614" s="5">
        <f>IFERROR(__xludf.DUMMYFUNCTION("""COMPUTED_VALUE"""),0.6776180698151951)</f>
        <v>0.6776180698</v>
      </c>
      <c r="I3614" s="11">
        <f>IFERROR(__xludf.DUMMYFUNCTION("""COMPUTED_VALUE"""),5215.811088295688)</f>
        <v>5215.811088</v>
      </c>
      <c r="J3614" s="10">
        <f>IFERROR(__xludf.DUMMYFUNCTION("""COMPUTED_VALUE"""),0.0)</f>
        <v>0</v>
      </c>
      <c r="K3614" s="5">
        <f>IFERROR(__xludf.DUMMYFUNCTION("""COMPUTED_VALUE"""),0.0)</f>
        <v>0</v>
      </c>
      <c r="L3614" s="10">
        <f>IFERROR(__xludf.DUMMYFUNCTION("""COMPUTED_VALUE"""),0.0)</f>
        <v>0</v>
      </c>
      <c r="M3614" s="5">
        <f>IFERROR(__xludf.DUMMYFUNCTION("""COMPUTED_VALUE"""),0.0)</f>
        <v>0</v>
      </c>
    </row>
    <row r="3615">
      <c r="A3615" s="10" t="str">
        <f>IFERROR(__xludf.DUMMYFUNCTION("""COMPUTED_VALUE"""),"(´―ω―`)")</f>
        <v>(´―ω―`)</v>
      </c>
      <c r="B3615" s="10">
        <f>IFERROR(__xludf.DUMMYFUNCTION("""COMPUTED_VALUE"""),700.0)</f>
        <v>700</v>
      </c>
      <c r="C3615" s="10">
        <f>IFERROR(__xludf.DUMMYFUNCTION("""COMPUTED_VALUE"""),8138.0)</f>
        <v>8138</v>
      </c>
      <c r="D3615" s="5">
        <f>IFERROR(__xludf.DUMMYFUNCTION("""COMPUTED_VALUE"""),0.37792417316482924)</f>
        <v>0.3779241732</v>
      </c>
      <c r="E3615" s="5">
        <f>IFERROR(__xludf.DUMMYFUNCTION("""COMPUTED_VALUE"""),0.12288249529443399)</f>
        <v>0.1228824953</v>
      </c>
      <c r="F3615" s="5">
        <f>IFERROR(__xludf.DUMMYFUNCTION("""COMPUTED_VALUE"""),0.21511158913686476)</f>
        <v>0.2151115891</v>
      </c>
      <c r="G3615" s="5">
        <f>IFERROR(__xludf.DUMMYFUNCTION("""COMPUTED_VALUE"""),0.18351707448238774)</f>
        <v>0.1835170745</v>
      </c>
      <c r="H3615" s="5">
        <f>IFERROR(__xludf.DUMMYFUNCTION("""COMPUTED_VALUE"""),0.56625)</f>
        <v>0.56625</v>
      </c>
      <c r="I3615" s="11">
        <f>IFERROR(__xludf.DUMMYFUNCTION("""COMPUTED_VALUE"""),5473.6875)</f>
        <v>5473.6875</v>
      </c>
      <c r="J3615" s="10">
        <f>IFERROR(__xludf.DUMMYFUNCTION("""COMPUTED_VALUE"""),1.0)</f>
        <v>1</v>
      </c>
      <c r="K3615" s="5">
        <f>IFERROR(__xludf.DUMMYFUNCTION("""COMPUTED_VALUE"""),0.0014285714285714286)</f>
        <v>0.001428571429</v>
      </c>
      <c r="L3615" s="10">
        <f>IFERROR(__xludf.DUMMYFUNCTION("""COMPUTED_VALUE"""),690.0)</f>
        <v>690</v>
      </c>
      <c r="M3615" s="5">
        <f>IFERROR(__xludf.DUMMYFUNCTION("""COMPUTED_VALUE"""),0.9857142857142858)</f>
        <v>0.9857142857</v>
      </c>
    </row>
    <row r="3616">
      <c r="A3616" s="10" t="str">
        <f>IFERROR(__xludf.DUMMYFUNCTION("""COMPUTED_VALUE"""),"【蒼琉】")</f>
        <v>【蒼琉】</v>
      </c>
      <c r="B3616" s="10">
        <f>IFERROR(__xludf.DUMMYFUNCTION("""COMPUTED_VALUE"""),859.0)</f>
        <v>859</v>
      </c>
      <c r="C3616" s="10">
        <f>IFERROR(__xludf.DUMMYFUNCTION("""COMPUTED_VALUE"""),9909.0)</f>
        <v>9909</v>
      </c>
      <c r="D3616" s="5">
        <f>IFERROR(__xludf.DUMMYFUNCTION("""COMPUTED_VALUE"""),0.3206629834254144)</f>
        <v>0.3206629834</v>
      </c>
      <c r="E3616" s="5">
        <f>IFERROR(__xludf.DUMMYFUNCTION("""COMPUTED_VALUE"""),0.12287292817679558)</f>
        <v>0.1228729282</v>
      </c>
      <c r="F3616" s="5">
        <f>IFERROR(__xludf.DUMMYFUNCTION("""COMPUTED_VALUE"""),0.2138121546961326)</f>
        <v>0.2138121547</v>
      </c>
      <c r="G3616" s="5">
        <f>IFERROR(__xludf.DUMMYFUNCTION("""COMPUTED_VALUE"""),0.18950276243093922)</f>
        <v>0.1895027624</v>
      </c>
      <c r="H3616" s="5">
        <f>IFERROR(__xludf.DUMMYFUNCTION("""COMPUTED_VALUE"""),0.5922480620155038)</f>
        <v>0.592248062</v>
      </c>
      <c r="I3616" s="11">
        <f>IFERROR(__xludf.DUMMYFUNCTION("""COMPUTED_VALUE"""),5736.640826873385)</f>
        <v>5736.640827</v>
      </c>
      <c r="J3616" s="10">
        <f>IFERROR(__xludf.DUMMYFUNCTION("""COMPUTED_VALUE"""),1.0)</f>
        <v>1</v>
      </c>
      <c r="K3616" s="5">
        <f>IFERROR(__xludf.DUMMYFUNCTION("""COMPUTED_VALUE"""),0.0011641443538998836)</f>
        <v>0.001164144354</v>
      </c>
      <c r="L3616" s="10">
        <f>IFERROR(__xludf.DUMMYFUNCTION("""COMPUTED_VALUE"""),0.0)</f>
        <v>0</v>
      </c>
      <c r="M3616" s="5">
        <f>IFERROR(__xludf.DUMMYFUNCTION("""COMPUTED_VALUE"""),0.0)</f>
        <v>0</v>
      </c>
    </row>
    <row r="3617">
      <c r="A3617" s="10" t="str">
        <f>IFERROR(__xludf.DUMMYFUNCTION("""COMPUTED_VALUE"""),"相戸優希")</f>
        <v>相戸優希</v>
      </c>
      <c r="B3617" s="10">
        <f>IFERROR(__xludf.DUMMYFUNCTION("""COMPUTED_VALUE"""),218.0)</f>
        <v>218</v>
      </c>
      <c r="C3617" s="10">
        <f>IFERROR(__xludf.DUMMYFUNCTION("""COMPUTED_VALUE"""),2627.0)</f>
        <v>2627</v>
      </c>
      <c r="D3617" s="5">
        <f>IFERROR(__xludf.DUMMYFUNCTION("""COMPUTED_VALUE"""),0.3619759236197592)</f>
        <v>0.3619759236</v>
      </c>
      <c r="E3617" s="5">
        <f>IFERROR(__xludf.DUMMYFUNCTION("""COMPUTED_VALUE"""),0.12287256122872561)</f>
        <v>0.1228725612</v>
      </c>
      <c r="F3617" s="5">
        <f>IFERROR(__xludf.DUMMYFUNCTION("""COMPUTED_VALUE"""),0.19842258198422583)</f>
        <v>0.198422582</v>
      </c>
      <c r="G3617" s="5">
        <f>IFERROR(__xludf.DUMMYFUNCTION("""COMPUTED_VALUE"""),0.1490244914902449)</f>
        <v>0.1490244915</v>
      </c>
      <c r="H3617" s="5">
        <f>IFERROR(__xludf.DUMMYFUNCTION("""COMPUTED_VALUE"""),0.606694560669456)</f>
        <v>0.6066945607</v>
      </c>
      <c r="I3617" s="11">
        <f>IFERROR(__xludf.DUMMYFUNCTION("""COMPUTED_VALUE"""),5438.493723849372)</f>
        <v>5438.493724</v>
      </c>
      <c r="J3617" s="10">
        <f>IFERROR(__xludf.DUMMYFUNCTION("""COMPUTED_VALUE"""),1.0)</f>
        <v>1</v>
      </c>
      <c r="K3617" s="5">
        <f>IFERROR(__xludf.DUMMYFUNCTION("""COMPUTED_VALUE"""),0.0045871559633027525)</f>
        <v>0.004587155963</v>
      </c>
      <c r="L3617" s="10">
        <f>IFERROR(__xludf.DUMMYFUNCTION("""COMPUTED_VALUE"""),14.0)</f>
        <v>14</v>
      </c>
      <c r="M3617" s="5">
        <f>IFERROR(__xludf.DUMMYFUNCTION("""COMPUTED_VALUE"""),0.06422018348623854)</f>
        <v>0.06422018349</v>
      </c>
    </row>
    <row r="3618">
      <c r="A3618" s="10" t="str">
        <f>IFERROR(__xludf.DUMMYFUNCTION("""COMPUTED_VALUE"""),"かとせー")</f>
        <v>かとせー</v>
      </c>
      <c r="B3618" s="10">
        <f>IFERROR(__xludf.DUMMYFUNCTION("""COMPUTED_VALUE"""),524.0)</f>
        <v>524</v>
      </c>
      <c r="C3618" s="10">
        <f>IFERROR(__xludf.DUMMYFUNCTION("""COMPUTED_VALUE"""),6099.0)</f>
        <v>6099</v>
      </c>
      <c r="D3618" s="5">
        <f>IFERROR(__xludf.DUMMYFUNCTION("""COMPUTED_VALUE"""),0.3734529147982063)</f>
        <v>0.3734529148</v>
      </c>
      <c r="E3618" s="5">
        <f>IFERROR(__xludf.DUMMYFUNCTION("""COMPUTED_VALUE"""),0.12286995515695068)</f>
        <v>0.1228699552</v>
      </c>
      <c r="F3618" s="5">
        <f>IFERROR(__xludf.DUMMYFUNCTION("""COMPUTED_VALUE"""),0.22349775784753365)</f>
        <v>0.2234977578</v>
      </c>
      <c r="G3618" s="5">
        <f>IFERROR(__xludf.DUMMYFUNCTION("""COMPUTED_VALUE"""),0.16609865470852017)</f>
        <v>0.1660986547</v>
      </c>
      <c r="H3618" s="5">
        <f>IFERROR(__xludf.DUMMYFUNCTION("""COMPUTED_VALUE"""),0.6308186195826645)</f>
        <v>0.6308186196</v>
      </c>
      <c r="I3618" s="11">
        <f>IFERROR(__xludf.DUMMYFUNCTION("""COMPUTED_VALUE"""),5405.056179775281)</f>
        <v>5405.05618</v>
      </c>
      <c r="J3618" s="10">
        <f>IFERROR(__xludf.DUMMYFUNCTION("""COMPUTED_VALUE"""),1.0)</f>
        <v>1</v>
      </c>
      <c r="K3618" s="5">
        <f>IFERROR(__xludf.DUMMYFUNCTION("""COMPUTED_VALUE"""),0.0019083969465648854)</f>
        <v>0.001908396947</v>
      </c>
      <c r="L3618" s="10">
        <f>IFERROR(__xludf.DUMMYFUNCTION("""COMPUTED_VALUE"""),524.0)</f>
        <v>524</v>
      </c>
      <c r="M3618" s="5">
        <f>IFERROR(__xludf.DUMMYFUNCTION("""COMPUTED_VALUE"""),1.0)</f>
        <v>1</v>
      </c>
    </row>
    <row r="3619">
      <c r="A3619" s="10" t="str">
        <f>IFERROR(__xludf.DUMMYFUNCTION("""COMPUTED_VALUE"""),"すたーらいとびー")</f>
        <v>すたーらいとびー</v>
      </c>
      <c r="B3619" s="10">
        <f>IFERROR(__xludf.DUMMYFUNCTION("""COMPUTED_VALUE"""),1050.0)</f>
        <v>1050</v>
      </c>
      <c r="C3619" s="10">
        <f>IFERROR(__xludf.DUMMYFUNCTION("""COMPUTED_VALUE"""),12550.0)</f>
        <v>12550</v>
      </c>
      <c r="D3619" s="5">
        <f>IFERROR(__xludf.DUMMYFUNCTION("""COMPUTED_VALUE"""),0.2731304347826087)</f>
        <v>0.2731304348</v>
      </c>
      <c r="E3619" s="5">
        <f>IFERROR(__xludf.DUMMYFUNCTION("""COMPUTED_VALUE"""),0.1228695652173913)</f>
        <v>0.1228695652</v>
      </c>
      <c r="F3619" s="5">
        <f>IFERROR(__xludf.DUMMYFUNCTION("""COMPUTED_VALUE"""),0.1957391304347826)</f>
        <v>0.1957391304</v>
      </c>
      <c r="G3619" s="5">
        <f>IFERROR(__xludf.DUMMYFUNCTION("""COMPUTED_VALUE"""),0.15504347826086956)</f>
        <v>0.1550434783</v>
      </c>
      <c r="H3619" s="5">
        <f>IFERROR(__xludf.DUMMYFUNCTION("""COMPUTED_VALUE"""),0.5939582407818748)</f>
        <v>0.5939582408</v>
      </c>
      <c r="I3619" s="11">
        <f>IFERROR(__xludf.DUMMYFUNCTION("""COMPUTED_VALUE"""),5844.602398933807)</f>
        <v>5844.602399</v>
      </c>
      <c r="J3619" s="10">
        <f>IFERROR(__xludf.DUMMYFUNCTION("""COMPUTED_VALUE"""),3.0)</f>
        <v>3</v>
      </c>
      <c r="K3619" s="5">
        <f>IFERROR(__xludf.DUMMYFUNCTION("""COMPUTED_VALUE"""),0.002857142857142857)</f>
        <v>0.002857142857</v>
      </c>
      <c r="L3619" s="10">
        <f>IFERROR(__xludf.DUMMYFUNCTION("""COMPUTED_VALUE"""),704.0)</f>
        <v>704</v>
      </c>
      <c r="M3619" s="5">
        <f>IFERROR(__xludf.DUMMYFUNCTION("""COMPUTED_VALUE"""),0.6704761904761904)</f>
        <v>0.6704761905</v>
      </c>
    </row>
    <row r="3620">
      <c r="A3620" s="10" t="str">
        <f>IFERROR(__xludf.DUMMYFUNCTION("""COMPUTED_VALUE"""),"模索中")</f>
        <v>模索中</v>
      </c>
      <c r="B3620" s="10">
        <f>IFERROR(__xludf.DUMMYFUNCTION("""COMPUTED_VALUE"""),140.0)</f>
        <v>140</v>
      </c>
      <c r="C3620" s="10">
        <f>IFERROR(__xludf.DUMMYFUNCTION("""COMPUTED_VALUE"""),1662.0)</f>
        <v>1662</v>
      </c>
      <c r="D3620" s="5">
        <f>IFERROR(__xludf.DUMMYFUNCTION("""COMPUTED_VALUE"""),0.3567674113009198)</f>
        <v>0.3567674113</v>
      </c>
      <c r="E3620" s="5">
        <f>IFERROR(__xludf.DUMMYFUNCTION("""COMPUTED_VALUE"""),0.1228646517739816)</f>
        <v>0.1228646518</v>
      </c>
      <c r="F3620" s="5">
        <f>IFERROR(__xludf.DUMMYFUNCTION("""COMPUTED_VALUE"""),0.19842312746386334)</f>
        <v>0.1984231275</v>
      </c>
      <c r="G3620" s="5">
        <f>IFERROR(__xludf.DUMMYFUNCTION("""COMPUTED_VALUE"""),0.18199737187910645)</f>
        <v>0.1819973719</v>
      </c>
      <c r="H3620" s="5">
        <f>IFERROR(__xludf.DUMMYFUNCTION("""COMPUTED_VALUE"""),0.5629139072847682)</f>
        <v>0.5629139073</v>
      </c>
      <c r="I3620" s="11">
        <f>IFERROR(__xludf.DUMMYFUNCTION("""COMPUTED_VALUE"""),6027.152317880795)</f>
        <v>6027.152318</v>
      </c>
      <c r="J3620" s="10">
        <f>IFERROR(__xludf.DUMMYFUNCTION("""COMPUTED_VALUE"""),1.0)</f>
        <v>1</v>
      </c>
      <c r="K3620" s="5">
        <f>IFERROR(__xludf.DUMMYFUNCTION("""COMPUTED_VALUE"""),0.007142857142857143)</f>
        <v>0.007142857143</v>
      </c>
      <c r="L3620" s="10">
        <f>IFERROR(__xludf.DUMMYFUNCTION("""COMPUTED_VALUE"""),140.0)</f>
        <v>140</v>
      </c>
      <c r="M3620" s="5">
        <f>IFERROR(__xludf.DUMMYFUNCTION("""COMPUTED_VALUE"""),1.0)</f>
        <v>1</v>
      </c>
    </row>
    <row r="3621">
      <c r="A3621" s="10" t="str">
        <f>IFERROR(__xludf.DUMMYFUNCTION("""COMPUTED_VALUE"""),"Antidote")</f>
        <v>Antidote</v>
      </c>
      <c r="B3621" s="10">
        <f>IFERROR(__xludf.DUMMYFUNCTION("""COMPUTED_VALUE"""),263.0)</f>
        <v>263</v>
      </c>
      <c r="C3621" s="10">
        <f>IFERROR(__xludf.DUMMYFUNCTION("""COMPUTED_VALUE"""),3006.0)</f>
        <v>3006</v>
      </c>
      <c r="D3621" s="5">
        <f>IFERROR(__xludf.DUMMYFUNCTION("""COMPUTED_VALUE"""),0.33138899015676265)</f>
        <v>0.3313889902</v>
      </c>
      <c r="E3621" s="5">
        <f>IFERROR(__xludf.DUMMYFUNCTION("""COMPUTED_VALUE"""),0.12285818446955887)</f>
        <v>0.1228581845</v>
      </c>
      <c r="F3621" s="5">
        <f>IFERROR(__xludf.DUMMYFUNCTION("""COMPUTED_VALUE"""),0.2107181917608458)</f>
        <v>0.2107181918</v>
      </c>
      <c r="G3621" s="5">
        <f>IFERROR(__xludf.DUMMYFUNCTION("""COMPUTED_VALUE"""),0.17499088589135983)</f>
        <v>0.1749908859</v>
      </c>
      <c r="H3621" s="5">
        <f>IFERROR(__xludf.DUMMYFUNCTION("""COMPUTED_VALUE"""),0.5899653979238755)</f>
        <v>0.5899653979</v>
      </c>
      <c r="I3621" s="11">
        <f>IFERROR(__xludf.DUMMYFUNCTION("""COMPUTED_VALUE"""),5670.415224913495)</f>
        <v>5670.415225</v>
      </c>
      <c r="J3621" s="10">
        <f>IFERROR(__xludf.DUMMYFUNCTION("""COMPUTED_VALUE"""),0.0)</f>
        <v>0</v>
      </c>
      <c r="K3621" s="5">
        <f>IFERROR(__xludf.DUMMYFUNCTION("""COMPUTED_VALUE"""),0.0)</f>
        <v>0</v>
      </c>
      <c r="L3621" s="10">
        <f>IFERROR(__xludf.DUMMYFUNCTION("""COMPUTED_VALUE"""),263.0)</f>
        <v>263</v>
      </c>
      <c r="M3621" s="5">
        <f>IFERROR(__xludf.DUMMYFUNCTION("""COMPUTED_VALUE"""),1.0)</f>
        <v>1</v>
      </c>
    </row>
    <row r="3622">
      <c r="A3622" s="10" t="str">
        <f>IFERROR(__xludf.DUMMYFUNCTION("""COMPUTED_VALUE"""),"takesi@")</f>
        <v>takesi@</v>
      </c>
      <c r="B3622" s="10">
        <f>IFERROR(__xludf.DUMMYFUNCTION("""COMPUTED_VALUE"""),860.0)</f>
        <v>860</v>
      </c>
      <c r="C3622" s="10">
        <f>IFERROR(__xludf.DUMMYFUNCTION("""COMPUTED_VALUE"""),10066.0)</f>
        <v>10066</v>
      </c>
      <c r="D3622" s="5">
        <f>IFERROR(__xludf.DUMMYFUNCTION("""COMPUTED_VALUE"""),0.3911579404736042)</f>
        <v>0.3911579405</v>
      </c>
      <c r="E3622" s="5">
        <f>IFERROR(__xludf.DUMMYFUNCTION("""COMPUTED_VALUE"""),0.12285466000434499)</f>
        <v>0.12285466</v>
      </c>
      <c r="F3622" s="5">
        <f>IFERROR(__xludf.DUMMYFUNCTION("""COMPUTED_VALUE"""),0.2130132522268086)</f>
        <v>0.2130132522</v>
      </c>
      <c r="G3622" s="5">
        <f>IFERROR(__xludf.DUMMYFUNCTION("""COMPUTED_VALUE"""),0.15620247664566586)</f>
        <v>0.1562024766</v>
      </c>
      <c r="H3622" s="5">
        <f>IFERROR(__xludf.DUMMYFUNCTION("""COMPUTED_VALUE"""),0.5966343702192759)</f>
        <v>0.5966343702</v>
      </c>
      <c r="I3622" s="11">
        <f>IFERROR(__xludf.DUMMYFUNCTION("""COMPUTED_VALUE"""),5349.260581336053)</f>
        <v>5349.260581</v>
      </c>
      <c r="J3622" s="10">
        <f>IFERROR(__xludf.DUMMYFUNCTION("""COMPUTED_VALUE"""),2.0)</f>
        <v>2</v>
      </c>
      <c r="K3622" s="5">
        <f>IFERROR(__xludf.DUMMYFUNCTION("""COMPUTED_VALUE"""),0.002325581395348837)</f>
        <v>0.002325581395</v>
      </c>
      <c r="L3622" s="10">
        <f>IFERROR(__xludf.DUMMYFUNCTION("""COMPUTED_VALUE"""),860.0)</f>
        <v>860</v>
      </c>
      <c r="M3622" s="5">
        <f>IFERROR(__xludf.DUMMYFUNCTION("""COMPUTED_VALUE"""),1.0)</f>
        <v>1</v>
      </c>
    </row>
    <row r="3623">
      <c r="A3623" s="10" t="str">
        <f>IFERROR(__xludf.DUMMYFUNCTION("""COMPUTED_VALUE"""),"TaNaka")</f>
        <v>TaNaka</v>
      </c>
      <c r="B3623" s="10">
        <f>IFERROR(__xludf.DUMMYFUNCTION("""COMPUTED_VALUE"""),175.0)</f>
        <v>175</v>
      </c>
      <c r="C3623" s="10">
        <f>IFERROR(__xludf.DUMMYFUNCTION("""COMPUTED_VALUE"""),2088.0)</f>
        <v>2088</v>
      </c>
      <c r="D3623" s="5">
        <f>IFERROR(__xludf.DUMMYFUNCTION("""COMPUTED_VALUE"""),0.36173549398849975)</f>
        <v>0.361735494</v>
      </c>
      <c r="E3623" s="5">
        <f>IFERROR(__xludf.DUMMYFUNCTION("""COMPUTED_VALUE"""),0.1228437009932044)</f>
        <v>0.122843701</v>
      </c>
      <c r="F3623" s="5">
        <f>IFERROR(__xludf.DUMMYFUNCTION("""COMPUTED_VALUE"""),0.20177731312075275)</f>
        <v>0.2017773131</v>
      </c>
      <c r="G3623" s="5">
        <f>IFERROR(__xludf.DUMMYFUNCTION("""COMPUTED_VALUE"""),0.18191322530057502)</f>
        <v>0.1819132253</v>
      </c>
      <c r="H3623" s="5">
        <f>IFERROR(__xludf.DUMMYFUNCTION("""COMPUTED_VALUE"""),0.5414507772020726)</f>
        <v>0.5414507772</v>
      </c>
      <c r="I3623" s="11">
        <f>IFERROR(__xludf.DUMMYFUNCTION("""COMPUTED_VALUE"""),5980.829015544042)</f>
        <v>5980.829016</v>
      </c>
      <c r="J3623" s="10">
        <f>IFERROR(__xludf.DUMMYFUNCTION("""COMPUTED_VALUE"""),1.0)</f>
        <v>1</v>
      </c>
      <c r="K3623" s="5">
        <f>IFERROR(__xludf.DUMMYFUNCTION("""COMPUTED_VALUE"""),0.005714285714285714)</f>
        <v>0.005714285714</v>
      </c>
      <c r="L3623" s="10">
        <f>IFERROR(__xludf.DUMMYFUNCTION("""COMPUTED_VALUE"""),175.0)</f>
        <v>175</v>
      </c>
      <c r="M3623" s="5">
        <f>IFERROR(__xludf.DUMMYFUNCTION("""COMPUTED_VALUE"""),1.0)</f>
        <v>1</v>
      </c>
    </row>
    <row r="3624">
      <c r="A3624" s="10" t="str">
        <f>IFERROR(__xludf.DUMMYFUNCTION("""COMPUTED_VALUE"""),"ふもにぎ")</f>
        <v>ふもにぎ</v>
      </c>
      <c r="B3624" s="10">
        <f>IFERROR(__xludf.DUMMYFUNCTION("""COMPUTED_VALUE"""),415.0)</f>
        <v>415</v>
      </c>
      <c r="C3624" s="10">
        <f>IFERROR(__xludf.DUMMYFUNCTION("""COMPUTED_VALUE"""),4819.0)</f>
        <v>4819</v>
      </c>
      <c r="D3624" s="5">
        <f>IFERROR(__xludf.DUMMYFUNCTION("""COMPUTED_VALUE"""),0.3626248864668483)</f>
        <v>0.3626248865</v>
      </c>
      <c r="E3624" s="5">
        <f>IFERROR(__xludf.DUMMYFUNCTION("""COMPUTED_VALUE"""),0.12284287011807447)</f>
        <v>0.1228428701</v>
      </c>
      <c r="F3624" s="5">
        <f>IFERROR(__xludf.DUMMYFUNCTION("""COMPUTED_VALUE"""),0.2148047229791099)</f>
        <v>0.214804723</v>
      </c>
      <c r="G3624" s="5">
        <f>IFERROR(__xludf.DUMMYFUNCTION("""COMPUTED_VALUE"""),0.14895549500454133)</f>
        <v>0.148955495</v>
      </c>
      <c r="H3624" s="5">
        <f>IFERROR(__xludf.DUMMYFUNCTION("""COMPUTED_VALUE"""),0.6226215644820295)</f>
        <v>0.6226215645</v>
      </c>
      <c r="I3624" s="11">
        <f>IFERROR(__xludf.DUMMYFUNCTION("""COMPUTED_VALUE"""),5268.076109936575)</f>
        <v>5268.07611</v>
      </c>
      <c r="J3624" s="10">
        <f>IFERROR(__xludf.DUMMYFUNCTION("""COMPUTED_VALUE"""),1.0)</f>
        <v>1</v>
      </c>
      <c r="K3624" s="5">
        <f>IFERROR(__xludf.DUMMYFUNCTION("""COMPUTED_VALUE"""),0.0024096385542168677)</f>
        <v>0.002409638554</v>
      </c>
      <c r="L3624" s="10">
        <f>IFERROR(__xludf.DUMMYFUNCTION("""COMPUTED_VALUE"""),415.0)</f>
        <v>415</v>
      </c>
      <c r="M3624" s="5">
        <f>IFERROR(__xludf.DUMMYFUNCTION("""COMPUTED_VALUE"""),1.0)</f>
        <v>1</v>
      </c>
    </row>
    <row r="3625">
      <c r="A3625" s="10" t="str">
        <f>IFERROR(__xludf.DUMMYFUNCTION("""COMPUTED_VALUE"""),"とぐろせんぱい")</f>
        <v>とぐろせんぱい</v>
      </c>
      <c r="B3625" s="10">
        <f>IFERROR(__xludf.DUMMYFUNCTION("""COMPUTED_VALUE"""),489.0)</f>
        <v>489</v>
      </c>
      <c r="C3625" s="10">
        <f>IFERROR(__xludf.DUMMYFUNCTION("""COMPUTED_VALUE"""),5626.0)</f>
        <v>5626</v>
      </c>
      <c r="D3625" s="5">
        <f>IFERROR(__xludf.DUMMYFUNCTION("""COMPUTED_VALUE"""),0.32606579715787426)</f>
        <v>0.3260657972</v>
      </c>
      <c r="E3625" s="5">
        <f>IFERROR(__xludf.DUMMYFUNCTION("""COMPUTED_VALUE"""),0.12283433910842904)</f>
        <v>0.1228343391</v>
      </c>
      <c r="F3625" s="5">
        <f>IFERROR(__xludf.DUMMYFUNCTION("""COMPUTED_VALUE"""),0.20245279345921743)</f>
        <v>0.2024527935</v>
      </c>
      <c r="G3625" s="5">
        <f>IFERROR(__xludf.DUMMYFUNCTION("""COMPUTED_VALUE"""),0.16059957173447537)</f>
        <v>0.1605995717</v>
      </c>
      <c r="H3625" s="5">
        <f>IFERROR(__xludf.DUMMYFUNCTION("""COMPUTED_VALUE"""),0.5951923076923077)</f>
        <v>0.5951923077</v>
      </c>
      <c r="I3625" s="11">
        <f>IFERROR(__xludf.DUMMYFUNCTION("""COMPUTED_VALUE"""),5795.7692307692305)</f>
        <v>5795.769231</v>
      </c>
      <c r="J3625" s="10">
        <f>IFERROR(__xludf.DUMMYFUNCTION("""COMPUTED_VALUE"""),2.0)</f>
        <v>2</v>
      </c>
      <c r="K3625" s="5">
        <f>IFERROR(__xludf.DUMMYFUNCTION("""COMPUTED_VALUE"""),0.00408997955010225)</f>
        <v>0.00408997955</v>
      </c>
      <c r="L3625" s="10">
        <f>IFERROR(__xludf.DUMMYFUNCTION("""COMPUTED_VALUE"""),489.0)</f>
        <v>489</v>
      </c>
      <c r="M3625" s="5">
        <f>IFERROR(__xludf.DUMMYFUNCTION("""COMPUTED_VALUE"""),1.0)</f>
        <v>1</v>
      </c>
    </row>
    <row r="3626">
      <c r="A3626" s="10" t="str">
        <f>IFERROR(__xludf.DUMMYFUNCTION("""COMPUTED_VALUE"""),"zoo1964")</f>
        <v>zoo1964</v>
      </c>
      <c r="B3626" s="10">
        <f>IFERROR(__xludf.DUMMYFUNCTION("""COMPUTED_VALUE"""),11160.0)</f>
        <v>11160</v>
      </c>
      <c r="C3626" s="10">
        <f>IFERROR(__xludf.DUMMYFUNCTION("""COMPUTED_VALUE"""),130935.0)</f>
        <v>130935</v>
      </c>
      <c r="D3626" s="5">
        <f>IFERROR(__xludf.DUMMYFUNCTION("""COMPUTED_VALUE"""),0.3382926320183678)</f>
        <v>0.338292632</v>
      </c>
      <c r="E3626" s="5">
        <f>IFERROR(__xludf.DUMMYFUNCTION("""COMPUTED_VALUE"""),0.12282195783761218)</f>
        <v>0.1228219578</v>
      </c>
      <c r="F3626" s="5">
        <f>IFERROR(__xludf.DUMMYFUNCTION("""COMPUTED_VALUE"""),0.21100396576915048)</f>
        <v>0.2110039658</v>
      </c>
      <c r="G3626" s="5">
        <f>IFERROR(__xludf.DUMMYFUNCTION("""COMPUTED_VALUE"""),0.17582968065122104)</f>
        <v>0.1758296807</v>
      </c>
      <c r="H3626" s="5">
        <f>IFERROR(__xludf.DUMMYFUNCTION("""COMPUTED_VALUE"""),0.6003244569303209)</f>
        <v>0.6003244569</v>
      </c>
      <c r="I3626" s="11">
        <f>IFERROR(__xludf.DUMMYFUNCTION("""COMPUTED_VALUE"""),5838.86360938551)</f>
        <v>5838.863609</v>
      </c>
      <c r="J3626" s="10">
        <f>IFERROR(__xludf.DUMMYFUNCTION("""COMPUTED_VALUE"""),28.0)</f>
        <v>28</v>
      </c>
      <c r="K3626" s="5">
        <f>IFERROR(__xludf.DUMMYFUNCTION("""COMPUTED_VALUE"""),0.0025089605734767025)</f>
        <v>0.002508960573</v>
      </c>
      <c r="L3626" s="10">
        <f>IFERROR(__xludf.DUMMYFUNCTION("""COMPUTED_VALUE"""),11160.0)</f>
        <v>11160</v>
      </c>
      <c r="M3626" s="5">
        <f>IFERROR(__xludf.DUMMYFUNCTION("""COMPUTED_VALUE"""),1.0)</f>
        <v>1</v>
      </c>
    </row>
    <row r="3627">
      <c r="A3627" s="10" t="str">
        <f>IFERROR(__xludf.DUMMYFUNCTION("""COMPUTED_VALUE"""),"yu-----u")</f>
        <v>yu-----u</v>
      </c>
      <c r="B3627" s="10">
        <f>IFERROR(__xludf.DUMMYFUNCTION("""COMPUTED_VALUE"""),2003.0)</f>
        <v>2003</v>
      </c>
      <c r="C3627" s="10">
        <f>IFERROR(__xludf.DUMMYFUNCTION("""COMPUTED_VALUE"""),23579.0)</f>
        <v>23579</v>
      </c>
      <c r="D3627" s="5">
        <f>IFERROR(__xludf.DUMMYFUNCTION("""COMPUTED_VALUE"""),0.3664256581386726)</f>
        <v>0.3664256581</v>
      </c>
      <c r="E3627" s="5">
        <f>IFERROR(__xludf.DUMMYFUNCTION("""COMPUTED_VALUE"""),0.1228216536892844)</f>
        <v>0.1228216537</v>
      </c>
      <c r="F3627" s="5">
        <f>IFERROR(__xludf.DUMMYFUNCTION("""COMPUTED_VALUE"""),0.21431219873934002)</f>
        <v>0.2143121987</v>
      </c>
      <c r="G3627" s="5">
        <f>IFERROR(__xludf.DUMMYFUNCTION("""COMPUTED_VALUE"""),0.17908787541713014)</f>
        <v>0.1790878754</v>
      </c>
      <c r="H3627" s="5">
        <f>IFERROR(__xludf.DUMMYFUNCTION("""COMPUTED_VALUE"""),0.59969723183391)</f>
        <v>0.5996972318</v>
      </c>
      <c r="I3627" s="11">
        <f>IFERROR(__xludf.DUMMYFUNCTION("""COMPUTED_VALUE"""),5714.381487889274)</f>
        <v>5714.381488</v>
      </c>
      <c r="J3627" s="10">
        <f>IFERROR(__xludf.DUMMYFUNCTION("""COMPUTED_VALUE"""),1.0)</f>
        <v>1</v>
      </c>
      <c r="K3627" s="5">
        <f>IFERROR(__xludf.DUMMYFUNCTION("""COMPUTED_VALUE"""),4.992511233150275E-4)</f>
        <v>0.0004992511233</v>
      </c>
      <c r="L3627" s="10">
        <f>IFERROR(__xludf.DUMMYFUNCTION("""COMPUTED_VALUE"""),2003.0)</f>
        <v>2003</v>
      </c>
      <c r="M3627" s="5">
        <f>IFERROR(__xludf.DUMMYFUNCTION("""COMPUTED_VALUE"""),1.0)</f>
        <v>1</v>
      </c>
    </row>
    <row r="3628">
      <c r="A3628" s="10" t="str">
        <f>IFERROR(__xludf.DUMMYFUNCTION("""COMPUTED_VALUE"""),"星来オルジェル")</f>
        <v>星来オルジェル</v>
      </c>
      <c r="B3628" s="10">
        <f>IFERROR(__xludf.DUMMYFUNCTION("""COMPUTED_VALUE"""),235.0)</f>
        <v>235</v>
      </c>
      <c r="C3628" s="10">
        <f>IFERROR(__xludf.DUMMYFUNCTION("""COMPUTED_VALUE"""),2816.0)</f>
        <v>2816</v>
      </c>
      <c r="D3628" s="5">
        <f>IFERROR(__xludf.DUMMYFUNCTION("""COMPUTED_VALUE"""),0.3115071677644324)</f>
        <v>0.3115071678</v>
      </c>
      <c r="E3628" s="5">
        <f>IFERROR(__xludf.DUMMYFUNCTION("""COMPUTED_VALUE"""),0.1228206121658272)</f>
        <v>0.1228206122</v>
      </c>
      <c r="F3628" s="5">
        <f>IFERROR(__xludf.DUMMYFUNCTION("""COMPUTED_VALUE"""),0.22161952731499418)</f>
        <v>0.2216195273</v>
      </c>
      <c r="G3628" s="5">
        <f>IFERROR(__xludf.DUMMYFUNCTION("""COMPUTED_VALUE"""),0.18558698179000388)</f>
        <v>0.1855869818</v>
      </c>
      <c r="H3628" s="5">
        <f>IFERROR(__xludf.DUMMYFUNCTION("""COMPUTED_VALUE"""),0.5874125874125874)</f>
        <v>0.5874125874</v>
      </c>
      <c r="I3628" s="11">
        <f>IFERROR(__xludf.DUMMYFUNCTION("""COMPUTED_VALUE"""),5747.027972027972)</f>
        <v>5747.027972</v>
      </c>
      <c r="J3628" s="10">
        <f>IFERROR(__xludf.DUMMYFUNCTION("""COMPUTED_VALUE"""),0.0)</f>
        <v>0</v>
      </c>
      <c r="K3628" s="5">
        <f>IFERROR(__xludf.DUMMYFUNCTION("""COMPUTED_VALUE"""),0.0)</f>
        <v>0</v>
      </c>
      <c r="L3628" s="10">
        <f>IFERROR(__xludf.DUMMYFUNCTION("""COMPUTED_VALUE"""),235.0)</f>
        <v>235</v>
      </c>
      <c r="M3628" s="5">
        <f>IFERROR(__xludf.DUMMYFUNCTION("""COMPUTED_VALUE"""),1.0)</f>
        <v>1</v>
      </c>
    </row>
    <row r="3629">
      <c r="A3629" s="10" t="str">
        <f>IFERROR(__xludf.DUMMYFUNCTION("""COMPUTED_VALUE"""),"ozaoza77")</f>
        <v>ozaoza77</v>
      </c>
      <c r="B3629" s="10">
        <f>IFERROR(__xludf.DUMMYFUNCTION("""COMPUTED_VALUE"""),479.0)</f>
        <v>479</v>
      </c>
      <c r="C3629" s="10">
        <f>IFERROR(__xludf.DUMMYFUNCTION("""COMPUTED_VALUE"""),5617.0)</f>
        <v>5617</v>
      </c>
      <c r="D3629" s="5">
        <f>IFERROR(__xludf.DUMMYFUNCTION("""COMPUTED_VALUE"""),0.3952899961074348)</f>
        <v>0.3952899961</v>
      </c>
      <c r="E3629" s="5">
        <f>IFERROR(__xludf.DUMMYFUNCTION("""COMPUTED_VALUE"""),0.12281043207473726)</f>
        <v>0.1228104321</v>
      </c>
      <c r="F3629" s="5">
        <f>IFERROR(__xludf.DUMMYFUNCTION("""COMPUTED_VALUE"""),0.21448034254573764)</f>
        <v>0.2144803425</v>
      </c>
      <c r="G3629" s="5">
        <f>IFERROR(__xludf.DUMMYFUNCTION("""COMPUTED_VALUE"""),0.16465550797975867)</f>
        <v>0.164655508</v>
      </c>
      <c r="H3629" s="5">
        <f>IFERROR(__xludf.DUMMYFUNCTION("""COMPUTED_VALUE"""),0.6279491833030852)</f>
        <v>0.6279491833</v>
      </c>
      <c r="I3629" s="11">
        <f>IFERROR(__xludf.DUMMYFUNCTION("""COMPUTED_VALUE"""),5452.813067150635)</f>
        <v>5452.813067</v>
      </c>
      <c r="J3629" s="10">
        <f>IFERROR(__xludf.DUMMYFUNCTION("""COMPUTED_VALUE"""),1.0)</f>
        <v>1</v>
      </c>
      <c r="K3629" s="5">
        <f>IFERROR(__xludf.DUMMYFUNCTION("""COMPUTED_VALUE"""),0.0020876826722338203)</f>
        <v>0.002087682672</v>
      </c>
      <c r="L3629" s="10">
        <f>IFERROR(__xludf.DUMMYFUNCTION("""COMPUTED_VALUE"""),472.0)</f>
        <v>472</v>
      </c>
      <c r="M3629" s="5">
        <f>IFERROR(__xludf.DUMMYFUNCTION("""COMPUTED_VALUE"""),0.9853862212943633)</f>
        <v>0.9853862213</v>
      </c>
    </row>
    <row r="3630">
      <c r="A3630" s="10" t="str">
        <f>IFERROR(__xludf.DUMMYFUNCTION("""COMPUTED_VALUE"""),"小池美波⊿")</f>
        <v>小池美波⊿</v>
      </c>
      <c r="B3630" s="10">
        <f>IFERROR(__xludf.DUMMYFUNCTION("""COMPUTED_VALUE"""),711.0)</f>
        <v>711</v>
      </c>
      <c r="C3630" s="10">
        <f>IFERROR(__xludf.DUMMYFUNCTION("""COMPUTED_VALUE"""),8276.0)</f>
        <v>8276</v>
      </c>
      <c r="D3630" s="5">
        <f>IFERROR(__xludf.DUMMYFUNCTION("""COMPUTED_VALUE"""),0.3536021150033047)</f>
        <v>0.353602115</v>
      </c>
      <c r="E3630" s="5">
        <f>IFERROR(__xludf.DUMMYFUNCTION("""COMPUTED_VALUE"""),0.12280237937871778)</f>
        <v>0.1228023794</v>
      </c>
      <c r="F3630" s="5">
        <f>IFERROR(__xludf.DUMMYFUNCTION("""COMPUTED_VALUE"""),0.20502313284864507)</f>
        <v>0.2050231328</v>
      </c>
      <c r="G3630" s="5">
        <f>IFERROR(__xludf.DUMMYFUNCTION("""COMPUTED_VALUE"""),0.17607402511566425)</f>
        <v>0.1760740251</v>
      </c>
      <c r="H3630" s="5">
        <f>IFERROR(__xludf.DUMMYFUNCTION("""COMPUTED_VALUE"""),0.6021921341070278)</f>
        <v>0.6021921341</v>
      </c>
      <c r="I3630" s="11">
        <f>IFERROR(__xludf.DUMMYFUNCTION("""COMPUTED_VALUE"""),5668.858800773694)</f>
        <v>5668.858801</v>
      </c>
      <c r="J3630" s="10">
        <f>IFERROR(__xludf.DUMMYFUNCTION("""COMPUTED_VALUE"""),0.0)</f>
        <v>0</v>
      </c>
      <c r="K3630" s="5">
        <f>IFERROR(__xludf.DUMMYFUNCTION("""COMPUTED_VALUE"""),0.0)</f>
        <v>0</v>
      </c>
      <c r="L3630" s="10">
        <f>IFERROR(__xludf.DUMMYFUNCTION("""COMPUTED_VALUE"""),44.0)</f>
        <v>44</v>
      </c>
      <c r="M3630" s="5">
        <f>IFERROR(__xludf.DUMMYFUNCTION("""COMPUTED_VALUE"""),0.06188466947960619)</f>
        <v>0.06188466948</v>
      </c>
    </row>
    <row r="3631">
      <c r="A3631" s="10" t="str">
        <f>IFERROR(__xludf.DUMMYFUNCTION("""COMPUTED_VALUE"""),"ハマー")</f>
        <v>ハマー</v>
      </c>
      <c r="B3631" s="10">
        <f>IFERROR(__xludf.DUMMYFUNCTION("""COMPUTED_VALUE"""),1305.0)</f>
        <v>1305</v>
      </c>
      <c r="C3631" s="10">
        <f>IFERROR(__xludf.DUMMYFUNCTION("""COMPUTED_VALUE"""),15222.0)</f>
        <v>15222</v>
      </c>
      <c r="D3631" s="5">
        <f>IFERROR(__xludf.DUMMYFUNCTION("""COMPUTED_VALUE"""),0.3633685420708486)</f>
        <v>0.3633685421</v>
      </c>
      <c r="E3631" s="5">
        <f>IFERROR(__xludf.DUMMYFUNCTION("""COMPUTED_VALUE"""),0.12279945390529567)</f>
        <v>0.1227994539</v>
      </c>
      <c r="F3631" s="5">
        <f>IFERROR(__xludf.DUMMYFUNCTION("""COMPUTED_VALUE"""),0.21125242509161457)</f>
        <v>0.2112524251</v>
      </c>
      <c r="G3631" s="5">
        <f>IFERROR(__xludf.DUMMYFUNCTION("""COMPUTED_VALUE"""),0.17273837752389165)</f>
        <v>0.1727383775</v>
      </c>
      <c r="H3631" s="5">
        <f>IFERROR(__xludf.DUMMYFUNCTION("""COMPUTED_VALUE"""),0.5959183673469388)</f>
        <v>0.5959183673</v>
      </c>
      <c r="I3631" s="11">
        <f>IFERROR(__xludf.DUMMYFUNCTION("""COMPUTED_VALUE"""),5571.632653061224)</f>
        <v>5571.632653</v>
      </c>
      <c r="J3631" s="10">
        <f>IFERROR(__xludf.DUMMYFUNCTION("""COMPUTED_VALUE"""),5.0)</f>
        <v>5</v>
      </c>
      <c r="K3631" s="5">
        <f>IFERROR(__xludf.DUMMYFUNCTION("""COMPUTED_VALUE"""),0.0038314176245210726)</f>
        <v>0.003831417625</v>
      </c>
      <c r="L3631" s="10">
        <f>IFERROR(__xludf.DUMMYFUNCTION("""COMPUTED_VALUE"""),1303.0)</f>
        <v>1303</v>
      </c>
      <c r="M3631" s="5">
        <f>IFERROR(__xludf.DUMMYFUNCTION("""COMPUTED_VALUE"""),0.9984674329501916)</f>
        <v>0.998467433</v>
      </c>
    </row>
    <row r="3632">
      <c r="A3632" s="10" t="str">
        <f>IFERROR(__xludf.DUMMYFUNCTION("""COMPUTED_VALUE"""),"ンモ")</f>
        <v>ンモ</v>
      </c>
      <c r="B3632" s="10">
        <f>IFERROR(__xludf.DUMMYFUNCTION("""COMPUTED_VALUE"""),346.0)</f>
        <v>346</v>
      </c>
      <c r="C3632" s="10">
        <f>IFERROR(__xludf.DUMMYFUNCTION("""COMPUTED_VALUE"""),4092.0)</f>
        <v>4092</v>
      </c>
      <c r="D3632" s="5">
        <f>IFERROR(__xludf.DUMMYFUNCTION("""COMPUTED_VALUE"""),0.3152696209289909)</f>
        <v>0.3152696209</v>
      </c>
      <c r="E3632" s="5">
        <f>IFERROR(__xludf.DUMMYFUNCTION("""COMPUTED_VALUE"""),0.12279765082754938)</f>
        <v>0.1227976508</v>
      </c>
      <c r="F3632" s="5">
        <f>IFERROR(__xludf.DUMMYFUNCTION("""COMPUTED_VALUE"""),0.21516284036305391)</f>
        <v>0.2151628404</v>
      </c>
      <c r="G3632" s="5">
        <f>IFERROR(__xludf.DUMMYFUNCTION("""COMPUTED_VALUE"""),0.16550987720234916)</f>
        <v>0.1655098772</v>
      </c>
      <c r="H3632" s="5">
        <f>IFERROR(__xludf.DUMMYFUNCTION("""COMPUTED_VALUE"""),0.5967741935483871)</f>
        <v>0.5967741935</v>
      </c>
      <c r="I3632" s="11">
        <f>IFERROR(__xludf.DUMMYFUNCTION("""COMPUTED_VALUE"""),5623.697270471464)</f>
        <v>5623.69727</v>
      </c>
      <c r="J3632" s="10">
        <f>IFERROR(__xludf.DUMMYFUNCTION("""COMPUTED_VALUE"""),2.0)</f>
        <v>2</v>
      </c>
      <c r="K3632" s="5">
        <f>IFERROR(__xludf.DUMMYFUNCTION("""COMPUTED_VALUE"""),0.005780346820809248)</f>
        <v>0.005780346821</v>
      </c>
      <c r="L3632" s="10">
        <f>IFERROR(__xludf.DUMMYFUNCTION("""COMPUTED_VALUE"""),346.0)</f>
        <v>346</v>
      </c>
      <c r="M3632" s="5">
        <f>IFERROR(__xludf.DUMMYFUNCTION("""COMPUTED_VALUE"""),1.0)</f>
        <v>1</v>
      </c>
    </row>
    <row r="3633">
      <c r="A3633" s="10" t="str">
        <f>IFERROR(__xludf.DUMMYFUNCTION("""COMPUTED_VALUE"""),"RB10")</f>
        <v>RB10</v>
      </c>
      <c r="B3633" s="10">
        <f>IFERROR(__xludf.DUMMYFUNCTION("""COMPUTED_VALUE"""),344.0)</f>
        <v>344</v>
      </c>
      <c r="C3633" s="10">
        <f>IFERROR(__xludf.DUMMYFUNCTION("""COMPUTED_VALUE"""),3919.0)</f>
        <v>3919</v>
      </c>
      <c r="D3633" s="5">
        <f>IFERROR(__xludf.DUMMYFUNCTION("""COMPUTED_VALUE"""),0.33398601398601396)</f>
        <v>0.333986014</v>
      </c>
      <c r="E3633" s="5">
        <f>IFERROR(__xludf.DUMMYFUNCTION("""COMPUTED_VALUE"""),0.1227972027972028)</f>
        <v>0.1227972028</v>
      </c>
      <c r="F3633" s="5">
        <f>IFERROR(__xludf.DUMMYFUNCTION("""COMPUTED_VALUE"""),0.21902097902097903)</f>
        <v>0.219020979</v>
      </c>
      <c r="G3633" s="5">
        <f>IFERROR(__xludf.DUMMYFUNCTION("""COMPUTED_VALUE"""),0.17314685314685316)</f>
        <v>0.1731468531</v>
      </c>
      <c r="H3633" s="5">
        <f>IFERROR(__xludf.DUMMYFUNCTION("""COMPUTED_VALUE"""),0.5964240102171137)</f>
        <v>0.5964240102</v>
      </c>
      <c r="I3633" s="11">
        <f>IFERROR(__xludf.DUMMYFUNCTION("""COMPUTED_VALUE"""),6101.787994891443)</f>
        <v>6101.787995</v>
      </c>
      <c r="J3633" s="10">
        <f>IFERROR(__xludf.DUMMYFUNCTION("""COMPUTED_VALUE"""),0.0)</f>
        <v>0</v>
      </c>
      <c r="K3633" s="5">
        <f>IFERROR(__xludf.DUMMYFUNCTION("""COMPUTED_VALUE"""),0.0)</f>
        <v>0</v>
      </c>
      <c r="L3633" s="10">
        <f>IFERROR(__xludf.DUMMYFUNCTION("""COMPUTED_VALUE"""),344.0)</f>
        <v>344</v>
      </c>
      <c r="M3633" s="5">
        <f>IFERROR(__xludf.DUMMYFUNCTION("""COMPUTED_VALUE"""),1.0)</f>
        <v>1</v>
      </c>
    </row>
    <row r="3634">
      <c r="A3634" s="10" t="str">
        <f>IFERROR(__xludf.DUMMYFUNCTION("""COMPUTED_VALUE"""),"ぴらえ@くろーむ")</f>
        <v>ぴらえ@くろーむ</v>
      </c>
      <c r="B3634" s="10">
        <f>IFERROR(__xludf.DUMMYFUNCTION("""COMPUTED_VALUE"""),161.0)</f>
        <v>161</v>
      </c>
      <c r="C3634" s="10">
        <f>IFERROR(__xludf.DUMMYFUNCTION("""COMPUTED_VALUE"""),1863.0)</f>
        <v>1863</v>
      </c>
      <c r="D3634" s="5">
        <f>IFERROR(__xludf.DUMMYFUNCTION("""COMPUTED_VALUE"""),0.3472385428907168)</f>
        <v>0.3472385429</v>
      </c>
      <c r="E3634" s="5">
        <f>IFERROR(__xludf.DUMMYFUNCTION("""COMPUTED_VALUE"""),0.1227967097532315)</f>
        <v>0.1227967098</v>
      </c>
      <c r="F3634" s="5">
        <f>IFERROR(__xludf.DUMMYFUNCTION("""COMPUTED_VALUE"""),0.19858989424206816)</f>
        <v>0.1985898942</v>
      </c>
      <c r="G3634" s="5">
        <f>IFERROR(__xludf.DUMMYFUNCTION("""COMPUTED_VALUE"""),0.17156286721504113)</f>
        <v>0.1715628672</v>
      </c>
      <c r="H3634" s="5">
        <f>IFERROR(__xludf.DUMMYFUNCTION("""COMPUTED_VALUE"""),0.6183431952662722)</f>
        <v>0.6183431953</v>
      </c>
      <c r="I3634" s="11">
        <f>IFERROR(__xludf.DUMMYFUNCTION("""COMPUTED_VALUE"""),5618.934911242603)</f>
        <v>5618.934911</v>
      </c>
      <c r="J3634" s="10">
        <f>IFERROR(__xludf.DUMMYFUNCTION("""COMPUTED_VALUE"""),0.0)</f>
        <v>0</v>
      </c>
      <c r="K3634" s="5">
        <f>IFERROR(__xludf.DUMMYFUNCTION("""COMPUTED_VALUE"""),0.0)</f>
        <v>0</v>
      </c>
      <c r="L3634" s="10">
        <f>IFERROR(__xludf.DUMMYFUNCTION("""COMPUTED_VALUE"""),161.0)</f>
        <v>161</v>
      </c>
      <c r="M3634" s="5">
        <f>IFERROR(__xludf.DUMMYFUNCTION("""COMPUTED_VALUE"""),1.0)</f>
        <v>1</v>
      </c>
    </row>
    <row r="3635">
      <c r="A3635" s="10" t="str">
        <f>IFERROR(__xludf.DUMMYFUNCTION("""COMPUTED_VALUE"""),"Yamaraaa")</f>
        <v>Yamaraaa</v>
      </c>
      <c r="B3635" s="10">
        <f>IFERROR(__xludf.DUMMYFUNCTION("""COMPUTED_VALUE"""),450.0)</f>
        <v>450</v>
      </c>
      <c r="C3635" s="10">
        <f>IFERROR(__xludf.DUMMYFUNCTION("""COMPUTED_VALUE"""),5271.0)</f>
        <v>5271</v>
      </c>
      <c r="D3635" s="5">
        <f>IFERROR(__xludf.DUMMYFUNCTION("""COMPUTED_VALUE"""),0.34806056834681603)</f>
        <v>0.3480605683</v>
      </c>
      <c r="E3635" s="5">
        <f>IFERROR(__xludf.DUMMYFUNCTION("""COMPUTED_VALUE"""),0.12279610039410911)</f>
        <v>0.1227961004</v>
      </c>
      <c r="F3635" s="5">
        <f>IFERROR(__xludf.DUMMYFUNCTION("""COMPUTED_VALUE"""),0.2072184194150591)</f>
        <v>0.2072184194</v>
      </c>
      <c r="G3635" s="5">
        <f>IFERROR(__xludf.DUMMYFUNCTION("""COMPUTED_VALUE"""),0.1825347438290811)</f>
        <v>0.1825347438</v>
      </c>
      <c r="H3635" s="5">
        <f>IFERROR(__xludf.DUMMYFUNCTION("""COMPUTED_VALUE"""),0.5955955955955956)</f>
        <v>0.5955955956</v>
      </c>
      <c r="I3635" s="11">
        <f>IFERROR(__xludf.DUMMYFUNCTION("""COMPUTED_VALUE"""),5590.19019019019)</f>
        <v>5590.19019</v>
      </c>
      <c r="J3635" s="10">
        <f>IFERROR(__xludf.DUMMYFUNCTION("""COMPUTED_VALUE"""),0.0)</f>
        <v>0</v>
      </c>
      <c r="K3635" s="5">
        <f>IFERROR(__xludf.DUMMYFUNCTION("""COMPUTED_VALUE"""),0.0)</f>
        <v>0</v>
      </c>
      <c r="L3635" s="10">
        <f>IFERROR(__xludf.DUMMYFUNCTION("""COMPUTED_VALUE"""),450.0)</f>
        <v>450</v>
      </c>
      <c r="M3635" s="5">
        <f>IFERROR(__xludf.DUMMYFUNCTION("""COMPUTED_VALUE"""),1.0)</f>
        <v>1</v>
      </c>
    </row>
    <row r="3636">
      <c r="A3636" s="10" t="str">
        <f>IFERROR(__xludf.DUMMYFUNCTION("""COMPUTED_VALUE"""),"r0310")</f>
        <v>r0310</v>
      </c>
      <c r="B3636" s="10">
        <f>IFERROR(__xludf.DUMMYFUNCTION("""COMPUTED_VALUE"""),832.0)</f>
        <v>832</v>
      </c>
      <c r="C3636" s="10">
        <f>IFERROR(__xludf.DUMMYFUNCTION("""COMPUTED_VALUE"""),9717.0)</f>
        <v>9717</v>
      </c>
      <c r="D3636" s="5">
        <f>IFERROR(__xludf.DUMMYFUNCTION("""COMPUTED_VALUE"""),0.35993247045582444)</f>
        <v>0.3599324705</v>
      </c>
      <c r="E3636" s="5">
        <f>IFERROR(__xludf.DUMMYFUNCTION("""COMPUTED_VALUE"""),0.12279122115925717)</f>
        <v>0.1227912212</v>
      </c>
      <c r="F3636" s="5">
        <f>IFERROR(__xludf.DUMMYFUNCTION("""COMPUTED_VALUE"""),0.2137310073157006)</f>
        <v>0.2137310073</v>
      </c>
      <c r="G3636" s="5">
        <f>IFERROR(__xludf.DUMMYFUNCTION("""COMPUTED_VALUE"""),0.15486775464265617)</f>
        <v>0.1548677546</v>
      </c>
      <c r="H3636" s="5">
        <f>IFERROR(__xludf.DUMMYFUNCTION("""COMPUTED_VALUE"""),0.6013691416535019)</f>
        <v>0.6013691417</v>
      </c>
      <c r="I3636" s="11">
        <f>IFERROR(__xludf.DUMMYFUNCTION("""COMPUTED_VALUE"""),5345.07635597683)</f>
        <v>5345.076356</v>
      </c>
      <c r="J3636" s="10">
        <f>IFERROR(__xludf.DUMMYFUNCTION("""COMPUTED_VALUE"""),0.0)</f>
        <v>0</v>
      </c>
      <c r="K3636" s="5">
        <f>IFERROR(__xludf.DUMMYFUNCTION("""COMPUTED_VALUE"""),0.0)</f>
        <v>0</v>
      </c>
      <c r="L3636" s="10">
        <f>IFERROR(__xludf.DUMMYFUNCTION("""COMPUTED_VALUE"""),832.0)</f>
        <v>832</v>
      </c>
      <c r="M3636" s="5">
        <f>IFERROR(__xludf.DUMMYFUNCTION("""COMPUTED_VALUE"""),1.0)</f>
        <v>1</v>
      </c>
    </row>
    <row r="3637">
      <c r="A3637" s="10" t="str">
        <f>IFERROR(__xludf.DUMMYFUNCTION("""COMPUTED_VALUE"""),"rattatta")</f>
        <v>rattatta</v>
      </c>
      <c r="B3637" s="10">
        <f>IFERROR(__xludf.DUMMYFUNCTION("""COMPUTED_VALUE"""),2187.0)</f>
        <v>2187</v>
      </c>
      <c r="C3637" s="10">
        <f>IFERROR(__xludf.DUMMYFUNCTION("""COMPUTED_VALUE"""),25879.0)</f>
        <v>25879</v>
      </c>
      <c r="D3637" s="5">
        <f>IFERROR(__xludf.DUMMYFUNCTION("""COMPUTED_VALUE"""),0.3786088131014689)</f>
        <v>0.3786088131</v>
      </c>
      <c r="E3637" s="5">
        <f>IFERROR(__xludf.DUMMYFUNCTION("""COMPUTED_VALUE"""),0.12278406213067702)</f>
        <v>0.1227840621</v>
      </c>
      <c r="F3637" s="5">
        <f>IFERROR(__xludf.DUMMYFUNCTION("""COMPUTED_VALUE"""),0.21433395238899206)</f>
        <v>0.2143339524</v>
      </c>
      <c r="G3637" s="5">
        <f>IFERROR(__xludf.DUMMYFUNCTION("""COMPUTED_VALUE"""),0.1810315718385953)</f>
        <v>0.1810315718</v>
      </c>
      <c r="H3637" s="5">
        <f>IFERROR(__xludf.DUMMYFUNCTION("""COMPUTED_VALUE"""),0.5978731784166995)</f>
        <v>0.5978731784</v>
      </c>
      <c r="I3637" s="11">
        <f>IFERROR(__xludf.DUMMYFUNCTION("""COMPUTED_VALUE"""),5609.491925955101)</f>
        <v>5609.491926</v>
      </c>
      <c r="J3637" s="10">
        <f>IFERROR(__xludf.DUMMYFUNCTION("""COMPUTED_VALUE"""),3.0)</f>
        <v>3</v>
      </c>
      <c r="K3637" s="5">
        <f>IFERROR(__xludf.DUMMYFUNCTION("""COMPUTED_VALUE"""),0.0013717421124828531)</f>
        <v>0.001371742112</v>
      </c>
      <c r="L3637" s="10">
        <f>IFERROR(__xludf.DUMMYFUNCTION("""COMPUTED_VALUE"""),2187.0)</f>
        <v>2187</v>
      </c>
      <c r="M3637" s="5">
        <f>IFERROR(__xludf.DUMMYFUNCTION("""COMPUTED_VALUE"""),1.0)</f>
        <v>1</v>
      </c>
    </row>
    <row r="3638">
      <c r="A3638" s="10" t="str">
        <f>IFERROR(__xludf.DUMMYFUNCTION("""COMPUTED_VALUE"""),"フルスイング綾奈")</f>
        <v>フルスイング綾奈</v>
      </c>
      <c r="B3638" s="10">
        <f>IFERROR(__xludf.DUMMYFUNCTION("""COMPUTED_VALUE"""),323.0)</f>
        <v>323</v>
      </c>
      <c r="C3638" s="10">
        <f>IFERROR(__xludf.DUMMYFUNCTION("""COMPUTED_VALUE"""),3817.0)</f>
        <v>3817</v>
      </c>
      <c r="D3638" s="5">
        <f>IFERROR(__xludf.DUMMYFUNCTION("""COMPUTED_VALUE"""),0.3271322266742988)</f>
        <v>0.3271322267</v>
      </c>
      <c r="E3638" s="5">
        <f>IFERROR(__xludf.DUMMYFUNCTION("""COMPUTED_VALUE"""),0.1227819118488838)</f>
        <v>0.1227819118</v>
      </c>
      <c r="F3638" s="5">
        <f>IFERROR(__xludf.DUMMYFUNCTION("""COMPUTED_VALUE"""),0.21637092157985116)</f>
        <v>0.2163709216</v>
      </c>
      <c r="G3638" s="5">
        <f>IFERROR(__xludf.DUMMYFUNCTION("""COMPUTED_VALUE"""),0.1491127647395535)</f>
        <v>0.1491127647</v>
      </c>
      <c r="H3638" s="5">
        <f>IFERROR(__xludf.DUMMYFUNCTION("""COMPUTED_VALUE"""),0.6111111111111112)</f>
        <v>0.6111111111</v>
      </c>
      <c r="I3638" s="11">
        <f>IFERROR(__xludf.DUMMYFUNCTION("""COMPUTED_VALUE"""),5154.62962962963)</f>
        <v>5154.62963</v>
      </c>
      <c r="J3638" s="10">
        <f>IFERROR(__xludf.DUMMYFUNCTION("""COMPUTED_VALUE"""),0.0)</f>
        <v>0</v>
      </c>
      <c r="K3638" s="5">
        <f>IFERROR(__xludf.DUMMYFUNCTION("""COMPUTED_VALUE"""),0.0)</f>
        <v>0</v>
      </c>
      <c r="L3638" s="10">
        <f>IFERROR(__xludf.DUMMYFUNCTION("""COMPUTED_VALUE"""),0.0)</f>
        <v>0</v>
      </c>
      <c r="M3638" s="5">
        <f>IFERROR(__xludf.DUMMYFUNCTION("""COMPUTED_VALUE"""),0.0)</f>
        <v>0</v>
      </c>
    </row>
    <row r="3639">
      <c r="A3639" s="10" t="str">
        <f>IFERROR(__xludf.DUMMYFUNCTION("""COMPUTED_VALUE"""),"美しすぎる爆弾岩")</f>
        <v>美しすぎる爆弾岩</v>
      </c>
      <c r="B3639" s="10">
        <f>IFERROR(__xludf.DUMMYFUNCTION("""COMPUTED_VALUE"""),353.0)</f>
        <v>353</v>
      </c>
      <c r="C3639" s="10">
        <f>IFERROR(__xludf.DUMMYFUNCTION("""COMPUTED_VALUE"""),4108.0)</f>
        <v>4108</v>
      </c>
      <c r="D3639" s="5">
        <f>IFERROR(__xludf.DUMMYFUNCTION("""COMPUTED_VALUE"""),0.3472703062583222)</f>
        <v>0.3472703063</v>
      </c>
      <c r="E3639" s="5">
        <f>IFERROR(__xludf.DUMMYFUNCTION("""COMPUTED_VALUE"""),0.12276964047936086)</f>
        <v>0.1227696405</v>
      </c>
      <c r="F3639" s="5">
        <f>IFERROR(__xludf.DUMMYFUNCTION("""COMPUTED_VALUE"""),0.22050599201065246)</f>
        <v>0.220505992</v>
      </c>
      <c r="G3639" s="5">
        <f>IFERROR(__xludf.DUMMYFUNCTION("""COMPUTED_VALUE"""),0.19121171770972037)</f>
        <v>0.1912117177</v>
      </c>
      <c r="H3639" s="5">
        <f>IFERROR(__xludf.DUMMYFUNCTION("""COMPUTED_VALUE"""),0.6038647342995169)</f>
        <v>0.6038647343</v>
      </c>
      <c r="I3639" s="11">
        <f>IFERROR(__xludf.DUMMYFUNCTION("""COMPUTED_VALUE"""),5231.400966183575)</f>
        <v>5231.400966</v>
      </c>
      <c r="J3639" s="10">
        <f>IFERROR(__xludf.DUMMYFUNCTION("""COMPUTED_VALUE"""),1.0)</f>
        <v>1</v>
      </c>
      <c r="K3639" s="5">
        <f>IFERROR(__xludf.DUMMYFUNCTION("""COMPUTED_VALUE"""),0.0028328611898017)</f>
        <v>0.00283286119</v>
      </c>
      <c r="L3639" s="10">
        <f>IFERROR(__xludf.DUMMYFUNCTION("""COMPUTED_VALUE"""),0.0)</f>
        <v>0</v>
      </c>
      <c r="M3639" s="5">
        <f>IFERROR(__xludf.DUMMYFUNCTION("""COMPUTED_VALUE"""),0.0)</f>
        <v>0</v>
      </c>
    </row>
    <row r="3640">
      <c r="A3640" s="10" t="str">
        <f>IFERROR(__xludf.DUMMYFUNCTION("""COMPUTED_VALUE"""),"笹餅")</f>
        <v>笹餅</v>
      </c>
      <c r="B3640" s="10">
        <f>IFERROR(__xludf.DUMMYFUNCTION("""COMPUTED_VALUE"""),447.0)</f>
        <v>447</v>
      </c>
      <c r="C3640" s="10">
        <f>IFERROR(__xludf.DUMMYFUNCTION("""COMPUTED_VALUE"""),5090.0)</f>
        <v>5090</v>
      </c>
      <c r="D3640" s="5">
        <f>IFERROR(__xludf.DUMMYFUNCTION("""COMPUTED_VALUE"""),0.3469739392634073)</f>
        <v>0.3469739393</v>
      </c>
      <c r="E3640" s="5">
        <f>IFERROR(__xludf.DUMMYFUNCTION("""COMPUTED_VALUE"""),0.12276545337066552)</f>
        <v>0.1227654534</v>
      </c>
      <c r="F3640" s="5">
        <f>IFERROR(__xludf.DUMMYFUNCTION("""COMPUTED_VALUE"""),0.20740900279991384)</f>
        <v>0.2074090028</v>
      </c>
      <c r="G3640" s="5">
        <f>IFERROR(__xludf.DUMMYFUNCTION("""COMPUTED_VALUE"""),0.17359465862588844)</f>
        <v>0.1735946586</v>
      </c>
      <c r="H3640" s="5">
        <f>IFERROR(__xludf.DUMMYFUNCTION("""COMPUTED_VALUE"""),0.608515057113188)</f>
        <v>0.6085150571</v>
      </c>
      <c r="I3640" s="11">
        <f>IFERROR(__xludf.DUMMYFUNCTION("""COMPUTED_VALUE"""),5535.7217030114225)</f>
        <v>5535.721703</v>
      </c>
      <c r="J3640" s="10">
        <f>IFERROR(__xludf.DUMMYFUNCTION("""COMPUTED_VALUE"""),0.0)</f>
        <v>0</v>
      </c>
      <c r="K3640" s="5">
        <f>IFERROR(__xludf.DUMMYFUNCTION("""COMPUTED_VALUE"""),0.0)</f>
        <v>0</v>
      </c>
      <c r="L3640" s="10">
        <f>IFERROR(__xludf.DUMMYFUNCTION("""COMPUTED_VALUE"""),438.0)</f>
        <v>438</v>
      </c>
      <c r="M3640" s="5">
        <f>IFERROR(__xludf.DUMMYFUNCTION("""COMPUTED_VALUE"""),0.9798657718120806)</f>
        <v>0.9798657718</v>
      </c>
    </row>
    <row r="3641">
      <c r="A3641" s="10" t="str">
        <f>IFERROR(__xludf.DUMMYFUNCTION("""COMPUTED_VALUE"""),"高橋としみ")</f>
        <v>高橋としみ</v>
      </c>
      <c r="B3641" s="10">
        <f>IFERROR(__xludf.DUMMYFUNCTION("""COMPUTED_VALUE"""),453.0)</f>
        <v>453</v>
      </c>
      <c r="C3641" s="10">
        <f>IFERROR(__xludf.DUMMYFUNCTION("""COMPUTED_VALUE"""),5259.0)</f>
        <v>5259</v>
      </c>
      <c r="D3641" s="5">
        <f>IFERROR(__xludf.DUMMYFUNCTION("""COMPUTED_VALUE"""),0.2960882230545152)</f>
        <v>0.2960882231</v>
      </c>
      <c r="E3641" s="5">
        <f>IFERROR(__xludf.DUMMYFUNCTION("""COMPUTED_VALUE"""),0.1227632126508531)</f>
        <v>0.1227632127</v>
      </c>
      <c r="F3641" s="5">
        <f>IFERROR(__xludf.DUMMYFUNCTION("""COMPUTED_VALUE"""),0.20765709529754472)</f>
        <v>0.2076570953</v>
      </c>
      <c r="G3641" s="5">
        <f>IFERROR(__xludf.DUMMYFUNCTION("""COMPUTED_VALUE"""),0.17103620474406991)</f>
        <v>0.1710362047</v>
      </c>
      <c r="H3641" s="5">
        <f>IFERROR(__xludf.DUMMYFUNCTION("""COMPUTED_VALUE"""),0.6002004008016032)</f>
        <v>0.6002004008</v>
      </c>
      <c r="I3641" s="11">
        <f>IFERROR(__xludf.DUMMYFUNCTION("""COMPUTED_VALUE"""),5465.4308617234465)</f>
        <v>5465.430862</v>
      </c>
      <c r="J3641" s="10">
        <f>IFERROR(__xludf.DUMMYFUNCTION("""COMPUTED_VALUE"""),2.0)</f>
        <v>2</v>
      </c>
      <c r="K3641" s="5">
        <f>IFERROR(__xludf.DUMMYFUNCTION("""COMPUTED_VALUE"""),0.004415011037527594)</f>
        <v>0.004415011038</v>
      </c>
      <c r="L3641" s="10">
        <f>IFERROR(__xludf.DUMMYFUNCTION("""COMPUTED_VALUE"""),453.0)</f>
        <v>453</v>
      </c>
      <c r="M3641" s="5">
        <f>IFERROR(__xludf.DUMMYFUNCTION("""COMPUTED_VALUE"""),1.0)</f>
        <v>1</v>
      </c>
    </row>
    <row r="3642">
      <c r="A3642" s="10" t="str">
        <f>IFERROR(__xludf.DUMMYFUNCTION("""COMPUTED_VALUE"""),"外道")</f>
        <v>外道</v>
      </c>
      <c r="B3642" s="10">
        <f>IFERROR(__xludf.DUMMYFUNCTION("""COMPUTED_VALUE"""),1534.0)</f>
        <v>1534</v>
      </c>
      <c r="C3642" s="10">
        <f>IFERROR(__xludf.DUMMYFUNCTION("""COMPUTED_VALUE"""),18062.0)</f>
        <v>18062</v>
      </c>
      <c r="D3642" s="5">
        <f>IFERROR(__xludf.DUMMYFUNCTION("""COMPUTED_VALUE"""),0.31522265246853826)</f>
        <v>0.3152226525</v>
      </c>
      <c r="E3642" s="5">
        <f>IFERROR(__xludf.DUMMYFUNCTION("""COMPUTED_VALUE"""),0.12276137463697967)</f>
        <v>0.1227613746</v>
      </c>
      <c r="F3642" s="5">
        <f>IFERROR(__xludf.DUMMYFUNCTION("""COMPUTED_VALUE"""),0.2078291384317522)</f>
        <v>0.2078291384</v>
      </c>
      <c r="G3642" s="5">
        <f>IFERROR(__xludf.DUMMYFUNCTION("""COMPUTED_VALUE"""),0.16341965150048401)</f>
        <v>0.1634196515</v>
      </c>
      <c r="H3642" s="5">
        <f>IFERROR(__xludf.DUMMYFUNCTION("""COMPUTED_VALUE"""),0.597962154294032)</f>
        <v>0.5979621543</v>
      </c>
      <c r="I3642" s="11">
        <f>IFERROR(__xludf.DUMMYFUNCTION("""COMPUTED_VALUE"""),5716.2154294032025)</f>
        <v>5716.215429</v>
      </c>
      <c r="J3642" s="10">
        <f>IFERROR(__xludf.DUMMYFUNCTION("""COMPUTED_VALUE"""),3.0)</f>
        <v>3</v>
      </c>
      <c r="K3642" s="5">
        <f>IFERROR(__xludf.DUMMYFUNCTION("""COMPUTED_VALUE"""),0.001955671447196871)</f>
        <v>0.001955671447</v>
      </c>
      <c r="L3642" s="10">
        <f>IFERROR(__xludf.DUMMYFUNCTION("""COMPUTED_VALUE"""),816.0)</f>
        <v>816</v>
      </c>
      <c r="M3642" s="5">
        <f>IFERROR(__xludf.DUMMYFUNCTION("""COMPUTED_VALUE"""),0.5319426336375489)</f>
        <v>0.5319426336</v>
      </c>
    </row>
    <row r="3643">
      <c r="A3643" s="10" t="str">
        <f>IFERROR(__xludf.DUMMYFUNCTION("""COMPUTED_VALUE"""),"こち")</f>
        <v>こち</v>
      </c>
      <c r="B3643" s="10">
        <f>IFERROR(__xludf.DUMMYFUNCTION("""COMPUTED_VALUE"""),1396.0)</f>
        <v>1396</v>
      </c>
      <c r="C3643" s="10">
        <f>IFERROR(__xludf.DUMMYFUNCTION("""COMPUTED_VALUE"""),16296.0)</f>
        <v>16296</v>
      </c>
      <c r="D3643" s="5">
        <f>IFERROR(__xludf.DUMMYFUNCTION("""COMPUTED_VALUE"""),0.3718791946308725)</f>
        <v>0.3718791946</v>
      </c>
      <c r="E3643" s="5">
        <f>IFERROR(__xludf.DUMMYFUNCTION("""COMPUTED_VALUE"""),0.12275167785234899)</f>
        <v>0.1227516779</v>
      </c>
      <c r="F3643" s="5">
        <f>IFERROR(__xludf.DUMMYFUNCTION("""COMPUTED_VALUE"""),0.21120805369127515)</f>
        <v>0.2112080537</v>
      </c>
      <c r="G3643" s="5">
        <f>IFERROR(__xludf.DUMMYFUNCTION("""COMPUTED_VALUE"""),0.1783221476510067)</f>
        <v>0.1783221477</v>
      </c>
      <c r="H3643" s="5">
        <f>IFERROR(__xludf.DUMMYFUNCTION("""COMPUTED_VALUE"""),0.6027963139497935)</f>
        <v>0.6027963139</v>
      </c>
      <c r="I3643" s="11">
        <f>IFERROR(__xludf.DUMMYFUNCTION("""COMPUTED_VALUE"""),5804.226247219574)</f>
        <v>5804.226247</v>
      </c>
      <c r="J3643" s="10">
        <f>IFERROR(__xludf.DUMMYFUNCTION("""COMPUTED_VALUE"""),3.0)</f>
        <v>3</v>
      </c>
      <c r="K3643" s="5">
        <f>IFERROR(__xludf.DUMMYFUNCTION("""COMPUTED_VALUE"""),0.002148997134670487)</f>
        <v>0.002148997135</v>
      </c>
      <c r="L3643" s="10">
        <f>IFERROR(__xludf.DUMMYFUNCTION("""COMPUTED_VALUE"""),781.0)</f>
        <v>781</v>
      </c>
      <c r="M3643" s="5">
        <f>IFERROR(__xludf.DUMMYFUNCTION("""COMPUTED_VALUE"""),0.5594555873925502)</f>
        <v>0.5594555874</v>
      </c>
    </row>
    <row r="3644">
      <c r="A3644" s="10" t="str">
        <f>IFERROR(__xludf.DUMMYFUNCTION("""COMPUTED_VALUE"""),"かぶ茶")</f>
        <v>かぶ茶</v>
      </c>
      <c r="B3644" s="10">
        <f>IFERROR(__xludf.DUMMYFUNCTION("""COMPUTED_VALUE"""),1683.0)</f>
        <v>1683</v>
      </c>
      <c r="C3644" s="10">
        <f>IFERROR(__xludf.DUMMYFUNCTION("""COMPUTED_VALUE"""),19721.0)</f>
        <v>19721</v>
      </c>
      <c r="D3644" s="5">
        <f>IFERROR(__xludf.DUMMYFUNCTION("""COMPUTED_VALUE"""),0.35286617141589977)</f>
        <v>0.3528661714</v>
      </c>
      <c r="E3644" s="5">
        <f>IFERROR(__xludf.DUMMYFUNCTION("""COMPUTED_VALUE"""),0.12274088036367668)</f>
        <v>0.1227408804</v>
      </c>
      <c r="F3644" s="5">
        <f>IFERROR(__xludf.DUMMYFUNCTION("""COMPUTED_VALUE"""),0.21033373988247034)</f>
        <v>0.2103337399</v>
      </c>
      <c r="G3644" s="5">
        <f>IFERROR(__xludf.DUMMYFUNCTION("""COMPUTED_VALUE"""),0.18915622574564808)</f>
        <v>0.1891562257</v>
      </c>
      <c r="H3644" s="5">
        <f>IFERROR(__xludf.DUMMYFUNCTION("""COMPUTED_VALUE"""),0.6193990511333685)</f>
        <v>0.6193990511</v>
      </c>
      <c r="I3644" s="11">
        <f>IFERROR(__xludf.DUMMYFUNCTION("""COMPUTED_VALUE"""),5746.94254085398)</f>
        <v>5746.942541</v>
      </c>
      <c r="J3644" s="10">
        <f>IFERROR(__xludf.DUMMYFUNCTION("""COMPUTED_VALUE"""),1.0)</f>
        <v>1</v>
      </c>
      <c r="K3644" s="5">
        <f>IFERROR(__xludf.DUMMYFUNCTION("""COMPUTED_VALUE"""),5.941770647653001E-4)</f>
        <v>0.0005941770648</v>
      </c>
      <c r="L3644" s="10">
        <f>IFERROR(__xludf.DUMMYFUNCTION("""COMPUTED_VALUE"""),1683.0)</f>
        <v>1683</v>
      </c>
      <c r="M3644" s="5">
        <f>IFERROR(__xludf.DUMMYFUNCTION("""COMPUTED_VALUE"""),1.0)</f>
        <v>1</v>
      </c>
    </row>
    <row r="3645">
      <c r="A3645" s="10" t="str">
        <f>IFERROR(__xludf.DUMMYFUNCTION("""COMPUTED_VALUE"""),"ギガマイン")</f>
        <v>ギガマイン</v>
      </c>
      <c r="B3645" s="10">
        <f>IFERROR(__xludf.DUMMYFUNCTION("""COMPUTED_VALUE"""),4601.0)</f>
        <v>4601</v>
      </c>
      <c r="C3645" s="10">
        <f>IFERROR(__xludf.DUMMYFUNCTION("""COMPUTED_VALUE"""),53924.0)</f>
        <v>53924</v>
      </c>
      <c r="D3645" s="5">
        <f>IFERROR(__xludf.DUMMYFUNCTION("""COMPUTED_VALUE"""),0.33272509782454435)</f>
        <v>0.3327250978</v>
      </c>
      <c r="E3645" s="5">
        <f>IFERROR(__xludf.DUMMYFUNCTION("""COMPUTED_VALUE"""),0.12270137663970156)</f>
        <v>0.1227013766</v>
      </c>
      <c r="F3645" s="5">
        <f>IFERROR(__xludf.DUMMYFUNCTION("""COMPUTED_VALUE"""),0.21709952760375484)</f>
        <v>0.2170995276</v>
      </c>
      <c r="G3645" s="5">
        <f>IFERROR(__xludf.DUMMYFUNCTION("""COMPUTED_VALUE"""),0.18520771242625145)</f>
        <v>0.1852077124</v>
      </c>
      <c r="H3645" s="5">
        <f>IFERROR(__xludf.DUMMYFUNCTION("""COMPUTED_VALUE"""),0.5918939110945087)</f>
        <v>0.5918939111</v>
      </c>
      <c r="I3645" s="11">
        <f>IFERROR(__xludf.DUMMYFUNCTION("""COMPUTED_VALUE"""),5508.965259618976)</f>
        <v>5508.96526</v>
      </c>
      <c r="J3645" s="10">
        <f>IFERROR(__xludf.DUMMYFUNCTION("""COMPUTED_VALUE"""),12.0)</f>
        <v>12</v>
      </c>
      <c r="K3645" s="5">
        <f>IFERROR(__xludf.DUMMYFUNCTION("""COMPUTED_VALUE"""),0.002608128667680939)</f>
        <v>0.002608128668</v>
      </c>
      <c r="L3645" s="10">
        <f>IFERROR(__xludf.DUMMYFUNCTION("""COMPUTED_VALUE"""),4601.0)</f>
        <v>4601</v>
      </c>
      <c r="M3645" s="5">
        <f>IFERROR(__xludf.DUMMYFUNCTION("""COMPUTED_VALUE"""),1.0)</f>
        <v>1</v>
      </c>
    </row>
    <row r="3646">
      <c r="A3646" s="10" t="str">
        <f>IFERROR(__xludf.DUMMYFUNCTION("""COMPUTED_VALUE"""),"七星球")</f>
        <v>七星球</v>
      </c>
      <c r="B3646" s="10">
        <f>IFERROR(__xludf.DUMMYFUNCTION("""COMPUTED_VALUE"""),253.0)</f>
        <v>253</v>
      </c>
      <c r="C3646" s="10">
        <f>IFERROR(__xludf.DUMMYFUNCTION("""COMPUTED_VALUE"""),2959.0)</f>
        <v>2959</v>
      </c>
      <c r="D3646" s="5">
        <f>IFERROR(__xludf.DUMMYFUNCTION("""COMPUTED_VALUE"""),0.26274944567627495)</f>
        <v>0.2627494457</v>
      </c>
      <c r="E3646" s="5">
        <f>IFERROR(__xludf.DUMMYFUNCTION("""COMPUTED_VALUE"""),0.12269031781226904)</f>
        <v>0.1226903178</v>
      </c>
      <c r="F3646" s="5">
        <f>IFERROR(__xludf.DUMMYFUNCTION("""COMPUTED_VALUE"""),0.19660014781966)</f>
        <v>0.1966001478</v>
      </c>
      <c r="G3646" s="5">
        <f>IFERROR(__xludf.DUMMYFUNCTION("""COMPUTED_VALUE"""),0.1662971175166297)</f>
        <v>0.1662971175</v>
      </c>
      <c r="H3646" s="5">
        <f>IFERROR(__xludf.DUMMYFUNCTION("""COMPUTED_VALUE"""),0.6090225563909775)</f>
        <v>0.6090225564</v>
      </c>
      <c r="I3646" s="11">
        <f>IFERROR(__xludf.DUMMYFUNCTION("""COMPUTED_VALUE"""),6443.045112781955)</f>
        <v>6443.045113</v>
      </c>
      <c r="J3646" s="10">
        <f>IFERROR(__xludf.DUMMYFUNCTION("""COMPUTED_VALUE"""),1.0)</f>
        <v>1</v>
      </c>
      <c r="K3646" s="5">
        <f>IFERROR(__xludf.DUMMYFUNCTION("""COMPUTED_VALUE"""),0.003952569169960474)</f>
        <v>0.00395256917</v>
      </c>
      <c r="L3646" s="10">
        <f>IFERROR(__xludf.DUMMYFUNCTION("""COMPUTED_VALUE"""),253.0)</f>
        <v>253</v>
      </c>
      <c r="M3646" s="5">
        <f>IFERROR(__xludf.DUMMYFUNCTION("""COMPUTED_VALUE"""),1.0)</f>
        <v>1</v>
      </c>
    </row>
    <row r="3647">
      <c r="A3647" s="10" t="str">
        <f>IFERROR(__xludf.DUMMYFUNCTION("""COMPUTED_VALUE"""),"nyasuvi")</f>
        <v>nyasuvi</v>
      </c>
      <c r="B3647" s="10">
        <f>IFERROR(__xludf.DUMMYFUNCTION("""COMPUTED_VALUE"""),2861.0)</f>
        <v>2861</v>
      </c>
      <c r="C3647" s="10">
        <f>IFERROR(__xludf.DUMMYFUNCTION("""COMPUTED_VALUE"""),33305.0)</f>
        <v>33305</v>
      </c>
      <c r="D3647" s="5">
        <f>IFERROR(__xludf.DUMMYFUNCTION("""COMPUTED_VALUE"""),0.32709236631191696)</f>
        <v>0.3270923663</v>
      </c>
      <c r="E3647" s="5">
        <f>IFERROR(__xludf.DUMMYFUNCTION("""COMPUTED_VALUE"""),0.12268427276310603)</f>
        <v>0.1226842728</v>
      </c>
      <c r="F3647" s="5">
        <f>IFERROR(__xludf.DUMMYFUNCTION("""COMPUTED_VALUE"""),0.2133425305478912)</f>
        <v>0.2133425305</v>
      </c>
      <c r="G3647" s="5">
        <f>IFERROR(__xludf.DUMMYFUNCTION("""COMPUTED_VALUE"""),0.18630928918670345)</f>
        <v>0.1863092892</v>
      </c>
      <c r="H3647" s="5">
        <f>IFERROR(__xludf.DUMMYFUNCTION("""COMPUTED_VALUE"""),0.593841416474211)</f>
        <v>0.5938414165</v>
      </c>
      <c r="I3647" s="11">
        <f>IFERROR(__xludf.DUMMYFUNCTION("""COMPUTED_VALUE"""),5994.688221709007)</f>
        <v>5994.688222</v>
      </c>
      <c r="J3647" s="10">
        <f>IFERROR(__xludf.DUMMYFUNCTION("""COMPUTED_VALUE"""),7.0)</f>
        <v>7</v>
      </c>
      <c r="K3647" s="5">
        <f>IFERROR(__xludf.DUMMYFUNCTION("""COMPUTED_VALUE"""),0.002446696959105208)</f>
        <v>0.002446696959</v>
      </c>
      <c r="L3647" s="10">
        <f>IFERROR(__xludf.DUMMYFUNCTION("""COMPUTED_VALUE"""),2861.0)</f>
        <v>2861</v>
      </c>
      <c r="M3647" s="5">
        <f>IFERROR(__xludf.DUMMYFUNCTION("""COMPUTED_VALUE"""),1.0)</f>
        <v>1</v>
      </c>
    </row>
    <row r="3648">
      <c r="A3648" s="10" t="str">
        <f>IFERROR(__xludf.DUMMYFUNCTION("""COMPUTED_VALUE"""),"見知らぬ青天井")</f>
        <v>見知らぬ青天井</v>
      </c>
      <c r="B3648" s="10">
        <f>IFERROR(__xludf.DUMMYFUNCTION("""COMPUTED_VALUE"""),248.0)</f>
        <v>248</v>
      </c>
      <c r="C3648" s="10">
        <f>IFERROR(__xludf.DUMMYFUNCTION("""COMPUTED_VALUE"""),2938.0)</f>
        <v>2938</v>
      </c>
      <c r="D3648" s="5">
        <f>IFERROR(__xludf.DUMMYFUNCTION("""COMPUTED_VALUE"""),0.3092936802973978)</f>
        <v>0.3092936803</v>
      </c>
      <c r="E3648" s="5">
        <f>IFERROR(__xludf.DUMMYFUNCTION("""COMPUTED_VALUE"""),0.12267657992565056)</f>
        <v>0.1226765799</v>
      </c>
      <c r="F3648" s="5">
        <f>IFERROR(__xludf.DUMMYFUNCTION("""COMPUTED_VALUE"""),0.18252788104089218)</f>
        <v>0.182527881</v>
      </c>
      <c r="G3648" s="5">
        <f>IFERROR(__xludf.DUMMYFUNCTION("""COMPUTED_VALUE"""),0.15650557620817843)</f>
        <v>0.1565055762</v>
      </c>
      <c r="H3648" s="5">
        <f>IFERROR(__xludf.DUMMYFUNCTION("""COMPUTED_VALUE"""),0.6109979633401222)</f>
        <v>0.6109979633</v>
      </c>
      <c r="I3648" s="11">
        <f>IFERROR(__xludf.DUMMYFUNCTION("""COMPUTED_VALUE"""),6059.877800407332)</f>
        <v>6059.8778</v>
      </c>
      <c r="J3648" s="10">
        <f>IFERROR(__xludf.DUMMYFUNCTION("""COMPUTED_VALUE"""),2.0)</f>
        <v>2</v>
      </c>
      <c r="K3648" s="5">
        <f>IFERROR(__xludf.DUMMYFUNCTION("""COMPUTED_VALUE"""),0.008064516129032258)</f>
        <v>0.008064516129</v>
      </c>
      <c r="L3648" s="10">
        <f>IFERROR(__xludf.DUMMYFUNCTION("""COMPUTED_VALUE"""),248.0)</f>
        <v>248</v>
      </c>
      <c r="M3648" s="5">
        <f>IFERROR(__xludf.DUMMYFUNCTION("""COMPUTED_VALUE"""),1.0)</f>
        <v>1</v>
      </c>
    </row>
    <row r="3649">
      <c r="A3649" s="10" t="str">
        <f>IFERROR(__xludf.DUMMYFUNCTION("""COMPUTED_VALUE"""),"少女ファイト")</f>
        <v>少女ファイト</v>
      </c>
      <c r="B3649" s="10">
        <f>IFERROR(__xludf.DUMMYFUNCTION("""COMPUTED_VALUE"""),2983.0)</f>
        <v>2983</v>
      </c>
      <c r="C3649" s="10">
        <f>IFERROR(__xludf.DUMMYFUNCTION("""COMPUTED_VALUE"""),34872.0)</f>
        <v>34872</v>
      </c>
      <c r="D3649" s="5">
        <f>IFERROR(__xludf.DUMMYFUNCTION("""COMPUTED_VALUE"""),0.3104832387343598)</f>
        <v>0.3104832387</v>
      </c>
      <c r="E3649" s="5">
        <f>IFERROR(__xludf.DUMMYFUNCTION("""COMPUTED_VALUE"""),0.12267553074727963)</f>
        <v>0.1226755307</v>
      </c>
      <c r="F3649" s="5">
        <f>IFERROR(__xludf.DUMMYFUNCTION("""COMPUTED_VALUE"""),0.21044874408103106)</f>
        <v>0.2104487441</v>
      </c>
      <c r="G3649" s="5">
        <f>IFERROR(__xludf.DUMMYFUNCTION("""COMPUTED_VALUE"""),0.17977986139421118)</f>
        <v>0.1797798614</v>
      </c>
      <c r="H3649" s="5">
        <f>IFERROR(__xludf.DUMMYFUNCTION("""COMPUTED_VALUE"""),0.6002086127253763)</f>
        <v>0.6002086127</v>
      </c>
      <c r="I3649" s="11">
        <f>IFERROR(__xludf.DUMMYFUNCTION("""COMPUTED_VALUE"""),5679.943376545969)</f>
        <v>5679.943377</v>
      </c>
      <c r="J3649" s="10">
        <f>IFERROR(__xludf.DUMMYFUNCTION("""COMPUTED_VALUE"""),6.0)</f>
        <v>6</v>
      </c>
      <c r="K3649" s="5">
        <f>IFERROR(__xludf.DUMMYFUNCTION("""COMPUTED_VALUE"""),0.002011397921555481)</f>
        <v>0.002011397922</v>
      </c>
      <c r="L3649" s="10">
        <f>IFERROR(__xludf.DUMMYFUNCTION("""COMPUTED_VALUE"""),697.0)</f>
        <v>697</v>
      </c>
      <c r="M3649" s="5">
        <f>IFERROR(__xludf.DUMMYFUNCTION("""COMPUTED_VALUE"""),0.2336573918873617)</f>
        <v>0.2336573919</v>
      </c>
    </row>
    <row r="3650">
      <c r="A3650" s="10" t="str">
        <f>IFERROR(__xludf.DUMMYFUNCTION("""COMPUTED_VALUE"""),"ノンラス打法")</f>
        <v>ノンラス打法</v>
      </c>
      <c r="B3650" s="10">
        <f>IFERROR(__xludf.DUMMYFUNCTION("""COMPUTED_VALUE"""),2185.0)</f>
        <v>2185</v>
      </c>
      <c r="C3650" s="10">
        <f>IFERROR(__xludf.DUMMYFUNCTION("""COMPUTED_VALUE"""),25678.0)</f>
        <v>25678</v>
      </c>
      <c r="D3650" s="5">
        <f>IFERROR(__xludf.DUMMYFUNCTION("""COMPUTED_VALUE"""),0.31979738645553996)</f>
        <v>0.3197973865</v>
      </c>
      <c r="E3650" s="5">
        <f>IFERROR(__xludf.DUMMYFUNCTION("""COMPUTED_VALUE"""),0.12267483931383816)</f>
        <v>0.1226748393</v>
      </c>
      <c r="F3650" s="5">
        <f>IFERROR(__xludf.DUMMYFUNCTION("""COMPUTED_VALUE"""),0.2021453198825182)</f>
        <v>0.2021453199</v>
      </c>
      <c r="G3650" s="5">
        <f>IFERROR(__xludf.DUMMYFUNCTION("""COMPUTED_VALUE"""),0.16962499467926617)</f>
        <v>0.1696249947</v>
      </c>
      <c r="H3650" s="5">
        <f>IFERROR(__xludf.DUMMYFUNCTION("""COMPUTED_VALUE"""),0.5908612339439883)</f>
        <v>0.5908612339</v>
      </c>
      <c r="I3650" s="11">
        <f>IFERROR(__xludf.DUMMYFUNCTION("""COMPUTED_VALUE"""),5678.837650031585)</f>
        <v>5678.83765</v>
      </c>
      <c r="J3650" s="10">
        <f>IFERROR(__xludf.DUMMYFUNCTION("""COMPUTED_VALUE"""),3.0)</f>
        <v>3</v>
      </c>
      <c r="K3650" s="5">
        <f>IFERROR(__xludf.DUMMYFUNCTION("""COMPUTED_VALUE"""),0.0013729977116704805)</f>
        <v>0.001372997712</v>
      </c>
      <c r="L3650" s="10">
        <f>IFERROR(__xludf.DUMMYFUNCTION("""COMPUTED_VALUE"""),2185.0)</f>
        <v>2185</v>
      </c>
      <c r="M3650" s="5">
        <f>IFERROR(__xludf.DUMMYFUNCTION("""COMPUTED_VALUE"""),1.0)</f>
        <v>1</v>
      </c>
    </row>
    <row r="3651">
      <c r="A3651" s="10" t="str">
        <f>IFERROR(__xludf.DUMMYFUNCTION("""COMPUTED_VALUE"""),"fuji229")</f>
        <v>fuji229</v>
      </c>
      <c r="B3651" s="10">
        <f>IFERROR(__xludf.DUMMYFUNCTION("""COMPUTED_VALUE"""),1695.0)</f>
        <v>1695</v>
      </c>
      <c r="C3651" s="10">
        <f>IFERROR(__xludf.DUMMYFUNCTION("""COMPUTED_VALUE"""),20118.0)</f>
        <v>20118</v>
      </c>
      <c r="D3651" s="5">
        <f>IFERROR(__xludf.DUMMYFUNCTION("""COMPUTED_VALUE"""),0.4268577321825978)</f>
        <v>0.4268577322</v>
      </c>
      <c r="E3651" s="5">
        <f>IFERROR(__xludf.DUMMYFUNCTION("""COMPUTED_VALUE"""),0.12267274602399175)</f>
        <v>0.122672746</v>
      </c>
      <c r="F3651" s="5">
        <f>IFERROR(__xludf.DUMMYFUNCTION("""COMPUTED_VALUE"""),0.21456874558975195)</f>
        <v>0.2145687456</v>
      </c>
      <c r="G3651" s="5">
        <f>IFERROR(__xludf.DUMMYFUNCTION("""COMPUTED_VALUE"""),0.13135754220268142)</f>
        <v>0.1313575422</v>
      </c>
      <c r="H3651" s="5">
        <f>IFERROR(__xludf.DUMMYFUNCTION("""COMPUTED_VALUE"""),0.6028332911712624)</f>
        <v>0.6028332912</v>
      </c>
      <c r="I3651" s="11">
        <f>IFERROR(__xludf.DUMMYFUNCTION("""COMPUTED_VALUE"""),5158.284846951682)</f>
        <v>5158.284847</v>
      </c>
      <c r="J3651" s="10">
        <f>IFERROR(__xludf.DUMMYFUNCTION("""COMPUTED_VALUE"""),5.0)</f>
        <v>5</v>
      </c>
      <c r="K3651" s="5">
        <f>IFERROR(__xludf.DUMMYFUNCTION("""COMPUTED_VALUE"""),0.0029498525073746312)</f>
        <v>0.002949852507</v>
      </c>
      <c r="L3651" s="10">
        <f>IFERROR(__xludf.DUMMYFUNCTION("""COMPUTED_VALUE"""),1695.0)</f>
        <v>1695</v>
      </c>
      <c r="M3651" s="5">
        <f>IFERROR(__xludf.DUMMYFUNCTION("""COMPUTED_VALUE"""),1.0)</f>
        <v>1</v>
      </c>
    </row>
    <row r="3652">
      <c r="A3652" s="10" t="str">
        <f>IFERROR(__xludf.DUMMYFUNCTION("""COMPUTED_VALUE"""),"昼から飲めます")</f>
        <v>昼から飲めます</v>
      </c>
      <c r="B3652" s="10">
        <f>IFERROR(__xludf.DUMMYFUNCTION("""COMPUTED_VALUE"""),483.0)</f>
        <v>483</v>
      </c>
      <c r="C3652" s="10">
        <f>IFERROR(__xludf.DUMMYFUNCTION("""COMPUTED_VALUE"""),5611.0)</f>
        <v>5611</v>
      </c>
      <c r="D3652" s="5">
        <f>IFERROR(__xludf.DUMMYFUNCTION("""COMPUTED_VALUE"""),0.3515990639625585)</f>
        <v>0.351599064</v>
      </c>
      <c r="E3652" s="5">
        <f>IFERROR(__xludf.DUMMYFUNCTION("""COMPUTED_VALUE"""),0.12265990639625585)</f>
        <v>0.1226599064</v>
      </c>
      <c r="F3652" s="5">
        <f>IFERROR(__xludf.DUMMYFUNCTION("""COMPUTED_VALUE"""),0.21762870514820593)</f>
        <v>0.2176287051</v>
      </c>
      <c r="G3652" s="5">
        <f>IFERROR(__xludf.DUMMYFUNCTION("""COMPUTED_VALUE"""),0.18681747269890794)</f>
        <v>0.1868174727</v>
      </c>
      <c r="H3652" s="5">
        <f>IFERROR(__xludf.DUMMYFUNCTION("""COMPUTED_VALUE"""),0.5994623655913979)</f>
        <v>0.5994623656</v>
      </c>
      <c r="I3652" s="11">
        <f>IFERROR(__xludf.DUMMYFUNCTION("""COMPUTED_VALUE"""),5743.1899641577065)</f>
        <v>5743.189964</v>
      </c>
      <c r="J3652" s="10">
        <f>IFERROR(__xludf.DUMMYFUNCTION("""COMPUTED_VALUE"""),0.0)</f>
        <v>0</v>
      </c>
      <c r="K3652" s="5">
        <f>IFERROR(__xludf.DUMMYFUNCTION("""COMPUTED_VALUE"""),0.0)</f>
        <v>0</v>
      </c>
      <c r="L3652" s="10">
        <f>IFERROR(__xludf.DUMMYFUNCTION("""COMPUTED_VALUE"""),483.0)</f>
        <v>483</v>
      </c>
      <c r="M3652" s="5">
        <f>IFERROR(__xludf.DUMMYFUNCTION("""COMPUTED_VALUE"""),1.0)</f>
        <v>1</v>
      </c>
    </row>
    <row r="3653">
      <c r="A3653" s="10" t="str">
        <f>IFERROR(__xludf.DUMMYFUNCTION("""COMPUTED_VALUE"""),"いくやま☆さむお")</f>
        <v>いくやま☆さむお</v>
      </c>
      <c r="B3653" s="10">
        <f>IFERROR(__xludf.DUMMYFUNCTION("""COMPUTED_VALUE"""),235.0)</f>
        <v>235</v>
      </c>
      <c r="C3653" s="10">
        <f>IFERROR(__xludf.DUMMYFUNCTION("""COMPUTED_VALUE"""),2795.0)</f>
        <v>2795</v>
      </c>
      <c r="D3653" s="5">
        <f>IFERROR(__xludf.DUMMYFUNCTION("""COMPUTED_VALUE"""),0.382421875)</f>
        <v>0.382421875</v>
      </c>
      <c r="E3653" s="5">
        <f>IFERROR(__xludf.DUMMYFUNCTION("""COMPUTED_VALUE"""),0.12265625)</f>
        <v>0.12265625</v>
      </c>
      <c r="F3653" s="5">
        <f>IFERROR(__xludf.DUMMYFUNCTION("""COMPUTED_VALUE"""),0.198046875)</f>
        <v>0.198046875</v>
      </c>
      <c r="G3653" s="5">
        <f>IFERROR(__xludf.DUMMYFUNCTION("""COMPUTED_VALUE"""),0.162890625)</f>
        <v>0.162890625</v>
      </c>
      <c r="H3653" s="5">
        <f>IFERROR(__xludf.DUMMYFUNCTION("""COMPUTED_VALUE"""),0.5897435897435898)</f>
        <v>0.5897435897</v>
      </c>
      <c r="I3653" s="11">
        <f>IFERROR(__xludf.DUMMYFUNCTION("""COMPUTED_VALUE"""),5341.420118343195)</f>
        <v>5341.420118</v>
      </c>
      <c r="J3653" s="10">
        <f>IFERROR(__xludf.DUMMYFUNCTION("""COMPUTED_VALUE"""),0.0)</f>
        <v>0</v>
      </c>
      <c r="K3653" s="5">
        <f>IFERROR(__xludf.DUMMYFUNCTION("""COMPUTED_VALUE"""),0.0)</f>
        <v>0</v>
      </c>
      <c r="L3653" s="10">
        <f>IFERROR(__xludf.DUMMYFUNCTION("""COMPUTED_VALUE"""),235.0)</f>
        <v>235</v>
      </c>
      <c r="M3653" s="5">
        <f>IFERROR(__xludf.DUMMYFUNCTION("""COMPUTED_VALUE"""),1.0)</f>
        <v>1</v>
      </c>
    </row>
    <row r="3654">
      <c r="A3654" s="10" t="str">
        <f>IFERROR(__xludf.DUMMYFUNCTION("""COMPUTED_VALUE"""),"博麗霊夢")</f>
        <v>博麗霊夢</v>
      </c>
      <c r="B3654" s="10">
        <f>IFERROR(__xludf.DUMMYFUNCTION("""COMPUTED_VALUE"""),439.0)</f>
        <v>439</v>
      </c>
      <c r="C3654" s="10">
        <f>IFERROR(__xludf.DUMMYFUNCTION("""COMPUTED_VALUE"""),5233.0)</f>
        <v>5233</v>
      </c>
      <c r="D3654" s="5">
        <f>IFERROR(__xludf.DUMMYFUNCTION("""COMPUTED_VALUE"""),0.35127242386316226)</f>
        <v>0.3512724239</v>
      </c>
      <c r="E3654" s="5">
        <f>IFERROR(__xludf.DUMMYFUNCTION("""COMPUTED_VALUE"""),0.12265331664580725)</f>
        <v>0.1226533166</v>
      </c>
      <c r="F3654" s="5">
        <f>IFERROR(__xludf.DUMMYFUNCTION("""COMPUTED_VALUE"""),0.20817688777638715)</f>
        <v>0.2081768878</v>
      </c>
      <c r="G3654" s="5">
        <f>IFERROR(__xludf.DUMMYFUNCTION("""COMPUTED_VALUE"""),0.17521902377972465)</f>
        <v>0.1752190238</v>
      </c>
      <c r="H3654" s="5">
        <f>IFERROR(__xludf.DUMMYFUNCTION("""COMPUTED_VALUE"""),0.591182364729459)</f>
        <v>0.5911823647</v>
      </c>
      <c r="I3654" s="11">
        <f>IFERROR(__xludf.DUMMYFUNCTION("""COMPUTED_VALUE"""),5558.016032064128)</f>
        <v>5558.016032</v>
      </c>
      <c r="J3654" s="10">
        <f>IFERROR(__xludf.DUMMYFUNCTION("""COMPUTED_VALUE"""),0.0)</f>
        <v>0</v>
      </c>
      <c r="K3654" s="5">
        <f>IFERROR(__xludf.DUMMYFUNCTION("""COMPUTED_VALUE"""),0.0)</f>
        <v>0</v>
      </c>
      <c r="L3654" s="10">
        <f>IFERROR(__xludf.DUMMYFUNCTION("""COMPUTED_VALUE"""),0.0)</f>
        <v>0</v>
      </c>
      <c r="M3654" s="5">
        <f>IFERROR(__xludf.DUMMYFUNCTION("""COMPUTED_VALUE"""),0.0)</f>
        <v>0</v>
      </c>
    </row>
    <row r="3655">
      <c r="A3655" s="10" t="str">
        <f>IFERROR(__xludf.DUMMYFUNCTION("""COMPUTED_VALUE"""),"伊藤万理華")</f>
        <v>伊藤万理華</v>
      </c>
      <c r="B3655" s="10">
        <f>IFERROR(__xludf.DUMMYFUNCTION("""COMPUTED_VALUE"""),724.0)</f>
        <v>724</v>
      </c>
      <c r="C3655" s="10">
        <f>IFERROR(__xludf.DUMMYFUNCTION("""COMPUTED_VALUE"""),8486.0)</f>
        <v>8486</v>
      </c>
      <c r="D3655" s="5">
        <f>IFERROR(__xludf.DUMMYFUNCTION("""COMPUTED_VALUE"""),0.32014944601906725)</f>
        <v>0.320149446</v>
      </c>
      <c r="E3655" s="5">
        <f>IFERROR(__xludf.DUMMYFUNCTION("""COMPUTED_VALUE"""),0.12264880185519196)</f>
        <v>0.1226488019</v>
      </c>
      <c r="F3655" s="5">
        <f>IFERROR(__xludf.DUMMYFUNCTION("""COMPUTED_VALUE"""),0.219402215923731)</f>
        <v>0.2194022159</v>
      </c>
      <c r="G3655" s="5">
        <f>IFERROR(__xludf.DUMMYFUNCTION("""COMPUTED_VALUE"""),0.1949239886627158)</f>
        <v>0.1949239887</v>
      </c>
      <c r="H3655" s="5">
        <f>IFERROR(__xludf.DUMMYFUNCTION("""COMPUTED_VALUE"""),0.5971814445096888)</f>
        <v>0.5971814445</v>
      </c>
      <c r="I3655" s="11">
        <f>IFERROR(__xludf.DUMMYFUNCTION("""COMPUTED_VALUE"""),6048.502642395772)</f>
        <v>6048.502642</v>
      </c>
      <c r="J3655" s="10">
        <f>IFERROR(__xludf.DUMMYFUNCTION("""COMPUTED_VALUE"""),0.0)</f>
        <v>0</v>
      </c>
      <c r="K3655" s="5">
        <f>IFERROR(__xludf.DUMMYFUNCTION("""COMPUTED_VALUE"""),0.0)</f>
        <v>0</v>
      </c>
      <c r="L3655" s="10">
        <f>IFERROR(__xludf.DUMMYFUNCTION("""COMPUTED_VALUE"""),0.0)</f>
        <v>0</v>
      </c>
      <c r="M3655" s="5">
        <f>IFERROR(__xludf.DUMMYFUNCTION("""COMPUTED_VALUE"""),0.0)</f>
        <v>0</v>
      </c>
    </row>
    <row r="3656">
      <c r="A3656" s="10" t="str">
        <f>IFERROR(__xludf.DUMMYFUNCTION("""COMPUTED_VALUE"""),"s_ok")</f>
        <v>s_ok</v>
      </c>
      <c r="B3656" s="10">
        <f>IFERROR(__xludf.DUMMYFUNCTION("""COMPUTED_VALUE"""),2071.0)</f>
        <v>2071</v>
      </c>
      <c r="C3656" s="10">
        <f>IFERROR(__xludf.DUMMYFUNCTION("""COMPUTED_VALUE"""),24216.0)</f>
        <v>24216</v>
      </c>
      <c r="D3656" s="5">
        <f>IFERROR(__xludf.DUMMYFUNCTION("""COMPUTED_VALUE"""),0.35104989839692935)</f>
        <v>0.3510498984</v>
      </c>
      <c r="E3656" s="5">
        <f>IFERROR(__xludf.DUMMYFUNCTION("""COMPUTED_VALUE"""),0.12264619552946489)</f>
        <v>0.1226461955</v>
      </c>
      <c r="F3656" s="5">
        <f>IFERROR(__xludf.DUMMYFUNCTION("""COMPUTED_VALUE"""),0.20311582750056445)</f>
        <v>0.2031158275</v>
      </c>
      <c r="G3656" s="5">
        <f>IFERROR(__xludf.DUMMYFUNCTION("""COMPUTED_VALUE"""),0.14847595393994129)</f>
        <v>0.1484759539</v>
      </c>
      <c r="H3656" s="5">
        <f>IFERROR(__xludf.DUMMYFUNCTION("""COMPUTED_VALUE"""),0.6073810582481103)</f>
        <v>0.6073810582</v>
      </c>
      <c r="I3656" s="11">
        <f>IFERROR(__xludf.DUMMYFUNCTION("""COMPUTED_VALUE"""),5678.457092040907)</f>
        <v>5678.457092</v>
      </c>
      <c r="J3656" s="10">
        <f>IFERROR(__xludf.DUMMYFUNCTION("""COMPUTED_VALUE"""),6.0)</f>
        <v>6</v>
      </c>
      <c r="K3656" s="5">
        <f>IFERROR(__xludf.DUMMYFUNCTION("""COMPUTED_VALUE"""),0.0028971511347175277)</f>
        <v>0.002897151135</v>
      </c>
      <c r="L3656" s="10">
        <f>IFERROR(__xludf.DUMMYFUNCTION("""COMPUTED_VALUE"""),2071.0)</f>
        <v>2071</v>
      </c>
      <c r="M3656" s="5">
        <f>IFERROR(__xludf.DUMMYFUNCTION("""COMPUTED_VALUE"""),1.0)</f>
        <v>1</v>
      </c>
    </row>
    <row r="3657">
      <c r="A3657" s="10" t="str">
        <f>IFERROR(__xludf.DUMMYFUNCTION("""COMPUTED_VALUE"""),"haruru91")</f>
        <v>haruru91</v>
      </c>
      <c r="B3657" s="10">
        <f>IFERROR(__xludf.DUMMYFUNCTION("""COMPUTED_VALUE"""),2646.0)</f>
        <v>2646</v>
      </c>
      <c r="C3657" s="10">
        <f>IFERROR(__xludf.DUMMYFUNCTION("""COMPUTED_VALUE"""),31208.0)</f>
        <v>31208</v>
      </c>
      <c r="D3657" s="5">
        <f>IFERROR(__xludf.DUMMYFUNCTION("""COMPUTED_VALUE"""),0.3426580771654646)</f>
        <v>0.3426580772</v>
      </c>
      <c r="E3657" s="5">
        <f>IFERROR(__xludf.DUMMYFUNCTION("""COMPUTED_VALUE"""),0.122645473006092)</f>
        <v>0.122645473</v>
      </c>
      <c r="F3657" s="5">
        <f>IFERROR(__xludf.DUMMYFUNCTION("""COMPUTED_VALUE"""),0.21108465793711925)</f>
        <v>0.2110846579</v>
      </c>
      <c r="G3657" s="5">
        <f>IFERROR(__xludf.DUMMYFUNCTION("""COMPUTED_VALUE"""),0.15569637980533577)</f>
        <v>0.1556963798</v>
      </c>
      <c r="H3657" s="5">
        <f>IFERROR(__xludf.DUMMYFUNCTION("""COMPUTED_VALUE"""),0.6085586332725161)</f>
        <v>0.6085586333</v>
      </c>
      <c r="I3657" s="11">
        <f>IFERROR(__xludf.DUMMYFUNCTION("""COMPUTED_VALUE"""),5285.851716702604)</f>
        <v>5285.851717</v>
      </c>
      <c r="J3657" s="10">
        <f>IFERROR(__xludf.DUMMYFUNCTION("""COMPUTED_VALUE"""),2.0)</f>
        <v>2</v>
      </c>
      <c r="K3657" s="5">
        <f>IFERROR(__xludf.DUMMYFUNCTION("""COMPUTED_VALUE"""),7.558578987150416E-4)</f>
        <v>0.0007558578987</v>
      </c>
      <c r="L3657" s="10">
        <f>IFERROR(__xludf.DUMMYFUNCTION("""COMPUTED_VALUE"""),2646.0)</f>
        <v>2646</v>
      </c>
      <c r="M3657" s="5">
        <f>IFERROR(__xludf.DUMMYFUNCTION("""COMPUTED_VALUE"""),1.0)</f>
        <v>1</v>
      </c>
    </row>
    <row r="3658">
      <c r="A3658" s="10" t="str">
        <f>IFERROR(__xludf.DUMMYFUNCTION("""COMPUTED_VALUE"""),"subter")</f>
        <v>subter</v>
      </c>
      <c r="B3658" s="10">
        <f>IFERROR(__xludf.DUMMYFUNCTION("""COMPUTED_VALUE"""),220.0)</f>
        <v>220</v>
      </c>
      <c r="C3658" s="10">
        <f>IFERROR(__xludf.DUMMYFUNCTION("""COMPUTED_VALUE"""),2658.0)</f>
        <v>2658</v>
      </c>
      <c r="D3658" s="5">
        <f>IFERROR(__xludf.DUMMYFUNCTION("""COMPUTED_VALUE"""),0.37899917965545526)</f>
        <v>0.3789991797</v>
      </c>
      <c r="E3658" s="5">
        <f>IFERROR(__xludf.DUMMYFUNCTION("""COMPUTED_VALUE"""),0.12264150943396226)</f>
        <v>0.1226415094</v>
      </c>
      <c r="F3658" s="5">
        <f>IFERROR(__xludf.DUMMYFUNCTION("""COMPUTED_VALUE"""),0.19606234618539786)</f>
        <v>0.1960623462</v>
      </c>
      <c r="G3658" s="5">
        <f>IFERROR(__xludf.DUMMYFUNCTION("""COMPUTED_VALUE"""),0.1501230516817063)</f>
        <v>0.1501230517</v>
      </c>
      <c r="H3658" s="5">
        <f>IFERROR(__xludf.DUMMYFUNCTION("""COMPUTED_VALUE"""),0.608786610878661)</f>
        <v>0.6087866109</v>
      </c>
      <c r="I3658" s="11">
        <f>IFERROR(__xludf.DUMMYFUNCTION("""COMPUTED_VALUE"""),5083.26359832636)</f>
        <v>5083.263598</v>
      </c>
      <c r="J3658" s="10">
        <f>IFERROR(__xludf.DUMMYFUNCTION("""COMPUTED_VALUE"""),0.0)</f>
        <v>0</v>
      </c>
      <c r="K3658" s="5">
        <f>IFERROR(__xludf.DUMMYFUNCTION("""COMPUTED_VALUE"""),0.0)</f>
        <v>0</v>
      </c>
      <c r="L3658" s="10">
        <f>IFERROR(__xludf.DUMMYFUNCTION("""COMPUTED_VALUE"""),220.0)</f>
        <v>220</v>
      </c>
      <c r="M3658" s="5">
        <f>IFERROR(__xludf.DUMMYFUNCTION("""COMPUTED_VALUE"""),1.0)</f>
        <v>1</v>
      </c>
    </row>
    <row r="3659">
      <c r="A3659" s="10" t="str">
        <f>IFERROR(__xludf.DUMMYFUNCTION("""COMPUTED_VALUE"""),"遡行")</f>
        <v>遡行</v>
      </c>
      <c r="B3659" s="10">
        <f>IFERROR(__xludf.DUMMYFUNCTION("""COMPUTED_VALUE"""),296.0)</f>
        <v>296</v>
      </c>
      <c r="C3659" s="10">
        <f>IFERROR(__xludf.DUMMYFUNCTION("""COMPUTED_VALUE"""),3419.0)</f>
        <v>3419</v>
      </c>
      <c r="D3659" s="5">
        <f>IFERROR(__xludf.DUMMYFUNCTION("""COMPUTED_VALUE"""),0.3688760806916426)</f>
        <v>0.3688760807</v>
      </c>
      <c r="E3659" s="5">
        <f>IFERROR(__xludf.DUMMYFUNCTION("""COMPUTED_VALUE"""),0.12263848863272495)</f>
        <v>0.1226384886</v>
      </c>
      <c r="F3659" s="5">
        <f>IFERROR(__xludf.DUMMYFUNCTION("""COMPUTED_VALUE"""),0.2222222222222222)</f>
        <v>0.2222222222</v>
      </c>
      <c r="G3659" s="5">
        <f>IFERROR(__xludf.DUMMYFUNCTION("""COMPUTED_VALUE"""),0.19244316362471983)</f>
        <v>0.1924431636</v>
      </c>
      <c r="H3659" s="5">
        <f>IFERROR(__xludf.DUMMYFUNCTION("""COMPUTED_VALUE"""),0.590778097982709)</f>
        <v>0.590778098</v>
      </c>
      <c r="I3659" s="11">
        <f>IFERROR(__xludf.DUMMYFUNCTION("""COMPUTED_VALUE"""),5797.982708933718)</f>
        <v>5797.982709</v>
      </c>
      <c r="J3659" s="10">
        <f>IFERROR(__xludf.DUMMYFUNCTION("""COMPUTED_VALUE"""),2.0)</f>
        <v>2</v>
      </c>
      <c r="K3659" s="5">
        <f>IFERROR(__xludf.DUMMYFUNCTION("""COMPUTED_VALUE"""),0.006756756756756757)</f>
        <v>0.006756756757</v>
      </c>
      <c r="L3659" s="10">
        <f>IFERROR(__xludf.DUMMYFUNCTION("""COMPUTED_VALUE"""),296.0)</f>
        <v>296</v>
      </c>
      <c r="M3659" s="5">
        <f>IFERROR(__xludf.DUMMYFUNCTION("""COMPUTED_VALUE"""),1.0)</f>
        <v>1</v>
      </c>
    </row>
    <row r="3660">
      <c r="A3660" s="10" t="str">
        <f>IFERROR(__xludf.DUMMYFUNCTION("""COMPUTED_VALUE"""),"黒猫＾－＾")</f>
        <v>黒猫＾－＾</v>
      </c>
      <c r="B3660" s="10">
        <f>IFERROR(__xludf.DUMMYFUNCTION("""COMPUTED_VALUE"""),531.0)</f>
        <v>531</v>
      </c>
      <c r="C3660" s="10">
        <f>IFERROR(__xludf.DUMMYFUNCTION("""COMPUTED_VALUE"""),6296.0)</f>
        <v>6296</v>
      </c>
      <c r="D3660" s="5">
        <f>IFERROR(__xludf.DUMMYFUNCTION("""COMPUTED_VALUE"""),0.3481352992194276)</f>
        <v>0.3481352992</v>
      </c>
      <c r="E3660" s="5">
        <f>IFERROR(__xludf.DUMMYFUNCTION("""COMPUTED_VALUE"""),0.12263660017346054)</f>
        <v>0.1226366002</v>
      </c>
      <c r="F3660" s="5">
        <f>IFERROR(__xludf.DUMMYFUNCTION("""COMPUTED_VALUE"""),0.21127493495229835)</f>
        <v>0.211274935</v>
      </c>
      <c r="G3660" s="5">
        <f>IFERROR(__xludf.DUMMYFUNCTION("""COMPUTED_VALUE"""),0.16704249783174327)</f>
        <v>0.1670424978</v>
      </c>
      <c r="H3660" s="5">
        <f>IFERROR(__xludf.DUMMYFUNCTION("""COMPUTED_VALUE"""),0.5993431855500821)</f>
        <v>0.5993431856</v>
      </c>
      <c r="I3660" s="11">
        <f>IFERROR(__xludf.DUMMYFUNCTION("""COMPUTED_VALUE"""),5645.320197044335)</f>
        <v>5645.320197</v>
      </c>
      <c r="J3660" s="10">
        <f>IFERROR(__xludf.DUMMYFUNCTION("""COMPUTED_VALUE"""),1.0)</f>
        <v>1</v>
      </c>
      <c r="K3660" s="5">
        <f>IFERROR(__xludf.DUMMYFUNCTION("""COMPUTED_VALUE"""),0.0018832391713747645)</f>
        <v>0.001883239171</v>
      </c>
      <c r="L3660" s="10">
        <f>IFERROR(__xludf.DUMMYFUNCTION("""COMPUTED_VALUE"""),531.0)</f>
        <v>531</v>
      </c>
      <c r="M3660" s="5">
        <f>IFERROR(__xludf.DUMMYFUNCTION("""COMPUTED_VALUE"""),1.0)</f>
        <v>1</v>
      </c>
    </row>
    <row r="3661">
      <c r="A3661" s="10" t="str">
        <f>IFERROR(__xludf.DUMMYFUNCTION("""COMPUTED_VALUE"""),"あいあおい")</f>
        <v>あいあおい</v>
      </c>
      <c r="B3661" s="10">
        <f>IFERROR(__xludf.DUMMYFUNCTION("""COMPUTED_VALUE"""),3376.0)</f>
        <v>3376</v>
      </c>
      <c r="C3661" s="10">
        <f>IFERROR(__xludf.DUMMYFUNCTION("""COMPUTED_VALUE"""),39491.0)</f>
        <v>39491</v>
      </c>
      <c r="D3661" s="5">
        <f>IFERROR(__xludf.DUMMYFUNCTION("""COMPUTED_VALUE"""),0.35002076699432366)</f>
        <v>0.350020767</v>
      </c>
      <c r="E3661" s="5">
        <f>IFERROR(__xludf.DUMMYFUNCTION("""COMPUTED_VALUE"""),0.12263602381282016)</f>
        <v>0.1226360238</v>
      </c>
      <c r="F3661" s="5">
        <f>IFERROR(__xludf.DUMMYFUNCTION("""COMPUTED_VALUE"""),0.2183857123079053)</f>
        <v>0.2183857123</v>
      </c>
      <c r="G3661" s="5">
        <f>IFERROR(__xludf.DUMMYFUNCTION("""COMPUTED_VALUE"""),0.16807420739304998)</f>
        <v>0.1680742074</v>
      </c>
      <c r="H3661" s="5">
        <f>IFERROR(__xludf.DUMMYFUNCTION("""COMPUTED_VALUE"""),0.5956637504754659)</f>
        <v>0.5956637505</v>
      </c>
      <c r="I3661" s="11">
        <f>IFERROR(__xludf.DUMMYFUNCTION("""COMPUTED_VALUE"""),5618.676302776721)</f>
        <v>5618.676303</v>
      </c>
      <c r="J3661" s="10">
        <f>IFERROR(__xludf.DUMMYFUNCTION("""COMPUTED_VALUE"""),4.0)</f>
        <v>4</v>
      </c>
      <c r="K3661" s="5">
        <f>IFERROR(__xludf.DUMMYFUNCTION("""COMPUTED_VALUE"""),0.001184834123222749)</f>
        <v>0.001184834123</v>
      </c>
      <c r="L3661" s="10">
        <f>IFERROR(__xludf.DUMMYFUNCTION("""COMPUTED_VALUE"""),3376.0)</f>
        <v>3376</v>
      </c>
      <c r="M3661" s="5">
        <f>IFERROR(__xludf.DUMMYFUNCTION("""COMPUTED_VALUE"""),1.0)</f>
        <v>1</v>
      </c>
    </row>
    <row r="3662">
      <c r="A3662" s="10" t="str">
        <f>IFERROR(__xludf.DUMMYFUNCTION("""COMPUTED_VALUE"""),"Yangnum")</f>
        <v>Yangnum</v>
      </c>
      <c r="B3662" s="10">
        <f>IFERROR(__xludf.DUMMYFUNCTION("""COMPUTED_VALUE"""),3047.0)</f>
        <v>3047</v>
      </c>
      <c r="C3662" s="10">
        <f>IFERROR(__xludf.DUMMYFUNCTION("""COMPUTED_VALUE"""),35719.0)</f>
        <v>35719</v>
      </c>
      <c r="D3662" s="5">
        <f>IFERROR(__xludf.DUMMYFUNCTION("""COMPUTED_VALUE"""),0.3142140058765916)</f>
        <v>0.3142140059</v>
      </c>
      <c r="E3662" s="5">
        <f>IFERROR(__xludf.DUMMYFUNCTION("""COMPUTED_VALUE"""),0.1226126346718903)</f>
        <v>0.1226126347</v>
      </c>
      <c r="F3662" s="5">
        <f>IFERROR(__xludf.DUMMYFUNCTION("""COMPUTED_VALUE"""),0.22230044074436828)</f>
        <v>0.2223004407</v>
      </c>
      <c r="G3662" s="5">
        <f>IFERROR(__xludf.DUMMYFUNCTION("""COMPUTED_VALUE"""),0.1318560235063663)</f>
        <v>0.1318560235</v>
      </c>
      <c r="H3662" s="5">
        <f>IFERROR(__xludf.DUMMYFUNCTION("""COMPUTED_VALUE"""),0.6053972187801184)</f>
        <v>0.6053972188</v>
      </c>
      <c r="I3662" s="11">
        <f>IFERROR(__xludf.DUMMYFUNCTION("""COMPUTED_VALUE"""),5347.569874707421)</f>
        <v>5347.569875</v>
      </c>
      <c r="J3662" s="10">
        <f>IFERROR(__xludf.DUMMYFUNCTION("""COMPUTED_VALUE"""),8.0)</f>
        <v>8</v>
      </c>
      <c r="K3662" s="5">
        <f>IFERROR(__xludf.DUMMYFUNCTION("""COMPUTED_VALUE"""),0.002625533311453889)</f>
        <v>0.002625533311</v>
      </c>
      <c r="L3662" s="10">
        <f>IFERROR(__xludf.DUMMYFUNCTION("""COMPUTED_VALUE"""),3047.0)</f>
        <v>3047</v>
      </c>
      <c r="M3662" s="5">
        <f>IFERROR(__xludf.DUMMYFUNCTION("""COMPUTED_VALUE"""),1.0)</f>
        <v>1</v>
      </c>
    </row>
    <row r="3663">
      <c r="A3663" s="10" t="str">
        <f>IFERROR(__xludf.DUMMYFUNCTION("""COMPUTED_VALUE"""),"miyavi")</f>
        <v>miyavi</v>
      </c>
      <c r="B3663" s="10">
        <f>IFERROR(__xludf.DUMMYFUNCTION("""COMPUTED_VALUE"""),136.0)</f>
        <v>136</v>
      </c>
      <c r="C3663" s="10">
        <f>IFERROR(__xludf.DUMMYFUNCTION("""COMPUTED_VALUE"""),1547.0)</f>
        <v>1547</v>
      </c>
      <c r="D3663" s="5">
        <f>IFERROR(__xludf.DUMMYFUNCTION("""COMPUTED_VALUE"""),0.293408929836995)</f>
        <v>0.2934089298</v>
      </c>
      <c r="E3663" s="5">
        <f>IFERROR(__xludf.DUMMYFUNCTION("""COMPUTED_VALUE"""),0.12260807937632884)</f>
        <v>0.1226080794</v>
      </c>
      <c r="F3663" s="5">
        <f>IFERROR(__xludf.DUMMYFUNCTION("""COMPUTED_VALUE"""),0.21332388377037562)</f>
        <v>0.2133238838</v>
      </c>
      <c r="G3663" s="5">
        <f>IFERROR(__xludf.DUMMYFUNCTION("""COMPUTED_VALUE"""),0.19347980155917788)</f>
        <v>0.1934798016</v>
      </c>
      <c r="H3663" s="5">
        <f>IFERROR(__xludf.DUMMYFUNCTION("""COMPUTED_VALUE"""),0.6112956810631229)</f>
        <v>0.6112956811</v>
      </c>
      <c r="I3663" s="11">
        <f>IFERROR(__xludf.DUMMYFUNCTION("""COMPUTED_VALUE"""),5558.4717607973425)</f>
        <v>5558.471761</v>
      </c>
      <c r="J3663" s="10">
        <f>IFERROR(__xludf.DUMMYFUNCTION("""COMPUTED_VALUE"""),0.0)</f>
        <v>0</v>
      </c>
      <c r="K3663" s="5">
        <f>IFERROR(__xludf.DUMMYFUNCTION("""COMPUTED_VALUE"""),0.0)</f>
        <v>0</v>
      </c>
      <c r="L3663" s="10">
        <f>IFERROR(__xludf.DUMMYFUNCTION("""COMPUTED_VALUE"""),136.0)</f>
        <v>136</v>
      </c>
      <c r="M3663" s="5">
        <f>IFERROR(__xludf.DUMMYFUNCTION("""COMPUTED_VALUE"""),1.0)</f>
        <v>1</v>
      </c>
    </row>
    <row r="3664">
      <c r="A3664" s="10" t="str">
        <f>IFERROR(__xludf.DUMMYFUNCTION("""COMPUTED_VALUE"""),"古本")</f>
        <v>古本</v>
      </c>
      <c r="B3664" s="10">
        <f>IFERROR(__xludf.DUMMYFUNCTION("""COMPUTED_VALUE"""),715.0)</f>
        <v>715</v>
      </c>
      <c r="C3664" s="10">
        <f>IFERROR(__xludf.DUMMYFUNCTION("""COMPUTED_VALUE"""),8341.0)</f>
        <v>8341</v>
      </c>
      <c r="D3664" s="5">
        <f>IFERROR(__xludf.DUMMYFUNCTION("""COMPUTED_VALUE"""),0.36388670338316287)</f>
        <v>0.3638867034</v>
      </c>
      <c r="E3664" s="5">
        <f>IFERROR(__xludf.DUMMYFUNCTION("""COMPUTED_VALUE"""),0.12260687123000262)</f>
        <v>0.1226068712</v>
      </c>
      <c r="F3664" s="5">
        <f>IFERROR(__xludf.DUMMYFUNCTION("""COMPUTED_VALUE"""),0.2143981117230527)</f>
        <v>0.2143981117</v>
      </c>
      <c r="G3664" s="5">
        <f>IFERROR(__xludf.DUMMYFUNCTION("""COMPUTED_VALUE"""),0.13873590348806714)</f>
        <v>0.1387359035</v>
      </c>
      <c r="H3664" s="5">
        <f>IFERROR(__xludf.DUMMYFUNCTION("""COMPUTED_VALUE"""),0.6146788990825688)</f>
        <v>0.6146788991</v>
      </c>
      <c r="I3664" s="11">
        <f>IFERROR(__xludf.DUMMYFUNCTION("""COMPUTED_VALUE"""),5062.568807339449)</f>
        <v>5062.568807</v>
      </c>
      <c r="J3664" s="10">
        <f>IFERROR(__xludf.DUMMYFUNCTION("""COMPUTED_VALUE"""),0.0)</f>
        <v>0</v>
      </c>
      <c r="K3664" s="5">
        <f>IFERROR(__xludf.DUMMYFUNCTION("""COMPUTED_VALUE"""),0.0)</f>
        <v>0</v>
      </c>
      <c r="L3664" s="10">
        <f>IFERROR(__xludf.DUMMYFUNCTION("""COMPUTED_VALUE"""),715.0)</f>
        <v>715</v>
      </c>
      <c r="M3664" s="5">
        <f>IFERROR(__xludf.DUMMYFUNCTION("""COMPUTED_VALUE"""),1.0)</f>
        <v>1</v>
      </c>
    </row>
    <row r="3665">
      <c r="A3665" s="10" t="str">
        <f>IFERROR(__xludf.DUMMYFUNCTION("""COMPUTED_VALUE"""),"木原浩一は老け顔")</f>
        <v>木原浩一は老け顔</v>
      </c>
      <c r="B3665" s="10">
        <f>IFERROR(__xludf.DUMMYFUNCTION("""COMPUTED_VALUE"""),136.0)</f>
        <v>136</v>
      </c>
      <c r="C3665" s="10">
        <f>IFERROR(__xludf.DUMMYFUNCTION("""COMPUTED_VALUE"""),1702.0)</f>
        <v>1702</v>
      </c>
      <c r="D3665" s="5">
        <f>IFERROR(__xludf.DUMMYFUNCTION("""COMPUTED_VALUE"""),0.3218390804597701)</f>
        <v>0.3218390805</v>
      </c>
      <c r="E3665" s="5">
        <f>IFERROR(__xludf.DUMMYFUNCTION("""COMPUTED_VALUE"""),0.12260536398467432)</f>
        <v>0.122605364</v>
      </c>
      <c r="F3665" s="5">
        <f>IFERROR(__xludf.DUMMYFUNCTION("""COMPUTED_VALUE"""),0.2062579821200511)</f>
        <v>0.2062579821</v>
      </c>
      <c r="G3665" s="5">
        <f>IFERROR(__xludf.DUMMYFUNCTION("""COMPUTED_VALUE"""),0.1781609195402299)</f>
        <v>0.1781609195</v>
      </c>
      <c r="H3665" s="5">
        <f>IFERROR(__xludf.DUMMYFUNCTION("""COMPUTED_VALUE"""),0.5975232198142415)</f>
        <v>0.5975232198</v>
      </c>
      <c r="I3665" s="11">
        <f>IFERROR(__xludf.DUMMYFUNCTION("""COMPUTED_VALUE"""),5546.439628482972)</f>
        <v>5546.439628</v>
      </c>
      <c r="J3665" s="10">
        <f>IFERROR(__xludf.DUMMYFUNCTION("""COMPUTED_VALUE"""),0.0)</f>
        <v>0</v>
      </c>
      <c r="K3665" s="5">
        <f>IFERROR(__xludf.DUMMYFUNCTION("""COMPUTED_VALUE"""),0.0)</f>
        <v>0</v>
      </c>
      <c r="L3665" s="10">
        <f>IFERROR(__xludf.DUMMYFUNCTION("""COMPUTED_VALUE"""),27.0)</f>
        <v>27</v>
      </c>
      <c r="M3665" s="5">
        <f>IFERROR(__xludf.DUMMYFUNCTION("""COMPUTED_VALUE"""),0.19852941176470587)</f>
        <v>0.1985294118</v>
      </c>
    </row>
    <row r="3666">
      <c r="A3666" s="10" t="str">
        <f>IFERROR(__xludf.DUMMYFUNCTION("""COMPUTED_VALUE"""),"うさぎファンシー")</f>
        <v>うさぎファンシー</v>
      </c>
      <c r="B3666" s="10">
        <f>IFERROR(__xludf.DUMMYFUNCTION("""COMPUTED_VALUE"""),4206.0)</f>
        <v>4206</v>
      </c>
      <c r="C3666" s="10">
        <f>IFERROR(__xludf.DUMMYFUNCTION("""COMPUTED_VALUE"""),49053.0)</f>
        <v>49053</v>
      </c>
      <c r="D3666" s="5">
        <f>IFERROR(__xludf.DUMMYFUNCTION("""COMPUTED_VALUE"""),0.3551185140589114)</f>
        <v>0.3551185141</v>
      </c>
      <c r="E3666" s="5">
        <f>IFERROR(__xludf.DUMMYFUNCTION("""COMPUTED_VALUE"""),0.12259459941579147)</f>
        <v>0.1225945994</v>
      </c>
      <c r="F3666" s="5">
        <f>IFERROR(__xludf.DUMMYFUNCTION("""COMPUTED_VALUE"""),0.21765112493589314)</f>
        <v>0.2176511249</v>
      </c>
      <c r="G3666" s="5">
        <f>IFERROR(__xludf.DUMMYFUNCTION("""COMPUTED_VALUE"""),0.18237563270675852)</f>
        <v>0.1823756327</v>
      </c>
      <c r="H3666" s="5">
        <f>IFERROR(__xludf.DUMMYFUNCTION("""COMPUTED_VALUE"""),0.5962503841819485)</f>
        <v>0.5962503842</v>
      </c>
      <c r="I3666" s="11">
        <f>IFERROR(__xludf.DUMMYFUNCTION("""COMPUTED_VALUE"""),5817.559676262678)</f>
        <v>5817.559676</v>
      </c>
      <c r="J3666" s="10">
        <f>IFERROR(__xludf.DUMMYFUNCTION("""COMPUTED_VALUE"""),3.0)</f>
        <v>3</v>
      </c>
      <c r="K3666" s="5">
        <f>IFERROR(__xludf.DUMMYFUNCTION("""COMPUTED_VALUE"""),7.132667617689016E-4)</f>
        <v>0.0007132667618</v>
      </c>
      <c r="L3666" s="10">
        <f>IFERROR(__xludf.DUMMYFUNCTION("""COMPUTED_VALUE"""),2477.0)</f>
        <v>2477</v>
      </c>
      <c r="M3666" s="5">
        <f>IFERROR(__xludf.DUMMYFUNCTION("""COMPUTED_VALUE"""),0.5889205896338564)</f>
        <v>0.5889205896</v>
      </c>
    </row>
    <row r="3667">
      <c r="A3667" s="10" t="str">
        <f>IFERROR(__xludf.DUMMYFUNCTION("""COMPUTED_VALUE"""),"白湯眠")</f>
        <v>白湯眠</v>
      </c>
      <c r="B3667" s="10">
        <f>IFERROR(__xludf.DUMMYFUNCTION("""COMPUTED_VALUE"""),299.0)</f>
        <v>299</v>
      </c>
      <c r="C3667" s="10">
        <f>IFERROR(__xludf.DUMMYFUNCTION("""COMPUTED_VALUE"""),3464.0)</f>
        <v>3464</v>
      </c>
      <c r="D3667" s="5">
        <f>IFERROR(__xludf.DUMMYFUNCTION("""COMPUTED_VALUE"""),0.3320695102685624)</f>
        <v>0.3320695103</v>
      </c>
      <c r="E3667" s="5">
        <f>IFERROR(__xludf.DUMMYFUNCTION("""COMPUTED_VALUE"""),0.1225908372827804)</f>
        <v>0.1225908373</v>
      </c>
      <c r="F3667" s="5">
        <f>IFERROR(__xludf.DUMMYFUNCTION("""COMPUTED_VALUE"""),0.20631911532385466)</f>
        <v>0.2063191153</v>
      </c>
      <c r="G3667" s="5">
        <f>IFERROR(__xludf.DUMMYFUNCTION("""COMPUTED_VALUE"""),0.1693522906793049)</f>
        <v>0.1693522907</v>
      </c>
      <c r="H3667" s="5">
        <f>IFERROR(__xludf.DUMMYFUNCTION("""COMPUTED_VALUE"""),0.5849923430321593)</f>
        <v>0.584992343</v>
      </c>
      <c r="I3667" s="11">
        <f>IFERROR(__xludf.DUMMYFUNCTION("""COMPUTED_VALUE"""),5600.30627871363)</f>
        <v>5600.306279</v>
      </c>
      <c r="J3667" s="10">
        <f>IFERROR(__xludf.DUMMYFUNCTION("""COMPUTED_VALUE"""),0.0)</f>
        <v>0</v>
      </c>
      <c r="K3667" s="5">
        <f>IFERROR(__xludf.DUMMYFUNCTION("""COMPUTED_VALUE"""),0.0)</f>
        <v>0</v>
      </c>
      <c r="L3667" s="10">
        <f>IFERROR(__xludf.DUMMYFUNCTION("""COMPUTED_VALUE"""),299.0)</f>
        <v>299</v>
      </c>
      <c r="M3667" s="5">
        <f>IFERROR(__xludf.DUMMYFUNCTION("""COMPUTED_VALUE"""),1.0)</f>
        <v>1</v>
      </c>
    </row>
    <row r="3668">
      <c r="A3668" s="10" t="str">
        <f>IFERROR(__xludf.DUMMYFUNCTION("""COMPUTED_VALUE"""),"高鴨憧")</f>
        <v>高鴨憧</v>
      </c>
      <c r="B3668" s="10">
        <f>IFERROR(__xludf.DUMMYFUNCTION("""COMPUTED_VALUE"""),238.0)</f>
        <v>238</v>
      </c>
      <c r="C3668" s="10">
        <f>IFERROR(__xludf.DUMMYFUNCTION("""COMPUTED_VALUE"""),2824.0)</f>
        <v>2824</v>
      </c>
      <c r="D3668" s="5">
        <f>IFERROR(__xludf.DUMMYFUNCTION("""COMPUTED_VALUE"""),0.37161639597834495)</f>
        <v>0.371616396</v>
      </c>
      <c r="E3668" s="5">
        <f>IFERROR(__xludf.DUMMYFUNCTION("""COMPUTED_VALUE"""),0.1225831399845321)</f>
        <v>0.12258314</v>
      </c>
      <c r="F3668" s="5">
        <f>IFERROR(__xludf.DUMMYFUNCTION("""COMPUTED_VALUE"""),0.19798917246713071)</f>
        <v>0.1979891725</v>
      </c>
      <c r="G3668" s="5">
        <f>IFERROR(__xludf.DUMMYFUNCTION("""COMPUTED_VALUE"""),0.19218870843000774)</f>
        <v>0.1921887084</v>
      </c>
      <c r="H3668" s="5">
        <f>IFERROR(__xludf.DUMMYFUNCTION("""COMPUTED_VALUE"""),0.568359375)</f>
        <v>0.568359375</v>
      </c>
      <c r="I3668" s="11">
        <f>IFERROR(__xludf.DUMMYFUNCTION("""COMPUTED_VALUE"""),5600.78125)</f>
        <v>5600.78125</v>
      </c>
      <c r="J3668" s="10">
        <f>IFERROR(__xludf.DUMMYFUNCTION("""COMPUTED_VALUE"""),0.0)</f>
        <v>0</v>
      </c>
      <c r="K3668" s="5">
        <f>IFERROR(__xludf.DUMMYFUNCTION("""COMPUTED_VALUE"""),0.0)</f>
        <v>0</v>
      </c>
      <c r="L3668" s="10">
        <f>IFERROR(__xludf.DUMMYFUNCTION("""COMPUTED_VALUE"""),234.0)</f>
        <v>234</v>
      </c>
      <c r="M3668" s="5">
        <f>IFERROR(__xludf.DUMMYFUNCTION("""COMPUTED_VALUE"""),0.9831932773109243)</f>
        <v>0.9831932773</v>
      </c>
    </row>
    <row r="3669">
      <c r="A3669" s="10" t="str">
        <f>IFERROR(__xludf.DUMMYFUNCTION("""COMPUTED_VALUE"""),"接点@QB")</f>
        <v>接点@QB</v>
      </c>
      <c r="B3669" s="10">
        <f>IFERROR(__xludf.DUMMYFUNCTION("""COMPUTED_VALUE"""),572.0)</f>
        <v>572</v>
      </c>
      <c r="C3669" s="10">
        <f>IFERROR(__xludf.DUMMYFUNCTION("""COMPUTED_VALUE"""),6666.0)</f>
        <v>6666</v>
      </c>
      <c r="D3669" s="5">
        <f>IFERROR(__xludf.DUMMYFUNCTION("""COMPUTED_VALUE"""),0.4007220216606498)</f>
        <v>0.4007220217</v>
      </c>
      <c r="E3669" s="5">
        <f>IFERROR(__xludf.DUMMYFUNCTION("""COMPUTED_VALUE"""),0.12257958647850345)</f>
        <v>0.1225795865</v>
      </c>
      <c r="F3669" s="5">
        <f>IFERROR(__xludf.DUMMYFUNCTION("""COMPUTED_VALUE"""),0.20626846078109615)</f>
        <v>0.2062684608</v>
      </c>
      <c r="G3669" s="5">
        <f>IFERROR(__xludf.DUMMYFUNCTION("""COMPUTED_VALUE"""),0.17164424023629798)</f>
        <v>0.1716442402</v>
      </c>
      <c r="H3669" s="5">
        <f>IFERROR(__xludf.DUMMYFUNCTION("""COMPUTED_VALUE"""),0.569610182975338)</f>
        <v>0.569610183</v>
      </c>
      <c r="I3669" s="11">
        <f>IFERROR(__xludf.DUMMYFUNCTION("""COMPUTED_VALUE"""),5740.572792362768)</f>
        <v>5740.572792</v>
      </c>
      <c r="J3669" s="10">
        <f>IFERROR(__xludf.DUMMYFUNCTION("""COMPUTED_VALUE"""),2.0)</f>
        <v>2</v>
      </c>
      <c r="K3669" s="5">
        <f>IFERROR(__xludf.DUMMYFUNCTION("""COMPUTED_VALUE"""),0.0034965034965034965)</f>
        <v>0.003496503497</v>
      </c>
      <c r="L3669" s="10">
        <f>IFERROR(__xludf.DUMMYFUNCTION("""COMPUTED_VALUE"""),225.0)</f>
        <v>225</v>
      </c>
      <c r="M3669" s="5">
        <f>IFERROR(__xludf.DUMMYFUNCTION("""COMPUTED_VALUE"""),0.39335664335664333)</f>
        <v>0.3933566434</v>
      </c>
    </row>
    <row r="3670">
      <c r="A3670" s="10" t="str">
        <f>IFERROR(__xludf.DUMMYFUNCTION("""COMPUTED_VALUE"""),"ワームホール")</f>
        <v>ワームホール</v>
      </c>
      <c r="B3670" s="10">
        <f>IFERROR(__xludf.DUMMYFUNCTION("""COMPUTED_VALUE"""),446.0)</f>
        <v>446</v>
      </c>
      <c r="C3670" s="10">
        <f>IFERROR(__xludf.DUMMYFUNCTION("""COMPUTED_VALUE"""),5325.0)</f>
        <v>5325</v>
      </c>
      <c r="D3670" s="5">
        <f>IFERROR(__xludf.DUMMYFUNCTION("""COMPUTED_VALUE"""),0.42160278745644597)</f>
        <v>0.4216027875</v>
      </c>
      <c r="E3670" s="5">
        <f>IFERROR(__xludf.DUMMYFUNCTION("""COMPUTED_VALUE"""),0.12256609961057593)</f>
        <v>0.1225660996</v>
      </c>
      <c r="F3670" s="5">
        <f>IFERROR(__xludf.DUMMYFUNCTION("""COMPUTED_VALUE"""),0.19819635171141628)</f>
        <v>0.1981963517</v>
      </c>
      <c r="G3670" s="5">
        <f>IFERROR(__xludf.DUMMYFUNCTION("""COMPUTED_VALUE"""),0.1674523467923755)</f>
        <v>0.1674523468</v>
      </c>
      <c r="H3670" s="5">
        <f>IFERROR(__xludf.DUMMYFUNCTION("""COMPUTED_VALUE"""),0.5832471561530507)</f>
        <v>0.5832471562</v>
      </c>
      <c r="I3670" s="11">
        <f>IFERROR(__xludf.DUMMYFUNCTION("""COMPUTED_VALUE"""),5685.935884177869)</f>
        <v>5685.935884</v>
      </c>
      <c r="J3670" s="10">
        <f>IFERROR(__xludf.DUMMYFUNCTION("""COMPUTED_VALUE"""),1.0)</f>
        <v>1</v>
      </c>
      <c r="K3670" s="5">
        <f>IFERROR(__xludf.DUMMYFUNCTION("""COMPUTED_VALUE"""),0.002242152466367713)</f>
        <v>0.002242152466</v>
      </c>
      <c r="L3670" s="10">
        <f>IFERROR(__xludf.DUMMYFUNCTION("""COMPUTED_VALUE"""),446.0)</f>
        <v>446</v>
      </c>
      <c r="M3670" s="5">
        <f>IFERROR(__xludf.DUMMYFUNCTION("""COMPUTED_VALUE"""),1.0)</f>
        <v>1</v>
      </c>
    </row>
    <row r="3671">
      <c r="A3671" s="10" t="str">
        <f>IFERROR(__xludf.DUMMYFUNCTION("""COMPUTED_VALUE"""),"照信者")</f>
        <v>照信者</v>
      </c>
      <c r="B3671" s="10">
        <f>IFERROR(__xludf.DUMMYFUNCTION("""COMPUTED_VALUE"""),216.0)</f>
        <v>216</v>
      </c>
      <c r="C3671" s="10">
        <f>IFERROR(__xludf.DUMMYFUNCTION("""COMPUTED_VALUE"""),2525.0)</f>
        <v>2525</v>
      </c>
      <c r="D3671" s="5">
        <f>IFERROR(__xludf.DUMMYFUNCTION("""COMPUTED_VALUE"""),0.3057600692940667)</f>
        <v>0.3057600693</v>
      </c>
      <c r="E3671" s="5">
        <f>IFERROR(__xludf.DUMMYFUNCTION("""COMPUTED_VALUE"""),0.12256388046773495)</f>
        <v>0.1225638805</v>
      </c>
      <c r="F3671" s="5">
        <f>IFERROR(__xludf.DUMMYFUNCTION("""COMPUTED_VALUE"""),0.21177999133824166)</f>
        <v>0.2117799913</v>
      </c>
      <c r="G3671" s="5">
        <f>IFERROR(__xludf.DUMMYFUNCTION("""COMPUTED_VALUE"""),0.17323516673884798)</f>
        <v>0.1732351667</v>
      </c>
      <c r="H3671" s="5">
        <f>IFERROR(__xludf.DUMMYFUNCTION("""COMPUTED_VALUE"""),0.5971370143149284)</f>
        <v>0.5971370143</v>
      </c>
      <c r="I3671" s="11">
        <f>IFERROR(__xludf.DUMMYFUNCTION("""COMPUTED_VALUE"""),5536.605316973415)</f>
        <v>5536.605317</v>
      </c>
      <c r="J3671" s="10">
        <f>IFERROR(__xludf.DUMMYFUNCTION("""COMPUTED_VALUE"""),0.0)</f>
        <v>0</v>
      </c>
      <c r="K3671" s="5">
        <f>IFERROR(__xludf.DUMMYFUNCTION("""COMPUTED_VALUE"""),0.0)</f>
        <v>0</v>
      </c>
      <c r="L3671" s="10">
        <f>IFERROR(__xludf.DUMMYFUNCTION("""COMPUTED_VALUE"""),216.0)</f>
        <v>216</v>
      </c>
      <c r="M3671" s="5">
        <f>IFERROR(__xludf.DUMMYFUNCTION("""COMPUTED_VALUE"""),1.0)</f>
        <v>1</v>
      </c>
    </row>
    <row r="3672">
      <c r="A3672" s="10" t="str">
        <f>IFERROR(__xludf.DUMMYFUNCTION("""COMPUTED_VALUE"""),"国見比呂")</f>
        <v>国見比呂</v>
      </c>
      <c r="B3672" s="10">
        <f>IFERROR(__xludf.DUMMYFUNCTION("""COMPUTED_VALUE"""),500.0)</f>
        <v>500</v>
      </c>
      <c r="C3672" s="10">
        <f>IFERROR(__xludf.DUMMYFUNCTION("""COMPUTED_VALUE"""),5902.0)</f>
        <v>5902</v>
      </c>
      <c r="D3672" s="5">
        <f>IFERROR(__xludf.DUMMYFUNCTION("""COMPUTED_VALUE"""),0.39744539059607553)</f>
        <v>0.3974453906</v>
      </c>
      <c r="E3672" s="5">
        <f>IFERROR(__xludf.DUMMYFUNCTION("""COMPUTED_VALUE"""),0.12254720473898556)</f>
        <v>0.1225472047</v>
      </c>
      <c r="F3672" s="5">
        <f>IFERROR(__xludf.DUMMYFUNCTION("""COMPUTED_VALUE"""),0.22325064790818216)</f>
        <v>0.2232506479</v>
      </c>
      <c r="G3672" s="5">
        <f>IFERROR(__xludf.DUMMYFUNCTION("""COMPUTED_VALUE"""),0.17308404294705665)</f>
        <v>0.1730840429</v>
      </c>
      <c r="H3672" s="5">
        <f>IFERROR(__xludf.DUMMYFUNCTION("""COMPUTED_VALUE"""),0.5762852404643449)</f>
        <v>0.5762852405</v>
      </c>
      <c r="I3672" s="11">
        <f>IFERROR(__xludf.DUMMYFUNCTION("""COMPUTED_VALUE"""),5299.502487562189)</f>
        <v>5299.502488</v>
      </c>
      <c r="J3672" s="10">
        <f>IFERROR(__xludf.DUMMYFUNCTION("""COMPUTED_VALUE"""),1.0)</f>
        <v>1</v>
      </c>
      <c r="K3672" s="5">
        <f>IFERROR(__xludf.DUMMYFUNCTION("""COMPUTED_VALUE"""),0.002)</f>
        <v>0.002</v>
      </c>
      <c r="L3672" s="10">
        <f>IFERROR(__xludf.DUMMYFUNCTION("""COMPUTED_VALUE"""),500.0)</f>
        <v>500</v>
      </c>
      <c r="M3672" s="5">
        <f>IFERROR(__xludf.DUMMYFUNCTION("""COMPUTED_VALUE"""),1.0)</f>
        <v>1</v>
      </c>
    </row>
    <row r="3673">
      <c r="A3673" s="10" t="str">
        <f>IFERROR(__xludf.DUMMYFUNCTION("""COMPUTED_VALUE"""),"ピッコロ係長")</f>
        <v>ピッコロ係長</v>
      </c>
      <c r="B3673" s="10">
        <f>IFERROR(__xludf.DUMMYFUNCTION("""COMPUTED_VALUE"""),101.0)</f>
        <v>101</v>
      </c>
      <c r="C3673" s="10">
        <f>IFERROR(__xludf.DUMMYFUNCTION("""COMPUTED_VALUE"""),1219.0)</f>
        <v>1219</v>
      </c>
      <c r="D3673" s="5">
        <f>IFERROR(__xludf.DUMMYFUNCTION("""COMPUTED_VALUE"""),0.3112701252236136)</f>
        <v>0.3112701252</v>
      </c>
      <c r="E3673" s="5">
        <f>IFERROR(__xludf.DUMMYFUNCTION("""COMPUTED_VALUE"""),0.12254025044722719)</f>
        <v>0.1225402504</v>
      </c>
      <c r="F3673" s="5">
        <f>IFERROR(__xludf.DUMMYFUNCTION("""COMPUTED_VALUE"""),0.19588550983899822)</f>
        <v>0.1958855098</v>
      </c>
      <c r="G3673" s="5">
        <f>IFERROR(__xludf.DUMMYFUNCTION("""COMPUTED_VALUE"""),0.16010733452593917)</f>
        <v>0.1601073345</v>
      </c>
      <c r="H3673" s="5">
        <f>IFERROR(__xludf.DUMMYFUNCTION("""COMPUTED_VALUE"""),0.6438356164383562)</f>
        <v>0.6438356164</v>
      </c>
      <c r="I3673" s="11">
        <f>IFERROR(__xludf.DUMMYFUNCTION("""COMPUTED_VALUE"""),5365.296803652968)</f>
        <v>5365.296804</v>
      </c>
      <c r="J3673" s="10">
        <f>IFERROR(__xludf.DUMMYFUNCTION("""COMPUTED_VALUE"""),0.0)</f>
        <v>0</v>
      </c>
      <c r="K3673" s="5">
        <f>IFERROR(__xludf.DUMMYFUNCTION("""COMPUTED_VALUE"""),0.0)</f>
        <v>0</v>
      </c>
      <c r="L3673" s="10">
        <f>IFERROR(__xludf.DUMMYFUNCTION("""COMPUTED_VALUE"""),101.0)</f>
        <v>101</v>
      </c>
      <c r="M3673" s="5">
        <f>IFERROR(__xludf.DUMMYFUNCTION("""COMPUTED_VALUE"""),1.0)</f>
        <v>1</v>
      </c>
    </row>
    <row r="3674">
      <c r="A3674" s="10" t="str">
        <f>IFERROR(__xludf.DUMMYFUNCTION("""COMPUTED_VALUE"""),"木原豪一")</f>
        <v>木原豪一</v>
      </c>
      <c r="B3674" s="10">
        <f>IFERROR(__xludf.DUMMYFUNCTION("""COMPUTED_VALUE"""),6139.0)</f>
        <v>6139</v>
      </c>
      <c r="C3674" s="10">
        <f>IFERROR(__xludf.DUMMYFUNCTION("""COMPUTED_VALUE"""),71668.0)</f>
        <v>71668</v>
      </c>
      <c r="D3674" s="5">
        <f>IFERROR(__xludf.DUMMYFUNCTION("""COMPUTED_VALUE"""),0.3268323948175617)</f>
        <v>0.3268323948</v>
      </c>
      <c r="E3674" s="5">
        <f>IFERROR(__xludf.DUMMYFUNCTION("""COMPUTED_VALUE"""),0.12252590456133926)</f>
        <v>0.1225259046</v>
      </c>
      <c r="F3674" s="5">
        <f>IFERROR(__xludf.DUMMYFUNCTION("""COMPUTED_VALUE"""),0.21366112713455113)</f>
        <v>0.2136611271</v>
      </c>
      <c r="G3674" s="5">
        <f>IFERROR(__xludf.DUMMYFUNCTION("""COMPUTED_VALUE"""),0.19409726991103177)</f>
        <v>0.1940972699</v>
      </c>
      <c r="H3674" s="5">
        <f>IFERROR(__xludf.DUMMYFUNCTION("""COMPUTED_VALUE"""),0.5981001357045925)</f>
        <v>0.5981001357</v>
      </c>
      <c r="I3674" s="11">
        <f>IFERROR(__xludf.DUMMYFUNCTION("""COMPUTED_VALUE"""),5808.642239840012)</f>
        <v>5808.64224</v>
      </c>
      <c r="J3674" s="10">
        <f>IFERROR(__xludf.DUMMYFUNCTION("""COMPUTED_VALUE"""),6.0)</f>
        <v>6</v>
      </c>
      <c r="K3674" s="5">
        <f>IFERROR(__xludf.DUMMYFUNCTION("""COMPUTED_VALUE"""),9.773578758755497E-4)</f>
        <v>0.0009773578759</v>
      </c>
      <c r="L3674" s="10">
        <f>IFERROR(__xludf.DUMMYFUNCTION("""COMPUTED_VALUE"""),6139.0)</f>
        <v>6139</v>
      </c>
      <c r="M3674" s="5">
        <f>IFERROR(__xludf.DUMMYFUNCTION("""COMPUTED_VALUE"""),1.0)</f>
        <v>1</v>
      </c>
    </row>
    <row r="3675">
      <c r="A3675" s="10" t="str">
        <f>IFERROR(__xludf.DUMMYFUNCTION("""COMPUTED_VALUE"""),"raga-m")</f>
        <v>raga-m</v>
      </c>
      <c r="B3675" s="10">
        <f>IFERROR(__xludf.DUMMYFUNCTION("""COMPUTED_VALUE"""),1296.0)</f>
        <v>1296</v>
      </c>
      <c r="C3675" s="10">
        <f>IFERROR(__xludf.DUMMYFUNCTION("""COMPUTED_VALUE"""),15049.0)</f>
        <v>15049</v>
      </c>
      <c r="D3675" s="5">
        <f>IFERROR(__xludf.DUMMYFUNCTION("""COMPUTED_VALUE"""),0.3146949756416782)</f>
        <v>0.3146949756</v>
      </c>
      <c r="E3675" s="5">
        <f>IFERROR(__xludf.DUMMYFUNCTION("""COMPUTED_VALUE"""),0.12251872318766814)</f>
        <v>0.1225187232</v>
      </c>
      <c r="F3675" s="5">
        <f>IFERROR(__xludf.DUMMYFUNCTION("""COMPUTED_VALUE"""),0.19748418526866865)</f>
        <v>0.1974841853</v>
      </c>
      <c r="G3675" s="5">
        <f>IFERROR(__xludf.DUMMYFUNCTION("""COMPUTED_VALUE"""),0.14993092416200102)</f>
        <v>0.1499309242</v>
      </c>
      <c r="H3675" s="5">
        <f>IFERROR(__xludf.DUMMYFUNCTION("""COMPUTED_VALUE"""),0.6038291605301914)</f>
        <v>0.6038291605</v>
      </c>
      <c r="I3675" s="11">
        <f>IFERROR(__xludf.DUMMYFUNCTION("""COMPUTED_VALUE"""),5680.817378497791)</f>
        <v>5680.817378</v>
      </c>
      <c r="J3675" s="10">
        <f>IFERROR(__xludf.DUMMYFUNCTION("""COMPUTED_VALUE"""),6.0)</f>
        <v>6</v>
      </c>
      <c r="K3675" s="5">
        <f>IFERROR(__xludf.DUMMYFUNCTION("""COMPUTED_VALUE"""),0.004629629629629629)</f>
        <v>0.00462962963</v>
      </c>
      <c r="L3675" s="10">
        <f>IFERROR(__xludf.DUMMYFUNCTION("""COMPUTED_VALUE"""),1296.0)</f>
        <v>1296</v>
      </c>
      <c r="M3675" s="5">
        <f>IFERROR(__xludf.DUMMYFUNCTION("""COMPUTED_VALUE"""),1.0)</f>
        <v>1</v>
      </c>
    </row>
    <row r="3676">
      <c r="A3676" s="10" t="str">
        <f>IFERROR(__xludf.DUMMYFUNCTION("""COMPUTED_VALUE"""),"中央大学3年")</f>
        <v>中央大学3年</v>
      </c>
      <c r="B3676" s="10">
        <f>IFERROR(__xludf.DUMMYFUNCTION("""COMPUTED_VALUE"""),188.0)</f>
        <v>188</v>
      </c>
      <c r="C3676" s="10">
        <f>IFERROR(__xludf.DUMMYFUNCTION("""COMPUTED_VALUE"""),2253.0)</f>
        <v>2253</v>
      </c>
      <c r="D3676" s="5">
        <f>IFERROR(__xludf.DUMMYFUNCTION("""COMPUTED_VALUE"""),0.3811138014527845)</f>
        <v>0.3811138015</v>
      </c>
      <c r="E3676" s="5">
        <f>IFERROR(__xludf.DUMMYFUNCTION("""COMPUTED_VALUE"""),0.12251815980629539)</f>
        <v>0.1225181598</v>
      </c>
      <c r="F3676" s="5">
        <f>IFERROR(__xludf.DUMMYFUNCTION("""COMPUTED_VALUE"""),0.18983050847457628)</f>
        <v>0.1898305085</v>
      </c>
      <c r="G3676" s="5">
        <f>IFERROR(__xludf.DUMMYFUNCTION("""COMPUTED_VALUE"""),0.1414043583535109)</f>
        <v>0.1414043584</v>
      </c>
      <c r="H3676" s="5">
        <f>IFERROR(__xludf.DUMMYFUNCTION("""COMPUTED_VALUE"""),0.5943877551020408)</f>
        <v>0.5943877551</v>
      </c>
      <c r="I3676" s="11">
        <f>IFERROR(__xludf.DUMMYFUNCTION("""COMPUTED_VALUE"""),5289.030612244898)</f>
        <v>5289.030612</v>
      </c>
      <c r="J3676" s="10">
        <f>IFERROR(__xludf.DUMMYFUNCTION("""COMPUTED_VALUE"""),1.0)</f>
        <v>1</v>
      </c>
      <c r="K3676" s="5">
        <f>IFERROR(__xludf.DUMMYFUNCTION("""COMPUTED_VALUE"""),0.005319148936170213)</f>
        <v>0.005319148936</v>
      </c>
      <c r="L3676" s="10">
        <f>IFERROR(__xludf.DUMMYFUNCTION("""COMPUTED_VALUE"""),3.0)</f>
        <v>3</v>
      </c>
      <c r="M3676" s="5">
        <f>IFERROR(__xludf.DUMMYFUNCTION("""COMPUTED_VALUE"""),0.015957446808510637)</f>
        <v>0.01595744681</v>
      </c>
    </row>
    <row r="3677">
      <c r="A3677" s="10" t="str">
        <f>IFERROR(__xludf.DUMMYFUNCTION("""COMPUTED_VALUE"""),"MAK0104")</f>
        <v>MAK0104</v>
      </c>
      <c r="B3677" s="10">
        <f>IFERROR(__xludf.DUMMYFUNCTION("""COMPUTED_VALUE"""),1421.0)</f>
        <v>1421</v>
      </c>
      <c r="C3677" s="10">
        <f>IFERROR(__xludf.DUMMYFUNCTION("""COMPUTED_VALUE"""),16570.0)</f>
        <v>16570</v>
      </c>
      <c r="D3677" s="5">
        <f>IFERROR(__xludf.DUMMYFUNCTION("""COMPUTED_VALUE"""),0.3103175127071094)</f>
        <v>0.3103175127</v>
      </c>
      <c r="E3677" s="5">
        <f>IFERROR(__xludf.DUMMYFUNCTION("""COMPUTED_VALUE"""),0.1225163377120602)</f>
        <v>0.1225163377</v>
      </c>
      <c r="F3677" s="5">
        <f>IFERROR(__xludf.DUMMYFUNCTION("""COMPUTED_VALUE"""),0.20879265958149051)</f>
        <v>0.2087926596</v>
      </c>
      <c r="G3677" s="5">
        <f>IFERROR(__xludf.DUMMYFUNCTION("""COMPUTED_VALUE"""),0.1712324245824807)</f>
        <v>0.1712324246</v>
      </c>
      <c r="H3677" s="5">
        <f>IFERROR(__xludf.DUMMYFUNCTION("""COMPUTED_VALUE"""),0.5912108757508694)</f>
        <v>0.5912108758</v>
      </c>
      <c r="I3677" s="11">
        <f>IFERROR(__xludf.DUMMYFUNCTION("""COMPUTED_VALUE"""),5753.872905469491)</f>
        <v>5753.872905</v>
      </c>
      <c r="J3677" s="10">
        <f>IFERROR(__xludf.DUMMYFUNCTION("""COMPUTED_VALUE"""),1.0)</f>
        <v>1</v>
      </c>
      <c r="K3677" s="5">
        <f>IFERROR(__xludf.DUMMYFUNCTION("""COMPUTED_VALUE"""),7.037297677691766E-4)</f>
        <v>0.0007037297678</v>
      </c>
      <c r="L3677" s="10">
        <f>IFERROR(__xludf.DUMMYFUNCTION("""COMPUTED_VALUE"""),1421.0)</f>
        <v>1421</v>
      </c>
      <c r="M3677" s="5">
        <f>IFERROR(__xludf.DUMMYFUNCTION("""COMPUTED_VALUE"""),1.0)</f>
        <v>1</v>
      </c>
    </row>
    <row r="3678">
      <c r="A3678" s="10" t="str">
        <f>IFERROR(__xludf.DUMMYFUNCTION("""COMPUTED_VALUE"""),"mato0603")</f>
        <v>mato0603</v>
      </c>
      <c r="B3678" s="10">
        <f>IFERROR(__xludf.DUMMYFUNCTION("""COMPUTED_VALUE"""),3497.0)</f>
        <v>3497</v>
      </c>
      <c r="C3678" s="10">
        <f>IFERROR(__xludf.DUMMYFUNCTION("""COMPUTED_VALUE"""),40751.0)</f>
        <v>40751</v>
      </c>
      <c r="D3678" s="5">
        <f>IFERROR(__xludf.DUMMYFUNCTION("""COMPUTED_VALUE"""),0.3649272561335695)</f>
        <v>0.3649272561</v>
      </c>
      <c r="E3678" s="5">
        <f>IFERROR(__xludf.DUMMYFUNCTION("""COMPUTED_VALUE"""),0.12251033446072905)</f>
        <v>0.1225103345</v>
      </c>
      <c r="F3678" s="5">
        <f>IFERROR(__xludf.DUMMYFUNCTION("""COMPUTED_VALUE"""),0.2071455414183712)</f>
        <v>0.2071455414</v>
      </c>
      <c r="G3678" s="5">
        <f>IFERROR(__xludf.DUMMYFUNCTION("""COMPUTED_VALUE"""),0.17692059913029473)</f>
        <v>0.1769205991</v>
      </c>
      <c r="H3678" s="5">
        <f>IFERROR(__xludf.DUMMYFUNCTION("""COMPUTED_VALUE"""),0.5840352468575871)</f>
        <v>0.5840352469</v>
      </c>
      <c r="I3678" s="11">
        <f>IFERROR(__xludf.DUMMYFUNCTION("""COMPUTED_VALUE"""),5651.833614098743)</f>
        <v>5651.833614</v>
      </c>
      <c r="J3678" s="10">
        <f>IFERROR(__xludf.DUMMYFUNCTION("""COMPUTED_VALUE"""),3.0)</f>
        <v>3</v>
      </c>
      <c r="K3678" s="5">
        <f>IFERROR(__xludf.DUMMYFUNCTION("""COMPUTED_VALUE"""),8.578781812982557E-4)</f>
        <v>0.0008578781813</v>
      </c>
      <c r="L3678" s="10">
        <f>IFERROR(__xludf.DUMMYFUNCTION("""COMPUTED_VALUE"""),3497.0)</f>
        <v>3497</v>
      </c>
      <c r="M3678" s="5">
        <f>IFERROR(__xludf.DUMMYFUNCTION("""COMPUTED_VALUE"""),1.0)</f>
        <v>1</v>
      </c>
    </row>
    <row r="3679">
      <c r="A3679" s="10" t="str">
        <f>IFERROR(__xludf.DUMMYFUNCTION("""COMPUTED_VALUE"""),"iwankofu")</f>
        <v>iwankofu</v>
      </c>
      <c r="B3679" s="10">
        <f>IFERROR(__xludf.DUMMYFUNCTION("""COMPUTED_VALUE"""),1349.0)</f>
        <v>1349</v>
      </c>
      <c r="C3679" s="10">
        <f>IFERROR(__xludf.DUMMYFUNCTION("""COMPUTED_VALUE"""),15805.0)</f>
        <v>15805</v>
      </c>
      <c r="D3679" s="5">
        <f>IFERROR(__xludf.DUMMYFUNCTION("""COMPUTED_VALUE"""),0.3325262866629773)</f>
        <v>0.3325262867</v>
      </c>
      <c r="E3679" s="5">
        <f>IFERROR(__xludf.DUMMYFUNCTION("""COMPUTED_VALUE"""),0.12250968456004427)</f>
        <v>0.1225096846</v>
      </c>
      <c r="F3679" s="5">
        <f>IFERROR(__xludf.DUMMYFUNCTION("""COMPUTED_VALUE"""),0.20489762036524625)</f>
        <v>0.2048976204</v>
      </c>
      <c r="G3679" s="5">
        <f>IFERROR(__xludf.DUMMYFUNCTION("""COMPUTED_VALUE"""),0.19306862202545655)</f>
        <v>0.193068622</v>
      </c>
      <c r="H3679" s="5">
        <f>IFERROR(__xludf.DUMMYFUNCTION("""COMPUTED_VALUE"""),0.5948683322079676)</f>
        <v>0.5948683322</v>
      </c>
      <c r="I3679" s="11">
        <f>IFERROR(__xludf.DUMMYFUNCTION("""COMPUTED_VALUE"""),6057.056043214045)</f>
        <v>6057.056043</v>
      </c>
      <c r="J3679" s="10">
        <f>IFERROR(__xludf.DUMMYFUNCTION("""COMPUTED_VALUE"""),4.0)</f>
        <v>4</v>
      </c>
      <c r="K3679" s="5">
        <f>IFERROR(__xludf.DUMMYFUNCTION("""COMPUTED_VALUE"""),0.0029651593773165306)</f>
        <v>0.002965159377</v>
      </c>
      <c r="L3679" s="10">
        <f>IFERROR(__xludf.DUMMYFUNCTION("""COMPUTED_VALUE"""),1349.0)</f>
        <v>1349</v>
      </c>
      <c r="M3679" s="5">
        <f>IFERROR(__xludf.DUMMYFUNCTION("""COMPUTED_VALUE"""),1.0)</f>
        <v>1</v>
      </c>
    </row>
    <row r="3680">
      <c r="A3680" s="10" t="str">
        <f>IFERROR(__xludf.DUMMYFUNCTION("""COMPUTED_VALUE"""),"ともとり～")</f>
        <v>ともとり～</v>
      </c>
      <c r="B3680" s="10">
        <f>IFERROR(__xludf.DUMMYFUNCTION("""COMPUTED_VALUE"""),128.0)</f>
        <v>128</v>
      </c>
      <c r="C3680" s="10">
        <f>IFERROR(__xludf.DUMMYFUNCTION("""COMPUTED_VALUE"""),1532.0)</f>
        <v>1532</v>
      </c>
      <c r="D3680" s="5">
        <f>IFERROR(__xludf.DUMMYFUNCTION("""COMPUTED_VALUE"""),0.344017094017094)</f>
        <v>0.344017094</v>
      </c>
      <c r="E3680" s="5">
        <f>IFERROR(__xludf.DUMMYFUNCTION("""COMPUTED_VALUE"""),0.1225071225071225)</f>
        <v>0.1225071225</v>
      </c>
      <c r="F3680" s="5">
        <f>IFERROR(__xludf.DUMMYFUNCTION("""COMPUTED_VALUE"""),0.19658119658119658)</f>
        <v>0.1965811966</v>
      </c>
      <c r="G3680" s="5">
        <f>IFERROR(__xludf.DUMMYFUNCTION("""COMPUTED_VALUE"""),0.146011396011396)</f>
        <v>0.146011396</v>
      </c>
      <c r="H3680" s="5">
        <f>IFERROR(__xludf.DUMMYFUNCTION("""COMPUTED_VALUE"""),0.6231884057971014)</f>
        <v>0.6231884058</v>
      </c>
      <c r="I3680" s="11">
        <f>IFERROR(__xludf.DUMMYFUNCTION("""COMPUTED_VALUE"""),5965.942028985507)</f>
        <v>5965.942029</v>
      </c>
      <c r="J3680" s="10">
        <f>IFERROR(__xludf.DUMMYFUNCTION("""COMPUTED_VALUE"""),0.0)</f>
        <v>0</v>
      </c>
      <c r="K3680" s="5">
        <f>IFERROR(__xludf.DUMMYFUNCTION("""COMPUTED_VALUE"""),0.0)</f>
        <v>0</v>
      </c>
      <c r="L3680" s="10">
        <f>IFERROR(__xludf.DUMMYFUNCTION("""COMPUTED_VALUE"""),128.0)</f>
        <v>128</v>
      </c>
      <c r="M3680" s="5">
        <f>IFERROR(__xludf.DUMMYFUNCTION("""COMPUTED_VALUE"""),1.0)</f>
        <v>1</v>
      </c>
    </row>
    <row r="3681">
      <c r="A3681" s="10" t="str">
        <f>IFERROR(__xludf.DUMMYFUNCTION("""COMPUTED_VALUE"""),".=伊吹翼=")</f>
        <v>.=伊吹翼=</v>
      </c>
      <c r="B3681" s="10">
        <f>IFERROR(__xludf.DUMMYFUNCTION("""COMPUTED_VALUE"""),636.0)</f>
        <v>636</v>
      </c>
      <c r="C3681" s="10">
        <f>IFERROR(__xludf.DUMMYFUNCTION("""COMPUTED_VALUE"""),7591.0)</f>
        <v>7591</v>
      </c>
      <c r="D3681" s="5">
        <f>IFERROR(__xludf.DUMMYFUNCTION("""COMPUTED_VALUE"""),0.35887850467289717)</f>
        <v>0.3588785047</v>
      </c>
      <c r="E3681" s="5">
        <f>IFERROR(__xludf.DUMMYFUNCTION("""COMPUTED_VALUE"""),0.12250179726815241)</f>
        <v>0.1225017973</v>
      </c>
      <c r="F3681" s="5">
        <f>IFERROR(__xludf.DUMMYFUNCTION("""COMPUTED_VALUE"""),0.2135154565061107)</f>
        <v>0.2135154565</v>
      </c>
      <c r="G3681" s="5">
        <f>IFERROR(__xludf.DUMMYFUNCTION("""COMPUTED_VALUE"""),0.20330697340043136)</f>
        <v>0.2033069734</v>
      </c>
      <c r="H3681" s="5">
        <f>IFERROR(__xludf.DUMMYFUNCTION("""COMPUTED_VALUE"""),0.5622895622895623)</f>
        <v>0.5622895623</v>
      </c>
      <c r="I3681" s="11">
        <f>IFERROR(__xludf.DUMMYFUNCTION("""COMPUTED_VALUE"""),5646.531986531986)</f>
        <v>5646.531987</v>
      </c>
      <c r="J3681" s="10">
        <f>IFERROR(__xludf.DUMMYFUNCTION("""COMPUTED_VALUE"""),1.0)</f>
        <v>1</v>
      </c>
      <c r="K3681" s="5">
        <f>IFERROR(__xludf.DUMMYFUNCTION("""COMPUTED_VALUE"""),0.0015723270440251573)</f>
        <v>0.001572327044</v>
      </c>
      <c r="L3681" s="10">
        <f>IFERROR(__xludf.DUMMYFUNCTION("""COMPUTED_VALUE"""),36.0)</f>
        <v>36</v>
      </c>
      <c r="M3681" s="5">
        <f>IFERROR(__xludf.DUMMYFUNCTION("""COMPUTED_VALUE"""),0.05660377358490566)</f>
        <v>0.05660377358</v>
      </c>
    </row>
    <row r="3682">
      <c r="A3682" s="10" t="str">
        <f>IFERROR(__xludf.DUMMYFUNCTION("""COMPUTED_VALUE"""),"team-ex")</f>
        <v>team-ex</v>
      </c>
      <c r="B3682" s="10">
        <f>IFERROR(__xludf.DUMMYFUNCTION("""COMPUTED_VALUE"""),1476.0)</f>
        <v>1476</v>
      </c>
      <c r="C3682" s="10">
        <f>IFERROR(__xludf.DUMMYFUNCTION("""COMPUTED_VALUE"""),17182.0)</f>
        <v>17182</v>
      </c>
      <c r="D3682" s="5">
        <f>IFERROR(__xludf.DUMMYFUNCTION("""COMPUTED_VALUE"""),0.3415255316439577)</f>
        <v>0.3415255316</v>
      </c>
      <c r="E3682" s="5">
        <f>IFERROR(__xludf.DUMMYFUNCTION("""COMPUTED_VALUE"""),0.12250095504902585)</f>
        <v>0.122500955</v>
      </c>
      <c r="F3682" s="5">
        <f>IFERROR(__xludf.DUMMYFUNCTION("""COMPUTED_VALUE"""),0.20743664841461862)</f>
        <v>0.2074366484</v>
      </c>
      <c r="G3682" s="5">
        <f>IFERROR(__xludf.DUMMYFUNCTION("""COMPUTED_VALUE"""),0.19572138036419204)</f>
        <v>0.1957213804</v>
      </c>
      <c r="H3682" s="5">
        <f>IFERROR(__xludf.DUMMYFUNCTION("""COMPUTED_VALUE"""),0.5705954573357889)</f>
        <v>0.5705954573</v>
      </c>
      <c r="I3682" s="11">
        <f>IFERROR(__xludf.DUMMYFUNCTION("""COMPUTED_VALUE"""),5972.283609576427)</f>
        <v>5972.28361</v>
      </c>
      <c r="J3682" s="10">
        <f>IFERROR(__xludf.DUMMYFUNCTION("""COMPUTED_VALUE"""),2.0)</f>
        <v>2</v>
      </c>
      <c r="K3682" s="5">
        <f>IFERROR(__xludf.DUMMYFUNCTION("""COMPUTED_VALUE"""),0.0013550135501355014)</f>
        <v>0.00135501355</v>
      </c>
      <c r="L3682" s="10">
        <f>IFERROR(__xludf.DUMMYFUNCTION("""COMPUTED_VALUE"""),1476.0)</f>
        <v>1476</v>
      </c>
      <c r="M3682" s="5">
        <f>IFERROR(__xludf.DUMMYFUNCTION("""COMPUTED_VALUE"""),1.0)</f>
        <v>1</v>
      </c>
    </row>
    <row r="3683">
      <c r="A3683" s="10" t="str">
        <f>IFERROR(__xludf.DUMMYFUNCTION("""COMPUTED_VALUE"""),"AD普及委員会")</f>
        <v>AD普及委員会</v>
      </c>
      <c r="B3683" s="10">
        <f>IFERROR(__xludf.DUMMYFUNCTION("""COMPUTED_VALUE"""),574.0)</f>
        <v>574</v>
      </c>
      <c r="C3683" s="10">
        <f>IFERROR(__xludf.DUMMYFUNCTION("""COMPUTED_VALUE"""),6721.0)</f>
        <v>6721</v>
      </c>
      <c r="D3683" s="5">
        <f>IFERROR(__xludf.DUMMYFUNCTION("""COMPUTED_VALUE"""),0.3211322596388482)</f>
        <v>0.3211322596</v>
      </c>
      <c r="E3683" s="5">
        <f>IFERROR(__xludf.DUMMYFUNCTION("""COMPUTED_VALUE"""),0.12249877989263055)</f>
        <v>0.1224987799</v>
      </c>
      <c r="F3683" s="5">
        <f>IFERROR(__xludf.DUMMYFUNCTION("""COMPUTED_VALUE"""),0.2067675288758744)</f>
        <v>0.2067675289</v>
      </c>
      <c r="G3683" s="5">
        <f>IFERROR(__xludf.DUMMYFUNCTION("""COMPUTED_VALUE"""),0.18594436310395315)</f>
        <v>0.1859443631</v>
      </c>
      <c r="H3683" s="5">
        <f>IFERROR(__xludf.DUMMYFUNCTION("""COMPUTED_VALUE"""),0.5916601101494886)</f>
        <v>0.5916601101</v>
      </c>
      <c r="I3683" s="11">
        <f>IFERROR(__xludf.DUMMYFUNCTION("""COMPUTED_VALUE"""),6137.136113296617)</f>
        <v>6137.136113</v>
      </c>
      <c r="J3683" s="10">
        <f>IFERROR(__xludf.DUMMYFUNCTION("""COMPUTED_VALUE"""),0.0)</f>
        <v>0</v>
      </c>
      <c r="K3683" s="5">
        <f>IFERROR(__xludf.DUMMYFUNCTION("""COMPUTED_VALUE"""),0.0)</f>
        <v>0</v>
      </c>
      <c r="L3683" s="10">
        <f>IFERROR(__xludf.DUMMYFUNCTION("""COMPUTED_VALUE"""),574.0)</f>
        <v>574</v>
      </c>
      <c r="M3683" s="5">
        <f>IFERROR(__xludf.DUMMYFUNCTION("""COMPUTED_VALUE"""),1.0)</f>
        <v>1</v>
      </c>
    </row>
    <row r="3684">
      <c r="A3684" s="10" t="str">
        <f>IFERROR(__xludf.DUMMYFUNCTION("""COMPUTED_VALUE"""),"JUNKERS")</f>
        <v>JUNKERS</v>
      </c>
      <c r="B3684" s="10">
        <f>IFERROR(__xludf.DUMMYFUNCTION("""COMPUTED_VALUE"""),2646.0)</f>
        <v>2646</v>
      </c>
      <c r="C3684" s="10">
        <f>IFERROR(__xludf.DUMMYFUNCTION("""COMPUTED_VALUE"""),31088.0)</f>
        <v>31088</v>
      </c>
      <c r="D3684" s="5">
        <f>IFERROR(__xludf.DUMMYFUNCTION("""COMPUTED_VALUE"""),0.34477181632796566)</f>
        <v>0.3447718163</v>
      </c>
      <c r="E3684" s="5">
        <f>IFERROR(__xludf.DUMMYFUNCTION("""COMPUTED_VALUE"""),0.12249490190563252)</f>
        <v>0.1224949019</v>
      </c>
      <c r="F3684" s="5">
        <f>IFERROR(__xludf.DUMMYFUNCTION("""COMPUTED_VALUE"""),0.2046269601293861)</f>
        <v>0.2046269601</v>
      </c>
      <c r="G3684" s="5">
        <f>IFERROR(__xludf.DUMMYFUNCTION("""COMPUTED_VALUE"""),0.1643695942620069)</f>
        <v>0.1643695943</v>
      </c>
      <c r="H3684" s="5">
        <f>IFERROR(__xludf.DUMMYFUNCTION("""COMPUTED_VALUE"""),0.5943298969072165)</f>
        <v>0.5943298969</v>
      </c>
      <c r="I3684" s="11">
        <f>IFERROR(__xludf.DUMMYFUNCTION("""COMPUTED_VALUE"""),6066.907216494846)</f>
        <v>6066.907216</v>
      </c>
      <c r="J3684" s="10">
        <f>IFERROR(__xludf.DUMMYFUNCTION("""COMPUTED_VALUE"""),5.0)</f>
        <v>5</v>
      </c>
      <c r="K3684" s="5">
        <f>IFERROR(__xludf.DUMMYFUNCTION("""COMPUTED_VALUE"""),0.001889644746787604)</f>
        <v>0.001889644747</v>
      </c>
      <c r="L3684" s="10">
        <f>IFERROR(__xludf.DUMMYFUNCTION("""COMPUTED_VALUE"""),2646.0)</f>
        <v>2646</v>
      </c>
      <c r="M3684" s="5">
        <f>IFERROR(__xludf.DUMMYFUNCTION("""COMPUTED_VALUE"""),1.0)</f>
        <v>1</v>
      </c>
    </row>
    <row r="3685">
      <c r="A3685" s="10" t="str">
        <f>IFERROR(__xludf.DUMMYFUNCTION("""COMPUTED_VALUE"""),"G2龍門")</f>
        <v>G2龍門</v>
      </c>
      <c r="B3685" s="10">
        <f>IFERROR(__xludf.DUMMYFUNCTION("""COMPUTED_VALUE"""),120.0)</f>
        <v>120</v>
      </c>
      <c r="C3685" s="10">
        <f>IFERROR(__xludf.DUMMYFUNCTION("""COMPUTED_VALUE"""),1410.0)</f>
        <v>1410</v>
      </c>
      <c r="D3685" s="5">
        <f>IFERROR(__xludf.DUMMYFUNCTION("""COMPUTED_VALUE"""),0.3488372093023256)</f>
        <v>0.3488372093</v>
      </c>
      <c r="E3685" s="5">
        <f>IFERROR(__xludf.DUMMYFUNCTION("""COMPUTED_VALUE"""),0.12248062015503876)</f>
        <v>0.1224806202</v>
      </c>
      <c r="F3685" s="5">
        <f>IFERROR(__xludf.DUMMYFUNCTION("""COMPUTED_VALUE"""),0.2186046511627907)</f>
        <v>0.2186046512</v>
      </c>
      <c r="G3685" s="5">
        <f>IFERROR(__xludf.DUMMYFUNCTION("""COMPUTED_VALUE"""),0.20387596899224805)</f>
        <v>0.203875969</v>
      </c>
      <c r="H3685" s="5">
        <f>IFERROR(__xludf.DUMMYFUNCTION("""COMPUTED_VALUE"""),0.5886524822695035)</f>
        <v>0.5886524823</v>
      </c>
      <c r="I3685" s="11">
        <f>IFERROR(__xludf.DUMMYFUNCTION("""COMPUTED_VALUE"""),4950.709219858156)</f>
        <v>4950.70922</v>
      </c>
      <c r="J3685" s="10">
        <f>IFERROR(__xludf.DUMMYFUNCTION("""COMPUTED_VALUE"""),0.0)</f>
        <v>0</v>
      </c>
      <c r="K3685" s="5">
        <f>IFERROR(__xludf.DUMMYFUNCTION("""COMPUTED_VALUE"""),0.0)</f>
        <v>0</v>
      </c>
      <c r="L3685" s="10">
        <f>IFERROR(__xludf.DUMMYFUNCTION("""COMPUTED_VALUE"""),120.0)</f>
        <v>120</v>
      </c>
      <c r="M3685" s="5">
        <f>IFERROR(__xludf.DUMMYFUNCTION("""COMPUTED_VALUE"""),1.0)</f>
        <v>1</v>
      </c>
    </row>
    <row r="3686">
      <c r="A3686" s="10" t="str">
        <f>IFERROR(__xludf.DUMMYFUNCTION("""COMPUTED_VALUE"""),"雀βoу")</f>
        <v>雀βoу</v>
      </c>
      <c r="B3686" s="10">
        <f>IFERROR(__xludf.DUMMYFUNCTION("""COMPUTED_VALUE"""),527.0)</f>
        <v>527</v>
      </c>
      <c r="C3686" s="10">
        <f>IFERROR(__xludf.DUMMYFUNCTION("""COMPUTED_VALUE"""),6177.0)</f>
        <v>6177</v>
      </c>
      <c r="D3686" s="5">
        <f>IFERROR(__xludf.DUMMYFUNCTION("""COMPUTED_VALUE"""),0.36867256637168144)</f>
        <v>0.3686725664</v>
      </c>
      <c r="E3686" s="5">
        <f>IFERROR(__xludf.DUMMYFUNCTION("""COMPUTED_VALUE"""),0.12247787610619469)</f>
        <v>0.1224778761</v>
      </c>
      <c r="F3686" s="5">
        <f>IFERROR(__xludf.DUMMYFUNCTION("""COMPUTED_VALUE"""),0.20460176991150442)</f>
        <v>0.2046017699</v>
      </c>
      <c r="G3686" s="5">
        <f>IFERROR(__xludf.DUMMYFUNCTION("""COMPUTED_VALUE"""),0.1433628318584071)</f>
        <v>0.1433628319</v>
      </c>
      <c r="H3686" s="5">
        <f>IFERROR(__xludf.DUMMYFUNCTION("""COMPUTED_VALUE"""),0.620242214532872)</f>
        <v>0.6202422145</v>
      </c>
      <c r="I3686" s="11">
        <f>IFERROR(__xludf.DUMMYFUNCTION("""COMPUTED_VALUE"""),5293.339100346021)</f>
        <v>5293.3391</v>
      </c>
      <c r="J3686" s="10">
        <f>IFERROR(__xludf.DUMMYFUNCTION("""COMPUTED_VALUE"""),1.0)</f>
        <v>1</v>
      </c>
      <c r="K3686" s="5">
        <f>IFERROR(__xludf.DUMMYFUNCTION("""COMPUTED_VALUE"""),0.0018975332068311196)</f>
        <v>0.001897533207</v>
      </c>
      <c r="L3686" s="10">
        <f>IFERROR(__xludf.DUMMYFUNCTION("""COMPUTED_VALUE"""),527.0)</f>
        <v>527</v>
      </c>
      <c r="M3686" s="5">
        <f>IFERROR(__xludf.DUMMYFUNCTION("""COMPUTED_VALUE"""),1.0)</f>
        <v>1</v>
      </c>
    </row>
    <row r="3687">
      <c r="A3687" s="10" t="str">
        <f>IFERROR(__xludf.DUMMYFUNCTION("""COMPUTED_VALUE"""),"十三代目次元大介")</f>
        <v>十三代目次元大介</v>
      </c>
      <c r="B3687" s="10">
        <f>IFERROR(__xludf.DUMMYFUNCTION("""COMPUTED_VALUE"""),454.0)</f>
        <v>454</v>
      </c>
      <c r="C3687" s="10">
        <f>IFERROR(__xludf.DUMMYFUNCTION("""COMPUTED_VALUE"""),5296.0)</f>
        <v>5296</v>
      </c>
      <c r="D3687" s="5">
        <f>IFERROR(__xludf.DUMMYFUNCTION("""COMPUTED_VALUE"""),0.3205287071458075)</f>
        <v>0.3205287071</v>
      </c>
      <c r="E3687" s="5">
        <f>IFERROR(__xludf.DUMMYFUNCTION("""COMPUTED_VALUE"""),0.1224700536968195)</f>
        <v>0.1224700537</v>
      </c>
      <c r="F3687" s="5">
        <f>IFERROR(__xludf.DUMMYFUNCTION("""COMPUTED_VALUE"""),0.20797191243287896)</f>
        <v>0.2079719124</v>
      </c>
      <c r="G3687" s="5">
        <f>IFERROR(__xludf.DUMMYFUNCTION("""COMPUTED_VALUE"""),0.16067740603056588)</f>
        <v>0.160677406</v>
      </c>
      <c r="H3687" s="5">
        <f>IFERROR(__xludf.DUMMYFUNCTION("""COMPUTED_VALUE"""),0.5719960278053625)</f>
        <v>0.5719960278</v>
      </c>
      <c r="I3687" s="11">
        <f>IFERROR(__xludf.DUMMYFUNCTION("""COMPUTED_VALUE"""),5505.561072492552)</f>
        <v>5505.561072</v>
      </c>
      <c r="J3687" s="10">
        <f>IFERROR(__xludf.DUMMYFUNCTION("""COMPUTED_VALUE"""),0.0)</f>
        <v>0</v>
      </c>
      <c r="K3687" s="5">
        <f>IFERROR(__xludf.DUMMYFUNCTION("""COMPUTED_VALUE"""),0.0)</f>
        <v>0</v>
      </c>
      <c r="L3687" s="10">
        <f>IFERROR(__xludf.DUMMYFUNCTION("""COMPUTED_VALUE"""),454.0)</f>
        <v>454</v>
      </c>
      <c r="M3687" s="5">
        <f>IFERROR(__xludf.DUMMYFUNCTION("""COMPUTED_VALUE"""),1.0)</f>
        <v>1</v>
      </c>
    </row>
    <row r="3688">
      <c r="A3688" s="10" t="str">
        <f>IFERROR(__xludf.DUMMYFUNCTION("""COMPUTED_VALUE"""),"秋庭裡香")</f>
        <v>秋庭裡香</v>
      </c>
      <c r="B3688" s="10">
        <f>IFERROR(__xludf.DUMMYFUNCTION("""COMPUTED_VALUE"""),674.0)</f>
        <v>674</v>
      </c>
      <c r="C3688" s="10">
        <f>IFERROR(__xludf.DUMMYFUNCTION("""COMPUTED_VALUE"""),7982.0)</f>
        <v>7982</v>
      </c>
      <c r="D3688" s="5">
        <f>IFERROR(__xludf.DUMMYFUNCTION("""COMPUTED_VALUE"""),0.3415435139573071)</f>
        <v>0.341543514</v>
      </c>
      <c r="E3688" s="5">
        <f>IFERROR(__xludf.DUMMYFUNCTION("""COMPUTED_VALUE"""),0.12246852764094143)</f>
        <v>0.1224685276</v>
      </c>
      <c r="F3688" s="5">
        <f>IFERROR(__xludf.DUMMYFUNCTION("""COMPUTED_VALUE"""),0.2021072796934866)</f>
        <v>0.2021072797</v>
      </c>
      <c r="G3688" s="5">
        <f>IFERROR(__xludf.DUMMYFUNCTION("""COMPUTED_VALUE"""),0.1539408866995074)</f>
        <v>0.1539408867</v>
      </c>
      <c r="H3688" s="5">
        <f>IFERROR(__xludf.DUMMYFUNCTION("""COMPUTED_VALUE"""),0.5930941096817874)</f>
        <v>0.5930941097</v>
      </c>
      <c r="I3688" s="11">
        <f>IFERROR(__xludf.DUMMYFUNCTION("""COMPUTED_VALUE"""),5484.766418415707)</f>
        <v>5484.766418</v>
      </c>
      <c r="J3688" s="10">
        <f>IFERROR(__xludf.DUMMYFUNCTION("""COMPUTED_VALUE"""),0.0)</f>
        <v>0</v>
      </c>
      <c r="K3688" s="5">
        <f>IFERROR(__xludf.DUMMYFUNCTION("""COMPUTED_VALUE"""),0.0)</f>
        <v>0</v>
      </c>
      <c r="L3688" s="10">
        <f>IFERROR(__xludf.DUMMYFUNCTION("""COMPUTED_VALUE"""),98.0)</f>
        <v>98</v>
      </c>
      <c r="M3688" s="5">
        <f>IFERROR(__xludf.DUMMYFUNCTION("""COMPUTED_VALUE"""),0.14540059347181009)</f>
        <v>0.1454005935</v>
      </c>
    </row>
    <row r="3689">
      <c r="A3689" s="10" t="str">
        <f>IFERROR(__xludf.DUMMYFUNCTION("""COMPUTED_VALUE"""),"kkkss666")</f>
        <v>kkkss666</v>
      </c>
      <c r="B3689" s="10">
        <f>IFERROR(__xludf.DUMMYFUNCTION("""COMPUTED_VALUE"""),933.0)</f>
        <v>933</v>
      </c>
      <c r="C3689" s="10">
        <f>IFERROR(__xludf.DUMMYFUNCTION("""COMPUTED_VALUE"""),10871.0)</f>
        <v>10871</v>
      </c>
      <c r="D3689" s="5">
        <f>IFERROR(__xludf.DUMMYFUNCTION("""COMPUTED_VALUE"""),0.3638559066210505)</f>
        <v>0.3638559066</v>
      </c>
      <c r="E3689" s="5">
        <f>IFERROR(__xludf.DUMMYFUNCTION("""COMPUTED_VALUE"""),0.1224592473334675)</f>
        <v>0.1224592473</v>
      </c>
      <c r="F3689" s="5">
        <f>IFERROR(__xludf.DUMMYFUNCTION("""COMPUTED_VALUE"""),0.20386395653048903)</f>
        <v>0.2038639565</v>
      </c>
      <c r="G3689" s="5">
        <f>IFERROR(__xludf.DUMMYFUNCTION("""COMPUTED_VALUE"""),0.15888508754276515)</f>
        <v>0.1588850875</v>
      </c>
      <c r="H3689" s="5">
        <f>IFERROR(__xludf.DUMMYFUNCTION("""COMPUTED_VALUE"""),0.5883514313919053)</f>
        <v>0.5883514314</v>
      </c>
      <c r="I3689" s="11">
        <f>IFERROR(__xludf.DUMMYFUNCTION("""COMPUTED_VALUE"""),5698.864758144126)</f>
        <v>5698.864758</v>
      </c>
      <c r="J3689" s="10">
        <f>IFERROR(__xludf.DUMMYFUNCTION("""COMPUTED_VALUE"""),0.0)</f>
        <v>0</v>
      </c>
      <c r="K3689" s="5">
        <f>IFERROR(__xludf.DUMMYFUNCTION("""COMPUTED_VALUE"""),0.0)</f>
        <v>0</v>
      </c>
      <c r="L3689" s="10">
        <f>IFERROR(__xludf.DUMMYFUNCTION("""COMPUTED_VALUE"""),933.0)</f>
        <v>933</v>
      </c>
      <c r="M3689" s="5">
        <f>IFERROR(__xludf.DUMMYFUNCTION("""COMPUTED_VALUE"""),1.0)</f>
        <v>1</v>
      </c>
    </row>
    <row r="3690">
      <c r="A3690" s="10" t="str">
        <f>IFERROR(__xludf.DUMMYFUNCTION("""COMPUTED_VALUE"""),"１６円")</f>
        <v>１６円</v>
      </c>
      <c r="B3690" s="10">
        <f>IFERROR(__xludf.DUMMYFUNCTION("""COMPUTED_VALUE"""),636.0)</f>
        <v>636</v>
      </c>
      <c r="C3690" s="10">
        <f>IFERROR(__xludf.DUMMYFUNCTION("""COMPUTED_VALUE"""),7569.0)</f>
        <v>7569</v>
      </c>
      <c r="D3690" s="5">
        <f>IFERROR(__xludf.DUMMYFUNCTION("""COMPUTED_VALUE"""),0.2799653829511034)</f>
        <v>0.279965383</v>
      </c>
      <c r="E3690" s="5">
        <f>IFERROR(__xludf.DUMMYFUNCTION("""COMPUTED_VALUE"""),0.1224578104716573)</f>
        <v>0.1224578105</v>
      </c>
      <c r="F3690" s="5">
        <f>IFERROR(__xludf.DUMMYFUNCTION("""COMPUTED_VALUE"""),0.21159671138035482)</f>
        <v>0.2115967114</v>
      </c>
      <c r="G3690" s="5">
        <f>IFERROR(__xludf.DUMMYFUNCTION("""COMPUTED_VALUE"""),0.1944324246357998)</f>
        <v>0.1944324246</v>
      </c>
      <c r="H3690" s="5">
        <f>IFERROR(__xludf.DUMMYFUNCTION("""COMPUTED_VALUE"""),0.5896387184730743)</f>
        <v>0.5896387185</v>
      </c>
      <c r="I3690" s="11">
        <f>IFERROR(__xludf.DUMMYFUNCTION("""COMPUTED_VALUE"""),5897.886843899114)</f>
        <v>5897.886844</v>
      </c>
      <c r="J3690" s="10">
        <f>IFERROR(__xludf.DUMMYFUNCTION("""COMPUTED_VALUE"""),1.0)</f>
        <v>1</v>
      </c>
      <c r="K3690" s="5">
        <f>IFERROR(__xludf.DUMMYFUNCTION("""COMPUTED_VALUE"""),0.0015723270440251573)</f>
        <v>0.001572327044</v>
      </c>
      <c r="L3690" s="10">
        <f>IFERROR(__xludf.DUMMYFUNCTION("""COMPUTED_VALUE"""),636.0)</f>
        <v>636</v>
      </c>
      <c r="M3690" s="5">
        <f>IFERROR(__xludf.DUMMYFUNCTION("""COMPUTED_VALUE"""),1.0)</f>
        <v>1</v>
      </c>
    </row>
    <row r="3691">
      <c r="A3691" s="10" t="str">
        <f>IFERROR(__xludf.DUMMYFUNCTION("""COMPUTED_VALUE"""),"ちみちゃん")</f>
        <v>ちみちゃん</v>
      </c>
      <c r="B3691" s="10">
        <f>IFERROR(__xludf.DUMMYFUNCTION("""COMPUTED_VALUE"""),799.0)</f>
        <v>799</v>
      </c>
      <c r="C3691" s="10">
        <f>IFERROR(__xludf.DUMMYFUNCTION("""COMPUTED_VALUE"""),9415.0)</f>
        <v>9415</v>
      </c>
      <c r="D3691" s="5">
        <f>IFERROR(__xludf.DUMMYFUNCTION("""COMPUTED_VALUE"""),0.3528319405756732)</f>
        <v>0.3528319406</v>
      </c>
      <c r="E3691" s="5">
        <f>IFERROR(__xludf.DUMMYFUNCTION("""COMPUTED_VALUE"""),0.12244661095636027)</f>
        <v>0.122446611</v>
      </c>
      <c r="F3691" s="5">
        <f>IFERROR(__xludf.DUMMYFUNCTION("""COMPUTED_VALUE"""),0.2036908077994429)</f>
        <v>0.2036908078</v>
      </c>
      <c r="G3691" s="5">
        <f>IFERROR(__xludf.DUMMYFUNCTION("""COMPUTED_VALUE"""),0.16771123491179202)</f>
        <v>0.1677112349</v>
      </c>
      <c r="H3691" s="5">
        <f>IFERROR(__xludf.DUMMYFUNCTION("""COMPUTED_VALUE"""),0.6005698005698006)</f>
        <v>0.6005698006</v>
      </c>
      <c r="I3691" s="11">
        <f>IFERROR(__xludf.DUMMYFUNCTION("""COMPUTED_VALUE"""),5657.321937321937)</f>
        <v>5657.321937</v>
      </c>
      <c r="J3691" s="10">
        <f>IFERROR(__xludf.DUMMYFUNCTION("""COMPUTED_VALUE"""),4.0)</f>
        <v>4</v>
      </c>
      <c r="K3691" s="5">
        <f>IFERROR(__xludf.DUMMYFUNCTION("""COMPUTED_VALUE"""),0.0050062578222778474)</f>
        <v>0.005006257822</v>
      </c>
      <c r="L3691" s="10">
        <f>IFERROR(__xludf.DUMMYFUNCTION("""COMPUTED_VALUE"""),799.0)</f>
        <v>799</v>
      </c>
      <c r="M3691" s="5">
        <f>IFERROR(__xludf.DUMMYFUNCTION("""COMPUTED_VALUE"""),1.0)</f>
        <v>1</v>
      </c>
    </row>
    <row r="3692">
      <c r="A3692" s="10" t="str">
        <f>IFERROR(__xludf.DUMMYFUNCTION("""COMPUTED_VALUE"""),"夏なのに")</f>
        <v>夏なのに</v>
      </c>
      <c r="B3692" s="10">
        <f>IFERROR(__xludf.DUMMYFUNCTION("""COMPUTED_VALUE"""),622.0)</f>
        <v>622</v>
      </c>
      <c r="C3692" s="10">
        <f>IFERROR(__xludf.DUMMYFUNCTION("""COMPUTED_VALUE"""),7377.0)</f>
        <v>7377</v>
      </c>
      <c r="D3692" s="5">
        <f>IFERROR(__xludf.DUMMYFUNCTION("""COMPUTED_VALUE"""),0.3354552183567728)</f>
        <v>0.3354552184</v>
      </c>
      <c r="E3692" s="5">
        <f>IFERROR(__xludf.DUMMYFUNCTION("""COMPUTED_VALUE"""),0.12242783123612139)</f>
        <v>0.1224278312</v>
      </c>
      <c r="F3692" s="5">
        <f>IFERROR(__xludf.DUMMYFUNCTION("""COMPUTED_VALUE"""),0.20947446336047373)</f>
        <v>0.2094744634</v>
      </c>
      <c r="G3692" s="5">
        <f>IFERROR(__xludf.DUMMYFUNCTION("""COMPUTED_VALUE"""),0.15810510732790525)</f>
        <v>0.1581051073</v>
      </c>
      <c r="H3692" s="5">
        <f>IFERROR(__xludf.DUMMYFUNCTION("""COMPUTED_VALUE"""),0.6169611307420495)</f>
        <v>0.6169611307</v>
      </c>
      <c r="I3692" s="11">
        <f>IFERROR(__xludf.DUMMYFUNCTION("""COMPUTED_VALUE"""),5495.971731448763)</f>
        <v>5495.971731</v>
      </c>
      <c r="J3692" s="10">
        <f>IFERROR(__xludf.DUMMYFUNCTION("""COMPUTED_VALUE"""),0.0)</f>
        <v>0</v>
      </c>
      <c r="K3692" s="5">
        <f>IFERROR(__xludf.DUMMYFUNCTION("""COMPUTED_VALUE"""),0.0)</f>
        <v>0</v>
      </c>
      <c r="L3692" s="10">
        <f>IFERROR(__xludf.DUMMYFUNCTION("""COMPUTED_VALUE"""),622.0)</f>
        <v>622</v>
      </c>
      <c r="M3692" s="5">
        <f>IFERROR(__xludf.DUMMYFUNCTION("""COMPUTED_VALUE"""),1.0)</f>
        <v>1</v>
      </c>
    </row>
    <row r="3693">
      <c r="A3693" s="10" t="str">
        <f>IFERROR(__xludf.DUMMYFUNCTION("""COMPUTED_VALUE"""),"みこにゃー")</f>
        <v>みこにゃー</v>
      </c>
      <c r="B3693" s="10">
        <f>IFERROR(__xludf.DUMMYFUNCTION("""COMPUTED_VALUE"""),144.0)</f>
        <v>144</v>
      </c>
      <c r="C3693" s="10">
        <f>IFERROR(__xludf.DUMMYFUNCTION("""COMPUTED_VALUE"""),1696.0)</f>
        <v>1696</v>
      </c>
      <c r="D3693" s="5">
        <f>IFERROR(__xludf.DUMMYFUNCTION("""COMPUTED_VALUE"""),0.4574742268041237)</f>
        <v>0.4574742268</v>
      </c>
      <c r="E3693" s="5">
        <f>IFERROR(__xludf.DUMMYFUNCTION("""COMPUTED_VALUE"""),0.12242268041237113)</f>
        <v>0.1224226804</v>
      </c>
      <c r="F3693" s="5">
        <f>IFERROR(__xludf.DUMMYFUNCTION("""COMPUTED_VALUE"""),0.23131443298969073)</f>
        <v>0.231314433</v>
      </c>
      <c r="G3693" s="5">
        <f>IFERROR(__xludf.DUMMYFUNCTION("""COMPUTED_VALUE"""),0.16108247422680413)</f>
        <v>0.1610824742</v>
      </c>
      <c r="H3693" s="5">
        <f>IFERROR(__xludf.DUMMYFUNCTION("""COMPUTED_VALUE"""),0.6155988857938719)</f>
        <v>0.6155988858</v>
      </c>
      <c r="I3693" s="11">
        <f>IFERROR(__xludf.DUMMYFUNCTION("""COMPUTED_VALUE"""),5002.7855153203345)</f>
        <v>5002.785515</v>
      </c>
      <c r="J3693" s="10">
        <f>IFERROR(__xludf.DUMMYFUNCTION("""COMPUTED_VALUE"""),0.0)</f>
        <v>0</v>
      </c>
      <c r="K3693" s="5">
        <f>IFERROR(__xludf.DUMMYFUNCTION("""COMPUTED_VALUE"""),0.0)</f>
        <v>0</v>
      </c>
      <c r="L3693" s="10">
        <f>IFERROR(__xludf.DUMMYFUNCTION("""COMPUTED_VALUE"""),0.0)</f>
        <v>0</v>
      </c>
      <c r="M3693" s="5">
        <f>IFERROR(__xludf.DUMMYFUNCTION("""COMPUTED_VALUE"""),0.0)</f>
        <v>0</v>
      </c>
    </row>
    <row r="3694">
      <c r="A3694" s="10" t="str">
        <f>IFERROR(__xludf.DUMMYFUNCTION("""COMPUTED_VALUE"""),"路地裏のひまわり")</f>
        <v>路地裏のひまわり</v>
      </c>
      <c r="B3694" s="10">
        <f>IFERROR(__xludf.DUMMYFUNCTION("""COMPUTED_VALUE"""),4006.0)</f>
        <v>4006</v>
      </c>
      <c r="C3694" s="10">
        <f>IFERROR(__xludf.DUMMYFUNCTION("""COMPUTED_VALUE"""),47137.0)</f>
        <v>47137</v>
      </c>
      <c r="D3694" s="5">
        <f>IFERROR(__xludf.DUMMYFUNCTION("""COMPUTED_VALUE"""),0.3243142983005263)</f>
        <v>0.3243142983</v>
      </c>
      <c r="E3694" s="5">
        <f>IFERROR(__xludf.DUMMYFUNCTION("""COMPUTED_VALUE"""),0.12241775057383321)</f>
        <v>0.1224177506</v>
      </c>
      <c r="F3694" s="5">
        <f>IFERROR(__xludf.DUMMYFUNCTION("""COMPUTED_VALUE"""),0.2089680276367346)</f>
        <v>0.2089680276</v>
      </c>
      <c r="G3694" s="5">
        <f>IFERROR(__xludf.DUMMYFUNCTION("""COMPUTED_VALUE"""),0.1687881106396791)</f>
        <v>0.1687881106</v>
      </c>
      <c r="H3694" s="5">
        <f>IFERROR(__xludf.DUMMYFUNCTION("""COMPUTED_VALUE"""),0.5889271052923555)</f>
        <v>0.5889271053</v>
      </c>
      <c r="I3694" s="11">
        <f>IFERROR(__xludf.DUMMYFUNCTION("""COMPUTED_VALUE"""),5434.949517363808)</f>
        <v>5434.949517</v>
      </c>
      <c r="J3694" s="10">
        <f>IFERROR(__xludf.DUMMYFUNCTION("""COMPUTED_VALUE"""),6.0)</f>
        <v>6</v>
      </c>
      <c r="K3694" s="5">
        <f>IFERROR(__xludf.DUMMYFUNCTION("""COMPUTED_VALUE"""),0.0014977533699450823)</f>
        <v>0.00149775337</v>
      </c>
      <c r="L3694" s="10">
        <f>IFERROR(__xludf.DUMMYFUNCTION("""COMPUTED_VALUE"""),4006.0)</f>
        <v>4006</v>
      </c>
      <c r="M3694" s="5">
        <f>IFERROR(__xludf.DUMMYFUNCTION("""COMPUTED_VALUE"""),1.0)</f>
        <v>1</v>
      </c>
    </row>
    <row r="3695">
      <c r="A3695" s="10" t="str">
        <f>IFERROR(__xludf.DUMMYFUNCTION("""COMPUTED_VALUE"""),"neo@uni")</f>
        <v>neo@uni</v>
      </c>
      <c r="B3695" s="10">
        <f>IFERROR(__xludf.DUMMYFUNCTION("""COMPUTED_VALUE"""),3302.0)</f>
        <v>3302</v>
      </c>
      <c r="C3695" s="10">
        <f>IFERROR(__xludf.DUMMYFUNCTION("""COMPUTED_VALUE"""),38951.0)</f>
        <v>38951</v>
      </c>
      <c r="D3695" s="5">
        <f>IFERROR(__xludf.DUMMYFUNCTION("""COMPUTED_VALUE"""),0.3422255883755505)</f>
        <v>0.3422255884</v>
      </c>
      <c r="E3695" s="5">
        <f>IFERROR(__xludf.DUMMYFUNCTION("""COMPUTED_VALUE"""),0.12241577603859856)</f>
        <v>0.122415776</v>
      </c>
      <c r="F3695" s="5">
        <f>IFERROR(__xludf.DUMMYFUNCTION("""COMPUTED_VALUE"""),0.22244663244410784)</f>
        <v>0.2224466324</v>
      </c>
      <c r="G3695" s="5">
        <f>IFERROR(__xludf.DUMMYFUNCTION("""COMPUTED_VALUE"""),0.16426828242026426)</f>
        <v>0.1642682824</v>
      </c>
      <c r="H3695" s="5">
        <f>IFERROR(__xludf.DUMMYFUNCTION("""COMPUTED_VALUE"""),0.5923076923076923)</f>
        <v>0.5923076923</v>
      </c>
      <c r="I3695" s="11">
        <f>IFERROR(__xludf.DUMMYFUNCTION("""COMPUTED_VALUE"""),5429.369482976041)</f>
        <v>5429.369483</v>
      </c>
      <c r="J3695" s="10">
        <f>IFERROR(__xludf.DUMMYFUNCTION("""COMPUTED_VALUE"""),4.0)</f>
        <v>4</v>
      </c>
      <c r="K3695" s="5">
        <f>IFERROR(__xludf.DUMMYFUNCTION("""COMPUTED_VALUE"""),0.0012113870381586917)</f>
        <v>0.001211387038</v>
      </c>
      <c r="L3695" s="10">
        <f>IFERROR(__xludf.DUMMYFUNCTION("""COMPUTED_VALUE"""),3302.0)</f>
        <v>3302</v>
      </c>
      <c r="M3695" s="5">
        <f>IFERROR(__xludf.DUMMYFUNCTION("""COMPUTED_VALUE"""),1.0)</f>
        <v>1</v>
      </c>
    </row>
    <row r="3696">
      <c r="A3696" s="10" t="str">
        <f>IFERROR(__xludf.DUMMYFUNCTION("""COMPUTED_VALUE"""),"神威麗璃")</f>
        <v>神威麗璃</v>
      </c>
      <c r="B3696" s="10">
        <f>IFERROR(__xludf.DUMMYFUNCTION("""COMPUTED_VALUE"""),337.0)</f>
        <v>337</v>
      </c>
      <c r="C3696" s="10">
        <f>IFERROR(__xludf.DUMMYFUNCTION("""COMPUTED_VALUE"""),4013.0)</f>
        <v>4013</v>
      </c>
      <c r="D3696" s="5">
        <f>IFERROR(__xludf.DUMMYFUNCTION("""COMPUTED_VALUE"""),0.3073993471164309)</f>
        <v>0.3073993471</v>
      </c>
      <c r="E3696" s="5">
        <f>IFERROR(__xludf.DUMMYFUNCTION("""COMPUTED_VALUE"""),0.12241566920565833)</f>
        <v>0.1224156692</v>
      </c>
      <c r="F3696" s="5">
        <f>IFERROR(__xludf.DUMMYFUNCTION("""COMPUTED_VALUE"""),0.19504896626768226)</f>
        <v>0.1950489663</v>
      </c>
      <c r="G3696" s="5">
        <f>IFERROR(__xludf.DUMMYFUNCTION("""COMPUTED_VALUE"""),0.17736670293797607)</f>
        <v>0.1773667029</v>
      </c>
      <c r="H3696" s="5">
        <f>IFERROR(__xludf.DUMMYFUNCTION("""COMPUTED_VALUE"""),0.6080892608089261)</f>
        <v>0.6080892608</v>
      </c>
      <c r="I3696" s="11">
        <f>IFERROR(__xludf.DUMMYFUNCTION("""COMPUTED_VALUE"""),5750.20920502092)</f>
        <v>5750.209205</v>
      </c>
      <c r="J3696" s="10">
        <f>IFERROR(__xludf.DUMMYFUNCTION("""COMPUTED_VALUE"""),1.0)</f>
        <v>1</v>
      </c>
      <c r="K3696" s="5">
        <f>IFERROR(__xludf.DUMMYFUNCTION("""COMPUTED_VALUE"""),0.002967359050445104)</f>
        <v>0.00296735905</v>
      </c>
      <c r="L3696" s="10">
        <f>IFERROR(__xludf.DUMMYFUNCTION("""COMPUTED_VALUE"""),337.0)</f>
        <v>337</v>
      </c>
      <c r="M3696" s="5">
        <f>IFERROR(__xludf.DUMMYFUNCTION("""COMPUTED_VALUE"""),1.0)</f>
        <v>1</v>
      </c>
    </row>
    <row r="3697">
      <c r="A3697" s="10" t="str">
        <f>IFERROR(__xludf.DUMMYFUNCTION("""COMPUTED_VALUE"""),"強打愛好家")</f>
        <v>強打愛好家</v>
      </c>
      <c r="B3697" s="10">
        <f>IFERROR(__xludf.DUMMYFUNCTION("""COMPUTED_VALUE"""),679.0)</f>
        <v>679</v>
      </c>
      <c r="C3697" s="10">
        <f>IFERROR(__xludf.DUMMYFUNCTION("""COMPUTED_VALUE"""),7999.0)</f>
        <v>7999</v>
      </c>
      <c r="D3697" s="5">
        <f>IFERROR(__xludf.DUMMYFUNCTION("""COMPUTED_VALUE"""),0.3709016393442623)</f>
        <v>0.3709016393</v>
      </c>
      <c r="E3697" s="5">
        <f>IFERROR(__xludf.DUMMYFUNCTION("""COMPUTED_VALUE"""),0.12240437158469945)</f>
        <v>0.1224043716</v>
      </c>
      <c r="F3697" s="5">
        <f>IFERROR(__xludf.DUMMYFUNCTION("""COMPUTED_VALUE"""),0.20614754098360655)</f>
        <v>0.206147541</v>
      </c>
      <c r="G3697" s="5">
        <f>IFERROR(__xludf.DUMMYFUNCTION("""COMPUTED_VALUE"""),0.15724043715846994)</f>
        <v>0.1572404372</v>
      </c>
      <c r="H3697" s="5">
        <f>IFERROR(__xludf.DUMMYFUNCTION("""COMPUTED_VALUE"""),0.6222664015904572)</f>
        <v>0.6222664016</v>
      </c>
      <c r="I3697" s="11">
        <f>IFERROR(__xludf.DUMMYFUNCTION("""COMPUTED_VALUE"""),5605.367793240556)</f>
        <v>5605.367793</v>
      </c>
      <c r="J3697" s="10">
        <f>IFERROR(__xludf.DUMMYFUNCTION("""COMPUTED_VALUE"""),2.0)</f>
        <v>2</v>
      </c>
      <c r="K3697" s="5">
        <f>IFERROR(__xludf.DUMMYFUNCTION("""COMPUTED_VALUE"""),0.0029455081001472753)</f>
        <v>0.0029455081</v>
      </c>
      <c r="L3697" s="10">
        <f>IFERROR(__xludf.DUMMYFUNCTION("""COMPUTED_VALUE"""),679.0)</f>
        <v>679</v>
      </c>
      <c r="M3697" s="5">
        <f>IFERROR(__xludf.DUMMYFUNCTION("""COMPUTED_VALUE"""),1.0)</f>
        <v>1</v>
      </c>
    </row>
    <row r="3698">
      <c r="A3698" s="10" t="str">
        <f>IFERROR(__xludf.DUMMYFUNCTION("""COMPUTED_VALUE"""),"Thrive")</f>
        <v>Thrive</v>
      </c>
      <c r="B3698" s="10">
        <f>IFERROR(__xludf.DUMMYFUNCTION("""COMPUTED_VALUE"""),429.0)</f>
        <v>429</v>
      </c>
      <c r="C3698" s="10">
        <f>IFERROR(__xludf.DUMMYFUNCTION("""COMPUTED_VALUE"""),4890.0)</f>
        <v>4890</v>
      </c>
      <c r="D3698" s="5">
        <f>IFERROR(__xludf.DUMMYFUNCTION("""COMPUTED_VALUE"""),0.3196592692221475)</f>
        <v>0.3196592692</v>
      </c>
      <c r="E3698" s="5">
        <f>IFERROR(__xludf.DUMMYFUNCTION("""COMPUTED_VALUE"""),0.12239408204438466)</f>
        <v>0.122394082</v>
      </c>
      <c r="F3698" s="5">
        <f>IFERROR(__xludf.DUMMYFUNCTION("""COMPUTED_VALUE"""),0.2066801165657924)</f>
        <v>0.2066801166</v>
      </c>
      <c r="G3698" s="5">
        <f>IFERROR(__xludf.DUMMYFUNCTION("""COMPUTED_VALUE"""),0.17103788388253754)</f>
        <v>0.1710378839</v>
      </c>
      <c r="H3698" s="5">
        <f>IFERROR(__xludf.DUMMYFUNCTION("""COMPUTED_VALUE"""),0.6062906724511931)</f>
        <v>0.6062906725</v>
      </c>
      <c r="I3698" s="11">
        <f>IFERROR(__xludf.DUMMYFUNCTION("""COMPUTED_VALUE"""),5755.639913232104)</f>
        <v>5755.639913</v>
      </c>
      <c r="J3698" s="10">
        <f>IFERROR(__xludf.DUMMYFUNCTION("""COMPUTED_VALUE"""),0.0)</f>
        <v>0</v>
      </c>
      <c r="K3698" s="5">
        <f>IFERROR(__xludf.DUMMYFUNCTION("""COMPUTED_VALUE"""),0.0)</f>
        <v>0</v>
      </c>
      <c r="L3698" s="10">
        <f>IFERROR(__xludf.DUMMYFUNCTION("""COMPUTED_VALUE"""),429.0)</f>
        <v>429</v>
      </c>
      <c r="M3698" s="5">
        <f>IFERROR(__xludf.DUMMYFUNCTION("""COMPUTED_VALUE"""),1.0)</f>
        <v>1</v>
      </c>
    </row>
    <row r="3699">
      <c r="A3699" s="10" t="str">
        <f>IFERROR(__xludf.DUMMYFUNCTION("""COMPUTED_VALUE"""),"おおみやまり。")</f>
        <v>おおみやまり。</v>
      </c>
      <c r="B3699" s="10">
        <f>IFERROR(__xludf.DUMMYFUNCTION("""COMPUTED_VALUE"""),172.0)</f>
        <v>172</v>
      </c>
      <c r="C3699" s="10">
        <f>IFERROR(__xludf.DUMMYFUNCTION("""COMPUTED_VALUE"""),1945.0)</f>
        <v>1945</v>
      </c>
      <c r="D3699" s="5">
        <f>IFERROR(__xludf.DUMMYFUNCTION("""COMPUTED_VALUE"""),0.3355893965031021)</f>
        <v>0.3355893965</v>
      </c>
      <c r="E3699" s="5">
        <f>IFERROR(__xludf.DUMMYFUNCTION("""COMPUTED_VALUE"""),0.12239142695995488)</f>
        <v>0.122391427</v>
      </c>
      <c r="F3699" s="5">
        <f>IFERROR(__xludf.DUMMYFUNCTION("""COMPUTED_VALUE"""),0.20304568527918782)</f>
        <v>0.2030456853</v>
      </c>
      <c r="G3699" s="5">
        <f>IFERROR(__xludf.DUMMYFUNCTION("""COMPUTED_VALUE"""),0.19289340101522842)</f>
        <v>0.192893401</v>
      </c>
      <c r="H3699" s="5">
        <f>IFERROR(__xludf.DUMMYFUNCTION("""COMPUTED_VALUE"""),0.6027777777777777)</f>
        <v>0.6027777778</v>
      </c>
      <c r="I3699" s="11">
        <f>IFERROR(__xludf.DUMMYFUNCTION("""COMPUTED_VALUE"""),5423.333333333333)</f>
        <v>5423.333333</v>
      </c>
      <c r="J3699" s="10">
        <f>IFERROR(__xludf.DUMMYFUNCTION("""COMPUTED_VALUE"""),0.0)</f>
        <v>0</v>
      </c>
      <c r="K3699" s="5">
        <f>IFERROR(__xludf.DUMMYFUNCTION("""COMPUTED_VALUE"""),0.0)</f>
        <v>0</v>
      </c>
      <c r="L3699" s="10">
        <f>IFERROR(__xludf.DUMMYFUNCTION("""COMPUTED_VALUE"""),0.0)</f>
        <v>0</v>
      </c>
      <c r="M3699" s="5">
        <f>IFERROR(__xludf.DUMMYFUNCTION("""COMPUTED_VALUE"""),0.0)</f>
        <v>0</v>
      </c>
    </row>
    <row r="3700">
      <c r="A3700" s="10" t="str">
        <f>IFERROR(__xludf.DUMMYFUNCTION("""COMPUTED_VALUE"""),"父ちゃん見てる？")</f>
        <v>父ちゃん見てる？</v>
      </c>
      <c r="B3700" s="10">
        <f>IFERROR(__xludf.DUMMYFUNCTION("""COMPUTED_VALUE"""),592.0)</f>
        <v>592</v>
      </c>
      <c r="C3700" s="10">
        <f>IFERROR(__xludf.DUMMYFUNCTION("""COMPUTED_VALUE"""),7023.0)</f>
        <v>7023</v>
      </c>
      <c r="D3700" s="5">
        <f>IFERROR(__xludf.DUMMYFUNCTION("""COMPUTED_VALUE"""),0.2982428860208366)</f>
        <v>0.298242886</v>
      </c>
      <c r="E3700" s="5">
        <f>IFERROR(__xludf.DUMMYFUNCTION("""COMPUTED_VALUE"""),0.12237599129217851)</f>
        <v>0.1223759913</v>
      </c>
      <c r="F3700" s="5">
        <f>IFERROR(__xludf.DUMMYFUNCTION("""COMPUTED_VALUE"""),0.20027989426216763)</f>
        <v>0.2002798943</v>
      </c>
      <c r="G3700" s="5">
        <f>IFERROR(__xludf.DUMMYFUNCTION("""COMPUTED_VALUE"""),0.16964702223604416)</f>
        <v>0.1696470222</v>
      </c>
      <c r="H3700" s="5">
        <f>IFERROR(__xludf.DUMMYFUNCTION("""COMPUTED_VALUE"""),0.5683229813664596)</f>
        <v>0.5683229814</v>
      </c>
      <c r="I3700" s="11">
        <f>IFERROR(__xludf.DUMMYFUNCTION("""COMPUTED_VALUE"""),5881.832298136646)</f>
        <v>5881.832298</v>
      </c>
      <c r="J3700" s="10">
        <f>IFERROR(__xludf.DUMMYFUNCTION("""COMPUTED_VALUE"""),0.0)</f>
        <v>0</v>
      </c>
      <c r="K3700" s="5">
        <f>IFERROR(__xludf.DUMMYFUNCTION("""COMPUTED_VALUE"""),0.0)</f>
        <v>0</v>
      </c>
      <c r="L3700" s="10">
        <f>IFERROR(__xludf.DUMMYFUNCTION("""COMPUTED_VALUE"""),580.0)</f>
        <v>580</v>
      </c>
      <c r="M3700" s="5">
        <f>IFERROR(__xludf.DUMMYFUNCTION("""COMPUTED_VALUE"""),0.9797297297297297)</f>
        <v>0.9797297297</v>
      </c>
    </row>
    <row r="3701">
      <c r="A3701" s="10" t="str">
        <f>IFERROR(__xludf.DUMMYFUNCTION("""COMPUTED_VALUE"""),"yinner06")</f>
        <v>yinner06</v>
      </c>
      <c r="B3701" s="10">
        <f>IFERROR(__xludf.DUMMYFUNCTION("""COMPUTED_VALUE"""),1936.0)</f>
        <v>1936</v>
      </c>
      <c r="C3701" s="10">
        <f>IFERROR(__xludf.DUMMYFUNCTION("""COMPUTED_VALUE"""),22897.0)</f>
        <v>22897</v>
      </c>
      <c r="D3701" s="5">
        <f>IFERROR(__xludf.DUMMYFUNCTION("""COMPUTED_VALUE"""),0.3733600496159534)</f>
        <v>0.3733600496</v>
      </c>
      <c r="E3701" s="5">
        <f>IFERROR(__xludf.DUMMYFUNCTION("""COMPUTED_VALUE"""),0.12237011592958351)</f>
        <v>0.1223701159</v>
      </c>
      <c r="F3701" s="5">
        <f>IFERROR(__xludf.DUMMYFUNCTION("""COMPUTED_VALUE"""),0.215638566862268)</f>
        <v>0.2156385669</v>
      </c>
      <c r="G3701" s="5">
        <f>IFERROR(__xludf.DUMMYFUNCTION("""COMPUTED_VALUE"""),0.16945756404751683)</f>
        <v>0.169457564</v>
      </c>
      <c r="H3701" s="5">
        <f>IFERROR(__xludf.DUMMYFUNCTION("""COMPUTED_VALUE"""),0.602433628318584)</f>
        <v>0.6024336283</v>
      </c>
      <c r="I3701" s="11">
        <f>IFERROR(__xludf.DUMMYFUNCTION("""COMPUTED_VALUE"""),5449.513274336283)</f>
        <v>5449.513274</v>
      </c>
      <c r="J3701" s="10">
        <f>IFERROR(__xludf.DUMMYFUNCTION("""COMPUTED_VALUE"""),3.0)</f>
        <v>3</v>
      </c>
      <c r="K3701" s="5">
        <f>IFERROR(__xludf.DUMMYFUNCTION("""COMPUTED_VALUE"""),0.0015495867768595042)</f>
        <v>0.001549586777</v>
      </c>
      <c r="L3701" s="10">
        <f>IFERROR(__xludf.DUMMYFUNCTION("""COMPUTED_VALUE"""),1936.0)</f>
        <v>1936</v>
      </c>
      <c r="M3701" s="5">
        <f>IFERROR(__xludf.DUMMYFUNCTION("""COMPUTED_VALUE"""),1.0)</f>
        <v>1</v>
      </c>
    </row>
    <row r="3702">
      <c r="A3702" s="10" t="str">
        <f>IFERROR(__xludf.DUMMYFUNCTION("""COMPUTED_VALUE"""),"ONE")</f>
        <v>ONE</v>
      </c>
      <c r="B3702" s="10">
        <f>IFERROR(__xludf.DUMMYFUNCTION("""COMPUTED_VALUE"""),946.0)</f>
        <v>946</v>
      </c>
      <c r="C3702" s="10">
        <f>IFERROR(__xludf.DUMMYFUNCTION("""COMPUTED_VALUE"""),10933.0)</f>
        <v>10933</v>
      </c>
      <c r="D3702" s="5">
        <f>IFERROR(__xludf.DUMMYFUNCTION("""COMPUTED_VALUE"""),0.22048663262240914)</f>
        <v>0.2204866326</v>
      </c>
      <c r="E3702" s="5">
        <f>IFERROR(__xludf.DUMMYFUNCTION("""COMPUTED_VALUE"""),0.12235906678682287)</f>
        <v>0.1223590668</v>
      </c>
      <c r="F3702" s="5">
        <f>IFERROR(__xludf.DUMMYFUNCTION("""COMPUTED_VALUE"""),0.18443977170321418)</f>
        <v>0.1844397717</v>
      </c>
      <c r="G3702" s="5">
        <f>IFERROR(__xludf.DUMMYFUNCTION("""COMPUTED_VALUE"""),0.13467507760088115)</f>
        <v>0.1346750776</v>
      </c>
      <c r="H3702" s="5">
        <f>IFERROR(__xludf.DUMMYFUNCTION("""COMPUTED_VALUE"""),0.5912052117263844)</f>
        <v>0.5912052117</v>
      </c>
      <c r="I3702" s="11">
        <f>IFERROR(__xludf.DUMMYFUNCTION("""COMPUTED_VALUE"""),6160.532030401737)</f>
        <v>6160.53203</v>
      </c>
      <c r="J3702" s="10">
        <f>IFERROR(__xludf.DUMMYFUNCTION("""COMPUTED_VALUE"""),6.0)</f>
        <v>6</v>
      </c>
      <c r="K3702" s="5">
        <f>IFERROR(__xludf.DUMMYFUNCTION("""COMPUTED_VALUE"""),0.006342494714587738)</f>
        <v>0.006342494715</v>
      </c>
      <c r="L3702" s="10">
        <f>IFERROR(__xludf.DUMMYFUNCTION("""COMPUTED_VALUE"""),946.0)</f>
        <v>946</v>
      </c>
      <c r="M3702" s="5">
        <f>IFERROR(__xludf.DUMMYFUNCTION("""COMPUTED_VALUE"""),1.0)</f>
        <v>1</v>
      </c>
    </row>
    <row r="3703">
      <c r="A3703" s="10" t="str">
        <f>IFERROR(__xludf.DUMMYFUNCTION("""COMPUTED_VALUE"""),"牌賊くん")</f>
        <v>牌賊くん</v>
      </c>
      <c r="B3703" s="10">
        <f>IFERROR(__xludf.DUMMYFUNCTION("""COMPUTED_VALUE"""),443.0)</f>
        <v>443</v>
      </c>
      <c r="C3703" s="10">
        <f>IFERROR(__xludf.DUMMYFUNCTION("""COMPUTED_VALUE"""),5159.0)</f>
        <v>5159</v>
      </c>
      <c r="D3703" s="5">
        <f>IFERROR(__xludf.DUMMYFUNCTION("""COMPUTED_VALUE"""),0.2758693808312129)</f>
        <v>0.2758693808</v>
      </c>
      <c r="E3703" s="5">
        <f>IFERROR(__xludf.DUMMYFUNCTION("""COMPUTED_VALUE"""),0.12234944868532655)</f>
        <v>0.1223494487</v>
      </c>
      <c r="F3703" s="5">
        <f>IFERROR(__xludf.DUMMYFUNCTION("""COMPUTED_VALUE"""),0.1912637828668363)</f>
        <v>0.1912637829</v>
      </c>
      <c r="G3703" s="5">
        <f>IFERROR(__xludf.DUMMYFUNCTION("""COMPUTED_VALUE"""),0.15097540288379982)</f>
        <v>0.1509754029</v>
      </c>
      <c r="H3703" s="5">
        <f>IFERROR(__xludf.DUMMYFUNCTION("""COMPUTED_VALUE"""),0.6108647450110865)</f>
        <v>0.610864745</v>
      </c>
      <c r="I3703" s="11">
        <f>IFERROR(__xludf.DUMMYFUNCTION("""COMPUTED_VALUE"""),5535.69844789357)</f>
        <v>5535.698448</v>
      </c>
      <c r="J3703" s="10">
        <f>IFERROR(__xludf.DUMMYFUNCTION("""COMPUTED_VALUE"""),3.0)</f>
        <v>3</v>
      </c>
      <c r="K3703" s="5">
        <f>IFERROR(__xludf.DUMMYFUNCTION("""COMPUTED_VALUE"""),0.006772009029345372)</f>
        <v>0.006772009029</v>
      </c>
      <c r="L3703" s="10">
        <f>IFERROR(__xludf.DUMMYFUNCTION("""COMPUTED_VALUE"""),443.0)</f>
        <v>443</v>
      </c>
      <c r="M3703" s="5">
        <f>IFERROR(__xludf.DUMMYFUNCTION("""COMPUTED_VALUE"""),1.0)</f>
        <v>1</v>
      </c>
    </row>
    <row r="3704">
      <c r="A3704" s="10" t="str">
        <f>IFERROR(__xludf.DUMMYFUNCTION("""COMPUTED_VALUE"""),"kuro*")</f>
        <v>kuro*</v>
      </c>
      <c r="B3704" s="10">
        <f>IFERROR(__xludf.DUMMYFUNCTION("""COMPUTED_VALUE"""),1086.0)</f>
        <v>1086</v>
      </c>
      <c r="C3704" s="10">
        <f>IFERROR(__xludf.DUMMYFUNCTION("""COMPUTED_VALUE"""),12823.0)</f>
        <v>12823</v>
      </c>
      <c r="D3704" s="5">
        <f>IFERROR(__xludf.DUMMYFUNCTION("""COMPUTED_VALUE"""),0.302717900656045)</f>
        <v>0.3027179007</v>
      </c>
      <c r="E3704" s="5">
        <f>IFERROR(__xludf.DUMMYFUNCTION("""COMPUTED_VALUE"""),0.12234812984578683)</f>
        <v>0.1223481298</v>
      </c>
      <c r="F3704" s="5">
        <f>IFERROR(__xludf.DUMMYFUNCTION("""COMPUTED_VALUE"""),0.20507795859248532)</f>
        <v>0.2050779586</v>
      </c>
      <c r="G3704" s="5">
        <f>IFERROR(__xludf.DUMMYFUNCTION("""COMPUTED_VALUE"""),0.16980489051716793)</f>
        <v>0.1698048905</v>
      </c>
      <c r="H3704" s="5">
        <f>IFERROR(__xludf.DUMMYFUNCTION("""COMPUTED_VALUE"""),0.6073950976319069)</f>
        <v>0.6073950976</v>
      </c>
      <c r="I3704" s="11">
        <f>IFERROR(__xludf.DUMMYFUNCTION("""COMPUTED_VALUE"""),5590.610718737017)</f>
        <v>5590.610719</v>
      </c>
      <c r="J3704" s="10">
        <f>IFERROR(__xludf.DUMMYFUNCTION("""COMPUTED_VALUE"""),1.0)</f>
        <v>1</v>
      </c>
      <c r="K3704" s="5">
        <f>IFERROR(__xludf.DUMMYFUNCTION("""COMPUTED_VALUE"""),9.208103130755065E-4)</f>
        <v>0.0009208103131</v>
      </c>
      <c r="L3704" s="10">
        <f>IFERROR(__xludf.DUMMYFUNCTION("""COMPUTED_VALUE"""),1086.0)</f>
        <v>1086</v>
      </c>
      <c r="M3704" s="5">
        <f>IFERROR(__xludf.DUMMYFUNCTION("""COMPUTED_VALUE"""),1.0)</f>
        <v>1</v>
      </c>
    </row>
    <row r="3705">
      <c r="A3705" s="10" t="str">
        <f>IFERROR(__xludf.DUMMYFUNCTION("""COMPUTED_VALUE"""),"豚本豚程")</f>
        <v>豚本豚程</v>
      </c>
      <c r="B3705" s="10">
        <f>IFERROR(__xludf.DUMMYFUNCTION("""COMPUTED_VALUE"""),270.0)</f>
        <v>270</v>
      </c>
      <c r="C3705" s="10">
        <f>IFERROR(__xludf.DUMMYFUNCTION("""COMPUTED_VALUE"""),3180.0)</f>
        <v>3180</v>
      </c>
      <c r="D3705" s="5">
        <f>IFERROR(__xludf.DUMMYFUNCTION("""COMPUTED_VALUE"""),0.2728522336769759)</f>
        <v>0.2728522337</v>
      </c>
      <c r="E3705" s="5">
        <f>IFERROR(__xludf.DUMMYFUNCTION("""COMPUTED_VALUE"""),0.12233676975945017)</f>
        <v>0.1223367698</v>
      </c>
      <c r="F3705" s="5">
        <f>IFERROR(__xludf.DUMMYFUNCTION("""COMPUTED_VALUE"""),0.20412371134020618)</f>
        <v>0.2041237113</v>
      </c>
      <c r="G3705" s="5">
        <f>IFERROR(__xludf.DUMMYFUNCTION("""COMPUTED_VALUE"""),0.15017182130584192)</f>
        <v>0.1501718213</v>
      </c>
      <c r="H3705" s="5">
        <f>IFERROR(__xludf.DUMMYFUNCTION("""COMPUTED_VALUE"""),0.5673400673400674)</f>
        <v>0.5673400673</v>
      </c>
      <c r="I3705" s="11">
        <f>IFERROR(__xludf.DUMMYFUNCTION("""COMPUTED_VALUE"""),5745.117845117845)</f>
        <v>5745.117845</v>
      </c>
      <c r="J3705" s="10">
        <f>IFERROR(__xludf.DUMMYFUNCTION("""COMPUTED_VALUE"""),0.0)</f>
        <v>0</v>
      </c>
      <c r="K3705" s="5">
        <f>IFERROR(__xludf.DUMMYFUNCTION("""COMPUTED_VALUE"""),0.0)</f>
        <v>0</v>
      </c>
      <c r="L3705" s="10">
        <f>IFERROR(__xludf.DUMMYFUNCTION("""COMPUTED_VALUE"""),270.0)</f>
        <v>270</v>
      </c>
      <c r="M3705" s="5">
        <f>IFERROR(__xludf.DUMMYFUNCTION("""COMPUTED_VALUE"""),1.0)</f>
        <v>1</v>
      </c>
    </row>
    <row r="3706">
      <c r="A3706" s="10" t="str">
        <f>IFERROR(__xludf.DUMMYFUNCTION("""COMPUTED_VALUE"""),"腹ペコ♪")</f>
        <v>腹ペコ♪</v>
      </c>
      <c r="B3706" s="10">
        <f>IFERROR(__xludf.DUMMYFUNCTION("""COMPUTED_VALUE"""),166.0)</f>
        <v>166</v>
      </c>
      <c r="C3706" s="10">
        <f>IFERROR(__xludf.DUMMYFUNCTION("""COMPUTED_VALUE"""),1899.0)</f>
        <v>1899</v>
      </c>
      <c r="D3706" s="5">
        <f>IFERROR(__xludf.DUMMYFUNCTION("""COMPUTED_VALUE"""),0.3023658395845355)</f>
        <v>0.3023658396</v>
      </c>
      <c r="E3706" s="5">
        <f>IFERROR(__xludf.DUMMYFUNCTION("""COMPUTED_VALUE"""),0.12233121754183497)</f>
        <v>0.1223312175</v>
      </c>
      <c r="F3706" s="5">
        <f>IFERROR(__xludf.DUMMYFUNCTION("""COMPUTED_VALUE"""),0.20427005193306405)</f>
        <v>0.2042700519</v>
      </c>
      <c r="G3706" s="5">
        <f>IFERROR(__xludf.DUMMYFUNCTION("""COMPUTED_VALUE"""),0.1788805539526832)</f>
        <v>0.178880554</v>
      </c>
      <c r="H3706" s="5">
        <f>IFERROR(__xludf.DUMMYFUNCTION("""COMPUTED_VALUE"""),0.5790960451977402)</f>
        <v>0.5790960452</v>
      </c>
      <c r="I3706" s="11">
        <f>IFERROR(__xludf.DUMMYFUNCTION("""COMPUTED_VALUE"""),5577.683615819209)</f>
        <v>5577.683616</v>
      </c>
      <c r="J3706" s="10">
        <f>IFERROR(__xludf.DUMMYFUNCTION("""COMPUTED_VALUE"""),1.0)</f>
        <v>1</v>
      </c>
      <c r="K3706" s="5">
        <f>IFERROR(__xludf.DUMMYFUNCTION("""COMPUTED_VALUE"""),0.006024096385542169)</f>
        <v>0.006024096386</v>
      </c>
      <c r="L3706" s="10">
        <f>IFERROR(__xludf.DUMMYFUNCTION("""COMPUTED_VALUE"""),166.0)</f>
        <v>166</v>
      </c>
      <c r="M3706" s="5">
        <f>IFERROR(__xludf.DUMMYFUNCTION("""COMPUTED_VALUE"""),1.0)</f>
        <v>1</v>
      </c>
    </row>
    <row r="3707">
      <c r="A3707" s="10" t="str">
        <f>IFERROR(__xludf.DUMMYFUNCTION("""COMPUTED_VALUE"""),"わせりん")</f>
        <v>わせりん</v>
      </c>
      <c r="B3707" s="10">
        <f>IFERROR(__xludf.DUMMYFUNCTION("""COMPUTED_VALUE"""),524.0)</f>
        <v>524</v>
      </c>
      <c r="C3707" s="10">
        <f>IFERROR(__xludf.DUMMYFUNCTION("""COMPUTED_VALUE"""),6377.0)</f>
        <v>6377</v>
      </c>
      <c r="D3707" s="5">
        <f>IFERROR(__xludf.DUMMYFUNCTION("""COMPUTED_VALUE"""),0.38458909960703913)</f>
        <v>0.3845890996</v>
      </c>
      <c r="E3707" s="5">
        <f>IFERROR(__xludf.DUMMYFUNCTION("""COMPUTED_VALUE"""),0.12233042883991116)</f>
        <v>0.1223304288</v>
      </c>
      <c r="F3707" s="5">
        <f>IFERROR(__xludf.DUMMYFUNCTION("""COMPUTED_VALUE"""),0.22125405774816334)</f>
        <v>0.2212540577</v>
      </c>
      <c r="G3707" s="5">
        <f>IFERROR(__xludf.DUMMYFUNCTION("""COMPUTED_VALUE"""),0.16350589441312147)</f>
        <v>0.1635058944</v>
      </c>
      <c r="H3707" s="5">
        <f>IFERROR(__xludf.DUMMYFUNCTION("""COMPUTED_VALUE"""),0.6)</f>
        <v>0.6</v>
      </c>
      <c r="I3707" s="11">
        <f>IFERROR(__xludf.DUMMYFUNCTION("""COMPUTED_VALUE"""),5351.505791505791)</f>
        <v>5351.505792</v>
      </c>
      <c r="J3707" s="10">
        <f>IFERROR(__xludf.DUMMYFUNCTION("""COMPUTED_VALUE"""),0.0)</f>
        <v>0</v>
      </c>
      <c r="K3707" s="5">
        <f>IFERROR(__xludf.DUMMYFUNCTION("""COMPUTED_VALUE"""),0.0)</f>
        <v>0</v>
      </c>
      <c r="L3707" s="10">
        <f>IFERROR(__xludf.DUMMYFUNCTION("""COMPUTED_VALUE"""),524.0)</f>
        <v>524</v>
      </c>
      <c r="M3707" s="5">
        <f>IFERROR(__xludf.DUMMYFUNCTION("""COMPUTED_VALUE"""),1.0)</f>
        <v>1</v>
      </c>
    </row>
    <row r="3708">
      <c r="A3708" s="10" t="str">
        <f>IFERROR(__xludf.DUMMYFUNCTION("""COMPUTED_VALUE"""),"黒い養分")</f>
        <v>黒い養分</v>
      </c>
      <c r="B3708" s="10">
        <f>IFERROR(__xludf.DUMMYFUNCTION("""COMPUTED_VALUE"""),1599.0)</f>
        <v>1599</v>
      </c>
      <c r="C3708" s="10">
        <f>IFERROR(__xludf.DUMMYFUNCTION("""COMPUTED_VALUE"""),18774.0)</f>
        <v>18774</v>
      </c>
      <c r="D3708" s="5">
        <f>IFERROR(__xludf.DUMMYFUNCTION("""COMPUTED_VALUE"""),0.3470742358078603)</f>
        <v>0.3470742358</v>
      </c>
      <c r="E3708" s="5">
        <f>IFERROR(__xludf.DUMMYFUNCTION("""COMPUTED_VALUE"""),0.12232896652110625)</f>
        <v>0.1223289665</v>
      </c>
      <c r="F3708" s="5">
        <f>IFERROR(__xludf.DUMMYFUNCTION("""COMPUTED_VALUE"""),0.20914119359534206)</f>
        <v>0.2091411936</v>
      </c>
      <c r="G3708" s="5">
        <f>IFERROR(__xludf.DUMMYFUNCTION("""COMPUTED_VALUE"""),0.15953420669577875)</f>
        <v>0.1595342067</v>
      </c>
      <c r="H3708" s="5">
        <f>IFERROR(__xludf.DUMMYFUNCTION("""COMPUTED_VALUE"""),0.5846325167037862)</f>
        <v>0.5846325167</v>
      </c>
      <c r="I3708" s="11">
        <f>IFERROR(__xludf.DUMMYFUNCTION("""COMPUTED_VALUE"""),5735.829621380846)</f>
        <v>5735.829621</v>
      </c>
      <c r="J3708" s="10">
        <f>IFERROR(__xludf.DUMMYFUNCTION("""COMPUTED_VALUE"""),3.0)</f>
        <v>3</v>
      </c>
      <c r="K3708" s="5">
        <f>IFERROR(__xludf.DUMMYFUNCTION("""COMPUTED_VALUE"""),0.001876172607879925)</f>
        <v>0.001876172608</v>
      </c>
      <c r="L3708" s="10">
        <f>IFERROR(__xludf.DUMMYFUNCTION("""COMPUTED_VALUE"""),1599.0)</f>
        <v>1599</v>
      </c>
      <c r="M3708" s="5">
        <f>IFERROR(__xludf.DUMMYFUNCTION("""COMPUTED_VALUE"""),1.0)</f>
        <v>1</v>
      </c>
    </row>
    <row r="3709">
      <c r="A3709" s="10" t="str">
        <f>IFERROR(__xludf.DUMMYFUNCTION("""COMPUTED_VALUE"""),"テレビっ子")</f>
        <v>テレビっ子</v>
      </c>
      <c r="B3709" s="10">
        <f>IFERROR(__xludf.DUMMYFUNCTION("""COMPUTED_VALUE"""),3820.0)</f>
        <v>3820</v>
      </c>
      <c r="C3709" s="10">
        <f>IFERROR(__xludf.DUMMYFUNCTION("""COMPUTED_VALUE"""),45078.0)</f>
        <v>45078</v>
      </c>
      <c r="D3709" s="5">
        <f>IFERROR(__xludf.DUMMYFUNCTION("""COMPUTED_VALUE"""),0.3140481845945029)</f>
        <v>0.3140481846</v>
      </c>
      <c r="E3709" s="5">
        <f>IFERROR(__xludf.DUMMYFUNCTION("""COMPUTED_VALUE"""),0.12232779097387174)</f>
        <v>0.122327791</v>
      </c>
      <c r="F3709" s="5">
        <f>IFERROR(__xludf.DUMMYFUNCTION("""COMPUTED_VALUE"""),0.20442096078336322)</f>
        <v>0.2044209608</v>
      </c>
      <c r="G3709" s="5">
        <f>IFERROR(__xludf.DUMMYFUNCTION("""COMPUTED_VALUE"""),0.17390566677977604)</f>
        <v>0.1739056668</v>
      </c>
      <c r="H3709" s="5">
        <f>IFERROR(__xludf.DUMMYFUNCTION("""COMPUTED_VALUE"""),0.5896371828313968)</f>
        <v>0.5896371828</v>
      </c>
      <c r="I3709" s="11">
        <f>IFERROR(__xludf.DUMMYFUNCTION("""COMPUTED_VALUE"""),5856.070666350486)</f>
        <v>5856.070666</v>
      </c>
      <c r="J3709" s="10">
        <f>IFERROR(__xludf.DUMMYFUNCTION("""COMPUTED_VALUE"""),15.0)</f>
        <v>15</v>
      </c>
      <c r="K3709" s="5">
        <f>IFERROR(__xludf.DUMMYFUNCTION("""COMPUTED_VALUE"""),0.003926701570680628)</f>
        <v>0.003926701571</v>
      </c>
      <c r="L3709" s="10">
        <f>IFERROR(__xludf.DUMMYFUNCTION("""COMPUTED_VALUE"""),3783.0)</f>
        <v>3783</v>
      </c>
      <c r="M3709" s="5">
        <f>IFERROR(__xludf.DUMMYFUNCTION("""COMPUTED_VALUE"""),0.9903141361256544)</f>
        <v>0.9903141361</v>
      </c>
    </row>
    <row r="3710">
      <c r="A3710" s="10" t="str">
        <f>IFERROR(__xludf.DUMMYFUNCTION("""COMPUTED_VALUE"""),"チョコロボクン")</f>
        <v>チョコロボクン</v>
      </c>
      <c r="B3710" s="10">
        <f>IFERROR(__xludf.DUMMYFUNCTION("""COMPUTED_VALUE"""),498.0)</f>
        <v>498</v>
      </c>
      <c r="C3710" s="10">
        <f>IFERROR(__xludf.DUMMYFUNCTION("""COMPUTED_VALUE"""),5812.0)</f>
        <v>5812</v>
      </c>
      <c r="D3710" s="5">
        <f>IFERROR(__xludf.DUMMYFUNCTION("""COMPUTED_VALUE"""),0.3709070380127964)</f>
        <v>0.370907038</v>
      </c>
      <c r="E3710" s="5">
        <f>IFERROR(__xludf.DUMMYFUNCTION("""COMPUTED_VALUE"""),0.1223184042152804)</f>
        <v>0.1223184042</v>
      </c>
      <c r="F3710" s="5">
        <f>IFERROR(__xludf.DUMMYFUNCTION("""COMPUTED_VALUE"""),0.20455400828001505)</f>
        <v>0.2045540083</v>
      </c>
      <c r="G3710" s="5">
        <f>IFERROR(__xludf.DUMMYFUNCTION("""COMPUTED_VALUE"""),0.14640572073767408)</f>
        <v>0.1464057207</v>
      </c>
      <c r="H3710" s="5">
        <f>IFERROR(__xludf.DUMMYFUNCTION("""COMPUTED_VALUE"""),0.6117755289788408)</f>
        <v>0.611775529</v>
      </c>
      <c r="I3710" s="11">
        <f>IFERROR(__xludf.DUMMYFUNCTION("""COMPUTED_VALUE"""),5579.944802207911)</f>
        <v>5579.944802</v>
      </c>
      <c r="J3710" s="10">
        <f>IFERROR(__xludf.DUMMYFUNCTION("""COMPUTED_VALUE"""),1.0)</f>
        <v>1</v>
      </c>
      <c r="K3710" s="5">
        <f>IFERROR(__xludf.DUMMYFUNCTION("""COMPUTED_VALUE"""),0.002008032128514056)</f>
        <v>0.002008032129</v>
      </c>
      <c r="L3710" s="10">
        <f>IFERROR(__xludf.DUMMYFUNCTION("""COMPUTED_VALUE"""),498.0)</f>
        <v>498</v>
      </c>
      <c r="M3710" s="5">
        <f>IFERROR(__xludf.DUMMYFUNCTION("""COMPUTED_VALUE"""),1.0)</f>
        <v>1</v>
      </c>
    </row>
    <row r="3711">
      <c r="A3711" s="10" t="str">
        <f>IFERROR(__xludf.DUMMYFUNCTION("""COMPUTED_VALUE"""),"とうきもん")</f>
        <v>とうきもん</v>
      </c>
      <c r="B3711" s="10">
        <f>IFERROR(__xludf.DUMMYFUNCTION("""COMPUTED_VALUE"""),337.0)</f>
        <v>337</v>
      </c>
      <c r="C3711" s="10">
        <f>IFERROR(__xludf.DUMMYFUNCTION("""COMPUTED_VALUE"""),3877.0)</f>
        <v>3877</v>
      </c>
      <c r="D3711" s="5">
        <f>IFERROR(__xludf.DUMMYFUNCTION("""COMPUTED_VALUE"""),0.4124293785310734)</f>
        <v>0.4124293785</v>
      </c>
      <c r="E3711" s="5">
        <f>IFERROR(__xludf.DUMMYFUNCTION("""COMPUTED_VALUE"""),0.12231638418079097)</f>
        <v>0.1223163842</v>
      </c>
      <c r="F3711" s="5">
        <f>IFERROR(__xludf.DUMMYFUNCTION("""COMPUTED_VALUE"""),0.20451977401129945)</f>
        <v>0.204519774</v>
      </c>
      <c r="G3711" s="5">
        <f>IFERROR(__xludf.DUMMYFUNCTION("""COMPUTED_VALUE"""),0.15112994350282485)</f>
        <v>0.1511299435</v>
      </c>
      <c r="H3711" s="5">
        <f>IFERROR(__xludf.DUMMYFUNCTION("""COMPUTED_VALUE"""),0.5814917127071824)</f>
        <v>0.5814917127</v>
      </c>
      <c r="I3711" s="11">
        <f>IFERROR(__xludf.DUMMYFUNCTION("""COMPUTED_VALUE"""),5469.475138121547)</f>
        <v>5469.475138</v>
      </c>
      <c r="J3711" s="10">
        <f>IFERROR(__xludf.DUMMYFUNCTION("""COMPUTED_VALUE"""),0.0)</f>
        <v>0</v>
      </c>
      <c r="K3711" s="5">
        <f>IFERROR(__xludf.DUMMYFUNCTION("""COMPUTED_VALUE"""),0.0)</f>
        <v>0</v>
      </c>
      <c r="L3711" s="10">
        <f>IFERROR(__xludf.DUMMYFUNCTION("""COMPUTED_VALUE"""),337.0)</f>
        <v>337</v>
      </c>
      <c r="M3711" s="5">
        <f>IFERROR(__xludf.DUMMYFUNCTION("""COMPUTED_VALUE"""),1.0)</f>
        <v>1</v>
      </c>
    </row>
    <row r="3712">
      <c r="A3712" s="10" t="str">
        <f>IFERROR(__xludf.DUMMYFUNCTION("""COMPUTED_VALUE"""),"功力")</f>
        <v>功力</v>
      </c>
      <c r="B3712" s="10">
        <f>IFERROR(__xludf.DUMMYFUNCTION("""COMPUTED_VALUE"""),163.0)</f>
        <v>163</v>
      </c>
      <c r="C3712" s="10">
        <f>IFERROR(__xludf.DUMMYFUNCTION("""COMPUTED_VALUE"""),1929.0)</f>
        <v>1929</v>
      </c>
      <c r="D3712" s="5">
        <f>IFERROR(__xludf.DUMMYFUNCTION("""COMPUTED_VALUE"""),0.32842582106455265)</f>
        <v>0.3284258211</v>
      </c>
      <c r="E3712" s="5">
        <f>IFERROR(__xludf.DUMMYFUNCTION("""COMPUTED_VALUE"""),0.12231030577576443)</f>
        <v>0.1223103058</v>
      </c>
      <c r="F3712" s="5">
        <f>IFERROR(__xludf.DUMMYFUNCTION("""COMPUTED_VALUE"""),0.1857304643261608)</f>
        <v>0.1857304643</v>
      </c>
      <c r="G3712" s="5">
        <f>IFERROR(__xludf.DUMMYFUNCTION("""COMPUTED_VALUE"""),0.19988674971687428)</f>
        <v>0.1998867497</v>
      </c>
      <c r="H3712" s="5">
        <f>IFERROR(__xludf.DUMMYFUNCTION("""COMPUTED_VALUE"""),0.6219512195121951)</f>
        <v>0.6219512195</v>
      </c>
      <c r="I3712" s="11">
        <f>IFERROR(__xludf.DUMMYFUNCTION("""COMPUTED_VALUE"""),5892.682926829269)</f>
        <v>5892.682927</v>
      </c>
      <c r="J3712" s="10">
        <f>IFERROR(__xludf.DUMMYFUNCTION("""COMPUTED_VALUE"""),0.0)</f>
        <v>0</v>
      </c>
      <c r="K3712" s="5">
        <f>IFERROR(__xludf.DUMMYFUNCTION("""COMPUTED_VALUE"""),0.0)</f>
        <v>0</v>
      </c>
      <c r="L3712" s="10">
        <f>IFERROR(__xludf.DUMMYFUNCTION("""COMPUTED_VALUE"""),163.0)</f>
        <v>163</v>
      </c>
      <c r="M3712" s="5">
        <f>IFERROR(__xludf.DUMMYFUNCTION("""COMPUTED_VALUE"""),1.0)</f>
        <v>1</v>
      </c>
    </row>
    <row r="3713">
      <c r="A3713" s="10" t="str">
        <f>IFERROR(__xludf.DUMMYFUNCTION("""COMPUTED_VALUE"""),"笑いの神")</f>
        <v>笑いの神</v>
      </c>
      <c r="B3713" s="10">
        <f>IFERROR(__xludf.DUMMYFUNCTION("""COMPUTED_VALUE"""),1129.0)</f>
        <v>1129</v>
      </c>
      <c r="C3713" s="10">
        <f>IFERROR(__xludf.DUMMYFUNCTION("""COMPUTED_VALUE"""),13303.0)</f>
        <v>13303</v>
      </c>
      <c r="D3713" s="5">
        <f>IFERROR(__xludf.DUMMYFUNCTION("""COMPUTED_VALUE"""),0.2456875308033514)</f>
        <v>0.2456875308</v>
      </c>
      <c r="E3713" s="5">
        <f>IFERROR(__xludf.DUMMYFUNCTION("""COMPUTED_VALUE"""),0.1223098406439954)</f>
        <v>0.1223098406</v>
      </c>
      <c r="F3713" s="5">
        <f>IFERROR(__xludf.DUMMYFUNCTION("""COMPUTED_VALUE"""),0.20773780187284377)</f>
        <v>0.2077378019</v>
      </c>
      <c r="G3713" s="5">
        <f>IFERROR(__xludf.DUMMYFUNCTION("""COMPUTED_VALUE"""),0.19089863643831115)</f>
        <v>0.1908986364</v>
      </c>
      <c r="H3713" s="5">
        <f>IFERROR(__xludf.DUMMYFUNCTION("""COMPUTED_VALUE"""),0.6006326611308818)</f>
        <v>0.6006326611</v>
      </c>
      <c r="I3713" s="11">
        <f>IFERROR(__xludf.DUMMYFUNCTION("""COMPUTED_VALUE"""),6014.5116646896)</f>
        <v>6014.511665</v>
      </c>
      <c r="J3713" s="10">
        <f>IFERROR(__xludf.DUMMYFUNCTION("""COMPUTED_VALUE"""),0.0)</f>
        <v>0</v>
      </c>
      <c r="K3713" s="5">
        <f>IFERROR(__xludf.DUMMYFUNCTION("""COMPUTED_VALUE"""),0.0)</f>
        <v>0</v>
      </c>
      <c r="L3713" s="10">
        <f>IFERROR(__xludf.DUMMYFUNCTION("""COMPUTED_VALUE"""),1129.0)</f>
        <v>1129</v>
      </c>
      <c r="M3713" s="5">
        <f>IFERROR(__xludf.DUMMYFUNCTION("""COMPUTED_VALUE"""),1.0)</f>
        <v>1</v>
      </c>
    </row>
    <row r="3714">
      <c r="A3714" s="10" t="str">
        <f>IFERROR(__xludf.DUMMYFUNCTION("""COMPUTED_VALUE"""),"ぴのこ")</f>
        <v>ぴのこ</v>
      </c>
      <c r="B3714" s="10">
        <f>IFERROR(__xludf.DUMMYFUNCTION("""COMPUTED_VALUE"""),2584.0)</f>
        <v>2584</v>
      </c>
      <c r="C3714" s="10">
        <f>IFERROR(__xludf.DUMMYFUNCTION("""COMPUTED_VALUE"""),30649.0)</f>
        <v>30649</v>
      </c>
      <c r="D3714" s="5">
        <f>IFERROR(__xludf.DUMMYFUNCTION("""COMPUTED_VALUE"""),0.33393907001603423)</f>
        <v>0.33393907</v>
      </c>
      <c r="E3714" s="5">
        <f>IFERROR(__xludf.DUMMYFUNCTION("""COMPUTED_VALUE"""),0.12228754676643507)</f>
        <v>0.1222875468</v>
      </c>
      <c r="F3714" s="5">
        <f>IFERROR(__xludf.DUMMYFUNCTION("""COMPUTED_VALUE"""),0.19105647603776946)</f>
        <v>0.191056476</v>
      </c>
      <c r="G3714" s="5">
        <f>IFERROR(__xludf.DUMMYFUNCTION("""COMPUTED_VALUE"""),0.14694459290931766)</f>
        <v>0.1469445929</v>
      </c>
      <c r="H3714" s="5">
        <f>IFERROR(__xludf.DUMMYFUNCTION("""COMPUTED_VALUE"""),0.5964192465497948)</f>
        <v>0.5964192465</v>
      </c>
      <c r="I3714" s="11">
        <f>IFERROR(__xludf.DUMMYFUNCTION("""COMPUTED_VALUE"""),6079.205520328236)</f>
        <v>6079.20552</v>
      </c>
      <c r="J3714" s="10">
        <f>IFERROR(__xludf.DUMMYFUNCTION("""COMPUTED_VALUE"""),6.0)</f>
        <v>6</v>
      </c>
      <c r="K3714" s="5">
        <f>IFERROR(__xludf.DUMMYFUNCTION("""COMPUTED_VALUE"""),0.0023219814241486067)</f>
        <v>0.002321981424</v>
      </c>
      <c r="L3714" s="10">
        <f>IFERROR(__xludf.DUMMYFUNCTION("""COMPUTED_VALUE"""),2329.0)</f>
        <v>2329</v>
      </c>
      <c r="M3714" s="5">
        <f>IFERROR(__xludf.DUMMYFUNCTION("""COMPUTED_VALUE"""),0.9013157894736842)</f>
        <v>0.9013157895</v>
      </c>
    </row>
    <row r="3715">
      <c r="A3715" s="10" t="str">
        <f>IFERROR(__xludf.DUMMYFUNCTION("""COMPUTED_VALUE"""),"tutiya")</f>
        <v>tutiya</v>
      </c>
      <c r="B3715" s="10">
        <f>IFERROR(__xludf.DUMMYFUNCTION("""COMPUTED_VALUE"""),1642.0)</f>
        <v>1642</v>
      </c>
      <c r="C3715" s="10">
        <f>IFERROR(__xludf.DUMMYFUNCTION("""COMPUTED_VALUE"""),19454.0)</f>
        <v>19454</v>
      </c>
      <c r="D3715" s="5">
        <f>IFERROR(__xludf.DUMMYFUNCTION("""COMPUTED_VALUE"""),0.35807320907253537)</f>
        <v>0.3580732091</v>
      </c>
      <c r="E3715" s="5">
        <f>IFERROR(__xludf.DUMMYFUNCTION("""COMPUTED_VALUE"""),0.12227711655064002)</f>
        <v>0.1222771166</v>
      </c>
      <c r="F3715" s="5">
        <f>IFERROR(__xludf.DUMMYFUNCTION("""COMPUTED_VALUE"""),0.2078374129800135)</f>
        <v>0.207837413</v>
      </c>
      <c r="G3715" s="5">
        <f>IFERROR(__xludf.DUMMYFUNCTION("""COMPUTED_VALUE"""),0.17651021783067594)</f>
        <v>0.1765102178</v>
      </c>
      <c r="H3715" s="5">
        <f>IFERROR(__xludf.DUMMYFUNCTION("""COMPUTED_VALUE"""),0.5948136142625607)</f>
        <v>0.5948136143</v>
      </c>
      <c r="I3715" s="11">
        <f>IFERROR(__xludf.DUMMYFUNCTION("""COMPUTED_VALUE"""),5715.316045380875)</f>
        <v>5715.316045</v>
      </c>
      <c r="J3715" s="10">
        <f>IFERROR(__xludf.DUMMYFUNCTION("""COMPUTED_VALUE"""),1.0)</f>
        <v>1</v>
      </c>
      <c r="K3715" s="5">
        <f>IFERROR(__xludf.DUMMYFUNCTION("""COMPUTED_VALUE"""),6.090133982947625E-4)</f>
        <v>0.0006090133983</v>
      </c>
      <c r="L3715" s="10">
        <f>IFERROR(__xludf.DUMMYFUNCTION("""COMPUTED_VALUE"""),1642.0)</f>
        <v>1642</v>
      </c>
      <c r="M3715" s="5">
        <f>IFERROR(__xludf.DUMMYFUNCTION("""COMPUTED_VALUE"""),1.0)</f>
        <v>1</v>
      </c>
    </row>
    <row r="3716">
      <c r="A3716" s="10" t="str">
        <f>IFERROR(__xludf.DUMMYFUNCTION("""COMPUTED_VALUE"""),"歌舞伎君")</f>
        <v>歌舞伎君</v>
      </c>
      <c r="B3716" s="10">
        <f>IFERROR(__xludf.DUMMYFUNCTION("""COMPUTED_VALUE"""),2487.0)</f>
        <v>2487</v>
      </c>
      <c r="C3716" s="10">
        <f>IFERROR(__xludf.DUMMYFUNCTION("""COMPUTED_VALUE"""),29036.0)</f>
        <v>29036</v>
      </c>
      <c r="D3716" s="5">
        <f>IFERROR(__xludf.DUMMYFUNCTION("""COMPUTED_VALUE"""),0.3667558100116765)</f>
        <v>0.36675581</v>
      </c>
      <c r="E3716" s="5">
        <f>IFERROR(__xludf.DUMMYFUNCTION("""COMPUTED_VALUE"""),0.12226449207126446)</f>
        <v>0.1222644921</v>
      </c>
      <c r="F3716" s="5">
        <f>IFERROR(__xludf.DUMMYFUNCTION("""COMPUTED_VALUE"""),0.21409469283212174)</f>
        <v>0.2140946928</v>
      </c>
      <c r="G3716" s="5">
        <f>IFERROR(__xludf.DUMMYFUNCTION("""COMPUTED_VALUE"""),0.15789671927379562)</f>
        <v>0.1578967193</v>
      </c>
      <c r="H3716" s="5">
        <f>IFERROR(__xludf.DUMMYFUNCTION("""COMPUTED_VALUE"""),0.5958831808585503)</f>
        <v>0.5958831809</v>
      </c>
      <c r="I3716" s="11">
        <f>IFERROR(__xludf.DUMMYFUNCTION("""COMPUTED_VALUE"""),5530.295566502463)</f>
        <v>5530.295567</v>
      </c>
      <c r="J3716" s="10">
        <f>IFERROR(__xludf.DUMMYFUNCTION("""COMPUTED_VALUE"""),4.0)</f>
        <v>4</v>
      </c>
      <c r="K3716" s="5">
        <f>IFERROR(__xludf.DUMMYFUNCTION("""COMPUTED_VALUE"""),0.0016083634901487736)</f>
        <v>0.00160836349</v>
      </c>
      <c r="L3716" s="10">
        <f>IFERROR(__xludf.DUMMYFUNCTION("""COMPUTED_VALUE"""),2487.0)</f>
        <v>2487</v>
      </c>
      <c r="M3716" s="5">
        <f>IFERROR(__xludf.DUMMYFUNCTION("""COMPUTED_VALUE"""),1.0)</f>
        <v>1</v>
      </c>
    </row>
    <row r="3717">
      <c r="A3717" s="10" t="str">
        <f>IFERROR(__xludf.DUMMYFUNCTION("""COMPUTED_VALUE"""),"K。")</f>
        <v>K。</v>
      </c>
      <c r="B3717" s="10">
        <f>IFERROR(__xludf.DUMMYFUNCTION("""COMPUTED_VALUE"""),8883.0)</f>
        <v>8883</v>
      </c>
      <c r="C3717" s="10">
        <f>IFERROR(__xludf.DUMMYFUNCTION("""COMPUTED_VALUE"""),104257.0)</f>
        <v>104257</v>
      </c>
      <c r="D3717" s="5">
        <f>IFERROR(__xludf.DUMMYFUNCTION("""COMPUTED_VALUE"""),0.34297607314362405)</f>
        <v>0.3429760731</v>
      </c>
      <c r="E3717" s="5">
        <f>IFERROR(__xludf.DUMMYFUNCTION("""COMPUTED_VALUE"""),0.12225554134250424)</f>
        <v>0.1222555413</v>
      </c>
      <c r="F3717" s="5">
        <f>IFERROR(__xludf.DUMMYFUNCTION("""COMPUTED_VALUE"""),0.21097993163755321)</f>
        <v>0.2109799316</v>
      </c>
      <c r="G3717" s="5">
        <f>IFERROR(__xludf.DUMMYFUNCTION("""COMPUTED_VALUE"""),0.16870425902237507)</f>
        <v>0.168704259</v>
      </c>
      <c r="H3717" s="5">
        <f>IFERROR(__xludf.DUMMYFUNCTION("""COMPUTED_VALUE"""),0.6004373322731339)</f>
        <v>0.6004373323</v>
      </c>
      <c r="I3717" s="11">
        <f>IFERROR(__xludf.DUMMYFUNCTION("""COMPUTED_VALUE"""),5477.119570619223)</f>
        <v>5477.119571</v>
      </c>
      <c r="J3717" s="10">
        <f>IFERROR(__xludf.DUMMYFUNCTION("""COMPUTED_VALUE"""),8.0)</f>
        <v>8</v>
      </c>
      <c r="K3717" s="5">
        <f>IFERROR(__xludf.DUMMYFUNCTION("""COMPUTED_VALUE"""),9.005966452774963E-4)</f>
        <v>0.0009005966453</v>
      </c>
      <c r="L3717" s="10">
        <f>IFERROR(__xludf.DUMMYFUNCTION("""COMPUTED_VALUE"""),8883.0)</f>
        <v>8883</v>
      </c>
      <c r="M3717" s="5">
        <f>IFERROR(__xludf.DUMMYFUNCTION("""COMPUTED_VALUE"""),1.0)</f>
        <v>1</v>
      </c>
    </row>
    <row r="3718">
      <c r="A3718" s="10" t="str">
        <f>IFERROR(__xludf.DUMMYFUNCTION("""COMPUTED_VALUE"""),"ガミゴン")</f>
        <v>ガミゴン</v>
      </c>
      <c r="B3718" s="10">
        <f>IFERROR(__xludf.DUMMYFUNCTION("""COMPUTED_VALUE"""),2348.0)</f>
        <v>2348</v>
      </c>
      <c r="C3718" s="10">
        <f>IFERROR(__xludf.DUMMYFUNCTION("""COMPUTED_VALUE"""),27657.0)</f>
        <v>27657</v>
      </c>
      <c r="D3718" s="5">
        <f>IFERROR(__xludf.DUMMYFUNCTION("""COMPUTED_VALUE"""),0.35829151685171284)</f>
        <v>0.3582915169</v>
      </c>
      <c r="E3718" s="5">
        <f>IFERROR(__xludf.DUMMYFUNCTION("""COMPUTED_VALUE"""),0.12224900233118653)</f>
        <v>0.1222490023</v>
      </c>
      <c r="F3718" s="5">
        <f>IFERROR(__xludf.DUMMYFUNCTION("""COMPUTED_VALUE"""),0.20846339246908213)</f>
        <v>0.2084633925</v>
      </c>
      <c r="G3718" s="5">
        <f>IFERROR(__xludf.DUMMYFUNCTION("""COMPUTED_VALUE"""),0.17531312971670157)</f>
        <v>0.1753131297</v>
      </c>
      <c r="H3718" s="5">
        <f>IFERROR(__xludf.DUMMYFUNCTION("""COMPUTED_VALUE"""),0.5934420015163002)</f>
        <v>0.5934420015</v>
      </c>
      <c r="I3718" s="11">
        <f>IFERROR(__xludf.DUMMYFUNCTION("""COMPUTED_VALUE"""),5662.585291887794)</f>
        <v>5662.585292</v>
      </c>
      <c r="J3718" s="10">
        <f>IFERROR(__xludf.DUMMYFUNCTION("""COMPUTED_VALUE"""),5.0)</f>
        <v>5</v>
      </c>
      <c r="K3718" s="5">
        <f>IFERROR(__xludf.DUMMYFUNCTION("""COMPUTED_VALUE"""),0.002129471890971039)</f>
        <v>0.002129471891</v>
      </c>
      <c r="L3718" s="10">
        <f>IFERROR(__xludf.DUMMYFUNCTION("""COMPUTED_VALUE"""),2085.0)</f>
        <v>2085</v>
      </c>
      <c r="M3718" s="5">
        <f>IFERROR(__xludf.DUMMYFUNCTION("""COMPUTED_VALUE"""),0.8879897785349233)</f>
        <v>0.8879897785</v>
      </c>
    </row>
    <row r="3719">
      <c r="A3719" s="10" t="str">
        <f>IFERROR(__xludf.DUMMYFUNCTION("""COMPUTED_VALUE"""),"ひらっさん")</f>
        <v>ひらっさん</v>
      </c>
      <c r="B3719" s="10">
        <f>IFERROR(__xludf.DUMMYFUNCTION("""COMPUTED_VALUE"""),444.0)</f>
        <v>444</v>
      </c>
      <c r="C3719" s="10">
        <f>IFERROR(__xludf.DUMMYFUNCTION("""COMPUTED_VALUE"""),5303.0)</f>
        <v>5303</v>
      </c>
      <c r="D3719" s="5">
        <f>IFERROR(__xludf.DUMMYFUNCTION("""COMPUTED_VALUE"""),0.3533648898950401)</f>
        <v>0.3533648899</v>
      </c>
      <c r="E3719" s="5">
        <f>IFERROR(__xludf.DUMMYFUNCTION("""COMPUTED_VALUE"""),0.12224737600329286)</f>
        <v>0.122247376</v>
      </c>
      <c r="F3719" s="5">
        <f>IFERROR(__xludf.DUMMYFUNCTION("""COMPUTED_VALUE"""),0.19489606915003088)</f>
        <v>0.1948960692</v>
      </c>
      <c r="G3719" s="5">
        <f>IFERROR(__xludf.DUMMYFUNCTION("""COMPUTED_VALUE"""),0.14797283391644372)</f>
        <v>0.1479728339</v>
      </c>
      <c r="H3719" s="5">
        <f>IFERROR(__xludf.DUMMYFUNCTION("""COMPUTED_VALUE"""),0.5913410770855333)</f>
        <v>0.5913410771</v>
      </c>
      <c r="I3719" s="11">
        <f>IFERROR(__xludf.DUMMYFUNCTION("""COMPUTED_VALUE"""),5671.488912354805)</f>
        <v>5671.488912</v>
      </c>
      <c r="J3719" s="10">
        <f>IFERROR(__xludf.DUMMYFUNCTION("""COMPUTED_VALUE"""),0.0)</f>
        <v>0</v>
      </c>
      <c r="K3719" s="5">
        <f>IFERROR(__xludf.DUMMYFUNCTION("""COMPUTED_VALUE"""),0.0)</f>
        <v>0</v>
      </c>
      <c r="L3719" s="10">
        <f>IFERROR(__xludf.DUMMYFUNCTION("""COMPUTED_VALUE"""),307.0)</f>
        <v>307</v>
      </c>
      <c r="M3719" s="5">
        <f>IFERROR(__xludf.DUMMYFUNCTION("""COMPUTED_VALUE"""),0.6914414414414415)</f>
        <v>0.6914414414</v>
      </c>
    </row>
    <row r="3720">
      <c r="A3720" s="10" t="str">
        <f>IFERROR(__xludf.DUMMYFUNCTION("""COMPUTED_VALUE"""),"七香")</f>
        <v>七香</v>
      </c>
      <c r="B3720" s="10">
        <f>IFERROR(__xludf.DUMMYFUNCTION("""COMPUTED_VALUE"""),714.0)</f>
        <v>714</v>
      </c>
      <c r="C3720" s="10">
        <f>IFERROR(__xludf.DUMMYFUNCTION("""COMPUTED_VALUE"""),8518.0)</f>
        <v>8518</v>
      </c>
      <c r="D3720" s="5">
        <f>IFERROR(__xludf.DUMMYFUNCTION("""COMPUTED_VALUE"""),0.3098411071245515)</f>
        <v>0.3098411071</v>
      </c>
      <c r="E3720" s="5">
        <f>IFERROR(__xludf.DUMMYFUNCTION("""COMPUTED_VALUE"""),0.12224500256278831)</f>
        <v>0.1222450026</v>
      </c>
      <c r="F3720" s="5">
        <f>IFERROR(__xludf.DUMMYFUNCTION("""COMPUTED_VALUE"""),0.2060481804202973)</f>
        <v>0.2060481804</v>
      </c>
      <c r="G3720" s="5">
        <f>IFERROR(__xludf.DUMMYFUNCTION("""COMPUTED_VALUE"""),0.16658124038954383)</f>
        <v>0.1665812404</v>
      </c>
      <c r="H3720" s="5">
        <f>IFERROR(__xludf.DUMMYFUNCTION("""COMPUTED_VALUE"""),0.5895522388059702)</f>
        <v>0.5895522388</v>
      </c>
      <c r="I3720" s="11">
        <f>IFERROR(__xludf.DUMMYFUNCTION("""COMPUTED_VALUE"""),5512.810945273632)</f>
        <v>5512.810945</v>
      </c>
      <c r="J3720" s="10">
        <f>IFERROR(__xludf.DUMMYFUNCTION("""COMPUTED_VALUE"""),2.0)</f>
        <v>2</v>
      </c>
      <c r="K3720" s="5">
        <f>IFERROR(__xludf.DUMMYFUNCTION("""COMPUTED_VALUE"""),0.0028011204481792717)</f>
        <v>0.002801120448</v>
      </c>
      <c r="L3720" s="10">
        <f>IFERROR(__xludf.DUMMYFUNCTION("""COMPUTED_VALUE"""),0.0)</f>
        <v>0</v>
      </c>
      <c r="M3720" s="5">
        <f>IFERROR(__xludf.DUMMYFUNCTION("""COMPUTED_VALUE"""),0.0)</f>
        <v>0</v>
      </c>
    </row>
    <row r="3721">
      <c r="A3721" s="10" t="str">
        <f>IFERROR(__xludf.DUMMYFUNCTION("""COMPUTED_VALUE"""),"三島八雲")</f>
        <v>三島八雲</v>
      </c>
      <c r="B3721" s="10">
        <f>IFERROR(__xludf.DUMMYFUNCTION("""COMPUTED_VALUE"""),240.0)</f>
        <v>240</v>
      </c>
      <c r="C3721" s="10">
        <f>IFERROR(__xludf.DUMMYFUNCTION("""COMPUTED_VALUE"""),2735.0)</f>
        <v>2735</v>
      </c>
      <c r="D3721" s="5">
        <f>IFERROR(__xludf.DUMMYFUNCTION("""COMPUTED_VALUE"""),0.35150300601202406)</f>
        <v>0.351503006</v>
      </c>
      <c r="E3721" s="5">
        <f>IFERROR(__xludf.DUMMYFUNCTION("""COMPUTED_VALUE"""),0.12224448897795591)</f>
        <v>0.122244489</v>
      </c>
      <c r="F3721" s="5">
        <f>IFERROR(__xludf.DUMMYFUNCTION("""COMPUTED_VALUE"""),0.2032064128256513)</f>
        <v>0.2032064128</v>
      </c>
      <c r="G3721" s="5">
        <f>IFERROR(__xludf.DUMMYFUNCTION("""COMPUTED_VALUE"""),0.17234468937875752)</f>
        <v>0.1723446894</v>
      </c>
      <c r="H3721" s="5">
        <f>IFERROR(__xludf.DUMMYFUNCTION("""COMPUTED_VALUE"""),0.5424063116370809)</f>
        <v>0.5424063116</v>
      </c>
      <c r="I3721" s="11">
        <f>IFERROR(__xludf.DUMMYFUNCTION("""COMPUTED_VALUE"""),5830.571992110454)</f>
        <v>5830.571992</v>
      </c>
      <c r="J3721" s="10">
        <f>IFERROR(__xludf.DUMMYFUNCTION("""COMPUTED_VALUE"""),0.0)</f>
        <v>0</v>
      </c>
      <c r="K3721" s="5">
        <f>IFERROR(__xludf.DUMMYFUNCTION("""COMPUTED_VALUE"""),0.0)</f>
        <v>0</v>
      </c>
      <c r="L3721" s="10">
        <f>IFERROR(__xludf.DUMMYFUNCTION("""COMPUTED_VALUE"""),240.0)</f>
        <v>240</v>
      </c>
      <c r="M3721" s="5">
        <f>IFERROR(__xludf.DUMMYFUNCTION("""COMPUTED_VALUE"""),1.0)</f>
        <v>1</v>
      </c>
    </row>
    <row r="3722">
      <c r="A3722" s="10" t="str">
        <f>IFERROR(__xludf.DUMMYFUNCTION("""COMPUTED_VALUE"""),"緒方智絵里+")</f>
        <v>緒方智絵里+</v>
      </c>
      <c r="B3722" s="10">
        <f>IFERROR(__xludf.DUMMYFUNCTION("""COMPUTED_VALUE"""),2739.0)</f>
        <v>2739</v>
      </c>
      <c r="C3722" s="10">
        <f>IFERROR(__xludf.DUMMYFUNCTION("""COMPUTED_VALUE"""),32296.0)</f>
        <v>32296</v>
      </c>
      <c r="D3722" s="5">
        <f>IFERROR(__xludf.DUMMYFUNCTION("""COMPUTED_VALUE"""),0.34337043678316476)</f>
        <v>0.3433704368</v>
      </c>
      <c r="E3722" s="5">
        <f>IFERROR(__xludf.DUMMYFUNCTION("""COMPUTED_VALUE"""),0.12223838684575566)</f>
        <v>0.1222383868</v>
      </c>
      <c r="F3722" s="5">
        <f>IFERROR(__xludf.DUMMYFUNCTION("""COMPUTED_VALUE"""),0.21297831308996176)</f>
        <v>0.2129783131</v>
      </c>
      <c r="G3722" s="5">
        <f>IFERROR(__xludf.DUMMYFUNCTION("""COMPUTED_VALUE"""),0.15857495686301046)</f>
        <v>0.1585749569</v>
      </c>
      <c r="H3722" s="5">
        <f>IFERROR(__xludf.DUMMYFUNCTION("""COMPUTED_VALUE"""),0.5982525814138205)</f>
        <v>0.5982525814</v>
      </c>
      <c r="I3722" s="11">
        <f>IFERROR(__xludf.DUMMYFUNCTION("""COMPUTED_VALUE"""),5743.018268467037)</f>
        <v>5743.018268</v>
      </c>
      <c r="J3722" s="10">
        <f>IFERROR(__xludf.DUMMYFUNCTION("""COMPUTED_VALUE"""),5.0)</f>
        <v>5</v>
      </c>
      <c r="K3722" s="5">
        <f>IFERROR(__xludf.DUMMYFUNCTION("""COMPUTED_VALUE"""),0.0018254837531945967)</f>
        <v>0.001825483753</v>
      </c>
      <c r="L3722" s="10">
        <f>IFERROR(__xludf.DUMMYFUNCTION("""COMPUTED_VALUE"""),2739.0)</f>
        <v>2739</v>
      </c>
      <c r="M3722" s="5">
        <f>IFERROR(__xludf.DUMMYFUNCTION("""COMPUTED_VALUE"""),1.0)</f>
        <v>1</v>
      </c>
    </row>
    <row r="3723">
      <c r="A3723" s="10" t="str">
        <f>IFERROR(__xludf.DUMMYFUNCTION("""COMPUTED_VALUE"""),"mas_")</f>
        <v>mas_</v>
      </c>
      <c r="B3723" s="10">
        <f>IFERROR(__xludf.DUMMYFUNCTION("""COMPUTED_VALUE"""),501.0)</f>
        <v>501</v>
      </c>
      <c r="C3723" s="10">
        <f>IFERROR(__xludf.DUMMYFUNCTION("""COMPUTED_VALUE"""),5794.0)</f>
        <v>5794</v>
      </c>
      <c r="D3723" s="5">
        <f>IFERROR(__xludf.DUMMYFUNCTION("""COMPUTED_VALUE"""),0.35178537691290385)</f>
        <v>0.3517853769</v>
      </c>
      <c r="E3723" s="5">
        <f>IFERROR(__xludf.DUMMYFUNCTION("""COMPUTED_VALUE"""),0.12223691668241073)</f>
        <v>0.1222369167</v>
      </c>
      <c r="F3723" s="5">
        <f>IFERROR(__xludf.DUMMYFUNCTION("""COMPUTED_VALUE"""),0.22671452862270924)</f>
        <v>0.2267145286</v>
      </c>
      <c r="G3723" s="5">
        <f>IFERROR(__xludf.DUMMYFUNCTION("""COMPUTED_VALUE"""),0.18836198753070094)</f>
        <v>0.1883619875</v>
      </c>
      <c r="H3723" s="5">
        <f>IFERROR(__xludf.DUMMYFUNCTION("""COMPUTED_VALUE"""),0.59)</f>
        <v>0.59</v>
      </c>
      <c r="I3723" s="11">
        <f>IFERROR(__xludf.DUMMYFUNCTION("""COMPUTED_VALUE"""),5464.25)</f>
        <v>5464.25</v>
      </c>
      <c r="J3723" s="10">
        <f>IFERROR(__xludf.DUMMYFUNCTION("""COMPUTED_VALUE"""),1.0)</f>
        <v>1</v>
      </c>
      <c r="K3723" s="5">
        <f>IFERROR(__xludf.DUMMYFUNCTION("""COMPUTED_VALUE"""),0.001996007984031936)</f>
        <v>0.001996007984</v>
      </c>
      <c r="L3723" s="10">
        <f>IFERROR(__xludf.DUMMYFUNCTION("""COMPUTED_VALUE"""),501.0)</f>
        <v>501</v>
      </c>
      <c r="M3723" s="5">
        <f>IFERROR(__xludf.DUMMYFUNCTION("""COMPUTED_VALUE"""),1.0)</f>
        <v>1</v>
      </c>
    </row>
    <row r="3724">
      <c r="A3724" s="10" t="str">
        <f>IFERROR(__xludf.DUMMYFUNCTION("""COMPUTED_VALUE"""),"ハンゲープロ")</f>
        <v>ハンゲープロ</v>
      </c>
      <c r="B3724" s="10">
        <f>IFERROR(__xludf.DUMMYFUNCTION("""COMPUTED_VALUE"""),656.0)</f>
        <v>656</v>
      </c>
      <c r="C3724" s="10">
        <f>IFERROR(__xludf.DUMMYFUNCTION("""COMPUTED_VALUE"""),7839.0)</f>
        <v>7839</v>
      </c>
      <c r="D3724" s="5">
        <f>IFERROR(__xludf.DUMMYFUNCTION("""COMPUTED_VALUE"""),0.3669775859668662)</f>
        <v>0.366977586</v>
      </c>
      <c r="E3724" s="5">
        <f>IFERROR(__xludf.DUMMYFUNCTION("""COMPUTED_VALUE"""),0.12223305025755256)</f>
        <v>0.1222330503</v>
      </c>
      <c r="F3724" s="5">
        <f>IFERROR(__xludf.DUMMYFUNCTION("""COMPUTED_VALUE"""),0.20673813169984687)</f>
        <v>0.2067381317</v>
      </c>
      <c r="G3724" s="5">
        <f>IFERROR(__xludf.DUMMYFUNCTION("""COMPUTED_VALUE"""),0.14910204649867742)</f>
        <v>0.1491020465</v>
      </c>
      <c r="H3724" s="5">
        <f>IFERROR(__xludf.DUMMYFUNCTION("""COMPUTED_VALUE"""),0.6006734006734007)</f>
        <v>0.6006734007</v>
      </c>
      <c r="I3724" s="11">
        <f>IFERROR(__xludf.DUMMYFUNCTION("""COMPUTED_VALUE"""),5296.363636363636)</f>
        <v>5296.363636</v>
      </c>
      <c r="J3724" s="10">
        <f>IFERROR(__xludf.DUMMYFUNCTION("""COMPUTED_VALUE"""),2.0)</f>
        <v>2</v>
      </c>
      <c r="K3724" s="5">
        <f>IFERROR(__xludf.DUMMYFUNCTION("""COMPUTED_VALUE"""),0.003048780487804878)</f>
        <v>0.003048780488</v>
      </c>
      <c r="L3724" s="10">
        <f>IFERROR(__xludf.DUMMYFUNCTION("""COMPUTED_VALUE"""),656.0)</f>
        <v>656</v>
      </c>
      <c r="M3724" s="5">
        <f>IFERROR(__xludf.DUMMYFUNCTION("""COMPUTED_VALUE"""),1.0)</f>
        <v>1</v>
      </c>
    </row>
    <row r="3725">
      <c r="A3725" s="10" t="str">
        <f>IFERROR(__xludf.DUMMYFUNCTION("""COMPUTED_VALUE"""),"popoiz")</f>
        <v>popoiz</v>
      </c>
      <c r="B3725" s="10">
        <f>IFERROR(__xludf.DUMMYFUNCTION("""COMPUTED_VALUE"""),119.0)</f>
        <v>119</v>
      </c>
      <c r="C3725" s="10">
        <f>IFERROR(__xludf.DUMMYFUNCTION("""COMPUTED_VALUE"""),1428.0)</f>
        <v>1428</v>
      </c>
      <c r="D3725" s="5">
        <f>IFERROR(__xludf.DUMMYFUNCTION("""COMPUTED_VALUE"""),0.3124522536287242)</f>
        <v>0.3124522536</v>
      </c>
      <c r="E3725" s="5">
        <f>IFERROR(__xludf.DUMMYFUNCTION("""COMPUTED_VALUE"""),0.12223071046600459)</f>
        <v>0.1222307105</v>
      </c>
      <c r="F3725" s="5">
        <f>IFERROR(__xludf.DUMMYFUNCTION("""COMPUTED_VALUE"""),0.1841100076394194)</f>
        <v>0.1841100076</v>
      </c>
      <c r="G3725" s="5">
        <f>IFERROR(__xludf.DUMMYFUNCTION("""COMPUTED_VALUE"""),0.16730328495034377)</f>
        <v>0.167303285</v>
      </c>
      <c r="H3725" s="5">
        <f>IFERROR(__xludf.DUMMYFUNCTION("""COMPUTED_VALUE"""),0.5850622406639004)</f>
        <v>0.5850622407</v>
      </c>
      <c r="I3725" s="11">
        <f>IFERROR(__xludf.DUMMYFUNCTION("""COMPUTED_VALUE"""),6056.016597510374)</f>
        <v>6056.016598</v>
      </c>
      <c r="J3725" s="10">
        <f>IFERROR(__xludf.DUMMYFUNCTION("""COMPUTED_VALUE"""),0.0)</f>
        <v>0</v>
      </c>
      <c r="K3725" s="5">
        <f>IFERROR(__xludf.DUMMYFUNCTION("""COMPUTED_VALUE"""),0.0)</f>
        <v>0</v>
      </c>
      <c r="L3725" s="10">
        <f>IFERROR(__xludf.DUMMYFUNCTION("""COMPUTED_VALUE"""),119.0)</f>
        <v>119</v>
      </c>
      <c r="M3725" s="5">
        <f>IFERROR(__xludf.DUMMYFUNCTION("""COMPUTED_VALUE"""),1.0)</f>
        <v>1</v>
      </c>
    </row>
    <row r="3726">
      <c r="A3726" s="10" t="str">
        <f>IFERROR(__xludf.DUMMYFUNCTION("""COMPUTED_VALUE"""),"きよぴん")</f>
        <v>きよぴん</v>
      </c>
      <c r="B3726" s="10">
        <f>IFERROR(__xludf.DUMMYFUNCTION("""COMPUTED_VALUE"""),403.0)</f>
        <v>403</v>
      </c>
      <c r="C3726" s="10">
        <f>IFERROR(__xludf.DUMMYFUNCTION("""COMPUTED_VALUE"""),4780.0)</f>
        <v>4780</v>
      </c>
      <c r="D3726" s="5">
        <f>IFERROR(__xludf.DUMMYFUNCTION("""COMPUTED_VALUE"""),0.35549463102581674)</f>
        <v>0.355494631</v>
      </c>
      <c r="E3726" s="5">
        <f>IFERROR(__xludf.DUMMYFUNCTION("""COMPUTED_VALUE"""),0.12222983778843957)</f>
        <v>0.1222298378</v>
      </c>
      <c r="F3726" s="5">
        <f>IFERROR(__xludf.DUMMYFUNCTION("""COMPUTED_VALUE"""),0.19716700936714646)</f>
        <v>0.1971670094</v>
      </c>
      <c r="G3726" s="5">
        <f>IFERROR(__xludf.DUMMYFUNCTION("""COMPUTED_VALUE"""),0.17272104180945852)</f>
        <v>0.1727210418</v>
      </c>
      <c r="H3726" s="5">
        <f>IFERROR(__xludf.DUMMYFUNCTION("""COMPUTED_VALUE"""),0.6176129779837776)</f>
        <v>0.617612978</v>
      </c>
      <c r="I3726" s="11">
        <f>IFERROR(__xludf.DUMMYFUNCTION("""COMPUTED_VALUE"""),5898.493626882966)</f>
        <v>5898.493627</v>
      </c>
      <c r="J3726" s="10">
        <f>IFERROR(__xludf.DUMMYFUNCTION("""COMPUTED_VALUE"""),0.0)</f>
        <v>0</v>
      </c>
      <c r="K3726" s="5">
        <f>IFERROR(__xludf.DUMMYFUNCTION("""COMPUTED_VALUE"""),0.0)</f>
        <v>0</v>
      </c>
      <c r="L3726" s="10">
        <f>IFERROR(__xludf.DUMMYFUNCTION("""COMPUTED_VALUE"""),403.0)</f>
        <v>403</v>
      </c>
      <c r="M3726" s="5">
        <f>IFERROR(__xludf.DUMMYFUNCTION("""COMPUTED_VALUE"""),1.0)</f>
        <v>1</v>
      </c>
    </row>
    <row r="3727">
      <c r="A3727" s="10" t="str">
        <f>IFERROR(__xludf.DUMMYFUNCTION("""COMPUTED_VALUE"""),"rana*")</f>
        <v>rana*</v>
      </c>
      <c r="B3727" s="10">
        <f>IFERROR(__xludf.DUMMYFUNCTION("""COMPUTED_VALUE"""),170.0)</f>
        <v>170</v>
      </c>
      <c r="C3727" s="10">
        <f>IFERROR(__xludf.DUMMYFUNCTION("""COMPUTED_VALUE"""),2019.0)</f>
        <v>2019</v>
      </c>
      <c r="D3727" s="5">
        <f>IFERROR(__xludf.DUMMYFUNCTION("""COMPUTED_VALUE"""),0.4083288263926447)</f>
        <v>0.4083288264</v>
      </c>
      <c r="E3727" s="5">
        <f>IFERROR(__xludf.DUMMYFUNCTION("""COMPUTED_VALUE"""),0.12222823147647377)</f>
        <v>0.1222282315</v>
      </c>
      <c r="F3727" s="5">
        <f>IFERROR(__xludf.DUMMYFUNCTION("""COMPUTED_VALUE"""),0.20173066522444566)</f>
        <v>0.2017306652</v>
      </c>
      <c r="G3727" s="5">
        <f>IFERROR(__xludf.DUMMYFUNCTION("""COMPUTED_VALUE"""),0.16008653326122227)</f>
        <v>0.1600865333</v>
      </c>
      <c r="H3727" s="5">
        <f>IFERROR(__xludf.DUMMYFUNCTION("""COMPUTED_VALUE"""),0.6112600536193029)</f>
        <v>0.6112600536</v>
      </c>
      <c r="I3727" s="11">
        <f>IFERROR(__xludf.DUMMYFUNCTION("""COMPUTED_VALUE"""),5419.839142091153)</f>
        <v>5419.839142</v>
      </c>
      <c r="J3727" s="10">
        <f>IFERROR(__xludf.DUMMYFUNCTION("""COMPUTED_VALUE"""),0.0)</f>
        <v>0</v>
      </c>
      <c r="K3727" s="5">
        <f>IFERROR(__xludf.DUMMYFUNCTION("""COMPUTED_VALUE"""),0.0)</f>
        <v>0</v>
      </c>
      <c r="L3727" s="10">
        <f>IFERROR(__xludf.DUMMYFUNCTION("""COMPUTED_VALUE"""),0.0)</f>
        <v>0</v>
      </c>
      <c r="M3727" s="5">
        <f>IFERROR(__xludf.DUMMYFUNCTION("""COMPUTED_VALUE"""),0.0)</f>
        <v>0</v>
      </c>
    </row>
    <row r="3728">
      <c r="A3728" s="10" t="str">
        <f>IFERROR(__xludf.DUMMYFUNCTION("""COMPUTED_VALUE"""),"ゆうたん")</f>
        <v>ゆうたん</v>
      </c>
      <c r="B3728" s="10">
        <f>IFERROR(__xludf.DUMMYFUNCTION("""COMPUTED_VALUE"""),166.0)</f>
        <v>166</v>
      </c>
      <c r="C3728" s="10">
        <f>IFERROR(__xludf.DUMMYFUNCTION("""COMPUTED_VALUE"""),1966.0)</f>
        <v>1966</v>
      </c>
      <c r="D3728" s="5">
        <f>IFERROR(__xludf.DUMMYFUNCTION("""COMPUTED_VALUE"""),0.4166666666666667)</f>
        <v>0.4166666667</v>
      </c>
      <c r="E3728" s="5">
        <f>IFERROR(__xludf.DUMMYFUNCTION("""COMPUTED_VALUE"""),0.12222222222222222)</f>
        <v>0.1222222222</v>
      </c>
      <c r="F3728" s="5">
        <f>IFERROR(__xludf.DUMMYFUNCTION("""COMPUTED_VALUE"""),0.21777777777777776)</f>
        <v>0.2177777778</v>
      </c>
      <c r="G3728" s="5">
        <f>IFERROR(__xludf.DUMMYFUNCTION("""COMPUTED_VALUE"""),0.13722222222222222)</f>
        <v>0.1372222222</v>
      </c>
      <c r="H3728" s="5">
        <f>IFERROR(__xludf.DUMMYFUNCTION("""COMPUTED_VALUE"""),0.6224489795918368)</f>
        <v>0.6224489796</v>
      </c>
      <c r="I3728" s="11">
        <f>IFERROR(__xludf.DUMMYFUNCTION("""COMPUTED_VALUE"""),5336.4795918367345)</f>
        <v>5336.479592</v>
      </c>
      <c r="J3728" s="10">
        <f>IFERROR(__xludf.DUMMYFUNCTION("""COMPUTED_VALUE"""),1.0)</f>
        <v>1</v>
      </c>
      <c r="K3728" s="5">
        <f>IFERROR(__xludf.DUMMYFUNCTION("""COMPUTED_VALUE"""),0.006024096385542169)</f>
        <v>0.006024096386</v>
      </c>
      <c r="L3728" s="10">
        <f>IFERROR(__xludf.DUMMYFUNCTION("""COMPUTED_VALUE"""),166.0)</f>
        <v>166</v>
      </c>
      <c r="M3728" s="5">
        <f>IFERROR(__xludf.DUMMYFUNCTION("""COMPUTED_VALUE"""),1.0)</f>
        <v>1</v>
      </c>
    </row>
    <row r="3729">
      <c r="A3729" s="10" t="str">
        <f>IFERROR(__xludf.DUMMYFUNCTION("""COMPUTED_VALUE"""),"カイちゃん")</f>
        <v>カイちゃん</v>
      </c>
      <c r="B3729" s="10">
        <f>IFERROR(__xludf.DUMMYFUNCTION("""COMPUTED_VALUE"""),1279.0)</f>
        <v>1279</v>
      </c>
      <c r="C3729" s="10">
        <f>IFERROR(__xludf.DUMMYFUNCTION("""COMPUTED_VALUE"""),14984.0)</f>
        <v>14984</v>
      </c>
      <c r="D3729" s="5">
        <f>IFERROR(__xludf.DUMMYFUNCTION("""COMPUTED_VALUE"""),0.32404232032105074)</f>
        <v>0.3240423203</v>
      </c>
      <c r="E3729" s="5">
        <f>IFERROR(__xludf.DUMMYFUNCTION("""COMPUTED_VALUE"""),0.1222181685516235)</f>
        <v>0.1222181686</v>
      </c>
      <c r="F3729" s="5">
        <f>IFERROR(__xludf.DUMMYFUNCTION("""COMPUTED_VALUE"""),0.20985041955490696)</f>
        <v>0.2098504196</v>
      </c>
      <c r="G3729" s="5">
        <f>IFERROR(__xludf.DUMMYFUNCTION("""COMPUTED_VALUE"""),0.1929222911346224)</f>
        <v>0.1929222911</v>
      </c>
      <c r="H3729" s="5">
        <f>IFERROR(__xludf.DUMMYFUNCTION("""COMPUTED_VALUE"""),0.5837969401947148)</f>
        <v>0.5837969402</v>
      </c>
      <c r="I3729" s="11">
        <f>IFERROR(__xludf.DUMMYFUNCTION("""COMPUTED_VALUE"""),5551.877607788595)</f>
        <v>5551.877608</v>
      </c>
      <c r="J3729" s="10">
        <f>IFERROR(__xludf.DUMMYFUNCTION("""COMPUTED_VALUE"""),6.0)</f>
        <v>6</v>
      </c>
      <c r="K3729" s="5">
        <f>IFERROR(__xludf.DUMMYFUNCTION("""COMPUTED_VALUE"""),0.004691164972634871)</f>
        <v>0.004691164973</v>
      </c>
      <c r="L3729" s="10">
        <f>IFERROR(__xludf.DUMMYFUNCTION("""COMPUTED_VALUE"""),568.0)</f>
        <v>568</v>
      </c>
      <c r="M3729" s="5">
        <f>IFERROR(__xludf.DUMMYFUNCTION("""COMPUTED_VALUE"""),0.4440969507427678)</f>
        <v>0.4440969507</v>
      </c>
    </row>
    <row r="3730">
      <c r="A3730" s="10" t="str">
        <f>IFERROR(__xludf.DUMMYFUNCTION("""COMPUTED_VALUE"""),"メカゼットン")</f>
        <v>メカゼットン</v>
      </c>
      <c r="B3730" s="10">
        <f>IFERROR(__xludf.DUMMYFUNCTION("""COMPUTED_VALUE"""),5912.0)</f>
        <v>5912</v>
      </c>
      <c r="C3730" s="10">
        <f>IFERROR(__xludf.DUMMYFUNCTION("""COMPUTED_VALUE"""),69006.0)</f>
        <v>69006</v>
      </c>
      <c r="D3730" s="5">
        <f>IFERROR(__xludf.DUMMYFUNCTION("""COMPUTED_VALUE"""),0.3557707547468856)</f>
        <v>0.3557707547</v>
      </c>
      <c r="E3730" s="5">
        <f>IFERROR(__xludf.DUMMYFUNCTION("""COMPUTED_VALUE"""),0.12221447364250167)</f>
        <v>0.1222144736</v>
      </c>
      <c r="F3730" s="5">
        <f>IFERROR(__xludf.DUMMYFUNCTION("""COMPUTED_VALUE"""),0.21865787555076552)</f>
        <v>0.2186578756</v>
      </c>
      <c r="G3730" s="5">
        <f>IFERROR(__xludf.DUMMYFUNCTION("""COMPUTED_VALUE"""),0.18897201001680033)</f>
        <v>0.18897201</v>
      </c>
      <c r="H3730" s="5">
        <f>IFERROR(__xludf.DUMMYFUNCTION("""COMPUTED_VALUE"""),0.5911133661930994)</f>
        <v>0.5911133662</v>
      </c>
      <c r="I3730" s="11">
        <f>IFERROR(__xludf.DUMMYFUNCTION("""COMPUTED_VALUE"""),5547.325311684546)</f>
        <v>5547.325312</v>
      </c>
      <c r="J3730" s="10">
        <f>IFERROR(__xludf.DUMMYFUNCTION("""COMPUTED_VALUE"""),11.0)</f>
        <v>11</v>
      </c>
      <c r="K3730" s="5">
        <f>IFERROR(__xludf.DUMMYFUNCTION("""COMPUTED_VALUE"""),0.0018606224627875508)</f>
        <v>0.001860622463</v>
      </c>
      <c r="L3730" s="10">
        <f>IFERROR(__xludf.DUMMYFUNCTION("""COMPUTED_VALUE"""),5912.0)</f>
        <v>5912</v>
      </c>
      <c r="M3730" s="5">
        <f>IFERROR(__xludf.DUMMYFUNCTION("""COMPUTED_VALUE"""),1.0)</f>
        <v>1</v>
      </c>
    </row>
    <row r="3731">
      <c r="A3731" s="10" t="str">
        <f>IFERROR(__xludf.DUMMYFUNCTION("""COMPUTED_VALUE"""),"めーと")</f>
        <v>めーと</v>
      </c>
      <c r="B3731" s="10">
        <f>IFERROR(__xludf.DUMMYFUNCTION("""COMPUTED_VALUE"""),572.0)</f>
        <v>572</v>
      </c>
      <c r="C3731" s="10">
        <f>IFERROR(__xludf.DUMMYFUNCTION("""COMPUTED_VALUE"""),6709.0)</f>
        <v>6709</v>
      </c>
      <c r="D3731" s="5">
        <f>IFERROR(__xludf.DUMMYFUNCTION("""COMPUTED_VALUE"""),0.37428711096627015)</f>
        <v>0.374287111</v>
      </c>
      <c r="E3731" s="5">
        <f>IFERROR(__xludf.DUMMYFUNCTION("""COMPUTED_VALUE"""),0.12220954863940035)</f>
        <v>0.1222095486</v>
      </c>
      <c r="F3731" s="5">
        <f>IFERROR(__xludf.DUMMYFUNCTION("""COMPUTED_VALUE"""),0.21264461463255663)</f>
        <v>0.2126446146</v>
      </c>
      <c r="G3731" s="5">
        <f>IFERROR(__xludf.DUMMYFUNCTION("""COMPUTED_VALUE"""),0.1528434088316767)</f>
        <v>0.1528434088</v>
      </c>
      <c r="H3731" s="5">
        <f>IFERROR(__xludf.DUMMYFUNCTION("""COMPUTED_VALUE"""),0.61455938697318)</f>
        <v>0.614559387</v>
      </c>
      <c r="I3731" s="11">
        <f>IFERROR(__xludf.DUMMYFUNCTION("""COMPUTED_VALUE"""),5592.183908045977)</f>
        <v>5592.183908</v>
      </c>
      <c r="J3731" s="10">
        <f>IFERROR(__xludf.DUMMYFUNCTION("""COMPUTED_VALUE"""),1.0)</f>
        <v>1</v>
      </c>
      <c r="K3731" s="5">
        <f>IFERROR(__xludf.DUMMYFUNCTION("""COMPUTED_VALUE"""),0.0017482517482517483)</f>
        <v>0.001748251748</v>
      </c>
      <c r="L3731" s="10">
        <f>IFERROR(__xludf.DUMMYFUNCTION("""COMPUTED_VALUE"""),572.0)</f>
        <v>572</v>
      </c>
      <c r="M3731" s="5">
        <f>IFERROR(__xludf.DUMMYFUNCTION("""COMPUTED_VALUE"""),1.0)</f>
        <v>1</v>
      </c>
    </row>
    <row r="3732">
      <c r="A3732" s="10" t="str">
        <f>IFERROR(__xludf.DUMMYFUNCTION("""COMPUTED_VALUE"""),"プロキシー")</f>
        <v>プロキシー</v>
      </c>
      <c r="B3732" s="10">
        <f>IFERROR(__xludf.DUMMYFUNCTION("""COMPUTED_VALUE"""),872.0)</f>
        <v>872</v>
      </c>
      <c r="C3732" s="10">
        <f>IFERROR(__xludf.DUMMYFUNCTION("""COMPUTED_VALUE"""),10397.0)</f>
        <v>10397</v>
      </c>
      <c r="D3732" s="5">
        <f>IFERROR(__xludf.DUMMYFUNCTION("""COMPUTED_VALUE"""),0.4131233595800525)</f>
        <v>0.4131233596</v>
      </c>
      <c r="E3732" s="5">
        <f>IFERROR(__xludf.DUMMYFUNCTION("""COMPUTED_VALUE"""),0.12220472440944882)</f>
        <v>0.1222047244</v>
      </c>
      <c r="F3732" s="5">
        <f>IFERROR(__xludf.DUMMYFUNCTION("""COMPUTED_VALUE"""),0.21448818897637795)</f>
        <v>0.214488189</v>
      </c>
      <c r="G3732" s="5">
        <f>IFERROR(__xludf.DUMMYFUNCTION("""COMPUTED_VALUE"""),0.12881889763779528)</f>
        <v>0.1288188976</v>
      </c>
      <c r="H3732" s="5">
        <f>IFERROR(__xludf.DUMMYFUNCTION("""COMPUTED_VALUE"""),0.6064610866372981)</f>
        <v>0.6064610866</v>
      </c>
      <c r="I3732" s="11">
        <f>IFERROR(__xludf.DUMMYFUNCTION("""COMPUTED_VALUE"""),5374.596182085169)</f>
        <v>5374.596182</v>
      </c>
      <c r="J3732" s="10">
        <f>IFERROR(__xludf.DUMMYFUNCTION("""COMPUTED_VALUE"""),5.0)</f>
        <v>5</v>
      </c>
      <c r="K3732" s="5">
        <f>IFERROR(__xludf.DUMMYFUNCTION("""COMPUTED_VALUE"""),0.005733944954128441)</f>
        <v>0.005733944954</v>
      </c>
      <c r="L3732" s="10">
        <f>IFERROR(__xludf.DUMMYFUNCTION("""COMPUTED_VALUE"""),872.0)</f>
        <v>872</v>
      </c>
      <c r="M3732" s="5">
        <f>IFERROR(__xludf.DUMMYFUNCTION("""COMPUTED_VALUE"""),1.0)</f>
        <v>1</v>
      </c>
    </row>
    <row r="3733">
      <c r="A3733" s="10" t="str">
        <f>IFERROR(__xludf.DUMMYFUNCTION("""COMPUTED_VALUE"""),"じぇる")</f>
        <v>じぇる</v>
      </c>
      <c r="B3733" s="10">
        <f>IFERROR(__xludf.DUMMYFUNCTION("""COMPUTED_VALUE"""),6143.0)</f>
        <v>6143</v>
      </c>
      <c r="C3733" s="10">
        <f>IFERROR(__xludf.DUMMYFUNCTION("""COMPUTED_VALUE"""),71764.0)</f>
        <v>71764</v>
      </c>
      <c r="D3733" s="5">
        <f>IFERROR(__xludf.DUMMYFUNCTION("""COMPUTED_VALUE"""),0.330961125249539)</f>
        <v>0.3309611252</v>
      </c>
      <c r="E3733" s="5">
        <f>IFERROR(__xludf.DUMMYFUNCTION("""COMPUTED_VALUE"""),0.12220173420094177)</f>
        <v>0.1222017342</v>
      </c>
      <c r="F3733" s="5">
        <f>IFERROR(__xludf.DUMMYFUNCTION("""COMPUTED_VALUE"""),0.21083189832523125)</f>
        <v>0.2108318983</v>
      </c>
      <c r="G3733" s="5">
        <f>IFERROR(__xludf.DUMMYFUNCTION("""COMPUTED_VALUE"""),0.19342893281114276)</f>
        <v>0.1934289328</v>
      </c>
      <c r="H3733" s="5">
        <f>IFERROR(__xludf.DUMMYFUNCTION("""COMPUTED_VALUE"""),0.5838091796169136)</f>
        <v>0.5838091796</v>
      </c>
      <c r="I3733" s="11">
        <f>IFERROR(__xludf.DUMMYFUNCTION("""COMPUTED_VALUE"""),5788.753162269606)</f>
        <v>5788.753162</v>
      </c>
      <c r="J3733" s="10">
        <f>IFERROR(__xludf.DUMMYFUNCTION("""COMPUTED_VALUE"""),8.0)</f>
        <v>8</v>
      </c>
      <c r="K3733" s="5">
        <f>IFERROR(__xludf.DUMMYFUNCTION("""COMPUTED_VALUE"""),0.001302295295458245)</f>
        <v>0.001302295295</v>
      </c>
      <c r="L3733" s="10">
        <f>IFERROR(__xludf.DUMMYFUNCTION("""COMPUTED_VALUE"""),6143.0)</f>
        <v>6143</v>
      </c>
      <c r="M3733" s="5">
        <f>IFERROR(__xludf.DUMMYFUNCTION("""COMPUTED_VALUE"""),1.0)</f>
        <v>1</v>
      </c>
    </row>
    <row r="3734">
      <c r="A3734" s="10" t="str">
        <f>IFERROR(__xludf.DUMMYFUNCTION("""COMPUTED_VALUE"""),"akb0000")</f>
        <v>akb0000</v>
      </c>
      <c r="B3734" s="10">
        <f>IFERROR(__xludf.DUMMYFUNCTION("""COMPUTED_VALUE"""),385.0)</f>
        <v>385</v>
      </c>
      <c r="C3734" s="10">
        <f>IFERROR(__xludf.DUMMYFUNCTION("""COMPUTED_VALUE"""),4493.0)</f>
        <v>4493</v>
      </c>
      <c r="D3734" s="5">
        <f>IFERROR(__xludf.DUMMYFUNCTION("""COMPUTED_VALUE"""),0.248539435248296)</f>
        <v>0.2485394352</v>
      </c>
      <c r="E3734" s="5">
        <f>IFERROR(__xludf.DUMMYFUNCTION("""COMPUTED_VALUE"""),0.12220058422590069)</f>
        <v>0.1222005842</v>
      </c>
      <c r="F3734" s="5">
        <f>IFERROR(__xludf.DUMMYFUNCTION("""COMPUTED_VALUE"""),0.19279454722492698)</f>
        <v>0.1927945472</v>
      </c>
      <c r="G3734" s="5">
        <f>IFERROR(__xludf.DUMMYFUNCTION("""COMPUTED_VALUE"""),0.17307692307692307)</f>
        <v>0.1730769231</v>
      </c>
      <c r="H3734" s="5">
        <f>IFERROR(__xludf.DUMMYFUNCTION("""COMPUTED_VALUE"""),0.5871212121212122)</f>
        <v>0.5871212121</v>
      </c>
      <c r="I3734" s="11">
        <f>IFERROR(__xludf.DUMMYFUNCTION("""COMPUTED_VALUE"""),5959.974747474747)</f>
        <v>5959.974747</v>
      </c>
      <c r="J3734" s="10">
        <f>IFERROR(__xludf.DUMMYFUNCTION("""COMPUTED_VALUE"""),1.0)</f>
        <v>1</v>
      </c>
      <c r="K3734" s="5">
        <f>IFERROR(__xludf.DUMMYFUNCTION("""COMPUTED_VALUE"""),0.0025974025974025974)</f>
        <v>0.002597402597</v>
      </c>
      <c r="L3734" s="10">
        <f>IFERROR(__xludf.DUMMYFUNCTION("""COMPUTED_VALUE"""),385.0)</f>
        <v>385</v>
      </c>
      <c r="M3734" s="5">
        <f>IFERROR(__xludf.DUMMYFUNCTION("""COMPUTED_VALUE"""),1.0)</f>
        <v>1</v>
      </c>
    </row>
    <row r="3735">
      <c r="A3735" s="10" t="str">
        <f>IFERROR(__xludf.DUMMYFUNCTION("""COMPUTED_VALUE"""),"範馬")</f>
        <v>範馬</v>
      </c>
      <c r="B3735" s="10">
        <f>IFERROR(__xludf.DUMMYFUNCTION("""COMPUTED_VALUE"""),259.0)</f>
        <v>259</v>
      </c>
      <c r="C3735" s="10">
        <f>IFERROR(__xludf.DUMMYFUNCTION("""COMPUTED_VALUE"""),3025.0)</f>
        <v>3025</v>
      </c>
      <c r="D3735" s="5">
        <f>IFERROR(__xludf.DUMMYFUNCTION("""COMPUTED_VALUE"""),0.36080983369486624)</f>
        <v>0.3608098337</v>
      </c>
      <c r="E3735" s="5">
        <f>IFERROR(__xludf.DUMMYFUNCTION("""COMPUTED_VALUE"""),0.12219812002892264)</f>
        <v>0.12219812</v>
      </c>
      <c r="F3735" s="5">
        <f>IFERROR(__xludf.DUMMYFUNCTION("""COMPUTED_VALUE"""),0.2039045553145336)</f>
        <v>0.2039045553</v>
      </c>
      <c r="G3735" s="5">
        <f>IFERROR(__xludf.DUMMYFUNCTION("""COMPUTED_VALUE"""),0.16992046276211134)</f>
        <v>0.1699204628</v>
      </c>
      <c r="H3735" s="5">
        <f>IFERROR(__xludf.DUMMYFUNCTION("""COMPUTED_VALUE"""),0.6117021276595744)</f>
        <v>0.6117021277</v>
      </c>
      <c r="I3735" s="11">
        <f>IFERROR(__xludf.DUMMYFUNCTION("""COMPUTED_VALUE"""),5562.58865248227)</f>
        <v>5562.588652</v>
      </c>
      <c r="J3735" s="10">
        <f>IFERROR(__xludf.DUMMYFUNCTION("""COMPUTED_VALUE"""),1.0)</f>
        <v>1</v>
      </c>
      <c r="K3735" s="5">
        <f>IFERROR(__xludf.DUMMYFUNCTION("""COMPUTED_VALUE"""),0.003861003861003861)</f>
        <v>0.003861003861</v>
      </c>
      <c r="L3735" s="10">
        <f>IFERROR(__xludf.DUMMYFUNCTION("""COMPUTED_VALUE"""),259.0)</f>
        <v>259</v>
      </c>
      <c r="M3735" s="5">
        <f>IFERROR(__xludf.DUMMYFUNCTION("""COMPUTED_VALUE"""),1.0)</f>
        <v>1</v>
      </c>
    </row>
    <row r="3736">
      <c r="A3736" s="10" t="str">
        <f>IFERROR(__xludf.DUMMYFUNCTION("""COMPUTED_VALUE"""),"まいったね")</f>
        <v>まいったね</v>
      </c>
      <c r="B3736" s="10">
        <f>IFERROR(__xludf.DUMMYFUNCTION("""COMPUTED_VALUE"""),261.0)</f>
        <v>261</v>
      </c>
      <c r="C3736" s="10">
        <f>IFERROR(__xludf.DUMMYFUNCTION("""COMPUTED_VALUE"""),3060.0)</f>
        <v>3060</v>
      </c>
      <c r="D3736" s="5">
        <f>IFERROR(__xludf.DUMMYFUNCTION("""COMPUTED_VALUE"""),0.40335834226509465)</f>
        <v>0.4033583423</v>
      </c>
      <c r="E3736" s="5">
        <f>IFERROR(__xludf.DUMMYFUNCTION("""COMPUTED_VALUE"""),0.12218649517684887)</f>
        <v>0.1221864952</v>
      </c>
      <c r="F3736" s="5">
        <f>IFERROR(__xludf.DUMMYFUNCTION("""COMPUTED_VALUE"""),0.20435869953554842)</f>
        <v>0.2043586995</v>
      </c>
      <c r="G3736" s="5">
        <f>IFERROR(__xludf.DUMMYFUNCTION("""COMPUTED_VALUE"""),0.14969632011432654)</f>
        <v>0.1496963201</v>
      </c>
      <c r="H3736" s="5">
        <f>IFERROR(__xludf.DUMMYFUNCTION("""COMPUTED_VALUE"""),0.5874125874125874)</f>
        <v>0.5874125874</v>
      </c>
      <c r="I3736" s="11">
        <f>IFERROR(__xludf.DUMMYFUNCTION("""COMPUTED_VALUE"""),5065.55944055944)</f>
        <v>5065.559441</v>
      </c>
      <c r="J3736" s="10">
        <f>IFERROR(__xludf.DUMMYFUNCTION("""COMPUTED_VALUE"""),1.0)</f>
        <v>1</v>
      </c>
      <c r="K3736" s="5">
        <f>IFERROR(__xludf.DUMMYFUNCTION("""COMPUTED_VALUE"""),0.0038314176245210726)</f>
        <v>0.003831417625</v>
      </c>
      <c r="L3736" s="10">
        <f>IFERROR(__xludf.DUMMYFUNCTION("""COMPUTED_VALUE"""),161.0)</f>
        <v>161</v>
      </c>
      <c r="M3736" s="5">
        <f>IFERROR(__xludf.DUMMYFUNCTION("""COMPUTED_VALUE"""),0.6168582375478927)</f>
        <v>0.6168582375</v>
      </c>
    </row>
    <row r="3737">
      <c r="A3737" s="10" t="str">
        <f>IFERROR(__xludf.DUMMYFUNCTION("""COMPUTED_VALUE"""),"〓松井ＣＳ〓")</f>
        <v>〓松井ＣＳ〓</v>
      </c>
      <c r="B3737" s="10">
        <f>IFERROR(__xludf.DUMMYFUNCTION("""COMPUTED_VALUE"""),431.0)</f>
        <v>431</v>
      </c>
      <c r="C3737" s="10">
        <f>IFERROR(__xludf.DUMMYFUNCTION("""COMPUTED_VALUE"""),5129.0)</f>
        <v>5129</v>
      </c>
      <c r="D3737" s="5">
        <f>IFERROR(__xludf.DUMMYFUNCTION("""COMPUTED_VALUE"""),0.3158790974882929)</f>
        <v>0.3158790975</v>
      </c>
      <c r="E3737" s="5">
        <f>IFERROR(__xludf.DUMMYFUNCTION("""COMPUTED_VALUE"""),0.1221796509152831)</f>
        <v>0.1221796509</v>
      </c>
      <c r="F3737" s="5">
        <f>IFERROR(__xludf.DUMMYFUNCTION("""COMPUTED_VALUE"""),0.21285653469561516)</f>
        <v>0.2128565347</v>
      </c>
      <c r="G3737" s="5">
        <f>IFERROR(__xludf.DUMMYFUNCTION("""COMPUTED_VALUE"""),0.1545338441890166)</f>
        <v>0.1545338442</v>
      </c>
      <c r="H3737" s="5">
        <f>IFERROR(__xludf.DUMMYFUNCTION("""COMPUTED_VALUE"""),0.606)</f>
        <v>0.606</v>
      </c>
      <c r="I3737" s="11">
        <f>IFERROR(__xludf.DUMMYFUNCTION("""COMPUTED_VALUE"""),5484.8)</f>
        <v>5484.8</v>
      </c>
      <c r="J3737" s="10">
        <f>IFERROR(__xludf.DUMMYFUNCTION("""COMPUTED_VALUE"""),2.0)</f>
        <v>2</v>
      </c>
      <c r="K3737" s="5">
        <f>IFERROR(__xludf.DUMMYFUNCTION("""COMPUTED_VALUE"""),0.004640371229698376)</f>
        <v>0.00464037123</v>
      </c>
      <c r="L3737" s="10">
        <f>IFERROR(__xludf.DUMMYFUNCTION("""COMPUTED_VALUE"""),431.0)</f>
        <v>431</v>
      </c>
      <c r="M3737" s="5">
        <f>IFERROR(__xludf.DUMMYFUNCTION("""COMPUTED_VALUE"""),1.0)</f>
        <v>1</v>
      </c>
    </row>
    <row r="3738">
      <c r="A3738" s="10" t="str">
        <f>IFERROR(__xludf.DUMMYFUNCTION("""COMPUTED_VALUE"""),"三尺玉")</f>
        <v>三尺玉</v>
      </c>
      <c r="B3738" s="10">
        <f>IFERROR(__xludf.DUMMYFUNCTION("""COMPUTED_VALUE"""),647.0)</f>
        <v>647</v>
      </c>
      <c r="C3738" s="10">
        <f>IFERROR(__xludf.DUMMYFUNCTION("""COMPUTED_VALUE"""),7695.0)</f>
        <v>7695</v>
      </c>
      <c r="D3738" s="5">
        <f>IFERROR(__xludf.DUMMYFUNCTION("""COMPUTED_VALUE"""),0.362372304199773)</f>
        <v>0.3623723042</v>
      </c>
      <c r="E3738" s="5">
        <f>IFERROR(__xludf.DUMMYFUNCTION("""COMPUTED_VALUE"""),0.12216231555051078)</f>
        <v>0.1221623156</v>
      </c>
      <c r="F3738" s="5">
        <f>IFERROR(__xludf.DUMMYFUNCTION("""COMPUTED_VALUE"""),0.21140749148694665)</f>
        <v>0.2114074915</v>
      </c>
      <c r="G3738" s="5">
        <f>IFERROR(__xludf.DUMMYFUNCTION("""COMPUTED_VALUE"""),0.15394438138479002)</f>
        <v>0.1539443814</v>
      </c>
      <c r="H3738" s="5">
        <f>IFERROR(__xludf.DUMMYFUNCTION("""COMPUTED_VALUE"""),0.5939597315436241)</f>
        <v>0.5939597315</v>
      </c>
      <c r="I3738" s="11">
        <f>IFERROR(__xludf.DUMMYFUNCTION("""COMPUTED_VALUE"""),5220.13422818792)</f>
        <v>5220.134228</v>
      </c>
      <c r="J3738" s="10">
        <f>IFERROR(__xludf.DUMMYFUNCTION("""COMPUTED_VALUE"""),2.0)</f>
        <v>2</v>
      </c>
      <c r="K3738" s="5">
        <f>IFERROR(__xludf.DUMMYFUNCTION("""COMPUTED_VALUE"""),0.0030911901081916537)</f>
        <v>0.003091190108</v>
      </c>
      <c r="L3738" s="10">
        <f>IFERROR(__xludf.DUMMYFUNCTION("""COMPUTED_VALUE"""),647.0)</f>
        <v>647</v>
      </c>
      <c r="M3738" s="5">
        <f>IFERROR(__xludf.DUMMYFUNCTION("""COMPUTED_VALUE"""),1.0)</f>
        <v>1</v>
      </c>
    </row>
    <row r="3739">
      <c r="A3739" s="10" t="str">
        <f>IFERROR(__xludf.DUMMYFUNCTION("""COMPUTED_VALUE"""),"CrazyGus")</f>
        <v>CrazyGus</v>
      </c>
      <c r="B3739" s="10">
        <f>IFERROR(__xludf.DUMMYFUNCTION("""COMPUTED_VALUE"""),559.0)</f>
        <v>559</v>
      </c>
      <c r="C3739" s="10">
        <f>IFERROR(__xludf.DUMMYFUNCTION("""COMPUTED_VALUE"""),6625.0)</f>
        <v>6625</v>
      </c>
      <c r="D3739" s="5">
        <f>IFERROR(__xludf.DUMMYFUNCTION("""COMPUTED_VALUE"""),0.3766897461259479)</f>
        <v>0.3766897461</v>
      </c>
      <c r="E3739" s="5">
        <f>IFERROR(__xludf.DUMMYFUNCTION("""COMPUTED_VALUE"""),0.1221562809099901)</f>
        <v>0.1221562809</v>
      </c>
      <c r="F3739" s="5">
        <f>IFERROR(__xludf.DUMMYFUNCTION("""COMPUTED_VALUE"""),0.20112100230794594)</f>
        <v>0.2011210023</v>
      </c>
      <c r="G3739" s="5">
        <f>IFERROR(__xludf.DUMMYFUNCTION("""COMPUTED_VALUE"""),0.16271018793273986)</f>
        <v>0.1627101879</v>
      </c>
      <c r="H3739" s="5">
        <f>IFERROR(__xludf.DUMMYFUNCTION("""COMPUTED_VALUE"""),0.6081967213114754)</f>
        <v>0.6081967213</v>
      </c>
      <c r="I3739" s="11">
        <f>IFERROR(__xludf.DUMMYFUNCTION("""COMPUTED_VALUE"""),5449.918032786885)</f>
        <v>5449.918033</v>
      </c>
      <c r="J3739" s="10">
        <f>IFERROR(__xludf.DUMMYFUNCTION("""COMPUTED_VALUE"""),0.0)</f>
        <v>0</v>
      </c>
      <c r="K3739" s="5">
        <f>IFERROR(__xludf.DUMMYFUNCTION("""COMPUTED_VALUE"""),0.0)</f>
        <v>0</v>
      </c>
      <c r="L3739" s="10">
        <f>IFERROR(__xludf.DUMMYFUNCTION("""COMPUTED_VALUE"""),559.0)</f>
        <v>559</v>
      </c>
      <c r="M3739" s="5">
        <f>IFERROR(__xludf.DUMMYFUNCTION("""COMPUTED_VALUE"""),1.0)</f>
        <v>1</v>
      </c>
    </row>
    <row r="3740">
      <c r="A3740" s="10" t="str">
        <f>IFERROR(__xludf.DUMMYFUNCTION("""COMPUTED_VALUE"""),"仮鳳凰民")</f>
        <v>仮鳳凰民</v>
      </c>
      <c r="B3740" s="10">
        <f>IFERROR(__xludf.DUMMYFUNCTION("""COMPUTED_VALUE"""),588.0)</f>
        <v>588</v>
      </c>
      <c r="C3740" s="10">
        <f>IFERROR(__xludf.DUMMYFUNCTION("""COMPUTED_VALUE"""),6867.0)</f>
        <v>6867</v>
      </c>
      <c r="D3740" s="5">
        <f>IFERROR(__xludf.DUMMYFUNCTION("""COMPUTED_VALUE"""),0.3194776238254499)</f>
        <v>0.3194776238</v>
      </c>
      <c r="E3740" s="5">
        <f>IFERROR(__xludf.DUMMYFUNCTION("""COMPUTED_VALUE"""),0.12215320910973085)</f>
        <v>0.1221532091</v>
      </c>
      <c r="F3740" s="5">
        <f>IFERROR(__xludf.DUMMYFUNCTION("""COMPUTED_VALUE"""),0.20719859850294634)</f>
        <v>0.2071985985</v>
      </c>
      <c r="G3740" s="5">
        <f>IFERROR(__xludf.DUMMYFUNCTION("""COMPUTED_VALUE"""),0.16149068322981366)</f>
        <v>0.1614906832</v>
      </c>
      <c r="H3740" s="5">
        <f>IFERROR(__xludf.DUMMYFUNCTION("""COMPUTED_VALUE"""),0.5926210607225212)</f>
        <v>0.5926210607</v>
      </c>
      <c r="I3740" s="11">
        <f>IFERROR(__xludf.DUMMYFUNCTION("""COMPUTED_VALUE"""),5744.88854727133)</f>
        <v>5744.888547</v>
      </c>
      <c r="J3740" s="10">
        <f>IFERROR(__xludf.DUMMYFUNCTION("""COMPUTED_VALUE"""),1.0)</f>
        <v>1</v>
      </c>
      <c r="K3740" s="5">
        <f>IFERROR(__xludf.DUMMYFUNCTION("""COMPUTED_VALUE"""),0.0017006802721088435)</f>
        <v>0.001700680272</v>
      </c>
      <c r="L3740" s="10">
        <f>IFERROR(__xludf.DUMMYFUNCTION("""COMPUTED_VALUE"""),588.0)</f>
        <v>588</v>
      </c>
      <c r="M3740" s="5">
        <f>IFERROR(__xludf.DUMMYFUNCTION("""COMPUTED_VALUE"""),1.0)</f>
        <v>1</v>
      </c>
    </row>
    <row r="3741">
      <c r="A3741" s="10" t="str">
        <f>IFERROR(__xludf.DUMMYFUNCTION("""COMPUTED_VALUE"""),"ふくろう109")</f>
        <v>ふくろう109</v>
      </c>
      <c r="B3741" s="10">
        <f>IFERROR(__xludf.DUMMYFUNCTION("""COMPUTED_VALUE"""),495.0)</f>
        <v>495</v>
      </c>
      <c r="C3741" s="10">
        <f>IFERROR(__xludf.DUMMYFUNCTION("""COMPUTED_VALUE"""),5759.0)</f>
        <v>5759</v>
      </c>
      <c r="D3741" s="5">
        <f>IFERROR(__xludf.DUMMYFUNCTION("""COMPUTED_VALUE"""),0.33548632218844987)</f>
        <v>0.3354863222</v>
      </c>
      <c r="E3741" s="5">
        <f>IFERROR(__xludf.DUMMYFUNCTION("""COMPUTED_VALUE"""),0.12215045592705168)</f>
        <v>0.1221504559</v>
      </c>
      <c r="F3741" s="5">
        <f>IFERROR(__xludf.DUMMYFUNCTION("""COMPUTED_VALUE"""),0.21903495440729484)</f>
        <v>0.2190349544</v>
      </c>
      <c r="G3741" s="5">
        <f>IFERROR(__xludf.DUMMYFUNCTION("""COMPUTED_VALUE"""),0.16128419452887538)</f>
        <v>0.1612841945</v>
      </c>
      <c r="H3741" s="5">
        <f>IFERROR(__xludf.DUMMYFUNCTION("""COMPUTED_VALUE"""),0.5888985255854293)</f>
        <v>0.5888985256</v>
      </c>
      <c r="I3741" s="11">
        <f>IFERROR(__xludf.DUMMYFUNCTION("""COMPUTED_VALUE"""),5731.396357328707)</f>
        <v>5731.396357</v>
      </c>
      <c r="J3741" s="10">
        <f>IFERROR(__xludf.DUMMYFUNCTION("""COMPUTED_VALUE"""),2.0)</f>
        <v>2</v>
      </c>
      <c r="K3741" s="5">
        <f>IFERROR(__xludf.DUMMYFUNCTION("""COMPUTED_VALUE"""),0.00404040404040404)</f>
        <v>0.00404040404</v>
      </c>
      <c r="L3741" s="10">
        <f>IFERROR(__xludf.DUMMYFUNCTION("""COMPUTED_VALUE"""),495.0)</f>
        <v>495</v>
      </c>
      <c r="M3741" s="5">
        <f>IFERROR(__xludf.DUMMYFUNCTION("""COMPUTED_VALUE"""),1.0)</f>
        <v>1</v>
      </c>
    </row>
    <row r="3742">
      <c r="A3742" s="10" t="str">
        <f>IFERROR(__xludf.DUMMYFUNCTION("""COMPUTED_VALUE"""),"中部地方")</f>
        <v>中部地方</v>
      </c>
      <c r="B3742" s="10">
        <f>IFERROR(__xludf.DUMMYFUNCTION("""COMPUTED_VALUE"""),126.0)</f>
        <v>126</v>
      </c>
      <c r="C3742" s="10">
        <f>IFERROR(__xludf.DUMMYFUNCTION("""COMPUTED_VALUE"""),1485.0)</f>
        <v>1485</v>
      </c>
      <c r="D3742" s="5">
        <f>IFERROR(__xludf.DUMMYFUNCTION("""COMPUTED_VALUE"""),0.318616629874908)</f>
        <v>0.3186166299</v>
      </c>
      <c r="E3742" s="5">
        <f>IFERROR(__xludf.DUMMYFUNCTION("""COMPUTED_VALUE"""),0.12214863870493009)</f>
        <v>0.1221486387</v>
      </c>
      <c r="F3742" s="5">
        <f>IFERROR(__xludf.DUMMYFUNCTION("""COMPUTED_VALUE"""),0.20014716703458427)</f>
        <v>0.200147167</v>
      </c>
      <c r="G3742" s="5">
        <f>IFERROR(__xludf.DUMMYFUNCTION("""COMPUTED_VALUE"""),0.14863870493009565)</f>
        <v>0.1486387049</v>
      </c>
      <c r="H3742" s="5">
        <f>IFERROR(__xludf.DUMMYFUNCTION("""COMPUTED_VALUE"""),0.5625)</f>
        <v>0.5625</v>
      </c>
      <c r="I3742" s="11">
        <f>IFERROR(__xludf.DUMMYFUNCTION("""COMPUTED_VALUE"""),5425.735294117647)</f>
        <v>5425.735294</v>
      </c>
      <c r="J3742" s="10">
        <f>IFERROR(__xludf.DUMMYFUNCTION("""COMPUTED_VALUE"""),1.0)</f>
        <v>1</v>
      </c>
      <c r="K3742" s="5">
        <f>IFERROR(__xludf.DUMMYFUNCTION("""COMPUTED_VALUE"""),0.007936507936507936)</f>
        <v>0.007936507937</v>
      </c>
      <c r="L3742" s="10">
        <f>IFERROR(__xludf.DUMMYFUNCTION("""COMPUTED_VALUE"""),0.0)</f>
        <v>0</v>
      </c>
      <c r="M3742" s="5">
        <f>IFERROR(__xludf.DUMMYFUNCTION("""COMPUTED_VALUE"""),0.0)</f>
        <v>0</v>
      </c>
    </row>
    <row r="3743">
      <c r="A3743" s="10" t="str">
        <f>IFERROR(__xludf.DUMMYFUNCTION("""COMPUTED_VALUE"""),"ハズレ(^Д^)")</f>
        <v>ハズレ(^Д^)</v>
      </c>
      <c r="B3743" s="10">
        <f>IFERROR(__xludf.DUMMYFUNCTION("""COMPUTED_VALUE"""),329.0)</f>
        <v>329</v>
      </c>
      <c r="C3743" s="10">
        <f>IFERROR(__xludf.DUMMYFUNCTION("""COMPUTED_VALUE"""),3923.0)</f>
        <v>3923</v>
      </c>
      <c r="D3743" s="5">
        <f>IFERROR(__xludf.DUMMYFUNCTION("""COMPUTED_VALUE"""),0.36505286588759045)</f>
        <v>0.3650528659</v>
      </c>
      <c r="E3743" s="5">
        <f>IFERROR(__xludf.DUMMYFUNCTION("""COMPUTED_VALUE"""),0.1221480244852532)</f>
        <v>0.1221480245</v>
      </c>
      <c r="F3743" s="5">
        <f>IFERROR(__xludf.DUMMYFUNCTION("""COMPUTED_VALUE"""),0.18781302170283806)</f>
        <v>0.1878130217</v>
      </c>
      <c r="G3743" s="5">
        <f>IFERROR(__xludf.DUMMYFUNCTION("""COMPUTED_VALUE"""),0.15692821368948248)</f>
        <v>0.1569282137</v>
      </c>
      <c r="H3743" s="5">
        <f>IFERROR(__xludf.DUMMYFUNCTION("""COMPUTED_VALUE"""),0.6118518518518519)</f>
        <v>0.6118518519</v>
      </c>
      <c r="I3743" s="11">
        <f>IFERROR(__xludf.DUMMYFUNCTION("""COMPUTED_VALUE"""),5751.407407407408)</f>
        <v>5751.407407</v>
      </c>
      <c r="J3743" s="10">
        <f>IFERROR(__xludf.DUMMYFUNCTION("""COMPUTED_VALUE"""),2.0)</f>
        <v>2</v>
      </c>
      <c r="K3743" s="5">
        <f>IFERROR(__xludf.DUMMYFUNCTION("""COMPUTED_VALUE"""),0.0060790273556231)</f>
        <v>0.006079027356</v>
      </c>
      <c r="L3743" s="10">
        <f>IFERROR(__xludf.DUMMYFUNCTION("""COMPUTED_VALUE"""),0.0)</f>
        <v>0</v>
      </c>
      <c r="M3743" s="5">
        <f>IFERROR(__xludf.DUMMYFUNCTION("""COMPUTED_VALUE"""),0.0)</f>
        <v>0</v>
      </c>
    </row>
    <row r="3744">
      <c r="A3744" s="10" t="str">
        <f>IFERROR(__xludf.DUMMYFUNCTION("""COMPUTED_VALUE"""),"博徒")</f>
        <v>博徒</v>
      </c>
      <c r="B3744" s="10">
        <f>IFERROR(__xludf.DUMMYFUNCTION("""COMPUTED_VALUE"""),900.0)</f>
        <v>900</v>
      </c>
      <c r="C3744" s="10">
        <f>IFERROR(__xludf.DUMMYFUNCTION("""COMPUTED_VALUE"""),10537.0)</f>
        <v>10537</v>
      </c>
      <c r="D3744" s="5">
        <f>IFERROR(__xludf.DUMMYFUNCTION("""COMPUTED_VALUE"""),0.38051260765798484)</f>
        <v>0.3805126077</v>
      </c>
      <c r="E3744" s="5">
        <f>IFERROR(__xludf.DUMMYFUNCTION("""COMPUTED_VALUE"""),0.12213344401784788)</f>
        <v>0.122133444</v>
      </c>
      <c r="F3744" s="5">
        <f>IFERROR(__xludf.DUMMYFUNCTION("""COMPUTED_VALUE"""),0.20815606516550794)</f>
        <v>0.2081560652</v>
      </c>
      <c r="G3744" s="5">
        <f>IFERROR(__xludf.DUMMYFUNCTION("""COMPUTED_VALUE"""),0.16094220193006123)</f>
        <v>0.1609422019</v>
      </c>
      <c r="H3744" s="5">
        <f>IFERROR(__xludf.DUMMYFUNCTION("""COMPUTED_VALUE"""),0.5897308075772681)</f>
        <v>0.5897308076</v>
      </c>
      <c r="I3744" s="11">
        <f>IFERROR(__xludf.DUMMYFUNCTION("""COMPUTED_VALUE"""),5412.213359920239)</f>
        <v>5412.21336</v>
      </c>
      <c r="J3744" s="10">
        <f>IFERROR(__xludf.DUMMYFUNCTION("""COMPUTED_VALUE"""),2.0)</f>
        <v>2</v>
      </c>
      <c r="K3744" s="5">
        <f>IFERROR(__xludf.DUMMYFUNCTION("""COMPUTED_VALUE"""),0.0022222222222222222)</f>
        <v>0.002222222222</v>
      </c>
      <c r="L3744" s="10">
        <f>IFERROR(__xludf.DUMMYFUNCTION("""COMPUTED_VALUE"""),798.0)</f>
        <v>798</v>
      </c>
      <c r="M3744" s="5">
        <f>IFERROR(__xludf.DUMMYFUNCTION("""COMPUTED_VALUE"""),0.8866666666666667)</f>
        <v>0.8866666667</v>
      </c>
    </row>
    <row r="3745">
      <c r="A3745" s="10" t="str">
        <f>IFERROR(__xludf.DUMMYFUNCTION("""COMPUTED_VALUE"""),"しあーん")</f>
        <v>しあーん</v>
      </c>
      <c r="B3745" s="10">
        <f>IFERROR(__xludf.DUMMYFUNCTION("""COMPUTED_VALUE"""),133.0)</f>
        <v>133</v>
      </c>
      <c r="C3745" s="10">
        <f>IFERROR(__xludf.DUMMYFUNCTION("""COMPUTED_VALUE"""),1615.0)</f>
        <v>1615</v>
      </c>
      <c r="D3745" s="5">
        <f>IFERROR(__xludf.DUMMYFUNCTION("""COMPUTED_VALUE"""),0.37112010796221323)</f>
        <v>0.371120108</v>
      </c>
      <c r="E3745" s="5">
        <f>IFERROR(__xludf.DUMMYFUNCTION("""COMPUTED_VALUE"""),0.12213225371120108)</f>
        <v>0.1221322537</v>
      </c>
      <c r="F3745" s="5">
        <f>IFERROR(__xludf.DUMMYFUNCTION("""COMPUTED_VALUE"""),0.19230769230769232)</f>
        <v>0.1923076923</v>
      </c>
      <c r="G3745" s="5">
        <f>IFERROR(__xludf.DUMMYFUNCTION("""COMPUTED_VALUE"""),0.15384615384615385)</f>
        <v>0.1538461538</v>
      </c>
      <c r="H3745" s="5">
        <f>IFERROR(__xludf.DUMMYFUNCTION("""COMPUTED_VALUE"""),0.5508771929824562)</f>
        <v>0.550877193</v>
      </c>
      <c r="I3745" s="11">
        <f>IFERROR(__xludf.DUMMYFUNCTION("""COMPUTED_VALUE"""),5870.175438596491)</f>
        <v>5870.175439</v>
      </c>
      <c r="J3745" s="10">
        <f>IFERROR(__xludf.DUMMYFUNCTION("""COMPUTED_VALUE"""),0.0)</f>
        <v>0</v>
      </c>
      <c r="K3745" s="5">
        <f>IFERROR(__xludf.DUMMYFUNCTION("""COMPUTED_VALUE"""),0.0)</f>
        <v>0</v>
      </c>
      <c r="L3745" s="10">
        <f>IFERROR(__xludf.DUMMYFUNCTION("""COMPUTED_VALUE"""),133.0)</f>
        <v>133</v>
      </c>
      <c r="M3745" s="5">
        <f>IFERROR(__xludf.DUMMYFUNCTION("""COMPUTED_VALUE"""),1.0)</f>
        <v>1</v>
      </c>
    </row>
    <row r="3746">
      <c r="A3746" s="10" t="str">
        <f>IFERROR(__xludf.DUMMYFUNCTION("""COMPUTED_VALUE"""),"bonos..")</f>
        <v>bonos..</v>
      </c>
      <c r="B3746" s="10">
        <f>IFERROR(__xludf.DUMMYFUNCTION("""COMPUTED_VALUE"""),549.0)</f>
        <v>549</v>
      </c>
      <c r="C3746" s="10">
        <f>IFERROR(__xludf.DUMMYFUNCTION("""COMPUTED_VALUE"""),6420.0)</f>
        <v>6420</v>
      </c>
      <c r="D3746" s="5">
        <f>IFERROR(__xludf.DUMMYFUNCTION("""COMPUTED_VALUE"""),0.3622892181911088)</f>
        <v>0.3622892182</v>
      </c>
      <c r="E3746" s="5">
        <f>IFERROR(__xludf.DUMMYFUNCTION("""COMPUTED_VALUE"""),0.12212570260602963)</f>
        <v>0.1221257026</v>
      </c>
      <c r="F3746" s="5">
        <f>IFERROR(__xludf.DUMMYFUNCTION("""COMPUTED_VALUE"""),0.2055867824902061)</f>
        <v>0.2055867825</v>
      </c>
      <c r="G3746" s="5">
        <f>IFERROR(__xludf.DUMMYFUNCTION("""COMPUTED_VALUE"""),0.15823539431102027)</f>
        <v>0.1582353943</v>
      </c>
      <c r="H3746" s="5">
        <f>IFERROR(__xludf.DUMMYFUNCTION("""COMPUTED_VALUE"""),0.628003314001657)</f>
        <v>0.628003314</v>
      </c>
      <c r="I3746" s="11">
        <f>IFERROR(__xludf.DUMMYFUNCTION("""COMPUTED_VALUE"""),5178.87323943662)</f>
        <v>5178.873239</v>
      </c>
      <c r="J3746" s="10">
        <f>IFERROR(__xludf.DUMMYFUNCTION("""COMPUTED_VALUE"""),1.0)</f>
        <v>1</v>
      </c>
      <c r="K3746" s="5">
        <f>IFERROR(__xludf.DUMMYFUNCTION("""COMPUTED_VALUE"""),0.0018214936247723133)</f>
        <v>0.001821493625</v>
      </c>
      <c r="L3746" s="10">
        <f>IFERROR(__xludf.DUMMYFUNCTION("""COMPUTED_VALUE"""),549.0)</f>
        <v>549</v>
      </c>
      <c r="M3746" s="5">
        <f>IFERROR(__xludf.DUMMYFUNCTION("""COMPUTED_VALUE"""),1.0)</f>
        <v>1</v>
      </c>
    </row>
    <row r="3747">
      <c r="A3747" s="10" t="str">
        <f>IFERROR(__xludf.DUMMYFUNCTION("""COMPUTED_VALUE"""),"にこぷり麻雀道.")</f>
        <v>にこぷり麻雀道.</v>
      </c>
      <c r="B3747" s="10">
        <f>IFERROR(__xludf.DUMMYFUNCTION("""COMPUTED_VALUE"""),172.0)</f>
        <v>172</v>
      </c>
      <c r="C3747" s="10">
        <f>IFERROR(__xludf.DUMMYFUNCTION("""COMPUTED_VALUE"""),1998.0)</f>
        <v>1998</v>
      </c>
      <c r="D3747" s="5">
        <f>IFERROR(__xludf.DUMMYFUNCTION("""COMPUTED_VALUE"""),0.36254107338444685)</f>
        <v>0.3625410734</v>
      </c>
      <c r="E3747" s="5">
        <f>IFERROR(__xludf.DUMMYFUNCTION("""COMPUTED_VALUE"""),0.1221248630887185)</f>
        <v>0.1221248631</v>
      </c>
      <c r="F3747" s="5">
        <f>IFERROR(__xludf.DUMMYFUNCTION("""COMPUTED_VALUE"""),0.1949616648411829)</f>
        <v>0.1949616648</v>
      </c>
      <c r="G3747" s="5">
        <f>IFERROR(__xludf.DUMMYFUNCTION("""COMPUTED_VALUE"""),0.140197152245345)</f>
        <v>0.1401971522</v>
      </c>
      <c r="H3747" s="5">
        <f>IFERROR(__xludf.DUMMYFUNCTION("""COMPUTED_VALUE"""),0.6573033707865169)</f>
        <v>0.6573033708</v>
      </c>
      <c r="I3747" s="11">
        <f>IFERROR(__xludf.DUMMYFUNCTION("""COMPUTED_VALUE"""),5477.247191011236)</f>
        <v>5477.247191</v>
      </c>
      <c r="J3747" s="10">
        <f>IFERROR(__xludf.DUMMYFUNCTION("""COMPUTED_VALUE"""),0.0)</f>
        <v>0</v>
      </c>
      <c r="K3747" s="5">
        <f>IFERROR(__xludf.DUMMYFUNCTION("""COMPUTED_VALUE"""),0.0)</f>
        <v>0</v>
      </c>
      <c r="L3747" s="10">
        <f>IFERROR(__xludf.DUMMYFUNCTION("""COMPUTED_VALUE"""),0.0)</f>
        <v>0</v>
      </c>
      <c r="M3747" s="5">
        <f>IFERROR(__xludf.DUMMYFUNCTION("""COMPUTED_VALUE"""),0.0)</f>
        <v>0</v>
      </c>
    </row>
    <row r="3748">
      <c r="A3748" s="10" t="str">
        <f>IFERROR(__xludf.DUMMYFUNCTION("""COMPUTED_VALUE"""),"イチロクザンニ")</f>
        <v>イチロクザンニ</v>
      </c>
      <c r="B3748" s="10">
        <f>IFERROR(__xludf.DUMMYFUNCTION("""COMPUTED_VALUE"""),1587.0)</f>
        <v>1587</v>
      </c>
      <c r="C3748" s="10">
        <f>IFERROR(__xludf.DUMMYFUNCTION("""COMPUTED_VALUE"""),18556.0)</f>
        <v>18556</v>
      </c>
      <c r="D3748" s="5">
        <f>IFERROR(__xludf.DUMMYFUNCTION("""COMPUTED_VALUE"""),0.3405032706700454)</f>
        <v>0.3405032707</v>
      </c>
      <c r="E3748" s="5">
        <f>IFERROR(__xludf.DUMMYFUNCTION("""COMPUTED_VALUE"""),0.12210501502740291)</f>
        <v>0.122105015</v>
      </c>
      <c r="F3748" s="5">
        <f>IFERROR(__xludf.DUMMYFUNCTION("""COMPUTED_VALUE"""),0.21816253167540808)</f>
        <v>0.2181625317</v>
      </c>
      <c r="G3748" s="5">
        <f>IFERROR(__xludf.DUMMYFUNCTION("""COMPUTED_VALUE"""),0.17696976840120218)</f>
        <v>0.1769697684</v>
      </c>
      <c r="H3748" s="5">
        <f>IFERROR(__xludf.DUMMYFUNCTION("""COMPUTED_VALUE"""),0.5902215018908697)</f>
        <v>0.5902215019</v>
      </c>
      <c r="I3748" s="11">
        <f>IFERROR(__xludf.DUMMYFUNCTION("""COMPUTED_VALUE"""),5636.0075634792)</f>
        <v>5636.007563</v>
      </c>
      <c r="J3748" s="10">
        <f>IFERROR(__xludf.DUMMYFUNCTION("""COMPUTED_VALUE"""),4.0)</f>
        <v>4</v>
      </c>
      <c r="K3748" s="5">
        <f>IFERROR(__xludf.DUMMYFUNCTION("""COMPUTED_VALUE"""),0.002520478890989288)</f>
        <v>0.002520478891</v>
      </c>
      <c r="L3748" s="10">
        <f>IFERROR(__xludf.DUMMYFUNCTION("""COMPUTED_VALUE"""),1587.0)</f>
        <v>1587</v>
      </c>
      <c r="M3748" s="5">
        <f>IFERROR(__xludf.DUMMYFUNCTION("""COMPUTED_VALUE"""),1.0)</f>
        <v>1</v>
      </c>
    </row>
    <row r="3749">
      <c r="A3749" s="10" t="str">
        <f>IFERROR(__xludf.DUMMYFUNCTION("""COMPUTED_VALUE"""),"赫莱森")</f>
        <v>赫莱森</v>
      </c>
      <c r="B3749" s="10">
        <f>IFERROR(__xludf.DUMMYFUNCTION("""COMPUTED_VALUE"""),477.0)</f>
        <v>477</v>
      </c>
      <c r="C3749" s="10">
        <f>IFERROR(__xludf.DUMMYFUNCTION("""COMPUTED_VALUE"""),5522.0)</f>
        <v>5522</v>
      </c>
      <c r="D3749" s="5">
        <f>IFERROR(__xludf.DUMMYFUNCTION("""COMPUTED_VALUE"""),0.3064420218037661)</f>
        <v>0.3064420218</v>
      </c>
      <c r="E3749" s="5">
        <f>IFERROR(__xludf.DUMMYFUNCTION("""COMPUTED_VALUE"""),0.12210109018830526)</f>
        <v>0.1221010902</v>
      </c>
      <c r="F3749" s="5">
        <f>IFERROR(__xludf.DUMMYFUNCTION("""COMPUTED_VALUE"""),0.21129831516352823)</f>
        <v>0.2112983152</v>
      </c>
      <c r="G3749" s="5">
        <f>IFERROR(__xludf.DUMMYFUNCTION("""COMPUTED_VALUE"""),0.155203171456888)</f>
        <v>0.1552031715</v>
      </c>
      <c r="H3749" s="5">
        <f>IFERROR(__xludf.DUMMYFUNCTION("""COMPUTED_VALUE"""),0.6106941838649156)</f>
        <v>0.6106941839</v>
      </c>
      <c r="I3749" s="11">
        <f>IFERROR(__xludf.DUMMYFUNCTION("""COMPUTED_VALUE"""),5439.2120075046905)</f>
        <v>5439.212008</v>
      </c>
      <c r="J3749" s="10">
        <f>IFERROR(__xludf.DUMMYFUNCTION("""COMPUTED_VALUE"""),2.0)</f>
        <v>2</v>
      </c>
      <c r="K3749" s="5">
        <f>IFERROR(__xludf.DUMMYFUNCTION("""COMPUTED_VALUE"""),0.0041928721174004195)</f>
        <v>0.004192872117</v>
      </c>
      <c r="L3749" s="10">
        <f>IFERROR(__xludf.DUMMYFUNCTION("""COMPUTED_VALUE"""),132.0)</f>
        <v>132</v>
      </c>
      <c r="M3749" s="5">
        <f>IFERROR(__xludf.DUMMYFUNCTION("""COMPUTED_VALUE"""),0.27672955974842767)</f>
        <v>0.2767295597</v>
      </c>
    </row>
    <row r="3750">
      <c r="A3750" s="10" t="str">
        <f>IFERROR(__xludf.DUMMYFUNCTION("""COMPUTED_VALUE"""),"腹痛戦士モレル")</f>
        <v>腹痛戦士モレル</v>
      </c>
      <c r="B3750" s="10">
        <f>IFERROR(__xludf.DUMMYFUNCTION("""COMPUTED_VALUE"""),284.0)</f>
        <v>284</v>
      </c>
      <c r="C3750" s="10">
        <f>IFERROR(__xludf.DUMMYFUNCTION("""COMPUTED_VALUE"""),3388.0)</f>
        <v>3388</v>
      </c>
      <c r="D3750" s="5">
        <f>IFERROR(__xludf.DUMMYFUNCTION("""COMPUTED_VALUE"""),0.31088917525773196)</f>
        <v>0.3108891753</v>
      </c>
      <c r="E3750" s="5">
        <f>IFERROR(__xludf.DUMMYFUNCTION("""COMPUTED_VALUE"""),0.12210051546391752)</f>
        <v>0.1221005155</v>
      </c>
      <c r="F3750" s="5">
        <f>IFERROR(__xludf.DUMMYFUNCTION("""COMPUTED_VALUE"""),0.21359536082474226)</f>
        <v>0.2135953608</v>
      </c>
      <c r="G3750" s="5">
        <f>IFERROR(__xludf.DUMMYFUNCTION("""COMPUTED_VALUE"""),0.17042525773195877)</f>
        <v>0.1704252577</v>
      </c>
      <c r="H3750" s="5">
        <f>IFERROR(__xludf.DUMMYFUNCTION("""COMPUTED_VALUE"""),0.5806938159879337)</f>
        <v>0.580693816</v>
      </c>
      <c r="I3750" s="11">
        <f>IFERROR(__xludf.DUMMYFUNCTION("""COMPUTED_VALUE"""),5635.5957767722475)</f>
        <v>5635.595777</v>
      </c>
      <c r="J3750" s="10">
        <f>IFERROR(__xludf.DUMMYFUNCTION("""COMPUTED_VALUE"""),3.0)</f>
        <v>3</v>
      </c>
      <c r="K3750" s="5">
        <f>IFERROR(__xludf.DUMMYFUNCTION("""COMPUTED_VALUE"""),0.01056338028169014)</f>
        <v>0.01056338028</v>
      </c>
      <c r="L3750" s="10">
        <f>IFERROR(__xludf.DUMMYFUNCTION("""COMPUTED_VALUE"""),281.0)</f>
        <v>281</v>
      </c>
      <c r="M3750" s="5">
        <f>IFERROR(__xludf.DUMMYFUNCTION("""COMPUTED_VALUE"""),0.9894366197183099)</f>
        <v>0.9894366197</v>
      </c>
    </row>
    <row r="3751">
      <c r="A3751" s="10" t="str">
        <f>IFERROR(__xludf.DUMMYFUNCTION("""COMPUTED_VALUE"""),"zkurt")</f>
        <v>zkurt</v>
      </c>
      <c r="B3751" s="10">
        <f>IFERROR(__xludf.DUMMYFUNCTION("""COMPUTED_VALUE"""),7514.0)</f>
        <v>7514</v>
      </c>
      <c r="C3751" s="10">
        <f>IFERROR(__xludf.DUMMYFUNCTION("""COMPUTED_VALUE"""),88063.0)</f>
        <v>88063</v>
      </c>
      <c r="D3751" s="5">
        <f>IFERROR(__xludf.DUMMYFUNCTION("""COMPUTED_VALUE"""),0.2806614607257694)</f>
        <v>0.2806614607</v>
      </c>
      <c r="E3751" s="5">
        <f>IFERROR(__xludf.DUMMYFUNCTION("""COMPUTED_VALUE"""),0.12209959155296776)</f>
        <v>0.1220995916</v>
      </c>
      <c r="F3751" s="5">
        <f>IFERROR(__xludf.DUMMYFUNCTION("""COMPUTED_VALUE"""),0.2131249301667308)</f>
        <v>0.2131249302</v>
      </c>
      <c r="G3751" s="5">
        <f>IFERROR(__xludf.DUMMYFUNCTION("""COMPUTED_VALUE"""),0.15929434257408534)</f>
        <v>0.1592943426</v>
      </c>
      <c r="H3751" s="5">
        <f>IFERROR(__xludf.DUMMYFUNCTION("""COMPUTED_VALUE"""),0.6037746839867187)</f>
        <v>0.603774684</v>
      </c>
      <c r="I3751" s="11">
        <f>IFERROR(__xludf.DUMMYFUNCTION("""COMPUTED_VALUE"""),5670.07048406827)</f>
        <v>5670.070484</v>
      </c>
      <c r="J3751" s="10">
        <f>IFERROR(__xludf.DUMMYFUNCTION("""COMPUTED_VALUE"""),16.0)</f>
        <v>16</v>
      </c>
      <c r="K3751" s="5">
        <f>IFERROR(__xludf.DUMMYFUNCTION("""COMPUTED_VALUE"""),0.002129358530742614)</f>
        <v>0.002129358531</v>
      </c>
      <c r="L3751" s="10">
        <f>IFERROR(__xludf.DUMMYFUNCTION("""COMPUTED_VALUE"""),7514.0)</f>
        <v>7514</v>
      </c>
      <c r="M3751" s="5">
        <f>IFERROR(__xludf.DUMMYFUNCTION("""COMPUTED_VALUE"""),1.0)</f>
        <v>1</v>
      </c>
    </row>
    <row r="3752">
      <c r="A3752" s="10" t="str">
        <f>IFERROR(__xludf.DUMMYFUNCTION("""COMPUTED_VALUE"""),"-灼熱ノ波動-")</f>
        <v>-灼熱ノ波動-</v>
      </c>
      <c r="B3752" s="10">
        <f>IFERROR(__xludf.DUMMYFUNCTION("""COMPUTED_VALUE"""),691.0)</f>
        <v>691</v>
      </c>
      <c r="C3752" s="10">
        <f>IFERROR(__xludf.DUMMYFUNCTION("""COMPUTED_VALUE"""),8095.0)</f>
        <v>8095</v>
      </c>
      <c r="D3752" s="5">
        <f>IFERROR(__xludf.DUMMYFUNCTION("""COMPUTED_VALUE"""),0.4493517017828201)</f>
        <v>0.4493517018</v>
      </c>
      <c r="E3752" s="5">
        <f>IFERROR(__xludf.DUMMYFUNCTION("""COMPUTED_VALUE"""),0.12209616423554835)</f>
        <v>0.1220961642</v>
      </c>
      <c r="F3752" s="5">
        <f>IFERROR(__xludf.DUMMYFUNCTION("""COMPUTED_VALUE"""),0.20029713668287413)</f>
        <v>0.2002971367</v>
      </c>
      <c r="G3752" s="5">
        <f>IFERROR(__xludf.DUMMYFUNCTION("""COMPUTED_VALUE"""),0.15464613722312265)</f>
        <v>0.1546461372</v>
      </c>
      <c r="H3752" s="5">
        <f>IFERROR(__xludf.DUMMYFUNCTION("""COMPUTED_VALUE"""),0.6082265677680377)</f>
        <v>0.6082265678</v>
      </c>
      <c r="I3752" s="11">
        <f>IFERROR(__xludf.DUMMYFUNCTION("""COMPUTED_VALUE"""),5304.585300067431)</f>
        <v>5304.5853</v>
      </c>
      <c r="J3752" s="10">
        <f>IFERROR(__xludf.DUMMYFUNCTION("""COMPUTED_VALUE"""),1.0)</f>
        <v>1</v>
      </c>
      <c r="K3752" s="5">
        <f>IFERROR(__xludf.DUMMYFUNCTION("""COMPUTED_VALUE"""),0.001447178002894356)</f>
        <v>0.001447178003</v>
      </c>
      <c r="L3752" s="10">
        <f>IFERROR(__xludf.DUMMYFUNCTION("""COMPUTED_VALUE"""),685.0)</f>
        <v>685</v>
      </c>
      <c r="M3752" s="5">
        <f>IFERROR(__xludf.DUMMYFUNCTION("""COMPUTED_VALUE"""),0.9913169319826338)</f>
        <v>0.991316932</v>
      </c>
    </row>
    <row r="3753">
      <c r="A3753" s="10" t="str">
        <f>IFERROR(__xludf.DUMMYFUNCTION("""COMPUTED_VALUE"""),"◇冬の陽炎◇")</f>
        <v>◇冬の陽炎◇</v>
      </c>
      <c r="B3753" s="10">
        <f>IFERROR(__xludf.DUMMYFUNCTION("""COMPUTED_VALUE"""),105.0)</f>
        <v>105</v>
      </c>
      <c r="C3753" s="10">
        <f>IFERROR(__xludf.DUMMYFUNCTION("""COMPUTED_VALUE"""),1219.0)</f>
        <v>1219</v>
      </c>
      <c r="D3753" s="5">
        <f>IFERROR(__xludf.DUMMYFUNCTION("""COMPUTED_VALUE"""),0.2980251346499102)</f>
        <v>0.2980251346</v>
      </c>
      <c r="E3753" s="5">
        <f>IFERROR(__xludf.DUMMYFUNCTION("""COMPUTED_VALUE"""),0.12208258527827648)</f>
        <v>0.1220825853</v>
      </c>
      <c r="F3753" s="5">
        <f>IFERROR(__xludf.DUMMYFUNCTION("""COMPUTED_VALUE"""),0.1741472172351885)</f>
        <v>0.1741472172</v>
      </c>
      <c r="G3753" s="5">
        <f>IFERROR(__xludf.DUMMYFUNCTION("""COMPUTED_VALUE"""),0.1570915619389587)</f>
        <v>0.1570915619</v>
      </c>
      <c r="H3753" s="5">
        <f>IFERROR(__xludf.DUMMYFUNCTION("""COMPUTED_VALUE"""),0.5773195876288659)</f>
        <v>0.5773195876</v>
      </c>
      <c r="I3753" s="11">
        <f>IFERROR(__xludf.DUMMYFUNCTION("""COMPUTED_VALUE"""),6002.577319587629)</f>
        <v>6002.57732</v>
      </c>
      <c r="J3753" s="10">
        <f>IFERROR(__xludf.DUMMYFUNCTION("""COMPUTED_VALUE"""),0.0)</f>
        <v>0</v>
      </c>
      <c r="K3753" s="5">
        <f>IFERROR(__xludf.DUMMYFUNCTION("""COMPUTED_VALUE"""),0.0)</f>
        <v>0</v>
      </c>
      <c r="L3753" s="10">
        <f>IFERROR(__xludf.DUMMYFUNCTION("""COMPUTED_VALUE"""),105.0)</f>
        <v>105</v>
      </c>
      <c r="M3753" s="5">
        <f>IFERROR(__xludf.DUMMYFUNCTION("""COMPUTED_VALUE"""),1.0)</f>
        <v>1</v>
      </c>
    </row>
    <row r="3754">
      <c r="A3754" s="10" t="str">
        <f>IFERROR(__xludf.DUMMYFUNCTION("""COMPUTED_VALUE"""),"ねじしき")</f>
        <v>ねじしき</v>
      </c>
      <c r="B3754" s="10">
        <f>IFERROR(__xludf.DUMMYFUNCTION("""COMPUTED_VALUE"""),1026.0)</f>
        <v>1026</v>
      </c>
      <c r="C3754" s="10">
        <f>IFERROR(__xludf.DUMMYFUNCTION("""COMPUTED_VALUE"""),12207.0)</f>
        <v>12207</v>
      </c>
      <c r="D3754" s="5">
        <f>IFERROR(__xludf.DUMMYFUNCTION("""COMPUTED_VALUE"""),0.3751900545568375)</f>
        <v>0.3751900546</v>
      </c>
      <c r="E3754" s="5">
        <f>IFERROR(__xludf.DUMMYFUNCTION("""COMPUTED_VALUE"""),0.1220821035685538)</f>
        <v>0.1220821036</v>
      </c>
      <c r="F3754" s="5">
        <f>IFERROR(__xludf.DUMMYFUNCTION("""COMPUTED_VALUE"""),0.20955191843305607)</f>
        <v>0.2095519184</v>
      </c>
      <c r="G3754" s="5">
        <f>IFERROR(__xludf.DUMMYFUNCTION("""COMPUTED_VALUE"""),0.1574098917806994)</f>
        <v>0.1574098918</v>
      </c>
      <c r="H3754" s="5">
        <f>IFERROR(__xludf.DUMMYFUNCTION("""COMPUTED_VALUE"""),0.615877080665813)</f>
        <v>0.6158770807</v>
      </c>
      <c r="I3754" s="11">
        <f>IFERROR(__xludf.DUMMYFUNCTION("""COMPUTED_VALUE"""),5357.618437900128)</f>
        <v>5357.618438</v>
      </c>
      <c r="J3754" s="10">
        <f>IFERROR(__xludf.DUMMYFUNCTION("""COMPUTED_VALUE"""),3.0)</f>
        <v>3</v>
      </c>
      <c r="K3754" s="5">
        <f>IFERROR(__xludf.DUMMYFUNCTION("""COMPUTED_VALUE"""),0.0029239766081871343)</f>
        <v>0.002923976608</v>
      </c>
      <c r="L3754" s="10">
        <f>IFERROR(__xludf.DUMMYFUNCTION("""COMPUTED_VALUE"""),1026.0)</f>
        <v>1026</v>
      </c>
      <c r="M3754" s="5">
        <f>IFERROR(__xludf.DUMMYFUNCTION("""COMPUTED_VALUE"""),1.0)</f>
        <v>1</v>
      </c>
    </row>
    <row r="3755">
      <c r="A3755" s="10" t="str">
        <f>IFERROR(__xludf.DUMMYFUNCTION("""COMPUTED_VALUE"""),"篠原明里")</f>
        <v>篠原明里</v>
      </c>
      <c r="B3755" s="10">
        <f>IFERROR(__xludf.DUMMYFUNCTION("""COMPUTED_VALUE"""),189.0)</f>
        <v>189</v>
      </c>
      <c r="C3755" s="10">
        <f>IFERROR(__xludf.DUMMYFUNCTION("""COMPUTED_VALUE"""),2237.0)</f>
        <v>2237</v>
      </c>
      <c r="D3755" s="5">
        <f>IFERROR(__xludf.DUMMYFUNCTION("""COMPUTED_VALUE"""),0.37841796875)</f>
        <v>0.3784179688</v>
      </c>
      <c r="E3755" s="5">
        <f>IFERROR(__xludf.DUMMYFUNCTION("""COMPUTED_VALUE"""),0.1220703125)</f>
        <v>0.1220703125</v>
      </c>
      <c r="F3755" s="5">
        <f>IFERROR(__xludf.DUMMYFUNCTION("""COMPUTED_VALUE"""),0.22509765625)</f>
        <v>0.2250976563</v>
      </c>
      <c r="G3755" s="5">
        <f>IFERROR(__xludf.DUMMYFUNCTION("""COMPUTED_VALUE"""),0.16162109375)</f>
        <v>0.1616210938</v>
      </c>
      <c r="H3755" s="5">
        <f>IFERROR(__xludf.DUMMYFUNCTION("""COMPUTED_VALUE"""),0.6008676789587852)</f>
        <v>0.600867679</v>
      </c>
      <c r="I3755" s="11">
        <f>IFERROR(__xludf.DUMMYFUNCTION("""COMPUTED_VALUE"""),5280.694143167028)</f>
        <v>5280.694143</v>
      </c>
      <c r="J3755" s="10">
        <f>IFERROR(__xludf.DUMMYFUNCTION("""COMPUTED_VALUE"""),0.0)</f>
        <v>0</v>
      </c>
      <c r="K3755" s="5">
        <f>IFERROR(__xludf.DUMMYFUNCTION("""COMPUTED_VALUE"""),0.0)</f>
        <v>0</v>
      </c>
      <c r="L3755" s="10">
        <f>IFERROR(__xludf.DUMMYFUNCTION("""COMPUTED_VALUE"""),189.0)</f>
        <v>189</v>
      </c>
      <c r="M3755" s="5">
        <f>IFERROR(__xludf.DUMMYFUNCTION("""COMPUTED_VALUE"""),1.0)</f>
        <v>1</v>
      </c>
    </row>
    <row r="3756">
      <c r="A3756" s="10" t="str">
        <f>IFERROR(__xludf.DUMMYFUNCTION("""COMPUTED_VALUE"""),"宮崎県代表")</f>
        <v>宮崎県代表</v>
      </c>
      <c r="B3756" s="10">
        <f>IFERROR(__xludf.DUMMYFUNCTION("""COMPUTED_VALUE"""),410.0)</f>
        <v>410</v>
      </c>
      <c r="C3756" s="10">
        <f>IFERROR(__xludf.DUMMYFUNCTION("""COMPUTED_VALUE"""),4744.0)</f>
        <v>4744</v>
      </c>
      <c r="D3756" s="5">
        <f>IFERROR(__xludf.DUMMYFUNCTION("""COMPUTED_VALUE"""),0.3583294877711121)</f>
        <v>0.3583294878</v>
      </c>
      <c r="E3756" s="5">
        <f>IFERROR(__xludf.DUMMYFUNCTION("""COMPUTED_VALUE"""),0.1220581449007845)</f>
        <v>0.1220581449</v>
      </c>
      <c r="F3756" s="5">
        <f>IFERROR(__xludf.DUMMYFUNCTION("""COMPUTED_VALUE"""),0.20535302261190586)</f>
        <v>0.2053530226</v>
      </c>
      <c r="G3756" s="5">
        <f>IFERROR(__xludf.DUMMYFUNCTION("""COMPUTED_VALUE"""),0.17904937701892015)</f>
        <v>0.179049377</v>
      </c>
      <c r="H3756" s="5">
        <f>IFERROR(__xludf.DUMMYFUNCTION("""COMPUTED_VALUE"""),0.5674157303370787)</f>
        <v>0.5674157303</v>
      </c>
      <c r="I3756" s="11">
        <f>IFERROR(__xludf.DUMMYFUNCTION("""COMPUTED_VALUE"""),5745.168539325843)</f>
        <v>5745.168539</v>
      </c>
      <c r="J3756" s="10">
        <f>IFERROR(__xludf.DUMMYFUNCTION("""COMPUTED_VALUE"""),1.0)</f>
        <v>1</v>
      </c>
      <c r="K3756" s="5">
        <f>IFERROR(__xludf.DUMMYFUNCTION("""COMPUTED_VALUE"""),0.0024390243902439024)</f>
        <v>0.00243902439</v>
      </c>
      <c r="L3756" s="10">
        <f>IFERROR(__xludf.DUMMYFUNCTION("""COMPUTED_VALUE"""),410.0)</f>
        <v>410</v>
      </c>
      <c r="M3756" s="5">
        <f>IFERROR(__xludf.DUMMYFUNCTION("""COMPUTED_VALUE"""),1.0)</f>
        <v>1</v>
      </c>
    </row>
    <row r="3757">
      <c r="A3757" s="10" t="str">
        <f>IFERROR(__xludf.DUMMYFUNCTION("""COMPUTED_VALUE"""),"小平ルネ")</f>
        <v>小平ルネ</v>
      </c>
      <c r="B3757" s="10">
        <f>IFERROR(__xludf.DUMMYFUNCTION("""COMPUTED_VALUE"""),1191.0)</f>
        <v>1191</v>
      </c>
      <c r="C3757" s="10">
        <f>IFERROR(__xludf.DUMMYFUNCTION("""COMPUTED_VALUE"""),14013.0)</f>
        <v>14013</v>
      </c>
      <c r="D3757" s="5">
        <f>IFERROR(__xludf.DUMMYFUNCTION("""COMPUTED_VALUE"""),0.3326314147558883)</f>
        <v>0.3326314148</v>
      </c>
      <c r="E3757" s="5">
        <f>IFERROR(__xludf.DUMMYFUNCTION("""COMPUTED_VALUE"""),0.1220558415223834)</f>
        <v>0.1220558415</v>
      </c>
      <c r="F3757" s="5">
        <f>IFERROR(__xludf.DUMMYFUNCTION("""COMPUTED_VALUE"""),0.20714397129932927)</f>
        <v>0.2071439713</v>
      </c>
      <c r="G3757" s="5">
        <f>IFERROR(__xludf.DUMMYFUNCTION("""COMPUTED_VALUE"""),0.14740290126345343)</f>
        <v>0.1474029013</v>
      </c>
      <c r="H3757" s="5">
        <f>IFERROR(__xludf.DUMMYFUNCTION("""COMPUTED_VALUE"""),0.6009036144578314)</f>
        <v>0.6009036145</v>
      </c>
      <c r="I3757" s="11">
        <f>IFERROR(__xludf.DUMMYFUNCTION("""COMPUTED_VALUE"""),5367.432228915663)</f>
        <v>5367.432229</v>
      </c>
      <c r="J3757" s="10">
        <f>IFERROR(__xludf.DUMMYFUNCTION("""COMPUTED_VALUE"""),2.0)</f>
        <v>2</v>
      </c>
      <c r="K3757" s="5">
        <f>IFERROR(__xludf.DUMMYFUNCTION("""COMPUTED_VALUE"""),0.0016792611251049538)</f>
        <v>0.001679261125</v>
      </c>
      <c r="L3757" s="10">
        <f>IFERROR(__xludf.DUMMYFUNCTION("""COMPUTED_VALUE"""),792.0)</f>
        <v>792</v>
      </c>
      <c r="M3757" s="5">
        <f>IFERROR(__xludf.DUMMYFUNCTION("""COMPUTED_VALUE"""),0.6649874055415617)</f>
        <v>0.6649874055</v>
      </c>
    </row>
    <row r="3758">
      <c r="A3758" s="10" t="str">
        <f>IFERROR(__xludf.DUMMYFUNCTION("""COMPUTED_VALUE"""),"紗有")</f>
        <v>紗有</v>
      </c>
      <c r="B3758" s="10">
        <f>IFERROR(__xludf.DUMMYFUNCTION("""COMPUTED_VALUE"""),1167.0)</f>
        <v>1167</v>
      </c>
      <c r="C3758" s="10">
        <f>IFERROR(__xludf.DUMMYFUNCTION("""COMPUTED_VALUE"""),13899.0)</f>
        <v>13899</v>
      </c>
      <c r="D3758" s="5">
        <f>IFERROR(__xludf.DUMMYFUNCTION("""COMPUTED_VALUE"""),0.3497486647816525)</f>
        <v>0.3497486648</v>
      </c>
      <c r="E3758" s="5">
        <f>IFERROR(__xludf.DUMMYFUNCTION("""COMPUTED_VALUE"""),0.12205466540999058)</f>
        <v>0.1220546654</v>
      </c>
      <c r="F3758" s="5">
        <f>IFERROR(__xludf.DUMMYFUNCTION("""COMPUTED_VALUE"""),0.20664467483506127)</f>
        <v>0.2066446748</v>
      </c>
      <c r="G3758" s="5">
        <f>IFERROR(__xludf.DUMMYFUNCTION("""COMPUTED_VALUE"""),0.14224002513352182)</f>
        <v>0.1422400251</v>
      </c>
      <c r="H3758" s="5">
        <f>IFERROR(__xludf.DUMMYFUNCTION("""COMPUTED_VALUE"""),0.6066134549600912)</f>
        <v>0.606613455</v>
      </c>
      <c r="I3758" s="11">
        <f>IFERROR(__xludf.DUMMYFUNCTION("""COMPUTED_VALUE"""),5422.500950209046)</f>
        <v>5422.50095</v>
      </c>
      <c r="J3758" s="10">
        <f>IFERROR(__xludf.DUMMYFUNCTION("""COMPUTED_VALUE"""),1.0)</f>
        <v>1</v>
      </c>
      <c r="K3758" s="5">
        <f>IFERROR(__xludf.DUMMYFUNCTION("""COMPUTED_VALUE"""),8.56898029134533E-4)</f>
        <v>0.0008568980291</v>
      </c>
      <c r="L3758" s="10">
        <f>IFERROR(__xludf.DUMMYFUNCTION("""COMPUTED_VALUE"""),270.0)</f>
        <v>270</v>
      </c>
      <c r="M3758" s="5">
        <f>IFERROR(__xludf.DUMMYFUNCTION("""COMPUTED_VALUE"""),0.23136246786632392)</f>
        <v>0.2313624679</v>
      </c>
    </row>
    <row r="3759">
      <c r="A3759" s="10" t="str">
        <f>IFERROR(__xludf.DUMMYFUNCTION("""COMPUTED_VALUE"""),"まくどなるなるど")</f>
        <v>まくどなるなるど</v>
      </c>
      <c r="B3759" s="10">
        <f>IFERROR(__xludf.DUMMYFUNCTION("""COMPUTED_VALUE"""),1885.0)</f>
        <v>1885</v>
      </c>
      <c r="C3759" s="10">
        <f>IFERROR(__xludf.DUMMYFUNCTION("""COMPUTED_VALUE"""),21985.0)</f>
        <v>21985</v>
      </c>
      <c r="D3759" s="5">
        <f>IFERROR(__xludf.DUMMYFUNCTION("""COMPUTED_VALUE"""),0.3717412935323383)</f>
        <v>0.3717412935</v>
      </c>
      <c r="E3759" s="5">
        <f>IFERROR(__xludf.DUMMYFUNCTION("""COMPUTED_VALUE"""),0.12203980099502487)</f>
        <v>0.122039801</v>
      </c>
      <c r="F3759" s="5">
        <f>IFERROR(__xludf.DUMMYFUNCTION("""COMPUTED_VALUE"""),0.21542288557213932)</f>
        <v>0.2154228856</v>
      </c>
      <c r="G3759" s="5">
        <f>IFERROR(__xludf.DUMMYFUNCTION("""COMPUTED_VALUE"""),0.1792537313432836)</f>
        <v>0.1792537313</v>
      </c>
      <c r="H3759" s="5">
        <f>IFERROR(__xludf.DUMMYFUNCTION("""COMPUTED_VALUE"""),0.5939953810623556)</f>
        <v>0.5939953811</v>
      </c>
      <c r="I3759" s="11">
        <f>IFERROR(__xludf.DUMMYFUNCTION("""COMPUTED_VALUE"""),5583.187066974596)</f>
        <v>5583.187067</v>
      </c>
      <c r="J3759" s="10">
        <f>IFERROR(__xludf.DUMMYFUNCTION("""COMPUTED_VALUE"""),2.0)</f>
        <v>2</v>
      </c>
      <c r="K3759" s="5">
        <f>IFERROR(__xludf.DUMMYFUNCTION("""COMPUTED_VALUE"""),0.0010610079575596816)</f>
        <v>0.001061007958</v>
      </c>
      <c r="L3759" s="10">
        <f>IFERROR(__xludf.DUMMYFUNCTION("""COMPUTED_VALUE"""),1885.0)</f>
        <v>1885</v>
      </c>
      <c r="M3759" s="5">
        <f>IFERROR(__xludf.DUMMYFUNCTION("""COMPUTED_VALUE"""),1.0)</f>
        <v>1</v>
      </c>
    </row>
    <row r="3760">
      <c r="A3760" s="10" t="str">
        <f>IFERROR(__xludf.DUMMYFUNCTION("""COMPUTED_VALUE"""),"moyo")</f>
        <v>moyo</v>
      </c>
      <c r="B3760" s="10">
        <f>IFERROR(__xludf.DUMMYFUNCTION("""COMPUTED_VALUE"""),267.0)</f>
        <v>267</v>
      </c>
      <c r="C3760" s="10">
        <f>IFERROR(__xludf.DUMMYFUNCTION("""COMPUTED_VALUE"""),3135.0)</f>
        <v>3135</v>
      </c>
      <c r="D3760" s="5">
        <f>IFERROR(__xludf.DUMMYFUNCTION("""COMPUTED_VALUE"""),0.2660390516039052)</f>
        <v>0.2660390516</v>
      </c>
      <c r="E3760" s="5">
        <f>IFERROR(__xludf.DUMMYFUNCTION("""COMPUTED_VALUE"""),0.12203626220362622)</f>
        <v>0.1220362622</v>
      </c>
      <c r="F3760" s="5">
        <f>IFERROR(__xludf.DUMMYFUNCTION("""COMPUTED_VALUE"""),0.18828451882845187)</f>
        <v>0.1882845188</v>
      </c>
      <c r="G3760" s="5">
        <f>IFERROR(__xludf.DUMMYFUNCTION("""COMPUTED_VALUE"""),0.15132496513249652)</f>
        <v>0.1513249651</v>
      </c>
      <c r="H3760" s="5">
        <f>IFERROR(__xludf.DUMMYFUNCTION("""COMPUTED_VALUE"""),0.5981481481481481)</f>
        <v>0.5981481481</v>
      </c>
      <c r="I3760" s="11">
        <f>IFERROR(__xludf.DUMMYFUNCTION("""COMPUTED_VALUE"""),5807.407407407408)</f>
        <v>5807.407407</v>
      </c>
      <c r="J3760" s="10">
        <f>IFERROR(__xludf.DUMMYFUNCTION("""COMPUTED_VALUE"""),1.0)</f>
        <v>1</v>
      </c>
      <c r="K3760" s="5">
        <f>IFERROR(__xludf.DUMMYFUNCTION("""COMPUTED_VALUE"""),0.003745318352059925)</f>
        <v>0.003745318352</v>
      </c>
      <c r="L3760" s="10">
        <f>IFERROR(__xludf.DUMMYFUNCTION("""COMPUTED_VALUE"""),0.0)</f>
        <v>0</v>
      </c>
      <c r="M3760" s="5">
        <f>IFERROR(__xludf.DUMMYFUNCTION("""COMPUTED_VALUE"""),0.0)</f>
        <v>0</v>
      </c>
    </row>
    <row r="3761">
      <c r="A3761" s="10" t="str">
        <f>IFERROR(__xludf.DUMMYFUNCTION("""COMPUTED_VALUE"""),"Kitamura")</f>
        <v>Kitamura</v>
      </c>
      <c r="B3761" s="10">
        <f>IFERROR(__xludf.DUMMYFUNCTION("""COMPUTED_VALUE"""),2738.0)</f>
        <v>2738</v>
      </c>
      <c r="C3761" s="10">
        <f>IFERROR(__xludf.DUMMYFUNCTION("""COMPUTED_VALUE"""),31739.0)</f>
        <v>31739</v>
      </c>
      <c r="D3761" s="5">
        <f>IFERROR(__xludf.DUMMYFUNCTION("""COMPUTED_VALUE"""),0.28709354849832763)</f>
        <v>0.2870935485</v>
      </c>
      <c r="E3761" s="5">
        <f>IFERROR(__xludf.DUMMYFUNCTION("""COMPUTED_VALUE"""),0.12203027481810973)</f>
        <v>0.1220302748</v>
      </c>
      <c r="F3761" s="5">
        <f>IFERROR(__xludf.DUMMYFUNCTION("""COMPUTED_VALUE"""),0.2145098444881211)</f>
        <v>0.2145098445</v>
      </c>
      <c r="G3761" s="5">
        <f>IFERROR(__xludf.DUMMYFUNCTION("""COMPUTED_VALUE"""),0.1841315816695976)</f>
        <v>0.1841315817</v>
      </c>
      <c r="H3761" s="5">
        <f>IFERROR(__xludf.DUMMYFUNCTION("""COMPUTED_VALUE"""),0.5995820607619354)</f>
        <v>0.5995820608</v>
      </c>
      <c r="I3761" s="11">
        <f>IFERROR(__xludf.DUMMYFUNCTION("""COMPUTED_VALUE"""),5640.395434817553)</f>
        <v>5640.395435</v>
      </c>
      <c r="J3761" s="10">
        <f>IFERROR(__xludf.DUMMYFUNCTION("""COMPUTED_VALUE"""),2.0)</f>
        <v>2</v>
      </c>
      <c r="K3761" s="5">
        <f>IFERROR(__xludf.DUMMYFUNCTION("""COMPUTED_VALUE"""),7.304601899196494E-4)</f>
        <v>0.0007304601899</v>
      </c>
      <c r="L3761" s="10">
        <f>IFERROR(__xludf.DUMMYFUNCTION("""COMPUTED_VALUE"""),1417.0)</f>
        <v>1417</v>
      </c>
      <c r="M3761" s="5">
        <f>IFERROR(__xludf.DUMMYFUNCTION("""COMPUTED_VALUE"""),0.5175310445580716)</f>
        <v>0.5175310446</v>
      </c>
    </row>
    <row r="3762">
      <c r="A3762" s="10" t="str">
        <f>IFERROR(__xludf.DUMMYFUNCTION("""COMPUTED_VALUE"""),"＠みや")</f>
        <v>＠みや</v>
      </c>
      <c r="B3762" s="10">
        <f>IFERROR(__xludf.DUMMYFUNCTION("""COMPUTED_VALUE"""),911.0)</f>
        <v>911</v>
      </c>
      <c r="C3762" s="10">
        <f>IFERROR(__xludf.DUMMYFUNCTION("""COMPUTED_VALUE"""),10802.0)</f>
        <v>10802</v>
      </c>
      <c r="D3762" s="5">
        <f>IFERROR(__xludf.DUMMYFUNCTION("""COMPUTED_VALUE"""),0.40501465979172985)</f>
        <v>0.4050146598</v>
      </c>
      <c r="E3762" s="5">
        <f>IFERROR(__xludf.DUMMYFUNCTION("""COMPUTED_VALUE"""),0.12203012839955515)</f>
        <v>0.1220301284</v>
      </c>
      <c r="F3762" s="5">
        <f>IFERROR(__xludf.DUMMYFUNCTION("""COMPUTED_VALUE"""),0.2196946719239713)</f>
        <v>0.2196946719</v>
      </c>
      <c r="G3762" s="5">
        <f>IFERROR(__xludf.DUMMYFUNCTION("""COMPUTED_VALUE"""),0.1562026084319078)</f>
        <v>0.1562026084</v>
      </c>
      <c r="H3762" s="5">
        <f>IFERROR(__xludf.DUMMYFUNCTION("""COMPUTED_VALUE"""),0.6092959042797975)</f>
        <v>0.6092959043</v>
      </c>
      <c r="I3762" s="11">
        <f>IFERROR(__xludf.DUMMYFUNCTION("""COMPUTED_VALUE"""),5254.348826507133)</f>
        <v>5254.348827</v>
      </c>
      <c r="J3762" s="10">
        <f>IFERROR(__xludf.DUMMYFUNCTION("""COMPUTED_VALUE"""),2.0)</f>
        <v>2</v>
      </c>
      <c r="K3762" s="5">
        <f>IFERROR(__xludf.DUMMYFUNCTION("""COMPUTED_VALUE"""),0.0021953896816684962)</f>
        <v>0.002195389682</v>
      </c>
      <c r="L3762" s="10">
        <f>IFERROR(__xludf.DUMMYFUNCTION("""COMPUTED_VALUE"""),453.0)</f>
        <v>453</v>
      </c>
      <c r="M3762" s="5">
        <f>IFERROR(__xludf.DUMMYFUNCTION("""COMPUTED_VALUE"""),0.4972557628979144)</f>
        <v>0.4972557629</v>
      </c>
    </row>
    <row r="3763">
      <c r="A3763" s="10" t="str">
        <f>IFERROR(__xludf.DUMMYFUNCTION("""COMPUTED_VALUE"""),"ONAKAN")</f>
        <v>ONAKAN</v>
      </c>
      <c r="B3763" s="10">
        <f>IFERROR(__xludf.DUMMYFUNCTION("""COMPUTED_VALUE"""),828.0)</f>
        <v>828</v>
      </c>
      <c r="C3763" s="10">
        <f>IFERROR(__xludf.DUMMYFUNCTION("""COMPUTED_VALUE"""),9744.0)</f>
        <v>9744</v>
      </c>
      <c r="D3763" s="5">
        <f>IFERROR(__xludf.DUMMYFUNCTION("""COMPUTED_VALUE"""),0.42036787797218483)</f>
        <v>0.420367878</v>
      </c>
      <c r="E3763" s="5">
        <f>IFERROR(__xludf.DUMMYFUNCTION("""COMPUTED_VALUE"""),0.12202781516375057)</f>
        <v>0.1220278152</v>
      </c>
      <c r="F3763" s="5">
        <f>IFERROR(__xludf.DUMMYFUNCTION("""COMPUTED_VALUE"""),0.21343651861821444)</f>
        <v>0.2134365186</v>
      </c>
      <c r="G3763" s="5">
        <f>IFERROR(__xludf.DUMMYFUNCTION("""COMPUTED_VALUE"""),0.14311350381336924)</f>
        <v>0.1431135038</v>
      </c>
      <c r="H3763" s="5">
        <f>IFERROR(__xludf.DUMMYFUNCTION("""COMPUTED_VALUE"""),0.5995796111403048)</f>
        <v>0.5995796111</v>
      </c>
      <c r="I3763" s="11">
        <f>IFERROR(__xludf.DUMMYFUNCTION("""COMPUTED_VALUE"""),5035.36521282186)</f>
        <v>5035.365213</v>
      </c>
      <c r="J3763" s="10">
        <f>IFERROR(__xludf.DUMMYFUNCTION("""COMPUTED_VALUE"""),0.0)</f>
        <v>0</v>
      </c>
      <c r="K3763" s="5">
        <f>IFERROR(__xludf.DUMMYFUNCTION("""COMPUTED_VALUE"""),0.0)</f>
        <v>0</v>
      </c>
      <c r="L3763" s="10">
        <f>IFERROR(__xludf.DUMMYFUNCTION("""COMPUTED_VALUE"""),828.0)</f>
        <v>828</v>
      </c>
      <c r="M3763" s="5">
        <f>IFERROR(__xludf.DUMMYFUNCTION("""COMPUTED_VALUE"""),1.0)</f>
        <v>1</v>
      </c>
    </row>
    <row r="3764">
      <c r="A3764" s="10" t="str">
        <f>IFERROR(__xludf.DUMMYFUNCTION("""COMPUTED_VALUE"""),"めが３")</f>
        <v>めが３</v>
      </c>
      <c r="B3764" s="10">
        <f>IFERROR(__xludf.DUMMYFUNCTION("""COMPUTED_VALUE"""),596.0)</f>
        <v>596</v>
      </c>
      <c r="C3764" s="10">
        <f>IFERROR(__xludf.DUMMYFUNCTION("""COMPUTED_VALUE"""),7095.0)</f>
        <v>7095</v>
      </c>
      <c r="D3764" s="5">
        <f>IFERROR(__xludf.DUMMYFUNCTION("""COMPUTED_VALUE"""),0.3808278196645638)</f>
        <v>0.3808278197</v>
      </c>
      <c r="E3764" s="5">
        <f>IFERROR(__xludf.DUMMYFUNCTION("""COMPUTED_VALUE"""),0.1220187721187875)</f>
        <v>0.1220187721</v>
      </c>
      <c r="F3764" s="5">
        <f>IFERROR(__xludf.DUMMYFUNCTION("""COMPUTED_VALUE"""),0.208955223880597)</f>
        <v>0.2089552239</v>
      </c>
      <c r="G3764" s="5">
        <f>IFERROR(__xludf.DUMMYFUNCTION("""COMPUTED_VALUE"""),0.1654100630866287)</f>
        <v>0.1654100631</v>
      </c>
      <c r="H3764" s="5">
        <f>IFERROR(__xludf.DUMMYFUNCTION("""COMPUTED_VALUE"""),0.5817378497790869)</f>
        <v>0.5817378498</v>
      </c>
      <c r="I3764" s="11">
        <f>IFERROR(__xludf.DUMMYFUNCTION("""COMPUTED_VALUE"""),5469.661266568483)</f>
        <v>5469.661267</v>
      </c>
      <c r="J3764" s="10">
        <f>IFERROR(__xludf.DUMMYFUNCTION("""COMPUTED_VALUE"""),1.0)</f>
        <v>1</v>
      </c>
      <c r="K3764" s="5">
        <f>IFERROR(__xludf.DUMMYFUNCTION("""COMPUTED_VALUE"""),0.0016778523489932886)</f>
        <v>0.001677852349</v>
      </c>
      <c r="L3764" s="10">
        <f>IFERROR(__xludf.DUMMYFUNCTION("""COMPUTED_VALUE"""),596.0)</f>
        <v>596</v>
      </c>
      <c r="M3764" s="5">
        <f>IFERROR(__xludf.DUMMYFUNCTION("""COMPUTED_VALUE"""),1.0)</f>
        <v>1</v>
      </c>
    </row>
    <row r="3765">
      <c r="A3765" s="10" t="str">
        <f>IFERROR(__xludf.DUMMYFUNCTION("""COMPUTED_VALUE"""),"鷹正の倅＝富猫")</f>
        <v>鷹正の倅＝富猫</v>
      </c>
      <c r="B3765" s="10">
        <f>IFERROR(__xludf.DUMMYFUNCTION("""COMPUTED_VALUE"""),1659.0)</f>
        <v>1659</v>
      </c>
      <c r="C3765" s="10">
        <f>IFERROR(__xludf.DUMMYFUNCTION("""COMPUTED_VALUE"""),19460.0)</f>
        <v>19460</v>
      </c>
      <c r="D3765" s="5">
        <f>IFERROR(__xludf.DUMMYFUNCTION("""COMPUTED_VALUE"""),0.2727374866580529)</f>
        <v>0.2727374867</v>
      </c>
      <c r="E3765" s="5">
        <f>IFERROR(__xludf.DUMMYFUNCTION("""COMPUTED_VALUE"""),0.12201561710016291)</f>
        <v>0.1220156171</v>
      </c>
      <c r="F3765" s="5">
        <f>IFERROR(__xludf.DUMMYFUNCTION("""COMPUTED_VALUE"""),0.20083141396550755)</f>
        <v>0.200831414</v>
      </c>
      <c r="G3765" s="5">
        <f>IFERROR(__xludf.DUMMYFUNCTION("""COMPUTED_VALUE"""),0.16251895960901072)</f>
        <v>0.1625189596</v>
      </c>
      <c r="H3765" s="5">
        <f>IFERROR(__xludf.DUMMYFUNCTION("""COMPUTED_VALUE"""),0.5885314685314685)</f>
        <v>0.5885314685</v>
      </c>
      <c r="I3765" s="11">
        <f>IFERROR(__xludf.DUMMYFUNCTION("""COMPUTED_VALUE"""),5804.643356643357)</f>
        <v>5804.643357</v>
      </c>
      <c r="J3765" s="10">
        <f>IFERROR(__xludf.DUMMYFUNCTION("""COMPUTED_VALUE"""),3.0)</f>
        <v>3</v>
      </c>
      <c r="K3765" s="5">
        <f>IFERROR(__xludf.DUMMYFUNCTION("""COMPUTED_VALUE"""),0.0018083182640144665)</f>
        <v>0.001808318264</v>
      </c>
      <c r="L3765" s="10">
        <f>IFERROR(__xludf.DUMMYFUNCTION("""COMPUTED_VALUE"""),1659.0)</f>
        <v>1659</v>
      </c>
      <c r="M3765" s="5">
        <f>IFERROR(__xludf.DUMMYFUNCTION("""COMPUTED_VALUE"""),1.0)</f>
        <v>1</v>
      </c>
    </row>
    <row r="3766">
      <c r="A3766" s="10" t="str">
        <f>IFERROR(__xludf.DUMMYFUNCTION("""COMPUTED_VALUE"""),"刻子市民")</f>
        <v>刻子市民</v>
      </c>
      <c r="B3766" s="10">
        <f>IFERROR(__xludf.DUMMYFUNCTION("""COMPUTED_VALUE"""),574.0)</f>
        <v>574</v>
      </c>
      <c r="C3766" s="10">
        <f>IFERROR(__xludf.DUMMYFUNCTION("""COMPUTED_VALUE"""),6836.0)</f>
        <v>6836</v>
      </c>
      <c r="D3766" s="5">
        <f>IFERROR(__xludf.DUMMYFUNCTION("""COMPUTED_VALUE"""),0.3620249121686362)</f>
        <v>0.3620249122</v>
      </c>
      <c r="E3766" s="5">
        <f>IFERROR(__xludf.DUMMYFUNCTION("""COMPUTED_VALUE"""),0.12200574896199297)</f>
        <v>0.122005749</v>
      </c>
      <c r="F3766" s="5">
        <f>IFERROR(__xludf.DUMMYFUNCTION("""COMPUTED_VALUE"""),0.217183008623443)</f>
        <v>0.2171830086</v>
      </c>
      <c r="G3766" s="5">
        <f>IFERROR(__xludf.DUMMYFUNCTION("""COMPUTED_VALUE"""),0.14771638454167998)</f>
        <v>0.1477163845</v>
      </c>
      <c r="H3766" s="5">
        <f>IFERROR(__xludf.DUMMYFUNCTION("""COMPUTED_VALUE"""),0.6066176470588235)</f>
        <v>0.6066176471</v>
      </c>
      <c r="I3766" s="11">
        <f>IFERROR(__xludf.DUMMYFUNCTION("""COMPUTED_VALUE"""),5619.926470588235)</f>
        <v>5619.926471</v>
      </c>
      <c r="J3766" s="10">
        <f>IFERROR(__xludf.DUMMYFUNCTION("""COMPUTED_VALUE"""),1.0)</f>
        <v>1</v>
      </c>
      <c r="K3766" s="5">
        <f>IFERROR(__xludf.DUMMYFUNCTION("""COMPUTED_VALUE"""),0.0017421602787456446)</f>
        <v>0.001742160279</v>
      </c>
      <c r="L3766" s="10">
        <f>IFERROR(__xludf.DUMMYFUNCTION("""COMPUTED_VALUE"""),574.0)</f>
        <v>574</v>
      </c>
      <c r="M3766" s="5">
        <f>IFERROR(__xludf.DUMMYFUNCTION("""COMPUTED_VALUE"""),1.0)</f>
        <v>1</v>
      </c>
    </row>
    <row r="3767">
      <c r="A3767" s="10" t="str">
        <f>IFERROR(__xludf.DUMMYFUNCTION("""COMPUTED_VALUE"""),"akaunto")</f>
        <v>akaunto</v>
      </c>
      <c r="B3767" s="10">
        <f>IFERROR(__xludf.DUMMYFUNCTION("""COMPUTED_VALUE"""),146.0)</f>
        <v>146</v>
      </c>
      <c r="C3767" s="10">
        <f>IFERROR(__xludf.DUMMYFUNCTION("""COMPUTED_VALUE"""),1728.0)</f>
        <v>1728</v>
      </c>
      <c r="D3767" s="5">
        <f>IFERROR(__xludf.DUMMYFUNCTION("""COMPUTED_VALUE"""),0.4134007585335019)</f>
        <v>0.4134007585</v>
      </c>
      <c r="E3767" s="5">
        <f>IFERROR(__xludf.DUMMYFUNCTION("""COMPUTED_VALUE"""),0.12199747155499367)</f>
        <v>0.1219974716</v>
      </c>
      <c r="F3767" s="5">
        <f>IFERROR(__xludf.DUMMYFUNCTION("""COMPUTED_VALUE"""),0.21618204804045513)</f>
        <v>0.216182048</v>
      </c>
      <c r="G3767" s="5">
        <f>IFERROR(__xludf.DUMMYFUNCTION("""COMPUTED_VALUE"""),0.15233881163084703)</f>
        <v>0.1523388116</v>
      </c>
      <c r="H3767" s="5">
        <f>IFERROR(__xludf.DUMMYFUNCTION("""COMPUTED_VALUE"""),0.5730994152046783)</f>
        <v>0.5730994152</v>
      </c>
      <c r="I3767" s="11">
        <f>IFERROR(__xludf.DUMMYFUNCTION("""COMPUTED_VALUE"""),5356.432748538012)</f>
        <v>5356.432749</v>
      </c>
      <c r="J3767" s="10">
        <f>IFERROR(__xludf.DUMMYFUNCTION("""COMPUTED_VALUE"""),0.0)</f>
        <v>0</v>
      </c>
      <c r="K3767" s="5">
        <f>IFERROR(__xludf.DUMMYFUNCTION("""COMPUTED_VALUE"""),0.0)</f>
        <v>0</v>
      </c>
      <c r="L3767" s="10">
        <f>IFERROR(__xludf.DUMMYFUNCTION("""COMPUTED_VALUE"""),146.0)</f>
        <v>146</v>
      </c>
      <c r="M3767" s="5">
        <f>IFERROR(__xludf.DUMMYFUNCTION("""COMPUTED_VALUE"""),1.0)</f>
        <v>1</v>
      </c>
    </row>
    <row r="3768">
      <c r="A3768" s="10" t="str">
        <f>IFERROR(__xludf.DUMMYFUNCTION("""COMPUTED_VALUE"""),"裏のまた裏話")</f>
        <v>裏のまた裏話</v>
      </c>
      <c r="B3768" s="10">
        <f>IFERROR(__xludf.DUMMYFUNCTION("""COMPUTED_VALUE"""),2036.0)</f>
        <v>2036</v>
      </c>
      <c r="C3768" s="10">
        <f>IFERROR(__xludf.DUMMYFUNCTION("""COMPUTED_VALUE"""),23636.0)</f>
        <v>23636</v>
      </c>
      <c r="D3768" s="5">
        <f>IFERROR(__xludf.DUMMYFUNCTION("""COMPUTED_VALUE"""),0.32189814814814816)</f>
        <v>0.3218981481</v>
      </c>
      <c r="E3768" s="5">
        <f>IFERROR(__xludf.DUMMYFUNCTION("""COMPUTED_VALUE"""),0.12199074074074075)</f>
        <v>0.1219907407</v>
      </c>
      <c r="F3768" s="5">
        <f>IFERROR(__xludf.DUMMYFUNCTION("""COMPUTED_VALUE"""),0.2125462962962963)</f>
        <v>0.2125462963</v>
      </c>
      <c r="G3768" s="5">
        <f>IFERROR(__xludf.DUMMYFUNCTION("""COMPUTED_VALUE"""),0.19115740740740741)</f>
        <v>0.1911574074</v>
      </c>
      <c r="H3768" s="5">
        <f>IFERROR(__xludf.DUMMYFUNCTION("""COMPUTED_VALUE"""),0.5815726421258985)</f>
        <v>0.5815726421</v>
      </c>
      <c r="I3768" s="11">
        <f>IFERROR(__xludf.DUMMYFUNCTION("""COMPUTED_VALUE"""),5894.881289479416)</f>
        <v>5894.881289</v>
      </c>
      <c r="J3768" s="10">
        <f>IFERROR(__xludf.DUMMYFUNCTION("""COMPUTED_VALUE"""),3.0)</f>
        <v>3</v>
      </c>
      <c r="K3768" s="5">
        <f>IFERROR(__xludf.DUMMYFUNCTION("""COMPUTED_VALUE"""),0.0014734774066797642)</f>
        <v>0.001473477407</v>
      </c>
      <c r="L3768" s="10">
        <f>IFERROR(__xludf.DUMMYFUNCTION("""COMPUTED_VALUE"""),0.0)</f>
        <v>0</v>
      </c>
      <c r="M3768" s="5">
        <f>IFERROR(__xludf.DUMMYFUNCTION("""COMPUTED_VALUE"""),0.0)</f>
        <v>0</v>
      </c>
    </row>
    <row r="3769">
      <c r="A3769" s="10" t="str">
        <f>IFERROR(__xludf.DUMMYFUNCTION("""COMPUTED_VALUE"""),"ガク、")</f>
        <v>ガク、</v>
      </c>
      <c r="B3769" s="10">
        <f>IFERROR(__xludf.DUMMYFUNCTION("""COMPUTED_VALUE"""),1091.0)</f>
        <v>1091</v>
      </c>
      <c r="C3769" s="10">
        <f>IFERROR(__xludf.DUMMYFUNCTION("""COMPUTED_VALUE"""),12756.0)</f>
        <v>12756</v>
      </c>
      <c r="D3769" s="5">
        <f>IFERROR(__xludf.DUMMYFUNCTION("""COMPUTED_VALUE"""),0.3334762108872696)</f>
        <v>0.3334762109</v>
      </c>
      <c r="E3769" s="5">
        <f>IFERROR(__xludf.DUMMYFUNCTION("""COMPUTED_VALUE"""),0.12198885555079297)</f>
        <v>0.1219888556</v>
      </c>
      <c r="F3769" s="5">
        <f>IFERROR(__xludf.DUMMYFUNCTION("""COMPUTED_VALUE"""),0.21954564937848264)</f>
        <v>0.2195456494</v>
      </c>
      <c r="G3769" s="5">
        <f>IFERROR(__xludf.DUMMYFUNCTION("""COMPUTED_VALUE"""),0.1954564937848264)</f>
        <v>0.1954564938</v>
      </c>
      <c r="H3769" s="5">
        <f>IFERROR(__xludf.DUMMYFUNCTION("""COMPUTED_VALUE"""),0.5864896524795002)</f>
        <v>0.5864896525</v>
      </c>
      <c r="I3769" s="11">
        <f>IFERROR(__xludf.DUMMYFUNCTION("""COMPUTED_VALUE"""),5760.484185864897)</f>
        <v>5760.484186</v>
      </c>
      <c r="J3769" s="10">
        <f>IFERROR(__xludf.DUMMYFUNCTION("""COMPUTED_VALUE"""),3.0)</f>
        <v>3</v>
      </c>
      <c r="K3769" s="5">
        <f>IFERROR(__xludf.DUMMYFUNCTION("""COMPUTED_VALUE"""),0.002749770852428964)</f>
        <v>0.002749770852</v>
      </c>
      <c r="L3769" s="10">
        <f>IFERROR(__xludf.DUMMYFUNCTION("""COMPUTED_VALUE"""),1091.0)</f>
        <v>1091</v>
      </c>
      <c r="M3769" s="5">
        <f>IFERROR(__xludf.DUMMYFUNCTION("""COMPUTED_VALUE"""),1.0)</f>
        <v>1</v>
      </c>
    </row>
    <row r="3770">
      <c r="A3770" s="10" t="str">
        <f>IFERROR(__xludf.DUMMYFUNCTION("""COMPUTED_VALUE"""),"たんにゃお！")</f>
        <v>たんにゃお！</v>
      </c>
      <c r="B3770" s="10">
        <f>IFERROR(__xludf.DUMMYFUNCTION("""COMPUTED_VALUE"""),1342.0)</f>
        <v>1342</v>
      </c>
      <c r="C3770" s="10">
        <f>IFERROR(__xludf.DUMMYFUNCTION("""COMPUTED_VALUE"""),15796.0)</f>
        <v>15796</v>
      </c>
      <c r="D3770" s="5">
        <f>IFERROR(__xludf.DUMMYFUNCTION("""COMPUTED_VALUE"""),0.3847377888473779)</f>
        <v>0.3847377888</v>
      </c>
      <c r="E3770" s="5">
        <f>IFERROR(__xludf.DUMMYFUNCTION("""COMPUTED_VALUE"""),0.12197315621973157)</f>
        <v>0.1219731562</v>
      </c>
      <c r="F3770" s="5">
        <f>IFERROR(__xludf.DUMMYFUNCTION("""COMPUTED_VALUE"""),0.20285042202850423)</f>
        <v>0.202850422</v>
      </c>
      <c r="G3770" s="5">
        <f>IFERROR(__xludf.DUMMYFUNCTION("""COMPUTED_VALUE"""),0.15698076656980767)</f>
        <v>0.1569807666</v>
      </c>
      <c r="H3770" s="5">
        <f>IFERROR(__xludf.DUMMYFUNCTION("""COMPUTED_VALUE"""),0.5972032742155525)</f>
        <v>0.5972032742</v>
      </c>
      <c r="I3770" s="11">
        <f>IFERROR(__xludf.DUMMYFUNCTION("""COMPUTED_VALUE"""),5407.06002728513)</f>
        <v>5407.060027</v>
      </c>
      <c r="J3770" s="10">
        <f>IFERROR(__xludf.DUMMYFUNCTION("""COMPUTED_VALUE"""),5.0)</f>
        <v>5</v>
      </c>
      <c r="K3770" s="5">
        <f>IFERROR(__xludf.DUMMYFUNCTION("""COMPUTED_VALUE"""),0.0037257824143070045)</f>
        <v>0.003725782414</v>
      </c>
      <c r="L3770" s="10">
        <f>IFERROR(__xludf.DUMMYFUNCTION("""COMPUTED_VALUE"""),1342.0)</f>
        <v>1342</v>
      </c>
      <c r="M3770" s="5">
        <f>IFERROR(__xludf.DUMMYFUNCTION("""COMPUTED_VALUE"""),1.0)</f>
        <v>1</v>
      </c>
    </row>
    <row r="3771">
      <c r="A3771" s="10" t="str">
        <f>IFERROR(__xludf.DUMMYFUNCTION("""COMPUTED_VALUE"""),"ikki0607")</f>
        <v>ikki0607</v>
      </c>
      <c r="B3771" s="10">
        <f>IFERROR(__xludf.DUMMYFUNCTION("""COMPUTED_VALUE"""),211.0)</f>
        <v>211</v>
      </c>
      <c r="C3771" s="10">
        <f>IFERROR(__xludf.DUMMYFUNCTION("""COMPUTED_VALUE"""),2441.0)</f>
        <v>2441</v>
      </c>
      <c r="D3771" s="5">
        <f>IFERROR(__xludf.DUMMYFUNCTION("""COMPUTED_VALUE"""),0.31031390134529147)</f>
        <v>0.3103139013</v>
      </c>
      <c r="E3771" s="5">
        <f>IFERROR(__xludf.DUMMYFUNCTION("""COMPUTED_VALUE"""),0.12197309417040358)</f>
        <v>0.1219730942</v>
      </c>
      <c r="F3771" s="5">
        <f>IFERROR(__xludf.DUMMYFUNCTION("""COMPUTED_VALUE"""),0.19506726457399104)</f>
        <v>0.1950672646</v>
      </c>
      <c r="G3771" s="5">
        <f>IFERROR(__xludf.DUMMYFUNCTION("""COMPUTED_VALUE"""),0.17533632286995515)</f>
        <v>0.1753363229</v>
      </c>
      <c r="H3771" s="5">
        <f>IFERROR(__xludf.DUMMYFUNCTION("""COMPUTED_VALUE"""),0.6160919540229886)</f>
        <v>0.616091954</v>
      </c>
      <c r="I3771" s="11">
        <f>IFERROR(__xludf.DUMMYFUNCTION("""COMPUTED_VALUE"""),6041.149425287356)</f>
        <v>6041.149425</v>
      </c>
      <c r="J3771" s="10">
        <f>IFERROR(__xludf.DUMMYFUNCTION("""COMPUTED_VALUE"""),1.0)</f>
        <v>1</v>
      </c>
      <c r="K3771" s="5">
        <f>IFERROR(__xludf.DUMMYFUNCTION("""COMPUTED_VALUE"""),0.004739336492890996)</f>
        <v>0.004739336493</v>
      </c>
      <c r="L3771" s="10">
        <f>IFERROR(__xludf.DUMMYFUNCTION("""COMPUTED_VALUE"""),211.0)</f>
        <v>211</v>
      </c>
      <c r="M3771" s="5">
        <f>IFERROR(__xludf.DUMMYFUNCTION("""COMPUTED_VALUE"""),1.0)</f>
        <v>1</v>
      </c>
    </row>
    <row r="3772">
      <c r="A3772" s="10" t="str">
        <f>IFERROR(__xludf.DUMMYFUNCTION("""COMPUTED_VALUE"""),"ぺー")</f>
        <v>ぺー</v>
      </c>
      <c r="B3772" s="10">
        <f>IFERROR(__xludf.DUMMYFUNCTION("""COMPUTED_VALUE"""),757.0)</f>
        <v>757</v>
      </c>
      <c r="C3772" s="10">
        <f>IFERROR(__xludf.DUMMYFUNCTION("""COMPUTED_VALUE"""),8964.0)</f>
        <v>8964</v>
      </c>
      <c r="D3772" s="5">
        <f>IFERROR(__xludf.DUMMYFUNCTION("""COMPUTED_VALUE"""),0.3460460582429633)</f>
        <v>0.3460460582</v>
      </c>
      <c r="E3772" s="5">
        <f>IFERROR(__xludf.DUMMYFUNCTION("""COMPUTED_VALUE"""),0.1219690508102839)</f>
        <v>0.1219690508</v>
      </c>
      <c r="F3772" s="5">
        <f>IFERROR(__xludf.DUMMYFUNCTION("""COMPUTED_VALUE"""),0.22188375776775923)</f>
        <v>0.2218837578</v>
      </c>
      <c r="G3772" s="5">
        <f>IFERROR(__xludf.DUMMYFUNCTION("""COMPUTED_VALUE"""),0.1685146825880346)</f>
        <v>0.1685146826</v>
      </c>
      <c r="H3772" s="5">
        <f>IFERROR(__xludf.DUMMYFUNCTION("""COMPUTED_VALUE"""),0.6079077429983526)</f>
        <v>0.607907743</v>
      </c>
      <c r="I3772" s="11">
        <f>IFERROR(__xludf.DUMMYFUNCTION("""COMPUTED_VALUE"""),5562.71279516749)</f>
        <v>5562.712795</v>
      </c>
      <c r="J3772" s="10">
        <f>IFERROR(__xludf.DUMMYFUNCTION("""COMPUTED_VALUE"""),2.0)</f>
        <v>2</v>
      </c>
      <c r="K3772" s="5">
        <f>IFERROR(__xludf.DUMMYFUNCTION("""COMPUTED_VALUE"""),0.002642007926023778)</f>
        <v>0.002642007926</v>
      </c>
      <c r="L3772" s="10">
        <f>IFERROR(__xludf.DUMMYFUNCTION("""COMPUTED_VALUE"""),757.0)</f>
        <v>757</v>
      </c>
      <c r="M3772" s="5">
        <f>IFERROR(__xludf.DUMMYFUNCTION("""COMPUTED_VALUE"""),1.0)</f>
        <v>1</v>
      </c>
    </row>
    <row r="3773">
      <c r="A3773" s="10" t="str">
        <f>IFERROR(__xludf.DUMMYFUNCTION("""COMPUTED_VALUE"""),"錯乱カルピス")</f>
        <v>錯乱カルピス</v>
      </c>
      <c r="B3773" s="10">
        <f>IFERROR(__xludf.DUMMYFUNCTION("""COMPUTED_VALUE"""),339.0)</f>
        <v>339</v>
      </c>
      <c r="C3773" s="10">
        <f>IFERROR(__xludf.DUMMYFUNCTION("""COMPUTED_VALUE"""),4004.0)</f>
        <v>4004</v>
      </c>
      <c r="D3773" s="5">
        <f>IFERROR(__xludf.DUMMYFUNCTION("""COMPUTED_VALUE"""),0.4605729877216917)</f>
        <v>0.4605729877</v>
      </c>
      <c r="E3773" s="5">
        <f>IFERROR(__xludf.DUMMYFUNCTION("""COMPUTED_VALUE"""),0.12196452933151432)</f>
        <v>0.1219645293</v>
      </c>
      <c r="F3773" s="5">
        <f>IFERROR(__xludf.DUMMYFUNCTION("""COMPUTED_VALUE"""),0.2100954979536153)</f>
        <v>0.210095498</v>
      </c>
      <c r="G3773" s="5">
        <f>IFERROR(__xludf.DUMMYFUNCTION("""COMPUTED_VALUE"""),0.13533424283765347)</f>
        <v>0.1353342428</v>
      </c>
      <c r="H3773" s="5">
        <f>IFERROR(__xludf.DUMMYFUNCTION("""COMPUTED_VALUE"""),0.5324675324675324)</f>
        <v>0.5324675325</v>
      </c>
      <c r="I3773" s="11">
        <f>IFERROR(__xludf.DUMMYFUNCTION("""COMPUTED_VALUE"""),5471.428571428572)</f>
        <v>5471.428571</v>
      </c>
      <c r="J3773" s="10">
        <f>IFERROR(__xludf.DUMMYFUNCTION("""COMPUTED_VALUE"""),1.0)</f>
        <v>1</v>
      </c>
      <c r="K3773" s="5">
        <f>IFERROR(__xludf.DUMMYFUNCTION("""COMPUTED_VALUE"""),0.0029498525073746312)</f>
        <v>0.002949852507</v>
      </c>
      <c r="L3773" s="10">
        <f>IFERROR(__xludf.DUMMYFUNCTION("""COMPUTED_VALUE"""),0.0)</f>
        <v>0</v>
      </c>
      <c r="M3773" s="5">
        <f>IFERROR(__xludf.DUMMYFUNCTION("""COMPUTED_VALUE"""),0.0)</f>
        <v>0</v>
      </c>
    </row>
    <row r="3774">
      <c r="A3774" s="10" t="str">
        <f>IFERROR(__xludf.DUMMYFUNCTION("""COMPUTED_VALUE"""),"butitama")</f>
        <v>butitama</v>
      </c>
      <c r="B3774" s="10">
        <f>IFERROR(__xludf.DUMMYFUNCTION("""COMPUTED_VALUE"""),5143.0)</f>
        <v>5143</v>
      </c>
      <c r="C3774" s="10">
        <f>IFERROR(__xludf.DUMMYFUNCTION("""COMPUTED_VALUE"""),60381.0)</f>
        <v>60381</v>
      </c>
      <c r="D3774" s="5">
        <f>IFERROR(__xludf.DUMMYFUNCTION("""COMPUTED_VALUE"""),0.35540750932329196)</f>
        <v>0.3554075093</v>
      </c>
      <c r="E3774" s="5">
        <f>IFERROR(__xludf.DUMMYFUNCTION("""COMPUTED_VALUE"""),0.12196314131576089)</f>
        <v>0.1219631413</v>
      </c>
      <c r="F3774" s="5">
        <f>IFERROR(__xludf.DUMMYFUNCTION("""COMPUTED_VALUE"""),0.21485209457257684)</f>
        <v>0.2148520946</v>
      </c>
      <c r="G3774" s="5">
        <f>IFERROR(__xludf.DUMMYFUNCTION("""COMPUTED_VALUE"""),0.17783047901806728)</f>
        <v>0.177830479</v>
      </c>
      <c r="H3774" s="5">
        <f>IFERROR(__xludf.DUMMYFUNCTION("""COMPUTED_VALUE"""),0.6042298618132794)</f>
        <v>0.6042298618</v>
      </c>
      <c r="I3774" s="11">
        <f>IFERROR(__xludf.DUMMYFUNCTION("""COMPUTED_VALUE"""),5566.380182002023)</f>
        <v>5566.380182</v>
      </c>
      <c r="J3774" s="10">
        <f>IFERROR(__xludf.DUMMYFUNCTION("""COMPUTED_VALUE"""),9.0)</f>
        <v>9</v>
      </c>
      <c r="K3774" s="5">
        <f>IFERROR(__xludf.DUMMYFUNCTION("""COMPUTED_VALUE"""),0.00174995139023916)</f>
        <v>0.00174995139</v>
      </c>
      <c r="L3774" s="10">
        <f>IFERROR(__xludf.DUMMYFUNCTION("""COMPUTED_VALUE"""),5132.0)</f>
        <v>5132</v>
      </c>
      <c r="M3774" s="5">
        <f>IFERROR(__xludf.DUMMYFUNCTION("""COMPUTED_VALUE"""),0.997861170523041)</f>
        <v>0.9978611705</v>
      </c>
    </row>
    <row r="3775">
      <c r="A3775" s="10" t="str">
        <f>IFERROR(__xludf.DUMMYFUNCTION("""COMPUTED_VALUE"""),"gogo-ゴリラ")</f>
        <v>gogo-ゴリラ</v>
      </c>
      <c r="B3775" s="10">
        <f>IFERROR(__xludf.DUMMYFUNCTION("""COMPUTED_VALUE"""),778.0)</f>
        <v>778</v>
      </c>
      <c r="C3775" s="10">
        <f>IFERROR(__xludf.DUMMYFUNCTION("""COMPUTED_VALUE"""),9051.0)</f>
        <v>9051</v>
      </c>
      <c r="D3775" s="5">
        <f>IFERROR(__xludf.DUMMYFUNCTION("""COMPUTED_VALUE"""),0.3166928562794633)</f>
        <v>0.3166928563</v>
      </c>
      <c r="E3775" s="5">
        <f>IFERROR(__xludf.DUMMYFUNCTION("""COMPUTED_VALUE"""),0.12196301220838873)</f>
        <v>0.1219630122</v>
      </c>
      <c r="F3775" s="5">
        <f>IFERROR(__xludf.DUMMYFUNCTION("""COMPUTED_VALUE"""),0.20488335549377493)</f>
        <v>0.2048833555</v>
      </c>
      <c r="G3775" s="5">
        <f>IFERROR(__xludf.DUMMYFUNCTION("""COMPUTED_VALUE"""),0.18929046295177082)</f>
        <v>0.189290463</v>
      </c>
      <c r="H3775" s="5">
        <f>IFERROR(__xludf.DUMMYFUNCTION("""COMPUTED_VALUE"""),0.6058997050147492)</f>
        <v>0.605899705</v>
      </c>
      <c r="I3775" s="11">
        <f>IFERROR(__xludf.DUMMYFUNCTION("""COMPUTED_VALUE"""),5979.0560471976405)</f>
        <v>5979.056047</v>
      </c>
      <c r="J3775" s="10">
        <f>IFERROR(__xludf.DUMMYFUNCTION("""COMPUTED_VALUE"""),1.0)</f>
        <v>1</v>
      </c>
      <c r="K3775" s="5">
        <f>IFERROR(__xludf.DUMMYFUNCTION("""COMPUTED_VALUE"""),0.0012853470437017994)</f>
        <v>0.001285347044</v>
      </c>
      <c r="L3775" s="10">
        <f>IFERROR(__xludf.DUMMYFUNCTION("""COMPUTED_VALUE"""),778.0)</f>
        <v>778</v>
      </c>
      <c r="M3775" s="5">
        <f>IFERROR(__xludf.DUMMYFUNCTION("""COMPUTED_VALUE"""),1.0)</f>
        <v>1</v>
      </c>
    </row>
    <row r="3776">
      <c r="A3776" s="10" t="str">
        <f>IFERROR(__xludf.DUMMYFUNCTION("""COMPUTED_VALUE"""),"rasberry")</f>
        <v>rasberry</v>
      </c>
      <c r="B3776" s="10">
        <f>IFERROR(__xludf.DUMMYFUNCTION("""COMPUTED_VALUE"""),999.0)</f>
        <v>999</v>
      </c>
      <c r="C3776" s="10">
        <f>IFERROR(__xludf.DUMMYFUNCTION("""COMPUTED_VALUE"""),11675.0)</f>
        <v>11675</v>
      </c>
      <c r="D3776" s="5">
        <f>IFERROR(__xludf.DUMMYFUNCTION("""COMPUTED_VALUE"""),0.29008992131884603)</f>
        <v>0.2900899213</v>
      </c>
      <c r="E3776" s="5">
        <f>IFERROR(__xludf.DUMMYFUNCTION("""COMPUTED_VALUE"""),0.12195578868490072)</f>
        <v>0.1219557887</v>
      </c>
      <c r="F3776" s="5">
        <f>IFERROR(__xludf.DUMMYFUNCTION("""COMPUTED_VALUE"""),0.21309479205695017)</f>
        <v>0.2130947921</v>
      </c>
      <c r="G3776" s="5">
        <f>IFERROR(__xludf.DUMMYFUNCTION("""COMPUTED_VALUE"""),0.19155114275009366)</f>
        <v>0.1915511428</v>
      </c>
      <c r="H3776" s="5">
        <f>IFERROR(__xludf.DUMMYFUNCTION("""COMPUTED_VALUE"""),0.6008791208791209)</f>
        <v>0.6008791209</v>
      </c>
      <c r="I3776" s="11">
        <f>IFERROR(__xludf.DUMMYFUNCTION("""COMPUTED_VALUE"""),5655.516483516483)</f>
        <v>5655.516484</v>
      </c>
      <c r="J3776" s="10">
        <f>IFERROR(__xludf.DUMMYFUNCTION("""COMPUTED_VALUE"""),1.0)</f>
        <v>1</v>
      </c>
      <c r="K3776" s="5">
        <f>IFERROR(__xludf.DUMMYFUNCTION("""COMPUTED_VALUE"""),0.001001001001001001)</f>
        <v>0.001001001001</v>
      </c>
      <c r="L3776" s="10">
        <f>IFERROR(__xludf.DUMMYFUNCTION("""COMPUTED_VALUE"""),0.0)</f>
        <v>0</v>
      </c>
      <c r="M3776" s="5">
        <f>IFERROR(__xludf.DUMMYFUNCTION("""COMPUTED_VALUE"""),0.0)</f>
        <v>0</v>
      </c>
    </row>
    <row r="3777">
      <c r="A3777" s="10" t="str">
        <f>IFERROR(__xludf.DUMMYFUNCTION("""COMPUTED_VALUE"""),"ぷんぷん！")</f>
        <v>ぷんぷん！</v>
      </c>
      <c r="B3777" s="10">
        <f>IFERROR(__xludf.DUMMYFUNCTION("""COMPUTED_VALUE"""),2099.0)</f>
        <v>2099</v>
      </c>
      <c r="C3777" s="10">
        <f>IFERROR(__xludf.DUMMYFUNCTION("""COMPUTED_VALUE"""),24559.0)</f>
        <v>24559</v>
      </c>
      <c r="D3777" s="5">
        <f>IFERROR(__xludf.DUMMYFUNCTION("""COMPUTED_VALUE"""),0.37684772929652716)</f>
        <v>0.3768477293</v>
      </c>
      <c r="E3777" s="5">
        <f>IFERROR(__xludf.DUMMYFUNCTION("""COMPUTED_VALUE"""),0.12195013357079253)</f>
        <v>0.1219501336</v>
      </c>
      <c r="F3777" s="5">
        <f>IFERROR(__xludf.DUMMYFUNCTION("""COMPUTED_VALUE"""),0.20048975957257345)</f>
        <v>0.2004897596</v>
      </c>
      <c r="G3777" s="5">
        <f>IFERROR(__xludf.DUMMYFUNCTION("""COMPUTED_VALUE"""),0.1761353517364203)</f>
        <v>0.1761353517</v>
      </c>
      <c r="H3777" s="5">
        <f>IFERROR(__xludf.DUMMYFUNCTION("""COMPUTED_VALUE"""),0.5827226293582056)</f>
        <v>0.5827226294</v>
      </c>
      <c r="I3777" s="11">
        <f>IFERROR(__xludf.DUMMYFUNCTION("""COMPUTED_VALUE"""),5822.496113701976)</f>
        <v>5822.496114</v>
      </c>
      <c r="J3777" s="10">
        <f>IFERROR(__xludf.DUMMYFUNCTION("""COMPUTED_VALUE"""),3.0)</f>
        <v>3</v>
      </c>
      <c r="K3777" s="5">
        <f>IFERROR(__xludf.DUMMYFUNCTION("""COMPUTED_VALUE"""),0.0014292520247737017)</f>
        <v>0.001429252025</v>
      </c>
      <c r="L3777" s="10">
        <f>IFERROR(__xludf.DUMMYFUNCTION("""COMPUTED_VALUE"""),2099.0)</f>
        <v>2099</v>
      </c>
      <c r="M3777" s="5">
        <f>IFERROR(__xludf.DUMMYFUNCTION("""COMPUTED_VALUE"""),1.0)</f>
        <v>1</v>
      </c>
    </row>
    <row r="3778">
      <c r="A3778" s="10" t="str">
        <f>IFERROR(__xludf.DUMMYFUNCTION("""COMPUTED_VALUE"""),"LET")</f>
        <v>LET</v>
      </c>
      <c r="B3778" s="10">
        <f>IFERROR(__xludf.DUMMYFUNCTION("""COMPUTED_VALUE"""),480.0)</f>
        <v>480</v>
      </c>
      <c r="C3778" s="10">
        <f>IFERROR(__xludf.DUMMYFUNCTION("""COMPUTED_VALUE"""),5671.0)</f>
        <v>5671</v>
      </c>
      <c r="D3778" s="5">
        <f>IFERROR(__xludf.DUMMYFUNCTION("""COMPUTED_VALUE"""),0.4261221344634945)</f>
        <v>0.4261221345</v>
      </c>
      <c r="E3778" s="5">
        <f>IFERROR(__xludf.DUMMYFUNCTION("""COMPUTED_VALUE"""),0.12194182238489694)</f>
        <v>0.1219418224</v>
      </c>
      <c r="F3778" s="5">
        <f>IFERROR(__xludf.DUMMYFUNCTION("""COMPUTED_VALUE"""),0.20188788287420537)</f>
        <v>0.2018878829</v>
      </c>
      <c r="G3778" s="5">
        <f>IFERROR(__xludf.DUMMYFUNCTION("""COMPUTED_VALUE"""),0.14371026777114237)</f>
        <v>0.1437102678</v>
      </c>
      <c r="H3778" s="5">
        <f>IFERROR(__xludf.DUMMYFUNCTION("""COMPUTED_VALUE"""),0.6020992366412213)</f>
        <v>0.6020992366</v>
      </c>
      <c r="I3778" s="11">
        <f>IFERROR(__xludf.DUMMYFUNCTION("""COMPUTED_VALUE"""),5507.633587786259)</f>
        <v>5507.633588</v>
      </c>
      <c r="J3778" s="10">
        <f>IFERROR(__xludf.DUMMYFUNCTION("""COMPUTED_VALUE"""),1.0)</f>
        <v>1</v>
      </c>
      <c r="K3778" s="5">
        <f>IFERROR(__xludf.DUMMYFUNCTION("""COMPUTED_VALUE"""),0.0020833333333333333)</f>
        <v>0.002083333333</v>
      </c>
      <c r="L3778" s="10">
        <f>IFERROR(__xludf.DUMMYFUNCTION("""COMPUTED_VALUE"""),480.0)</f>
        <v>480</v>
      </c>
      <c r="M3778" s="5">
        <f>IFERROR(__xludf.DUMMYFUNCTION("""COMPUTED_VALUE"""),1.0)</f>
        <v>1</v>
      </c>
    </row>
    <row r="3779">
      <c r="A3779" s="10" t="str">
        <f>IFERROR(__xludf.DUMMYFUNCTION("""COMPUTED_VALUE"""),"りめろ")</f>
        <v>りめろ</v>
      </c>
      <c r="B3779" s="10">
        <f>IFERROR(__xludf.DUMMYFUNCTION("""COMPUTED_VALUE"""),3061.0)</f>
        <v>3061</v>
      </c>
      <c r="C3779" s="10">
        <f>IFERROR(__xludf.DUMMYFUNCTION("""COMPUTED_VALUE"""),36053.0)</f>
        <v>36053</v>
      </c>
      <c r="D3779" s="5">
        <f>IFERROR(__xludf.DUMMYFUNCTION("""COMPUTED_VALUE"""),0.3790919010669253)</f>
        <v>0.3790919011</v>
      </c>
      <c r="E3779" s="5">
        <f>IFERROR(__xludf.DUMMYFUNCTION("""COMPUTED_VALUE"""),0.1219386517943744)</f>
        <v>0.1219386518</v>
      </c>
      <c r="F3779" s="5">
        <f>IFERROR(__xludf.DUMMYFUNCTION("""COMPUTED_VALUE"""),0.21326382153249274)</f>
        <v>0.2132638215</v>
      </c>
      <c r="G3779" s="5">
        <f>IFERROR(__xludf.DUMMYFUNCTION("""COMPUTED_VALUE"""),0.15834141610087293)</f>
        <v>0.1583414161</v>
      </c>
      <c r="H3779" s="5">
        <f>IFERROR(__xludf.DUMMYFUNCTION("""COMPUTED_VALUE"""),0.6001989766913018)</f>
        <v>0.6001989767</v>
      </c>
      <c r="I3779" s="11">
        <f>IFERROR(__xludf.DUMMYFUNCTION("""COMPUTED_VALUE"""),5295.167708925526)</f>
        <v>5295.167709</v>
      </c>
      <c r="J3779" s="10">
        <f>IFERROR(__xludf.DUMMYFUNCTION("""COMPUTED_VALUE"""),1.0)</f>
        <v>1</v>
      </c>
      <c r="K3779" s="5">
        <f>IFERROR(__xludf.DUMMYFUNCTION("""COMPUTED_VALUE"""),3.266906239790918E-4)</f>
        <v>0.000326690624</v>
      </c>
      <c r="L3779" s="10">
        <f>IFERROR(__xludf.DUMMYFUNCTION("""COMPUTED_VALUE"""),2342.0)</f>
        <v>2342</v>
      </c>
      <c r="M3779" s="5">
        <f>IFERROR(__xludf.DUMMYFUNCTION("""COMPUTED_VALUE"""),0.765109441359033)</f>
        <v>0.7651094414</v>
      </c>
    </row>
    <row r="3780">
      <c r="A3780" s="10" t="str">
        <f>IFERROR(__xludf.DUMMYFUNCTION("""COMPUTED_VALUE"""),"lg21")</f>
        <v>lg21</v>
      </c>
      <c r="B3780" s="10">
        <f>IFERROR(__xludf.DUMMYFUNCTION("""COMPUTED_VALUE"""),1996.0)</f>
        <v>1996</v>
      </c>
      <c r="C3780" s="10">
        <f>IFERROR(__xludf.DUMMYFUNCTION("""COMPUTED_VALUE"""),23450.0)</f>
        <v>23450</v>
      </c>
      <c r="D3780" s="5">
        <f>IFERROR(__xludf.DUMMYFUNCTION("""COMPUTED_VALUE"""),0.3396569404306889)</f>
        <v>0.3396569404</v>
      </c>
      <c r="E3780" s="5">
        <f>IFERROR(__xludf.DUMMYFUNCTION("""COMPUTED_VALUE"""),0.12193530343991796)</f>
        <v>0.1219353034</v>
      </c>
      <c r="F3780" s="5">
        <f>IFERROR(__xludf.DUMMYFUNCTION("""COMPUTED_VALUE"""),0.21329355831080452)</f>
        <v>0.2132935583</v>
      </c>
      <c r="G3780" s="5">
        <f>IFERROR(__xludf.DUMMYFUNCTION("""COMPUTED_VALUE"""),0.1781019856437028)</f>
        <v>0.1781019856</v>
      </c>
      <c r="H3780" s="5">
        <f>IFERROR(__xludf.DUMMYFUNCTION("""COMPUTED_VALUE"""),0.597027972027972)</f>
        <v>0.597027972</v>
      </c>
      <c r="I3780" s="11">
        <f>IFERROR(__xludf.DUMMYFUNCTION("""COMPUTED_VALUE"""),5489.5760489510485)</f>
        <v>5489.576049</v>
      </c>
      <c r="J3780" s="10">
        <f>IFERROR(__xludf.DUMMYFUNCTION("""COMPUTED_VALUE"""),3.0)</f>
        <v>3</v>
      </c>
      <c r="K3780" s="5">
        <f>IFERROR(__xludf.DUMMYFUNCTION("""COMPUTED_VALUE"""),0.001503006012024048)</f>
        <v>0.001503006012</v>
      </c>
      <c r="L3780" s="10">
        <f>IFERROR(__xludf.DUMMYFUNCTION("""COMPUTED_VALUE"""),1996.0)</f>
        <v>1996</v>
      </c>
      <c r="M3780" s="5">
        <f>IFERROR(__xludf.DUMMYFUNCTION("""COMPUTED_VALUE"""),1.0)</f>
        <v>1</v>
      </c>
    </row>
    <row r="3781">
      <c r="A3781" s="10" t="str">
        <f>IFERROR(__xludf.DUMMYFUNCTION("""COMPUTED_VALUE"""),"HRPN")</f>
        <v>HRPN</v>
      </c>
      <c r="B3781" s="10">
        <f>IFERROR(__xludf.DUMMYFUNCTION("""COMPUTED_VALUE"""),123.0)</f>
        <v>123</v>
      </c>
      <c r="C3781" s="10">
        <f>IFERROR(__xludf.DUMMYFUNCTION("""COMPUTED_VALUE"""),1468.0)</f>
        <v>1468</v>
      </c>
      <c r="D3781" s="5">
        <f>IFERROR(__xludf.DUMMYFUNCTION("""COMPUTED_VALUE"""),0.3449814126394052)</f>
        <v>0.3449814126</v>
      </c>
      <c r="E3781" s="5">
        <f>IFERROR(__xludf.DUMMYFUNCTION("""COMPUTED_VALUE"""),0.12193308550185873)</f>
        <v>0.1219330855</v>
      </c>
      <c r="F3781" s="5">
        <f>IFERROR(__xludf.DUMMYFUNCTION("""COMPUTED_VALUE"""),0.20520446096654274)</f>
        <v>0.205204461</v>
      </c>
      <c r="G3781" s="5">
        <f>IFERROR(__xludf.DUMMYFUNCTION("""COMPUTED_VALUE"""),0.17174721189591077)</f>
        <v>0.1717472119</v>
      </c>
      <c r="H3781" s="5">
        <f>IFERROR(__xludf.DUMMYFUNCTION("""COMPUTED_VALUE"""),0.5652173913043478)</f>
        <v>0.5652173913</v>
      </c>
      <c r="I3781" s="11">
        <f>IFERROR(__xludf.DUMMYFUNCTION("""COMPUTED_VALUE"""),5378.623188405797)</f>
        <v>5378.623188</v>
      </c>
      <c r="J3781" s="10">
        <f>IFERROR(__xludf.DUMMYFUNCTION("""COMPUTED_VALUE"""),0.0)</f>
        <v>0</v>
      </c>
      <c r="K3781" s="5">
        <f>IFERROR(__xludf.DUMMYFUNCTION("""COMPUTED_VALUE"""),0.0)</f>
        <v>0</v>
      </c>
      <c r="L3781" s="10">
        <f>IFERROR(__xludf.DUMMYFUNCTION("""COMPUTED_VALUE"""),123.0)</f>
        <v>123</v>
      </c>
      <c r="M3781" s="5">
        <f>IFERROR(__xludf.DUMMYFUNCTION("""COMPUTED_VALUE"""),1.0)</f>
        <v>1</v>
      </c>
    </row>
    <row r="3782">
      <c r="A3782" s="10" t="str">
        <f>IFERROR(__xludf.DUMMYFUNCTION("""COMPUTED_VALUE"""),"みけねこ。")</f>
        <v>みけねこ。</v>
      </c>
      <c r="B3782" s="10">
        <f>IFERROR(__xludf.DUMMYFUNCTION("""COMPUTED_VALUE"""),1081.0)</f>
        <v>1081</v>
      </c>
      <c r="C3782" s="10">
        <f>IFERROR(__xludf.DUMMYFUNCTION("""COMPUTED_VALUE"""),12489.0)</f>
        <v>12489</v>
      </c>
      <c r="D3782" s="5">
        <f>IFERROR(__xludf.DUMMYFUNCTION("""COMPUTED_VALUE"""),0.3078541374474053)</f>
        <v>0.3078541374</v>
      </c>
      <c r="E3782" s="5">
        <f>IFERROR(__xludf.DUMMYFUNCTION("""COMPUTED_VALUE"""),0.12193197755960729)</f>
        <v>0.1219319776</v>
      </c>
      <c r="F3782" s="5">
        <f>IFERROR(__xludf.DUMMYFUNCTION("""COMPUTED_VALUE"""),0.20380434782608695)</f>
        <v>0.2038043478</v>
      </c>
      <c r="G3782" s="5">
        <f>IFERROR(__xludf.DUMMYFUNCTION("""COMPUTED_VALUE"""),0.18600981767180927)</f>
        <v>0.1860098177</v>
      </c>
      <c r="H3782" s="5">
        <f>IFERROR(__xludf.DUMMYFUNCTION("""COMPUTED_VALUE"""),0.6060215053763441)</f>
        <v>0.6060215054</v>
      </c>
      <c r="I3782" s="11">
        <f>IFERROR(__xludf.DUMMYFUNCTION("""COMPUTED_VALUE"""),5829.376344086021)</f>
        <v>5829.376344</v>
      </c>
      <c r="J3782" s="10">
        <f>IFERROR(__xludf.DUMMYFUNCTION("""COMPUTED_VALUE"""),0.0)</f>
        <v>0</v>
      </c>
      <c r="K3782" s="5">
        <f>IFERROR(__xludf.DUMMYFUNCTION("""COMPUTED_VALUE"""),0.0)</f>
        <v>0</v>
      </c>
      <c r="L3782" s="10">
        <f>IFERROR(__xludf.DUMMYFUNCTION("""COMPUTED_VALUE"""),5.0)</f>
        <v>5</v>
      </c>
      <c r="M3782" s="5">
        <f>IFERROR(__xludf.DUMMYFUNCTION("""COMPUTED_VALUE"""),0.004625346901017576)</f>
        <v>0.004625346901</v>
      </c>
    </row>
    <row r="3783">
      <c r="A3783" s="10" t="str">
        <f>IFERROR(__xludf.DUMMYFUNCTION("""COMPUTED_VALUE"""),"五輪書ガール")</f>
        <v>五輪書ガール</v>
      </c>
      <c r="B3783" s="10">
        <f>IFERROR(__xludf.DUMMYFUNCTION("""COMPUTED_VALUE"""),304.0)</f>
        <v>304</v>
      </c>
      <c r="C3783" s="10">
        <f>IFERROR(__xludf.DUMMYFUNCTION("""COMPUTED_VALUE"""),3569.0)</f>
        <v>3569</v>
      </c>
      <c r="D3783" s="5">
        <f>IFERROR(__xludf.DUMMYFUNCTION("""COMPUTED_VALUE"""),0.3068912710566616)</f>
        <v>0.3068912711</v>
      </c>
      <c r="E3783" s="5">
        <f>IFERROR(__xludf.DUMMYFUNCTION("""COMPUTED_VALUE"""),0.12189892802450229)</f>
        <v>0.121898928</v>
      </c>
      <c r="F3783" s="5">
        <f>IFERROR(__xludf.DUMMYFUNCTION("""COMPUTED_VALUE"""),0.2113323124042879)</f>
        <v>0.2113323124</v>
      </c>
      <c r="G3783" s="5">
        <f>IFERROR(__xludf.DUMMYFUNCTION("""COMPUTED_VALUE"""),0.20796324655436446)</f>
        <v>0.2079632466</v>
      </c>
      <c r="H3783" s="5">
        <f>IFERROR(__xludf.DUMMYFUNCTION("""COMPUTED_VALUE"""),0.5942028985507246)</f>
        <v>0.5942028986</v>
      </c>
      <c r="I3783" s="11">
        <f>IFERROR(__xludf.DUMMYFUNCTION("""COMPUTED_VALUE"""),5814.202898550725)</f>
        <v>5814.202899</v>
      </c>
      <c r="J3783" s="10">
        <f>IFERROR(__xludf.DUMMYFUNCTION("""COMPUTED_VALUE"""),1.0)</f>
        <v>1</v>
      </c>
      <c r="K3783" s="5">
        <f>IFERROR(__xludf.DUMMYFUNCTION("""COMPUTED_VALUE"""),0.003289473684210526)</f>
        <v>0.003289473684</v>
      </c>
      <c r="L3783" s="10">
        <f>IFERROR(__xludf.DUMMYFUNCTION("""COMPUTED_VALUE"""),13.0)</f>
        <v>13</v>
      </c>
      <c r="M3783" s="5">
        <f>IFERROR(__xludf.DUMMYFUNCTION("""COMPUTED_VALUE"""),0.04276315789473684)</f>
        <v>0.04276315789</v>
      </c>
    </row>
    <row r="3784">
      <c r="A3784" s="10" t="str">
        <f>IFERROR(__xludf.DUMMYFUNCTION("""COMPUTED_VALUE"""),"菊門開花")</f>
        <v>菊門開花</v>
      </c>
      <c r="B3784" s="10">
        <f>IFERROR(__xludf.DUMMYFUNCTION("""COMPUTED_VALUE"""),245.0)</f>
        <v>245</v>
      </c>
      <c r="C3784" s="10">
        <f>IFERROR(__xludf.DUMMYFUNCTION("""COMPUTED_VALUE"""),2895.0)</f>
        <v>2895</v>
      </c>
      <c r="D3784" s="5">
        <f>IFERROR(__xludf.DUMMYFUNCTION("""COMPUTED_VALUE"""),0.37471698113207547)</f>
        <v>0.3747169811</v>
      </c>
      <c r="E3784" s="5">
        <f>IFERROR(__xludf.DUMMYFUNCTION("""COMPUTED_VALUE"""),0.12188679245283018)</f>
        <v>0.1218867925</v>
      </c>
      <c r="F3784" s="5">
        <f>IFERROR(__xludf.DUMMYFUNCTION("""COMPUTED_VALUE"""),0.20037735849056604)</f>
        <v>0.2003773585</v>
      </c>
      <c r="G3784" s="5">
        <f>IFERROR(__xludf.DUMMYFUNCTION("""COMPUTED_VALUE"""),0.15735849056603773)</f>
        <v>0.1573584906</v>
      </c>
      <c r="H3784" s="5">
        <f>IFERROR(__xludf.DUMMYFUNCTION("""COMPUTED_VALUE"""),0.6064030131826742)</f>
        <v>0.6064030132</v>
      </c>
      <c r="I3784" s="11">
        <f>IFERROR(__xludf.DUMMYFUNCTION("""COMPUTED_VALUE"""),5011.111111111111)</f>
        <v>5011.111111</v>
      </c>
      <c r="J3784" s="10">
        <f>IFERROR(__xludf.DUMMYFUNCTION("""COMPUTED_VALUE"""),0.0)</f>
        <v>0</v>
      </c>
      <c r="K3784" s="5">
        <f>IFERROR(__xludf.DUMMYFUNCTION("""COMPUTED_VALUE"""),0.0)</f>
        <v>0</v>
      </c>
      <c r="L3784" s="10">
        <f>IFERROR(__xludf.DUMMYFUNCTION("""COMPUTED_VALUE"""),245.0)</f>
        <v>245</v>
      </c>
      <c r="M3784" s="5">
        <f>IFERROR(__xludf.DUMMYFUNCTION("""COMPUTED_VALUE"""),1.0)</f>
        <v>1</v>
      </c>
    </row>
    <row r="3785">
      <c r="A3785" s="10" t="str">
        <f>IFERROR(__xludf.DUMMYFUNCTION("""COMPUTED_VALUE"""),"yjiro")</f>
        <v>yjiro</v>
      </c>
      <c r="B3785" s="10">
        <f>IFERROR(__xludf.DUMMYFUNCTION("""COMPUTED_VALUE"""),1912.0)</f>
        <v>1912</v>
      </c>
      <c r="C3785" s="10">
        <f>IFERROR(__xludf.DUMMYFUNCTION("""COMPUTED_VALUE"""),22252.0)</f>
        <v>22252</v>
      </c>
      <c r="D3785" s="5">
        <f>IFERROR(__xludf.DUMMYFUNCTION("""COMPUTED_VALUE"""),0.3854473942969518)</f>
        <v>0.3854473943</v>
      </c>
      <c r="E3785" s="5">
        <f>IFERROR(__xludf.DUMMYFUNCTION("""COMPUTED_VALUE"""),0.12187807276302852)</f>
        <v>0.1218780728</v>
      </c>
      <c r="F3785" s="5">
        <f>IFERROR(__xludf.DUMMYFUNCTION("""COMPUTED_VALUE"""),0.21740412979351031)</f>
        <v>0.2174041298</v>
      </c>
      <c r="G3785" s="5">
        <f>IFERROR(__xludf.DUMMYFUNCTION("""COMPUTED_VALUE"""),0.17871189773844642)</f>
        <v>0.1787118977</v>
      </c>
      <c r="H3785" s="5">
        <f>IFERROR(__xludf.DUMMYFUNCTION("""COMPUTED_VALUE"""),0.5866123925825418)</f>
        <v>0.5866123926</v>
      </c>
      <c r="I3785" s="11">
        <f>IFERROR(__xludf.DUMMYFUNCTION("""COMPUTED_VALUE"""),5474.581637268205)</f>
        <v>5474.581637</v>
      </c>
      <c r="J3785" s="10">
        <f>IFERROR(__xludf.DUMMYFUNCTION("""COMPUTED_VALUE"""),3.0)</f>
        <v>3</v>
      </c>
      <c r="K3785" s="5">
        <f>IFERROR(__xludf.DUMMYFUNCTION("""COMPUTED_VALUE"""),0.0015690376569037657)</f>
        <v>0.001569037657</v>
      </c>
      <c r="L3785" s="10">
        <f>IFERROR(__xludf.DUMMYFUNCTION("""COMPUTED_VALUE"""),1906.0)</f>
        <v>1906</v>
      </c>
      <c r="M3785" s="5">
        <f>IFERROR(__xludf.DUMMYFUNCTION("""COMPUTED_VALUE"""),0.9968619246861925)</f>
        <v>0.9968619247</v>
      </c>
    </row>
    <row r="3786">
      <c r="A3786" s="10" t="str">
        <f>IFERROR(__xludf.DUMMYFUNCTION("""COMPUTED_VALUE"""),"あっオリました")</f>
        <v>あっオリました</v>
      </c>
      <c r="B3786" s="10">
        <f>IFERROR(__xludf.DUMMYFUNCTION("""COMPUTED_VALUE"""),294.0)</f>
        <v>294</v>
      </c>
      <c r="C3786" s="10">
        <f>IFERROR(__xludf.DUMMYFUNCTION("""COMPUTED_VALUE"""),3486.0)</f>
        <v>3486</v>
      </c>
      <c r="D3786" s="5">
        <f>IFERROR(__xludf.DUMMYFUNCTION("""COMPUTED_VALUE"""),0.31892230576441105)</f>
        <v>0.3189223058</v>
      </c>
      <c r="E3786" s="5">
        <f>IFERROR(__xludf.DUMMYFUNCTION("""COMPUTED_VALUE"""),0.1218671679197995)</f>
        <v>0.1218671679</v>
      </c>
      <c r="F3786" s="5">
        <f>IFERROR(__xludf.DUMMYFUNCTION("""COMPUTED_VALUE"""),0.19768170426065163)</f>
        <v>0.1976817043</v>
      </c>
      <c r="G3786" s="5">
        <f>IFERROR(__xludf.DUMMYFUNCTION("""COMPUTED_VALUE"""),0.15037593984962405)</f>
        <v>0.1503759398</v>
      </c>
      <c r="H3786" s="5">
        <f>IFERROR(__xludf.DUMMYFUNCTION("""COMPUTED_VALUE"""),0.589540412044374)</f>
        <v>0.589540412</v>
      </c>
      <c r="I3786" s="11">
        <f>IFERROR(__xludf.DUMMYFUNCTION("""COMPUTED_VALUE"""),6064.817749603803)</f>
        <v>6064.81775</v>
      </c>
      <c r="J3786" s="10">
        <f>IFERROR(__xludf.DUMMYFUNCTION("""COMPUTED_VALUE"""),2.0)</f>
        <v>2</v>
      </c>
      <c r="K3786" s="5">
        <f>IFERROR(__xludf.DUMMYFUNCTION("""COMPUTED_VALUE"""),0.006802721088435374)</f>
        <v>0.006802721088</v>
      </c>
      <c r="L3786" s="10">
        <f>IFERROR(__xludf.DUMMYFUNCTION("""COMPUTED_VALUE"""),294.0)</f>
        <v>294</v>
      </c>
      <c r="M3786" s="5">
        <f>IFERROR(__xludf.DUMMYFUNCTION("""COMPUTED_VALUE"""),1.0)</f>
        <v>1</v>
      </c>
    </row>
    <row r="3787">
      <c r="A3787" s="10" t="str">
        <f>IFERROR(__xludf.DUMMYFUNCTION("""COMPUTED_VALUE"""),"ロンの実")</f>
        <v>ロンの実</v>
      </c>
      <c r="B3787" s="10">
        <f>IFERROR(__xludf.DUMMYFUNCTION("""COMPUTED_VALUE"""),105.0)</f>
        <v>105</v>
      </c>
      <c r="C3787" s="10">
        <f>IFERROR(__xludf.DUMMYFUNCTION("""COMPUTED_VALUE"""),1221.0)</f>
        <v>1221</v>
      </c>
      <c r="D3787" s="5">
        <f>IFERROR(__xludf.DUMMYFUNCTION("""COMPUTED_VALUE"""),0.32526881720430106)</f>
        <v>0.3252688172</v>
      </c>
      <c r="E3787" s="5">
        <f>IFERROR(__xludf.DUMMYFUNCTION("""COMPUTED_VALUE"""),0.12186379928315412)</f>
        <v>0.1218637993</v>
      </c>
      <c r="F3787" s="5">
        <f>IFERROR(__xludf.DUMMYFUNCTION("""COMPUTED_VALUE"""),0.21594982078853048)</f>
        <v>0.2159498208</v>
      </c>
      <c r="G3787" s="5">
        <f>IFERROR(__xludf.DUMMYFUNCTION("""COMPUTED_VALUE"""),0.15591397849462366)</f>
        <v>0.1559139785</v>
      </c>
      <c r="H3787" s="5">
        <f>IFERROR(__xludf.DUMMYFUNCTION("""COMPUTED_VALUE"""),0.5684647302904564)</f>
        <v>0.5684647303</v>
      </c>
      <c r="I3787" s="11">
        <f>IFERROR(__xludf.DUMMYFUNCTION("""COMPUTED_VALUE"""),5229.875518672199)</f>
        <v>5229.875519</v>
      </c>
      <c r="J3787" s="10">
        <f>IFERROR(__xludf.DUMMYFUNCTION("""COMPUTED_VALUE"""),0.0)</f>
        <v>0</v>
      </c>
      <c r="K3787" s="5">
        <f>IFERROR(__xludf.DUMMYFUNCTION("""COMPUTED_VALUE"""),0.0)</f>
        <v>0</v>
      </c>
      <c r="L3787" s="10">
        <f>IFERROR(__xludf.DUMMYFUNCTION("""COMPUTED_VALUE"""),105.0)</f>
        <v>105</v>
      </c>
      <c r="M3787" s="5">
        <f>IFERROR(__xludf.DUMMYFUNCTION("""COMPUTED_VALUE"""),1.0)</f>
        <v>1</v>
      </c>
    </row>
    <row r="3788">
      <c r="A3788" s="10" t="str">
        <f>IFERROR(__xludf.DUMMYFUNCTION("""COMPUTED_VALUE"""),"adp10")</f>
        <v>adp10</v>
      </c>
      <c r="B3788" s="10">
        <f>IFERROR(__xludf.DUMMYFUNCTION("""COMPUTED_VALUE"""),1375.0)</f>
        <v>1375</v>
      </c>
      <c r="C3788" s="10">
        <f>IFERROR(__xludf.DUMMYFUNCTION("""COMPUTED_VALUE"""),16204.0)</f>
        <v>16204</v>
      </c>
      <c r="D3788" s="5">
        <f>IFERROR(__xludf.DUMMYFUNCTION("""COMPUTED_VALUE"""),0.3537662687976263)</f>
        <v>0.3537662688</v>
      </c>
      <c r="E3788" s="5">
        <f>IFERROR(__xludf.DUMMYFUNCTION("""COMPUTED_VALUE"""),0.12185582304943017)</f>
        <v>0.121855823</v>
      </c>
      <c r="F3788" s="5">
        <f>IFERROR(__xludf.DUMMYFUNCTION("""COMPUTED_VALUE"""),0.20756625531054015)</f>
        <v>0.2075662553</v>
      </c>
      <c r="G3788" s="5">
        <f>IFERROR(__xludf.DUMMYFUNCTION("""COMPUTED_VALUE"""),0.15112279991907748)</f>
        <v>0.1511227999</v>
      </c>
      <c r="H3788" s="5">
        <f>IFERROR(__xludf.DUMMYFUNCTION("""COMPUTED_VALUE"""),0.6098115659519169)</f>
        <v>0.609811566</v>
      </c>
      <c r="I3788" s="11">
        <f>IFERROR(__xludf.DUMMYFUNCTION("""COMPUTED_VALUE"""),5560.558804418453)</f>
        <v>5560.558804</v>
      </c>
      <c r="J3788" s="10">
        <f>IFERROR(__xludf.DUMMYFUNCTION("""COMPUTED_VALUE"""),4.0)</f>
        <v>4</v>
      </c>
      <c r="K3788" s="5">
        <f>IFERROR(__xludf.DUMMYFUNCTION("""COMPUTED_VALUE"""),0.002909090909090909)</f>
        <v>0.002909090909</v>
      </c>
      <c r="L3788" s="10">
        <f>IFERROR(__xludf.DUMMYFUNCTION("""COMPUTED_VALUE"""),1375.0)</f>
        <v>1375</v>
      </c>
      <c r="M3788" s="5">
        <f>IFERROR(__xludf.DUMMYFUNCTION("""COMPUTED_VALUE"""),1.0)</f>
        <v>1</v>
      </c>
    </row>
    <row r="3789">
      <c r="A3789" s="10" t="str">
        <f>IFERROR(__xludf.DUMMYFUNCTION("""COMPUTED_VALUE"""),"桃ノ助")</f>
        <v>桃ノ助</v>
      </c>
      <c r="B3789" s="10">
        <f>IFERROR(__xludf.DUMMYFUNCTION("""COMPUTED_VALUE"""),788.0)</f>
        <v>788</v>
      </c>
      <c r="C3789" s="10">
        <f>IFERROR(__xludf.DUMMYFUNCTION("""COMPUTED_VALUE"""),9175.0)</f>
        <v>9175</v>
      </c>
      <c r="D3789" s="5">
        <f>IFERROR(__xludf.DUMMYFUNCTION("""COMPUTED_VALUE"""),0.32073447001311556)</f>
        <v>0.32073447</v>
      </c>
      <c r="E3789" s="5">
        <f>IFERROR(__xludf.DUMMYFUNCTION("""COMPUTED_VALUE"""),0.12185525217598664)</f>
        <v>0.1218552522</v>
      </c>
      <c r="F3789" s="5">
        <f>IFERROR(__xludf.DUMMYFUNCTION("""COMPUTED_VALUE"""),0.20817932514605939)</f>
        <v>0.2081793251</v>
      </c>
      <c r="G3789" s="5">
        <f>IFERROR(__xludf.DUMMYFUNCTION("""COMPUTED_VALUE"""),0.18671753904852748)</f>
        <v>0.186717539</v>
      </c>
      <c r="H3789" s="5">
        <f>IFERROR(__xludf.DUMMYFUNCTION("""COMPUTED_VALUE"""),0.6185567010309279)</f>
        <v>0.618556701</v>
      </c>
      <c r="I3789" s="11">
        <f>IFERROR(__xludf.DUMMYFUNCTION("""COMPUTED_VALUE"""),6019.243986254295)</f>
        <v>6019.243986</v>
      </c>
      <c r="J3789" s="10">
        <f>IFERROR(__xludf.DUMMYFUNCTION("""COMPUTED_VALUE"""),1.0)</f>
        <v>1</v>
      </c>
      <c r="K3789" s="5">
        <f>IFERROR(__xludf.DUMMYFUNCTION("""COMPUTED_VALUE"""),0.0012690355329949238)</f>
        <v>0.001269035533</v>
      </c>
      <c r="L3789" s="10">
        <f>IFERROR(__xludf.DUMMYFUNCTION("""COMPUTED_VALUE"""),788.0)</f>
        <v>788</v>
      </c>
      <c r="M3789" s="5">
        <f>IFERROR(__xludf.DUMMYFUNCTION("""COMPUTED_VALUE"""),1.0)</f>
        <v>1</v>
      </c>
    </row>
    <row r="3790">
      <c r="A3790" s="10" t="str">
        <f>IFERROR(__xludf.DUMMYFUNCTION("""COMPUTED_VALUE"""),"中卒の高橋")</f>
        <v>中卒の高橋</v>
      </c>
      <c r="B3790" s="10">
        <f>IFERROR(__xludf.DUMMYFUNCTION("""COMPUTED_VALUE"""),177.0)</f>
        <v>177</v>
      </c>
      <c r="C3790" s="10">
        <f>IFERROR(__xludf.DUMMYFUNCTION("""COMPUTED_VALUE"""),2081.0)</f>
        <v>2081</v>
      </c>
      <c r="D3790" s="5">
        <f>IFERROR(__xludf.DUMMYFUNCTION("""COMPUTED_VALUE"""),0.3392857142857143)</f>
        <v>0.3392857143</v>
      </c>
      <c r="E3790" s="5">
        <f>IFERROR(__xludf.DUMMYFUNCTION("""COMPUTED_VALUE"""),0.12184873949579832)</f>
        <v>0.1218487395</v>
      </c>
      <c r="F3790" s="5">
        <f>IFERROR(__xludf.DUMMYFUNCTION("""COMPUTED_VALUE"""),0.22584033613445378)</f>
        <v>0.2258403361</v>
      </c>
      <c r="G3790" s="5">
        <f>IFERROR(__xludf.DUMMYFUNCTION("""COMPUTED_VALUE"""),0.19747899159663865)</f>
        <v>0.1974789916</v>
      </c>
      <c r="H3790" s="5">
        <f>IFERROR(__xludf.DUMMYFUNCTION("""COMPUTED_VALUE"""),0.5697674418604651)</f>
        <v>0.5697674419</v>
      </c>
      <c r="I3790" s="11">
        <f>IFERROR(__xludf.DUMMYFUNCTION("""COMPUTED_VALUE"""),5903.2558139534885)</f>
        <v>5903.255814</v>
      </c>
      <c r="J3790" s="10">
        <f>IFERROR(__xludf.DUMMYFUNCTION("""COMPUTED_VALUE"""),0.0)</f>
        <v>0</v>
      </c>
      <c r="K3790" s="5">
        <f>IFERROR(__xludf.DUMMYFUNCTION("""COMPUTED_VALUE"""),0.0)</f>
        <v>0</v>
      </c>
      <c r="L3790" s="10">
        <f>IFERROR(__xludf.DUMMYFUNCTION("""COMPUTED_VALUE"""),177.0)</f>
        <v>177</v>
      </c>
      <c r="M3790" s="5">
        <f>IFERROR(__xludf.DUMMYFUNCTION("""COMPUTED_VALUE"""),1.0)</f>
        <v>1</v>
      </c>
    </row>
    <row r="3791">
      <c r="A3791" s="10" t="str">
        <f>IFERROR(__xludf.DUMMYFUNCTION("""COMPUTED_VALUE"""),"交雀知愛")</f>
        <v>交雀知愛</v>
      </c>
      <c r="B3791" s="10">
        <f>IFERROR(__xludf.DUMMYFUNCTION("""COMPUTED_VALUE"""),101.0)</f>
        <v>101</v>
      </c>
      <c r="C3791" s="10">
        <f>IFERROR(__xludf.DUMMYFUNCTION("""COMPUTED_VALUE"""),1209.0)</f>
        <v>1209</v>
      </c>
      <c r="D3791" s="5">
        <f>IFERROR(__xludf.DUMMYFUNCTION("""COMPUTED_VALUE"""),0.3285198555956679)</f>
        <v>0.3285198556</v>
      </c>
      <c r="E3791" s="5">
        <f>IFERROR(__xludf.DUMMYFUNCTION("""COMPUTED_VALUE"""),0.12184115523465704)</f>
        <v>0.1218411552</v>
      </c>
      <c r="F3791" s="5">
        <f>IFERROR(__xludf.DUMMYFUNCTION("""COMPUTED_VALUE"""),0.194043321299639)</f>
        <v>0.1940433213</v>
      </c>
      <c r="G3791" s="5">
        <f>IFERROR(__xludf.DUMMYFUNCTION("""COMPUTED_VALUE"""),0.1796028880866426)</f>
        <v>0.1796028881</v>
      </c>
      <c r="H3791" s="5">
        <f>IFERROR(__xludf.DUMMYFUNCTION("""COMPUTED_VALUE"""),0.5767441860465117)</f>
        <v>0.576744186</v>
      </c>
      <c r="I3791" s="11">
        <f>IFERROR(__xludf.DUMMYFUNCTION("""COMPUTED_VALUE"""),5416.7441860465115)</f>
        <v>5416.744186</v>
      </c>
      <c r="J3791" s="10">
        <f>IFERROR(__xludf.DUMMYFUNCTION("""COMPUTED_VALUE"""),0.0)</f>
        <v>0</v>
      </c>
      <c r="K3791" s="5">
        <f>IFERROR(__xludf.DUMMYFUNCTION("""COMPUTED_VALUE"""),0.0)</f>
        <v>0</v>
      </c>
      <c r="L3791" s="10">
        <f>IFERROR(__xludf.DUMMYFUNCTION("""COMPUTED_VALUE"""),101.0)</f>
        <v>101</v>
      </c>
      <c r="M3791" s="5">
        <f>IFERROR(__xludf.DUMMYFUNCTION("""COMPUTED_VALUE"""),1.0)</f>
        <v>1</v>
      </c>
    </row>
    <row r="3792">
      <c r="A3792" s="10" t="str">
        <f>IFERROR(__xludf.DUMMYFUNCTION("""COMPUTED_VALUE"""),"★新垣あやせ★")</f>
        <v>★新垣あやせ★</v>
      </c>
      <c r="B3792" s="10">
        <f>IFERROR(__xludf.DUMMYFUNCTION("""COMPUTED_VALUE"""),328.0)</f>
        <v>328</v>
      </c>
      <c r="C3792" s="10">
        <f>IFERROR(__xludf.DUMMYFUNCTION("""COMPUTED_VALUE"""),3800.0)</f>
        <v>3800</v>
      </c>
      <c r="D3792" s="5">
        <f>IFERROR(__xludf.DUMMYFUNCTION("""COMPUTED_VALUE"""),0.39919354838709675)</f>
        <v>0.3991935484</v>
      </c>
      <c r="E3792" s="5">
        <f>IFERROR(__xludf.DUMMYFUNCTION("""COMPUTED_VALUE"""),0.12183179723502305)</f>
        <v>0.1218317972</v>
      </c>
      <c r="F3792" s="5">
        <f>IFERROR(__xludf.DUMMYFUNCTION("""COMPUTED_VALUE"""),0.19671658986175114)</f>
        <v>0.1967165899</v>
      </c>
      <c r="G3792" s="5">
        <f>IFERROR(__xludf.DUMMYFUNCTION("""COMPUTED_VALUE"""),0.15552995391705068)</f>
        <v>0.1555299539</v>
      </c>
      <c r="H3792" s="5">
        <f>IFERROR(__xludf.DUMMYFUNCTION("""COMPUTED_VALUE"""),0.6002928257686676)</f>
        <v>0.6002928258</v>
      </c>
      <c r="I3792" s="11">
        <f>IFERROR(__xludf.DUMMYFUNCTION("""COMPUTED_VALUE"""),5238.506588579795)</f>
        <v>5238.506589</v>
      </c>
      <c r="J3792" s="10">
        <f>IFERROR(__xludf.DUMMYFUNCTION("""COMPUTED_VALUE"""),1.0)</f>
        <v>1</v>
      </c>
      <c r="K3792" s="5">
        <f>IFERROR(__xludf.DUMMYFUNCTION("""COMPUTED_VALUE"""),0.003048780487804878)</f>
        <v>0.003048780488</v>
      </c>
      <c r="L3792" s="10">
        <f>IFERROR(__xludf.DUMMYFUNCTION("""COMPUTED_VALUE"""),27.0)</f>
        <v>27</v>
      </c>
      <c r="M3792" s="5">
        <f>IFERROR(__xludf.DUMMYFUNCTION("""COMPUTED_VALUE"""),0.08231707317073171)</f>
        <v>0.08231707317</v>
      </c>
    </row>
    <row r="3793">
      <c r="A3793" s="10" t="str">
        <f>IFERROR(__xludf.DUMMYFUNCTION("""COMPUTED_VALUE"""),"cloowdo")</f>
        <v>cloowdo</v>
      </c>
      <c r="B3793" s="10">
        <f>IFERROR(__xludf.DUMMYFUNCTION("""COMPUTED_VALUE"""),1009.0)</f>
        <v>1009</v>
      </c>
      <c r="C3793" s="10">
        <f>IFERROR(__xludf.DUMMYFUNCTION("""COMPUTED_VALUE"""),11934.0)</f>
        <v>11934</v>
      </c>
      <c r="D3793" s="5">
        <f>IFERROR(__xludf.DUMMYFUNCTION("""COMPUTED_VALUE"""),0.29437070938215104)</f>
        <v>0.2943707094</v>
      </c>
      <c r="E3793" s="5">
        <f>IFERROR(__xludf.DUMMYFUNCTION("""COMPUTED_VALUE"""),0.12183066361556064)</f>
        <v>0.1218306636</v>
      </c>
      <c r="F3793" s="5">
        <f>IFERROR(__xludf.DUMMYFUNCTION("""COMPUTED_VALUE"""),0.1936842105263158)</f>
        <v>0.1936842105</v>
      </c>
      <c r="G3793" s="5">
        <f>IFERROR(__xludf.DUMMYFUNCTION("""COMPUTED_VALUE"""),0.19011441647597255)</f>
        <v>0.1901144165</v>
      </c>
      <c r="H3793" s="5">
        <f>IFERROR(__xludf.DUMMYFUNCTION("""COMPUTED_VALUE"""),0.582703213610586)</f>
        <v>0.5827032136</v>
      </c>
      <c r="I3793" s="11">
        <f>IFERROR(__xludf.DUMMYFUNCTION("""COMPUTED_VALUE"""),5785.396975425331)</f>
        <v>5785.396975</v>
      </c>
      <c r="J3793" s="10">
        <f>IFERROR(__xludf.DUMMYFUNCTION("""COMPUTED_VALUE"""),1.0)</f>
        <v>1</v>
      </c>
      <c r="K3793" s="5">
        <f>IFERROR(__xludf.DUMMYFUNCTION("""COMPUTED_VALUE"""),9.910802775024777E-4)</f>
        <v>0.0009910802775</v>
      </c>
      <c r="L3793" s="10">
        <f>IFERROR(__xludf.DUMMYFUNCTION("""COMPUTED_VALUE"""),0.0)</f>
        <v>0</v>
      </c>
      <c r="M3793" s="5">
        <f>IFERROR(__xludf.DUMMYFUNCTION("""COMPUTED_VALUE"""),0.0)</f>
        <v>0</v>
      </c>
    </row>
    <row r="3794">
      <c r="A3794" s="10" t="str">
        <f>IFERROR(__xludf.DUMMYFUNCTION("""COMPUTED_VALUE"""),"nb49")</f>
        <v>nb49</v>
      </c>
      <c r="B3794" s="10">
        <f>IFERROR(__xludf.DUMMYFUNCTION("""COMPUTED_VALUE"""),641.0)</f>
        <v>641</v>
      </c>
      <c r="C3794" s="10">
        <f>IFERROR(__xludf.DUMMYFUNCTION("""COMPUTED_VALUE"""),7462.0)</f>
        <v>7462</v>
      </c>
      <c r="D3794" s="5">
        <f>IFERROR(__xludf.DUMMYFUNCTION("""COMPUTED_VALUE"""),0.3908517812637443)</f>
        <v>0.3908517813</v>
      </c>
      <c r="E3794" s="5">
        <f>IFERROR(__xludf.DUMMYFUNCTION("""COMPUTED_VALUE"""),0.12182964374725114)</f>
        <v>0.1218296437</v>
      </c>
      <c r="F3794" s="5">
        <f>IFERROR(__xludf.DUMMYFUNCTION("""COMPUTED_VALUE"""),0.20935346723354348)</f>
        <v>0.2093534672</v>
      </c>
      <c r="G3794" s="5">
        <f>IFERROR(__xludf.DUMMYFUNCTION("""COMPUTED_VALUE"""),0.15804134291159655)</f>
        <v>0.1580413429</v>
      </c>
      <c r="H3794" s="5">
        <f>IFERROR(__xludf.DUMMYFUNCTION("""COMPUTED_VALUE"""),0.6148459383753502)</f>
        <v>0.6148459384</v>
      </c>
      <c r="I3794" s="11">
        <f>IFERROR(__xludf.DUMMYFUNCTION("""COMPUTED_VALUE"""),5230.812324929972)</f>
        <v>5230.812325</v>
      </c>
      <c r="J3794" s="10">
        <f>IFERROR(__xludf.DUMMYFUNCTION("""COMPUTED_VALUE"""),2.0)</f>
        <v>2</v>
      </c>
      <c r="K3794" s="5">
        <f>IFERROR(__xludf.DUMMYFUNCTION("""COMPUTED_VALUE"""),0.0031201248049922)</f>
        <v>0.003120124805</v>
      </c>
      <c r="L3794" s="10">
        <f>IFERROR(__xludf.DUMMYFUNCTION("""COMPUTED_VALUE"""),641.0)</f>
        <v>641</v>
      </c>
      <c r="M3794" s="5">
        <f>IFERROR(__xludf.DUMMYFUNCTION("""COMPUTED_VALUE"""),1.0)</f>
        <v>1</v>
      </c>
    </row>
    <row r="3795">
      <c r="A3795" s="10" t="str">
        <f>IFERROR(__xludf.DUMMYFUNCTION("""COMPUTED_VALUE"""),"restart")</f>
        <v>restart</v>
      </c>
      <c r="B3795" s="10">
        <f>IFERROR(__xludf.DUMMYFUNCTION("""COMPUTED_VALUE"""),145.0)</f>
        <v>145</v>
      </c>
      <c r="C3795" s="10">
        <f>IFERROR(__xludf.DUMMYFUNCTION("""COMPUTED_VALUE"""),1672.0)</f>
        <v>1672</v>
      </c>
      <c r="D3795" s="5">
        <f>IFERROR(__xludf.DUMMYFUNCTION("""COMPUTED_VALUE"""),0.3071381794368042)</f>
        <v>0.3071381794</v>
      </c>
      <c r="E3795" s="5">
        <f>IFERROR(__xludf.DUMMYFUNCTION("""COMPUTED_VALUE"""),0.12180746561886051)</f>
        <v>0.1218074656</v>
      </c>
      <c r="F3795" s="5">
        <f>IFERROR(__xludf.DUMMYFUNCTION("""COMPUTED_VALUE"""),0.19842829076620824)</f>
        <v>0.1984282908</v>
      </c>
      <c r="G3795" s="5">
        <f>IFERROR(__xludf.DUMMYFUNCTION("""COMPUTED_VALUE"""),0.15455140798952194)</f>
        <v>0.154551408</v>
      </c>
      <c r="H3795" s="5">
        <f>IFERROR(__xludf.DUMMYFUNCTION("""COMPUTED_VALUE"""),0.5742574257425742)</f>
        <v>0.5742574257</v>
      </c>
      <c r="I3795" s="11">
        <f>IFERROR(__xludf.DUMMYFUNCTION("""COMPUTED_VALUE"""),5509.9009900990095)</f>
        <v>5509.90099</v>
      </c>
      <c r="J3795" s="10">
        <f>IFERROR(__xludf.DUMMYFUNCTION("""COMPUTED_VALUE"""),0.0)</f>
        <v>0</v>
      </c>
      <c r="K3795" s="5">
        <f>IFERROR(__xludf.DUMMYFUNCTION("""COMPUTED_VALUE"""),0.0)</f>
        <v>0</v>
      </c>
      <c r="L3795" s="10">
        <f>IFERROR(__xludf.DUMMYFUNCTION("""COMPUTED_VALUE"""),145.0)</f>
        <v>145</v>
      </c>
      <c r="M3795" s="5">
        <f>IFERROR(__xludf.DUMMYFUNCTION("""COMPUTED_VALUE"""),1.0)</f>
        <v>1</v>
      </c>
    </row>
    <row r="3796">
      <c r="A3796" s="10" t="str">
        <f>IFERROR(__xludf.DUMMYFUNCTION("""COMPUTED_VALUE"""),"今夜が山田.")</f>
        <v>今夜が山田.</v>
      </c>
      <c r="B3796" s="10">
        <f>IFERROR(__xludf.DUMMYFUNCTION("""COMPUTED_VALUE"""),267.0)</f>
        <v>267</v>
      </c>
      <c r="C3796" s="10">
        <f>IFERROR(__xludf.DUMMYFUNCTION("""COMPUTED_VALUE"""),3124.0)</f>
        <v>3124</v>
      </c>
      <c r="D3796" s="5">
        <f>IFERROR(__xludf.DUMMYFUNCTION("""COMPUTED_VALUE"""),0.3815190759537977)</f>
        <v>0.381519076</v>
      </c>
      <c r="E3796" s="5">
        <f>IFERROR(__xludf.DUMMYFUNCTION("""COMPUTED_VALUE"""),0.12180609030451522)</f>
        <v>0.1218060903</v>
      </c>
      <c r="F3796" s="5">
        <f>IFERROR(__xludf.DUMMYFUNCTION("""COMPUTED_VALUE"""),0.21946097304865242)</f>
        <v>0.219460973</v>
      </c>
      <c r="G3796" s="5">
        <f>IFERROR(__xludf.DUMMYFUNCTION("""COMPUTED_VALUE"""),0.16065803290164507)</f>
        <v>0.1606580329</v>
      </c>
      <c r="H3796" s="5">
        <f>IFERROR(__xludf.DUMMYFUNCTION("""COMPUTED_VALUE"""),0.5757575757575758)</f>
        <v>0.5757575758</v>
      </c>
      <c r="I3796" s="11">
        <f>IFERROR(__xludf.DUMMYFUNCTION("""COMPUTED_VALUE"""),5526.95374800638)</f>
        <v>5526.953748</v>
      </c>
      <c r="J3796" s="10">
        <f>IFERROR(__xludf.DUMMYFUNCTION("""COMPUTED_VALUE"""),2.0)</f>
        <v>2</v>
      </c>
      <c r="K3796" s="5">
        <f>IFERROR(__xludf.DUMMYFUNCTION("""COMPUTED_VALUE"""),0.00749063670411985)</f>
        <v>0.007490636704</v>
      </c>
      <c r="L3796" s="10">
        <f>IFERROR(__xludf.DUMMYFUNCTION("""COMPUTED_VALUE"""),267.0)</f>
        <v>267</v>
      </c>
      <c r="M3796" s="5">
        <f>IFERROR(__xludf.DUMMYFUNCTION("""COMPUTED_VALUE"""),1.0)</f>
        <v>1</v>
      </c>
    </row>
    <row r="3797">
      <c r="A3797" s="10" t="str">
        <f>IFERROR(__xludf.DUMMYFUNCTION("""COMPUTED_VALUE"""),"葵月")</f>
        <v>葵月</v>
      </c>
      <c r="B3797" s="10">
        <f>IFERROR(__xludf.DUMMYFUNCTION("""COMPUTED_VALUE"""),339.0)</f>
        <v>339</v>
      </c>
      <c r="C3797" s="10">
        <f>IFERROR(__xludf.DUMMYFUNCTION("""COMPUTED_VALUE"""),3976.0)</f>
        <v>3976</v>
      </c>
      <c r="D3797" s="5">
        <f>IFERROR(__xludf.DUMMYFUNCTION("""COMPUTED_VALUE"""),0.29502337091009073)</f>
        <v>0.2950233709</v>
      </c>
      <c r="E3797" s="5">
        <f>IFERROR(__xludf.DUMMYFUNCTION("""COMPUTED_VALUE"""),0.12180368435523783)</f>
        <v>0.1218036844</v>
      </c>
      <c r="F3797" s="5">
        <f>IFERROR(__xludf.DUMMYFUNCTION("""COMPUTED_VALUE"""),0.19796535606268903)</f>
        <v>0.1979653561</v>
      </c>
      <c r="G3797" s="5">
        <f>IFERROR(__xludf.DUMMYFUNCTION("""COMPUTED_VALUE"""),0.14682430574649435)</f>
        <v>0.1468243057</v>
      </c>
      <c r="H3797" s="5">
        <f>IFERROR(__xludf.DUMMYFUNCTION("""COMPUTED_VALUE"""),0.5888888888888889)</f>
        <v>0.5888888889</v>
      </c>
      <c r="I3797" s="11">
        <f>IFERROR(__xludf.DUMMYFUNCTION("""COMPUTED_VALUE"""),5728.611111111111)</f>
        <v>5728.611111</v>
      </c>
      <c r="J3797" s="10">
        <f>IFERROR(__xludf.DUMMYFUNCTION("""COMPUTED_VALUE"""),1.0)</f>
        <v>1</v>
      </c>
      <c r="K3797" s="5">
        <f>IFERROR(__xludf.DUMMYFUNCTION("""COMPUTED_VALUE"""),0.0029498525073746312)</f>
        <v>0.002949852507</v>
      </c>
      <c r="L3797" s="10">
        <f>IFERROR(__xludf.DUMMYFUNCTION("""COMPUTED_VALUE"""),339.0)</f>
        <v>339</v>
      </c>
      <c r="M3797" s="5">
        <f>IFERROR(__xludf.DUMMYFUNCTION("""COMPUTED_VALUE"""),1.0)</f>
        <v>1</v>
      </c>
    </row>
    <row r="3798">
      <c r="A3798" s="10" t="str">
        <f>IFERROR(__xludf.DUMMYFUNCTION("""COMPUTED_VALUE"""),"たくじろう")</f>
        <v>たくじろう</v>
      </c>
      <c r="B3798" s="10">
        <f>IFERROR(__xludf.DUMMYFUNCTION("""COMPUTED_VALUE"""),2597.0)</f>
        <v>2597</v>
      </c>
      <c r="C3798" s="10">
        <f>IFERROR(__xludf.DUMMYFUNCTION("""COMPUTED_VALUE"""),30315.0)</f>
        <v>30315</v>
      </c>
      <c r="D3798" s="5">
        <f>IFERROR(__xludf.DUMMYFUNCTION("""COMPUTED_VALUE"""),0.3464896457175842)</f>
        <v>0.3464896457</v>
      </c>
      <c r="E3798" s="5">
        <f>IFERROR(__xludf.DUMMYFUNCTION("""COMPUTED_VALUE"""),0.12179810953171225)</f>
        <v>0.1217981095</v>
      </c>
      <c r="F3798" s="5">
        <f>IFERROR(__xludf.DUMMYFUNCTION("""COMPUTED_VALUE"""),0.20575077566924022)</f>
        <v>0.2057507757</v>
      </c>
      <c r="G3798" s="5">
        <f>IFERROR(__xludf.DUMMYFUNCTION("""COMPUTED_VALUE"""),0.16877119561295909)</f>
        <v>0.1687711956</v>
      </c>
      <c r="H3798" s="5">
        <f>IFERROR(__xludf.DUMMYFUNCTION("""COMPUTED_VALUE"""),0.6003857618797125)</f>
        <v>0.6003857619</v>
      </c>
      <c r="I3798" s="11">
        <f>IFERROR(__xludf.DUMMYFUNCTION("""COMPUTED_VALUE"""),5829.861476415921)</f>
        <v>5829.861476</v>
      </c>
      <c r="J3798" s="10">
        <f>IFERROR(__xludf.DUMMYFUNCTION("""COMPUTED_VALUE"""),3.0)</f>
        <v>3</v>
      </c>
      <c r="K3798" s="5">
        <f>IFERROR(__xludf.DUMMYFUNCTION("""COMPUTED_VALUE"""),0.0011551790527531767)</f>
        <v>0.001155179053</v>
      </c>
      <c r="L3798" s="10">
        <f>IFERROR(__xludf.DUMMYFUNCTION("""COMPUTED_VALUE"""),2597.0)</f>
        <v>2597</v>
      </c>
      <c r="M3798" s="5">
        <f>IFERROR(__xludf.DUMMYFUNCTION("""COMPUTED_VALUE"""),1.0)</f>
        <v>1</v>
      </c>
    </row>
    <row r="3799">
      <c r="A3799" s="10" t="str">
        <f>IFERROR(__xludf.DUMMYFUNCTION("""COMPUTED_VALUE"""),"◆cliff◆")</f>
        <v>◆cliff◆</v>
      </c>
      <c r="B3799" s="10">
        <f>IFERROR(__xludf.DUMMYFUNCTION("""COMPUTED_VALUE"""),171.0)</f>
        <v>171</v>
      </c>
      <c r="C3799" s="10">
        <f>IFERROR(__xludf.DUMMYFUNCTION("""COMPUTED_VALUE"""),2043.0)</f>
        <v>2043</v>
      </c>
      <c r="D3799" s="5">
        <f>IFERROR(__xludf.DUMMYFUNCTION("""COMPUTED_VALUE"""),0.3798076923076923)</f>
        <v>0.3798076923</v>
      </c>
      <c r="E3799" s="5">
        <f>IFERROR(__xludf.DUMMYFUNCTION("""COMPUTED_VALUE"""),0.12179487179487179)</f>
        <v>0.1217948718</v>
      </c>
      <c r="F3799" s="5">
        <f>IFERROR(__xludf.DUMMYFUNCTION("""COMPUTED_VALUE"""),0.21314102564102563)</f>
        <v>0.2131410256</v>
      </c>
      <c r="G3799" s="5">
        <f>IFERROR(__xludf.DUMMYFUNCTION("""COMPUTED_VALUE"""),0.1543803418803419)</f>
        <v>0.1543803419</v>
      </c>
      <c r="H3799" s="5">
        <f>IFERROR(__xludf.DUMMYFUNCTION("""COMPUTED_VALUE"""),0.5739348370927319)</f>
        <v>0.5739348371</v>
      </c>
      <c r="I3799" s="11">
        <f>IFERROR(__xludf.DUMMYFUNCTION("""COMPUTED_VALUE"""),5392.731829573935)</f>
        <v>5392.73183</v>
      </c>
      <c r="J3799" s="10">
        <f>IFERROR(__xludf.DUMMYFUNCTION("""COMPUTED_VALUE"""),0.0)</f>
        <v>0</v>
      </c>
      <c r="K3799" s="5">
        <f>IFERROR(__xludf.DUMMYFUNCTION("""COMPUTED_VALUE"""),0.0)</f>
        <v>0</v>
      </c>
      <c r="L3799" s="10">
        <f>IFERROR(__xludf.DUMMYFUNCTION("""COMPUTED_VALUE"""),97.0)</f>
        <v>97</v>
      </c>
      <c r="M3799" s="5">
        <f>IFERROR(__xludf.DUMMYFUNCTION("""COMPUTED_VALUE"""),0.5672514619883041)</f>
        <v>0.567251462</v>
      </c>
    </row>
    <row r="3800">
      <c r="A3800" s="10" t="str">
        <f>IFERROR(__xludf.DUMMYFUNCTION("""COMPUTED_VALUE"""),"みる＠声優")</f>
        <v>みる＠声優</v>
      </c>
      <c r="B3800" s="10">
        <f>IFERROR(__xludf.DUMMYFUNCTION("""COMPUTED_VALUE"""),999.0)</f>
        <v>999</v>
      </c>
      <c r="C3800" s="10">
        <f>IFERROR(__xludf.DUMMYFUNCTION("""COMPUTED_VALUE"""),11772.0)</f>
        <v>11772</v>
      </c>
      <c r="D3800" s="5">
        <f>IFERROR(__xludf.DUMMYFUNCTION("""COMPUTED_VALUE"""),0.37593984962406013)</f>
        <v>0.3759398496</v>
      </c>
      <c r="E3800" s="5">
        <f>IFERROR(__xludf.DUMMYFUNCTION("""COMPUTED_VALUE"""),0.12178594634734985)</f>
        <v>0.1217859463</v>
      </c>
      <c r="F3800" s="5">
        <f>IFERROR(__xludf.DUMMYFUNCTION("""COMPUTED_VALUE"""),0.20699897892880348)</f>
        <v>0.2069989789</v>
      </c>
      <c r="G3800" s="5">
        <f>IFERROR(__xludf.DUMMYFUNCTION("""COMPUTED_VALUE"""),0.16132924904854729)</f>
        <v>0.161329249</v>
      </c>
      <c r="H3800" s="5">
        <f>IFERROR(__xludf.DUMMYFUNCTION("""COMPUTED_VALUE"""),0.594170403587444)</f>
        <v>0.5941704036</v>
      </c>
      <c r="I3800" s="11">
        <f>IFERROR(__xludf.DUMMYFUNCTION("""COMPUTED_VALUE"""),5429.686098654708)</f>
        <v>5429.686099</v>
      </c>
      <c r="J3800" s="10">
        <f>IFERROR(__xludf.DUMMYFUNCTION("""COMPUTED_VALUE"""),1.0)</f>
        <v>1</v>
      </c>
      <c r="K3800" s="5">
        <f>IFERROR(__xludf.DUMMYFUNCTION("""COMPUTED_VALUE"""),0.001001001001001001)</f>
        <v>0.001001001001</v>
      </c>
      <c r="L3800" s="10">
        <f>IFERROR(__xludf.DUMMYFUNCTION("""COMPUTED_VALUE"""),0.0)</f>
        <v>0</v>
      </c>
      <c r="M3800" s="5">
        <f>IFERROR(__xludf.DUMMYFUNCTION("""COMPUTED_VALUE"""),0.0)</f>
        <v>0</v>
      </c>
    </row>
    <row r="3801">
      <c r="A3801" s="10" t="str">
        <f>IFERROR(__xludf.DUMMYFUNCTION("""COMPUTED_VALUE"""),"℃-ute")</f>
        <v>℃-ute</v>
      </c>
      <c r="B3801" s="10">
        <f>IFERROR(__xludf.DUMMYFUNCTION("""COMPUTED_VALUE"""),631.0)</f>
        <v>631</v>
      </c>
      <c r="C3801" s="10">
        <f>IFERROR(__xludf.DUMMYFUNCTION("""COMPUTED_VALUE"""),7471.0)</f>
        <v>7471</v>
      </c>
      <c r="D3801" s="5">
        <f>IFERROR(__xludf.DUMMYFUNCTION("""COMPUTED_VALUE"""),0.279093567251462)</f>
        <v>0.2790935673</v>
      </c>
      <c r="E3801" s="5">
        <f>IFERROR(__xludf.DUMMYFUNCTION("""COMPUTED_VALUE"""),0.12178362573099415)</f>
        <v>0.1217836257</v>
      </c>
      <c r="F3801" s="5">
        <f>IFERROR(__xludf.DUMMYFUNCTION("""COMPUTED_VALUE"""),0.20687134502923976)</f>
        <v>0.206871345</v>
      </c>
      <c r="G3801" s="5">
        <f>IFERROR(__xludf.DUMMYFUNCTION("""COMPUTED_VALUE"""),0.18801169590643274)</f>
        <v>0.1880116959</v>
      </c>
      <c r="H3801" s="5">
        <f>IFERROR(__xludf.DUMMYFUNCTION("""COMPUTED_VALUE"""),0.6148409893992933)</f>
        <v>0.6148409894</v>
      </c>
      <c r="I3801" s="11">
        <f>IFERROR(__xludf.DUMMYFUNCTION("""COMPUTED_VALUE"""),5631.236749116608)</f>
        <v>5631.236749</v>
      </c>
      <c r="J3801" s="10">
        <f>IFERROR(__xludf.DUMMYFUNCTION("""COMPUTED_VALUE"""),0.0)</f>
        <v>0</v>
      </c>
      <c r="K3801" s="5">
        <f>IFERROR(__xludf.DUMMYFUNCTION("""COMPUTED_VALUE"""),0.0)</f>
        <v>0</v>
      </c>
      <c r="L3801" s="10">
        <f>IFERROR(__xludf.DUMMYFUNCTION("""COMPUTED_VALUE"""),631.0)</f>
        <v>631</v>
      </c>
      <c r="M3801" s="5">
        <f>IFERROR(__xludf.DUMMYFUNCTION("""COMPUTED_VALUE"""),1.0)</f>
        <v>1</v>
      </c>
    </row>
    <row r="3802">
      <c r="A3802" s="10" t="str">
        <f>IFERROR(__xludf.DUMMYFUNCTION("""COMPUTED_VALUE"""),"イリヤたん大好き")</f>
        <v>イリヤたん大好き</v>
      </c>
      <c r="B3802" s="10">
        <f>IFERROR(__xludf.DUMMYFUNCTION("""COMPUTED_VALUE"""),1597.0)</f>
        <v>1597</v>
      </c>
      <c r="C3802" s="10">
        <f>IFERROR(__xludf.DUMMYFUNCTION("""COMPUTED_VALUE"""),18588.0)</f>
        <v>18588</v>
      </c>
      <c r="D3802" s="5">
        <f>IFERROR(__xludf.DUMMYFUNCTION("""COMPUTED_VALUE"""),0.3543052204108057)</f>
        <v>0.3543052204</v>
      </c>
      <c r="E3802" s="5">
        <f>IFERROR(__xludf.DUMMYFUNCTION("""COMPUTED_VALUE"""),0.12177034900829851)</f>
        <v>0.121770349</v>
      </c>
      <c r="F3802" s="5">
        <f>IFERROR(__xludf.DUMMYFUNCTION("""COMPUTED_VALUE"""),0.2095226884821376)</f>
        <v>0.2095226885</v>
      </c>
      <c r="G3802" s="5">
        <f>IFERROR(__xludf.DUMMYFUNCTION("""COMPUTED_VALUE"""),0.1994585368724619)</f>
        <v>0.1994585369</v>
      </c>
      <c r="H3802" s="5">
        <f>IFERROR(__xludf.DUMMYFUNCTION("""COMPUTED_VALUE"""),0.5873595505617978)</f>
        <v>0.5873595506</v>
      </c>
      <c r="I3802" s="11">
        <f>IFERROR(__xludf.DUMMYFUNCTION("""COMPUTED_VALUE"""),5653.1741573033705)</f>
        <v>5653.174157</v>
      </c>
      <c r="J3802" s="10">
        <f>IFERROR(__xludf.DUMMYFUNCTION("""COMPUTED_VALUE"""),2.0)</f>
        <v>2</v>
      </c>
      <c r="K3802" s="5">
        <f>IFERROR(__xludf.DUMMYFUNCTION("""COMPUTED_VALUE"""),0.0012523481527864746)</f>
        <v>0.001252348153</v>
      </c>
      <c r="L3802" s="10">
        <f>IFERROR(__xludf.DUMMYFUNCTION("""COMPUTED_VALUE"""),1597.0)</f>
        <v>1597</v>
      </c>
      <c r="M3802" s="5">
        <f>IFERROR(__xludf.DUMMYFUNCTION("""COMPUTED_VALUE"""),1.0)</f>
        <v>1</v>
      </c>
    </row>
    <row r="3803">
      <c r="A3803" s="10" t="str">
        <f>IFERROR(__xludf.DUMMYFUNCTION("""COMPUTED_VALUE"""),"ClariS")</f>
        <v>ClariS</v>
      </c>
      <c r="B3803" s="10">
        <f>IFERROR(__xludf.DUMMYFUNCTION("""COMPUTED_VALUE"""),228.0)</f>
        <v>228</v>
      </c>
      <c r="C3803" s="10">
        <f>IFERROR(__xludf.DUMMYFUNCTION("""COMPUTED_VALUE"""),2741.0)</f>
        <v>2741</v>
      </c>
      <c r="D3803" s="5">
        <f>IFERROR(__xludf.DUMMYFUNCTION("""COMPUTED_VALUE"""),0.39753282928770395)</f>
        <v>0.3975328293</v>
      </c>
      <c r="E3803" s="5">
        <f>IFERROR(__xludf.DUMMYFUNCTION("""COMPUTED_VALUE"""),0.12176681257461201)</f>
        <v>0.1217668126</v>
      </c>
      <c r="F3803" s="5">
        <f>IFERROR(__xludf.DUMMYFUNCTION("""COMPUTED_VALUE"""),0.23278949462793475)</f>
        <v>0.2327894946</v>
      </c>
      <c r="G3803" s="5">
        <f>IFERROR(__xludf.DUMMYFUNCTION("""COMPUTED_VALUE"""),0.18384401114206128)</f>
        <v>0.1838440111</v>
      </c>
      <c r="H3803" s="5">
        <f>IFERROR(__xludf.DUMMYFUNCTION("""COMPUTED_VALUE"""),0.5658119658119658)</f>
        <v>0.5658119658</v>
      </c>
      <c r="I3803" s="11">
        <f>IFERROR(__xludf.DUMMYFUNCTION("""COMPUTED_VALUE"""),5381.3675213675215)</f>
        <v>5381.367521</v>
      </c>
      <c r="J3803" s="10">
        <f>IFERROR(__xludf.DUMMYFUNCTION("""COMPUTED_VALUE"""),0.0)</f>
        <v>0</v>
      </c>
      <c r="K3803" s="5">
        <f>IFERROR(__xludf.DUMMYFUNCTION("""COMPUTED_VALUE"""),0.0)</f>
        <v>0</v>
      </c>
      <c r="L3803" s="10">
        <f>IFERROR(__xludf.DUMMYFUNCTION("""COMPUTED_VALUE"""),9.0)</f>
        <v>9</v>
      </c>
      <c r="M3803" s="5">
        <f>IFERROR(__xludf.DUMMYFUNCTION("""COMPUTED_VALUE"""),0.039473684210526314)</f>
        <v>0.03947368421</v>
      </c>
    </row>
    <row r="3804">
      <c r="A3804" s="10" t="str">
        <f>IFERROR(__xludf.DUMMYFUNCTION("""COMPUTED_VALUE"""),"みっぺー")</f>
        <v>みっぺー</v>
      </c>
      <c r="B3804" s="10">
        <f>IFERROR(__xludf.DUMMYFUNCTION("""COMPUTED_VALUE"""),2306.0)</f>
        <v>2306</v>
      </c>
      <c r="C3804" s="10">
        <f>IFERROR(__xludf.DUMMYFUNCTION("""COMPUTED_VALUE"""),26674.0)</f>
        <v>26674</v>
      </c>
      <c r="D3804" s="5">
        <f>IFERROR(__xludf.DUMMYFUNCTION("""COMPUTED_VALUE"""),0.34442711753118843)</f>
        <v>0.3444271175</v>
      </c>
      <c r="E3804" s="5">
        <f>IFERROR(__xludf.DUMMYFUNCTION("""COMPUTED_VALUE"""),0.121758043335522)</f>
        <v>0.1217580433</v>
      </c>
      <c r="F3804" s="5">
        <f>IFERROR(__xludf.DUMMYFUNCTION("""COMPUTED_VALUE"""),0.20707485226526592)</f>
        <v>0.2070748523</v>
      </c>
      <c r="G3804" s="5">
        <f>IFERROR(__xludf.DUMMYFUNCTION("""COMPUTED_VALUE"""),0.1726854891661195)</f>
        <v>0.1726854892</v>
      </c>
      <c r="H3804" s="5">
        <f>IFERROR(__xludf.DUMMYFUNCTION("""COMPUTED_VALUE"""),0.6004756242568371)</f>
        <v>0.6004756243</v>
      </c>
      <c r="I3804" s="11">
        <f>IFERROR(__xludf.DUMMYFUNCTION("""COMPUTED_VALUE"""),5811.573523583036)</f>
        <v>5811.573524</v>
      </c>
      <c r="J3804" s="10">
        <f>IFERROR(__xludf.DUMMYFUNCTION("""COMPUTED_VALUE"""),2.0)</f>
        <v>2</v>
      </c>
      <c r="K3804" s="5">
        <f>IFERROR(__xludf.DUMMYFUNCTION("""COMPUTED_VALUE"""),8.673026886383347E-4)</f>
        <v>0.0008673026886</v>
      </c>
      <c r="L3804" s="10">
        <f>IFERROR(__xludf.DUMMYFUNCTION("""COMPUTED_VALUE"""),2306.0)</f>
        <v>2306</v>
      </c>
      <c r="M3804" s="5">
        <f>IFERROR(__xludf.DUMMYFUNCTION("""COMPUTED_VALUE"""),1.0)</f>
        <v>1</v>
      </c>
    </row>
    <row r="3805">
      <c r="A3805" s="10" t="str">
        <f>IFERROR(__xludf.DUMMYFUNCTION("""COMPUTED_VALUE"""),"＄ナナシー￥")</f>
        <v>＄ナナシー￥</v>
      </c>
      <c r="B3805" s="10">
        <f>IFERROR(__xludf.DUMMYFUNCTION("""COMPUTED_VALUE"""),2605.0)</f>
        <v>2605</v>
      </c>
      <c r="C3805" s="10">
        <f>IFERROR(__xludf.DUMMYFUNCTION("""COMPUTED_VALUE"""),31015.0)</f>
        <v>31015</v>
      </c>
      <c r="D3805" s="5">
        <f>IFERROR(__xludf.DUMMYFUNCTION("""COMPUTED_VALUE"""),0.37053854276663145)</f>
        <v>0.3705385428</v>
      </c>
      <c r="E3805" s="5">
        <f>IFERROR(__xludf.DUMMYFUNCTION("""COMPUTED_VALUE"""),0.12175290390707498)</f>
        <v>0.1217529039</v>
      </c>
      <c r="F3805" s="5">
        <f>IFERROR(__xludf.DUMMYFUNCTION("""COMPUTED_VALUE"""),0.21598028863076382)</f>
        <v>0.2159802886</v>
      </c>
      <c r="G3805" s="5">
        <f>IFERROR(__xludf.DUMMYFUNCTION("""COMPUTED_VALUE"""),0.14332981344596973)</f>
        <v>0.1433298134</v>
      </c>
      <c r="H3805" s="5">
        <f>IFERROR(__xludf.DUMMYFUNCTION("""COMPUTED_VALUE"""),0.6134289439374185)</f>
        <v>0.6134289439</v>
      </c>
      <c r="I3805" s="11">
        <f>IFERROR(__xludf.DUMMYFUNCTION("""COMPUTED_VALUE"""),5227.672750977836)</f>
        <v>5227.672751</v>
      </c>
      <c r="J3805" s="10">
        <f>IFERROR(__xludf.DUMMYFUNCTION("""COMPUTED_VALUE"""),4.0)</f>
        <v>4</v>
      </c>
      <c r="K3805" s="5">
        <f>IFERROR(__xludf.DUMMYFUNCTION("""COMPUTED_VALUE"""),0.0015355086372360845)</f>
        <v>0.001535508637</v>
      </c>
      <c r="L3805" s="10">
        <f>IFERROR(__xludf.DUMMYFUNCTION("""COMPUTED_VALUE"""),2605.0)</f>
        <v>2605</v>
      </c>
      <c r="M3805" s="5">
        <f>IFERROR(__xludf.DUMMYFUNCTION("""COMPUTED_VALUE"""),1.0)</f>
        <v>1</v>
      </c>
    </row>
    <row r="3806">
      <c r="A3806" s="10" t="str">
        <f>IFERROR(__xludf.DUMMYFUNCTION("""COMPUTED_VALUE"""),"凶介@杏杏軍団")</f>
        <v>凶介@杏杏軍団</v>
      </c>
      <c r="B3806" s="10">
        <f>IFERROR(__xludf.DUMMYFUNCTION("""COMPUTED_VALUE"""),683.0)</f>
        <v>683</v>
      </c>
      <c r="C3806" s="10">
        <f>IFERROR(__xludf.DUMMYFUNCTION("""COMPUTED_VALUE"""),8035.0)</f>
        <v>8035</v>
      </c>
      <c r="D3806" s="5">
        <f>IFERROR(__xludf.DUMMYFUNCTION("""COMPUTED_VALUE"""),0.3437159956474429)</f>
        <v>0.3437159956</v>
      </c>
      <c r="E3806" s="5">
        <f>IFERROR(__xludf.DUMMYFUNCTION("""COMPUTED_VALUE"""),0.12173558215451578)</f>
        <v>0.1217355822</v>
      </c>
      <c r="F3806" s="5">
        <f>IFERROR(__xludf.DUMMYFUNCTION("""COMPUTED_VALUE"""),0.20089771490750816)</f>
        <v>0.2008977149</v>
      </c>
      <c r="G3806" s="5">
        <f>IFERROR(__xludf.DUMMYFUNCTION("""COMPUTED_VALUE"""),0.15859630032644179)</f>
        <v>0.1585963003</v>
      </c>
      <c r="H3806" s="5">
        <f>IFERROR(__xludf.DUMMYFUNCTION("""COMPUTED_VALUE"""),0.6052809749492214)</f>
        <v>0.6052809749</v>
      </c>
      <c r="I3806" s="11">
        <f>IFERROR(__xludf.DUMMYFUNCTION("""COMPUTED_VALUE"""),5507.109004739336)</f>
        <v>5507.109005</v>
      </c>
      <c r="J3806" s="10">
        <f>IFERROR(__xludf.DUMMYFUNCTION("""COMPUTED_VALUE"""),3.0)</f>
        <v>3</v>
      </c>
      <c r="K3806" s="5">
        <f>IFERROR(__xludf.DUMMYFUNCTION("""COMPUTED_VALUE"""),0.004392386530014641)</f>
        <v>0.00439238653</v>
      </c>
      <c r="L3806" s="10">
        <f>IFERROR(__xludf.DUMMYFUNCTION("""COMPUTED_VALUE"""),679.0)</f>
        <v>679</v>
      </c>
      <c r="M3806" s="5">
        <f>IFERROR(__xludf.DUMMYFUNCTION("""COMPUTED_VALUE"""),0.9941434846266471)</f>
        <v>0.9941434846</v>
      </c>
    </row>
    <row r="3807">
      <c r="A3807" s="10" t="str">
        <f>IFERROR(__xludf.DUMMYFUNCTION("""COMPUTED_VALUE"""),"りゆー")</f>
        <v>りゆー</v>
      </c>
      <c r="B3807" s="10">
        <f>IFERROR(__xludf.DUMMYFUNCTION("""COMPUTED_VALUE"""),1973.0)</f>
        <v>1973</v>
      </c>
      <c r="C3807" s="10">
        <f>IFERROR(__xludf.DUMMYFUNCTION("""COMPUTED_VALUE"""),22748.0)</f>
        <v>22748</v>
      </c>
      <c r="D3807" s="5">
        <f>IFERROR(__xludf.DUMMYFUNCTION("""COMPUTED_VALUE"""),0.3393983152827918)</f>
        <v>0.3393983153</v>
      </c>
      <c r="E3807" s="5">
        <f>IFERROR(__xludf.DUMMYFUNCTION("""COMPUTED_VALUE"""),0.12173285198555957)</f>
        <v>0.121732852</v>
      </c>
      <c r="F3807" s="5">
        <f>IFERROR(__xludf.DUMMYFUNCTION("""COMPUTED_VALUE"""),0.21116726835138389)</f>
        <v>0.2111672684</v>
      </c>
      <c r="G3807" s="5">
        <f>IFERROR(__xludf.DUMMYFUNCTION("""COMPUTED_VALUE"""),0.16943441636582432)</f>
        <v>0.1694344164</v>
      </c>
      <c r="H3807" s="5">
        <f>IFERROR(__xludf.DUMMYFUNCTION("""COMPUTED_VALUE"""),0.5869614770914064)</f>
        <v>0.5869614771</v>
      </c>
      <c r="I3807" s="11">
        <f>IFERROR(__xludf.DUMMYFUNCTION("""COMPUTED_VALUE"""),5880.601777980397)</f>
        <v>5880.601778</v>
      </c>
      <c r="J3807" s="10">
        <f>IFERROR(__xludf.DUMMYFUNCTION("""COMPUTED_VALUE"""),2.0)</f>
        <v>2</v>
      </c>
      <c r="K3807" s="5">
        <f>IFERROR(__xludf.DUMMYFUNCTION("""COMPUTED_VALUE"""),0.0010136847440446021)</f>
        <v>0.001013684744</v>
      </c>
      <c r="L3807" s="10">
        <f>IFERROR(__xludf.DUMMYFUNCTION("""COMPUTED_VALUE"""),1973.0)</f>
        <v>1973</v>
      </c>
      <c r="M3807" s="5">
        <f>IFERROR(__xludf.DUMMYFUNCTION("""COMPUTED_VALUE"""),1.0)</f>
        <v>1</v>
      </c>
    </row>
    <row r="3808">
      <c r="A3808" s="10" t="str">
        <f>IFERROR(__xludf.DUMMYFUNCTION("""COMPUTED_VALUE"""),"避けるチーズ")</f>
        <v>避けるチーズ</v>
      </c>
      <c r="B3808" s="10">
        <f>IFERROR(__xludf.DUMMYFUNCTION("""COMPUTED_VALUE"""),891.0)</f>
        <v>891</v>
      </c>
      <c r="C3808" s="10">
        <f>IFERROR(__xludf.DUMMYFUNCTION("""COMPUTED_VALUE"""),10511.0)</f>
        <v>10511</v>
      </c>
      <c r="D3808" s="5">
        <f>IFERROR(__xludf.DUMMYFUNCTION("""COMPUTED_VALUE"""),0.30176715176715174)</f>
        <v>0.3017671518</v>
      </c>
      <c r="E3808" s="5">
        <f>IFERROR(__xludf.DUMMYFUNCTION("""COMPUTED_VALUE"""),0.12172557172557173)</f>
        <v>0.1217255717</v>
      </c>
      <c r="F3808" s="5">
        <f>IFERROR(__xludf.DUMMYFUNCTION("""COMPUTED_VALUE"""),0.2053014553014553)</f>
        <v>0.2053014553</v>
      </c>
      <c r="G3808" s="5">
        <f>IFERROR(__xludf.DUMMYFUNCTION("""COMPUTED_VALUE"""),0.17557172557172557)</f>
        <v>0.1755717256</v>
      </c>
      <c r="H3808" s="5">
        <f>IFERROR(__xludf.DUMMYFUNCTION("""COMPUTED_VALUE"""),0.5989873417721518)</f>
        <v>0.5989873418</v>
      </c>
      <c r="I3808" s="11">
        <f>IFERROR(__xludf.DUMMYFUNCTION("""COMPUTED_VALUE"""),5659.594936708861)</f>
        <v>5659.594937</v>
      </c>
      <c r="J3808" s="10">
        <f>IFERROR(__xludf.DUMMYFUNCTION("""COMPUTED_VALUE"""),0.0)</f>
        <v>0</v>
      </c>
      <c r="K3808" s="5">
        <f>IFERROR(__xludf.DUMMYFUNCTION("""COMPUTED_VALUE"""),0.0)</f>
        <v>0</v>
      </c>
      <c r="L3808" s="10">
        <f>IFERROR(__xludf.DUMMYFUNCTION("""COMPUTED_VALUE"""),52.0)</f>
        <v>52</v>
      </c>
      <c r="M3808" s="5">
        <f>IFERROR(__xludf.DUMMYFUNCTION("""COMPUTED_VALUE"""),0.058361391694725026)</f>
        <v>0.05836139169</v>
      </c>
    </row>
    <row r="3809">
      <c r="A3809" s="10" t="str">
        <f>IFERROR(__xludf.DUMMYFUNCTION("""COMPUTED_VALUE"""),"ウィンD")</f>
        <v>ウィンD</v>
      </c>
      <c r="B3809" s="10">
        <f>IFERROR(__xludf.DUMMYFUNCTION("""COMPUTED_VALUE"""),310.0)</f>
        <v>310</v>
      </c>
      <c r="C3809" s="10">
        <f>IFERROR(__xludf.DUMMYFUNCTION("""COMPUTED_VALUE"""),3703.0)</f>
        <v>3703</v>
      </c>
      <c r="D3809" s="5">
        <f>IFERROR(__xludf.DUMMYFUNCTION("""COMPUTED_VALUE"""),0.33215443560271146)</f>
        <v>0.3321544356</v>
      </c>
      <c r="E3809" s="5">
        <f>IFERROR(__xludf.DUMMYFUNCTION("""COMPUTED_VALUE"""),0.12172119068670793)</f>
        <v>0.1217211907</v>
      </c>
      <c r="F3809" s="5">
        <f>IFERROR(__xludf.DUMMYFUNCTION("""COMPUTED_VALUE"""),0.20954907161803712)</f>
        <v>0.2095490716</v>
      </c>
      <c r="G3809" s="5">
        <f>IFERROR(__xludf.DUMMYFUNCTION("""COMPUTED_VALUE"""),0.1900972590627763)</f>
        <v>0.1900972591</v>
      </c>
      <c r="H3809" s="5">
        <f>IFERROR(__xludf.DUMMYFUNCTION("""COMPUTED_VALUE"""),0.6315049226441631)</f>
        <v>0.6315049226</v>
      </c>
      <c r="I3809" s="11">
        <f>IFERROR(__xludf.DUMMYFUNCTION("""COMPUTED_VALUE"""),5676.230661040788)</f>
        <v>5676.230661</v>
      </c>
      <c r="J3809" s="10">
        <f>IFERROR(__xludf.DUMMYFUNCTION("""COMPUTED_VALUE"""),1.0)</f>
        <v>1</v>
      </c>
      <c r="K3809" s="5">
        <f>IFERROR(__xludf.DUMMYFUNCTION("""COMPUTED_VALUE"""),0.0032258064516129032)</f>
        <v>0.003225806452</v>
      </c>
      <c r="L3809" s="10">
        <f>IFERROR(__xludf.DUMMYFUNCTION("""COMPUTED_VALUE"""),310.0)</f>
        <v>310</v>
      </c>
      <c r="M3809" s="5">
        <f>IFERROR(__xludf.DUMMYFUNCTION("""COMPUTED_VALUE"""),1.0)</f>
        <v>1</v>
      </c>
    </row>
    <row r="3810">
      <c r="A3810" s="10" t="str">
        <f>IFERROR(__xludf.DUMMYFUNCTION("""COMPUTED_VALUE"""),"donchan3")</f>
        <v>donchan3</v>
      </c>
      <c r="B3810" s="10">
        <f>IFERROR(__xludf.DUMMYFUNCTION("""COMPUTED_VALUE"""),4917.0)</f>
        <v>4917</v>
      </c>
      <c r="C3810" s="10">
        <f>IFERROR(__xludf.DUMMYFUNCTION("""COMPUTED_VALUE"""),57933.0)</f>
        <v>57933</v>
      </c>
      <c r="D3810" s="5">
        <f>IFERROR(__xludf.DUMMYFUNCTION("""COMPUTED_VALUE"""),0.3134148181681002)</f>
        <v>0.3134148182</v>
      </c>
      <c r="E3810" s="5">
        <f>IFERROR(__xludf.DUMMYFUNCTION("""COMPUTED_VALUE"""),0.12171797193300136)</f>
        <v>0.1217179719</v>
      </c>
      <c r="F3810" s="5">
        <f>IFERROR(__xludf.DUMMYFUNCTION("""COMPUTED_VALUE"""),0.20224083295608872)</f>
        <v>0.202240833</v>
      </c>
      <c r="G3810" s="5">
        <f>IFERROR(__xludf.DUMMYFUNCTION("""COMPUTED_VALUE"""),0.17081635732609024)</f>
        <v>0.1708163573</v>
      </c>
      <c r="H3810" s="5">
        <f>IFERROR(__xludf.DUMMYFUNCTION("""COMPUTED_VALUE"""),0.589535534415221)</f>
        <v>0.5895355344</v>
      </c>
      <c r="I3810" s="11">
        <f>IFERROR(__xludf.DUMMYFUNCTION("""COMPUTED_VALUE"""),5814.29770565193)</f>
        <v>5814.297706</v>
      </c>
      <c r="J3810" s="10">
        <f>IFERROR(__xludf.DUMMYFUNCTION("""COMPUTED_VALUE"""),7.0)</f>
        <v>7</v>
      </c>
      <c r="K3810" s="5">
        <f>IFERROR(__xludf.DUMMYFUNCTION("""COMPUTED_VALUE"""),0.0014236322961155175)</f>
        <v>0.001423632296</v>
      </c>
      <c r="L3810" s="10">
        <f>IFERROR(__xludf.DUMMYFUNCTION("""COMPUTED_VALUE"""),4917.0)</f>
        <v>4917</v>
      </c>
      <c r="M3810" s="5">
        <f>IFERROR(__xludf.DUMMYFUNCTION("""COMPUTED_VALUE"""),1.0)</f>
        <v>1</v>
      </c>
    </row>
    <row r="3811">
      <c r="A3811" s="10" t="str">
        <f>IFERROR(__xludf.DUMMYFUNCTION("""COMPUTED_VALUE"""),"玄太郎")</f>
        <v>玄太郎</v>
      </c>
      <c r="B3811" s="10">
        <f>IFERROR(__xludf.DUMMYFUNCTION("""COMPUTED_VALUE"""),140.0)</f>
        <v>140</v>
      </c>
      <c r="C3811" s="10">
        <f>IFERROR(__xludf.DUMMYFUNCTION("""COMPUTED_VALUE"""),1660.0)</f>
        <v>1660</v>
      </c>
      <c r="D3811" s="5">
        <f>IFERROR(__xludf.DUMMYFUNCTION("""COMPUTED_VALUE"""),0.3611842105263158)</f>
        <v>0.3611842105</v>
      </c>
      <c r="E3811" s="5">
        <f>IFERROR(__xludf.DUMMYFUNCTION("""COMPUTED_VALUE"""),0.12171052631578948)</f>
        <v>0.1217105263</v>
      </c>
      <c r="F3811" s="5">
        <f>IFERROR(__xludf.DUMMYFUNCTION("""COMPUTED_VALUE"""),0.19407894736842105)</f>
        <v>0.1940789474</v>
      </c>
      <c r="G3811" s="5">
        <f>IFERROR(__xludf.DUMMYFUNCTION("""COMPUTED_VALUE"""),0.16644736842105262)</f>
        <v>0.1664473684</v>
      </c>
      <c r="H3811" s="5">
        <f>IFERROR(__xludf.DUMMYFUNCTION("""COMPUTED_VALUE"""),0.6338983050847458)</f>
        <v>0.6338983051</v>
      </c>
      <c r="I3811" s="11">
        <f>IFERROR(__xludf.DUMMYFUNCTION("""COMPUTED_VALUE"""),5466.779661016949)</f>
        <v>5466.779661</v>
      </c>
      <c r="J3811" s="10">
        <f>IFERROR(__xludf.DUMMYFUNCTION("""COMPUTED_VALUE"""),0.0)</f>
        <v>0</v>
      </c>
      <c r="K3811" s="5">
        <f>IFERROR(__xludf.DUMMYFUNCTION("""COMPUTED_VALUE"""),0.0)</f>
        <v>0</v>
      </c>
      <c r="L3811" s="10">
        <f>IFERROR(__xludf.DUMMYFUNCTION("""COMPUTED_VALUE"""),140.0)</f>
        <v>140</v>
      </c>
      <c r="M3811" s="5">
        <f>IFERROR(__xludf.DUMMYFUNCTION("""COMPUTED_VALUE"""),1.0)</f>
        <v>1</v>
      </c>
    </row>
    <row r="3812">
      <c r="A3812" s="10" t="str">
        <f>IFERROR(__xludf.DUMMYFUNCTION("""COMPUTED_VALUE"""),"デネボラ")</f>
        <v>デネボラ</v>
      </c>
      <c r="B3812" s="10">
        <f>IFERROR(__xludf.DUMMYFUNCTION("""COMPUTED_VALUE"""),2651.0)</f>
        <v>2651</v>
      </c>
      <c r="C3812" s="10">
        <f>IFERROR(__xludf.DUMMYFUNCTION("""COMPUTED_VALUE"""),31023.0)</f>
        <v>31023</v>
      </c>
      <c r="D3812" s="5">
        <f>IFERROR(__xludf.DUMMYFUNCTION("""COMPUTED_VALUE"""),0.35609051177216977)</f>
        <v>0.3560905118</v>
      </c>
      <c r="E3812" s="5">
        <f>IFERROR(__xludf.DUMMYFUNCTION("""COMPUTED_VALUE"""),0.12170449739179473)</f>
        <v>0.1217044974</v>
      </c>
      <c r="F3812" s="5">
        <f>IFERROR(__xludf.DUMMYFUNCTION("""COMPUTED_VALUE"""),0.21260397575074017)</f>
        <v>0.2126039758</v>
      </c>
      <c r="G3812" s="5">
        <f>IFERROR(__xludf.DUMMYFUNCTION("""COMPUTED_VALUE"""),0.17196531791907516)</f>
        <v>0.1719653179</v>
      </c>
      <c r="H3812" s="5">
        <f>IFERROR(__xludf.DUMMYFUNCTION("""COMPUTED_VALUE"""),0.5971485411140584)</f>
        <v>0.5971485411</v>
      </c>
      <c r="I3812" s="11">
        <f>IFERROR(__xludf.DUMMYFUNCTION("""COMPUTED_VALUE"""),5408.9356763925725)</f>
        <v>5408.935676</v>
      </c>
      <c r="J3812" s="10">
        <f>IFERROR(__xludf.DUMMYFUNCTION("""COMPUTED_VALUE"""),5.0)</f>
        <v>5</v>
      </c>
      <c r="K3812" s="5">
        <f>IFERROR(__xludf.DUMMYFUNCTION("""COMPUTED_VALUE"""),0.001886080724254998)</f>
        <v>0.001886080724</v>
      </c>
      <c r="L3812" s="10">
        <f>IFERROR(__xludf.DUMMYFUNCTION("""COMPUTED_VALUE"""),2651.0)</f>
        <v>2651</v>
      </c>
      <c r="M3812" s="5">
        <f>IFERROR(__xludf.DUMMYFUNCTION("""COMPUTED_VALUE"""),1.0)</f>
        <v>1</v>
      </c>
    </row>
    <row r="3813">
      <c r="A3813" s="10" t="str">
        <f>IFERROR(__xludf.DUMMYFUNCTION("""COMPUTED_VALUE"""),"&lt;&gt;")</f>
        <v>&lt;&gt;</v>
      </c>
      <c r="B3813" s="10">
        <f>IFERROR(__xludf.DUMMYFUNCTION("""COMPUTED_VALUE"""),1082.0)</f>
        <v>1082</v>
      </c>
      <c r="C3813" s="10">
        <f>IFERROR(__xludf.DUMMYFUNCTION("""COMPUTED_VALUE"""),12939.0)</f>
        <v>12939</v>
      </c>
      <c r="D3813" s="5">
        <f>IFERROR(__xludf.DUMMYFUNCTION("""COMPUTED_VALUE"""),0.3805347052374125)</f>
        <v>0.3805347052</v>
      </c>
      <c r="E3813" s="5">
        <f>IFERROR(__xludf.DUMMYFUNCTION("""COMPUTED_VALUE"""),0.12170026144893312)</f>
        <v>0.1217002614</v>
      </c>
      <c r="F3813" s="5">
        <f>IFERROR(__xludf.DUMMYFUNCTION("""COMPUTED_VALUE"""),0.207050687357679)</f>
        <v>0.2070506874</v>
      </c>
      <c r="G3813" s="5">
        <f>IFERROR(__xludf.DUMMYFUNCTION("""COMPUTED_VALUE"""),0.15923083410643502)</f>
        <v>0.1592308341</v>
      </c>
      <c r="H3813" s="5">
        <f>IFERROR(__xludf.DUMMYFUNCTION("""COMPUTED_VALUE"""),0.5910386965376782)</f>
        <v>0.5910386965</v>
      </c>
      <c r="I3813" s="11">
        <f>IFERROR(__xludf.DUMMYFUNCTION("""COMPUTED_VALUE"""),5447.942973523422)</f>
        <v>5447.942974</v>
      </c>
      <c r="J3813" s="10">
        <f>IFERROR(__xludf.DUMMYFUNCTION("""COMPUTED_VALUE"""),2.0)</f>
        <v>2</v>
      </c>
      <c r="K3813" s="5">
        <f>IFERROR(__xludf.DUMMYFUNCTION("""COMPUTED_VALUE"""),0.0018484288354898336)</f>
        <v>0.001848428835</v>
      </c>
      <c r="L3813" s="10">
        <f>IFERROR(__xludf.DUMMYFUNCTION("""COMPUTED_VALUE"""),995.0)</f>
        <v>995</v>
      </c>
      <c r="M3813" s="5">
        <f>IFERROR(__xludf.DUMMYFUNCTION("""COMPUTED_VALUE"""),0.9195933456561922)</f>
        <v>0.9195933457</v>
      </c>
    </row>
    <row r="3814">
      <c r="A3814" s="10" t="str">
        <f>IFERROR(__xludf.DUMMYFUNCTION("""COMPUTED_VALUE"""),"FLAME")</f>
        <v>FLAME</v>
      </c>
      <c r="B3814" s="10">
        <f>IFERROR(__xludf.DUMMYFUNCTION("""COMPUTED_VALUE"""),770.0)</f>
        <v>770</v>
      </c>
      <c r="C3814" s="10">
        <f>IFERROR(__xludf.DUMMYFUNCTION("""COMPUTED_VALUE"""),9028.0)</f>
        <v>9028</v>
      </c>
      <c r="D3814" s="5">
        <f>IFERROR(__xludf.DUMMYFUNCTION("""COMPUTED_VALUE"""),0.34172923225962704)</f>
        <v>0.3417292323</v>
      </c>
      <c r="E3814" s="5">
        <f>IFERROR(__xludf.DUMMYFUNCTION("""COMPUTED_VALUE"""),0.12170016953257447)</f>
        <v>0.1217001695</v>
      </c>
      <c r="F3814" s="5">
        <f>IFERROR(__xludf.DUMMYFUNCTION("""COMPUTED_VALUE"""),0.2138532332283846)</f>
        <v>0.2138532332</v>
      </c>
      <c r="G3814" s="5">
        <f>IFERROR(__xludf.DUMMYFUNCTION("""COMPUTED_VALUE"""),0.18321627512714944)</f>
        <v>0.1832162751</v>
      </c>
      <c r="H3814" s="5">
        <f>IFERROR(__xludf.DUMMYFUNCTION("""COMPUTED_VALUE"""),0.5900339750849377)</f>
        <v>0.5900339751</v>
      </c>
      <c r="I3814" s="11">
        <f>IFERROR(__xludf.DUMMYFUNCTION("""COMPUTED_VALUE"""),5508.267270668177)</f>
        <v>5508.267271</v>
      </c>
      <c r="J3814" s="10">
        <f>IFERROR(__xludf.DUMMYFUNCTION("""COMPUTED_VALUE"""),3.0)</f>
        <v>3</v>
      </c>
      <c r="K3814" s="5">
        <f>IFERROR(__xludf.DUMMYFUNCTION("""COMPUTED_VALUE"""),0.003896103896103896)</f>
        <v>0.003896103896</v>
      </c>
      <c r="L3814" s="10">
        <f>IFERROR(__xludf.DUMMYFUNCTION("""COMPUTED_VALUE"""),770.0)</f>
        <v>770</v>
      </c>
      <c r="M3814" s="5">
        <f>IFERROR(__xludf.DUMMYFUNCTION("""COMPUTED_VALUE"""),1.0)</f>
        <v>1</v>
      </c>
    </row>
    <row r="3815">
      <c r="A3815" s="10" t="str">
        <f>IFERROR(__xludf.DUMMYFUNCTION("""COMPUTED_VALUE"""),"喧嘩師☆花山")</f>
        <v>喧嘩師☆花山</v>
      </c>
      <c r="B3815" s="10">
        <f>IFERROR(__xludf.DUMMYFUNCTION("""COMPUTED_VALUE"""),539.0)</f>
        <v>539</v>
      </c>
      <c r="C3815" s="10">
        <f>IFERROR(__xludf.DUMMYFUNCTION("""COMPUTED_VALUE"""),6406.0)</f>
        <v>6406</v>
      </c>
      <c r="D3815" s="5">
        <f>IFERROR(__xludf.DUMMYFUNCTION("""COMPUTED_VALUE"""),0.32895858189875576)</f>
        <v>0.3289585819</v>
      </c>
      <c r="E3815" s="5">
        <f>IFERROR(__xludf.DUMMYFUNCTION("""COMPUTED_VALUE"""),0.12169763081643088)</f>
        <v>0.1216976308</v>
      </c>
      <c r="F3815" s="5">
        <f>IFERROR(__xludf.DUMMYFUNCTION("""COMPUTED_VALUE"""),0.20265893983296404)</f>
        <v>0.2026589398</v>
      </c>
      <c r="G3815" s="5">
        <f>IFERROR(__xludf.DUMMYFUNCTION("""COMPUTED_VALUE"""),0.1881711266405318)</f>
        <v>0.1881711266</v>
      </c>
      <c r="H3815" s="5">
        <f>IFERROR(__xludf.DUMMYFUNCTION("""COMPUTED_VALUE"""),0.5786375105130361)</f>
        <v>0.5786375105</v>
      </c>
      <c r="I3815" s="11">
        <f>IFERROR(__xludf.DUMMYFUNCTION("""COMPUTED_VALUE"""),5697.140454163163)</f>
        <v>5697.140454</v>
      </c>
      <c r="J3815" s="10">
        <f>IFERROR(__xludf.DUMMYFUNCTION("""COMPUTED_VALUE"""),3.0)</f>
        <v>3</v>
      </c>
      <c r="K3815" s="5">
        <f>IFERROR(__xludf.DUMMYFUNCTION("""COMPUTED_VALUE"""),0.0055658627087198514)</f>
        <v>0.005565862709</v>
      </c>
      <c r="L3815" s="10">
        <f>IFERROR(__xludf.DUMMYFUNCTION("""COMPUTED_VALUE"""),539.0)</f>
        <v>539</v>
      </c>
      <c r="M3815" s="5">
        <f>IFERROR(__xludf.DUMMYFUNCTION("""COMPUTED_VALUE"""),1.0)</f>
        <v>1</v>
      </c>
    </row>
    <row r="3816">
      <c r="A3816" s="10" t="str">
        <f>IFERROR(__xludf.DUMMYFUNCTION("""COMPUTED_VALUE"""),"★LUCK")</f>
        <v>★LUCK</v>
      </c>
      <c r="B3816" s="10">
        <f>IFERROR(__xludf.DUMMYFUNCTION("""COMPUTED_VALUE"""),521.0)</f>
        <v>521</v>
      </c>
      <c r="C3816" s="10">
        <f>IFERROR(__xludf.DUMMYFUNCTION("""COMPUTED_VALUE"""),6191.0)</f>
        <v>6191</v>
      </c>
      <c r="D3816" s="5">
        <f>IFERROR(__xludf.DUMMYFUNCTION("""COMPUTED_VALUE"""),0.3564373897707231)</f>
        <v>0.3564373898</v>
      </c>
      <c r="E3816" s="5">
        <f>IFERROR(__xludf.DUMMYFUNCTION("""COMPUTED_VALUE"""),0.12169312169312169)</f>
        <v>0.1216931217</v>
      </c>
      <c r="F3816" s="5">
        <f>IFERROR(__xludf.DUMMYFUNCTION("""COMPUTED_VALUE"""),0.20758377425044092)</f>
        <v>0.2075837743</v>
      </c>
      <c r="G3816" s="5">
        <f>IFERROR(__xludf.DUMMYFUNCTION("""COMPUTED_VALUE"""),0.14479717813051146)</f>
        <v>0.1447971781</v>
      </c>
      <c r="H3816" s="5">
        <f>IFERROR(__xludf.DUMMYFUNCTION("""COMPUTED_VALUE"""),0.6006796941376381)</f>
        <v>0.6006796941</v>
      </c>
      <c r="I3816" s="11">
        <f>IFERROR(__xludf.DUMMYFUNCTION("""COMPUTED_VALUE"""),5472.812234494478)</f>
        <v>5472.812234</v>
      </c>
      <c r="J3816" s="10">
        <f>IFERROR(__xludf.DUMMYFUNCTION("""COMPUTED_VALUE"""),1.0)</f>
        <v>1</v>
      </c>
      <c r="K3816" s="5">
        <f>IFERROR(__xludf.DUMMYFUNCTION("""COMPUTED_VALUE"""),0.0019193857965451055)</f>
        <v>0.001919385797</v>
      </c>
      <c r="L3816" s="10">
        <f>IFERROR(__xludf.DUMMYFUNCTION("""COMPUTED_VALUE"""),503.0)</f>
        <v>503</v>
      </c>
      <c r="M3816" s="5">
        <f>IFERROR(__xludf.DUMMYFUNCTION("""COMPUTED_VALUE"""),0.9654510556621881)</f>
        <v>0.9654510557</v>
      </c>
    </row>
    <row r="3817">
      <c r="A3817" s="10" t="str">
        <f>IFERROR(__xludf.DUMMYFUNCTION("""COMPUTED_VALUE"""),"RATEL")</f>
        <v>RATEL</v>
      </c>
      <c r="B3817" s="10">
        <f>IFERROR(__xludf.DUMMYFUNCTION("""COMPUTED_VALUE"""),901.0)</f>
        <v>901</v>
      </c>
      <c r="C3817" s="10">
        <f>IFERROR(__xludf.DUMMYFUNCTION("""COMPUTED_VALUE"""),10606.0)</f>
        <v>10606</v>
      </c>
      <c r="D3817" s="5">
        <f>IFERROR(__xludf.DUMMYFUNCTION("""COMPUTED_VALUE"""),0.3406491499227203)</f>
        <v>0.3406491499</v>
      </c>
      <c r="E3817" s="5">
        <f>IFERROR(__xludf.DUMMYFUNCTION("""COMPUTED_VALUE"""),0.12168985059247811)</f>
        <v>0.1216898506</v>
      </c>
      <c r="F3817" s="5">
        <f>IFERROR(__xludf.DUMMYFUNCTION("""COMPUTED_VALUE"""),0.2126738794435858)</f>
        <v>0.2126738794</v>
      </c>
      <c r="G3817" s="5">
        <f>IFERROR(__xludf.DUMMYFUNCTION("""COMPUTED_VALUE"""),0.18444100978876868)</f>
        <v>0.1844410098</v>
      </c>
      <c r="H3817" s="5">
        <f>IFERROR(__xludf.DUMMYFUNCTION("""COMPUTED_VALUE"""),0.5867248062015504)</f>
        <v>0.5867248062</v>
      </c>
      <c r="I3817" s="11">
        <f>IFERROR(__xludf.DUMMYFUNCTION("""COMPUTED_VALUE"""),5507.315891472868)</f>
        <v>5507.315891</v>
      </c>
      <c r="J3817" s="10">
        <f>IFERROR(__xludf.DUMMYFUNCTION("""COMPUTED_VALUE"""),2.0)</f>
        <v>2</v>
      </c>
      <c r="K3817" s="5">
        <f>IFERROR(__xludf.DUMMYFUNCTION("""COMPUTED_VALUE"""),0.0022197558268590455)</f>
        <v>0.002219755827</v>
      </c>
      <c r="L3817" s="10">
        <f>IFERROR(__xludf.DUMMYFUNCTION("""COMPUTED_VALUE"""),678.0)</f>
        <v>678</v>
      </c>
      <c r="M3817" s="5">
        <f>IFERROR(__xludf.DUMMYFUNCTION("""COMPUTED_VALUE"""),0.7524972253052165)</f>
        <v>0.7524972253</v>
      </c>
    </row>
    <row r="3818">
      <c r="A3818" s="10" t="str">
        <f>IFERROR(__xludf.DUMMYFUNCTION("""COMPUTED_VALUE"""),"タキオン")</f>
        <v>タキオン</v>
      </c>
      <c r="B3818" s="10">
        <f>IFERROR(__xludf.DUMMYFUNCTION("""COMPUTED_VALUE"""),115.0)</f>
        <v>115</v>
      </c>
      <c r="C3818" s="10">
        <f>IFERROR(__xludf.DUMMYFUNCTION("""COMPUTED_VALUE"""),1323.0)</f>
        <v>1323</v>
      </c>
      <c r="D3818" s="5">
        <f>IFERROR(__xludf.DUMMYFUNCTION("""COMPUTED_VALUE"""),0.347682119205298)</f>
        <v>0.3476821192</v>
      </c>
      <c r="E3818" s="5">
        <f>IFERROR(__xludf.DUMMYFUNCTION("""COMPUTED_VALUE"""),0.1216887417218543)</f>
        <v>0.1216887417</v>
      </c>
      <c r="F3818" s="5">
        <f>IFERROR(__xludf.DUMMYFUNCTION("""COMPUTED_VALUE"""),0.20695364238410596)</f>
        <v>0.2069536424</v>
      </c>
      <c r="G3818" s="5">
        <f>IFERROR(__xludf.DUMMYFUNCTION("""COMPUTED_VALUE"""),0.19536423841059603)</f>
        <v>0.1953642384</v>
      </c>
      <c r="H3818" s="5">
        <f>IFERROR(__xludf.DUMMYFUNCTION("""COMPUTED_VALUE"""),0.624)</f>
        <v>0.624</v>
      </c>
      <c r="I3818" s="11">
        <f>IFERROR(__xludf.DUMMYFUNCTION("""COMPUTED_VALUE"""),5237.6)</f>
        <v>5237.6</v>
      </c>
      <c r="J3818" s="10">
        <f>IFERROR(__xludf.DUMMYFUNCTION("""COMPUTED_VALUE"""),0.0)</f>
        <v>0</v>
      </c>
      <c r="K3818" s="5">
        <f>IFERROR(__xludf.DUMMYFUNCTION("""COMPUTED_VALUE"""),0.0)</f>
        <v>0</v>
      </c>
      <c r="L3818" s="10">
        <f>IFERROR(__xludf.DUMMYFUNCTION("""COMPUTED_VALUE"""),115.0)</f>
        <v>115</v>
      </c>
      <c r="M3818" s="5">
        <f>IFERROR(__xludf.DUMMYFUNCTION("""COMPUTED_VALUE"""),1.0)</f>
        <v>1</v>
      </c>
    </row>
    <row r="3819">
      <c r="A3819" s="10" t="str">
        <f>IFERROR(__xludf.DUMMYFUNCTION("""COMPUTED_VALUE"""),"鬼畜戦士")</f>
        <v>鬼畜戦士</v>
      </c>
      <c r="B3819" s="10">
        <f>IFERROR(__xludf.DUMMYFUNCTION("""COMPUTED_VALUE"""),373.0)</f>
        <v>373</v>
      </c>
      <c r="C3819" s="10">
        <f>IFERROR(__xludf.DUMMYFUNCTION("""COMPUTED_VALUE"""),4449.0)</f>
        <v>4449</v>
      </c>
      <c r="D3819" s="5">
        <f>IFERROR(__xludf.DUMMYFUNCTION("""COMPUTED_VALUE"""),0.369234543670265)</f>
        <v>0.3692345437</v>
      </c>
      <c r="E3819" s="5">
        <f>IFERROR(__xludf.DUMMYFUNCTION("""COMPUTED_VALUE"""),0.12168792934249265)</f>
        <v>0.1216879293</v>
      </c>
      <c r="F3819" s="5">
        <f>IFERROR(__xludf.DUMMYFUNCTION("""COMPUTED_VALUE"""),0.20829244357212953)</f>
        <v>0.2082924436</v>
      </c>
      <c r="G3819" s="5">
        <f>IFERROR(__xludf.DUMMYFUNCTION("""COMPUTED_VALUE"""),0.16707556427870462)</f>
        <v>0.1670755643</v>
      </c>
      <c r="H3819" s="5">
        <f>IFERROR(__xludf.DUMMYFUNCTION("""COMPUTED_VALUE"""),0.5971731448763251)</f>
        <v>0.5971731449</v>
      </c>
      <c r="I3819" s="11">
        <f>IFERROR(__xludf.DUMMYFUNCTION("""COMPUTED_VALUE"""),5495.524146054181)</f>
        <v>5495.524146</v>
      </c>
      <c r="J3819" s="10">
        <f>IFERROR(__xludf.DUMMYFUNCTION("""COMPUTED_VALUE"""),1.0)</f>
        <v>1</v>
      </c>
      <c r="K3819" s="5">
        <f>IFERROR(__xludf.DUMMYFUNCTION("""COMPUTED_VALUE"""),0.002680965147453083)</f>
        <v>0.002680965147</v>
      </c>
      <c r="L3819" s="10">
        <f>IFERROR(__xludf.DUMMYFUNCTION("""COMPUTED_VALUE"""),373.0)</f>
        <v>373</v>
      </c>
      <c r="M3819" s="5">
        <f>IFERROR(__xludf.DUMMYFUNCTION("""COMPUTED_VALUE"""),1.0)</f>
        <v>1</v>
      </c>
    </row>
    <row r="3820">
      <c r="A3820" s="10" t="str">
        <f>IFERROR(__xludf.DUMMYFUNCTION("""COMPUTED_VALUE"""),"ニャッピー夏目")</f>
        <v>ニャッピー夏目</v>
      </c>
      <c r="B3820" s="10">
        <f>IFERROR(__xludf.DUMMYFUNCTION("""COMPUTED_VALUE"""),9347.0)</f>
        <v>9347</v>
      </c>
      <c r="C3820" s="10">
        <f>IFERROR(__xludf.DUMMYFUNCTION("""COMPUTED_VALUE"""),109474.0)</f>
        <v>109474</v>
      </c>
      <c r="D3820" s="5">
        <f>IFERROR(__xludf.DUMMYFUNCTION("""COMPUTED_VALUE"""),0.3740948994776634)</f>
        <v>0.3740948995</v>
      </c>
      <c r="E3820" s="5">
        <f>IFERROR(__xludf.DUMMYFUNCTION("""COMPUTED_VALUE"""),0.12168545946647757)</f>
        <v>0.1216854595</v>
      </c>
      <c r="F3820" s="5">
        <f>IFERROR(__xludf.DUMMYFUNCTION("""COMPUTED_VALUE"""),0.22230766926003975)</f>
        <v>0.2223076693</v>
      </c>
      <c r="G3820" s="5">
        <f>IFERROR(__xludf.DUMMYFUNCTION("""COMPUTED_VALUE"""),0.15207686238477133)</f>
        <v>0.1520768624</v>
      </c>
      <c r="H3820" s="5">
        <f>IFERROR(__xludf.DUMMYFUNCTION("""COMPUTED_VALUE"""),0.6025877173278225)</f>
        <v>0.6025877173</v>
      </c>
      <c r="I3820" s="11">
        <f>IFERROR(__xludf.DUMMYFUNCTION("""COMPUTED_VALUE"""),5350.388606855654)</f>
        <v>5350.388607</v>
      </c>
      <c r="J3820" s="10">
        <f>IFERROR(__xludf.DUMMYFUNCTION("""COMPUTED_VALUE"""),21.0)</f>
        <v>21</v>
      </c>
      <c r="K3820" s="5">
        <f>IFERROR(__xludf.DUMMYFUNCTION("""COMPUTED_VALUE"""),0.002246710174387504)</f>
        <v>0.002246710174</v>
      </c>
      <c r="L3820" s="10">
        <f>IFERROR(__xludf.DUMMYFUNCTION("""COMPUTED_VALUE"""),9347.0)</f>
        <v>9347</v>
      </c>
      <c r="M3820" s="5">
        <f>IFERROR(__xludf.DUMMYFUNCTION("""COMPUTED_VALUE"""),1.0)</f>
        <v>1</v>
      </c>
    </row>
    <row r="3821">
      <c r="A3821" s="10" t="str">
        <f>IFERROR(__xludf.DUMMYFUNCTION("""COMPUTED_VALUE"""),"状態麻雀")</f>
        <v>状態麻雀</v>
      </c>
      <c r="B3821" s="10">
        <f>IFERROR(__xludf.DUMMYFUNCTION("""COMPUTED_VALUE"""),214.0)</f>
        <v>214</v>
      </c>
      <c r="C3821" s="10">
        <f>IFERROR(__xludf.DUMMYFUNCTION("""COMPUTED_VALUE"""),2474.0)</f>
        <v>2474</v>
      </c>
      <c r="D3821" s="5">
        <f>IFERROR(__xludf.DUMMYFUNCTION("""COMPUTED_VALUE"""),0.35442477876106193)</f>
        <v>0.3544247788</v>
      </c>
      <c r="E3821" s="5">
        <f>IFERROR(__xludf.DUMMYFUNCTION("""COMPUTED_VALUE"""),0.12168141592920353)</f>
        <v>0.1216814159</v>
      </c>
      <c r="F3821" s="5">
        <f>IFERROR(__xludf.DUMMYFUNCTION("""COMPUTED_VALUE"""),0.2323008849557522)</f>
        <v>0.232300885</v>
      </c>
      <c r="G3821" s="5">
        <f>IFERROR(__xludf.DUMMYFUNCTION("""COMPUTED_VALUE"""),0.2)</f>
        <v>0.2</v>
      </c>
      <c r="H3821" s="5">
        <f>IFERROR(__xludf.DUMMYFUNCTION("""COMPUTED_VALUE"""),0.5657142857142857)</f>
        <v>0.5657142857</v>
      </c>
      <c r="I3821" s="11">
        <f>IFERROR(__xludf.DUMMYFUNCTION("""COMPUTED_VALUE"""),5613.9047619047615)</f>
        <v>5613.904762</v>
      </c>
      <c r="J3821" s="10">
        <f>IFERROR(__xludf.DUMMYFUNCTION("""COMPUTED_VALUE"""),0.0)</f>
        <v>0</v>
      </c>
      <c r="K3821" s="5">
        <f>IFERROR(__xludf.DUMMYFUNCTION("""COMPUTED_VALUE"""),0.0)</f>
        <v>0</v>
      </c>
      <c r="L3821" s="10">
        <f>IFERROR(__xludf.DUMMYFUNCTION("""COMPUTED_VALUE"""),214.0)</f>
        <v>214</v>
      </c>
      <c r="M3821" s="5">
        <f>IFERROR(__xludf.DUMMYFUNCTION("""COMPUTED_VALUE"""),1.0)</f>
        <v>1</v>
      </c>
    </row>
    <row r="3822">
      <c r="A3822" s="10" t="str">
        <f>IFERROR(__xludf.DUMMYFUNCTION("""COMPUTED_VALUE"""),"我破魔")</f>
        <v>我破魔</v>
      </c>
      <c r="B3822" s="10">
        <f>IFERROR(__xludf.DUMMYFUNCTION("""COMPUTED_VALUE"""),901.0)</f>
        <v>901</v>
      </c>
      <c r="C3822" s="10">
        <f>IFERROR(__xludf.DUMMYFUNCTION("""COMPUTED_VALUE"""),10418.0)</f>
        <v>10418</v>
      </c>
      <c r="D3822" s="5">
        <f>IFERROR(__xludf.DUMMYFUNCTION("""COMPUTED_VALUE"""),0.38341914468845223)</f>
        <v>0.3834191447</v>
      </c>
      <c r="E3822" s="5">
        <f>IFERROR(__xludf.DUMMYFUNCTION("""COMPUTED_VALUE"""),0.12167699905432384)</f>
        <v>0.1216769991</v>
      </c>
      <c r="F3822" s="5">
        <f>IFERROR(__xludf.DUMMYFUNCTION("""COMPUTED_VALUE"""),0.22454555006829882)</f>
        <v>0.2245455501</v>
      </c>
      <c r="G3822" s="5">
        <f>IFERROR(__xludf.DUMMYFUNCTION("""COMPUTED_VALUE"""),0.17747189240306818)</f>
        <v>0.1774718924</v>
      </c>
      <c r="H3822" s="5">
        <f>IFERROR(__xludf.DUMMYFUNCTION("""COMPUTED_VALUE"""),0.6092653252222742)</f>
        <v>0.6092653252</v>
      </c>
      <c r="I3822" s="11">
        <f>IFERROR(__xludf.DUMMYFUNCTION("""COMPUTED_VALUE"""),5293.308376228358)</f>
        <v>5293.308376</v>
      </c>
      <c r="J3822" s="10">
        <f>IFERROR(__xludf.DUMMYFUNCTION("""COMPUTED_VALUE"""),4.0)</f>
        <v>4</v>
      </c>
      <c r="K3822" s="5">
        <f>IFERROR(__xludf.DUMMYFUNCTION("""COMPUTED_VALUE"""),0.004439511653718091)</f>
        <v>0.004439511654</v>
      </c>
      <c r="L3822" s="10">
        <f>IFERROR(__xludf.DUMMYFUNCTION("""COMPUTED_VALUE"""),901.0)</f>
        <v>901</v>
      </c>
      <c r="M3822" s="5">
        <f>IFERROR(__xludf.DUMMYFUNCTION("""COMPUTED_VALUE"""),1.0)</f>
        <v>1</v>
      </c>
    </row>
    <row r="3823">
      <c r="A3823" s="10" t="str">
        <f>IFERROR(__xludf.DUMMYFUNCTION("""COMPUTED_VALUE"""),"gomaham")</f>
        <v>gomaham</v>
      </c>
      <c r="B3823" s="10">
        <f>IFERROR(__xludf.DUMMYFUNCTION("""COMPUTED_VALUE"""),142.0)</f>
        <v>142</v>
      </c>
      <c r="C3823" s="10">
        <f>IFERROR(__xludf.DUMMYFUNCTION("""COMPUTED_VALUE"""),1646.0)</f>
        <v>1646</v>
      </c>
      <c r="D3823" s="5">
        <f>IFERROR(__xludf.DUMMYFUNCTION("""COMPUTED_VALUE"""),0.2785904255319149)</f>
        <v>0.2785904255</v>
      </c>
      <c r="E3823" s="5">
        <f>IFERROR(__xludf.DUMMYFUNCTION("""COMPUTED_VALUE"""),0.12167553191489362)</f>
        <v>0.1216755319</v>
      </c>
      <c r="F3823" s="5">
        <f>IFERROR(__xludf.DUMMYFUNCTION("""COMPUTED_VALUE"""),0.19481382978723405)</f>
        <v>0.1948138298</v>
      </c>
      <c r="G3823" s="5">
        <f>IFERROR(__xludf.DUMMYFUNCTION("""COMPUTED_VALUE"""),0.18617021276595744)</f>
        <v>0.1861702128</v>
      </c>
      <c r="H3823" s="5">
        <f>IFERROR(__xludf.DUMMYFUNCTION("""COMPUTED_VALUE"""),0.5938566552901023)</f>
        <v>0.5938566553</v>
      </c>
      <c r="I3823" s="11">
        <f>IFERROR(__xludf.DUMMYFUNCTION("""COMPUTED_VALUE"""),5866.211604095563)</f>
        <v>5866.211604</v>
      </c>
      <c r="J3823" s="10">
        <f>IFERROR(__xludf.DUMMYFUNCTION("""COMPUTED_VALUE"""),0.0)</f>
        <v>0</v>
      </c>
      <c r="K3823" s="5">
        <f>IFERROR(__xludf.DUMMYFUNCTION("""COMPUTED_VALUE"""),0.0)</f>
        <v>0</v>
      </c>
      <c r="L3823" s="10">
        <f>IFERROR(__xludf.DUMMYFUNCTION("""COMPUTED_VALUE"""),142.0)</f>
        <v>142</v>
      </c>
      <c r="M3823" s="5">
        <f>IFERROR(__xludf.DUMMYFUNCTION("""COMPUTED_VALUE"""),1.0)</f>
        <v>1</v>
      </c>
    </row>
    <row r="3824">
      <c r="A3824" s="10" t="str">
        <f>IFERROR(__xludf.DUMMYFUNCTION("""COMPUTED_VALUE"""),"ozaoza39")</f>
        <v>ozaoza39</v>
      </c>
      <c r="B3824" s="10">
        <f>IFERROR(__xludf.DUMMYFUNCTION("""COMPUTED_VALUE"""),1428.0)</f>
        <v>1428</v>
      </c>
      <c r="C3824" s="10">
        <f>IFERROR(__xludf.DUMMYFUNCTION("""COMPUTED_VALUE"""),16690.0)</f>
        <v>16690</v>
      </c>
      <c r="D3824" s="5">
        <f>IFERROR(__xludf.DUMMYFUNCTION("""COMPUTED_VALUE"""),0.29530860961866073)</f>
        <v>0.2953086096</v>
      </c>
      <c r="E3824" s="5">
        <f>IFERROR(__xludf.DUMMYFUNCTION("""COMPUTED_VALUE"""),0.12167474773948368)</f>
        <v>0.1216747477</v>
      </c>
      <c r="F3824" s="5">
        <f>IFERROR(__xludf.DUMMYFUNCTION("""COMPUTED_VALUE"""),0.20062901323548682)</f>
        <v>0.2006290132</v>
      </c>
      <c r="G3824" s="5">
        <f>IFERROR(__xludf.DUMMYFUNCTION("""COMPUTED_VALUE"""),0.19492858078888745)</f>
        <v>0.1949285808</v>
      </c>
      <c r="H3824" s="5">
        <f>IFERROR(__xludf.DUMMYFUNCTION("""COMPUTED_VALUE"""),0.5800130633572829)</f>
        <v>0.5800130634</v>
      </c>
      <c r="I3824" s="11">
        <f>IFERROR(__xludf.DUMMYFUNCTION("""COMPUTED_VALUE"""),6133.082952318746)</f>
        <v>6133.082952</v>
      </c>
      <c r="J3824" s="10">
        <f>IFERROR(__xludf.DUMMYFUNCTION("""COMPUTED_VALUE"""),4.0)</f>
        <v>4</v>
      </c>
      <c r="K3824" s="5">
        <f>IFERROR(__xludf.DUMMYFUNCTION("""COMPUTED_VALUE"""),0.0028011204481792717)</f>
        <v>0.002801120448</v>
      </c>
      <c r="L3824" s="10">
        <f>IFERROR(__xludf.DUMMYFUNCTION("""COMPUTED_VALUE"""),1428.0)</f>
        <v>1428</v>
      </c>
      <c r="M3824" s="5">
        <f>IFERROR(__xludf.DUMMYFUNCTION("""COMPUTED_VALUE"""),1.0)</f>
        <v>1</v>
      </c>
    </row>
    <row r="3825">
      <c r="A3825" s="10" t="str">
        <f>IFERROR(__xludf.DUMMYFUNCTION("""COMPUTED_VALUE"""),"どくちくわ")</f>
        <v>どくちくわ</v>
      </c>
      <c r="B3825" s="10">
        <f>IFERROR(__xludf.DUMMYFUNCTION("""COMPUTED_VALUE"""),948.0)</f>
        <v>948</v>
      </c>
      <c r="C3825" s="10">
        <f>IFERROR(__xludf.DUMMYFUNCTION("""COMPUTED_VALUE"""),11100.0)</f>
        <v>11100</v>
      </c>
      <c r="D3825" s="5">
        <f>IFERROR(__xludf.DUMMYFUNCTION("""COMPUTED_VALUE"""),0.34613869188337276)</f>
        <v>0.3461386919</v>
      </c>
      <c r="E3825" s="5">
        <f>IFERROR(__xludf.DUMMYFUNCTION("""COMPUTED_VALUE"""),0.1216509062253743)</f>
        <v>0.1216509062</v>
      </c>
      <c r="F3825" s="5">
        <f>IFERROR(__xludf.DUMMYFUNCTION("""COMPUTED_VALUE"""),0.2119779353821907)</f>
        <v>0.2119779354</v>
      </c>
      <c r="G3825" s="5">
        <f>IFERROR(__xludf.DUMMYFUNCTION("""COMPUTED_VALUE"""),0.16696217494089835)</f>
        <v>0.1669621749</v>
      </c>
      <c r="H3825" s="5">
        <f>IFERROR(__xludf.DUMMYFUNCTION("""COMPUTED_VALUE"""),0.6087360594795539)</f>
        <v>0.6087360595</v>
      </c>
      <c r="I3825" s="11">
        <f>IFERROR(__xludf.DUMMYFUNCTION("""COMPUTED_VALUE"""),5836.849442379182)</f>
        <v>5836.849442</v>
      </c>
      <c r="J3825" s="10">
        <f>IFERROR(__xludf.DUMMYFUNCTION("""COMPUTED_VALUE"""),1.0)</f>
        <v>1</v>
      </c>
      <c r="K3825" s="5">
        <f>IFERROR(__xludf.DUMMYFUNCTION("""COMPUTED_VALUE"""),0.0010548523206751054)</f>
        <v>0.001054852321</v>
      </c>
      <c r="L3825" s="10">
        <f>IFERROR(__xludf.DUMMYFUNCTION("""COMPUTED_VALUE"""),948.0)</f>
        <v>948</v>
      </c>
      <c r="M3825" s="5">
        <f>IFERROR(__xludf.DUMMYFUNCTION("""COMPUTED_VALUE"""),1.0)</f>
        <v>1</v>
      </c>
    </row>
    <row r="3826">
      <c r="A3826" s="10" t="str">
        <f>IFERROR(__xludf.DUMMYFUNCTION("""COMPUTED_VALUE"""),"吉行志香子")</f>
        <v>吉行志香子</v>
      </c>
      <c r="B3826" s="10">
        <f>IFERROR(__xludf.DUMMYFUNCTION("""COMPUTED_VALUE"""),605.0)</f>
        <v>605</v>
      </c>
      <c r="C3826" s="10">
        <f>IFERROR(__xludf.DUMMYFUNCTION("""COMPUTED_VALUE"""),7083.0)</f>
        <v>7083</v>
      </c>
      <c r="D3826" s="5">
        <f>IFERROR(__xludf.DUMMYFUNCTION("""COMPUTED_VALUE"""),0.3905526397036122)</f>
        <v>0.3905526397</v>
      </c>
      <c r="E3826" s="5">
        <f>IFERROR(__xludf.DUMMYFUNCTION("""COMPUTED_VALUE"""),0.12164248224760729)</f>
        <v>0.1216424822</v>
      </c>
      <c r="F3826" s="5">
        <f>IFERROR(__xludf.DUMMYFUNCTION("""COMPUTED_VALUE"""),0.1915714726767521)</f>
        <v>0.1915714727</v>
      </c>
      <c r="G3826" s="5">
        <f>IFERROR(__xludf.DUMMYFUNCTION("""COMPUTED_VALUE"""),0.14850262426674898)</f>
        <v>0.1485026243</v>
      </c>
      <c r="H3826" s="5">
        <f>IFERROR(__xludf.DUMMYFUNCTION("""COMPUTED_VALUE"""),0.6148267526188558)</f>
        <v>0.6148267526</v>
      </c>
      <c r="I3826" s="11">
        <f>IFERROR(__xludf.DUMMYFUNCTION("""COMPUTED_VALUE"""),5560.757453666398)</f>
        <v>5560.757454</v>
      </c>
      <c r="J3826" s="10">
        <f>IFERROR(__xludf.DUMMYFUNCTION("""COMPUTED_VALUE"""),3.0)</f>
        <v>3</v>
      </c>
      <c r="K3826" s="5">
        <f>IFERROR(__xludf.DUMMYFUNCTION("""COMPUTED_VALUE"""),0.0049586776859504135)</f>
        <v>0.004958677686</v>
      </c>
      <c r="L3826" s="10">
        <f>IFERROR(__xludf.DUMMYFUNCTION("""COMPUTED_VALUE"""),605.0)</f>
        <v>605</v>
      </c>
      <c r="M3826" s="5">
        <f>IFERROR(__xludf.DUMMYFUNCTION("""COMPUTED_VALUE"""),1.0)</f>
        <v>1</v>
      </c>
    </row>
    <row r="3827">
      <c r="A3827" s="10" t="str">
        <f>IFERROR(__xludf.DUMMYFUNCTION("""COMPUTED_VALUE"""),"緋炉タロウ")</f>
        <v>緋炉タロウ</v>
      </c>
      <c r="B3827" s="10">
        <f>IFERROR(__xludf.DUMMYFUNCTION("""COMPUTED_VALUE"""),396.0)</f>
        <v>396</v>
      </c>
      <c r="C3827" s="10">
        <f>IFERROR(__xludf.DUMMYFUNCTION("""COMPUTED_VALUE"""),4638.0)</f>
        <v>4638</v>
      </c>
      <c r="D3827" s="5">
        <f>IFERROR(__xludf.DUMMYFUNCTION("""COMPUTED_VALUE"""),0.3008015087223008)</f>
        <v>0.3008015087</v>
      </c>
      <c r="E3827" s="5">
        <f>IFERROR(__xludf.DUMMYFUNCTION("""COMPUTED_VALUE"""),0.12164073550212164)</f>
        <v>0.1216407355</v>
      </c>
      <c r="F3827" s="5">
        <f>IFERROR(__xludf.DUMMYFUNCTION("""COMPUTED_VALUE"""),0.1933050447901933)</f>
        <v>0.1933050448</v>
      </c>
      <c r="G3827" s="5">
        <f>IFERROR(__xludf.DUMMYFUNCTION("""COMPUTED_VALUE"""),0.16855256954266856)</f>
        <v>0.1685525695</v>
      </c>
      <c r="H3827" s="5">
        <f>IFERROR(__xludf.DUMMYFUNCTION("""COMPUTED_VALUE"""),0.6036585365853658)</f>
        <v>0.6036585366</v>
      </c>
      <c r="I3827" s="11">
        <f>IFERROR(__xludf.DUMMYFUNCTION("""COMPUTED_VALUE"""),5938.048780487805)</f>
        <v>5938.04878</v>
      </c>
      <c r="J3827" s="10">
        <f>IFERROR(__xludf.DUMMYFUNCTION("""COMPUTED_VALUE"""),2.0)</f>
        <v>2</v>
      </c>
      <c r="K3827" s="5">
        <f>IFERROR(__xludf.DUMMYFUNCTION("""COMPUTED_VALUE"""),0.005050505050505051)</f>
        <v>0.005050505051</v>
      </c>
      <c r="L3827" s="10">
        <f>IFERROR(__xludf.DUMMYFUNCTION("""COMPUTED_VALUE"""),396.0)</f>
        <v>396</v>
      </c>
      <c r="M3827" s="5">
        <f>IFERROR(__xludf.DUMMYFUNCTION("""COMPUTED_VALUE"""),1.0)</f>
        <v>1</v>
      </c>
    </row>
    <row r="3828">
      <c r="A3828" s="10" t="str">
        <f>IFERROR(__xludf.DUMMYFUNCTION("""COMPUTED_VALUE"""),"朝倉月奈")</f>
        <v>朝倉月奈</v>
      </c>
      <c r="B3828" s="10">
        <f>IFERROR(__xludf.DUMMYFUNCTION("""COMPUTED_VALUE"""),426.0)</f>
        <v>426</v>
      </c>
      <c r="C3828" s="10">
        <f>IFERROR(__xludf.DUMMYFUNCTION("""COMPUTED_VALUE"""),4932.0)</f>
        <v>4932</v>
      </c>
      <c r="D3828" s="5">
        <f>IFERROR(__xludf.DUMMYFUNCTION("""COMPUTED_VALUE"""),0.3524189968930315)</f>
        <v>0.3524189969</v>
      </c>
      <c r="E3828" s="5">
        <f>IFERROR(__xludf.DUMMYFUNCTION("""COMPUTED_VALUE"""),0.1216156236129605)</f>
        <v>0.1216156236</v>
      </c>
      <c r="F3828" s="5">
        <f>IFERROR(__xludf.DUMMYFUNCTION("""COMPUTED_VALUE"""),0.21948513093652908)</f>
        <v>0.2194851309</v>
      </c>
      <c r="G3828" s="5">
        <f>IFERROR(__xludf.DUMMYFUNCTION("""COMPUTED_VALUE"""),0.1542387927208167)</f>
        <v>0.1542387927</v>
      </c>
      <c r="H3828" s="5">
        <f>IFERROR(__xludf.DUMMYFUNCTION("""COMPUTED_VALUE"""),0.6157735085945399)</f>
        <v>0.6157735086</v>
      </c>
      <c r="I3828" s="11">
        <f>IFERROR(__xludf.DUMMYFUNCTION("""COMPUTED_VALUE"""),5542.264914054601)</f>
        <v>5542.264914</v>
      </c>
      <c r="J3828" s="10">
        <f>IFERROR(__xludf.DUMMYFUNCTION("""COMPUTED_VALUE"""),0.0)</f>
        <v>0</v>
      </c>
      <c r="K3828" s="5">
        <f>IFERROR(__xludf.DUMMYFUNCTION("""COMPUTED_VALUE"""),0.0)</f>
        <v>0</v>
      </c>
      <c r="L3828" s="10">
        <f>IFERROR(__xludf.DUMMYFUNCTION("""COMPUTED_VALUE"""),426.0)</f>
        <v>426</v>
      </c>
      <c r="M3828" s="5">
        <f>IFERROR(__xludf.DUMMYFUNCTION("""COMPUTED_VALUE"""),1.0)</f>
        <v>1</v>
      </c>
    </row>
    <row r="3829">
      <c r="A3829" s="10" t="str">
        <f>IFERROR(__xludf.DUMMYFUNCTION("""COMPUTED_VALUE"""),"常勝燕軍団")</f>
        <v>常勝燕軍団</v>
      </c>
      <c r="B3829" s="10">
        <f>IFERROR(__xludf.DUMMYFUNCTION("""COMPUTED_VALUE"""),135.0)</f>
        <v>135</v>
      </c>
      <c r="C3829" s="10">
        <f>IFERROR(__xludf.DUMMYFUNCTION("""COMPUTED_VALUE"""),1640.0)</f>
        <v>1640</v>
      </c>
      <c r="D3829" s="5">
        <f>IFERROR(__xludf.DUMMYFUNCTION("""COMPUTED_VALUE"""),0.37142857142857144)</f>
        <v>0.3714285714</v>
      </c>
      <c r="E3829" s="5">
        <f>IFERROR(__xludf.DUMMYFUNCTION("""COMPUTED_VALUE"""),0.12159468438538205)</f>
        <v>0.1215946844</v>
      </c>
      <c r="F3829" s="5">
        <f>IFERROR(__xludf.DUMMYFUNCTION("""COMPUTED_VALUE"""),0.22059800664451829)</f>
        <v>0.2205980066</v>
      </c>
      <c r="G3829" s="5">
        <f>IFERROR(__xludf.DUMMYFUNCTION("""COMPUTED_VALUE"""),0.16079734219269104)</f>
        <v>0.1607973422</v>
      </c>
      <c r="H3829" s="5">
        <f>IFERROR(__xludf.DUMMYFUNCTION("""COMPUTED_VALUE"""),0.6174698795180723)</f>
        <v>0.6174698795</v>
      </c>
      <c r="I3829" s="11">
        <f>IFERROR(__xludf.DUMMYFUNCTION("""COMPUTED_VALUE"""),5210.542168674699)</f>
        <v>5210.542169</v>
      </c>
      <c r="J3829" s="10">
        <f>IFERROR(__xludf.DUMMYFUNCTION("""COMPUTED_VALUE"""),0.0)</f>
        <v>0</v>
      </c>
      <c r="K3829" s="5">
        <f>IFERROR(__xludf.DUMMYFUNCTION("""COMPUTED_VALUE"""),0.0)</f>
        <v>0</v>
      </c>
      <c r="L3829" s="10">
        <f>IFERROR(__xludf.DUMMYFUNCTION("""COMPUTED_VALUE"""),135.0)</f>
        <v>135</v>
      </c>
      <c r="M3829" s="5">
        <f>IFERROR(__xludf.DUMMYFUNCTION("""COMPUTED_VALUE"""),1.0)</f>
        <v>1</v>
      </c>
    </row>
    <row r="3830">
      <c r="A3830" s="10" t="str">
        <f>IFERROR(__xludf.DUMMYFUNCTION("""COMPUTED_VALUE"""),"フーガ")</f>
        <v>フーガ</v>
      </c>
      <c r="B3830" s="10">
        <f>IFERROR(__xludf.DUMMYFUNCTION("""COMPUTED_VALUE"""),2289.0)</f>
        <v>2289</v>
      </c>
      <c r="C3830" s="10">
        <f>IFERROR(__xludf.DUMMYFUNCTION("""COMPUTED_VALUE"""),26690.0)</f>
        <v>26690</v>
      </c>
      <c r="D3830" s="5">
        <f>IFERROR(__xludf.DUMMYFUNCTION("""COMPUTED_VALUE"""),0.32019179541822057)</f>
        <v>0.3201917954</v>
      </c>
      <c r="E3830" s="5">
        <f>IFERROR(__xludf.DUMMYFUNCTION("""COMPUTED_VALUE"""),0.12159337732060162)</f>
        <v>0.1215933773</v>
      </c>
      <c r="F3830" s="5">
        <f>IFERROR(__xludf.DUMMYFUNCTION("""COMPUTED_VALUE"""),0.21605671898692677)</f>
        <v>0.216056719</v>
      </c>
      <c r="G3830" s="5">
        <f>IFERROR(__xludf.DUMMYFUNCTION("""COMPUTED_VALUE"""),0.18105815335437073)</f>
        <v>0.1810581534</v>
      </c>
      <c r="H3830" s="5">
        <f>IFERROR(__xludf.DUMMYFUNCTION("""COMPUTED_VALUE"""),0.5963581183611533)</f>
        <v>0.5963581184</v>
      </c>
      <c r="I3830" s="11">
        <f>IFERROR(__xludf.DUMMYFUNCTION("""COMPUTED_VALUE"""),5731.373292867982)</f>
        <v>5731.373293</v>
      </c>
      <c r="J3830" s="10">
        <f>IFERROR(__xludf.DUMMYFUNCTION("""COMPUTED_VALUE"""),6.0)</f>
        <v>6</v>
      </c>
      <c r="K3830" s="5">
        <f>IFERROR(__xludf.DUMMYFUNCTION("""COMPUTED_VALUE"""),0.002621231979030144)</f>
        <v>0.002621231979</v>
      </c>
      <c r="L3830" s="10">
        <f>IFERROR(__xludf.DUMMYFUNCTION("""COMPUTED_VALUE"""),2289.0)</f>
        <v>2289</v>
      </c>
      <c r="M3830" s="5">
        <f>IFERROR(__xludf.DUMMYFUNCTION("""COMPUTED_VALUE"""),1.0)</f>
        <v>1</v>
      </c>
    </row>
    <row r="3831">
      <c r="A3831" s="10" t="str">
        <f>IFERROR(__xludf.DUMMYFUNCTION("""COMPUTED_VALUE"""),"Ｋ＠翠星石")</f>
        <v>Ｋ＠翠星石</v>
      </c>
      <c r="B3831" s="10">
        <f>IFERROR(__xludf.DUMMYFUNCTION("""COMPUTED_VALUE"""),360.0)</f>
        <v>360</v>
      </c>
      <c r="C3831" s="10">
        <f>IFERROR(__xludf.DUMMYFUNCTION("""COMPUTED_VALUE"""),4201.0)</f>
        <v>4201</v>
      </c>
      <c r="D3831" s="5">
        <f>IFERROR(__xludf.DUMMYFUNCTION("""COMPUTED_VALUE"""),0.3512106222337933)</f>
        <v>0.3512106222</v>
      </c>
      <c r="E3831" s="5">
        <f>IFERROR(__xludf.DUMMYFUNCTION("""COMPUTED_VALUE"""),0.12158292111429315)</f>
        <v>0.1215829211</v>
      </c>
      <c r="F3831" s="5">
        <f>IFERROR(__xludf.DUMMYFUNCTION("""COMPUTED_VALUE"""),0.2077583962509763)</f>
        <v>0.2077583963</v>
      </c>
      <c r="G3831" s="5">
        <f>IFERROR(__xludf.DUMMYFUNCTION("""COMPUTED_VALUE"""),0.15438687841707888)</f>
        <v>0.1543868784</v>
      </c>
      <c r="H3831" s="5">
        <f>IFERROR(__xludf.DUMMYFUNCTION("""COMPUTED_VALUE"""),0.6027568922305765)</f>
        <v>0.6027568922</v>
      </c>
      <c r="I3831" s="11">
        <f>IFERROR(__xludf.DUMMYFUNCTION("""COMPUTED_VALUE"""),5685.213032581453)</f>
        <v>5685.213033</v>
      </c>
      <c r="J3831" s="10">
        <f>IFERROR(__xludf.DUMMYFUNCTION("""COMPUTED_VALUE"""),1.0)</f>
        <v>1</v>
      </c>
      <c r="K3831" s="5">
        <f>IFERROR(__xludf.DUMMYFUNCTION("""COMPUTED_VALUE"""),0.002777777777777778)</f>
        <v>0.002777777778</v>
      </c>
      <c r="L3831" s="10">
        <f>IFERROR(__xludf.DUMMYFUNCTION("""COMPUTED_VALUE"""),360.0)</f>
        <v>360</v>
      </c>
      <c r="M3831" s="5">
        <f>IFERROR(__xludf.DUMMYFUNCTION("""COMPUTED_VALUE"""),1.0)</f>
        <v>1</v>
      </c>
    </row>
    <row r="3832">
      <c r="A3832" s="10" t="str">
        <f>IFERROR(__xludf.DUMMYFUNCTION("""COMPUTED_VALUE"""),"基本だけ")</f>
        <v>基本だけ</v>
      </c>
      <c r="B3832" s="10">
        <f>IFERROR(__xludf.DUMMYFUNCTION("""COMPUTED_VALUE"""),256.0)</f>
        <v>256</v>
      </c>
      <c r="C3832" s="10">
        <f>IFERROR(__xludf.DUMMYFUNCTION("""COMPUTED_VALUE"""),2921.0)</f>
        <v>2921</v>
      </c>
      <c r="D3832" s="5">
        <f>IFERROR(__xludf.DUMMYFUNCTION("""COMPUTED_VALUE"""),0.28105065666041273)</f>
        <v>0.2810506567</v>
      </c>
      <c r="E3832" s="5">
        <f>IFERROR(__xludf.DUMMYFUNCTION("""COMPUTED_VALUE"""),0.12157598499061914)</f>
        <v>0.121575985</v>
      </c>
      <c r="F3832" s="5">
        <f>IFERROR(__xludf.DUMMYFUNCTION("""COMPUTED_VALUE"""),0.19924953095684803)</f>
        <v>0.199249531</v>
      </c>
      <c r="G3832" s="5">
        <f>IFERROR(__xludf.DUMMYFUNCTION("""COMPUTED_VALUE"""),0.19399624765478424)</f>
        <v>0.1939962477</v>
      </c>
      <c r="H3832" s="5">
        <f>IFERROR(__xludf.DUMMYFUNCTION("""COMPUTED_VALUE"""),0.608286252354049)</f>
        <v>0.6082862524</v>
      </c>
      <c r="I3832" s="11">
        <f>IFERROR(__xludf.DUMMYFUNCTION("""COMPUTED_VALUE"""),5946.139359698682)</f>
        <v>5946.13936</v>
      </c>
      <c r="J3832" s="10">
        <f>IFERROR(__xludf.DUMMYFUNCTION("""COMPUTED_VALUE"""),0.0)</f>
        <v>0</v>
      </c>
      <c r="K3832" s="5">
        <f>IFERROR(__xludf.DUMMYFUNCTION("""COMPUTED_VALUE"""),0.0)</f>
        <v>0</v>
      </c>
      <c r="L3832" s="10">
        <f>IFERROR(__xludf.DUMMYFUNCTION("""COMPUTED_VALUE"""),256.0)</f>
        <v>256</v>
      </c>
      <c r="M3832" s="5">
        <f>IFERROR(__xludf.DUMMYFUNCTION("""COMPUTED_VALUE"""),1.0)</f>
        <v>1</v>
      </c>
    </row>
    <row r="3833">
      <c r="A3833" s="10" t="str">
        <f>IFERROR(__xludf.DUMMYFUNCTION("""COMPUTED_VALUE"""),"ゴリラァポ")</f>
        <v>ゴリラァポ</v>
      </c>
      <c r="B3833" s="10">
        <f>IFERROR(__xludf.DUMMYFUNCTION("""COMPUTED_VALUE"""),460.0)</f>
        <v>460</v>
      </c>
      <c r="C3833" s="10">
        <f>IFERROR(__xludf.DUMMYFUNCTION("""COMPUTED_VALUE"""),5461.0)</f>
        <v>5461</v>
      </c>
      <c r="D3833" s="5">
        <f>IFERROR(__xludf.DUMMYFUNCTION("""COMPUTED_VALUE"""),0.3729254149170166)</f>
        <v>0.3729254149</v>
      </c>
      <c r="E3833" s="5">
        <f>IFERROR(__xludf.DUMMYFUNCTION("""COMPUTED_VALUE"""),0.12157568486302739)</f>
        <v>0.1215756849</v>
      </c>
      <c r="F3833" s="5">
        <f>IFERROR(__xludf.DUMMYFUNCTION("""COMPUTED_VALUE"""),0.1883623275344931)</f>
        <v>0.1883623275</v>
      </c>
      <c r="G3833" s="5">
        <f>IFERROR(__xludf.DUMMYFUNCTION("""COMPUTED_VALUE"""),0.14837032593481303)</f>
        <v>0.1483703259</v>
      </c>
      <c r="H3833" s="5">
        <f>IFERROR(__xludf.DUMMYFUNCTION("""COMPUTED_VALUE"""),0.5743099787685775)</f>
        <v>0.5743099788</v>
      </c>
      <c r="I3833" s="11">
        <f>IFERROR(__xludf.DUMMYFUNCTION("""COMPUTED_VALUE"""),5699.469214437368)</f>
        <v>5699.469214</v>
      </c>
      <c r="J3833" s="10">
        <f>IFERROR(__xludf.DUMMYFUNCTION("""COMPUTED_VALUE"""),0.0)</f>
        <v>0</v>
      </c>
      <c r="K3833" s="5">
        <f>IFERROR(__xludf.DUMMYFUNCTION("""COMPUTED_VALUE"""),0.0)</f>
        <v>0</v>
      </c>
      <c r="L3833" s="10">
        <f>IFERROR(__xludf.DUMMYFUNCTION("""COMPUTED_VALUE"""),460.0)</f>
        <v>460</v>
      </c>
      <c r="M3833" s="5">
        <f>IFERROR(__xludf.DUMMYFUNCTION("""COMPUTED_VALUE"""),1.0)</f>
        <v>1</v>
      </c>
    </row>
    <row r="3834">
      <c r="A3834" s="10" t="str">
        <f>IFERROR(__xludf.DUMMYFUNCTION("""COMPUTED_VALUE"""),"青ベントラー")</f>
        <v>青ベントラー</v>
      </c>
      <c r="B3834" s="10">
        <f>IFERROR(__xludf.DUMMYFUNCTION("""COMPUTED_VALUE"""),310.0)</f>
        <v>310</v>
      </c>
      <c r="C3834" s="10">
        <f>IFERROR(__xludf.DUMMYFUNCTION("""COMPUTED_VALUE"""),3625.0)</f>
        <v>3625</v>
      </c>
      <c r="D3834" s="5">
        <f>IFERROR(__xludf.DUMMYFUNCTION("""COMPUTED_VALUE"""),0.3565610859728507)</f>
        <v>0.356561086</v>
      </c>
      <c r="E3834" s="5">
        <f>IFERROR(__xludf.DUMMYFUNCTION("""COMPUTED_VALUE"""),0.12156862745098039)</f>
        <v>0.1215686275</v>
      </c>
      <c r="F3834" s="5">
        <f>IFERROR(__xludf.DUMMYFUNCTION("""COMPUTED_VALUE"""),0.20754147812971344)</f>
        <v>0.2075414781</v>
      </c>
      <c r="G3834" s="5">
        <f>IFERROR(__xludf.DUMMYFUNCTION("""COMPUTED_VALUE"""),0.13936651583710408)</f>
        <v>0.1393665158</v>
      </c>
      <c r="H3834" s="5">
        <f>IFERROR(__xludf.DUMMYFUNCTION("""COMPUTED_VALUE"""),0.5799418604651163)</f>
        <v>0.5799418605</v>
      </c>
      <c r="I3834" s="11">
        <f>IFERROR(__xludf.DUMMYFUNCTION("""COMPUTED_VALUE"""),5299.418604651163)</f>
        <v>5299.418605</v>
      </c>
      <c r="J3834" s="10">
        <f>IFERROR(__xludf.DUMMYFUNCTION("""COMPUTED_VALUE"""),1.0)</f>
        <v>1</v>
      </c>
      <c r="K3834" s="5">
        <f>IFERROR(__xludf.DUMMYFUNCTION("""COMPUTED_VALUE"""),0.0032258064516129032)</f>
        <v>0.003225806452</v>
      </c>
      <c r="L3834" s="10">
        <f>IFERROR(__xludf.DUMMYFUNCTION("""COMPUTED_VALUE"""),310.0)</f>
        <v>310</v>
      </c>
      <c r="M3834" s="5">
        <f>IFERROR(__xludf.DUMMYFUNCTION("""COMPUTED_VALUE"""),1.0)</f>
        <v>1</v>
      </c>
    </row>
    <row r="3835">
      <c r="A3835" s="10" t="str">
        <f>IFERROR(__xludf.DUMMYFUNCTION("""COMPUTED_VALUE"""),"xmittsuu")</f>
        <v>xmittsuu</v>
      </c>
      <c r="B3835" s="10">
        <f>IFERROR(__xludf.DUMMYFUNCTION("""COMPUTED_VALUE"""),533.0)</f>
        <v>533</v>
      </c>
      <c r="C3835" s="10">
        <f>IFERROR(__xludf.DUMMYFUNCTION("""COMPUTED_VALUE"""),6250.0)</f>
        <v>6250</v>
      </c>
      <c r="D3835" s="5">
        <f>IFERROR(__xludf.DUMMYFUNCTION("""COMPUTED_VALUE"""),0.3545565856218296)</f>
        <v>0.3545565856</v>
      </c>
      <c r="E3835" s="5">
        <f>IFERROR(__xludf.DUMMYFUNCTION("""COMPUTED_VALUE"""),0.12156725555361203)</f>
        <v>0.1215672556</v>
      </c>
      <c r="F3835" s="5">
        <f>IFERROR(__xludf.DUMMYFUNCTION("""COMPUTED_VALUE"""),0.21444813713486094)</f>
        <v>0.2144481371</v>
      </c>
      <c r="G3835" s="5">
        <f>IFERROR(__xludf.DUMMYFUNCTION("""COMPUTED_VALUE"""),0.18208850795871961)</f>
        <v>0.182088508</v>
      </c>
      <c r="H3835" s="5">
        <f>IFERROR(__xludf.DUMMYFUNCTION("""COMPUTED_VALUE"""),0.5897226753670473)</f>
        <v>0.5897226754</v>
      </c>
      <c r="I3835" s="11">
        <f>IFERROR(__xludf.DUMMYFUNCTION("""COMPUTED_VALUE"""),5441.190864600327)</f>
        <v>5441.190865</v>
      </c>
      <c r="J3835" s="10">
        <f>IFERROR(__xludf.DUMMYFUNCTION("""COMPUTED_VALUE"""),0.0)</f>
        <v>0</v>
      </c>
      <c r="K3835" s="5">
        <f>IFERROR(__xludf.DUMMYFUNCTION("""COMPUTED_VALUE"""),0.0)</f>
        <v>0</v>
      </c>
      <c r="L3835" s="10">
        <f>IFERROR(__xludf.DUMMYFUNCTION("""COMPUTED_VALUE"""),531.0)</f>
        <v>531</v>
      </c>
      <c r="M3835" s="5">
        <f>IFERROR(__xludf.DUMMYFUNCTION("""COMPUTED_VALUE"""),0.9962476547842402)</f>
        <v>0.9962476548</v>
      </c>
    </row>
    <row r="3836">
      <c r="A3836" s="10" t="str">
        <f>IFERROR(__xludf.DUMMYFUNCTION("""COMPUTED_VALUE"""),"ふおん・ザ・外道")</f>
        <v>ふおん・ザ・外道</v>
      </c>
      <c r="B3836" s="10">
        <f>IFERROR(__xludf.DUMMYFUNCTION("""COMPUTED_VALUE"""),302.0)</f>
        <v>302</v>
      </c>
      <c r="C3836" s="10">
        <f>IFERROR(__xludf.DUMMYFUNCTION("""COMPUTED_VALUE"""),3535.0)</f>
        <v>3535</v>
      </c>
      <c r="D3836" s="5">
        <f>IFERROR(__xludf.DUMMYFUNCTION("""COMPUTED_VALUE"""),0.3470460872254872)</f>
        <v>0.3470460872</v>
      </c>
      <c r="E3836" s="5">
        <f>IFERROR(__xludf.DUMMYFUNCTION("""COMPUTED_VALUE"""),0.12155892360037117)</f>
        <v>0.1215589236</v>
      </c>
      <c r="F3836" s="5">
        <f>IFERROR(__xludf.DUMMYFUNCTION("""COMPUTED_VALUE"""),0.20445406742963193)</f>
        <v>0.2044540674</v>
      </c>
      <c r="G3836" s="5">
        <f>IFERROR(__xludf.DUMMYFUNCTION("""COMPUTED_VALUE"""),0.1713578719455614)</f>
        <v>0.1713578719</v>
      </c>
      <c r="H3836" s="5">
        <f>IFERROR(__xludf.DUMMYFUNCTION("""COMPUTED_VALUE"""),0.5794251134644478)</f>
        <v>0.5794251135</v>
      </c>
      <c r="I3836" s="11">
        <f>IFERROR(__xludf.DUMMYFUNCTION("""COMPUTED_VALUE"""),5597.276853252648)</f>
        <v>5597.276853</v>
      </c>
      <c r="J3836" s="10">
        <f>IFERROR(__xludf.DUMMYFUNCTION("""COMPUTED_VALUE"""),1.0)</f>
        <v>1</v>
      </c>
      <c r="K3836" s="5">
        <f>IFERROR(__xludf.DUMMYFUNCTION("""COMPUTED_VALUE"""),0.0033112582781456954)</f>
        <v>0.003311258278</v>
      </c>
      <c r="L3836" s="10">
        <f>IFERROR(__xludf.DUMMYFUNCTION("""COMPUTED_VALUE"""),74.0)</f>
        <v>74</v>
      </c>
      <c r="M3836" s="5">
        <f>IFERROR(__xludf.DUMMYFUNCTION("""COMPUTED_VALUE"""),0.24503311258278146)</f>
        <v>0.2450331126</v>
      </c>
    </row>
    <row r="3837">
      <c r="A3837" s="10" t="str">
        <f>IFERROR(__xludf.DUMMYFUNCTION("""COMPUTED_VALUE"""),"ラス太")</f>
        <v>ラス太</v>
      </c>
      <c r="B3837" s="10">
        <f>IFERROR(__xludf.DUMMYFUNCTION("""COMPUTED_VALUE"""),411.0)</f>
        <v>411</v>
      </c>
      <c r="C3837" s="10">
        <f>IFERROR(__xludf.DUMMYFUNCTION("""COMPUTED_VALUE"""),4878.0)</f>
        <v>4878</v>
      </c>
      <c r="D3837" s="5">
        <f>IFERROR(__xludf.DUMMYFUNCTION("""COMPUTED_VALUE"""),0.3924334004925006)</f>
        <v>0.3924334005</v>
      </c>
      <c r="E3837" s="5">
        <f>IFERROR(__xludf.DUMMYFUNCTION("""COMPUTED_VALUE"""),0.12155809267965077)</f>
        <v>0.1215580927</v>
      </c>
      <c r="F3837" s="5">
        <f>IFERROR(__xludf.DUMMYFUNCTION("""COMPUTED_VALUE"""),0.2090888739646295)</f>
        <v>0.209088874</v>
      </c>
      <c r="G3837" s="5">
        <f>IFERROR(__xludf.DUMMYFUNCTION("""COMPUTED_VALUE"""),0.15312290127602418)</f>
        <v>0.1531229013</v>
      </c>
      <c r="H3837" s="5">
        <f>IFERROR(__xludf.DUMMYFUNCTION("""COMPUTED_VALUE"""),0.6124197002141327)</f>
        <v>0.6124197002</v>
      </c>
      <c r="I3837" s="11">
        <f>IFERROR(__xludf.DUMMYFUNCTION("""COMPUTED_VALUE"""),5314.1327623126335)</f>
        <v>5314.132762</v>
      </c>
      <c r="J3837" s="10">
        <f>IFERROR(__xludf.DUMMYFUNCTION("""COMPUTED_VALUE"""),0.0)</f>
        <v>0</v>
      </c>
      <c r="K3837" s="5">
        <f>IFERROR(__xludf.DUMMYFUNCTION("""COMPUTED_VALUE"""),0.0)</f>
        <v>0</v>
      </c>
      <c r="L3837" s="10">
        <f>IFERROR(__xludf.DUMMYFUNCTION("""COMPUTED_VALUE"""),411.0)</f>
        <v>411</v>
      </c>
      <c r="M3837" s="5">
        <f>IFERROR(__xludf.DUMMYFUNCTION("""COMPUTED_VALUE"""),1.0)</f>
        <v>1</v>
      </c>
    </row>
    <row r="3838">
      <c r="A3838" s="10" t="str">
        <f>IFERROR(__xludf.DUMMYFUNCTION("""COMPUTED_VALUE"""),"Kajino")</f>
        <v>Kajino</v>
      </c>
      <c r="B3838" s="10">
        <f>IFERROR(__xludf.DUMMYFUNCTION("""COMPUTED_VALUE"""),237.0)</f>
        <v>237</v>
      </c>
      <c r="C3838" s="10">
        <f>IFERROR(__xludf.DUMMYFUNCTION("""COMPUTED_VALUE"""),2771.0)</f>
        <v>2771</v>
      </c>
      <c r="D3838" s="5">
        <f>IFERROR(__xludf.DUMMYFUNCTION("""COMPUTED_VALUE"""),0.3654301499605367)</f>
        <v>0.36543015</v>
      </c>
      <c r="E3838" s="5">
        <f>IFERROR(__xludf.DUMMYFUNCTION("""COMPUTED_VALUE"""),0.12154696132596685)</f>
        <v>0.1215469613</v>
      </c>
      <c r="F3838" s="5">
        <f>IFERROR(__xludf.DUMMYFUNCTION("""COMPUTED_VALUE"""),0.21507498026835042)</f>
        <v>0.2150749803</v>
      </c>
      <c r="G3838" s="5">
        <f>IFERROR(__xludf.DUMMYFUNCTION("""COMPUTED_VALUE"""),0.1866614048934491)</f>
        <v>0.1866614049</v>
      </c>
      <c r="H3838" s="5">
        <f>IFERROR(__xludf.DUMMYFUNCTION("""COMPUTED_VALUE"""),0.6165137614678899)</f>
        <v>0.6165137615</v>
      </c>
      <c r="I3838" s="11">
        <f>IFERROR(__xludf.DUMMYFUNCTION("""COMPUTED_VALUE"""),5818.899082568807)</f>
        <v>5818.899083</v>
      </c>
      <c r="J3838" s="10">
        <f>IFERROR(__xludf.DUMMYFUNCTION("""COMPUTED_VALUE"""),0.0)</f>
        <v>0</v>
      </c>
      <c r="K3838" s="5">
        <f>IFERROR(__xludf.DUMMYFUNCTION("""COMPUTED_VALUE"""),0.0)</f>
        <v>0</v>
      </c>
      <c r="L3838" s="10">
        <f>IFERROR(__xludf.DUMMYFUNCTION("""COMPUTED_VALUE"""),237.0)</f>
        <v>237</v>
      </c>
      <c r="M3838" s="5">
        <f>IFERROR(__xludf.DUMMYFUNCTION("""COMPUTED_VALUE"""),1.0)</f>
        <v>1</v>
      </c>
    </row>
    <row r="3839">
      <c r="A3839" s="10" t="str">
        <f>IFERROR(__xludf.DUMMYFUNCTION("""COMPUTED_VALUE"""),"nopposan")</f>
        <v>nopposan</v>
      </c>
      <c r="B3839" s="10">
        <f>IFERROR(__xludf.DUMMYFUNCTION("""COMPUTED_VALUE"""),499.0)</f>
        <v>499</v>
      </c>
      <c r="C3839" s="10">
        <f>IFERROR(__xludf.DUMMYFUNCTION("""COMPUTED_VALUE"""),5814.0)</f>
        <v>5814</v>
      </c>
      <c r="D3839" s="5">
        <f>IFERROR(__xludf.DUMMYFUNCTION("""COMPUTED_VALUE"""),0.38682972718720604)</f>
        <v>0.3868297272</v>
      </c>
      <c r="E3839" s="5">
        <f>IFERROR(__xludf.DUMMYFUNCTION("""COMPUTED_VALUE"""),0.12154280338664158)</f>
        <v>0.1215428034</v>
      </c>
      <c r="F3839" s="5">
        <f>IFERROR(__xludf.DUMMYFUNCTION("""COMPUTED_VALUE"""),0.2050799623706491)</f>
        <v>0.2050799624</v>
      </c>
      <c r="G3839" s="5">
        <f>IFERROR(__xludf.DUMMYFUNCTION("""COMPUTED_VALUE"""),0.1497648165569144)</f>
        <v>0.1497648166</v>
      </c>
      <c r="H3839" s="5">
        <f>IFERROR(__xludf.DUMMYFUNCTION("""COMPUTED_VALUE"""),0.6)</f>
        <v>0.6</v>
      </c>
      <c r="I3839" s="11">
        <f>IFERROR(__xludf.DUMMYFUNCTION("""COMPUTED_VALUE"""),5510.917431192661)</f>
        <v>5510.917431</v>
      </c>
      <c r="J3839" s="10">
        <f>IFERROR(__xludf.DUMMYFUNCTION("""COMPUTED_VALUE"""),1.0)</f>
        <v>1</v>
      </c>
      <c r="K3839" s="5">
        <f>IFERROR(__xludf.DUMMYFUNCTION("""COMPUTED_VALUE"""),0.002004008016032064)</f>
        <v>0.002004008016</v>
      </c>
      <c r="L3839" s="10">
        <f>IFERROR(__xludf.DUMMYFUNCTION("""COMPUTED_VALUE"""),499.0)</f>
        <v>499</v>
      </c>
      <c r="M3839" s="5">
        <f>IFERROR(__xludf.DUMMYFUNCTION("""COMPUTED_VALUE"""),1.0)</f>
        <v>1</v>
      </c>
    </row>
    <row r="3840">
      <c r="A3840" s="10" t="str">
        <f>IFERROR(__xludf.DUMMYFUNCTION("""COMPUTED_VALUE"""),"うけながした")</f>
        <v>うけながした</v>
      </c>
      <c r="B3840" s="10">
        <f>IFERROR(__xludf.DUMMYFUNCTION("""COMPUTED_VALUE"""),709.0)</f>
        <v>709</v>
      </c>
      <c r="C3840" s="10">
        <f>IFERROR(__xludf.DUMMYFUNCTION("""COMPUTED_VALUE"""),8229.0)</f>
        <v>8229</v>
      </c>
      <c r="D3840" s="5">
        <f>IFERROR(__xludf.DUMMYFUNCTION("""COMPUTED_VALUE"""),0.28617021276595744)</f>
        <v>0.2861702128</v>
      </c>
      <c r="E3840" s="5">
        <f>IFERROR(__xludf.DUMMYFUNCTION("""COMPUTED_VALUE"""),0.12154255319148936)</f>
        <v>0.1215425532</v>
      </c>
      <c r="F3840" s="5">
        <f>IFERROR(__xludf.DUMMYFUNCTION("""COMPUTED_VALUE"""),0.20039893617021276)</f>
        <v>0.2003989362</v>
      </c>
      <c r="G3840" s="5">
        <f>IFERROR(__xludf.DUMMYFUNCTION("""COMPUTED_VALUE"""),0.1981382978723404)</f>
        <v>0.1981382979</v>
      </c>
      <c r="H3840" s="5">
        <f>IFERROR(__xludf.DUMMYFUNCTION("""COMPUTED_VALUE"""),0.5912408759124088)</f>
        <v>0.5912408759</v>
      </c>
      <c r="I3840" s="11">
        <f>IFERROR(__xludf.DUMMYFUNCTION("""COMPUTED_VALUE"""),6247.1798274717985)</f>
        <v>6247.179827</v>
      </c>
      <c r="J3840" s="10">
        <f>IFERROR(__xludf.DUMMYFUNCTION("""COMPUTED_VALUE"""),0.0)</f>
        <v>0</v>
      </c>
      <c r="K3840" s="5">
        <f>IFERROR(__xludf.DUMMYFUNCTION("""COMPUTED_VALUE"""),0.0)</f>
        <v>0</v>
      </c>
      <c r="L3840" s="10">
        <f>IFERROR(__xludf.DUMMYFUNCTION("""COMPUTED_VALUE"""),0.0)</f>
        <v>0</v>
      </c>
      <c r="M3840" s="5">
        <f>IFERROR(__xludf.DUMMYFUNCTION("""COMPUTED_VALUE"""),0.0)</f>
        <v>0</v>
      </c>
    </row>
    <row r="3841">
      <c r="A3841" s="10" t="str">
        <f>IFERROR(__xludf.DUMMYFUNCTION("""COMPUTED_VALUE"""),"lilhama")</f>
        <v>lilhama</v>
      </c>
      <c r="B3841" s="10">
        <f>IFERROR(__xludf.DUMMYFUNCTION("""COMPUTED_VALUE"""),277.0)</f>
        <v>277</v>
      </c>
      <c r="C3841" s="10">
        <f>IFERROR(__xludf.DUMMYFUNCTION("""COMPUTED_VALUE"""),3412.0)</f>
        <v>3412</v>
      </c>
      <c r="D3841" s="5">
        <f>IFERROR(__xludf.DUMMYFUNCTION("""COMPUTED_VALUE"""),0.3087719298245614)</f>
        <v>0.3087719298</v>
      </c>
      <c r="E3841" s="5">
        <f>IFERROR(__xludf.DUMMYFUNCTION("""COMPUTED_VALUE"""),0.1215311004784689)</f>
        <v>0.1215311005</v>
      </c>
      <c r="F3841" s="5">
        <f>IFERROR(__xludf.DUMMYFUNCTION("""COMPUTED_VALUE"""),0.18947368421052632)</f>
        <v>0.1894736842</v>
      </c>
      <c r="G3841" s="5">
        <f>IFERROR(__xludf.DUMMYFUNCTION("""COMPUTED_VALUE"""),0.14768740031897926)</f>
        <v>0.1476874003</v>
      </c>
      <c r="H3841" s="5">
        <f>IFERROR(__xludf.DUMMYFUNCTION("""COMPUTED_VALUE"""),0.5723905723905723)</f>
        <v>0.5723905724</v>
      </c>
      <c r="I3841" s="11">
        <f>IFERROR(__xludf.DUMMYFUNCTION("""COMPUTED_VALUE"""),5584.1750841750845)</f>
        <v>5584.175084</v>
      </c>
      <c r="J3841" s="10">
        <f>IFERROR(__xludf.DUMMYFUNCTION("""COMPUTED_VALUE"""),1.0)</f>
        <v>1</v>
      </c>
      <c r="K3841" s="5">
        <f>IFERROR(__xludf.DUMMYFUNCTION("""COMPUTED_VALUE"""),0.0036101083032490976)</f>
        <v>0.003610108303</v>
      </c>
      <c r="L3841" s="10">
        <f>IFERROR(__xludf.DUMMYFUNCTION("""COMPUTED_VALUE"""),277.0)</f>
        <v>277</v>
      </c>
      <c r="M3841" s="5">
        <f>IFERROR(__xludf.DUMMYFUNCTION("""COMPUTED_VALUE"""),1.0)</f>
        <v>1</v>
      </c>
    </row>
    <row r="3842">
      <c r="A3842" s="10" t="str">
        <f>IFERROR(__xludf.DUMMYFUNCTION("""COMPUTED_VALUE"""),"イズミン")</f>
        <v>イズミン</v>
      </c>
      <c r="B3842" s="10">
        <f>IFERROR(__xludf.DUMMYFUNCTION("""COMPUTED_VALUE"""),2209.0)</f>
        <v>2209</v>
      </c>
      <c r="C3842" s="10">
        <f>IFERROR(__xludf.DUMMYFUNCTION("""COMPUTED_VALUE"""),25753.0)</f>
        <v>25753</v>
      </c>
      <c r="D3842" s="5">
        <f>IFERROR(__xludf.DUMMYFUNCTION("""COMPUTED_VALUE"""),0.3132008154943935)</f>
        <v>0.3132008155</v>
      </c>
      <c r="E3842" s="5">
        <f>IFERROR(__xludf.DUMMYFUNCTION("""COMPUTED_VALUE"""),0.12151715936119606)</f>
        <v>0.1215171594</v>
      </c>
      <c r="F3842" s="5">
        <f>IFERROR(__xludf.DUMMYFUNCTION("""COMPUTED_VALUE"""),0.20625212368331636)</f>
        <v>0.2062521237</v>
      </c>
      <c r="G3842" s="5">
        <f>IFERROR(__xludf.DUMMYFUNCTION("""COMPUTED_VALUE"""),0.1591063540604825)</f>
        <v>0.1591063541</v>
      </c>
      <c r="H3842" s="5">
        <f>IFERROR(__xludf.DUMMYFUNCTION("""COMPUTED_VALUE"""),0.5994645799011532)</f>
        <v>0.5994645799</v>
      </c>
      <c r="I3842" s="11">
        <f>IFERROR(__xludf.DUMMYFUNCTION("""COMPUTED_VALUE"""),5631.404448105436)</f>
        <v>5631.404448</v>
      </c>
      <c r="J3842" s="10">
        <f>IFERROR(__xludf.DUMMYFUNCTION("""COMPUTED_VALUE"""),8.0)</f>
        <v>8</v>
      </c>
      <c r="K3842" s="5">
        <f>IFERROR(__xludf.DUMMYFUNCTION("""COMPUTED_VALUE"""),0.0036215482118605704)</f>
        <v>0.003621548212</v>
      </c>
      <c r="L3842" s="10">
        <f>IFERROR(__xludf.DUMMYFUNCTION("""COMPUTED_VALUE"""),2209.0)</f>
        <v>2209</v>
      </c>
      <c r="M3842" s="5">
        <f>IFERROR(__xludf.DUMMYFUNCTION("""COMPUTED_VALUE"""),1.0)</f>
        <v>1</v>
      </c>
    </row>
    <row r="3843">
      <c r="A3843" s="10" t="str">
        <f>IFERROR(__xludf.DUMMYFUNCTION("""COMPUTED_VALUE"""),"心の旋律")</f>
        <v>心の旋律</v>
      </c>
      <c r="B3843" s="10">
        <f>IFERROR(__xludf.DUMMYFUNCTION("""COMPUTED_VALUE"""),531.0)</f>
        <v>531</v>
      </c>
      <c r="C3843" s="10">
        <f>IFERROR(__xludf.DUMMYFUNCTION("""COMPUTED_VALUE"""),6325.0)</f>
        <v>6325</v>
      </c>
      <c r="D3843" s="5">
        <f>IFERROR(__xludf.DUMMYFUNCTION("""COMPUTED_VALUE"""),0.35623058336209873)</f>
        <v>0.3562305834</v>
      </c>
      <c r="E3843" s="5">
        <f>IFERROR(__xludf.DUMMYFUNCTION("""COMPUTED_VALUE"""),0.1215050051777701)</f>
        <v>0.1215050052</v>
      </c>
      <c r="F3843" s="5">
        <f>IFERROR(__xludf.DUMMYFUNCTION("""COMPUTED_VALUE"""),0.21694856748360372)</f>
        <v>0.2169485675</v>
      </c>
      <c r="G3843" s="5">
        <f>IFERROR(__xludf.DUMMYFUNCTION("""COMPUTED_VALUE"""),0.17690714532274768)</f>
        <v>0.1769071453</v>
      </c>
      <c r="H3843" s="5">
        <f>IFERROR(__xludf.DUMMYFUNCTION("""COMPUTED_VALUE"""),0.624502784407319)</f>
        <v>0.6245027844</v>
      </c>
      <c r="I3843" s="11">
        <f>IFERROR(__xludf.DUMMYFUNCTION("""COMPUTED_VALUE"""),5404.057279236277)</f>
        <v>5404.057279</v>
      </c>
      <c r="J3843" s="10">
        <f>IFERROR(__xludf.DUMMYFUNCTION("""COMPUTED_VALUE"""),1.0)</f>
        <v>1</v>
      </c>
      <c r="K3843" s="5">
        <f>IFERROR(__xludf.DUMMYFUNCTION("""COMPUTED_VALUE"""),0.0018832391713747645)</f>
        <v>0.001883239171</v>
      </c>
      <c r="L3843" s="10">
        <f>IFERROR(__xludf.DUMMYFUNCTION("""COMPUTED_VALUE"""),312.0)</f>
        <v>312</v>
      </c>
      <c r="M3843" s="5">
        <f>IFERROR(__xludf.DUMMYFUNCTION("""COMPUTED_VALUE"""),0.5875706214689266)</f>
        <v>0.5875706215</v>
      </c>
    </row>
    <row r="3844">
      <c r="A3844" s="10" t="str">
        <f>IFERROR(__xludf.DUMMYFUNCTION("""COMPUTED_VALUE"""),"ronja")</f>
        <v>ronja</v>
      </c>
      <c r="B3844" s="10">
        <f>IFERROR(__xludf.DUMMYFUNCTION("""COMPUTED_VALUE"""),897.0)</f>
        <v>897</v>
      </c>
      <c r="C3844" s="10">
        <f>IFERROR(__xludf.DUMMYFUNCTION("""COMPUTED_VALUE"""),10551.0)</f>
        <v>10551</v>
      </c>
      <c r="D3844" s="5">
        <f>IFERROR(__xludf.DUMMYFUNCTION("""COMPUTED_VALUE"""),0.3871970167806091)</f>
        <v>0.3871970168</v>
      </c>
      <c r="E3844" s="5">
        <f>IFERROR(__xludf.DUMMYFUNCTION("""COMPUTED_VALUE"""),0.12150403977625855)</f>
        <v>0.1215040398</v>
      </c>
      <c r="F3844" s="5">
        <f>IFERROR(__xludf.DUMMYFUNCTION("""COMPUTED_VALUE"""),0.21431530971617982)</f>
        <v>0.2143153097</v>
      </c>
      <c r="G3844" s="5">
        <f>IFERROR(__xludf.DUMMYFUNCTION("""COMPUTED_VALUE"""),0.18282577170084938)</f>
        <v>0.1828257717</v>
      </c>
      <c r="H3844" s="5">
        <f>IFERROR(__xludf.DUMMYFUNCTION("""COMPUTED_VALUE"""),0.5722571290478492)</f>
        <v>0.572257129</v>
      </c>
      <c r="I3844" s="11">
        <f>IFERROR(__xludf.DUMMYFUNCTION("""COMPUTED_VALUE"""),5553.504108264862)</f>
        <v>5553.504108</v>
      </c>
      <c r="J3844" s="10">
        <f>IFERROR(__xludf.DUMMYFUNCTION("""COMPUTED_VALUE"""),1.0)</f>
        <v>1</v>
      </c>
      <c r="K3844" s="5">
        <f>IFERROR(__xludf.DUMMYFUNCTION("""COMPUTED_VALUE"""),0.0011148272017837235)</f>
        <v>0.001114827202</v>
      </c>
      <c r="L3844" s="10">
        <f>IFERROR(__xludf.DUMMYFUNCTION("""COMPUTED_VALUE"""),897.0)</f>
        <v>897</v>
      </c>
      <c r="M3844" s="5">
        <f>IFERROR(__xludf.DUMMYFUNCTION("""COMPUTED_VALUE"""),1.0)</f>
        <v>1</v>
      </c>
    </row>
    <row r="3845">
      <c r="A3845" s="10" t="str">
        <f>IFERROR(__xludf.DUMMYFUNCTION("""COMPUTED_VALUE"""),"びりびり☆ビリー")</f>
        <v>びりびり☆ビリー</v>
      </c>
      <c r="B3845" s="10">
        <f>IFERROR(__xludf.DUMMYFUNCTION("""COMPUTED_VALUE"""),6809.0)</f>
        <v>6809</v>
      </c>
      <c r="C3845" s="10">
        <f>IFERROR(__xludf.DUMMYFUNCTION("""COMPUTED_VALUE"""),80175.0)</f>
        <v>80175</v>
      </c>
      <c r="D3845" s="5">
        <f>IFERROR(__xludf.DUMMYFUNCTION("""COMPUTED_VALUE"""),0.3747239865877927)</f>
        <v>0.3747239866</v>
      </c>
      <c r="E3845" s="5">
        <f>IFERROR(__xludf.DUMMYFUNCTION("""COMPUTED_VALUE"""),0.12150042253905079)</f>
        <v>0.1215004225</v>
      </c>
      <c r="F3845" s="5">
        <f>IFERROR(__xludf.DUMMYFUNCTION("""COMPUTED_VALUE"""),0.2180028896218957)</f>
        <v>0.2180028896</v>
      </c>
      <c r="G3845" s="5">
        <f>IFERROR(__xludf.DUMMYFUNCTION("""COMPUTED_VALUE"""),0.16027860316767986)</f>
        <v>0.1602786032</v>
      </c>
      <c r="H3845" s="5">
        <f>IFERROR(__xludf.DUMMYFUNCTION("""COMPUTED_VALUE"""),0.5917844191571839)</f>
        <v>0.5917844192</v>
      </c>
      <c r="I3845" s="11">
        <f>IFERROR(__xludf.DUMMYFUNCTION("""COMPUTED_VALUE"""),5363.367512817306)</f>
        <v>5363.367513</v>
      </c>
      <c r="J3845" s="10">
        <f>IFERROR(__xludf.DUMMYFUNCTION("""COMPUTED_VALUE"""),10.0)</f>
        <v>10</v>
      </c>
      <c r="K3845" s="5">
        <f>IFERROR(__xludf.DUMMYFUNCTION("""COMPUTED_VALUE"""),0.00146864444118079)</f>
        <v>0.001468644441</v>
      </c>
      <c r="L3845" s="10">
        <f>IFERROR(__xludf.DUMMYFUNCTION("""COMPUTED_VALUE"""),6809.0)</f>
        <v>6809</v>
      </c>
      <c r="M3845" s="5">
        <f>IFERROR(__xludf.DUMMYFUNCTION("""COMPUTED_VALUE"""),1.0)</f>
        <v>1</v>
      </c>
    </row>
    <row r="3846">
      <c r="A3846" s="10" t="str">
        <f>IFERROR(__xludf.DUMMYFUNCTION("""COMPUTED_VALUE"""),"プリンス★")</f>
        <v>プリンス★</v>
      </c>
      <c r="B3846" s="10">
        <f>IFERROR(__xludf.DUMMYFUNCTION("""COMPUTED_VALUE"""),198.0)</f>
        <v>198</v>
      </c>
      <c r="C3846" s="10">
        <f>IFERROR(__xludf.DUMMYFUNCTION("""COMPUTED_VALUE"""),2305.0)</f>
        <v>2305</v>
      </c>
      <c r="D3846" s="5">
        <f>IFERROR(__xludf.DUMMYFUNCTION("""COMPUTED_VALUE"""),0.3118177503559563)</f>
        <v>0.3118177504</v>
      </c>
      <c r="E3846" s="5">
        <f>IFERROR(__xludf.DUMMYFUNCTION("""COMPUTED_VALUE"""),0.12149976269577599)</f>
        <v>0.1214997627</v>
      </c>
      <c r="F3846" s="5">
        <f>IFERROR(__xludf.DUMMYFUNCTION("""COMPUTED_VALUE"""),0.21689606074988135)</f>
        <v>0.2168960607</v>
      </c>
      <c r="G3846" s="5">
        <f>IFERROR(__xludf.DUMMYFUNCTION("""COMPUTED_VALUE"""),0.17180825818699572)</f>
        <v>0.1718082582</v>
      </c>
      <c r="H3846" s="5">
        <f>IFERROR(__xludf.DUMMYFUNCTION("""COMPUTED_VALUE"""),0.6433260393873085)</f>
        <v>0.6433260394</v>
      </c>
      <c r="I3846" s="11">
        <f>IFERROR(__xludf.DUMMYFUNCTION("""COMPUTED_VALUE"""),5311.597374179431)</f>
        <v>5311.597374</v>
      </c>
      <c r="J3846" s="10">
        <f>IFERROR(__xludf.DUMMYFUNCTION("""COMPUTED_VALUE"""),0.0)</f>
        <v>0</v>
      </c>
      <c r="K3846" s="5">
        <f>IFERROR(__xludf.DUMMYFUNCTION("""COMPUTED_VALUE"""),0.0)</f>
        <v>0</v>
      </c>
      <c r="L3846" s="10">
        <f>IFERROR(__xludf.DUMMYFUNCTION("""COMPUTED_VALUE"""),198.0)</f>
        <v>198</v>
      </c>
      <c r="M3846" s="5">
        <f>IFERROR(__xludf.DUMMYFUNCTION("""COMPUTED_VALUE"""),1.0)</f>
        <v>1</v>
      </c>
    </row>
    <row r="3847">
      <c r="A3847" s="10" t="str">
        <f>IFERROR(__xludf.DUMMYFUNCTION("""COMPUTED_VALUE"""),"shoot39")</f>
        <v>shoot39</v>
      </c>
      <c r="B3847" s="10">
        <f>IFERROR(__xludf.DUMMYFUNCTION("""COMPUTED_VALUE"""),7736.0)</f>
        <v>7736</v>
      </c>
      <c r="C3847" s="10">
        <f>IFERROR(__xludf.DUMMYFUNCTION("""COMPUTED_VALUE"""),90710.0)</f>
        <v>90710</v>
      </c>
      <c r="D3847" s="5">
        <f>IFERROR(__xludf.DUMMYFUNCTION("""COMPUTED_VALUE"""),0.3309590956203148)</f>
        <v>0.3309590956</v>
      </c>
      <c r="E3847" s="5">
        <f>IFERROR(__xludf.DUMMYFUNCTION("""COMPUTED_VALUE"""),0.12149589027888254)</f>
        <v>0.1214958903</v>
      </c>
      <c r="F3847" s="5">
        <f>IFERROR(__xludf.DUMMYFUNCTION("""COMPUTED_VALUE"""),0.21976763805529442)</f>
        <v>0.2197676381</v>
      </c>
      <c r="G3847" s="5">
        <f>IFERROR(__xludf.DUMMYFUNCTION("""COMPUTED_VALUE"""),0.16261720538964014)</f>
        <v>0.1626172054</v>
      </c>
      <c r="H3847" s="5">
        <f>IFERROR(__xludf.DUMMYFUNCTION("""COMPUTED_VALUE"""),0.6043323279407732)</f>
        <v>0.6043323279</v>
      </c>
      <c r="I3847" s="11">
        <f>IFERROR(__xludf.DUMMYFUNCTION("""COMPUTED_VALUE"""),5622.484233616671)</f>
        <v>5622.484234</v>
      </c>
      <c r="J3847" s="10">
        <f>IFERROR(__xludf.DUMMYFUNCTION("""COMPUTED_VALUE"""),24.0)</f>
        <v>24</v>
      </c>
      <c r="K3847" s="5">
        <f>IFERROR(__xludf.DUMMYFUNCTION("""COMPUTED_VALUE"""),0.0031023784901758012)</f>
        <v>0.00310237849</v>
      </c>
      <c r="L3847" s="10">
        <f>IFERROR(__xludf.DUMMYFUNCTION("""COMPUTED_VALUE"""),7400.0)</f>
        <v>7400</v>
      </c>
      <c r="M3847" s="5">
        <f>IFERROR(__xludf.DUMMYFUNCTION("""COMPUTED_VALUE"""),0.9565667011375388)</f>
        <v>0.9565667011</v>
      </c>
    </row>
    <row r="3848">
      <c r="A3848" s="10" t="str">
        <f>IFERROR(__xludf.DUMMYFUNCTION("""COMPUTED_VALUE"""),"donni")</f>
        <v>donni</v>
      </c>
      <c r="B3848" s="10">
        <f>IFERROR(__xludf.DUMMYFUNCTION("""COMPUTED_VALUE"""),449.0)</f>
        <v>449</v>
      </c>
      <c r="C3848" s="10">
        <f>IFERROR(__xludf.DUMMYFUNCTION("""COMPUTED_VALUE"""),5264.0)</f>
        <v>5264</v>
      </c>
      <c r="D3848" s="5">
        <f>IFERROR(__xludf.DUMMYFUNCTION("""COMPUTED_VALUE"""),0.27331256490135)</f>
        <v>0.2733125649</v>
      </c>
      <c r="E3848" s="5">
        <f>IFERROR(__xludf.DUMMYFUNCTION("""COMPUTED_VALUE"""),0.12149532710280374)</f>
        <v>0.1214953271</v>
      </c>
      <c r="F3848" s="5">
        <f>IFERROR(__xludf.DUMMYFUNCTION("""COMPUTED_VALUE"""),0.20145379023883697)</f>
        <v>0.2014537902</v>
      </c>
      <c r="G3848" s="5">
        <f>IFERROR(__xludf.DUMMYFUNCTION("""COMPUTED_VALUE"""),0.16884735202492213)</f>
        <v>0.168847352</v>
      </c>
      <c r="H3848" s="5">
        <f>IFERROR(__xludf.DUMMYFUNCTION("""COMPUTED_VALUE"""),0.5876288659793815)</f>
        <v>0.587628866</v>
      </c>
      <c r="I3848" s="11">
        <f>IFERROR(__xludf.DUMMYFUNCTION("""COMPUTED_VALUE"""),5778.453608247422)</f>
        <v>5778.453608</v>
      </c>
      <c r="J3848" s="10">
        <f>IFERROR(__xludf.DUMMYFUNCTION("""COMPUTED_VALUE"""),1.0)</f>
        <v>1</v>
      </c>
      <c r="K3848" s="5">
        <f>IFERROR(__xludf.DUMMYFUNCTION("""COMPUTED_VALUE"""),0.0022271714922048997)</f>
        <v>0.002227171492</v>
      </c>
      <c r="L3848" s="10">
        <f>IFERROR(__xludf.DUMMYFUNCTION("""COMPUTED_VALUE"""),449.0)</f>
        <v>449</v>
      </c>
      <c r="M3848" s="5">
        <f>IFERROR(__xludf.DUMMYFUNCTION("""COMPUTED_VALUE"""),1.0)</f>
        <v>1</v>
      </c>
    </row>
    <row r="3849">
      <c r="A3849" s="10" t="str">
        <f>IFERROR(__xludf.DUMMYFUNCTION("""COMPUTED_VALUE"""),"イカ娘")</f>
        <v>イカ娘</v>
      </c>
      <c r="B3849" s="10">
        <f>IFERROR(__xludf.DUMMYFUNCTION("""COMPUTED_VALUE"""),639.0)</f>
        <v>639</v>
      </c>
      <c r="C3849" s="10">
        <f>IFERROR(__xludf.DUMMYFUNCTION("""COMPUTED_VALUE"""),7331.0)</f>
        <v>7331</v>
      </c>
      <c r="D3849" s="5">
        <f>IFERROR(__xludf.DUMMYFUNCTION("""COMPUTED_VALUE"""),0.3637178720860729)</f>
        <v>0.3637178721</v>
      </c>
      <c r="E3849" s="5">
        <f>IFERROR(__xludf.DUMMYFUNCTION("""COMPUTED_VALUE"""),0.12148834429169157)</f>
        <v>0.1214883443</v>
      </c>
      <c r="F3849" s="5">
        <f>IFERROR(__xludf.DUMMYFUNCTION("""COMPUTED_VALUE"""),0.20920502092050208)</f>
        <v>0.2092050209</v>
      </c>
      <c r="G3849" s="5">
        <f>IFERROR(__xludf.DUMMYFUNCTION("""COMPUTED_VALUE"""),0.1564554692169755)</f>
        <v>0.1564554692</v>
      </c>
      <c r="H3849" s="5">
        <f>IFERROR(__xludf.DUMMYFUNCTION("""COMPUTED_VALUE"""),0.5971428571428572)</f>
        <v>0.5971428571</v>
      </c>
      <c r="I3849" s="11">
        <f>IFERROR(__xludf.DUMMYFUNCTION("""COMPUTED_VALUE"""),5460.785714285715)</f>
        <v>5460.785714</v>
      </c>
      <c r="J3849" s="10">
        <f>IFERROR(__xludf.DUMMYFUNCTION("""COMPUTED_VALUE"""),6.0)</f>
        <v>6</v>
      </c>
      <c r="K3849" s="5">
        <f>IFERROR(__xludf.DUMMYFUNCTION("""COMPUTED_VALUE"""),0.009389671361502348)</f>
        <v>0.009389671362</v>
      </c>
      <c r="L3849" s="10">
        <f>IFERROR(__xludf.DUMMYFUNCTION("""COMPUTED_VALUE"""),188.0)</f>
        <v>188</v>
      </c>
      <c r="M3849" s="5">
        <f>IFERROR(__xludf.DUMMYFUNCTION("""COMPUTED_VALUE"""),0.2942097026604069)</f>
        <v>0.2942097027</v>
      </c>
    </row>
    <row r="3850">
      <c r="A3850" s="10" t="str">
        <f>IFERROR(__xludf.DUMMYFUNCTION("""COMPUTED_VALUE"""),"不許可")</f>
        <v>不許可</v>
      </c>
      <c r="B3850" s="10">
        <f>IFERROR(__xludf.DUMMYFUNCTION("""COMPUTED_VALUE"""),878.0)</f>
        <v>878</v>
      </c>
      <c r="C3850" s="10">
        <f>IFERROR(__xludf.DUMMYFUNCTION("""COMPUTED_VALUE"""),10369.0)</f>
        <v>10369</v>
      </c>
      <c r="D3850" s="5">
        <f>IFERROR(__xludf.DUMMYFUNCTION("""COMPUTED_VALUE"""),0.3372668844168159)</f>
        <v>0.3372668844</v>
      </c>
      <c r="E3850" s="5">
        <f>IFERROR(__xludf.DUMMYFUNCTION("""COMPUTED_VALUE"""),0.121483510694342)</f>
        <v>0.1214835107</v>
      </c>
      <c r="F3850" s="5">
        <f>IFERROR(__xludf.DUMMYFUNCTION("""COMPUTED_VALUE"""),0.20998841007270044)</f>
        <v>0.2099884101</v>
      </c>
      <c r="G3850" s="5">
        <f>IFERROR(__xludf.DUMMYFUNCTION("""COMPUTED_VALUE"""),0.18385839216099462)</f>
        <v>0.1838583922</v>
      </c>
      <c r="H3850" s="5">
        <f>IFERROR(__xludf.DUMMYFUNCTION("""COMPUTED_VALUE"""),0.5995985950827898)</f>
        <v>0.5995985951</v>
      </c>
      <c r="I3850" s="11">
        <f>IFERROR(__xludf.DUMMYFUNCTION("""COMPUTED_VALUE"""),5384.4957350727545)</f>
        <v>5384.495735</v>
      </c>
      <c r="J3850" s="10">
        <f>IFERROR(__xludf.DUMMYFUNCTION("""COMPUTED_VALUE"""),1.0)</f>
        <v>1</v>
      </c>
      <c r="K3850" s="5">
        <f>IFERROR(__xludf.DUMMYFUNCTION("""COMPUTED_VALUE"""),0.0011389521640091116)</f>
        <v>0.001138952164</v>
      </c>
      <c r="L3850" s="10">
        <f>IFERROR(__xludf.DUMMYFUNCTION("""COMPUTED_VALUE"""),878.0)</f>
        <v>878</v>
      </c>
      <c r="M3850" s="5">
        <f>IFERROR(__xludf.DUMMYFUNCTION("""COMPUTED_VALUE"""),1.0)</f>
        <v>1</v>
      </c>
    </row>
    <row r="3851">
      <c r="A3851" s="10" t="str">
        <f>IFERROR(__xludf.DUMMYFUNCTION("""COMPUTED_VALUE"""),"にっちょ")</f>
        <v>にっちょ</v>
      </c>
      <c r="B3851" s="10">
        <f>IFERROR(__xludf.DUMMYFUNCTION("""COMPUTED_VALUE"""),2034.0)</f>
        <v>2034</v>
      </c>
      <c r="C3851" s="10">
        <f>IFERROR(__xludf.DUMMYFUNCTION("""COMPUTED_VALUE"""),23834.0)</f>
        <v>23834</v>
      </c>
      <c r="D3851" s="5">
        <f>IFERROR(__xludf.DUMMYFUNCTION("""COMPUTED_VALUE"""),0.33238532110091745)</f>
        <v>0.3323853211</v>
      </c>
      <c r="E3851" s="5">
        <f>IFERROR(__xludf.DUMMYFUNCTION("""COMPUTED_VALUE"""),0.12146788990825688)</f>
        <v>0.1214678899</v>
      </c>
      <c r="F3851" s="5">
        <f>IFERROR(__xludf.DUMMYFUNCTION("""COMPUTED_VALUE"""),0.2108256880733945)</f>
        <v>0.2108256881</v>
      </c>
      <c r="G3851" s="5">
        <f>IFERROR(__xludf.DUMMYFUNCTION("""COMPUTED_VALUE"""),0.16545871559633027)</f>
        <v>0.1654587156</v>
      </c>
      <c r="H3851" s="5">
        <f>IFERROR(__xludf.DUMMYFUNCTION("""COMPUTED_VALUE"""),0.598781549173194)</f>
        <v>0.5987815492</v>
      </c>
      <c r="I3851" s="11">
        <f>IFERROR(__xludf.DUMMYFUNCTION("""COMPUTED_VALUE"""),5806.048738033072)</f>
        <v>5806.048738</v>
      </c>
      <c r="J3851" s="10">
        <f>IFERROR(__xludf.DUMMYFUNCTION("""COMPUTED_VALUE"""),6.0)</f>
        <v>6</v>
      </c>
      <c r="K3851" s="5">
        <f>IFERROR(__xludf.DUMMYFUNCTION("""COMPUTED_VALUE"""),0.0029498525073746312)</f>
        <v>0.002949852507</v>
      </c>
      <c r="L3851" s="10">
        <f>IFERROR(__xludf.DUMMYFUNCTION("""COMPUTED_VALUE"""),2034.0)</f>
        <v>2034</v>
      </c>
      <c r="M3851" s="5">
        <f>IFERROR(__xludf.DUMMYFUNCTION("""COMPUTED_VALUE"""),1.0)</f>
        <v>1</v>
      </c>
    </row>
    <row r="3852">
      <c r="A3852" s="10" t="str">
        <f>IFERROR(__xludf.DUMMYFUNCTION("""COMPUTED_VALUE"""),"bospa")</f>
        <v>bospa</v>
      </c>
      <c r="B3852" s="10">
        <f>IFERROR(__xludf.DUMMYFUNCTION("""COMPUTED_VALUE"""),158.0)</f>
        <v>158</v>
      </c>
      <c r="C3852" s="10">
        <f>IFERROR(__xludf.DUMMYFUNCTION("""COMPUTED_VALUE"""),1854.0)</f>
        <v>1854</v>
      </c>
      <c r="D3852" s="5">
        <f>IFERROR(__xludf.DUMMYFUNCTION("""COMPUTED_VALUE"""),0.3714622641509434)</f>
        <v>0.3714622642</v>
      </c>
      <c r="E3852" s="5">
        <f>IFERROR(__xludf.DUMMYFUNCTION("""COMPUTED_VALUE"""),0.1214622641509434)</f>
        <v>0.1214622642</v>
      </c>
      <c r="F3852" s="5">
        <f>IFERROR(__xludf.DUMMYFUNCTION("""COMPUTED_VALUE"""),0.2134433962264151)</f>
        <v>0.2134433962</v>
      </c>
      <c r="G3852" s="5">
        <f>IFERROR(__xludf.DUMMYFUNCTION("""COMPUTED_VALUE"""),0.15919811320754718)</f>
        <v>0.1591981132</v>
      </c>
      <c r="H3852" s="5">
        <f>IFERROR(__xludf.DUMMYFUNCTION("""COMPUTED_VALUE"""),0.6464088397790055)</f>
        <v>0.6464088398</v>
      </c>
      <c r="I3852" s="11">
        <f>IFERROR(__xludf.DUMMYFUNCTION("""COMPUTED_VALUE"""),5753.314917127072)</f>
        <v>5753.314917</v>
      </c>
      <c r="J3852" s="10">
        <f>IFERROR(__xludf.DUMMYFUNCTION("""COMPUTED_VALUE"""),0.0)</f>
        <v>0</v>
      </c>
      <c r="K3852" s="5">
        <f>IFERROR(__xludf.DUMMYFUNCTION("""COMPUTED_VALUE"""),0.0)</f>
        <v>0</v>
      </c>
      <c r="L3852" s="10">
        <f>IFERROR(__xludf.DUMMYFUNCTION("""COMPUTED_VALUE"""),158.0)</f>
        <v>158</v>
      </c>
      <c r="M3852" s="5">
        <f>IFERROR(__xludf.DUMMYFUNCTION("""COMPUTED_VALUE"""),1.0)</f>
        <v>1</v>
      </c>
    </row>
    <row r="3853">
      <c r="A3853" s="10" t="str">
        <f>IFERROR(__xludf.DUMMYFUNCTION("""COMPUTED_VALUE"""),"りとる。。")</f>
        <v>りとる。。</v>
      </c>
      <c r="B3853" s="10">
        <f>IFERROR(__xludf.DUMMYFUNCTION("""COMPUTED_VALUE"""),990.0)</f>
        <v>990</v>
      </c>
      <c r="C3853" s="10">
        <f>IFERROR(__xludf.DUMMYFUNCTION("""COMPUTED_VALUE"""),11645.0)</f>
        <v>11645</v>
      </c>
      <c r="D3853" s="5">
        <f>IFERROR(__xludf.DUMMYFUNCTION("""COMPUTED_VALUE"""),0.25631159080244015)</f>
        <v>0.2563115908</v>
      </c>
      <c r="E3853" s="5">
        <f>IFERROR(__xludf.DUMMYFUNCTION("""COMPUTED_VALUE"""),0.12144533083059597)</f>
        <v>0.1214453308</v>
      </c>
      <c r="F3853" s="5">
        <f>IFERROR(__xludf.DUMMYFUNCTION("""COMPUTED_VALUE"""),0.20703894885030502)</f>
        <v>0.2070389489</v>
      </c>
      <c r="G3853" s="5">
        <f>IFERROR(__xludf.DUMMYFUNCTION("""COMPUTED_VALUE"""),0.17907085875175974)</f>
        <v>0.1790708588</v>
      </c>
      <c r="H3853" s="5">
        <f>IFERROR(__xludf.DUMMYFUNCTION("""COMPUTED_VALUE"""),0.5806890299184043)</f>
        <v>0.5806890299</v>
      </c>
      <c r="I3853" s="11">
        <f>IFERROR(__xludf.DUMMYFUNCTION("""COMPUTED_VALUE"""),5925.70262919311)</f>
        <v>5925.702629</v>
      </c>
      <c r="J3853" s="10">
        <f>IFERROR(__xludf.DUMMYFUNCTION("""COMPUTED_VALUE"""),2.0)</f>
        <v>2</v>
      </c>
      <c r="K3853" s="5">
        <f>IFERROR(__xludf.DUMMYFUNCTION("""COMPUTED_VALUE"""),0.00202020202020202)</f>
        <v>0.00202020202</v>
      </c>
      <c r="L3853" s="10">
        <f>IFERROR(__xludf.DUMMYFUNCTION("""COMPUTED_VALUE"""),990.0)</f>
        <v>990</v>
      </c>
      <c r="M3853" s="5">
        <f>IFERROR(__xludf.DUMMYFUNCTION("""COMPUTED_VALUE"""),1.0)</f>
        <v>1</v>
      </c>
    </row>
    <row r="3854">
      <c r="A3854" s="10" t="str">
        <f>IFERROR(__xludf.DUMMYFUNCTION("""COMPUTED_VALUE"""),"駄妹")</f>
        <v>駄妹</v>
      </c>
      <c r="B3854" s="10">
        <f>IFERROR(__xludf.DUMMYFUNCTION("""COMPUTED_VALUE"""),4716.0)</f>
        <v>4716</v>
      </c>
      <c r="C3854" s="10">
        <f>IFERROR(__xludf.DUMMYFUNCTION("""COMPUTED_VALUE"""),55558.0)</f>
        <v>55558</v>
      </c>
      <c r="D3854" s="5">
        <f>IFERROR(__xludf.DUMMYFUNCTION("""COMPUTED_VALUE"""),0.395578458754573)</f>
        <v>0.3955784588</v>
      </c>
      <c r="E3854" s="5">
        <f>IFERROR(__xludf.DUMMYFUNCTION("""COMPUTED_VALUE"""),0.12143503402698556)</f>
        <v>0.121435034</v>
      </c>
      <c r="F3854" s="5">
        <f>IFERROR(__xludf.DUMMYFUNCTION("""COMPUTED_VALUE"""),0.2164352307147634)</f>
        <v>0.2164352307</v>
      </c>
      <c r="G3854" s="5">
        <f>IFERROR(__xludf.DUMMYFUNCTION("""COMPUTED_VALUE"""),0.15937610636875024)</f>
        <v>0.1593761064</v>
      </c>
      <c r="H3854" s="5">
        <f>IFERROR(__xludf.DUMMYFUNCTION("""COMPUTED_VALUE"""),0.6003271537622683)</f>
        <v>0.6003271538</v>
      </c>
      <c r="I3854" s="11">
        <f>IFERROR(__xludf.DUMMYFUNCTION("""COMPUTED_VALUE"""),5355.570701563068)</f>
        <v>5355.570702</v>
      </c>
      <c r="J3854" s="10">
        <f>IFERROR(__xludf.DUMMYFUNCTION("""COMPUTED_VALUE"""),9.0)</f>
        <v>9</v>
      </c>
      <c r="K3854" s="5">
        <f>IFERROR(__xludf.DUMMYFUNCTION("""COMPUTED_VALUE"""),0.0019083969465648854)</f>
        <v>0.001908396947</v>
      </c>
      <c r="L3854" s="10">
        <f>IFERROR(__xludf.DUMMYFUNCTION("""COMPUTED_VALUE"""),0.0)</f>
        <v>0</v>
      </c>
      <c r="M3854" s="5">
        <f>IFERROR(__xludf.DUMMYFUNCTION("""COMPUTED_VALUE"""),0.0)</f>
        <v>0</v>
      </c>
    </row>
    <row r="3855">
      <c r="A3855" s="10" t="str">
        <f>IFERROR(__xludf.DUMMYFUNCTION("""COMPUTED_VALUE"""),"超絶備長炭")</f>
        <v>超絶備長炭</v>
      </c>
      <c r="B3855" s="10">
        <f>IFERROR(__xludf.DUMMYFUNCTION("""COMPUTED_VALUE"""),659.0)</f>
        <v>659</v>
      </c>
      <c r="C3855" s="10">
        <f>IFERROR(__xludf.DUMMYFUNCTION("""COMPUTED_VALUE"""),7700.0)</f>
        <v>7700</v>
      </c>
      <c r="D3855" s="5">
        <f>IFERROR(__xludf.DUMMYFUNCTION("""COMPUTED_VALUE"""),0.40107939213179944)</f>
        <v>0.4010793921</v>
      </c>
      <c r="E3855" s="5">
        <f>IFERROR(__xludf.DUMMYFUNCTION("""COMPUTED_VALUE"""),0.12143161482743929)</f>
        <v>0.1214316148</v>
      </c>
      <c r="F3855" s="5">
        <f>IFERROR(__xludf.DUMMYFUNCTION("""COMPUTED_VALUE"""),0.21786678028689108)</f>
        <v>0.2178667803</v>
      </c>
      <c r="G3855" s="5">
        <f>IFERROR(__xludf.DUMMYFUNCTION("""COMPUTED_VALUE"""),0.1337878142309331)</f>
        <v>0.1337878142</v>
      </c>
      <c r="H3855" s="5">
        <f>IFERROR(__xludf.DUMMYFUNCTION("""COMPUTED_VALUE"""),0.6010430247718384)</f>
        <v>0.6010430248</v>
      </c>
      <c r="I3855" s="11">
        <f>IFERROR(__xludf.DUMMYFUNCTION("""COMPUTED_VALUE"""),5308.735332464146)</f>
        <v>5308.735332</v>
      </c>
      <c r="J3855" s="10">
        <f>IFERROR(__xludf.DUMMYFUNCTION("""COMPUTED_VALUE"""),0.0)</f>
        <v>0</v>
      </c>
      <c r="K3855" s="5">
        <f>IFERROR(__xludf.DUMMYFUNCTION("""COMPUTED_VALUE"""),0.0)</f>
        <v>0</v>
      </c>
      <c r="L3855" s="10">
        <f>IFERROR(__xludf.DUMMYFUNCTION("""COMPUTED_VALUE"""),659.0)</f>
        <v>659</v>
      </c>
      <c r="M3855" s="5">
        <f>IFERROR(__xludf.DUMMYFUNCTION("""COMPUTED_VALUE"""),1.0)</f>
        <v>1</v>
      </c>
    </row>
    <row r="3856">
      <c r="A3856" s="10" t="str">
        <f>IFERROR(__xludf.DUMMYFUNCTION("""COMPUTED_VALUE"""),"幾何学専攻")</f>
        <v>幾何学専攻</v>
      </c>
      <c r="B3856" s="10">
        <f>IFERROR(__xludf.DUMMYFUNCTION("""COMPUTED_VALUE"""),1002.0)</f>
        <v>1002</v>
      </c>
      <c r="C3856" s="10">
        <f>IFERROR(__xludf.DUMMYFUNCTION("""COMPUTED_VALUE"""),11799.0)</f>
        <v>11799</v>
      </c>
      <c r="D3856" s="5">
        <f>IFERROR(__xludf.DUMMYFUNCTION("""COMPUTED_VALUE"""),0.35389460035194964)</f>
        <v>0.3538946004</v>
      </c>
      <c r="E3856" s="5">
        <f>IFERROR(__xludf.DUMMYFUNCTION("""COMPUTED_VALUE"""),0.12142261739372048)</f>
        <v>0.1214226174</v>
      </c>
      <c r="F3856" s="5">
        <f>IFERROR(__xludf.DUMMYFUNCTION("""COMPUTED_VALUE"""),0.2158006853755673)</f>
        <v>0.2158006854</v>
      </c>
      <c r="G3856" s="5">
        <f>IFERROR(__xludf.DUMMYFUNCTION("""COMPUTED_VALUE"""),0.1675465407057516)</f>
        <v>0.1675465407</v>
      </c>
      <c r="H3856" s="5">
        <f>IFERROR(__xludf.DUMMYFUNCTION("""COMPUTED_VALUE"""),0.5944206008583691)</f>
        <v>0.5944206009</v>
      </c>
      <c r="I3856" s="11">
        <f>IFERROR(__xludf.DUMMYFUNCTION("""COMPUTED_VALUE"""),5501.07296137339)</f>
        <v>5501.072961</v>
      </c>
      <c r="J3856" s="10">
        <f>IFERROR(__xludf.DUMMYFUNCTION("""COMPUTED_VALUE"""),3.0)</f>
        <v>3</v>
      </c>
      <c r="K3856" s="5">
        <f>IFERROR(__xludf.DUMMYFUNCTION("""COMPUTED_VALUE"""),0.0029940119760479044)</f>
        <v>0.002994011976</v>
      </c>
      <c r="L3856" s="10">
        <f>IFERROR(__xludf.DUMMYFUNCTION("""COMPUTED_VALUE"""),943.0)</f>
        <v>943</v>
      </c>
      <c r="M3856" s="5">
        <f>IFERROR(__xludf.DUMMYFUNCTION("""COMPUTED_VALUE"""),0.9411177644710579)</f>
        <v>0.9411177645</v>
      </c>
    </row>
    <row r="3857">
      <c r="A3857" s="10" t="str">
        <f>IFERROR(__xludf.DUMMYFUNCTION("""COMPUTED_VALUE"""),"ひつまjapan")</f>
        <v>ひつまjapan</v>
      </c>
      <c r="B3857" s="10">
        <f>IFERROR(__xludf.DUMMYFUNCTION("""COMPUTED_VALUE"""),105.0)</f>
        <v>105</v>
      </c>
      <c r="C3857" s="10">
        <f>IFERROR(__xludf.DUMMYFUNCTION("""COMPUTED_VALUE"""),1217.0)</f>
        <v>1217</v>
      </c>
      <c r="D3857" s="5">
        <f>IFERROR(__xludf.DUMMYFUNCTION("""COMPUTED_VALUE"""),0.12769784172661872)</f>
        <v>0.1276978417</v>
      </c>
      <c r="E3857" s="5">
        <f>IFERROR(__xludf.DUMMYFUNCTION("""COMPUTED_VALUE"""),0.12140287769784172)</f>
        <v>0.1214028777</v>
      </c>
      <c r="F3857" s="5">
        <f>IFERROR(__xludf.DUMMYFUNCTION("""COMPUTED_VALUE"""),0.18615107913669066)</f>
        <v>0.1861510791</v>
      </c>
      <c r="G3857" s="5">
        <f>IFERROR(__xludf.DUMMYFUNCTION("""COMPUTED_VALUE"""),0.19424460431654678)</f>
        <v>0.1942446043</v>
      </c>
      <c r="H3857" s="5">
        <f>IFERROR(__xludf.DUMMYFUNCTION("""COMPUTED_VALUE"""),0.6086956521739131)</f>
        <v>0.6086956522</v>
      </c>
      <c r="I3857" s="11">
        <f>IFERROR(__xludf.DUMMYFUNCTION("""COMPUTED_VALUE"""),5867.632850241546)</f>
        <v>5867.63285</v>
      </c>
      <c r="J3857" s="10">
        <f>IFERROR(__xludf.DUMMYFUNCTION("""COMPUTED_VALUE"""),0.0)</f>
        <v>0</v>
      </c>
      <c r="K3857" s="5">
        <f>IFERROR(__xludf.DUMMYFUNCTION("""COMPUTED_VALUE"""),0.0)</f>
        <v>0</v>
      </c>
      <c r="L3857" s="10">
        <f>IFERROR(__xludf.DUMMYFUNCTION("""COMPUTED_VALUE"""),105.0)</f>
        <v>105</v>
      </c>
      <c r="M3857" s="5">
        <f>IFERROR(__xludf.DUMMYFUNCTION("""COMPUTED_VALUE"""),1.0)</f>
        <v>1</v>
      </c>
    </row>
    <row r="3858">
      <c r="A3858" s="10" t="str">
        <f>IFERROR(__xludf.DUMMYFUNCTION("""COMPUTED_VALUE"""),"シロッコ♪")</f>
        <v>シロッコ♪</v>
      </c>
      <c r="B3858" s="10">
        <f>IFERROR(__xludf.DUMMYFUNCTION("""COMPUTED_VALUE"""),101.0)</f>
        <v>101</v>
      </c>
      <c r="C3858" s="10">
        <f>IFERROR(__xludf.DUMMYFUNCTION("""COMPUTED_VALUE"""),1213.0)</f>
        <v>1213</v>
      </c>
      <c r="D3858" s="5">
        <f>IFERROR(__xludf.DUMMYFUNCTION("""COMPUTED_VALUE"""),0.3947841726618705)</f>
        <v>0.3947841727</v>
      </c>
      <c r="E3858" s="5">
        <f>IFERROR(__xludf.DUMMYFUNCTION("""COMPUTED_VALUE"""),0.12140287769784172)</f>
        <v>0.1214028777</v>
      </c>
      <c r="F3858" s="5">
        <f>IFERROR(__xludf.DUMMYFUNCTION("""COMPUTED_VALUE"""),0.2239208633093525)</f>
        <v>0.2239208633</v>
      </c>
      <c r="G3858" s="5">
        <f>IFERROR(__xludf.DUMMYFUNCTION("""COMPUTED_VALUE"""),0.1393884892086331)</f>
        <v>0.1393884892</v>
      </c>
      <c r="H3858" s="5">
        <f>IFERROR(__xludf.DUMMYFUNCTION("""COMPUTED_VALUE"""),0.6465863453815262)</f>
        <v>0.6465863454</v>
      </c>
      <c r="I3858" s="11">
        <f>IFERROR(__xludf.DUMMYFUNCTION("""COMPUTED_VALUE"""),4886.345381526105)</f>
        <v>4886.345382</v>
      </c>
      <c r="J3858" s="10">
        <f>IFERROR(__xludf.DUMMYFUNCTION("""COMPUTED_VALUE"""),1.0)</f>
        <v>1</v>
      </c>
      <c r="K3858" s="5">
        <f>IFERROR(__xludf.DUMMYFUNCTION("""COMPUTED_VALUE"""),0.009900990099009901)</f>
        <v>0.009900990099</v>
      </c>
      <c r="L3858" s="10">
        <f>IFERROR(__xludf.DUMMYFUNCTION("""COMPUTED_VALUE"""),101.0)</f>
        <v>101</v>
      </c>
      <c r="M3858" s="5">
        <f>IFERROR(__xludf.DUMMYFUNCTION("""COMPUTED_VALUE"""),1.0)</f>
        <v>1</v>
      </c>
    </row>
    <row r="3859">
      <c r="A3859" s="10" t="str">
        <f>IFERROR(__xludf.DUMMYFUNCTION("""COMPUTED_VALUE"""),"西園寺靖子")</f>
        <v>西園寺靖子</v>
      </c>
      <c r="B3859" s="10">
        <f>IFERROR(__xludf.DUMMYFUNCTION("""COMPUTED_VALUE"""),1457.0)</f>
        <v>1457</v>
      </c>
      <c r="C3859" s="10">
        <f>IFERROR(__xludf.DUMMYFUNCTION("""COMPUTED_VALUE"""),17231.0)</f>
        <v>17231</v>
      </c>
      <c r="D3859" s="5">
        <f>IFERROR(__xludf.DUMMYFUNCTION("""COMPUTED_VALUE"""),0.3614175225053886)</f>
        <v>0.3614175225</v>
      </c>
      <c r="E3859" s="5">
        <f>IFERROR(__xludf.DUMMYFUNCTION("""COMPUTED_VALUE"""),0.12140230759477622)</f>
        <v>0.1214023076</v>
      </c>
      <c r="F3859" s="5">
        <f>IFERROR(__xludf.DUMMYFUNCTION("""COMPUTED_VALUE"""),0.22632179535945227)</f>
        <v>0.2263217954</v>
      </c>
      <c r="G3859" s="5">
        <f>IFERROR(__xludf.DUMMYFUNCTION("""COMPUTED_VALUE"""),0.17560542665145176)</f>
        <v>0.1756054267</v>
      </c>
      <c r="H3859" s="5">
        <f>IFERROR(__xludf.DUMMYFUNCTION("""COMPUTED_VALUE"""),0.6103641456582634)</f>
        <v>0.6103641457</v>
      </c>
      <c r="I3859" s="11">
        <f>IFERROR(__xludf.DUMMYFUNCTION("""COMPUTED_VALUE"""),5157.310924369748)</f>
        <v>5157.310924</v>
      </c>
      <c r="J3859" s="10">
        <f>IFERROR(__xludf.DUMMYFUNCTION("""COMPUTED_VALUE"""),3.0)</f>
        <v>3</v>
      </c>
      <c r="K3859" s="5">
        <f>IFERROR(__xludf.DUMMYFUNCTION("""COMPUTED_VALUE"""),0.002059025394646534)</f>
        <v>0.002059025395</v>
      </c>
      <c r="L3859" s="10">
        <f>IFERROR(__xludf.DUMMYFUNCTION("""COMPUTED_VALUE"""),0.0)</f>
        <v>0</v>
      </c>
      <c r="M3859" s="5">
        <f>IFERROR(__xludf.DUMMYFUNCTION("""COMPUTED_VALUE"""),0.0)</f>
        <v>0</v>
      </c>
    </row>
    <row r="3860">
      <c r="A3860" s="10" t="str">
        <f>IFERROR(__xludf.DUMMYFUNCTION("""COMPUTED_VALUE"""),"MOD")</f>
        <v>MOD</v>
      </c>
      <c r="B3860" s="10">
        <f>IFERROR(__xludf.DUMMYFUNCTION("""COMPUTED_VALUE"""),2265.0)</f>
        <v>2265</v>
      </c>
      <c r="C3860" s="10">
        <f>IFERROR(__xludf.DUMMYFUNCTION("""COMPUTED_VALUE"""),26507.0)</f>
        <v>26507</v>
      </c>
      <c r="D3860" s="5">
        <f>IFERROR(__xludf.DUMMYFUNCTION("""COMPUTED_VALUE"""),0.378145367543932)</f>
        <v>0.3781453675</v>
      </c>
      <c r="E3860" s="5">
        <f>IFERROR(__xludf.DUMMYFUNCTION("""COMPUTED_VALUE"""),0.12140087451530401)</f>
        <v>0.1214008745</v>
      </c>
      <c r="F3860" s="5">
        <f>IFERROR(__xludf.DUMMYFUNCTION("""COMPUTED_VALUE"""),0.21330748288095042)</f>
        <v>0.2133074829</v>
      </c>
      <c r="G3860" s="5">
        <f>IFERROR(__xludf.DUMMYFUNCTION("""COMPUTED_VALUE"""),0.17015922778648626)</f>
        <v>0.1701592278</v>
      </c>
      <c r="H3860" s="5">
        <f>IFERROR(__xludf.DUMMYFUNCTION("""COMPUTED_VALUE"""),0.6025913749758267)</f>
        <v>0.602591375</v>
      </c>
      <c r="I3860" s="11">
        <f>IFERROR(__xludf.DUMMYFUNCTION("""COMPUTED_VALUE"""),5473.622123380391)</f>
        <v>5473.622123</v>
      </c>
      <c r="J3860" s="10">
        <f>IFERROR(__xludf.DUMMYFUNCTION("""COMPUTED_VALUE"""),2.0)</f>
        <v>2</v>
      </c>
      <c r="K3860" s="5">
        <f>IFERROR(__xludf.DUMMYFUNCTION("""COMPUTED_VALUE"""),8.830022075055188E-4)</f>
        <v>0.0008830022075</v>
      </c>
      <c r="L3860" s="10">
        <f>IFERROR(__xludf.DUMMYFUNCTION("""COMPUTED_VALUE"""),1299.0)</f>
        <v>1299</v>
      </c>
      <c r="M3860" s="5">
        <f>IFERROR(__xludf.DUMMYFUNCTION("""COMPUTED_VALUE"""),0.5735099337748344)</f>
        <v>0.5735099338</v>
      </c>
    </row>
    <row r="3861">
      <c r="A3861" s="10" t="str">
        <f>IFERROR(__xludf.DUMMYFUNCTION("""COMPUTED_VALUE"""),"TENTOKI")</f>
        <v>TENTOKI</v>
      </c>
      <c r="B3861" s="10">
        <f>IFERROR(__xludf.DUMMYFUNCTION("""COMPUTED_VALUE"""),201.0)</f>
        <v>201</v>
      </c>
      <c r="C3861" s="10">
        <f>IFERROR(__xludf.DUMMYFUNCTION("""COMPUTED_VALUE"""),2318.0)</f>
        <v>2318</v>
      </c>
      <c r="D3861" s="5">
        <f>IFERROR(__xludf.DUMMYFUNCTION("""COMPUTED_VALUE"""),0.27916863486065185)</f>
        <v>0.2791686349</v>
      </c>
      <c r="E3861" s="5">
        <f>IFERROR(__xludf.DUMMYFUNCTION("""COMPUTED_VALUE"""),0.1213982050070855)</f>
        <v>0.121398205</v>
      </c>
      <c r="F3861" s="5">
        <f>IFERROR(__xludf.DUMMYFUNCTION("""COMPUTED_VALUE"""),0.19461502125649505)</f>
        <v>0.1946150213</v>
      </c>
      <c r="G3861" s="5">
        <f>IFERROR(__xludf.DUMMYFUNCTION("""COMPUTED_VALUE"""),0.19319792158715163)</f>
        <v>0.1931979216</v>
      </c>
      <c r="H3861" s="5">
        <f>IFERROR(__xludf.DUMMYFUNCTION("""COMPUTED_VALUE"""),0.5849514563106796)</f>
        <v>0.5849514563</v>
      </c>
      <c r="I3861" s="11">
        <f>IFERROR(__xludf.DUMMYFUNCTION("""COMPUTED_VALUE"""),5865.776699029127)</f>
        <v>5865.776699</v>
      </c>
      <c r="J3861" s="10">
        <f>IFERROR(__xludf.DUMMYFUNCTION("""COMPUTED_VALUE"""),0.0)</f>
        <v>0</v>
      </c>
      <c r="K3861" s="5">
        <f>IFERROR(__xludf.DUMMYFUNCTION("""COMPUTED_VALUE"""),0.0)</f>
        <v>0</v>
      </c>
      <c r="L3861" s="10">
        <f>IFERROR(__xludf.DUMMYFUNCTION("""COMPUTED_VALUE"""),0.0)</f>
        <v>0</v>
      </c>
      <c r="M3861" s="5">
        <f>IFERROR(__xludf.DUMMYFUNCTION("""COMPUTED_VALUE"""),0.0)</f>
        <v>0</v>
      </c>
    </row>
    <row r="3862">
      <c r="A3862" s="10" t="str">
        <f>IFERROR(__xludf.DUMMYFUNCTION("""COMPUTED_VALUE"""),"KRJ")</f>
        <v>KRJ</v>
      </c>
      <c r="B3862" s="10">
        <f>IFERROR(__xludf.DUMMYFUNCTION("""COMPUTED_VALUE"""),275.0)</f>
        <v>275</v>
      </c>
      <c r="C3862" s="10">
        <f>IFERROR(__xludf.DUMMYFUNCTION("""COMPUTED_VALUE"""),3290.0)</f>
        <v>3290</v>
      </c>
      <c r="D3862" s="5">
        <f>IFERROR(__xludf.DUMMYFUNCTION("""COMPUTED_VALUE"""),0.3711442786069652)</f>
        <v>0.3711442786</v>
      </c>
      <c r="E3862" s="5">
        <f>IFERROR(__xludf.DUMMYFUNCTION("""COMPUTED_VALUE"""),0.12139303482587065)</f>
        <v>0.1213930348</v>
      </c>
      <c r="F3862" s="5">
        <f>IFERROR(__xludf.DUMMYFUNCTION("""COMPUTED_VALUE"""),0.20530679933665008)</f>
        <v>0.2053067993</v>
      </c>
      <c r="G3862" s="5">
        <f>IFERROR(__xludf.DUMMYFUNCTION("""COMPUTED_VALUE"""),0.1704809286898839)</f>
        <v>0.1704809287</v>
      </c>
      <c r="H3862" s="5">
        <f>IFERROR(__xludf.DUMMYFUNCTION("""COMPUTED_VALUE"""),0.5460420032310178)</f>
        <v>0.5460420032</v>
      </c>
      <c r="I3862" s="11">
        <f>IFERROR(__xludf.DUMMYFUNCTION("""COMPUTED_VALUE"""),5150.726978998385)</f>
        <v>5150.726979</v>
      </c>
      <c r="J3862" s="10">
        <f>IFERROR(__xludf.DUMMYFUNCTION("""COMPUTED_VALUE"""),0.0)</f>
        <v>0</v>
      </c>
      <c r="K3862" s="5">
        <f>IFERROR(__xludf.DUMMYFUNCTION("""COMPUTED_VALUE"""),0.0)</f>
        <v>0</v>
      </c>
      <c r="L3862" s="10">
        <f>IFERROR(__xludf.DUMMYFUNCTION("""COMPUTED_VALUE"""),267.0)</f>
        <v>267</v>
      </c>
      <c r="M3862" s="5">
        <f>IFERROR(__xludf.DUMMYFUNCTION("""COMPUTED_VALUE"""),0.9709090909090909)</f>
        <v>0.9709090909</v>
      </c>
    </row>
    <row r="3863">
      <c r="A3863" s="10" t="str">
        <f>IFERROR(__xludf.DUMMYFUNCTION("""COMPUTED_VALUE"""),"☆東雲なの☆")</f>
        <v>☆東雲なの☆</v>
      </c>
      <c r="B3863" s="10">
        <f>IFERROR(__xludf.DUMMYFUNCTION("""COMPUTED_VALUE"""),364.0)</f>
        <v>364</v>
      </c>
      <c r="C3863" s="10">
        <f>IFERROR(__xludf.DUMMYFUNCTION("""COMPUTED_VALUE"""),4310.0)</f>
        <v>4310</v>
      </c>
      <c r="D3863" s="5">
        <f>IFERROR(__xludf.DUMMYFUNCTION("""COMPUTED_VALUE"""),0.3938165230613279)</f>
        <v>0.3938165231</v>
      </c>
      <c r="E3863" s="5">
        <f>IFERROR(__xludf.DUMMYFUNCTION("""COMPUTED_VALUE"""),0.12138874809934111)</f>
        <v>0.1213887481</v>
      </c>
      <c r="F3863" s="5">
        <f>IFERROR(__xludf.DUMMYFUNCTION("""COMPUTED_VALUE"""),0.2002027369488089)</f>
        <v>0.2002027369</v>
      </c>
      <c r="G3863" s="5">
        <f>IFERROR(__xludf.DUMMYFUNCTION("""COMPUTED_VALUE"""),0.14445007602635582)</f>
        <v>0.144450076</v>
      </c>
      <c r="H3863" s="5">
        <f>IFERROR(__xludf.DUMMYFUNCTION("""COMPUTED_VALUE"""),0.5987341772151898)</f>
        <v>0.5987341772</v>
      </c>
      <c r="I3863" s="11">
        <f>IFERROR(__xludf.DUMMYFUNCTION("""COMPUTED_VALUE"""),5221.645569620253)</f>
        <v>5221.64557</v>
      </c>
      <c r="J3863" s="10">
        <f>IFERROR(__xludf.DUMMYFUNCTION("""COMPUTED_VALUE"""),1.0)</f>
        <v>1</v>
      </c>
      <c r="K3863" s="5">
        <f>IFERROR(__xludf.DUMMYFUNCTION("""COMPUTED_VALUE"""),0.0027472527472527475)</f>
        <v>0.002747252747</v>
      </c>
      <c r="L3863" s="10">
        <f>IFERROR(__xludf.DUMMYFUNCTION("""COMPUTED_VALUE"""),0.0)</f>
        <v>0</v>
      </c>
      <c r="M3863" s="5">
        <f>IFERROR(__xludf.DUMMYFUNCTION("""COMPUTED_VALUE"""),0.0)</f>
        <v>0</v>
      </c>
    </row>
    <row r="3864">
      <c r="A3864" s="10" t="str">
        <f>IFERROR(__xludf.DUMMYFUNCTION("""COMPUTED_VALUE"""),"荒川啓吾")</f>
        <v>荒川啓吾</v>
      </c>
      <c r="B3864" s="10">
        <f>IFERROR(__xludf.DUMMYFUNCTION("""COMPUTED_VALUE"""),1434.0)</f>
        <v>1434</v>
      </c>
      <c r="C3864" s="10">
        <f>IFERROR(__xludf.DUMMYFUNCTION("""COMPUTED_VALUE"""),16807.0)</f>
        <v>16807</v>
      </c>
      <c r="D3864" s="5">
        <f>IFERROR(__xludf.DUMMYFUNCTION("""COMPUTED_VALUE"""),0.33077473492486825)</f>
        <v>0.3307747349</v>
      </c>
      <c r="E3864" s="5">
        <f>IFERROR(__xludf.DUMMYFUNCTION("""COMPUTED_VALUE"""),0.12138164314057114)</f>
        <v>0.1213816431</v>
      </c>
      <c r="F3864" s="5">
        <f>IFERROR(__xludf.DUMMYFUNCTION("""COMPUTED_VALUE"""),0.21004358290509334)</f>
        <v>0.2100435829</v>
      </c>
      <c r="G3864" s="5">
        <f>IFERROR(__xludf.DUMMYFUNCTION("""COMPUTED_VALUE"""),0.17973069667599037)</f>
        <v>0.1797306967</v>
      </c>
      <c r="H3864" s="5">
        <f>IFERROR(__xludf.DUMMYFUNCTION("""COMPUTED_VALUE"""),0.5847011458655931)</f>
        <v>0.5847011459</v>
      </c>
      <c r="I3864" s="11">
        <f>IFERROR(__xludf.DUMMYFUNCTION("""COMPUTED_VALUE"""),5890.709197894085)</f>
        <v>5890.709198</v>
      </c>
      <c r="J3864" s="10">
        <f>IFERROR(__xludf.DUMMYFUNCTION("""COMPUTED_VALUE"""),3.0)</f>
        <v>3</v>
      </c>
      <c r="K3864" s="5">
        <f>IFERROR(__xludf.DUMMYFUNCTION("""COMPUTED_VALUE"""),0.0020920502092050207)</f>
        <v>0.002092050209</v>
      </c>
      <c r="L3864" s="10">
        <f>IFERROR(__xludf.DUMMYFUNCTION("""COMPUTED_VALUE"""),1274.0)</f>
        <v>1274</v>
      </c>
      <c r="M3864" s="5">
        <f>IFERROR(__xludf.DUMMYFUNCTION("""COMPUTED_VALUE"""),0.8884239888423989)</f>
        <v>0.8884239888</v>
      </c>
    </row>
    <row r="3865">
      <c r="A3865" s="10" t="str">
        <f>IFERROR(__xludf.DUMMYFUNCTION("""COMPUTED_VALUE"""),"星のおじい様")</f>
        <v>星のおじい様</v>
      </c>
      <c r="B3865" s="10">
        <f>IFERROR(__xludf.DUMMYFUNCTION("""COMPUTED_VALUE"""),623.0)</f>
        <v>623</v>
      </c>
      <c r="C3865" s="10">
        <f>IFERROR(__xludf.DUMMYFUNCTION("""COMPUTED_VALUE"""),7428.0)</f>
        <v>7428</v>
      </c>
      <c r="D3865" s="5">
        <f>IFERROR(__xludf.DUMMYFUNCTION("""COMPUTED_VALUE"""),0.4070536370315944)</f>
        <v>0.407053637</v>
      </c>
      <c r="E3865" s="5">
        <f>IFERROR(__xludf.DUMMYFUNCTION("""COMPUTED_VALUE"""),0.12138133725202058)</f>
        <v>0.1213813373</v>
      </c>
      <c r="F3865" s="5">
        <f>IFERROR(__xludf.DUMMYFUNCTION("""COMPUTED_VALUE"""),0.20734753857457752)</f>
        <v>0.2073475386</v>
      </c>
      <c r="G3865" s="5">
        <f>IFERROR(__xludf.DUMMYFUNCTION("""COMPUTED_VALUE"""),0.1556208670095518)</f>
        <v>0.155620867</v>
      </c>
      <c r="H3865" s="5">
        <f>IFERROR(__xludf.DUMMYFUNCTION("""COMPUTED_VALUE"""),0.5825655563430191)</f>
        <v>0.5825655563</v>
      </c>
      <c r="I3865" s="11">
        <f>IFERROR(__xludf.DUMMYFUNCTION("""COMPUTED_VALUE"""),5443.302622253721)</f>
        <v>5443.302622</v>
      </c>
      <c r="J3865" s="10">
        <f>IFERROR(__xludf.DUMMYFUNCTION("""COMPUTED_VALUE"""),2.0)</f>
        <v>2</v>
      </c>
      <c r="K3865" s="5">
        <f>IFERROR(__xludf.DUMMYFUNCTION("""COMPUTED_VALUE"""),0.0032102728731942215)</f>
        <v>0.003210272873</v>
      </c>
      <c r="L3865" s="10">
        <f>IFERROR(__xludf.DUMMYFUNCTION("""COMPUTED_VALUE"""),0.0)</f>
        <v>0</v>
      </c>
      <c r="M3865" s="5">
        <f>IFERROR(__xludf.DUMMYFUNCTION("""COMPUTED_VALUE"""),0.0)</f>
        <v>0</v>
      </c>
    </row>
    <row r="3866">
      <c r="A3866" s="10" t="str">
        <f>IFERROR(__xludf.DUMMYFUNCTION("""COMPUTED_VALUE"""),"man_ko")</f>
        <v>man_ko</v>
      </c>
      <c r="B3866" s="10">
        <f>IFERROR(__xludf.DUMMYFUNCTION("""COMPUTED_VALUE"""),494.0)</f>
        <v>494</v>
      </c>
      <c r="C3866" s="10">
        <f>IFERROR(__xludf.DUMMYFUNCTION("""COMPUTED_VALUE"""),5882.0)</f>
        <v>5882</v>
      </c>
      <c r="D3866" s="5">
        <f>IFERROR(__xludf.DUMMYFUNCTION("""COMPUTED_VALUE"""),0.42520415738678546)</f>
        <v>0.4252041574</v>
      </c>
      <c r="E3866" s="5">
        <f>IFERROR(__xludf.DUMMYFUNCTION("""COMPUTED_VALUE"""),0.12138084632516703)</f>
        <v>0.1213808463</v>
      </c>
      <c r="F3866" s="5">
        <f>IFERROR(__xludf.DUMMYFUNCTION("""COMPUTED_VALUE"""),0.20842613214550854)</f>
        <v>0.2084261321</v>
      </c>
      <c r="G3866" s="5">
        <f>IFERROR(__xludf.DUMMYFUNCTION("""COMPUTED_VALUE"""),0.1495916852264291)</f>
        <v>0.1495916852</v>
      </c>
      <c r="H3866" s="5">
        <f>IFERROR(__xludf.DUMMYFUNCTION("""COMPUTED_VALUE"""),0.5992876224398932)</f>
        <v>0.5992876224</v>
      </c>
      <c r="I3866" s="11">
        <f>IFERROR(__xludf.DUMMYFUNCTION("""COMPUTED_VALUE"""),5162.60017809439)</f>
        <v>5162.600178</v>
      </c>
      <c r="J3866" s="10">
        <f>IFERROR(__xludf.DUMMYFUNCTION("""COMPUTED_VALUE"""),1.0)</f>
        <v>1</v>
      </c>
      <c r="K3866" s="5">
        <f>IFERROR(__xludf.DUMMYFUNCTION("""COMPUTED_VALUE"""),0.0020242914979757085)</f>
        <v>0.002024291498</v>
      </c>
      <c r="L3866" s="10">
        <f>IFERROR(__xludf.DUMMYFUNCTION("""COMPUTED_VALUE"""),494.0)</f>
        <v>494</v>
      </c>
      <c r="M3866" s="5">
        <f>IFERROR(__xludf.DUMMYFUNCTION("""COMPUTED_VALUE"""),1.0)</f>
        <v>1</v>
      </c>
    </row>
    <row r="3867">
      <c r="A3867" s="10" t="str">
        <f>IFERROR(__xludf.DUMMYFUNCTION("""COMPUTED_VALUE"""),"理不尽大王2")</f>
        <v>理不尽大王2</v>
      </c>
      <c r="B3867" s="10">
        <f>IFERROR(__xludf.DUMMYFUNCTION("""COMPUTED_VALUE"""),207.0)</f>
        <v>207</v>
      </c>
      <c r="C3867" s="10">
        <f>IFERROR(__xludf.DUMMYFUNCTION("""COMPUTED_VALUE"""),2448.0)</f>
        <v>2448</v>
      </c>
      <c r="D3867" s="5">
        <f>IFERROR(__xludf.DUMMYFUNCTION("""COMPUTED_VALUE"""),0.3815261044176707)</f>
        <v>0.3815261044</v>
      </c>
      <c r="E3867" s="5">
        <f>IFERROR(__xludf.DUMMYFUNCTION("""COMPUTED_VALUE"""),0.1213743864346274)</f>
        <v>0.1213743864</v>
      </c>
      <c r="F3867" s="5">
        <f>IFERROR(__xludf.DUMMYFUNCTION("""COMPUTED_VALUE"""),0.20437304774654172)</f>
        <v>0.2043730477</v>
      </c>
      <c r="G3867" s="5">
        <f>IFERROR(__xludf.DUMMYFUNCTION("""COMPUTED_VALUE"""),0.18072289156626506)</f>
        <v>0.1807228916</v>
      </c>
      <c r="H3867" s="5">
        <f>IFERROR(__xludf.DUMMYFUNCTION("""COMPUTED_VALUE"""),0.5895196506550219)</f>
        <v>0.5895196507</v>
      </c>
      <c r="I3867" s="11">
        <f>IFERROR(__xludf.DUMMYFUNCTION("""COMPUTED_VALUE"""),5540.611353711791)</f>
        <v>5540.611354</v>
      </c>
      <c r="J3867" s="10">
        <f>IFERROR(__xludf.DUMMYFUNCTION("""COMPUTED_VALUE"""),0.0)</f>
        <v>0</v>
      </c>
      <c r="K3867" s="5">
        <f>IFERROR(__xludf.DUMMYFUNCTION("""COMPUTED_VALUE"""),0.0)</f>
        <v>0</v>
      </c>
      <c r="L3867" s="10">
        <f>IFERROR(__xludf.DUMMYFUNCTION("""COMPUTED_VALUE"""),207.0)</f>
        <v>207</v>
      </c>
      <c r="M3867" s="5">
        <f>IFERROR(__xludf.DUMMYFUNCTION("""COMPUTED_VALUE"""),1.0)</f>
        <v>1</v>
      </c>
    </row>
    <row r="3868">
      <c r="A3868" s="10" t="str">
        <f>IFERROR(__xludf.DUMMYFUNCTION("""COMPUTED_VALUE"""),"帰りたい。")</f>
        <v>帰りたい。</v>
      </c>
      <c r="B3868" s="10">
        <f>IFERROR(__xludf.DUMMYFUNCTION("""COMPUTED_VALUE"""),717.0)</f>
        <v>717</v>
      </c>
      <c r="C3868" s="10">
        <f>IFERROR(__xludf.DUMMYFUNCTION("""COMPUTED_VALUE"""),8520.0)</f>
        <v>8520</v>
      </c>
      <c r="D3868" s="5">
        <f>IFERROR(__xludf.DUMMYFUNCTION("""COMPUTED_VALUE"""),0.4017685505574779)</f>
        <v>0.4017685506</v>
      </c>
      <c r="E3868" s="5">
        <f>IFERROR(__xludf.DUMMYFUNCTION("""COMPUTED_VALUE"""),0.12136357811098296)</f>
        <v>0.1213635781</v>
      </c>
      <c r="F3868" s="5">
        <f>IFERROR(__xludf.DUMMYFUNCTION("""COMPUTED_VALUE"""),0.21363578110982956)</f>
        <v>0.2136357811</v>
      </c>
      <c r="G3868" s="5">
        <f>IFERROR(__xludf.DUMMYFUNCTION("""COMPUTED_VALUE"""),0.1721132897603486)</f>
        <v>0.1721132898</v>
      </c>
      <c r="H3868" s="5">
        <f>IFERROR(__xludf.DUMMYFUNCTION("""COMPUTED_VALUE"""),0.5956808638272345)</f>
        <v>0.5956808638</v>
      </c>
      <c r="I3868" s="11">
        <f>IFERROR(__xludf.DUMMYFUNCTION("""COMPUTED_VALUE"""),5466.586682663467)</f>
        <v>5466.586683</v>
      </c>
      <c r="J3868" s="10">
        <f>IFERROR(__xludf.DUMMYFUNCTION("""COMPUTED_VALUE"""),0.0)</f>
        <v>0</v>
      </c>
      <c r="K3868" s="5">
        <f>IFERROR(__xludf.DUMMYFUNCTION("""COMPUTED_VALUE"""),0.0)</f>
        <v>0</v>
      </c>
      <c r="L3868" s="10">
        <f>IFERROR(__xludf.DUMMYFUNCTION("""COMPUTED_VALUE"""),717.0)</f>
        <v>717</v>
      </c>
      <c r="M3868" s="5">
        <f>IFERROR(__xludf.DUMMYFUNCTION("""COMPUTED_VALUE"""),1.0)</f>
        <v>1</v>
      </c>
    </row>
    <row r="3869">
      <c r="A3869" s="10" t="str">
        <f>IFERROR(__xludf.DUMMYFUNCTION("""COMPUTED_VALUE"""),"健麻からの刺客")</f>
        <v>健麻からの刺客</v>
      </c>
      <c r="B3869" s="10">
        <f>IFERROR(__xludf.DUMMYFUNCTION("""COMPUTED_VALUE"""),348.0)</f>
        <v>348</v>
      </c>
      <c r="C3869" s="10">
        <f>IFERROR(__xludf.DUMMYFUNCTION("""COMPUTED_VALUE"""),4089.0)</f>
        <v>4089</v>
      </c>
      <c r="D3869" s="5">
        <f>IFERROR(__xludf.DUMMYFUNCTION("""COMPUTED_VALUE"""),0.3413525795241914)</f>
        <v>0.3413525795</v>
      </c>
      <c r="E3869" s="5">
        <f>IFERROR(__xludf.DUMMYFUNCTION("""COMPUTED_VALUE"""),0.12135792568831863)</f>
        <v>0.1213579257</v>
      </c>
      <c r="F3869" s="5">
        <f>IFERROR(__xludf.DUMMYFUNCTION("""COMPUTED_VALUE"""),0.20823309275594762)</f>
        <v>0.2082330928</v>
      </c>
      <c r="G3869" s="5">
        <f>IFERROR(__xludf.DUMMYFUNCTION("""COMPUTED_VALUE"""),0.17294840951617216)</f>
        <v>0.1729484095</v>
      </c>
      <c r="H3869" s="5">
        <f>IFERROR(__xludf.DUMMYFUNCTION("""COMPUTED_VALUE"""),0.6084724005134788)</f>
        <v>0.6084724005</v>
      </c>
      <c r="I3869" s="11">
        <f>IFERROR(__xludf.DUMMYFUNCTION("""COMPUTED_VALUE"""),5297.689345314506)</f>
        <v>5297.689345</v>
      </c>
      <c r="J3869" s="10">
        <f>IFERROR(__xludf.DUMMYFUNCTION("""COMPUTED_VALUE"""),0.0)</f>
        <v>0</v>
      </c>
      <c r="K3869" s="5">
        <f>IFERROR(__xludf.DUMMYFUNCTION("""COMPUTED_VALUE"""),0.0)</f>
        <v>0</v>
      </c>
      <c r="L3869" s="10">
        <f>IFERROR(__xludf.DUMMYFUNCTION("""COMPUTED_VALUE"""),348.0)</f>
        <v>348</v>
      </c>
      <c r="M3869" s="5">
        <f>IFERROR(__xludf.DUMMYFUNCTION("""COMPUTED_VALUE"""),1.0)</f>
        <v>1</v>
      </c>
    </row>
    <row r="3870">
      <c r="A3870" s="10" t="str">
        <f>IFERROR(__xludf.DUMMYFUNCTION("""COMPUTED_VALUE"""),"安斎")</f>
        <v>安斎</v>
      </c>
      <c r="B3870" s="10">
        <f>IFERROR(__xludf.DUMMYFUNCTION("""COMPUTED_VALUE"""),3924.0)</f>
        <v>3924</v>
      </c>
      <c r="C3870" s="10">
        <f>IFERROR(__xludf.DUMMYFUNCTION("""COMPUTED_VALUE"""),45955.0)</f>
        <v>45955</v>
      </c>
      <c r="D3870" s="5">
        <f>IFERROR(__xludf.DUMMYFUNCTION("""COMPUTED_VALUE"""),0.38828483738193237)</f>
        <v>0.3882848374</v>
      </c>
      <c r="E3870" s="5">
        <f>IFERROR(__xludf.DUMMYFUNCTION("""COMPUTED_VALUE"""),0.12133901168185388)</f>
        <v>0.1213390117</v>
      </c>
      <c r="F3870" s="5">
        <f>IFERROR(__xludf.DUMMYFUNCTION("""COMPUTED_VALUE"""),0.2272846232542647)</f>
        <v>0.2272846233</v>
      </c>
      <c r="G3870" s="5">
        <f>IFERROR(__xludf.DUMMYFUNCTION("""COMPUTED_VALUE"""),0.19604577573695606)</f>
        <v>0.1960457757</v>
      </c>
      <c r="H3870" s="5">
        <f>IFERROR(__xludf.DUMMYFUNCTION("""COMPUTED_VALUE"""),0.5956244111797341)</f>
        <v>0.5956244112</v>
      </c>
      <c r="I3870" s="11">
        <f>IFERROR(__xludf.DUMMYFUNCTION("""COMPUTED_VALUE"""),5542.646289123835)</f>
        <v>5542.646289</v>
      </c>
      <c r="J3870" s="10">
        <f>IFERROR(__xludf.DUMMYFUNCTION("""COMPUTED_VALUE"""),7.0)</f>
        <v>7</v>
      </c>
      <c r="K3870" s="5">
        <f>IFERROR(__xludf.DUMMYFUNCTION("""COMPUTED_VALUE"""),0.001783893985728848)</f>
        <v>0.001783893986</v>
      </c>
      <c r="L3870" s="10">
        <f>IFERROR(__xludf.DUMMYFUNCTION("""COMPUTED_VALUE"""),1738.0)</f>
        <v>1738</v>
      </c>
      <c r="M3870" s="5">
        <f>IFERROR(__xludf.DUMMYFUNCTION("""COMPUTED_VALUE"""),0.4429153924566769)</f>
        <v>0.4429153925</v>
      </c>
    </row>
    <row r="3871">
      <c r="A3871" s="10" t="str">
        <f>IFERROR(__xludf.DUMMYFUNCTION("""COMPUTED_VALUE"""),"天岩戸")</f>
        <v>天岩戸</v>
      </c>
      <c r="B3871" s="10">
        <f>IFERROR(__xludf.DUMMYFUNCTION("""COMPUTED_VALUE"""),797.0)</f>
        <v>797</v>
      </c>
      <c r="C3871" s="10">
        <f>IFERROR(__xludf.DUMMYFUNCTION("""COMPUTED_VALUE"""),9426.0)</f>
        <v>9426</v>
      </c>
      <c r="D3871" s="5">
        <f>IFERROR(__xludf.DUMMYFUNCTION("""COMPUTED_VALUE"""),0.39344072314289025)</f>
        <v>0.3934407231</v>
      </c>
      <c r="E3871" s="5">
        <f>IFERROR(__xludf.DUMMYFUNCTION("""COMPUTED_VALUE"""),0.12133503302816086)</f>
        <v>0.121335033</v>
      </c>
      <c r="F3871" s="5">
        <f>IFERROR(__xludf.DUMMYFUNCTION("""COMPUTED_VALUE"""),0.21775408506200022)</f>
        <v>0.2177540851</v>
      </c>
      <c r="G3871" s="5">
        <f>IFERROR(__xludf.DUMMYFUNCTION("""COMPUTED_VALUE"""),0.16212770888863137)</f>
        <v>0.1621277089</v>
      </c>
      <c r="H3871" s="5">
        <f>IFERROR(__xludf.DUMMYFUNCTION("""COMPUTED_VALUE"""),0.6040447046301224)</f>
        <v>0.6040447046</v>
      </c>
      <c r="I3871" s="11">
        <f>IFERROR(__xludf.DUMMYFUNCTION("""COMPUTED_VALUE"""),5277.488025545503)</f>
        <v>5277.488026</v>
      </c>
      <c r="J3871" s="10">
        <f>IFERROR(__xludf.DUMMYFUNCTION("""COMPUTED_VALUE"""),1.0)</f>
        <v>1</v>
      </c>
      <c r="K3871" s="5">
        <f>IFERROR(__xludf.DUMMYFUNCTION("""COMPUTED_VALUE"""),0.0012547051442910915)</f>
        <v>0.001254705144</v>
      </c>
      <c r="L3871" s="10">
        <f>IFERROR(__xludf.DUMMYFUNCTION("""COMPUTED_VALUE"""),661.0)</f>
        <v>661</v>
      </c>
      <c r="M3871" s="5">
        <f>IFERROR(__xludf.DUMMYFUNCTION("""COMPUTED_VALUE"""),0.8293601003764115)</f>
        <v>0.8293601004</v>
      </c>
    </row>
    <row r="3872">
      <c r="A3872" s="10" t="str">
        <f>IFERROR(__xludf.DUMMYFUNCTION("""COMPUTED_VALUE"""),"paraonde")</f>
        <v>paraonde</v>
      </c>
      <c r="B3872" s="10">
        <f>IFERROR(__xludf.DUMMYFUNCTION("""COMPUTED_VALUE"""),1158.0)</f>
        <v>1158</v>
      </c>
      <c r="C3872" s="10">
        <f>IFERROR(__xludf.DUMMYFUNCTION("""COMPUTED_VALUE"""),13628.0)</f>
        <v>13628</v>
      </c>
      <c r="D3872" s="5">
        <f>IFERROR(__xludf.DUMMYFUNCTION("""COMPUTED_VALUE"""),0.3578187650360866)</f>
        <v>0.357818765</v>
      </c>
      <c r="E3872" s="5">
        <f>IFERROR(__xludf.DUMMYFUNCTION("""COMPUTED_VALUE"""),0.12133119486768244)</f>
        <v>0.1213311949</v>
      </c>
      <c r="F3872" s="5">
        <f>IFERROR(__xludf.DUMMYFUNCTION("""COMPUTED_VALUE"""),0.21138732959101844)</f>
        <v>0.2113873296</v>
      </c>
      <c r="G3872" s="5">
        <f>IFERROR(__xludf.DUMMYFUNCTION("""COMPUTED_VALUE"""),0.1507618283881315)</f>
        <v>0.1507618284</v>
      </c>
      <c r="H3872" s="5">
        <f>IFERROR(__xludf.DUMMYFUNCTION("""COMPUTED_VALUE"""),0.6115326251896813)</f>
        <v>0.6115326252</v>
      </c>
      <c r="I3872" s="11">
        <f>IFERROR(__xludf.DUMMYFUNCTION("""COMPUTED_VALUE"""),5479.6661608497725)</f>
        <v>5479.666161</v>
      </c>
      <c r="J3872" s="10">
        <f>IFERROR(__xludf.DUMMYFUNCTION("""COMPUTED_VALUE"""),4.0)</f>
        <v>4</v>
      </c>
      <c r="K3872" s="5">
        <f>IFERROR(__xludf.DUMMYFUNCTION("""COMPUTED_VALUE"""),0.0034542314335060447)</f>
        <v>0.003454231434</v>
      </c>
      <c r="L3872" s="10">
        <f>IFERROR(__xludf.DUMMYFUNCTION("""COMPUTED_VALUE"""),1158.0)</f>
        <v>1158</v>
      </c>
      <c r="M3872" s="5">
        <f>IFERROR(__xludf.DUMMYFUNCTION("""COMPUTED_VALUE"""),1.0)</f>
        <v>1</v>
      </c>
    </row>
    <row r="3873">
      <c r="A3873" s="10" t="str">
        <f>IFERROR(__xludf.DUMMYFUNCTION("""COMPUTED_VALUE"""),"nijihu")</f>
        <v>nijihu</v>
      </c>
      <c r="B3873" s="10">
        <f>IFERROR(__xludf.DUMMYFUNCTION("""COMPUTED_VALUE"""),772.0)</f>
        <v>772</v>
      </c>
      <c r="C3873" s="10">
        <f>IFERROR(__xludf.DUMMYFUNCTION("""COMPUTED_VALUE"""),9014.0)</f>
        <v>9014</v>
      </c>
      <c r="D3873" s="5">
        <f>IFERROR(__xludf.DUMMYFUNCTION("""COMPUTED_VALUE"""),0.3477311332200922)</f>
        <v>0.3477311332</v>
      </c>
      <c r="E3873" s="5">
        <f>IFERROR(__xludf.DUMMYFUNCTION("""COMPUTED_VALUE"""),0.12132977432661975)</f>
        <v>0.1213297743</v>
      </c>
      <c r="F3873" s="5">
        <f>IFERROR(__xludf.DUMMYFUNCTION("""COMPUTED_VALUE"""),0.2083232225188061)</f>
        <v>0.2083232225</v>
      </c>
      <c r="G3873" s="5">
        <f>IFERROR(__xludf.DUMMYFUNCTION("""COMPUTED_VALUE"""),0.1737442368357195)</f>
        <v>0.1737442368</v>
      </c>
      <c r="H3873" s="5">
        <f>IFERROR(__xludf.DUMMYFUNCTION("""COMPUTED_VALUE"""),0.5923121723937099)</f>
        <v>0.5923121724</v>
      </c>
      <c r="I3873" s="11">
        <f>IFERROR(__xludf.DUMMYFUNCTION("""COMPUTED_VALUE"""),5750.728013977869)</f>
        <v>5750.728014</v>
      </c>
      <c r="J3873" s="10">
        <f>IFERROR(__xludf.DUMMYFUNCTION("""COMPUTED_VALUE"""),2.0)</f>
        <v>2</v>
      </c>
      <c r="K3873" s="5">
        <f>IFERROR(__xludf.DUMMYFUNCTION("""COMPUTED_VALUE"""),0.0025906735751295338)</f>
        <v>0.002590673575</v>
      </c>
      <c r="L3873" s="10">
        <f>IFERROR(__xludf.DUMMYFUNCTION("""COMPUTED_VALUE"""),772.0)</f>
        <v>772</v>
      </c>
      <c r="M3873" s="5">
        <f>IFERROR(__xludf.DUMMYFUNCTION("""COMPUTED_VALUE"""),1.0)</f>
        <v>1</v>
      </c>
    </row>
    <row r="3874">
      <c r="A3874" s="10" t="str">
        <f>IFERROR(__xludf.DUMMYFUNCTION("""COMPUTED_VALUE"""),"＋α")</f>
        <v>＋α</v>
      </c>
      <c r="B3874" s="10">
        <f>IFERROR(__xludf.DUMMYFUNCTION("""COMPUTED_VALUE"""),1180.0)</f>
        <v>1180</v>
      </c>
      <c r="C3874" s="10">
        <f>IFERROR(__xludf.DUMMYFUNCTION("""COMPUTED_VALUE"""),13807.0)</f>
        <v>13807</v>
      </c>
      <c r="D3874" s="5">
        <f>IFERROR(__xludf.DUMMYFUNCTION("""COMPUTED_VALUE"""),0.3577255088302843)</f>
        <v>0.3577255088</v>
      </c>
      <c r="E3874" s="5">
        <f>IFERROR(__xludf.DUMMYFUNCTION("""COMPUTED_VALUE"""),0.12132731448483408)</f>
        <v>0.1213273145</v>
      </c>
      <c r="F3874" s="5">
        <f>IFERROR(__xludf.DUMMYFUNCTION("""COMPUTED_VALUE"""),0.2178664765977667)</f>
        <v>0.2178664766</v>
      </c>
      <c r="G3874" s="5">
        <f>IFERROR(__xludf.DUMMYFUNCTION("""COMPUTED_VALUE"""),0.15862833610517146)</f>
        <v>0.1586283361</v>
      </c>
      <c r="H3874" s="5">
        <f>IFERROR(__xludf.DUMMYFUNCTION("""COMPUTED_VALUE"""),0.6165030897855326)</f>
        <v>0.6165030898</v>
      </c>
      <c r="I3874" s="11">
        <f>IFERROR(__xludf.DUMMYFUNCTION("""COMPUTED_VALUE"""),5416.830243547801)</f>
        <v>5416.830244</v>
      </c>
      <c r="J3874" s="10">
        <f>IFERROR(__xludf.DUMMYFUNCTION("""COMPUTED_VALUE"""),1.0)</f>
        <v>1</v>
      </c>
      <c r="K3874" s="5">
        <f>IFERROR(__xludf.DUMMYFUNCTION("""COMPUTED_VALUE"""),8.47457627118644E-4)</f>
        <v>0.0008474576271</v>
      </c>
      <c r="L3874" s="10">
        <f>IFERROR(__xludf.DUMMYFUNCTION("""COMPUTED_VALUE"""),1180.0)</f>
        <v>1180</v>
      </c>
      <c r="M3874" s="5">
        <f>IFERROR(__xludf.DUMMYFUNCTION("""COMPUTED_VALUE"""),1.0)</f>
        <v>1</v>
      </c>
    </row>
    <row r="3875">
      <c r="A3875" s="10" t="str">
        <f>IFERROR(__xludf.DUMMYFUNCTION("""COMPUTED_VALUE"""),"35+")</f>
        <v>35+</v>
      </c>
      <c r="B3875" s="10">
        <f>IFERROR(__xludf.DUMMYFUNCTION("""COMPUTED_VALUE"""),320.0)</f>
        <v>320</v>
      </c>
      <c r="C3875" s="10">
        <f>IFERROR(__xludf.DUMMYFUNCTION("""COMPUTED_VALUE"""),3881.0)</f>
        <v>3881</v>
      </c>
      <c r="D3875" s="5">
        <f>IFERROR(__xludf.DUMMYFUNCTION("""COMPUTED_VALUE"""),0.34035383319292334)</f>
        <v>0.3403538332</v>
      </c>
      <c r="E3875" s="5">
        <f>IFERROR(__xludf.DUMMYFUNCTION("""COMPUTED_VALUE"""),0.12131423757371525)</f>
        <v>0.1213142376</v>
      </c>
      <c r="F3875" s="5">
        <f>IFERROR(__xludf.DUMMYFUNCTION("""COMPUTED_VALUE"""),0.2134231957315361)</f>
        <v>0.2134231957</v>
      </c>
      <c r="G3875" s="5">
        <f>IFERROR(__xludf.DUMMYFUNCTION("""COMPUTED_VALUE"""),0.15866329682673405)</f>
        <v>0.1586632968</v>
      </c>
      <c r="H3875" s="5">
        <f>IFERROR(__xludf.DUMMYFUNCTION("""COMPUTED_VALUE"""),0.6065789473684211)</f>
        <v>0.6065789474</v>
      </c>
      <c r="I3875" s="11">
        <f>IFERROR(__xludf.DUMMYFUNCTION("""COMPUTED_VALUE"""),5517.894736842105)</f>
        <v>5517.894737</v>
      </c>
      <c r="J3875" s="10">
        <f>IFERROR(__xludf.DUMMYFUNCTION("""COMPUTED_VALUE"""),0.0)</f>
        <v>0</v>
      </c>
      <c r="K3875" s="5">
        <f>IFERROR(__xludf.DUMMYFUNCTION("""COMPUTED_VALUE"""),0.0)</f>
        <v>0</v>
      </c>
      <c r="L3875" s="10">
        <f>IFERROR(__xludf.DUMMYFUNCTION("""COMPUTED_VALUE"""),320.0)</f>
        <v>320</v>
      </c>
      <c r="M3875" s="5">
        <f>IFERROR(__xludf.DUMMYFUNCTION("""COMPUTED_VALUE"""),1.0)</f>
        <v>1</v>
      </c>
    </row>
    <row r="3876">
      <c r="A3876" s="10" t="str">
        <f>IFERROR(__xludf.DUMMYFUNCTION("""COMPUTED_VALUE"""),"甘粕つばめ")</f>
        <v>甘粕つばめ</v>
      </c>
      <c r="B3876" s="10">
        <f>IFERROR(__xludf.DUMMYFUNCTION("""COMPUTED_VALUE"""),507.0)</f>
        <v>507</v>
      </c>
      <c r="C3876" s="10">
        <f>IFERROR(__xludf.DUMMYFUNCTION("""COMPUTED_VALUE"""),5964.0)</f>
        <v>5964</v>
      </c>
      <c r="D3876" s="5">
        <f>IFERROR(__xludf.DUMMYFUNCTION("""COMPUTED_VALUE"""),0.40370166758292103)</f>
        <v>0.4037016676</v>
      </c>
      <c r="E3876" s="5">
        <f>IFERROR(__xludf.DUMMYFUNCTION("""COMPUTED_VALUE"""),0.1213120762323621)</f>
        <v>0.1213120762</v>
      </c>
      <c r="F3876" s="5">
        <f>IFERROR(__xludf.DUMMYFUNCTION("""COMPUTED_VALUE"""),0.20524097489463075)</f>
        <v>0.2052409749</v>
      </c>
      <c r="G3876" s="5">
        <f>IFERROR(__xludf.DUMMYFUNCTION("""COMPUTED_VALUE"""),0.1583287520615723)</f>
        <v>0.1583287521</v>
      </c>
      <c r="H3876" s="5">
        <f>IFERROR(__xludf.DUMMYFUNCTION("""COMPUTED_VALUE"""),0.6339285714285714)</f>
        <v>0.6339285714</v>
      </c>
      <c r="I3876" s="11">
        <f>IFERROR(__xludf.DUMMYFUNCTION("""COMPUTED_VALUE"""),5027.767857142857)</f>
        <v>5027.767857</v>
      </c>
      <c r="J3876" s="10">
        <f>IFERROR(__xludf.DUMMYFUNCTION("""COMPUTED_VALUE"""),0.0)</f>
        <v>0</v>
      </c>
      <c r="K3876" s="5">
        <f>IFERROR(__xludf.DUMMYFUNCTION("""COMPUTED_VALUE"""),0.0)</f>
        <v>0</v>
      </c>
      <c r="L3876" s="10">
        <f>IFERROR(__xludf.DUMMYFUNCTION("""COMPUTED_VALUE"""),43.0)</f>
        <v>43</v>
      </c>
      <c r="M3876" s="5">
        <f>IFERROR(__xludf.DUMMYFUNCTION("""COMPUTED_VALUE"""),0.08481262327416174)</f>
        <v>0.08481262327</v>
      </c>
    </row>
    <row r="3877">
      <c r="A3877" s="10" t="str">
        <f>IFERROR(__xludf.DUMMYFUNCTION("""COMPUTED_VALUE"""),"ロンが打ちます")</f>
        <v>ロンが打ちます</v>
      </c>
      <c r="B3877" s="10">
        <f>IFERROR(__xludf.DUMMYFUNCTION("""COMPUTED_VALUE"""),1837.0)</f>
        <v>1837</v>
      </c>
      <c r="C3877" s="10">
        <f>IFERROR(__xludf.DUMMYFUNCTION("""COMPUTED_VALUE"""),21325.0)</f>
        <v>21325</v>
      </c>
      <c r="D3877" s="5">
        <f>IFERROR(__xludf.DUMMYFUNCTION("""COMPUTED_VALUE"""),0.3657122331691297)</f>
        <v>0.3657122332</v>
      </c>
      <c r="E3877" s="5">
        <f>IFERROR(__xludf.DUMMYFUNCTION("""COMPUTED_VALUE"""),0.12130541871921183)</f>
        <v>0.1213054187</v>
      </c>
      <c r="F3877" s="5">
        <f>IFERROR(__xludf.DUMMYFUNCTION("""COMPUTED_VALUE"""),0.20982142857142858)</f>
        <v>0.2098214286</v>
      </c>
      <c r="G3877" s="5">
        <f>IFERROR(__xludf.DUMMYFUNCTION("""COMPUTED_VALUE"""),0.18431855500821018)</f>
        <v>0.184318555</v>
      </c>
      <c r="H3877" s="5">
        <f>IFERROR(__xludf.DUMMYFUNCTION("""COMPUTED_VALUE"""),0.5932990951332844)</f>
        <v>0.5932990951</v>
      </c>
      <c r="I3877" s="11">
        <f>IFERROR(__xludf.DUMMYFUNCTION("""COMPUTED_VALUE"""),5709.048667155784)</f>
        <v>5709.048667</v>
      </c>
      <c r="J3877" s="10">
        <f>IFERROR(__xludf.DUMMYFUNCTION("""COMPUTED_VALUE"""),6.0)</f>
        <v>6</v>
      </c>
      <c r="K3877" s="5">
        <f>IFERROR(__xludf.DUMMYFUNCTION("""COMPUTED_VALUE"""),0.00326619488296135)</f>
        <v>0.003266194883</v>
      </c>
      <c r="L3877" s="10">
        <f>IFERROR(__xludf.DUMMYFUNCTION("""COMPUTED_VALUE"""),1705.0)</f>
        <v>1705</v>
      </c>
      <c r="M3877" s="5">
        <f>IFERROR(__xludf.DUMMYFUNCTION("""COMPUTED_VALUE"""),0.9281437125748503)</f>
        <v>0.9281437126</v>
      </c>
    </row>
    <row r="3878">
      <c r="A3878" s="10" t="str">
        <f>IFERROR(__xludf.DUMMYFUNCTION("""COMPUTED_VALUE"""),"チャーミー")</f>
        <v>チャーミー</v>
      </c>
      <c r="B3878" s="10">
        <f>IFERROR(__xludf.DUMMYFUNCTION("""COMPUTED_VALUE"""),704.0)</f>
        <v>704</v>
      </c>
      <c r="C3878" s="10">
        <f>IFERROR(__xludf.DUMMYFUNCTION("""COMPUTED_VALUE"""),8289.0)</f>
        <v>8289</v>
      </c>
      <c r="D3878" s="5">
        <f>IFERROR(__xludf.DUMMYFUNCTION("""COMPUTED_VALUE"""),0.34449571522742256)</f>
        <v>0.3444957152</v>
      </c>
      <c r="E3878" s="5">
        <f>IFERROR(__xludf.DUMMYFUNCTION("""COMPUTED_VALUE"""),0.12129202373104812)</f>
        <v>0.1212920237</v>
      </c>
      <c r="F3878" s="5">
        <f>IFERROR(__xludf.DUMMYFUNCTION("""COMPUTED_VALUE"""),0.2010547132498352)</f>
        <v>0.2010547132</v>
      </c>
      <c r="G3878" s="5">
        <f>IFERROR(__xludf.DUMMYFUNCTION("""COMPUTED_VALUE"""),0.13513513513513514)</f>
        <v>0.1351351351</v>
      </c>
      <c r="H3878" s="5">
        <f>IFERROR(__xludf.DUMMYFUNCTION("""COMPUTED_VALUE"""),0.6039344262295082)</f>
        <v>0.6039344262</v>
      </c>
      <c r="I3878" s="11">
        <f>IFERROR(__xludf.DUMMYFUNCTION("""COMPUTED_VALUE"""),5476.786885245901)</f>
        <v>5476.786885</v>
      </c>
      <c r="J3878" s="10">
        <f>IFERROR(__xludf.DUMMYFUNCTION("""COMPUTED_VALUE"""),3.0)</f>
        <v>3</v>
      </c>
      <c r="K3878" s="5">
        <f>IFERROR(__xludf.DUMMYFUNCTION("""COMPUTED_VALUE"""),0.004261363636363636)</f>
        <v>0.004261363636</v>
      </c>
      <c r="L3878" s="10">
        <f>IFERROR(__xludf.DUMMYFUNCTION("""COMPUTED_VALUE"""),704.0)</f>
        <v>704</v>
      </c>
      <c r="M3878" s="5">
        <f>IFERROR(__xludf.DUMMYFUNCTION("""COMPUTED_VALUE"""),1.0)</f>
        <v>1</v>
      </c>
    </row>
    <row r="3879">
      <c r="A3879" s="10" t="str">
        <f>IFERROR(__xludf.DUMMYFUNCTION("""COMPUTED_VALUE"""),"窓付き.")</f>
        <v>窓付き.</v>
      </c>
      <c r="B3879" s="10">
        <f>IFERROR(__xludf.DUMMYFUNCTION("""COMPUTED_VALUE"""),783.0)</f>
        <v>783</v>
      </c>
      <c r="C3879" s="10">
        <f>IFERROR(__xludf.DUMMYFUNCTION("""COMPUTED_VALUE"""),9342.0)</f>
        <v>9342</v>
      </c>
      <c r="D3879" s="5">
        <f>IFERROR(__xludf.DUMMYFUNCTION("""COMPUTED_VALUE"""),0.3799509288468279)</f>
        <v>0.3799509288</v>
      </c>
      <c r="E3879" s="5">
        <f>IFERROR(__xludf.DUMMYFUNCTION("""COMPUTED_VALUE"""),0.12127584998247459)</f>
        <v>0.12127585</v>
      </c>
      <c r="F3879" s="5">
        <f>IFERROR(__xludf.DUMMYFUNCTION("""COMPUTED_VALUE"""),0.20738404019161116)</f>
        <v>0.2073840402</v>
      </c>
      <c r="G3879" s="5">
        <f>IFERROR(__xludf.DUMMYFUNCTION("""COMPUTED_VALUE"""),0.1553919850449819)</f>
        <v>0.155391985</v>
      </c>
      <c r="H3879" s="5">
        <f>IFERROR(__xludf.DUMMYFUNCTION("""COMPUTED_VALUE"""),0.6061971830985915)</f>
        <v>0.6061971831</v>
      </c>
      <c r="I3879" s="11">
        <f>IFERROR(__xludf.DUMMYFUNCTION("""COMPUTED_VALUE"""),5373.7464788732395)</f>
        <v>5373.746479</v>
      </c>
      <c r="J3879" s="10">
        <f>IFERROR(__xludf.DUMMYFUNCTION("""COMPUTED_VALUE"""),2.0)</f>
        <v>2</v>
      </c>
      <c r="K3879" s="5">
        <f>IFERROR(__xludf.DUMMYFUNCTION("""COMPUTED_VALUE"""),0.002554278416347382)</f>
        <v>0.002554278416</v>
      </c>
      <c r="L3879" s="10">
        <f>IFERROR(__xludf.DUMMYFUNCTION("""COMPUTED_VALUE"""),67.0)</f>
        <v>67</v>
      </c>
      <c r="M3879" s="5">
        <f>IFERROR(__xludf.DUMMYFUNCTION("""COMPUTED_VALUE"""),0.08556832694763729)</f>
        <v>0.08556832695</v>
      </c>
    </row>
    <row r="3880">
      <c r="A3880" s="10" t="str">
        <f>IFERROR(__xludf.DUMMYFUNCTION("""COMPUTED_VALUE"""),"楠幸村")</f>
        <v>楠幸村</v>
      </c>
      <c r="B3880" s="10">
        <f>IFERROR(__xludf.DUMMYFUNCTION("""COMPUTED_VALUE"""),2169.0)</f>
        <v>2169</v>
      </c>
      <c r="C3880" s="10">
        <f>IFERROR(__xludf.DUMMYFUNCTION("""COMPUTED_VALUE"""),25472.0)</f>
        <v>25472</v>
      </c>
      <c r="D3880" s="5">
        <f>IFERROR(__xludf.DUMMYFUNCTION("""COMPUTED_VALUE"""),0.36420203407286617)</f>
        <v>0.3642020341</v>
      </c>
      <c r="E3880" s="5">
        <f>IFERROR(__xludf.DUMMYFUNCTION("""COMPUTED_VALUE"""),0.12127193923529159)</f>
        <v>0.1212719392</v>
      </c>
      <c r="F3880" s="5">
        <f>IFERROR(__xludf.DUMMYFUNCTION("""COMPUTED_VALUE"""),0.21525125520319272)</f>
        <v>0.2152512552</v>
      </c>
      <c r="G3880" s="5">
        <f>IFERROR(__xludf.DUMMYFUNCTION("""COMPUTED_VALUE"""),0.16135261554306313)</f>
        <v>0.1613526155</v>
      </c>
      <c r="H3880" s="5">
        <f>IFERROR(__xludf.DUMMYFUNCTION("""COMPUTED_VALUE"""),0.6006778309409888)</f>
        <v>0.6006778309</v>
      </c>
      <c r="I3880" s="11">
        <f>IFERROR(__xludf.DUMMYFUNCTION("""COMPUTED_VALUE"""),5357.177033492823)</f>
        <v>5357.177033</v>
      </c>
      <c r="J3880" s="10">
        <f>IFERROR(__xludf.DUMMYFUNCTION("""COMPUTED_VALUE"""),5.0)</f>
        <v>5</v>
      </c>
      <c r="K3880" s="5">
        <f>IFERROR(__xludf.DUMMYFUNCTION("""COMPUTED_VALUE"""),0.002305209774089442)</f>
        <v>0.002305209774</v>
      </c>
      <c r="L3880" s="10">
        <f>IFERROR(__xludf.DUMMYFUNCTION("""COMPUTED_VALUE"""),2.0)</f>
        <v>2</v>
      </c>
      <c r="M3880" s="5">
        <f>IFERROR(__xludf.DUMMYFUNCTION("""COMPUTED_VALUE"""),9.220839096357768E-4)</f>
        <v>0.0009220839096</v>
      </c>
    </row>
    <row r="3881">
      <c r="A3881" s="10" t="str">
        <f>IFERROR(__xludf.DUMMYFUNCTION("""COMPUTED_VALUE"""),"ムクドリ伯爵")</f>
        <v>ムクドリ伯爵</v>
      </c>
      <c r="B3881" s="10">
        <f>IFERROR(__xludf.DUMMYFUNCTION("""COMPUTED_VALUE"""),339.0)</f>
        <v>339</v>
      </c>
      <c r="C3881" s="10">
        <f>IFERROR(__xludf.DUMMYFUNCTION("""COMPUTED_VALUE"""),3992.0)</f>
        <v>3992</v>
      </c>
      <c r="D3881" s="5">
        <f>IFERROR(__xludf.DUMMYFUNCTION("""COMPUTED_VALUE"""),0.27265261428962495)</f>
        <v>0.2726526143</v>
      </c>
      <c r="E3881" s="5">
        <f>IFERROR(__xludf.DUMMYFUNCTION("""COMPUTED_VALUE"""),0.12127018888584724)</f>
        <v>0.1212701889</v>
      </c>
      <c r="F3881" s="5">
        <f>IFERROR(__xludf.DUMMYFUNCTION("""COMPUTED_VALUE"""),0.20284697508896798)</f>
        <v>0.2028469751</v>
      </c>
      <c r="G3881" s="5">
        <f>IFERROR(__xludf.DUMMYFUNCTION("""COMPUTED_VALUE"""),0.20886942239255407)</f>
        <v>0.2088694224</v>
      </c>
      <c r="H3881" s="5">
        <f>IFERROR(__xludf.DUMMYFUNCTION("""COMPUTED_VALUE"""),0.5775978407557355)</f>
        <v>0.5775978408</v>
      </c>
      <c r="I3881" s="11">
        <f>IFERROR(__xludf.DUMMYFUNCTION("""COMPUTED_VALUE"""),6079.48717948718)</f>
        <v>6079.487179</v>
      </c>
      <c r="J3881" s="10">
        <f>IFERROR(__xludf.DUMMYFUNCTION("""COMPUTED_VALUE"""),1.0)</f>
        <v>1</v>
      </c>
      <c r="K3881" s="5">
        <f>IFERROR(__xludf.DUMMYFUNCTION("""COMPUTED_VALUE"""),0.0029498525073746312)</f>
        <v>0.002949852507</v>
      </c>
      <c r="L3881" s="10">
        <f>IFERROR(__xludf.DUMMYFUNCTION("""COMPUTED_VALUE"""),339.0)</f>
        <v>339</v>
      </c>
      <c r="M3881" s="5">
        <f>IFERROR(__xludf.DUMMYFUNCTION("""COMPUTED_VALUE"""),1.0)</f>
        <v>1</v>
      </c>
    </row>
    <row r="3882">
      <c r="A3882" s="10" t="str">
        <f>IFERROR(__xludf.DUMMYFUNCTION("""COMPUTED_VALUE"""),"miriri")</f>
        <v>miriri</v>
      </c>
      <c r="B3882" s="10">
        <f>IFERROR(__xludf.DUMMYFUNCTION("""COMPUTED_VALUE"""),3828.0)</f>
        <v>3828</v>
      </c>
      <c r="C3882" s="10">
        <f>IFERROR(__xludf.DUMMYFUNCTION("""COMPUTED_VALUE"""),44713.0)</f>
        <v>44713</v>
      </c>
      <c r="D3882" s="5">
        <f>IFERROR(__xludf.DUMMYFUNCTION("""COMPUTED_VALUE"""),0.34951693775223186)</f>
        <v>0.3495169378</v>
      </c>
      <c r="E3882" s="5">
        <f>IFERROR(__xludf.DUMMYFUNCTION("""COMPUTED_VALUE"""),0.12126696832579185)</f>
        <v>0.1212669683</v>
      </c>
      <c r="F3882" s="5">
        <f>IFERROR(__xludf.DUMMYFUNCTION("""COMPUTED_VALUE"""),0.21059068117891647)</f>
        <v>0.2105906812</v>
      </c>
      <c r="G3882" s="5">
        <f>IFERROR(__xludf.DUMMYFUNCTION("""COMPUTED_VALUE"""),0.17720435367494192)</f>
        <v>0.1772043537</v>
      </c>
      <c r="H3882" s="5">
        <f>IFERROR(__xludf.DUMMYFUNCTION("""COMPUTED_VALUE"""),0.5969802555168409)</f>
        <v>0.5969802555</v>
      </c>
      <c r="I3882" s="11">
        <f>IFERROR(__xludf.DUMMYFUNCTION("""COMPUTED_VALUE"""),5736.248548199767)</f>
        <v>5736.248548</v>
      </c>
      <c r="J3882" s="10">
        <f>IFERROR(__xludf.DUMMYFUNCTION("""COMPUTED_VALUE"""),8.0)</f>
        <v>8</v>
      </c>
      <c r="K3882" s="5">
        <f>IFERROR(__xludf.DUMMYFUNCTION("""COMPUTED_VALUE"""),0.0020898641588296763)</f>
        <v>0.002089864159</v>
      </c>
      <c r="L3882" s="10">
        <f>IFERROR(__xludf.DUMMYFUNCTION("""COMPUTED_VALUE"""),3828.0)</f>
        <v>3828</v>
      </c>
      <c r="M3882" s="5">
        <f>IFERROR(__xludf.DUMMYFUNCTION("""COMPUTED_VALUE"""),1.0)</f>
        <v>1</v>
      </c>
    </row>
    <row r="3883">
      <c r="A3883" s="10" t="str">
        <f>IFERROR(__xludf.DUMMYFUNCTION("""COMPUTED_VALUE"""),"dabuchi")</f>
        <v>dabuchi</v>
      </c>
      <c r="B3883" s="10">
        <f>IFERROR(__xludf.DUMMYFUNCTION("""COMPUTED_VALUE"""),211.0)</f>
        <v>211</v>
      </c>
      <c r="C3883" s="10">
        <f>IFERROR(__xludf.DUMMYFUNCTION("""COMPUTED_VALUE"""),2487.0)</f>
        <v>2487</v>
      </c>
      <c r="D3883" s="5">
        <f>IFERROR(__xludf.DUMMYFUNCTION("""COMPUTED_VALUE"""),0.3453427065026362)</f>
        <v>0.3453427065</v>
      </c>
      <c r="E3883" s="5">
        <f>IFERROR(__xludf.DUMMYFUNCTION("""COMPUTED_VALUE"""),0.12126537785588752)</f>
        <v>0.1212653779</v>
      </c>
      <c r="F3883" s="5">
        <f>IFERROR(__xludf.DUMMYFUNCTION("""COMPUTED_VALUE"""),0.2056239015817223)</f>
        <v>0.2056239016</v>
      </c>
      <c r="G3883" s="5">
        <f>IFERROR(__xludf.DUMMYFUNCTION("""COMPUTED_VALUE"""),0.14982425307557118)</f>
        <v>0.1498242531</v>
      </c>
      <c r="H3883" s="5">
        <f>IFERROR(__xludf.DUMMYFUNCTION("""COMPUTED_VALUE"""),0.5790598290598291)</f>
        <v>0.5790598291</v>
      </c>
      <c r="I3883" s="11">
        <f>IFERROR(__xludf.DUMMYFUNCTION("""COMPUTED_VALUE"""),5680.555555555556)</f>
        <v>5680.555556</v>
      </c>
      <c r="J3883" s="10">
        <f>IFERROR(__xludf.DUMMYFUNCTION("""COMPUTED_VALUE"""),1.0)</f>
        <v>1</v>
      </c>
      <c r="K3883" s="5">
        <f>IFERROR(__xludf.DUMMYFUNCTION("""COMPUTED_VALUE"""),0.004739336492890996)</f>
        <v>0.004739336493</v>
      </c>
      <c r="L3883" s="10">
        <f>IFERROR(__xludf.DUMMYFUNCTION("""COMPUTED_VALUE"""),211.0)</f>
        <v>211</v>
      </c>
      <c r="M3883" s="5">
        <f>IFERROR(__xludf.DUMMYFUNCTION("""COMPUTED_VALUE"""),1.0)</f>
        <v>1</v>
      </c>
    </row>
    <row r="3884">
      <c r="A3884" s="10" t="str">
        <f>IFERROR(__xludf.DUMMYFUNCTION("""COMPUTED_VALUE"""),"ねぷねぷ")</f>
        <v>ねぷねぷ</v>
      </c>
      <c r="B3884" s="10">
        <f>IFERROR(__xludf.DUMMYFUNCTION("""COMPUTED_VALUE"""),226.0)</f>
        <v>226</v>
      </c>
      <c r="C3884" s="10">
        <f>IFERROR(__xludf.DUMMYFUNCTION("""COMPUTED_VALUE"""),2700.0)</f>
        <v>2700</v>
      </c>
      <c r="D3884" s="5">
        <f>IFERROR(__xludf.DUMMYFUNCTION("""COMPUTED_VALUE"""),0.37793047696038806)</f>
        <v>0.377930477</v>
      </c>
      <c r="E3884" s="5">
        <f>IFERROR(__xludf.DUMMYFUNCTION("""COMPUTED_VALUE"""),0.12126111560226355)</f>
        <v>0.1212611156</v>
      </c>
      <c r="F3884" s="5">
        <f>IFERROR(__xludf.DUMMYFUNCTION("""COMPUTED_VALUE"""),0.20331447049312854)</f>
        <v>0.2033144705</v>
      </c>
      <c r="G3884" s="5">
        <f>IFERROR(__xludf.DUMMYFUNCTION("""COMPUTED_VALUE"""),0.17906224737267584)</f>
        <v>0.1790622474</v>
      </c>
      <c r="H3884" s="5">
        <f>IFERROR(__xludf.DUMMYFUNCTION("""COMPUTED_VALUE"""),0.5805168986083499)</f>
        <v>0.5805168986</v>
      </c>
      <c r="I3884" s="11">
        <f>IFERROR(__xludf.DUMMYFUNCTION("""COMPUTED_VALUE"""),5624.850894632207)</f>
        <v>5624.850895</v>
      </c>
      <c r="J3884" s="10">
        <f>IFERROR(__xludf.DUMMYFUNCTION("""COMPUTED_VALUE"""),0.0)</f>
        <v>0</v>
      </c>
      <c r="K3884" s="5">
        <f>IFERROR(__xludf.DUMMYFUNCTION("""COMPUTED_VALUE"""),0.0)</f>
        <v>0</v>
      </c>
      <c r="L3884" s="10">
        <f>IFERROR(__xludf.DUMMYFUNCTION("""COMPUTED_VALUE"""),1.0)</f>
        <v>1</v>
      </c>
      <c r="M3884" s="5">
        <f>IFERROR(__xludf.DUMMYFUNCTION("""COMPUTED_VALUE"""),0.004424778761061947)</f>
        <v>0.004424778761</v>
      </c>
    </row>
    <row r="3885">
      <c r="A3885" s="10" t="str">
        <f>IFERROR(__xludf.DUMMYFUNCTION("""COMPUTED_VALUE"""),"越智にゃん")</f>
        <v>越智にゃん</v>
      </c>
      <c r="B3885" s="10">
        <f>IFERROR(__xludf.DUMMYFUNCTION("""COMPUTED_VALUE"""),233.0)</f>
        <v>233</v>
      </c>
      <c r="C3885" s="10">
        <f>IFERROR(__xludf.DUMMYFUNCTION("""COMPUTED_VALUE"""),2773.0)</f>
        <v>2773</v>
      </c>
      <c r="D3885" s="5">
        <f>IFERROR(__xludf.DUMMYFUNCTION("""COMPUTED_VALUE"""),0.24330708661417322)</f>
        <v>0.2433070866</v>
      </c>
      <c r="E3885" s="5">
        <f>IFERROR(__xludf.DUMMYFUNCTION("""COMPUTED_VALUE"""),0.12125984251968504)</f>
        <v>0.1212598425</v>
      </c>
      <c r="F3885" s="5">
        <f>IFERROR(__xludf.DUMMYFUNCTION("""COMPUTED_VALUE"""),0.1767716535433071)</f>
        <v>0.1767716535</v>
      </c>
      <c r="G3885" s="5">
        <f>IFERROR(__xludf.DUMMYFUNCTION("""COMPUTED_VALUE"""),0.15078740157480314)</f>
        <v>0.1507874016</v>
      </c>
      <c r="H3885" s="5">
        <f>IFERROR(__xludf.DUMMYFUNCTION("""COMPUTED_VALUE"""),0.6146993318485523)</f>
        <v>0.6146993318</v>
      </c>
      <c r="I3885" s="11">
        <f>IFERROR(__xludf.DUMMYFUNCTION("""COMPUTED_VALUE"""),5694.209354120268)</f>
        <v>5694.209354</v>
      </c>
      <c r="J3885" s="10">
        <f>IFERROR(__xludf.DUMMYFUNCTION("""COMPUTED_VALUE"""),0.0)</f>
        <v>0</v>
      </c>
      <c r="K3885" s="5">
        <f>IFERROR(__xludf.DUMMYFUNCTION("""COMPUTED_VALUE"""),0.0)</f>
        <v>0</v>
      </c>
      <c r="L3885" s="10">
        <f>IFERROR(__xludf.DUMMYFUNCTION("""COMPUTED_VALUE"""),233.0)</f>
        <v>233</v>
      </c>
      <c r="M3885" s="5">
        <f>IFERROR(__xludf.DUMMYFUNCTION("""COMPUTED_VALUE"""),1.0)</f>
        <v>1</v>
      </c>
    </row>
    <row r="3886">
      <c r="A3886" s="10" t="str">
        <f>IFERROR(__xludf.DUMMYFUNCTION("""COMPUTED_VALUE"""),"どーも僕です")</f>
        <v>どーも僕です</v>
      </c>
      <c r="B3886" s="10">
        <f>IFERROR(__xludf.DUMMYFUNCTION("""COMPUTED_VALUE"""),5183.0)</f>
        <v>5183</v>
      </c>
      <c r="C3886" s="10">
        <f>IFERROR(__xludf.DUMMYFUNCTION("""COMPUTED_VALUE"""),60801.0)</f>
        <v>60801</v>
      </c>
      <c r="D3886" s="5">
        <f>IFERROR(__xludf.DUMMYFUNCTION("""COMPUTED_VALUE"""),0.36286813621489444)</f>
        <v>0.3628681362</v>
      </c>
      <c r="E3886" s="5">
        <f>IFERROR(__xludf.DUMMYFUNCTION("""COMPUTED_VALUE"""),0.12125570858355209)</f>
        <v>0.1212557086</v>
      </c>
      <c r="F3886" s="5">
        <f>IFERROR(__xludf.DUMMYFUNCTION("""COMPUTED_VALUE"""),0.2126649645798123)</f>
        <v>0.2126649646</v>
      </c>
      <c r="G3886" s="5">
        <f>IFERROR(__xludf.DUMMYFUNCTION("""COMPUTED_VALUE"""),0.17515912114782983)</f>
        <v>0.1751591211</v>
      </c>
      <c r="H3886" s="5">
        <f>IFERROR(__xludf.DUMMYFUNCTION("""COMPUTED_VALUE"""),0.6083023334460602)</f>
        <v>0.6083023334</v>
      </c>
      <c r="I3886" s="11">
        <f>IFERROR(__xludf.DUMMYFUNCTION("""COMPUTED_VALUE"""),5562.54649983091)</f>
        <v>5562.5465</v>
      </c>
      <c r="J3886" s="10">
        <f>IFERROR(__xludf.DUMMYFUNCTION("""COMPUTED_VALUE"""),8.0)</f>
        <v>8</v>
      </c>
      <c r="K3886" s="5">
        <f>IFERROR(__xludf.DUMMYFUNCTION("""COMPUTED_VALUE"""),0.001543507621068879)</f>
        <v>0.001543507621</v>
      </c>
      <c r="L3886" s="10">
        <f>IFERROR(__xludf.DUMMYFUNCTION("""COMPUTED_VALUE"""),1522.0)</f>
        <v>1522</v>
      </c>
      <c r="M3886" s="5">
        <f>IFERROR(__xludf.DUMMYFUNCTION("""COMPUTED_VALUE"""),0.29365232490835425)</f>
        <v>0.2936523249</v>
      </c>
    </row>
    <row r="3887">
      <c r="A3887" s="10" t="str">
        <f>IFERROR(__xludf.DUMMYFUNCTION("""COMPUTED_VALUE"""),"373a")</f>
        <v>373a</v>
      </c>
      <c r="B3887" s="10">
        <f>IFERROR(__xludf.DUMMYFUNCTION("""COMPUTED_VALUE"""),131.0)</f>
        <v>131</v>
      </c>
      <c r="C3887" s="10">
        <f>IFERROR(__xludf.DUMMYFUNCTION("""COMPUTED_VALUE"""),1533.0)</f>
        <v>1533</v>
      </c>
      <c r="D3887" s="5">
        <f>IFERROR(__xludf.DUMMYFUNCTION("""COMPUTED_VALUE"""),0.3773181169757489)</f>
        <v>0.377318117</v>
      </c>
      <c r="E3887" s="5">
        <f>IFERROR(__xludf.DUMMYFUNCTION("""COMPUTED_VALUE"""),0.12125534950071326)</f>
        <v>0.1212553495</v>
      </c>
      <c r="F3887" s="5">
        <f>IFERROR(__xludf.DUMMYFUNCTION("""COMPUTED_VALUE"""),0.21041369472182597)</f>
        <v>0.2104136947</v>
      </c>
      <c r="G3887" s="5">
        <f>IFERROR(__xludf.DUMMYFUNCTION("""COMPUTED_VALUE"""),0.16262482168330955)</f>
        <v>0.1626248217</v>
      </c>
      <c r="H3887" s="5">
        <f>IFERROR(__xludf.DUMMYFUNCTION("""COMPUTED_VALUE"""),0.5796610169491525)</f>
        <v>0.5796610169</v>
      </c>
      <c r="I3887" s="11">
        <f>IFERROR(__xludf.DUMMYFUNCTION("""COMPUTED_VALUE"""),5440.677966101695)</f>
        <v>5440.677966</v>
      </c>
      <c r="J3887" s="10">
        <f>IFERROR(__xludf.DUMMYFUNCTION("""COMPUTED_VALUE"""),0.0)</f>
        <v>0</v>
      </c>
      <c r="K3887" s="5">
        <f>IFERROR(__xludf.DUMMYFUNCTION("""COMPUTED_VALUE"""),0.0)</f>
        <v>0</v>
      </c>
      <c r="L3887" s="10">
        <f>IFERROR(__xludf.DUMMYFUNCTION("""COMPUTED_VALUE"""),7.0)</f>
        <v>7</v>
      </c>
      <c r="M3887" s="5">
        <f>IFERROR(__xludf.DUMMYFUNCTION("""COMPUTED_VALUE"""),0.05343511450381679)</f>
        <v>0.0534351145</v>
      </c>
    </row>
    <row r="3888">
      <c r="A3888" s="10" t="str">
        <f>IFERROR(__xludf.DUMMYFUNCTION("""COMPUTED_VALUE"""),"katerina")</f>
        <v>katerina</v>
      </c>
      <c r="B3888" s="10">
        <f>IFERROR(__xludf.DUMMYFUNCTION("""COMPUTED_VALUE"""),1330.0)</f>
        <v>1330</v>
      </c>
      <c r="C3888" s="10">
        <f>IFERROR(__xludf.DUMMYFUNCTION("""COMPUTED_VALUE"""),15482.0)</f>
        <v>15482</v>
      </c>
      <c r="D3888" s="5">
        <f>IFERROR(__xludf.DUMMYFUNCTION("""COMPUTED_VALUE"""),0.3131712832108536)</f>
        <v>0.3131712832</v>
      </c>
      <c r="E3888" s="5">
        <f>IFERROR(__xludf.DUMMYFUNCTION("""COMPUTED_VALUE"""),0.12125494629734314)</f>
        <v>0.1212549463</v>
      </c>
      <c r="F3888" s="5">
        <f>IFERROR(__xludf.DUMMYFUNCTION("""COMPUTED_VALUE"""),0.2175664217071792)</f>
        <v>0.2175664217</v>
      </c>
      <c r="G3888" s="5">
        <f>IFERROR(__xludf.DUMMYFUNCTION("""COMPUTED_VALUE"""),0.1874646693046919)</f>
        <v>0.1874646693</v>
      </c>
      <c r="H3888" s="5">
        <f>IFERROR(__xludf.DUMMYFUNCTION("""COMPUTED_VALUE"""),0.6024683338746346)</f>
        <v>0.6024683339</v>
      </c>
      <c r="I3888" s="11">
        <f>IFERROR(__xludf.DUMMYFUNCTION("""COMPUTED_VALUE"""),5813.673270542384)</f>
        <v>5813.673271</v>
      </c>
      <c r="J3888" s="10">
        <f>IFERROR(__xludf.DUMMYFUNCTION("""COMPUTED_VALUE"""),1.0)</f>
        <v>1</v>
      </c>
      <c r="K3888" s="5">
        <f>IFERROR(__xludf.DUMMYFUNCTION("""COMPUTED_VALUE"""),7.518796992481203E-4)</f>
        <v>0.0007518796992</v>
      </c>
      <c r="L3888" s="10">
        <f>IFERROR(__xludf.DUMMYFUNCTION("""COMPUTED_VALUE"""),1330.0)</f>
        <v>1330</v>
      </c>
      <c r="M3888" s="5">
        <f>IFERROR(__xludf.DUMMYFUNCTION("""COMPUTED_VALUE"""),1.0)</f>
        <v>1</v>
      </c>
    </row>
    <row r="3889">
      <c r="A3889" s="10" t="str">
        <f>IFERROR(__xludf.DUMMYFUNCTION("""COMPUTED_VALUE"""),"アトミックリーチ")</f>
        <v>アトミックリーチ</v>
      </c>
      <c r="B3889" s="10">
        <f>IFERROR(__xludf.DUMMYFUNCTION("""COMPUTED_VALUE"""),1006.0)</f>
        <v>1006</v>
      </c>
      <c r="C3889" s="10">
        <f>IFERROR(__xludf.DUMMYFUNCTION("""COMPUTED_VALUE"""),11794.0)</f>
        <v>11794</v>
      </c>
      <c r="D3889" s="5">
        <f>IFERROR(__xludf.DUMMYFUNCTION("""COMPUTED_VALUE"""),0.3779199110122358)</f>
        <v>0.377919911</v>
      </c>
      <c r="E3889" s="5">
        <f>IFERROR(__xludf.DUMMYFUNCTION("""COMPUTED_VALUE"""),0.12124582869855395)</f>
        <v>0.1212458287</v>
      </c>
      <c r="F3889" s="5">
        <f>IFERROR(__xludf.DUMMYFUNCTION("""COMPUTED_VALUE"""),0.21783463107156098)</f>
        <v>0.2178346311</v>
      </c>
      <c r="G3889" s="5">
        <f>IFERROR(__xludf.DUMMYFUNCTION("""COMPUTED_VALUE"""),0.1560066740823137)</f>
        <v>0.1560066741</v>
      </c>
      <c r="H3889" s="5">
        <f>IFERROR(__xludf.DUMMYFUNCTION("""COMPUTED_VALUE"""),0.5936170212765958)</f>
        <v>0.5936170213</v>
      </c>
      <c r="I3889" s="11">
        <f>IFERROR(__xludf.DUMMYFUNCTION("""COMPUTED_VALUE"""),5425.31914893617)</f>
        <v>5425.319149</v>
      </c>
      <c r="J3889" s="10">
        <f>IFERROR(__xludf.DUMMYFUNCTION("""COMPUTED_VALUE"""),3.0)</f>
        <v>3</v>
      </c>
      <c r="K3889" s="5">
        <f>IFERROR(__xludf.DUMMYFUNCTION("""COMPUTED_VALUE"""),0.002982107355864811)</f>
        <v>0.002982107356</v>
      </c>
      <c r="L3889" s="10">
        <f>IFERROR(__xludf.DUMMYFUNCTION("""COMPUTED_VALUE"""),1006.0)</f>
        <v>1006</v>
      </c>
      <c r="M3889" s="5">
        <f>IFERROR(__xludf.DUMMYFUNCTION("""COMPUTED_VALUE"""),1.0)</f>
        <v>1</v>
      </c>
    </row>
    <row r="3890">
      <c r="A3890" s="10" t="str">
        <f>IFERROR(__xludf.DUMMYFUNCTION("""COMPUTED_VALUE"""),"豆特ぽっくん")</f>
        <v>豆特ぽっくん</v>
      </c>
      <c r="B3890" s="10">
        <f>IFERROR(__xludf.DUMMYFUNCTION("""COMPUTED_VALUE"""),1132.0)</f>
        <v>1132</v>
      </c>
      <c r="C3890" s="10">
        <f>IFERROR(__xludf.DUMMYFUNCTION("""COMPUTED_VALUE"""),13381.0)</f>
        <v>13381</v>
      </c>
      <c r="D3890" s="5">
        <f>IFERROR(__xludf.DUMMYFUNCTION("""COMPUTED_VALUE"""),0.31373989713445993)</f>
        <v>0.3137398971</v>
      </c>
      <c r="E3890" s="5">
        <f>IFERROR(__xludf.DUMMYFUNCTION("""COMPUTED_VALUE"""),0.12123438648052902)</f>
        <v>0.1212343865</v>
      </c>
      <c r="F3890" s="5">
        <f>IFERROR(__xludf.DUMMYFUNCTION("""COMPUTED_VALUE"""),0.20981304596293576)</f>
        <v>0.209813046</v>
      </c>
      <c r="G3890" s="5">
        <f>IFERROR(__xludf.DUMMYFUNCTION("""COMPUTED_VALUE"""),0.17429994285247774)</f>
        <v>0.1742999429</v>
      </c>
      <c r="H3890" s="5">
        <f>IFERROR(__xludf.DUMMYFUNCTION("""COMPUTED_VALUE"""),0.6003891050583657)</f>
        <v>0.6003891051</v>
      </c>
      <c r="I3890" s="11">
        <f>IFERROR(__xludf.DUMMYFUNCTION("""COMPUTED_VALUE"""),5561.517509727626)</f>
        <v>5561.51751</v>
      </c>
      <c r="J3890" s="10">
        <f>IFERROR(__xludf.DUMMYFUNCTION("""COMPUTED_VALUE"""),1.0)</f>
        <v>1</v>
      </c>
      <c r="K3890" s="5">
        <f>IFERROR(__xludf.DUMMYFUNCTION("""COMPUTED_VALUE"""),8.833922261484099E-4)</f>
        <v>0.0008833922261</v>
      </c>
      <c r="L3890" s="10">
        <f>IFERROR(__xludf.DUMMYFUNCTION("""COMPUTED_VALUE"""),1132.0)</f>
        <v>1132</v>
      </c>
      <c r="M3890" s="5">
        <f>IFERROR(__xludf.DUMMYFUNCTION("""COMPUTED_VALUE"""),1.0)</f>
        <v>1</v>
      </c>
    </row>
    <row r="3891">
      <c r="A3891" s="10" t="str">
        <f>IFERROR(__xludf.DUMMYFUNCTION("""COMPUTED_VALUE"""),"tuckbock")</f>
        <v>tuckbock</v>
      </c>
      <c r="B3891" s="10">
        <f>IFERROR(__xludf.DUMMYFUNCTION("""COMPUTED_VALUE"""),2239.0)</f>
        <v>2239</v>
      </c>
      <c r="C3891" s="10">
        <f>IFERROR(__xludf.DUMMYFUNCTION("""COMPUTED_VALUE"""),26021.0)</f>
        <v>26021</v>
      </c>
      <c r="D3891" s="5">
        <f>IFERROR(__xludf.DUMMYFUNCTION("""COMPUTED_VALUE"""),0.38676309814145154)</f>
        <v>0.3867630981</v>
      </c>
      <c r="E3891" s="5">
        <f>IFERROR(__xludf.DUMMYFUNCTION("""COMPUTED_VALUE"""),0.12122613741485157)</f>
        <v>0.1212261374</v>
      </c>
      <c r="F3891" s="5">
        <f>IFERROR(__xludf.DUMMYFUNCTION("""COMPUTED_VALUE"""),0.2131864435287192)</f>
        <v>0.2131864435</v>
      </c>
      <c r="G3891" s="5">
        <f>IFERROR(__xludf.DUMMYFUNCTION("""COMPUTED_VALUE"""),0.14569842738205366)</f>
        <v>0.1456984274</v>
      </c>
      <c r="H3891" s="5">
        <f>IFERROR(__xludf.DUMMYFUNCTION("""COMPUTED_VALUE"""),0.6021696252465484)</f>
        <v>0.6021696252</v>
      </c>
      <c r="I3891" s="11">
        <f>IFERROR(__xludf.DUMMYFUNCTION("""COMPUTED_VALUE"""),5457.120315581854)</f>
        <v>5457.120316</v>
      </c>
      <c r="J3891" s="10">
        <f>IFERROR(__xludf.DUMMYFUNCTION("""COMPUTED_VALUE"""),1.0)</f>
        <v>1</v>
      </c>
      <c r="K3891" s="5">
        <f>IFERROR(__xludf.DUMMYFUNCTION("""COMPUTED_VALUE"""),4.4662795891022776E-4)</f>
        <v>0.0004466279589</v>
      </c>
      <c r="L3891" s="10">
        <f>IFERROR(__xludf.DUMMYFUNCTION("""COMPUTED_VALUE"""),2239.0)</f>
        <v>2239</v>
      </c>
      <c r="M3891" s="5">
        <f>IFERROR(__xludf.DUMMYFUNCTION("""COMPUTED_VALUE"""),1.0)</f>
        <v>1</v>
      </c>
    </row>
    <row r="3892">
      <c r="A3892" s="10" t="str">
        <f>IFERROR(__xludf.DUMMYFUNCTION("""COMPUTED_VALUE"""),"一般卓代表")</f>
        <v>一般卓代表</v>
      </c>
      <c r="B3892" s="10">
        <f>IFERROR(__xludf.DUMMYFUNCTION("""COMPUTED_VALUE"""),106.0)</f>
        <v>106</v>
      </c>
      <c r="C3892" s="10">
        <f>IFERROR(__xludf.DUMMYFUNCTION("""COMPUTED_VALUE"""),1228.0)</f>
        <v>1228</v>
      </c>
      <c r="D3892" s="5">
        <f>IFERROR(__xludf.DUMMYFUNCTION("""COMPUTED_VALUE"""),0.3181818181818182)</f>
        <v>0.3181818182</v>
      </c>
      <c r="E3892" s="5">
        <f>IFERROR(__xludf.DUMMYFUNCTION("""COMPUTED_VALUE"""),0.12121212121212122)</f>
        <v>0.1212121212</v>
      </c>
      <c r="F3892" s="5">
        <f>IFERROR(__xludf.DUMMYFUNCTION("""COMPUTED_VALUE"""),0.19696969696969696)</f>
        <v>0.196969697</v>
      </c>
      <c r="G3892" s="5">
        <f>IFERROR(__xludf.DUMMYFUNCTION("""COMPUTED_VALUE"""),0.15418894830659535)</f>
        <v>0.1541889483</v>
      </c>
      <c r="H3892" s="5">
        <f>IFERROR(__xludf.DUMMYFUNCTION("""COMPUTED_VALUE"""),0.5656108597285068)</f>
        <v>0.5656108597</v>
      </c>
      <c r="I3892" s="11">
        <f>IFERROR(__xludf.DUMMYFUNCTION("""COMPUTED_VALUE"""),5752.036199095022)</f>
        <v>5752.036199</v>
      </c>
      <c r="J3892" s="10">
        <f>IFERROR(__xludf.DUMMYFUNCTION("""COMPUTED_VALUE"""),1.0)</f>
        <v>1</v>
      </c>
      <c r="K3892" s="5">
        <f>IFERROR(__xludf.DUMMYFUNCTION("""COMPUTED_VALUE"""),0.009433962264150943)</f>
        <v>0.009433962264</v>
      </c>
      <c r="L3892" s="10">
        <f>IFERROR(__xludf.DUMMYFUNCTION("""COMPUTED_VALUE"""),106.0)</f>
        <v>106</v>
      </c>
      <c r="M3892" s="5">
        <f>IFERROR(__xludf.DUMMYFUNCTION("""COMPUTED_VALUE"""),1.0)</f>
        <v>1</v>
      </c>
    </row>
    <row r="3893">
      <c r="A3893" s="10" t="str">
        <f>IFERROR(__xludf.DUMMYFUNCTION("""COMPUTED_VALUE"""),"影虎")</f>
        <v>影虎</v>
      </c>
      <c r="B3893" s="10">
        <f>IFERROR(__xludf.DUMMYFUNCTION("""COMPUTED_VALUE"""),823.0)</f>
        <v>823</v>
      </c>
      <c r="C3893" s="10">
        <f>IFERROR(__xludf.DUMMYFUNCTION("""COMPUTED_VALUE"""),9651.0)</f>
        <v>9651</v>
      </c>
      <c r="D3893" s="5">
        <f>IFERROR(__xludf.DUMMYFUNCTION("""COMPUTED_VALUE"""),0.351495242410512)</f>
        <v>0.3514952424</v>
      </c>
      <c r="E3893" s="5">
        <f>IFERROR(__xludf.DUMMYFUNCTION("""COMPUTED_VALUE"""),0.12120525600362483)</f>
        <v>0.121205256</v>
      </c>
      <c r="F3893" s="5">
        <f>IFERROR(__xludf.DUMMYFUNCTION("""COMPUTED_VALUE"""),0.20729497054825555)</f>
        <v>0.2072949705</v>
      </c>
      <c r="G3893" s="5">
        <f>IFERROR(__xludf.DUMMYFUNCTION("""COMPUTED_VALUE"""),0.1710466696873584)</f>
        <v>0.1710466697</v>
      </c>
      <c r="H3893" s="5">
        <f>IFERROR(__xludf.DUMMYFUNCTION("""COMPUTED_VALUE"""),0.6081967213114754)</f>
        <v>0.6081967213</v>
      </c>
      <c r="I3893" s="11">
        <f>IFERROR(__xludf.DUMMYFUNCTION("""COMPUTED_VALUE"""),5595.846994535519)</f>
        <v>5595.846995</v>
      </c>
      <c r="J3893" s="10">
        <f>IFERROR(__xludf.DUMMYFUNCTION("""COMPUTED_VALUE"""),1.0)</f>
        <v>1</v>
      </c>
      <c r="K3893" s="5">
        <f>IFERROR(__xludf.DUMMYFUNCTION("""COMPUTED_VALUE"""),0.001215066828675577)</f>
        <v>0.001215066829</v>
      </c>
      <c r="L3893" s="10">
        <f>IFERROR(__xludf.DUMMYFUNCTION("""COMPUTED_VALUE"""),823.0)</f>
        <v>823</v>
      </c>
      <c r="M3893" s="5">
        <f>IFERROR(__xludf.DUMMYFUNCTION("""COMPUTED_VALUE"""),1.0)</f>
        <v>1</v>
      </c>
    </row>
    <row r="3894">
      <c r="A3894" s="10" t="str">
        <f>IFERROR(__xludf.DUMMYFUNCTION("""COMPUTED_VALUE"""),"K.G.L")</f>
        <v>K.G.L</v>
      </c>
      <c r="B3894" s="10">
        <f>IFERROR(__xludf.DUMMYFUNCTION("""COMPUTED_VALUE"""),1610.0)</f>
        <v>1610</v>
      </c>
      <c r="C3894" s="10">
        <f>IFERROR(__xludf.DUMMYFUNCTION("""COMPUTED_VALUE"""),18757.0)</f>
        <v>18757</v>
      </c>
      <c r="D3894" s="5">
        <f>IFERROR(__xludf.DUMMYFUNCTION("""COMPUTED_VALUE"""),0.32962034175074356)</f>
        <v>0.3296203418</v>
      </c>
      <c r="E3894" s="5">
        <f>IFERROR(__xludf.DUMMYFUNCTION("""COMPUTED_VALUE"""),0.1211873797165685)</f>
        <v>0.1211873797</v>
      </c>
      <c r="F3894" s="5">
        <f>IFERROR(__xludf.DUMMYFUNCTION("""COMPUTED_VALUE"""),0.20965766606403452)</f>
        <v>0.2096576661</v>
      </c>
      <c r="G3894" s="5">
        <f>IFERROR(__xludf.DUMMYFUNCTION("""COMPUTED_VALUE"""),0.17799031900624016)</f>
        <v>0.177990319</v>
      </c>
      <c r="H3894" s="5">
        <f>IFERROR(__xludf.DUMMYFUNCTION("""COMPUTED_VALUE"""),0.5952712100139083)</f>
        <v>0.59527121</v>
      </c>
      <c r="I3894" s="11">
        <f>IFERROR(__xludf.DUMMYFUNCTION("""COMPUTED_VALUE"""),5567.371349095966)</f>
        <v>5567.371349</v>
      </c>
      <c r="J3894" s="10">
        <f>IFERROR(__xludf.DUMMYFUNCTION("""COMPUTED_VALUE"""),3.0)</f>
        <v>3</v>
      </c>
      <c r="K3894" s="5">
        <f>IFERROR(__xludf.DUMMYFUNCTION("""COMPUTED_VALUE"""),0.0018633540372670807)</f>
        <v>0.001863354037</v>
      </c>
      <c r="L3894" s="10">
        <f>IFERROR(__xludf.DUMMYFUNCTION("""COMPUTED_VALUE"""),1610.0)</f>
        <v>1610</v>
      </c>
      <c r="M3894" s="5">
        <f>IFERROR(__xludf.DUMMYFUNCTION("""COMPUTED_VALUE"""),1.0)</f>
        <v>1</v>
      </c>
    </row>
    <row r="3895">
      <c r="A3895" s="10" t="str">
        <f>IFERROR(__xludf.DUMMYFUNCTION("""COMPUTED_VALUE"""),"Gヨ龍門")</f>
        <v>Gヨ龍門</v>
      </c>
      <c r="B3895" s="10">
        <f>IFERROR(__xludf.DUMMYFUNCTION("""COMPUTED_VALUE"""),2308.0)</f>
        <v>2308</v>
      </c>
      <c r="C3895" s="10">
        <f>IFERROR(__xludf.DUMMYFUNCTION("""COMPUTED_VALUE"""),27204.0)</f>
        <v>27204</v>
      </c>
      <c r="D3895" s="5">
        <f>IFERROR(__xludf.DUMMYFUNCTION("""COMPUTED_VALUE"""),0.39114717223650386)</f>
        <v>0.3911471722</v>
      </c>
      <c r="E3895" s="5">
        <f>IFERROR(__xludf.DUMMYFUNCTION("""COMPUTED_VALUE"""),0.12118412596401028)</f>
        <v>0.121184126</v>
      </c>
      <c r="F3895" s="5">
        <f>IFERROR(__xludf.DUMMYFUNCTION("""COMPUTED_VALUE"""),0.21609897172236503)</f>
        <v>0.2160989717</v>
      </c>
      <c r="G3895" s="5">
        <f>IFERROR(__xludf.DUMMYFUNCTION("""COMPUTED_VALUE"""),0.1667336118251928)</f>
        <v>0.1667336118</v>
      </c>
      <c r="H3895" s="5">
        <f>IFERROR(__xludf.DUMMYFUNCTION("""COMPUTED_VALUE"""),0.604089219330855)</f>
        <v>0.6040892193</v>
      </c>
      <c r="I3895" s="11">
        <f>IFERROR(__xludf.DUMMYFUNCTION("""COMPUTED_VALUE"""),5372.769516728625)</f>
        <v>5372.769517</v>
      </c>
      <c r="J3895" s="10">
        <f>IFERROR(__xludf.DUMMYFUNCTION("""COMPUTED_VALUE"""),3.0)</f>
        <v>3</v>
      </c>
      <c r="K3895" s="5">
        <f>IFERROR(__xludf.DUMMYFUNCTION("""COMPUTED_VALUE"""),0.0012998266897746968)</f>
        <v>0.00129982669</v>
      </c>
      <c r="L3895" s="10">
        <f>IFERROR(__xludf.DUMMYFUNCTION("""COMPUTED_VALUE"""),2307.0)</f>
        <v>2307</v>
      </c>
      <c r="M3895" s="5">
        <f>IFERROR(__xludf.DUMMYFUNCTION("""COMPUTED_VALUE"""),0.9995667244367418)</f>
        <v>0.9995667244</v>
      </c>
    </row>
    <row r="3896">
      <c r="A3896" s="10" t="str">
        <f>IFERROR(__xludf.DUMMYFUNCTION("""COMPUTED_VALUE"""),"powter")</f>
        <v>powter</v>
      </c>
      <c r="B3896" s="10">
        <f>IFERROR(__xludf.DUMMYFUNCTION("""COMPUTED_VALUE"""),745.0)</f>
        <v>745</v>
      </c>
      <c r="C3896" s="10">
        <f>IFERROR(__xludf.DUMMYFUNCTION("""COMPUTED_VALUE"""),8733.0)</f>
        <v>8733</v>
      </c>
      <c r="D3896" s="5">
        <f>IFERROR(__xludf.DUMMYFUNCTION("""COMPUTED_VALUE"""),0.3381321982974462)</f>
        <v>0.3381321983</v>
      </c>
      <c r="E3896" s="5">
        <f>IFERROR(__xludf.DUMMYFUNCTION("""COMPUTED_VALUE"""),0.12118177265898848)</f>
        <v>0.1211817727</v>
      </c>
      <c r="F3896" s="5">
        <f>IFERROR(__xludf.DUMMYFUNCTION("""COMPUTED_VALUE"""),0.21031547320981472)</f>
        <v>0.2103154732</v>
      </c>
      <c r="G3896" s="5">
        <f>IFERROR(__xludf.DUMMYFUNCTION("""COMPUTED_VALUE"""),0.1768903355032549)</f>
        <v>0.1768903355</v>
      </c>
      <c r="H3896" s="5">
        <f>IFERROR(__xludf.DUMMYFUNCTION("""COMPUTED_VALUE"""),0.5886904761904762)</f>
        <v>0.5886904762</v>
      </c>
      <c r="I3896" s="11">
        <f>IFERROR(__xludf.DUMMYFUNCTION("""COMPUTED_VALUE"""),5360.6547619047615)</f>
        <v>5360.654762</v>
      </c>
      <c r="J3896" s="10">
        <f>IFERROR(__xludf.DUMMYFUNCTION("""COMPUTED_VALUE"""),5.0)</f>
        <v>5</v>
      </c>
      <c r="K3896" s="5">
        <f>IFERROR(__xludf.DUMMYFUNCTION("""COMPUTED_VALUE"""),0.006711409395973154)</f>
        <v>0.006711409396</v>
      </c>
      <c r="L3896" s="10">
        <f>IFERROR(__xludf.DUMMYFUNCTION("""COMPUTED_VALUE"""),117.0)</f>
        <v>117</v>
      </c>
      <c r="M3896" s="5">
        <f>IFERROR(__xludf.DUMMYFUNCTION("""COMPUTED_VALUE"""),0.15704697986577182)</f>
        <v>0.1570469799</v>
      </c>
    </row>
    <row r="3897">
      <c r="A3897" s="10" t="str">
        <f>IFERROR(__xludf.DUMMYFUNCTION("""COMPUTED_VALUE"""),"leomooo")</f>
        <v>leomooo</v>
      </c>
      <c r="B3897" s="10">
        <f>IFERROR(__xludf.DUMMYFUNCTION("""COMPUTED_VALUE"""),1314.0)</f>
        <v>1314</v>
      </c>
      <c r="C3897" s="10">
        <f>IFERROR(__xludf.DUMMYFUNCTION("""COMPUTED_VALUE"""),15410.0)</f>
        <v>15410</v>
      </c>
      <c r="D3897" s="5">
        <f>IFERROR(__xludf.DUMMYFUNCTION("""COMPUTED_VALUE"""),0.38095913734392733)</f>
        <v>0.3809591373</v>
      </c>
      <c r="E3897" s="5">
        <f>IFERROR(__xludf.DUMMYFUNCTION("""COMPUTED_VALUE"""),0.12116912599318956)</f>
        <v>0.121169126</v>
      </c>
      <c r="F3897" s="5">
        <f>IFERROR(__xludf.DUMMYFUNCTION("""COMPUTED_VALUE"""),0.20842792281498299)</f>
        <v>0.2084279228</v>
      </c>
      <c r="G3897" s="5">
        <f>IFERROR(__xludf.DUMMYFUNCTION("""COMPUTED_VALUE"""),0.15358967082860386)</f>
        <v>0.1535896708</v>
      </c>
      <c r="H3897" s="5">
        <f>IFERROR(__xludf.DUMMYFUNCTION("""COMPUTED_VALUE"""),0.5963240299523486)</f>
        <v>0.59632403</v>
      </c>
      <c r="I3897" s="11">
        <f>IFERROR(__xludf.DUMMYFUNCTION("""COMPUTED_VALUE"""),5557.011572498298)</f>
        <v>5557.011572</v>
      </c>
      <c r="J3897" s="10">
        <f>IFERROR(__xludf.DUMMYFUNCTION("""COMPUTED_VALUE"""),2.0)</f>
        <v>2</v>
      </c>
      <c r="K3897" s="5">
        <f>IFERROR(__xludf.DUMMYFUNCTION("""COMPUTED_VALUE"""),0.0015220700152207)</f>
        <v>0.001522070015</v>
      </c>
      <c r="L3897" s="10">
        <f>IFERROR(__xludf.DUMMYFUNCTION("""COMPUTED_VALUE"""),1314.0)</f>
        <v>1314</v>
      </c>
      <c r="M3897" s="5">
        <f>IFERROR(__xludf.DUMMYFUNCTION("""COMPUTED_VALUE"""),1.0)</f>
        <v>1</v>
      </c>
    </row>
    <row r="3898">
      <c r="A3898" s="10" t="str">
        <f>IFERROR(__xludf.DUMMYFUNCTION("""COMPUTED_VALUE"""),"パンチョリーナ改")</f>
        <v>パンチョリーナ改</v>
      </c>
      <c r="B3898" s="10">
        <f>IFERROR(__xludf.DUMMYFUNCTION("""COMPUTED_VALUE"""),116.0)</f>
        <v>116</v>
      </c>
      <c r="C3898" s="10">
        <f>IFERROR(__xludf.DUMMYFUNCTION("""COMPUTED_VALUE"""),1379.0)</f>
        <v>1379</v>
      </c>
      <c r="D3898" s="5">
        <f>IFERROR(__xludf.DUMMYFUNCTION("""COMPUTED_VALUE"""),0.38558986539984164)</f>
        <v>0.3855898654</v>
      </c>
      <c r="E3898" s="5">
        <f>IFERROR(__xludf.DUMMYFUNCTION("""COMPUTED_VALUE"""),0.12114014251781473)</f>
        <v>0.1211401425</v>
      </c>
      <c r="F3898" s="5">
        <f>IFERROR(__xludf.DUMMYFUNCTION("""COMPUTED_VALUE"""),0.23515439429928742)</f>
        <v>0.2351543943</v>
      </c>
      <c r="G3898" s="5">
        <f>IFERROR(__xludf.DUMMYFUNCTION("""COMPUTED_VALUE"""),0.1892319873317498)</f>
        <v>0.1892319873</v>
      </c>
      <c r="H3898" s="5">
        <f>IFERROR(__xludf.DUMMYFUNCTION("""COMPUTED_VALUE"""),0.6026936026936027)</f>
        <v>0.6026936027</v>
      </c>
      <c r="I3898" s="11">
        <f>IFERROR(__xludf.DUMMYFUNCTION("""COMPUTED_VALUE"""),5703.7037037037035)</f>
        <v>5703.703704</v>
      </c>
      <c r="J3898" s="10">
        <f>IFERROR(__xludf.DUMMYFUNCTION("""COMPUTED_VALUE"""),1.0)</f>
        <v>1</v>
      </c>
      <c r="K3898" s="5">
        <f>IFERROR(__xludf.DUMMYFUNCTION("""COMPUTED_VALUE"""),0.008620689655172414)</f>
        <v>0.008620689655</v>
      </c>
      <c r="L3898" s="10">
        <f>IFERROR(__xludf.DUMMYFUNCTION("""COMPUTED_VALUE"""),116.0)</f>
        <v>116</v>
      </c>
      <c r="M3898" s="5">
        <f>IFERROR(__xludf.DUMMYFUNCTION("""COMPUTED_VALUE"""),1.0)</f>
        <v>1</v>
      </c>
    </row>
    <row r="3899">
      <c r="A3899" s="10" t="str">
        <f>IFERROR(__xludf.DUMMYFUNCTION("""COMPUTED_VALUE"""),"★鳳蝶")</f>
        <v>★鳳蝶</v>
      </c>
      <c r="B3899" s="10">
        <f>IFERROR(__xludf.DUMMYFUNCTION("""COMPUTED_VALUE"""),459.0)</f>
        <v>459</v>
      </c>
      <c r="C3899" s="10">
        <f>IFERROR(__xludf.DUMMYFUNCTION("""COMPUTED_VALUE"""),5379.0)</f>
        <v>5379</v>
      </c>
      <c r="D3899" s="5">
        <f>IFERROR(__xludf.DUMMYFUNCTION("""COMPUTED_VALUE"""),0.37296747967479676)</f>
        <v>0.3729674797</v>
      </c>
      <c r="E3899" s="5">
        <f>IFERROR(__xludf.DUMMYFUNCTION("""COMPUTED_VALUE"""),0.12113821138211382)</f>
        <v>0.1211382114</v>
      </c>
      <c r="F3899" s="5">
        <f>IFERROR(__xludf.DUMMYFUNCTION("""COMPUTED_VALUE"""),0.21239837398373984)</f>
        <v>0.212398374</v>
      </c>
      <c r="G3899" s="5">
        <f>IFERROR(__xludf.DUMMYFUNCTION("""COMPUTED_VALUE"""),0.13983739837398373)</f>
        <v>0.1398373984</v>
      </c>
      <c r="H3899" s="5">
        <f>IFERROR(__xludf.DUMMYFUNCTION("""COMPUTED_VALUE"""),0.583732057416268)</f>
        <v>0.5837320574</v>
      </c>
      <c r="I3899" s="11">
        <f>IFERROR(__xludf.DUMMYFUNCTION("""COMPUTED_VALUE"""),5528.3253588516745)</f>
        <v>5528.325359</v>
      </c>
      <c r="J3899" s="10">
        <f>IFERROR(__xludf.DUMMYFUNCTION("""COMPUTED_VALUE"""),2.0)</f>
        <v>2</v>
      </c>
      <c r="K3899" s="5">
        <f>IFERROR(__xludf.DUMMYFUNCTION("""COMPUTED_VALUE"""),0.004357298474945534)</f>
        <v>0.004357298475</v>
      </c>
      <c r="L3899" s="10">
        <f>IFERROR(__xludf.DUMMYFUNCTION("""COMPUTED_VALUE"""),135.0)</f>
        <v>135</v>
      </c>
      <c r="M3899" s="5">
        <f>IFERROR(__xludf.DUMMYFUNCTION("""COMPUTED_VALUE"""),0.29411764705882354)</f>
        <v>0.2941176471</v>
      </c>
    </row>
    <row r="3900">
      <c r="A3900" s="10" t="str">
        <f>IFERROR(__xludf.DUMMYFUNCTION("""COMPUTED_VALUE"""),"南南南")</f>
        <v>南南南</v>
      </c>
      <c r="B3900" s="10">
        <f>IFERROR(__xludf.DUMMYFUNCTION("""COMPUTED_VALUE"""),193.0)</f>
        <v>193</v>
      </c>
      <c r="C3900" s="10">
        <f>IFERROR(__xludf.DUMMYFUNCTION("""COMPUTED_VALUE"""),2232.0)</f>
        <v>2232</v>
      </c>
      <c r="D3900" s="5">
        <f>IFERROR(__xludf.DUMMYFUNCTION("""COMPUTED_VALUE"""),0.31191760666993623)</f>
        <v>0.3119176067</v>
      </c>
      <c r="E3900" s="5">
        <f>IFERROR(__xludf.DUMMYFUNCTION("""COMPUTED_VALUE"""),0.1211378126532614)</f>
        <v>0.1211378127</v>
      </c>
      <c r="F3900" s="5">
        <f>IFERROR(__xludf.DUMMYFUNCTION("""COMPUTED_VALUE"""),0.20156939676311916)</f>
        <v>0.2015693968</v>
      </c>
      <c r="G3900" s="5">
        <f>IFERROR(__xludf.DUMMYFUNCTION("""COMPUTED_VALUE"""),0.19176066699362432)</f>
        <v>0.191760667</v>
      </c>
      <c r="H3900" s="5">
        <f>IFERROR(__xludf.DUMMYFUNCTION("""COMPUTED_VALUE"""),0.5620437956204379)</f>
        <v>0.5620437956</v>
      </c>
      <c r="I3900" s="11">
        <f>IFERROR(__xludf.DUMMYFUNCTION("""COMPUTED_VALUE"""),6048.175182481752)</f>
        <v>6048.175182</v>
      </c>
      <c r="J3900" s="10">
        <f>IFERROR(__xludf.DUMMYFUNCTION("""COMPUTED_VALUE"""),0.0)</f>
        <v>0</v>
      </c>
      <c r="K3900" s="5">
        <f>IFERROR(__xludf.DUMMYFUNCTION("""COMPUTED_VALUE"""),0.0)</f>
        <v>0</v>
      </c>
      <c r="L3900" s="10">
        <f>IFERROR(__xludf.DUMMYFUNCTION("""COMPUTED_VALUE"""),193.0)</f>
        <v>193</v>
      </c>
      <c r="M3900" s="5">
        <f>IFERROR(__xludf.DUMMYFUNCTION("""COMPUTED_VALUE"""),1.0)</f>
        <v>1</v>
      </c>
    </row>
    <row r="3901">
      <c r="A3901" s="10" t="str">
        <f>IFERROR(__xludf.DUMMYFUNCTION("""COMPUTED_VALUE"""),"フリコンドル")</f>
        <v>フリコンドル</v>
      </c>
      <c r="B3901" s="10">
        <f>IFERROR(__xludf.DUMMYFUNCTION("""COMPUTED_VALUE"""),189.0)</f>
        <v>189</v>
      </c>
      <c r="C3901" s="10">
        <f>IFERROR(__xludf.DUMMYFUNCTION("""COMPUTED_VALUE"""),2162.0)</f>
        <v>2162</v>
      </c>
      <c r="D3901" s="5">
        <f>IFERROR(__xludf.DUMMYFUNCTION("""COMPUTED_VALUE"""),0.3416117587430309)</f>
        <v>0.3416117587</v>
      </c>
      <c r="E3901" s="5">
        <f>IFERROR(__xludf.DUMMYFUNCTION("""COMPUTED_VALUE"""),0.12113532691332995)</f>
        <v>0.1211353269</v>
      </c>
      <c r="F3901" s="5">
        <f>IFERROR(__xludf.DUMMYFUNCTION("""COMPUTED_VALUE"""),0.1956411556006082)</f>
        <v>0.1956411556</v>
      </c>
      <c r="G3901" s="5">
        <f>IFERROR(__xludf.DUMMYFUNCTION("""COMPUTED_VALUE"""),0.16066903193106943)</f>
        <v>0.1606690319</v>
      </c>
      <c r="H3901" s="5">
        <f>IFERROR(__xludf.DUMMYFUNCTION("""COMPUTED_VALUE"""),0.6295336787564767)</f>
        <v>0.6295336788</v>
      </c>
      <c r="I3901" s="11">
        <f>IFERROR(__xludf.DUMMYFUNCTION("""COMPUTED_VALUE"""),5645.854922279793)</f>
        <v>5645.854922</v>
      </c>
      <c r="J3901" s="10">
        <f>IFERROR(__xludf.DUMMYFUNCTION("""COMPUTED_VALUE"""),0.0)</f>
        <v>0</v>
      </c>
      <c r="K3901" s="5">
        <f>IFERROR(__xludf.DUMMYFUNCTION("""COMPUTED_VALUE"""),0.0)</f>
        <v>0</v>
      </c>
      <c r="L3901" s="10">
        <f>IFERROR(__xludf.DUMMYFUNCTION("""COMPUTED_VALUE"""),189.0)</f>
        <v>189</v>
      </c>
      <c r="M3901" s="5">
        <f>IFERROR(__xludf.DUMMYFUNCTION("""COMPUTED_VALUE"""),1.0)</f>
        <v>1</v>
      </c>
    </row>
    <row r="3902">
      <c r="A3902" s="10" t="str">
        <f>IFERROR(__xludf.DUMMYFUNCTION("""COMPUTED_VALUE"""),"－rimu－")</f>
        <v>－rimu－</v>
      </c>
      <c r="B3902" s="10">
        <f>IFERROR(__xludf.DUMMYFUNCTION("""COMPUTED_VALUE"""),1322.0)</f>
        <v>1322</v>
      </c>
      <c r="C3902" s="10">
        <f>IFERROR(__xludf.DUMMYFUNCTION("""COMPUTED_VALUE"""),15769.0)</f>
        <v>15769</v>
      </c>
      <c r="D3902" s="5">
        <f>IFERROR(__xludf.DUMMYFUNCTION("""COMPUTED_VALUE"""),0.3161902125008652)</f>
        <v>0.3161902125</v>
      </c>
      <c r="E3902" s="5">
        <f>IFERROR(__xludf.DUMMYFUNCTION("""COMPUTED_VALUE"""),0.12113241503426317)</f>
        <v>0.121132415</v>
      </c>
      <c r="F3902" s="5">
        <f>IFERROR(__xludf.DUMMYFUNCTION("""COMPUTED_VALUE"""),0.20675572783276805)</f>
        <v>0.2067557278</v>
      </c>
      <c r="G3902" s="5">
        <f>IFERROR(__xludf.DUMMYFUNCTION("""COMPUTED_VALUE"""),0.17076209593687272)</f>
        <v>0.1707620959</v>
      </c>
      <c r="H3902" s="5">
        <f>IFERROR(__xludf.DUMMYFUNCTION("""COMPUTED_VALUE"""),0.5999330431871442)</f>
        <v>0.5999330432</v>
      </c>
      <c r="I3902" s="11">
        <f>IFERROR(__xludf.DUMMYFUNCTION("""COMPUTED_VALUE"""),5607.499163039839)</f>
        <v>5607.499163</v>
      </c>
      <c r="J3902" s="10">
        <f>IFERROR(__xludf.DUMMYFUNCTION("""COMPUTED_VALUE"""),4.0)</f>
        <v>4</v>
      </c>
      <c r="K3902" s="5">
        <f>IFERROR(__xludf.DUMMYFUNCTION("""COMPUTED_VALUE"""),0.0030257186081694403)</f>
        <v>0.003025718608</v>
      </c>
      <c r="L3902" s="10">
        <f>IFERROR(__xludf.DUMMYFUNCTION("""COMPUTED_VALUE"""),1322.0)</f>
        <v>1322</v>
      </c>
      <c r="M3902" s="5">
        <f>IFERROR(__xludf.DUMMYFUNCTION("""COMPUTED_VALUE"""),1.0)</f>
        <v>1</v>
      </c>
    </row>
    <row r="3903">
      <c r="A3903" s="10" t="str">
        <f>IFERROR(__xludf.DUMMYFUNCTION("""COMPUTED_VALUE"""),"ポコピン")</f>
        <v>ポコピン</v>
      </c>
      <c r="B3903" s="10">
        <f>IFERROR(__xludf.DUMMYFUNCTION("""COMPUTED_VALUE"""),1208.0)</f>
        <v>1208</v>
      </c>
      <c r="C3903" s="10">
        <f>IFERROR(__xludf.DUMMYFUNCTION("""COMPUTED_VALUE"""),14244.0)</f>
        <v>14244</v>
      </c>
      <c r="D3903" s="5">
        <f>IFERROR(__xludf.DUMMYFUNCTION("""COMPUTED_VALUE"""),0.21501994476833383)</f>
        <v>0.2150199448</v>
      </c>
      <c r="E3903" s="5">
        <f>IFERROR(__xludf.DUMMYFUNCTION("""COMPUTED_VALUE"""),0.12112611230438784)</f>
        <v>0.1211261123</v>
      </c>
      <c r="F3903" s="5">
        <f>IFERROR(__xludf.DUMMYFUNCTION("""COMPUTED_VALUE"""),0.19630254679349493)</f>
        <v>0.1963025468</v>
      </c>
      <c r="G3903" s="5">
        <f>IFERROR(__xludf.DUMMYFUNCTION("""COMPUTED_VALUE"""),0.20474071801166002)</f>
        <v>0.204740718</v>
      </c>
      <c r="H3903" s="5">
        <f>IFERROR(__xludf.DUMMYFUNCTION("""COMPUTED_VALUE"""),0.5748339194998046)</f>
        <v>0.5748339195</v>
      </c>
      <c r="I3903" s="11">
        <f>IFERROR(__xludf.DUMMYFUNCTION("""COMPUTED_VALUE"""),6021.649081672528)</f>
        <v>6021.649082</v>
      </c>
      <c r="J3903" s="10">
        <f>IFERROR(__xludf.DUMMYFUNCTION("""COMPUTED_VALUE"""),2.0)</f>
        <v>2</v>
      </c>
      <c r="K3903" s="5">
        <f>IFERROR(__xludf.DUMMYFUNCTION("""COMPUTED_VALUE"""),0.0016556291390728477)</f>
        <v>0.001655629139</v>
      </c>
      <c r="L3903" s="10">
        <f>IFERROR(__xludf.DUMMYFUNCTION("""COMPUTED_VALUE"""),1208.0)</f>
        <v>1208</v>
      </c>
      <c r="M3903" s="5">
        <f>IFERROR(__xludf.DUMMYFUNCTION("""COMPUTED_VALUE"""),1.0)</f>
        <v>1</v>
      </c>
    </row>
    <row r="3904">
      <c r="A3904" s="10" t="str">
        <f>IFERROR(__xludf.DUMMYFUNCTION("""COMPUTED_VALUE"""),"soumilon")</f>
        <v>soumilon</v>
      </c>
      <c r="B3904" s="10">
        <f>IFERROR(__xludf.DUMMYFUNCTION("""COMPUTED_VALUE"""),265.0)</f>
        <v>265</v>
      </c>
      <c r="C3904" s="10">
        <f>IFERROR(__xludf.DUMMYFUNCTION("""COMPUTED_VALUE"""),3072.0)</f>
        <v>3072</v>
      </c>
      <c r="D3904" s="5">
        <f>IFERROR(__xludf.DUMMYFUNCTION("""COMPUTED_VALUE"""),0.3363021018881368)</f>
        <v>0.3363021019</v>
      </c>
      <c r="E3904" s="5">
        <f>IFERROR(__xludf.DUMMYFUNCTION("""COMPUTED_VALUE"""),0.12112575703598147)</f>
        <v>0.121125757</v>
      </c>
      <c r="F3904" s="5">
        <f>IFERROR(__xludf.DUMMYFUNCTION("""COMPUTED_VALUE"""),0.19665122907018168)</f>
        <v>0.1966512291</v>
      </c>
      <c r="G3904" s="5">
        <f>IFERROR(__xludf.DUMMYFUNCTION("""COMPUTED_VALUE"""),0.13893836836480228)</f>
        <v>0.1389383684</v>
      </c>
      <c r="H3904" s="5">
        <f>IFERROR(__xludf.DUMMYFUNCTION("""COMPUTED_VALUE"""),0.5996376811594203)</f>
        <v>0.5996376812</v>
      </c>
      <c r="I3904" s="11">
        <f>IFERROR(__xludf.DUMMYFUNCTION("""COMPUTED_VALUE"""),5668.115942028986)</f>
        <v>5668.115942</v>
      </c>
      <c r="J3904" s="10">
        <f>IFERROR(__xludf.DUMMYFUNCTION("""COMPUTED_VALUE"""),0.0)</f>
        <v>0</v>
      </c>
      <c r="K3904" s="5">
        <f>IFERROR(__xludf.DUMMYFUNCTION("""COMPUTED_VALUE"""),0.0)</f>
        <v>0</v>
      </c>
      <c r="L3904" s="10">
        <f>IFERROR(__xludf.DUMMYFUNCTION("""COMPUTED_VALUE"""),239.0)</f>
        <v>239</v>
      </c>
      <c r="M3904" s="5">
        <f>IFERROR(__xludf.DUMMYFUNCTION("""COMPUTED_VALUE"""),0.9018867924528302)</f>
        <v>0.9018867925</v>
      </c>
    </row>
    <row r="3905">
      <c r="A3905" s="10" t="str">
        <f>IFERROR(__xludf.DUMMYFUNCTION("""COMPUTED_VALUE"""),"りゅぅ")</f>
        <v>りゅぅ</v>
      </c>
      <c r="B3905" s="10">
        <f>IFERROR(__xludf.DUMMYFUNCTION("""COMPUTED_VALUE"""),418.0)</f>
        <v>418</v>
      </c>
      <c r="C3905" s="10">
        <f>IFERROR(__xludf.DUMMYFUNCTION("""COMPUTED_VALUE"""),4926.0)</f>
        <v>4926</v>
      </c>
      <c r="D3905" s="5">
        <f>IFERROR(__xludf.DUMMYFUNCTION("""COMPUTED_VALUE"""),0.39463176574977815)</f>
        <v>0.3946317657</v>
      </c>
      <c r="E3905" s="5">
        <f>IFERROR(__xludf.DUMMYFUNCTION("""COMPUTED_VALUE"""),0.12111801242236025)</f>
        <v>0.1211180124</v>
      </c>
      <c r="F3905" s="5">
        <f>IFERROR(__xludf.DUMMYFUNCTION("""COMPUTED_VALUE"""),0.21406388642413487)</f>
        <v>0.2140638864</v>
      </c>
      <c r="G3905" s="5">
        <f>IFERROR(__xludf.DUMMYFUNCTION("""COMPUTED_VALUE"""),0.17701863354037267)</f>
        <v>0.1770186335</v>
      </c>
      <c r="H3905" s="5">
        <f>IFERROR(__xludf.DUMMYFUNCTION("""COMPUTED_VALUE"""),0.5989637305699482)</f>
        <v>0.5989637306</v>
      </c>
      <c r="I3905" s="11">
        <f>IFERROR(__xludf.DUMMYFUNCTION("""COMPUTED_VALUE"""),5557.305699481865)</f>
        <v>5557.305699</v>
      </c>
      <c r="J3905" s="10">
        <f>IFERROR(__xludf.DUMMYFUNCTION("""COMPUTED_VALUE"""),0.0)</f>
        <v>0</v>
      </c>
      <c r="K3905" s="5">
        <f>IFERROR(__xludf.DUMMYFUNCTION("""COMPUTED_VALUE"""),0.0)</f>
        <v>0</v>
      </c>
      <c r="L3905" s="10">
        <f>IFERROR(__xludf.DUMMYFUNCTION("""COMPUTED_VALUE"""),418.0)</f>
        <v>418</v>
      </c>
      <c r="M3905" s="5">
        <f>IFERROR(__xludf.DUMMYFUNCTION("""COMPUTED_VALUE"""),1.0)</f>
        <v>1</v>
      </c>
    </row>
    <row r="3906">
      <c r="A3906" s="10" t="str">
        <f>IFERROR(__xludf.DUMMYFUNCTION("""COMPUTED_VALUE"""),"そんなことない")</f>
        <v>そんなことない</v>
      </c>
      <c r="B3906" s="10">
        <f>IFERROR(__xludf.DUMMYFUNCTION("""COMPUTED_VALUE"""),483.0)</f>
        <v>483</v>
      </c>
      <c r="C3906" s="10">
        <f>IFERROR(__xludf.DUMMYFUNCTION("""COMPUTED_VALUE"""),5503.0)</f>
        <v>5503</v>
      </c>
      <c r="D3906" s="5">
        <f>IFERROR(__xludf.DUMMYFUNCTION("""COMPUTED_VALUE"""),0.349203187250996)</f>
        <v>0.3492031873</v>
      </c>
      <c r="E3906" s="5">
        <f>IFERROR(__xludf.DUMMYFUNCTION("""COMPUTED_VALUE"""),0.12111553784860558)</f>
        <v>0.1211155378</v>
      </c>
      <c r="F3906" s="5">
        <f>IFERROR(__xludf.DUMMYFUNCTION("""COMPUTED_VALUE"""),0.20278884462151395)</f>
        <v>0.2027888446</v>
      </c>
      <c r="G3906" s="5">
        <f>IFERROR(__xludf.DUMMYFUNCTION("""COMPUTED_VALUE"""),0.1595617529880478)</f>
        <v>0.159561753</v>
      </c>
      <c r="H3906" s="5">
        <f>IFERROR(__xludf.DUMMYFUNCTION("""COMPUTED_VALUE"""),0.5962671905697446)</f>
        <v>0.5962671906</v>
      </c>
      <c r="I3906" s="11">
        <f>IFERROR(__xludf.DUMMYFUNCTION("""COMPUTED_VALUE"""),5640.7662082514735)</f>
        <v>5640.766208</v>
      </c>
      <c r="J3906" s="10">
        <f>IFERROR(__xludf.DUMMYFUNCTION("""COMPUTED_VALUE"""),1.0)</f>
        <v>1</v>
      </c>
      <c r="K3906" s="5">
        <f>IFERROR(__xludf.DUMMYFUNCTION("""COMPUTED_VALUE"""),0.002070393374741201)</f>
        <v>0.002070393375</v>
      </c>
      <c r="L3906" s="10">
        <f>IFERROR(__xludf.DUMMYFUNCTION("""COMPUTED_VALUE"""),483.0)</f>
        <v>483</v>
      </c>
      <c r="M3906" s="5">
        <f>IFERROR(__xludf.DUMMYFUNCTION("""COMPUTED_VALUE"""),1.0)</f>
        <v>1</v>
      </c>
    </row>
    <row r="3907">
      <c r="A3907" s="10" t="str">
        <f>IFERROR(__xludf.DUMMYFUNCTION("""COMPUTED_VALUE"""),"kei-kei")</f>
        <v>kei-kei</v>
      </c>
      <c r="B3907" s="10">
        <f>IFERROR(__xludf.DUMMYFUNCTION("""COMPUTED_VALUE"""),240.0)</f>
        <v>240</v>
      </c>
      <c r="C3907" s="10">
        <f>IFERROR(__xludf.DUMMYFUNCTION("""COMPUTED_VALUE"""),2841.0)</f>
        <v>2841</v>
      </c>
      <c r="D3907" s="5">
        <f>IFERROR(__xludf.DUMMYFUNCTION("""COMPUTED_VALUE"""),0.3429450211457132)</f>
        <v>0.3429450211</v>
      </c>
      <c r="E3907" s="5">
        <f>IFERROR(__xludf.DUMMYFUNCTION("""COMPUTED_VALUE"""),0.12110726643598616)</f>
        <v>0.1211072664</v>
      </c>
      <c r="F3907" s="5">
        <f>IFERROR(__xludf.DUMMYFUNCTION("""COMPUTED_VALUE"""),0.1964628988850442)</f>
        <v>0.1964628989</v>
      </c>
      <c r="G3907" s="5">
        <f>IFERROR(__xludf.DUMMYFUNCTION("""COMPUTED_VALUE"""),0.1376393694732795)</f>
        <v>0.1376393695</v>
      </c>
      <c r="H3907" s="5">
        <f>IFERROR(__xludf.DUMMYFUNCTION("""COMPUTED_VALUE"""),0.62426614481409)</f>
        <v>0.6242661448</v>
      </c>
      <c r="I3907" s="11">
        <f>IFERROR(__xludf.DUMMYFUNCTION("""COMPUTED_VALUE"""),5466.92759295499)</f>
        <v>5466.927593</v>
      </c>
      <c r="J3907" s="10">
        <f>IFERROR(__xludf.DUMMYFUNCTION("""COMPUTED_VALUE"""),0.0)</f>
        <v>0</v>
      </c>
      <c r="K3907" s="5">
        <f>IFERROR(__xludf.DUMMYFUNCTION("""COMPUTED_VALUE"""),0.0)</f>
        <v>0</v>
      </c>
      <c r="L3907" s="10">
        <f>IFERROR(__xludf.DUMMYFUNCTION("""COMPUTED_VALUE"""),240.0)</f>
        <v>240</v>
      </c>
      <c r="M3907" s="5">
        <f>IFERROR(__xludf.DUMMYFUNCTION("""COMPUTED_VALUE"""),1.0)</f>
        <v>1</v>
      </c>
    </row>
    <row r="3908">
      <c r="A3908" s="10" t="str">
        <f>IFERROR(__xludf.DUMMYFUNCTION("""COMPUTED_VALUE"""),"ぬ～ゐ～")</f>
        <v>ぬ～ゐ～</v>
      </c>
      <c r="B3908" s="10">
        <f>IFERROR(__xludf.DUMMYFUNCTION("""COMPUTED_VALUE"""),606.0)</f>
        <v>606</v>
      </c>
      <c r="C3908" s="10">
        <f>IFERROR(__xludf.DUMMYFUNCTION("""COMPUTED_VALUE"""),7088.0)</f>
        <v>7088</v>
      </c>
      <c r="D3908" s="5">
        <f>IFERROR(__xludf.DUMMYFUNCTION("""COMPUTED_VALUE"""),0.3316877506942302)</f>
        <v>0.3316877507</v>
      </c>
      <c r="E3908" s="5">
        <f>IFERROR(__xludf.DUMMYFUNCTION("""COMPUTED_VALUE"""),0.12110459734649799)</f>
        <v>0.1211045973</v>
      </c>
      <c r="F3908" s="5">
        <f>IFERROR(__xludf.DUMMYFUNCTION("""COMPUTED_VALUE"""),0.19191607528540575)</f>
        <v>0.1919160753</v>
      </c>
      <c r="G3908" s="5">
        <f>IFERROR(__xludf.DUMMYFUNCTION("""COMPUTED_VALUE"""),0.154273372415921)</f>
        <v>0.1542733724</v>
      </c>
      <c r="H3908" s="5">
        <f>IFERROR(__xludf.DUMMYFUNCTION("""COMPUTED_VALUE"""),0.594855305466238)</f>
        <v>0.5948553055</v>
      </c>
      <c r="I3908" s="11">
        <f>IFERROR(__xludf.DUMMYFUNCTION("""COMPUTED_VALUE"""),6122.106109324759)</f>
        <v>6122.106109</v>
      </c>
      <c r="J3908" s="10">
        <f>IFERROR(__xludf.DUMMYFUNCTION("""COMPUTED_VALUE"""),0.0)</f>
        <v>0</v>
      </c>
      <c r="K3908" s="5">
        <f>IFERROR(__xludf.DUMMYFUNCTION("""COMPUTED_VALUE"""),0.0)</f>
        <v>0</v>
      </c>
      <c r="L3908" s="10">
        <f>IFERROR(__xludf.DUMMYFUNCTION("""COMPUTED_VALUE"""),606.0)</f>
        <v>606</v>
      </c>
      <c r="M3908" s="5">
        <f>IFERROR(__xludf.DUMMYFUNCTION("""COMPUTED_VALUE"""),1.0)</f>
        <v>1</v>
      </c>
    </row>
    <row r="3909">
      <c r="A3909" s="10" t="str">
        <f>IFERROR(__xludf.DUMMYFUNCTION("""COMPUTED_VALUE"""),"高町ヴィヴィオ☆")</f>
        <v>高町ヴィヴィオ☆</v>
      </c>
      <c r="B3909" s="10">
        <f>IFERROR(__xludf.DUMMYFUNCTION("""COMPUTED_VALUE"""),2269.0)</f>
        <v>2269</v>
      </c>
      <c r="C3909" s="10">
        <f>IFERROR(__xludf.DUMMYFUNCTION("""COMPUTED_VALUE"""),26686.0)</f>
        <v>26686</v>
      </c>
      <c r="D3909" s="5">
        <f>IFERROR(__xludf.DUMMYFUNCTION("""COMPUTED_VALUE"""),0.41122988082073964)</f>
        <v>0.4112298808</v>
      </c>
      <c r="E3909" s="5">
        <f>IFERROR(__xludf.DUMMYFUNCTION("""COMPUTED_VALUE"""),0.12110414874882254)</f>
        <v>0.1211041487</v>
      </c>
      <c r="F3909" s="5">
        <f>IFERROR(__xludf.DUMMYFUNCTION("""COMPUTED_VALUE"""),0.21489126428308147)</f>
        <v>0.2148912643</v>
      </c>
      <c r="G3909" s="5">
        <f>IFERROR(__xludf.DUMMYFUNCTION("""COMPUTED_VALUE"""),0.15325388049309907)</f>
        <v>0.1532538805</v>
      </c>
      <c r="H3909" s="5">
        <f>IFERROR(__xludf.DUMMYFUNCTION("""COMPUTED_VALUE"""),0.6033924147131694)</f>
        <v>0.6033924147</v>
      </c>
      <c r="I3909" s="11">
        <f>IFERROR(__xludf.DUMMYFUNCTION("""COMPUTED_VALUE"""),5187.459500667048)</f>
        <v>5187.459501</v>
      </c>
      <c r="J3909" s="10">
        <f>IFERROR(__xludf.DUMMYFUNCTION("""COMPUTED_VALUE"""),4.0)</f>
        <v>4</v>
      </c>
      <c r="K3909" s="5">
        <f>IFERROR(__xludf.DUMMYFUNCTION("""COMPUTED_VALUE"""),0.0017628911414720142)</f>
        <v>0.001762891141</v>
      </c>
      <c r="L3909" s="10">
        <f>IFERROR(__xludf.DUMMYFUNCTION("""COMPUTED_VALUE"""),145.0)</f>
        <v>145</v>
      </c>
      <c r="M3909" s="5">
        <f>IFERROR(__xludf.DUMMYFUNCTION("""COMPUTED_VALUE"""),0.0639048038783605)</f>
        <v>0.06390480388</v>
      </c>
    </row>
    <row r="3910">
      <c r="A3910" s="10" t="str">
        <f>IFERROR(__xludf.DUMMYFUNCTION("""COMPUTED_VALUE"""),"中川内雪音")</f>
        <v>中川内雪音</v>
      </c>
      <c r="B3910" s="10">
        <f>IFERROR(__xludf.DUMMYFUNCTION("""COMPUTED_VALUE"""),369.0)</f>
        <v>369</v>
      </c>
      <c r="C3910" s="10">
        <f>IFERROR(__xludf.DUMMYFUNCTION("""COMPUTED_VALUE"""),4217.0)</f>
        <v>4217</v>
      </c>
      <c r="D3910" s="5">
        <f>IFERROR(__xludf.DUMMYFUNCTION("""COMPUTED_VALUE"""),0.3388773388773389)</f>
        <v>0.3388773389</v>
      </c>
      <c r="E3910" s="5">
        <f>IFERROR(__xludf.DUMMYFUNCTION("""COMPUTED_VALUE"""),0.12110187110187111)</f>
        <v>0.1211018711</v>
      </c>
      <c r="F3910" s="5">
        <f>IFERROR(__xludf.DUMMYFUNCTION("""COMPUTED_VALUE"""),0.20374220374220375)</f>
        <v>0.2037422037</v>
      </c>
      <c r="G3910" s="5">
        <f>IFERROR(__xludf.DUMMYFUNCTION("""COMPUTED_VALUE"""),0.19230769230769232)</f>
        <v>0.1923076923</v>
      </c>
      <c r="H3910" s="5">
        <f>IFERROR(__xludf.DUMMYFUNCTION("""COMPUTED_VALUE"""),0.5892857142857143)</f>
        <v>0.5892857143</v>
      </c>
      <c r="I3910" s="11">
        <f>IFERROR(__xludf.DUMMYFUNCTION("""COMPUTED_VALUE"""),5868.367346938776)</f>
        <v>5868.367347</v>
      </c>
      <c r="J3910" s="10">
        <f>IFERROR(__xludf.DUMMYFUNCTION("""COMPUTED_VALUE"""),0.0)</f>
        <v>0</v>
      </c>
      <c r="K3910" s="5">
        <f>IFERROR(__xludf.DUMMYFUNCTION("""COMPUTED_VALUE"""),0.0)</f>
        <v>0</v>
      </c>
      <c r="L3910" s="10">
        <f>IFERROR(__xludf.DUMMYFUNCTION("""COMPUTED_VALUE"""),0.0)</f>
        <v>0</v>
      </c>
      <c r="M3910" s="5">
        <f>IFERROR(__xludf.DUMMYFUNCTION("""COMPUTED_VALUE"""),0.0)</f>
        <v>0</v>
      </c>
    </row>
    <row r="3911">
      <c r="A3911" s="10" t="str">
        <f>IFERROR(__xludf.DUMMYFUNCTION("""COMPUTED_VALUE"""),"チーター")</f>
        <v>チーター</v>
      </c>
      <c r="B3911" s="10">
        <f>IFERROR(__xludf.DUMMYFUNCTION("""COMPUTED_VALUE"""),2314.0)</f>
        <v>2314</v>
      </c>
      <c r="C3911" s="10">
        <f>IFERROR(__xludf.DUMMYFUNCTION("""COMPUTED_VALUE"""),27244.0)</f>
        <v>27244</v>
      </c>
      <c r="D3911" s="5">
        <f>IFERROR(__xludf.DUMMYFUNCTION("""COMPUTED_VALUE"""),0.3496991576413959)</f>
        <v>0.3496991576</v>
      </c>
      <c r="E3911" s="5">
        <f>IFERROR(__xludf.DUMMYFUNCTION("""COMPUTED_VALUE"""),0.12109907741676695)</f>
        <v>0.1210990774</v>
      </c>
      <c r="F3911" s="5">
        <f>IFERROR(__xludf.DUMMYFUNCTION("""COMPUTED_VALUE"""),0.21993582029683112)</f>
        <v>0.2199358203</v>
      </c>
      <c r="G3911" s="5">
        <f>IFERROR(__xludf.DUMMYFUNCTION("""COMPUTED_VALUE"""),0.16109105495387083)</f>
        <v>0.161091055</v>
      </c>
      <c r="H3911" s="5">
        <f>IFERROR(__xludf.DUMMYFUNCTION("""COMPUTED_VALUE"""),0.5983950392121101)</f>
        <v>0.5983950392</v>
      </c>
      <c r="I3911" s="11">
        <f>IFERROR(__xludf.DUMMYFUNCTION("""COMPUTED_VALUE"""),5550.811599489331)</f>
        <v>5550.811599</v>
      </c>
      <c r="J3911" s="10">
        <f>IFERROR(__xludf.DUMMYFUNCTION("""COMPUTED_VALUE"""),2.0)</f>
        <v>2</v>
      </c>
      <c r="K3911" s="5">
        <f>IFERROR(__xludf.DUMMYFUNCTION("""COMPUTED_VALUE"""),8.64304235090752E-4)</f>
        <v>0.0008643042351</v>
      </c>
      <c r="L3911" s="10">
        <f>IFERROR(__xludf.DUMMYFUNCTION("""COMPUTED_VALUE"""),2291.0)</f>
        <v>2291</v>
      </c>
      <c r="M3911" s="5">
        <f>IFERROR(__xludf.DUMMYFUNCTION("""COMPUTED_VALUE"""),0.9900605012964564)</f>
        <v>0.9900605013</v>
      </c>
    </row>
    <row r="3912">
      <c r="A3912" s="10" t="str">
        <f>IFERROR(__xludf.DUMMYFUNCTION("""COMPUTED_VALUE"""),"むー子")</f>
        <v>むー子</v>
      </c>
      <c r="B3912" s="10">
        <f>IFERROR(__xludf.DUMMYFUNCTION("""COMPUTED_VALUE"""),656.0)</f>
        <v>656</v>
      </c>
      <c r="C3912" s="10">
        <f>IFERROR(__xludf.DUMMYFUNCTION("""COMPUTED_VALUE"""),7676.0)</f>
        <v>7676</v>
      </c>
      <c r="D3912" s="5">
        <f>IFERROR(__xludf.DUMMYFUNCTION("""COMPUTED_VALUE"""),0.3584045584045584)</f>
        <v>0.3584045584</v>
      </c>
      <c r="E3912" s="5">
        <f>IFERROR(__xludf.DUMMYFUNCTION("""COMPUTED_VALUE"""),0.12108262108262108)</f>
        <v>0.1210826211</v>
      </c>
      <c r="F3912" s="5">
        <f>IFERROR(__xludf.DUMMYFUNCTION("""COMPUTED_VALUE"""),0.22606837606837607)</f>
        <v>0.2260683761</v>
      </c>
      <c r="G3912" s="5">
        <f>IFERROR(__xludf.DUMMYFUNCTION("""COMPUTED_VALUE"""),0.1866096866096866)</f>
        <v>0.1866096866</v>
      </c>
      <c r="H3912" s="5">
        <f>IFERROR(__xludf.DUMMYFUNCTION("""COMPUTED_VALUE"""),0.6017643352236925)</f>
        <v>0.6017643352</v>
      </c>
      <c r="I3912" s="11">
        <f>IFERROR(__xludf.DUMMYFUNCTION("""COMPUTED_VALUE"""),5491.493383742911)</f>
        <v>5491.493384</v>
      </c>
      <c r="J3912" s="10">
        <f>IFERROR(__xludf.DUMMYFUNCTION("""COMPUTED_VALUE"""),1.0)</f>
        <v>1</v>
      </c>
      <c r="K3912" s="5">
        <f>IFERROR(__xludf.DUMMYFUNCTION("""COMPUTED_VALUE"""),0.001524390243902439)</f>
        <v>0.001524390244</v>
      </c>
      <c r="L3912" s="10">
        <f>IFERROR(__xludf.DUMMYFUNCTION("""COMPUTED_VALUE"""),0.0)</f>
        <v>0</v>
      </c>
      <c r="M3912" s="5">
        <f>IFERROR(__xludf.DUMMYFUNCTION("""COMPUTED_VALUE"""),0.0)</f>
        <v>0</v>
      </c>
    </row>
    <row r="3913">
      <c r="A3913" s="10" t="str">
        <f>IFERROR(__xludf.DUMMYFUNCTION("""COMPUTED_VALUE"""),"lyon_08")</f>
        <v>lyon_08</v>
      </c>
      <c r="B3913" s="10">
        <f>IFERROR(__xludf.DUMMYFUNCTION("""COMPUTED_VALUE"""),700.0)</f>
        <v>700</v>
      </c>
      <c r="C3913" s="10">
        <f>IFERROR(__xludf.DUMMYFUNCTION("""COMPUTED_VALUE"""),8191.0)</f>
        <v>8191</v>
      </c>
      <c r="D3913" s="5">
        <f>IFERROR(__xludf.DUMMYFUNCTION("""COMPUTED_VALUE"""),0.25590708850620747)</f>
        <v>0.2559070885</v>
      </c>
      <c r="E3913" s="5">
        <f>IFERROR(__xludf.DUMMYFUNCTION("""COMPUTED_VALUE"""),0.12107862768655721)</f>
        <v>0.1210786277</v>
      </c>
      <c r="F3913" s="5">
        <f>IFERROR(__xludf.DUMMYFUNCTION("""COMPUTED_VALUE"""),0.19303163796555867)</f>
        <v>0.193031638</v>
      </c>
      <c r="G3913" s="5">
        <f>IFERROR(__xludf.DUMMYFUNCTION("""COMPUTED_VALUE"""),0.1766119343211854)</f>
        <v>0.1766119343</v>
      </c>
      <c r="H3913" s="5">
        <f>IFERROR(__xludf.DUMMYFUNCTION("""COMPUTED_VALUE"""),0.5864453665283541)</f>
        <v>0.5864453665</v>
      </c>
      <c r="I3913" s="11">
        <f>IFERROR(__xludf.DUMMYFUNCTION("""COMPUTED_VALUE"""),5906.2932226832645)</f>
        <v>5906.293223</v>
      </c>
      <c r="J3913" s="10">
        <f>IFERROR(__xludf.DUMMYFUNCTION("""COMPUTED_VALUE"""),1.0)</f>
        <v>1</v>
      </c>
      <c r="K3913" s="5">
        <f>IFERROR(__xludf.DUMMYFUNCTION("""COMPUTED_VALUE"""),0.0014285714285714286)</f>
        <v>0.001428571429</v>
      </c>
      <c r="L3913" s="10">
        <f>IFERROR(__xludf.DUMMYFUNCTION("""COMPUTED_VALUE"""),700.0)</f>
        <v>700</v>
      </c>
      <c r="M3913" s="5">
        <f>IFERROR(__xludf.DUMMYFUNCTION("""COMPUTED_VALUE"""),1.0)</f>
        <v>1</v>
      </c>
    </row>
    <row r="3914">
      <c r="A3914" s="10" t="str">
        <f>IFERROR(__xludf.DUMMYFUNCTION("""COMPUTED_VALUE"""),"天空saya")</f>
        <v>天空saya</v>
      </c>
      <c r="B3914" s="10">
        <f>IFERROR(__xludf.DUMMYFUNCTION("""COMPUTED_VALUE"""),2157.0)</f>
        <v>2157</v>
      </c>
      <c r="C3914" s="10">
        <f>IFERROR(__xludf.DUMMYFUNCTION("""COMPUTED_VALUE"""),25580.0)</f>
        <v>25580</v>
      </c>
      <c r="D3914" s="5">
        <f>IFERROR(__xludf.DUMMYFUNCTION("""COMPUTED_VALUE"""),0.3771506638773855)</f>
        <v>0.3771506639</v>
      </c>
      <c r="E3914" s="5">
        <f>IFERROR(__xludf.DUMMYFUNCTION("""COMPUTED_VALUE"""),0.12107757332536395)</f>
        <v>0.1210775733</v>
      </c>
      <c r="F3914" s="5">
        <f>IFERROR(__xludf.DUMMYFUNCTION("""COMPUTED_VALUE"""),0.2146608034837553)</f>
        <v>0.2146608035</v>
      </c>
      <c r="G3914" s="5">
        <f>IFERROR(__xludf.DUMMYFUNCTION("""COMPUTED_VALUE"""),0.17145540707851256)</f>
        <v>0.1714554071</v>
      </c>
      <c r="H3914" s="5">
        <f>IFERROR(__xludf.DUMMYFUNCTION("""COMPUTED_VALUE"""),0.5956642800318218)</f>
        <v>0.59566428</v>
      </c>
      <c r="I3914" s="11">
        <f>IFERROR(__xludf.DUMMYFUNCTION("""COMPUTED_VALUE"""),5379.61416070008)</f>
        <v>5379.614161</v>
      </c>
      <c r="J3914" s="10">
        <f>IFERROR(__xludf.DUMMYFUNCTION("""COMPUTED_VALUE"""),5.0)</f>
        <v>5</v>
      </c>
      <c r="K3914" s="5">
        <f>IFERROR(__xludf.DUMMYFUNCTION("""COMPUTED_VALUE"""),0.0023180343069077423)</f>
        <v>0.002318034307</v>
      </c>
      <c r="L3914" s="10">
        <f>IFERROR(__xludf.DUMMYFUNCTION("""COMPUTED_VALUE"""),1908.0)</f>
        <v>1908</v>
      </c>
      <c r="M3914" s="5">
        <f>IFERROR(__xludf.DUMMYFUNCTION("""COMPUTED_VALUE"""),0.8845618915159944)</f>
        <v>0.8845618915</v>
      </c>
    </row>
    <row r="3915">
      <c r="A3915" s="10" t="str">
        <f>IFERROR(__xludf.DUMMYFUNCTION("""COMPUTED_VALUE"""),"ぴおぴお１１")</f>
        <v>ぴおぴお１１</v>
      </c>
      <c r="B3915" s="10">
        <f>IFERROR(__xludf.DUMMYFUNCTION("""COMPUTED_VALUE"""),3947.0)</f>
        <v>3947</v>
      </c>
      <c r="C3915" s="10">
        <f>IFERROR(__xludf.DUMMYFUNCTION("""COMPUTED_VALUE"""),46144.0)</f>
        <v>46144</v>
      </c>
      <c r="D3915" s="5">
        <f>IFERROR(__xludf.DUMMYFUNCTION("""COMPUTED_VALUE"""),0.33613764011659597)</f>
        <v>0.3361376401</v>
      </c>
      <c r="E3915" s="5">
        <f>IFERROR(__xludf.DUMMYFUNCTION("""COMPUTED_VALUE"""),0.12107495793539826)</f>
        <v>0.1210749579</v>
      </c>
      <c r="F3915" s="5">
        <f>IFERROR(__xludf.DUMMYFUNCTION("""COMPUTED_VALUE"""),0.21181600587719507)</f>
        <v>0.2118160059</v>
      </c>
      <c r="G3915" s="5">
        <f>IFERROR(__xludf.DUMMYFUNCTION("""COMPUTED_VALUE"""),0.18470507382041376)</f>
        <v>0.1847050738</v>
      </c>
      <c r="H3915" s="5">
        <f>IFERROR(__xludf.DUMMYFUNCTION("""COMPUTED_VALUE"""),0.5943164018796151)</f>
        <v>0.5943164019</v>
      </c>
      <c r="I3915" s="11">
        <f>IFERROR(__xludf.DUMMYFUNCTION("""COMPUTED_VALUE"""),5771.973595882748)</f>
        <v>5771.973596</v>
      </c>
      <c r="J3915" s="10">
        <f>IFERROR(__xludf.DUMMYFUNCTION("""COMPUTED_VALUE"""),7.0)</f>
        <v>7</v>
      </c>
      <c r="K3915" s="5">
        <f>IFERROR(__xludf.DUMMYFUNCTION("""COMPUTED_VALUE"""),0.00177349885989359)</f>
        <v>0.00177349886</v>
      </c>
      <c r="L3915" s="10">
        <f>IFERROR(__xludf.DUMMYFUNCTION("""COMPUTED_VALUE"""),3944.0)</f>
        <v>3944</v>
      </c>
      <c r="M3915" s="5">
        <f>IFERROR(__xludf.DUMMYFUNCTION("""COMPUTED_VALUE"""),0.9992399290600456)</f>
        <v>0.9992399291</v>
      </c>
    </row>
    <row r="3916">
      <c r="A3916" s="10" t="str">
        <f>IFERROR(__xludf.DUMMYFUNCTION("""COMPUTED_VALUE"""),"G.A")</f>
        <v>G.A</v>
      </c>
      <c r="B3916" s="10">
        <f>IFERROR(__xludf.DUMMYFUNCTION("""COMPUTED_VALUE"""),309.0)</f>
        <v>309</v>
      </c>
      <c r="C3916" s="10">
        <f>IFERROR(__xludf.DUMMYFUNCTION("""COMPUTED_VALUE"""),3588.0)</f>
        <v>3588</v>
      </c>
      <c r="D3916" s="5">
        <f>IFERROR(__xludf.DUMMYFUNCTION("""COMPUTED_VALUE"""),0.309545593168649)</f>
        <v>0.3095455932</v>
      </c>
      <c r="E3916" s="5">
        <f>IFERROR(__xludf.DUMMYFUNCTION("""COMPUTED_VALUE"""),0.12107349801768832)</f>
        <v>0.121073498</v>
      </c>
      <c r="F3916" s="5">
        <f>IFERROR(__xludf.DUMMYFUNCTION("""COMPUTED_VALUE"""),0.2098200670936261)</f>
        <v>0.2098200671</v>
      </c>
      <c r="G3916" s="5">
        <f>IFERROR(__xludf.DUMMYFUNCTION("""COMPUTED_VALUE"""),0.18115279048490393)</f>
        <v>0.1811527905</v>
      </c>
      <c r="H3916" s="5">
        <f>IFERROR(__xludf.DUMMYFUNCTION("""COMPUTED_VALUE"""),0.627906976744186)</f>
        <v>0.6279069767</v>
      </c>
      <c r="I3916" s="11">
        <f>IFERROR(__xludf.DUMMYFUNCTION("""COMPUTED_VALUE"""),5914.825581395349)</f>
        <v>5914.825581</v>
      </c>
      <c r="J3916" s="10">
        <f>IFERROR(__xludf.DUMMYFUNCTION("""COMPUTED_VALUE"""),1.0)</f>
        <v>1</v>
      </c>
      <c r="K3916" s="5">
        <f>IFERROR(__xludf.DUMMYFUNCTION("""COMPUTED_VALUE"""),0.003236245954692557)</f>
        <v>0.003236245955</v>
      </c>
      <c r="L3916" s="10">
        <f>IFERROR(__xludf.DUMMYFUNCTION("""COMPUTED_VALUE"""),309.0)</f>
        <v>309</v>
      </c>
      <c r="M3916" s="5">
        <f>IFERROR(__xludf.DUMMYFUNCTION("""COMPUTED_VALUE"""),1.0)</f>
        <v>1</v>
      </c>
    </row>
    <row r="3917">
      <c r="A3917" s="10" t="str">
        <f>IFERROR(__xludf.DUMMYFUNCTION("""COMPUTED_VALUE"""),"ヤッタルチャン")</f>
        <v>ヤッタルチャン</v>
      </c>
      <c r="B3917" s="10">
        <f>IFERROR(__xludf.DUMMYFUNCTION("""COMPUTED_VALUE"""),747.0)</f>
        <v>747</v>
      </c>
      <c r="C3917" s="10">
        <f>IFERROR(__xludf.DUMMYFUNCTION("""COMPUTED_VALUE"""),8734.0)</f>
        <v>8734</v>
      </c>
      <c r="D3917" s="5">
        <f>IFERROR(__xludf.DUMMYFUNCTION("""COMPUTED_VALUE"""),0.3028671591335921)</f>
        <v>0.3028671591</v>
      </c>
      <c r="E3917" s="5">
        <f>IFERROR(__xludf.DUMMYFUNCTION("""COMPUTED_VALUE"""),0.12107174158006762)</f>
        <v>0.1210717416</v>
      </c>
      <c r="F3917" s="5">
        <f>IFERROR(__xludf.DUMMYFUNCTION("""COMPUTED_VALUE"""),0.20095154626267686)</f>
        <v>0.2009515463</v>
      </c>
      <c r="G3917" s="5">
        <f>IFERROR(__xludf.DUMMYFUNCTION("""COMPUTED_VALUE"""),0.17991736571929384)</f>
        <v>0.1799173657</v>
      </c>
      <c r="H3917" s="5">
        <f>IFERROR(__xludf.DUMMYFUNCTION("""COMPUTED_VALUE"""),0.5906542056074766)</f>
        <v>0.5906542056</v>
      </c>
      <c r="I3917" s="11">
        <f>IFERROR(__xludf.DUMMYFUNCTION("""COMPUTED_VALUE"""),5757.320872274143)</f>
        <v>5757.320872</v>
      </c>
      <c r="J3917" s="10">
        <f>IFERROR(__xludf.DUMMYFUNCTION("""COMPUTED_VALUE"""),1.0)</f>
        <v>1</v>
      </c>
      <c r="K3917" s="5">
        <f>IFERROR(__xludf.DUMMYFUNCTION("""COMPUTED_VALUE"""),0.0013386880856760374)</f>
        <v>0.001338688086</v>
      </c>
      <c r="L3917" s="10">
        <f>IFERROR(__xludf.DUMMYFUNCTION("""COMPUTED_VALUE"""),747.0)</f>
        <v>747</v>
      </c>
      <c r="M3917" s="5">
        <f>IFERROR(__xludf.DUMMYFUNCTION("""COMPUTED_VALUE"""),1.0)</f>
        <v>1</v>
      </c>
    </row>
    <row r="3918">
      <c r="A3918" s="10" t="str">
        <f>IFERROR(__xludf.DUMMYFUNCTION("""COMPUTED_VALUE"""),"すばらっ★")</f>
        <v>すばらっ★</v>
      </c>
      <c r="B3918" s="10">
        <f>IFERROR(__xludf.DUMMYFUNCTION("""COMPUTED_VALUE"""),276.0)</f>
        <v>276</v>
      </c>
      <c r="C3918" s="10">
        <f>IFERROR(__xludf.DUMMYFUNCTION("""COMPUTED_VALUE"""),3266.0)</f>
        <v>3266</v>
      </c>
      <c r="D3918" s="5">
        <f>IFERROR(__xludf.DUMMYFUNCTION("""COMPUTED_VALUE"""),0.30334448160535116)</f>
        <v>0.3033444816</v>
      </c>
      <c r="E3918" s="5">
        <f>IFERROR(__xludf.DUMMYFUNCTION("""COMPUTED_VALUE"""),0.12107023411371237)</f>
        <v>0.1210702341</v>
      </c>
      <c r="F3918" s="5">
        <f>IFERROR(__xludf.DUMMYFUNCTION("""COMPUTED_VALUE"""),0.19933110367892976)</f>
        <v>0.1993311037</v>
      </c>
      <c r="G3918" s="5">
        <f>IFERROR(__xludf.DUMMYFUNCTION("""COMPUTED_VALUE"""),0.19464882943143813)</f>
        <v>0.1946488294</v>
      </c>
      <c r="H3918" s="5">
        <f>IFERROR(__xludf.DUMMYFUNCTION("""COMPUTED_VALUE"""),0.5604026845637584)</f>
        <v>0.5604026846</v>
      </c>
      <c r="I3918" s="11">
        <f>IFERROR(__xludf.DUMMYFUNCTION("""COMPUTED_VALUE"""),5987.416107382551)</f>
        <v>5987.416107</v>
      </c>
      <c r="J3918" s="10">
        <f>IFERROR(__xludf.DUMMYFUNCTION("""COMPUTED_VALUE"""),0.0)</f>
        <v>0</v>
      </c>
      <c r="K3918" s="5">
        <f>IFERROR(__xludf.DUMMYFUNCTION("""COMPUTED_VALUE"""),0.0)</f>
        <v>0</v>
      </c>
      <c r="L3918" s="10">
        <f>IFERROR(__xludf.DUMMYFUNCTION("""COMPUTED_VALUE"""),0.0)</f>
        <v>0</v>
      </c>
      <c r="M3918" s="5">
        <f>IFERROR(__xludf.DUMMYFUNCTION("""COMPUTED_VALUE"""),0.0)</f>
        <v>0</v>
      </c>
    </row>
    <row r="3919">
      <c r="A3919" s="10" t="str">
        <f>IFERROR(__xludf.DUMMYFUNCTION("""COMPUTED_VALUE"""),"kのdesu")</f>
        <v>kのdesu</v>
      </c>
      <c r="B3919" s="10">
        <f>IFERROR(__xludf.DUMMYFUNCTION("""COMPUTED_VALUE"""),1481.0)</f>
        <v>1481</v>
      </c>
      <c r="C3919" s="10">
        <f>IFERROR(__xludf.DUMMYFUNCTION("""COMPUTED_VALUE"""),17340.0)</f>
        <v>17340</v>
      </c>
      <c r="D3919" s="5">
        <f>IFERROR(__xludf.DUMMYFUNCTION("""COMPUTED_VALUE"""),0.3734787817642979)</f>
        <v>0.3734787818</v>
      </c>
      <c r="E3919" s="5">
        <f>IFERROR(__xludf.DUMMYFUNCTION("""COMPUTED_VALUE"""),0.12106690207453182)</f>
        <v>0.1210669021</v>
      </c>
      <c r="F3919" s="5">
        <f>IFERROR(__xludf.DUMMYFUNCTION("""COMPUTED_VALUE"""),0.20934485150387794)</f>
        <v>0.2093448515</v>
      </c>
      <c r="G3919" s="5">
        <f>IFERROR(__xludf.DUMMYFUNCTION("""COMPUTED_VALUE"""),0.1660256006053345)</f>
        <v>0.1660256006</v>
      </c>
      <c r="H3919" s="5">
        <f>IFERROR(__xludf.DUMMYFUNCTION("""COMPUTED_VALUE"""),0.6078313253012049)</f>
        <v>0.6078313253</v>
      </c>
      <c r="I3919" s="11">
        <f>IFERROR(__xludf.DUMMYFUNCTION("""COMPUTED_VALUE"""),5495.331325301205)</f>
        <v>5495.331325</v>
      </c>
      <c r="J3919" s="10">
        <f>IFERROR(__xludf.DUMMYFUNCTION("""COMPUTED_VALUE"""),5.0)</f>
        <v>5</v>
      </c>
      <c r="K3919" s="5">
        <f>IFERROR(__xludf.DUMMYFUNCTION("""COMPUTED_VALUE"""),0.00337609723160027)</f>
        <v>0.003376097232</v>
      </c>
      <c r="L3919" s="10">
        <f>IFERROR(__xludf.DUMMYFUNCTION("""COMPUTED_VALUE"""),1481.0)</f>
        <v>1481</v>
      </c>
      <c r="M3919" s="5">
        <f>IFERROR(__xludf.DUMMYFUNCTION("""COMPUTED_VALUE"""),1.0)</f>
        <v>1</v>
      </c>
    </row>
    <row r="3920">
      <c r="A3920" s="10" t="str">
        <f>IFERROR(__xludf.DUMMYFUNCTION("""COMPUTED_VALUE"""),"&gt;_0@杏杏軍團")</f>
        <v>&gt;_0@杏杏軍團</v>
      </c>
      <c r="B3920" s="10">
        <f>IFERROR(__xludf.DUMMYFUNCTION("""COMPUTED_VALUE"""),1590.0)</f>
        <v>1590</v>
      </c>
      <c r="C3920" s="10">
        <f>IFERROR(__xludf.DUMMYFUNCTION("""COMPUTED_VALUE"""),18780.0)</f>
        <v>18780</v>
      </c>
      <c r="D3920" s="5">
        <f>IFERROR(__xludf.DUMMYFUNCTION("""COMPUTED_VALUE"""),0.37056428155904597)</f>
        <v>0.3705642816</v>
      </c>
      <c r="E3920" s="5">
        <f>IFERROR(__xludf.DUMMYFUNCTION("""COMPUTED_VALUE"""),0.1210587550901687)</f>
        <v>0.1210587551</v>
      </c>
      <c r="F3920" s="5">
        <f>IFERROR(__xludf.DUMMYFUNCTION("""COMPUTED_VALUE"""),0.21192553810354858)</f>
        <v>0.2119255381</v>
      </c>
      <c r="G3920" s="5">
        <f>IFERROR(__xludf.DUMMYFUNCTION("""COMPUTED_VALUE"""),0.15922047702152414)</f>
        <v>0.159220477</v>
      </c>
      <c r="H3920" s="5">
        <f>IFERROR(__xludf.DUMMYFUNCTION("""COMPUTED_VALUE"""),0.6069173757891847)</f>
        <v>0.6069173758</v>
      </c>
      <c r="I3920" s="11">
        <f>IFERROR(__xludf.DUMMYFUNCTION("""COMPUTED_VALUE"""),5571.891298380456)</f>
        <v>5571.891298</v>
      </c>
      <c r="J3920" s="10">
        <f>IFERROR(__xludf.DUMMYFUNCTION("""COMPUTED_VALUE"""),10.0)</f>
        <v>10</v>
      </c>
      <c r="K3920" s="5">
        <f>IFERROR(__xludf.DUMMYFUNCTION("""COMPUTED_VALUE"""),0.006289308176100629)</f>
        <v>0.006289308176</v>
      </c>
      <c r="L3920" s="10">
        <f>IFERROR(__xludf.DUMMYFUNCTION("""COMPUTED_VALUE"""),31.0)</f>
        <v>31</v>
      </c>
      <c r="M3920" s="5">
        <f>IFERROR(__xludf.DUMMYFUNCTION("""COMPUTED_VALUE"""),0.01949685534591195)</f>
        <v>0.01949685535</v>
      </c>
    </row>
    <row r="3921">
      <c r="A3921" s="10" t="str">
        <f>IFERROR(__xludf.DUMMYFUNCTION("""COMPUTED_VALUE"""),"rythem")</f>
        <v>rythem</v>
      </c>
      <c r="B3921" s="10">
        <f>IFERROR(__xludf.DUMMYFUNCTION("""COMPUTED_VALUE"""),113.0)</f>
        <v>113</v>
      </c>
      <c r="C3921" s="10">
        <f>IFERROR(__xludf.DUMMYFUNCTION("""COMPUTED_VALUE"""),1253.0)</f>
        <v>1253</v>
      </c>
      <c r="D3921" s="5">
        <f>IFERROR(__xludf.DUMMYFUNCTION("""COMPUTED_VALUE"""),0.39824561403508774)</f>
        <v>0.398245614</v>
      </c>
      <c r="E3921" s="5">
        <f>IFERROR(__xludf.DUMMYFUNCTION("""COMPUTED_VALUE"""),0.12105263157894737)</f>
        <v>0.1210526316</v>
      </c>
      <c r="F3921" s="5">
        <f>IFERROR(__xludf.DUMMYFUNCTION("""COMPUTED_VALUE"""),0.23333333333333334)</f>
        <v>0.2333333333</v>
      </c>
      <c r="G3921" s="5">
        <f>IFERROR(__xludf.DUMMYFUNCTION("""COMPUTED_VALUE"""),0.1324561403508772)</f>
        <v>0.1324561404</v>
      </c>
      <c r="H3921" s="5">
        <f>IFERROR(__xludf.DUMMYFUNCTION("""COMPUTED_VALUE"""),0.6541353383458647)</f>
        <v>0.6541353383</v>
      </c>
      <c r="I3921" s="11">
        <f>IFERROR(__xludf.DUMMYFUNCTION("""COMPUTED_VALUE"""),5193.233082706767)</f>
        <v>5193.233083</v>
      </c>
      <c r="J3921" s="10">
        <f>IFERROR(__xludf.DUMMYFUNCTION("""COMPUTED_VALUE"""),0.0)</f>
        <v>0</v>
      </c>
      <c r="K3921" s="5">
        <f>IFERROR(__xludf.DUMMYFUNCTION("""COMPUTED_VALUE"""),0.0)</f>
        <v>0</v>
      </c>
      <c r="L3921" s="10">
        <f>IFERROR(__xludf.DUMMYFUNCTION("""COMPUTED_VALUE"""),113.0)</f>
        <v>113</v>
      </c>
      <c r="M3921" s="5">
        <f>IFERROR(__xludf.DUMMYFUNCTION("""COMPUTED_VALUE"""),1.0)</f>
        <v>1</v>
      </c>
    </row>
    <row r="3922">
      <c r="A3922" s="10" t="str">
        <f>IFERROR(__xludf.DUMMYFUNCTION("""COMPUTED_VALUE"""),"ジンクピリチオン")</f>
        <v>ジンクピリチオン</v>
      </c>
      <c r="B3922" s="10">
        <f>IFERROR(__xludf.DUMMYFUNCTION("""COMPUTED_VALUE"""),578.0)</f>
        <v>578</v>
      </c>
      <c r="C3922" s="10">
        <f>IFERROR(__xludf.DUMMYFUNCTION("""COMPUTED_VALUE"""),6700.0)</f>
        <v>6700</v>
      </c>
      <c r="D3922" s="5">
        <f>IFERROR(__xludf.DUMMYFUNCTION("""COMPUTED_VALUE"""),0.3213002286834368)</f>
        <v>0.3213002287</v>
      </c>
      <c r="E3922" s="5">
        <f>IFERROR(__xludf.DUMMYFUNCTION("""COMPUTED_VALUE"""),0.12103887618425352)</f>
        <v>0.1210388762</v>
      </c>
      <c r="F3922" s="5">
        <f>IFERROR(__xludf.DUMMYFUNCTION("""COMPUTED_VALUE"""),0.20205815093106827)</f>
        <v>0.2020581509</v>
      </c>
      <c r="G3922" s="5">
        <f>IFERROR(__xludf.DUMMYFUNCTION("""COMPUTED_VALUE"""),0.14701078079059132)</f>
        <v>0.1470107808</v>
      </c>
      <c r="H3922" s="5">
        <f>IFERROR(__xludf.DUMMYFUNCTION("""COMPUTED_VALUE"""),0.6232821341956346)</f>
        <v>0.6232821342</v>
      </c>
      <c r="I3922" s="11">
        <f>IFERROR(__xludf.DUMMYFUNCTION("""COMPUTED_VALUE"""),5926.192400970089)</f>
        <v>5926.192401</v>
      </c>
      <c r="J3922" s="10">
        <f>IFERROR(__xludf.DUMMYFUNCTION("""COMPUTED_VALUE"""),0.0)</f>
        <v>0</v>
      </c>
      <c r="K3922" s="5">
        <f>IFERROR(__xludf.DUMMYFUNCTION("""COMPUTED_VALUE"""),0.0)</f>
        <v>0</v>
      </c>
      <c r="L3922" s="10">
        <f>IFERROR(__xludf.DUMMYFUNCTION("""COMPUTED_VALUE"""),578.0)</f>
        <v>578</v>
      </c>
      <c r="M3922" s="5">
        <f>IFERROR(__xludf.DUMMYFUNCTION("""COMPUTED_VALUE"""),1.0)</f>
        <v>1</v>
      </c>
    </row>
    <row r="3923">
      <c r="A3923" s="10" t="str">
        <f>IFERROR(__xludf.DUMMYFUNCTION("""COMPUTED_VALUE"""),"タケタケタケ")</f>
        <v>タケタケタケ</v>
      </c>
      <c r="B3923" s="10">
        <f>IFERROR(__xludf.DUMMYFUNCTION("""COMPUTED_VALUE"""),1409.0)</f>
        <v>1409</v>
      </c>
      <c r="C3923" s="10">
        <f>IFERROR(__xludf.DUMMYFUNCTION("""COMPUTED_VALUE"""),16603.0)</f>
        <v>16603</v>
      </c>
      <c r="D3923" s="5">
        <f>IFERROR(__xludf.DUMMYFUNCTION("""COMPUTED_VALUE"""),0.30169803869948664)</f>
        <v>0.3016980387</v>
      </c>
      <c r="E3923" s="5">
        <f>IFERROR(__xludf.DUMMYFUNCTION("""COMPUTED_VALUE"""),0.12103461892852442)</f>
        <v>0.1210346189</v>
      </c>
      <c r="F3923" s="5">
        <f>IFERROR(__xludf.DUMMYFUNCTION("""COMPUTED_VALUE"""),0.21113597472686588)</f>
        <v>0.2111359747</v>
      </c>
      <c r="G3923" s="5">
        <f>IFERROR(__xludf.DUMMYFUNCTION("""COMPUTED_VALUE"""),0.15611425562722128)</f>
        <v>0.1561142556</v>
      </c>
      <c r="H3923" s="5">
        <f>IFERROR(__xludf.DUMMYFUNCTION("""COMPUTED_VALUE"""),0.5913341645885287)</f>
        <v>0.5913341646</v>
      </c>
      <c r="I3923" s="11">
        <f>IFERROR(__xludf.DUMMYFUNCTION("""COMPUTED_VALUE"""),5481.047381546135)</f>
        <v>5481.047382</v>
      </c>
      <c r="J3923" s="10">
        <f>IFERROR(__xludf.DUMMYFUNCTION("""COMPUTED_VALUE"""),2.0)</f>
        <v>2</v>
      </c>
      <c r="K3923" s="5">
        <f>IFERROR(__xludf.DUMMYFUNCTION("""COMPUTED_VALUE"""),0.0014194464158978)</f>
        <v>0.001419446416</v>
      </c>
      <c r="L3923" s="10">
        <f>IFERROR(__xludf.DUMMYFUNCTION("""COMPUTED_VALUE"""),1409.0)</f>
        <v>1409</v>
      </c>
      <c r="M3923" s="5">
        <f>IFERROR(__xludf.DUMMYFUNCTION("""COMPUTED_VALUE"""),1.0)</f>
        <v>1</v>
      </c>
    </row>
    <row r="3924">
      <c r="A3924" s="10" t="str">
        <f>IFERROR(__xludf.DUMMYFUNCTION("""COMPUTED_VALUE"""),"1002100")</f>
        <v>1002100</v>
      </c>
      <c r="B3924" s="10">
        <f>IFERROR(__xludf.DUMMYFUNCTION("""COMPUTED_VALUE"""),105.0)</f>
        <v>105</v>
      </c>
      <c r="C3924" s="10">
        <f>IFERROR(__xludf.DUMMYFUNCTION("""COMPUTED_VALUE"""),1270.0)</f>
        <v>1270</v>
      </c>
      <c r="D3924" s="5">
        <f>IFERROR(__xludf.DUMMYFUNCTION("""COMPUTED_VALUE"""),0.30300429184549355)</f>
        <v>0.3030042918</v>
      </c>
      <c r="E3924" s="5">
        <f>IFERROR(__xludf.DUMMYFUNCTION("""COMPUTED_VALUE"""),0.12103004291845494)</f>
        <v>0.1210300429</v>
      </c>
      <c r="F3924" s="5">
        <f>IFERROR(__xludf.DUMMYFUNCTION("""COMPUTED_VALUE"""),0.20085836909871244)</f>
        <v>0.2008583691</v>
      </c>
      <c r="G3924" s="5">
        <f>IFERROR(__xludf.DUMMYFUNCTION("""COMPUTED_VALUE"""),0.14506437768240343)</f>
        <v>0.1450643777</v>
      </c>
      <c r="H3924" s="5">
        <f>IFERROR(__xludf.DUMMYFUNCTION("""COMPUTED_VALUE"""),0.5854700854700855)</f>
        <v>0.5854700855</v>
      </c>
      <c r="I3924" s="11">
        <f>IFERROR(__xludf.DUMMYFUNCTION("""COMPUTED_VALUE"""),5206.8376068376065)</f>
        <v>5206.837607</v>
      </c>
      <c r="J3924" s="10">
        <f>IFERROR(__xludf.DUMMYFUNCTION("""COMPUTED_VALUE"""),1.0)</f>
        <v>1</v>
      </c>
      <c r="K3924" s="5">
        <f>IFERROR(__xludf.DUMMYFUNCTION("""COMPUTED_VALUE"""),0.009523809523809525)</f>
        <v>0.009523809524</v>
      </c>
      <c r="L3924" s="10">
        <f>IFERROR(__xludf.DUMMYFUNCTION("""COMPUTED_VALUE"""),105.0)</f>
        <v>105</v>
      </c>
      <c r="M3924" s="5">
        <f>IFERROR(__xludf.DUMMYFUNCTION("""COMPUTED_VALUE"""),1.0)</f>
        <v>1</v>
      </c>
    </row>
    <row r="3925">
      <c r="A3925" s="10" t="str">
        <f>IFERROR(__xludf.DUMMYFUNCTION("""COMPUTED_VALUE"""),"kiyodai")</f>
        <v>kiyodai</v>
      </c>
      <c r="B3925" s="10">
        <f>IFERROR(__xludf.DUMMYFUNCTION("""COMPUTED_VALUE"""),6914.0)</f>
        <v>6914</v>
      </c>
      <c r="C3925" s="10">
        <f>IFERROR(__xludf.DUMMYFUNCTION("""COMPUTED_VALUE"""),81326.0)</f>
        <v>81326</v>
      </c>
      <c r="D3925" s="5">
        <f>IFERROR(__xludf.DUMMYFUNCTION("""COMPUTED_VALUE"""),0.3297720797720798)</f>
        <v>0.3297720798</v>
      </c>
      <c r="E3925" s="5">
        <f>IFERROR(__xludf.DUMMYFUNCTION("""COMPUTED_VALUE"""),0.12102886631188518)</f>
        <v>0.1210288663</v>
      </c>
      <c r="F3925" s="5">
        <f>IFERROR(__xludf.DUMMYFUNCTION("""COMPUTED_VALUE"""),0.21812342095360962)</f>
        <v>0.218123421</v>
      </c>
      <c r="G3925" s="5">
        <f>IFERROR(__xludf.DUMMYFUNCTION("""COMPUTED_VALUE"""),0.15578132559264635)</f>
        <v>0.1557813256</v>
      </c>
      <c r="H3925" s="5">
        <f>IFERROR(__xludf.DUMMYFUNCTION("""COMPUTED_VALUE"""),0.6085268929825642)</f>
        <v>0.608526893</v>
      </c>
      <c r="I3925" s="11">
        <f>IFERROR(__xludf.DUMMYFUNCTION("""COMPUTED_VALUE"""),5545.3884541925945)</f>
        <v>5545.388454</v>
      </c>
      <c r="J3925" s="10">
        <f>IFERROR(__xludf.DUMMYFUNCTION("""COMPUTED_VALUE"""),17.0)</f>
        <v>17</v>
      </c>
      <c r="K3925" s="5">
        <f>IFERROR(__xludf.DUMMYFUNCTION("""COMPUTED_VALUE"""),0.002458779288400347)</f>
        <v>0.002458779288</v>
      </c>
      <c r="L3925" s="10">
        <f>IFERROR(__xludf.DUMMYFUNCTION("""COMPUTED_VALUE"""),6914.0)</f>
        <v>6914</v>
      </c>
      <c r="M3925" s="5">
        <f>IFERROR(__xludf.DUMMYFUNCTION("""COMPUTED_VALUE"""),1.0)</f>
        <v>1</v>
      </c>
    </row>
    <row r="3926">
      <c r="A3926" s="10" t="str">
        <f>IFERROR(__xludf.DUMMYFUNCTION("""COMPUTED_VALUE"""),"アニメ好きな誰か")</f>
        <v>アニメ好きな誰か</v>
      </c>
      <c r="B3926" s="10">
        <f>IFERROR(__xludf.DUMMYFUNCTION("""COMPUTED_VALUE"""),663.0)</f>
        <v>663</v>
      </c>
      <c r="C3926" s="10">
        <f>IFERROR(__xludf.DUMMYFUNCTION("""COMPUTED_VALUE"""),7860.0)</f>
        <v>7860</v>
      </c>
      <c r="D3926" s="5">
        <f>IFERROR(__xludf.DUMMYFUNCTION("""COMPUTED_VALUE"""),0.3787689314992358)</f>
        <v>0.3787689315</v>
      </c>
      <c r="E3926" s="5">
        <f>IFERROR(__xludf.DUMMYFUNCTION("""COMPUTED_VALUE"""),0.12102264832569126)</f>
        <v>0.1210226483</v>
      </c>
      <c r="F3926" s="5">
        <f>IFERROR(__xludf.DUMMYFUNCTION("""COMPUTED_VALUE"""),0.22842851187994997)</f>
        <v>0.2284285119</v>
      </c>
      <c r="G3926" s="5">
        <f>IFERROR(__xludf.DUMMYFUNCTION("""COMPUTED_VALUE"""),0.18632763651521467)</f>
        <v>0.1863276365</v>
      </c>
      <c r="H3926" s="5">
        <f>IFERROR(__xludf.DUMMYFUNCTION("""COMPUTED_VALUE"""),0.583941605839416)</f>
        <v>0.5839416058</v>
      </c>
      <c r="I3926" s="11">
        <f>IFERROR(__xludf.DUMMYFUNCTION("""COMPUTED_VALUE"""),5311.61800486618)</f>
        <v>5311.618005</v>
      </c>
      <c r="J3926" s="10">
        <f>IFERROR(__xludf.DUMMYFUNCTION("""COMPUTED_VALUE"""),1.0)</f>
        <v>1</v>
      </c>
      <c r="K3926" s="5">
        <f>IFERROR(__xludf.DUMMYFUNCTION("""COMPUTED_VALUE"""),0.0015082956259426848)</f>
        <v>0.001508295626</v>
      </c>
      <c r="L3926" s="10">
        <f>IFERROR(__xludf.DUMMYFUNCTION("""COMPUTED_VALUE"""),662.0)</f>
        <v>662</v>
      </c>
      <c r="M3926" s="5">
        <f>IFERROR(__xludf.DUMMYFUNCTION("""COMPUTED_VALUE"""),0.9984917043740573)</f>
        <v>0.9984917044</v>
      </c>
    </row>
    <row r="3927">
      <c r="A3927" s="10" t="str">
        <f>IFERROR(__xludf.DUMMYFUNCTION("""COMPUTED_VALUE"""),"ゆっくり妖夢")</f>
        <v>ゆっくり妖夢</v>
      </c>
      <c r="B3927" s="10">
        <f>IFERROR(__xludf.DUMMYFUNCTION("""COMPUTED_VALUE"""),2126.0)</f>
        <v>2126</v>
      </c>
      <c r="C3927" s="10">
        <f>IFERROR(__xludf.DUMMYFUNCTION("""COMPUTED_VALUE"""),25133.0)</f>
        <v>25133</v>
      </c>
      <c r="D3927" s="5">
        <f>IFERROR(__xludf.DUMMYFUNCTION("""COMPUTED_VALUE"""),0.3378102316686226)</f>
        <v>0.3378102317</v>
      </c>
      <c r="E3927" s="5">
        <f>IFERROR(__xludf.DUMMYFUNCTION("""COMPUTED_VALUE"""),0.12100665014995436)</f>
        <v>0.1210066501</v>
      </c>
      <c r="F3927" s="5">
        <f>IFERROR(__xludf.DUMMYFUNCTION("""COMPUTED_VALUE"""),0.20971878124049204)</f>
        <v>0.2097187812</v>
      </c>
      <c r="G3927" s="5">
        <f>IFERROR(__xludf.DUMMYFUNCTION("""COMPUTED_VALUE"""),0.16212457078280523)</f>
        <v>0.1621245708</v>
      </c>
      <c r="H3927" s="5">
        <f>IFERROR(__xludf.DUMMYFUNCTION("""COMPUTED_VALUE"""),0.5910880829015545)</f>
        <v>0.5910880829</v>
      </c>
      <c r="I3927" s="11">
        <f>IFERROR(__xludf.DUMMYFUNCTION("""COMPUTED_VALUE"""),5585.40932642487)</f>
        <v>5585.409326</v>
      </c>
      <c r="J3927" s="10">
        <f>IFERROR(__xludf.DUMMYFUNCTION("""COMPUTED_VALUE"""),12.0)</f>
        <v>12</v>
      </c>
      <c r="K3927" s="5">
        <f>IFERROR(__xludf.DUMMYFUNCTION("""COMPUTED_VALUE"""),0.005644402634054563)</f>
        <v>0.005644402634</v>
      </c>
      <c r="L3927" s="10">
        <f>IFERROR(__xludf.DUMMYFUNCTION("""COMPUTED_VALUE"""),2126.0)</f>
        <v>2126</v>
      </c>
      <c r="M3927" s="5">
        <f>IFERROR(__xludf.DUMMYFUNCTION("""COMPUTED_VALUE"""),1.0)</f>
        <v>1</v>
      </c>
    </row>
    <row r="3928">
      <c r="A3928" s="10" t="str">
        <f>IFERROR(__xludf.DUMMYFUNCTION("""COMPUTED_VALUE"""),"yami")</f>
        <v>yami</v>
      </c>
      <c r="B3928" s="10">
        <f>IFERROR(__xludf.DUMMYFUNCTION("""COMPUTED_VALUE"""),1986.0)</f>
        <v>1986</v>
      </c>
      <c r="C3928" s="10">
        <f>IFERROR(__xludf.DUMMYFUNCTION("""COMPUTED_VALUE"""),23540.0)</f>
        <v>23540</v>
      </c>
      <c r="D3928" s="5">
        <f>IFERROR(__xludf.DUMMYFUNCTION("""COMPUTED_VALUE"""),0.3268070891713835)</f>
        <v>0.3268070892</v>
      </c>
      <c r="E3928" s="5">
        <f>IFERROR(__xludf.DUMMYFUNCTION("""COMPUTED_VALUE"""),0.12099842256657697)</f>
        <v>0.1209984226</v>
      </c>
      <c r="F3928" s="5">
        <f>IFERROR(__xludf.DUMMYFUNCTION("""COMPUTED_VALUE"""),0.20520553029600075)</f>
        <v>0.2052055303</v>
      </c>
      <c r="G3928" s="5">
        <f>IFERROR(__xludf.DUMMYFUNCTION("""COMPUTED_VALUE"""),0.18887445485756704)</f>
        <v>0.1888744549</v>
      </c>
      <c r="H3928" s="5">
        <f>IFERROR(__xludf.DUMMYFUNCTION("""COMPUTED_VALUE"""),0.5792448564322857)</f>
        <v>0.5792448564</v>
      </c>
      <c r="I3928" s="11">
        <f>IFERROR(__xludf.DUMMYFUNCTION("""COMPUTED_VALUE"""),5810.061044539905)</f>
        <v>5810.061045</v>
      </c>
      <c r="J3928" s="10">
        <f>IFERROR(__xludf.DUMMYFUNCTION("""COMPUTED_VALUE"""),6.0)</f>
        <v>6</v>
      </c>
      <c r="K3928" s="5">
        <f>IFERROR(__xludf.DUMMYFUNCTION("""COMPUTED_VALUE"""),0.0030211480362537764)</f>
        <v>0.003021148036</v>
      </c>
      <c r="L3928" s="10">
        <f>IFERROR(__xludf.DUMMYFUNCTION("""COMPUTED_VALUE"""),1986.0)</f>
        <v>1986</v>
      </c>
      <c r="M3928" s="5">
        <f>IFERROR(__xludf.DUMMYFUNCTION("""COMPUTED_VALUE"""),1.0)</f>
        <v>1</v>
      </c>
    </row>
    <row r="3929">
      <c r="A3929" s="10" t="str">
        <f>IFERROR(__xludf.DUMMYFUNCTION("""COMPUTED_VALUE"""),"雀鬼蔵戸")</f>
        <v>雀鬼蔵戸</v>
      </c>
      <c r="B3929" s="10">
        <f>IFERROR(__xludf.DUMMYFUNCTION("""COMPUTED_VALUE"""),478.0)</f>
        <v>478</v>
      </c>
      <c r="C3929" s="10">
        <f>IFERROR(__xludf.DUMMYFUNCTION("""COMPUTED_VALUE"""),5693.0)</f>
        <v>5693</v>
      </c>
      <c r="D3929" s="5">
        <f>IFERROR(__xludf.DUMMYFUNCTION("""COMPUTED_VALUE"""),0.2801534036433365)</f>
        <v>0.2801534036</v>
      </c>
      <c r="E3929" s="5">
        <f>IFERROR(__xludf.DUMMYFUNCTION("""COMPUTED_VALUE"""),0.12099712368168744)</f>
        <v>0.1209971237</v>
      </c>
      <c r="F3929" s="5">
        <f>IFERROR(__xludf.DUMMYFUNCTION("""COMPUTED_VALUE"""),0.1909875359539789)</f>
        <v>0.190987536</v>
      </c>
      <c r="G3929" s="5">
        <f>IFERROR(__xludf.DUMMYFUNCTION("""COMPUTED_VALUE"""),0.13633748801534037)</f>
        <v>0.136337488</v>
      </c>
      <c r="H3929" s="5">
        <f>IFERROR(__xludf.DUMMYFUNCTION("""COMPUTED_VALUE"""),0.6285140562248996)</f>
        <v>0.6285140562</v>
      </c>
      <c r="I3929" s="11">
        <f>IFERROR(__xludf.DUMMYFUNCTION("""COMPUTED_VALUE"""),5411.947791164659)</f>
        <v>5411.947791</v>
      </c>
      <c r="J3929" s="10">
        <f>IFERROR(__xludf.DUMMYFUNCTION("""COMPUTED_VALUE"""),0.0)</f>
        <v>0</v>
      </c>
      <c r="K3929" s="5">
        <f>IFERROR(__xludf.DUMMYFUNCTION("""COMPUTED_VALUE"""),0.0)</f>
        <v>0</v>
      </c>
      <c r="L3929" s="10">
        <f>IFERROR(__xludf.DUMMYFUNCTION("""COMPUTED_VALUE"""),478.0)</f>
        <v>478</v>
      </c>
      <c r="M3929" s="5">
        <f>IFERROR(__xludf.DUMMYFUNCTION("""COMPUTED_VALUE"""),1.0)</f>
        <v>1</v>
      </c>
    </row>
    <row r="3930">
      <c r="A3930" s="10" t="str">
        <f>IFERROR(__xludf.DUMMYFUNCTION("""COMPUTED_VALUE"""),"あんごら兎")</f>
        <v>あんごら兎</v>
      </c>
      <c r="B3930" s="10">
        <f>IFERROR(__xludf.DUMMYFUNCTION("""COMPUTED_VALUE"""),560.0)</f>
        <v>560</v>
      </c>
      <c r="C3930" s="10">
        <f>IFERROR(__xludf.DUMMYFUNCTION("""COMPUTED_VALUE"""),6552.0)</f>
        <v>6552</v>
      </c>
      <c r="D3930" s="5">
        <f>IFERROR(__xludf.DUMMYFUNCTION("""COMPUTED_VALUE"""),0.3471295060080107)</f>
        <v>0.347129506</v>
      </c>
      <c r="E3930" s="5">
        <f>IFERROR(__xludf.DUMMYFUNCTION("""COMPUTED_VALUE"""),0.12099465954606141)</f>
        <v>0.1209946595</v>
      </c>
      <c r="F3930" s="5">
        <f>IFERROR(__xludf.DUMMYFUNCTION("""COMPUTED_VALUE"""),0.21328437917222964)</f>
        <v>0.2132843792</v>
      </c>
      <c r="G3930" s="5">
        <f>IFERROR(__xludf.DUMMYFUNCTION("""COMPUTED_VALUE"""),0.16388518024032042)</f>
        <v>0.1638851802</v>
      </c>
      <c r="H3930" s="5">
        <f>IFERROR(__xludf.DUMMYFUNCTION("""COMPUTED_VALUE"""),0.5845070422535211)</f>
        <v>0.5845070423</v>
      </c>
      <c r="I3930" s="11">
        <f>IFERROR(__xludf.DUMMYFUNCTION("""COMPUTED_VALUE"""),5399.843505477308)</f>
        <v>5399.843505</v>
      </c>
      <c r="J3930" s="10">
        <f>IFERROR(__xludf.DUMMYFUNCTION("""COMPUTED_VALUE"""),1.0)</f>
        <v>1</v>
      </c>
      <c r="K3930" s="5">
        <f>IFERROR(__xludf.DUMMYFUNCTION("""COMPUTED_VALUE"""),0.0017857142857142857)</f>
        <v>0.001785714286</v>
      </c>
      <c r="L3930" s="10">
        <f>IFERROR(__xludf.DUMMYFUNCTION("""COMPUTED_VALUE"""),37.0)</f>
        <v>37</v>
      </c>
      <c r="M3930" s="5">
        <f>IFERROR(__xludf.DUMMYFUNCTION("""COMPUTED_VALUE"""),0.06607142857142857)</f>
        <v>0.06607142857</v>
      </c>
    </row>
    <row r="3931">
      <c r="A3931" s="10" t="str">
        <f>IFERROR(__xludf.DUMMYFUNCTION("""COMPUTED_VALUE"""),"takuaka")</f>
        <v>takuaka</v>
      </c>
      <c r="B3931" s="10">
        <f>IFERROR(__xludf.DUMMYFUNCTION("""COMPUTED_VALUE"""),4187.0)</f>
        <v>4187</v>
      </c>
      <c r="C3931" s="10">
        <f>IFERROR(__xludf.DUMMYFUNCTION("""COMPUTED_VALUE"""),49032.0)</f>
        <v>49032</v>
      </c>
      <c r="D3931" s="5">
        <f>IFERROR(__xludf.DUMMYFUNCTION("""COMPUTED_VALUE"""),0.3636079830527372)</f>
        <v>0.3636079831</v>
      </c>
      <c r="E3931" s="5">
        <f>IFERROR(__xludf.DUMMYFUNCTION("""COMPUTED_VALUE"""),0.12099453673765191)</f>
        <v>0.1209945367</v>
      </c>
      <c r="F3931" s="5">
        <f>IFERROR(__xludf.DUMMYFUNCTION("""COMPUTED_VALUE"""),0.21741554242390457)</f>
        <v>0.2174155424</v>
      </c>
      <c r="G3931" s="5">
        <f>IFERROR(__xludf.DUMMYFUNCTION("""COMPUTED_VALUE"""),0.1933325900323336)</f>
        <v>0.19333259</v>
      </c>
      <c r="H3931" s="5">
        <f>IFERROR(__xludf.DUMMYFUNCTION("""COMPUTED_VALUE"""),0.5882051282051282)</f>
        <v>0.5882051282</v>
      </c>
      <c r="I3931" s="11">
        <f>IFERROR(__xludf.DUMMYFUNCTION("""COMPUTED_VALUE"""),5546.492307692308)</f>
        <v>5546.492308</v>
      </c>
      <c r="J3931" s="10">
        <f>IFERROR(__xludf.DUMMYFUNCTION("""COMPUTED_VALUE"""),6.0)</f>
        <v>6</v>
      </c>
      <c r="K3931" s="5">
        <f>IFERROR(__xludf.DUMMYFUNCTION("""COMPUTED_VALUE"""),0.0014330069262001434)</f>
        <v>0.001433006926</v>
      </c>
      <c r="L3931" s="10">
        <f>IFERROR(__xludf.DUMMYFUNCTION("""COMPUTED_VALUE"""),4163.0)</f>
        <v>4163</v>
      </c>
      <c r="M3931" s="5">
        <f>IFERROR(__xludf.DUMMYFUNCTION("""COMPUTED_VALUE"""),0.9942679722951995)</f>
        <v>0.9942679723</v>
      </c>
    </row>
    <row r="3932">
      <c r="A3932" s="10" t="str">
        <f>IFERROR(__xludf.DUMMYFUNCTION("""COMPUTED_VALUE"""),"NISHI")</f>
        <v>NISHI</v>
      </c>
      <c r="B3932" s="10">
        <f>IFERROR(__xludf.DUMMYFUNCTION("""COMPUTED_VALUE"""),781.0)</f>
        <v>781</v>
      </c>
      <c r="C3932" s="10">
        <f>IFERROR(__xludf.DUMMYFUNCTION("""COMPUTED_VALUE"""),9212.0)</f>
        <v>9212</v>
      </c>
      <c r="D3932" s="5">
        <f>IFERROR(__xludf.DUMMYFUNCTION("""COMPUTED_VALUE"""),0.334479895623295)</f>
        <v>0.3344798956</v>
      </c>
      <c r="E3932" s="5">
        <f>IFERROR(__xludf.DUMMYFUNCTION("""COMPUTED_VALUE"""),0.12098208990629819)</f>
        <v>0.1209820899</v>
      </c>
      <c r="F3932" s="5">
        <f>IFERROR(__xludf.DUMMYFUNCTION("""COMPUTED_VALUE"""),0.2124303166884118)</f>
        <v>0.2124303167</v>
      </c>
      <c r="G3932" s="5">
        <f>IFERROR(__xludf.DUMMYFUNCTION("""COMPUTED_VALUE"""),0.18277784367216227)</f>
        <v>0.1827778437</v>
      </c>
      <c r="H3932" s="5">
        <f>IFERROR(__xludf.DUMMYFUNCTION("""COMPUTED_VALUE"""),0.6125069793411502)</f>
        <v>0.6125069793</v>
      </c>
      <c r="I3932" s="11">
        <f>IFERROR(__xludf.DUMMYFUNCTION("""COMPUTED_VALUE"""),5558.291457286432)</f>
        <v>5558.291457</v>
      </c>
      <c r="J3932" s="10">
        <f>IFERROR(__xludf.DUMMYFUNCTION("""COMPUTED_VALUE"""),0.0)</f>
        <v>0</v>
      </c>
      <c r="K3932" s="5">
        <f>IFERROR(__xludf.DUMMYFUNCTION("""COMPUTED_VALUE"""),0.0)</f>
        <v>0</v>
      </c>
      <c r="L3932" s="10">
        <f>IFERROR(__xludf.DUMMYFUNCTION("""COMPUTED_VALUE"""),781.0)</f>
        <v>781</v>
      </c>
      <c r="M3932" s="5">
        <f>IFERROR(__xludf.DUMMYFUNCTION("""COMPUTED_VALUE"""),1.0)</f>
        <v>1</v>
      </c>
    </row>
    <row r="3933">
      <c r="A3933" s="10" t="str">
        <f>IFERROR(__xludf.DUMMYFUNCTION("""COMPUTED_VALUE"""),"種島ぽぷら")</f>
        <v>種島ぽぷら</v>
      </c>
      <c r="B3933" s="10">
        <f>IFERROR(__xludf.DUMMYFUNCTION("""COMPUTED_VALUE"""),348.0)</f>
        <v>348</v>
      </c>
      <c r="C3933" s="10">
        <f>IFERROR(__xludf.DUMMYFUNCTION("""COMPUTED_VALUE"""),4109.0)</f>
        <v>4109</v>
      </c>
      <c r="D3933" s="5">
        <f>IFERROR(__xludf.DUMMYFUNCTION("""COMPUTED_VALUE"""),0.30497208189311353)</f>
        <v>0.3049720819</v>
      </c>
      <c r="E3933" s="5">
        <f>IFERROR(__xludf.DUMMYFUNCTION("""COMPUTED_VALUE"""),0.12097846317468758)</f>
        <v>0.1209784632</v>
      </c>
      <c r="F3933" s="5">
        <f>IFERROR(__xludf.DUMMYFUNCTION("""COMPUTED_VALUE"""),0.19675618186652485)</f>
        <v>0.1967561819</v>
      </c>
      <c r="G3933" s="5">
        <f>IFERROR(__xludf.DUMMYFUNCTION("""COMPUTED_VALUE"""),0.18984312682797128)</f>
        <v>0.1898431268</v>
      </c>
      <c r="H3933" s="5">
        <f>IFERROR(__xludf.DUMMYFUNCTION("""COMPUTED_VALUE"""),0.6040540540540541)</f>
        <v>0.6040540541</v>
      </c>
      <c r="I3933" s="11">
        <f>IFERROR(__xludf.DUMMYFUNCTION("""COMPUTED_VALUE"""),5614.054054054054)</f>
        <v>5614.054054</v>
      </c>
      <c r="J3933" s="10">
        <f>IFERROR(__xludf.DUMMYFUNCTION("""COMPUTED_VALUE"""),1.0)</f>
        <v>1</v>
      </c>
      <c r="K3933" s="5">
        <f>IFERROR(__xludf.DUMMYFUNCTION("""COMPUTED_VALUE"""),0.0028735632183908046)</f>
        <v>0.002873563218</v>
      </c>
      <c r="L3933" s="10">
        <f>IFERROR(__xludf.DUMMYFUNCTION("""COMPUTED_VALUE"""),0.0)</f>
        <v>0</v>
      </c>
      <c r="M3933" s="5">
        <f>IFERROR(__xludf.DUMMYFUNCTION("""COMPUTED_VALUE"""),0.0)</f>
        <v>0</v>
      </c>
    </row>
    <row r="3934">
      <c r="A3934" s="10" t="str">
        <f>IFERROR(__xludf.DUMMYFUNCTION("""COMPUTED_VALUE"""),"レオズルエタ")</f>
        <v>レオズルエタ</v>
      </c>
      <c r="B3934" s="10">
        <f>IFERROR(__xludf.DUMMYFUNCTION("""COMPUTED_VALUE"""),266.0)</f>
        <v>266</v>
      </c>
      <c r="C3934" s="10">
        <f>IFERROR(__xludf.DUMMYFUNCTION("""COMPUTED_VALUE"""),3151.0)</f>
        <v>3151</v>
      </c>
      <c r="D3934" s="5">
        <f>IFERROR(__xludf.DUMMYFUNCTION("""COMPUTED_VALUE"""),0.28492201039861353)</f>
        <v>0.2849220104</v>
      </c>
      <c r="E3934" s="5">
        <f>IFERROR(__xludf.DUMMYFUNCTION("""COMPUTED_VALUE"""),0.12097053726169844)</f>
        <v>0.1209705373</v>
      </c>
      <c r="F3934" s="5">
        <f>IFERROR(__xludf.DUMMYFUNCTION("""COMPUTED_VALUE"""),0.18682842287694973)</f>
        <v>0.1868284229</v>
      </c>
      <c r="G3934" s="5">
        <f>IFERROR(__xludf.DUMMYFUNCTION("""COMPUTED_VALUE"""),0.14523396880415945)</f>
        <v>0.1452339688</v>
      </c>
      <c r="H3934" s="5">
        <f>IFERROR(__xludf.DUMMYFUNCTION("""COMPUTED_VALUE"""),0.5918367346938775)</f>
        <v>0.5918367347</v>
      </c>
      <c r="I3934" s="11">
        <f>IFERROR(__xludf.DUMMYFUNCTION("""COMPUTED_VALUE"""),5497.21706864564)</f>
        <v>5497.217069</v>
      </c>
      <c r="J3934" s="10">
        <f>IFERROR(__xludf.DUMMYFUNCTION("""COMPUTED_VALUE"""),1.0)</f>
        <v>1</v>
      </c>
      <c r="K3934" s="5">
        <f>IFERROR(__xludf.DUMMYFUNCTION("""COMPUTED_VALUE"""),0.0037593984962406013)</f>
        <v>0.003759398496</v>
      </c>
      <c r="L3934" s="10">
        <f>IFERROR(__xludf.DUMMYFUNCTION("""COMPUTED_VALUE"""),266.0)</f>
        <v>266</v>
      </c>
      <c r="M3934" s="5">
        <f>IFERROR(__xludf.DUMMYFUNCTION("""COMPUTED_VALUE"""),1.0)</f>
        <v>1</v>
      </c>
    </row>
    <row r="3935">
      <c r="A3935" s="10" t="str">
        <f>IFERROR(__xludf.DUMMYFUNCTION("""COMPUTED_VALUE"""),"ikedada")</f>
        <v>ikedada</v>
      </c>
      <c r="B3935" s="10">
        <f>IFERROR(__xludf.DUMMYFUNCTION("""COMPUTED_VALUE"""),663.0)</f>
        <v>663</v>
      </c>
      <c r="C3935" s="10">
        <f>IFERROR(__xludf.DUMMYFUNCTION("""COMPUTED_VALUE"""),7748.0)</f>
        <v>7748</v>
      </c>
      <c r="D3935" s="5">
        <f>IFERROR(__xludf.DUMMYFUNCTION("""COMPUTED_VALUE"""),0.3177134791813691)</f>
        <v>0.3177134792</v>
      </c>
      <c r="E3935" s="5">
        <f>IFERROR(__xludf.DUMMYFUNCTION("""COMPUTED_VALUE"""),0.12095977417078335)</f>
        <v>0.1209597742</v>
      </c>
      <c r="F3935" s="5">
        <f>IFERROR(__xludf.DUMMYFUNCTION("""COMPUTED_VALUE"""),0.20564573041637263)</f>
        <v>0.2056457304</v>
      </c>
      <c r="G3935" s="5">
        <f>IFERROR(__xludf.DUMMYFUNCTION("""COMPUTED_VALUE"""),0.1881439661256175)</f>
        <v>0.1881439661</v>
      </c>
      <c r="H3935" s="5">
        <f>IFERROR(__xludf.DUMMYFUNCTION("""COMPUTED_VALUE"""),0.5916266300617707)</f>
        <v>0.5916266301</v>
      </c>
      <c r="I3935" s="11">
        <f>IFERROR(__xludf.DUMMYFUNCTION("""COMPUTED_VALUE"""),5770.624571036376)</f>
        <v>5770.624571</v>
      </c>
      <c r="J3935" s="10">
        <f>IFERROR(__xludf.DUMMYFUNCTION("""COMPUTED_VALUE"""),0.0)</f>
        <v>0</v>
      </c>
      <c r="K3935" s="5">
        <f>IFERROR(__xludf.DUMMYFUNCTION("""COMPUTED_VALUE"""),0.0)</f>
        <v>0</v>
      </c>
      <c r="L3935" s="10">
        <f>IFERROR(__xludf.DUMMYFUNCTION("""COMPUTED_VALUE"""),663.0)</f>
        <v>663</v>
      </c>
      <c r="M3935" s="5">
        <f>IFERROR(__xludf.DUMMYFUNCTION("""COMPUTED_VALUE"""),1.0)</f>
        <v>1</v>
      </c>
    </row>
    <row r="3936">
      <c r="A3936" s="10" t="str">
        <f>IFERROR(__xludf.DUMMYFUNCTION("""COMPUTED_VALUE"""),"yokowash")</f>
        <v>yokowash</v>
      </c>
      <c r="B3936" s="10">
        <f>IFERROR(__xludf.DUMMYFUNCTION("""COMPUTED_VALUE"""),740.0)</f>
        <v>740</v>
      </c>
      <c r="C3936" s="10">
        <f>IFERROR(__xludf.DUMMYFUNCTION("""COMPUTED_VALUE"""),8795.0)</f>
        <v>8795</v>
      </c>
      <c r="D3936" s="5">
        <f>IFERROR(__xludf.DUMMYFUNCTION("""COMPUTED_VALUE"""),0.3923029174425822)</f>
        <v>0.3923029174</v>
      </c>
      <c r="E3936" s="5">
        <f>IFERROR(__xludf.DUMMYFUNCTION("""COMPUTED_VALUE"""),0.12091868404717566)</f>
        <v>0.120918684</v>
      </c>
      <c r="F3936" s="5">
        <f>IFERROR(__xludf.DUMMYFUNCTION("""COMPUTED_VALUE"""),0.1972687771570453)</f>
        <v>0.1972687772</v>
      </c>
      <c r="G3936" s="5">
        <f>IFERROR(__xludf.DUMMYFUNCTION("""COMPUTED_VALUE"""),0.14314090626939788)</f>
        <v>0.1431409063</v>
      </c>
      <c r="H3936" s="5">
        <f>IFERROR(__xludf.DUMMYFUNCTION("""COMPUTED_VALUE"""),0.5890497168030208)</f>
        <v>0.5890497168</v>
      </c>
      <c r="I3936" s="11">
        <f>IFERROR(__xludf.DUMMYFUNCTION("""COMPUTED_VALUE"""),5371.302706104469)</f>
        <v>5371.302706</v>
      </c>
      <c r="J3936" s="10">
        <f>IFERROR(__xludf.DUMMYFUNCTION("""COMPUTED_VALUE"""),2.0)</f>
        <v>2</v>
      </c>
      <c r="K3936" s="5">
        <f>IFERROR(__xludf.DUMMYFUNCTION("""COMPUTED_VALUE"""),0.002702702702702703)</f>
        <v>0.002702702703</v>
      </c>
      <c r="L3936" s="10">
        <f>IFERROR(__xludf.DUMMYFUNCTION("""COMPUTED_VALUE"""),740.0)</f>
        <v>740</v>
      </c>
      <c r="M3936" s="5">
        <f>IFERROR(__xludf.DUMMYFUNCTION("""COMPUTED_VALUE"""),1.0)</f>
        <v>1</v>
      </c>
    </row>
    <row r="3937">
      <c r="A3937" s="10" t="str">
        <f>IFERROR(__xludf.DUMMYFUNCTION("""COMPUTED_VALUE"""),"荻吉")</f>
        <v>荻吉</v>
      </c>
      <c r="B3937" s="10">
        <f>IFERROR(__xludf.DUMMYFUNCTION("""COMPUTED_VALUE"""),660.0)</f>
        <v>660</v>
      </c>
      <c r="C3937" s="10">
        <f>IFERROR(__xludf.DUMMYFUNCTION("""COMPUTED_VALUE"""),7698.0)</f>
        <v>7698</v>
      </c>
      <c r="D3937" s="5">
        <f>IFERROR(__xludf.DUMMYFUNCTION("""COMPUTED_VALUE"""),0.34413185564080706)</f>
        <v>0.3441318556</v>
      </c>
      <c r="E3937" s="5">
        <f>IFERROR(__xludf.DUMMYFUNCTION("""COMPUTED_VALUE"""),0.12091503267973856)</f>
        <v>0.1209150327</v>
      </c>
      <c r="F3937" s="5">
        <f>IFERROR(__xludf.DUMMYFUNCTION("""COMPUTED_VALUE"""),0.21597044614947428)</f>
        <v>0.2159704461</v>
      </c>
      <c r="G3937" s="5">
        <f>IFERROR(__xludf.DUMMYFUNCTION("""COMPUTED_VALUE"""),0.17590224495595339)</f>
        <v>0.175902245</v>
      </c>
      <c r="H3937" s="5">
        <f>IFERROR(__xludf.DUMMYFUNCTION("""COMPUTED_VALUE"""),0.5973684210526315)</f>
        <v>0.5973684211</v>
      </c>
      <c r="I3937" s="11">
        <f>IFERROR(__xludf.DUMMYFUNCTION("""COMPUTED_VALUE"""),5527.368421052632)</f>
        <v>5527.368421</v>
      </c>
      <c r="J3937" s="10">
        <f>IFERROR(__xludf.DUMMYFUNCTION("""COMPUTED_VALUE"""),1.0)</f>
        <v>1</v>
      </c>
      <c r="K3937" s="5">
        <f>IFERROR(__xludf.DUMMYFUNCTION("""COMPUTED_VALUE"""),0.0015151515151515152)</f>
        <v>0.001515151515</v>
      </c>
      <c r="L3937" s="10">
        <f>IFERROR(__xludf.DUMMYFUNCTION("""COMPUTED_VALUE"""),660.0)</f>
        <v>660</v>
      </c>
      <c r="M3937" s="5">
        <f>IFERROR(__xludf.DUMMYFUNCTION("""COMPUTED_VALUE"""),1.0)</f>
        <v>1</v>
      </c>
    </row>
    <row r="3938">
      <c r="A3938" s="10" t="str">
        <f>IFERROR(__xludf.DUMMYFUNCTION("""COMPUTED_VALUE"""),"夏の夜の夢")</f>
        <v>夏の夜の夢</v>
      </c>
      <c r="B3938" s="10">
        <f>IFERROR(__xludf.DUMMYFUNCTION("""COMPUTED_VALUE"""),962.0)</f>
        <v>962</v>
      </c>
      <c r="C3938" s="10">
        <f>IFERROR(__xludf.DUMMYFUNCTION("""COMPUTED_VALUE"""),11267.0)</f>
        <v>11267</v>
      </c>
      <c r="D3938" s="5">
        <f>IFERROR(__xludf.DUMMYFUNCTION("""COMPUTED_VALUE"""),0.47530325084910235)</f>
        <v>0.4753032508</v>
      </c>
      <c r="E3938" s="5">
        <f>IFERROR(__xludf.DUMMYFUNCTION("""COMPUTED_VALUE"""),0.12091217855409996)</f>
        <v>0.1209121786</v>
      </c>
      <c r="F3938" s="5">
        <f>IFERROR(__xludf.DUMMYFUNCTION("""COMPUTED_VALUE"""),0.23726346433770015)</f>
        <v>0.2372634643</v>
      </c>
      <c r="G3938" s="5">
        <f>IFERROR(__xludf.DUMMYFUNCTION("""COMPUTED_VALUE"""),0.13682678311499272)</f>
        <v>0.1368267831</v>
      </c>
      <c r="H3938" s="5">
        <f>IFERROR(__xludf.DUMMYFUNCTION("""COMPUTED_VALUE"""),0.6065439672801636)</f>
        <v>0.6065439673</v>
      </c>
      <c r="I3938" s="11">
        <f>IFERROR(__xludf.DUMMYFUNCTION("""COMPUTED_VALUE"""),5085.2351738241305)</f>
        <v>5085.235174</v>
      </c>
      <c r="J3938" s="10">
        <f>IFERROR(__xludf.DUMMYFUNCTION("""COMPUTED_VALUE"""),1.0)</f>
        <v>1</v>
      </c>
      <c r="K3938" s="5">
        <f>IFERROR(__xludf.DUMMYFUNCTION("""COMPUTED_VALUE"""),0.0010395010395010396)</f>
        <v>0.00103950104</v>
      </c>
      <c r="L3938" s="10">
        <f>IFERROR(__xludf.DUMMYFUNCTION("""COMPUTED_VALUE"""),14.0)</f>
        <v>14</v>
      </c>
      <c r="M3938" s="5">
        <f>IFERROR(__xludf.DUMMYFUNCTION("""COMPUTED_VALUE"""),0.014553014553014554)</f>
        <v>0.01455301455</v>
      </c>
    </row>
    <row r="3939">
      <c r="A3939" s="10" t="str">
        <f>IFERROR(__xludf.DUMMYFUNCTION("""COMPUTED_VALUE"""),"SimaTomo")</f>
        <v>SimaTomo</v>
      </c>
      <c r="B3939" s="10">
        <f>IFERROR(__xludf.DUMMYFUNCTION("""COMPUTED_VALUE"""),425.0)</f>
        <v>425</v>
      </c>
      <c r="C3939" s="10">
        <f>IFERROR(__xludf.DUMMYFUNCTION("""COMPUTED_VALUE"""),5007.0)</f>
        <v>5007</v>
      </c>
      <c r="D3939" s="5">
        <f>IFERROR(__xludf.DUMMYFUNCTION("""COMPUTED_VALUE"""),0.33828022697512006)</f>
        <v>0.338280227</v>
      </c>
      <c r="E3939" s="5">
        <f>IFERROR(__xludf.DUMMYFUNCTION("""COMPUTED_VALUE"""),0.12090790048013968)</f>
        <v>0.1209079005</v>
      </c>
      <c r="F3939" s="5">
        <f>IFERROR(__xludf.DUMMYFUNCTION("""COMPUTED_VALUE"""),0.2130074203404627)</f>
        <v>0.2130074203</v>
      </c>
      <c r="G3939" s="5">
        <f>IFERROR(__xludf.DUMMYFUNCTION("""COMPUTED_VALUE"""),0.18856394587516367)</f>
        <v>0.1885639459</v>
      </c>
      <c r="H3939" s="5">
        <f>IFERROR(__xludf.DUMMYFUNCTION("""COMPUTED_VALUE"""),0.6188524590163934)</f>
        <v>0.618852459</v>
      </c>
      <c r="I3939" s="11">
        <f>IFERROR(__xludf.DUMMYFUNCTION("""COMPUTED_VALUE"""),5353.688524590164)</f>
        <v>5353.688525</v>
      </c>
      <c r="J3939" s="10">
        <f>IFERROR(__xludf.DUMMYFUNCTION("""COMPUTED_VALUE"""),0.0)</f>
        <v>0</v>
      </c>
      <c r="K3939" s="5">
        <f>IFERROR(__xludf.DUMMYFUNCTION("""COMPUTED_VALUE"""),0.0)</f>
        <v>0</v>
      </c>
      <c r="L3939" s="10">
        <f>IFERROR(__xludf.DUMMYFUNCTION("""COMPUTED_VALUE"""),425.0)</f>
        <v>425</v>
      </c>
      <c r="M3939" s="5">
        <f>IFERROR(__xludf.DUMMYFUNCTION("""COMPUTED_VALUE"""),1.0)</f>
        <v>1</v>
      </c>
    </row>
    <row r="3940">
      <c r="A3940" s="10" t="str">
        <f>IFERROR(__xludf.DUMMYFUNCTION("""COMPUTED_VALUE"""),"ジャックフ口スト")</f>
        <v>ジャックフ口スト</v>
      </c>
      <c r="B3940" s="10">
        <f>IFERROR(__xludf.DUMMYFUNCTION("""COMPUTED_VALUE"""),207.0)</f>
        <v>207</v>
      </c>
      <c r="C3940" s="10">
        <f>IFERROR(__xludf.DUMMYFUNCTION("""COMPUTED_VALUE"""),2498.0)</f>
        <v>2498</v>
      </c>
      <c r="D3940" s="5">
        <f>IFERROR(__xludf.DUMMYFUNCTION("""COMPUTED_VALUE"""),0.32256656481885637)</f>
        <v>0.3225665648</v>
      </c>
      <c r="E3940" s="5">
        <f>IFERROR(__xludf.DUMMYFUNCTION("""COMPUTED_VALUE"""),0.12090790048013968)</f>
        <v>0.1209079005</v>
      </c>
      <c r="F3940" s="5">
        <f>IFERROR(__xludf.DUMMYFUNCTION("""COMPUTED_VALUE"""),0.19598428633784373)</f>
        <v>0.1959842863</v>
      </c>
      <c r="G3940" s="5">
        <f>IFERROR(__xludf.DUMMYFUNCTION("""COMPUTED_VALUE"""),0.17546922741161064)</f>
        <v>0.1754692274</v>
      </c>
      <c r="H3940" s="5">
        <f>IFERROR(__xludf.DUMMYFUNCTION("""COMPUTED_VALUE"""),0.5991091314031181)</f>
        <v>0.5991091314</v>
      </c>
      <c r="I3940" s="11">
        <f>IFERROR(__xludf.DUMMYFUNCTION("""COMPUTED_VALUE"""),5382.405345211581)</f>
        <v>5382.405345</v>
      </c>
      <c r="J3940" s="10">
        <f>IFERROR(__xludf.DUMMYFUNCTION("""COMPUTED_VALUE"""),0.0)</f>
        <v>0</v>
      </c>
      <c r="K3940" s="5">
        <f>IFERROR(__xludf.DUMMYFUNCTION("""COMPUTED_VALUE"""),0.0)</f>
        <v>0</v>
      </c>
      <c r="L3940" s="10">
        <f>IFERROR(__xludf.DUMMYFUNCTION("""COMPUTED_VALUE"""),205.0)</f>
        <v>205</v>
      </c>
      <c r="M3940" s="5">
        <f>IFERROR(__xludf.DUMMYFUNCTION("""COMPUTED_VALUE"""),0.9903381642512077)</f>
        <v>0.9903381643</v>
      </c>
    </row>
    <row r="3941">
      <c r="A3941" s="10" t="str">
        <f>IFERROR(__xludf.DUMMYFUNCTION("""COMPUTED_VALUE"""),"四段")</f>
        <v>四段</v>
      </c>
      <c r="B3941" s="10">
        <f>IFERROR(__xludf.DUMMYFUNCTION("""COMPUTED_VALUE"""),589.0)</f>
        <v>589</v>
      </c>
      <c r="C3941" s="10">
        <f>IFERROR(__xludf.DUMMYFUNCTION("""COMPUTED_VALUE"""),6941.0)</f>
        <v>6941</v>
      </c>
      <c r="D3941" s="5">
        <f>IFERROR(__xludf.DUMMYFUNCTION("""COMPUTED_VALUE"""),0.36996221662468515)</f>
        <v>0.3699622166</v>
      </c>
      <c r="E3941" s="5">
        <f>IFERROR(__xludf.DUMMYFUNCTION("""COMPUTED_VALUE"""),0.12090680100755667)</f>
        <v>0.120906801</v>
      </c>
      <c r="F3941" s="5">
        <f>IFERROR(__xludf.DUMMYFUNCTION("""COMPUTED_VALUE"""),0.20040931989924432)</f>
        <v>0.2004093199</v>
      </c>
      <c r="G3941" s="5">
        <f>IFERROR(__xludf.DUMMYFUNCTION("""COMPUTED_VALUE"""),0.14074307304785894)</f>
        <v>0.140743073</v>
      </c>
      <c r="H3941" s="5">
        <f>IFERROR(__xludf.DUMMYFUNCTION("""COMPUTED_VALUE"""),0.605655930871956)</f>
        <v>0.6056559309</v>
      </c>
      <c r="I3941" s="11">
        <f>IFERROR(__xludf.DUMMYFUNCTION("""COMPUTED_VALUE"""),5391.437549096622)</f>
        <v>5391.437549</v>
      </c>
      <c r="J3941" s="10">
        <f>IFERROR(__xludf.DUMMYFUNCTION("""COMPUTED_VALUE"""),2.0)</f>
        <v>2</v>
      </c>
      <c r="K3941" s="5">
        <f>IFERROR(__xludf.DUMMYFUNCTION("""COMPUTED_VALUE"""),0.003395585738539898)</f>
        <v>0.003395585739</v>
      </c>
      <c r="L3941" s="10">
        <f>IFERROR(__xludf.DUMMYFUNCTION("""COMPUTED_VALUE"""),589.0)</f>
        <v>589</v>
      </c>
      <c r="M3941" s="5">
        <f>IFERROR(__xludf.DUMMYFUNCTION("""COMPUTED_VALUE"""),1.0)</f>
        <v>1</v>
      </c>
    </row>
    <row r="3942">
      <c r="A3942" s="10" t="str">
        <f>IFERROR(__xludf.DUMMYFUNCTION("""COMPUTED_VALUE"""),"pi-po")</f>
        <v>pi-po</v>
      </c>
      <c r="B3942" s="10">
        <f>IFERROR(__xludf.DUMMYFUNCTION("""COMPUTED_VALUE"""),4352.0)</f>
        <v>4352</v>
      </c>
      <c r="C3942" s="10">
        <f>IFERROR(__xludf.DUMMYFUNCTION("""COMPUTED_VALUE"""),51389.0)</f>
        <v>51389</v>
      </c>
      <c r="D3942" s="5">
        <f>IFERROR(__xludf.DUMMYFUNCTION("""COMPUTED_VALUE"""),0.3940514913791271)</f>
        <v>0.3940514914</v>
      </c>
      <c r="E3942" s="5">
        <f>IFERROR(__xludf.DUMMYFUNCTION("""COMPUTED_VALUE"""),0.12090481961009418)</f>
        <v>0.1209048196</v>
      </c>
      <c r="F3942" s="5">
        <f>IFERROR(__xludf.DUMMYFUNCTION("""COMPUTED_VALUE"""),0.21651040670110763)</f>
        <v>0.2165104067</v>
      </c>
      <c r="G3942" s="5">
        <f>IFERROR(__xludf.DUMMYFUNCTION("""COMPUTED_VALUE"""),0.17082296915194423)</f>
        <v>0.1708229692</v>
      </c>
      <c r="H3942" s="5">
        <f>IFERROR(__xludf.DUMMYFUNCTION("""COMPUTED_VALUE"""),0.6007462686567164)</f>
        <v>0.6007462687</v>
      </c>
      <c r="I3942" s="11">
        <f>IFERROR(__xludf.DUMMYFUNCTION("""COMPUTED_VALUE"""),5325.108012568735)</f>
        <v>5325.108013</v>
      </c>
      <c r="J3942" s="10">
        <f>IFERROR(__xludf.DUMMYFUNCTION("""COMPUTED_VALUE"""),7.0)</f>
        <v>7</v>
      </c>
      <c r="K3942" s="5">
        <f>IFERROR(__xludf.DUMMYFUNCTION("""COMPUTED_VALUE"""),0.001608455882352941)</f>
        <v>0.001608455882</v>
      </c>
      <c r="L3942" s="10">
        <f>IFERROR(__xludf.DUMMYFUNCTION("""COMPUTED_VALUE"""),4349.0)</f>
        <v>4349</v>
      </c>
      <c r="M3942" s="5">
        <f>IFERROR(__xludf.DUMMYFUNCTION("""COMPUTED_VALUE"""),0.9993106617647058)</f>
        <v>0.9993106618</v>
      </c>
    </row>
    <row r="3943">
      <c r="A3943" s="10" t="str">
        <f>IFERROR(__xludf.DUMMYFUNCTION("""COMPUTED_VALUE"""),"はんむらび")</f>
        <v>はんむらび</v>
      </c>
      <c r="B3943" s="10">
        <f>IFERROR(__xludf.DUMMYFUNCTION("""COMPUTED_VALUE"""),694.0)</f>
        <v>694</v>
      </c>
      <c r="C3943" s="10">
        <f>IFERROR(__xludf.DUMMYFUNCTION("""COMPUTED_VALUE"""),8122.0)</f>
        <v>8122</v>
      </c>
      <c r="D3943" s="5">
        <f>IFERROR(__xludf.DUMMYFUNCTION("""COMPUTED_VALUE"""),0.34531502423263327)</f>
        <v>0.3453150242</v>
      </c>
      <c r="E3943" s="5">
        <f>IFERROR(__xludf.DUMMYFUNCTION("""COMPUTED_VALUE"""),0.12089391491653204)</f>
        <v>0.1208939149</v>
      </c>
      <c r="F3943" s="5">
        <f>IFERROR(__xludf.DUMMYFUNCTION("""COMPUTED_VALUE"""),0.2094776521270867)</f>
        <v>0.2094776521</v>
      </c>
      <c r="G3943" s="5">
        <f>IFERROR(__xludf.DUMMYFUNCTION("""COMPUTED_VALUE"""),0.17434033387183628)</f>
        <v>0.1743403339</v>
      </c>
      <c r="H3943" s="5">
        <f>IFERROR(__xludf.DUMMYFUNCTION("""COMPUTED_VALUE"""),0.5739074550128535)</f>
        <v>0.573907455</v>
      </c>
      <c r="I3943" s="11">
        <f>IFERROR(__xludf.DUMMYFUNCTION("""COMPUTED_VALUE"""),5918.701799485862)</f>
        <v>5918.701799</v>
      </c>
      <c r="J3943" s="10">
        <f>IFERROR(__xludf.DUMMYFUNCTION("""COMPUTED_VALUE"""),1.0)</f>
        <v>1</v>
      </c>
      <c r="K3943" s="5">
        <f>IFERROR(__xludf.DUMMYFUNCTION("""COMPUTED_VALUE"""),0.001440922190201729)</f>
        <v>0.00144092219</v>
      </c>
      <c r="L3943" s="10">
        <f>IFERROR(__xludf.DUMMYFUNCTION("""COMPUTED_VALUE"""),694.0)</f>
        <v>694</v>
      </c>
      <c r="M3943" s="5">
        <f>IFERROR(__xludf.DUMMYFUNCTION("""COMPUTED_VALUE"""),1.0)</f>
        <v>1</v>
      </c>
    </row>
    <row r="3944">
      <c r="A3944" s="10" t="str">
        <f>IFERROR(__xludf.DUMMYFUNCTION("""COMPUTED_VALUE"""),"アクリル")</f>
        <v>アクリル</v>
      </c>
      <c r="B3944" s="10">
        <f>IFERROR(__xludf.DUMMYFUNCTION("""COMPUTED_VALUE"""),143.0)</f>
        <v>143</v>
      </c>
      <c r="C3944" s="10">
        <f>IFERROR(__xludf.DUMMYFUNCTION("""COMPUTED_VALUE"""),1665.0)</f>
        <v>1665</v>
      </c>
      <c r="D3944" s="5">
        <f>IFERROR(__xludf.DUMMYFUNCTION("""COMPUTED_VALUE"""),0.36268068331143233)</f>
        <v>0.3626806833</v>
      </c>
      <c r="E3944" s="5">
        <f>IFERROR(__xludf.DUMMYFUNCTION("""COMPUTED_VALUE"""),0.12089356110381078)</f>
        <v>0.1208935611</v>
      </c>
      <c r="F3944" s="5">
        <f>IFERROR(__xludf.DUMMYFUNCTION("""COMPUTED_VALUE"""),0.22601839684625494)</f>
        <v>0.2260183968</v>
      </c>
      <c r="G3944" s="5">
        <f>IFERROR(__xludf.DUMMYFUNCTION("""COMPUTED_VALUE"""),0.1885676741130092)</f>
        <v>0.1885676741</v>
      </c>
      <c r="H3944" s="5">
        <f>IFERROR(__xludf.DUMMYFUNCTION("""COMPUTED_VALUE"""),0.5930232558139535)</f>
        <v>0.5930232558</v>
      </c>
      <c r="I3944" s="11">
        <f>IFERROR(__xludf.DUMMYFUNCTION("""COMPUTED_VALUE"""),5400.581395348837)</f>
        <v>5400.581395</v>
      </c>
      <c r="J3944" s="10">
        <f>IFERROR(__xludf.DUMMYFUNCTION("""COMPUTED_VALUE"""),0.0)</f>
        <v>0</v>
      </c>
      <c r="K3944" s="5">
        <f>IFERROR(__xludf.DUMMYFUNCTION("""COMPUTED_VALUE"""),0.0)</f>
        <v>0</v>
      </c>
      <c r="L3944" s="10">
        <f>IFERROR(__xludf.DUMMYFUNCTION("""COMPUTED_VALUE"""),73.0)</f>
        <v>73</v>
      </c>
      <c r="M3944" s="5">
        <f>IFERROR(__xludf.DUMMYFUNCTION("""COMPUTED_VALUE"""),0.5104895104895105)</f>
        <v>0.5104895105</v>
      </c>
    </row>
    <row r="3945">
      <c r="A3945" s="10" t="str">
        <f>IFERROR(__xludf.DUMMYFUNCTION("""COMPUTED_VALUE"""),"大和田専務")</f>
        <v>大和田専務</v>
      </c>
      <c r="B3945" s="10">
        <f>IFERROR(__xludf.DUMMYFUNCTION("""COMPUTED_VALUE"""),1327.0)</f>
        <v>1327</v>
      </c>
      <c r="C3945" s="10">
        <f>IFERROR(__xludf.DUMMYFUNCTION("""COMPUTED_VALUE"""),15605.0)</f>
        <v>15605</v>
      </c>
      <c r="D3945" s="5">
        <f>IFERROR(__xludf.DUMMYFUNCTION("""COMPUTED_VALUE"""),0.3305084745762712)</f>
        <v>0.3305084746</v>
      </c>
      <c r="E3945" s="5">
        <f>IFERROR(__xludf.DUMMYFUNCTION("""COMPUTED_VALUE"""),0.12088527805014708)</f>
        <v>0.1208852781</v>
      </c>
      <c r="F3945" s="5">
        <f>IFERROR(__xludf.DUMMYFUNCTION("""COMPUTED_VALUE"""),0.2029696035859364)</f>
        <v>0.2029696036</v>
      </c>
      <c r="G3945" s="5">
        <f>IFERROR(__xludf.DUMMYFUNCTION("""COMPUTED_VALUE"""),0.1736237568286875)</f>
        <v>0.1736237568</v>
      </c>
      <c r="H3945" s="5">
        <f>IFERROR(__xludf.DUMMYFUNCTION("""COMPUTED_VALUE"""),0.5866114561766735)</f>
        <v>0.5866114562</v>
      </c>
      <c r="I3945" s="11">
        <f>IFERROR(__xludf.DUMMYFUNCTION("""COMPUTED_VALUE"""),5762.31884057971)</f>
        <v>5762.318841</v>
      </c>
      <c r="J3945" s="10">
        <f>IFERROR(__xludf.DUMMYFUNCTION("""COMPUTED_VALUE"""),2.0)</f>
        <v>2</v>
      </c>
      <c r="K3945" s="5">
        <f>IFERROR(__xludf.DUMMYFUNCTION("""COMPUTED_VALUE"""),0.0015071590052750565)</f>
        <v>0.001507159005</v>
      </c>
      <c r="L3945" s="10">
        <f>IFERROR(__xludf.DUMMYFUNCTION("""COMPUTED_VALUE"""),1327.0)</f>
        <v>1327</v>
      </c>
      <c r="M3945" s="5">
        <f>IFERROR(__xludf.DUMMYFUNCTION("""COMPUTED_VALUE"""),1.0)</f>
        <v>1</v>
      </c>
    </row>
    <row r="3946">
      <c r="A3946" s="10" t="str">
        <f>IFERROR(__xludf.DUMMYFUNCTION("""COMPUTED_VALUE"""),"：不動：")</f>
        <v>：不動：</v>
      </c>
      <c r="B3946" s="10">
        <f>IFERROR(__xludf.DUMMYFUNCTION("""COMPUTED_VALUE"""),235.0)</f>
        <v>235</v>
      </c>
      <c r="C3946" s="10">
        <f>IFERROR(__xludf.DUMMYFUNCTION("""COMPUTED_VALUE"""),2684.0)</f>
        <v>2684</v>
      </c>
      <c r="D3946" s="5">
        <f>IFERROR(__xludf.DUMMYFUNCTION("""COMPUTED_VALUE"""),0.3777051857901184)</f>
        <v>0.3777051858</v>
      </c>
      <c r="E3946" s="5">
        <f>IFERROR(__xludf.DUMMYFUNCTION("""COMPUTED_VALUE"""),0.12086565945283789)</f>
        <v>0.1208656595</v>
      </c>
      <c r="F3946" s="5">
        <f>IFERROR(__xludf.DUMMYFUNCTION("""COMPUTED_VALUE"""),0.19885667619436503)</f>
        <v>0.1988566762</v>
      </c>
      <c r="G3946" s="5">
        <f>IFERROR(__xludf.DUMMYFUNCTION("""COMPUTED_VALUE"""),0.15271539403838302)</f>
        <v>0.152715394</v>
      </c>
      <c r="H3946" s="5">
        <f>IFERROR(__xludf.DUMMYFUNCTION("""COMPUTED_VALUE"""),0.648870636550308)</f>
        <v>0.6488706366</v>
      </c>
      <c r="I3946" s="11">
        <f>IFERROR(__xludf.DUMMYFUNCTION("""COMPUTED_VALUE"""),5542.915811088295)</f>
        <v>5542.915811</v>
      </c>
      <c r="J3946" s="10">
        <f>IFERROR(__xludf.DUMMYFUNCTION("""COMPUTED_VALUE"""),1.0)</f>
        <v>1</v>
      </c>
      <c r="K3946" s="5">
        <f>IFERROR(__xludf.DUMMYFUNCTION("""COMPUTED_VALUE"""),0.00425531914893617)</f>
        <v>0.004255319149</v>
      </c>
      <c r="L3946" s="10">
        <f>IFERROR(__xludf.DUMMYFUNCTION("""COMPUTED_VALUE"""),235.0)</f>
        <v>235</v>
      </c>
      <c r="M3946" s="5">
        <f>IFERROR(__xludf.DUMMYFUNCTION("""COMPUTED_VALUE"""),1.0)</f>
        <v>1</v>
      </c>
    </row>
    <row r="3947">
      <c r="A3947" s="10" t="str">
        <f>IFERROR(__xludf.DUMMYFUNCTION("""COMPUTED_VALUE"""),"QBアイリ")</f>
        <v>QBアイリ</v>
      </c>
      <c r="B3947" s="10">
        <f>IFERROR(__xludf.DUMMYFUNCTION("""COMPUTED_VALUE"""),260.0)</f>
        <v>260</v>
      </c>
      <c r="C3947" s="10">
        <f>IFERROR(__xludf.DUMMYFUNCTION("""COMPUTED_VALUE"""),3040.0)</f>
        <v>3040</v>
      </c>
      <c r="D3947" s="5">
        <f>IFERROR(__xludf.DUMMYFUNCTION("""COMPUTED_VALUE"""),0.3233812949640288)</f>
        <v>0.323381295</v>
      </c>
      <c r="E3947" s="5">
        <f>IFERROR(__xludf.DUMMYFUNCTION("""COMPUTED_VALUE"""),0.12086330935251799)</f>
        <v>0.1208633094</v>
      </c>
      <c r="F3947" s="5">
        <f>IFERROR(__xludf.DUMMYFUNCTION("""COMPUTED_VALUE"""),0.18201438848920864)</f>
        <v>0.1820143885</v>
      </c>
      <c r="G3947" s="5">
        <f>IFERROR(__xludf.DUMMYFUNCTION("""COMPUTED_VALUE"""),0.15179856115107915)</f>
        <v>0.1517985612</v>
      </c>
      <c r="H3947" s="5">
        <f>IFERROR(__xludf.DUMMYFUNCTION("""COMPUTED_VALUE"""),0.6304347826086957)</f>
        <v>0.6304347826</v>
      </c>
      <c r="I3947" s="11">
        <f>IFERROR(__xludf.DUMMYFUNCTION("""COMPUTED_VALUE"""),6372.727272727273)</f>
        <v>6372.727273</v>
      </c>
      <c r="J3947" s="10">
        <f>IFERROR(__xludf.DUMMYFUNCTION("""COMPUTED_VALUE"""),1.0)</f>
        <v>1</v>
      </c>
      <c r="K3947" s="5">
        <f>IFERROR(__xludf.DUMMYFUNCTION("""COMPUTED_VALUE"""),0.0038461538461538464)</f>
        <v>0.003846153846</v>
      </c>
      <c r="L3947" s="10">
        <f>IFERROR(__xludf.DUMMYFUNCTION("""COMPUTED_VALUE"""),0.0)</f>
        <v>0</v>
      </c>
      <c r="M3947" s="5">
        <f>IFERROR(__xludf.DUMMYFUNCTION("""COMPUTED_VALUE"""),0.0)</f>
        <v>0</v>
      </c>
    </row>
    <row r="3948">
      <c r="A3948" s="10" t="str">
        <f>IFERROR(__xludf.DUMMYFUNCTION("""COMPUTED_VALUE"""),"クラゲくん")</f>
        <v>クラゲくん</v>
      </c>
      <c r="B3948" s="10">
        <f>IFERROR(__xludf.DUMMYFUNCTION("""COMPUTED_VALUE"""),691.0)</f>
        <v>691</v>
      </c>
      <c r="C3948" s="10">
        <f>IFERROR(__xludf.DUMMYFUNCTION("""COMPUTED_VALUE"""),8048.0)</f>
        <v>8048</v>
      </c>
      <c r="D3948" s="5">
        <f>IFERROR(__xludf.DUMMYFUNCTION("""COMPUTED_VALUE"""),0.3706673915998369)</f>
        <v>0.3706673916</v>
      </c>
      <c r="E3948" s="5">
        <f>IFERROR(__xludf.DUMMYFUNCTION("""COMPUTED_VALUE"""),0.120837297811608)</f>
        <v>0.1208372978</v>
      </c>
      <c r="F3948" s="5">
        <f>IFERROR(__xludf.DUMMYFUNCTION("""COMPUTED_VALUE"""),0.21340220198450455)</f>
        <v>0.213402202</v>
      </c>
      <c r="G3948" s="5">
        <f>IFERROR(__xludf.DUMMYFUNCTION("""COMPUTED_VALUE"""),0.19233383172488785)</f>
        <v>0.1923338317</v>
      </c>
      <c r="H3948" s="5">
        <f>IFERROR(__xludf.DUMMYFUNCTION("""COMPUTED_VALUE"""),0.6146496815286624)</f>
        <v>0.6146496815</v>
      </c>
      <c r="I3948" s="11">
        <f>IFERROR(__xludf.DUMMYFUNCTION("""COMPUTED_VALUE"""),5782.866242038216)</f>
        <v>5782.866242</v>
      </c>
      <c r="J3948" s="10">
        <f>IFERROR(__xludf.DUMMYFUNCTION("""COMPUTED_VALUE"""),1.0)</f>
        <v>1</v>
      </c>
      <c r="K3948" s="5">
        <f>IFERROR(__xludf.DUMMYFUNCTION("""COMPUTED_VALUE"""),0.001447178002894356)</f>
        <v>0.001447178003</v>
      </c>
      <c r="L3948" s="10">
        <f>IFERROR(__xludf.DUMMYFUNCTION("""COMPUTED_VALUE"""),691.0)</f>
        <v>691</v>
      </c>
      <c r="M3948" s="5">
        <f>IFERROR(__xludf.DUMMYFUNCTION("""COMPUTED_VALUE"""),1.0)</f>
        <v>1</v>
      </c>
    </row>
    <row r="3949">
      <c r="A3949" s="10" t="str">
        <f>IFERROR(__xludf.DUMMYFUNCTION("""COMPUTED_VALUE"""),"トサけん")</f>
        <v>トサけん</v>
      </c>
      <c r="B3949" s="10">
        <f>IFERROR(__xludf.DUMMYFUNCTION("""COMPUTED_VALUE"""),1263.0)</f>
        <v>1263</v>
      </c>
      <c r="C3949" s="10">
        <f>IFERROR(__xludf.DUMMYFUNCTION("""COMPUTED_VALUE"""),14952.0)</f>
        <v>14952</v>
      </c>
      <c r="D3949" s="5">
        <f>IFERROR(__xludf.DUMMYFUNCTION("""COMPUTED_VALUE"""),0.3883410037256191)</f>
        <v>0.3883410037</v>
      </c>
      <c r="E3949" s="5">
        <f>IFERROR(__xludf.DUMMYFUNCTION("""COMPUTED_VALUE"""),0.12082694133976185)</f>
        <v>0.1208269413</v>
      </c>
      <c r="F3949" s="5">
        <f>IFERROR(__xludf.DUMMYFUNCTION("""COMPUTED_VALUE"""),0.217839140916064)</f>
        <v>0.2178391409</v>
      </c>
      <c r="G3949" s="5">
        <f>IFERROR(__xludf.DUMMYFUNCTION("""COMPUTED_VALUE"""),0.16188180290744394)</f>
        <v>0.1618818029</v>
      </c>
      <c r="H3949" s="5">
        <f>IFERROR(__xludf.DUMMYFUNCTION("""COMPUTED_VALUE"""),0.590878604963112)</f>
        <v>0.590878605</v>
      </c>
      <c r="I3949" s="11">
        <f>IFERROR(__xludf.DUMMYFUNCTION("""COMPUTED_VALUE"""),5407.176391683434)</f>
        <v>5407.176392</v>
      </c>
      <c r="J3949" s="10">
        <f>IFERROR(__xludf.DUMMYFUNCTION("""COMPUTED_VALUE"""),5.0)</f>
        <v>5</v>
      </c>
      <c r="K3949" s="5">
        <f>IFERROR(__xludf.DUMMYFUNCTION("""COMPUTED_VALUE"""),0.00395882818685669)</f>
        <v>0.003958828187</v>
      </c>
      <c r="L3949" s="10">
        <f>IFERROR(__xludf.DUMMYFUNCTION("""COMPUTED_VALUE"""),1263.0)</f>
        <v>1263</v>
      </c>
      <c r="M3949" s="5">
        <f>IFERROR(__xludf.DUMMYFUNCTION("""COMPUTED_VALUE"""),1.0)</f>
        <v>1</v>
      </c>
    </row>
    <row r="3950">
      <c r="A3950" s="10" t="str">
        <f>IFERROR(__xludf.DUMMYFUNCTION("""COMPUTED_VALUE"""),"mirufa2")</f>
        <v>mirufa2</v>
      </c>
      <c r="B3950" s="10">
        <f>IFERROR(__xludf.DUMMYFUNCTION("""COMPUTED_VALUE"""),558.0)</f>
        <v>558</v>
      </c>
      <c r="C3950" s="10">
        <f>IFERROR(__xludf.DUMMYFUNCTION("""COMPUTED_VALUE"""),6542.0)</f>
        <v>6542</v>
      </c>
      <c r="D3950" s="5">
        <f>IFERROR(__xludf.DUMMYFUNCTION("""COMPUTED_VALUE"""),0.3342245989304813)</f>
        <v>0.3342245989</v>
      </c>
      <c r="E3950" s="5">
        <f>IFERROR(__xludf.DUMMYFUNCTION("""COMPUTED_VALUE"""),0.12082219251336898)</f>
        <v>0.1208221925</v>
      </c>
      <c r="F3950" s="5">
        <f>IFERROR(__xludf.DUMMYFUNCTION("""COMPUTED_VALUE"""),0.1990307486631016)</f>
        <v>0.1990307487</v>
      </c>
      <c r="G3950" s="5">
        <f>IFERROR(__xludf.DUMMYFUNCTION("""COMPUTED_VALUE"""),0.14605614973262032)</f>
        <v>0.1460561497</v>
      </c>
      <c r="H3950" s="5">
        <f>IFERROR(__xludf.DUMMYFUNCTION("""COMPUTED_VALUE"""),0.6154492023509656)</f>
        <v>0.6154492024</v>
      </c>
      <c r="I3950" s="11">
        <f>IFERROR(__xludf.DUMMYFUNCTION("""COMPUTED_VALUE"""),5537.27959697733)</f>
        <v>5537.279597</v>
      </c>
      <c r="J3950" s="10">
        <f>IFERROR(__xludf.DUMMYFUNCTION("""COMPUTED_VALUE"""),2.0)</f>
        <v>2</v>
      </c>
      <c r="K3950" s="5">
        <f>IFERROR(__xludf.DUMMYFUNCTION("""COMPUTED_VALUE"""),0.0035842293906810036)</f>
        <v>0.003584229391</v>
      </c>
      <c r="L3950" s="10">
        <f>IFERROR(__xludf.DUMMYFUNCTION("""COMPUTED_VALUE"""),558.0)</f>
        <v>558</v>
      </c>
      <c r="M3950" s="5">
        <f>IFERROR(__xludf.DUMMYFUNCTION("""COMPUTED_VALUE"""),1.0)</f>
        <v>1</v>
      </c>
    </row>
    <row r="3951">
      <c r="A3951" s="10" t="str">
        <f>IFERROR(__xludf.DUMMYFUNCTION("""COMPUTED_VALUE"""),"雷直撃☆２回目")</f>
        <v>雷直撃☆２回目</v>
      </c>
      <c r="B3951" s="10">
        <f>IFERROR(__xludf.DUMMYFUNCTION("""COMPUTED_VALUE"""),187.0)</f>
        <v>187</v>
      </c>
      <c r="C3951" s="10">
        <f>IFERROR(__xludf.DUMMYFUNCTION("""COMPUTED_VALUE"""),2190.0)</f>
        <v>2190</v>
      </c>
      <c r="D3951" s="5">
        <f>IFERROR(__xludf.DUMMYFUNCTION("""COMPUTED_VALUE"""),0.29705441837244134)</f>
        <v>0.2970544184</v>
      </c>
      <c r="E3951" s="5">
        <f>IFERROR(__xludf.DUMMYFUNCTION("""COMPUTED_VALUE"""),0.12081877184223665)</f>
        <v>0.1208187718</v>
      </c>
      <c r="F3951" s="5">
        <f>IFERROR(__xludf.DUMMYFUNCTION("""COMPUTED_VALUE"""),0.20668996505242138)</f>
        <v>0.2066899651</v>
      </c>
      <c r="G3951" s="5">
        <f>IFERROR(__xludf.DUMMYFUNCTION("""COMPUTED_VALUE"""),0.17723414877683474)</f>
        <v>0.1772341488</v>
      </c>
      <c r="H3951" s="5">
        <f>IFERROR(__xludf.DUMMYFUNCTION("""COMPUTED_VALUE"""),0.5772946859903382)</f>
        <v>0.577294686</v>
      </c>
      <c r="I3951" s="11">
        <f>IFERROR(__xludf.DUMMYFUNCTION("""COMPUTED_VALUE"""),5239.855072463768)</f>
        <v>5239.855072</v>
      </c>
      <c r="J3951" s="10">
        <f>IFERROR(__xludf.DUMMYFUNCTION("""COMPUTED_VALUE"""),1.0)</f>
        <v>1</v>
      </c>
      <c r="K3951" s="5">
        <f>IFERROR(__xludf.DUMMYFUNCTION("""COMPUTED_VALUE"""),0.0053475935828877)</f>
        <v>0.005347593583</v>
      </c>
      <c r="L3951" s="10">
        <f>IFERROR(__xludf.DUMMYFUNCTION("""COMPUTED_VALUE"""),187.0)</f>
        <v>187</v>
      </c>
      <c r="M3951" s="5">
        <f>IFERROR(__xludf.DUMMYFUNCTION("""COMPUTED_VALUE"""),1.0)</f>
        <v>1</v>
      </c>
    </row>
    <row r="3952">
      <c r="A3952" s="10" t="str">
        <f>IFERROR(__xludf.DUMMYFUNCTION("""COMPUTED_VALUE"""),"河嶋KK")</f>
        <v>河嶋KK</v>
      </c>
      <c r="B3952" s="10">
        <f>IFERROR(__xludf.DUMMYFUNCTION("""COMPUTED_VALUE"""),3999.0)</f>
        <v>3999</v>
      </c>
      <c r="C3952" s="10">
        <f>IFERROR(__xludf.DUMMYFUNCTION("""COMPUTED_VALUE"""),46545.0)</f>
        <v>46545</v>
      </c>
      <c r="D3952" s="5">
        <f>IFERROR(__xludf.DUMMYFUNCTION("""COMPUTED_VALUE"""),0.30475250317303626)</f>
        <v>0.3047525032</v>
      </c>
      <c r="E3952" s="5">
        <f>IFERROR(__xludf.DUMMYFUNCTION("""COMPUTED_VALUE"""),0.12081041696046632)</f>
        <v>0.120810417</v>
      </c>
      <c r="F3952" s="5">
        <f>IFERROR(__xludf.DUMMYFUNCTION("""COMPUTED_VALUE"""),0.2095379119071123)</f>
        <v>0.2095379119</v>
      </c>
      <c r="G3952" s="5">
        <f>IFERROR(__xludf.DUMMYFUNCTION("""COMPUTED_VALUE"""),0.1795703473887087)</f>
        <v>0.1795703474</v>
      </c>
      <c r="H3952" s="5">
        <f>IFERROR(__xludf.DUMMYFUNCTION("""COMPUTED_VALUE"""),0.5980931015143017)</f>
        <v>0.5980931015</v>
      </c>
      <c r="I3952" s="11">
        <f>IFERROR(__xludf.DUMMYFUNCTION("""COMPUTED_VALUE"""),5904.475602916433)</f>
        <v>5904.475603</v>
      </c>
      <c r="J3952" s="10">
        <f>IFERROR(__xludf.DUMMYFUNCTION("""COMPUTED_VALUE"""),4.0)</f>
        <v>4</v>
      </c>
      <c r="K3952" s="5">
        <f>IFERROR(__xludf.DUMMYFUNCTION("""COMPUTED_VALUE"""),0.001000250062515629)</f>
        <v>0.001000250063</v>
      </c>
      <c r="L3952" s="10">
        <f>IFERROR(__xludf.DUMMYFUNCTION("""COMPUTED_VALUE"""),3999.0)</f>
        <v>3999</v>
      </c>
      <c r="M3952" s="5">
        <f>IFERROR(__xludf.DUMMYFUNCTION("""COMPUTED_VALUE"""),1.0)</f>
        <v>1</v>
      </c>
    </row>
    <row r="3953">
      <c r="A3953" s="10" t="str">
        <f>IFERROR(__xludf.DUMMYFUNCTION("""COMPUTED_VALUE"""),"般卓の養分")</f>
        <v>般卓の養分</v>
      </c>
      <c r="B3953" s="10">
        <f>IFERROR(__xludf.DUMMYFUNCTION("""COMPUTED_VALUE"""),264.0)</f>
        <v>264</v>
      </c>
      <c r="C3953" s="10">
        <f>IFERROR(__xludf.DUMMYFUNCTION("""COMPUTED_VALUE"""),3128.0)</f>
        <v>3128</v>
      </c>
      <c r="D3953" s="5">
        <f>IFERROR(__xludf.DUMMYFUNCTION("""COMPUTED_VALUE"""),0.30656424581005587)</f>
        <v>0.3065642458</v>
      </c>
      <c r="E3953" s="5">
        <f>IFERROR(__xludf.DUMMYFUNCTION("""COMPUTED_VALUE"""),0.12081005586592179)</f>
        <v>0.1208100559</v>
      </c>
      <c r="F3953" s="5">
        <f>IFERROR(__xludf.DUMMYFUNCTION("""COMPUTED_VALUE"""),0.19587988826815642)</f>
        <v>0.1958798883</v>
      </c>
      <c r="G3953" s="5">
        <f>IFERROR(__xludf.DUMMYFUNCTION("""COMPUTED_VALUE"""),0.1672486033519553)</f>
        <v>0.1672486034</v>
      </c>
      <c r="H3953" s="5">
        <f>IFERROR(__xludf.DUMMYFUNCTION("""COMPUTED_VALUE"""),0.5561497326203209)</f>
        <v>0.5561497326</v>
      </c>
      <c r="I3953" s="11">
        <f>IFERROR(__xludf.DUMMYFUNCTION("""COMPUTED_VALUE"""),5247.95008912656)</f>
        <v>5247.950089</v>
      </c>
      <c r="J3953" s="10">
        <f>IFERROR(__xludf.DUMMYFUNCTION("""COMPUTED_VALUE"""),1.0)</f>
        <v>1</v>
      </c>
      <c r="K3953" s="5">
        <f>IFERROR(__xludf.DUMMYFUNCTION("""COMPUTED_VALUE"""),0.003787878787878788)</f>
        <v>0.003787878788</v>
      </c>
      <c r="L3953" s="10">
        <f>IFERROR(__xludf.DUMMYFUNCTION("""COMPUTED_VALUE"""),251.0)</f>
        <v>251</v>
      </c>
      <c r="M3953" s="5">
        <f>IFERROR(__xludf.DUMMYFUNCTION("""COMPUTED_VALUE"""),0.9507575757575758)</f>
        <v>0.9507575758</v>
      </c>
    </row>
    <row r="3954">
      <c r="A3954" s="10" t="str">
        <f>IFERROR(__xludf.DUMMYFUNCTION("""COMPUTED_VALUE"""),"㈱リコぴょん")</f>
        <v>㈱リコぴょん</v>
      </c>
      <c r="B3954" s="10">
        <f>IFERROR(__xludf.DUMMYFUNCTION("""COMPUTED_VALUE"""),308.0)</f>
        <v>308</v>
      </c>
      <c r="C3954" s="10">
        <f>IFERROR(__xludf.DUMMYFUNCTION("""COMPUTED_VALUE"""),3677.0)</f>
        <v>3677</v>
      </c>
      <c r="D3954" s="5">
        <f>IFERROR(__xludf.DUMMYFUNCTION("""COMPUTED_VALUE"""),0.3597506678539626)</f>
        <v>0.3597506679</v>
      </c>
      <c r="E3954" s="5">
        <f>IFERROR(__xludf.DUMMYFUNCTION("""COMPUTED_VALUE"""),0.12080736123478777)</f>
        <v>0.1208073612</v>
      </c>
      <c r="F3954" s="5">
        <f>IFERROR(__xludf.DUMMYFUNCTION("""COMPUTED_VALUE"""),0.203324428613832)</f>
        <v>0.2033244286</v>
      </c>
      <c r="G3954" s="5">
        <f>IFERROR(__xludf.DUMMYFUNCTION("""COMPUTED_VALUE"""),0.1662214306915999)</f>
        <v>0.1662214307</v>
      </c>
      <c r="H3954" s="5">
        <f>IFERROR(__xludf.DUMMYFUNCTION("""COMPUTED_VALUE"""),0.5868613138686132)</f>
        <v>0.5868613139</v>
      </c>
      <c r="I3954" s="11">
        <f>IFERROR(__xludf.DUMMYFUNCTION("""COMPUTED_VALUE"""),5658.394160583942)</f>
        <v>5658.394161</v>
      </c>
      <c r="J3954" s="10">
        <f>IFERROR(__xludf.DUMMYFUNCTION("""COMPUTED_VALUE"""),0.0)</f>
        <v>0</v>
      </c>
      <c r="K3954" s="5">
        <f>IFERROR(__xludf.DUMMYFUNCTION("""COMPUTED_VALUE"""),0.0)</f>
        <v>0</v>
      </c>
      <c r="L3954" s="10">
        <f>IFERROR(__xludf.DUMMYFUNCTION("""COMPUTED_VALUE"""),0.0)</f>
        <v>0</v>
      </c>
      <c r="M3954" s="5">
        <f>IFERROR(__xludf.DUMMYFUNCTION("""COMPUTED_VALUE"""),0.0)</f>
        <v>0</v>
      </c>
    </row>
    <row r="3955">
      <c r="A3955" s="10" t="str">
        <f>IFERROR(__xludf.DUMMYFUNCTION("""COMPUTED_VALUE"""),"junn.i")</f>
        <v>junn.i</v>
      </c>
      <c r="B3955" s="10">
        <f>IFERROR(__xludf.DUMMYFUNCTION("""COMPUTED_VALUE"""),782.0)</f>
        <v>782</v>
      </c>
      <c r="C3955" s="10">
        <f>IFERROR(__xludf.DUMMYFUNCTION("""COMPUTED_VALUE"""),9061.0)</f>
        <v>9061</v>
      </c>
      <c r="D3955" s="5">
        <f>IFERROR(__xludf.DUMMYFUNCTION("""COMPUTED_VALUE"""),0.38120545959656965)</f>
        <v>0.3812054596</v>
      </c>
      <c r="E3955" s="5">
        <f>IFERROR(__xludf.DUMMYFUNCTION("""COMPUTED_VALUE"""),0.12078753472641623)</f>
        <v>0.1207875347</v>
      </c>
      <c r="F3955" s="5">
        <f>IFERROR(__xludf.DUMMYFUNCTION("""COMPUTED_VALUE"""),0.2061843217779925)</f>
        <v>0.2061843218</v>
      </c>
      <c r="G3955" s="5">
        <f>IFERROR(__xludf.DUMMYFUNCTION("""COMPUTED_VALUE"""),0.17151829931151105)</f>
        <v>0.1715182993</v>
      </c>
      <c r="H3955" s="5">
        <f>IFERROR(__xludf.DUMMYFUNCTION("""COMPUTED_VALUE"""),0.6092560046865847)</f>
        <v>0.6092560047</v>
      </c>
      <c r="I3955" s="11">
        <f>IFERROR(__xludf.DUMMYFUNCTION("""COMPUTED_VALUE"""),5731.634446397188)</f>
        <v>5731.634446</v>
      </c>
      <c r="J3955" s="10">
        <f>IFERROR(__xludf.DUMMYFUNCTION("""COMPUTED_VALUE"""),2.0)</f>
        <v>2</v>
      </c>
      <c r="K3955" s="5">
        <f>IFERROR(__xludf.DUMMYFUNCTION("""COMPUTED_VALUE"""),0.0025575447570332483)</f>
        <v>0.002557544757</v>
      </c>
      <c r="L3955" s="10">
        <f>IFERROR(__xludf.DUMMYFUNCTION("""COMPUTED_VALUE"""),782.0)</f>
        <v>782</v>
      </c>
      <c r="M3955" s="5">
        <f>IFERROR(__xludf.DUMMYFUNCTION("""COMPUTED_VALUE"""),1.0)</f>
        <v>1</v>
      </c>
    </row>
    <row r="3956">
      <c r="A3956" s="10" t="str">
        <f>IFERROR(__xludf.DUMMYFUNCTION("""COMPUTED_VALUE"""),"雪月風花")</f>
        <v>雪月風花</v>
      </c>
      <c r="B3956" s="10">
        <f>IFERROR(__xludf.DUMMYFUNCTION("""COMPUTED_VALUE"""),2943.0)</f>
        <v>2943</v>
      </c>
      <c r="C3956" s="10">
        <f>IFERROR(__xludf.DUMMYFUNCTION("""COMPUTED_VALUE"""),34478.0)</f>
        <v>34478</v>
      </c>
      <c r="D3956" s="5">
        <f>IFERROR(__xludf.DUMMYFUNCTION("""COMPUTED_VALUE"""),0.37643887743776755)</f>
        <v>0.3764388774</v>
      </c>
      <c r="E3956" s="5">
        <f>IFERROR(__xludf.DUMMYFUNCTION("""COMPUTED_VALUE"""),0.12078642777865864)</f>
        <v>0.1207864278</v>
      </c>
      <c r="F3956" s="5">
        <f>IFERROR(__xludf.DUMMYFUNCTION("""COMPUTED_VALUE"""),0.20586649754241318)</f>
        <v>0.2058664975</v>
      </c>
      <c r="G3956" s="5">
        <f>IFERROR(__xludf.DUMMYFUNCTION("""COMPUTED_VALUE"""),0.17850007927699382)</f>
        <v>0.1785000793</v>
      </c>
      <c r="H3956" s="5">
        <f>IFERROR(__xludf.DUMMYFUNCTION("""COMPUTED_VALUE"""),0.606592729513247)</f>
        <v>0.6065927295</v>
      </c>
      <c r="I3956" s="11">
        <f>IFERROR(__xludf.DUMMYFUNCTION("""COMPUTED_VALUE"""),5818.638324091189)</f>
        <v>5818.638324</v>
      </c>
      <c r="J3956" s="10">
        <f>IFERROR(__xludf.DUMMYFUNCTION("""COMPUTED_VALUE"""),7.0)</f>
        <v>7</v>
      </c>
      <c r="K3956" s="5">
        <f>IFERROR(__xludf.DUMMYFUNCTION("""COMPUTED_VALUE"""),0.002378525314305131)</f>
        <v>0.002378525314</v>
      </c>
      <c r="L3956" s="10">
        <f>IFERROR(__xludf.DUMMYFUNCTION("""COMPUTED_VALUE"""),1472.0)</f>
        <v>1472</v>
      </c>
      <c r="M3956" s="5">
        <f>IFERROR(__xludf.DUMMYFUNCTION("""COMPUTED_VALUE"""),0.5001698946653075)</f>
        <v>0.5001698947</v>
      </c>
    </row>
    <row r="3957">
      <c r="A3957" s="10" t="str">
        <f>IFERROR(__xludf.DUMMYFUNCTION("""COMPUTED_VALUE"""),"ささにょき")</f>
        <v>ささにょき</v>
      </c>
      <c r="B3957" s="10">
        <f>IFERROR(__xludf.DUMMYFUNCTION("""COMPUTED_VALUE"""),226.0)</f>
        <v>226</v>
      </c>
      <c r="C3957" s="10">
        <f>IFERROR(__xludf.DUMMYFUNCTION("""COMPUTED_VALUE"""),2619.0)</f>
        <v>2619</v>
      </c>
      <c r="D3957" s="5">
        <f>IFERROR(__xludf.DUMMYFUNCTION("""COMPUTED_VALUE"""),0.34266610948600085)</f>
        <v>0.3426661095</v>
      </c>
      <c r="E3957" s="5">
        <f>IFERROR(__xludf.DUMMYFUNCTION("""COMPUTED_VALUE"""),0.12076890931884664)</f>
        <v>0.1207689093</v>
      </c>
      <c r="F3957" s="5">
        <f>IFERROR(__xludf.DUMMYFUNCTION("""COMPUTED_VALUE"""),0.20936063518595904)</f>
        <v>0.2093606352</v>
      </c>
      <c r="G3957" s="5">
        <f>IFERROR(__xludf.DUMMYFUNCTION("""COMPUTED_VALUE"""),0.18470539072294193)</f>
        <v>0.1847053907</v>
      </c>
      <c r="H3957" s="5">
        <f>IFERROR(__xludf.DUMMYFUNCTION("""COMPUTED_VALUE"""),0.5788423153692615)</f>
        <v>0.5788423154</v>
      </c>
      <c r="I3957" s="11">
        <f>IFERROR(__xludf.DUMMYFUNCTION("""COMPUTED_VALUE"""),5475.0499001996)</f>
        <v>5475.0499</v>
      </c>
      <c r="J3957" s="10">
        <f>IFERROR(__xludf.DUMMYFUNCTION("""COMPUTED_VALUE"""),0.0)</f>
        <v>0</v>
      </c>
      <c r="K3957" s="5">
        <f>IFERROR(__xludf.DUMMYFUNCTION("""COMPUTED_VALUE"""),0.0)</f>
        <v>0</v>
      </c>
      <c r="L3957" s="10">
        <f>IFERROR(__xludf.DUMMYFUNCTION("""COMPUTED_VALUE"""),226.0)</f>
        <v>226</v>
      </c>
      <c r="M3957" s="5">
        <f>IFERROR(__xludf.DUMMYFUNCTION("""COMPUTED_VALUE"""),1.0)</f>
        <v>1</v>
      </c>
    </row>
    <row r="3958">
      <c r="A3958" s="10" t="str">
        <f>IFERROR(__xludf.DUMMYFUNCTION("""COMPUTED_VALUE"""),"siera401")</f>
        <v>siera401</v>
      </c>
      <c r="B3958" s="10">
        <f>IFERROR(__xludf.DUMMYFUNCTION("""COMPUTED_VALUE"""),400.0)</f>
        <v>400</v>
      </c>
      <c r="C3958" s="10">
        <f>IFERROR(__xludf.DUMMYFUNCTION("""COMPUTED_VALUE"""),4623.0)</f>
        <v>4623</v>
      </c>
      <c r="D3958" s="5">
        <f>IFERROR(__xludf.DUMMYFUNCTION("""COMPUTED_VALUE"""),0.3239403267819086)</f>
        <v>0.3239403268</v>
      </c>
      <c r="E3958" s="5">
        <f>IFERROR(__xludf.DUMMYFUNCTION("""COMPUTED_VALUE"""),0.12076722708974663)</f>
        <v>0.1207672271</v>
      </c>
      <c r="F3958" s="5">
        <f>IFERROR(__xludf.DUMMYFUNCTION("""COMPUTED_VALUE"""),0.20956665877338385)</f>
        <v>0.2095666588</v>
      </c>
      <c r="G3958" s="5">
        <f>IFERROR(__xludf.DUMMYFUNCTION("""COMPUTED_VALUE"""),0.18659720577788302)</f>
        <v>0.1865972058</v>
      </c>
      <c r="H3958" s="5">
        <f>IFERROR(__xludf.DUMMYFUNCTION("""COMPUTED_VALUE"""),0.576271186440678)</f>
        <v>0.5762711864</v>
      </c>
      <c r="I3958" s="11">
        <f>IFERROR(__xludf.DUMMYFUNCTION("""COMPUTED_VALUE"""),5891.977401129943)</f>
        <v>5891.977401</v>
      </c>
      <c r="J3958" s="10">
        <f>IFERROR(__xludf.DUMMYFUNCTION("""COMPUTED_VALUE"""),1.0)</f>
        <v>1</v>
      </c>
      <c r="K3958" s="5">
        <f>IFERROR(__xludf.DUMMYFUNCTION("""COMPUTED_VALUE"""),0.0025)</f>
        <v>0.0025</v>
      </c>
      <c r="L3958" s="10">
        <f>IFERROR(__xludf.DUMMYFUNCTION("""COMPUTED_VALUE"""),7.0)</f>
        <v>7</v>
      </c>
      <c r="M3958" s="5">
        <f>IFERROR(__xludf.DUMMYFUNCTION("""COMPUTED_VALUE"""),0.0175)</f>
        <v>0.0175</v>
      </c>
    </row>
    <row r="3959">
      <c r="A3959" s="10" t="str">
        <f>IFERROR(__xludf.DUMMYFUNCTION("""COMPUTED_VALUE"""),"代官山すみれ")</f>
        <v>代官山すみれ</v>
      </c>
      <c r="B3959" s="10">
        <f>IFERROR(__xludf.DUMMYFUNCTION("""COMPUTED_VALUE"""),316.0)</f>
        <v>316</v>
      </c>
      <c r="C3959" s="10">
        <f>IFERROR(__xludf.DUMMYFUNCTION("""COMPUTED_VALUE"""),3761.0)</f>
        <v>3761</v>
      </c>
      <c r="D3959" s="5">
        <f>IFERROR(__xludf.DUMMYFUNCTION("""COMPUTED_VALUE"""),0.3718432510885341)</f>
        <v>0.3718432511</v>
      </c>
      <c r="E3959" s="5">
        <f>IFERROR(__xludf.DUMMYFUNCTION("""COMPUTED_VALUE"""),0.12075471698113208)</f>
        <v>0.120754717</v>
      </c>
      <c r="F3959" s="5">
        <f>IFERROR(__xludf.DUMMYFUNCTION("""COMPUTED_VALUE"""),0.2153846153846154)</f>
        <v>0.2153846154</v>
      </c>
      <c r="G3959" s="5">
        <f>IFERROR(__xludf.DUMMYFUNCTION("""COMPUTED_VALUE"""),0.17822931785195936)</f>
        <v>0.1782293179</v>
      </c>
      <c r="H3959" s="5">
        <f>IFERROR(__xludf.DUMMYFUNCTION("""COMPUTED_VALUE"""),0.5795148247978437)</f>
        <v>0.5795148248</v>
      </c>
      <c r="I3959" s="11">
        <f>IFERROR(__xludf.DUMMYFUNCTION("""COMPUTED_VALUE"""),5416.981132075472)</f>
        <v>5416.981132</v>
      </c>
      <c r="J3959" s="10">
        <f>IFERROR(__xludf.DUMMYFUNCTION("""COMPUTED_VALUE"""),0.0)</f>
        <v>0</v>
      </c>
      <c r="K3959" s="5">
        <f>IFERROR(__xludf.DUMMYFUNCTION("""COMPUTED_VALUE"""),0.0)</f>
        <v>0</v>
      </c>
      <c r="L3959" s="10">
        <f>IFERROR(__xludf.DUMMYFUNCTION("""COMPUTED_VALUE"""),0.0)</f>
        <v>0</v>
      </c>
      <c r="M3959" s="5">
        <f>IFERROR(__xludf.DUMMYFUNCTION("""COMPUTED_VALUE"""),0.0)</f>
        <v>0</v>
      </c>
    </row>
    <row r="3960">
      <c r="A3960" s="10" t="str">
        <f>IFERROR(__xludf.DUMMYFUNCTION("""COMPUTED_VALUE"""),"（*´ー｀*）")</f>
        <v>（*´ー｀*）</v>
      </c>
      <c r="B3960" s="10">
        <f>IFERROR(__xludf.DUMMYFUNCTION("""COMPUTED_VALUE"""),808.0)</f>
        <v>808</v>
      </c>
      <c r="C3960" s="10">
        <f>IFERROR(__xludf.DUMMYFUNCTION("""COMPUTED_VALUE"""),9520.0)</f>
        <v>9520</v>
      </c>
      <c r="D3960" s="5">
        <f>IFERROR(__xludf.DUMMYFUNCTION("""COMPUTED_VALUE"""),0.36765381083562904)</f>
        <v>0.3676538108</v>
      </c>
      <c r="E3960" s="5">
        <f>IFERROR(__xludf.DUMMYFUNCTION("""COMPUTED_VALUE"""),0.12075298438934802)</f>
        <v>0.1207529844</v>
      </c>
      <c r="F3960" s="5">
        <f>IFERROR(__xludf.DUMMYFUNCTION("""COMPUTED_VALUE"""),0.20041322314049587)</f>
        <v>0.2004132231</v>
      </c>
      <c r="G3960" s="5">
        <f>IFERROR(__xludf.DUMMYFUNCTION("""COMPUTED_VALUE"""),0.15449954086317721)</f>
        <v>0.1544995409</v>
      </c>
      <c r="H3960" s="5">
        <f>IFERROR(__xludf.DUMMYFUNCTION("""COMPUTED_VALUE"""),0.6260022909507446)</f>
        <v>0.626002291</v>
      </c>
      <c r="I3960" s="11">
        <f>IFERROR(__xludf.DUMMYFUNCTION("""COMPUTED_VALUE"""),5666.953035509737)</f>
        <v>5666.953036</v>
      </c>
      <c r="J3960" s="10">
        <f>IFERROR(__xludf.DUMMYFUNCTION("""COMPUTED_VALUE"""),1.0)</f>
        <v>1</v>
      </c>
      <c r="K3960" s="5">
        <f>IFERROR(__xludf.DUMMYFUNCTION("""COMPUTED_VALUE"""),0.0012376237623762376)</f>
        <v>0.001237623762</v>
      </c>
      <c r="L3960" s="10">
        <f>IFERROR(__xludf.DUMMYFUNCTION("""COMPUTED_VALUE"""),122.0)</f>
        <v>122</v>
      </c>
      <c r="M3960" s="5">
        <f>IFERROR(__xludf.DUMMYFUNCTION("""COMPUTED_VALUE"""),0.15099009900990099)</f>
        <v>0.150990099</v>
      </c>
    </row>
    <row r="3961">
      <c r="A3961" s="10" t="str">
        <f>IFERROR(__xludf.DUMMYFUNCTION("""COMPUTED_VALUE"""),"りさま")</f>
        <v>りさま</v>
      </c>
      <c r="B3961" s="10">
        <f>IFERROR(__xludf.DUMMYFUNCTION("""COMPUTED_VALUE"""),104.0)</f>
        <v>104</v>
      </c>
      <c r="C3961" s="10">
        <f>IFERROR(__xludf.DUMMYFUNCTION("""COMPUTED_VALUE"""),1222.0)</f>
        <v>1222</v>
      </c>
      <c r="D3961" s="5">
        <f>IFERROR(__xludf.DUMMYFUNCTION("""COMPUTED_VALUE"""),0.3470483005366726)</f>
        <v>0.3470483005</v>
      </c>
      <c r="E3961" s="5">
        <f>IFERROR(__xludf.DUMMYFUNCTION("""COMPUTED_VALUE"""),0.12075134168157424)</f>
        <v>0.1207513417</v>
      </c>
      <c r="F3961" s="5">
        <f>IFERROR(__xludf.DUMMYFUNCTION("""COMPUTED_VALUE"""),0.2039355992844365)</f>
        <v>0.2039355993</v>
      </c>
      <c r="G3961" s="5">
        <f>IFERROR(__xludf.DUMMYFUNCTION("""COMPUTED_VALUE"""),0.16636851520572452)</f>
        <v>0.1663685152</v>
      </c>
      <c r="H3961" s="5">
        <f>IFERROR(__xludf.DUMMYFUNCTION("""COMPUTED_VALUE"""),0.618421052631579)</f>
        <v>0.6184210526</v>
      </c>
      <c r="I3961" s="11">
        <f>IFERROR(__xludf.DUMMYFUNCTION("""COMPUTED_VALUE"""),5526.754385964912)</f>
        <v>5526.754386</v>
      </c>
      <c r="J3961" s="10">
        <f>IFERROR(__xludf.DUMMYFUNCTION("""COMPUTED_VALUE"""),0.0)</f>
        <v>0</v>
      </c>
      <c r="K3961" s="5">
        <f>IFERROR(__xludf.DUMMYFUNCTION("""COMPUTED_VALUE"""),0.0)</f>
        <v>0</v>
      </c>
      <c r="L3961" s="10">
        <f>IFERROR(__xludf.DUMMYFUNCTION("""COMPUTED_VALUE"""),42.0)</f>
        <v>42</v>
      </c>
      <c r="M3961" s="5">
        <f>IFERROR(__xludf.DUMMYFUNCTION("""COMPUTED_VALUE"""),0.40384615384615385)</f>
        <v>0.4038461538</v>
      </c>
    </row>
    <row r="3962">
      <c r="A3962" s="10" t="str">
        <f>IFERROR(__xludf.DUMMYFUNCTION("""COMPUTED_VALUE"""),"Gomoao")</f>
        <v>Gomoao</v>
      </c>
      <c r="B3962" s="10">
        <f>IFERROR(__xludf.DUMMYFUNCTION("""COMPUTED_VALUE"""),450.0)</f>
        <v>450</v>
      </c>
      <c r="C3962" s="10">
        <f>IFERROR(__xludf.DUMMYFUNCTION("""COMPUTED_VALUE"""),5303.0)</f>
        <v>5303</v>
      </c>
      <c r="D3962" s="5">
        <f>IFERROR(__xludf.DUMMYFUNCTION("""COMPUTED_VALUE"""),0.3739954667216155)</f>
        <v>0.3739954667</v>
      </c>
      <c r="E3962" s="5">
        <f>IFERROR(__xludf.DUMMYFUNCTION("""COMPUTED_VALUE"""),0.1207500515145271)</f>
        <v>0.1207500515</v>
      </c>
      <c r="F3962" s="5">
        <f>IFERROR(__xludf.DUMMYFUNCTION("""COMPUTED_VALUE"""),0.21594889758912014)</f>
        <v>0.2159488976</v>
      </c>
      <c r="G3962" s="5">
        <f>IFERROR(__xludf.DUMMYFUNCTION("""COMPUTED_VALUE"""),0.1673191840098908)</f>
        <v>0.167319184</v>
      </c>
      <c r="H3962" s="5">
        <f>IFERROR(__xludf.DUMMYFUNCTION("""COMPUTED_VALUE"""),0.5944656488549618)</f>
        <v>0.5944656489</v>
      </c>
      <c r="I3962" s="11">
        <f>IFERROR(__xludf.DUMMYFUNCTION("""COMPUTED_VALUE"""),5220.992366412213)</f>
        <v>5220.992366</v>
      </c>
      <c r="J3962" s="10">
        <f>IFERROR(__xludf.DUMMYFUNCTION("""COMPUTED_VALUE"""),0.0)</f>
        <v>0</v>
      </c>
      <c r="K3962" s="5">
        <f>IFERROR(__xludf.DUMMYFUNCTION("""COMPUTED_VALUE"""),0.0)</f>
        <v>0</v>
      </c>
      <c r="L3962" s="10">
        <f>IFERROR(__xludf.DUMMYFUNCTION("""COMPUTED_VALUE"""),450.0)</f>
        <v>450</v>
      </c>
      <c r="M3962" s="5">
        <f>IFERROR(__xludf.DUMMYFUNCTION("""COMPUTED_VALUE"""),1.0)</f>
        <v>1</v>
      </c>
    </row>
    <row r="3963">
      <c r="A3963" s="10" t="str">
        <f>IFERROR(__xludf.DUMMYFUNCTION("""COMPUTED_VALUE"""),"SPICA@X")</f>
        <v>SPICA@X</v>
      </c>
      <c r="B3963" s="10">
        <f>IFERROR(__xludf.DUMMYFUNCTION("""COMPUTED_VALUE"""),868.0)</f>
        <v>868</v>
      </c>
      <c r="C3963" s="10">
        <f>IFERROR(__xludf.DUMMYFUNCTION("""COMPUTED_VALUE"""),10111.0)</f>
        <v>10111</v>
      </c>
      <c r="D3963" s="5">
        <f>IFERROR(__xludf.DUMMYFUNCTION("""COMPUTED_VALUE"""),0.42356377799415773)</f>
        <v>0.423563778</v>
      </c>
      <c r="E3963" s="5">
        <f>IFERROR(__xludf.DUMMYFUNCTION("""COMPUTED_VALUE"""),0.12074001947419669)</f>
        <v>0.1207400195</v>
      </c>
      <c r="F3963" s="5">
        <f>IFERROR(__xludf.DUMMYFUNCTION("""COMPUTED_VALUE"""),0.22070756247971438)</f>
        <v>0.2207075625</v>
      </c>
      <c r="G3963" s="5">
        <f>IFERROR(__xludf.DUMMYFUNCTION("""COMPUTED_VALUE"""),0.15276425403007682)</f>
        <v>0.152764254</v>
      </c>
      <c r="H3963" s="5">
        <f>IFERROR(__xludf.DUMMYFUNCTION("""COMPUTED_VALUE"""),0.6171568627450981)</f>
        <v>0.6171568627</v>
      </c>
      <c r="I3963" s="11">
        <f>IFERROR(__xludf.DUMMYFUNCTION("""COMPUTED_VALUE"""),5085.588235294118)</f>
        <v>5085.588235</v>
      </c>
      <c r="J3963" s="10">
        <f>IFERROR(__xludf.DUMMYFUNCTION("""COMPUTED_VALUE"""),1.0)</f>
        <v>1</v>
      </c>
      <c r="K3963" s="5">
        <f>IFERROR(__xludf.DUMMYFUNCTION("""COMPUTED_VALUE"""),0.001152073732718894)</f>
        <v>0.001152073733</v>
      </c>
      <c r="L3963" s="10">
        <f>IFERROR(__xludf.DUMMYFUNCTION("""COMPUTED_VALUE"""),868.0)</f>
        <v>868</v>
      </c>
      <c r="M3963" s="5">
        <f>IFERROR(__xludf.DUMMYFUNCTION("""COMPUTED_VALUE"""),1.0)</f>
        <v>1</v>
      </c>
    </row>
    <row r="3964">
      <c r="A3964" s="10" t="str">
        <f>IFERROR(__xludf.DUMMYFUNCTION("""COMPUTED_VALUE"""),"hase328")</f>
        <v>hase328</v>
      </c>
      <c r="B3964" s="10">
        <f>IFERROR(__xludf.DUMMYFUNCTION("""COMPUTED_VALUE"""),425.0)</f>
        <v>425</v>
      </c>
      <c r="C3964" s="10">
        <f>IFERROR(__xludf.DUMMYFUNCTION("""COMPUTED_VALUE"""),5030.0)</f>
        <v>5030</v>
      </c>
      <c r="D3964" s="5">
        <f>IFERROR(__xludf.DUMMYFUNCTION("""COMPUTED_VALUE"""),0.37046688382193266)</f>
        <v>0.3704668838</v>
      </c>
      <c r="E3964" s="5">
        <f>IFERROR(__xludf.DUMMYFUNCTION("""COMPUTED_VALUE"""),0.12073832790445169)</f>
        <v>0.1207383279</v>
      </c>
      <c r="F3964" s="5">
        <f>IFERROR(__xludf.DUMMYFUNCTION("""COMPUTED_VALUE"""),0.20977198697068403)</f>
        <v>0.209771987</v>
      </c>
      <c r="G3964" s="5">
        <f>IFERROR(__xludf.DUMMYFUNCTION("""COMPUTED_VALUE"""),0.17176981541802389)</f>
        <v>0.1717698154</v>
      </c>
      <c r="H3964" s="5">
        <f>IFERROR(__xludf.DUMMYFUNCTION("""COMPUTED_VALUE"""),0.5910973084886129)</f>
        <v>0.5910973085</v>
      </c>
      <c r="I3964" s="11">
        <f>IFERROR(__xludf.DUMMYFUNCTION("""COMPUTED_VALUE"""),5362.008281573499)</f>
        <v>5362.008282</v>
      </c>
      <c r="J3964" s="10">
        <f>IFERROR(__xludf.DUMMYFUNCTION("""COMPUTED_VALUE"""),1.0)</f>
        <v>1</v>
      </c>
      <c r="K3964" s="5">
        <f>IFERROR(__xludf.DUMMYFUNCTION("""COMPUTED_VALUE"""),0.002352941176470588)</f>
        <v>0.002352941176</v>
      </c>
      <c r="L3964" s="10">
        <f>IFERROR(__xludf.DUMMYFUNCTION("""COMPUTED_VALUE"""),425.0)</f>
        <v>425</v>
      </c>
      <c r="M3964" s="5">
        <f>IFERROR(__xludf.DUMMYFUNCTION("""COMPUTED_VALUE"""),1.0)</f>
        <v>1</v>
      </c>
    </row>
    <row r="3965">
      <c r="A3965" s="10" t="str">
        <f>IFERROR(__xludf.DUMMYFUNCTION("""COMPUTED_VALUE"""),"直特|阪神梅田")</f>
        <v>直特|阪神梅田</v>
      </c>
      <c r="B3965" s="10">
        <f>IFERROR(__xludf.DUMMYFUNCTION("""COMPUTED_VALUE"""),617.0)</f>
        <v>617</v>
      </c>
      <c r="C3965" s="10">
        <f>IFERROR(__xludf.DUMMYFUNCTION("""COMPUTED_VALUE"""),7260.0)</f>
        <v>7260</v>
      </c>
      <c r="D3965" s="5">
        <f>IFERROR(__xludf.DUMMYFUNCTION("""COMPUTED_VALUE"""),0.4219479150986)</f>
        <v>0.4219479151</v>
      </c>
      <c r="E3965" s="5">
        <f>IFERROR(__xludf.DUMMYFUNCTION("""COMPUTED_VALUE"""),0.12072858648201114)</f>
        <v>0.1207285865</v>
      </c>
      <c r="F3965" s="5">
        <f>IFERROR(__xludf.DUMMYFUNCTION("""COMPUTED_VALUE"""),0.205780520849014)</f>
        <v>0.2057805208</v>
      </c>
      <c r="G3965" s="5">
        <f>IFERROR(__xludf.DUMMYFUNCTION("""COMPUTED_VALUE"""),0.11681469215715791)</f>
        <v>0.1168146922</v>
      </c>
      <c r="H3965" s="5">
        <f>IFERROR(__xludf.DUMMYFUNCTION("""COMPUTED_VALUE"""),0.6320409656181419)</f>
        <v>0.6320409656</v>
      </c>
      <c r="I3965" s="11">
        <f>IFERROR(__xludf.DUMMYFUNCTION("""COMPUTED_VALUE"""),5314.557425018288)</f>
        <v>5314.557425</v>
      </c>
      <c r="J3965" s="10">
        <f>IFERROR(__xludf.DUMMYFUNCTION("""COMPUTED_VALUE"""),4.0)</f>
        <v>4</v>
      </c>
      <c r="K3965" s="5">
        <f>IFERROR(__xludf.DUMMYFUNCTION("""COMPUTED_VALUE"""),0.006482982171799027)</f>
        <v>0.006482982172</v>
      </c>
      <c r="L3965" s="10">
        <f>IFERROR(__xludf.DUMMYFUNCTION("""COMPUTED_VALUE"""),40.0)</f>
        <v>40</v>
      </c>
      <c r="M3965" s="5">
        <f>IFERROR(__xludf.DUMMYFUNCTION("""COMPUTED_VALUE"""),0.06482982171799027)</f>
        <v>0.06482982172</v>
      </c>
    </row>
    <row r="3966">
      <c r="A3966" s="10" t="str">
        <f>IFERROR(__xludf.DUMMYFUNCTION("""COMPUTED_VALUE"""),"副寮長")</f>
        <v>副寮長</v>
      </c>
      <c r="B3966" s="10">
        <f>IFERROR(__xludf.DUMMYFUNCTION("""COMPUTED_VALUE"""),717.0)</f>
        <v>717</v>
      </c>
      <c r="C3966" s="10">
        <f>IFERROR(__xludf.DUMMYFUNCTION("""COMPUTED_VALUE"""),8479.0)</f>
        <v>8479</v>
      </c>
      <c r="D3966" s="5">
        <f>IFERROR(__xludf.DUMMYFUNCTION("""COMPUTED_VALUE"""),0.3126771450657047)</f>
        <v>0.3126771451</v>
      </c>
      <c r="E3966" s="5">
        <f>IFERROR(__xludf.DUMMYFUNCTION("""COMPUTED_VALUE"""),0.12071631022932235)</f>
        <v>0.1207163102</v>
      </c>
      <c r="F3966" s="5">
        <f>IFERROR(__xludf.DUMMYFUNCTION("""COMPUTED_VALUE"""),0.20381345014171606)</f>
        <v>0.2038134501</v>
      </c>
      <c r="G3966" s="5">
        <f>IFERROR(__xludf.DUMMYFUNCTION("""COMPUTED_VALUE"""),0.1413295542385983)</f>
        <v>0.1413295542</v>
      </c>
      <c r="H3966" s="5">
        <f>IFERROR(__xludf.DUMMYFUNCTION("""COMPUTED_VALUE"""),0.5865992414664981)</f>
        <v>0.5865992415</v>
      </c>
      <c r="I3966" s="11">
        <f>IFERROR(__xludf.DUMMYFUNCTION("""COMPUTED_VALUE"""),5496.7130214917825)</f>
        <v>5496.713021</v>
      </c>
      <c r="J3966" s="10">
        <f>IFERROR(__xludf.DUMMYFUNCTION("""COMPUTED_VALUE"""),1.0)</f>
        <v>1</v>
      </c>
      <c r="K3966" s="5">
        <f>IFERROR(__xludf.DUMMYFUNCTION("""COMPUTED_VALUE"""),0.001394700139470014)</f>
        <v>0.001394700139</v>
      </c>
      <c r="L3966" s="10">
        <f>IFERROR(__xludf.DUMMYFUNCTION("""COMPUTED_VALUE"""),717.0)</f>
        <v>717</v>
      </c>
      <c r="M3966" s="5">
        <f>IFERROR(__xludf.DUMMYFUNCTION("""COMPUTED_VALUE"""),1.0)</f>
        <v>1</v>
      </c>
    </row>
    <row r="3967">
      <c r="A3967" s="10" t="str">
        <f>IFERROR(__xludf.DUMMYFUNCTION("""COMPUTED_VALUE"""),"loveyou")</f>
        <v>loveyou</v>
      </c>
      <c r="B3967" s="10">
        <f>IFERROR(__xludf.DUMMYFUNCTION("""COMPUTED_VALUE"""),1055.0)</f>
        <v>1055</v>
      </c>
      <c r="C3967" s="10">
        <f>IFERROR(__xludf.DUMMYFUNCTION("""COMPUTED_VALUE"""),12172.0)</f>
        <v>12172</v>
      </c>
      <c r="D3967" s="5">
        <f>IFERROR(__xludf.DUMMYFUNCTION("""COMPUTED_VALUE"""),0.385445713771701)</f>
        <v>0.3854457138</v>
      </c>
      <c r="E3967" s="5">
        <f>IFERROR(__xludf.DUMMYFUNCTION("""COMPUTED_VALUE"""),0.12071602050913016)</f>
        <v>0.1207160205</v>
      </c>
      <c r="F3967" s="5">
        <f>IFERROR(__xludf.DUMMYFUNCTION("""COMPUTED_VALUE"""),0.21732481784654134)</f>
        <v>0.2173248178</v>
      </c>
      <c r="G3967" s="5">
        <f>IFERROR(__xludf.DUMMYFUNCTION("""COMPUTED_VALUE"""),0.1619141854816947)</f>
        <v>0.1619141855</v>
      </c>
      <c r="H3967" s="5">
        <f>IFERROR(__xludf.DUMMYFUNCTION("""COMPUTED_VALUE"""),0.6192052980132451)</f>
        <v>0.619205298</v>
      </c>
      <c r="I3967" s="11">
        <f>IFERROR(__xludf.DUMMYFUNCTION("""COMPUTED_VALUE"""),5594.453642384106)</f>
        <v>5594.453642</v>
      </c>
      <c r="J3967" s="10">
        <f>IFERROR(__xludf.DUMMYFUNCTION("""COMPUTED_VALUE"""),2.0)</f>
        <v>2</v>
      </c>
      <c r="K3967" s="5">
        <f>IFERROR(__xludf.DUMMYFUNCTION("""COMPUTED_VALUE"""),0.0018957345971563982)</f>
        <v>0.001895734597</v>
      </c>
      <c r="L3967" s="10">
        <f>IFERROR(__xludf.DUMMYFUNCTION("""COMPUTED_VALUE"""),1055.0)</f>
        <v>1055</v>
      </c>
      <c r="M3967" s="5">
        <f>IFERROR(__xludf.DUMMYFUNCTION("""COMPUTED_VALUE"""),1.0)</f>
        <v>1</v>
      </c>
    </row>
    <row r="3968">
      <c r="A3968" s="10" t="str">
        <f>IFERROR(__xludf.DUMMYFUNCTION("""COMPUTED_VALUE"""),"3rdstage")</f>
        <v>3rdstage</v>
      </c>
      <c r="B3968" s="10">
        <f>IFERROR(__xludf.DUMMYFUNCTION("""COMPUTED_VALUE"""),568.0)</f>
        <v>568</v>
      </c>
      <c r="C3968" s="10">
        <f>IFERROR(__xludf.DUMMYFUNCTION("""COMPUTED_VALUE"""),6583.0)</f>
        <v>6583</v>
      </c>
      <c r="D3968" s="5">
        <f>IFERROR(__xludf.DUMMYFUNCTION("""COMPUTED_VALUE"""),0.3862011637572735)</f>
        <v>0.3862011638</v>
      </c>
      <c r="E3968" s="5">
        <f>IFERROR(__xludf.DUMMYFUNCTION("""COMPUTED_VALUE"""),0.12069825436408978)</f>
        <v>0.1206982544</v>
      </c>
      <c r="F3968" s="5">
        <f>IFERROR(__xludf.DUMMYFUNCTION("""COMPUTED_VALUE"""),0.22493765586034914)</f>
        <v>0.2249376559</v>
      </c>
      <c r="G3968" s="5">
        <f>IFERROR(__xludf.DUMMYFUNCTION("""COMPUTED_VALUE"""),0.18021612635078968)</f>
        <v>0.1802161264</v>
      </c>
      <c r="H3968" s="5">
        <f>IFERROR(__xludf.DUMMYFUNCTION("""COMPUTED_VALUE"""),0.6097560975609756)</f>
        <v>0.6097560976</v>
      </c>
      <c r="I3968" s="11">
        <f>IFERROR(__xludf.DUMMYFUNCTION("""COMPUTED_VALUE"""),5568.736141906874)</f>
        <v>5568.736142</v>
      </c>
      <c r="J3968" s="10">
        <f>IFERROR(__xludf.DUMMYFUNCTION("""COMPUTED_VALUE"""),1.0)</f>
        <v>1</v>
      </c>
      <c r="K3968" s="5">
        <f>IFERROR(__xludf.DUMMYFUNCTION("""COMPUTED_VALUE"""),0.0017605633802816902)</f>
        <v>0.00176056338</v>
      </c>
      <c r="L3968" s="10">
        <f>IFERROR(__xludf.DUMMYFUNCTION("""COMPUTED_VALUE"""),568.0)</f>
        <v>568</v>
      </c>
      <c r="M3968" s="5">
        <f>IFERROR(__xludf.DUMMYFUNCTION("""COMPUTED_VALUE"""),1.0)</f>
        <v>1</v>
      </c>
    </row>
    <row r="3969">
      <c r="A3969" s="10" t="str">
        <f>IFERROR(__xludf.DUMMYFUNCTION("""COMPUTED_VALUE"""),"ぼちぼちやるか")</f>
        <v>ぼちぼちやるか</v>
      </c>
      <c r="B3969" s="10">
        <f>IFERROR(__xludf.DUMMYFUNCTION("""COMPUTED_VALUE"""),377.0)</f>
        <v>377</v>
      </c>
      <c r="C3969" s="10">
        <f>IFERROR(__xludf.DUMMYFUNCTION("""COMPUTED_VALUE"""),4387.0)</f>
        <v>4387</v>
      </c>
      <c r="D3969" s="5">
        <f>IFERROR(__xludf.DUMMYFUNCTION("""COMPUTED_VALUE"""),0.24139650872817955)</f>
        <v>0.2413965087</v>
      </c>
      <c r="E3969" s="5">
        <f>IFERROR(__xludf.DUMMYFUNCTION("""COMPUTED_VALUE"""),0.12069825436408978)</f>
        <v>0.1206982544</v>
      </c>
      <c r="F3969" s="5">
        <f>IFERROR(__xludf.DUMMYFUNCTION("""COMPUTED_VALUE"""),0.1915211970074813)</f>
        <v>0.191521197</v>
      </c>
      <c r="G3969" s="5">
        <f>IFERROR(__xludf.DUMMYFUNCTION("""COMPUTED_VALUE"""),0.16184538653366584)</f>
        <v>0.1618453865</v>
      </c>
      <c r="H3969" s="5">
        <f>IFERROR(__xludf.DUMMYFUNCTION("""COMPUTED_VALUE"""),0.5846354166666666)</f>
        <v>0.5846354167</v>
      </c>
      <c r="I3969" s="11">
        <f>IFERROR(__xludf.DUMMYFUNCTION("""COMPUTED_VALUE"""),6711.979166666667)</f>
        <v>6711.979167</v>
      </c>
      <c r="J3969" s="10">
        <f>IFERROR(__xludf.DUMMYFUNCTION("""COMPUTED_VALUE"""),1.0)</f>
        <v>1</v>
      </c>
      <c r="K3969" s="5">
        <f>IFERROR(__xludf.DUMMYFUNCTION("""COMPUTED_VALUE"""),0.002652519893899204)</f>
        <v>0.002652519894</v>
      </c>
      <c r="L3969" s="10">
        <f>IFERROR(__xludf.DUMMYFUNCTION("""COMPUTED_VALUE"""),377.0)</f>
        <v>377</v>
      </c>
      <c r="M3969" s="5">
        <f>IFERROR(__xludf.DUMMYFUNCTION("""COMPUTED_VALUE"""),1.0)</f>
        <v>1</v>
      </c>
    </row>
    <row r="3970">
      <c r="A3970" s="10" t="str">
        <f>IFERROR(__xludf.DUMMYFUNCTION("""COMPUTED_VALUE"""),"初代☆")</f>
        <v>初代☆</v>
      </c>
      <c r="B3970" s="10">
        <f>IFERROR(__xludf.DUMMYFUNCTION("""COMPUTED_VALUE"""),980.0)</f>
        <v>980</v>
      </c>
      <c r="C3970" s="10">
        <f>IFERROR(__xludf.DUMMYFUNCTION("""COMPUTED_VALUE"""),11610.0)</f>
        <v>11610</v>
      </c>
      <c r="D3970" s="5">
        <f>IFERROR(__xludf.DUMMYFUNCTION("""COMPUTED_VALUE"""),0.345343367826905)</f>
        <v>0.3453433678</v>
      </c>
      <c r="E3970" s="5">
        <f>IFERROR(__xludf.DUMMYFUNCTION("""COMPUTED_VALUE"""),0.12069614299153339)</f>
        <v>0.120696143</v>
      </c>
      <c r="F3970" s="5">
        <f>IFERROR(__xludf.DUMMYFUNCTION("""COMPUTED_VALUE"""),0.2024459078080903)</f>
        <v>0.2024459078</v>
      </c>
      <c r="G3970" s="5">
        <f>IFERROR(__xludf.DUMMYFUNCTION("""COMPUTED_VALUE"""),0.1619002822201317)</f>
        <v>0.1619002822</v>
      </c>
      <c r="H3970" s="5">
        <f>IFERROR(__xludf.DUMMYFUNCTION("""COMPUTED_VALUE"""),0.5762081784386617)</f>
        <v>0.5762081784</v>
      </c>
      <c r="I3970" s="11">
        <f>IFERROR(__xludf.DUMMYFUNCTION("""COMPUTED_VALUE"""),5661.4312267658)</f>
        <v>5661.431227</v>
      </c>
      <c r="J3970" s="10">
        <f>IFERROR(__xludf.DUMMYFUNCTION("""COMPUTED_VALUE"""),4.0)</f>
        <v>4</v>
      </c>
      <c r="K3970" s="5">
        <f>IFERROR(__xludf.DUMMYFUNCTION("""COMPUTED_VALUE"""),0.004081632653061225)</f>
        <v>0.004081632653</v>
      </c>
      <c r="L3970" s="10">
        <f>IFERROR(__xludf.DUMMYFUNCTION("""COMPUTED_VALUE"""),979.0)</f>
        <v>979</v>
      </c>
      <c r="M3970" s="5">
        <f>IFERROR(__xludf.DUMMYFUNCTION("""COMPUTED_VALUE"""),0.9989795918367347)</f>
        <v>0.9989795918</v>
      </c>
    </row>
    <row r="3971">
      <c r="A3971" s="10" t="str">
        <f>IFERROR(__xludf.DUMMYFUNCTION("""COMPUTED_VALUE"""),"まおらん")</f>
        <v>まおらん</v>
      </c>
      <c r="B3971" s="10">
        <f>IFERROR(__xludf.DUMMYFUNCTION("""COMPUTED_VALUE"""),2982.0)</f>
        <v>2982</v>
      </c>
      <c r="C3971" s="10">
        <f>IFERROR(__xludf.DUMMYFUNCTION("""COMPUTED_VALUE"""),35412.0)</f>
        <v>35412</v>
      </c>
      <c r="D3971" s="5">
        <f>IFERROR(__xludf.DUMMYFUNCTION("""COMPUTED_VALUE"""),0.3826395312981807)</f>
        <v>0.3826395313</v>
      </c>
      <c r="E3971" s="5">
        <f>IFERROR(__xludf.DUMMYFUNCTION("""COMPUTED_VALUE"""),0.12069071847055196)</f>
        <v>0.1206907185</v>
      </c>
      <c r="F3971" s="5">
        <f>IFERROR(__xludf.DUMMYFUNCTION("""COMPUTED_VALUE"""),0.2121800801726796)</f>
        <v>0.2121800802</v>
      </c>
      <c r="G3971" s="5">
        <f>IFERROR(__xludf.DUMMYFUNCTION("""COMPUTED_VALUE"""),0.14970706136293555)</f>
        <v>0.1497070614</v>
      </c>
      <c r="H3971" s="5">
        <f>IFERROR(__xludf.DUMMYFUNCTION("""COMPUTED_VALUE"""),0.6127016422031681)</f>
        <v>0.6127016422</v>
      </c>
      <c r="I3971" s="11">
        <f>IFERROR(__xludf.DUMMYFUNCTION("""COMPUTED_VALUE"""),5411.146635663421)</f>
        <v>5411.146636</v>
      </c>
      <c r="J3971" s="10">
        <f>IFERROR(__xludf.DUMMYFUNCTION("""COMPUTED_VALUE"""),9.0)</f>
        <v>9</v>
      </c>
      <c r="K3971" s="5">
        <f>IFERROR(__xludf.DUMMYFUNCTION("""COMPUTED_VALUE"""),0.0030181086519114686)</f>
        <v>0.003018108652</v>
      </c>
      <c r="L3971" s="10">
        <f>IFERROR(__xludf.DUMMYFUNCTION("""COMPUTED_VALUE"""),390.0)</f>
        <v>390</v>
      </c>
      <c r="M3971" s="5">
        <f>IFERROR(__xludf.DUMMYFUNCTION("""COMPUTED_VALUE"""),0.13078470824949698)</f>
        <v>0.1307847082</v>
      </c>
    </row>
    <row r="3972">
      <c r="A3972" s="10" t="str">
        <f>IFERROR(__xludf.DUMMYFUNCTION("""COMPUTED_VALUE"""),"アーシェスネイ")</f>
        <v>アーシェスネイ</v>
      </c>
      <c r="B3972" s="10">
        <f>IFERROR(__xludf.DUMMYFUNCTION("""COMPUTED_VALUE"""),124.0)</f>
        <v>124</v>
      </c>
      <c r="C3972" s="10">
        <f>IFERROR(__xludf.DUMMYFUNCTION("""COMPUTED_VALUE"""),1458.0)</f>
        <v>1458</v>
      </c>
      <c r="D3972" s="5">
        <f>IFERROR(__xludf.DUMMYFUNCTION("""COMPUTED_VALUE"""),0.37256371814092953)</f>
        <v>0.3725637181</v>
      </c>
      <c r="E3972" s="5">
        <f>IFERROR(__xludf.DUMMYFUNCTION("""COMPUTED_VALUE"""),0.1206896551724138)</f>
        <v>0.1206896552</v>
      </c>
      <c r="F3972" s="5">
        <f>IFERROR(__xludf.DUMMYFUNCTION("""COMPUTED_VALUE"""),0.19790104947526238)</f>
        <v>0.1979010495</v>
      </c>
      <c r="G3972" s="5">
        <f>IFERROR(__xludf.DUMMYFUNCTION("""COMPUTED_VALUE"""),0.12743628185907047)</f>
        <v>0.1274362819</v>
      </c>
      <c r="H3972" s="5">
        <f>IFERROR(__xludf.DUMMYFUNCTION("""COMPUTED_VALUE"""),0.5454545454545454)</f>
        <v>0.5454545455</v>
      </c>
      <c r="I3972" s="11">
        <f>IFERROR(__xludf.DUMMYFUNCTION("""COMPUTED_VALUE"""),4840.909090909091)</f>
        <v>4840.909091</v>
      </c>
      <c r="J3972" s="10">
        <f>IFERROR(__xludf.DUMMYFUNCTION("""COMPUTED_VALUE"""),0.0)</f>
        <v>0</v>
      </c>
      <c r="K3972" s="5">
        <f>IFERROR(__xludf.DUMMYFUNCTION("""COMPUTED_VALUE"""),0.0)</f>
        <v>0</v>
      </c>
      <c r="L3972" s="10">
        <f>IFERROR(__xludf.DUMMYFUNCTION("""COMPUTED_VALUE"""),0.0)</f>
        <v>0</v>
      </c>
      <c r="M3972" s="5">
        <f>IFERROR(__xludf.DUMMYFUNCTION("""COMPUTED_VALUE"""),0.0)</f>
        <v>0</v>
      </c>
    </row>
    <row r="3973">
      <c r="A3973" s="10" t="str">
        <f>IFERROR(__xludf.DUMMYFUNCTION("""COMPUTED_VALUE"""),"オアリムの詠唱")</f>
        <v>オアリムの詠唱</v>
      </c>
      <c r="B3973" s="10">
        <f>IFERROR(__xludf.DUMMYFUNCTION("""COMPUTED_VALUE"""),1005.0)</f>
        <v>1005</v>
      </c>
      <c r="C3973" s="10">
        <f>IFERROR(__xludf.DUMMYFUNCTION("""COMPUTED_VALUE"""),11810.0)</f>
        <v>11810</v>
      </c>
      <c r="D3973" s="5">
        <f>IFERROR(__xludf.DUMMYFUNCTION("""COMPUTED_VALUE"""),0.2901434521055067)</f>
        <v>0.2901434521</v>
      </c>
      <c r="E3973" s="5">
        <f>IFERROR(__xludf.DUMMYFUNCTION("""COMPUTED_VALUE"""),0.12068486811661268)</f>
        <v>0.1206848681</v>
      </c>
      <c r="F3973" s="5">
        <f>IFERROR(__xludf.DUMMYFUNCTION("""COMPUTED_VALUE"""),0.196760758907913)</f>
        <v>0.1967607589</v>
      </c>
      <c r="G3973" s="5">
        <f>IFERROR(__xludf.DUMMYFUNCTION("""COMPUTED_VALUE"""),0.2070337806571032)</f>
        <v>0.2070337807</v>
      </c>
      <c r="H3973" s="5">
        <f>IFERROR(__xludf.DUMMYFUNCTION("""COMPUTED_VALUE"""),0.5799623706491063)</f>
        <v>0.5799623706</v>
      </c>
      <c r="I3973" s="11">
        <f>IFERROR(__xludf.DUMMYFUNCTION("""COMPUTED_VALUE"""),5806.161806208843)</f>
        <v>5806.161806</v>
      </c>
      <c r="J3973" s="10">
        <f>IFERROR(__xludf.DUMMYFUNCTION("""COMPUTED_VALUE"""),2.0)</f>
        <v>2</v>
      </c>
      <c r="K3973" s="5">
        <f>IFERROR(__xludf.DUMMYFUNCTION("""COMPUTED_VALUE"""),0.001990049751243781)</f>
        <v>0.001990049751</v>
      </c>
      <c r="L3973" s="10">
        <f>IFERROR(__xludf.DUMMYFUNCTION("""COMPUTED_VALUE"""),1005.0)</f>
        <v>1005</v>
      </c>
      <c r="M3973" s="5">
        <f>IFERROR(__xludf.DUMMYFUNCTION("""COMPUTED_VALUE"""),1.0)</f>
        <v>1</v>
      </c>
    </row>
    <row r="3974">
      <c r="A3974" s="10" t="str">
        <f>IFERROR(__xludf.DUMMYFUNCTION("""COMPUTED_VALUE"""),"kickchi")</f>
        <v>kickchi</v>
      </c>
      <c r="B3974" s="10">
        <f>IFERROR(__xludf.DUMMYFUNCTION("""COMPUTED_VALUE"""),945.0)</f>
        <v>945</v>
      </c>
      <c r="C3974" s="10">
        <f>IFERROR(__xludf.DUMMYFUNCTION("""COMPUTED_VALUE"""),11170.0)</f>
        <v>11170</v>
      </c>
      <c r="D3974" s="5">
        <f>IFERROR(__xludf.DUMMYFUNCTION("""COMPUTED_VALUE"""),0.35383863080684597)</f>
        <v>0.3538386308</v>
      </c>
      <c r="E3974" s="5">
        <f>IFERROR(__xludf.DUMMYFUNCTION("""COMPUTED_VALUE"""),0.12068459657701712)</f>
        <v>0.1206845966</v>
      </c>
      <c r="F3974" s="5">
        <f>IFERROR(__xludf.DUMMYFUNCTION("""COMPUTED_VALUE"""),0.2217114914425428)</f>
        <v>0.2217114914</v>
      </c>
      <c r="G3974" s="5">
        <f>IFERROR(__xludf.DUMMYFUNCTION("""COMPUTED_VALUE"""),0.1624449877750611)</f>
        <v>0.1624449878</v>
      </c>
      <c r="H3974" s="5">
        <f>IFERROR(__xludf.DUMMYFUNCTION("""COMPUTED_VALUE"""),0.6144684605205117)</f>
        <v>0.6144684605</v>
      </c>
      <c r="I3974" s="11">
        <f>IFERROR(__xludf.DUMMYFUNCTION("""COMPUTED_VALUE"""),5314.203793559771)</f>
        <v>5314.203794</v>
      </c>
      <c r="J3974" s="10">
        <f>IFERROR(__xludf.DUMMYFUNCTION("""COMPUTED_VALUE"""),1.0)</f>
        <v>1</v>
      </c>
      <c r="K3974" s="5">
        <f>IFERROR(__xludf.DUMMYFUNCTION("""COMPUTED_VALUE"""),0.0010582010582010583)</f>
        <v>0.001058201058</v>
      </c>
      <c r="L3974" s="10">
        <f>IFERROR(__xludf.DUMMYFUNCTION("""COMPUTED_VALUE"""),945.0)</f>
        <v>945</v>
      </c>
      <c r="M3974" s="5">
        <f>IFERROR(__xludf.DUMMYFUNCTION("""COMPUTED_VALUE"""),1.0)</f>
        <v>1</v>
      </c>
    </row>
    <row r="3975">
      <c r="A3975" s="10" t="str">
        <f>IFERROR(__xludf.DUMMYFUNCTION("""COMPUTED_VALUE"""),"高村＠確変")</f>
        <v>高村＠確変</v>
      </c>
      <c r="B3975" s="10">
        <f>IFERROR(__xludf.DUMMYFUNCTION("""COMPUTED_VALUE"""),131.0)</f>
        <v>131</v>
      </c>
      <c r="C3975" s="10">
        <f>IFERROR(__xludf.DUMMYFUNCTION("""COMPUTED_VALUE"""),1540.0)</f>
        <v>1540</v>
      </c>
      <c r="D3975" s="5">
        <f>IFERROR(__xludf.DUMMYFUNCTION("""COMPUTED_VALUE"""),0.36550745209368346)</f>
        <v>0.3655074521</v>
      </c>
      <c r="E3975" s="5">
        <f>IFERROR(__xludf.DUMMYFUNCTION("""COMPUTED_VALUE"""),0.12065294535131299)</f>
        <v>0.1206529454</v>
      </c>
      <c r="F3975" s="5">
        <f>IFERROR(__xludf.DUMMYFUNCTION("""COMPUTED_VALUE"""),0.2044002838892832)</f>
        <v>0.2044002839</v>
      </c>
      <c r="G3975" s="5">
        <f>IFERROR(__xludf.DUMMYFUNCTION("""COMPUTED_VALUE"""),0.18097941802696949)</f>
        <v>0.180979418</v>
      </c>
      <c r="H3975" s="5">
        <f>IFERROR(__xludf.DUMMYFUNCTION("""COMPUTED_VALUE"""),0.59375)</f>
        <v>0.59375</v>
      </c>
      <c r="I3975" s="11">
        <f>IFERROR(__xludf.DUMMYFUNCTION("""COMPUTED_VALUE"""),5522.222222222223)</f>
        <v>5522.222222</v>
      </c>
      <c r="J3975" s="10">
        <f>IFERROR(__xludf.DUMMYFUNCTION("""COMPUTED_VALUE"""),0.0)</f>
        <v>0</v>
      </c>
      <c r="K3975" s="5">
        <f>IFERROR(__xludf.DUMMYFUNCTION("""COMPUTED_VALUE"""),0.0)</f>
        <v>0</v>
      </c>
      <c r="L3975" s="10">
        <f>IFERROR(__xludf.DUMMYFUNCTION("""COMPUTED_VALUE"""),131.0)</f>
        <v>131</v>
      </c>
      <c r="M3975" s="5">
        <f>IFERROR(__xludf.DUMMYFUNCTION("""COMPUTED_VALUE"""),1.0)</f>
        <v>1</v>
      </c>
    </row>
    <row r="3976">
      <c r="A3976" s="10" t="str">
        <f>IFERROR(__xludf.DUMMYFUNCTION("""COMPUTED_VALUE"""),"goemon1")</f>
        <v>goemon1</v>
      </c>
      <c r="B3976" s="10">
        <f>IFERROR(__xludf.DUMMYFUNCTION("""COMPUTED_VALUE"""),104.0)</f>
        <v>104</v>
      </c>
      <c r="C3976" s="10">
        <f>IFERROR(__xludf.DUMMYFUNCTION("""COMPUTED_VALUE"""),1223.0)</f>
        <v>1223</v>
      </c>
      <c r="D3976" s="5">
        <f>IFERROR(__xludf.DUMMYFUNCTION("""COMPUTED_VALUE"""),0.36639857015192134)</f>
        <v>0.3663985702</v>
      </c>
      <c r="E3976" s="5">
        <f>IFERROR(__xludf.DUMMYFUNCTION("""COMPUTED_VALUE"""),0.12064343163538874)</f>
        <v>0.1206434316</v>
      </c>
      <c r="F3976" s="5">
        <f>IFERROR(__xludf.DUMMYFUNCTION("""COMPUTED_VALUE"""),0.21894548704200179)</f>
        <v>0.218945487</v>
      </c>
      <c r="G3976" s="5">
        <f>IFERROR(__xludf.DUMMYFUNCTION("""COMPUTED_VALUE"""),0.1742627345844504)</f>
        <v>0.1742627346</v>
      </c>
      <c r="H3976" s="5">
        <f>IFERROR(__xludf.DUMMYFUNCTION("""COMPUTED_VALUE"""),0.6081632653061224)</f>
        <v>0.6081632653</v>
      </c>
      <c r="I3976" s="11">
        <f>IFERROR(__xludf.DUMMYFUNCTION("""COMPUTED_VALUE"""),5014.693877551021)</f>
        <v>5014.693878</v>
      </c>
      <c r="J3976" s="10">
        <f>IFERROR(__xludf.DUMMYFUNCTION("""COMPUTED_VALUE"""),0.0)</f>
        <v>0</v>
      </c>
      <c r="K3976" s="5">
        <f>IFERROR(__xludf.DUMMYFUNCTION("""COMPUTED_VALUE"""),0.0)</f>
        <v>0</v>
      </c>
      <c r="L3976" s="10">
        <f>IFERROR(__xludf.DUMMYFUNCTION("""COMPUTED_VALUE"""),104.0)</f>
        <v>104</v>
      </c>
      <c r="M3976" s="5">
        <f>IFERROR(__xludf.DUMMYFUNCTION("""COMPUTED_VALUE"""),1.0)</f>
        <v>1</v>
      </c>
    </row>
    <row r="3977">
      <c r="A3977" s="10" t="str">
        <f>IFERROR(__xludf.DUMMYFUNCTION("""COMPUTED_VALUE"""),"無神論者")</f>
        <v>無神論者</v>
      </c>
      <c r="B3977" s="10">
        <f>IFERROR(__xludf.DUMMYFUNCTION("""COMPUTED_VALUE"""),456.0)</f>
        <v>456</v>
      </c>
      <c r="C3977" s="10">
        <f>IFERROR(__xludf.DUMMYFUNCTION("""COMPUTED_VALUE"""),5529.0)</f>
        <v>5529</v>
      </c>
      <c r="D3977" s="5">
        <f>IFERROR(__xludf.DUMMYFUNCTION("""COMPUTED_VALUE"""),0.3741375911689336)</f>
        <v>0.3741375912</v>
      </c>
      <c r="E3977" s="5">
        <f>IFERROR(__xludf.DUMMYFUNCTION("""COMPUTED_VALUE"""),0.12063867534003549)</f>
        <v>0.1206386753</v>
      </c>
      <c r="F3977" s="5">
        <f>IFERROR(__xludf.DUMMYFUNCTION("""COMPUTED_VALUE"""),0.21643997634535778)</f>
        <v>0.2164399763</v>
      </c>
      <c r="G3977" s="5">
        <f>IFERROR(__xludf.DUMMYFUNCTION("""COMPUTED_VALUE"""),0.15395229647151587)</f>
        <v>0.1539522965</v>
      </c>
      <c r="H3977" s="5">
        <f>IFERROR(__xludf.DUMMYFUNCTION("""COMPUTED_VALUE"""),0.5774134790528234)</f>
        <v>0.5774134791</v>
      </c>
      <c r="I3977" s="11">
        <f>IFERROR(__xludf.DUMMYFUNCTION("""COMPUTED_VALUE"""),5738.888888888889)</f>
        <v>5738.888889</v>
      </c>
      <c r="J3977" s="10">
        <f>IFERROR(__xludf.DUMMYFUNCTION("""COMPUTED_VALUE"""),0.0)</f>
        <v>0</v>
      </c>
      <c r="K3977" s="5">
        <f>IFERROR(__xludf.DUMMYFUNCTION("""COMPUTED_VALUE"""),0.0)</f>
        <v>0</v>
      </c>
      <c r="L3977" s="10">
        <f>IFERROR(__xludf.DUMMYFUNCTION("""COMPUTED_VALUE"""),456.0)</f>
        <v>456</v>
      </c>
      <c r="M3977" s="5">
        <f>IFERROR(__xludf.DUMMYFUNCTION("""COMPUTED_VALUE"""),1.0)</f>
        <v>1</v>
      </c>
    </row>
    <row r="3978">
      <c r="A3978" s="10" t="str">
        <f>IFERROR(__xludf.DUMMYFUNCTION("""COMPUTED_VALUE"""),"赤ウーふりこみん")</f>
        <v>赤ウーふりこみん</v>
      </c>
      <c r="B3978" s="10">
        <f>IFERROR(__xludf.DUMMYFUNCTION("""COMPUTED_VALUE"""),216.0)</f>
        <v>216</v>
      </c>
      <c r="C3978" s="10">
        <f>IFERROR(__xludf.DUMMYFUNCTION("""COMPUTED_VALUE"""),2537.0)</f>
        <v>2537</v>
      </c>
      <c r="D3978" s="5">
        <f>IFERROR(__xludf.DUMMYFUNCTION("""COMPUTED_VALUE"""),0.3136579060749677)</f>
        <v>0.3136579061</v>
      </c>
      <c r="E3978" s="5">
        <f>IFERROR(__xludf.DUMMYFUNCTION("""COMPUTED_VALUE"""),0.12063765618267988)</f>
        <v>0.1206376562</v>
      </c>
      <c r="F3978" s="5">
        <f>IFERROR(__xludf.DUMMYFUNCTION("""COMPUTED_VALUE"""),0.1947436449806118)</f>
        <v>0.194743645</v>
      </c>
      <c r="G3978" s="5">
        <f>IFERROR(__xludf.DUMMYFUNCTION("""COMPUTED_VALUE"""),0.14648858250753985)</f>
        <v>0.1464885825</v>
      </c>
      <c r="H3978" s="5">
        <f>IFERROR(__xludf.DUMMYFUNCTION("""COMPUTED_VALUE"""),0.584070796460177)</f>
        <v>0.5840707965</v>
      </c>
      <c r="I3978" s="11">
        <f>IFERROR(__xludf.DUMMYFUNCTION("""COMPUTED_VALUE"""),5485.840707964602)</f>
        <v>5485.840708</v>
      </c>
      <c r="J3978" s="10">
        <f>IFERROR(__xludf.DUMMYFUNCTION("""COMPUTED_VALUE"""),0.0)</f>
        <v>0</v>
      </c>
      <c r="K3978" s="5">
        <f>IFERROR(__xludf.DUMMYFUNCTION("""COMPUTED_VALUE"""),0.0)</f>
        <v>0</v>
      </c>
      <c r="L3978" s="10">
        <f>IFERROR(__xludf.DUMMYFUNCTION("""COMPUTED_VALUE"""),0.0)</f>
        <v>0</v>
      </c>
      <c r="M3978" s="5">
        <f>IFERROR(__xludf.DUMMYFUNCTION("""COMPUTED_VALUE"""),0.0)</f>
        <v>0</v>
      </c>
    </row>
    <row r="3979">
      <c r="A3979" s="10" t="str">
        <f>IFERROR(__xludf.DUMMYFUNCTION("""COMPUTED_VALUE"""),"ジェント")</f>
        <v>ジェント</v>
      </c>
      <c r="B3979" s="10">
        <f>IFERROR(__xludf.DUMMYFUNCTION("""COMPUTED_VALUE"""),369.0)</f>
        <v>369</v>
      </c>
      <c r="C3979" s="10">
        <f>IFERROR(__xludf.DUMMYFUNCTION("""COMPUTED_VALUE"""),4323.0)</f>
        <v>4323</v>
      </c>
      <c r="D3979" s="5">
        <f>IFERROR(__xludf.DUMMYFUNCTION("""COMPUTED_VALUE"""),0.39428426909458775)</f>
        <v>0.3942842691</v>
      </c>
      <c r="E3979" s="5">
        <f>IFERROR(__xludf.DUMMYFUNCTION("""COMPUTED_VALUE"""),0.12063732928679818)</f>
        <v>0.1206373293</v>
      </c>
      <c r="F3979" s="5">
        <f>IFERROR(__xludf.DUMMYFUNCTION("""COMPUTED_VALUE"""),0.19726858877086495)</f>
        <v>0.1972685888</v>
      </c>
      <c r="G3979" s="5">
        <f>IFERROR(__xludf.DUMMYFUNCTION("""COMPUTED_VALUE"""),0.1542741527567021)</f>
        <v>0.1542741528</v>
      </c>
      <c r="H3979" s="5">
        <f>IFERROR(__xludf.DUMMYFUNCTION("""COMPUTED_VALUE"""),0.6064102564102564)</f>
        <v>0.6064102564</v>
      </c>
      <c r="I3979" s="11">
        <f>IFERROR(__xludf.DUMMYFUNCTION("""COMPUTED_VALUE"""),5564.74358974359)</f>
        <v>5564.74359</v>
      </c>
      <c r="J3979" s="10">
        <f>IFERROR(__xludf.DUMMYFUNCTION("""COMPUTED_VALUE"""),1.0)</f>
        <v>1</v>
      </c>
      <c r="K3979" s="5">
        <f>IFERROR(__xludf.DUMMYFUNCTION("""COMPUTED_VALUE"""),0.0027100271002710027)</f>
        <v>0.0027100271</v>
      </c>
      <c r="L3979" s="10">
        <f>IFERROR(__xludf.DUMMYFUNCTION("""COMPUTED_VALUE"""),318.0)</f>
        <v>318</v>
      </c>
      <c r="M3979" s="5">
        <f>IFERROR(__xludf.DUMMYFUNCTION("""COMPUTED_VALUE"""),0.8617886178861789)</f>
        <v>0.8617886179</v>
      </c>
    </row>
    <row r="3980">
      <c r="A3980" s="10" t="str">
        <f>IFERROR(__xludf.DUMMYFUNCTION("""COMPUTED_VALUE"""),"shapeler")</f>
        <v>shapeler</v>
      </c>
      <c r="B3980" s="10">
        <f>IFERROR(__xludf.DUMMYFUNCTION("""COMPUTED_VALUE"""),4985.0)</f>
        <v>4985</v>
      </c>
      <c r="C3980" s="10">
        <f>IFERROR(__xludf.DUMMYFUNCTION("""COMPUTED_VALUE"""),58099.0)</f>
        <v>58099</v>
      </c>
      <c r="D3980" s="5">
        <f>IFERROR(__xludf.DUMMYFUNCTION("""COMPUTED_VALUE"""),0.26887449636630645)</f>
        <v>0.2688744964</v>
      </c>
      <c r="E3980" s="5">
        <f>IFERROR(__xludf.DUMMYFUNCTION("""COMPUTED_VALUE"""),0.12062732989418985)</f>
        <v>0.1206273299</v>
      </c>
      <c r="F3980" s="5">
        <f>IFERROR(__xludf.DUMMYFUNCTION("""COMPUTED_VALUE"""),0.20832548857175132)</f>
        <v>0.2083254886</v>
      </c>
      <c r="G3980" s="5">
        <f>IFERROR(__xludf.DUMMYFUNCTION("""COMPUTED_VALUE"""),0.18639153518846255)</f>
        <v>0.1863915352</v>
      </c>
      <c r="H3980" s="5">
        <f>IFERROR(__xludf.DUMMYFUNCTION("""COMPUTED_VALUE"""),0.59692724807953)</f>
        <v>0.5969272481</v>
      </c>
      <c r="I3980" s="11">
        <f>IFERROR(__xludf.DUMMYFUNCTION("""COMPUTED_VALUE"""),5775.969272480796)</f>
        <v>5775.969272</v>
      </c>
      <c r="J3980" s="10">
        <f>IFERROR(__xludf.DUMMYFUNCTION("""COMPUTED_VALUE"""),18.0)</f>
        <v>18</v>
      </c>
      <c r="K3980" s="5">
        <f>IFERROR(__xludf.DUMMYFUNCTION("""COMPUTED_VALUE"""),0.0036108324974924774)</f>
        <v>0.003610832497</v>
      </c>
      <c r="L3980" s="10">
        <f>IFERROR(__xludf.DUMMYFUNCTION("""COMPUTED_VALUE"""),4981.0)</f>
        <v>4981</v>
      </c>
      <c r="M3980" s="5">
        <f>IFERROR(__xludf.DUMMYFUNCTION("""COMPUTED_VALUE"""),0.999197592778335)</f>
        <v>0.9991975928</v>
      </c>
    </row>
    <row r="3981">
      <c r="A3981" s="10" t="str">
        <f>IFERROR(__xludf.DUMMYFUNCTION("""COMPUTED_VALUE"""),"sogo")</f>
        <v>sogo</v>
      </c>
      <c r="B3981" s="10">
        <f>IFERROR(__xludf.DUMMYFUNCTION("""COMPUTED_VALUE"""),775.0)</f>
        <v>775</v>
      </c>
      <c r="C3981" s="10">
        <f>IFERROR(__xludf.DUMMYFUNCTION("""COMPUTED_VALUE"""),9148.0)</f>
        <v>9148</v>
      </c>
      <c r="D3981" s="5">
        <f>IFERROR(__xludf.DUMMYFUNCTION("""COMPUTED_VALUE"""),0.35948883315418606)</f>
        <v>0.3594888332</v>
      </c>
      <c r="E3981" s="5">
        <f>IFERROR(__xludf.DUMMYFUNCTION("""COMPUTED_VALUE"""),0.12062582109160397)</f>
        <v>0.1206258211</v>
      </c>
      <c r="F3981" s="5">
        <f>IFERROR(__xludf.DUMMYFUNCTION("""COMPUTED_VALUE"""),0.2136629642899797)</f>
        <v>0.2136629643</v>
      </c>
      <c r="G3981" s="5">
        <f>IFERROR(__xludf.DUMMYFUNCTION("""COMPUTED_VALUE"""),0.18093873163740595)</f>
        <v>0.1809387316</v>
      </c>
      <c r="H3981" s="5">
        <f>IFERROR(__xludf.DUMMYFUNCTION("""COMPUTED_VALUE"""),0.6120737842370039)</f>
        <v>0.6120737842</v>
      </c>
      <c r="I3981" s="11">
        <f>IFERROR(__xludf.DUMMYFUNCTION("""COMPUTED_VALUE"""),5533.035215204025)</f>
        <v>5533.035215</v>
      </c>
      <c r="J3981" s="10">
        <f>IFERROR(__xludf.DUMMYFUNCTION("""COMPUTED_VALUE"""),0.0)</f>
        <v>0</v>
      </c>
      <c r="K3981" s="5">
        <f>IFERROR(__xludf.DUMMYFUNCTION("""COMPUTED_VALUE"""),0.0)</f>
        <v>0</v>
      </c>
      <c r="L3981" s="10">
        <f>IFERROR(__xludf.DUMMYFUNCTION("""COMPUTED_VALUE"""),137.0)</f>
        <v>137</v>
      </c>
      <c r="M3981" s="5">
        <f>IFERROR(__xludf.DUMMYFUNCTION("""COMPUTED_VALUE"""),0.1767741935483871)</f>
        <v>0.1767741935</v>
      </c>
    </row>
    <row r="3982">
      <c r="A3982" s="10" t="str">
        <f>IFERROR(__xludf.DUMMYFUNCTION("""COMPUTED_VALUE"""),"博麗ゆかり")</f>
        <v>博麗ゆかり</v>
      </c>
      <c r="B3982" s="10">
        <f>IFERROR(__xludf.DUMMYFUNCTION("""COMPUTED_VALUE"""),1770.0)</f>
        <v>1770</v>
      </c>
      <c r="C3982" s="10">
        <f>IFERROR(__xludf.DUMMYFUNCTION("""COMPUTED_VALUE"""),20805.0)</f>
        <v>20805</v>
      </c>
      <c r="D3982" s="5">
        <f>IFERROR(__xludf.DUMMYFUNCTION("""COMPUTED_VALUE"""),0.3878119254005779)</f>
        <v>0.3878119254</v>
      </c>
      <c r="E3982" s="5">
        <f>IFERROR(__xludf.DUMMYFUNCTION("""COMPUTED_VALUE"""),0.12061991069083268)</f>
        <v>0.1206199107</v>
      </c>
      <c r="F3982" s="5">
        <f>IFERROR(__xludf.DUMMYFUNCTION("""COMPUTED_VALUE"""),0.2006829524560021)</f>
        <v>0.2006829525</v>
      </c>
      <c r="G3982" s="5">
        <f>IFERROR(__xludf.DUMMYFUNCTION("""COMPUTED_VALUE"""),0.1441029682164434)</f>
        <v>0.1441029682</v>
      </c>
      <c r="H3982" s="5">
        <f>IFERROR(__xludf.DUMMYFUNCTION("""COMPUTED_VALUE"""),0.6159685863874346)</f>
        <v>0.6159685864</v>
      </c>
      <c r="I3982" s="11">
        <f>IFERROR(__xludf.DUMMYFUNCTION("""COMPUTED_VALUE"""),5566.2303664921465)</f>
        <v>5566.230366</v>
      </c>
      <c r="J3982" s="10">
        <f>IFERROR(__xludf.DUMMYFUNCTION("""COMPUTED_VALUE"""),3.0)</f>
        <v>3</v>
      </c>
      <c r="K3982" s="5">
        <f>IFERROR(__xludf.DUMMYFUNCTION("""COMPUTED_VALUE"""),0.001694915254237288)</f>
        <v>0.001694915254</v>
      </c>
      <c r="L3982" s="10">
        <f>IFERROR(__xludf.DUMMYFUNCTION("""COMPUTED_VALUE"""),1766.0)</f>
        <v>1766</v>
      </c>
      <c r="M3982" s="5">
        <f>IFERROR(__xludf.DUMMYFUNCTION("""COMPUTED_VALUE"""),0.9977401129943503)</f>
        <v>0.997740113</v>
      </c>
    </row>
    <row r="3983">
      <c r="A3983" s="10" t="str">
        <f>IFERROR(__xludf.DUMMYFUNCTION("""COMPUTED_VALUE"""),"とうふメンタル")</f>
        <v>とうふメンタル</v>
      </c>
      <c r="B3983" s="10">
        <f>IFERROR(__xludf.DUMMYFUNCTION("""COMPUTED_VALUE"""),111.0)</f>
        <v>111</v>
      </c>
      <c r="C3983" s="10">
        <f>IFERROR(__xludf.DUMMYFUNCTION("""COMPUTED_VALUE"""),1280.0)</f>
        <v>1280</v>
      </c>
      <c r="D3983" s="5">
        <f>IFERROR(__xludf.DUMMYFUNCTION("""COMPUTED_VALUE"""),0.42857142857142855)</f>
        <v>0.4285714286</v>
      </c>
      <c r="E3983" s="5">
        <f>IFERROR(__xludf.DUMMYFUNCTION("""COMPUTED_VALUE"""),0.12061591103507271)</f>
        <v>0.120615911</v>
      </c>
      <c r="F3983" s="5">
        <f>IFERROR(__xludf.DUMMYFUNCTION("""COMPUTED_VALUE"""),0.21300256629597947)</f>
        <v>0.2130025663</v>
      </c>
      <c r="G3983" s="5">
        <f>IFERROR(__xludf.DUMMYFUNCTION("""COMPUTED_VALUE"""),0.14798973481608213)</f>
        <v>0.1479897348</v>
      </c>
      <c r="H3983" s="5">
        <f>IFERROR(__xludf.DUMMYFUNCTION("""COMPUTED_VALUE"""),0.5983935742971888)</f>
        <v>0.5983935743</v>
      </c>
      <c r="I3983" s="11">
        <f>IFERROR(__xludf.DUMMYFUNCTION("""COMPUTED_VALUE"""),5489.156626506024)</f>
        <v>5489.156627</v>
      </c>
      <c r="J3983" s="10">
        <f>IFERROR(__xludf.DUMMYFUNCTION("""COMPUTED_VALUE"""),0.0)</f>
        <v>0</v>
      </c>
      <c r="K3983" s="5">
        <f>IFERROR(__xludf.DUMMYFUNCTION("""COMPUTED_VALUE"""),0.0)</f>
        <v>0</v>
      </c>
      <c r="L3983" s="10">
        <f>IFERROR(__xludf.DUMMYFUNCTION("""COMPUTED_VALUE"""),111.0)</f>
        <v>111</v>
      </c>
      <c r="M3983" s="5">
        <f>IFERROR(__xludf.DUMMYFUNCTION("""COMPUTED_VALUE"""),1.0)</f>
        <v>1</v>
      </c>
    </row>
    <row r="3984">
      <c r="A3984" s="10" t="str">
        <f>IFERROR(__xludf.DUMMYFUNCTION("""COMPUTED_VALUE"""),"ヌップ")</f>
        <v>ヌップ</v>
      </c>
      <c r="B3984" s="10">
        <f>IFERROR(__xludf.DUMMYFUNCTION("""COMPUTED_VALUE"""),1642.0)</f>
        <v>1642</v>
      </c>
      <c r="C3984" s="10">
        <f>IFERROR(__xludf.DUMMYFUNCTION("""COMPUTED_VALUE"""),19344.0)</f>
        <v>19344</v>
      </c>
      <c r="D3984" s="5">
        <f>IFERROR(__xludf.DUMMYFUNCTION("""COMPUTED_VALUE"""),0.29392159078070274)</f>
        <v>0.2939215908</v>
      </c>
      <c r="E3984" s="5">
        <f>IFERROR(__xludf.DUMMYFUNCTION("""COMPUTED_VALUE"""),0.12060784092192972)</f>
        <v>0.1206078409</v>
      </c>
      <c r="F3984" s="5">
        <f>IFERROR(__xludf.DUMMYFUNCTION("""COMPUTED_VALUE"""),0.20545701050728732)</f>
        <v>0.2054570105</v>
      </c>
      <c r="G3984" s="5">
        <f>IFERROR(__xludf.DUMMYFUNCTION("""COMPUTED_VALUE"""),0.16229804541859677)</f>
        <v>0.1622980454</v>
      </c>
      <c r="H3984" s="5">
        <f>IFERROR(__xludf.DUMMYFUNCTION("""COMPUTED_VALUE"""),0.5845477041517735)</f>
        <v>0.5845477042</v>
      </c>
      <c r="I3984" s="11">
        <f>IFERROR(__xludf.DUMMYFUNCTION("""COMPUTED_VALUE"""),5579.213637613418)</f>
        <v>5579.213638</v>
      </c>
      <c r="J3984" s="10">
        <f>IFERROR(__xludf.DUMMYFUNCTION("""COMPUTED_VALUE"""),4.0)</f>
        <v>4</v>
      </c>
      <c r="K3984" s="5">
        <f>IFERROR(__xludf.DUMMYFUNCTION("""COMPUTED_VALUE"""),0.00243605359317905)</f>
        <v>0.002436053593</v>
      </c>
      <c r="L3984" s="10">
        <f>IFERROR(__xludf.DUMMYFUNCTION("""COMPUTED_VALUE"""),1639.0)</f>
        <v>1639</v>
      </c>
      <c r="M3984" s="5">
        <f>IFERROR(__xludf.DUMMYFUNCTION("""COMPUTED_VALUE"""),0.9981729598051157)</f>
        <v>0.9981729598</v>
      </c>
    </row>
    <row r="3985">
      <c r="A3985" s="10" t="str">
        <f>IFERROR(__xludf.DUMMYFUNCTION("""COMPUTED_VALUE"""),"のあマスター")</f>
        <v>のあマスター</v>
      </c>
      <c r="B3985" s="10">
        <f>IFERROR(__xludf.DUMMYFUNCTION("""COMPUTED_VALUE"""),271.0)</f>
        <v>271</v>
      </c>
      <c r="C3985" s="10">
        <f>IFERROR(__xludf.DUMMYFUNCTION("""COMPUTED_VALUE"""),3215.0)</f>
        <v>3215</v>
      </c>
      <c r="D3985" s="5">
        <f>IFERROR(__xludf.DUMMYFUNCTION("""COMPUTED_VALUE"""),0.3685461956521739)</f>
        <v>0.3685461957</v>
      </c>
      <c r="E3985" s="5">
        <f>IFERROR(__xludf.DUMMYFUNCTION("""COMPUTED_VALUE"""),0.12058423913043478)</f>
        <v>0.1205842391</v>
      </c>
      <c r="F3985" s="5">
        <f>IFERROR(__xludf.DUMMYFUNCTION("""COMPUTED_VALUE"""),0.21161684782608695)</f>
        <v>0.2116168478</v>
      </c>
      <c r="G3985" s="5">
        <f>IFERROR(__xludf.DUMMYFUNCTION("""COMPUTED_VALUE"""),0.1593070652173913)</f>
        <v>0.1593070652</v>
      </c>
      <c r="H3985" s="5">
        <f>IFERROR(__xludf.DUMMYFUNCTION("""COMPUTED_VALUE"""),0.5617977528089888)</f>
        <v>0.5617977528</v>
      </c>
      <c r="I3985" s="11">
        <f>IFERROR(__xludf.DUMMYFUNCTION("""COMPUTED_VALUE"""),5557.303370786517)</f>
        <v>5557.303371</v>
      </c>
      <c r="J3985" s="10">
        <f>IFERROR(__xludf.DUMMYFUNCTION("""COMPUTED_VALUE"""),1.0)</f>
        <v>1</v>
      </c>
      <c r="K3985" s="5">
        <f>IFERROR(__xludf.DUMMYFUNCTION("""COMPUTED_VALUE"""),0.0036900369003690036)</f>
        <v>0.0036900369</v>
      </c>
      <c r="L3985" s="10">
        <f>IFERROR(__xludf.DUMMYFUNCTION("""COMPUTED_VALUE"""),271.0)</f>
        <v>271</v>
      </c>
      <c r="M3985" s="5">
        <f>IFERROR(__xludf.DUMMYFUNCTION("""COMPUTED_VALUE"""),1.0)</f>
        <v>1</v>
      </c>
    </row>
    <row r="3986">
      <c r="A3986" s="10" t="str">
        <f>IFERROR(__xludf.DUMMYFUNCTION("""COMPUTED_VALUE"""),"ロッテ雀球")</f>
        <v>ロッテ雀球</v>
      </c>
      <c r="B3986" s="10">
        <f>IFERROR(__xludf.DUMMYFUNCTION("""COMPUTED_VALUE"""),7064.0)</f>
        <v>7064</v>
      </c>
      <c r="C3986" s="10">
        <f>IFERROR(__xludf.DUMMYFUNCTION("""COMPUTED_VALUE"""),83346.0)</f>
        <v>83346</v>
      </c>
      <c r="D3986" s="5">
        <f>IFERROR(__xludf.DUMMYFUNCTION("""COMPUTED_VALUE"""),0.3516294800870454)</f>
        <v>0.3516294801</v>
      </c>
      <c r="E3986" s="5">
        <f>IFERROR(__xludf.DUMMYFUNCTION("""COMPUTED_VALUE"""),0.12057890459086022)</f>
        <v>0.1205789046</v>
      </c>
      <c r="F3986" s="5">
        <f>IFERROR(__xludf.DUMMYFUNCTION("""COMPUTED_VALUE"""),0.21672216250229412)</f>
        <v>0.2167221625</v>
      </c>
      <c r="G3986" s="5">
        <f>IFERROR(__xludf.DUMMYFUNCTION("""COMPUTED_VALUE"""),0.17920348181746676)</f>
        <v>0.1792034818</v>
      </c>
      <c r="H3986" s="5">
        <f>IFERROR(__xludf.DUMMYFUNCTION("""COMPUTED_VALUE"""),0.5931526736027098)</f>
        <v>0.5931526736</v>
      </c>
      <c r="I3986" s="11">
        <f>IFERROR(__xludf.DUMMYFUNCTION("""COMPUTED_VALUE"""),5375.296394870554)</f>
        <v>5375.296395</v>
      </c>
      <c r="J3986" s="10">
        <f>IFERROR(__xludf.DUMMYFUNCTION("""COMPUTED_VALUE"""),16.0)</f>
        <v>16</v>
      </c>
      <c r="K3986" s="5">
        <f>IFERROR(__xludf.DUMMYFUNCTION("""COMPUTED_VALUE"""),0.0022650056625141564)</f>
        <v>0.002265005663</v>
      </c>
      <c r="L3986" s="10">
        <f>IFERROR(__xludf.DUMMYFUNCTION("""COMPUTED_VALUE"""),6925.0)</f>
        <v>6925</v>
      </c>
      <c r="M3986" s="5">
        <f>IFERROR(__xludf.DUMMYFUNCTION("""COMPUTED_VALUE"""),0.9803227633069083)</f>
        <v>0.9803227633</v>
      </c>
    </row>
    <row r="3987">
      <c r="A3987" s="10" t="str">
        <f>IFERROR(__xludf.DUMMYFUNCTION("""COMPUTED_VALUE"""),"ゴッサム")</f>
        <v>ゴッサム</v>
      </c>
      <c r="B3987" s="10">
        <f>IFERROR(__xludf.DUMMYFUNCTION("""COMPUTED_VALUE"""),3376.0)</f>
        <v>3376</v>
      </c>
      <c r="C3987" s="10">
        <f>IFERROR(__xludf.DUMMYFUNCTION("""COMPUTED_VALUE"""),39569.0)</f>
        <v>39569</v>
      </c>
      <c r="D3987" s="5">
        <f>IFERROR(__xludf.DUMMYFUNCTION("""COMPUTED_VALUE"""),0.3370817561406902)</f>
        <v>0.3370817561</v>
      </c>
      <c r="E3987" s="5">
        <f>IFERROR(__xludf.DUMMYFUNCTION("""COMPUTED_VALUE"""),0.12057580195065344)</f>
        <v>0.120575802</v>
      </c>
      <c r="F3987" s="5">
        <f>IFERROR(__xludf.DUMMYFUNCTION("""COMPUTED_VALUE"""),0.20426601829082972)</f>
        <v>0.2042660183</v>
      </c>
      <c r="G3987" s="5">
        <f>IFERROR(__xludf.DUMMYFUNCTION("""COMPUTED_VALUE"""),0.17495095736744673)</f>
        <v>0.1749509574</v>
      </c>
      <c r="H3987" s="5">
        <f>IFERROR(__xludf.DUMMYFUNCTION("""COMPUTED_VALUE"""),0.5989449479237117)</f>
        <v>0.5989449479</v>
      </c>
      <c r="I3987" s="11">
        <f>IFERROR(__xludf.DUMMYFUNCTION("""COMPUTED_VALUE"""),5741.99918842148)</f>
        <v>5741.999188</v>
      </c>
      <c r="J3987" s="10">
        <f>IFERROR(__xludf.DUMMYFUNCTION("""COMPUTED_VALUE"""),10.0)</f>
        <v>10</v>
      </c>
      <c r="K3987" s="5">
        <f>IFERROR(__xludf.DUMMYFUNCTION("""COMPUTED_VALUE"""),0.002962085308056872)</f>
        <v>0.002962085308</v>
      </c>
      <c r="L3987" s="10">
        <f>IFERROR(__xludf.DUMMYFUNCTION("""COMPUTED_VALUE"""),3376.0)</f>
        <v>3376</v>
      </c>
      <c r="M3987" s="5">
        <f>IFERROR(__xludf.DUMMYFUNCTION("""COMPUTED_VALUE"""),1.0)</f>
        <v>1</v>
      </c>
    </row>
    <row r="3988">
      <c r="A3988" s="10" t="str">
        <f>IFERROR(__xludf.DUMMYFUNCTION("""COMPUTED_VALUE"""),"リグル")</f>
        <v>リグル</v>
      </c>
      <c r="B3988" s="10">
        <f>IFERROR(__xludf.DUMMYFUNCTION("""COMPUTED_VALUE"""),868.0)</f>
        <v>868</v>
      </c>
      <c r="C3988" s="10">
        <f>IFERROR(__xludf.DUMMYFUNCTION("""COMPUTED_VALUE"""),10273.0)</f>
        <v>10273</v>
      </c>
      <c r="D3988" s="5">
        <f>IFERROR(__xludf.DUMMYFUNCTION("""COMPUTED_VALUE"""),0.41839447102605)</f>
        <v>0.418394471</v>
      </c>
      <c r="E3988" s="5">
        <f>IFERROR(__xludf.DUMMYFUNCTION("""COMPUTED_VALUE"""),0.12057416267942583)</f>
        <v>0.1205741627</v>
      </c>
      <c r="F3988" s="5">
        <f>IFERROR(__xludf.DUMMYFUNCTION("""COMPUTED_VALUE"""),0.21690590111642744)</f>
        <v>0.2169059011</v>
      </c>
      <c r="G3988" s="5">
        <f>IFERROR(__xludf.DUMMYFUNCTION("""COMPUTED_VALUE"""),0.1465178096757044)</f>
        <v>0.1465178097</v>
      </c>
      <c r="H3988" s="5">
        <f>IFERROR(__xludf.DUMMYFUNCTION("""COMPUTED_VALUE"""),0.6009803921568627)</f>
        <v>0.6009803922</v>
      </c>
      <c r="I3988" s="11">
        <f>IFERROR(__xludf.DUMMYFUNCTION("""COMPUTED_VALUE"""),5299.362745098039)</f>
        <v>5299.362745</v>
      </c>
      <c r="J3988" s="10">
        <f>IFERROR(__xludf.DUMMYFUNCTION("""COMPUTED_VALUE"""),0.0)</f>
        <v>0</v>
      </c>
      <c r="K3988" s="5">
        <f>IFERROR(__xludf.DUMMYFUNCTION("""COMPUTED_VALUE"""),0.0)</f>
        <v>0</v>
      </c>
      <c r="L3988" s="10">
        <f>IFERROR(__xludf.DUMMYFUNCTION("""COMPUTED_VALUE"""),0.0)</f>
        <v>0</v>
      </c>
      <c r="M3988" s="5">
        <f>IFERROR(__xludf.DUMMYFUNCTION("""COMPUTED_VALUE"""),0.0)</f>
        <v>0</v>
      </c>
    </row>
    <row r="3989">
      <c r="A3989" s="10" t="str">
        <f>IFERROR(__xludf.DUMMYFUNCTION("""COMPUTED_VALUE"""),"知らんし")</f>
        <v>知らんし</v>
      </c>
      <c r="B3989" s="10">
        <f>IFERROR(__xludf.DUMMYFUNCTION("""COMPUTED_VALUE"""),680.0)</f>
        <v>680</v>
      </c>
      <c r="C3989" s="10">
        <f>IFERROR(__xludf.DUMMYFUNCTION("""COMPUTED_VALUE"""),7896.0)</f>
        <v>7896</v>
      </c>
      <c r="D3989" s="5">
        <f>IFERROR(__xludf.DUMMYFUNCTION("""COMPUTED_VALUE"""),0.2580376940133038)</f>
        <v>0.258037694</v>
      </c>
      <c r="E3989" s="5">
        <f>IFERROR(__xludf.DUMMYFUNCTION("""COMPUTED_VALUE"""),0.12056541019955654)</f>
        <v>0.1205654102</v>
      </c>
      <c r="F3989" s="5">
        <f>IFERROR(__xludf.DUMMYFUNCTION("""COMPUTED_VALUE"""),0.19359756097560976)</f>
        <v>0.193597561</v>
      </c>
      <c r="G3989" s="5">
        <f>IFERROR(__xludf.DUMMYFUNCTION("""COMPUTED_VALUE"""),0.18375831485587582)</f>
        <v>0.1837583149</v>
      </c>
      <c r="H3989" s="5">
        <f>IFERROR(__xludf.DUMMYFUNCTION("""COMPUTED_VALUE"""),0.5776664280601288)</f>
        <v>0.5776664281</v>
      </c>
      <c r="I3989" s="11">
        <f>IFERROR(__xludf.DUMMYFUNCTION("""COMPUTED_VALUE"""),6107.158196134574)</f>
        <v>6107.158196</v>
      </c>
      <c r="J3989" s="10">
        <f>IFERROR(__xludf.DUMMYFUNCTION("""COMPUTED_VALUE"""),1.0)</f>
        <v>1</v>
      </c>
      <c r="K3989" s="5">
        <f>IFERROR(__xludf.DUMMYFUNCTION("""COMPUTED_VALUE"""),0.0014705882352941176)</f>
        <v>0.001470588235</v>
      </c>
      <c r="L3989" s="10">
        <f>IFERROR(__xludf.DUMMYFUNCTION("""COMPUTED_VALUE"""),680.0)</f>
        <v>680</v>
      </c>
      <c r="M3989" s="5">
        <f>IFERROR(__xludf.DUMMYFUNCTION("""COMPUTED_VALUE"""),1.0)</f>
        <v>1</v>
      </c>
    </row>
    <row r="3990">
      <c r="A3990" s="10" t="str">
        <f>IFERROR(__xludf.DUMMYFUNCTION("""COMPUTED_VALUE"""),"Masat")</f>
        <v>Masat</v>
      </c>
      <c r="B3990" s="10">
        <f>IFERROR(__xludf.DUMMYFUNCTION("""COMPUTED_VALUE"""),305.0)</f>
        <v>305</v>
      </c>
      <c r="C3990" s="10">
        <f>IFERROR(__xludf.DUMMYFUNCTION("""COMPUTED_VALUE"""),3623.0)</f>
        <v>3623</v>
      </c>
      <c r="D3990" s="5">
        <f>IFERROR(__xludf.DUMMYFUNCTION("""COMPUTED_VALUE"""),0.34177215189873417)</f>
        <v>0.3417721519</v>
      </c>
      <c r="E3990" s="5">
        <f>IFERROR(__xludf.DUMMYFUNCTION("""COMPUTED_VALUE"""),0.12055455093429777)</f>
        <v>0.1205545509</v>
      </c>
      <c r="F3990" s="5">
        <f>IFERROR(__xludf.DUMMYFUNCTION("""COMPUTED_VALUE"""),0.19861362266425558)</f>
        <v>0.1986136227</v>
      </c>
      <c r="G3990" s="5">
        <f>IFERROR(__xludf.DUMMYFUNCTION("""COMPUTED_VALUE"""),0.14406268836648584)</f>
        <v>0.1440626884</v>
      </c>
      <c r="H3990" s="5">
        <f>IFERROR(__xludf.DUMMYFUNCTION("""COMPUTED_VALUE"""),0.6267071320182094)</f>
        <v>0.626707132</v>
      </c>
      <c r="I3990" s="11">
        <f>IFERROR(__xludf.DUMMYFUNCTION("""COMPUTED_VALUE"""),5413.20182094082)</f>
        <v>5413.201821</v>
      </c>
      <c r="J3990" s="10">
        <f>IFERROR(__xludf.DUMMYFUNCTION("""COMPUTED_VALUE"""),0.0)</f>
        <v>0</v>
      </c>
      <c r="K3990" s="5">
        <f>IFERROR(__xludf.DUMMYFUNCTION("""COMPUTED_VALUE"""),0.0)</f>
        <v>0</v>
      </c>
      <c r="L3990" s="10">
        <f>IFERROR(__xludf.DUMMYFUNCTION("""COMPUTED_VALUE"""),305.0)</f>
        <v>305</v>
      </c>
      <c r="M3990" s="5">
        <f>IFERROR(__xludf.DUMMYFUNCTION("""COMPUTED_VALUE"""),1.0)</f>
        <v>1</v>
      </c>
    </row>
    <row r="3991">
      <c r="A3991" s="10" t="str">
        <f>IFERROR(__xludf.DUMMYFUNCTION("""COMPUTED_VALUE"""),"longo2")</f>
        <v>longo2</v>
      </c>
      <c r="B3991" s="10">
        <f>IFERROR(__xludf.DUMMYFUNCTION("""COMPUTED_VALUE"""),141.0)</f>
        <v>141</v>
      </c>
      <c r="C3991" s="10">
        <f>IFERROR(__xludf.DUMMYFUNCTION("""COMPUTED_VALUE"""),1659.0)</f>
        <v>1659</v>
      </c>
      <c r="D3991" s="5">
        <f>IFERROR(__xludf.DUMMYFUNCTION("""COMPUTED_VALUE"""),0.33201581027667987)</f>
        <v>0.3320158103</v>
      </c>
      <c r="E3991" s="5">
        <f>IFERROR(__xludf.DUMMYFUNCTION("""COMPUTED_VALUE"""),0.12055335968379446)</f>
        <v>0.1205533597</v>
      </c>
      <c r="F3991" s="5">
        <f>IFERROR(__xludf.DUMMYFUNCTION("""COMPUTED_VALUE"""),0.2160737812911726)</f>
        <v>0.2160737813</v>
      </c>
      <c r="G3991" s="5">
        <f>IFERROR(__xludf.DUMMYFUNCTION("""COMPUTED_VALUE"""),0.18181818181818182)</f>
        <v>0.1818181818</v>
      </c>
      <c r="H3991" s="5">
        <f>IFERROR(__xludf.DUMMYFUNCTION("""COMPUTED_VALUE"""),0.5701219512195121)</f>
        <v>0.5701219512</v>
      </c>
      <c r="I3991" s="11">
        <f>IFERROR(__xludf.DUMMYFUNCTION("""COMPUTED_VALUE"""),5635.975609756098)</f>
        <v>5635.97561</v>
      </c>
      <c r="J3991" s="10">
        <f>IFERROR(__xludf.DUMMYFUNCTION("""COMPUTED_VALUE"""),0.0)</f>
        <v>0</v>
      </c>
      <c r="K3991" s="5">
        <f>IFERROR(__xludf.DUMMYFUNCTION("""COMPUTED_VALUE"""),0.0)</f>
        <v>0</v>
      </c>
      <c r="L3991" s="10">
        <f>IFERROR(__xludf.DUMMYFUNCTION("""COMPUTED_VALUE"""),141.0)</f>
        <v>141</v>
      </c>
      <c r="M3991" s="5">
        <f>IFERROR(__xludf.DUMMYFUNCTION("""COMPUTED_VALUE"""),1.0)</f>
        <v>1</v>
      </c>
    </row>
    <row r="3992">
      <c r="A3992" s="10" t="str">
        <f>IFERROR(__xludf.DUMMYFUNCTION("""COMPUTED_VALUE"""),"junon")</f>
        <v>junon</v>
      </c>
      <c r="B3992" s="10">
        <f>IFERROR(__xludf.DUMMYFUNCTION("""COMPUTED_VALUE"""),1705.0)</f>
        <v>1705</v>
      </c>
      <c r="C3992" s="10">
        <f>IFERROR(__xludf.DUMMYFUNCTION("""COMPUTED_VALUE"""),20179.0)</f>
        <v>20179</v>
      </c>
      <c r="D3992" s="5">
        <f>IFERROR(__xludf.DUMMYFUNCTION("""COMPUTED_VALUE"""),0.3813467576052831)</f>
        <v>0.3813467576</v>
      </c>
      <c r="E3992" s="5">
        <f>IFERROR(__xludf.DUMMYFUNCTION("""COMPUTED_VALUE"""),0.12054779690375664)</f>
        <v>0.1205477969</v>
      </c>
      <c r="F3992" s="5">
        <f>IFERROR(__xludf.DUMMYFUNCTION("""COMPUTED_VALUE"""),0.20975424921511313)</f>
        <v>0.2097542492</v>
      </c>
      <c r="G3992" s="5">
        <f>IFERROR(__xludf.DUMMYFUNCTION("""COMPUTED_VALUE"""),0.17494857637761177)</f>
        <v>0.1749485764</v>
      </c>
      <c r="H3992" s="5">
        <f>IFERROR(__xludf.DUMMYFUNCTION("""COMPUTED_VALUE"""),0.6038709677419355)</f>
        <v>0.6038709677</v>
      </c>
      <c r="I3992" s="11">
        <f>IFERROR(__xludf.DUMMYFUNCTION("""COMPUTED_VALUE"""),5388.696774193549)</f>
        <v>5388.696774</v>
      </c>
      <c r="J3992" s="10">
        <f>IFERROR(__xludf.DUMMYFUNCTION("""COMPUTED_VALUE"""),1.0)</f>
        <v>1</v>
      </c>
      <c r="K3992" s="5">
        <f>IFERROR(__xludf.DUMMYFUNCTION("""COMPUTED_VALUE"""),5.865102639296188E-4)</f>
        <v>0.0005865102639</v>
      </c>
      <c r="L3992" s="10">
        <f>IFERROR(__xludf.DUMMYFUNCTION("""COMPUTED_VALUE"""),1705.0)</f>
        <v>1705</v>
      </c>
      <c r="M3992" s="5">
        <f>IFERROR(__xludf.DUMMYFUNCTION("""COMPUTED_VALUE"""),1.0)</f>
        <v>1</v>
      </c>
    </row>
    <row r="3993">
      <c r="A3993" s="10" t="str">
        <f>IFERROR(__xludf.DUMMYFUNCTION("""COMPUTED_VALUE"""),"虎皮猫")</f>
        <v>虎皮猫</v>
      </c>
      <c r="B3993" s="10">
        <f>IFERROR(__xludf.DUMMYFUNCTION("""COMPUTED_VALUE"""),2241.0)</f>
        <v>2241</v>
      </c>
      <c r="C3993" s="10">
        <f>IFERROR(__xludf.DUMMYFUNCTION("""COMPUTED_VALUE"""),26298.0)</f>
        <v>26298</v>
      </c>
      <c r="D3993" s="5">
        <f>IFERROR(__xludf.DUMMYFUNCTION("""COMPUTED_VALUE"""),0.3425614166354907)</f>
        <v>0.3425614166</v>
      </c>
      <c r="E3993" s="5">
        <f>IFERROR(__xludf.DUMMYFUNCTION("""COMPUTED_VALUE"""),0.12054703412728104)</f>
        <v>0.1205470341</v>
      </c>
      <c r="F3993" s="5">
        <f>IFERROR(__xludf.DUMMYFUNCTION("""COMPUTED_VALUE"""),0.20946086378185144)</f>
        <v>0.2094608638</v>
      </c>
      <c r="G3993" s="5">
        <f>IFERROR(__xludf.DUMMYFUNCTION("""COMPUTED_VALUE"""),0.15309473334164692)</f>
        <v>0.1530947333</v>
      </c>
      <c r="H3993" s="5">
        <f>IFERROR(__xludf.DUMMYFUNCTION("""COMPUTED_VALUE"""),0.6001190712442945)</f>
        <v>0.6001190712</v>
      </c>
      <c r="I3993" s="11">
        <f>IFERROR(__xludf.DUMMYFUNCTION("""COMPUTED_VALUE"""),5638.360785870213)</f>
        <v>5638.360786</v>
      </c>
      <c r="J3993" s="10">
        <f>IFERROR(__xludf.DUMMYFUNCTION("""COMPUTED_VALUE"""),7.0)</f>
        <v>7</v>
      </c>
      <c r="K3993" s="5">
        <f>IFERROR(__xludf.DUMMYFUNCTION("""COMPUTED_VALUE"""),0.0031236055332440876)</f>
        <v>0.003123605533</v>
      </c>
      <c r="L3993" s="10">
        <f>IFERROR(__xludf.DUMMYFUNCTION("""COMPUTED_VALUE"""),486.0)</f>
        <v>486</v>
      </c>
      <c r="M3993" s="5">
        <f>IFERROR(__xludf.DUMMYFUNCTION("""COMPUTED_VALUE"""),0.21686746987951808)</f>
        <v>0.2168674699</v>
      </c>
    </row>
    <row r="3994">
      <c r="A3994" s="10" t="str">
        <f>IFERROR(__xludf.DUMMYFUNCTION("""COMPUTED_VALUE"""),"瑞原はやりプロ")</f>
        <v>瑞原はやりプロ</v>
      </c>
      <c r="B3994" s="10">
        <f>IFERROR(__xludf.DUMMYFUNCTION("""COMPUTED_VALUE"""),623.0)</f>
        <v>623</v>
      </c>
      <c r="C3994" s="10">
        <f>IFERROR(__xludf.DUMMYFUNCTION("""COMPUTED_VALUE"""),7359.0)</f>
        <v>7359</v>
      </c>
      <c r="D3994" s="5">
        <f>IFERROR(__xludf.DUMMYFUNCTION("""COMPUTED_VALUE"""),0.3022565320665083)</f>
        <v>0.3022565321</v>
      </c>
      <c r="E3994" s="5">
        <f>IFERROR(__xludf.DUMMYFUNCTION("""COMPUTED_VALUE"""),0.12054631828978622)</f>
        <v>0.1205463183</v>
      </c>
      <c r="F3994" s="5">
        <f>IFERROR(__xludf.DUMMYFUNCTION("""COMPUTED_VALUE"""),0.21080760095011877)</f>
        <v>0.210807601</v>
      </c>
      <c r="G3994" s="5">
        <f>IFERROR(__xludf.DUMMYFUNCTION("""COMPUTED_VALUE"""),0.186312351543943)</f>
        <v>0.1863123515</v>
      </c>
      <c r="H3994" s="5">
        <f>IFERROR(__xludf.DUMMYFUNCTION("""COMPUTED_VALUE"""),0.6218309859154929)</f>
        <v>0.6218309859</v>
      </c>
      <c r="I3994" s="11">
        <f>IFERROR(__xludf.DUMMYFUNCTION("""COMPUTED_VALUE"""),5799.507042253521)</f>
        <v>5799.507042</v>
      </c>
      <c r="J3994" s="10">
        <f>IFERROR(__xludf.DUMMYFUNCTION("""COMPUTED_VALUE"""),1.0)</f>
        <v>1</v>
      </c>
      <c r="K3994" s="5">
        <f>IFERROR(__xludf.DUMMYFUNCTION("""COMPUTED_VALUE"""),0.0016051364365971107)</f>
        <v>0.001605136437</v>
      </c>
      <c r="L3994" s="10">
        <f>IFERROR(__xludf.DUMMYFUNCTION("""COMPUTED_VALUE"""),0.0)</f>
        <v>0</v>
      </c>
      <c r="M3994" s="5">
        <f>IFERROR(__xludf.DUMMYFUNCTION("""COMPUTED_VALUE"""),0.0)</f>
        <v>0</v>
      </c>
    </row>
    <row r="3995">
      <c r="A3995" s="10" t="str">
        <f>IFERROR(__xludf.DUMMYFUNCTION("""COMPUTED_VALUE"""),"抹茶味の抹茶")</f>
        <v>抹茶味の抹茶</v>
      </c>
      <c r="B3995" s="10">
        <f>IFERROR(__xludf.DUMMYFUNCTION("""COMPUTED_VALUE"""),430.0)</f>
        <v>430</v>
      </c>
      <c r="C3995" s="10">
        <f>IFERROR(__xludf.DUMMYFUNCTION("""COMPUTED_VALUE"""),4976.0)</f>
        <v>4976</v>
      </c>
      <c r="D3995" s="5">
        <f>IFERROR(__xludf.DUMMYFUNCTION("""COMPUTED_VALUE"""),0.3365596128464584)</f>
        <v>0.3365596128</v>
      </c>
      <c r="E3995" s="5">
        <f>IFERROR(__xludf.DUMMYFUNCTION("""COMPUTED_VALUE"""),0.1205455345358557)</f>
        <v>0.1205455345</v>
      </c>
      <c r="F3995" s="5">
        <f>IFERROR(__xludf.DUMMYFUNCTION("""COMPUTED_VALUE"""),0.21095468543774748)</f>
        <v>0.2109546854</v>
      </c>
      <c r="G3995" s="5">
        <f>IFERROR(__xludf.DUMMYFUNCTION("""COMPUTED_VALUE"""),0.20061592608886933)</f>
        <v>0.2006159261</v>
      </c>
      <c r="H3995" s="5">
        <f>IFERROR(__xludf.DUMMYFUNCTION("""COMPUTED_VALUE"""),0.5610010427528676)</f>
        <v>0.5610010428</v>
      </c>
      <c r="I3995" s="11">
        <f>IFERROR(__xludf.DUMMYFUNCTION("""COMPUTED_VALUE"""),5830.239833159541)</f>
        <v>5830.239833</v>
      </c>
      <c r="J3995" s="10">
        <f>IFERROR(__xludf.DUMMYFUNCTION("""COMPUTED_VALUE"""),1.0)</f>
        <v>1</v>
      </c>
      <c r="K3995" s="5">
        <f>IFERROR(__xludf.DUMMYFUNCTION("""COMPUTED_VALUE"""),0.002325581395348837)</f>
        <v>0.002325581395</v>
      </c>
      <c r="L3995" s="10">
        <f>IFERROR(__xludf.DUMMYFUNCTION("""COMPUTED_VALUE"""),430.0)</f>
        <v>430</v>
      </c>
      <c r="M3995" s="5">
        <f>IFERROR(__xludf.DUMMYFUNCTION("""COMPUTED_VALUE"""),1.0)</f>
        <v>1</v>
      </c>
    </row>
    <row r="3996">
      <c r="A3996" s="10" t="str">
        <f>IFERROR(__xludf.DUMMYFUNCTION("""COMPUTED_VALUE"""),"にゃんこ＠先生")</f>
        <v>にゃんこ＠先生</v>
      </c>
      <c r="B3996" s="10">
        <f>IFERROR(__xludf.DUMMYFUNCTION("""COMPUTED_VALUE"""),513.0)</f>
        <v>513</v>
      </c>
      <c r="C3996" s="10">
        <f>IFERROR(__xludf.DUMMYFUNCTION("""COMPUTED_VALUE"""),6030.0)</f>
        <v>6030</v>
      </c>
      <c r="D3996" s="5">
        <f>IFERROR(__xludf.DUMMYFUNCTION("""COMPUTED_VALUE"""),0.3425774877650897)</f>
        <v>0.3425774878</v>
      </c>
      <c r="E3996" s="5">
        <f>IFERROR(__xludf.DUMMYFUNCTION("""COMPUTED_VALUE"""),0.12053652347290195)</f>
        <v>0.1205365235</v>
      </c>
      <c r="F3996" s="5">
        <f>IFERROR(__xludf.DUMMYFUNCTION("""COMPUTED_VALUE"""),0.20174007612833061)</f>
        <v>0.2017400761</v>
      </c>
      <c r="G3996" s="5">
        <f>IFERROR(__xludf.DUMMYFUNCTION("""COMPUTED_VALUE"""),0.15624433568968643)</f>
        <v>0.1562443357</v>
      </c>
      <c r="H3996" s="5">
        <f>IFERROR(__xludf.DUMMYFUNCTION("""COMPUTED_VALUE"""),0.6019766397124887)</f>
        <v>0.6019766397</v>
      </c>
      <c r="I3996" s="11">
        <f>IFERROR(__xludf.DUMMYFUNCTION("""COMPUTED_VALUE"""),5912.129380053909)</f>
        <v>5912.12938</v>
      </c>
      <c r="J3996" s="10">
        <f>IFERROR(__xludf.DUMMYFUNCTION("""COMPUTED_VALUE"""),1.0)</f>
        <v>1</v>
      </c>
      <c r="K3996" s="5">
        <f>IFERROR(__xludf.DUMMYFUNCTION("""COMPUTED_VALUE"""),0.001949317738791423)</f>
        <v>0.001949317739</v>
      </c>
      <c r="L3996" s="10">
        <f>IFERROR(__xludf.DUMMYFUNCTION("""COMPUTED_VALUE"""),513.0)</f>
        <v>513</v>
      </c>
      <c r="M3996" s="5">
        <f>IFERROR(__xludf.DUMMYFUNCTION("""COMPUTED_VALUE"""),1.0)</f>
        <v>1</v>
      </c>
    </row>
    <row r="3997">
      <c r="A3997" s="10" t="str">
        <f>IFERROR(__xludf.DUMMYFUNCTION("""COMPUTED_VALUE"""),"らいちょう")</f>
        <v>らいちょう</v>
      </c>
      <c r="B3997" s="10">
        <f>IFERROR(__xludf.DUMMYFUNCTION("""COMPUTED_VALUE"""),1518.0)</f>
        <v>1518</v>
      </c>
      <c r="C3997" s="10">
        <f>IFERROR(__xludf.DUMMYFUNCTION("""COMPUTED_VALUE"""),17821.0)</f>
        <v>17821</v>
      </c>
      <c r="D3997" s="5">
        <f>IFERROR(__xludf.DUMMYFUNCTION("""COMPUTED_VALUE"""),0.4305955959025946)</f>
        <v>0.4305955959</v>
      </c>
      <c r="E3997" s="5">
        <f>IFERROR(__xludf.DUMMYFUNCTION("""COMPUTED_VALUE"""),0.12052996381034166)</f>
        <v>0.1205299638</v>
      </c>
      <c r="F3997" s="5">
        <f>IFERROR(__xludf.DUMMYFUNCTION("""COMPUTED_VALUE"""),0.21505244433539839)</f>
        <v>0.2150524443</v>
      </c>
      <c r="G3997" s="5">
        <f>IFERROR(__xludf.DUMMYFUNCTION("""COMPUTED_VALUE"""),0.15205790345335216)</f>
        <v>0.1520579035</v>
      </c>
      <c r="H3997" s="5">
        <f>IFERROR(__xludf.DUMMYFUNCTION("""COMPUTED_VALUE"""),0.6100969766115231)</f>
        <v>0.6100969766</v>
      </c>
      <c r="I3997" s="11">
        <f>IFERROR(__xludf.DUMMYFUNCTION("""COMPUTED_VALUE"""),5189.07586993725)</f>
        <v>5189.07587</v>
      </c>
      <c r="J3997" s="10">
        <f>IFERROR(__xludf.DUMMYFUNCTION("""COMPUTED_VALUE"""),1.0)</f>
        <v>1</v>
      </c>
      <c r="K3997" s="5">
        <f>IFERROR(__xludf.DUMMYFUNCTION("""COMPUTED_VALUE"""),6.587615283267457E-4)</f>
        <v>0.0006587615283</v>
      </c>
      <c r="L3997" s="10">
        <f>IFERROR(__xludf.DUMMYFUNCTION("""COMPUTED_VALUE"""),1050.0)</f>
        <v>1050</v>
      </c>
      <c r="M3997" s="5">
        <f>IFERROR(__xludf.DUMMYFUNCTION("""COMPUTED_VALUE"""),0.691699604743083)</f>
        <v>0.6916996047</v>
      </c>
    </row>
    <row r="3998">
      <c r="A3998" s="10" t="str">
        <f>IFERROR(__xludf.DUMMYFUNCTION("""COMPUTED_VALUE"""),"tori0612")</f>
        <v>tori0612</v>
      </c>
      <c r="B3998" s="10">
        <f>IFERROR(__xludf.DUMMYFUNCTION("""COMPUTED_VALUE"""),8947.0)</f>
        <v>8947</v>
      </c>
      <c r="C3998" s="10">
        <f>IFERROR(__xludf.DUMMYFUNCTION("""COMPUTED_VALUE"""),105647.0)</f>
        <v>105647</v>
      </c>
      <c r="D3998" s="5">
        <f>IFERROR(__xludf.DUMMYFUNCTION("""COMPUTED_VALUE"""),0.4616028955532575)</f>
        <v>0.4616028956</v>
      </c>
      <c r="E3998" s="5">
        <f>IFERROR(__xludf.DUMMYFUNCTION("""COMPUTED_VALUE"""),0.12051706308169596)</f>
        <v>0.1205170631</v>
      </c>
      <c r="F3998" s="5">
        <f>IFERROR(__xludf.DUMMYFUNCTION("""COMPUTED_VALUE"""),0.22452947259565667)</f>
        <v>0.2245294726</v>
      </c>
      <c r="G3998" s="5">
        <f>IFERROR(__xludf.DUMMYFUNCTION("""COMPUTED_VALUE"""),0.1168459152016546)</f>
        <v>0.1168459152</v>
      </c>
      <c r="H3998" s="5">
        <f>IFERROR(__xludf.DUMMYFUNCTION("""COMPUTED_VALUE"""),0.6259672070744289)</f>
        <v>0.6259672071</v>
      </c>
      <c r="I3998" s="11">
        <f>IFERROR(__xludf.DUMMYFUNCTION("""COMPUTED_VALUE"""),5076.681098010317)</f>
        <v>5076.681098</v>
      </c>
      <c r="J3998" s="10">
        <f>IFERROR(__xludf.DUMMYFUNCTION("""COMPUTED_VALUE"""),22.0)</f>
        <v>22</v>
      </c>
      <c r="K3998" s="5">
        <f>IFERROR(__xludf.DUMMYFUNCTION("""COMPUTED_VALUE"""),0.0024589247792556166)</f>
        <v>0.002458924779</v>
      </c>
      <c r="L3998" s="10">
        <f>IFERROR(__xludf.DUMMYFUNCTION("""COMPUTED_VALUE"""),8947.0)</f>
        <v>8947</v>
      </c>
      <c r="M3998" s="5">
        <f>IFERROR(__xludf.DUMMYFUNCTION("""COMPUTED_VALUE"""),1.0)</f>
        <v>1</v>
      </c>
    </row>
    <row r="3999">
      <c r="A3999" s="10" t="str">
        <f>IFERROR(__xludf.DUMMYFUNCTION("""COMPUTED_VALUE"""),"zacc")</f>
        <v>zacc</v>
      </c>
      <c r="B3999" s="10">
        <f>IFERROR(__xludf.DUMMYFUNCTION("""COMPUTED_VALUE"""),1579.0)</f>
        <v>1579</v>
      </c>
      <c r="C3999" s="10">
        <f>IFERROR(__xludf.DUMMYFUNCTION("""COMPUTED_VALUE"""),18733.0)</f>
        <v>18733</v>
      </c>
      <c r="D3999" s="5">
        <f>IFERROR(__xludf.DUMMYFUNCTION("""COMPUTED_VALUE"""),0.33758890054797713)</f>
        <v>0.3375889005</v>
      </c>
      <c r="E3999" s="5">
        <f>IFERROR(__xludf.DUMMYFUNCTION("""COMPUTED_VALUE"""),0.1204966771598461)</f>
        <v>0.1204966772</v>
      </c>
      <c r="F3999" s="5">
        <f>IFERROR(__xludf.DUMMYFUNCTION("""COMPUTED_VALUE"""),0.2117290427888539)</f>
        <v>0.2117290428</v>
      </c>
      <c r="G3999" s="5">
        <f>IFERROR(__xludf.DUMMYFUNCTION("""COMPUTED_VALUE"""),0.13821849131397926)</f>
        <v>0.1382184913</v>
      </c>
      <c r="H3999" s="5">
        <f>IFERROR(__xludf.DUMMYFUNCTION("""COMPUTED_VALUE"""),0.6156387665198237)</f>
        <v>0.6156387665</v>
      </c>
      <c r="I3999" s="11">
        <f>IFERROR(__xludf.DUMMYFUNCTION("""COMPUTED_VALUE"""),5518.4746696035245)</f>
        <v>5518.47467</v>
      </c>
      <c r="J3999" s="10">
        <f>IFERROR(__xludf.DUMMYFUNCTION("""COMPUTED_VALUE"""),2.0)</f>
        <v>2</v>
      </c>
      <c r="K3999" s="5">
        <f>IFERROR(__xludf.DUMMYFUNCTION("""COMPUTED_VALUE"""),0.001266624445851805)</f>
        <v>0.001266624446</v>
      </c>
      <c r="L3999" s="10">
        <f>IFERROR(__xludf.DUMMYFUNCTION("""COMPUTED_VALUE"""),0.0)</f>
        <v>0</v>
      </c>
      <c r="M3999" s="5">
        <f>IFERROR(__xludf.DUMMYFUNCTION("""COMPUTED_VALUE"""),0.0)</f>
        <v>0</v>
      </c>
    </row>
    <row r="4000">
      <c r="A4000" s="10" t="str">
        <f>IFERROR(__xludf.DUMMYFUNCTION("""COMPUTED_VALUE"""),"アニオン２")</f>
        <v>アニオン２</v>
      </c>
      <c r="B4000" s="10">
        <f>IFERROR(__xludf.DUMMYFUNCTION("""COMPUTED_VALUE"""),842.0)</f>
        <v>842</v>
      </c>
      <c r="C4000" s="10">
        <f>IFERROR(__xludf.DUMMYFUNCTION("""COMPUTED_VALUE"""),9971.0)</f>
        <v>9971</v>
      </c>
      <c r="D4000" s="5">
        <f>IFERROR(__xludf.DUMMYFUNCTION("""COMPUTED_VALUE"""),0.38164092452623505)</f>
        <v>0.3816409245</v>
      </c>
      <c r="E4000" s="5">
        <f>IFERROR(__xludf.DUMMYFUNCTION("""COMPUTED_VALUE"""),0.12049512542447147)</f>
        <v>0.1204951254</v>
      </c>
      <c r="F4000" s="5">
        <f>IFERROR(__xludf.DUMMYFUNCTION("""COMPUTED_VALUE"""),0.21020922335414613)</f>
        <v>0.2102092234</v>
      </c>
      <c r="G4000" s="5">
        <f>IFERROR(__xludf.DUMMYFUNCTION("""COMPUTED_VALUE"""),0.1466754299485157)</f>
        <v>0.1466754299</v>
      </c>
      <c r="H4000" s="5">
        <f>IFERROR(__xludf.DUMMYFUNCTION("""COMPUTED_VALUE"""),0.5982282438770192)</f>
        <v>0.5982282439</v>
      </c>
      <c r="I4000" s="11">
        <f>IFERROR(__xludf.DUMMYFUNCTION("""COMPUTED_VALUE"""),5595.518499218343)</f>
        <v>5595.518499</v>
      </c>
      <c r="J4000" s="10">
        <f>IFERROR(__xludf.DUMMYFUNCTION("""COMPUTED_VALUE"""),1.0)</f>
        <v>1</v>
      </c>
      <c r="K4000" s="5">
        <f>IFERROR(__xludf.DUMMYFUNCTION("""COMPUTED_VALUE"""),0.0011876484560570072)</f>
        <v>0.001187648456</v>
      </c>
      <c r="L4000" s="10">
        <f>IFERROR(__xludf.DUMMYFUNCTION("""COMPUTED_VALUE"""),12.0)</f>
        <v>12</v>
      </c>
      <c r="M4000" s="5">
        <f>IFERROR(__xludf.DUMMYFUNCTION("""COMPUTED_VALUE"""),0.014251781472684086)</f>
        <v>0.01425178147</v>
      </c>
    </row>
    <row r="4001">
      <c r="A4001" s="10" t="str">
        <f>IFERROR(__xludf.DUMMYFUNCTION("""COMPUTED_VALUE"""),"小日向美穂＋")</f>
        <v>小日向美穂＋</v>
      </c>
      <c r="B4001" s="10">
        <f>IFERROR(__xludf.DUMMYFUNCTION("""COMPUTED_VALUE"""),400.0)</f>
        <v>400</v>
      </c>
      <c r="C4001" s="10">
        <f>IFERROR(__xludf.DUMMYFUNCTION("""COMPUTED_VALUE"""),4699.0)</f>
        <v>4699</v>
      </c>
      <c r="D4001" s="5">
        <f>IFERROR(__xludf.DUMMYFUNCTION("""COMPUTED_VALUE"""),0.3638055361712026)</f>
        <v>0.3638055362</v>
      </c>
      <c r="E4001" s="5">
        <f>IFERROR(__xludf.DUMMYFUNCTION("""COMPUTED_VALUE"""),0.1204931379390556)</f>
        <v>0.1204931379</v>
      </c>
      <c r="F4001" s="5">
        <f>IFERROR(__xludf.DUMMYFUNCTION("""COMPUTED_VALUE"""),0.22051639916259597)</f>
        <v>0.2205163992</v>
      </c>
      <c r="G4001" s="5">
        <f>IFERROR(__xludf.DUMMYFUNCTION("""COMPUTED_VALUE"""),0.1756222377297046)</f>
        <v>0.1756222377</v>
      </c>
      <c r="H4001" s="5">
        <f>IFERROR(__xludf.DUMMYFUNCTION("""COMPUTED_VALUE"""),0.6170886075949367)</f>
        <v>0.6170886076</v>
      </c>
      <c r="I4001" s="11">
        <f>IFERROR(__xludf.DUMMYFUNCTION("""COMPUTED_VALUE"""),5822.679324894515)</f>
        <v>5822.679325</v>
      </c>
      <c r="J4001" s="10">
        <f>IFERROR(__xludf.DUMMYFUNCTION("""COMPUTED_VALUE"""),0.0)</f>
        <v>0</v>
      </c>
      <c r="K4001" s="5">
        <f>IFERROR(__xludf.DUMMYFUNCTION("""COMPUTED_VALUE"""),0.0)</f>
        <v>0</v>
      </c>
      <c r="L4001" s="10">
        <f>IFERROR(__xludf.DUMMYFUNCTION("""COMPUTED_VALUE"""),0.0)</f>
        <v>0</v>
      </c>
      <c r="M4001" s="5">
        <f>IFERROR(__xludf.DUMMYFUNCTION("""COMPUTED_VALUE"""),0.0)</f>
        <v>0</v>
      </c>
    </row>
    <row r="4002">
      <c r="A4002" s="10" t="str">
        <f>IFERROR(__xludf.DUMMYFUNCTION("""COMPUTED_VALUE"""),"私はがちほも")</f>
        <v>私はがちほも</v>
      </c>
      <c r="B4002" s="10">
        <f>IFERROR(__xludf.DUMMYFUNCTION("""COMPUTED_VALUE"""),5680.0)</f>
        <v>5680</v>
      </c>
      <c r="C4002" s="10">
        <f>IFERROR(__xludf.DUMMYFUNCTION("""COMPUTED_VALUE"""),66779.0)</f>
        <v>66779</v>
      </c>
      <c r="D4002" s="5">
        <f>IFERROR(__xludf.DUMMYFUNCTION("""COMPUTED_VALUE"""),0.3415604183374523)</f>
        <v>0.3415604183</v>
      </c>
      <c r="E4002" s="5">
        <f>IFERROR(__xludf.DUMMYFUNCTION("""COMPUTED_VALUE"""),0.12049297042504788)</f>
        <v>0.1204929704</v>
      </c>
      <c r="F4002" s="5">
        <f>IFERROR(__xludf.DUMMYFUNCTION("""COMPUTED_VALUE"""),0.21116548552349465)</f>
        <v>0.2111654855</v>
      </c>
      <c r="G4002" s="5">
        <f>IFERROR(__xludf.DUMMYFUNCTION("""COMPUTED_VALUE"""),0.15311216222851437)</f>
        <v>0.1531121622</v>
      </c>
      <c r="H4002" s="5">
        <f>IFERROR(__xludf.DUMMYFUNCTION("""COMPUTED_VALUE"""),0.6123856766392808)</f>
        <v>0.6123856766</v>
      </c>
      <c r="I4002" s="11">
        <f>IFERROR(__xludf.DUMMYFUNCTION("""COMPUTED_VALUE"""),5651.340877383352)</f>
        <v>5651.340877</v>
      </c>
      <c r="J4002" s="10">
        <f>IFERROR(__xludf.DUMMYFUNCTION("""COMPUTED_VALUE"""),23.0)</f>
        <v>23</v>
      </c>
      <c r="K4002" s="5">
        <f>IFERROR(__xludf.DUMMYFUNCTION("""COMPUTED_VALUE"""),0.004049295774647887)</f>
        <v>0.004049295775</v>
      </c>
      <c r="L4002" s="10">
        <f>IFERROR(__xludf.DUMMYFUNCTION("""COMPUTED_VALUE"""),5446.0)</f>
        <v>5446</v>
      </c>
      <c r="M4002" s="5">
        <f>IFERROR(__xludf.DUMMYFUNCTION("""COMPUTED_VALUE"""),0.9588028169014085)</f>
        <v>0.9588028169</v>
      </c>
    </row>
    <row r="4003">
      <c r="A4003" s="10" t="str">
        <f>IFERROR(__xludf.DUMMYFUNCTION("""COMPUTED_VALUE"""),"俺の嫁")</f>
        <v>俺の嫁</v>
      </c>
      <c r="B4003" s="10">
        <f>IFERROR(__xludf.DUMMYFUNCTION("""COMPUTED_VALUE"""),904.0)</f>
        <v>904</v>
      </c>
      <c r="C4003" s="10">
        <f>IFERROR(__xludf.DUMMYFUNCTION("""COMPUTED_VALUE"""),10789.0)</f>
        <v>10789</v>
      </c>
      <c r="D4003" s="5">
        <f>IFERROR(__xludf.DUMMYFUNCTION("""COMPUTED_VALUE"""),0.326656550328781)</f>
        <v>0.3266565503</v>
      </c>
      <c r="E4003" s="5">
        <f>IFERROR(__xludf.DUMMYFUNCTION("""COMPUTED_VALUE"""),0.1204855842185129)</f>
        <v>0.1204855842</v>
      </c>
      <c r="F4003" s="5">
        <f>IFERROR(__xludf.DUMMYFUNCTION("""COMPUTED_VALUE"""),0.1947395042994436)</f>
        <v>0.1947395043</v>
      </c>
      <c r="G4003" s="5">
        <f>IFERROR(__xludf.DUMMYFUNCTION("""COMPUTED_VALUE"""),0.15680323722812342)</f>
        <v>0.1568032372</v>
      </c>
      <c r="H4003" s="5">
        <f>IFERROR(__xludf.DUMMYFUNCTION("""COMPUTED_VALUE"""),0.5937662337662337)</f>
        <v>0.5937662338</v>
      </c>
      <c r="I4003" s="11">
        <f>IFERROR(__xludf.DUMMYFUNCTION("""COMPUTED_VALUE"""),5591.324675324675)</f>
        <v>5591.324675</v>
      </c>
      <c r="J4003" s="10">
        <f>IFERROR(__xludf.DUMMYFUNCTION("""COMPUTED_VALUE"""),2.0)</f>
        <v>2</v>
      </c>
      <c r="K4003" s="5">
        <f>IFERROR(__xludf.DUMMYFUNCTION("""COMPUTED_VALUE"""),0.0022123893805309734)</f>
        <v>0.002212389381</v>
      </c>
      <c r="L4003" s="10">
        <f>IFERROR(__xludf.DUMMYFUNCTION("""COMPUTED_VALUE"""),1.0)</f>
        <v>1</v>
      </c>
      <c r="M4003" s="5">
        <f>IFERROR(__xludf.DUMMYFUNCTION("""COMPUTED_VALUE"""),0.0011061946902654867)</f>
        <v>0.00110619469</v>
      </c>
    </row>
    <row r="4004">
      <c r="A4004" s="10" t="str">
        <f>IFERROR(__xludf.DUMMYFUNCTION("""COMPUTED_VALUE"""),"新世界の紙")</f>
        <v>新世界の紙</v>
      </c>
      <c r="B4004" s="10">
        <f>IFERROR(__xludf.DUMMYFUNCTION("""COMPUTED_VALUE"""),4395.0)</f>
        <v>4395</v>
      </c>
      <c r="C4004" s="10">
        <f>IFERROR(__xludf.DUMMYFUNCTION("""COMPUTED_VALUE"""),51669.0)</f>
        <v>51669</v>
      </c>
      <c r="D4004" s="5">
        <f>IFERROR(__xludf.DUMMYFUNCTION("""COMPUTED_VALUE"""),0.3866818970258493)</f>
        <v>0.386681897</v>
      </c>
      <c r="E4004" s="5">
        <f>IFERROR(__xludf.DUMMYFUNCTION("""COMPUTED_VALUE"""),0.12046791047933325)</f>
        <v>0.1204679105</v>
      </c>
      <c r="F4004" s="5">
        <f>IFERROR(__xludf.DUMMYFUNCTION("""COMPUTED_VALUE"""),0.21656724626644666)</f>
        <v>0.2165672463</v>
      </c>
      <c r="G4004" s="5">
        <f>IFERROR(__xludf.DUMMYFUNCTION("""COMPUTED_VALUE"""),0.17552988957989593)</f>
        <v>0.1755298896</v>
      </c>
      <c r="H4004" s="5">
        <f>IFERROR(__xludf.DUMMYFUNCTION("""COMPUTED_VALUE"""),0.5910334049619066)</f>
        <v>0.591033405</v>
      </c>
      <c r="I4004" s="11">
        <f>IFERROR(__xludf.DUMMYFUNCTION("""COMPUTED_VALUE"""),5444.217620629029)</f>
        <v>5444.217621</v>
      </c>
      <c r="J4004" s="10">
        <f>IFERROR(__xludf.DUMMYFUNCTION("""COMPUTED_VALUE"""),10.0)</f>
        <v>10</v>
      </c>
      <c r="K4004" s="5">
        <f>IFERROR(__xludf.DUMMYFUNCTION("""COMPUTED_VALUE"""),0.0022753128555176336)</f>
        <v>0.002275312856</v>
      </c>
      <c r="L4004" s="10">
        <f>IFERROR(__xludf.DUMMYFUNCTION("""COMPUTED_VALUE"""),2102.0)</f>
        <v>2102</v>
      </c>
      <c r="M4004" s="5">
        <f>IFERROR(__xludf.DUMMYFUNCTION("""COMPUTED_VALUE"""),0.4782707622298066)</f>
        <v>0.4782707622</v>
      </c>
    </row>
    <row r="4005">
      <c r="A4005" s="10" t="str">
        <f>IFERROR(__xludf.DUMMYFUNCTION("""COMPUTED_VALUE"""),"わびすけ")</f>
        <v>わびすけ</v>
      </c>
      <c r="B4005" s="10">
        <f>IFERROR(__xludf.DUMMYFUNCTION("""COMPUTED_VALUE"""),155.0)</f>
        <v>155</v>
      </c>
      <c r="C4005" s="10">
        <f>IFERROR(__xludf.DUMMYFUNCTION("""COMPUTED_VALUE"""),1807.0)</f>
        <v>1807</v>
      </c>
      <c r="D4005" s="5">
        <f>IFERROR(__xludf.DUMMYFUNCTION("""COMPUTED_VALUE"""),0.33353510895883776)</f>
        <v>0.333535109</v>
      </c>
      <c r="E4005" s="5">
        <f>IFERROR(__xludf.DUMMYFUNCTION("""COMPUTED_VALUE"""),0.12046004842615012)</f>
        <v>0.1204600484</v>
      </c>
      <c r="F4005" s="5">
        <f>IFERROR(__xludf.DUMMYFUNCTION("""COMPUTED_VALUE"""),0.19794188861985473)</f>
        <v>0.1979418886</v>
      </c>
      <c r="G4005" s="5">
        <f>IFERROR(__xludf.DUMMYFUNCTION("""COMPUTED_VALUE"""),0.15920096852300242)</f>
        <v>0.1592009685</v>
      </c>
      <c r="H4005" s="5">
        <f>IFERROR(__xludf.DUMMYFUNCTION("""COMPUTED_VALUE"""),0.5932721712538226)</f>
        <v>0.5932721713</v>
      </c>
      <c r="I4005" s="11">
        <f>IFERROR(__xludf.DUMMYFUNCTION("""COMPUTED_VALUE"""),5250.764525993884)</f>
        <v>5250.764526</v>
      </c>
      <c r="J4005" s="10">
        <f>IFERROR(__xludf.DUMMYFUNCTION("""COMPUTED_VALUE"""),0.0)</f>
        <v>0</v>
      </c>
      <c r="K4005" s="5">
        <f>IFERROR(__xludf.DUMMYFUNCTION("""COMPUTED_VALUE"""),0.0)</f>
        <v>0</v>
      </c>
      <c r="L4005" s="10">
        <f>IFERROR(__xludf.DUMMYFUNCTION("""COMPUTED_VALUE"""),155.0)</f>
        <v>155</v>
      </c>
      <c r="M4005" s="5">
        <f>IFERROR(__xludf.DUMMYFUNCTION("""COMPUTED_VALUE"""),1.0)</f>
        <v>1</v>
      </c>
    </row>
    <row r="4006">
      <c r="A4006" s="10" t="str">
        <f>IFERROR(__xludf.DUMMYFUNCTION("""COMPUTED_VALUE"""),"Mt.dew")</f>
        <v>Mt.dew</v>
      </c>
      <c r="B4006" s="10">
        <f>IFERROR(__xludf.DUMMYFUNCTION("""COMPUTED_VALUE"""),204.0)</f>
        <v>204</v>
      </c>
      <c r="C4006" s="10">
        <f>IFERROR(__xludf.DUMMYFUNCTION("""COMPUTED_VALUE"""),2379.0)</f>
        <v>2379</v>
      </c>
      <c r="D4006" s="5">
        <f>IFERROR(__xludf.DUMMYFUNCTION("""COMPUTED_VALUE"""),0.391264367816092)</f>
        <v>0.3912643678</v>
      </c>
      <c r="E4006" s="5">
        <f>IFERROR(__xludf.DUMMYFUNCTION("""COMPUTED_VALUE"""),0.12045977011494254)</f>
        <v>0.1204597701</v>
      </c>
      <c r="F4006" s="5">
        <f>IFERROR(__xludf.DUMMYFUNCTION("""COMPUTED_VALUE"""),0.20505747126436782)</f>
        <v>0.2050574713</v>
      </c>
      <c r="G4006" s="5">
        <f>IFERROR(__xludf.DUMMYFUNCTION("""COMPUTED_VALUE"""),0.15724137931034482)</f>
        <v>0.1572413793</v>
      </c>
      <c r="H4006" s="5">
        <f>IFERROR(__xludf.DUMMYFUNCTION("""COMPUTED_VALUE"""),0.6076233183856502)</f>
        <v>0.6076233184</v>
      </c>
      <c r="I4006" s="11">
        <f>IFERROR(__xludf.DUMMYFUNCTION("""COMPUTED_VALUE"""),5212.331838565023)</f>
        <v>5212.331839</v>
      </c>
      <c r="J4006" s="10">
        <f>IFERROR(__xludf.DUMMYFUNCTION("""COMPUTED_VALUE"""),1.0)</f>
        <v>1</v>
      </c>
      <c r="K4006" s="5">
        <f>IFERROR(__xludf.DUMMYFUNCTION("""COMPUTED_VALUE"""),0.004901960784313725)</f>
        <v>0.004901960784</v>
      </c>
      <c r="L4006" s="10">
        <f>IFERROR(__xludf.DUMMYFUNCTION("""COMPUTED_VALUE"""),147.0)</f>
        <v>147</v>
      </c>
      <c r="M4006" s="5">
        <f>IFERROR(__xludf.DUMMYFUNCTION("""COMPUTED_VALUE"""),0.7205882352941176)</f>
        <v>0.7205882353</v>
      </c>
    </row>
    <row r="4007">
      <c r="A4007" s="10" t="str">
        <f>IFERROR(__xludf.DUMMYFUNCTION("""COMPUTED_VALUE"""),"kuraguma")</f>
        <v>kuraguma</v>
      </c>
      <c r="B4007" s="10">
        <f>IFERROR(__xludf.DUMMYFUNCTION("""COMPUTED_VALUE"""),389.0)</f>
        <v>389</v>
      </c>
      <c r="C4007" s="10">
        <f>IFERROR(__xludf.DUMMYFUNCTION("""COMPUTED_VALUE"""),4573.0)</f>
        <v>4573</v>
      </c>
      <c r="D4007" s="5">
        <f>IFERROR(__xludf.DUMMYFUNCTION("""COMPUTED_VALUE"""),0.38336520076481834)</f>
        <v>0.3833652008</v>
      </c>
      <c r="E4007" s="5">
        <f>IFERROR(__xludf.DUMMYFUNCTION("""COMPUTED_VALUE"""),0.12045889101338432)</f>
        <v>0.120458891</v>
      </c>
      <c r="F4007" s="5">
        <f>IFERROR(__xludf.DUMMYFUNCTION("""COMPUTED_VALUE"""),0.21510516252390058)</f>
        <v>0.2151051625</v>
      </c>
      <c r="G4007" s="5">
        <f>IFERROR(__xludf.DUMMYFUNCTION("""COMPUTED_VALUE"""),0.1826003824091778)</f>
        <v>0.1826003824</v>
      </c>
      <c r="H4007" s="5">
        <f>IFERROR(__xludf.DUMMYFUNCTION("""COMPUTED_VALUE"""),0.6077777777777778)</f>
        <v>0.6077777778</v>
      </c>
      <c r="I4007" s="11">
        <f>IFERROR(__xludf.DUMMYFUNCTION("""COMPUTED_VALUE"""),5315.444444444444)</f>
        <v>5315.444444</v>
      </c>
      <c r="J4007" s="10">
        <f>IFERROR(__xludf.DUMMYFUNCTION("""COMPUTED_VALUE"""),0.0)</f>
        <v>0</v>
      </c>
      <c r="K4007" s="5">
        <f>IFERROR(__xludf.DUMMYFUNCTION("""COMPUTED_VALUE"""),0.0)</f>
        <v>0</v>
      </c>
      <c r="L4007" s="10">
        <f>IFERROR(__xludf.DUMMYFUNCTION("""COMPUTED_VALUE"""),389.0)</f>
        <v>389</v>
      </c>
      <c r="M4007" s="5">
        <f>IFERROR(__xludf.DUMMYFUNCTION("""COMPUTED_VALUE"""),1.0)</f>
        <v>1</v>
      </c>
    </row>
    <row r="4008">
      <c r="A4008" s="10" t="str">
        <f>IFERROR(__xludf.DUMMYFUNCTION("""COMPUTED_VALUE"""),"ヘクサー")</f>
        <v>ヘクサー</v>
      </c>
      <c r="B4008" s="10">
        <f>IFERROR(__xludf.DUMMYFUNCTION("""COMPUTED_VALUE"""),4548.0)</f>
        <v>4548</v>
      </c>
      <c r="C4008" s="10">
        <f>IFERROR(__xludf.DUMMYFUNCTION("""COMPUTED_VALUE"""),53537.0)</f>
        <v>53537</v>
      </c>
      <c r="D4008" s="5">
        <f>IFERROR(__xludf.DUMMYFUNCTION("""COMPUTED_VALUE"""),0.34481210067566187)</f>
        <v>0.3448121007</v>
      </c>
      <c r="E4008" s="5">
        <f>IFERROR(__xludf.DUMMYFUNCTION("""COMPUTED_VALUE"""),0.12045561248443529)</f>
        <v>0.1204556125</v>
      </c>
      <c r="F4008" s="5">
        <f>IFERROR(__xludf.DUMMYFUNCTION("""COMPUTED_VALUE"""),0.20855702300516443)</f>
        <v>0.208557023</v>
      </c>
      <c r="G4008" s="5">
        <f>IFERROR(__xludf.DUMMYFUNCTION("""COMPUTED_VALUE"""),0.17785625344465084)</f>
        <v>0.1778562534</v>
      </c>
      <c r="H4008" s="5">
        <f>IFERROR(__xludf.DUMMYFUNCTION("""COMPUTED_VALUE"""),0.5810903396300284)</f>
        <v>0.5810903396</v>
      </c>
      <c r="I4008" s="11">
        <f>IFERROR(__xludf.DUMMYFUNCTION("""COMPUTED_VALUE"""),5665.136537143976)</f>
        <v>5665.136537</v>
      </c>
      <c r="J4008" s="10">
        <f>IFERROR(__xludf.DUMMYFUNCTION("""COMPUTED_VALUE"""),10.0)</f>
        <v>10</v>
      </c>
      <c r="K4008" s="5">
        <f>IFERROR(__xludf.DUMMYFUNCTION("""COMPUTED_VALUE"""),0.0021987686895338612)</f>
        <v>0.00219876869</v>
      </c>
      <c r="L4008" s="10">
        <f>IFERROR(__xludf.DUMMYFUNCTION("""COMPUTED_VALUE"""),4548.0)</f>
        <v>4548</v>
      </c>
      <c r="M4008" s="5">
        <f>IFERROR(__xludf.DUMMYFUNCTION("""COMPUTED_VALUE"""),1.0)</f>
        <v>1</v>
      </c>
    </row>
    <row r="4009">
      <c r="A4009" s="10" t="str">
        <f>IFERROR(__xludf.DUMMYFUNCTION("""COMPUTED_VALUE"""),"Lask&amp;Yu")</f>
        <v>Lask&amp;Yu</v>
      </c>
      <c r="B4009" s="10">
        <f>IFERROR(__xludf.DUMMYFUNCTION("""COMPUTED_VALUE"""),918.0)</f>
        <v>918</v>
      </c>
      <c r="C4009" s="10">
        <f>IFERROR(__xludf.DUMMYFUNCTION("""COMPUTED_VALUE"""),10947.0)</f>
        <v>10947</v>
      </c>
      <c r="D4009" s="5">
        <f>IFERROR(__xludf.DUMMYFUNCTION("""COMPUTED_VALUE"""),0.3679329943164822)</f>
        <v>0.3679329943</v>
      </c>
      <c r="E4009" s="5">
        <f>IFERROR(__xludf.DUMMYFUNCTION("""COMPUTED_VALUE"""),0.12045069299032805)</f>
        <v>0.120450693</v>
      </c>
      <c r="F4009" s="5">
        <f>IFERROR(__xludf.DUMMYFUNCTION("""COMPUTED_VALUE"""),0.22006182071991226)</f>
        <v>0.2200618207</v>
      </c>
      <c r="G4009" s="5">
        <f>IFERROR(__xludf.DUMMYFUNCTION("""COMPUTED_VALUE"""),0.17509223252567555)</f>
        <v>0.1750922325</v>
      </c>
      <c r="H4009" s="5">
        <f>IFERROR(__xludf.DUMMYFUNCTION("""COMPUTED_VALUE"""),0.5822383325781604)</f>
        <v>0.5822383326</v>
      </c>
      <c r="I4009" s="11">
        <f>IFERROR(__xludf.DUMMYFUNCTION("""COMPUTED_VALUE"""),5494.789306751246)</f>
        <v>5494.789307</v>
      </c>
      <c r="J4009" s="10">
        <f>IFERROR(__xludf.DUMMYFUNCTION("""COMPUTED_VALUE"""),3.0)</f>
        <v>3</v>
      </c>
      <c r="K4009" s="5">
        <f>IFERROR(__xludf.DUMMYFUNCTION("""COMPUTED_VALUE"""),0.0032679738562091504)</f>
        <v>0.003267973856</v>
      </c>
      <c r="L4009" s="10">
        <f>IFERROR(__xludf.DUMMYFUNCTION("""COMPUTED_VALUE"""),918.0)</f>
        <v>918</v>
      </c>
      <c r="M4009" s="5">
        <f>IFERROR(__xludf.DUMMYFUNCTION("""COMPUTED_VALUE"""),1.0)</f>
        <v>1</v>
      </c>
    </row>
    <row r="4010">
      <c r="A4010" s="10" t="str">
        <f>IFERROR(__xludf.DUMMYFUNCTION("""COMPUTED_VALUE"""),"Rikuo")</f>
        <v>Rikuo</v>
      </c>
      <c r="B4010" s="10">
        <f>IFERROR(__xludf.DUMMYFUNCTION("""COMPUTED_VALUE"""),1676.0)</f>
        <v>1676</v>
      </c>
      <c r="C4010" s="10">
        <f>IFERROR(__xludf.DUMMYFUNCTION("""COMPUTED_VALUE"""),19435.0)</f>
        <v>19435</v>
      </c>
      <c r="D4010" s="5">
        <f>IFERROR(__xludf.DUMMYFUNCTION("""COMPUTED_VALUE"""),0.33053662931471367)</f>
        <v>0.3305366293</v>
      </c>
      <c r="E4010" s="5">
        <f>IFERROR(__xludf.DUMMYFUNCTION("""COMPUTED_VALUE"""),0.12044597105692888)</f>
        <v>0.1204459711</v>
      </c>
      <c r="F4010" s="5">
        <f>IFERROR(__xludf.DUMMYFUNCTION("""COMPUTED_VALUE"""),0.20969649191959006)</f>
        <v>0.2096964919</v>
      </c>
      <c r="G4010" s="5">
        <f>IFERROR(__xludf.DUMMYFUNCTION("""COMPUTED_VALUE"""),0.16729545582521538)</f>
        <v>0.1672954558</v>
      </c>
      <c r="H4010" s="5">
        <f>IFERROR(__xludf.DUMMYFUNCTION("""COMPUTED_VALUE"""),0.6138560687432868)</f>
        <v>0.6138560687</v>
      </c>
      <c r="I4010" s="11">
        <f>IFERROR(__xludf.DUMMYFUNCTION("""COMPUTED_VALUE"""),5676.852846401719)</f>
        <v>5676.852846</v>
      </c>
      <c r="J4010" s="10">
        <f>IFERROR(__xludf.DUMMYFUNCTION("""COMPUTED_VALUE"""),2.0)</f>
        <v>2</v>
      </c>
      <c r="K4010" s="5">
        <f>IFERROR(__xludf.DUMMYFUNCTION("""COMPUTED_VALUE"""),0.0011933174224343676)</f>
        <v>0.001193317422</v>
      </c>
      <c r="L4010" s="10">
        <f>IFERROR(__xludf.DUMMYFUNCTION("""COMPUTED_VALUE"""),1563.0)</f>
        <v>1563</v>
      </c>
      <c r="M4010" s="5">
        <f>IFERROR(__xludf.DUMMYFUNCTION("""COMPUTED_VALUE"""),0.9325775656324582)</f>
        <v>0.9325775656</v>
      </c>
    </row>
    <row r="4011">
      <c r="A4011" s="10" t="str">
        <f>IFERROR(__xludf.DUMMYFUNCTION("""COMPUTED_VALUE"""),"ヴム９て")</f>
        <v>ヴム９て</v>
      </c>
      <c r="B4011" s="10">
        <f>IFERROR(__xludf.DUMMYFUNCTION("""COMPUTED_VALUE"""),762.0)</f>
        <v>762</v>
      </c>
      <c r="C4011" s="10">
        <f>IFERROR(__xludf.DUMMYFUNCTION("""COMPUTED_VALUE"""),9023.0)</f>
        <v>9023</v>
      </c>
      <c r="D4011" s="5">
        <f>IFERROR(__xludf.DUMMYFUNCTION("""COMPUTED_VALUE"""),0.34584190775935114)</f>
        <v>0.3458419078</v>
      </c>
      <c r="E4011" s="5">
        <f>IFERROR(__xludf.DUMMYFUNCTION("""COMPUTED_VALUE"""),0.12044546665052656)</f>
        <v>0.1204454667</v>
      </c>
      <c r="F4011" s="5">
        <f>IFERROR(__xludf.DUMMYFUNCTION("""COMPUTED_VALUE"""),0.20203365210023)</f>
        <v>0.2020336521</v>
      </c>
      <c r="G4011" s="5">
        <f>IFERROR(__xludf.DUMMYFUNCTION("""COMPUTED_VALUE"""),0.16136061009563007)</f>
        <v>0.1613606101</v>
      </c>
      <c r="H4011" s="5">
        <f>IFERROR(__xludf.DUMMYFUNCTION("""COMPUTED_VALUE"""),0.5949670461354104)</f>
        <v>0.5949670461</v>
      </c>
      <c r="I4011" s="11">
        <f>IFERROR(__xludf.DUMMYFUNCTION("""COMPUTED_VALUE"""),5453.445176752546)</f>
        <v>5453.445177</v>
      </c>
      <c r="J4011" s="10">
        <f>IFERROR(__xludf.DUMMYFUNCTION("""COMPUTED_VALUE"""),0.0)</f>
        <v>0</v>
      </c>
      <c r="K4011" s="5">
        <f>IFERROR(__xludf.DUMMYFUNCTION("""COMPUTED_VALUE"""),0.0)</f>
        <v>0</v>
      </c>
      <c r="L4011" s="10">
        <f>IFERROR(__xludf.DUMMYFUNCTION("""COMPUTED_VALUE"""),762.0)</f>
        <v>762</v>
      </c>
      <c r="M4011" s="5">
        <f>IFERROR(__xludf.DUMMYFUNCTION("""COMPUTED_VALUE"""),1.0)</f>
        <v>1</v>
      </c>
    </row>
    <row r="4012">
      <c r="A4012" s="10" t="str">
        <f>IFERROR(__xludf.DUMMYFUNCTION("""COMPUTED_VALUE"""),".=いろは=")</f>
        <v>.=いろは=</v>
      </c>
      <c r="B4012" s="10">
        <f>IFERROR(__xludf.DUMMYFUNCTION("""COMPUTED_VALUE"""),462.0)</f>
        <v>462</v>
      </c>
      <c r="C4012" s="10">
        <f>IFERROR(__xludf.DUMMYFUNCTION("""COMPUTED_VALUE"""),5344.0)</f>
        <v>5344</v>
      </c>
      <c r="D4012" s="5">
        <f>IFERROR(__xludf.DUMMYFUNCTION("""COMPUTED_VALUE"""),0.30438344940598117)</f>
        <v>0.3043834494</v>
      </c>
      <c r="E4012" s="5">
        <f>IFERROR(__xludf.DUMMYFUNCTION("""COMPUTED_VALUE"""),0.12044244162228594)</f>
        <v>0.1204424416</v>
      </c>
      <c r="F4012" s="5">
        <f>IFERROR(__xludf.DUMMYFUNCTION("""COMPUTED_VALUE"""),0.20360507988529292)</f>
        <v>0.2036050799</v>
      </c>
      <c r="G4012" s="5">
        <f>IFERROR(__xludf.DUMMYFUNCTION("""COMPUTED_VALUE"""),0.18762802130274478)</f>
        <v>0.1876280213</v>
      </c>
      <c r="H4012" s="5">
        <f>IFERROR(__xludf.DUMMYFUNCTION("""COMPUTED_VALUE"""),0.6006036217303823)</f>
        <v>0.6006036217</v>
      </c>
      <c r="I4012" s="11">
        <f>IFERROR(__xludf.DUMMYFUNCTION("""COMPUTED_VALUE"""),5949.89939637827)</f>
        <v>5949.899396</v>
      </c>
      <c r="J4012" s="10">
        <f>IFERROR(__xludf.DUMMYFUNCTION("""COMPUTED_VALUE"""),1.0)</f>
        <v>1</v>
      </c>
      <c r="K4012" s="5">
        <f>IFERROR(__xludf.DUMMYFUNCTION("""COMPUTED_VALUE"""),0.0021645021645021645)</f>
        <v>0.002164502165</v>
      </c>
      <c r="L4012" s="10">
        <f>IFERROR(__xludf.DUMMYFUNCTION("""COMPUTED_VALUE"""),205.0)</f>
        <v>205</v>
      </c>
      <c r="M4012" s="5">
        <f>IFERROR(__xludf.DUMMYFUNCTION("""COMPUTED_VALUE"""),0.44372294372294374)</f>
        <v>0.4437229437</v>
      </c>
    </row>
    <row r="4013">
      <c r="A4013" s="10" t="str">
        <f>IFERROR(__xludf.DUMMYFUNCTION("""COMPUTED_VALUE"""),"河田ニャンコ")</f>
        <v>河田ニャンコ</v>
      </c>
      <c r="B4013" s="10">
        <f>IFERROR(__xludf.DUMMYFUNCTION("""COMPUTED_VALUE"""),402.0)</f>
        <v>402</v>
      </c>
      <c r="C4013" s="10">
        <f>IFERROR(__xludf.DUMMYFUNCTION("""COMPUTED_VALUE"""),4653.0)</f>
        <v>4653</v>
      </c>
      <c r="D4013" s="5">
        <f>IFERROR(__xludf.DUMMYFUNCTION("""COMPUTED_VALUE"""),0.22112444130792755)</f>
        <v>0.2211244413</v>
      </c>
      <c r="E4013" s="5">
        <f>IFERROR(__xludf.DUMMYFUNCTION("""COMPUTED_VALUE"""),0.12044224888261586)</f>
        <v>0.1204422489</v>
      </c>
      <c r="F4013" s="5">
        <f>IFERROR(__xludf.DUMMYFUNCTION("""COMPUTED_VALUE"""),0.19124911785462245)</f>
        <v>0.1912491179</v>
      </c>
      <c r="G4013" s="5">
        <f>IFERROR(__xludf.DUMMYFUNCTION("""COMPUTED_VALUE"""),0.22394730651611386)</f>
        <v>0.2239473065</v>
      </c>
      <c r="H4013" s="5">
        <f>IFERROR(__xludf.DUMMYFUNCTION("""COMPUTED_VALUE"""),0.5891758917589176)</f>
        <v>0.5891758918</v>
      </c>
      <c r="I4013" s="11">
        <f>IFERROR(__xludf.DUMMYFUNCTION("""COMPUTED_VALUE"""),5969.3726937269375)</f>
        <v>5969.372694</v>
      </c>
      <c r="J4013" s="10">
        <f>IFERROR(__xludf.DUMMYFUNCTION("""COMPUTED_VALUE"""),0.0)</f>
        <v>0</v>
      </c>
      <c r="K4013" s="5">
        <f>IFERROR(__xludf.DUMMYFUNCTION("""COMPUTED_VALUE"""),0.0)</f>
        <v>0</v>
      </c>
      <c r="L4013" s="10">
        <f>IFERROR(__xludf.DUMMYFUNCTION("""COMPUTED_VALUE"""),402.0)</f>
        <v>402</v>
      </c>
      <c r="M4013" s="5">
        <f>IFERROR(__xludf.DUMMYFUNCTION("""COMPUTED_VALUE"""),1.0)</f>
        <v>1</v>
      </c>
    </row>
    <row r="4014">
      <c r="A4014" s="10" t="str">
        <f>IFERROR(__xludf.DUMMYFUNCTION("""COMPUTED_VALUE"""),"@純ちゃん")</f>
        <v>@純ちゃん</v>
      </c>
      <c r="B4014" s="10">
        <f>IFERROR(__xludf.DUMMYFUNCTION("""COMPUTED_VALUE"""),570.0)</f>
        <v>570</v>
      </c>
      <c r="C4014" s="10">
        <f>IFERROR(__xludf.DUMMYFUNCTION("""COMPUTED_VALUE"""),6648.0)</f>
        <v>6648</v>
      </c>
      <c r="D4014" s="5">
        <f>IFERROR(__xludf.DUMMYFUNCTION("""COMPUTED_VALUE"""),0.3884501480750247)</f>
        <v>0.3884501481</v>
      </c>
      <c r="E4014" s="5">
        <f>IFERROR(__xludf.DUMMYFUNCTION("""COMPUTED_VALUE"""),0.12043435340572557)</f>
        <v>0.1204343534</v>
      </c>
      <c r="F4014" s="5">
        <f>IFERROR(__xludf.DUMMYFUNCTION("""COMPUTED_VALUE"""),0.21980914774596907)</f>
        <v>0.2198091477</v>
      </c>
      <c r="G4014" s="5">
        <f>IFERROR(__xludf.DUMMYFUNCTION("""COMPUTED_VALUE"""),0.1839420862125699)</f>
        <v>0.1839420862</v>
      </c>
      <c r="H4014" s="5">
        <f>IFERROR(__xludf.DUMMYFUNCTION("""COMPUTED_VALUE"""),0.6122754491017964)</f>
        <v>0.6122754491</v>
      </c>
      <c r="I4014" s="11">
        <f>IFERROR(__xludf.DUMMYFUNCTION("""COMPUTED_VALUE"""),5654.640718562874)</f>
        <v>5654.640719</v>
      </c>
      <c r="J4014" s="10">
        <f>IFERROR(__xludf.DUMMYFUNCTION("""COMPUTED_VALUE"""),3.0)</f>
        <v>3</v>
      </c>
      <c r="K4014" s="5">
        <f>IFERROR(__xludf.DUMMYFUNCTION("""COMPUTED_VALUE"""),0.005263157894736842)</f>
        <v>0.005263157895</v>
      </c>
      <c r="L4014" s="10">
        <f>IFERROR(__xludf.DUMMYFUNCTION("""COMPUTED_VALUE"""),570.0)</f>
        <v>570</v>
      </c>
      <c r="M4014" s="5">
        <f>IFERROR(__xludf.DUMMYFUNCTION("""COMPUTED_VALUE"""),1.0)</f>
        <v>1</v>
      </c>
    </row>
    <row r="4015">
      <c r="A4015" s="10" t="str">
        <f>IFERROR(__xludf.DUMMYFUNCTION("""COMPUTED_VALUE"""),"faze")</f>
        <v>faze</v>
      </c>
      <c r="B4015" s="10">
        <f>IFERROR(__xludf.DUMMYFUNCTION("""COMPUTED_VALUE"""),741.0)</f>
        <v>741</v>
      </c>
      <c r="C4015" s="10">
        <f>IFERROR(__xludf.DUMMYFUNCTION("""COMPUTED_VALUE"""),8571.0)</f>
        <v>8571</v>
      </c>
      <c r="D4015" s="5">
        <f>IFERROR(__xludf.DUMMYFUNCTION("""COMPUTED_VALUE"""),0.35517241379310344)</f>
        <v>0.3551724138</v>
      </c>
      <c r="E4015" s="5">
        <f>IFERROR(__xludf.DUMMYFUNCTION("""COMPUTED_VALUE"""),0.12043422733077906)</f>
        <v>0.1204342273</v>
      </c>
      <c r="F4015" s="5">
        <f>IFERROR(__xludf.DUMMYFUNCTION("""COMPUTED_VALUE"""),0.21353767560664114)</f>
        <v>0.2135376756</v>
      </c>
      <c r="G4015" s="5">
        <f>IFERROR(__xludf.DUMMYFUNCTION("""COMPUTED_VALUE"""),0.1818646232439336)</f>
        <v>0.1818646232</v>
      </c>
      <c r="H4015" s="5">
        <f>IFERROR(__xludf.DUMMYFUNCTION("""COMPUTED_VALUE"""),0.5855263157894737)</f>
        <v>0.5855263158</v>
      </c>
      <c r="I4015" s="11">
        <f>IFERROR(__xludf.DUMMYFUNCTION("""COMPUTED_VALUE"""),5608.313397129186)</f>
        <v>5608.313397</v>
      </c>
      <c r="J4015" s="10">
        <f>IFERROR(__xludf.DUMMYFUNCTION("""COMPUTED_VALUE"""),1.0)</f>
        <v>1</v>
      </c>
      <c r="K4015" s="5">
        <f>IFERROR(__xludf.DUMMYFUNCTION("""COMPUTED_VALUE"""),0.001349527665317139)</f>
        <v>0.001349527665</v>
      </c>
      <c r="L4015" s="10">
        <f>IFERROR(__xludf.DUMMYFUNCTION("""COMPUTED_VALUE"""),741.0)</f>
        <v>741</v>
      </c>
      <c r="M4015" s="5">
        <f>IFERROR(__xludf.DUMMYFUNCTION("""COMPUTED_VALUE"""),1.0)</f>
        <v>1</v>
      </c>
    </row>
    <row r="4016">
      <c r="A4016" s="10" t="str">
        <f>IFERROR(__xludf.DUMMYFUNCTION("""COMPUTED_VALUE"""),"s&amp;co.")</f>
        <v>s&amp;co.</v>
      </c>
      <c r="B4016" s="10">
        <f>IFERROR(__xludf.DUMMYFUNCTION("""COMPUTED_VALUE"""),117.0)</f>
        <v>117</v>
      </c>
      <c r="C4016" s="10">
        <f>IFERROR(__xludf.DUMMYFUNCTION("""COMPUTED_VALUE"""),1346.0)</f>
        <v>1346</v>
      </c>
      <c r="D4016" s="5">
        <f>IFERROR(__xludf.DUMMYFUNCTION("""COMPUTED_VALUE"""),0.30919446704637915)</f>
        <v>0.309194467</v>
      </c>
      <c r="E4016" s="5">
        <f>IFERROR(__xludf.DUMMYFUNCTION("""COMPUTED_VALUE"""),0.12042310821806347)</f>
        <v>0.1204231082</v>
      </c>
      <c r="F4016" s="5">
        <f>IFERROR(__xludf.DUMMYFUNCTION("""COMPUTED_VALUE"""),0.19853539462978032)</f>
        <v>0.1985353946</v>
      </c>
      <c r="G4016" s="5">
        <f>IFERROR(__xludf.DUMMYFUNCTION("""COMPUTED_VALUE"""),0.1383238405207486)</f>
        <v>0.1383238405</v>
      </c>
      <c r="H4016" s="5">
        <f>IFERROR(__xludf.DUMMYFUNCTION("""COMPUTED_VALUE"""),0.5450819672131147)</f>
        <v>0.5450819672</v>
      </c>
      <c r="I4016" s="11">
        <f>IFERROR(__xludf.DUMMYFUNCTION("""COMPUTED_VALUE"""),5836.475409836065)</f>
        <v>5836.47541</v>
      </c>
      <c r="J4016" s="10">
        <f>IFERROR(__xludf.DUMMYFUNCTION("""COMPUTED_VALUE"""),0.0)</f>
        <v>0</v>
      </c>
      <c r="K4016" s="5">
        <f>IFERROR(__xludf.DUMMYFUNCTION("""COMPUTED_VALUE"""),0.0)</f>
        <v>0</v>
      </c>
      <c r="L4016" s="10">
        <f>IFERROR(__xludf.DUMMYFUNCTION("""COMPUTED_VALUE"""),117.0)</f>
        <v>117</v>
      </c>
      <c r="M4016" s="5">
        <f>IFERROR(__xludf.DUMMYFUNCTION("""COMPUTED_VALUE"""),1.0)</f>
        <v>1</v>
      </c>
    </row>
    <row r="4017">
      <c r="A4017" s="10" t="str">
        <f>IFERROR(__xludf.DUMMYFUNCTION("""COMPUTED_VALUE"""),"√double")</f>
        <v>√double</v>
      </c>
      <c r="B4017" s="10">
        <f>IFERROR(__xludf.DUMMYFUNCTION("""COMPUTED_VALUE"""),147.0)</f>
        <v>147</v>
      </c>
      <c r="C4017" s="10">
        <f>IFERROR(__xludf.DUMMYFUNCTION("""COMPUTED_VALUE"""),1700.0)</f>
        <v>1700</v>
      </c>
      <c r="D4017" s="5">
        <f>IFERROR(__xludf.DUMMYFUNCTION("""COMPUTED_VALUE"""),0.36381197681905986)</f>
        <v>0.3638119768</v>
      </c>
      <c r="E4017" s="5">
        <f>IFERROR(__xludf.DUMMYFUNCTION("""COMPUTED_VALUE"""),0.12041210560206053)</f>
        <v>0.1204121056</v>
      </c>
      <c r="F4017" s="5">
        <f>IFERROR(__xludf.DUMMYFUNCTION("""COMPUTED_VALUE"""),0.20991629104958145)</f>
        <v>0.209916291</v>
      </c>
      <c r="G4017" s="5">
        <f>IFERROR(__xludf.DUMMYFUNCTION("""COMPUTED_VALUE"""),0.1854475209272376)</f>
        <v>0.1854475209</v>
      </c>
      <c r="H4017" s="5">
        <f>IFERROR(__xludf.DUMMYFUNCTION("""COMPUTED_VALUE"""),0.6288343558282209)</f>
        <v>0.6288343558</v>
      </c>
      <c r="I4017" s="11">
        <f>IFERROR(__xludf.DUMMYFUNCTION("""COMPUTED_VALUE"""),5159.20245398773)</f>
        <v>5159.202454</v>
      </c>
      <c r="J4017" s="10">
        <f>IFERROR(__xludf.DUMMYFUNCTION("""COMPUTED_VALUE"""),0.0)</f>
        <v>0</v>
      </c>
      <c r="K4017" s="5">
        <f>IFERROR(__xludf.DUMMYFUNCTION("""COMPUTED_VALUE"""),0.0)</f>
        <v>0</v>
      </c>
      <c r="L4017" s="10">
        <f>IFERROR(__xludf.DUMMYFUNCTION("""COMPUTED_VALUE"""),6.0)</f>
        <v>6</v>
      </c>
      <c r="M4017" s="5">
        <f>IFERROR(__xludf.DUMMYFUNCTION("""COMPUTED_VALUE"""),0.04081632653061224)</f>
        <v>0.04081632653</v>
      </c>
    </row>
    <row r="4018">
      <c r="A4018" s="10" t="str">
        <f>IFERROR(__xludf.DUMMYFUNCTION("""COMPUTED_VALUE"""),"南星明日歩")</f>
        <v>南星明日歩</v>
      </c>
      <c r="B4018" s="10">
        <f>IFERROR(__xludf.DUMMYFUNCTION("""COMPUTED_VALUE"""),1086.0)</f>
        <v>1086</v>
      </c>
      <c r="C4018" s="10">
        <f>IFERROR(__xludf.DUMMYFUNCTION("""COMPUTED_VALUE"""),12871.0)</f>
        <v>12871</v>
      </c>
      <c r="D4018" s="5">
        <f>IFERROR(__xludf.DUMMYFUNCTION("""COMPUTED_VALUE"""),0.40025456088247774)</f>
        <v>0.4002545609</v>
      </c>
      <c r="E4018" s="5">
        <f>IFERROR(__xludf.DUMMYFUNCTION("""COMPUTED_VALUE"""),0.12040729741196436)</f>
        <v>0.1204072974</v>
      </c>
      <c r="F4018" s="5">
        <f>IFERROR(__xludf.DUMMYFUNCTION("""COMPUTED_VALUE"""),0.21221892235893083)</f>
        <v>0.2122189224</v>
      </c>
      <c r="G4018" s="5">
        <f>IFERROR(__xludf.DUMMYFUNCTION("""COMPUTED_VALUE"""),0.16308867204072974)</f>
        <v>0.163088672</v>
      </c>
      <c r="H4018" s="5">
        <f>IFERROR(__xludf.DUMMYFUNCTION("""COMPUTED_VALUE"""),0.5833666533386646)</f>
        <v>0.5833666533</v>
      </c>
      <c r="I4018" s="11">
        <f>IFERROR(__xludf.DUMMYFUNCTION("""COMPUTED_VALUE"""),5440.663734506197)</f>
        <v>5440.663735</v>
      </c>
      <c r="J4018" s="10">
        <f>IFERROR(__xludf.DUMMYFUNCTION("""COMPUTED_VALUE"""),1.0)</f>
        <v>1</v>
      </c>
      <c r="K4018" s="5">
        <f>IFERROR(__xludf.DUMMYFUNCTION("""COMPUTED_VALUE"""),9.208103130755065E-4)</f>
        <v>0.0009208103131</v>
      </c>
      <c r="L4018" s="10">
        <f>IFERROR(__xludf.DUMMYFUNCTION("""COMPUTED_VALUE"""),1056.0)</f>
        <v>1056</v>
      </c>
      <c r="M4018" s="5">
        <f>IFERROR(__xludf.DUMMYFUNCTION("""COMPUTED_VALUE"""),0.9723756906077348)</f>
        <v>0.9723756906</v>
      </c>
    </row>
    <row r="4019">
      <c r="A4019" s="10" t="str">
        <f>IFERROR(__xludf.DUMMYFUNCTION("""COMPUTED_VALUE"""),"Ｗ楽勝Ｗ")</f>
        <v>Ｗ楽勝Ｗ</v>
      </c>
      <c r="B4019" s="10">
        <f>IFERROR(__xludf.DUMMYFUNCTION("""COMPUTED_VALUE"""),2935.0)</f>
        <v>2935</v>
      </c>
      <c r="C4019" s="10">
        <f>IFERROR(__xludf.DUMMYFUNCTION("""COMPUTED_VALUE"""),34683.0)</f>
        <v>34683</v>
      </c>
      <c r="D4019" s="5">
        <f>IFERROR(__xludf.DUMMYFUNCTION("""COMPUTED_VALUE"""),0.35334509260425856)</f>
        <v>0.3533450926</v>
      </c>
      <c r="E4019" s="5">
        <f>IFERROR(__xludf.DUMMYFUNCTION("""COMPUTED_VALUE"""),0.120385536096762)</f>
        <v>0.1203855361</v>
      </c>
      <c r="F4019" s="5">
        <f>IFERROR(__xludf.DUMMYFUNCTION("""COMPUTED_VALUE"""),0.21012347234471462)</f>
        <v>0.2101234723</v>
      </c>
      <c r="G4019" s="5">
        <f>IFERROR(__xludf.DUMMYFUNCTION("""COMPUTED_VALUE"""),0.15960060476250473)</f>
        <v>0.1596006048</v>
      </c>
      <c r="H4019" s="5">
        <f>IFERROR(__xludf.DUMMYFUNCTION("""COMPUTED_VALUE"""),0.6030580122920102)</f>
        <v>0.6030580123</v>
      </c>
      <c r="I4019" s="11">
        <f>IFERROR(__xludf.DUMMYFUNCTION("""COMPUTED_VALUE"""),5610.313296357368)</f>
        <v>5610.313296</v>
      </c>
      <c r="J4019" s="10">
        <f>IFERROR(__xludf.DUMMYFUNCTION("""COMPUTED_VALUE"""),5.0)</f>
        <v>5</v>
      </c>
      <c r="K4019" s="5">
        <f>IFERROR(__xludf.DUMMYFUNCTION("""COMPUTED_VALUE"""),0.0017035775127768314)</f>
        <v>0.001703577513</v>
      </c>
      <c r="L4019" s="10">
        <f>IFERROR(__xludf.DUMMYFUNCTION("""COMPUTED_VALUE"""),2935.0)</f>
        <v>2935</v>
      </c>
      <c r="M4019" s="5">
        <f>IFERROR(__xludf.DUMMYFUNCTION("""COMPUTED_VALUE"""),1.0)</f>
        <v>1</v>
      </c>
    </row>
    <row r="4020">
      <c r="A4020" s="10" t="str">
        <f>IFERROR(__xludf.DUMMYFUNCTION("""COMPUTED_VALUE"""),"warning")</f>
        <v>warning</v>
      </c>
      <c r="B4020" s="10">
        <f>IFERROR(__xludf.DUMMYFUNCTION("""COMPUTED_VALUE"""),227.0)</f>
        <v>227</v>
      </c>
      <c r="C4020" s="10">
        <f>IFERROR(__xludf.DUMMYFUNCTION("""COMPUTED_VALUE"""),2719.0)</f>
        <v>2719</v>
      </c>
      <c r="D4020" s="5">
        <f>IFERROR(__xludf.DUMMYFUNCTION("""COMPUTED_VALUE"""),0.3992776886035313)</f>
        <v>0.3992776886</v>
      </c>
      <c r="E4020" s="5">
        <f>IFERROR(__xludf.DUMMYFUNCTION("""COMPUTED_VALUE"""),0.12038523274478331)</f>
        <v>0.1203852327</v>
      </c>
      <c r="F4020" s="5">
        <f>IFERROR(__xludf.DUMMYFUNCTION("""COMPUTED_VALUE"""),0.20706260032102727)</f>
        <v>0.2070626003</v>
      </c>
      <c r="G4020" s="5">
        <f>IFERROR(__xludf.DUMMYFUNCTION("""COMPUTED_VALUE"""),0.15609951845906903)</f>
        <v>0.1560995185</v>
      </c>
      <c r="H4020" s="5">
        <f>IFERROR(__xludf.DUMMYFUNCTION("""COMPUTED_VALUE"""),0.5813953488372093)</f>
        <v>0.5813953488</v>
      </c>
      <c r="I4020" s="11">
        <f>IFERROR(__xludf.DUMMYFUNCTION("""COMPUTED_VALUE"""),5172.480620155039)</f>
        <v>5172.48062</v>
      </c>
      <c r="J4020" s="10">
        <f>IFERROR(__xludf.DUMMYFUNCTION("""COMPUTED_VALUE"""),0.0)</f>
        <v>0</v>
      </c>
      <c r="K4020" s="5">
        <f>IFERROR(__xludf.DUMMYFUNCTION("""COMPUTED_VALUE"""),0.0)</f>
        <v>0</v>
      </c>
      <c r="L4020" s="10">
        <f>IFERROR(__xludf.DUMMYFUNCTION("""COMPUTED_VALUE"""),227.0)</f>
        <v>227</v>
      </c>
      <c r="M4020" s="5">
        <f>IFERROR(__xludf.DUMMYFUNCTION("""COMPUTED_VALUE"""),1.0)</f>
        <v>1</v>
      </c>
    </row>
    <row r="4021">
      <c r="A4021" s="10" t="str">
        <f>IFERROR(__xludf.DUMMYFUNCTION("""COMPUTED_VALUE"""),"T・S・F")</f>
        <v>T・S・F</v>
      </c>
      <c r="B4021" s="10">
        <f>IFERROR(__xludf.DUMMYFUNCTION("""COMPUTED_VALUE"""),194.0)</f>
        <v>194</v>
      </c>
      <c r="C4021" s="10">
        <f>IFERROR(__xludf.DUMMYFUNCTION("""COMPUTED_VALUE"""),2279.0)</f>
        <v>2279</v>
      </c>
      <c r="D4021" s="5">
        <f>IFERROR(__xludf.DUMMYFUNCTION("""COMPUTED_VALUE"""),0.3213429256594724)</f>
        <v>0.3213429257</v>
      </c>
      <c r="E4021" s="5">
        <f>IFERROR(__xludf.DUMMYFUNCTION("""COMPUTED_VALUE"""),0.12038369304556355)</f>
        <v>0.120383693</v>
      </c>
      <c r="F4021" s="5">
        <f>IFERROR(__xludf.DUMMYFUNCTION("""COMPUTED_VALUE"""),0.21151079136690648)</f>
        <v>0.2115107914</v>
      </c>
      <c r="G4021" s="5">
        <f>IFERROR(__xludf.DUMMYFUNCTION("""COMPUTED_VALUE"""),0.14964028776978416)</f>
        <v>0.1496402878</v>
      </c>
      <c r="H4021" s="5">
        <f>IFERROR(__xludf.DUMMYFUNCTION("""COMPUTED_VALUE"""),0.5782312925170068)</f>
        <v>0.5782312925</v>
      </c>
      <c r="I4021" s="11">
        <f>IFERROR(__xludf.DUMMYFUNCTION("""COMPUTED_VALUE"""),5828.798185941043)</f>
        <v>5828.798186</v>
      </c>
      <c r="J4021" s="10">
        <f>IFERROR(__xludf.DUMMYFUNCTION("""COMPUTED_VALUE"""),0.0)</f>
        <v>0</v>
      </c>
      <c r="K4021" s="5">
        <f>IFERROR(__xludf.DUMMYFUNCTION("""COMPUTED_VALUE"""),0.0)</f>
        <v>0</v>
      </c>
      <c r="L4021" s="10">
        <f>IFERROR(__xludf.DUMMYFUNCTION("""COMPUTED_VALUE"""),194.0)</f>
        <v>194</v>
      </c>
      <c r="M4021" s="5">
        <f>IFERROR(__xludf.DUMMYFUNCTION("""COMPUTED_VALUE"""),1.0)</f>
        <v>1</v>
      </c>
    </row>
    <row r="4022">
      <c r="A4022" s="10" t="str">
        <f>IFERROR(__xludf.DUMMYFUNCTION("""COMPUTED_VALUE"""),"Hakamada")</f>
        <v>Hakamada</v>
      </c>
      <c r="B4022" s="10">
        <f>IFERROR(__xludf.DUMMYFUNCTION("""COMPUTED_VALUE"""),306.0)</f>
        <v>306</v>
      </c>
      <c r="C4022" s="10">
        <f>IFERROR(__xludf.DUMMYFUNCTION("""COMPUTED_VALUE"""),3604.0)</f>
        <v>3604</v>
      </c>
      <c r="D4022" s="5">
        <f>IFERROR(__xludf.DUMMYFUNCTION("""COMPUTED_VALUE"""),0.3641600970285021)</f>
        <v>0.364160097</v>
      </c>
      <c r="E4022" s="5">
        <f>IFERROR(__xludf.DUMMYFUNCTION("""COMPUTED_VALUE"""),0.12037598544572468)</f>
        <v>0.1203759854</v>
      </c>
      <c r="F4022" s="5">
        <f>IFERROR(__xludf.DUMMYFUNCTION("""COMPUTED_VALUE"""),0.19466343238326259)</f>
        <v>0.1946634324</v>
      </c>
      <c r="G4022" s="5">
        <f>IFERROR(__xludf.DUMMYFUNCTION("""COMPUTED_VALUE"""),0.16919345057610674)</f>
        <v>0.1691934506</v>
      </c>
      <c r="H4022" s="5">
        <f>IFERROR(__xludf.DUMMYFUNCTION("""COMPUTED_VALUE"""),0.5950155763239875)</f>
        <v>0.5950155763</v>
      </c>
      <c r="I4022" s="11">
        <f>IFERROR(__xludf.DUMMYFUNCTION("""COMPUTED_VALUE"""),5547.819314641744)</f>
        <v>5547.819315</v>
      </c>
      <c r="J4022" s="10">
        <f>IFERROR(__xludf.DUMMYFUNCTION("""COMPUTED_VALUE"""),0.0)</f>
        <v>0</v>
      </c>
      <c r="K4022" s="5">
        <f>IFERROR(__xludf.DUMMYFUNCTION("""COMPUTED_VALUE"""),0.0)</f>
        <v>0</v>
      </c>
      <c r="L4022" s="10">
        <f>IFERROR(__xludf.DUMMYFUNCTION("""COMPUTED_VALUE"""),233.0)</f>
        <v>233</v>
      </c>
      <c r="M4022" s="5">
        <f>IFERROR(__xludf.DUMMYFUNCTION("""COMPUTED_VALUE"""),0.761437908496732)</f>
        <v>0.7614379085</v>
      </c>
    </row>
    <row r="4023">
      <c r="A4023" s="10" t="str">
        <f>IFERROR(__xludf.DUMMYFUNCTION("""COMPUTED_VALUE"""),"じじいが呼んだ")</f>
        <v>じじいが呼んだ</v>
      </c>
      <c r="B4023" s="10">
        <f>IFERROR(__xludf.DUMMYFUNCTION("""COMPUTED_VALUE"""),2898.0)</f>
        <v>2898</v>
      </c>
      <c r="C4023" s="10">
        <f>IFERROR(__xludf.DUMMYFUNCTION("""COMPUTED_VALUE"""),33843.0)</f>
        <v>33843</v>
      </c>
      <c r="D4023" s="5">
        <f>IFERROR(__xludf.DUMMYFUNCTION("""COMPUTED_VALUE"""),0.36997899499111325)</f>
        <v>0.369978995</v>
      </c>
      <c r="E4023" s="5">
        <f>IFERROR(__xludf.DUMMYFUNCTION("""COMPUTED_VALUE"""),0.12037485862013249)</f>
        <v>0.1203748586</v>
      </c>
      <c r="F4023" s="5">
        <f>IFERROR(__xludf.DUMMYFUNCTION("""COMPUTED_VALUE"""),0.21732105348198416)</f>
        <v>0.2173210535</v>
      </c>
      <c r="G4023" s="5">
        <f>IFERROR(__xludf.DUMMYFUNCTION("""COMPUTED_VALUE"""),0.1572790434642107)</f>
        <v>0.1572790435</v>
      </c>
      <c r="H4023" s="5">
        <f>IFERROR(__xludf.DUMMYFUNCTION("""COMPUTED_VALUE"""),0.6069888475836431)</f>
        <v>0.6069888476</v>
      </c>
      <c r="I4023" s="11">
        <f>IFERROR(__xludf.DUMMYFUNCTION("""COMPUTED_VALUE"""),5480.208178438662)</f>
        <v>5480.208178</v>
      </c>
      <c r="J4023" s="10">
        <f>IFERROR(__xludf.DUMMYFUNCTION("""COMPUTED_VALUE"""),5.0)</f>
        <v>5</v>
      </c>
      <c r="K4023" s="5">
        <f>IFERROR(__xludf.DUMMYFUNCTION("""COMPUTED_VALUE"""),0.001725327812284334)</f>
        <v>0.001725327812</v>
      </c>
      <c r="L4023" s="10">
        <f>IFERROR(__xludf.DUMMYFUNCTION("""COMPUTED_VALUE"""),2898.0)</f>
        <v>2898</v>
      </c>
      <c r="M4023" s="5">
        <f>IFERROR(__xludf.DUMMYFUNCTION("""COMPUTED_VALUE"""),1.0)</f>
        <v>1</v>
      </c>
    </row>
    <row r="4024">
      <c r="A4024" s="10" t="str">
        <f>IFERROR(__xludf.DUMMYFUNCTION("""COMPUTED_VALUE"""),"Clairawl")</f>
        <v>Clairawl</v>
      </c>
      <c r="B4024" s="10">
        <f>IFERROR(__xludf.DUMMYFUNCTION("""COMPUTED_VALUE"""),450.0)</f>
        <v>450</v>
      </c>
      <c r="C4024" s="10">
        <f>IFERROR(__xludf.DUMMYFUNCTION("""COMPUTED_VALUE"""),5252.0)</f>
        <v>5252</v>
      </c>
      <c r="D4024" s="5">
        <f>IFERROR(__xludf.DUMMYFUNCTION("""COMPUTED_VALUE"""),0.34381507705122866)</f>
        <v>0.3438150771</v>
      </c>
      <c r="E4024" s="5">
        <f>IFERROR(__xludf.DUMMYFUNCTION("""COMPUTED_VALUE"""),0.12036651395251978)</f>
        <v>0.120366514</v>
      </c>
      <c r="F4024" s="5">
        <f>IFERROR(__xludf.DUMMYFUNCTION("""COMPUTED_VALUE"""),0.22032486463973344)</f>
        <v>0.2203248646</v>
      </c>
      <c r="G4024" s="5">
        <f>IFERROR(__xludf.DUMMYFUNCTION("""COMPUTED_VALUE"""),0.1788837984173261)</f>
        <v>0.1788837984</v>
      </c>
      <c r="H4024" s="5">
        <f>IFERROR(__xludf.DUMMYFUNCTION("""COMPUTED_VALUE"""),0.5973534971644613)</f>
        <v>0.5973534972</v>
      </c>
      <c r="I4024" s="11">
        <f>IFERROR(__xludf.DUMMYFUNCTION("""COMPUTED_VALUE"""),5328.166351606806)</f>
        <v>5328.166352</v>
      </c>
      <c r="J4024" s="10">
        <f>IFERROR(__xludf.DUMMYFUNCTION("""COMPUTED_VALUE"""),0.0)</f>
        <v>0</v>
      </c>
      <c r="K4024" s="5">
        <f>IFERROR(__xludf.DUMMYFUNCTION("""COMPUTED_VALUE"""),0.0)</f>
        <v>0</v>
      </c>
      <c r="L4024" s="10">
        <f>IFERROR(__xludf.DUMMYFUNCTION("""COMPUTED_VALUE"""),450.0)</f>
        <v>450</v>
      </c>
      <c r="M4024" s="5">
        <f>IFERROR(__xludf.DUMMYFUNCTION("""COMPUTED_VALUE"""),1.0)</f>
        <v>1</v>
      </c>
    </row>
    <row r="4025">
      <c r="A4025" s="10" t="str">
        <f>IFERROR(__xludf.DUMMYFUNCTION("""COMPUTED_VALUE"""),"こっとにうむ")</f>
        <v>こっとにうむ</v>
      </c>
      <c r="B4025" s="10">
        <f>IFERROR(__xludf.DUMMYFUNCTION("""COMPUTED_VALUE"""),191.0)</f>
        <v>191</v>
      </c>
      <c r="C4025" s="10">
        <f>IFERROR(__xludf.DUMMYFUNCTION("""COMPUTED_VALUE"""),2185.0)</f>
        <v>2185</v>
      </c>
      <c r="D4025" s="5">
        <f>IFERROR(__xludf.DUMMYFUNCTION("""COMPUTED_VALUE"""),0.3640922768304915)</f>
        <v>0.3640922768</v>
      </c>
      <c r="E4025" s="5">
        <f>IFERROR(__xludf.DUMMYFUNCTION("""COMPUTED_VALUE"""),0.12036108324974924)</f>
        <v>0.1203610832</v>
      </c>
      <c r="F4025" s="5">
        <f>IFERROR(__xludf.DUMMYFUNCTION("""COMPUTED_VALUE"""),0.20260782347041123)</f>
        <v>0.2026078235</v>
      </c>
      <c r="G4025" s="5">
        <f>IFERROR(__xludf.DUMMYFUNCTION("""COMPUTED_VALUE"""),0.18004012036108324)</f>
        <v>0.1800401204</v>
      </c>
      <c r="H4025" s="5">
        <f>IFERROR(__xludf.DUMMYFUNCTION("""COMPUTED_VALUE"""),0.5470297029702971)</f>
        <v>0.547029703</v>
      </c>
      <c r="I4025" s="11">
        <f>IFERROR(__xludf.DUMMYFUNCTION("""COMPUTED_VALUE"""),5944.059405940594)</f>
        <v>5944.059406</v>
      </c>
      <c r="J4025" s="10">
        <f>IFERROR(__xludf.DUMMYFUNCTION("""COMPUTED_VALUE"""),1.0)</f>
        <v>1</v>
      </c>
      <c r="K4025" s="5">
        <f>IFERROR(__xludf.DUMMYFUNCTION("""COMPUTED_VALUE"""),0.005235602094240838)</f>
        <v>0.005235602094</v>
      </c>
      <c r="L4025" s="10">
        <f>IFERROR(__xludf.DUMMYFUNCTION("""COMPUTED_VALUE"""),191.0)</f>
        <v>191</v>
      </c>
      <c r="M4025" s="5">
        <f>IFERROR(__xludf.DUMMYFUNCTION("""COMPUTED_VALUE"""),1.0)</f>
        <v>1</v>
      </c>
    </row>
    <row r="4026">
      <c r="A4026" s="10" t="str">
        <f>IFERROR(__xludf.DUMMYFUNCTION("""COMPUTED_VALUE"""),"主席")</f>
        <v>主席</v>
      </c>
      <c r="B4026" s="10">
        <f>IFERROR(__xludf.DUMMYFUNCTION("""COMPUTED_VALUE"""),1734.0)</f>
        <v>1734</v>
      </c>
      <c r="C4026" s="10">
        <f>IFERROR(__xludf.DUMMYFUNCTION("""COMPUTED_VALUE"""),20378.0)</f>
        <v>20378</v>
      </c>
      <c r="D4026" s="5">
        <f>IFERROR(__xludf.DUMMYFUNCTION("""COMPUTED_VALUE"""),0.3848959450761639)</f>
        <v>0.3848959451</v>
      </c>
      <c r="E4026" s="5">
        <f>IFERROR(__xludf.DUMMYFUNCTION("""COMPUTED_VALUE"""),0.12036043767431881)</f>
        <v>0.1203604377</v>
      </c>
      <c r="F4026" s="5">
        <f>IFERROR(__xludf.DUMMYFUNCTION("""COMPUTED_VALUE"""),0.2143316884788672)</f>
        <v>0.2143316885</v>
      </c>
      <c r="G4026" s="5">
        <f>IFERROR(__xludf.DUMMYFUNCTION("""COMPUTED_VALUE"""),0.18316884788671958)</f>
        <v>0.1831688479</v>
      </c>
      <c r="H4026" s="5">
        <f>IFERROR(__xludf.DUMMYFUNCTION("""COMPUTED_VALUE"""),0.5925925925925926)</f>
        <v>0.5925925926</v>
      </c>
      <c r="I4026" s="11">
        <f>IFERROR(__xludf.DUMMYFUNCTION("""COMPUTED_VALUE"""),5567.017017017017)</f>
        <v>5567.017017</v>
      </c>
      <c r="J4026" s="10">
        <f>IFERROR(__xludf.DUMMYFUNCTION("""COMPUTED_VALUE"""),2.0)</f>
        <v>2</v>
      </c>
      <c r="K4026" s="5">
        <f>IFERROR(__xludf.DUMMYFUNCTION("""COMPUTED_VALUE"""),0.0011534025374855825)</f>
        <v>0.001153402537</v>
      </c>
      <c r="L4026" s="10">
        <f>IFERROR(__xludf.DUMMYFUNCTION("""COMPUTED_VALUE"""),1734.0)</f>
        <v>1734</v>
      </c>
      <c r="M4026" s="5">
        <f>IFERROR(__xludf.DUMMYFUNCTION("""COMPUTED_VALUE"""),1.0)</f>
        <v>1</v>
      </c>
    </row>
    <row r="4027">
      <c r="A4027" s="10" t="str">
        <f>IFERROR(__xludf.DUMMYFUNCTION("""COMPUTED_VALUE"""),"かづきＸＩ")</f>
        <v>かづきＸＩ</v>
      </c>
      <c r="B4027" s="10">
        <f>IFERROR(__xludf.DUMMYFUNCTION("""COMPUTED_VALUE"""),5140.0)</f>
        <v>5140</v>
      </c>
      <c r="C4027" s="10">
        <f>IFERROR(__xludf.DUMMYFUNCTION("""COMPUTED_VALUE"""),60152.0)</f>
        <v>60152</v>
      </c>
      <c r="D4027" s="5">
        <f>IFERROR(__xludf.DUMMYFUNCTION("""COMPUTED_VALUE"""),0.3580855086163019)</f>
        <v>0.3580855086</v>
      </c>
      <c r="E4027" s="5">
        <f>IFERROR(__xludf.DUMMYFUNCTION("""COMPUTED_VALUE"""),0.1203555587871737)</f>
        <v>0.1203555588</v>
      </c>
      <c r="F4027" s="5">
        <f>IFERROR(__xludf.DUMMYFUNCTION("""COMPUTED_VALUE"""),0.21066312804479023)</f>
        <v>0.210663128</v>
      </c>
      <c r="G4027" s="5">
        <f>IFERROR(__xludf.DUMMYFUNCTION("""COMPUTED_VALUE"""),0.14060568603213844)</f>
        <v>0.140605686</v>
      </c>
      <c r="H4027" s="5">
        <f>IFERROR(__xludf.DUMMYFUNCTION("""COMPUTED_VALUE"""),0.6068685822762965)</f>
        <v>0.6068685823</v>
      </c>
      <c r="I4027" s="11">
        <f>IFERROR(__xludf.DUMMYFUNCTION("""COMPUTED_VALUE"""),5614.5482785399945)</f>
        <v>5614.548279</v>
      </c>
      <c r="J4027" s="10">
        <f>IFERROR(__xludf.DUMMYFUNCTION("""COMPUTED_VALUE"""),6.0)</f>
        <v>6</v>
      </c>
      <c r="K4027" s="5">
        <f>IFERROR(__xludf.DUMMYFUNCTION("""COMPUTED_VALUE"""),0.0011673151750972762)</f>
        <v>0.001167315175</v>
      </c>
      <c r="L4027" s="10">
        <f>IFERROR(__xludf.DUMMYFUNCTION("""COMPUTED_VALUE"""),5140.0)</f>
        <v>5140</v>
      </c>
      <c r="M4027" s="5">
        <f>IFERROR(__xludf.DUMMYFUNCTION("""COMPUTED_VALUE"""),1.0)</f>
        <v>1</v>
      </c>
    </row>
    <row r="4028">
      <c r="A4028" s="10" t="str">
        <f>IFERROR(__xludf.DUMMYFUNCTION("""COMPUTED_VALUE"""),"鳳南最速")</f>
        <v>鳳南最速</v>
      </c>
      <c r="B4028" s="10">
        <f>IFERROR(__xludf.DUMMYFUNCTION("""COMPUTED_VALUE"""),161.0)</f>
        <v>161</v>
      </c>
      <c r="C4028" s="10">
        <f>IFERROR(__xludf.DUMMYFUNCTION("""COMPUTED_VALUE"""),1856.0)</f>
        <v>1856</v>
      </c>
      <c r="D4028" s="5">
        <f>IFERROR(__xludf.DUMMYFUNCTION("""COMPUTED_VALUE"""),0.3793510324483776)</f>
        <v>0.3793510324</v>
      </c>
      <c r="E4028" s="5">
        <f>IFERROR(__xludf.DUMMYFUNCTION("""COMPUTED_VALUE"""),0.12035398230088495)</f>
        <v>0.1203539823</v>
      </c>
      <c r="F4028" s="5">
        <f>IFERROR(__xludf.DUMMYFUNCTION("""COMPUTED_VALUE"""),0.2176991150442478)</f>
        <v>0.217699115</v>
      </c>
      <c r="G4028" s="5">
        <f>IFERROR(__xludf.DUMMYFUNCTION("""COMPUTED_VALUE"""),0.1882005899705015)</f>
        <v>0.18820059</v>
      </c>
      <c r="H4028" s="5">
        <f>IFERROR(__xludf.DUMMYFUNCTION("""COMPUTED_VALUE"""),0.6151761517615176)</f>
        <v>0.6151761518</v>
      </c>
      <c r="I4028" s="11">
        <f>IFERROR(__xludf.DUMMYFUNCTION("""COMPUTED_VALUE"""),5362.872628726287)</f>
        <v>5362.872629</v>
      </c>
      <c r="J4028" s="10">
        <f>IFERROR(__xludf.DUMMYFUNCTION("""COMPUTED_VALUE"""),0.0)</f>
        <v>0</v>
      </c>
      <c r="K4028" s="5">
        <f>IFERROR(__xludf.DUMMYFUNCTION("""COMPUTED_VALUE"""),0.0)</f>
        <v>0</v>
      </c>
      <c r="L4028" s="10">
        <f>IFERROR(__xludf.DUMMYFUNCTION("""COMPUTED_VALUE"""),161.0)</f>
        <v>161</v>
      </c>
      <c r="M4028" s="5">
        <f>IFERROR(__xludf.DUMMYFUNCTION("""COMPUTED_VALUE"""),1.0)</f>
        <v>1</v>
      </c>
    </row>
    <row r="4029">
      <c r="A4029" s="10" t="str">
        <f>IFERROR(__xludf.DUMMYFUNCTION("""COMPUTED_VALUE"""),"〓ワイルド２号〓")</f>
        <v>〓ワイルド２号〓</v>
      </c>
      <c r="B4029" s="10">
        <f>IFERROR(__xludf.DUMMYFUNCTION("""COMPUTED_VALUE"""),127.0)</f>
        <v>127</v>
      </c>
      <c r="C4029" s="10">
        <f>IFERROR(__xludf.DUMMYFUNCTION("""COMPUTED_VALUE"""),1548.0)</f>
        <v>1548</v>
      </c>
      <c r="D4029" s="5">
        <f>IFERROR(__xludf.DUMMYFUNCTION("""COMPUTED_VALUE"""),0.3251231527093596)</f>
        <v>0.3251231527</v>
      </c>
      <c r="E4029" s="5">
        <f>IFERROR(__xludf.DUMMYFUNCTION("""COMPUTED_VALUE"""),0.1203377902885292)</f>
        <v>0.1203377903</v>
      </c>
      <c r="F4029" s="5">
        <f>IFERROR(__xludf.DUMMYFUNCTION("""COMPUTED_VALUE"""),0.21604503870513722)</f>
        <v>0.2160450387</v>
      </c>
      <c r="G4029" s="5">
        <f>IFERROR(__xludf.DUMMYFUNCTION("""COMPUTED_VALUE"""),0.16045038705137227)</f>
        <v>0.1604503871</v>
      </c>
      <c r="H4029" s="5">
        <f>IFERROR(__xludf.DUMMYFUNCTION("""COMPUTED_VALUE"""),0.5830618892508144)</f>
        <v>0.5830618893</v>
      </c>
      <c r="I4029" s="11">
        <f>IFERROR(__xludf.DUMMYFUNCTION("""COMPUTED_VALUE"""),5754.071661237785)</f>
        <v>5754.071661</v>
      </c>
      <c r="J4029" s="10">
        <f>IFERROR(__xludf.DUMMYFUNCTION("""COMPUTED_VALUE"""),0.0)</f>
        <v>0</v>
      </c>
      <c r="K4029" s="5">
        <f>IFERROR(__xludf.DUMMYFUNCTION("""COMPUTED_VALUE"""),0.0)</f>
        <v>0</v>
      </c>
      <c r="L4029" s="10">
        <f>IFERROR(__xludf.DUMMYFUNCTION("""COMPUTED_VALUE"""),127.0)</f>
        <v>127</v>
      </c>
      <c r="M4029" s="5">
        <f>IFERROR(__xludf.DUMMYFUNCTION("""COMPUTED_VALUE"""),1.0)</f>
        <v>1</v>
      </c>
    </row>
    <row r="4030">
      <c r="A4030" s="10" t="str">
        <f>IFERROR(__xludf.DUMMYFUNCTION("""COMPUTED_VALUE"""),"上段青テン")</f>
        <v>上段青テン</v>
      </c>
      <c r="B4030" s="10">
        <f>IFERROR(__xludf.DUMMYFUNCTION("""COMPUTED_VALUE"""),4496.0)</f>
        <v>4496</v>
      </c>
      <c r="C4030" s="10">
        <f>IFERROR(__xludf.DUMMYFUNCTION("""COMPUTED_VALUE"""),53068.0)</f>
        <v>53068</v>
      </c>
      <c r="D4030" s="5">
        <f>IFERROR(__xludf.DUMMYFUNCTION("""COMPUTED_VALUE"""),0.32603145845342996)</f>
        <v>0.3260314585</v>
      </c>
      <c r="E4030" s="5">
        <f>IFERROR(__xludf.DUMMYFUNCTION("""COMPUTED_VALUE"""),0.12033681956682862)</f>
        <v>0.1203368196</v>
      </c>
      <c r="F4030" s="5">
        <f>IFERROR(__xludf.DUMMYFUNCTION("""COMPUTED_VALUE"""),0.21073869719179775)</f>
        <v>0.2107386972</v>
      </c>
      <c r="G4030" s="5">
        <f>IFERROR(__xludf.DUMMYFUNCTION("""COMPUTED_VALUE"""),0.15560405171703862)</f>
        <v>0.1556040517</v>
      </c>
      <c r="H4030" s="5">
        <f>IFERROR(__xludf.DUMMYFUNCTION("""COMPUTED_VALUE"""),0.6038491598280579)</f>
        <v>0.6038491598</v>
      </c>
      <c r="I4030" s="11">
        <f>IFERROR(__xludf.DUMMYFUNCTION("""COMPUTED_VALUE"""),5628.233685033216)</f>
        <v>5628.233685</v>
      </c>
      <c r="J4030" s="10">
        <f>IFERROR(__xludf.DUMMYFUNCTION("""COMPUTED_VALUE"""),7.0)</f>
        <v>7</v>
      </c>
      <c r="K4030" s="5">
        <f>IFERROR(__xludf.DUMMYFUNCTION("""COMPUTED_VALUE"""),0.0015569395017793594)</f>
        <v>0.001556939502</v>
      </c>
      <c r="L4030" s="10">
        <f>IFERROR(__xludf.DUMMYFUNCTION("""COMPUTED_VALUE"""),4496.0)</f>
        <v>4496</v>
      </c>
      <c r="M4030" s="5">
        <f>IFERROR(__xludf.DUMMYFUNCTION("""COMPUTED_VALUE"""),1.0)</f>
        <v>1</v>
      </c>
    </row>
    <row r="4031">
      <c r="A4031" s="10" t="str">
        <f>IFERROR(__xludf.DUMMYFUNCTION("""COMPUTED_VALUE"""),"vagio")</f>
        <v>vagio</v>
      </c>
      <c r="B4031" s="10">
        <f>IFERROR(__xludf.DUMMYFUNCTION("""COMPUTED_VALUE"""),431.0)</f>
        <v>431</v>
      </c>
      <c r="C4031" s="10">
        <f>IFERROR(__xludf.DUMMYFUNCTION("""COMPUTED_VALUE"""),5093.0)</f>
        <v>5093</v>
      </c>
      <c r="D4031" s="5">
        <f>IFERROR(__xludf.DUMMYFUNCTION("""COMPUTED_VALUE"""),0.30437580437580436)</f>
        <v>0.3043758044</v>
      </c>
      <c r="E4031" s="5">
        <f>IFERROR(__xludf.DUMMYFUNCTION("""COMPUTED_VALUE"""),0.12033462033462033)</f>
        <v>0.1203346203</v>
      </c>
      <c r="F4031" s="5">
        <f>IFERROR(__xludf.DUMMYFUNCTION("""COMPUTED_VALUE"""),0.1921921921921922)</f>
        <v>0.1921921922</v>
      </c>
      <c r="G4031" s="5">
        <f>IFERROR(__xludf.DUMMYFUNCTION("""COMPUTED_VALUE"""),0.13813813813813813)</f>
        <v>0.1381381381</v>
      </c>
      <c r="H4031" s="5">
        <f>IFERROR(__xludf.DUMMYFUNCTION("""COMPUTED_VALUE"""),0.6116071428571429)</f>
        <v>0.6116071429</v>
      </c>
      <c r="I4031" s="11">
        <f>IFERROR(__xludf.DUMMYFUNCTION("""COMPUTED_VALUE"""),5662.276785714285)</f>
        <v>5662.276786</v>
      </c>
      <c r="J4031" s="10">
        <f>IFERROR(__xludf.DUMMYFUNCTION("""COMPUTED_VALUE"""),1.0)</f>
        <v>1</v>
      </c>
      <c r="K4031" s="5">
        <f>IFERROR(__xludf.DUMMYFUNCTION("""COMPUTED_VALUE"""),0.002320185614849188)</f>
        <v>0.002320185615</v>
      </c>
      <c r="L4031" s="10">
        <f>IFERROR(__xludf.DUMMYFUNCTION("""COMPUTED_VALUE"""),431.0)</f>
        <v>431</v>
      </c>
      <c r="M4031" s="5">
        <f>IFERROR(__xludf.DUMMYFUNCTION("""COMPUTED_VALUE"""),1.0)</f>
        <v>1</v>
      </c>
    </row>
    <row r="4032">
      <c r="A4032" s="10" t="str">
        <f>IFERROR(__xludf.DUMMYFUNCTION("""COMPUTED_VALUE"""),"くまごろう")</f>
        <v>くまごろう</v>
      </c>
      <c r="B4032" s="10">
        <f>IFERROR(__xludf.DUMMYFUNCTION("""COMPUTED_VALUE"""),186.0)</f>
        <v>186</v>
      </c>
      <c r="C4032" s="10">
        <f>IFERROR(__xludf.DUMMYFUNCTION("""COMPUTED_VALUE"""),2222.0)</f>
        <v>2222</v>
      </c>
      <c r="D4032" s="5">
        <f>IFERROR(__xludf.DUMMYFUNCTION("""COMPUTED_VALUE"""),0.3290766208251473)</f>
        <v>0.3290766208</v>
      </c>
      <c r="E4032" s="5">
        <f>IFERROR(__xludf.DUMMYFUNCTION("""COMPUTED_VALUE"""),0.12033398821218075)</f>
        <v>0.1203339882</v>
      </c>
      <c r="F4032" s="5">
        <f>IFERROR(__xludf.DUMMYFUNCTION("""COMPUTED_VALUE"""),0.1969548133595285)</f>
        <v>0.1969548134</v>
      </c>
      <c r="G4032" s="5">
        <f>IFERROR(__xludf.DUMMYFUNCTION("""COMPUTED_VALUE"""),0.15618860510805502)</f>
        <v>0.1561886051</v>
      </c>
      <c r="H4032" s="5">
        <f>IFERROR(__xludf.DUMMYFUNCTION("""COMPUTED_VALUE"""),0.5860349127182045)</f>
        <v>0.5860349127</v>
      </c>
      <c r="I4032" s="11">
        <f>IFERROR(__xludf.DUMMYFUNCTION("""COMPUTED_VALUE"""),5798.753117206982)</f>
        <v>5798.753117</v>
      </c>
      <c r="J4032" s="10">
        <f>IFERROR(__xludf.DUMMYFUNCTION("""COMPUTED_VALUE"""),0.0)</f>
        <v>0</v>
      </c>
      <c r="K4032" s="5">
        <f>IFERROR(__xludf.DUMMYFUNCTION("""COMPUTED_VALUE"""),0.0)</f>
        <v>0</v>
      </c>
      <c r="L4032" s="10">
        <f>IFERROR(__xludf.DUMMYFUNCTION("""COMPUTED_VALUE"""),186.0)</f>
        <v>186</v>
      </c>
      <c r="M4032" s="5">
        <f>IFERROR(__xludf.DUMMYFUNCTION("""COMPUTED_VALUE"""),1.0)</f>
        <v>1</v>
      </c>
    </row>
    <row r="4033">
      <c r="A4033" s="10" t="str">
        <f>IFERROR(__xludf.DUMMYFUNCTION("""COMPUTED_VALUE"""),"牌神")</f>
        <v>牌神</v>
      </c>
      <c r="B4033" s="10">
        <f>IFERROR(__xludf.DUMMYFUNCTION("""COMPUTED_VALUE"""),1283.0)</f>
        <v>1283</v>
      </c>
      <c r="C4033" s="10">
        <f>IFERROR(__xludf.DUMMYFUNCTION("""COMPUTED_VALUE"""),15070.0)</f>
        <v>15070</v>
      </c>
      <c r="D4033" s="5">
        <f>IFERROR(__xludf.DUMMYFUNCTION("""COMPUTED_VALUE"""),0.3768042358743744)</f>
        <v>0.3768042359</v>
      </c>
      <c r="E4033" s="5">
        <f>IFERROR(__xludf.DUMMYFUNCTION("""COMPUTED_VALUE"""),0.1203307463552622)</f>
        <v>0.1203307464</v>
      </c>
      <c r="F4033" s="5">
        <f>IFERROR(__xludf.DUMMYFUNCTION("""COMPUTED_VALUE"""),0.20881990280699209)</f>
        <v>0.2088199028</v>
      </c>
      <c r="G4033" s="5">
        <f>IFERROR(__xludf.DUMMYFUNCTION("""COMPUTED_VALUE"""),0.1687096540219047)</f>
        <v>0.168709654</v>
      </c>
      <c r="H4033" s="5">
        <f>IFERROR(__xludf.DUMMYFUNCTION("""COMPUTED_VALUE"""),0.591524835012157)</f>
        <v>0.591524835</v>
      </c>
      <c r="I4033" s="11">
        <f>IFERROR(__xludf.DUMMYFUNCTION("""COMPUTED_VALUE"""),5373.219868009725)</f>
        <v>5373.219868</v>
      </c>
      <c r="J4033" s="10">
        <f>IFERROR(__xludf.DUMMYFUNCTION("""COMPUTED_VALUE"""),2.0)</f>
        <v>2</v>
      </c>
      <c r="K4033" s="5">
        <f>IFERROR(__xludf.DUMMYFUNCTION("""COMPUTED_VALUE"""),0.001558846453624318)</f>
        <v>0.001558846454</v>
      </c>
      <c r="L4033" s="10">
        <f>IFERROR(__xludf.DUMMYFUNCTION("""COMPUTED_VALUE"""),1283.0)</f>
        <v>1283</v>
      </c>
      <c r="M4033" s="5">
        <f>IFERROR(__xludf.DUMMYFUNCTION("""COMPUTED_VALUE"""),1.0)</f>
        <v>1</v>
      </c>
    </row>
    <row r="4034">
      <c r="A4034" s="10" t="str">
        <f>IFERROR(__xludf.DUMMYFUNCTION("""COMPUTED_VALUE"""),"satoruSP")</f>
        <v>satoruSP</v>
      </c>
      <c r="B4034" s="10">
        <f>IFERROR(__xludf.DUMMYFUNCTION("""COMPUTED_VALUE"""),237.0)</f>
        <v>237</v>
      </c>
      <c r="C4034" s="10">
        <f>IFERROR(__xludf.DUMMYFUNCTION("""COMPUTED_VALUE"""),2855.0)</f>
        <v>2855</v>
      </c>
      <c r="D4034" s="5">
        <f>IFERROR(__xludf.DUMMYFUNCTION("""COMPUTED_VALUE"""),0.36440030557677616)</f>
        <v>0.3644003056</v>
      </c>
      <c r="E4034" s="5">
        <f>IFERROR(__xludf.DUMMYFUNCTION("""COMPUTED_VALUE"""),0.12032085561497326)</f>
        <v>0.1203208556</v>
      </c>
      <c r="F4034" s="5">
        <f>IFERROR(__xludf.DUMMYFUNCTION("""COMPUTED_VALUE"""),0.20168067226890757)</f>
        <v>0.2016806723</v>
      </c>
      <c r="G4034" s="5">
        <f>IFERROR(__xludf.DUMMYFUNCTION("""COMPUTED_VALUE"""),0.1501145912910619)</f>
        <v>0.1501145913</v>
      </c>
      <c r="H4034" s="5">
        <f>IFERROR(__xludf.DUMMYFUNCTION("""COMPUTED_VALUE"""),0.6136363636363636)</f>
        <v>0.6136363636</v>
      </c>
      <c r="I4034" s="11">
        <f>IFERROR(__xludf.DUMMYFUNCTION("""COMPUTED_VALUE"""),5116.098484848485)</f>
        <v>5116.098485</v>
      </c>
      <c r="J4034" s="10">
        <f>IFERROR(__xludf.DUMMYFUNCTION("""COMPUTED_VALUE"""),0.0)</f>
        <v>0</v>
      </c>
      <c r="K4034" s="5">
        <f>IFERROR(__xludf.DUMMYFUNCTION("""COMPUTED_VALUE"""),0.0)</f>
        <v>0</v>
      </c>
      <c r="L4034" s="10">
        <f>IFERROR(__xludf.DUMMYFUNCTION("""COMPUTED_VALUE"""),237.0)</f>
        <v>237</v>
      </c>
      <c r="M4034" s="5">
        <f>IFERROR(__xludf.DUMMYFUNCTION("""COMPUTED_VALUE"""),1.0)</f>
        <v>1</v>
      </c>
    </row>
    <row r="4035">
      <c r="A4035" s="10" t="str">
        <f>IFERROR(__xludf.DUMMYFUNCTION("""COMPUTED_VALUE"""),"麻雀PRIDE")</f>
        <v>麻雀PRIDE</v>
      </c>
      <c r="B4035" s="10">
        <f>IFERROR(__xludf.DUMMYFUNCTION("""COMPUTED_VALUE"""),371.0)</f>
        <v>371</v>
      </c>
      <c r="C4035" s="10">
        <f>IFERROR(__xludf.DUMMYFUNCTION("""COMPUTED_VALUE"""),4369.0)</f>
        <v>4369</v>
      </c>
      <c r="D4035" s="5">
        <f>IFERROR(__xludf.DUMMYFUNCTION("""COMPUTED_VALUE"""),0.2358679339669835)</f>
        <v>0.235867934</v>
      </c>
      <c r="E4035" s="5">
        <f>IFERROR(__xludf.DUMMYFUNCTION("""COMPUTED_VALUE"""),0.12031015507753877)</f>
        <v>0.1203101551</v>
      </c>
      <c r="F4035" s="5">
        <f>IFERROR(__xludf.DUMMYFUNCTION("""COMPUTED_VALUE"""),0.1813406703351676)</f>
        <v>0.1813406703</v>
      </c>
      <c r="G4035" s="5">
        <f>IFERROR(__xludf.DUMMYFUNCTION("""COMPUTED_VALUE"""),0.15582791395697848)</f>
        <v>0.155827914</v>
      </c>
      <c r="H4035" s="5">
        <f>IFERROR(__xludf.DUMMYFUNCTION("""COMPUTED_VALUE"""),0.616551724137931)</f>
        <v>0.6165517241</v>
      </c>
      <c r="I4035" s="11">
        <f>IFERROR(__xludf.DUMMYFUNCTION("""COMPUTED_VALUE"""),5653.931034482759)</f>
        <v>5653.931034</v>
      </c>
      <c r="J4035" s="10">
        <f>IFERROR(__xludf.DUMMYFUNCTION("""COMPUTED_VALUE"""),0.0)</f>
        <v>0</v>
      </c>
      <c r="K4035" s="5">
        <f>IFERROR(__xludf.DUMMYFUNCTION("""COMPUTED_VALUE"""),0.0)</f>
        <v>0</v>
      </c>
      <c r="L4035" s="10">
        <f>IFERROR(__xludf.DUMMYFUNCTION("""COMPUTED_VALUE"""),371.0)</f>
        <v>371</v>
      </c>
      <c r="M4035" s="5">
        <f>IFERROR(__xludf.DUMMYFUNCTION("""COMPUTED_VALUE"""),1.0)</f>
        <v>1</v>
      </c>
    </row>
    <row r="4036">
      <c r="A4036" s="10" t="str">
        <f>IFERROR(__xludf.DUMMYFUNCTION("""COMPUTED_VALUE"""),"MSN")</f>
        <v>MSN</v>
      </c>
      <c r="B4036" s="10">
        <f>IFERROR(__xludf.DUMMYFUNCTION("""COMPUTED_VALUE"""),194.0)</f>
        <v>194</v>
      </c>
      <c r="C4036" s="10">
        <f>IFERROR(__xludf.DUMMYFUNCTION("""COMPUTED_VALUE"""),2272.0)</f>
        <v>2272</v>
      </c>
      <c r="D4036" s="5">
        <f>IFERROR(__xludf.DUMMYFUNCTION("""COMPUTED_VALUE"""),0.3796920115495669)</f>
        <v>0.3796920115</v>
      </c>
      <c r="E4036" s="5">
        <f>IFERROR(__xludf.DUMMYFUNCTION("""COMPUTED_VALUE"""),0.12030798845043311)</f>
        <v>0.1203079885</v>
      </c>
      <c r="F4036" s="5">
        <f>IFERROR(__xludf.DUMMYFUNCTION("""COMPUTED_VALUE"""),0.22040423484119345)</f>
        <v>0.2204042348</v>
      </c>
      <c r="G4036" s="5">
        <f>IFERROR(__xludf.DUMMYFUNCTION("""COMPUTED_VALUE"""),0.17901828681424448)</f>
        <v>0.1790182868</v>
      </c>
      <c r="H4036" s="5">
        <f>IFERROR(__xludf.DUMMYFUNCTION("""COMPUTED_VALUE"""),0.6048034934497817)</f>
        <v>0.6048034934</v>
      </c>
      <c r="I4036" s="11">
        <f>IFERROR(__xludf.DUMMYFUNCTION("""COMPUTED_VALUE"""),5408.078602620088)</f>
        <v>5408.078603</v>
      </c>
      <c r="J4036" s="10">
        <f>IFERROR(__xludf.DUMMYFUNCTION("""COMPUTED_VALUE"""),0.0)</f>
        <v>0</v>
      </c>
      <c r="K4036" s="5">
        <f>IFERROR(__xludf.DUMMYFUNCTION("""COMPUTED_VALUE"""),0.0)</f>
        <v>0</v>
      </c>
      <c r="L4036" s="10">
        <f>IFERROR(__xludf.DUMMYFUNCTION("""COMPUTED_VALUE"""),194.0)</f>
        <v>194</v>
      </c>
      <c r="M4036" s="5">
        <f>IFERROR(__xludf.DUMMYFUNCTION("""COMPUTED_VALUE"""),1.0)</f>
        <v>1</v>
      </c>
    </row>
    <row r="4037">
      <c r="A4037" s="10" t="str">
        <f>IFERROR(__xludf.DUMMYFUNCTION("""COMPUTED_VALUE"""),"Packer")</f>
        <v>Packer</v>
      </c>
      <c r="B4037" s="10">
        <f>IFERROR(__xludf.DUMMYFUNCTION("""COMPUTED_VALUE"""),105.0)</f>
        <v>105</v>
      </c>
      <c r="C4037" s="10">
        <f>IFERROR(__xludf.DUMMYFUNCTION("""COMPUTED_VALUE"""),1277.0)</f>
        <v>1277</v>
      </c>
      <c r="D4037" s="5">
        <f>IFERROR(__xludf.DUMMYFUNCTION("""COMPUTED_VALUE"""),0.42150170648464164)</f>
        <v>0.4215017065</v>
      </c>
      <c r="E4037" s="5">
        <f>IFERROR(__xludf.DUMMYFUNCTION("""COMPUTED_VALUE"""),0.12030716723549488)</f>
        <v>0.1203071672</v>
      </c>
      <c r="F4037" s="5">
        <f>IFERROR(__xludf.DUMMYFUNCTION("""COMPUTED_VALUE"""),0.21075085324232082)</f>
        <v>0.2107508532</v>
      </c>
      <c r="G4037" s="5">
        <f>IFERROR(__xludf.DUMMYFUNCTION("""COMPUTED_VALUE"""),0.11604095563139932)</f>
        <v>0.1160409556</v>
      </c>
      <c r="H4037" s="5">
        <f>IFERROR(__xludf.DUMMYFUNCTION("""COMPUTED_VALUE"""),0.6234817813765182)</f>
        <v>0.6234817814</v>
      </c>
      <c r="I4037" s="11">
        <f>IFERROR(__xludf.DUMMYFUNCTION("""COMPUTED_VALUE"""),4809.311740890688)</f>
        <v>4809.311741</v>
      </c>
      <c r="J4037" s="10">
        <f>IFERROR(__xludf.DUMMYFUNCTION("""COMPUTED_VALUE"""),0.0)</f>
        <v>0</v>
      </c>
      <c r="K4037" s="5">
        <f>IFERROR(__xludf.DUMMYFUNCTION("""COMPUTED_VALUE"""),0.0)</f>
        <v>0</v>
      </c>
      <c r="L4037" s="10">
        <f>IFERROR(__xludf.DUMMYFUNCTION("""COMPUTED_VALUE"""),105.0)</f>
        <v>105</v>
      </c>
      <c r="M4037" s="5">
        <f>IFERROR(__xludf.DUMMYFUNCTION("""COMPUTED_VALUE"""),1.0)</f>
        <v>1</v>
      </c>
    </row>
    <row r="4038">
      <c r="A4038" s="10" t="str">
        <f>IFERROR(__xludf.DUMMYFUNCTION("""COMPUTED_VALUE"""),"kura2345")</f>
        <v>kura2345</v>
      </c>
      <c r="B4038" s="10">
        <f>IFERROR(__xludf.DUMMYFUNCTION("""COMPUTED_VALUE"""),110.0)</f>
        <v>110</v>
      </c>
      <c r="C4038" s="10">
        <f>IFERROR(__xludf.DUMMYFUNCTION("""COMPUTED_VALUE"""),1307.0)</f>
        <v>1307</v>
      </c>
      <c r="D4038" s="5">
        <f>IFERROR(__xludf.DUMMYFUNCTION("""COMPUTED_VALUE"""),0.3283208020050125)</f>
        <v>0.328320802</v>
      </c>
      <c r="E4038" s="5">
        <f>IFERROR(__xludf.DUMMYFUNCTION("""COMPUTED_VALUE"""),0.12030075187969924)</f>
        <v>0.1203007519</v>
      </c>
      <c r="F4038" s="5">
        <f>IFERROR(__xludf.DUMMYFUNCTION("""COMPUTED_VALUE"""),0.1996658312447786)</f>
        <v>0.1996658312</v>
      </c>
      <c r="G4038" s="5">
        <f>IFERROR(__xludf.DUMMYFUNCTION("""COMPUTED_VALUE"""),0.1846282372598162)</f>
        <v>0.1846282373</v>
      </c>
      <c r="H4038" s="5">
        <f>IFERROR(__xludf.DUMMYFUNCTION("""COMPUTED_VALUE"""),0.6150627615062761)</f>
        <v>0.6150627615</v>
      </c>
      <c r="I4038" s="11">
        <f>IFERROR(__xludf.DUMMYFUNCTION("""COMPUTED_VALUE"""),5799.163179916318)</f>
        <v>5799.16318</v>
      </c>
      <c r="J4038" s="10">
        <f>IFERROR(__xludf.DUMMYFUNCTION("""COMPUTED_VALUE"""),0.0)</f>
        <v>0</v>
      </c>
      <c r="K4038" s="5">
        <f>IFERROR(__xludf.DUMMYFUNCTION("""COMPUTED_VALUE"""),0.0)</f>
        <v>0</v>
      </c>
      <c r="L4038" s="10">
        <f>IFERROR(__xludf.DUMMYFUNCTION("""COMPUTED_VALUE"""),110.0)</f>
        <v>110</v>
      </c>
      <c r="M4038" s="5">
        <f>IFERROR(__xludf.DUMMYFUNCTION("""COMPUTED_VALUE"""),1.0)</f>
        <v>1</v>
      </c>
    </row>
    <row r="4039">
      <c r="A4039" s="10" t="str">
        <f>IFERROR(__xludf.DUMMYFUNCTION("""COMPUTED_VALUE"""),"tanakata")</f>
        <v>tanakata</v>
      </c>
      <c r="B4039" s="10">
        <f>IFERROR(__xludf.DUMMYFUNCTION("""COMPUTED_VALUE"""),347.0)</f>
        <v>347</v>
      </c>
      <c r="C4039" s="10">
        <f>IFERROR(__xludf.DUMMYFUNCTION("""COMPUTED_VALUE"""),4013.0)</f>
        <v>4013</v>
      </c>
      <c r="D4039" s="5">
        <f>IFERROR(__xludf.DUMMYFUNCTION("""COMPUTED_VALUE"""),0.33087834151663936)</f>
        <v>0.3308783415</v>
      </c>
      <c r="E4039" s="5">
        <f>IFERROR(__xludf.DUMMYFUNCTION("""COMPUTED_VALUE"""),0.12029459901800327)</f>
        <v>0.120294599</v>
      </c>
      <c r="F4039" s="5">
        <f>IFERROR(__xludf.DUMMYFUNCTION("""COMPUTED_VALUE"""),0.20294599018003273)</f>
        <v>0.2029459902</v>
      </c>
      <c r="G4039" s="5">
        <f>IFERROR(__xludf.DUMMYFUNCTION("""COMPUTED_VALUE"""),0.1854882705946536)</f>
        <v>0.1854882706</v>
      </c>
      <c r="H4039" s="5">
        <f>IFERROR(__xludf.DUMMYFUNCTION("""COMPUTED_VALUE"""),0.5940860215053764)</f>
        <v>0.5940860215</v>
      </c>
      <c r="I4039" s="11">
        <f>IFERROR(__xludf.DUMMYFUNCTION("""COMPUTED_VALUE"""),5810.887096774193)</f>
        <v>5810.887097</v>
      </c>
      <c r="J4039" s="10">
        <f>IFERROR(__xludf.DUMMYFUNCTION("""COMPUTED_VALUE"""),0.0)</f>
        <v>0</v>
      </c>
      <c r="K4039" s="5">
        <f>IFERROR(__xludf.DUMMYFUNCTION("""COMPUTED_VALUE"""),0.0)</f>
        <v>0</v>
      </c>
      <c r="L4039" s="10">
        <f>IFERROR(__xludf.DUMMYFUNCTION("""COMPUTED_VALUE"""),347.0)</f>
        <v>347</v>
      </c>
      <c r="M4039" s="5">
        <f>IFERROR(__xludf.DUMMYFUNCTION("""COMPUTED_VALUE"""),1.0)</f>
        <v>1</v>
      </c>
    </row>
    <row r="4040">
      <c r="A4040" s="10" t="str">
        <f>IFERROR(__xludf.DUMMYFUNCTION("""COMPUTED_VALUE"""),"ＢlueGoat")</f>
        <v>ＢlueGoat</v>
      </c>
      <c r="B4040" s="10">
        <f>IFERROR(__xludf.DUMMYFUNCTION("""COMPUTED_VALUE"""),222.0)</f>
        <v>222</v>
      </c>
      <c r="C4040" s="10">
        <f>IFERROR(__xludf.DUMMYFUNCTION("""COMPUTED_VALUE"""),2608.0)</f>
        <v>2608</v>
      </c>
      <c r="D4040" s="5">
        <f>IFERROR(__xludf.DUMMYFUNCTION("""COMPUTED_VALUE"""),0.3830678960603521)</f>
        <v>0.3830678961</v>
      </c>
      <c r="E4040" s="5">
        <f>IFERROR(__xludf.DUMMYFUNCTION("""COMPUTED_VALUE"""),0.12028499580888516)</f>
        <v>0.1202849958</v>
      </c>
      <c r="F4040" s="5">
        <f>IFERROR(__xludf.DUMMYFUNCTION("""COMPUTED_VALUE"""),0.2049455155071249)</f>
        <v>0.2049455155</v>
      </c>
      <c r="G4040" s="5">
        <f>IFERROR(__xludf.DUMMYFUNCTION("""COMPUTED_VALUE"""),0.15381391450125734)</f>
        <v>0.1538139145</v>
      </c>
      <c r="H4040" s="5">
        <f>IFERROR(__xludf.DUMMYFUNCTION("""COMPUTED_VALUE"""),0.623721881390593)</f>
        <v>0.6237218814</v>
      </c>
      <c r="I4040" s="11">
        <f>IFERROR(__xludf.DUMMYFUNCTION("""COMPUTED_VALUE"""),5398.773006134969)</f>
        <v>5398.773006</v>
      </c>
      <c r="J4040" s="10">
        <f>IFERROR(__xludf.DUMMYFUNCTION("""COMPUTED_VALUE"""),0.0)</f>
        <v>0</v>
      </c>
      <c r="K4040" s="5">
        <f>IFERROR(__xludf.DUMMYFUNCTION("""COMPUTED_VALUE"""),0.0)</f>
        <v>0</v>
      </c>
      <c r="L4040" s="10">
        <f>IFERROR(__xludf.DUMMYFUNCTION("""COMPUTED_VALUE"""),222.0)</f>
        <v>222</v>
      </c>
      <c r="M4040" s="5">
        <f>IFERROR(__xludf.DUMMYFUNCTION("""COMPUTED_VALUE"""),1.0)</f>
        <v>1</v>
      </c>
    </row>
    <row r="4041">
      <c r="A4041" s="10" t="str">
        <f>IFERROR(__xludf.DUMMYFUNCTION("""COMPUTED_VALUE"""),"SUPERCAR")</f>
        <v>SUPERCAR</v>
      </c>
      <c r="B4041" s="10">
        <f>IFERROR(__xludf.DUMMYFUNCTION("""COMPUTED_VALUE"""),1627.0)</f>
        <v>1627</v>
      </c>
      <c r="C4041" s="10">
        <f>IFERROR(__xludf.DUMMYFUNCTION("""COMPUTED_VALUE"""),19195.0)</f>
        <v>19195</v>
      </c>
      <c r="D4041" s="5">
        <f>IFERROR(__xludf.DUMMYFUNCTION("""COMPUTED_VALUE"""),0.3542235883424408)</f>
        <v>0.3542235883</v>
      </c>
      <c r="E4041" s="5">
        <f>IFERROR(__xludf.DUMMYFUNCTION("""COMPUTED_VALUE"""),0.12027550091074682)</f>
        <v>0.1202755009</v>
      </c>
      <c r="F4041" s="5">
        <f>IFERROR(__xludf.DUMMYFUNCTION("""COMPUTED_VALUE"""),0.2079348816029144)</f>
        <v>0.2079348816</v>
      </c>
      <c r="G4041" s="5">
        <f>IFERROR(__xludf.DUMMYFUNCTION("""COMPUTED_VALUE"""),0.1654143897996357)</f>
        <v>0.1654143898</v>
      </c>
      <c r="H4041" s="5">
        <f>IFERROR(__xludf.DUMMYFUNCTION("""COMPUTED_VALUE"""),0.5940323022173556)</f>
        <v>0.5940323022</v>
      </c>
      <c r="I4041" s="11">
        <f>IFERROR(__xludf.DUMMYFUNCTION("""COMPUTED_VALUE"""),5504.352586914864)</f>
        <v>5504.352587</v>
      </c>
      <c r="J4041" s="10">
        <f>IFERROR(__xludf.DUMMYFUNCTION("""COMPUTED_VALUE"""),3.0)</f>
        <v>3</v>
      </c>
      <c r="K4041" s="5">
        <f>IFERROR(__xludf.DUMMYFUNCTION("""COMPUTED_VALUE"""),0.0018438844499078057)</f>
        <v>0.00184388445</v>
      </c>
      <c r="L4041" s="10">
        <f>IFERROR(__xludf.DUMMYFUNCTION("""COMPUTED_VALUE"""),1614.0)</f>
        <v>1614</v>
      </c>
      <c r="M4041" s="5">
        <f>IFERROR(__xludf.DUMMYFUNCTION("""COMPUTED_VALUE"""),0.9920098340503996)</f>
        <v>0.9920098341</v>
      </c>
    </row>
    <row r="4042">
      <c r="A4042" s="10" t="str">
        <f>IFERROR(__xludf.DUMMYFUNCTION("""COMPUTED_VALUE"""),"Poxy")</f>
        <v>Poxy</v>
      </c>
      <c r="B4042" s="10">
        <f>IFERROR(__xludf.DUMMYFUNCTION("""COMPUTED_VALUE"""),265.0)</f>
        <v>265</v>
      </c>
      <c r="C4042" s="10">
        <f>IFERROR(__xludf.DUMMYFUNCTION("""COMPUTED_VALUE"""),3092.0)</f>
        <v>3092</v>
      </c>
      <c r="D4042" s="5">
        <f>IFERROR(__xludf.DUMMYFUNCTION("""COMPUTED_VALUE"""),0.32437212592854614)</f>
        <v>0.3243721259</v>
      </c>
      <c r="E4042" s="5">
        <f>IFERROR(__xludf.DUMMYFUNCTION("""COMPUTED_VALUE"""),0.12026883622214361)</f>
        <v>0.1202688362</v>
      </c>
      <c r="F4042" s="5">
        <f>IFERROR(__xludf.DUMMYFUNCTION("""COMPUTED_VALUE"""),0.2150689777148921)</f>
        <v>0.2150689777</v>
      </c>
      <c r="G4042" s="5">
        <f>IFERROR(__xludf.DUMMYFUNCTION("""COMPUTED_VALUE"""),0.18111071807569862)</f>
        <v>0.1811107181</v>
      </c>
      <c r="H4042" s="5">
        <f>IFERROR(__xludf.DUMMYFUNCTION("""COMPUTED_VALUE"""),0.6036184210526315)</f>
        <v>0.6036184211</v>
      </c>
      <c r="I4042" s="11">
        <f>IFERROR(__xludf.DUMMYFUNCTION("""COMPUTED_VALUE"""),5424.506578947368)</f>
        <v>5424.506579</v>
      </c>
      <c r="J4042" s="10">
        <f>IFERROR(__xludf.DUMMYFUNCTION("""COMPUTED_VALUE"""),0.0)</f>
        <v>0</v>
      </c>
      <c r="K4042" s="5">
        <f>IFERROR(__xludf.DUMMYFUNCTION("""COMPUTED_VALUE"""),0.0)</f>
        <v>0</v>
      </c>
      <c r="L4042" s="10">
        <f>IFERROR(__xludf.DUMMYFUNCTION("""COMPUTED_VALUE"""),229.0)</f>
        <v>229</v>
      </c>
      <c r="M4042" s="5">
        <f>IFERROR(__xludf.DUMMYFUNCTION("""COMPUTED_VALUE"""),0.8641509433962264)</f>
        <v>0.8641509434</v>
      </c>
    </row>
    <row r="4043">
      <c r="A4043" s="10" t="str">
        <f>IFERROR(__xludf.DUMMYFUNCTION("""COMPUTED_VALUE"""),"Ohtake")</f>
        <v>Ohtake</v>
      </c>
      <c r="B4043" s="10">
        <f>IFERROR(__xludf.DUMMYFUNCTION("""COMPUTED_VALUE"""),750.0)</f>
        <v>750</v>
      </c>
      <c r="C4043" s="10">
        <f>IFERROR(__xludf.DUMMYFUNCTION("""COMPUTED_VALUE"""),8758.0)</f>
        <v>8758</v>
      </c>
      <c r="D4043" s="5">
        <f>IFERROR(__xludf.DUMMYFUNCTION("""COMPUTED_VALUE"""),0.3148101898101898)</f>
        <v>0.3148101898</v>
      </c>
      <c r="E4043" s="5">
        <f>IFERROR(__xludf.DUMMYFUNCTION("""COMPUTED_VALUE"""),0.12025474525474525)</f>
        <v>0.1202547453</v>
      </c>
      <c r="F4043" s="5">
        <f>IFERROR(__xludf.DUMMYFUNCTION("""COMPUTED_VALUE"""),0.21728271728271728)</f>
        <v>0.2172827173</v>
      </c>
      <c r="G4043" s="5">
        <f>IFERROR(__xludf.DUMMYFUNCTION("""COMPUTED_VALUE"""),0.16995504495504496)</f>
        <v>0.169955045</v>
      </c>
      <c r="H4043" s="5">
        <f>IFERROR(__xludf.DUMMYFUNCTION("""COMPUTED_VALUE"""),0.6063218390804598)</f>
        <v>0.6063218391</v>
      </c>
      <c r="I4043" s="11">
        <f>IFERROR(__xludf.DUMMYFUNCTION("""COMPUTED_VALUE"""),5549.367816091954)</f>
        <v>5549.367816</v>
      </c>
      <c r="J4043" s="10">
        <f>IFERROR(__xludf.DUMMYFUNCTION("""COMPUTED_VALUE"""),4.0)</f>
        <v>4</v>
      </c>
      <c r="K4043" s="5">
        <f>IFERROR(__xludf.DUMMYFUNCTION("""COMPUTED_VALUE"""),0.005333333333333333)</f>
        <v>0.005333333333</v>
      </c>
      <c r="L4043" s="10">
        <f>IFERROR(__xludf.DUMMYFUNCTION("""COMPUTED_VALUE"""),750.0)</f>
        <v>750</v>
      </c>
      <c r="M4043" s="5">
        <f>IFERROR(__xludf.DUMMYFUNCTION("""COMPUTED_VALUE"""),1.0)</f>
        <v>1</v>
      </c>
    </row>
    <row r="4044">
      <c r="A4044" s="10" t="str">
        <f>IFERROR(__xludf.DUMMYFUNCTION("""COMPUTED_VALUE"""),"ATM1429")</f>
        <v>ATM1429</v>
      </c>
      <c r="B4044" s="10">
        <f>IFERROR(__xludf.DUMMYFUNCTION("""COMPUTED_VALUE"""),2466.0)</f>
        <v>2466</v>
      </c>
      <c r="C4044" s="10">
        <f>IFERROR(__xludf.DUMMYFUNCTION("""COMPUTED_VALUE"""),28960.0)</f>
        <v>28960</v>
      </c>
      <c r="D4044" s="5">
        <f>IFERROR(__xludf.DUMMYFUNCTION("""COMPUTED_VALUE"""),0.349815052464709)</f>
        <v>0.3498150525</v>
      </c>
      <c r="E4044" s="5">
        <f>IFERROR(__xludf.DUMMYFUNCTION("""COMPUTED_VALUE"""),0.12025364233411338)</f>
        <v>0.1202536423</v>
      </c>
      <c r="F4044" s="5">
        <f>IFERROR(__xludf.DUMMYFUNCTION("""COMPUTED_VALUE"""),0.1991016834000151)</f>
        <v>0.1991016834</v>
      </c>
      <c r="G4044" s="5">
        <f>IFERROR(__xludf.DUMMYFUNCTION("""COMPUTED_VALUE"""),0.1424473465690345)</f>
        <v>0.1424473466</v>
      </c>
      <c r="H4044" s="5">
        <f>IFERROR(__xludf.DUMMYFUNCTION("""COMPUTED_VALUE"""),0.6066350710900474)</f>
        <v>0.6066350711</v>
      </c>
      <c r="I4044" s="11">
        <f>IFERROR(__xludf.DUMMYFUNCTION("""COMPUTED_VALUE"""),5564.056872037915)</f>
        <v>5564.056872</v>
      </c>
      <c r="J4044" s="10">
        <f>IFERROR(__xludf.DUMMYFUNCTION("""COMPUTED_VALUE"""),1.0)</f>
        <v>1</v>
      </c>
      <c r="K4044" s="5">
        <f>IFERROR(__xludf.DUMMYFUNCTION("""COMPUTED_VALUE"""),4.0551500405515005E-4)</f>
        <v>0.0004055150041</v>
      </c>
      <c r="L4044" s="10">
        <f>IFERROR(__xludf.DUMMYFUNCTION("""COMPUTED_VALUE"""),2466.0)</f>
        <v>2466</v>
      </c>
      <c r="M4044" s="5">
        <f>IFERROR(__xludf.DUMMYFUNCTION("""COMPUTED_VALUE"""),1.0)</f>
        <v>1</v>
      </c>
    </row>
    <row r="4045">
      <c r="A4045" s="10" t="str">
        <f>IFERROR(__xludf.DUMMYFUNCTION("""COMPUTED_VALUE"""),"イノウエカズマ")</f>
        <v>イノウエカズマ</v>
      </c>
      <c r="B4045" s="10">
        <f>IFERROR(__xludf.DUMMYFUNCTION("""COMPUTED_VALUE"""),468.0)</f>
        <v>468</v>
      </c>
      <c r="C4045" s="10">
        <f>IFERROR(__xludf.DUMMYFUNCTION("""COMPUTED_VALUE"""),5466.0)</f>
        <v>5466</v>
      </c>
      <c r="D4045" s="5">
        <f>IFERROR(__xludf.DUMMYFUNCTION("""COMPUTED_VALUE"""),0.31552621048419366)</f>
        <v>0.3155262105</v>
      </c>
      <c r="E4045" s="5">
        <f>IFERROR(__xludf.DUMMYFUNCTION("""COMPUTED_VALUE"""),0.12024809923969587)</f>
        <v>0.1202480992</v>
      </c>
      <c r="F4045" s="5">
        <f>IFERROR(__xludf.DUMMYFUNCTION("""COMPUTED_VALUE"""),0.21228491396558624)</f>
        <v>0.212284914</v>
      </c>
      <c r="G4045" s="5">
        <f>IFERROR(__xludf.DUMMYFUNCTION("""COMPUTED_VALUE"""),0.1788715486194478)</f>
        <v>0.1788715486</v>
      </c>
      <c r="H4045" s="5">
        <f>IFERROR(__xludf.DUMMYFUNCTION("""COMPUTED_VALUE"""),0.5673892554194157)</f>
        <v>0.5673892554</v>
      </c>
      <c r="I4045" s="11">
        <f>IFERROR(__xludf.DUMMYFUNCTION("""COMPUTED_VALUE"""),6204.901036757776)</f>
        <v>6204.901037</v>
      </c>
      <c r="J4045" s="10">
        <f>IFERROR(__xludf.DUMMYFUNCTION("""COMPUTED_VALUE"""),1.0)</f>
        <v>1</v>
      </c>
      <c r="K4045" s="5">
        <f>IFERROR(__xludf.DUMMYFUNCTION("""COMPUTED_VALUE"""),0.002136752136752137)</f>
        <v>0.002136752137</v>
      </c>
      <c r="L4045" s="10">
        <f>IFERROR(__xludf.DUMMYFUNCTION("""COMPUTED_VALUE"""),468.0)</f>
        <v>468</v>
      </c>
      <c r="M4045" s="5">
        <f>IFERROR(__xludf.DUMMYFUNCTION("""COMPUTED_VALUE"""),1.0)</f>
        <v>1</v>
      </c>
    </row>
    <row r="4046">
      <c r="A4046" s="10" t="str">
        <f>IFERROR(__xludf.DUMMYFUNCTION("""COMPUTED_VALUE"""),"椎名翼")</f>
        <v>椎名翼</v>
      </c>
      <c r="B4046" s="10">
        <f>IFERROR(__xludf.DUMMYFUNCTION("""COMPUTED_VALUE"""),349.0)</f>
        <v>349</v>
      </c>
      <c r="C4046" s="10">
        <f>IFERROR(__xludf.DUMMYFUNCTION("""COMPUTED_VALUE"""),4158.0)</f>
        <v>4158</v>
      </c>
      <c r="D4046" s="5">
        <f>IFERROR(__xludf.DUMMYFUNCTION("""COMPUTED_VALUE"""),0.3812024153321082)</f>
        <v>0.3812024153</v>
      </c>
      <c r="E4046" s="5">
        <f>IFERROR(__xludf.DUMMYFUNCTION("""COMPUTED_VALUE"""),0.12024153321081649)</f>
        <v>0.1202415332</v>
      </c>
      <c r="F4046" s="5">
        <f>IFERROR(__xludf.DUMMYFUNCTION("""COMPUTED_VALUE"""),0.20871619847729062)</f>
        <v>0.2087161985</v>
      </c>
      <c r="G4046" s="5">
        <f>IFERROR(__xludf.DUMMYFUNCTION("""COMPUTED_VALUE"""),0.15752165922814387)</f>
        <v>0.1575216592</v>
      </c>
      <c r="H4046" s="5">
        <f>IFERROR(__xludf.DUMMYFUNCTION("""COMPUTED_VALUE"""),0.579874213836478)</f>
        <v>0.5798742138</v>
      </c>
      <c r="I4046" s="11">
        <f>IFERROR(__xludf.DUMMYFUNCTION("""COMPUTED_VALUE"""),5405.911949685535)</f>
        <v>5405.91195</v>
      </c>
      <c r="J4046" s="10">
        <f>IFERROR(__xludf.DUMMYFUNCTION("""COMPUTED_VALUE"""),0.0)</f>
        <v>0</v>
      </c>
      <c r="K4046" s="5">
        <f>IFERROR(__xludf.DUMMYFUNCTION("""COMPUTED_VALUE"""),0.0)</f>
        <v>0</v>
      </c>
      <c r="L4046" s="10">
        <f>IFERROR(__xludf.DUMMYFUNCTION("""COMPUTED_VALUE"""),0.0)</f>
        <v>0</v>
      </c>
      <c r="M4046" s="5">
        <f>IFERROR(__xludf.DUMMYFUNCTION("""COMPUTED_VALUE"""),0.0)</f>
        <v>0</v>
      </c>
    </row>
    <row r="4047">
      <c r="A4047" s="10" t="str">
        <f>IFERROR(__xludf.DUMMYFUNCTION("""COMPUTED_VALUE"""),"55555")</f>
        <v>55555</v>
      </c>
      <c r="B4047" s="10">
        <f>IFERROR(__xludf.DUMMYFUNCTION("""COMPUTED_VALUE"""),115.0)</f>
        <v>115</v>
      </c>
      <c r="C4047" s="10">
        <f>IFERROR(__xludf.DUMMYFUNCTION("""COMPUTED_VALUE"""),1346.0)</f>
        <v>1346</v>
      </c>
      <c r="D4047" s="5">
        <f>IFERROR(__xludf.DUMMYFUNCTION("""COMPUTED_VALUE"""),0.3785540211210398)</f>
        <v>0.3785540211</v>
      </c>
      <c r="E4047" s="5">
        <f>IFERROR(__xludf.DUMMYFUNCTION("""COMPUTED_VALUE"""),0.12022745735174654)</f>
        <v>0.1202274574</v>
      </c>
      <c r="F4047" s="5">
        <f>IFERROR(__xludf.DUMMYFUNCTION("""COMPUTED_VALUE"""),0.190089358245329)</f>
        <v>0.1900893582</v>
      </c>
      <c r="G4047" s="5">
        <f>IFERROR(__xludf.DUMMYFUNCTION("""COMPUTED_VALUE"""),0.16246953696181965)</f>
        <v>0.162469537</v>
      </c>
      <c r="H4047" s="5">
        <f>IFERROR(__xludf.DUMMYFUNCTION("""COMPUTED_VALUE"""),0.6025641025641025)</f>
        <v>0.6025641026</v>
      </c>
      <c r="I4047" s="11">
        <f>IFERROR(__xludf.DUMMYFUNCTION("""COMPUTED_VALUE"""),5272.649572649572)</f>
        <v>5272.649573</v>
      </c>
      <c r="J4047" s="10">
        <f>IFERROR(__xludf.DUMMYFUNCTION("""COMPUTED_VALUE"""),0.0)</f>
        <v>0</v>
      </c>
      <c r="K4047" s="5">
        <f>IFERROR(__xludf.DUMMYFUNCTION("""COMPUTED_VALUE"""),0.0)</f>
        <v>0</v>
      </c>
      <c r="L4047" s="10">
        <f>IFERROR(__xludf.DUMMYFUNCTION("""COMPUTED_VALUE"""),115.0)</f>
        <v>115</v>
      </c>
      <c r="M4047" s="5">
        <f>IFERROR(__xludf.DUMMYFUNCTION("""COMPUTED_VALUE"""),1.0)</f>
        <v>1</v>
      </c>
    </row>
    <row r="4048">
      <c r="A4048" s="10" t="str">
        <f>IFERROR(__xludf.DUMMYFUNCTION("""COMPUTED_VALUE"""),"桜井さん")</f>
        <v>桜井さん</v>
      </c>
      <c r="B4048" s="10">
        <f>IFERROR(__xludf.DUMMYFUNCTION("""COMPUTED_VALUE"""),5077.0)</f>
        <v>5077</v>
      </c>
      <c r="C4048" s="10">
        <f>IFERROR(__xludf.DUMMYFUNCTION("""COMPUTED_VALUE"""),59924.0)</f>
        <v>59924</v>
      </c>
      <c r="D4048" s="5">
        <f>IFERROR(__xludf.DUMMYFUNCTION("""COMPUTED_VALUE"""),0.36142359655040385)</f>
        <v>0.3614235966</v>
      </c>
      <c r="E4048" s="5">
        <f>IFERROR(__xludf.DUMMYFUNCTION("""COMPUTED_VALUE"""),0.12022535416704651)</f>
        <v>0.1202253542</v>
      </c>
      <c r="F4048" s="5">
        <f>IFERROR(__xludf.DUMMYFUNCTION("""COMPUTED_VALUE"""),0.2155997593305012)</f>
        <v>0.2155997593</v>
      </c>
      <c r="G4048" s="5">
        <f>IFERROR(__xludf.DUMMYFUNCTION("""COMPUTED_VALUE"""),0.16961729903185224)</f>
        <v>0.169617299</v>
      </c>
      <c r="H4048" s="5">
        <f>IFERROR(__xludf.DUMMYFUNCTION("""COMPUTED_VALUE"""),0.5980549682875265)</f>
        <v>0.5980549683</v>
      </c>
      <c r="I4048" s="11">
        <f>IFERROR(__xludf.DUMMYFUNCTION("""COMPUTED_VALUE"""),5680.549682875264)</f>
        <v>5680.549683</v>
      </c>
      <c r="J4048" s="10">
        <f>IFERROR(__xludf.DUMMYFUNCTION("""COMPUTED_VALUE"""),14.0)</f>
        <v>14</v>
      </c>
      <c r="K4048" s="5">
        <f>IFERROR(__xludf.DUMMYFUNCTION("""COMPUTED_VALUE"""),0.002757533976757928)</f>
        <v>0.002757533977</v>
      </c>
      <c r="L4048" s="10">
        <f>IFERROR(__xludf.DUMMYFUNCTION("""COMPUTED_VALUE"""),5077.0)</f>
        <v>5077</v>
      </c>
      <c r="M4048" s="5">
        <f>IFERROR(__xludf.DUMMYFUNCTION("""COMPUTED_VALUE"""),1.0)</f>
        <v>1</v>
      </c>
    </row>
    <row r="4049">
      <c r="A4049" s="10" t="str">
        <f>IFERROR(__xludf.DUMMYFUNCTION("""COMPUTED_VALUE"""),"娘。")</f>
        <v>娘。</v>
      </c>
      <c r="B4049" s="10">
        <f>IFERROR(__xludf.DUMMYFUNCTION("""COMPUTED_VALUE"""),283.0)</f>
        <v>283</v>
      </c>
      <c r="C4049" s="10">
        <f>IFERROR(__xludf.DUMMYFUNCTION("""COMPUTED_VALUE"""),3336.0)</f>
        <v>3336</v>
      </c>
      <c r="D4049" s="5">
        <f>IFERROR(__xludf.DUMMYFUNCTION("""COMPUTED_VALUE"""),0.3711103832296102)</f>
        <v>0.3711103832</v>
      </c>
      <c r="E4049" s="5">
        <f>IFERROR(__xludf.DUMMYFUNCTION("""COMPUTED_VALUE"""),0.12020962987225679)</f>
        <v>0.1202096299</v>
      </c>
      <c r="F4049" s="5">
        <f>IFERROR(__xludf.DUMMYFUNCTION("""COMPUTED_VALUE"""),0.20635440550278414)</f>
        <v>0.2063544055</v>
      </c>
      <c r="G4049" s="5">
        <f>IFERROR(__xludf.DUMMYFUNCTION("""COMPUTED_VALUE"""),0.17097936455944973)</f>
        <v>0.1709793646</v>
      </c>
      <c r="H4049" s="5">
        <f>IFERROR(__xludf.DUMMYFUNCTION("""COMPUTED_VALUE"""),0.6095238095238096)</f>
        <v>0.6095238095</v>
      </c>
      <c r="I4049" s="11">
        <f>IFERROR(__xludf.DUMMYFUNCTION("""COMPUTED_VALUE"""),5598.253968253968)</f>
        <v>5598.253968</v>
      </c>
      <c r="J4049" s="10">
        <f>IFERROR(__xludf.DUMMYFUNCTION("""COMPUTED_VALUE"""),1.0)</f>
        <v>1</v>
      </c>
      <c r="K4049" s="5">
        <f>IFERROR(__xludf.DUMMYFUNCTION("""COMPUTED_VALUE"""),0.0035335689045936395)</f>
        <v>0.003533568905</v>
      </c>
      <c r="L4049" s="10">
        <f>IFERROR(__xludf.DUMMYFUNCTION("""COMPUTED_VALUE"""),283.0)</f>
        <v>283</v>
      </c>
      <c r="M4049" s="5">
        <f>IFERROR(__xludf.DUMMYFUNCTION("""COMPUTED_VALUE"""),1.0)</f>
        <v>1</v>
      </c>
    </row>
    <row r="4050">
      <c r="A4050" s="10" t="str">
        <f>IFERROR(__xludf.DUMMYFUNCTION("""COMPUTED_VALUE"""),"ミネストローネ")</f>
        <v>ミネストローネ</v>
      </c>
      <c r="B4050" s="10">
        <f>IFERROR(__xludf.DUMMYFUNCTION("""COMPUTED_VALUE"""),320.0)</f>
        <v>320</v>
      </c>
      <c r="C4050" s="10">
        <f>IFERROR(__xludf.DUMMYFUNCTION("""COMPUTED_VALUE"""),3673.0)</f>
        <v>3673</v>
      </c>
      <c r="D4050" s="5">
        <f>IFERROR(__xludf.DUMMYFUNCTION("""COMPUTED_VALUE"""),0.46674619743513274)</f>
        <v>0.4667461974</v>
      </c>
      <c r="E4050" s="5">
        <f>IFERROR(__xludf.DUMMYFUNCTION("""COMPUTED_VALUE"""),0.12019087384431852)</f>
        <v>0.1201908738</v>
      </c>
      <c r="F4050" s="5">
        <f>IFERROR(__xludf.DUMMYFUNCTION("""COMPUTED_VALUE"""),0.19803161348046525)</f>
        <v>0.1980316135</v>
      </c>
      <c r="G4050" s="5">
        <f>IFERROR(__xludf.DUMMYFUNCTION("""COMPUTED_VALUE"""),0.13271696987772144)</f>
        <v>0.1327169699</v>
      </c>
      <c r="H4050" s="5">
        <f>IFERROR(__xludf.DUMMYFUNCTION("""COMPUTED_VALUE"""),0.6054216867469879)</f>
        <v>0.6054216867</v>
      </c>
      <c r="I4050" s="11">
        <f>IFERROR(__xludf.DUMMYFUNCTION("""COMPUTED_VALUE"""),5763.253012048192)</f>
        <v>5763.253012</v>
      </c>
      <c r="J4050" s="10">
        <f>IFERROR(__xludf.DUMMYFUNCTION("""COMPUTED_VALUE"""),1.0)</f>
        <v>1</v>
      </c>
      <c r="K4050" s="5">
        <f>IFERROR(__xludf.DUMMYFUNCTION("""COMPUTED_VALUE"""),0.003125)</f>
        <v>0.003125</v>
      </c>
      <c r="L4050" s="10">
        <f>IFERROR(__xludf.DUMMYFUNCTION("""COMPUTED_VALUE"""),320.0)</f>
        <v>320</v>
      </c>
      <c r="M4050" s="5">
        <f>IFERROR(__xludf.DUMMYFUNCTION("""COMPUTED_VALUE"""),1.0)</f>
        <v>1</v>
      </c>
    </row>
    <row r="4051">
      <c r="A4051" s="10" t="str">
        <f>IFERROR(__xludf.DUMMYFUNCTION("""COMPUTED_VALUE"""),"喜緑江美里")</f>
        <v>喜緑江美里</v>
      </c>
      <c r="B4051" s="10">
        <f>IFERROR(__xludf.DUMMYFUNCTION("""COMPUTED_VALUE"""),129.0)</f>
        <v>129</v>
      </c>
      <c r="C4051" s="10">
        <f>IFERROR(__xludf.DUMMYFUNCTION("""COMPUTED_VALUE"""),1527.0)</f>
        <v>1527</v>
      </c>
      <c r="D4051" s="5">
        <f>IFERROR(__xludf.DUMMYFUNCTION("""COMPUTED_VALUE"""),0.35336194563662376)</f>
        <v>0.3533619456</v>
      </c>
      <c r="E4051" s="5">
        <f>IFERROR(__xludf.DUMMYFUNCTION("""COMPUTED_VALUE"""),0.12017167381974249)</f>
        <v>0.1201716738</v>
      </c>
      <c r="F4051" s="5">
        <f>IFERROR(__xludf.DUMMYFUNCTION("""COMPUTED_VALUE"""),0.19814020028612303)</f>
        <v>0.1981402003</v>
      </c>
      <c r="G4051" s="5">
        <f>IFERROR(__xludf.DUMMYFUNCTION("""COMPUTED_VALUE"""),0.14949928469241774)</f>
        <v>0.1494992847</v>
      </c>
      <c r="H4051" s="5">
        <f>IFERROR(__xludf.DUMMYFUNCTION("""COMPUTED_VALUE"""),0.6137184115523465)</f>
        <v>0.6137184116</v>
      </c>
      <c r="I4051" s="11">
        <f>IFERROR(__xludf.DUMMYFUNCTION("""COMPUTED_VALUE"""),5083.754512635379)</f>
        <v>5083.754513</v>
      </c>
      <c r="J4051" s="10">
        <f>IFERROR(__xludf.DUMMYFUNCTION("""COMPUTED_VALUE"""),1.0)</f>
        <v>1</v>
      </c>
      <c r="K4051" s="5">
        <f>IFERROR(__xludf.DUMMYFUNCTION("""COMPUTED_VALUE"""),0.007751937984496124)</f>
        <v>0.007751937984</v>
      </c>
      <c r="L4051" s="10">
        <f>IFERROR(__xludf.DUMMYFUNCTION("""COMPUTED_VALUE"""),0.0)</f>
        <v>0</v>
      </c>
      <c r="M4051" s="5">
        <f>IFERROR(__xludf.DUMMYFUNCTION("""COMPUTED_VALUE"""),0.0)</f>
        <v>0</v>
      </c>
    </row>
    <row r="4052">
      <c r="A4052" s="10" t="str">
        <f>IFERROR(__xludf.DUMMYFUNCTION("""COMPUTED_VALUE"""),"もぐら000")</f>
        <v>もぐら000</v>
      </c>
      <c r="B4052" s="10">
        <f>IFERROR(__xludf.DUMMYFUNCTION("""COMPUTED_VALUE"""),796.0)</f>
        <v>796</v>
      </c>
      <c r="C4052" s="10">
        <f>IFERROR(__xludf.DUMMYFUNCTION("""COMPUTED_VALUE"""),9209.0)</f>
        <v>9209</v>
      </c>
      <c r="D4052" s="5">
        <f>IFERROR(__xludf.DUMMYFUNCTION("""COMPUTED_VALUE"""),0.3706169024129324)</f>
        <v>0.3706169024</v>
      </c>
      <c r="E4052" s="5">
        <f>IFERROR(__xludf.DUMMYFUNCTION("""COMPUTED_VALUE"""),0.12017116367526447)</f>
        <v>0.1201711637</v>
      </c>
      <c r="F4052" s="5">
        <f>IFERROR(__xludf.DUMMYFUNCTION("""COMPUTED_VALUE"""),0.21347913942707714)</f>
        <v>0.2134791394</v>
      </c>
      <c r="G4052" s="5">
        <f>IFERROR(__xludf.DUMMYFUNCTION("""COMPUTED_VALUE"""),0.1812670866516106)</f>
        <v>0.1812670867</v>
      </c>
      <c r="H4052" s="5">
        <f>IFERROR(__xludf.DUMMYFUNCTION("""COMPUTED_VALUE"""),0.5996659242761693)</f>
        <v>0.5996659243</v>
      </c>
      <c r="I4052" s="11">
        <f>IFERROR(__xludf.DUMMYFUNCTION("""COMPUTED_VALUE"""),5677.728285077951)</f>
        <v>5677.728285</v>
      </c>
      <c r="J4052" s="10">
        <f>IFERROR(__xludf.DUMMYFUNCTION("""COMPUTED_VALUE"""),2.0)</f>
        <v>2</v>
      </c>
      <c r="K4052" s="5">
        <f>IFERROR(__xludf.DUMMYFUNCTION("""COMPUTED_VALUE"""),0.002512562814070352)</f>
        <v>0.002512562814</v>
      </c>
      <c r="L4052" s="10">
        <f>IFERROR(__xludf.DUMMYFUNCTION("""COMPUTED_VALUE"""),796.0)</f>
        <v>796</v>
      </c>
      <c r="M4052" s="5">
        <f>IFERROR(__xludf.DUMMYFUNCTION("""COMPUTED_VALUE"""),1.0)</f>
        <v>1</v>
      </c>
    </row>
    <row r="4053">
      <c r="A4053" s="10" t="str">
        <f>IFERROR(__xludf.DUMMYFUNCTION("""COMPUTED_VALUE"""),"あさぴん＠ｍｊ")</f>
        <v>あさぴん＠ｍｊ</v>
      </c>
      <c r="B4053" s="10">
        <f>IFERROR(__xludf.DUMMYFUNCTION("""COMPUTED_VALUE"""),2428.0)</f>
        <v>2428</v>
      </c>
      <c r="C4053" s="10">
        <f>IFERROR(__xludf.DUMMYFUNCTION("""COMPUTED_VALUE"""),28359.0)</f>
        <v>28359</v>
      </c>
      <c r="D4053" s="5">
        <f>IFERROR(__xludf.DUMMYFUNCTION("""COMPUTED_VALUE"""),0.3531294589487486)</f>
        <v>0.3531294589</v>
      </c>
      <c r="E4053" s="5">
        <f>IFERROR(__xludf.DUMMYFUNCTION("""COMPUTED_VALUE"""),0.12016505341097528)</f>
        <v>0.1201650534</v>
      </c>
      <c r="F4053" s="5">
        <f>IFERROR(__xludf.DUMMYFUNCTION("""COMPUTED_VALUE"""),0.22328487138945663)</f>
        <v>0.2232848714</v>
      </c>
      <c r="G4053" s="5">
        <f>IFERROR(__xludf.DUMMYFUNCTION("""COMPUTED_VALUE"""),0.18984998650264162)</f>
        <v>0.1898499865</v>
      </c>
      <c r="H4053" s="5">
        <f>IFERROR(__xludf.DUMMYFUNCTION("""COMPUTED_VALUE"""),0.6022452504317789)</f>
        <v>0.6022452504</v>
      </c>
      <c r="I4053" s="11">
        <f>IFERROR(__xludf.DUMMYFUNCTION("""COMPUTED_VALUE"""),5659.447322970639)</f>
        <v>5659.447323</v>
      </c>
      <c r="J4053" s="10">
        <f>IFERROR(__xludf.DUMMYFUNCTION("""COMPUTED_VALUE"""),5.0)</f>
        <v>5</v>
      </c>
      <c r="K4053" s="5">
        <f>IFERROR(__xludf.DUMMYFUNCTION("""COMPUTED_VALUE"""),0.002059308072487644)</f>
        <v>0.002059308072</v>
      </c>
      <c r="L4053" s="10">
        <f>IFERROR(__xludf.DUMMYFUNCTION("""COMPUTED_VALUE"""),2428.0)</f>
        <v>2428</v>
      </c>
      <c r="M4053" s="5">
        <f>IFERROR(__xludf.DUMMYFUNCTION("""COMPUTED_VALUE"""),1.0)</f>
        <v>1</v>
      </c>
    </row>
    <row r="4054">
      <c r="A4054" s="10" t="str">
        <f>IFERROR(__xludf.DUMMYFUNCTION("""COMPUTED_VALUE"""),"kgripjt")</f>
        <v>kgripjt</v>
      </c>
      <c r="B4054" s="10">
        <f>IFERROR(__xludf.DUMMYFUNCTION("""COMPUTED_VALUE"""),352.0)</f>
        <v>352</v>
      </c>
      <c r="C4054" s="10">
        <f>IFERROR(__xludf.DUMMYFUNCTION("""COMPUTED_VALUE"""),4072.0)</f>
        <v>4072</v>
      </c>
      <c r="D4054" s="5">
        <f>IFERROR(__xludf.DUMMYFUNCTION("""COMPUTED_VALUE"""),0.3553763440860215)</f>
        <v>0.3553763441</v>
      </c>
      <c r="E4054" s="5">
        <f>IFERROR(__xludf.DUMMYFUNCTION("""COMPUTED_VALUE"""),0.12016129032258065)</f>
        <v>0.1201612903</v>
      </c>
      <c r="F4054" s="5">
        <f>IFERROR(__xludf.DUMMYFUNCTION("""COMPUTED_VALUE"""),0.21021505376344085)</f>
        <v>0.2102150538</v>
      </c>
      <c r="G4054" s="5">
        <f>IFERROR(__xludf.DUMMYFUNCTION("""COMPUTED_VALUE"""),0.13333333333333333)</f>
        <v>0.1333333333</v>
      </c>
      <c r="H4054" s="5">
        <f>IFERROR(__xludf.DUMMYFUNCTION("""COMPUTED_VALUE"""),0.6099744245524297)</f>
        <v>0.6099744246</v>
      </c>
      <c r="I4054" s="11">
        <f>IFERROR(__xludf.DUMMYFUNCTION("""COMPUTED_VALUE"""),5104.731457800512)</f>
        <v>5104.731458</v>
      </c>
      <c r="J4054" s="10">
        <f>IFERROR(__xludf.DUMMYFUNCTION("""COMPUTED_VALUE"""),0.0)</f>
        <v>0</v>
      </c>
      <c r="K4054" s="5">
        <f>IFERROR(__xludf.DUMMYFUNCTION("""COMPUTED_VALUE"""),0.0)</f>
        <v>0</v>
      </c>
      <c r="L4054" s="10">
        <f>IFERROR(__xludf.DUMMYFUNCTION("""COMPUTED_VALUE"""),352.0)</f>
        <v>352</v>
      </c>
      <c r="M4054" s="5">
        <f>IFERROR(__xludf.DUMMYFUNCTION("""COMPUTED_VALUE"""),1.0)</f>
        <v>1</v>
      </c>
    </row>
    <row r="4055">
      <c r="A4055" s="10" t="str">
        <f>IFERROR(__xludf.DUMMYFUNCTION("""COMPUTED_VALUE"""),"フリーザ様")</f>
        <v>フリーザ様</v>
      </c>
      <c r="B4055" s="10">
        <f>IFERROR(__xludf.DUMMYFUNCTION("""COMPUTED_VALUE"""),1002.0)</f>
        <v>1002</v>
      </c>
      <c r="C4055" s="10">
        <f>IFERROR(__xludf.DUMMYFUNCTION("""COMPUTED_VALUE"""),11897.0)</f>
        <v>11897</v>
      </c>
      <c r="D4055" s="5">
        <f>IFERROR(__xludf.DUMMYFUNCTION("""COMPUTED_VALUE"""),0.35282239559430933)</f>
        <v>0.3528223956</v>
      </c>
      <c r="E4055" s="5">
        <f>IFERROR(__xludf.DUMMYFUNCTION("""COMPUTED_VALUE"""),0.12014685635612667)</f>
        <v>0.1201468564</v>
      </c>
      <c r="F4055" s="5">
        <f>IFERROR(__xludf.DUMMYFUNCTION("""COMPUTED_VALUE"""),0.21422670949977055)</f>
        <v>0.2142267095</v>
      </c>
      <c r="G4055" s="5">
        <f>IFERROR(__xludf.DUMMYFUNCTION("""COMPUTED_VALUE"""),0.18402937127122534)</f>
        <v>0.1840293713</v>
      </c>
      <c r="H4055" s="5">
        <f>IFERROR(__xludf.DUMMYFUNCTION("""COMPUTED_VALUE"""),0.6019708654670094)</f>
        <v>0.6019708655</v>
      </c>
      <c r="I4055" s="11">
        <f>IFERROR(__xludf.DUMMYFUNCTION("""COMPUTED_VALUE"""),5519.965724078835)</f>
        <v>5519.965724</v>
      </c>
      <c r="J4055" s="10">
        <f>IFERROR(__xludf.DUMMYFUNCTION("""COMPUTED_VALUE"""),2.0)</f>
        <v>2</v>
      </c>
      <c r="K4055" s="5">
        <f>IFERROR(__xludf.DUMMYFUNCTION("""COMPUTED_VALUE"""),0.001996007984031936)</f>
        <v>0.001996007984</v>
      </c>
      <c r="L4055" s="10">
        <f>IFERROR(__xludf.DUMMYFUNCTION("""COMPUTED_VALUE"""),1002.0)</f>
        <v>1002</v>
      </c>
      <c r="M4055" s="5">
        <f>IFERROR(__xludf.DUMMYFUNCTION("""COMPUTED_VALUE"""),1.0)</f>
        <v>1</v>
      </c>
    </row>
    <row r="4056">
      <c r="A4056" s="10" t="str">
        <f>IFERROR(__xludf.DUMMYFUNCTION("""COMPUTED_VALUE"""),"BANDIT")</f>
        <v>BANDIT</v>
      </c>
      <c r="B4056" s="10">
        <f>IFERROR(__xludf.DUMMYFUNCTION("""COMPUTED_VALUE"""),419.0)</f>
        <v>419</v>
      </c>
      <c r="C4056" s="10">
        <f>IFERROR(__xludf.DUMMYFUNCTION("""COMPUTED_VALUE"""),4897.0)</f>
        <v>4897</v>
      </c>
      <c r="D4056" s="5">
        <f>IFERROR(__xludf.DUMMYFUNCTION("""COMPUTED_VALUE"""),0.3653416703885663)</f>
        <v>0.3653416704</v>
      </c>
      <c r="E4056" s="5">
        <f>IFERROR(__xludf.DUMMYFUNCTION("""COMPUTED_VALUE"""),0.12014292094685128)</f>
        <v>0.1201429209</v>
      </c>
      <c r="F4056" s="5">
        <f>IFERROR(__xludf.DUMMYFUNCTION("""COMPUTED_VALUE"""),0.2344796784278696)</f>
        <v>0.2344796784</v>
      </c>
      <c r="G4056" s="5">
        <f>IFERROR(__xludf.DUMMYFUNCTION("""COMPUTED_VALUE"""),0.16659222867351497)</f>
        <v>0.1665922287</v>
      </c>
      <c r="H4056" s="5">
        <f>IFERROR(__xludf.DUMMYFUNCTION("""COMPUTED_VALUE"""),0.5933333333333334)</f>
        <v>0.5933333333</v>
      </c>
      <c r="I4056" s="11">
        <f>IFERROR(__xludf.DUMMYFUNCTION("""COMPUTED_VALUE"""),5163.047619047619)</f>
        <v>5163.047619</v>
      </c>
      <c r="J4056" s="10">
        <f>IFERROR(__xludf.DUMMYFUNCTION("""COMPUTED_VALUE"""),3.0)</f>
        <v>3</v>
      </c>
      <c r="K4056" s="5">
        <f>IFERROR(__xludf.DUMMYFUNCTION("""COMPUTED_VALUE"""),0.007159904534606206)</f>
        <v>0.007159904535</v>
      </c>
      <c r="L4056" s="10">
        <f>IFERROR(__xludf.DUMMYFUNCTION("""COMPUTED_VALUE"""),419.0)</f>
        <v>419</v>
      </c>
      <c r="M4056" s="5">
        <f>IFERROR(__xludf.DUMMYFUNCTION("""COMPUTED_VALUE"""),1.0)</f>
        <v>1</v>
      </c>
    </row>
    <row r="4057">
      <c r="A4057" s="10" t="str">
        <f>IFERROR(__xludf.DUMMYFUNCTION("""COMPUTED_VALUE"""),"剣城")</f>
        <v>剣城</v>
      </c>
      <c r="B4057" s="10">
        <f>IFERROR(__xludf.DUMMYFUNCTION("""COMPUTED_VALUE"""),158.0)</f>
        <v>158</v>
      </c>
      <c r="C4057" s="10">
        <f>IFERROR(__xludf.DUMMYFUNCTION("""COMPUTED_VALUE"""),1856.0)</f>
        <v>1856</v>
      </c>
      <c r="D4057" s="5">
        <f>IFERROR(__xludf.DUMMYFUNCTION("""COMPUTED_VALUE"""),0.29328621908127206)</f>
        <v>0.2932862191</v>
      </c>
      <c r="E4057" s="5">
        <f>IFERROR(__xludf.DUMMYFUNCTION("""COMPUTED_VALUE"""),0.12014134275618374)</f>
        <v>0.1201413428</v>
      </c>
      <c r="F4057" s="5">
        <f>IFERROR(__xludf.DUMMYFUNCTION("""COMPUTED_VALUE"""),0.19316843345111898)</f>
        <v>0.1931684335</v>
      </c>
      <c r="G4057" s="5">
        <f>IFERROR(__xludf.DUMMYFUNCTION("""COMPUTED_VALUE"""),0.1702002355712603)</f>
        <v>0.1702002356</v>
      </c>
      <c r="H4057" s="5">
        <f>IFERROR(__xludf.DUMMYFUNCTION("""COMPUTED_VALUE"""),0.6097560975609756)</f>
        <v>0.6097560976</v>
      </c>
      <c r="I4057" s="11">
        <f>IFERROR(__xludf.DUMMYFUNCTION("""COMPUTED_VALUE"""),5943.292682926829)</f>
        <v>5943.292683</v>
      </c>
      <c r="J4057" s="10">
        <f>IFERROR(__xludf.DUMMYFUNCTION("""COMPUTED_VALUE"""),0.0)</f>
        <v>0</v>
      </c>
      <c r="K4057" s="5">
        <f>IFERROR(__xludf.DUMMYFUNCTION("""COMPUTED_VALUE"""),0.0)</f>
        <v>0</v>
      </c>
      <c r="L4057" s="10">
        <f>IFERROR(__xludf.DUMMYFUNCTION("""COMPUTED_VALUE"""),158.0)</f>
        <v>158</v>
      </c>
      <c r="M4057" s="5">
        <f>IFERROR(__xludf.DUMMYFUNCTION("""COMPUTED_VALUE"""),1.0)</f>
        <v>1</v>
      </c>
    </row>
    <row r="4058">
      <c r="A4058" s="10" t="str">
        <f>IFERROR(__xludf.DUMMYFUNCTION("""COMPUTED_VALUE"""),"となみ")</f>
        <v>となみ</v>
      </c>
      <c r="B4058" s="10">
        <f>IFERROR(__xludf.DUMMYFUNCTION("""COMPUTED_VALUE"""),731.0)</f>
        <v>731</v>
      </c>
      <c r="C4058" s="10">
        <f>IFERROR(__xludf.DUMMYFUNCTION("""COMPUTED_VALUE"""),8547.0)</f>
        <v>8547</v>
      </c>
      <c r="D4058" s="5">
        <f>IFERROR(__xludf.DUMMYFUNCTION("""COMPUTED_VALUE"""),0.281345957011259)</f>
        <v>0.281345957</v>
      </c>
      <c r="E4058" s="5">
        <f>IFERROR(__xludf.DUMMYFUNCTION("""COMPUTED_VALUE"""),0.1201381780962129)</f>
        <v>0.1201381781</v>
      </c>
      <c r="F4058" s="5">
        <f>IFERROR(__xludf.DUMMYFUNCTION("""COMPUTED_VALUE"""),0.16965199590583419)</f>
        <v>0.1696519959</v>
      </c>
      <c r="G4058" s="5">
        <f>IFERROR(__xludf.DUMMYFUNCTION("""COMPUTED_VALUE"""),0.17195496417604914)</f>
        <v>0.1719549642</v>
      </c>
      <c r="H4058" s="5">
        <f>IFERROR(__xludf.DUMMYFUNCTION("""COMPUTED_VALUE"""),0.5829562594268477)</f>
        <v>0.5829562594</v>
      </c>
      <c r="I4058" s="11">
        <f>IFERROR(__xludf.DUMMYFUNCTION("""COMPUTED_VALUE"""),6443.288084464555)</f>
        <v>6443.288084</v>
      </c>
      <c r="J4058" s="10">
        <f>IFERROR(__xludf.DUMMYFUNCTION("""COMPUTED_VALUE"""),3.0)</f>
        <v>3</v>
      </c>
      <c r="K4058" s="5">
        <f>IFERROR(__xludf.DUMMYFUNCTION("""COMPUTED_VALUE"""),0.004103967168262654)</f>
        <v>0.004103967168</v>
      </c>
      <c r="L4058" s="10">
        <f>IFERROR(__xludf.DUMMYFUNCTION("""COMPUTED_VALUE"""),731.0)</f>
        <v>731</v>
      </c>
      <c r="M4058" s="5">
        <f>IFERROR(__xludf.DUMMYFUNCTION("""COMPUTED_VALUE"""),1.0)</f>
        <v>1</v>
      </c>
    </row>
    <row r="4059">
      <c r="A4059" s="10" t="str">
        <f>IFERROR(__xludf.DUMMYFUNCTION("""COMPUTED_VALUE"""),"モン吉")</f>
        <v>モン吉</v>
      </c>
      <c r="B4059" s="10">
        <f>IFERROR(__xludf.DUMMYFUNCTION("""COMPUTED_VALUE"""),219.0)</f>
        <v>219</v>
      </c>
      <c r="C4059" s="10">
        <f>IFERROR(__xludf.DUMMYFUNCTION("""COMPUTED_VALUE"""),2558.0)</f>
        <v>2558</v>
      </c>
      <c r="D4059" s="5">
        <f>IFERROR(__xludf.DUMMYFUNCTION("""COMPUTED_VALUE"""),0.3762291577597264)</f>
        <v>0.3762291578</v>
      </c>
      <c r="E4059" s="5">
        <f>IFERROR(__xludf.DUMMYFUNCTION("""COMPUTED_VALUE"""),0.12013681060282172)</f>
        <v>0.1201368106</v>
      </c>
      <c r="F4059" s="5">
        <f>IFERROR(__xludf.DUMMYFUNCTION("""COMPUTED_VALUE"""),0.23129542539546816)</f>
        <v>0.2312954254</v>
      </c>
      <c r="G4059" s="5">
        <f>IFERROR(__xludf.DUMMYFUNCTION("""COMPUTED_VALUE"""),0.18982471141513468)</f>
        <v>0.1898247114</v>
      </c>
      <c r="H4059" s="5">
        <f>IFERROR(__xludf.DUMMYFUNCTION("""COMPUTED_VALUE"""),0.5730129390018485)</f>
        <v>0.573012939</v>
      </c>
      <c r="I4059" s="11">
        <f>IFERROR(__xludf.DUMMYFUNCTION("""COMPUTED_VALUE"""),5624.029574861368)</f>
        <v>5624.029575</v>
      </c>
      <c r="J4059" s="10">
        <f>IFERROR(__xludf.DUMMYFUNCTION("""COMPUTED_VALUE"""),0.0)</f>
        <v>0</v>
      </c>
      <c r="K4059" s="5">
        <f>IFERROR(__xludf.DUMMYFUNCTION("""COMPUTED_VALUE"""),0.0)</f>
        <v>0</v>
      </c>
      <c r="L4059" s="10">
        <f>IFERROR(__xludf.DUMMYFUNCTION("""COMPUTED_VALUE"""),219.0)</f>
        <v>219</v>
      </c>
      <c r="M4059" s="5">
        <f>IFERROR(__xludf.DUMMYFUNCTION("""COMPUTED_VALUE"""),1.0)</f>
        <v>1</v>
      </c>
    </row>
    <row r="4060">
      <c r="A4060" s="10" t="str">
        <f>IFERROR(__xludf.DUMMYFUNCTION("""COMPUTED_VALUE"""),"弱小雀荘店員")</f>
        <v>弱小雀荘店員</v>
      </c>
      <c r="B4060" s="10">
        <f>IFERROR(__xludf.DUMMYFUNCTION("""COMPUTED_VALUE"""),502.0)</f>
        <v>502</v>
      </c>
      <c r="C4060" s="10">
        <f>IFERROR(__xludf.DUMMYFUNCTION("""COMPUTED_VALUE"""),5846.0)</f>
        <v>5846</v>
      </c>
      <c r="D4060" s="5">
        <f>IFERROR(__xludf.DUMMYFUNCTION("""COMPUTED_VALUE"""),0.3536676646706587)</f>
        <v>0.3536676647</v>
      </c>
      <c r="E4060" s="5">
        <f>IFERROR(__xludf.DUMMYFUNCTION("""COMPUTED_VALUE"""),0.12013473053892215)</f>
        <v>0.1201347305</v>
      </c>
      <c r="F4060" s="5">
        <f>IFERROR(__xludf.DUMMYFUNCTION("""COMPUTED_VALUE"""),0.21351047904191617)</f>
        <v>0.213510479</v>
      </c>
      <c r="G4060" s="5">
        <f>IFERROR(__xludf.DUMMYFUNCTION("""COMPUTED_VALUE"""),0.18488023952095808)</f>
        <v>0.1848802395</v>
      </c>
      <c r="H4060" s="5">
        <f>IFERROR(__xludf.DUMMYFUNCTION("""COMPUTED_VALUE"""),0.5898334794040315)</f>
        <v>0.5898334794</v>
      </c>
      <c r="I4060" s="11">
        <f>IFERROR(__xludf.DUMMYFUNCTION("""COMPUTED_VALUE"""),5396.669588080631)</f>
        <v>5396.669588</v>
      </c>
      <c r="J4060" s="10">
        <f>IFERROR(__xludf.DUMMYFUNCTION("""COMPUTED_VALUE"""),0.0)</f>
        <v>0</v>
      </c>
      <c r="K4060" s="5">
        <f>IFERROR(__xludf.DUMMYFUNCTION("""COMPUTED_VALUE"""),0.0)</f>
        <v>0</v>
      </c>
      <c r="L4060" s="10">
        <f>IFERROR(__xludf.DUMMYFUNCTION("""COMPUTED_VALUE"""),475.0)</f>
        <v>475</v>
      </c>
      <c r="M4060" s="5">
        <f>IFERROR(__xludf.DUMMYFUNCTION("""COMPUTED_VALUE"""),0.9462151394422311)</f>
        <v>0.9462151394</v>
      </c>
    </row>
    <row r="4061">
      <c r="A4061" s="10" t="str">
        <f>IFERROR(__xludf.DUMMYFUNCTION("""COMPUTED_VALUE"""),"ddmu")</f>
        <v>ddmu</v>
      </c>
      <c r="B4061" s="10">
        <f>IFERROR(__xludf.DUMMYFUNCTION("""COMPUTED_VALUE"""),1362.0)</f>
        <v>1362</v>
      </c>
      <c r="C4061" s="10">
        <f>IFERROR(__xludf.DUMMYFUNCTION("""COMPUTED_VALUE"""),15938.0)</f>
        <v>15938</v>
      </c>
      <c r="D4061" s="5">
        <f>IFERROR(__xludf.DUMMYFUNCTION("""COMPUTED_VALUE"""),0.3716383095499451)</f>
        <v>0.3716383095</v>
      </c>
      <c r="E4061" s="5">
        <f>IFERROR(__xludf.DUMMYFUNCTION("""COMPUTED_VALUE"""),0.12012897914379803)</f>
        <v>0.1201289791</v>
      </c>
      <c r="F4061" s="5">
        <f>IFERROR(__xludf.DUMMYFUNCTION("""COMPUTED_VALUE"""),0.21020856201975852)</f>
        <v>0.210208562</v>
      </c>
      <c r="G4061" s="5">
        <f>IFERROR(__xludf.DUMMYFUNCTION("""COMPUTED_VALUE"""),0.1734357848518112)</f>
        <v>0.1734357849</v>
      </c>
      <c r="H4061" s="5">
        <f>IFERROR(__xludf.DUMMYFUNCTION("""COMPUTED_VALUE"""),0.6233681462140992)</f>
        <v>0.6233681462</v>
      </c>
      <c r="I4061" s="11">
        <f>IFERROR(__xludf.DUMMYFUNCTION("""COMPUTED_VALUE"""),5602.088772845953)</f>
        <v>5602.088773</v>
      </c>
      <c r="J4061" s="10">
        <f>IFERROR(__xludf.DUMMYFUNCTION("""COMPUTED_VALUE"""),1.0)</f>
        <v>1</v>
      </c>
      <c r="K4061" s="5">
        <f>IFERROR(__xludf.DUMMYFUNCTION("""COMPUTED_VALUE"""),7.342143906020558E-4)</f>
        <v>0.0007342143906</v>
      </c>
      <c r="L4061" s="10">
        <f>IFERROR(__xludf.DUMMYFUNCTION("""COMPUTED_VALUE"""),1362.0)</f>
        <v>1362</v>
      </c>
      <c r="M4061" s="5">
        <f>IFERROR(__xludf.DUMMYFUNCTION("""COMPUTED_VALUE"""),1.0)</f>
        <v>1</v>
      </c>
    </row>
    <row r="4062">
      <c r="A4062" s="10" t="str">
        <f>IFERROR(__xludf.DUMMYFUNCTION("""COMPUTED_VALUE"""),"moe.n")</f>
        <v>moe.n</v>
      </c>
      <c r="B4062" s="10">
        <f>IFERROR(__xludf.DUMMYFUNCTION("""COMPUTED_VALUE"""),2552.0)</f>
        <v>2552</v>
      </c>
      <c r="C4062" s="10">
        <f>IFERROR(__xludf.DUMMYFUNCTION("""COMPUTED_VALUE"""),30081.0)</f>
        <v>30081</v>
      </c>
      <c r="D4062" s="5">
        <f>IFERROR(__xludf.DUMMYFUNCTION("""COMPUTED_VALUE"""),0.4142540593555887)</f>
        <v>0.4142540594</v>
      </c>
      <c r="E4062" s="5">
        <f>IFERROR(__xludf.DUMMYFUNCTION("""COMPUTED_VALUE"""),0.12012786516037632)</f>
        <v>0.1201278652</v>
      </c>
      <c r="F4062" s="5">
        <f>IFERROR(__xludf.DUMMYFUNCTION("""COMPUTED_VALUE"""),0.21148606923607832)</f>
        <v>0.2114860692</v>
      </c>
      <c r="G4062" s="5">
        <f>IFERROR(__xludf.DUMMYFUNCTION("""COMPUTED_VALUE"""),0.15964982382215118)</f>
        <v>0.1596498238</v>
      </c>
      <c r="H4062" s="5">
        <f>IFERROR(__xludf.DUMMYFUNCTION("""COMPUTED_VALUE"""),0.5960151150807282)</f>
        <v>0.5960151151</v>
      </c>
      <c r="I4062" s="11">
        <f>IFERROR(__xludf.DUMMYFUNCTION("""COMPUTED_VALUE"""),5307.26554448643)</f>
        <v>5307.265544</v>
      </c>
      <c r="J4062" s="10">
        <f>IFERROR(__xludf.DUMMYFUNCTION("""COMPUTED_VALUE"""),8.0)</f>
        <v>8</v>
      </c>
      <c r="K4062" s="5">
        <f>IFERROR(__xludf.DUMMYFUNCTION("""COMPUTED_VALUE"""),0.003134796238244514)</f>
        <v>0.003134796238</v>
      </c>
      <c r="L4062" s="10">
        <f>IFERROR(__xludf.DUMMYFUNCTION("""COMPUTED_VALUE"""),30.0)</f>
        <v>30</v>
      </c>
      <c r="M4062" s="5">
        <f>IFERROR(__xludf.DUMMYFUNCTION("""COMPUTED_VALUE"""),0.011755485893416929)</f>
        <v>0.01175548589</v>
      </c>
    </row>
    <row r="4063">
      <c r="A4063" s="10" t="str">
        <f>IFERROR(__xludf.DUMMYFUNCTION("""COMPUTED_VALUE"""),"リコちゃん")</f>
        <v>リコちゃん</v>
      </c>
      <c r="B4063" s="10">
        <f>IFERROR(__xludf.DUMMYFUNCTION("""COMPUTED_VALUE"""),124.0)</f>
        <v>124</v>
      </c>
      <c r="C4063" s="10">
        <f>IFERROR(__xludf.DUMMYFUNCTION("""COMPUTED_VALUE"""),1481.0)</f>
        <v>1481</v>
      </c>
      <c r="D4063" s="5">
        <f>IFERROR(__xludf.DUMMYFUNCTION("""COMPUTED_VALUE"""),0.43257184966838613)</f>
        <v>0.4325718497</v>
      </c>
      <c r="E4063" s="5">
        <f>IFERROR(__xludf.DUMMYFUNCTION("""COMPUTED_VALUE"""),0.12011790714812086)</f>
        <v>0.1201179071</v>
      </c>
      <c r="F4063" s="5">
        <f>IFERROR(__xludf.DUMMYFUNCTION("""COMPUTED_VALUE"""),0.22033898305084745)</f>
        <v>0.2203389831</v>
      </c>
      <c r="G4063" s="5">
        <f>IFERROR(__xludf.DUMMYFUNCTION("""COMPUTED_VALUE"""),0.131171702284451)</f>
        <v>0.1311717023</v>
      </c>
      <c r="H4063" s="5">
        <f>IFERROR(__xludf.DUMMYFUNCTION("""COMPUTED_VALUE"""),0.6588628762541806)</f>
        <v>0.6588628763</v>
      </c>
      <c r="I4063" s="11">
        <f>IFERROR(__xludf.DUMMYFUNCTION("""COMPUTED_VALUE"""),5362.207357859532)</f>
        <v>5362.207358</v>
      </c>
      <c r="J4063" s="10">
        <f>IFERROR(__xludf.DUMMYFUNCTION("""COMPUTED_VALUE"""),0.0)</f>
        <v>0</v>
      </c>
      <c r="K4063" s="5">
        <f>IFERROR(__xludf.DUMMYFUNCTION("""COMPUTED_VALUE"""),0.0)</f>
        <v>0</v>
      </c>
      <c r="L4063" s="10">
        <f>IFERROR(__xludf.DUMMYFUNCTION("""COMPUTED_VALUE"""),124.0)</f>
        <v>124</v>
      </c>
      <c r="M4063" s="5">
        <f>IFERROR(__xludf.DUMMYFUNCTION("""COMPUTED_VALUE"""),1.0)</f>
        <v>1</v>
      </c>
    </row>
    <row r="4064">
      <c r="A4064" s="10" t="str">
        <f>IFERROR(__xludf.DUMMYFUNCTION("""COMPUTED_VALUE"""),"西園寺靖子、")</f>
        <v>西園寺靖子、</v>
      </c>
      <c r="B4064" s="10">
        <f>IFERROR(__xludf.DUMMYFUNCTION("""COMPUTED_VALUE"""),295.0)</f>
        <v>295</v>
      </c>
      <c r="C4064" s="10">
        <f>IFERROR(__xludf.DUMMYFUNCTION("""COMPUTED_VALUE"""),3417.0)</f>
        <v>3417</v>
      </c>
      <c r="D4064" s="5">
        <f>IFERROR(__xludf.DUMMYFUNCTION("""COMPUTED_VALUE"""),0.3542600896860987)</f>
        <v>0.3542600897</v>
      </c>
      <c r="E4064" s="5">
        <f>IFERROR(__xludf.DUMMYFUNCTION("""COMPUTED_VALUE"""),0.12011531069827033)</f>
        <v>0.1201153107</v>
      </c>
      <c r="F4064" s="5">
        <f>IFERROR(__xludf.DUMMYFUNCTION("""COMPUTED_VALUE"""),0.21556694426649584)</f>
        <v>0.2155669443</v>
      </c>
      <c r="G4064" s="5">
        <f>IFERROR(__xludf.DUMMYFUNCTION("""COMPUTED_VALUE"""),0.18353619474695707)</f>
        <v>0.1835361947</v>
      </c>
      <c r="H4064" s="5">
        <f>IFERROR(__xludf.DUMMYFUNCTION("""COMPUTED_VALUE"""),0.6032689450222882)</f>
        <v>0.603268945</v>
      </c>
      <c r="I4064" s="11">
        <f>IFERROR(__xludf.DUMMYFUNCTION("""COMPUTED_VALUE"""),5010.104011887072)</f>
        <v>5010.104012</v>
      </c>
      <c r="J4064" s="10">
        <f>IFERROR(__xludf.DUMMYFUNCTION("""COMPUTED_VALUE"""),0.0)</f>
        <v>0</v>
      </c>
      <c r="K4064" s="5">
        <f>IFERROR(__xludf.DUMMYFUNCTION("""COMPUTED_VALUE"""),0.0)</f>
        <v>0</v>
      </c>
      <c r="L4064" s="10">
        <f>IFERROR(__xludf.DUMMYFUNCTION("""COMPUTED_VALUE"""),0.0)</f>
        <v>0</v>
      </c>
      <c r="M4064" s="5">
        <f>IFERROR(__xludf.DUMMYFUNCTION("""COMPUTED_VALUE"""),0.0)</f>
        <v>0</v>
      </c>
    </row>
    <row r="4065">
      <c r="A4065" s="10" t="str">
        <f>IFERROR(__xludf.DUMMYFUNCTION("""COMPUTED_VALUE"""),"MKZ")</f>
        <v>MKZ</v>
      </c>
      <c r="B4065" s="10">
        <f>IFERROR(__xludf.DUMMYFUNCTION("""COMPUTED_VALUE"""),197.0)</f>
        <v>197</v>
      </c>
      <c r="C4065" s="10">
        <f>IFERROR(__xludf.DUMMYFUNCTION("""COMPUTED_VALUE"""),2295.0)</f>
        <v>2295</v>
      </c>
      <c r="D4065" s="5">
        <f>IFERROR(__xludf.DUMMYFUNCTION("""COMPUTED_VALUE"""),0.3284080076263108)</f>
        <v>0.3284080076</v>
      </c>
      <c r="E4065" s="5">
        <f>IFERROR(__xludf.DUMMYFUNCTION("""COMPUTED_VALUE"""),0.12011439466158245)</f>
        <v>0.1201143947</v>
      </c>
      <c r="F4065" s="5">
        <f>IFERROR(__xludf.DUMMYFUNCTION("""COMPUTED_VALUE"""),0.19685414680648236)</f>
        <v>0.1968541468</v>
      </c>
      <c r="G4065" s="5">
        <f>IFERROR(__xludf.DUMMYFUNCTION("""COMPUTED_VALUE"""),0.18255481410867494)</f>
        <v>0.1825548141</v>
      </c>
      <c r="H4065" s="5">
        <f>IFERROR(__xludf.DUMMYFUNCTION("""COMPUTED_VALUE"""),0.6053268765133172)</f>
        <v>0.6053268765</v>
      </c>
      <c r="I4065" s="11">
        <f>IFERROR(__xludf.DUMMYFUNCTION("""COMPUTED_VALUE"""),5951.573849878934)</f>
        <v>5951.57385</v>
      </c>
      <c r="J4065" s="10">
        <f>IFERROR(__xludf.DUMMYFUNCTION("""COMPUTED_VALUE"""),1.0)</f>
        <v>1</v>
      </c>
      <c r="K4065" s="5">
        <f>IFERROR(__xludf.DUMMYFUNCTION("""COMPUTED_VALUE"""),0.005076142131979695)</f>
        <v>0.005076142132</v>
      </c>
      <c r="L4065" s="10">
        <f>IFERROR(__xludf.DUMMYFUNCTION("""COMPUTED_VALUE"""),197.0)</f>
        <v>197</v>
      </c>
      <c r="M4065" s="5">
        <f>IFERROR(__xludf.DUMMYFUNCTION("""COMPUTED_VALUE"""),1.0)</f>
        <v>1</v>
      </c>
    </row>
    <row r="4066">
      <c r="A4066" s="10" t="str">
        <f>IFERROR(__xludf.DUMMYFUNCTION("""COMPUTED_VALUE"""),"くろふねtk")</f>
        <v>くろふねtk</v>
      </c>
      <c r="B4066" s="10">
        <f>IFERROR(__xludf.DUMMYFUNCTION("""COMPUTED_VALUE"""),313.0)</f>
        <v>313</v>
      </c>
      <c r="C4066" s="10">
        <f>IFERROR(__xludf.DUMMYFUNCTION("""COMPUTED_VALUE"""),3660.0)</f>
        <v>3660</v>
      </c>
      <c r="D4066" s="5">
        <f>IFERROR(__xludf.DUMMYFUNCTION("""COMPUTED_VALUE"""),0.34448760083657004)</f>
        <v>0.3444876008</v>
      </c>
      <c r="E4066" s="5">
        <f>IFERROR(__xludf.DUMMYFUNCTION("""COMPUTED_VALUE"""),0.12010755900806692)</f>
        <v>0.120107559</v>
      </c>
      <c r="F4066" s="5">
        <f>IFERROR(__xludf.DUMMYFUNCTION("""COMPUTED_VALUE"""),0.23453839259037945)</f>
        <v>0.2345383926</v>
      </c>
      <c r="G4066" s="5">
        <f>IFERROR(__xludf.DUMMYFUNCTION("""COMPUTED_VALUE"""),0.19330743949805795)</f>
        <v>0.1933074395</v>
      </c>
      <c r="H4066" s="5">
        <f>IFERROR(__xludf.DUMMYFUNCTION("""COMPUTED_VALUE"""),0.5987261146496815)</f>
        <v>0.5987261146</v>
      </c>
      <c r="I4066" s="11">
        <f>IFERROR(__xludf.DUMMYFUNCTION("""COMPUTED_VALUE"""),5374.140127388535)</f>
        <v>5374.140127</v>
      </c>
      <c r="J4066" s="10">
        <f>IFERROR(__xludf.DUMMYFUNCTION("""COMPUTED_VALUE"""),1.0)</f>
        <v>1</v>
      </c>
      <c r="K4066" s="5">
        <f>IFERROR(__xludf.DUMMYFUNCTION("""COMPUTED_VALUE"""),0.003194888178913738)</f>
        <v>0.003194888179</v>
      </c>
      <c r="L4066" s="10">
        <f>IFERROR(__xludf.DUMMYFUNCTION("""COMPUTED_VALUE"""),313.0)</f>
        <v>313</v>
      </c>
      <c r="M4066" s="5">
        <f>IFERROR(__xludf.DUMMYFUNCTION("""COMPUTED_VALUE"""),1.0)</f>
        <v>1</v>
      </c>
    </row>
    <row r="4067">
      <c r="A4067" s="10" t="str">
        <f>IFERROR(__xludf.DUMMYFUNCTION("""COMPUTED_VALUE"""),"Flere")</f>
        <v>Flere</v>
      </c>
      <c r="B4067" s="10">
        <f>IFERROR(__xludf.DUMMYFUNCTION("""COMPUTED_VALUE"""),240.0)</f>
        <v>240</v>
      </c>
      <c r="C4067" s="10">
        <f>IFERROR(__xludf.DUMMYFUNCTION("""COMPUTED_VALUE"""),2846.0)</f>
        <v>2846</v>
      </c>
      <c r="D4067" s="5">
        <f>IFERROR(__xludf.DUMMYFUNCTION("""COMPUTED_VALUE"""),0.3614735226400614)</f>
        <v>0.3614735226</v>
      </c>
      <c r="E4067" s="5">
        <f>IFERROR(__xludf.DUMMYFUNCTION("""COMPUTED_VALUE"""),0.12010744435917114)</f>
        <v>0.1201074444</v>
      </c>
      <c r="F4067" s="5">
        <f>IFERROR(__xludf.DUMMYFUNCTION("""COMPUTED_VALUE"""),0.21335379892555642)</f>
        <v>0.2133537989</v>
      </c>
      <c r="G4067" s="5">
        <f>IFERROR(__xludf.DUMMYFUNCTION("""COMPUTED_VALUE"""),0.15656178050652342)</f>
        <v>0.1565617805</v>
      </c>
      <c r="H4067" s="5">
        <f>IFERROR(__xludf.DUMMYFUNCTION("""COMPUTED_VALUE"""),0.6151079136690647)</f>
        <v>0.6151079137</v>
      </c>
      <c r="I4067" s="11">
        <f>IFERROR(__xludf.DUMMYFUNCTION("""COMPUTED_VALUE"""),5247.841726618705)</f>
        <v>5247.841727</v>
      </c>
      <c r="J4067" s="10">
        <f>IFERROR(__xludf.DUMMYFUNCTION("""COMPUTED_VALUE"""),0.0)</f>
        <v>0</v>
      </c>
      <c r="K4067" s="5">
        <f>IFERROR(__xludf.DUMMYFUNCTION("""COMPUTED_VALUE"""),0.0)</f>
        <v>0</v>
      </c>
      <c r="L4067" s="10">
        <f>IFERROR(__xludf.DUMMYFUNCTION("""COMPUTED_VALUE"""),240.0)</f>
        <v>240</v>
      </c>
      <c r="M4067" s="5">
        <f>IFERROR(__xludf.DUMMYFUNCTION("""COMPUTED_VALUE"""),1.0)</f>
        <v>1</v>
      </c>
    </row>
    <row r="4068">
      <c r="A4068" s="10" t="str">
        <f>IFERROR(__xludf.DUMMYFUNCTION("""COMPUTED_VALUE"""),"ポイズン")</f>
        <v>ポイズン</v>
      </c>
      <c r="B4068" s="10">
        <f>IFERROR(__xludf.DUMMYFUNCTION("""COMPUTED_VALUE"""),1302.0)</f>
        <v>1302</v>
      </c>
      <c r="C4068" s="10">
        <f>IFERROR(__xludf.DUMMYFUNCTION("""COMPUTED_VALUE"""),15107.0)</f>
        <v>15107</v>
      </c>
      <c r="D4068" s="5">
        <f>IFERROR(__xludf.DUMMYFUNCTION("""COMPUTED_VALUE"""),0.36110105034407824)</f>
        <v>0.3611010503</v>
      </c>
      <c r="E4068" s="5">
        <f>IFERROR(__xludf.DUMMYFUNCTION("""COMPUTED_VALUE"""),0.12010141253169142)</f>
        <v>0.1201014125</v>
      </c>
      <c r="F4068" s="5">
        <f>IFERROR(__xludf.DUMMYFUNCTION("""COMPUTED_VALUE"""),0.21282144150670046)</f>
        <v>0.2128214415</v>
      </c>
      <c r="G4068" s="5">
        <f>IFERROR(__xludf.DUMMYFUNCTION("""COMPUTED_VALUE"""),0.15921767475552337)</f>
        <v>0.1592176748</v>
      </c>
      <c r="H4068" s="5">
        <f>IFERROR(__xludf.DUMMYFUNCTION("""COMPUTED_VALUE"""),0.5932607215793056)</f>
        <v>0.5932607216</v>
      </c>
      <c r="I4068" s="11">
        <f>IFERROR(__xludf.DUMMYFUNCTION("""COMPUTED_VALUE"""),5837.985023825732)</f>
        <v>5837.985024</v>
      </c>
      <c r="J4068" s="10">
        <f>IFERROR(__xludf.DUMMYFUNCTION("""COMPUTED_VALUE"""),3.0)</f>
        <v>3</v>
      </c>
      <c r="K4068" s="5">
        <f>IFERROR(__xludf.DUMMYFUNCTION("""COMPUTED_VALUE"""),0.002304147465437788)</f>
        <v>0.002304147465</v>
      </c>
      <c r="L4068" s="10">
        <f>IFERROR(__xludf.DUMMYFUNCTION("""COMPUTED_VALUE"""),1302.0)</f>
        <v>1302</v>
      </c>
      <c r="M4068" s="5">
        <f>IFERROR(__xludf.DUMMYFUNCTION("""COMPUTED_VALUE"""),1.0)</f>
        <v>1</v>
      </c>
    </row>
    <row r="4069">
      <c r="A4069" s="10" t="str">
        <f>IFERROR(__xludf.DUMMYFUNCTION("""COMPUTED_VALUE"""),"＊イッパツ＊")</f>
        <v>＊イッパツ＊</v>
      </c>
      <c r="B4069" s="10">
        <f>IFERROR(__xludf.DUMMYFUNCTION("""COMPUTED_VALUE"""),496.0)</f>
        <v>496</v>
      </c>
      <c r="C4069" s="10">
        <f>IFERROR(__xludf.DUMMYFUNCTION("""COMPUTED_VALUE"""),5817.0)</f>
        <v>5817</v>
      </c>
      <c r="D4069" s="5">
        <f>IFERROR(__xludf.DUMMYFUNCTION("""COMPUTED_VALUE"""),0.29994361962037214)</f>
        <v>0.2999436196</v>
      </c>
      <c r="E4069" s="5">
        <f>IFERROR(__xludf.DUMMYFUNCTION("""COMPUTED_VALUE"""),0.12009020860740462)</f>
        <v>0.1200902086</v>
      </c>
      <c r="F4069" s="5">
        <f>IFERROR(__xludf.DUMMYFUNCTION("""COMPUTED_VALUE"""),0.19808306709265175)</f>
        <v>0.1980830671</v>
      </c>
      <c r="G4069" s="5">
        <f>IFERROR(__xludf.DUMMYFUNCTION("""COMPUTED_VALUE"""),0.1454613794399549)</f>
        <v>0.1454613794</v>
      </c>
      <c r="H4069" s="5">
        <f>IFERROR(__xludf.DUMMYFUNCTION("""COMPUTED_VALUE"""),0.5929791271347249)</f>
        <v>0.5929791271</v>
      </c>
      <c r="I4069" s="11">
        <f>IFERROR(__xludf.DUMMYFUNCTION("""COMPUTED_VALUE"""),5825.426944971537)</f>
        <v>5825.426945</v>
      </c>
      <c r="J4069" s="10">
        <f>IFERROR(__xludf.DUMMYFUNCTION("""COMPUTED_VALUE"""),0.0)</f>
        <v>0</v>
      </c>
      <c r="K4069" s="5">
        <f>IFERROR(__xludf.DUMMYFUNCTION("""COMPUTED_VALUE"""),0.0)</f>
        <v>0</v>
      </c>
      <c r="L4069" s="10">
        <f>IFERROR(__xludf.DUMMYFUNCTION("""COMPUTED_VALUE"""),496.0)</f>
        <v>496</v>
      </c>
      <c r="M4069" s="5">
        <f>IFERROR(__xludf.DUMMYFUNCTION("""COMPUTED_VALUE"""),1.0)</f>
        <v>1</v>
      </c>
    </row>
    <row r="4070">
      <c r="A4070" s="10" t="str">
        <f>IFERROR(__xludf.DUMMYFUNCTION("""COMPUTED_VALUE"""),"きききりんです。")</f>
        <v>きききりんです。</v>
      </c>
      <c r="B4070" s="10">
        <f>IFERROR(__xludf.DUMMYFUNCTION("""COMPUTED_VALUE"""),1015.0)</f>
        <v>1015</v>
      </c>
      <c r="C4070" s="10">
        <f>IFERROR(__xludf.DUMMYFUNCTION("""COMPUTED_VALUE"""),11932.0)</f>
        <v>11932</v>
      </c>
      <c r="D4070" s="5">
        <f>IFERROR(__xludf.DUMMYFUNCTION("""COMPUTED_VALUE"""),0.3570577997618393)</f>
        <v>0.3570577998</v>
      </c>
      <c r="E4070" s="5">
        <f>IFERROR(__xludf.DUMMYFUNCTION("""COMPUTED_VALUE"""),0.1200879362462215)</f>
        <v>0.1200879362</v>
      </c>
      <c r="F4070" s="5">
        <f>IFERROR(__xludf.DUMMYFUNCTION("""COMPUTED_VALUE"""),0.2144362004213612)</f>
        <v>0.2144362004</v>
      </c>
      <c r="G4070" s="5">
        <f>IFERROR(__xludf.DUMMYFUNCTION("""COMPUTED_VALUE"""),0.14170559677567096)</f>
        <v>0.1417055968</v>
      </c>
      <c r="H4070" s="5">
        <f>IFERROR(__xludf.DUMMYFUNCTION("""COMPUTED_VALUE"""),0.6048697137975224)</f>
        <v>0.6048697138</v>
      </c>
      <c r="I4070" s="11">
        <f>IFERROR(__xludf.DUMMYFUNCTION("""COMPUTED_VALUE"""),5296.4972234088)</f>
        <v>5296.497223</v>
      </c>
      <c r="J4070" s="10">
        <f>IFERROR(__xludf.DUMMYFUNCTION("""COMPUTED_VALUE"""),1.0)</f>
        <v>1</v>
      </c>
      <c r="K4070" s="5">
        <f>IFERROR(__xludf.DUMMYFUNCTION("""COMPUTED_VALUE"""),9.852216748768472E-4)</f>
        <v>0.0009852216749</v>
      </c>
      <c r="L4070" s="10">
        <f>IFERROR(__xludf.DUMMYFUNCTION("""COMPUTED_VALUE"""),1015.0)</f>
        <v>1015</v>
      </c>
      <c r="M4070" s="5">
        <f>IFERROR(__xludf.DUMMYFUNCTION("""COMPUTED_VALUE"""),1.0)</f>
        <v>1</v>
      </c>
    </row>
    <row r="4071">
      <c r="A4071" s="10" t="str">
        <f>IFERROR(__xludf.DUMMYFUNCTION("""COMPUTED_VALUE"""),"えぞじろう")</f>
        <v>えぞじろう</v>
      </c>
      <c r="B4071" s="10">
        <f>IFERROR(__xludf.DUMMYFUNCTION("""COMPUTED_VALUE"""),1273.0)</f>
        <v>1273</v>
      </c>
      <c r="C4071" s="10">
        <f>IFERROR(__xludf.DUMMYFUNCTION("""COMPUTED_VALUE"""),14897.0)</f>
        <v>14897</v>
      </c>
      <c r="D4071" s="5">
        <f>IFERROR(__xludf.DUMMYFUNCTION("""COMPUTED_VALUE"""),0.303508514386377)</f>
        <v>0.3035085144</v>
      </c>
      <c r="E4071" s="5">
        <f>IFERROR(__xludf.DUMMYFUNCTION("""COMPUTED_VALUE"""),0.1200822078684674)</f>
        <v>0.1200822079</v>
      </c>
      <c r="F4071" s="5">
        <f>IFERROR(__xludf.DUMMYFUNCTION("""COMPUTED_VALUE"""),0.2124192601291838)</f>
        <v>0.2124192601</v>
      </c>
      <c r="G4071" s="5">
        <f>IFERROR(__xludf.DUMMYFUNCTION("""COMPUTED_VALUE"""),0.162507339988256)</f>
        <v>0.16250734</v>
      </c>
      <c r="H4071" s="5">
        <f>IFERROR(__xludf.DUMMYFUNCTION("""COMPUTED_VALUE"""),0.600898410504492)</f>
        <v>0.6008984105</v>
      </c>
      <c r="I4071" s="11">
        <f>IFERROR(__xludf.DUMMYFUNCTION("""COMPUTED_VALUE"""),5495.093296475467)</f>
        <v>5495.093296</v>
      </c>
      <c r="J4071" s="10">
        <f>IFERROR(__xludf.DUMMYFUNCTION("""COMPUTED_VALUE"""),6.0)</f>
        <v>6</v>
      </c>
      <c r="K4071" s="5">
        <f>IFERROR(__xludf.DUMMYFUNCTION("""COMPUTED_VALUE"""),0.004713275726630008)</f>
        <v>0.004713275727</v>
      </c>
      <c r="L4071" s="10">
        <f>IFERROR(__xludf.DUMMYFUNCTION("""COMPUTED_VALUE"""),1273.0)</f>
        <v>1273</v>
      </c>
      <c r="M4071" s="5">
        <f>IFERROR(__xludf.DUMMYFUNCTION("""COMPUTED_VALUE"""),1.0)</f>
        <v>1</v>
      </c>
    </row>
    <row r="4072">
      <c r="A4072" s="10" t="str">
        <f>IFERROR(__xludf.DUMMYFUNCTION("""COMPUTED_VALUE"""),"楽しんご")</f>
        <v>楽しんご</v>
      </c>
      <c r="B4072" s="10">
        <f>IFERROR(__xludf.DUMMYFUNCTION("""COMPUTED_VALUE"""),147.0)</f>
        <v>147</v>
      </c>
      <c r="C4072" s="10">
        <f>IFERROR(__xludf.DUMMYFUNCTION("""COMPUTED_VALUE"""),1696.0)</f>
        <v>1696</v>
      </c>
      <c r="D4072" s="5">
        <f>IFERROR(__xludf.DUMMYFUNCTION("""COMPUTED_VALUE"""),0.29761136216914136)</f>
        <v>0.2976113622</v>
      </c>
      <c r="E4072" s="5">
        <f>IFERROR(__xludf.DUMMYFUNCTION("""COMPUTED_VALUE"""),0.12007746933505488)</f>
        <v>0.1200774693</v>
      </c>
      <c r="F4072" s="5">
        <f>IFERROR(__xludf.DUMMYFUNCTION("""COMPUTED_VALUE"""),0.17301484828921884)</f>
        <v>0.1730148483</v>
      </c>
      <c r="G4072" s="5">
        <f>IFERROR(__xludf.DUMMYFUNCTION("""COMPUTED_VALUE"""),0.1852808263395739)</f>
        <v>0.1852808263</v>
      </c>
      <c r="H4072" s="5">
        <f>IFERROR(__xludf.DUMMYFUNCTION("""COMPUTED_VALUE"""),0.6119402985074627)</f>
        <v>0.6119402985</v>
      </c>
      <c r="I4072" s="11">
        <f>IFERROR(__xludf.DUMMYFUNCTION("""COMPUTED_VALUE"""),6114.55223880597)</f>
        <v>6114.552239</v>
      </c>
      <c r="J4072" s="10">
        <f>IFERROR(__xludf.DUMMYFUNCTION("""COMPUTED_VALUE"""),0.0)</f>
        <v>0</v>
      </c>
      <c r="K4072" s="5">
        <f>IFERROR(__xludf.DUMMYFUNCTION("""COMPUTED_VALUE"""),0.0)</f>
        <v>0</v>
      </c>
      <c r="L4072" s="10">
        <f>IFERROR(__xludf.DUMMYFUNCTION("""COMPUTED_VALUE"""),147.0)</f>
        <v>147</v>
      </c>
      <c r="M4072" s="5">
        <f>IFERROR(__xludf.DUMMYFUNCTION("""COMPUTED_VALUE"""),1.0)</f>
        <v>1</v>
      </c>
    </row>
    <row r="4073">
      <c r="A4073" s="10" t="str">
        <f>IFERROR(__xludf.DUMMYFUNCTION("""COMPUTED_VALUE"""),"佐々木彩夏")</f>
        <v>佐々木彩夏</v>
      </c>
      <c r="B4073" s="10">
        <f>IFERROR(__xludf.DUMMYFUNCTION("""COMPUTED_VALUE"""),425.0)</f>
        <v>425</v>
      </c>
      <c r="C4073" s="10">
        <f>IFERROR(__xludf.DUMMYFUNCTION("""COMPUTED_VALUE"""),4989.0)</f>
        <v>4989</v>
      </c>
      <c r="D4073" s="5">
        <f>IFERROR(__xludf.DUMMYFUNCTION("""COMPUTED_VALUE"""),0.31178790534618755)</f>
        <v>0.3117879053</v>
      </c>
      <c r="E4073" s="5">
        <f>IFERROR(__xludf.DUMMYFUNCTION("""COMPUTED_VALUE"""),0.1200701139351446)</f>
        <v>0.1200701139</v>
      </c>
      <c r="F4073" s="5">
        <f>IFERROR(__xludf.DUMMYFUNCTION("""COMPUTED_VALUE"""),0.20836985100788782)</f>
        <v>0.208369851</v>
      </c>
      <c r="G4073" s="5">
        <f>IFERROR(__xludf.DUMMYFUNCTION("""COMPUTED_VALUE"""),0.1691498685363716)</f>
        <v>0.1691498685</v>
      </c>
      <c r="H4073" s="5">
        <f>IFERROR(__xludf.DUMMYFUNCTION("""COMPUTED_VALUE"""),0.6214511041009464)</f>
        <v>0.6214511041</v>
      </c>
      <c r="I4073" s="11">
        <f>IFERROR(__xludf.DUMMYFUNCTION("""COMPUTED_VALUE"""),5357.308096740273)</f>
        <v>5357.308097</v>
      </c>
      <c r="J4073" s="10">
        <f>IFERROR(__xludf.DUMMYFUNCTION("""COMPUTED_VALUE"""),2.0)</f>
        <v>2</v>
      </c>
      <c r="K4073" s="5">
        <f>IFERROR(__xludf.DUMMYFUNCTION("""COMPUTED_VALUE"""),0.004705882352941176)</f>
        <v>0.004705882353</v>
      </c>
      <c r="L4073" s="10">
        <f>IFERROR(__xludf.DUMMYFUNCTION("""COMPUTED_VALUE"""),0.0)</f>
        <v>0</v>
      </c>
      <c r="M4073" s="5">
        <f>IFERROR(__xludf.DUMMYFUNCTION("""COMPUTED_VALUE"""),0.0)</f>
        <v>0</v>
      </c>
    </row>
    <row r="4074">
      <c r="A4074" s="10" t="str">
        <f>IFERROR(__xludf.DUMMYFUNCTION("""COMPUTED_VALUE"""),"盗賊ぬこ")</f>
        <v>盗賊ぬこ</v>
      </c>
      <c r="B4074" s="10">
        <f>IFERROR(__xludf.DUMMYFUNCTION("""COMPUTED_VALUE"""),229.0)</f>
        <v>229</v>
      </c>
      <c r="C4074" s="10">
        <f>IFERROR(__xludf.DUMMYFUNCTION("""COMPUTED_VALUE"""),2686.0)</f>
        <v>2686</v>
      </c>
      <c r="D4074" s="5">
        <f>IFERROR(__xludf.DUMMYFUNCTION("""COMPUTED_VALUE"""),0.3333333333333333)</f>
        <v>0.3333333333</v>
      </c>
      <c r="E4074" s="5">
        <f>IFERROR(__xludf.DUMMYFUNCTION("""COMPUTED_VALUE"""),0.12006512006512006)</f>
        <v>0.1200651201</v>
      </c>
      <c r="F4074" s="5">
        <f>IFERROR(__xludf.DUMMYFUNCTION("""COMPUTED_VALUE"""),0.19129019129019129)</f>
        <v>0.1912901913</v>
      </c>
      <c r="G4074" s="5">
        <f>IFERROR(__xludf.DUMMYFUNCTION("""COMPUTED_VALUE"""),0.14774114774114774)</f>
        <v>0.1477411477</v>
      </c>
      <c r="H4074" s="5">
        <f>IFERROR(__xludf.DUMMYFUNCTION("""COMPUTED_VALUE"""),0.5914893617021276)</f>
        <v>0.5914893617</v>
      </c>
      <c r="I4074" s="11">
        <f>IFERROR(__xludf.DUMMYFUNCTION("""COMPUTED_VALUE"""),5541.276595744681)</f>
        <v>5541.276596</v>
      </c>
      <c r="J4074" s="10">
        <f>IFERROR(__xludf.DUMMYFUNCTION("""COMPUTED_VALUE"""),0.0)</f>
        <v>0</v>
      </c>
      <c r="K4074" s="5">
        <f>IFERROR(__xludf.DUMMYFUNCTION("""COMPUTED_VALUE"""),0.0)</f>
        <v>0</v>
      </c>
      <c r="L4074" s="10">
        <f>IFERROR(__xludf.DUMMYFUNCTION("""COMPUTED_VALUE"""),218.0)</f>
        <v>218</v>
      </c>
      <c r="M4074" s="5">
        <f>IFERROR(__xludf.DUMMYFUNCTION("""COMPUTED_VALUE"""),0.9519650655021834)</f>
        <v>0.9519650655</v>
      </c>
    </row>
    <row r="4075">
      <c r="A4075" s="10" t="str">
        <f>IFERROR(__xludf.DUMMYFUNCTION("""COMPUTED_VALUE"""),"muumuu")</f>
        <v>muumuu</v>
      </c>
      <c r="B4075" s="10">
        <f>IFERROR(__xludf.DUMMYFUNCTION("""COMPUTED_VALUE"""),168.0)</f>
        <v>168</v>
      </c>
      <c r="C4075" s="10">
        <f>IFERROR(__xludf.DUMMYFUNCTION("""COMPUTED_VALUE"""),2067.0)</f>
        <v>2067</v>
      </c>
      <c r="D4075" s="5">
        <f>IFERROR(__xludf.DUMMYFUNCTION("""COMPUTED_VALUE"""),0.24223275408109532)</f>
        <v>0.2422327541</v>
      </c>
      <c r="E4075" s="5">
        <f>IFERROR(__xludf.DUMMYFUNCTION("""COMPUTED_VALUE"""),0.12006319115323855)</f>
        <v>0.1200631912</v>
      </c>
      <c r="F4075" s="5">
        <f>IFERROR(__xludf.DUMMYFUNCTION("""COMPUTED_VALUE"""),0.20063191153238547)</f>
        <v>0.2006319115</v>
      </c>
      <c r="G4075" s="5">
        <f>IFERROR(__xludf.DUMMYFUNCTION("""COMPUTED_VALUE"""),0.1664033701948394)</f>
        <v>0.1664033702</v>
      </c>
      <c r="H4075" s="5">
        <f>IFERROR(__xludf.DUMMYFUNCTION("""COMPUTED_VALUE"""),0.5511811023622047)</f>
        <v>0.5511811024</v>
      </c>
      <c r="I4075" s="11">
        <f>IFERROR(__xludf.DUMMYFUNCTION("""COMPUTED_VALUE"""),5787.926509186352)</f>
        <v>5787.926509</v>
      </c>
      <c r="J4075" s="10">
        <f>IFERROR(__xludf.DUMMYFUNCTION("""COMPUTED_VALUE"""),0.0)</f>
        <v>0</v>
      </c>
      <c r="K4075" s="5">
        <f>IFERROR(__xludf.DUMMYFUNCTION("""COMPUTED_VALUE"""),0.0)</f>
        <v>0</v>
      </c>
      <c r="L4075" s="10">
        <f>IFERROR(__xludf.DUMMYFUNCTION("""COMPUTED_VALUE"""),0.0)</f>
        <v>0</v>
      </c>
      <c r="M4075" s="5">
        <f>IFERROR(__xludf.DUMMYFUNCTION("""COMPUTED_VALUE"""),0.0)</f>
        <v>0</v>
      </c>
    </row>
    <row r="4076">
      <c r="A4076" s="10" t="str">
        <f>IFERROR(__xludf.DUMMYFUNCTION("""COMPUTED_VALUE"""),"ふかしん")</f>
        <v>ふかしん</v>
      </c>
      <c r="B4076" s="10">
        <f>IFERROR(__xludf.DUMMYFUNCTION("""COMPUTED_VALUE"""),131.0)</f>
        <v>131</v>
      </c>
      <c r="C4076" s="10">
        <f>IFERROR(__xludf.DUMMYFUNCTION("""COMPUTED_VALUE"""),1497.0)</f>
        <v>1497</v>
      </c>
      <c r="D4076" s="5">
        <f>IFERROR(__xludf.DUMMYFUNCTION("""COMPUTED_VALUE"""),0.37774524158125916)</f>
        <v>0.3777452416</v>
      </c>
      <c r="E4076" s="5">
        <f>IFERROR(__xludf.DUMMYFUNCTION("""COMPUTED_VALUE"""),0.12005856515373353)</f>
        <v>0.1200585652</v>
      </c>
      <c r="F4076" s="5">
        <f>IFERROR(__xludf.DUMMYFUNCTION("""COMPUTED_VALUE"""),0.2232796486090776)</f>
        <v>0.2232796486</v>
      </c>
      <c r="G4076" s="5">
        <f>IFERROR(__xludf.DUMMYFUNCTION("""COMPUTED_VALUE"""),0.14641288433382138)</f>
        <v>0.1464128843</v>
      </c>
      <c r="H4076" s="5">
        <f>IFERROR(__xludf.DUMMYFUNCTION("""COMPUTED_VALUE"""),0.5704918032786885)</f>
        <v>0.5704918033</v>
      </c>
      <c r="I4076" s="11">
        <f>IFERROR(__xludf.DUMMYFUNCTION("""COMPUTED_VALUE"""),5993.770491803279)</f>
        <v>5993.770492</v>
      </c>
      <c r="J4076" s="10">
        <f>IFERROR(__xludf.DUMMYFUNCTION("""COMPUTED_VALUE"""),0.0)</f>
        <v>0</v>
      </c>
      <c r="K4076" s="5">
        <f>IFERROR(__xludf.DUMMYFUNCTION("""COMPUTED_VALUE"""),0.0)</f>
        <v>0</v>
      </c>
      <c r="L4076" s="10">
        <f>IFERROR(__xludf.DUMMYFUNCTION("""COMPUTED_VALUE"""),131.0)</f>
        <v>131</v>
      </c>
      <c r="M4076" s="5">
        <f>IFERROR(__xludf.DUMMYFUNCTION("""COMPUTED_VALUE"""),1.0)</f>
        <v>1</v>
      </c>
    </row>
    <row r="4077">
      <c r="A4077" s="10" t="str">
        <f>IFERROR(__xludf.DUMMYFUNCTION("""COMPUTED_VALUE"""),"大天使マミ")</f>
        <v>大天使マミ</v>
      </c>
      <c r="B4077" s="10">
        <f>IFERROR(__xludf.DUMMYFUNCTION("""COMPUTED_VALUE"""),191.0)</f>
        <v>191</v>
      </c>
      <c r="C4077" s="10">
        <f>IFERROR(__xludf.DUMMYFUNCTION("""COMPUTED_VALUE"""),2265.0)</f>
        <v>2265</v>
      </c>
      <c r="D4077" s="5">
        <f>IFERROR(__xludf.DUMMYFUNCTION("""COMPUTED_VALUE"""),0.3052073288331726)</f>
        <v>0.3052073288</v>
      </c>
      <c r="E4077" s="5">
        <f>IFERROR(__xludf.DUMMYFUNCTION("""COMPUTED_VALUE"""),0.12005785920925748)</f>
        <v>0.1200578592</v>
      </c>
      <c r="F4077" s="5">
        <f>IFERROR(__xludf.DUMMYFUNCTION("""COMPUTED_VALUE"""),0.19382835101253615)</f>
        <v>0.193828351</v>
      </c>
      <c r="G4077" s="5">
        <f>IFERROR(__xludf.DUMMYFUNCTION("""COMPUTED_VALUE"""),0.1750241080038573)</f>
        <v>0.175024108</v>
      </c>
      <c r="H4077" s="5">
        <f>IFERROR(__xludf.DUMMYFUNCTION("""COMPUTED_VALUE"""),0.5522388059701493)</f>
        <v>0.552238806</v>
      </c>
      <c r="I4077" s="11">
        <f>IFERROR(__xludf.DUMMYFUNCTION("""COMPUTED_VALUE"""),6032.587064676617)</f>
        <v>6032.587065</v>
      </c>
      <c r="J4077" s="10">
        <f>IFERROR(__xludf.DUMMYFUNCTION("""COMPUTED_VALUE"""),0.0)</f>
        <v>0</v>
      </c>
      <c r="K4077" s="5">
        <f>IFERROR(__xludf.DUMMYFUNCTION("""COMPUTED_VALUE"""),0.0)</f>
        <v>0</v>
      </c>
      <c r="L4077" s="10">
        <f>IFERROR(__xludf.DUMMYFUNCTION("""COMPUTED_VALUE"""),0.0)</f>
        <v>0</v>
      </c>
      <c r="M4077" s="5">
        <f>IFERROR(__xludf.DUMMYFUNCTION("""COMPUTED_VALUE"""),0.0)</f>
        <v>0</v>
      </c>
    </row>
    <row r="4078">
      <c r="A4078" s="10" t="str">
        <f>IFERROR(__xludf.DUMMYFUNCTION("""COMPUTED_VALUE"""),"ハマノブルク")</f>
        <v>ハマノブルク</v>
      </c>
      <c r="B4078" s="10">
        <f>IFERROR(__xludf.DUMMYFUNCTION("""COMPUTED_VALUE"""),1068.0)</f>
        <v>1068</v>
      </c>
      <c r="C4078" s="10">
        <f>IFERROR(__xludf.DUMMYFUNCTION("""COMPUTED_VALUE"""),12521.0)</f>
        <v>12521</v>
      </c>
      <c r="D4078" s="5">
        <f>IFERROR(__xludf.DUMMYFUNCTION("""COMPUTED_VALUE"""),0.348642277132629)</f>
        <v>0.3486422771</v>
      </c>
      <c r="E4078" s="5">
        <f>IFERROR(__xludf.DUMMYFUNCTION("""COMPUTED_VALUE"""),0.12005588055531302)</f>
        <v>0.1200558806</v>
      </c>
      <c r="F4078" s="5">
        <f>IFERROR(__xludf.DUMMYFUNCTION("""COMPUTED_VALUE"""),0.21103640967432113)</f>
        <v>0.2110364097</v>
      </c>
      <c r="G4078" s="5">
        <f>IFERROR(__xludf.DUMMYFUNCTION("""COMPUTED_VALUE"""),0.1504409325067668)</f>
        <v>0.1504409325</v>
      </c>
      <c r="H4078" s="5">
        <f>IFERROR(__xludf.DUMMYFUNCTION("""COMPUTED_VALUE"""),0.5779892428630534)</f>
        <v>0.5779892429</v>
      </c>
      <c r="I4078" s="11">
        <f>IFERROR(__xludf.DUMMYFUNCTION("""COMPUTED_VALUE"""),5378.113363673976)</f>
        <v>5378.113364</v>
      </c>
      <c r="J4078" s="10">
        <f>IFERROR(__xludf.DUMMYFUNCTION("""COMPUTED_VALUE"""),2.0)</f>
        <v>2</v>
      </c>
      <c r="K4078" s="5">
        <f>IFERROR(__xludf.DUMMYFUNCTION("""COMPUTED_VALUE"""),0.0018726591760299626)</f>
        <v>0.001872659176</v>
      </c>
      <c r="L4078" s="10">
        <f>IFERROR(__xludf.DUMMYFUNCTION("""COMPUTED_VALUE"""),1068.0)</f>
        <v>1068</v>
      </c>
      <c r="M4078" s="5">
        <f>IFERROR(__xludf.DUMMYFUNCTION("""COMPUTED_VALUE"""),1.0)</f>
        <v>1</v>
      </c>
    </row>
    <row r="4079">
      <c r="A4079" s="10" t="str">
        <f>IFERROR(__xludf.DUMMYFUNCTION("""COMPUTED_VALUE"""),"haijin55")</f>
        <v>haijin55</v>
      </c>
      <c r="B4079" s="10">
        <f>IFERROR(__xludf.DUMMYFUNCTION("""COMPUTED_VALUE"""),883.0)</f>
        <v>883</v>
      </c>
      <c r="C4079" s="10">
        <f>IFERROR(__xludf.DUMMYFUNCTION("""COMPUTED_VALUE"""),10362.0)</f>
        <v>10362</v>
      </c>
      <c r="D4079" s="5">
        <f>IFERROR(__xludf.DUMMYFUNCTION("""COMPUTED_VALUE"""),0.3108977740267961)</f>
        <v>0.310897774</v>
      </c>
      <c r="E4079" s="5">
        <f>IFERROR(__xludf.DUMMYFUNCTION("""COMPUTED_VALUE"""),0.1200548581073953)</f>
        <v>0.1200548581</v>
      </c>
      <c r="F4079" s="5">
        <f>IFERROR(__xludf.DUMMYFUNCTION("""COMPUTED_VALUE"""),0.19601223757780356)</f>
        <v>0.1960122376</v>
      </c>
      <c r="G4079" s="5">
        <f>IFERROR(__xludf.DUMMYFUNCTION("""COMPUTED_VALUE"""),0.15444667158983016)</f>
        <v>0.1544466716</v>
      </c>
      <c r="H4079" s="5">
        <f>IFERROR(__xludf.DUMMYFUNCTION("""COMPUTED_VALUE"""),0.5888051668460711)</f>
        <v>0.5888051668</v>
      </c>
      <c r="I4079" s="11">
        <f>IFERROR(__xludf.DUMMYFUNCTION("""COMPUTED_VALUE"""),6102.852529601722)</f>
        <v>6102.85253</v>
      </c>
      <c r="J4079" s="10">
        <f>IFERROR(__xludf.DUMMYFUNCTION("""COMPUTED_VALUE"""),0.0)</f>
        <v>0</v>
      </c>
      <c r="K4079" s="5">
        <f>IFERROR(__xludf.DUMMYFUNCTION("""COMPUTED_VALUE"""),0.0)</f>
        <v>0</v>
      </c>
      <c r="L4079" s="10">
        <f>IFERROR(__xludf.DUMMYFUNCTION("""COMPUTED_VALUE"""),883.0)</f>
        <v>883</v>
      </c>
      <c r="M4079" s="5">
        <f>IFERROR(__xludf.DUMMYFUNCTION("""COMPUTED_VALUE"""),1.0)</f>
        <v>1</v>
      </c>
    </row>
    <row r="4080">
      <c r="A4080" s="10" t="str">
        <f>IFERROR(__xludf.DUMMYFUNCTION("""COMPUTED_VALUE"""),"世界の青木")</f>
        <v>世界の青木</v>
      </c>
      <c r="B4080" s="10">
        <f>IFERROR(__xludf.DUMMYFUNCTION("""COMPUTED_VALUE"""),1354.0)</f>
        <v>1354</v>
      </c>
      <c r="C4080" s="10">
        <f>IFERROR(__xludf.DUMMYFUNCTION("""COMPUTED_VALUE"""),15949.0)</f>
        <v>15949</v>
      </c>
      <c r="D4080" s="5">
        <f>IFERROR(__xludf.DUMMYFUNCTION("""COMPUTED_VALUE"""),0.331209318259678)</f>
        <v>0.3312093183</v>
      </c>
      <c r="E4080" s="5">
        <f>IFERROR(__xludf.DUMMYFUNCTION("""COMPUTED_VALUE"""),0.12004110996916752)</f>
        <v>0.12004111</v>
      </c>
      <c r="F4080" s="5">
        <f>IFERROR(__xludf.DUMMYFUNCTION("""COMPUTED_VALUE"""),0.1998629667694416)</f>
        <v>0.1998629668</v>
      </c>
      <c r="G4080" s="5">
        <f>IFERROR(__xludf.DUMMYFUNCTION("""COMPUTED_VALUE"""),0.17649880095923262)</f>
        <v>0.176498801</v>
      </c>
      <c r="H4080" s="5">
        <f>IFERROR(__xludf.DUMMYFUNCTION("""COMPUTED_VALUE"""),0.5978745286253)</f>
        <v>0.5978745286</v>
      </c>
      <c r="I4080" s="11">
        <f>IFERROR(__xludf.DUMMYFUNCTION("""COMPUTED_VALUE"""),5751.045594789167)</f>
        <v>5751.045595</v>
      </c>
      <c r="J4080" s="10">
        <f>IFERROR(__xludf.DUMMYFUNCTION("""COMPUTED_VALUE"""),4.0)</f>
        <v>4</v>
      </c>
      <c r="K4080" s="5">
        <f>IFERROR(__xludf.DUMMYFUNCTION("""COMPUTED_VALUE"""),0.0029542097488921715)</f>
        <v>0.002954209749</v>
      </c>
      <c r="L4080" s="10">
        <f>IFERROR(__xludf.DUMMYFUNCTION("""COMPUTED_VALUE"""),1354.0)</f>
        <v>1354</v>
      </c>
      <c r="M4080" s="5">
        <f>IFERROR(__xludf.DUMMYFUNCTION("""COMPUTED_VALUE"""),1.0)</f>
        <v>1</v>
      </c>
    </row>
    <row r="4081">
      <c r="A4081" s="10" t="str">
        <f>IFERROR(__xludf.DUMMYFUNCTION("""COMPUTED_VALUE"""),"Ri-Mo-")</f>
        <v>Ri-Mo-</v>
      </c>
      <c r="B4081" s="10">
        <f>IFERROR(__xludf.DUMMYFUNCTION("""COMPUTED_VALUE"""),3756.0)</f>
        <v>3756</v>
      </c>
      <c r="C4081" s="10">
        <f>IFERROR(__xludf.DUMMYFUNCTION("""COMPUTED_VALUE"""),44452.0)</f>
        <v>44452</v>
      </c>
      <c r="D4081" s="5">
        <f>IFERROR(__xludf.DUMMYFUNCTION("""COMPUTED_VALUE"""),0.4142421859642225)</f>
        <v>0.414242186</v>
      </c>
      <c r="E4081" s="5">
        <f>IFERROR(__xludf.DUMMYFUNCTION("""COMPUTED_VALUE"""),0.12003636721053666)</f>
        <v>0.1200363672</v>
      </c>
      <c r="F4081" s="5">
        <f>IFERROR(__xludf.DUMMYFUNCTION("""COMPUTED_VALUE"""),0.2216188323176725)</f>
        <v>0.2216188323</v>
      </c>
      <c r="G4081" s="5">
        <f>IFERROR(__xludf.DUMMYFUNCTION("""COMPUTED_VALUE"""),0.15483094161588362)</f>
        <v>0.1548309416</v>
      </c>
      <c r="H4081" s="5">
        <f>IFERROR(__xludf.DUMMYFUNCTION("""COMPUTED_VALUE"""),0.6027275751191928)</f>
        <v>0.6027275751</v>
      </c>
      <c r="I4081" s="11">
        <f>IFERROR(__xludf.DUMMYFUNCTION("""COMPUTED_VALUE"""),5203.015855416344)</f>
        <v>5203.015855</v>
      </c>
      <c r="J4081" s="10">
        <f>IFERROR(__xludf.DUMMYFUNCTION("""COMPUTED_VALUE"""),7.0)</f>
        <v>7</v>
      </c>
      <c r="K4081" s="5">
        <f>IFERROR(__xludf.DUMMYFUNCTION("""COMPUTED_VALUE"""),0.001863684771033014)</f>
        <v>0.001863684771</v>
      </c>
      <c r="L4081" s="10">
        <f>IFERROR(__xludf.DUMMYFUNCTION("""COMPUTED_VALUE"""),3756.0)</f>
        <v>3756</v>
      </c>
      <c r="M4081" s="5">
        <f>IFERROR(__xludf.DUMMYFUNCTION("""COMPUTED_VALUE"""),1.0)</f>
        <v>1</v>
      </c>
    </row>
    <row r="4082">
      <c r="A4082" s="10" t="str">
        <f>IFERROR(__xludf.DUMMYFUNCTION("""COMPUTED_VALUE"""),"平井銀二")</f>
        <v>平井銀二</v>
      </c>
      <c r="B4082" s="10">
        <f>IFERROR(__xludf.DUMMYFUNCTION("""COMPUTED_VALUE"""),1706.0)</f>
        <v>1706</v>
      </c>
      <c r="C4082" s="10">
        <f>IFERROR(__xludf.DUMMYFUNCTION("""COMPUTED_VALUE"""),20210.0)</f>
        <v>20210</v>
      </c>
      <c r="D4082" s="5">
        <f>IFERROR(__xludf.DUMMYFUNCTION("""COMPUTED_VALUE"""),0.3566255944660614)</f>
        <v>0.3566255945</v>
      </c>
      <c r="E4082" s="5">
        <f>IFERROR(__xludf.DUMMYFUNCTION("""COMPUTED_VALUE"""),0.12002810203199309)</f>
        <v>0.120028102</v>
      </c>
      <c r="F4082" s="5">
        <f>IFERROR(__xludf.DUMMYFUNCTION("""COMPUTED_VALUE"""),0.20314526588845655)</f>
        <v>0.2031452659</v>
      </c>
      <c r="G4082" s="5">
        <f>IFERROR(__xludf.DUMMYFUNCTION("""COMPUTED_VALUE"""),0.13748378728923477)</f>
        <v>0.1374837873</v>
      </c>
      <c r="H4082" s="5">
        <f>IFERROR(__xludf.DUMMYFUNCTION("""COMPUTED_VALUE"""),0.5972333067305134)</f>
        <v>0.5972333067</v>
      </c>
      <c r="I4082" s="11">
        <f>IFERROR(__xludf.DUMMYFUNCTION("""COMPUTED_VALUE"""),5548.097898377228)</f>
        <v>5548.097898</v>
      </c>
      <c r="J4082" s="10">
        <f>IFERROR(__xludf.DUMMYFUNCTION("""COMPUTED_VALUE"""),4.0)</f>
        <v>4</v>
      </c>
      <c r="K4082" s="5">
        <f>IFERROR(__xludf.DUMMYFUNCTION("""COMPUTED_VALUE"""),0.0023446658851113715)</f>
        <v>0.002344665885</v>
      </c>
      <c r="L4082" s="10">
        <f>IFERROR(__xludf.DUMMYFUNCTION("""COMPUTED_VALUE"""),1103.0)</f>
        <v>1103</v>
      </c>
      <c r="M4082" s="5">
        <f>IFERROR(__xludf.DUMMYFUNCTION("""COMPUTED_VALUE"""),0.6465416178194607)</f>
        <v>0.6465416178</v>
      </c>
    </row>
    <row r="4083">
      <c r="A4083" s="10" t="str">
        <f>IFERROR(__xludf.DUMMYFUNCTION("""COMPUTED_VALUE"""),"ミノリ")</f>
        <v>ミノリ</v>
      </c>
      <c r="B4083" s="10">
        <f>IFERROR(__xludf.DUMMYFUNCTION("""COMPUTED_VALUE"""),1955.0)</f>
        <v>1955</v>
      </c>
      <c r="C4083" s="10">
        <f>IFERROR(__xludf.DUMMYFUNCTION("""COMPUTED_VALUE"""),23167.0)</f>
        <v>23167</v>
      </c>
      <c r="D4083" s="5">
        <f>IFERROR(__xludf.DUMMYFUNCTION("""COMPUTED_VALUE"""),0.34075051857439187)</f>
        <v>0.3407505186</v>
      </c>
      <c r="E4083" s="5">
        <f>IFERROR(__xludf.DUMMYFUNCTION("""COMPUTED_VALUE"""),0.120026400150858)</f>
        <v>0.1200264002</v>
      </c>
      <c r="F4083" s="5">
        <f>IFERROR(__xludf.DUMMYFUNCTION("""COMPUTED_VALUE"""),0.20257401470865546)</f>
        <v>0.2025740147</v>
      </c>
      <c r="G4083" s="5">
        <f>IFERROR(__xludf.DUMMYFUNCTION("""COMPUTED_VALUE"""),0.1724495568546106)</f>
        <v>0.1724495569</v>
      </c>
      <c r="H4083" s="5">
        <f>IFERROR(__xludf.DUMMYFUNCTION("""COMPUTED_VALUE"""),0.6041424249476379)</f>
        <v>0.6041424249</v>
      </c>
      <c r="I4083" s="11">
        <f>IFERROR(__xludf.DUMMYFUNCTION("""COMPUTED_VALUE"""),5670.630672562253)</f>
        <v>5670.630673</v>
      </c>
      <c r="J4083" s="10">
        <f>IFERROR(__xludf.DUMMYFUNCTION("""COMPUTED_VALUE"""),4.0)</f>
        <v>4</v>
      </c>
      <c r="K4083" s="5">
        <f>IFERROR(__xludf.DUMMYFUNCTION("""COMPUTED_VALUE"""),0.0020460358056265983)</f>
        <v>0.002046035806</v>
      </c>
      <c r="L4083" s="10">
        <f>IFERROR(__xludf.DUMMYFUNCTION("""COMPUTED_VALUE"""),1955.0)</f>
        <v>1955</v>
      </c>
      <c r="M4083" s="5">
        <f>IFERROR(__xludf.DUMMYFUNCTION("""COMPUTED_VALUE"""),1.0)</f>
        <v>1</v>
      </c>
    </row>
    <row r="4084">
      <c r="A4084" s="10" t="str">
        <f>IFERROR(__xludf.DUMMYFUNCTION("""COMPUTED_VALUE"""),"fm44")</f>
        <v>fm44</v>
      </c>
      <c r="B4084" s="10">
        <f>IFERROR(__xludf.DUMMYFUNCTION("""COMPUTED_VALUE"""),2921.0)</f>
        <v>2921</v>
      </c>
      <c r="C4084" s="10">
        <f>IFERROR(__xludf.DUMMYFUNCTION("""COMPUTED_VALUE"""),33999.0)</f>
        <v>33999</v>
      </c>
      <c r="D4084" s="5">
        <f>IFERROR(__xludf.DUMMYFUNCTION("""COMPUTED_VALUE"""),0.26343394040800566)</f>
        <v>0.2634339404</v>
      </c>
      <c r="E4084" s="5">
        <f>IFERROR(__xludf.DUMMYFUNCTION("""COMPUTED_VALUE"""),0.12002059334577514)</f>
        <v>0.1200205933</v>
      </c>
      <c r="F4084" s="5">
        <f>IFERROR(__xludf.DUMMYFUNCTION("""COMPUTED_VALUE"""),0.19724564000257416)</f>
        <v>0.19724564</v>
      </c>
      <c r="G4084" s="5">
        <f>IFERROR(__xludf.DUMMYFUNCTION("""COMPUTED_VALUE"""),0.1881716970204003)</f>
        <v>0.188171697</v>
      </c>
      <c r="H4084" s="5">
        <f>IFERROR(__xludf.DUMMYFUNCTION("""COMPUTED_VALUE"""),0.5893964110929854)</f>
        <v>0.5893964111</v>
      </c>
      <c r="I4084" s="11">
        <f>IFERROR(__xludf.DUMMYFUNCTION("""COMPUTED_VALUE"""),6145.432300163132)</f>
        <v>6145.4323</v>
      </c>
      <c r="J4084" s="10">
        <f>IFERROR(__xludf.DUMMYFUNCTION("""COMPUTED_VALUE"""),4.0)</f>
        <v>4</v>
      </c>
      <c r="K4084" s="5">
        <f>IFERROR(__xludf.DUMMYFUNCTION("""COMPUTED_VALUE"""),0.0013693940431359123)</f>
        <v>0.001369394043</v>
      </c>
      <c r="L4084" s="10">
        <f>IFERROR(__xludf.DUMMYFUNCTION("""COMPUTED_VALUE"""),2921.0)</f>
        <v>2921</v>
      </c>
      <c r="M4084" s="5">
        <f>IFERROR(__xludf.DUMMYFUNCTION("""COMPUTED_VALUE"""),1.0)</f>
        <v>1</v>
      </c>
    </row>
    <row r="4085">
      <c r="A4085" s="10" t="str">
        <f>IFERROR(__xludf.DUMMYFUNCTION("""COMPUTED_VALUE"""),"関ケ原")</f>
        <v>関ケ原</v>
      </c>
      <c r="B4085" s="10">
        <f>IFERROR(__xludf.DUMMYFUNCTION("""COMPUTED_VALUE"""),588.0)</f>
        <v>588</v>
      </c>
      <c r="C4085" s="10">
        <f>IFERROR(__xludf.DUMMYFUNCTION("""COMPUTED_VALUE"""),6812.0)</f>
        <v>6812</v>
      </c>
      <c r="D4085" s="5">
        <f>IFERROR(__xludf.DUMMYFUNCTION("""COMPUTED_VALUE"""),0.29097043701799485)</f>
        <v>0.290970437</v>
      </c>
      <c r="E4085" s="5">
        <f>IFERROR(__xludf.DUMMYFUNCTION("""COMPUTED_VALUE"""),0.12001928020565553)</f>
        <v>0.1200192802</v>
      </c>
      <c r="F4085" s="5">
        <f>IFERROR(__xludf.DUMMYFUNCTION("""COMPUTED_VALUE"""),0.20854755784061696)</f>
        <v>0.2085475578</v>
      </c>
      <c r="G4085" s="5">
        <f>IFERROR(__xludf.DUMMYFUNCTION("""COMPUTED_VALUE"""),0.20276349614395886)</f>
        <v>0.2027634961</v>
      </c>
      <c r="H4085" s="5">
        <f>IFERROR(__xludf.DUMMYFUNCTION("""COMPUTED_VALUE"""),0.5970724191063174)</f>
        <v>0.5970724191</v>
      </c>
      <c r="I4085" s="11">
        <f>IFERROR(__xludf.DUMMYFUNCTION("""COMPUTED_VALUE"""),6066.024653312789)</f>
        <v>6066.024653</v>
      </c>
      <c r="J4085" s="10">
        <f>IFERROR(__xludf.DUMMYFUNCTION("""COMPUTED_VALUE"""),3.0)</f>
        <v>3</v>
      </c>
      <c r="K4085" s="5">
        <f>IFERROR(__xludf.DUMMYFUNCTION("""COMPUTED_VALUE"""),0.00510204081632653)</f>
        <v>0.005102040816</v>
      </c>
      <c r="L4085" s="10">
        <f>IFERROR(__xludf.DUMMYFUNCTION("""COMPUTED_VALUE"""),588.0)</f>
        <v>588</v>
      </c>
      <c r="M4085" s="5">
        <f>IFERROR(__xludf.DUMMYFUNCTION("""COMPUTED_VALUE"""),1.0)</f>
        <v>1</v>
      </c>
    </row>
    <row r="4086">
      <c r="A4086" s="10" t="str">
        <f>IFERROR(__xludf.DUMMYFUNCTION("""COMPUTED_VALUE"""),"nankichi")</f>
        <v>nankichi</v>
      </c>
      <c r="B4086" s="10">
        <f>IFERROR(__xludf.DUMMYFUNCTION("""COMPUTED_VALUE"""),237.0)</f>
        <v>237</v>
      </c>
      <c r="C4086" s="10">
        <f>IFERROR(__xludf.DUMMYFUNCTION("""COMPUTED_VALUE"""),2770.0)</f>
        <v>2770</v>
      </c>
      <c r="D4086" s="5">
        <f>IFERROR(__xludf.DUMMYFUNCTION("""COMPUTED_VALUE"""),0.3162258191867351)</f>
        <v>0.3162258192</v>
      </c>
      <c r="E4086" s="5">
        <f>IFERROR(__xludf.DUMMYFUNCTION("""COMPUTED_VALUE"""),0.12001579155151994)</f>
        <v>0.1200157916</v>
      </c>
      <c r="F4086" s="5">
        <f>IFERROR(__xludf.DUMMYFUNCTION("""COMPUTED_VALUE"""),0.21002763521515988)</f>
        <v>0.2100276352</v>
      </c>
      <c r="G4086" s="5">
        <f>IFERROR(__xludf.DUMMYFUNCTION("""COMPUTED_VALUE"""),0.15554678247137782)</f>
        <v>0.1555467825</v>
      </c>
      <c r="H4086" s="5">
        <f>IFERROR(__xludf.DUMMYFUNCTION("""COMPUTED_VALUE"""),0.6428571428571429)</f>
        <v>0.6428571429</v>
      </c>
      <c r="I4086" s="11">
        <f>IFERROR(__xludf.DUMMYFUNCTION("""COMPUTED_VALUE"""),5586.090225563909)</f>
        <v>5586.090226</v>
      </c>
      <c r="J4086" s="10">
        <f>IFERROR(__xludf.DUMMYFUNCTION("""COMPUTED_VALUE"""),1.0)</f>
        <v>1</v>
      </c>
      <c r="K4086" s="5">
        <f>IFERROR(__xludf.DUMMYFUNCTION("""COMPUTED_VALUE"""),0.004219409282700422)</f>
        <v>0.004219409283</v>
      </c>
      <c r="L4086" s="10">
        <f>IFERROR(__xludf.DUMMYFUNCTION("""COMPUTED_VALUE"""),236.0)</f>
        <v>236</v>
      </c>
      <c r="M4086" s="5">
        <f>IFERROR(__xludf.DUMMYFUNCTION("""COMPUTED_VALUE"""),0.9957805907172996)</f>
        <v>0.9957805907</v>
      </c>
    </row>
    <row r="4087">
      <c r="A4087" s="10" t="str">
        <f>IFERROR(__xludf.DUMMYFUNCTION("""COMPUTED_VALUE"""),"鉄丸")</f>
        <v>鉄丸</v>
      </c>
      <c r="B4087" s="10">
        <f>IFERROR(__xludf.DUMMYFUNCTION("""COMPUTED_VALUE"""),238.0)</f>
        <v>238</v>
      </c>
      <c r="C4087" s="10">
        <f>IFERROR(__xludf.DUMMYFUNCTION("""COMPUTED_VALUE"""),2846.0)</f>
        <v>2846</v>
      </c>
      <c r="D4087" s="5">
        <f>IFERROR(__xludf.DUMMYFUNCTION("""COMPUTED_VALUE"""),0.3412576687116564)</f>
        <v>0.3412576687</v>
      </c>
      <c r="E4087" s="5">
        <f>IFERROR(__xludf.DUMMYFUNCTION("""COMPUTED_VALUE"""),0.12001533742331288)</f>
        <v>0.1200153374</v>
      </c>
      <c r="F4087" s="5">
        <f>IFERROR(__xludf.DUMMYFUNCTION("""COMPUTED_VALUE"""),0.21280674846625766)</f>
        <v>0.2128067485</v>
      </c>
      <c r="G4087" s="5">
        <f>IFERROR(__xludf.DUMMYFUNCTION("""COMPUTED_VALUE"""),0.1683282208588957)</f>
        <v>0.1683282209</v>
      </c>
      <c r="H4087" s="5">
        <f>IFERROR(__xludf.DUMMYFUNCTION("""COMPUTED_VALUE"""),0.6216216216216216)</f>
        <v>0.6216216216</v>
      </c>
      <c r="I4087" s="11">
        <f>IFERROR(__xludf.DUMMYFUNCTION("""COMPUTED_VALUE"""),5210.09009009009)</f>
        <v>5210.09009</v>
      </c>
      <c r="J4087" s="10">
        <f>IFERROR(__xludf.DUMMYFUNCTION("""COMPUTED_VALUE"""),1.0)</f>
        <v>1</v>
      </c>
      <c r="K4087" s="5">
        <f>IFERROR(__xludf.DUMMYFUNCTION("""COMPUTED_VALUE"""),0.004201680672268907)</f>
        <v>0.004201680672</v>
      </c>
      <c r="L4087" s="10">
        <f>IFERROR(__xludf.DUMMYFUNCTION("""COMPUTED_VALUE"""),211.0)</f>
        <v>211</v>
      </c>
      <c r="M4087" s="5">
        <f>IFERROR(__xludf.DUMMYFUNCTION("""COMPUTED_VALUE"""),0.8865546218487395)</f>
        <v>0.8865546218</v>
      </c>
    </row>
    <row r="4088">
      <c r="A4088" s="10" t="str">
        <f>IFERROR(__xludf.DUMMYFUNCTION("""COMPUTED_VALUE"""),"雀歴3年")</f>
        <v>雀歴3年</v>
      </c>
      <c r="B4088" s="10">
        <f>IFERROR(__xludf.DUMMYFUNCTION("""COMPUTED_VALUE"""),141.0)</f>
        <v>141</v>
      </c>
      <c r="C4088" s="10">
        <f>IFERROR(__xludf.DUMMYFUNCTION("""COMPUTED_VALUE"""),1691.0)</f>
        <v>1691</v>
      </c>
      <c r="D4088" s="5">
        <f>IFERROR(__xludf.DUMMYFUNCTION("""COMPUTED_VALUE"""),0.3548387096774194)</f>
        <v>0.3548387097</v>
      </c>
      <c r="E4088" s="5">
        <f>IFERROR(__xludf.DUMMYFUNCTION("""COMPUTED_VALUE"""),0.12)</f>
        <v>0.12</v>
      </c>
      <c r="F4088" s="5">
        <f>IFERROR(__xludf.DUMMYFUNCTION("""COMPUTED_VALUE"""),0.2167741935483871)</f>
        <v>0.2167741935</v>
      </c>
      <c r="G4088" s="5">
        <f>IFERROR(__xludf.DUMMYFUNCTION("""COMPUTED_VALUE"""),0.18193548387096775)</f>
        <v>0.1819354839</v>
      </c>
      <c r="H4088" s="5">
        <f>IFERROR(__xludf.DUMMYFUNCTION("""COMPUTED_VALUE"""),0.5982142857142857)</f>
        <v>0.5982142857</v>
      </c>
      <c r="I4088" s="11">
        <f>IFERROR(__xludf.DUMMYFUNCTION("""COMPUTED_VALUE"""),5836.607142857143)</f>
        <v>5836.607143</v>
      </c>
      <c r="J4088" s="10">
        <f>IFERROR(__xludf.DUMMYFUNCTION("""COMPUTED_VALUE"""),0.0)</f>
        <v>0</v>
      </c>
      <c r="K4088" s="5">
        <f>IFERROR(__xludf.DUMMYFUNCTION("""COMPUTED_VALUE"""),0.0)</f>
        <v>0</v>
      </c>
      <c r="L4088" s="10">
        <f>IFERROR(__xludf.DUMMYFUNCTION("""COMPUTED_VALUE"""),141.0)</f>
        <v>141</v>
      </c>
      <c r="M4088" s="5">
        <f>IFERROR(__xludf.DUMMYFUNCTION("""COMPUTED_VALUE"""),1.0)</f>
        <v>1</v>
      </c>
    </row>
    <row r="4089">
      <c r="A4089" s="10" t="str">
        <f>IFERROR(__xludf.DUMMYFUNCTION("""COMPUTED_VALUE"""),"真田昌幸")</f>
        <v>真田昌幸</v>
      </c>
      <c r="B4089" s="10">
        <f>IFERROR(__xludf.DUMMYFUNCTION("""COMPUTED_VALUE"""),112.0)</f>
        <v>112</v>
      </c>
      <c r="C4089" s="10">
        <f>IFERROR(__xludf.DUMMYFUNCTION("""COMPUTED_VALUE"""),1362.0)</f>
        <v>1362</v>
      </c>
      <c r="D4089" s="5">
        <f>IFERROR(__xludf.DUMMYFUNCTION("""COMPUTED_VALUE"""),0.2792)</f>
        <v>0.2792</v>
      </c>
      <c r="E4089" s="5">
        <f>IFERROR(__xludf.DUMMYFUNCTION("""COMPUTED_VALUE"""),0.12)</f>
        <v>0.12</v>
      </c>
      <c r="F4089" s="5">
        <f>IFERROR(__xludf.DUMMYFUNCTION("""COMPUTED_VALUE"""),0.176)</f>
        <v>0.176</v>
      </c>
      <c r="G4089" s="5">
        <f>IFERROR(__xludf.DUMMYFUNCTION("""COMPUTED_VALUE"""),0.1552)</f>
        <v>0.1552</v>
      </c>
      <c r="H4089" s="5">
        <f>IFERROR(__xludf.DUMMYFUNCTION("""COMPUTED_VALUE"""),0.6136363636363636)</f>
        <v>0.6136363636</v>
      </c>
      <c r="I4089" s="11">
        <f>IFERROR(__xludf.DUMMYFUNCTION("""COMPUTED_VALUE"""),5496.363636363636)</f>
        <v>5496.363636</v>
      </c>
      <c r="J4089" s="10">
        <f>IFERROR(__xludf.DUMMYFUNCTION("""COMPUTED_VALUE"""),0.0)</f>
        <v>0</v>
      </c>
      <c r="K4089" s="5">
        <f>IFERROR(__xludf.DUMMYFUNCTION("""COMPUTED_VALUE"""),0.0)</f>
        <v>0</v>
      </c>
      <c r="L4089" s="10">
        <f>IFERROR(__xludf.DUMMYFUNCTION("""COMPUTED_VALUE"""),112.0)</f>
        <v>112</v>
      </c>
      <c r="M4089" s="5">
        <f>IFERROR(__xludf.DUMMYFUNCTION("""COMPUTED_VALUE"""),1.0)</f>
        <v>1</v>
      </c>
    </row>
    <row r="4090">
      <c r="A4090" s="10" t="str">
        <f>IFERROR(__xludf.DUMMYFUNCTION("""COMPUTED_VALUE"""),"jyunoh")</f>
        <v>jyunoh</v>
      </c>
      <c r="B4090" s="10">
        <f>IFERROR(__xludf.DUMMYFUNCTION("""COMPUTED_VALUE"""),740.0)</f>
        <v>740</v>
      </c>
      <c r="C4090" s="10">
        <f>IFERROR(__xludf.DUMMYFUNCTION("""COMPUTED_VALUE"""),8707.0)</f>
        <v>8707</v>
      </c>
      <c r="D4090" s="5">
        <f>IFERROR(__xludf.DUMMYFUNCTION("""COMPUTED_VALUE"""),0.35847872473955067)</f>
        <v>0.3584787247</v>
      </c>
      <c r="E4090" s="5">
        <f>IFERROR(__xludf.DUMMYFUNCTION("""COMPUTED_VALUE"""),0.11999497928956947)</f>
        <v>0.1199949793</v>
      </c>
      <c r="F4090" s="5">
        <f>IFERROR(__xludf.DUMMYFUNCTION("""COMPUTED_VALUE"""),0.21953056357474582)</f>
        <v>0.2195305636</v>
      </c>
      <c r="G4090" s="5">
        <f>IFERROR(__xludf.DUMMYFUNCTION("""COMPUTED_VALUE"""),0.15601857662859295)</f>
        <v>0.1560185766</v>
      </c>
      <c r="H4090" s="5">
        <f>IFERROR(__xludf.DUMMYFUNCTION("""COMPUTED_VALUE"""),0.5917667238421955)</f>
        <v>0.5917667238</v>
      </c>
      <c r="I4090" s="11">
        <f>IFERROR(__xludf.DUMMYFUNCTION("""COMPUTED_VALUE"""),5449.113779302458)</f>
        <v>5449.113779</v>
      </c>
      <c r="J4090" s="10">
        <f>IFERROR(__xludf.DUMMYFUNCTION("""COMPUTED_VALUE"""),1.0)</f>
        <v>1</v>
      </c>
      <c r="K4090" s="5">
        <f>IFERROR(__xludf.DUMMYFUNCTION("""COMPUTED_VALUE"""),0.0013513513513513514)</f>
        <v>0.001351351351</v>
      </c>
      <c r="L4090" s="10">
        <f>IFERROR(__xludf.DUMMYFUNCTION("""COMPUTED_VALUE"""),740.0)</f>
        <v>740</v>
      </c>
      <c r="M4090" s="5">
        <f>IFERROR(__xludf.DUMMYFUNCTION("""COMPUTED_VALUE"""),1.0)</f>
        <v>1</v>
      </c>
    </row>
    <row r="4091">
      <c r="A4091" s="10" t="str">
        <f>IFERROR(__xludf.DUMMYFUNCTION("""COMPUTED_VALUE"""),"palu")</f>
        <v>palu</v>
      </c>
      <c r="B4091" s="10">
        <f>IFERROR(__xludf.DUMMYFUNCTION("""COMPUTED_VALUE"""),189.0)</f>
        <v>189</v>
      </c>
      <c r="C4091" s="10">
        <f>IFERROR(__xludf.DUMMYFUNCTION("""COMPUTED_VALUE"""),2181.0)</f>
        <v>2181</v>
      </c>
      <c r="D4091" s="5">
        <f>IFERROR(__xludf.DUMMYFUNCTION("""COMPUTED_VALUE"""),0.32279116465863456)</f>
        <v>0.3227911647</v>
      </c>
      <c r="E4091" s="5">
        <f>IFERROR(__xludf.DUMMYFUNCTION("""COMPUTED_VALUE"""),0.11997991967871485)</f>
        <v>0.1199799197</v>
      </c>
      <c r="F4091" s="5">
        <f>IFERROR(__xludf.DUMMYFUNCTION("""COMPUTED_VALUE"""),0.19578313253012047)</f>
        <v>0.1957831325</v>
      </c>
      <c r="G4091" s="5">
        <f>IFERROR(__xludf.DUMMYFUNCTION("""COMPUTED_VALUE"""),0.17620481927710843)</f>
        <v>0.1762048193</v>
      </c>
      <c r="H4091" s="5">
        <f>IFERROR(__xludf.DUMMYFUNCTION("""COMPUTED_VALUE"""),0.6435897435897436)</f>
        <v>0.6435897436</v>
      </c>
      <c r="I4091" s="11">
        <f>IFERROR(__xludf.DUMMYFUNCTION("""COMPUTED_VALUE"""),5793.076923076923)</f>
        <v>5793.076923</v>
      </c>
      <c r="J4091" s="10">
        <f>IFERROR(__xludf.DUMMYFUNCTION("""COMPUTED_VALUE"""),0.0)</f>
        <v>0</v>
      </c>
      <c r="K4091" s="5">
        <f>IFERROR(__xludf.DUMMYFUNCTION("""COMPUTED_VALUE"""),0.0)</f>
        <v>0</v>
      </c>
      <c r="L4091" s="10">
        <f>IFERROR(__xludf.DUMMYFUNCTION("""COMPUTED_VALUE"""),11.0)</f>
        <v>11</v>
      </c>
      <c r="M4091" s="5">
        <f>IFERROR(__xludf.DUMMYFUNCTION("""COMPUTED_VALUE"""),0.0582010582010582)</f>
        <v>0.0582010582</v>
      </c>
    </row>
    <row r="4092">
      <c r="A4092" s="10" t="str">
        <f>IFERROR(__xludf.DUMMYFUNCTION("""COMPUTED_VALUE"""),"あるちゃん")</f>
        <v>あるちゃん</v>
      </c>
      <c r="B4092" s="10">
        <f>IFERROR(__xludf.DUMMYFUNCTION("""COMPUTED_VALUE"""),445.0)</f>
        <v>445</v>
      </c>
      <c r="C4092" s="10">
        <f>IFERROR(__xludf.DUMMYFUNCTION("""COMPUTED_VALUE"""),5121.0)</f>
        <v>5121</v>
      </c>
      <c r="D4092" s="5">
        <f>IFERROR(__xludf.DUMMYFUNCTION("""COMPUTED_VALUE"""),0.32848588537211293)</f>
        <v>0.3284858854</v>
      </c>
      <c r="E4092" s="5">
        <f>IFERROR(__xludf.DUMMYFUNCTION("""COMPUTED_VALUE"""),0.1199743370402053)</f>
        <v>0.119974337</v>
      </c>
      <c r="F4092" s="5">
        <f>IFERROR(__xludf.DUMMYFUNCTION("""COMPUTED_VALUE"""),0.20958083832335328)</f>
        <v>0.2095808383</v>
      </c>
      <c r="G4092" s="5">
        <f>IFERROR(__xludf.DUMMYFUNCTION("""COMPUTED_VALUE"""),0.17857142857142858)</f>
        <v>0.1785714286</v>
      </c>
      <c r="H4092" s="5">
        <f>IFERROR(__xludf.DUMMYFUNCTION("""COMPUTED_VALUE"""),0.5785714285714286)</f>
        <v>0.5785714286</v>
      </c>
      <c r="I4092" s="11">
        <f>IFERROR(__xludf.DUMMYFUNCTION("""COMPUTED_VALUE"""),5769.081632653061)</f>
        <v>5769.081633</v>
      </c>
      <c r="J4092" s="10">
        <f>IFERROR(__xludf.DUMMYFUNCTION("""COMPUTED_VALUE"""),2.0)</f>
        <v>2</v>
      </c>
      <c r="K4092" s="5">
        <f>IFERROR(__xludf.DUMMYFUNCTION("""COMPUTED_VALUE"""),0.0044943820224719105)</f>
        <v>0.004494382022</v>
      </c>
      <c r="L4092" s="10">
        <f>IFERROR(__xludf.DUMMYFUNCTION("""COMPUTED_VALUE"""),445.0)</f>
        <v>445</v>
      </c>
      <c r="M4092" s="5">
        <f>IFERROR(__xludf.DUMMYFUNCTION("""COMPUTED_VALUE"""),1.0)</f>
        <v>1</v>
      </c>
    </row>
    <row r="4093">
      <c r="A4093" s="10" t="str">
        <f>IFERROR(__xludf.DUMMYFUNCTION("""COMPUTED_VALUE"""),"MI@428")</f>
        <v>MI@428</v>
      </c>
      <c r="B4093" s="10">
        <f>IFERROR(__xludf.DUMMYFUNCTION("""COMPUTED_VALUE"""),411.0)</f>
        <v>411</v>
      </c>
      <c r="C4093" s="10">
        <f>IFERROR(__xludf.DUMMYFUNCTION("""COMPUTED_VALUE"""),4862.0)</f>
        <v>4862</v>
      </c>
      <c r="D4093" s="5">
        <f>IFERROR(__xludf.DUMMYFUNCTION("""COMPUTED_VALUE"""),0.3075713322848798)</f>
        <v>0.3075713323</v>
      </c>
      <c r="E4093" s="5">
        <f>IFERROR(__xludf.DUMMYFUNCTION("""COMPUTED_VALUE"""),0.11997303976634464)</f>
        <v>0.1199730398</v>
      </c>
      <c r="F4093" s="5">
        <f>IFERROR(__xludf.DUMMYFUNCTION("""COMPUTED_VALUE"""),0.2055717816221074)</f>
        <v>0.2055717816</v>
      </c>
      <c r="G4093" s="5">
        <f>IFERROR(__xludf.DUMMYFUNCTION("""COMPUTED_VALUE"""),0.1873736239047405)</f>
        <v>0.1873736239</v>
      </c>
      <c r="H4093" s="5">
        <f>IFERROR(__xludf.DUMMYFUNCTION("""COMPUTED_VALUE"""),0.5923497267759563)</f>
        <v>0.5923497268</v>
      </c>
      <c r="I4093" s="11">
        <f>IFERROR(__xludf.DUMMYFUNCTION("""COMPUTED_VALUE"""),6057.486338797814)</f>
        <v>6057.486339</v>
      </c>
      <c r="J4093" s="10">
        <f>IFERROR(__xludf.DUMMYFUNCTION("""COMPUTED_VALUE"""),3.0)</f>
        <v>3</v>
      </c>
      <c r="K4093" s="5">
        <f>IFERROR(__xludf.DUMMYFUNCTION("""COMPUTED_VALUE"""),0.0072992700729927005)</f>
        <v>0.007299270073</v>
      </c>
      <c r="L4093" s="10">
        <f>IFERROR(__xludf.DUMMYFUNCTION("""COMPUTED_VALUE"""),411.0)</f>
        <v>411</v>
      </c>
      <c r="M4093" s="5">
        <f>IFERROR(__xludf.DUMMYFUNCTION("""COMPUTED_VALUE"""),1.0)</f>
        <v>1</v>
      </c>
    </row>
    <row r="4094">
      <c r="A4094" s="10" t="str">
        <f>IFERROR(__xludf.DUMMYFUNCTION("""COMPUTED_VALUE"""),"†XTEND†")</f>
        <v>†XTEND†</v>
      </c>
      <c r="B4094" s="10">
        <f>IFERROR(__xludf.DUMMYFUNCTION("""COMPUTED_VALUE"""),2925.0)</f>
        <v>2925</v>
      </c>
      <c r="C4094" s="10">
        <f>IFERROR(__xludf.DUMMYFUNCTION("""COMPUTED_VALUE"""),34441.0)</f>
        <v>34441</v>
      </c>
      <c r="D4094" s="5">
        <f>IFERROR(__xludf.DUMMYFUNCTION("""COMPUTED_VALUE"""),0.3865972839192791)</f>
        <v>0.3865972839</v>
      </c>
      <c r="E4094" s="5">
        <f>IFERROR(__xludf.DUMMYFUNCTION("""COMPUTED_VALUE"""),0.11997080847823328)</f>
        <v>0.1199708085</v>
      </c>
      <c r="F4094" s="5">
        <f>IFERROR(__xludf.DUMMYFUNCTION("""COMPUTED_VALUE"""),0.2190633329102678)</f>
        <v>0.2190633329</v>
      </c>
      <c r="G4094" s="5">
        <f>IFERROR(__xludf.DUMMYFUNCTION("""COMPUTED_VALUE"""),0.16353598172356898)</f>
        <v>0.1635359817</v>
      </c>
      <c r="H4094" s="5">
        <f>IFERROR(__xludf.DUMMYFUNCTION("""COMPUTED_VALUE"""),0.5955967555040557)</f>
        <v>0.5955967555</v>
      </c>
      <c r="I4094" s="11">
        <f>IFERROR(__xludf.DUMMYFUNCTION("""COMPUTED_VALUE"""),5326.477404403245)</f>
        <v>5326.477404</v>
      </c>
      <c r="J4094" s="10">
        <f>IFERROR(__xludf.DUMMYFUNCTION("""COMPUTED_VALUE"""),2.0)</f>
        <v>2</v>
      </c>
      <c r="K4094" s="5">
        <f>IFERROR(__xludf.DUMMYFUNCTION("""COMPUTED_VALUE"""),6.837606837606838E-4)</f>
        <v>0.0006837606838</v>
      </c>
      <c r="L4094" s="10">
        <f>IFERROR(__xludf.DUMMYFUNCTION("""COMPUTED_VALUE"""),139.0)</f>
        <v>139</v>
      </c>
      <c r="M4094" s="5">
        <f>IFERROR(__xludf.DUMMYFUNCTION("""COMPUTED_VALUE"""),0.04752136752136752)</f>
        <v>0.04752136752</v>
      </c>
    </row>
    <row r="4095">
      <c r="A4095" s="10" t="str">
        <f>IFERROR(__xludf.DUMMYFUNCTION("""COMPUTED_VALUE"""),"てんてて")</f>
        <v>てんてて</v>
      </c>
      <c r="B4095" s="10">
        <f>IFERROR(__xludf.DUMMYFUNCTION("""COMPUTED_VALUE"""),566.0)</f>
        <v>566</v>
      </c>
      <c r="C4095" s="10">
        <f>IFERROR(__xludf.DUMMYFUNCTION("""COMPUTED_VALUE"""),6676.0)</f>
        <v>6676</v>
      </c>
      <c r="D4095" s="5">
        <f>IFERROR(__xludf.DUMMYFUNCTION("""COMPUTED_VALUE"""),0.2481178396072013)</f>
        <v>0.2481178396</v>
      </c>
      <c r="E4095" s="5">
        <f>IFERROR(__xludf.DUMMYFUNCTION("""COMPUTED_VALUE"""),0.11996726677577742)</f>
        <v>0.1199672668</v>
      </c>
      <c r="F4095" s="5">
        <f>IFERROR(__xludf.DUMMYFUNCTION("""COMPUTED_VALUE"""),0.18870703764320784)</f>
        <v>0.1887070376</v>
      </c>
      <c r="G4095" s="5">
        <f>IFERROR(__xludf.DUMMYFUNCTION("""COMPUTED_VALUE"""),0.1469721767594108)</f>
        <v>0.1469721768</v>
      </c>
      <c r="H4095" s="5">
        <f>IFERROR(__xludf.DUMMYFUNCTION("""COMPUTED_VALUE"""),0.6019080659150043)</f>
        <v>0.6019080659</v>
      </c>
      <c r="I4095" s="11">
        <f>IFERROR(__xludf.DUMMYFUNCTION("""COMPUTED_VALUE"""),6307.718993928881)</f>
        <v>6307.718994</v>
      </c>
      <c r="J4095" s="10">
        <f>IFERROR(__xludf.DUMMYFUNCTION("""COMPUTED_VALUE"""),3.0)</f>
        <v>3</v>
      </c>
      <c r="K4095" s="5">
        <f>IFERROR(__xludf.DUMMYFUNCTION("""COMPUTED_VALUE"""),0.00530035335689046)</f>
        <v>0.005300353357</v>
      </c>
      <c r="L4095" s="10">
        <f>IFERROR(__xludf.DUMMYFUNCTION("""COMPUTED_VALUE"""),566.0)</f>
        <v>566</v>
      </c>
      <c r="M4095" s="5">
        <f>IFERROR(__xludf.DUMMYFUNCTION("""COMPUTED_VALUE"""),1.0)</f>
        <v>1</v>
      </c>
    </row>
    <row r="4096">
      <c r="A4096" s="10" t="str">
        <f>IFERROR(__xludf.DUMMYFUNCTION("""COMPUTED_VALUE"""),"うきでん")</f>
        <v>うきでん</v>
      </c>
      <c r="B4096" s="10">
        <f>IFERROR(__xludf.DUMMYFUNCTION("""COMPUTED_VALUE"""),3712.0)</f>
        <v>3712</v>
      </c>
      <c r="C4096" s="10">
        <f>IFERROR(__xludf.DUMMYFUNCTION("""COMPUTED_VALUE"""),43798.0)</f>
        <v>43798</v>
      </c>
      <c r="D4096" s="5">
        <f>IFERROR(__xludf.DUMMYFUNCTION("""COMPUTED_VALUE"""),0.3888639425235743)</f>
        <v>0.3888639425</v>
      </c>
      <c r="E4096" s="5">
        <f>IFERROR(__xludf.DUMMYFUNCTION("""COMPUTED_VALUE"""),0.11996707079778476)</f>
        <v>0.1199670708</v>
      </c>
      <c r="F4096" s="5">
        <f>IFERROR(__xludf.DUMMYFUNCTION("""COMPUTED_VALUE"""),0.20875118495235245)</f>
        <v>0.208751185</v>
      </c>
      <c r="G4096" s="5">
        <f>IFERROR(__xludf.DUMMYFUNCTION("""COMPUTED_VALUE"""),0.16741505762610387)</f>
        <v>0.1674150576</v>
      </c>
      <c r="H4096" s="5">
        <f>IFERROR(__xludf.DUMMYFUNCTION("""COMPUTED_VALUE"""),0.6009799235181644)</f>
        <v>0.6009799235</v>
      </c>
      <c r="I4096" s="11">
        <f>IFERROR(__xludf.DUMMYFUNCTION("""COMPUTED_VALUE"""),5273.685468451243)</f>
        <v>5273.685468</v>
      </c>
      <c r="J4096" s="10">
        <f>IFERROR(__xludf.DUMMYFUNCTION("""COMPUTED_VALUE"""),7.0)</f>
        <v>7</v>
      </c>
      <c r="K4096" s="5">
        <f>IFERROR(__xludf.DUMMYFUNCTION("""COMPUTED_VALUE"""),0.0018857758620689656)</f>
        <v>0.001885775862</v>
      </c>
      <c r="L4096" s="10">
        <f>IFERROR(__xludf.DUMMYFUNCTION("""COMPUTED_VALUE"""),3712.0)</f>
        <v>3712</v>
      </c>
      <c r="M4096" s="5">
        <f>IFERROR(__xludf.DUMMYFUNCTION("""COMPUTED_VALUE"""),1.0)</f>
        <v>1</v>
      </c>
    </row>
    <row r="4097">
      <c r="A4097" s="10" t="str">
        <f>IFERROR(__xludf.DUMMYFUNCTION("""COMPUTED_VALUE"""),"湊斗かげあき")</f>
        <v>湊斗かげあき</v>
      </c>
      <c r="B4097" s="10">
        <f>IFERROR(__xludf.DUMMYFUNCTION("""COMPUTED_VALUE"""),1008.0)</f>
        <v>1008</v>
      </c>
      <c r="C4097" s="10">
        <f>IFERROR(__xludf.DUMMYFUNCTION("""COMPUTED_VALUE"""),11761.0)</f>
        <v>11761</v>
      </c>
      <c r="D4097" s="5">
        <f>IFERROR(__xludf.DUMMYFUNCTION("""COMPUTED_VALUE"""),0.3448339998140054)</f>
        <v>0.3448339998</v>
      </c>
      <c r="E4097" s="5">
        <f>IFERROR(__xludf.DUMMYFUNCTION("""COMPUTED_VALUE"""),0.11996652097089185)</f>
        <v>0.119966521</v>
      </c>
      <c r="F4097" s="5">
        <f>IFERROR(__xludf.DUMMYFUNCTION("""COMPUTED_VALUE"""),0.20561703710592394)</f>
        <v>0.2056170371</v>
      </c>
      <c r="G4097" s="5">
        <f>IFERROR(__xludf.DUMMYFUNCTION("""COMPUTED_VALUE"""),0.17660187854552217)</f>
        <v>0.1766018785</v>
      </c>
      <c r="H4097" s="5">
        <f>IFERROR(__xludf.DUMMYFUNCTION("""COMPUTED_VALUE"""),0.5753052917232022)</f>
        <v>0.5753052917</v>
      </c>
      <c r="I4097" s="11">
        <f>IFERROR(__xludf.DUMMYFUNCTION("""COMPUTED_VALUE"""),5532.2930800542745)</f>
        <v>5532.29308</v>
      </c>
      <c r="J4097" s="10">
        <f>IFERROR(__xludf.DUMMYFUNCTION("""COMPUTED_VALUE"""),1.0)</f>
        <v>1</v>
      </c>
      <c r="K4097" s="5">
        <f>IFERROR(__xludf.DUMMYFUNCTION("""COMPUTED_VALUE"""),9.92063492063492E-4)</f>
        <v>0.0009920634921</v>
      </c>
      <c r="L4097" s="10">
        <f>IFERROR(__xludf.DUMMYFUNCTION("""COMPUTED_VALUE"""),390.0)</f>
        <v>390</v>
      </c>
      <c r="M4097" s="5">
        <f>IFERROR(__xludf.DUMMYFUNCTION("""COMPUTED_VALUE"""),0.3869047619047619)</f>
        <v>0.3869047619</v>
      </c>
    </row>
    <row r="4098">
      <c r="A4098" s="10" t="str">
        <f>IFERROR(__xludf.DUMMYFUNCTION("""COMPUTED_VALUE"""),"そるふぁー")</f>
        <v>そるふぁー</v>
      </c>
      <c r="B4098" s="10">
        <f>IFERROR(__xludf.DUMMYFUNCTION("""COMPUTED_VALUE"""),356.0)</f>
        <v>356</v>
      </c>
      <c r="C4098" s="10">
        <f>IFERROR(__xludf.DUMMYFUNCTION("""COMPUTED_VALUE"""),4216.0)</f>
        <v>4216</v>
      </c>
      <c r="D4098" s="5">
        <f>IFERROR(__xludf.DUMMYFUNCTION("""COMPUTED_VALUE"""),0.29015544041450775)</f>
        <v>0.2901554404</v>
      </c>
      <c r="E4098" s="5">
        <f>IFERROR(__xludf.DUMMYFUNCTION("""COMPUTED_VALUE"""),0.11994818652849741)</f>
        <v>0.1199481865</v>
      </c>
      <c r="F4098" s="5">
        <f>IFERROR(__xludf.DUMMYFUNCTION("""COMPUTED_VALUE"""),0.1878238341968912)</f>
        <v>0.1878238342</v>
      </c>
      <c r="G4098" s="5">
        <f>IFERROR(__xludf.DUMMYFUNCTION("""COMPUTED_VALUE"""),0.16476683937823836)</f>
        <v>0.1647668394</v>
      </c>
      <c r="H4098" s="5">
        <f>IFERROR(__xludf.DUMMYFUNCTION("""COMPUTED_VALUE"""),0.6068965517241379)</f>
        <v>0.6068965517</v>
      </c>
      <c r="I4098" s="11">
        <f>IFERROR(__xludf.DUMMYFUNCTION("""COMPUTED_VALUE"""),6088.827586206897)</f>
        <v>6088.827586</v>
      </c>
      <c r="J4098" s="10">
        <f>IFERROR(__xludf.DUMMYFUNCTION("""COMPUTED_VALUE"""),1.0)</f>
        <v>1</v>
      </c>
      <c r="K4098" s="5">
        <f>IFERROR(__xludf.DUMMYFUNCTION("""COMPUTED_VALUE"""),0.0028089887640449437)</f>
        <v>0.002808988764</v>
      </c>
      <c r="L4098" s="10">
        <f>IFERROR(__xludf.DUMMYFUNCTION("""COMPUTED_VALUE"""),54.0)</f>
        <v>54</v>
      </c>
      <c r="M4098" s="5">
        <f>IFERROR(__xludf.DUMMYFUNCTION("""COMPUTED_VALUE"""),0.15168539325842698)</f>
        <v>0.1516853933</v>
      </c>
    </row>
    <row r="4099">
      <c r="A4099" s="10" t="str">
        <f>IFERROR(__xludf.DUMMYFUNCTION("""COMPUTED_VALUE"""),"いなか９")</f>
        <v>いなか９</v>
      </c>
      <c r="B4099" s="10">
        <f>IFERROR(__xludf.DUMMYFUNCTION("""COMPUTED_VALUE"""),200.0)</f>
        <v>200</v>
      </c>
      <c r="C4099" s="10">
        <f>IFERROR(__xludf.DUMMYFUNCTION("""COMPUTED_VALUE"""),2376.0)</f>
        <v>2376</v>
      </c>
      <c r="D4099" s="5">
        <f>IFERROR(__xludf.DUMMYFUNCTION("""COMPUTED_VALUE"""),0.3478860294117647)</f>
        <v>0.3478860294</v>
      </c>
      <c r="E4099" s="5">
        <f>IFERROR(__xludf.DUMMYFUNCTION("""COMPUTED_VALUE"""),0.11994485294117647)</f>
        <v>0.1199448529</v>
      </c>
      <c r="F4099" s="5">
        <f>IFERROR(__xludf.DUMMYFUNCTION("""COMPUTED_VALUE"""),0.21277573529411764)</f>
        <v>0.2127757353</v>
      </c>
      <c r="G4099" s="5">
        <f>IFERROR(__xludf.DUMMYFUNCTION("""COMPUTED_VALUE"""),0.14613970588235295)</f>
        <v>0.1461397059</v>
      </c>
      <c r="H4099" s="5">
        <f>IFERROR(__xludf.DUMMYFUNCTION("""COMPUTED_VALUE"""),0.5896328293736501)</f>
        <v>0.5896328294</v>
      </c>
      <c r="I4099" s="11">
        <f>IFERROR(__xludf.DUMMYFUNCTION("""COMPUTED_VALUE"""),5531.10151187905)</f>
        <v>5531.101512</v>
      </c>
      <c r="J4099" s="10">
        <f>IFERROR(__xludf.DUMMYFUNCTION("""COMPUTED_VALUE"""),0.0)</f>
        <v>0</v>
      </c>
      <c r="K4099" s="5">
        <f>IFERROR(__xludf.DUMMYFUNCTION("""COMPUTED_VALUE"""),0.0)</f>
        <v>0</v>
      </c>
      <c r="L4099" s="10">
        <f>IFERROR(__xludf.DUMMYFUNCTION("""COMPUTED_VALUE"""),200.0)</f>
        <v>200</v>
      </c>
      <c r="M4099" s="5">
        <f>IFERROR(__xludf.DUMMYFUNCTION("""COMPUTED_VALUE"""),1.0)</f>
        <v>1</v>
      </c>
    </row>
    <row r="4100">
      <c r="A4100" s="10" t="str">
        <f>IFERROR(__xludf.DUMMYFUNCTION("""COMPUTED_VALUE"""),"FubFive")</f>
        <v>FubFive</v>
      </c>
      <c r="B4100" s="10">
        <f>IFERROR(__xludf.DUMMYFUNCTION("""COMPUTED_VALUE"""),131.0)</f>
        <v>131</v>
      </c>
      <c r="C4100" s="10">
        <f>IFERROR(__xludf.DUMMYFUNCTION("""COMPUTED_VALUE"""),1540.0)</f>
        <v>1540</v>
      </c>
      <c r="D4100" s="5">
        <f>IFERROR(__xludf.DUMMYFUNCTION("""COMPUTED_VALUE"""),0.38041163946061035)</f>
        <v>0.3804116395</v>
      </c>
      <c r="E4100" s="5">
        <f>IFERROR(__xludf.DUMMYFUNCTION("""COMPUTED_VALUE"""),0.11994322214336409)</f>
        <v>0.1199432221</v>
      </c>
      <c r="F4100" s="5">
        <f>IFERROR(__xludf.DUMMYFUNCTION("""COMPUTED_VALUE"""),0.20511000709723207)</f>
        <v>0.2051100071</v>
      </c>
      <c r="G4100" s="5">
        <f>IFERROR(__xludf.DUMMYFUNCTION("""COMPUTED_VALUE"""),0.17459190915542938)</f>
        <v>0.1745919092</v>
      </c>
      <c r="H4100" s="5">
        <f>IFERROR(__xludf.DUMMYFUNCTION("""COMPUTED_VALUE"""),0.6262975778546713)</f>
        <v>0.6262975779</v>
      </c>
      <c r="I4100" s="11">
        <f>IFERROR(__xludf.DUMMYFUNCTION("""COMPUTED_VALUE"""),5346.020761245674)</f>
        <v>5346.020761</v>
      </c>
      <c r="J4100" s="10">
        <f>IFERROR(__xludf.DUMMYFUNCTION("""COMPUTED_VALUE"""),0.0)</f>
        <v>0</v>
      </c>
      <c r="K4100" s="5">
        <f>IFERROR(__xludf.DUMMYFUNCTION("""COMPUTED_VALUE"""),0.0)</f>
        <v>0</v>
      </c>
      <c r="L4100" s="10">
        <f>IFERROR(__xludf.DUMMYFUNCTION("""COMPUTED_VALUE"""),44.0)</f>
        <v>44</v>
      </c>
      <c r="M4100" s="5">
        <f>IFERROR(__xludf.DUMMYFUNCTION("""COMPUTED_VALUE"""),0.33587786259541985)</f>
        <v>0.3358778626</v>
      </c>
    </row>
    <row r="4101">
      <c r="A4101" s="10" t="str">
        <f>IFERROR(__xludf.DUMMYFUNCTION("""COMPUTED_VALUE"""),"支倉竜")</f>
        <v>支倉竜</v>
      </c>
      <c r="B4101" s="10">
        <f>IFERROR(__xludf.DUMMYFUNCTION("""COMPUTED_VALUE"""),250.0)</f>
        <v>250</v>
      </c>
      <c r="C4101" s="10">
        <f>IFERROR(__xludf.DUMMYFUNCTION("""COMPUTED_VALUE"""),2918.0)</f>
        <v>2918</v>
      </c>
      <c r="D4101" s="5">
        <f>IFERROR(__xludf.DUMMYFUNCTION("""COMPUTED_VALUE"""),0.315592203898051)</f>
        <v>0.3155922039</v>
      </c>
      <c r="E4101" s="5">
        <f>IFERROR(__xludf.DUMMYFUNCTION("""COMPUTED_VALUE"""),0.1199400299850075)</f>
        <v>0.11994003</v>
      </c>
      <c r="F4101" s="5">
        <f>IFERROR(__xludf.DUMMYFUNCTION("""COMPUTED_VALUE"""),0.22113943028485758)</f>
        <v>0.2211394303</v>
      </c>
      <c r="G4101" s="5">
        <f>IFERROR(__xludf.DUMMYFUNCTION("""COMPUTED_VALUE"""),0.16529235382308846)</f>
        <v>0.1652923538</v>
      </c>
      <c r="H4101" s="5">
        <f>IFERROR(__xludf.DUMMYFUNCTION("""COMPUTED_VALUE"""),0.6322033898305085)</f>
        <v>0.6322033898</v>
      </c>
      <c r="I4101" s="11">
        <f>IFERROR(__xludf.DUMMYFUNCTION("""COMPUTED_VALUE"""),5471.016949152542)</f>
        <v>5471.016949</v>
      </c>
      <c r="J4101" s="10">
        <f>IFERROR(__xludf.DUMMYFUNCTION("""COMPUTED_VALUE"""),2.0)</f>
        <v>2</v>
      </c>
      <c r="K4101" s="5">
        <f>IFERROR(__xludf.DUMMYFUNCTION("""COMPUTED_VALUE"""),0.008)</f>
        <v>0.008</v>
      </c>
      <c r="L4101" s="10">
        <f>IFERROR(__xludf.DUMMYFUNCTION("""COMPUTED_VALUE"""),250.0)</f>
        <v>250</v>
      </c>
      <c r="M4101" s="5">
        <f>IFERROR(__xludf.DUMMYFUNCTION("""COMPUTED_VALUE"""),1.0)</f>
        <v>1</v>
      </c>
    </row>
    <row r="4102">
      <c r="A4102" s="10" t="str">
        <f>IFERROR(__xludf.DUMMYFUNCTION("""COMPUTED_VALUE"""),"茶色のアレ")</f>
        <v>茶色のアレ</v>
      </c>
      <c r="B4102" s="10">
        <f>IFERROR(__xludf.DUMMYFUNCTION("""COMPUTED_VALUE"""),711.0)</f>
        <v>711</v>
      </c>
      <c r="C4102" s="10">
        <f>IFERROR(__xludf.DUMMYFUNCTION("""COMPUTED_VALUE"""),8265.0)</f>
        <v>8265</v>
      </c>
      <c r="D4102" s="5">
        <f>IFERROR(__xludf.DUMMYFUNCTION("""COMPUTED_VALUE"""),0.33439237490071483)</f>
        <v>0.3343923749</v>
      </c>
      <c r="E4102" s="5">
        <f>IFERROR(__xludf.DUMMYFUNCTION("""COMPUTED_VALUE"""),0.1199364575059571)</f>
        <v>0.1199364575</v>
      </c>
      <c r="F4102" s="5">
        <f>IFERROR(__xludf.DUMMYFUNCTION("""COMPUTED_VALUE"""),0.21035213132115435)</f>
        <v>0.2103521313</v>
      </c>
      <c r="G4102" s="5">
        <f>IFERROR(__xludf.DUMMYFUNCTION("""COMPUTED_VALUE"""),0.1767275615567911)</f>
        <v>0.1767275616</v>
      </c>
      <c r="H4102" s="5">
        <f>IFERROR(__xludf.DUMMYFUNCTION("""COMPUTED_VALUE"""),0.6117054751415985)</f>
        <v>0.6117054751</v>
      </c>
      <c r="I4102" s="11">
        <f>IFERROR(__xludf.DUMMYFUNCTION("""COMPUTED_VALUE"""),5788.420390182505)</f>
        <v>5788.42039</v>
      </c>
      <c r="J4102" s="10">
        <f>IFERROR(__xludf.DUMMYFUNCTION("""COMPUTED_VALUE"""),0.0)</f>
        <v>0</v>
      </c>
      <c r="K4102" s="5">
        <f>IFERROR(__xludf.DUMMYFUNCTION("""COMPUTED_VALUE"""),0.0)</f>
        <v>0</v>
      </c>
      <c r="L4102" s="10">
        <f>IFERROR(__xludf.DUMMYFUNCTION("""COMPUTED_VALUE"""),711.0)</f>
        <v>711</v>
      </c>
      <c r="M4102" s="5">
        <f>IFERROR(__xludf.DUMMYFUNCTION("""COMPUTED_VALUE"""),1.0)</f>
        <v>1</v>
      </c>
    </row>
    <row r="4103">
      <c r="A4103" s="10" t="str">
        <f>IFERROR(__xludf.DUMMYFUNCTION("""COMPUTED_VALUE"""),"UNKOchan")</f>
        <v>UNKOchan</v>
      </c>
      <c r="B4103" s="10">
        <f>IFERROR(__xludf.DUMMYFUNCTION("""COMPUTED_VALUE"""),2292.0)</f>
        <v>2292</v>
      </c>
      <c r="C4103" s="10">
        <f>IFERROR(__xludf.DUMMYFUNCTION("""COMPUTED_VALUE"""),26765.0)</f>
        <v>26765</v>
      </c>
      <c r="D4103" s="5">
        <f>IFERROR(__xludf.DUMMYFUNCTION("""COMPUTED_VALUE"""),0.3546357209986516)</f>
        <v>0.354635721</v>
      </c>
      <c r="E4103" s="5">
        <f>IFERROR(__xludf.DUMMYFUNCTION("""COMPUTED_VALUE"""),0.11992808401095084)</f>
        <v>0.119928084</v>
      </c>
      <c r="F4103" s="5">
        <f>IFERROR(__xludf.DUMMYFUNCTION("""COMPUTED_VALUE"""),0.21636088750868304)</f>
        <v>0.2163608875</v>
      </c>
      <c r="G4103" s="5">
        <f>IFERROR(__xludf.DUMMYFUNCTION("""COMPUTED_VALUE"""),0.16221958893474442)</f>
        <v>0.1622195889</v>
      </c>
      <c r="H4103" s="5">
        <f>IFERROR(__xludf.DUMMYFUNCTION("""COMPUTED_VALUE"""),0.5975448536355052)</f>
        <v>0.5975448536</v>
      </c>
      <c r="I4103" s="11">
        <f>IFERROR(__xludf.DUMMYFUNCTION("""COMPUTED_VALUE"""),5471.104815864022)</f>
        <v>5471.104816</v>
      </c>
      <c r="J4103" s="10">
        <f>IFERROR(__xludf.DUMMYFUNCTION("""COMPUTED_VALUE"""),6.0)</f>
        <v>6</v>
      </c>
      <c r="K4103" s="5">
        <f>IFERROR(__xludf.DUMMYFUNCTION("""COMPUTED_VALUE"""),0.002617801047120419)</f>
        <v>0.002617801047</v>
      </c>
      <c r="L4103" s="10">
        <f>IFERROR(__xludf.DUMMYFUNCTION("""COMPUTED_VALUE"""),2292.0)</f>
        <v>2292</v>
      </c>
      <c r="M4103" s="5">
        <f>IFERROR(__xludf.DUMMYFUNCTION("""COMPUTED_VALUE"""),1.0)</f>
        <v>1</v>
      </c>
    </row>
    <row r="4104">
      <c r="A4104" s="10" t="str">
        <f>IFERROR(__xludf.DUMMYFUNCTION("""COMPUTED_VALUE"""),"harutin")</f>
        <v>harutin</v>
      </c>
      <c r="B4104" s="10">
        <f>IFERROR(__xludf.DUMMYFUNCTION("""COMPUTED_VALUE"""),1564.0)</f>
        <v>1564</v>
      </c>
      <c r="C4104" s="10">
        <f>IFERROR(__xludf.DUMMYFUNCTION("""COMPUTED_VALUE"""),18277.0)</f>
        <v>18277</v>
      </c>
      <c r="D4104" s="5">
        <f>IFERROR(__xludf.DUMMYFUNCTION("""COMPUTED_VALUE"""),0.35092443008436547)</f>
        <v>0.3509244301</v>
      </c>
      <c r="E4104" s="5">
        <f>IFERROR(__xludf.DUMMYFUNCTION("""COMPUTED_VALUE"""),0.11990665948662718)</f>
        <v>0.1199066595</v>
      </c>
      <c r="F4104" s="5">
        <f>IFERROR(__xludf.DUMMYFUNCTION("""COMPUTED_VALUE"""),0.2055884640698857)</f>
        <v>0.2055884641</v>
      </c>
      <c r="G4104" s="5">
        <f>IFERROR(__xludf.DUMMYFUNCTION("""COMPUTED_VALUE"""),0.18584335547178843)</f>
        <v>0.1858433555</v>
      </c>
      <c r="H4104" s="5">
        <f>IFERROR(__xludf.DUMMYFUNCTION("""COMPUTED_VALUE"""),0.5811990686845169)</f>
        <v>0.5811990687</v>
      </c>
      <c r="I4104" s="11">
        <f>IFERROR(__xludf.DUMMYFUNCTION("""COMPUTED_VALUE"""),5636.233993015134)</f>
        <v>5636.233993</v>
      </c>
      <c r="J4104" s="10">
        <f>IFERROR(__xludf.DUMMYFUNCTION("""COMPUTED_VALUE"""),5.0)</f>
        <v>5</v>
      </c>
      <c r="K4104" s="5">
        <f>IFERROR(__xludf.DUMMYFUNCTION("""COMPUTED_VALUE"""),0.00319693094629156)</f>
        <v>0.003196930946</v>
      </c>
      <c r="L4104" s="10">
        <f>IFERROR(__xludf.DUMMYFUNCTION("""COMPUTED_VALUE"""),1513.0)</f>
        <v>1513</v>
      </c>
      <c r="M4104" s="5">
        <f>IFERROR(__xludf.DUMMYFUNCTION("""COMPUTED_VALUE"""),0.967391304347826)</f>
        <v>0.9673913043</v>
      </c>
    </row>
    <row r="4105">
      <c r="A4105" s="10" t="str">
        <f>IFERROR(__xludf.DUMMYFUNCTION("""COMPUTED_VALUE"""),"長瀬宏之")</f>
        <v>長瀬宏之</v>
      </c>
      <c r="B4105" s="10">
        <f>IFERROR(__xludf.DUMMYFUNCTION("""COMPUTED_VALUE"""),107.0)</f>
        <v>107</v>
      </c>
      <c r="C4105" s="10">
        <f>IFERROR(__xludf.DUMMYFUNCTION("""COMPUTED_VALUE"""),1283.0)</f>
        <v>1283</v>
      </c>
      <c r="D4105" s="5">
        <f>IFERROR(__xludf.DUMMYFUNCTION("""COMPUTED_VALUE"""),0.21598639455782312)</f>
        <v>0.2159863946</v>
      </c>
      <c r="E4105" s="5">
        <f>IFERROR(__xludf.DUMMYFUNCTION("""COMPUTED_VALUE"""),0.11989795918367346)</f>
        <v>0.1198979592</v>
      </c>
      <c r="F4105" s="5">
        <f>IFERROR(__xludf.DUMMYFUNCTION("""COMPUTED_VALUE"""),0.16751700680272108)</f>
        <v>0.1675170068</v>
      </c>
      <c r="G4105" s="5">
        <f>IFERROR(__xludf.DUMMYFUNCTION("""COMPUTED_VALUE"""),0.13690476190476192)</f>
        <v>0.1369047619</v>
      </c>
      <c r="H4105" s="5">
        <f>IFERROR(__xludf.DUMMYFUNCTION("""COMPUTED_VALUE"""),0.6700507614213198)</f>
        <v>0.6700507614</v>
      </c>
      <c r="I4105" s="11">
        <f>IFERROR(__xludf.DUMMYFUNCTION("""COMPUTED_VALUE"""),6478.680203045686)</f>
        <v>6478.680203</v>
      </c>
      <c r="J4105" s="10">
        <f>IFERROR(__xludf.DUMMYFUNCTION("""COMPUTED_VALUE"""),0.0)</f>
        <v>0</v>
      </c>
      <c r="K4105" s="5">
        <f>IFERROR(__xludf.DUMMYFUNCTION("""COMPUTED_VALUE"""),0.0)</f>
        <v>0</v>
      </c>
      <c r="L4105" s="10">
        <f>IFERROR(__xludf.DUMMYFUNCTION("""COMPUTED_VALUE"""),107.0)</f>
        <v>107</v>
      </c>
      <c r="M4105" s="5">
        <f>IFERROR(__xludf.DUMMYFUNCTION("""COMPUTED_VALUE"""),1.0)</f>
        <v>1</v>
      </c>
    </row>
    <row r="4106">
      <c r="A4106" s="10" t="str">
        <f>IFERROR(__xludf.DUMMYFUNCTION("""COMPUTED_VALUE"""),"グレポン")</f>
        <v>グレポン</v>
      </c>
      <c r="B4106" s="10">
        <f>IFERROR(__xludf.DUMMYFUNCTION("""COMPUTED_VALUE"""),161.0)</f>
        <v>161</v>
      </c>
      <c r="C4106" s="10">
        <f>IFERROR(__xludf.DUMMYFUNCTION("""COMPUTED_VALUE"""),1871.0)</f>
        <v>1871</v>
      </c>
      <c r="D4106" s="5">
        <f>IFERROR(__xludf.DUMMYFUNCTION("""COMPUTED_VALUE"""),0.28771929824561404)</f>
        <v>0.2877192982</v>
      </c>
      <c r="E4106" s="5">
        <f>IFERROR(__xludf.DUMMYFUNCTION("""COMPUTED_VALUE"""),0.11988304093567251)</f>
        <v>0.1198830409</v>
      </c>
      <c r="F4106" s="5">
        <f>IFERROR(__xludf.DUMMYFUNCTION("""COMPUTED_VALUE"""),0.18596491228070175)</f>
        <v>0.1859649123</v>
      </c>
      <c r="G4106" s="5">
        <f>IFERROR(__xludf.DUMMYFUNCTION("""COMPUTED_VALUE"""),0.1649122807017544)</f>
        <v>0.1649122807</v>
      </c>
      <c r="H4106" s="5">
        <f>IFERROR(__xludf.DUMMYFUNCTION("""COMPUTED_VALUE"""),0.5786163522012578)</f>
        <v>0.5786163522</v>
      </c>
      <c r="I4106" s="11">
        <f>IFERROR(__xludf.DUMMYFUNCTION("""COMPUTED_VALUE"""),5872.327044025157)</f>
        <v>5872.327044</v>
      </c>
      <c r="J4106" s="10">
        <f>IFERROR(__xludf.DUMMYFUNCTION("""COMPUTED_VALUE"""),0.0)</f>
        <v>0</v>
      </c>
      <c r="K4106" s="5">
        <f>IFERROR(__xludf.DUMMYFUNCTION("""COMPUTED_VALUE"""),0.0)</f>
        <v>0</v>
      </c>
      <c r="L4106" s="10">
        <f>IFERROR(__xludf.DUMMYFUNCTION("""COMPUTED_VALUE"""),161.0)</f>
        <v>161</v>
      </c>
      <c r="M4106" s="5">
        <f>IFERROR(__xludf.DUMMYFUNCTION("""COMPUTED_VALUE"""),1.0)</f>
        <v>1</v>
      </c>
    </row>
    <row r="4107">
      <c r="A4107" s="10" t="str">
        <f>IFERROR(__xludf.DUMMYFUNCTION("""COMPUTED_VALUE"""),"もうりぃ☆")</f>
        <v>もうりぃ☆</v>
      </c>
      <c r="B4107" s="10">
        <f>IFERROR(__xludf.DUMMYFUNCTION("""COMPUTED_VALUE"""),283.0)</f>
        <v>283</v>
      </c>
      <c r="C4107" s="10">
        <f>IFERROR(__xludf.DUMMYFUNCTION("""COMPUTED_VALUE"""),3311.0)</f>
        <v>3311</v>
      </c>
      <c r="D4107" s="5">
        <f>IFERROR(__xludf.DUMMYFUNCTION("""COMPUTED_VALUE"""),0.2727873183619551)</f>
        <v>0.2727873184</v>
      </c>
      <c r="E4107" s="5">
        <f>IFERROR(__xludf.DUMMYFUNCTION("""COMPUTED_VALUE"""),0.11988110964332893)</f>
        <v>0.1198811096</v>
      </c>
      <c r="F4107" s="5">
        <f>IFERROR(__xludf.DUMMYFUNCTION("""COMPUTED_VALUE"""),0.2093791281373844)</f>
        <v>0.2093791281</v>
      </c>
      <c r="G4107" s="5">
        <f>IFERROR(__xludf.DUMMYFUNCTION("""COMPUTED_VALUE"""),0.13705416116248348)</f>
        <v>0.1370541612</v>
      </c>
      <c r="H4107" s="5">
        <f>IFERROR(__xludf.DUMMYFUNCTION("""COMPUTED_VALUE"""),0.6167192429022083)</f>
        <v>0.6167192429</v>
      </c>
      <c r="I4107" s="11">
        <f>IFERROR(__xludf.DUMMYFUNCTION("""COMPUTED_VALUE"""),5091.79810725552)</f>
        <v>5091.798107</v>
      </c>
      <c r="J4107" s="10">
        <f>IFERROR(__xludf.DUMMYFUNCTION("""COMPUTED_VALUE"""),0.0)</f>
        <v>0</v>
      </c>
      <c r="K4107" s="5">
        <f>IFERROR(__xludf.DUMMYFUNCTION("""COMPUTED_VALUE"""),0.0)</f>
        <v>0</v>
      </c>
      <c r="L4107" s="10">
        <f>IFERROR(__xludf.DUMMYFUNCTION("""COMPUTED_VALUE"""),275.0)</f>
        <v>275</v>
      </c>
      <c r="M4107" s="5">
        <f>IFERROR(__xludf.DUMMYFUNCTION("""COMPUTED_VALUE"""),0.9717314487632509)</f>
        <v>0.9717314488</v>
      </c>
    </row>
    <row r="4108">
      <c r="A4108" s="10" t="str">
        <f>IFERROR(__xludf.DUMMYFUNCTION("""COMPUTED_VALUE"""),"tetuko")</f>
        <v>tetuko</v>
      </c>
      <c r="B4108" s="10">
        <f>IFERROR(__xludf.DUMMYFUNCTION("""COMPUTED_VALUE"""),211.0)</f>
        <v>211</v>
      </c>
      <c r="C4108" s="10">
        <f>IFERROR(__xludf.DUMMYFUNCTION("""COMPUTED_VALUE"""),2505.0)</f>
        <v>2505</v>
      </c>
      <c r="D4108" s="5">
        <f>IFERROR(__xludf.DUMMYFUNCTION("""COMPUTED_VALUE"""),0.3927637314734089)</f>
        <v>0.3927637315</v>
      </c>
      <c r="E4108" s="5">
        <f>IFERROR(__xludf.DUMMYFUNCTION("""COMPUTED_VALUE"""),0.11987794245858761)</f>
        <v>0.1198779425</v>
      </c>
      <c r="F4108" s="5">
        <f>IFERROR(__xludf.DUMMYFUNCTION("""COMPUTED_VALUE"""),0.1987794245858762)</f>
        <v>0.1987794246</v>
      </c>
      <c r="G4108" s="5">
        <f>IFERROR(__xludf.DUMMYFUNCTION("""COMPUTED_VALUE"""),0.16346992153443765)</f>
        <v>0.1634699215</v>
      </c>
      <c r="H4108" s="5">
        <f>IFERROR(__xludf.DUMMYFUNCTION("""COMPUTED_VALUE"""),0.5855263157894737)</f>
        <v>0.5855263158</v>
      </c>
      <c r="I4108" s="11">
        <f>IFERROR(__xludf.DUMMYFUNCTION("""COMPUTED_VALUE"""),5357.017543859649)</f>
        <v>5357.017544</v>
      </c>
      <c r="J4108" s="10">
        <f>IFERROR(__xludf.DUMMYFUNCTION("""COMPUTED_VALUE"""),1.0)</f>
        <v>1</v>
      </c>
      <c r="K4108" s="5">
        <f>IFERROR(__xludf.DUMMYFUNCTION("""COMPUTED_VALUE"""),0.004739336492890996)</f>
        <v>0.004739336493</v>
      </c>
      <c r="L4108" s="10">
        <f>IFERROR(__xludf.DUMMYFUNCTION("""COMPUTED_VALUE"""),211.0)</f>
        <v>211</v>
      </c>
      <c r="M4108" s="5">
        <f>IFERROR(__xludf.DUMMYFUNCTION("""COMPUTED_VALUE"""),1.0)</f>
        <v>1</v>
      </c>
    </row>
    <row r="4109">
      <c r="A4109" s="10" t="str">
        <f>IFERROR(__xludf.DUMMYFUNCTION("""COMPUTED_VALUE"""),"タモリ")</f>
        <v>タモリ</v>
      </c>
      <c r="B4109" s="10">
        <f>IFERROR(__xludf.DUMMYFUNCTION("""COMPUTED_VALUE"""),918.0)</f>
        <v>918</v>
      </c>
      <c r="C4109" s="10">
        <f>IFERROR(__xludf.DUMMYFUNCTION("""COMPUTED_VALUE"""),10703.0)</f>
        <v>10703</v>
      </c>
      <c r="D4109" s="5">
        <f>IFERROR(__xludf.DUMMYFUNCTION("""COMPUTED_VALUE"""),0.2635666836995401)</f>
        <v>0.2635666837</v>
      </c>
      <c r="E4109" s="5">
        <f>IFERROR(__xludf.DUMMYFUNCTION("""COMPUTED_VALUE"""),0.1198773633111906)</f>
        <v>0.1198773633</v>
      </c>
      <c r="F4109" s="5">
        <f>IFERROR(__xludf.DUMMYFUNCTION("""COMPUTED_VALUE"""),0.19100664282064383)</f>
        <v>0.1910066428</v>
      </c>
      <c r="G4109" s="5">
        <f>IFERROR(__xludf.DUMMYFUNCTION("""COMPUTED_VALUE"""),0.1773122125702606)</f>
        <v>0.1773122126</v>
      </c>
      <c r="H4109" s="5">
        <f>IFERROR(__xludf.DUMMYFUNCTION("""COMPUTED_VALUE"""),0.5826645264847512)</f>
        <v>0.5826645265</v>
      </c>
      <c r="I4109" s="11">
        <f>IFERROR(__xludf.DUMMYFUNCTION("""COMPUTED_VALUE"""),6094.114499732477)</f>
        <v>6094.1145</v>
      </c>
      <c r="J4109" s="10">
        <f>IFERROR(__xludf.DUMMYFUNCTION("""COMPUTED_VALUE"""),0.0)</f>
        <v>0</v>
      </c>
      <c r="K4109" s="5">
        <f>IFERROR(__xludf.DUMMYFUNCTION("""COMPUTED_VALUE"""),0.0)</f>
        <v>0</v>
      </c>
      <c r="L4109" s="10">
        <f>IFERROR(__xludf.DUMMYFUNCTION("""COMPUTED_VALUE"""),918.0)</f>
        <v>918</v>
      </c>
      <c r="M4109" s="5">
        <f>IFERROR(__xludf.DUMMYFUNCTION("""COMPUTED_VALUE"""),1.0)</f>
        <v>1</v>
      </c>
    </row>
    <row r="4110">
      <c r="A4110" s="10" t="str">
        <f>IFERROR(__xludf.DUMMYFUNCTION("""COMPUTED_VALUE"""),"【ちゅのだ】")</f>
        <v>【ちゅのだ】</v>
      </c>
      <c r="B4110" s="10">
        <f>IFERROR(__xludf.DUMMYFUNCTION("""COMPUTED_VALUE"""),442.0)</f>
        <v>442</v>
      </c>
      <c r="C4110" s="10">
        <f>IFERROR(__xludf.DUMMYFUNCTION("""COMPUTED_VALUE"""),5239.0)</f>
        <v>5239</v>
      </c>
      <c r="D4110" s="5">
        <f>IFERROR(__xludf.DUMMYFUNCTION("""COMPUTED_VALUE"""),0.41296643735668126)</f>
        <v>0.4129664374</v>
      </c>
      <c r="E4110" s="5">
        <f>IFERROR(__xludf.DUMMYFUNCTION("""COMPUTED_VALUE"""),0.11986658328121742)</f>
        <v>0.1198665833</v>
      </c>
      <c r="F4110" s="5">
        <f>IFERROR(__xludf.DUMMYFUNCTION("""COMPUTED_VALUE"""),0.21304982280592036)</f>
        <v>0.2130498228</v>
      </c>
      <c r="G4110" s="5">
        <f>IFERROR(__xludf.DUMMYFUNCTION("""COMPUTED_VALUE"""),0.14634146341463414)</f>
        <v>0.1463414634</v>
      </c>
      <c r="H4110" s="5">
        <f>IFERROR(__xludf.DUMMYFUNCTION("""COMPUTED_VALUE"""),0.5919765166340509)</f>
        <v>0.5919765166</v>
      </c>
      <c r="I4110" s="11">
        <f>IFERROR(__xludf.DUMMYFUNCTION("""COMPUTED_VALUE"""),5127.397260273972)</f>
        <v>5127.39726</v>
      </c>
      <c r="J4110" s="10">
        <f>IFERROR(__xludf.DUMMYFUNCTION("""COMPUTED_VALUE"""),1.0)</f>
        <v>1</v>
      </c>
      <c r="K4110" s="5">
        <f>IFERROR(__xludf.DUMMYFUNCTION("""COMPUTED_VALUE"""),0.0022624434389140274)</f>
        <v>0.002262443439</v>
      </c>
      <c r="L4110" s="10">
        <f>IFERROR(__xludf.DUMMYFUNCTION("""COMPUTED_VALUE"""),442.0)</f>
        <v>442</v>
      </c>
      <c r="M4110" s="5">
        <f>IFERROR(__xludf.DUMMYFUNCTION("""COMPUTED_VALUE"""),1.0)</f>
        <v>1</v>
      </c>
    </row>
    <row r="4111">
      <c r="A4111" s="10" t="str">
        <f>IFERROR(__xludf.DUMMYFUNCTION("""COMPUTED_VALUE"""),"ほむ子")</f>
        <v>ほむ子</v>
      </c>
      <c r="B4111" s="10">
        <f>IFERROR(__xludf.DUMMYFUNCTION("""COMPUTED_VALUE"""),282.0)</f>
        <v>282</v>
      </c>
      <c r="C4111" s="10">
        <f>IFERROR(__xludf.DUMMYFUNCTION("""COMPUTED_VALUE"""),3394.0)</f>
        <v>3394</v>
      </c>
      <c r="D4111" s="5">
        <f>IFERROR(__xludf.DUMMYFUNCTION("""COMPUTED_VALUE"""),0.27345758354755784)</f>
        <v>0.2734575835</v>
      </c>
      <c r="E4111" s="5">
        <f>IFERROR(__xludf.DUMMYFUNCTION("""COMPUTED_VALUE"""),0.1198586118251928)</f>
        <v>0.1198586118</v>
      </c>
      <c r="F4111" s="5">
        <f>IFERROR(__xludf.DUMMYFUNCTION("""COMPUTED_VALUE"""),0.20565552699228792)</f>
        <v>0.205655527</v>
      </c>
      <c r="G4111" s="5">
        <f>IFERROR(__xludf.DUMMYFUNCTION("""COMPUTED_VALUE"""),0.16002570694087404)</f>
        <v>0.1600257069</v>
      </c>
      <c r="H4111" s="5">
        <f>IFERROR(__xludf.DUMMYFUNCTION("""COMPUTED_VALUE"""),0.6140625)</f>
        <v>0.6140625</v>
      </c>
      <c r="I4111" s="11">
        <f>IFERROR(__xludf.DUMMYFUNCTION("""COMPUTED_VALUE"""),5733.4375)</f>
        <v>5733.4375</v>
      </c>
      <c r="J4111" s="10">
        <f>IFERROR(__xludf.DUMMYFUNCTION("""COMPUTED_VALUE"""),2.0)</f>
        <v>2</v>
      </c>
      <c r="K4111" s="5">
        <f>IFERROR(__xludf.DUMMYFUNCTION("""COMPUTED_VALUE"""),0.0070921985815602835)</f>
        <v>0.007092198582</v>
      </c>
      <c r="L4111" s="10">
        <f>IFERROR(__xludf.DUMMYFUNCTION("""COMPUTED_VALUE"""),282.0)</f>
        <v>282</v>
      </c>
      <c r="M4111" s="5">
        <f>IFERROR(__xludf.DUMMYFUNCTION("""COMPUTED_VALUE"""),1.0)</f>
        <v>1</v>
      </c>
    </row>
    <row r="4112">
      <c r="A4112" s="10" t="str">
        <f>IFERROR(__xludf.DUMMYFUNCTION("""COMPUTED_VALUE"""),"伊藤伊藤伊藤")</f>
        <v>伊藤伊藤伊藤</v>
      </c>
      <c r="B4112" s="10">
        <f>IFERROR(__xludf.DUMMYFUNCTION("""COMPUTED_VALUE"""),1082.0)</f>
        <v>1082</v>
      </c>
      <c r="C4112" s="10">
        <f>IFERROR(__xludf.DUMMYFUNCTION("""COMPUTED_VALUE"""),12771.0)</f>
        <v>12771</v>
      </c>
      <c r="D4112" s="5">
        <f>IFERROR(__xludf.DUMMYFUNCTION("""COMPUTED_VALUE"""),0.39130806741380786)</f>
        <v>0.3913080674</v>
      </c>
      <c r="E4112" s="5">
        <f>IFERROR(__xludf.DUMMYFUNCTION("""COMPUTED_VALUE"""),0.11985627513046454)</f>
        <v>0.1198562751</v>
      </c>
      <c r="F4112" s="5">
        <f>IFERROR(__xludf.DUMMYFUNCTION("""COMPUTED_VALUE"""),0.20805885875609548)</f>
        <v>0.2080588588</v>
      </c>
      <c r="G4112" s="5">
        <f>IFERROR(__xludf.DUMMYFUNCTION("""COMPUTED_VALUE"""),0.13465651467191375)</f>
        <v>0.1346565147</v>
      </c>
      <c r="H4112" s="5">
        <f>IFERROR(__xludf.DUMMYFUNCTION("""COMPUTED_VALUE"""),0.6204769736842105)</f>
        <v>0.6204769737</v>
      </c>
      <c r="I4112" s="11">
        <f>IFERROR(__xludf.DUMMYFUNCTION("""COMPUTED_VALUE"""),5048.601973684211)</f>
        <v>5048.601974</v>
      </c>
      <c r="J4112" s="10">
        <f>IFERROR(__xludf.DUMMYFUNCTION("""COMPUTED_VALUE"""),1.0)</f>
        <v>1</v>
      </c>
      <c r="K4112" s="5">
        <f>IFERROR(__xludf.DUMMYFUNCTION("""COMPUTED_VALUE"""),9.242144177449168E-4)</f>
        <v>0.0009242144177</v>
      </c>
      <c r="L4112" s="10">
        <f>IFERROR(__xludf.DUMMYFUNCTION("""COMPUTED_VALUE"""),1011.0)</f>
        <v>1011</v>
      </c>
      <c r="M4112" s="5">
        <f>IFERROR(__xludf.DUMMYFUNCTION("""COMPUTED_VALUE"""),0.9343807763401109)</f>
        <v>0.9343807763</v>
      </c>
    </row>
    <row r="4113">
      <c r="A4113" s="10" t="str">
        <f>IFERROR(__xludf.DUMMYFUNCTION("""COMPUTED_VALUE"""),"彩ヶ亭")</f>
        <v>彩ヶ亭</v>
      </c>
      <c r="B4113" s="10">
        <f>IFERROR(__xludf.DUMMYFUNCTION("""COMPUTED_VALUE"""),149.0)</f>
        <v>149</v>
      </c>
      <c r="C4113" s="10">
        <f>IFERROR(__xludf.DUMMYFUNCTION("""COMPUTED_VALUE"""),1801.0)</f>
        <v>1801</v>
      </c>
      <c r="D4113" s="5">
        <f>IFERROR(__xludf.DUMMYFUNCTION("""COMPUTED_VALUE"""),0.36803874092009686)</f>
        <v>0.3680387409</v>
      </c>
      <c r="E4113" s="5">
        <f>IFERROR(__xludf.DUMMYFUNCTION("""COMPUTED_VALUE"""),0.1198547215496368)</f>
        <v>0.1198547215</v>
      </c>
      <c r="F4113" s="5">
        <f>IFERROR(__xludf.DUMMYFUNCTION("""COMPUTED_VALUE"""),0.18825665859564164)</f>
        <v>0.1882566586</v>
      </c>
      <c r="G4113" s="5">
        <f>IFERROR(__xludf.DUMMYFUNCTION("""COMPUTED_VALUE"""),0.16101694915254236)</f>
        <v>0.1610169492</v>
      </c>
      <c r="H4113" s="5">
        <f>IFERROR(__xludf.DUMMYFUNCTION("""COMPUTED_VALUE"""),0.5852090032154341)</f>
        <v>0.5852090032</v>
      </c>
      <c r="I4113" s="11">
        <f>IFERROR(__xludf.DUMMYFUNCTION("""COMPUTED_VALUE"""),5245.337620578778)</f>
        <v>5245.337621</v>
      </c>
      <c r="J4113" s="10">
        <f>IFERROR(__xludf.DUMMYFUNCTION("""COMPUTED_VALUE"""),0.0)</f>
        <v>0</v>
      </c>
      <c r="K4113" s="5">
        <f>IFERROR(__xludf.DUMMYFUNCTION("""COMPUTED_VALUE"""),0.0)</f>
        <v>0</v>
      </c>
      <c r="L4113" s="10">
        <f>IFERROR(__xludf.DUMMYFUNCTION("""COMPUTED_VALUE"""),149.0)</f>
        <v>149</v>
      </c>
      <c r="M4113" s="5">
        <f>IFERROR(__xludf.DUMMYFUNCTION("""COMPUTED_VALUE"""),1.0)</f>
        <v>1</v>
      </c>
    </row>
    <row r="4114">
      <c r="A4114" s="10" t="str">
        <f>IFERROR(__xludf.DUMMYFUNCTION("""COMPUTED_VALUE"""),"admin2")</f>
        <v>admin2</v>
      </c>
      <c r="B4114" s="10">
        <f>IFERROR(__xludf.DUMMYFUNCTION("""COMPUTED_VALUE"""),581.0)</f>
        <v>581</v>
      </c>
      <c r="C4114" s="10">
        <f>IFERROR(__xludf.DUMMYFUNCTION("""COMPUTED_VALUE"""),6789.0)</f>
        <v>6789</v>
      </c>
      <c r="D4114" s="5">
        <f>IFERROR(__xludf.DUMMYFUNCTION("""COMPUTED_VALUE"""),0.36259664948453607)</f>
        <v>0.3625966495</v>
      </c>
      <c r="E4114" s="5">
        <f>IFERROR(__xludf.DUMMYFUNCTION("""COMPUTED_VALUE"""),0.11984536082474227)</f>
        <v>0.1198453608</v>
      </c>
      <c r="F4114" s="5">
        <f>IFERROR(__xludf.DUMMYFUNCTION("""COMPUTED_VALUE"""),0.22052190721649484)</f>
        <v>0.2205219072</v>
      </c>
      <c r="G4114" s="5">
        <f>IFERROR(__xludf.DUMMYFUNCTION("""COMPUTED_VALUE"""),0.17284149484536082)</f>
        <v>0.1728414948</v>
      </c>
      <c r="H4114" s="5">
        <f>IFERROR(__xludf.DUMMYFUNCTION("""COMPUTED_VALUE"""),0.5924032140248356)</f>
        <v>0.592403214</v>
      </c>
      <c r="I4114" s="11">
        <f>IFERROR(__xludf.DUMMYFUNCTION("""COMPUTED_VALUE"""),5580.204528853177)</f>
        <v>5580.204529</v>
      </c>
      <c r="J4114" s="10">
        <f>IFERROR(__xludf.DUMMYFUNCTION("""COMPUTED_VALUE"""),0.0)</f>
        <v>0</v>
      </c>
      <c r="K4114" s="5">
        <f>IFERROR(__xludf.DUMMYFUNCTION("""COMPUTED_VALUE"""),0.0)</f>
        <v>0</v>
      </c>
      <c r="L4114" s="10">
        <f>IFERROR(__xludf.DUMMYFUNCTION("""COMPUTED_VALUE"""),581.0)</f>
        <v>581</v>
      </c>
      <c r="M4114" s="5">
        <f>IFERROR(__xludf.DUMMYFUNCTION("""COMPUTED_VALUE"""),1.0)</f>
        <v>1</v>
      </c>
    </row>
    <row r="4115">
      <c r="A4115" s="10" t="str">
        <f>IFERROR(__xludf.DUMMYFUNCTION("""COMPUTED_VALUE"""),"ノナメちゃん")</f>
        <v>ノナメちゃん</v>
      </c>
      <c r="B4115" s="10">
        <f>IFERROR(__xludf.DUMMYFUNCTION("""COMPUTED_VALUE"""),261.0)</f>
        <v>261</v>
      </c>
      <c r="C4115" s="10">
        <f>IFERROR(__xludf.DUMMYFUNCTION("""COMPUTED_VALUE"""),3165.0)</f>
        <v>3165</v>
      </c>
      <c r="D4115" s="5">
        <f>IFERROR(__xludf.DUMMYFUNCTION("""COMPUTED_VALUE"""),0.35881542699724517)</f>
        <v>0.358815427</v>
      </c>
      <c r="E4115" s="5">
        <f>IFERROR(__xludf.DUMMYFUNCTION("""COMPUTED_VALUE"""),0.11983471074380166)</f>
        <v>0.1198347107</v>
      </c>
      <c r="F4115" s="5">
        <f>IFERROR(__xludf.DUMMYFUNCTION("""COMPUTED_VALUE"""),0.20351239669421486)</f>
        <v>0.2035123967</v>
      </c>
      <c r="G4115" s="5">
        <f>IFERROR(__xludf.DUMMYFUNCTION("""COMPUTED_VALUE"""),0.15495867768595042)</f>
        <v>0.1549586777</v>
      </c>
      <c r="H4115" s="5">
        <f>IFERROR(__xludf.DUMMYFUNCTION("""COMPUTED_VALUE"""),0.6006768189509306)</f>
        <v>0.600676819</v>
      </c>
      <c r="I4115" s="11">
        <f>IFERROR(__xludf.DUMMYFUNCTION("""COMPUTED_VALUE"""),5038.917089678511)</f>
        <v>5038.91709</v>
      </c>
      <c r="J4115" s="10">
        <f>IFERROR(__xludf.DUMMYFUNCTION("""COMPUTED_VALUE"""),1.0)</f>
        <v>1</v>
      </c>
      <c r="K4115" s="5">
        <f>IFERROR(__xludf.DUMMYFUNCTION("""COMPUTED_VALUE"""),0.0038314176245210726)</f>
        <v>0.003831417625</v>
      </c>
      <c r="L4115" s="10">
        <f>IFERROR(__xludf.DUMMYFUNCTION("""COMPUTED_VALUE"""),7.0)</f>
        <v>7</v>
      </c>
      <c r="M4115" s="5">
        <f>IFERROR(__xludf.DUMMYFUNCTION("""COMPUTED_VALUE"""),0.02681992337164751)</f>
        <v>0.02681992337</v>
      </c>
    </row>
    <row r="4116">
      <c r="A4116" s="10" t="str">
        <f>IFERROR(__xludf.DUMMYFUNCTION("""COMPUTED_VALUE"""),"gaiaxxx")</f>
        <v>gaiaxxx</v>
      </c>
      <c r="B4116" s="10">
        <f>IFERROR(__xludf.DUMMYFUNCTION("""COMPUTED_VALUE"""),421.0)</f>
        <v>421</v>
      </c>
      <c r="C4116" s="10">
        <f>IFERROR(__xludf.DUMMYFUNCTION("""COMPUTED_VALUE"""),4944.0)</f>
        <v>4944</v>
      </c>
      <c r="D4116" s="5">
        <f>IFERROR(__xludf.DUMMYFUNCTION("""COMPUTED_VALUE"""),0.35418969710369225)</f>
        <v>0.3541896971</v>
      </c>
      <c r="E4116" s="5">
        <f>IFERROR(__xludf.DUMMYFUNCTION("""COMPUTED_VALUE"""),0.11983196993146142)</f>
        <v>0.1198319699</v>
      </c>
      <c r="F4116" s="5">
        <f>IFERROR(__xludf.DUMMYFUNCTION("""COMPUTED_VALUE"""),0.2005306212690692)</f>
        <v>0.2005306213</v>
      </c>
      <c r="G4116" s="5">
        <f>IFERROR(__xludf.DUMMYFUNCTION("""COMPUTED_VALUE"""),0.16471368560689809)</f>
        <v>0.1647136856</v>
      </c>
      <c r="H4116" s="5">
        <f>IFERROR(__xludf.DUMMYFUNCTION("""COMPUTED_VALUE"""),0.6097023153252481)</f>
        <v>0.6097023153</v>
      </c>
      <c r="I4116" s="11">
        <f>IFERROR(__xludf.DUMMYFUNCTION("""COMPUTED_VALUE"""),5419.073869900772)</f>
        <v>5419.07387</v>
      </c>
      <c r="J4116" s="10">
        <f>IFERROR(__xludf.DUMMYFUNCTION("""COMPUTED_VALUE"""),0.0)</f>
        <v>0</v>
      </c>
      <c r="K4116" s="5">
        <f>IFERROR(__xludf.DUMMYFUNCTION("""COMPUTED_VALUE"""),0.0)</f>
        <v>0</v>
      </c>
      <c r="L4116" s="10">
        <f>IFERROR(__xludf.DUMMYFUNCTION("""COMPUTED_VALUE"""),248.0)</f>
        <v>248</v>
      </c>
      <c r="M4116" s="5">
        <f>IFERROR(__xludf.DUMMYFUNCTION("""COMPUTED_VALUE"""),0.5890736342042755)</f>
        <v>0.5890736342</v>
      </c>
    </row>
    <row r="4117">
      <c r="A4117" s="10" t="str">
        <f>IFERROR(__xludf.DUMMYFUNCTION("""COMPUTED_VALUE"""),"海山河地")</f>
        <v>海山河地</v>
      </c>
      <c r="B4117" s="10">
        <f>IFERROR(__xludf.DUMMYFUNCTION("""COMPUTED_VALUE"""),110.0)</f>
        <v>110</v>
      </c>
      <c r="C4117" s="10">
        <f>IFERROR(__xludf.DUMMYFUNCTION("""COMPUTED_VALUE"""),1295.0)</f>
        <v>1295</v>
      </c>
      <c r="D4117" s="5">
        <f>IFERROR(__xludf.DUMMYFUNCTION("""COMPUTED_VALUE"""),0.29535864978902954)</f>
        <v>0.2953586498</v>
      </c>
      <c r="E4117" s="5">
        <f>IFERROR(__xludf.DUMMYFUNCTION("""COMPUTED_VALUE"""),0.11983122362869199)</f>
        <v>0.1198312236</v>
      </c>
      <c r="F4117" s="5">
        <f>IFERROR(__xludf.DUMMYFUNCTION("""COMPUTED_VALUE"""),0.1940928270042194)</f>
        <v>0.194092827</v>
      </c>
      <c r="G4117" s="5">
        <f>IFERROR(__xludf.DUMMYFUNCTION("""COMPUTED_VALUE"""),0.17046413502109706)</f>
        <v>0.170464135</v>
      </c>
      <c r="H4117" s="5">
        <f>IFERROR(__xludf.DUMMYFUNCTION("""COMPUTED_VALUE"""),0.5826086956521739)</f>
        <v>0.5826086957</v>
      </c>
      <c r="I4117" s="11">
        <f>IFERROR(__xludf.DUMMYFUNCTION("""COMPUTED_VALUE"""),6123.478260869565)</f>
        <v>6123.478261</v>
      </c>
      <c r="J4117" s="10">
        <f>IFERROR(__xludf.DUMMYFUNCTION("""COMPUTED_VALUE"""),0.0)</f>
        <v>0</v>
      </c>
      <c r="K4117" s="5">
        <f>IFERROR(__xludf.DUMMYFUNCTION("""COMPUTED_VALUE"""),0.0)</f>
        <v>0</v>
      </c>
      <c r="L4117" s="10">
        <f>IFERROR(__xludf.DUMMYFUNCTION("""COMPUTED_VALUE"""),110.0)</f>
        <v>110</v>
      </c>
      <c r="M4117" s="5">
        <f>IFERROR(__xludf.DUMMYFUNCTION("""COMPUTED_VALUE"""),1.0)</f>
        <v>1</v>
      </c>
    </row>
    <row r="4118">
      <c r="A4118" s="10" t="str">
        <f>IFERROR(__xludf.DUMMYFUNCTION("""COMPUTED_VALUE"""),"新手285714")</f>
        <v>新手285714</v>
      </c>
      <c r="B4118" s="10">
        <f>IFERROR(__xludf.DUMMYFUNCTION("""COMPUTED_VALUE"""),200.0)</f>
        <v>200</v>
      </c>
      <c r="C4118" s="10">
        <f>IFERROR(__xludf.DUMMYFUNCTION("""COMPUTED_VALUE"""),2395.0)</f>
        <v>2395</v>
      </c>
      <c r="D4118" s="5">
        <f>IFERROR(__xludf.DUMMYFUNCTION("""COMPUTED_VALUE"""),0.3366742596810934)</f>
        <v>0.3366742597</v>
      </c>
      <c r="E4118" s="5">
        <f>IFERROR(__xludf.DUMMYFUNCTION("""COMPUTED_VALUE"""),0.11981776765375854)</f>
        <v>0.1198177677</v>
      </c>
      <c r="F4118" s="5">
        <f>IFERROR(__xludf.DUMMYFUNCTION("""COMPUTED_VALUE"""),0.18952164009111616)</f>
        <v>0.1895216401</v>
      </c>
      <c r="G4118" s="5">
        <f>IFERROR(__xludf.DUMMYFUNCTION("""COMPUTED_VALUE"""),0.13940774487471527)</f>
        <v>0.1394077449</v>
      </c>
      <c r="H4118" s="5">
        <f>IFERROR(__xludf.DUMMYFUNCTION("""COMPUTED_VALUE"""),0.5721153846153846)</f>
        <v>0.5721153846</v>
      </c>
      <c r="I4118" s="11">
        <f>IFERROR(__xludf.DUMMYFUNCTION("""COMPUTED_VALUE"""),5271.153846153846)</f>
        <v>5271.153846</v>
      </c>
      <c r="J4118" s="10">
        <f>IFERROR(__xludf.DUMMYFUNCTION("""COMPUTED_VALUE"""),0.0)</f>
        <v>0</v>
      </c>
      <c r="K4118" s="5">
        <f>IFERROR(__xludf.DUMMYFUNCTION("""COMPUTED_VALUE"""),0.0)</f>
        <v>0</v>
      </c>
      <c r="L4118" s="10">
        <f>IFERROR(__xludf.DUMMYFUNCTION("""COMPUTED_VALUE"""),200.0)</f>
        <v>200</v>
      </c>
      <c r="M4118" s="5">
        <f>IFERROR(__xludf.DUMMYFUNCTION("""COMPUTED_VALUE"""),1.0)</f>
        <v>1</v>
      </c>
    </row>
    <row r="4119">
      <c r="A4119" s="10" t="str">
        <f>IFERROR(__xludf.DUMMYFUNCTION("""COMPUTED_VALUE"""),"氷河風")</f>
        <v>氷河風</v>
      </c>
      <c r="B4119" s="10">
        <f>IFERROR(__xludf.DUMMYFUNCTION("""COMPUTED_VALUE"""),2338.0)</f>
        <v>2338</v>
      </c>
      <c r="C4119" s="10">
        <f>IFERROR(__xludf.DUMMYFUNCTION("""COMPUTED_VALUE"""),27620.0)</f>
        <v>27620</v>
      </c>
      <c r="D4119" s="5">
        <f>IFERROR(__xludf.DUMMYFUNCTION("""COMPUTED_VALUE"""),0.38019144055058934)</f>
        <v>0.3801914406</v>
      </c>
      <c r="E4119" s="5">
        <f>IFERROR(__xludf.DUMMYFUNCTION("""COMPUTED_VALUE"""),0.11980855944941064)</f>
        <v>0.1198085594</v>
      </c>
      <c r="F4119" s="5">
        <f>IFERROR(__xludf.DUMMYFUNCTION("""COMPUTED_VALUE"""),0.21624080373388183)</f>
        <v>0.2162408037</v>
      </c>
      <c r="G4119" s="5">
        <f>IFERROR(__xludf.DUMMYFUNCTION("""COMPUTED_VALUE"""),0.15244047148168657)</f>
        <v>0.1524404715</v>
      </c>
      <c r="H4119" s="5">
        <f>IFERROR(__xludf.DUMMYFUNCTION("""COMPUTED_VALUE"""),0.6049021401134077)</f>
        <v>0.6049021401</v>
      </c>
      <c r="I4119" s="11">
        <f>IFERROR(__xludf.DUMMYFUNCTION("""COMPUTED_VALUE"""),5334.808853118712)</f>
        <v>5334.808853</v>
      </c>
      <c r="J4119" s="10">
        <f>IFERROR(__xludf.DUMMYFUNCTION("""COMPUTED_VALUE"""),3.0)</f>
        <v>3</v>
      </c>
      <c r="K4119" s="5">
        <f>IFERROR(__xludf.DUMMYFUNCTION("""COMPUTED_VALUE"""),0.0012831479897348161)</f>
        <v>0.00128314799</v>
      </c>
      <c r="L4119" s="10">
        <f>IFERROR(__xludf.DUMMYFUNCTION("""COMPUTED_VALUE"""),2338.0)</f>
        <v>2338</v>
      </c>
      <c r="M4119" s="5">
        <f>IFERROR(__xludf.DUMMYFUNCTION("""COMPUTED_VALUE"""),1.0)</f>
        <v>1</v>
      </c>
    </row>
    <row r="4120">
      <c r="A4120" s="10" t="str">
        <f>IFERROR(__xludf.DUMMYFUNCTION("""COMPUTED_VALUE"""),"こけし")</f>
        <v>こけし</v>
      </c>
      <c r="B4120" s="10">
        <f>IFERROR(__xludf.DUMMYFUNCTION("""COMPUTED_VALUE"""),1110.0)</f>
        <v>1110</v>
      </c>
      <c r="C4120" s="10">
        <f>IFERROR(__xludf.DUMMYFUNCTION("""COMPUTED_VALUE"""),12871.0)</f>
        <v>12871</v>
      </c>
      <c r="D4120" s="5">
        <f>IFERROR(__xludf.DUMMYFUNCTION("""COMPUTED_VALUE"""),0.3516707762945328)</f>
        <v>0.3516707763</v>
      </c>
      <c r="E4120" s="5">
        <f>IFERROR(__xludf.DUMMYFUNCTION("""COMPUTED_VALUE"""),0.11980273786242666)</f>
        <v>0.1198027379</v>
      </c>
      <c r="F4120" s="5">
        <f>IFERROR(__xludf.DUMMYFUNCTION("""COMPUTED_VALUE"""),0.21911402091658871)</f>
        <v>0.2191140209</v>
      </c>
      <c r="G4120" s="5">
        <f>IFERROR(__xludf.DUMMYFUNCTION("""COMPUTED_VALUE"""),0.17932148626817448)</f>
        <v>0.1793214863</v>
      </c>
      <c r="H4120" s="5">
        <f>IFERROR(__xludf.DUMMYFUNCTION("""COMPUTED_VALUE"""),0.5917733798991075)</f>
        <v>0.5917733799</v>
      </c>
      <c r="I4120" s="11">
        <f>IFERROR(__xludf.DUMMYFUNCTION("""COMPUTED_VALUE"""),5549.980597594102)</f>
        <v>5549.980598</v>
      </c>
      <c r="J4120" s="10">
        <f>IFERROR(__xludf.DUMMYFUNCTION("""COMPUTED_VALUE"""),1.0)</f>
        <v>1</v>
      </c>
      <c r="K4120" s="5">
        <f>IFERROR(__xludf.DUMMYFUNCTION("""COMPUTED_VALUE"""),9.009009009009009E-4)</f>
        <v>0.0009009009009</v>
      </c>
      <c r="L4120" s="10">
        <f>IFERROR(__xludf.DUMMYFUNCTION("""COMPUTED_VALUE"""),1110.0)</f>
        <v>1110</v>
      </c>
      <c r="M4120" s="5">
        <f>IFERROR(__xludf.DUMMYFUNCTION("""COMPUTED_VALUE"""),1.0)</f>
        <v>1</v>
      </c>
    </row>
    <row r="4121">
      <c r="A4121" s="10" t="str">
        <f>IFERROR(__xludf.DUMMYFUNCTION("""COMPUTED_VALUE"""),"古川誠太郎")</f>
        <v>古川誠太郎</v>
      </c>
      <c r="B4121" s="10">
        <f>IFERROR(__xludf.DUMMYFUNCTION("""COMPUTED_VALUE"""),480.0)</f>
        <v>480</v>
      </c>
      <c r="C4121" s="10">
        <f>IFERROR(__xludf.DUMMYFUNCTION("""COMPUTED_VALUE"""),5647.0)</f>
        <v>5647</v>
      </c>
      <c r="D4121" s="5">
        <f>IFERROR(__xludf.DUMMYFUNCTION("""COMPUTED_VALUE"""),0.3893942326301529)</f>
        <v>0.3893942326</v>
      </c>
      <c r="E4121" s="5">
        <f>IFERROR(__xludf.DUMMYFUNCTION("""COMPUTED_VALUE"""),0.119798722663054)</f>
        <v>0.1197987227</v>
      </c>
      <c r="F4121" s="5">
        <f>IFERROR(__xludf.DUMMYFUNCTION("""COMPUTED_VALUE"""),0.20437391136055738)</f>
        <v>0.2043739114</v>
      </c>
      <c r="G4121" s="5">
        <f>IFERROR(__xludf.DUMMYFUNCTION("""COMPUTED_VALUE"""),0.15773175924133928)</f>
        <v>0.1577317592</v>
      </c>
      <c r="H4121" s="5">
        <f>IFERROR(__xludf.DUMMYFUNCTION("""COMPUTED_VALUE"""),0.5984848484848485)</f>
        <v>0.5984848485</v>
      </c>
      <c r="I4121" s="11">
        <f>IFERROR(__xludf.DUMMYFUNCTION("""COMPUTED_VALUE"""),5609.564393939394)</f>
        <v>5609.564394</v>
      </c>
      <c r="J4121" s="10">
        <f>IFERROR(__xludf.DUMMYFUNCTION("""COMPUTED_VALUE"""),1.0)</f>
        <v>1</v>
      </c>
      <c r="K4121" s="5">
        <f>IFERROR(__xludf.DUMMYFUNCTION("""COMPUTED_VALUE"""),0.0020833333333333333)</f>
        <v>0.002083333333</v>
      </c>
      <c r="L4121" s="10">
        <f>IFERROR(__xludf.DUMMYFUNCTION("""COMPUTED_VALUE"""),480.0)</f>
        <v>480</v>
      </c>
      <c r="M4121" s="5">
        <f>IFERROR(__xludf.DUMMYFUNCTION("""COMPUTED_VALUE"""),1.0)</f>
        <v>1</v>
      </c>
    </row>
    <row r="4122">
      <c r="A4122" s="10" t="str">
        <f>IFERROR(__xludf.DUMMYFUNCTION("""COMPUTED_VALUE"""),"菱小音")</f>
        <v>菱小音</v>
      </c>
      <c r="B4122" s="10">
        <f>IFERROR(__xludf.DUMMYFUNCTION("""COMPUTED_VALUE"""),641.0)</f>
        <v>641</v>
      </c>
      <c r="C4122" s="10">
        <f>IFERROR(__xludf.DUMMYFUNCTION("""COMPUTED_VALUE"""),7495.0)</f>
        <v>7495</v>
      </c>
      <c r="D4122" s="5">
        <f>IFERROR(__xludf.DUMMYFUNCTION("""COMPUTED_VALUE"""),0.33746717245404145)</f>
        <v>0.3374671725</v>
      </c>
      <c r="E4122" s="5">
        <f>IFERROR(__xludf.DUMMYFUNCTION("""COMPUTED_VALUE"""),0.11978406769769477)</f>
        <v>0.1197840677</v>
      </c>
      <c r="F4122" s="5">
        <f>IFERROR(__xludf.DUMMYFUNCTION("""COMPUTED_VALUE"""),0.22001750802451123)</f>
        <v>0.220017508</v>
      </c>
      <c r="G4122" s="5">
        <f>IFERROR(__xludf.DUMMYFUNCTION("""COMPUTED_VALUE"""),0.18164575430405602)</f>
        <v>0.1816457543</v>
      </c>
      <c r="H4122" s="5">
        <f>IFERROR(__xludf.DUMMYFUNCTION("""COMPUTED_VALUE"""),0.6007957559681698)</f>
        <v>0.600795756</v>
      </c>
      <c r="I4122" s="11">
        <f>IFERROR(__xludf.DUMMYFUNCTION("""COMPUTED_VALUE"""),5683.42175066313)</f>
        <v>5683.421751</v>
      </c>
      <c r="J4122" s="10">
        <f>IFERROR(__xludf.DUMMYFUNCTION("""COMPUTED_VALUE"""),3.0)</f>
        <v>3</v>
      </c>
      <c r="K4122" s="5">
        <f>IFERROR(__xludf.DUMMYFUNCTION("""COMPUTED_VALUE"""),0.0046801872074883)</f>
        <v>0.004680187207</v>
      </c>
      <c r="L4122" s="10">
        <f>IFERROR(__xludf.DUMMYFUNCTION("""COMPUTED_VALUE"""),540.0)</f>
        <v>540</v>
      </c>
      <c r="M4122" s="5">
        <f>IFERROR(__xludf.DUMMYFUNCTION("""COMPUTED_VALUE"""),0.8424336973478939)</f>
        <v>0.8424336973</v>
      </c>
    </row>
    <row r="4123">
      <c r="A4123" s="10" t="str">
        <f>IFERROR(__xludf.DUMMYFUNCTION("""COMPUTED_VALUE"""),"シルビィ")</f>
        <v>シルビィ</v>
      </c>
      <c r="B4123" s="10">
        <f>IFERROR(__xludf.DUMMYFUNCTION("""COMPUTED_VALUE"""),769.0)</f>
        <v>769</v>
      </c>
      <c r="C4123" s="10">
        <f>IFERROR(__xludf.DUMMYFUNCTION("""COMPUTED_VALUE"""),9034.0)</f>
        <v>9034</v>
      </c>
      <c r="D4123" s="5">
        <f>IFERROR(__xludf.DUMMYFUNCTION("""COMPUTED_VALUE"""),0.34615849969751966)</f>
        <v>0.3461584997</v>
      </c>
      <c r="E4123" s="5">
        <f>IFERROR(__xludf.DUMMYFUNCTION("""COMPUTED_VALUE"""),0.11978221415607986)</f>
        <v>0.1197822142</v>
      </c>
      <c r="F4123" s="5">
        <f>IFERROR(__xludf.DUMMYFUNCTION("""COMPUTED_VALUE"""),0.2220205686630369)</f>
        <v>0.2220205687</v>
      </c>
      <c r="G4123" s="5">
        <f>IFERROR(__xludf.DUMMYFUNCTION("""COMPUTED_VALUE"""),0.16660617059891106)</f>
        <v>0.1666061706</v>
      </c>
      <c r="H4123" s="5">
        <f>IFERROR(__xludf.DUMMYFUNCTION("""COMPUTED_VALUE"""),0.5738419618528611)</f>
        <v>0.5738419619</v>
      </c>
      <c r="I4123" s="11">
        <f>IFERROR(__xludf.DUMMYFUNCTION("""COMPUTED_VALUE"""),5342.234332425068)</f>
        <v>5342.234332</v>
      </c>
      <c r="J4123" s="10">
        <f>IFERROR(__xludf.DUMMYFUNCTION("""COMPUTED_VALUE"""),0.0)</f>
        <v>0</v>
      </c>
      <c r="K4123" s="5">
        <f>IFERROR(__xludf.DUMMYFUNCTION("""COMPUTED_VALUE"""),0.0)</f>
        <v>0</v>
      </c>
      <c r="L4123" s="10">
        <f>IFERROR(__xludf.DUMMYFUNCTION("""COMPUTED_VALUE"""),0.0)</f>
        <v>0</v>
      </c>
      <c r="M4123" s="5">
        <f>IFERROR(__xludf.DUMMYFUNCTION("""COMPUTED_VALUE"""),0.0)</f>
        <v>0</v>
      </c>
    </row>
    <row r="4124">
      <c r="A4124" s="10" t="str">
        <f>IFERROR(__xludf.DUMMYFUNCTION("""COMPUTED_VALUE"""),"コーンポタージュ")</f>
        <v>コーンポタージュ</v>
      </c>
      <c r="B4124" s="10">
        <f>IFERROR(__xludf.DUMMYFUNCTION("""COMPUTED_VALUE"""),235.0)</f>
        <v>235</v>
      </c>
      <c r="C4124" s="10">
        <f>IFERROR(__xludf.DUMMYFUNCTION("""COMPUTED_VALUE"""),2773.0)</f>
        <v>2773</v>
      </c>
      <c r="D4124" s="5">
        <f>IFERROR(__xludf.DUMMYFUNCTION("""COMPUTED_VALUE"""),0.35894405043341215)</f>
        <v>0.3589440504</v>
      </c>
      <c r="E4124" s="5">
        <f>IFERROR(__xludf.DUMMYFUNCTION("""COMPUTED_VALUE"""),0.11977935382190702)</f>
        <v>0.1197793538</v>
      </c>
      <c r="F4124" s="5">
        <f>IFERROR(__xludf.DUMMYFUNCTION("""COMPUTED_VALUE"""),0.21710007880220647)</f>
        <v>0.2171000788</v>
      </c>
      <c r="G4124" s="5">
        <f>IFERROR(__xludf.DUMMYFUNCTION("""COMPUTED_VALUE"""),0.17297084318360914)</f>
        <v>0.1729708432</v>
      </c>
      <c r="H4124" s="5">
        <f>IFERROR(__xludf.DUMMYFUNCTION("""COMPUTED_VALUE"""),0.5862068965517241)</f>
        <v>0.5862068966</v>
      </c>
      <c r="I4124" s="11">
        <f>IFERROR(__xludf.DUMMYFUNCTION("""COMPUTED_VALUE"""),5640.10889292196)</f>
        <v>5640.108893</v>
      </c>
      <c r="J4124" s="10">
        <f>IFERROR(__xludf.DUMMYFUNCTION("""COMPUTED_VALUE"""),0.0)</f>
        <v>0</v>
      </c>
      <c r="K4124" s="5">
        <f>IFERROR(__xludf.DUMMYFUNCTION("""COMPUTED_VALUE"""),0.0)</f>
        <v>0</v>
      </c>
      <c r="L4124" s="10">
        <f>IFERROR(__xludf.DUMMYFUNCTION("""COMPUTED_VALUE"""),235.0)</f>
        <v>235</v>
      </c>
      <c r="M4124" s="5">
        <f>IFERROR(__xludf.DUMMYFUNCTION("""COMPUTED_VALUE"""),1.0)</f>
        <v>1</v>
      </c>
    </row>
    <row r="4125">
      <c r="A4125" s="10" t="str">
        <f>IFERROR(__xludf.DUMMYFUNCTION("""COMPUTED_VALUE"""),"聖燐")</f>
        <v>聖燐</v>
      </c>
      <c r="B4125" s="10">
        <f>IFERROR(__xludf.DUMMYFUNCTION("""COMPUTED_VALUE"""),153.0)</f>
        <v>153</v>
      </c>
      <c r="C4125" s="10">
        <f>IFERROR(__xludf.DUMMYFUNCTION("""COMPUTED_VALUE"""),1781.0)</f>
        <v>1781</v>
      </c>
      <c r="D4125" s="5">
        <f>IFERROR(__xludf.DUMMYFUNCTION("""COMPUTED_VALUE"""),0.29914004914004916)</f>
        <v>0.2991400491</v>
      </c>
      <c r="E4125" s="5">
        <f>IFERROR(__xludf.DUMMYFUNCTION("""COMPUTED_VALUE"""),0.11977886977886978)</f>
        <v>0.1197788698</v>
      </c>
      <c r="F4125" s="5">
        <f>IFERROR(__xludf.DUMMYFUNCTION("""COMPUTED_VALUE"""),0.19226044226044225)</f>
        <v>0.1922604423</v>
      </c>
      <c r="G4125" s="5">
        <f>IFERROR(__xludf.DUMMYFUNCTION("""COMPUTED_VALUE"""),0.14496314496314497)</f>
        <v>0.144963145</v>
      </c>
      <c r="H4125" s="5">
        <f>IFERROR(__xludf.DUMMYFUNCTION("""COMPUTED_VALUE"""),0.6006389776357828)</f>
        <v>0.6006389776</v>
      </c>
      <c r="I4125" s="11">
        <f>IFERROR(__xludf.DUMMYFUNCTION("""COMPUTED_VALUE"""),5473.482428115016)</f>
        <v>5473.482428</v>
      </c>
      <c r="J4125" s="10">
        <f>IFERROR(__xludf.DUMMYFUNCTION("""COMPUTED_VALUE"""),0.0)</f>
        <v>0</v>
      </c>
      <c r="K4125" s="5">
        <f>IFERROR(__xludf.DUMMYFUNCTION("""COMPUTED_VALUE"""),0.0)</f>
        <v>0</v>
      </c>
      <c r="L4125" s="10">
        <f>IFERROR(__xludf.DUMMYFUNCTION("""COMPUTED_VALUE"""),0.0)</f>
        <v>0</v>
      </c>
      <c r="M4125" s="5">
        <f>IFERROR(__xludf.DUMMYFUNCTION("""COMPUTED_VALUE"""),0.0)</f>
        <v>0</v>
      </c>
    </row>
    <row r="4126">
      <c r="A4126" s="10" t="str">
        <f>IFERROR(__xludf.DUMMYFUNCTION("""COMPUTED_VALUE"""),"文四郎")</f>
        <v>文四郎</v>
      </c>
      <c r="B4126" s="10">
        <f>IFERROR(__xludf.DUMMYFUNCTION("""COMPUTED_VALUE"""),7267.0)</f>
        <v>7267</v>
      </c>
      <c r="C4126" s="10">
        <f>IFERROR(__xludf.DUMMYFUNCTION("""COMPUTED_VALUE"""),85612.0)</f>
        <v>85612</v>
      </c>
      <c r="D4126" s="5">
        <f>IFERROR(__xludf.DUMMYFUNCTION("""COMPUTED_VALUE"""),0.3067840959857043)</f>
        <v>0.306784096</v>
      </c>
      <c r="E4126" s="5">
        <f>IFERROR(__xludf.DUMMYFUNCTION("""COMPUTED_VALUE"""),0.11976514136192482)</f>
        <v>0.1197651414</v>
      </c>
      <c r="F4126" s="5">
        <f>IFERROR(__xludf.DUMMYFUNCTION("""COMPUTED_VALUE"""),0.22071606356500095)</f>
        <v>0.2207160636</v>
      </c>
      <c r="G4126" s="5">
        <f>IFERROR(__xludf.DUMMYFUNCTION("""COMPUTED_VALUE"""),0.1884868211117493)</f>
        <v>0.1884868211</v>
      </c>
      <c r="H4126" s="5">
        <f>IFERROR(__xludf.DUMMYFUNCTION("""COMPUTED_VALUE"""),0.6023016423779782)</f>
        <v>0.6023016424</v>
      </c>
      <c r="I4126" s="11">
        <f>IFERROR(__xludf.DUMMYFUNCTION("""COMPUTED_VALUE"""),5419.407818644459)</f>
        <v>5419.407819</v>
      </c>
      <c r="J4126" s="10">
        <f>IFERROR(__xludf.DUMMYFUNCTION("""COMPUTED_VALUE"""),18.0)</f>
        <v>18</v>
      </c>
      <c r="K4126" s="5">
        <f>IFERROR(__xludf.DUMMYFUNCTION("""COMPUTED_VALUE"""),0.0024769505985963946)</f>
        <v>0.002476950599</v>
      </c>
      <c r="L4126" s="10">
        <f>IFERROR(__xludf.DUMMYFUNCTION("""COMPUTED_VALUE"""),7267.0)</f>
        <v>7267</v>
      </c>
      <c r="M4126" s="5">
        <f>IFERROR(__xludf.DUMMYFUNCTION("""COMPUTED_VALUE"""),1.0)</f>
        <v>1</v>
      </c>
    </row>
    <row r="4127">
      <c r="A4127" s="10" t="str">
        <f>IFERROR(__xludf.DUMMYFUNCTION("""COMPUTED_VALUE"""),"新潟ドラゴン")</f>
        <v>新潟ドラゴン</v>
      </c>
      <c r="B4127" s="10">
        <f>IFERROR(__xludf.DUMMYFUNCTION("""COMPUTED_VALUE"""),1739.0)</f>
        <v>1739</v>
      </c>
      <c r="C4127" s="10">
        <f>IFERROR(__xludf.DUMMYFUNCTION("""COMPUTED_VALUE"""),20520.0)</f>
        <v>20520</v>
      </c>
      <c r="D4127" s="5">
        <f>IFERROR(__xludf.DUMMYFUNCTION("""COMPUTED_VALUE"""),0.3627069911080347)</f>
        <v>0.3627069911</v>
      </c>
      <c r="E4127" s="5">
        <f>IFERROR(__xludf.DUMMYFUNCTION("""COMPUTED_VALUE"""),0.11974868217879772)</f>
        <v>0.1197486822</v>
      </c>
      <c r="F4127" s="5">
        <f>IFERROR(__xludf.DUMMYFUNCTION("""COMPUTED_VALUE"""),0.2115968265800543)</f>
        <v>0.2115968266</v>
      </c>
      <c r="G4127" s="5">
        <f>IFERROR(__xludf.DUMMYFUNCTION("""COMPUTED_VALUE"""),0.17783930568127362)</f>
        <v>0.1778393057</v>
      </c>
      <c r="H4127" s="5">
        <f>IFERROR(__xludf.DUMMYFUNCTION("""COMPUTED_VALUE"""),0.5941117262204328)</f>
        <v>0.5941117262</v>
      </c>
      <c r="I4127" s="11">
        <f>IFERROR(__xludf.DUMMYFUNCTION("""COMPUTED_VALUE"""),5536.688475088073)</f>
        <v>5536.688475</v>
      </c>
      <c r="J4127" s="10">
        <f>IFERROR(__xludf.DUMMYFUNCTION("""COMPUTED_VALUE"""),4.0)</f>
        <v>4</v>
      </c>
      <c r="K4127" s="5">
        <f>IFERROR(__xludf.DUMMYFUNCTION("""COMPUTED_VALUE"""),0.0023001725129384704)</f>
        <v>0.002300172513</v>
      </c>
      <c r="L4127" s="10">
        <f>IFERROR(__xludf.DUMMYFUNCTION("""COMPUTED_VALUE"""),1329.0)</f>
        <v>1329</v>
      </c>
      <c r="M4127" s="5">
        <f>IFERROR(__xludf.DUMMYFUNCTION("""COMPUTED_VALUE"""),0.7642323174238068)</f>
        <v>0.7642323174</v>
      </c>
    </row>
    <row r="4128">
      <c r="A4128" s="10" t="str">
        <f>IFERROR(__xludf.DUMMYFUNCTION("""COMPUTED_VALUE"""),"山わさび")</f>
        <v>山わさび</v>
      </c>
      <c r="B4128" s="10">
        <f>IFERROR(__xludf.DUMMYFUNCTION("""COMPUTED_VALUE"""),271.0)</f>
        <v>271</v>
      </c>
      <c r="C4128" s="10">
        <f>IFERROR(__xludf.DUMMYFUNCTION("""COMPUTED_VALUE"""),3127.0)</f>
        <v>3127</v>
      </c>
      <c r="D4128" s="5">
        <f>IFERROR(__xludf.DUMMYFUNCTION("""COMPUTED_VALUE"""),0.33508403361344535)</f>
        <v>0.3350840336</v>
      </c>
      <c r="E4128" s="5">
        <f>IFERROR(__xludf.DUMMYFUNCTION("""COMPUTED_VALUE"""),0.11974789915966387)</f>
        <v>0.1197478992</v>
      </c>
      <c r="F4128" s="5">
        <f>IFERROR(__xludf.DUMMYFUNCTION("""COMPUTED_VALUE"""),0.19222689075630253)</f>
        <v>0.1922268908</v>
      </c>
      <c r="G4128" s="5">
        <f>IFERROR(__xludf.DUMMYFUNCTION("""COMPUTED_VALUE"""),0.14425770308123248)</f>
        <v>0.1442577031</v>
      </c>
      <c r="H4128" s="5">
        <f>IFERROR(__xludf.DUMMYFUNCTION("""COMPUTED_VALUE"""),0.5537340619307832)</f>
        <v>0.5537340619</v>
      </c>
      <c r="I4128" s="11">
        <f>IFERROR(__xludf.DUMMYFUNCTION("""COMPUTED_VALUE"""),5489.981785063752)</f>
        <v>5489.981785</v>
      </c>
      <c r="J4128" s="10">
        <f>IFERROR(__xludf.DUMMYFUNCTION("""COMPUTED_VALUE"""),0.0)</f>
        <v>0</v>
      </c>
      <c r="K4128" s="5">
        <f>IFERROR(__xludf.DUMMYFUNCTION("""COMPUTED_VALUE"""),0.0)</f>
        <v>0</v>
      </c>
      <c r="L4128" s="10">
        <f>IFERROR(__xludf.DUMMYFUNCTION("""COMPUTED_VALUE"""),271.0)</f>
        <v>271</v>
      </c>
      <c r="M4128" s="5">
        <f>IFERROR(__xludf.DUMMYFUNCTION("""COMPUTED_VALUE"""),1.0)</f>
        <v>1</v>
      </c>
    </row>
    <row r="4129">
      <c r="A4129" s="10" t="str">
        <f>IFERROR(__xludf.DUMMYFUNCTION("""COMPUTED_VALUE"""),"￡ぺんぺん￡")</f>
        <v>￡ぺんぺん￡</v>
      </c>
      <c r="B4129" s="10">
        <f>IFERROR(__xludf.DUMMYFUNCTION("""COMPUTED_VALUE"""),1171.0)</f>
        <v>1171</v>
      </c>
      <c r="C4129" s="10">
        <f>IFERROR(__xludf.DUMMYFUNCTION("""COMPUTED_VALUE"""),13856.0)</f>
        <v>13856</v>
      </c>
      <c r="D4129" s="5">
        <f>IFERROR(__xludf.DUMMYFUNCTION("""COMPUTED_VALUE"""),0.44375246353961373)</f>
        <v>0.4437524635</v>
      </c>
      <c r="E4129" s="5">
        <f>IFERROR(__xludf.DUMMYFUNCTION("""COMPUTED_VALUE"""),0.11974773354355538)</f>
        <v>0.1197477335</v>
      </c>
      <c r="F4129" s="5">
        <f>IFERROR(__xludf.DUMMYFUNCTION("""COMPUTED_VALUE"""),0.21718565234528972)</f>
        <v>0.2171856523</v>
      </c>
      <c r="G4129" s="5">
        <f>IFERROR(__xludf.DUMMYFUNCTION("""COMPUTED_VALUE"""),0.1486795427670477)</f>
        <v>0.1486795428</v>
      </c>
      <c r="H4129" s="5">
        <f>IFERROR(__xludf.DUMMYFUNCTION("""COMPUTED_VALUE"""),0.5887477313974592)</f>
        <v>0.5887477314</v>
      </c>
      <c r="I4129" s="11">
        <f>IFERROR(__xludf.DUMMYFUNCTION("""COMPUTED_VALUE"""),5179.2014519056265)</f>
        <v>5179.201452</v>
      </c>
      <c r="J4129" s="10">
        <f>IFERROR(__xludf.DUMMYFUNCTION("""COMPUTED_VALUE"""),2.0)</f>
        <v>2</v>
      </c>
      <c r="K4129" s="5">
        <f>IFERROR(__xludf.DUMMYFUNCTION("""COMPUTED_VALUE"""),0.0017079419299743809)</f>
        <v>0.00170794193</v>
      </c>
      <c r="L4129" s="10">
        <f>IFERROR(__xludf.DUMMYFUNCTION("""COMPUTED_VALUE"""),1168.0)</f>
        <v>1168</v>
      </c>
      <c r="M4129" s="5">
        <f>IFERROR(__xludf.DUMMYFUNCTION("""COMPUTED_VALUE"""),0.9974380871050385)</f>
        <v>0.9974380871</v>
      </c>
    </row>
    <row r="4130">
      <c r="A4130" s="10" t="str">
        <f>IFERROR(__xludf.DUMMYFUNCTION("""COMPUTED_VALUE"""),"やむやむ。")</f>
        <v>やむやむ。</v>
      </c>
      <c r="B4130" s="10">
        <f>IFERROR(__xludf.DUMMYFUNCTION("""COMPUTED_VALUE"""),192.0)</f>
        <v>192</v>
      </c>
      <c r="C4130" s="10">
        <f>IFERROR(__xludf.DUMMYFUNCTION("""COMPUTED_VALUE"""),2238.0)</f>
        <v>2238</v>
      </c>
      <c r="D4130" s="5">
        <f>IFERROR(__xludf.DUMMYFUNCTION("""COMPUTED_VALUE"""),0.427663734115347)</f>
        <v>0.4276637341</v>
      </c>
      <c r="E4130" s="5">
        <f>IFERROR(__xludf.DUMMYFUNCTION("""COMPUTED_VALUE"""),0.11974584555229717)</f>
        <v>0.1197458456</v>
      </c>
      <c r="F4130" s="5">
        <f>IFERROR(__xludf.DUMMYFUNCTION("""COMPUTED_VALUE"""),0.21114369501466276)</f>
        <v>0.211143695</v>
      </c>
      <c r="G4130" s="5">
        <f>IFERROR(__xludf.DUMMYFUNCTION("""COMPUTED_VALUE"""),0.15786901270772238)</f>
        <v>0.1578690127</v>
      </c>
      <c r="H4130" s="5">
        <f>IFERROR(__xludf.DUMMYFUNCTION("""COMPUTED_VALUE"""),0.5763888888888888)</f>
        <v>0.5763888889</v>
      </c>
      <c r="I4130" s="11">
        <f>IFERROR(__xludf.DUMMYFUNCTION("""COMPUTED_VALUE"""),5465.740740740741)</f>
        <v>5465.740741</v>
      </c>
      <c r="J4130" s="10">
        <f>IFERROR(__xludf.DUMMYFUNCTION("""COMPUTED_VALUE"""),0.0)</f>
        <v>0</v>
      </c>
      <c r="K4130" s="5">
        <f>IFERROR(__xludf.DUMMYFUNCTION("""COMPUTED_VALUE"""),0.0)</f>
        <v>0</v>
      </c>
      <c r="L4130" s="10">
        <f>IFERROR(__xludf.DUMMYFUNCTION("""COMPUTED_VALUE"""),117.0)</f>
        <v>117</v>
      </c>
      <c r="M4130" s="5">
        <f>IFERROR(__xludf.DUMMYFUNCTION("""COMPUTED_VALUE"""),0.609375)</f>
        <v>0.609375</v>
      </c>
    </row>
    <row r="4131">
      <c r="A4131" s="10" t="str">
        <f>IFERROR(__xludf.DUMMYFUNCTION("""COMPUTED_VALUE"""),"うなぎ")</f>
        <v>うなぎ</v>
      </c>
      <c r="B4131" s="10">
        <f>IFERROR(__xludf.DUMMYFUNCTION("""COMPUTED_VALUE"""),419.0)</f>
        <v>419</v>
      </c>
      <c r="C4131" s="10">
        <f>IFERROR(__xludf.DUMMYFUNCTION("""COMPUTED_VALUE"""),4979.0)</f>
        <v>4979</v>
      </c>
      <c r="D4131" s="5">
        <f>IFERROR(__xludf.DUMMYFUNCTION("""COMPUTED_VALUE"""),0.3570175438596491)</f>
        <v>0.3570175439</v>
      </c>
      <c r="E4131" s="5">
        <f>IFERROR(__xludf.DUMMYFUNCTION("""COMPUTED_VALUE"""),0.11973684210526316)</f>
        <v>0.1197368421</v>
      </c>
      <c r="F4131" s="5">
        <f>IFERROR(__xludf.DUMMYFUNCTION("""COMPUTED_VALUE"""),0.20087719298245615)</f>
        <v>0.200877193</v>
      </c>
      <c r="G4131" s="5">
        <f>IFERROR(__xludf.DUMMYFUNCTION("""COMPUTED_VALUE"""),0.15087719298245614)</f>
        <v>0.150877193</v>
      </c>
      <c r="H4131" s="5">
        <f>IFERROR(__xludf.DUMMYFUNCTION("""COMPUTED_VALUE"""),0.611353711790393)</f>
        <v>0.6113537118</v>
      </c>
      <c r="I4131" s="11">
        <f>IFERROR(__xludf.DUMMYFUNCTION("""COMPUTED_VALUE"""),5255.676855895196)</f>
        <v>5255.676856</v>
      </c>
      <c r="J4131" s="10">
        <f>IFERROR(__xludf.DUMMYFUNCTION("""COMPUTED_VALUE"""),0.0)</f>
        <v>0</v>
      </c>
      <c r="K4131" s="5">
        <f>IFERROR(__xludf.DUMMYFUNCTION("""COMPUTED_VALUE"""),0.0)</f>
        <v>0</v>
      </c>
      <c r="L4131" s="10">
        <f>IFERROR(__xludf.DUMMYFUNCTION("""COMPUTED_VALUE"""),322.0)</f>
        <v>322</v>
      </c>
      <c r="M4131" s="5">
        <f>IFERROR(__xludf.DUMMYFUNCTION("""COMPUTED_VALUE"""),0.7684964200477327)</f>
        <v>0.76849642</v>
      </c>
    </row>
    <row r="4132">
      <c r="A4132" s="10" t="str">
        <f>IFERROR(__xludf.DUMMYFUNCTION("""COMPUTED_VALUE"""),"からくり屋敷")</f>
        <v>からくり屋敷</v>
      </c>
      <c r="B4132" s="10">
        <f>IFERROR(__xludf.DUMMYFUNCTION("""COMPUTED_VALUE"""),864.0)</f>
        <v>864</v>
      </c>
      <c r="C4132" s="10">
        <f>IFERROR(__xludf.DUMMYFUNCTION("""COMPUTED_VALUE"""),10369.0)</f>
        <v>10369</v>
      </c>
      <c r="D4132" s="5">
        <f>IFERROR(__xludf.DUMMYFUNCTION("""COMPUTED_VALUE"""),0.29826407154129403)</f>
        <v>0.2982640715</v>
      </c>
      <c r="E4132" s="5">
        <f>IFERROR(__xludf.DUMMYFUNCTION("""COMPUTED_VALUE"""),0.1197264597580221)</f>
        <v>0.1197264598</v>
      </c>
      <c r="F4132" s="5">
        <f>IFERROR(__xludf.DUMMYFUNCTION("""COMPUTED_VALUE"""),0.2029458179905313)</f>
        <v>0.202945818</v>
      </c>
      <c r="G4132" s="5">
        <f>IFERROR(__xludf.DUMMYFUNCTION("""COMPUTED_VALUE"""),0.14139926354550236)</f>
        <v>0.1413992635</v>
      </c>
      <c r="H4132" s="5">
        <f>IFERROR(__xludf.DUMMYFUNCTION("""COMPUTED_VALUE"""),0.6080870917573873)</f>
        <v>0.6080870918</v>
      </c>
      <c r="I4132" s="11">
        <f>IFERROR(__xludf.DUMMYFUNCTION("""COMPUTED_VALUE"""),5680.508035251426)</f>
        <v>5680.508035</v>
      </c>
      <c r="J4132" s="10">
        <f>IFERROR(__xludf.DUMMYFUNCTION("""COMPUTED_VALUE"""),3.0)</f>
        <v>3</v>
      </c>
      <c r="K4132" s="5">
        <f>IFERROR(__xludf.DUMMYFUNCTION("""COMPUTED_VALUE"""),0.003472222222222222)</f>
        <v>0.003472222222</v>
      </c>
      <c r="L4132" s="10">
        <f>IFERROR(__xludf.DUMMYFUNCTION("""COMPUTED_VALUE"""),864.0)</f>
        <v>864</v>
      </c>
      <c r="M4132" s="5">
        <f>IFERROR(__xludf.DUMMYFUNCTION("""COMPUTED_VALUE"""),1.0)</f>
        <v>1</v>
      </c>
    </row>
    <row r="4133">
      <c r="A4133" s="10" t="str">
        <f>IFERROR(__xludf.DUMMYFUNCTION("""COMPUTED_VALUE"""),"C-minor♪")</f>
        <v>C-minor♪</v>
      </c>
      <c r="B4133" s="10">
        <f>IFERROR(__xludf.DUMMYFUNCTION("""COMPUTED_VALUE"""),729.0)</f>
        <v>729</v>
      </c>
      <c r="C4133" s="10">
        <f>IFERROR(__xludf.DUMMYFUNCTION("""COMPUTED_VALUE"""),8597.0)</f>
        <v>8597</v>
      </c>
      <c r="D4133" s="5">
        <f>IFERROR(__xludf.DUMMYFUNCTION("""COMPUTED_VALUE"""),0.32269954245043214)</f>
        <v>0.3226995425</v>
      </c>
      <c r="E4133" s="5">
        <f>IFERROR(__xludf.DUMMYFUNCTION("""COMPUTED_VALUE"""),0.11972547025927809)</f>
        <v>0.1197254703</v>
      </c>
      <c r="F4133" s="5">
        <f>IFERROR(__xludf.DUMMYFUNCTION("""COMPUTED_VALUE"""),0.2095831215048297)</f>
        <v>0.2095831215</v>
      </c>
      <c r="G4133" s="5">
        <f>IFERROR(__xludf.DUMMYFUNCTION("""COMPUTED_VALUE"""),0.1767920691408236)</f>
        <v>0.1767920691</v>
      </c>
      <c r="H4133" s="5">
        <f>IFERROR(__xludf.DUMMYFUNCTION("""COMPUTED_VALUE"""),0.5791388720436629)</f>
        <v>0.579138872</v>
      </c>
      <c r="I4133" s="11">
        <f>IFERROR(__xludf.DUMMYFUNCTION("""COMPUTED_VALUE"""),5546.816252274106)</f>
        <v>5546.816252</v>
      </c>
      <c r="J4133" s="10">
        <f>IFERROR(__xludf.DUMMYFUNCTION("""COMPUTED_VALUE"""),1.0)</f>
        <v>1</v>
      </c>
      <c r="K4133" s="5">
        <f>IFERROR(__xludf.DUMMYFUNCTION("""COMPUTED_VALUE"""),0.0013717421124828531)</f>
        <v>0.001371742112</v>
      </c>
      <c r="L4133" s="10">
        <f>IFERROR(__xludf.DUMMYFUNCTION("""COMPUTED_VALUE"""),729.0)</f>
        <v>729</v>
      </c>
      <c r="M4133" s="5">
        <f>IFERROR(__xludf.DUMMYFUNCTION("""COMPUTED_VALUE"""),1.0)</f>
        <v>1</v>
      </c>
    </row>
    <row r="4134">
      <c r="A4134" s="10" t="str">
        <f>IFERROR(__xludf.DUMMYFUNCTION("""COMPUTED_VALUE"""),"water@sr")</f>
        <v>water@sr</v>
      </c>
      <c r="B4134" s="10">
        <f>IFERROR(__xludf.DUMMYFUNCTION("""COMPUTED_VALUE"""),1461.0)</f>
        <v>1461</v>
      </c>
      <c r="C4134" s="10">
        <f>IFERROR(__xludf.DUMMYFUNCTION("""COMPUTED_VALUE"""),17348.0)</f>
        <v>17348</v>
      </c>
      <c r="D4134" s="5">
        <f>IFERROR(__xludf.DUMMYFUNCTION("""COMPUTED_VALUE"""),0.352930068609555)</f>
        <v>0.3529300686</v>
      </c>
      <c r="E4134" s="5">
        <f>IFERROR(__xludf.DUMMYFUNCTION("""COMPUTED_VALUE"""),0.11972052621640335)</f>
        <v>0.1197205262</v>
      </c>
      <c r="F4134" s="5">
        <f>IFERROR(__xludf.DUMMYFUNCTION("""COMPUTED_VALUE"""),0.21029772770189464)</f>
        <v>0.2102977277</v>
      </c>
      <c r="G4134" s="5">
        <f>IFERROR(__xludf.DUMMYFUNCTION("""COMPUTED_VALUE"""),0.17190155473028262)</f>
        <v>0.1719015547</v>
      </c>
      <c r="H4134" s="5">
        <f>IFERROR(__xludf.DUMMYFUNCTION("""COMPUTED_VALUE"""),0.5956300508829692)</f>
        <v>0.5956300509</v>
      </c>
      <c r="I4134" s="11">
        <f>IFERROR(__xludf.DUMMYFUNCTION("""COMPUTED_VALUE"""),5605.896438192158)</f>
        <v>5605.896438</v>
      </c>
      <c r="J4134" s="10">
        <f>IFERROR(__xludf.DUMMYFUNCTION("""COMPUTED_VALUE"""),1.0)</f>
        <v>1</v>
      </c>
      <c r="K4134" s="5">
        <f>IFERROR(__xludf.DUMMYFUNCTION("""COMPUTED_VALUE"""),6.844626967830253E-4)</f>
        <v>0.0006844626968</v>
      </c>
      <c r="L4134" s="10">
        <f>IFERROR(__xludf.DUMMYFUNCTION("""COMPUTED_VALUE"""),1461.0)</f>
        <v>1461</v>
      </c>
      <c r="M4134" s="5">
        <f>IFERROR(__xludf.DUMMYFUNCTION("""COMPUTED_VALUE"""),1.0)</f>
        <v>1</v>
      </c>
    </row>
    <row r="4135">
      <c r="A4135" s="10" t="str">
        <f>IFERROR(__xludf.DUMMYFUNCTION("""COMPUTED_VALUE"""),"くらまもん")</f>
        <v>くらまもん</v>
      </c>
      <c r="B4135" s="10">
        <f>IFERROR(__xludf.DUMMYFUNCTION("""COMPUTED_VALUE"""),2495.0)</f>
        <v>2495</v>
      </c>
      <c r="C4135" s="10">
        <f>IFERROR(__xludf.DUMMYFUNCTION("""COMPUTED_VALUE"""),29295.0)</f>
        <v>29295</v>
      </c>
      <c r="D4135" s="5">
        <f>IFERROR(__xludf.DUMMYFUNCTION("""COMPUTED_VALUE"""),0.32)</f>
        <v>0.32</v>
      </c>
      <c r="E4135" s="5">
        <f>IFERROR(__xludf.DUMMYFUNCTION("""COMPUTED_VALUE"""),0.11970149253731344)</f>
        <v>0.1197014925</v>
      </c>
      <c r="F4135" s="5">
        <f>IFERROR(__xludf.DUMMYFUNCTION("""COMPUTED_VALUE"""),0.2016044776119403)</f>
        <v>0.2016044776</v>
      </c>
      <c r="G4135" s="5">
        <f>IFERROR(__xludf.DUMMYFUNCTION("""COMPUTED_VALUE"""),0.17182835820895523)</f>
        <v>0.1718283582</v>
      </c>
      <c r="H4135" s="5">
        <f>IFERROR(__xludf.DUMMYFUNCTION("""COMPUTED_VALUE"""),0.5935591338145475)</f>
        <v>0.5935591338</v>
      </c>
      <c r="I4135" s="11">
        <f>IFERROR(__xludf.DUMMYFUNCTION("""COMPUTED_VALUE"""),5564.186563020544)</f>
        <v>5564.186563</v>
      </c>
      <c r="J4135" s="10">
        <f>IFERROR(__xludf.DUMMYFUNCTION("""COMPUTED_VALUE"""),2.0)</f>
        <v>2</v>
      </c>
      <c r="K4135" s="5">
        <f>IFERROR(__xludf.DUMMYFUNCTION("""COMPUTED_VALUE"""),8.016032064128256E-4)</f>
        <v>0.0008016032064</v>
      </c>
      <c r="L4135" s="10">
        <f>IFERROR(__xludf.DUMMYFUNCTION("""COMPUTED_VALUE"""),2495.0)</f>
        <v>2495</v>
      </c>
      <c r="M4135" s="5">
        <f>IFERROR(__xludf.DUMMYFUNCTION("""COMPUTED_VALUE"""),1.0)</f>
        <v>1</v>
      </c>
    </row>
    <row r="4136">
      <c r="A4136" s="10" t="str">
        <f>IFERROR(__xludf.DUMMYFUNCTION("""COMPUTED_VALUE"""),"チチカカ湖")</f>
        <v>チチカカ湖</v>
      </c>
      <c r="B4136" s="10">
        <f>IFERROR(__xludf.DUMMYFUNCTION("""COMPUTED_VALUE"""),1529.0)</f>
        <v>1529</v>
      </c>
      <c r="C4136" s="10">
        <f>IFERROR(__xludf.DUMMYFUNCTION("""COMPUTED_VALUE"""),17954.0)</f>
        <v>17954</v>
      </c>
      <c r="D4136" s="5">
        <f>IFERROR(__xludf.DUMMYFUNCTION("""COMPUTED_VALUE"""),0.3476407914764079)</f>
        <v>0.3476407915</v>
      </c>
      <c r="E4136" s="5">
        <f>IFERROR(__xludf.DUMMYFUNCTION("""COMPUTED_VALUE"""),0.11969558599695586)</f>
        <v>0.119695586</v>
      </c>
      <c r="F4136" s="5">
        <f>IFERROR(__xludf.DUMMYFUNCTION("""COMPUTED_VALUE"""),0.2045662100456621)</f>
        <v>0.20456621</v>
      </c>
      <c r="G4136" s="5">
        <f>IFERROR(__xludf.DUMMYFUNCTION("""COMPUTED_VALUE"""),0.17053272450532725)</f>
        <v>0.1705327245</v>
      </c>
      <c r="H4136" s="5">
        <f>IFERROR(__xludf.DUMMYFUNCTION("""COMPUTED_VALUE"""),0.6130952380952381)</f>
        <v>0.6130952381</v>
      </c>
      <c r="I4136" s="11">
        <f>IFERROR(__xludf.DUMMYFUNCTION("""COMPUTED_VALUE"""),5498.333333333333)</f>
        <v>5498.333333</v>
      </c>
      <c r="J4136" s="10">
        <f>IFERROR(__xludf.DUMMYFUNCTION("""COMPUTED_VALUE"""),8.0)</f>
        <v>8</v>
      </c>
      <c r="K4136" s="5">
        <f>IFERROR(__xludf.DUMMYFUNCTION("""COMPUTED_VALUE"""),0.005232177894048398)</f>
        <v>0.005232177894</v>
      </c>
      <c r="L4136" s="10">
        <f>IFERROR(__xludf.DUMMYFUNCTION("""COMPUTED_VALUE"""),1529.0)</f>
        <v>1529</v>
      </c>
      <c r="M4136" s="5">
        <f>IFERROR(__xludf.DUMMYFUNCTION("""COMPUTED_VALUE"""),1.0)</f>
        <v>1</v>
      </c>
    </row>
    <row r="4137">
      <c r="A4137" s="10" t="str">
        <f>IFERROR(__xludf.DUMMYFUNCTION("""COMPUTED_VALUE"""),"ありかたん")</f>
        <v>ありかたん</v>
      </c>
      <c r="B4137" s="10">
        <f>IFERROR(__xludf.DUMMYFUNCTION("""COMPUTED_VALUE"""),2841.0)</f>
        <v>2841</v>
      </c>
      <c r="C4137" s="10">
        <f>IFERROR(__xludf.DUMMYFUNCTION("""COMPUTED_VALUE"""),33353.0)</f>
        <v>33353</v>
      </c>
      <c r="D4137" s="5">
        <f>IFERROR(__xludf.DUMMYFUNCTION("""COMPUTED_VALUE"""),0.35110776088096485)</f>
        <v>0.3511077609</v>
      </c>
      <c r="E4137" s="5">
        <f>IFERROR(__xludf.DUMMYFUNCTION("""COMPUTED_VALUE"""),0.1196906135291033)</f>
        <v>0.1196906135</v>
      </c>
      <c r="F4137" s="5">
        <f>IFERROR(__xludf.DUMMYFUNCTION("""COMPUTED_VALUE"""),0.2058862087047719)</f>
        <v>0.2058862087</v>
      </c>
      <c r="G4137" s="5">
        <f>IFERROR(__xludf.DUMMYFUNCTION("""COMPUTED_VALUE"""),0.17006423702149973)</f>
        <v>0.170064237</v>
      </c>
      <c r="H4137" s="5">
        <f>IFERROR(__xludf.DUMMYFUNCTION("""COMPUTED_VALUE"""),0.590098694683222)</f>
        <v>0.5900986947</v>
      </c>
      <c r="I4137" s="11">
        <f>IFERROR(__xludf.DUMMYFUNCTION("""COMPUTED_VALUE"""),5860.553963705826)</f>
        <v>5860.553964</v>
      </c>
      <c r="J4137" s="10">
        <f>IFERROR(__xludf.DUMMYFUNCTION("""COMPUTED_VALUE"""),8.0)</f>
        <v>8</v>
      </c>
      <c r="K4137" s="5">
        <f>IFERROR(__xludf.DUMMYFUNCTION("""COMPUTED_VALUE"""),0.0028159098908834917)</f>
        <v>0.002815909891</v>
      </c>
      <c r="L4137" s="10">
        <f>IFERROR(__xludf.DUMMYFUNCTION("""COMPUTED_VALUE"""),616.0)</f>
        <v>616</v>
      </c>
      <c r="M4137" s="5">
        <f>IFERROR(__xludf.DUMMYFUNCTION("""COMPUTED_VALUE"""),0.21682506159802886)</f>
        <v>0.2168250616</v>
      </c>
    </row>
    <row r="4138">
      <c r="A4138" s="10" t="str">
        <f>IFERROR(__xludf.DUMMYFUNCTION("""COMPUTED_VALUE"""),"うけながすぜ")</f>
        <v>うけながすぜ</v>
      </c>
      <c r="B4138" s="10">
        <f>IFERROR(__xludf.DUMMYFUNCTION("""COMPUTED_VALUE"""),5554.0)</f>
        <v>5554</v>
      </c>
      <c r="C4138" s="10">
        <f>IFERROR(__xludf.DUMMYFUNCTION("""COMPUTED_VALUE"""),64958.0)</f>
        <v>64958</v>
      </c>
      <c r="D4138" s="5">
        <f>IFERROR(__xludf.DUMMYFUNCTION("""COMPUTED_VALUE"""),0.3195071038987274)</f>
        <v>0.3195071039</v>
      </c>
      <c r="E4138" s="5">
        <f>IFERROR(__xludf.DUMMYFUNCTION("""COMPUTED_VALUE"""),0.11968890983772136)</f>
        <v>0.1196889098</v>
      </c>
      <c r="F4138" s="5">
        <f>IFERROR(__xludf.DUMMYFUNCTION("""COMPUTED_VALUE"""),0.2019560972325096)</f>
        <v>0.2019560972</v>
      </c>
      <c r="G4138" s="5">
        <f>IFERROR(__xludf.DUMMYFUNCTION("""COMPUTED_VALUE"""),0.18015621843646892)</f>
        <v>0.1801562184</v>
      </c>
      <c r="H4138" s="5">
        <f>IFERROR(__xludf.DUMMYFUNCTION("""COMPUTED_VALUE"""),0.5959823289155622)</f>
        <v>0.5959823289</v>
      </c>
      <c r="I4138" s="11">
        <f>IFERROR(__xludf.DUMMYFUNCTION("""COMPUTED_VALUE"""),5938.1261982162205)</f>
        <v>5938.126198</v>
      </c>
      <c r="J4138" s="10">
        <f>IFERROR(__xludf.DUMMYFUNCTION("""COMPUTED_VALUE"""),10.0)</f>
        <v>10</v>
      </c>
      <c r="K4138" s="5">
        <f>IFERROR(__xludf.DUMMYFUNCTION("""COMPUTED_VALUE"""),0.0018005041411595247)</f>
        <v>0.001800504141</v>
      </c>
      <c r="L4138" s="10">
        <f>IFERROR(__xludf.DUMMYFUNCTION("""COMPUTED_VALUE"""),20.0)</f>
        <v>20</v>
      </c>
      <c r="M4138" s="5">
        <f>IFERROR(__xludf.DUMMYFUNCTION("""COMPUTED_VALUE"""),0.0036010082823190494)</f>
        <v>0.003601008282</v>
      </c>
    </row>
    <row r="4139">
      <c r="A4139" s="10" t="str">
        <f>IFERROR(__xludf.DUMMYFUNCTION("""COMPUTED_VALUE"""),"yabai")</f>
        <v>yabai</v>
      </c>
      <c r="B4139" s="10">
        <f>IFERROR(__xludf.DUMMYFUNCTION("""COMPUTED_VALUE"""),239.0)</f>
        <v>239</v>
      </c>
      <c r="C4139" s="10">
        <f>IFERROR(__xludf.DUMMYFUNCTION("""COMPUTED_VALUE"""),2846.0)</f>
        <v>2846</v>
      </c>
      <c r="D4139" s="5">
        <f>IFERROR(__xludf.DUMMYFUNCTION("""COMPUTED_VALUE"""),0.4108170310701956)</f>
        <v>0.4108170311</v>
      </c>
      <c r="E4139" s="5">
        <f>IFERROR(__xludf.DUMMYFUNCTION("""COMPUTED_VALUE"""),0.11967779056386652)</f>
        <v>0.1196777906</v>
      </c>
      <c r="F4139" s="5">
        <f>IFERROR(__xludf.DUMMYFUNCTION("""COMPUTED_VALUE"""),0.21327196010740315)</f>
        <v>0.2132719601</v>
      </c>
      <c r="G4139" s="5">
        <f>IFERROR(__xludf.DUMMYFUNCTION("""COMPUTED_VALUE"""),0.17107786728039892)</f>
        <v>0.1710778673</v>
      </c>
      <c r="H4139" s="5">
        <f>IFERROR(__xludf.DUMMYFUNCTION("""COMPUTED_VALUE"""),0.5881294964028777)</f>
        <v>0.5881294964</v>
      </c>
      <c r="I4139" s="11">
        <f>IFERROR(__xludf.DUMMYFUNCTION("""COMPUTED_VALUE"""),5755.035971223022)</f>
        <v>5755.035971</v>
      </c>
      <c r="J4139" s="10">
        <f>IFERROR(__xludf.DUMMYFUNCTION("""COMPUTED_VALUE"""),0.0)</f>
        <v>0</v>
      </c>
      <c r="K4139" s="5">
        <f>IFERROR(__xludf.DUMMYFUNCTION("""COMPUTED_VALUE"""),0.0)</f>
        <v>0</v>
      </c>
      <c r="L4139" s="10">
        <f>IFERROR(__xludf.DUMMYFUNCTION("""COMPUTED_VALUE"""),239.0)</f>
        <v>239</v>
      </c>
      <c r="M4139" s="5">
        <f>IFERROR(__xludf.DUMMYFUNCTION("""COMPUTED_VALUE"""),1.0)</f>
        <v>1</v>
      </c>
    </row>
    <row r="4140">
      <c r="A4140" s="10" t="str">
        <f>IFERROR(__xludf.DUMMYFUNCTION("""COMPUTED_VALUE"""),"川村晃裕（両方）")</f>
        <v>川村晃裕（両方）</v>
      </c>
      <c r="B4140" s="10">
        <f>IFERROR(__xludf.DUMMYFUNCTION("""COMPUTED_VALUE"""),982.0)</f>
        <v>982</v>
      </c>
      <c r="C4140" s="10">
        <f>IFERROR(__xludf.DUMMYFUNCTION("""COMPUTED_VALUE"""),11502.0)</f>
        <v>11502</v>
      </c>
      <c r="D4140" s="5">
        <f>IFERROR(__xludf.DUMMYFUNCTION("""COMPUTED_VALUE"""),0.42034220532319394)</f>
        <v>0.4203422053</v>
      </c>
      <c r="E4140" s="5">
        <f>IFERROR(__xludf.DUMMYFUNCTION("""COMPUTED_VALUE"""),0.1196768060836502)</f>
        <v>0.1196768061</v>
      </c>
      <c r="F4140" s="5">
        <f>IFERROR(__xludf.DUMMYFUNCTION("""COMPUTED_VALUE"""),0.2123574144486692)</f>
        <v>0.2123574144</v>
      </c>
      <c r="G4140" s="5">
        <f>IFERROR(__xludf.DUMMYFUNCTION("""COMPUTED_VALUE"""),0.1714828897338403)</f>
        <v>0.1714828897</v>
      </c>
      <c r="H4140" s="5">
        <f>IFERROR(__xludf.DUMMYFUNCTION("""COMPUTED_VALUE"""),0.5859444941808415)</f>
        <v>0.5859444942</v>
      </c>
      <c r="I4140" s="11">
        <f>IFERROR(__xludf.DUMMYFUNCTION("""COMPUTED_VALUE"""),5191.047448522829)</f>
        <v>5191.047449</v>
      </c>
      <c r="J4140" s="10">
        <f>IFERROR(__xludf.DUMMYFUNCTION("""COMPUTED_VALUE"""),0.0)</f>
        <v>0</v>
      </c>
      <c r="K4140" s="5">
        <f>IFERROR(__xludf.DUMMYFUNCTION("""COMPUTED_VALUE"""),0.0)</f>
        <v>0</v>
      </c>
      <c r="L4140" s="10">
        <f>IFERROR(__xludf.DUMMYFUNCTION("""COMPUTED_VALUE"""),982.0)</f>
        <v>982</v>
      </c>
      <c r="M4140" s="5">
        <f>IFERROR(__xludf.DUMMYFUNCTION("""COMPUTED_VALUE"""),1.0)</f>
        <v>1</v>
      </c>
    </row>
    <row r="4141">
      <c r="A4141" s="10" t="str">
        <f>IFERROR(__xludf.DUMMYFUNCTION("""COMPUTED_VALUE"""),"野良猫ロック")</f>
        <v>野良猫ロック</v>
      </c>
      <c r="B4141" s="10">
        <f>IFERROR(__xludf.DUMMYFUNCTION("""COMPUTED_VALUE"""),939.0)</f>
        <v>939</v>
      </c>
      <c r="C4141" s="10">
        <f>IFERROR(__xludf.DUMMYFUNCTION("""COMPUTED_VALUE"""),11083.0)</f>
        <v>11083</v>
      </c>
      <c r="D4141" s="5">
        <f>IFERROR(__xludf.DUMMYFUNCTION("""COMPUTED_VALUE"""),0.3257097791798107)</f>
        <v>0.3257097792</v>
      </c>
      <c r="E4141" s="5">
        <f>IFERROR(__xludf.DUMMYFUNCTION("""COMPUTED_VALUE"""),0.11967665615141956)</f>
        <v>0.1196766562</v>
      </c>
      <c r="F4141" s="5">
        <f>IFERROR(__xludf.DUMMYFUNCTION("""COMPUTED_VALUE"""),0.21470820189274448)</f>
        <v>0.2147082019</v>
      </c>
      <c r="G4141" s="5">
        <f>IFERROR(__xludf.DUMMYFUNCTION("""COMPUTED_VALUE"""),0.1566443217665615)</f>
        <v>0.1566443218</v>
      </c>
      <c r="H4141" s="5">
        <f>IFERROR(__xludf.DUMMYFUNCTION("""COMPUTED_VALUE"""),0.6028466483011937)</f>
        <v>0.6028466483</v>
      </c>
      <c r="I4141" s="11">
        <f>IFERROR(__xludf.DUMMYFUNCTION("""COMPUTED_VALUE"""),5804.820936639118)</f>
        <v>5804.820937</v>
      </c>
      <c r="J4141" s="10">
        <f>IFERROR(__xludf.DUMMYFUNCTION("""COMPUTED_VALUE"""),4.0)</f>
        <v>4</v>
      </c>
      <c r="K4141" s="5">
        <f>IFERROR(__xludf.DUMMYFUNCTION("""COMPUTED_VALUE"""),0.004259850905218318)</f>
        <v>0.004259850905</v>
      </c>
      <c r="L4141" s="10">
        <f>IFERROR(__xludf.DUMMYFUNCTION("""COMPUTED_VALUE"""),939.0)</f>
        <v>939</v>
      </c>
      <c r="M4141" s="5">
        <f>IFERROR(__xludf.DUMMYFUNCTION("""COMPUTED_VALUE"""),1.0)</f>
        <v>1</v>
      </c>
    </row>
    <row r="4142">
      <c r="A4142" s="10" t="str">
        <f>IFERROR(__xludf.DUMMYFUNCTION("""COMPUTED_VALUE"""),"yot123")</f>
        <v>yot123</v>
      </c>
      <c r="B4142" s="10">
        <f>IFERROR(__xludf.DUMMYFUNCTION("""COMPUTED_VALUE"""),109.0)</f>
        <v>109</v>
      </c>
      <c r="C4142" s="10">
        <f>IFERROR(__xludf.DUMMYFUNCTION("""COMPUTED_VALUE"""),1329.0)</f>
        <v>1329</v>
      </c>
      <c r="D4142" s="5">
        <f>IFERROR(__xludf.DUMMYFUNCTION("""COMPUTED_VALUE"""),0.3959016393442623)</f>
        <v>0.3959016393</v>
      </c>
      <c r="E4142" s="5">
        <f>IFERROR(__xludf.DUMMYFUNCTION("""COMPUTED_VALUE"""),0.11967213114754098)</f>
        <v>0.1196721311</v>
      </c>
      <c r="F4142" s="5">
        <f>IFERROR(__xludf.DUMMYFUNCTION("""COMPUTED_VALUE"""),0.19672131147540983)</f>
        <v>0.1967213115</v>
      </c>
      <c r="G4142" s="5">
        <f>IFERROR(__xludf.DUMMYFUNCTION("""COMPUTED_VALUE"""),0.15901639344262294)</f>
        <v>0.1590163934</v>
      </c>
      <c r="H4142" s="5">
        <f>IFERROR(__xludf.DUMMYFUNCTION("""COMPUTED_VALUE"""),0.5375)</f>
        <v>0.5375</v>
      </c>
      <c r="I4142" s="11">
        <f>IFERROR(__xludf.DUMMYFUNCTION("""COMPUTED_VALUE"""),5580.416666666667)</f>
        <v>5580.416667</v>
      </c>
      <c r="J4142" s="10">
        <f>IFERROR(__xludf.DUMMYFUNCTION("""COMPUTED_VALUE"""),0.0)</f>
        <v>0</v>
      </c>
      <c r="K4142" s="5">
        <f>IFERROR(__xludf.DUMMYFUNCTION("""COMPUTED_VALUE"""),0.0)</f>
        <v>0</v>
      </c>
      <c r="L4142" s="10">
        <f>IFERROR(__xludf.DUMMYFUNCTION("""COMPUTED_VALUE"""),109.0)</f>
        <v>109</v>
      </c>
      <c r="M4142" s="5">
        <f>IFERROR(__xludf.DUMMYFUNCTION("""COMPUTED_VALUE"""),1.0)</f>
        <v>1</v>
      </c>
    </row>
    <row r="4143">
      <c r="A4143" s="10" t="str">
        <f>IFERROR(__xludf.DUMMYFUNCTION("""COMPUTED_VALUE"""),"椛南")</f>
        <v>椛南</v>
      </c>
      <c r="B4143" s="10">
        <f>IFERROR(__xludf.DUMMYFUNCTION("""COMPUTED_VALUE"""),228.0)</f>
        <v>228</v>
      </c>
      <c r="C4143" s="10">
        <f>IFERROR(__xludf.DUMMYFUNCTION("""COMPUTED_VALUE"""),2710.0)</f>
        <v>2710</v>
      </c>
      <c r="D4143" s="5">
        <f>IFERROR(__xludf.DUMMYFUNCTION("""COMPUTED_VALUE"""),0.21877518130539886)</f>
        <v>0.2187751813</v>
      </c>
      <c r="E4143" s="5">
        <f>IFERROR(__xludf.DUMMYFUNCTION("""COMPUTED_VALUE"""),0.11966156325543917)</f>
        <v>0.1196615633</v>
      </c>
      <c r="F4143" s="5">
        <f>IFERROR(__xludf.DUMMYFUNCTION("""COMPUTED_VALUE"""),0.18694601128122482)</f>
        <v>0.1869460113</v>
      </c>
      <c r="G4143" s="5">
        <f>IFERROR(__xludf.DUMMYFUNCTION("""COMPUTED_VALUE"""),0.1780821917808219)</f>
        <v>0.1780821918</v>
      </c>
      <c r="H4143" s="5">
        <f>IFERROR(__xludf.DUMMYFUNCTION("""COMPUTED_VALUE"""),0.6012931034482759)</f>
        <v>0.6012931034</v>
      </c>
      <c r="I4143" s="11">
        <f>IFERROR(__xludf.DUMMYFUNCTION("""COMPUTED_VALUE"""),6058.4051724137935)</f>
        <v>6058.405172</v>
      </c>
      <c r="J4143" s="10">
        <f>IFERROR(__xludf.DUMMYFUNCTION("""COMPUTED_VALUE"""),1.0)</f>
        <v>1</v>
      </c>
      <c r="K4143" s="5">
        <f>IFERROR(__xludf.DUMMYFUNCTION("""COMPUTED_VALUE"""),0.0043859649122807015)</f>
        <v>0.004385964912</v>
      </c>
      <c r="L4143" s="10">
        <f>IFERROR(__xludf.DUMMYFUNCTION("""COMPUTED_VALUE"""),0.0)</f>
        <v>0</v>
      </c>
      <c r="M4143" s="5">
        <f>IFERROR(__xludf.DUMMYFUNCTION("""COMPUTED_VALUE"""),0.0)</f>
        <v>0</v>
      </c>
    </row>
    <row r="4144">
      <c r="A4144" s="10" t="str">
        <f>IFERROR(__xludf.DUMMYFUNCTION("""COMPUTED_VALUE"""),"田中健二郎十段")</f>
        <v>田中健二郎十段</v>
      </c>
      <c r="B4144" s="10">
        <f>IFERROR(__xludf.DUMMYFUNCTION("""COMPUTED_VALUE"""),702.0)</f>
        <v>702</v>
      </c>
      <c r="C4144" s="10">
        <f>IFERROR(__xludf.DUMMYFUNCTION("""COMPUTED_VALUE"""),8190.0)</f>
        <v>8190</v>
      </c>
      <c r="D4144" s="5">
        <f>IFERROR(__xludf.DUMMYFUNCTION("""COMPUTED_VALUE"""),0.2982104700854701)</f>
        <v>0.2982104701</v>
      </c>
      <c r="E4144" s="5">
        <f>IFERROR(__xludf.DUMMYFUNCTION("""COMPUTED_VALUE"""),0.11965811965811966)</f>
        <v>0.1196581197</v>
      </c>
      <c r="F4144" s="5">
        <f>IFERROR(__xludf.DUMMYFUNCTION("""COMPUTED_VALUE"""),0.20339209401709402)</f>
        <v>0.203392094</v>
      </c>
      <c r="G4144" s="5">
        <f>IFERROR(__xludf.DUMMYFUNCTION("""COMPUTED_VALUE"""),0.1657318376068376)</f>
        <v>0.1657318376</v>
      </c>
      <c r="H4144" s="5">
        <f>IFERROR(__xludf.DUMMYFUNCTION("""COMPUTED_VALUE"""),0.613263296126067)</f>
        <v>0.6132632961</v>
      </c>
      <c r="I4144" s="11">
        <f>IFERROR(__xludf.DUMMYFUNCTION("""COMPUTED_VALUE"""),5658.962573867367)</f>
        <v>5658.962574</v>
      </c>
      <c r="J4144" s="10">
        <f>IFERROR(__xludf.DUMMYFUNCTION("""COMPUTED_VALUE"""),1.0)</f>
        <v>1</v>
      </c>
      <c r="K4144" s="5">
        <f>IFERROR(__xludf.DUMMYFUNCTION("""COMPUTED_VALUE"""),0.0014245014245014246)</f>
        <v>0.001424501425</v>
      </c>
      <c r="L4144" s="10">
        <f>IFERROR(__xludf.DUMMYFUNCTION("""COMPUTED_VALUE"""),702.0)</f>
        <v>702</v>
      </c>
      <c r="M4144" s="5">
        <f>IFERROR(__xludf.DUMMYFUNCTION("""COMPUTED_VALUE"""),1.0)</f>
        <v>1</v>
      </c>
    </row>
    <row r="4145">
      <c r="A4145" s="10" t="str">
        <f>IFERROR(__xludf.DUMMYFUNCTION("""COMPUTED_VALUE"""),"牌流定石最高")</f>
        <v>牌流定石最高</v>
      </c>
      <c r="B4145" s="10">
        <f>IFERROR(__xludf.DUMMYFUNCTION("""COMPUTED_VALUE"""),3872.0)</f>
        <v>3872</v>
      </c>
      <c r="C4145" s="10">
        <f>IFERROR(__xludf.DUMMYFUNCTION("""COMPUTED_VALUE"""),45408.0)</f>
        <v>45408</v>
      </c>
      <c r="D4145" s="5">
        <f>IFERROR(__xludf.DUMMYFUNCTION("""COMPUTED_VALUE"""),0.3369847842835131)</f>
        <v>0.3369847843</v>
      </c>
      <c r="E4145" s="5">
        <f>IFERROR(__xludf.DUMMYFUNCTION("""COMPUTED_VALUE"""),0.11965523882896764)</f>
        <v>0.1196552388</v>
      </c>
      <c r="F4145" s="5">
        <f>IFERROR(__xludf.DUMMYFUNCTION("""COMPUTED_VALUE"""),0.20755489214175654)</f>
        <v>0.2075548921</v>
      </c>
      <c r="G4145" s="5">
        <f>IFERROR(__xludf.DUMMYFUNCTION("""COMPUTED_VALUE"""),0.17377696456086286)</f>
        <v>0.1737769646</v>
      </c>
      <c r="H4145" s="5">
        <f>IFERROR(__xludf.DUMMYFUNCTION("""COMPUTED_VALUE"""),0.5869388702006728)</f>
        <v>0.5869388702</v>
      </c>
      <c r="I4145" s="11">
        <f>IFERROR(__xludf.DUMMYFUNCTION("""COMPUTED_VALUE"""),5785.755712794339)</f>
        <v>5785.755713</v>
      </c>
      <c r="J4145" s="10">
        <f>IFERROR(__xludf.DUMMYFUNCTION("""COMPUTED_VALUE"""),6.0)</f>
        <v>6</v>
      </c>
      <c r="K4145" s="5">
        <f>IFERROR(__xludf.DUMMYFUNCTION("""COMPUTED_VALUE"""),0.0015495867768595042)</f>
        <v>0.001549586777</v>
      </c>
      <c r="L4145" s="10">
        <f>IFERROR(__xludf.DUMMYFUNCTION("""COMPUTED_VALUE"""),2655.0)</f>
        <v>2655</v>
      </c>
      <c r="M4145" s="5">
        <f>IFERROR(__xludf.DUMMYFUNCTION("""COMPUTED_VALUE"""),0.6856921487603306)</f>
        <v>0.6856921488</v>
      </c>
    </row>
    <row r="4146">
      <c r="A4146" s="10" t="str">
        <f>IFERROR(__xludf.DUMMYFUNCTION("""COMPUTED_VALUE"""),"ちびひな")</f>
        <v>ちびひな</v>
      </c>
      <c r="B4146" s="10">
        <f>IFERROR(__xludf.DUMMYFUNCTION("""COMPUTED_VALUE"""),215.0)</f>
        <v>215</v>
      </c>
      <c r="C4146" s="10">
        <f>IFERROR(__xludf.DUMMYFUNCTION("""COMPUTED_VALUE"""),2530.0)</f>
        <v>2530</v>
      </c>
      <c r="D4146" s="5">
        <f>IFERROR(__xludf.DUMMYFUNCTION("""COMPUTED_VALUE"""),0.41339092872570193)</f>
        <v>0.4133909287</v>
      </c>
      <c r="E4146" s="5">
        <f>IFERROR(__xludf.DUMMYFUNCTION("""COMPUTED_VALUE"""),0.11965442764578833)</f>
        <v>0.1196544276</v>
      </c>
      <c r="F4146" s="5">
        <f>IFERROR(__xludf.DUMMYFUNCTION("""COMPUTED_VALUE"""),0.208207343412527)</f>
        <v>0.2082073434</v>
      </c>
      <c r="G4146" s="5">
        <f>IFERROR(__xludf.DUMMYFUNCTION("""COMPUTED_VALUE"""),0.1654427645788337)</f>
        <v>0.1654427646</v>
      </c>
      <c r="H4146" s="5">
        <f>IFERROR(__xludf.DUMMYFUNCTION("""COMPUTED_VALUE"""),0.5809128630705395)</f>
        <v>0.5809128631</v>
      </c>
      <c r="I4146" s="11">
        <f>IFERROR(__xludf.DUMMYFUNCTION("""COMPUTED_VALUE"""),5463.692946058091)</f>
        <v>5463.692946</v>
      </c>
      <c r="J4146" s="10">
        <f>IFERROR(__xludf.DUMMYFUNCTION("""COMPUTED_VALUE"""),0.0)</f>
        <v>0</v>
      </c>
      <c r="K4146" s="5">
        <f>IFERROR(__xludf.DUMMYFUNCTION("""COMPUTED_VALUE"""),0.0)</f>
        <v>0</v>
      </c>
      <c r="L4146" s="10">
        <f>IFERROR(__xludf.DUMMYFUNCTION("""COMPUTED_VALUE"""),215.0)</f>
        <v>215</v>
      </c>
      <c r="M4146" s="5">
        <f>IFERROR(__xludf.DUMMYFUNCTION("""COMPUTED_VALUE"""),1.0)</f>
        <v>1</v>
      </c>
    </row>
    <row r="4147">
      <c r="A4147" s="10" t="str">
        <f>IFERROR(__xludf.DUMMYFUNCTION("""COMPUTED_VALUE"""),"ふなっく")</f>
        <v>ふなっく</v>
      </c>
      <c r="B4147" s="10">
        <f>IFERROR(__xludf.DUMMYFUNCTION("""COMPUTED_VALUE"""),165.0)</f>
        <v>165</v>
      </c>
      <c r="C4147" s="10">
        <f>IFERROR(__xludf.DUMMYFUNCTION("""COMPUTED_VALUE"""),2012.0)</f>
        <v>2012</v>
      </c>
      <c r="D4147" s="5">
        <f>IFERROR(__xludf.DUMMYFUNCTION("""COMPUTED_VALUE"""),0.3611261505143476)</f>
        <v>0.3611261505</v>
      </c>
      <c r="E4147" s="5">
        <f>IFERROR(__xludf.DUMMYFUNCTION("""COMPUTED_VALUE"""),0.11965349214943151)</f>
        <v>0.1196534921</v>
      </c>
      <c r="F4147" s="5">
        <f>IFERROR(__xludf.DUMMYFUNCTION("""COMPUTED_VALUE"""),0.21331889550622632)</f>
        <v>0.2133188955</v>
      </c>
      <c r="G4147" s="5">
        <f>IFERROR(__xludf.DUMMYFUNCTION("""COMPUTED_VALUE"""),0.13589604764482946)</f>
        <v>0.1358960476</v>
      </c>
      <c r="H4147" s="5">
        <f>IFERROR(__xludf.DUMMYFUNCTION("""COMPUTED_VALUE"""),0.6294416243654822)</f>
        <v>0.6294416244</v>
      </c>
      <c r="I4147" s="11">
        <f>IFERROR(__xludf.DUMMYFUNCTION("""COMPUTED_VALUE"""),5374.111675126904)</f>
        <v>5374.111675</v>
      </c>
      <c r="J4147" s="10">
        <f>IFERROR(__xludf.DUMMYFUNCTION("""COMPUTED_VALUE"""),0.0)</f>
        <v>0</v>
      </c>
      <c r="K4147" s="5">
        <f>IFERROR(__xludf.DUMMYFUNCTION("""COMPUTED_VALUE"""),0.0)</f>
        <v>0</v>
      </c>
      <c r="L4147" s="10">
        <f>IFERROR(__xludf.DUMMYFUNCTION("""COMPUTED_VALUE"""),165.0)</f>
        <v>165</v>
      </c>
      <c r="M4147" s="5">
        <f>IFERROR(__xludf.DUMMYFUNCTION("""COMPUTED_VALUE"""),1.0)</f>
        <v>1</v>
      </c>
    </row>
    <row r="4148">
      <c r="A4148" s="10" t="str">
        <f>IFERROR(__xludf.DUMMYFUNCTION("""COMPUTED_VALUE"""),"血煙")</f>
        <v>血煙</v>
      </c>
      <c r="B4148" s="10">
        <f>IFERROR(__xludf.DUMMYFUNCTION("""COMPUTED_VALUE"""),556.0)</f>
        <v>556</v>
      </c>
      <c r="C4148" s="10">
        <f>IFERROR(__xludf.DUMMYFUNCTION("""COMPUTED_VALUE"""),6649.0)</f>
        <v>6649</v>
      </c>
      <c r="D4148" s="5">
        <f>IFERROR(__xludf.DUMMYFUNCTION("""COMPUTED_VALUE"""),0.26374528147053994)</f>
        <v>0.2637452815</v>
      </c>
      <c r="E4148" s="5">
        <f>IFERROR(__xludf.DUMMYFUNCTION("""COMPUTED_VALUE"""),0.11964549483013294)</f>
        <v>0.1196454948</v>
      </c>
      <c r="F4148" s="5">
        <f>IFERROR(__xludf.DUMMYFUNCTION("""COMPUTED_VALUE"""),0.19678319382898407)</f>
        <v>0.1967831938</v>
      </c>
      <c r="G4148" s="5">
        <f>IFERROR(__xludf.DUMMYFUNCTION("""COMPUTED_VALUE"""),0.1501723289020187)</f>
        <v>0.1501723289</v>
      </c>
      <c r="H4148" s="5">
        <f>IFERROR(__xludf.DUMMYFUNCTION("""COMPUTED_VALUE"""),0.6146788990825688)</f>
        <v>0.6146788991</v>
      </c>
      <c r="I4148" s="11">
        <f>IFERROR(__xludf.DUMMYFUNCTION("""COMPUTED_VALUE"""),5595.079232693912)</f>
        <v>5595.079233</v>
      </c>
      <c r="J4148" s="10">
        <f>IFERROR(__xludf.DUMMYFUNCTION("""COMPUTED_VALUE"""),2.0)</f>
        <v>2</v>
      </c>
      <c r="K4148" s="5">
        <f>IFERROR(__xludf.DUMMYFUNCTION("""COMPUTED_VALUE"""),0.0035971223021582736)</f>
        <v>0.003597122302</v>
      </c>
      <c r="L4148" s="10">
        <f>IFERROR(__xludf.DUMMYFUNCTION("""COMPUTED_VALUE"""),556.0)</f>
        <v>556</v>
      </c>
      <c r="M4148" s="5">
        <f>IFERROR(__xludf.DUMMYFUNCTION("""COMPUTED_VALUE"""),1.0)</f>
        <v>1</v>
      </c>
    </row>
    <row r="4149">
      <c r="A4149" s="10" t="str">
        <f>IFERROR(__xludf.DUMMYFUNCTION("""COMPUTED_VALUE"""),"坊やアツ")</f>
        <v>坊やアツ</v>
      </c>
      <c r="B4149" s="10">
        <f>IFERROR(__xludf.DUMMYFUNCTION("""COMPUTED_VALUE"""),711.0)</f>
        <v>711</v>
      </c>
      <c r="C4149" s="10">
        <f>IFERROR(__xludf.DUMMYFUNCTION("""COMPUTED_VALUE"""),8401.0)</f>
        <v>8401</v>
      </c>
      <c r="D4149" s="5">
        <f>IFERROR(__xludf.DUMMYFUNCTION("""COMPUTED_VALUE"""),0.29011703511053316)</f>
        <v>0.2901170351</v>
      </c>
      <c r="E4149" s="5">
        <f>IFERROR(__xludf.DUMMYFUNCTION("""COMPUTED_VALUE"""),0.11963589076723016)</f>
        <v>0.1196358908</v>
      </c>
      <c r="F4149" s="5">
        <f>IFERROR(__xludf.DUMMYFUNCTION("""COMPUTED_VALUE"""),0.1931079323797139)</f>
        <v>0.1931079324</v>
      </c>
      <c r="G4149" s="5">
        <f>IFERROR(__xludf.DUMMYFUNCTION("""COMPUTED_VALUE"""),0.15253576072821848)</f>
        <v>0.1525357607</v>
      </c>
      <c r="H4149" s="5">
        <f>IFERROR(__xludf.DUMMYFUNCTION("""COMPUTED_VALUE"""),0.5878787878787879)</f>
        <v>0.5878787879</v>
      </c>
      <c r="I4149" s="11">
        <f>IFERROR(__xludf.DUMMYFUNCTION("""COMPUTED_VALUE"""),5685.589225589226)</f>
        <v>5685.589226</v>
      </c>
      <c r="J4149" s="10">
        <f>IFERROR(__xludf.DUMMYFUNCTION("""COMPUTED_VALUE"""),0.0)</f>
        <v>0</v>
      </c>
      <c r="K4149" s="5">
        <f>IFERROR(__xludf.DUMMYFUNCTION("""COMPUTED_VALUE"""),0.0)</f>
        <v>0</v>
      </c>
      <c r="L4149" s="10">
        <f>IFERROR(__xludf.DUMMYFUNCTION("""COMPUTED_VALUE"""),711.0)</f>
        <v>711</v>
      </c>
      <c r="M4149" s="5">
        <f>IFERROR(__xludf.DUMMYFUNCTION("""COMPUTED_VALUE"""),1.0)</f>
        <v>1</v>
      </c>
    </row>
    <row r="4150">
      <c r="A4150" s="10" t="str">
        <f>IFERROR(__xludf.DUMMYFUNCTION("""COMPUTED_VALUE"""),"magico")</f>
        <v>magico</v>
      </c>
      <c r="B4150" s="10">
        <f>IFERROR(__xludf.DUMMYFUNCTION("""COMPUTED_VALUE"""),1096.0)</f>
        <v>1096</v>
      </c>
      <c r="C4150" s="10">
        <f>IFERROR(__xludf.DUMMYFUNCTION("""COMPUTED_VALUE"""),12857.0)</f>
        <v>12857</v>
      </c>
      <c r="D4150" s="5">
        <f>IFERROR(__xludf.DUMMYFUNCTION("""COMPUTED_VALUE"""),0.3251424198622566)</f>
        <v>0.3251424199</v>
      </c>
      <c r="E4150" s="5">
        <f>IFERROR(__xludf.DUMMYFUNCTION("""COMPUTED_VALUE"""),0.1196326842955531)</f>
        <v>0.1196326843</v>
      </c>
      <c r="F4150" s="5">
        <f>IFERROR(__xludf.DUMMYFUNCTION("""COMPUTED_VALUE"""),0.2006632089108069)</f>
        <v>0.2006632089</v>
      </c>
      <c r="G4150" s="5">
        <f>IFERROR(__xludf.DUMMYFUNCTION("""COMPUTED_VALUE"""),0.15704446900773744)</f>
        <v>0.157044469</v>
      </c>
      <c r="H4150" s="5">
        <f>IFERROR(__xludf.DUMMYFUNCTION("""COMPUTED_VALUE"""),0.601271186440678)</f>
        <v>0.6012711864</v>
      </c>
      <c r="I4150" s="11">
        <f>IFERROR(__xludf.DUMMYFUNCTION("""COMPUTED_VALUE"""),5646.271186440678)</f>
        <v>5646.271186</v>
      </c>
      <c r="J4150" s="10">
        <f>IFERROR(__xludf.DUMMYFUNCTION("""COMPUTED_VALUE"""),1.0)</f>
        <v>1</v>
      </c>
      <c r="K4150" s="5">
        <f>IFERROR(__xludf.DUMMYFUNCTION("""COMPUTED_VALUE"""),9.124087591240876E-4)</f>
        <v>0.0009124087591</v>
      </c>
      <c r="L4150" s="10">
        <f>IFERROR(__xludf.DUMMYFUNCTION("""COMPUTED_VALUE"""),1096.0)</f>
        <v>1096</v>
      </c>
      <c r="M4150" s="5">
        <f>IFERROR(__xludf.DUMMYFUNCTION("""COMPUTED_VALUE"""),1.0)</f>
        <v>1</v>
      </c>
    </row>
    <row r="4151">
      <c r="A4151" s="10" t="str">
        <f>IFERROR(__xludf.DUMMYFUNCTION("""COMPUTED_VALUE"""),"reo_BB")</f>
        <v>reo_BB</v>
      </c>
      <c r="B4151" s="10">
        <f>IFERROR(__xludf.DUMMYFUNCTION("""COMPUTED_VALUE"""),893.0)</f>
        <v>893</v>
      </c>
      <c r="C4151" s="10">
        <f>IFERROR(__xludf.DUMMYFUNCTION("""COMPUTED_VALUE"""),10322.0)</f>
        <v>10322</v>
      </c>
      <c r="D4151" s="5">
        <f>IFERROR(__xludf.DUMMYFUNCTION("""COMPUTED_VALUE"""),0.305970940714816)</f>
        <v>0.3059709407</v>
      </c>
      <c r="E4151" s="5">
        <f>IFERROR(__xludf.DUMMYFUNCTION("""COMPUTED_VALUE"""),0.11963092586700605)</f>
        <v>0.1196309259</v>
      </c>
      <c r="F4151" s="5">
        <f>IFERROR(__xludf.DUMMYFUNCTION("""COMPUTED_VALUE"""),0.21211157068618094)</f>
        <v>0.2121115707</v>
      </c>
      <c r="G4151" s="5">
        <f>IFERROR(__xludf.DUMMYFUNCTION("""COMPUTED_VALUE"""),0.16629547141796586)</f>
        <v>0.1662954714</v>
      </c>
      <c r="H4151" s="5">
        <f>IFERROR(__xludf.DUMMYFUNCTION("""COMPUTED_VALUE"""),0.6165)</f>
        <v>0.6165</v>
      </c>
      <c r="I4151" s="11">
        <f>IFERROR(__xludf.DUMMYFUNCTION("""COMPUTED_VALUE"""),5405.15)</f>
        <v>5405.15</v>
      </c>
      <c r="J4151" s="10">
        <f>IFERROR(__xludf.DUMMYFUNCTION("""COMPUTED_VALUE"""),1.0)</f>
        <v>1</v>
      </c>
      <c r="K4151" s="5">
        <f>IFERROR(__xludf.DUMMYFUNCTION("""COMPUTED_VALUE"""),0.0011198208286674132)</f>
        <v>0.001119820829</v>
      </c>
      <c r="L4151" s="10">
        <f>IFERROR(__xludf.DUMMYFUNCTION("""COMPUTED_VALUE"""),893.0)</f>
        <v>893</v>
      </c>
      <c r="M4151" s="5">
        <f>IFERROR(__xludf.DUMMYFUNCTION("""COMPUTED_VALUE"""),1.0)</f>
        <v>1</v>
      </c>
    </row>
    <row r="4152">
      <c r="A4152" s="10" t="str">
        <f>IFERROR(__xludf.DUMMYFUNCTION("""COMPUTED_VALUE"""),"えびす9/9")</f>
        <v>えびす9/9</v>
      </c>
      <c r="B4152" s="10">
        <f>IFERROR(__xludf.DUMMYFUNCTION("""COMPUTED_VALUE"""),792.0)</f>
        <v>792</v>
      </c>
      <c r="C4152" s="10">
        <f>IFERROR(__xludf.DUMMYFUNCTION("""COMPUTED_VALUE"""),9160.0)</f>
        <v>9160</v>
      </c>
      <c r="D4152" s="5">
        <f>IFERROR(__xludf.DUMMYFUNCTION("""COMPUTED_VALUE"""),0.3377151051625239)</f>
        <v>0.3377151052</v>
      </c>
      <c r="E4152" s="5">
        <f>IFERROR(__xludf.DUMMYFUNCTION("""COMPUTED_VALUE"""),0.11962237093690249)</f>
        <v>0.1196223709</v>
      </c>
      <c r="F4152" s="5">
        <f>IFERROR(__xludf.DUMMYFUNCTION("""COMPUTED_VALUE"""),0.2204827915869981)</f>
        <v>0.2204827916</v>
      </c>
      <c r="G4152" s="5">
        <f>IFERROR(__xludf.DUMMYFUNCTION("""COMPUTED_VALUE"""),0.1992112810707457)</f>
        <v>0.1992112811</v>
      </c>
      <c r="H4152" s="5">
        <f>IFERROR(__xludf.DUMMYFUNCTION("""COMPUTED_VALUE"""),0.5831978319783198)</f>
        <v>0.583197832</v>
      </c>
      <c r="I4152" s="11">
        <f>IFERROR(__xludf.DUMMYFUNCTION("""COMPUTED_VALUE"""),5765.528455284553)</f>
        <v>5765.528455</v>
      </c>
      <c r="J4152" s="10">
        <f>IFERROR(__xludf.DUMMYFUNCTION("""COMPUTED_VALUE"""),2.0)</f>
        <v>2</v>
      </c>
      <c r="K4152" s="5">
        <f>IFERROR(__xludf.DUMMYFUNCTION("""COMPUTED_VALUE"""),0.0025252525252525255)</f>
        <v>0.002525252525</v>
      </c>
      <c r="L4152" s="10">
        <f>IFERROR(__xludf.DUMMYFUNCTION("""COMPUTED_VALUE"""),792.0)</f>
        <v>792</v>
      </c>
      <c r="M4152" s="5">
        <f>IFERROR(__xludf.DUMMYFUNCTION("""COMPUTED_VALUE"""),1.0)</f>
        <v>1</v>
      </c>
    </row>
    <row r="4153">
      <c r="A4153" s="10" t="str">
        <f>IFERROR(__xludf.DUMMYFUNCTION("""COMPUTED_VALUE"""),"EUREKA14")</f>
        <v>EUREKA14</v>
      </c>
      <c r="B4153" s="10">
        <f>IFERROR(__xludf.DUMMYFUNCTION("""COMPUTED_VALUE"""),982.0)</f>
        <v>982</v>
      </c>
      <c r="C4153" s="10">
        <f>IFERROR(__xludf.DUMMYFUNCTION("""COMPUTED_VALUE"""),11557.0)</f>
        <v>11557</v>
      </c>
      <c r="D4153" s="5">
        <f>IFERROR(__xludf.DUMMYFUNCTION("""COMPUTED_VALUE"""),0.3481796690307329)</f>
        <v>0.348179669</v>
      </c>
      <c r="E4153" s="5">
        <f>IFERROR(__xludf.DUMMYFUNCTION("""COMPUTED_VALUE"""),0.11962174940898346)</f>
        <v>0.1196217494</v>
      </c>
      <c r="F4153" s="5">
        <f>IFERROR(__xludf.DUMMYFUNCTION("""COMPUTED_VALUE"""),0.20463356973995273)</f>
        <v>0.2046335697</v>
      </c>
      <c r="G4153" s="5">
        <f>IFERROR(__xludf.DUMMYFUNCTION("""COMPUTED_VALUE"""),0.14732860520094562)</f>
        <v>0.1473286052</v>
      </c>
      <c r="H4153" s="5">
        <f>IFERROR(__xludf.DUMMYFUNCTION("""COMPUTED_VALUE"""),0.5998151571164511)</f>
        <v>0.5998151571</v>
      </c>
      <c r="I4153" s="11">
        <f>IFERROR(__xludf.DUMMYFUNCTION("""COMPUTED_VALUE"""),5696.7652495378925)</f>
        <v>5696.76525</v>
      </c>
      <c r="J4153" s="10">
        <f>IFERROR(__xludf.DUMMYFUNCTION("""COMPUTED_VALUE"""),5.0)</f>
        <v>5</v>
      </c>
      <c r="K4153" s="5">
        <f>IFERROR(__xludf.DUMMYFUNCTION("""COMPUTED_VALUE"""),0.0050916496945010185)</f>
        <v>0.005091649695</v>
      </c>
      <c r="L4153" s="10">
        <f>IFERROR(__xludf.DUMMYFUNCTION("""COMPUTED_VALUE"""),965.0)</f>
        <v>965</v>
      </c>
      <c r="M4153" s="5">
        <f>IFERROR(__xludf.DUMMYFUNCTION("""COMPUTED_VALUE"""),0.9826883910386965)</f>
        <v>0.982688391</v>
      </c>
    </row>
    <row r="4154">
      <c r="A4154" s="10" t="str">
        <f>IFERROR(__xludf.DUMMYFUNCTION("""COMPUTED_VALUE"""),"常勝？？プロ")</f>
        <v>常勝？？プロ</v>
      </c>
      <c r="B4154" s="10">
        <f>IFERROR(__xludf.DUMMYFUNCTION("""COMPUTED_VALUE"""),394.0)</f>
        <v>394</v>
      </c>
      <c r="C4154" s="10">
        <f>IFERROR(__xludf.DUMMYFUNCTION("""COMPUTED_VALUE"""),4574.0)</f>
        <v>4574</v>
      </c>
      <c r="D4154" s="5">
        <f>IFERROR(__xludf.DUMMYFUNCTION("""COMPUTED_VALUE"""),0.38971291866028707)</f>
        <v>0.3897129187</v>
      </c>
      <c r="E4154" s="5">
        <f>IFERROR(__xludf.DUMMYFUNCTION("""COMPUTED_VALUE"""),0.11961722488038277)</f>
        <v>0.1196172249</v>
      </c>
      <c r="F4154" s="5">
        <f>IFERROR(__xludf.DUMMYFUNCTION("""COMPUTED_VALUE"""),0.23157894736842105)</f>
        <v>0.2315789474</v>
      </c>
      <c r="G4154" s="5">
        <f>IFERROR(__xludf.DUMMYFUNCTION("""COMPUTED_VALUE"""),0.1598086124401914)</f>
        <v>0.1598086124</v>
      </c>
      <c r="H4154" s="5">
        <f>IFERROR(__xludf.DUMMYFUNCTION("""COMPUTED_VALUE"""),0.6177685950413223)</f>
        <v>0.617768595</v>
      </c>
      <c r="I4154" s="11">
        <f>IFERROR(__xludf.DUMMYFUNCTION("""COMPUTED_VALUE"""),5763.739669421488)</f>
        <v>5763.739669</v>
      </c>
      <c r="J4154" s="10">
        <f>IFERROR(__xludf.DUMMYFUNCTION("""COMPUTED_VALUE"""),3.0)</f>
        <v>3</v>
      </c>
      <c r="K4154" s="5">
        <f>IFERROR(__xludf.DUMMYFUNCTION("""COMPUTED_VALUE"""),0.007614213197969543)</f>
        <v>0.007614213198</v>
      </c>
      <c r="L4154" s="10">
        <f>IFERROR(__xludf.DUMMYFUNCTION("""COMPUTED_VALUE"""),394.0)</f>
        <v>394</v>
      </c>
      <c r="M4154" s="5">
        <f>IFERROR(__xludf.DUMMYFUNCTION("""COMPUTED_VALUE"""),1.0)</f>
        <v>1</v>
      </c>
    </row>
    <row r="4155">
      <c r="A4155" s="10" t="str">
        <f>IFERROR(__xludf.DUMMYFUNCTION("""COMPUTED_VALUE"""),"オナニスト伝田")</f>
        <v>オナニスト伝田</v>
      </c>
      <c r="B4155" s="10">
        <f>IFERROR(__xludf.DUMMYFUNCTION("""COMPUTED_VALUE"""),1797.0)</f>
        <v>1797</v>
      </c>
      <c r="C4155" s="10">
        <f>IFERROR(__xludf.DUMMYFUNCTION("""COMPUTED_VALUE"""),21202.0)</f>
        <v>21202</v>
      </c>
      <c r="D4155" s="5">
        <f>IFERROR(__xludf.DUMMYFUNCTION("""COMPUTED_VALUE"""),0.389951043545478)</f>
        <v>0.3899510435</v>
      </c>
      <c r="E4155" s="5">
        <f>IFERROR(__xludf.DUMMYFUNCTION("""COMPUTED_VALUE"""),0.11960834836382375)</f>
        <v>0.1196083484</v>
      </c>
      <c r="F4155" s="5">
        <f>IFERROR(__xludf.DUMMYFUNCTION("""COMPUTED_VALUE"""),0.21597526410718887)</f>
        <v>0.2159752641</v>
      </c>
      <c r="G4155" s="5">
        <f>IFERROR(__xludf.DUMMYFUNCTION("""COMPUTED_VALUE"""),0.1627415614532337)</f>
        <v>0.1627415615</v>
      </c>
      <c r="H4155" s="5">
        <f>IFERROR(__xludf.DUMMYFUNCTION("""COMPUTED_VALUE"""),0.6043903602958721)</f>
        <v>0.6043903603</v>
      </c>
      <c r="I4155" s="11">
        <f>IFERROR(__xludf.DUMMYFUNCTION("""COMPUTED_VALUE"""),5228.942973037461)</f>
        <v>5228.942973</v>
      </c>
      <c r="J4155" s="10">
        <f>IFERROR(__xludf.DUMMYFUNCTION("""COMPUTED_VALUE"""),5.0)</f>
        <v>5</v>
      </c>
      <c r="K4155" s="5">
        <f>IFERROR(__xludf.DUMMYFUNCTION("""COMPUTED_VALUE"""),0.0027824151363383415)</f>
        <v>0.002782415136</v>
      </c>
      <c r="L4155" s="10">
        <f>IFERROR(__xludf.DUMMYFUNCTION("""COMPUTED_VALUE"""),1797.0)</f>
        <v>1797</v>
      </c>
      <c r="M4155" s="5">
        <f>IFERROR(__xludf.DUMMYFUNCTION("""COMPUTED_VALUE"""),1.0)</f>
        <v>1</v>
      </c>
    </row>
    <row r="4156">
      <c r="A4156" s="10" t="str">
        <f>IFERROR(__xludf.DUMMYFUNCTION("""COMPUTED_VALUE"""),"手打ちきしめん")</f>
        <v>手打ちきしめん</v>
      </c>
      <c r="B4156" s="10">
        <f>IFERROR(__xludf.DUMMYFUNCTION("""COMPUTED_VALUE"""),3488.0)</f>
        <v>3488</v>
      </c>
      <c r="C4156" s="10">
        <f>IFERROR(__xludf.DUMMYFUNCTION("""COMPUTED_VALUE"""),40679.0)</f>
        <v>40679</v>
      </c>
      <c r="D4156" s="5">
        <f>IFERROR(__xludf.DUMMYFUNCTION("""COMPUTED_VALUE"""),0.33142426931246805)</f>
        <v>0.3314242693</v>
      </c>
      <c r="E4156" s="5">
        <f>IFERROR(__xludf.DUMMYFUNCTION("""COMPUTED_VALUE"""),0.11959882767336183)</f>
        <v>0.1195988277</v>
      </c>
      <c r="F4156" s="5">
        <f>IFERROR(__xludf.DUMMYFUNCTION("""COMPUTED_VALUE"""),0.20913661907450729)</f>
        <v>0.2091366191</v>
      </c>
      <c r="G4156" s="5">
        <f>IFERROR(__xludf.DUMMYFUNCTION("""COMPUTED_VALUE"""),0.15318222150520286)</f>
        <v>0.1531822215</v>
      </c>
      <c r="H4156" s="5">
        <f>IFERROR(__xludf.DUMMYFUNCTION("""COMPUTED_VALUE"""),0.6118539470300849)</f>
        <v>0.611853947</v>
      </c>
      <c r="I4156" s="11">
        <f>IFERROR(__xludf.DUMMYFUNCTION("""COMPUTED_VALUE"""),5643.237336076112)</f>
        <v>5643.237336</v>
      </c>
      <c r="J4156" s="10">
        <f>IFERROR(__xludf.DUMMYFUNCTION("""COMPUTED_VALUE"""),9.0)</f>
        <v>9</v>
      </c>
      <c r="K4156" s="5">
        <f>IFERROR(__xludf.DUMMYFUNCTION("""COMPUTED_VALUE"""),0.0025802752293577983)</f>
        <v>0.002580275229</v>
      </c>
      <c r="L4156" s="10">
        <f>IFERROR(__xludf.DUMMYFUNCTION("""COMPUTED_VALUE"""),3488.0)</f>
        <v>3488</v>
      </c>
      <c r="M4156" s="5">
        <f>IFERROR(__xludf.DUMMYFUNCTION("""COMPUTED_VALUE"""),1.0)</f>
        <v>1</v>
      </c>
    </row>
    <row r="4157">
      <c r="A4157" s="10" t="str">
        <f>IFERROR(__xludf.DUMMYFUNCTION("""COMPUTED_VALUE"""),"らかんか")</f>
        <v>らかんか</v>
      </c>
      <c r="B4157" s="10">
        <f>IFERROR(__xludf.DUMMYFUNCTION("""COMPUTED_VALUE"""),109.0)</f>
        <v>109</v>
      </c>
      <c r="C4157" s="10">
        <f>IFERROR(__xludf.DUMMYFUNCTION("""COMPUTED_VALUE"""),1238.0)</f>
        <v>1238</v>
      </c>
      <c r="D4157" s="5">
        <f>IFERROR(__xludf.DUMMYFUNCTION("""COMPUTED_VALUE"""),0.3038086802480071)</f>
        <v>0.3038086802</v>
      </c>
      <c r="E4157" s="5">
        <f>IFERROR(__xludf.DUMMYFUNCTION("""COMPUTED_VALUE"""),0.1195748449955713)</f>
        <v>0.119574845</v>
      </c>
      <c r="F4157" s="5">
        <f>IFERROR(__xludf.DUMMYFUNCTION("""COMPUTED_VALUE"""),0.21346324180690876)</f>
        <v>0.2134632418</v>
      </c>
      <c r="G4157" s="5">
        <f>IFERROR(__xludf.DUMMYFUNCTION("""COMPUTED_VALUE"""),0.21434898139946856)</f>
        <v>0.2143489814</v>
      </c>
      <c r="H4157" s="5">
        <f>IFERROR(__xludf.DUMMYFUNCTION("""COMPUTED_VALUE"""),0.6058091286307054)</f>
        <v>0.6058091286</v>
      </c>
      <c r="I4157" s="11">
        <f>IFERROR(__xludf.DUMMYFUNCTION("""COMPUTED_VALUE"""),6266.390041493776)</f>
        <v>6266.390041</v>
      </c>
      <c r="J4157" s="10">
        <f>IFERROR(__xludf.DUMMYFUNCTION("""COMPUTED_VALUE"""),1.0)</f>
        <v>1</v>
      </c>
      <c r="K4157" s="5">
        <f>IFERROR(__xludf.DUMMYFUNCTION("""COMPUTED_VALUE"""),0.009174311926605505)</f>
        <v>0.009174311927</v>
      </c>
      <c r="L4157" s="10">
        <f>IFERROR(__xludf.DUMMYFUNCTION("""COMPUTED_VALUE"""),109.0)</f>
        <v>109</v>
      </c>
      <c r="M4157" s="5">
        <f>IFERROR(__xludf.DUMMYFUNCTION("""COMPUTED_VALUE"""),1.0)</f>
        <v>1</v>
      </c>
    </row>
    <row r="4158">
      <c r="A4158" s="10" t="str">
        <f>IFERROR(__xludf.DUMMYFUNCTION("""COMPUTED_VALUE"""),"朔犬")</f>
        <v>朔犬</v>
      </c>
      <c r="B4158" s="10">
        <f>IFERROR(__xludf.DUMMYFUNCTION("""COMPUTED_VALUE"""),1455.0)</f>
        <v>1455</v>
      </c>
      <c r="C4158" s="10">
        <f>IFERROR(__xludf.DUMMYFUNCTION("""COMPUTED_VALUE"""),16944.0)</f>
        <v>16944</v>
      </c>
      <c r="D4158" s="5">
        <f>IFERROR(__xludf.DUMMYFUNCTION("""COMPUTED_VALUE"""),0.40389954161017494)</f>
        <v>0.4038995416</v>
      </c>
      <c r="E4158" s="5">
        <f>IFERROR(__xludf.DUMMYFUNCTION("""COMPUTED_VALUE"""),0.11956872619278197)</f>
        <v>0.1195687262</v>
      </c>
      <c r="F4158" s="5">
        <f>IFERROR(__xludf.DUMMYFUNCTION("""COMPUTED_VALUE"""),0.2200271160178191)</f>
        <v>0.220027116</v>
      </c>
      <c r="G4158" s="5">
        <f>IFERROR(__xludf.DUMMYFUNCTION("""COMPUTED_VALUE"""),0.1626315449673962)</f>
        <v>0.162631545</v>
      </c>
      <c r="H4158" s="5">
        <f>IFERROR(__xludf.DUMMYFUNCTION("""COMPUTED_VALUE"""),0.60768779342723)</f>
        <v>0.6076877934</v>
      </c>
      <c r="I4158" s="11">
        <f>IFERROR(__xludf.DUMMYFUNCTION("""COMPUTED_VALUE"""),5320.774647887324)</f>
        <v>5320.774648</v>
      </c>
      <c r="J4158" s="10">
        <f>IFERROR(__xludf.DUMMYFUNCTION("""COMPUTED_VALUE"""),1.0)</f>
        <v>1</v>
      </c>
      <c r="K4158" s="5">
        <f>IFERROR(__xludf.DUMMYFUNCTION("""COMPUTED_VALUE"""),6.872852233676976E-4)</f>
        <v>0.0006872852234</v>
      </c>
      <c r="L4158" s="10">
        <f>IFERROR(__xludf.DUMMYFUNCTION("""COMPUTED_VALUE"""),1455.0)</f>
        <v>1455</v>
      </c>
      <c r="M4158" s="5">
        <f>IFERROR(__xludf.DUMMYFUNCTION("""COMPUTED_VALUE"""),1.0)</f>
        <v>1</v>
      </c>
    </row>
    <row r="4159">
      <c r="A4159" s="10" t="str">
        <f>IFERROR(__xludf.DUMMYFUNCTION("""COMPUTED_VALUE"""),"べっこー♪")</f>
        <v>べっこー♪</v>
      </c>
      <c r="B4159" s="10">
        <f>IFERROR(__xludf.DUMMYFUNCTION("""COMPUTED_VALUE"""),806.0)</f>
        <v>806</v>
      </c>
      <c r="C4159" s="10">
        <f>IFERROR(__xludf.DUMMYFUNCTION("""COMPUTED_VALUE"""),9588.0)</f>
        <v>9588</v>
      </c>
      <c r="D4159" s="5">
        <f>IFERROR(__xludf.DUMMYFUNCTION("""COMPUTED_VALUE"""),0.33967205647916193)</f>
        <v>0.3396720565</v>
      </c>
      <c r="E4159" s="5">
        <f>IFERROR(__xludf.DUMMYFUNCTION("""COMPUTED_VALUE"""),0.11956274197221589)</f>
        <v>0.119562742</v>
      </c>
      <c r="F4159" s="5">
        <f>IFERROR(__xludf.DUMMYFUNCTION("""COMPUTED_VALUE"""),0.20746982464131178)</f>
        <v>0.2074698246</v>
      </c>
      <c r="G4159" s="5">
        <f>IFERROR(__xludf.DUMMYFUNCTION("""COMPUTED_VALUE"""),0.14199498975176497)</f>
        <v>0.1419949898</v>
      </c>
      <c r="H4159" s="5">
        <f>IFERROR(__xludf.DUMMYFUNCTION("""COMPUTED_VALUE"""),0.6196487376509331)</f>
        <v>0.6196487377</v>
      </c>
      <c r="I4159" s="11">
        <f>IFERROR(__xludf.DUMMYFUNCTION("""COMPUTED_VALUE"""),5417.508232711306)</f>
        <v>5417.508233</v>
      </c>
      <c r="J4159" s="10">
        <f>IFERROR(__xludf.DUMMYFUNCTION("""COMPUTED_VALUE"""),0.0)</f>
        <v>0</v>
      </c>
      <c r="K4159" s="5">
        <f>IFERROR(__xludf.DUMMYFUNCTION("""COMPUTED_VALUE"""),0.0)</f>
        <v>0</v>
      </c>
      <c r="L4159" s="10">
        <f>IFERROR(__xludf.DUMMYFUNCTION("""COMPUTED_VALUE"""),231.0)</f>
        <v>231</v>
      </c>
      <c r="M4159" s="5">
        <f>IFERROR(__xludf.DUMMYFUNCTION("""COMPUTED_VALUE"""),0.2866004962779156)</f>
        <v>0.2866004963</v>
      </c>
    </row>
    <row r="4160">
      <c r="A4160" s="10" t="str">
        <f>IFERROR(__xludf.DUMMYFUNCTION("""COMPUTED_VALUE"""),"タケオしゃん")</f>
        <v>タケオしゃん</v>
      </c>
      <c r="B4160" s="10">
        <f>IFERROR(__xludf.DUMMYFUNCTION("""COMPUTED_VALUE"""),4501.0)</f>
        <v>4501</v>
      </c>
      <c r="C4160" s="10">
        <f>IFERROR(__xludf.DUMMYFUNCTION("""COMPUTED_VALUE"""),53101.0)</f>
        <v>53101</v>
      </c>
      <c r="D4160" s="5">
        <f>IFERROR(__xludf.DUMMYFUNCTION("""COMPUTED_VALUE"""),0.3389300411522634)</f>
        <v>0.3389300412</v>
      </c>
      <c r="E4160" s="5">
        <f>IFERROR(__xludf.DUMMYFUNCTION("""COMPUTED_VALUE"""),0.11954732510288066)</f>
        <v>0.1195473251</v>
      </c>
      <c r="F4160" s="5">
        <f>IFERROR(__xludf.DUMMYFUNCTION("""COMPUTED_VALUE"""),0.21584362139917695)</f>
        <v>0.2158436214</v>
      </c>
      <c r="G4160" s="5">
        <f>IFERROR(__xludf.DUMMYFUNCTION("""COMPUTED_VALUE"""),0.1511111111111111)</f>
        <v>0.1511111111</v>
      </c>
      <c r="H4160" s="5">
        <f>IFERROR(__xludf.DUMMYFUNCTION("""COMPUTED_VALUE"""),0.61163012392755)</f>
        <v>0.6116301239</v>
      </c>
      <c r="I4160" s="11">
        <f>IFERROR(__xludf.DUMMYFUNCTION("""COMPUTED_VALUE"""),5607.464251668255)</f>
        <v>5607.464252</v>
      </c>
      <c r="J4160" s="10">
        <f>IFERROR(__xludf.DUMMYFUNCTION("""COMPUTED_VALUE"""),4.0)</f>
        <v>4</v>
      </c>
      <c r="K4160" s="5">
        <f>IFERROR(__xludf.DUMMYFUNCTION("""COMPUTED_VALUE"""),8.886914019106865E-4)</f>
        <v>0.0008886914019</v>
      </c>
      <c r="L4160" s="10">
        <f>IFERROR(__xludf.DUMMYFUNCTION("""COMPUTED_VALUE"""),4500.0)</f>
        <v>4500</v>
      </c>
      <c r="M4160" s="5">
        <f>IFERROR(__xludf.DUMMYFUNCTION("""COMPUTED_VALUE"""),0.9997778271495223)</f>
        <v>0.9997778271</v>
      </c>
    </row>
    <row r="4161">
      <c r="A4161" s="10" t="str">
        <f>IFERROR(__xludf.DUMMYFUNCTION("""COMPUTED_VALUE"""),"人生終わった")</f>
        <v>人生終わった</v>
      </c>
      <c r="B4161" s="10">
        <f>IFERROR(__xludf.DUMMYFUNCTION("""COMPUTED_VALUE"""),523.0)</f>
        <v>523</v>
      </c>
      <c r="C4161" s="10">
        <f>IFERROR(__xludf.DUMMYFUNCTION("""COMPUTED_VALUE"""),6069.0)</f>
        <v>6069</v>
      </c>
      <c r="D4161" s="5">
        <f>IFERROR(__xludf.DUMMYFUNCTION("""COMPUTED_VALUE"""),0.28146411828344753)</f>
        <v>0.2814641183</v>
      </c>
      <c r="E4161" s="5">
        <f>IFERROR(__xludf.DUMMYFUNCTION("""COMPUTED_VALUE"""),0.11954561846375766)</f>
        <v>0.1195456185</v>
      </c>
      <c r="F4161" s="5">
        <f>IFERROR(__xludf.DUMMYFUNCTION("""COMPUTED_VALUE"""),0.212585647313379)</f>
        <v>0.2125856473</v>
      </c>
      <c r="G4161" s="5">
        <f>IFERROR(__xludf.DUMMYFUNCTION("""COMPUTED_VALUE"""),0.22502704652001443)</f>
        <v>0.2250270465</v>
      </c>
      <c r="H4161" s="5">
        <f>IFERROR(__xludf.DUMMYFUNCTION("""COMPUTED_VALUE"""),0.5725190839694656)</f>
        <v>0.572519084</v>
      </c>
      <c r="I4161" s="11">
        <f>IFERROR(__xludf.DUMMYFUNCTION("""COMPUTED_VALUE"""),5917.811704834606)</f>
        <v>5917.811705</v>
      </c>
      <c r="J4161" s="10">
        <f>IFERROR(__xludf.DUMMYFUNCTION("""COMPUTED_VALUE"""),1.0)</f>
        <v>1</v>
      </c>
      <c r="K4161" s="5">
        <f>IFERROR(__xludf.DUMMYFUNCTION("""COMPUTED_VALUE"""),0.0019120458891013384)</f>
        <v>0.001912045889</v>
      </c>
      <c r="L4161" s="10">
        <f>IFERROR(__xludf.DUMMYFUNCTION("""COMPUTED_VALUE"""),523.0)</f>
        <v>523</v>
      </c>
      <c r="M4161" s="5">
        <f>IFERROR(__xludf.DUMMYFUNCTION("""COMPUTED_VALUE"""),1.0)</f>
        <v>1</v>
      </c>
    </row>
    <row r="4162">
      <c r="A4162" s="10" t="str">
        <f>IFERROR(__xludf.DUMMYFUNCTION("""COMPUTED_VALUE"""),"nkjsh")</f>
        <v>nkjsh</v>
      </c>
      <c r="B4162" s="10">
        <f>IFERROR(__xludf.DUMMYFUNCTION("""COMPUTED_VALUE"""),167.0)</f>
        <v>167</v>
      </c>
      <c r="C4162" s="10">
        <f>IFERROR(__xludf.DUMMYFUNCTION("""COMPUTED_VALUE"""),1907.0)</f>
        <v>1907</v>
      </c>
      <c r="D4162" s="5">
        <f>IFERROR(__xludf.DUMMYFUNCTION("""COMPUTED_VALUE"""),0.38620689655172413)</f>
        <v>0.3862068966</v>
      </c>
      <c r="E4162" s="5">
        <f>IFERROR(__xludf.DUMMYFUNCTION("""COMPUTED_VALUE"""),0.11954022988505747)</f>
        <v>0.1195402299</v>
      </c>
      <c r="F4162" s="5">
        <f>IFERROR(__xludf.DUMMYFUNCTION("""COMPUTED_VALUE"""),0.20057471264367815)</f>
        <v>0.2005747126</v>
      </c>
      <c r="G4162" s="5">
        <f>IFERROR(__xludf.DUMMYFUNCTION("""COMPUTED_VALUE"""),0.15747126436781608)</f>
        <v>0.1574712644</v>
      </c>
      <c r="H4162" s="5">
        <f>IFERROR(__xludf.DUMMYFUNCTION("""COMPUTED_VALUE"""),0.5816618911174785)</f>
        <v>0.5816618911</v>
      </c>
      <c r="I4162" s="11">
        <f>IFERROR(__xludf.DUMMYFUNCTION("""COMPUTED_VALUE"""),5362.750716332378)</f>
        <v>5362.750716</v>
      </c>
      <c r="J4162" s="10">
        <f>IFERROR(__xludf.DUMMYFUNCTION("""COMPUTED_VALUE"""),0.0)</f>
        <v>0</v>
      </c>
      <c r="K4162" s="5">
        <f>IFERROR(__xludf.DUMMYFUNCTION("""COMPUTED_VALUE"""),0.0)</f>
        <v>0</v>
      </c>
      <c r="L4162" s="10">
        <f>IFERROR(__xludf.DUMMYFUNCTION("""COMPUTED_VALUE"""),158.0)</f>
        <v>158</v>
      </c>
      <c r="M4162" s="5">
        <f>IFERROR(__xludf.DUMMYFUNCTION("""COMPUTED_VALUE"""),0.9461077844311377)</f>
        <v>0.9461077844</v>
      </c>
    </row>
    <row r="4163">
      <c r="A4163" s="10" t="str">
        <f>IFERROR(__xludf.DUMMYFUNCTION("""COMPUTED_VALUE"""),"＝伊藤かな恵＝")</f>
        <v>＝伊藤かな恵＝</v>
      </c>
      <c r="B4163" s="10">
        <f>IFERROR(__xludf.DUMMYFUNCTION("""COMPUTED_VALUE"""),2924.0)</f>
        <v>2924</v>
      </c>
      <c r="C4163" s="10">
        <f>IFERROR(__xludf.DUMMYFUNCTION("""COMPUTED_VALUE"""),34445.0)</f>
        <v>34445</v>
      </c>
      <c r="D4163" s="5">
        <f>IFERROR(__xludf.DUMMYFUNCTION("""COMPUTED_VALUE"""),0.4002411091018686)</f>
        <v>0.4002411091</v>
      </c>
      <c r="E4163" s="5">
        <f>IFERROR(__xludf.DUMMYFUNCTION("""COMPUTED_VALUE"""),0.11953935471590368)</f>
        <v>0.1195393547</v>
      </c>
      <c r="F4163" s="5">
        <f>IFERROR(__xludf.DUMMYFUNCTION("""COMPUTED_VALUE"""),0.22375559151042163)</f>
        <v>0.2237555915</v>
      </c>
      <c r="G4163" s="5">
        <f>IFERROR(__xludf.DUMMYFUNCTION("""COMPUTED_VALUE"""),0.17150471114495097)</f>
        <v>0.1715047111</v>
      </c>
      <c r="H4163" s="5">
        <f>IFERROR(__xludf.DUMMYFUNCTION("""COMPUTED_VALUE"""),0.5986105203459521)</f>
        <v>0.5986105203</v>
      </c>
      <c r="I4163" s="11">
        <f>IFERROR(__xludf.DUMMYFUNCTION("""COMPUTED_VALUE"""),5223.606975754998)</f>
        <v>5223.606976</v>
      </c>
      <c r="J4163" s="10">
        <f>IFERROR(__xludf.DUMMYFUNCTION("""COMPUTED_VALUE"""),5.0)</f>
        <v>5</v>
      </c>
      <c r="K4163" s="5">
        <f>IFERROR(__xludf.DUMMYFUNCTION("""COMPUTED_VALUE"""),0.001709986320109439)</f>
        <v>0.00170998632</v>
      </c>
      <c r="L4163" s="10">
        <f>IFERROR(__xludf.DUMMYFUNCTION("""COMPUTED_VALUE"""),0.0)</f>
        <v>0</v>
      </c>
      <c r="M4163" s="5">
        <f>IFERROR(__xludf.DUMMYFUNCTION("""COMPUTED_VALUE"""),0.0)</f>
        <v>0</v>
      </c>
    </row>
    <row r="4164">
      <c r="A4164" s="10" t="str">
        <f>IFERROR(__xludf.DUMMYFUNCTION("""COMPUTED_VALUE"""),"じゃむ♭")</f>
        <v>じゃむ♭</v>
      </c>
      <c r="B4164" s="10">
        <f>IFERROR(__xludf.DUMMYFUNCTION("""COMPUTED_VALUE"""),1276.0)</f>
        <v>1276</v>
      </c>
      <c r="C4164" s="10">
        <f>IFERROR(__xludf.DUMMYFUNCTION("""COMPUTED_VALUE"""),15223.0)</f>
        <v>15223</v>
      </c>
      <c r="D4164" s="5">
        <f>IFERROR(__xludf.DUMMYFUNCTION("""COMPUTED_VALUE"""),0.3685380368538037)</f>
        <v>0.3685380369</v>
      </c>
      <c r="E4164" s="5">
        <f>IFERROR(__xludf.DUMMYFUNCTION("""COMPUTED_VALUE"""),0.11952391195239119)</f>
        <v>0.119523912</v>
      </c>
      <c r="F4164" s="5">
        <f>IFERROR(__xludf.DUMMYFUNCTION("""COMPUTED_VALUE"""),0.20276762027676204)</f>
        <v>0.2027676203</v>
      </c>
      <c r="G4164" s="5">
        <f>IFERROR(__xludf.DUMMYFUNCTION("""COMPUTED_VALUE"""),0.1612533161253316)</f>
        <v>0.1612533161</v>
      </c>
      <c r="H4164" s="5">
        <f>IFERROR(__xludf.DUMMYFUNCTION("""COMPUTED_VALUE"""),0.5997171145685997)</f>
        <v>0.5997171146</v>
      </c>
      <c r="I4164" s="11">
        <f>IFERROR(__xludf.DUMMYFUNCTION("""COMPUTED_VALUE"""),5269.059405940594)</f>
        <v>5269.059406</v>
      </c>
      <c r="J4164" s="10">
        <f>IFERROR(__xludf.DUMMYFUNCTION("""COMPUTED_VALUE"""),1.0)</f>
        <v>1</v>
      </c>
      <c r="K4164" s="5">
        <f>IFERROR(__xludf.DUMMYFUNCTION("""COMPUTED_VALUE"""),7.836990595611285E-4)</f>
        <v>0.0007836990596</v>
      </c>
      <c r="L4164" s="10">
        <f>IFERROR(__xludf.DUMMYFUNCTION("""COMPUTED_VALUE"""),1276.0)</f>
        <v>1276</v>
      </c>
      <c r="M4164" s="5">
        <f>IFERROR(__xludf.DUMMYFUNCTION("""COMPUTED_VALUE"""),1.0)</f>
        <v>1</v>
      </c>
    </row>
    <row r="4165">
      <c r="A4165" s="10" t="str">
        <f>IFERROR(__xludf.DUMMYFUNCTION("""COMPUTED_VALUE"""),"フレーズノ")</f>
        <v>フレーズノ</v>
      </c>
      <c r="B4165" s="10">
        <f>IFERROR(__xludf.DUMMYFUNCTION("""COMPUTED_VALUE"""),1298.0)</f>
        <v>1298</v>
      </c>
      <c r="C4165" s="10">
        <f>IFERROR(__xludf.DUMMYFUNCTION("""COMPUTED_VALUE"""),15539.0)</f>
        <v>15539</v>
      </c>
      <c r="D4165" s="5">
        <f>IFERROR(__xludf.DUMMYFUNCTION("""COMPUTED_VALUE"""),0.3264517941155818)</f>
        <v>0.3264517941</v>
      </c>
      <c r="E4165" s="5">
        <f>IFERROR(__xludf.DUMMYFUNCTION("""COMPUTED_VALUE"""),0.11951407906748121)</f>
        <v>0.1195140791</v>
      </c>
      <c r="F4165" s="5">
        <f>IFERROR(__xludf.DUMMYFUNCTION("""COMPUTED_VALUE"""),0.2004072747700302)</f>
        <v>0.2004072748</v>
      </c>
      <c r="G4165" s="5">
        <f>IFERROR(__xludf.DUMMYFUNCTION("""COMPUTED_VALUE"""),0.16234814970858788)</f>
        <v>0.1623481497</v>
      </c>
      <c r="H4165" s="5">
        <f>IFERROR(__xludf.DUMMYFUNCTION("""COMPUTED_VALUE"""),0.5732305536089699)</f>
        <v>0.5732305536</v>
      </c>
      <c r="I4165" s="11">
        <f>IFERROR(__xludf.DUMMYFUNCTION("""COMPUTED_VALUE"""),5711.107217939733)</f>
        <v>5711.107218</v>
      </c>
      <c r="J4165" s="10">
        <f>IFERROR(__xludf.DUMMYFUNCTION("""COMPUTED_VALUE"""),5.0)</f>
        <v>5</v>
      </c>
      <c r="K4165" s="5">
        <f>IFERROR(__xludf.DUMMYFUNCTION("""COMPUTED_VALUE"""),0.003852080123266564)</f>
        <v>0.003852080123</v>
      </c>
      <c r="L4165" s="10">
        <f>IFERROR(__xludf.DUMMYFUNCTION("""COMPUTED_VALUE"""),1298.0)</f>
        <v>1298</v>
      </c>
      <c r="M4165" s="5">
        <f>IFERROR(__xludf.DUMMYFUNCTION("""COMPUTED_VALUE"""),1.0)</f>
        <v>1</v>
      </c>
    </row>
    <row r="4166">
      <c r="A4166" s="10" t="str">
        <f>IFERROR(__xludf.DUMMYFUNCTION("""COMPUTED_VALUE"""),"がやT")</f>
        <v>がやT</v>
      </c>
      <c r="B4166" s="10">
        <f>IFERROR(__xludf.DUMMYFUNCTION("""COMPUTED_VALUE"""),151.0)</f>
        <v>151</v>
      </c>
      <c r="C4166" s="10">
        <f>IFERROR(__xludf.DUMMYFUNCTION("""COMPUTED_VALUE"""),1791.0)</f>
        <v>1791</v>
      </c>
      <c r="D4166" s="5">
        <f>IFERROR(__xludf.DUMMYFUNCTION("""COMPUTED_VALUE"""),0.39634146341463417)</f>
        <v>0.3963414634</v>
      </c>
      <c r="E4166" s="5">
        <f>IFERROR(__xludf.DUMMYFUNCTION("""COMPUTED_VALUE"""),0.11951219512195121)</f>
        <v>0.1195121951</v>
      </c>
      <c r="F4166" s="5">
        <f>IFERROR(__xludf.DUMMYFUNCTION("""COMPUTED_VALUE"""),0.20914634146341463)</f>
        <v>0.2091463415</v>
      </c>
      <c r="G4166" s="5">
        <f>IFERROR(__xludf.DUMMYFUNCTION("""COMPUTED_VALUE"""),0.1597560975609756)</f>
        <v>0.1597560976</v>
      </c>
      <c r="H4166" s="5">
        <f>IFERROR(__xludf.DUMMYFUNCTION("""COMPUTED_VALUE"""),0.597667638483965)</f>
        <v>0.5976676385</v>
      </c>
      <c r="I4166" s="11">
        <f>IFERROR(__xludf.DUMMYFUNCTION("""COMPUTED_VALUE"""),5195.33527696793)</f>
        <v>5195.335277</v>
      </c>
      <c r="J4166" s="10">
        <f>IFERROR(__xludf.DUMMYFUNCTION("""COMPUTED_VALUE"""),0.0)</f>
        <v>0</v>
      </c>
      <c r="K4166" s="5">
        <f>IFERROR(__xludf.DUMMYFUNCTION("""COMPUTED_VALUE"""),0.0)</f>
        <v>0</v>
      </c>
      <c r="L4166" s="10">
        <f>IFERROR(__xludf.DUMMYFUNCTION("""COMPUTED_VALUE"""),151.0)</f>
        <v>151</v>
      </c>
      <c r="M4166" s="5">
        <f>IFERROR(__xludf.DUMMYFUNCTION("""COMPUTED_VALUE"""),1.0)</f>
        <v>1</v>
      </c>
    </row>
    <row r="4167">
      <c r="A4167" s="10" t="str">
        <f>IFERROR(__xludf.DUMMYFUNCTION("""COMPUTED_VALUE"""),"＠桜井＠")</f>
        <v>＠桜井＠</v>
      </c>
      <c r="B4167" s="10">
        <f>IFERROR(__xludf.DUMMYFUNCTION("""COMPUTED_VALUE"""),3264.0)</f>
        <v>3264</v>
      </c>
      <c r="C4167" s="10">
        <f>IFERROR(__xludf.DUMMYFUNCTION("""COMPUTED_VALUE"""),37922.0)</f>
        <v>37922</v>
      </c>
      <c r="D4167" s="5">
        <f>IFERROR(__xludf.DUMMYFUNCTION("""COMPUTED_VALUE"""),0.34641352645853773)</f>
        <v>0.3464135265</v>
      </c>
      <c r="E4167" s="5">
        <f>IFERROR(__xludf.DUMMYFUNCTION("""COMPUTED_VALUE"""),0.11951064689249236)</f>
        <v>0.1195106469</v>
      </c>
      <c r="F4167" s="5">
        <f>IFERROR(__xludf.DUMMYFUNCTION("""COMPUTED_VALUE"""),0.2164868140111951)</f>
        <v>0.216486814</v>
      </c>
      <c r="G4167" s="5">
        <f>IFERROR(__xludf.DUMMYFUNCTION("""COMPUTED_VALUE"""),0.18238213399503722)</f>
        <v>0.182382134</v>
      </c>
      <c r="H4167" s="5">
        <f>IFERROR(__xludf.DUMMYFUNCTION("""COMPUTED_VALUE"""),0.5917632946821272)</f>
        <v>0.5917632947</v>
      </c>
      <c r="I4167" s="11">
        <f>IFERROR(__xludf.DUMMYFUNCTION("""COMPUTED_VALUE"""),5834.093029454884)</f>
        <v>5834.093029</v>
      </c>
      <c r="J4167" s="10">
        <f>IFERROR(__xludf.DUMMYFUNCTION("""COMPUTED_VALUE"""),3.0)</f>
        <v>3</v>
      </c>
      <c r="K4167" s="5">
        <f>IFERROR(__xludf.DUMMYFUNCTION("""COMPUTED_VALUE"""),9.191176470588235E-4)</f>
        <v>0.0009191176471</v>
      </c>
      <c r="L4167" s="10">
        <f>IFERROR(__xludf.DUMMYFUNCTION("""COMPUTED_VALUE"""),3264.0)</f>
        <v>3264</v>
      </c>
      <c r="M4167" s="5">
        <f>IFERROR(__xludf.DUMMYFUNCTION("""COMPUTED_VALUE"""),1.0)</f>
        <v>1</v>
      </c>
    </row>
    <row r="4168">
      <c r="A4168" s="10" t="str">
        <f>IFERROR(__xludf.DUMMYFUNCTION("""COMPUTED_VALUE"""),"＊宮永照＊")</f>
        <v>＊宮永照＊</v>
      </c>
      <c r="B4168" s="10">
        <f>IFERROR(__xludf.DUMMYFUNCTION("""COMPUTED_VALUE"""),167.0)</f>
        <v>167</v>
      </c>
      <c r="C4168" s="10">
        <f>IFERROR(__xludf.DUMMYFUNCTION("""COMPUTED_VALUE"""),1941.0)</f>
        <v>1941</v>
      </c>
      <c r="D4168" s="5">
        <f>IFERROR(__xludf.DUMMYFUNCTION("""COMPUTED_VALUE"""),0.30214205186020293)</f>
        <v>0.3021420519</v>
      </c>
      <c r="E4168" s="5">
        <f>IFERROR(__xludf.DUMMYFUNCTION("""COMPUTED_VALUE"""),0.11950394588500564)</f>
        <v>0.1195039459</v>
      </c>
      <c r="F4168" s="5">
        <f>IFERROR(__xludf.DUMMYFUNCTION("""COMPUTED_VALUE"""),0.19109357384441938)</f>
        <v>0.1910935738</v>
      </c>
      <c r="G4168" s="5">
        <f>IFERROR(__xludf.DUMMYFUNCTION("""COMPUTED_VALUE"""),0.17925591882750846)</f>
        <v>0.1792559188</v>
      </c>
      <c r="H4168" s="5">
        <f>IFERROR(__xludf.DUMMYFUNCTION("""COMPUTED_VALUE"""),0.5722713864306784)</f>
        <v>0.5722713864</v>
      </c>
      <c r="I4168" s="11">
        <f>IFERROR(__xludf.DUMMYFUNCTION("""COMPUTED_VALUE"""),5660.47197640118)</f>
        <v>5660.471976</v>
      </c>
      <c r="J4168" s="10">
        <f>IFERROR(__xludf.DUMMYFUNCTION("""COMPUTED_VALUE"""),0.0)</f>
        <v>0</v>
      </c>
      <c r="K4168" s="5">
        <f>IFERROR(__xludf.DUMMYFUNCTION("""COMPUTED_VALUE"""),0.0)</f>
        <v>0</v>
      </c>
      <c r="L4168" s="10">
        <f>IFERROR(__xludf.DUMMYFUNCTION("""COMPUTED_VALUE"""),0.0)</f>
        <v>0</v>
      </c>
      <c r="M4168" s="5">
        <f>IFERROR(__xludf.DUMMYFUNCTION("""COMPUTED_VALUE"""),0.0)</f>
        <v>0</v>
      </c>
    </row>
    <row r="4169">
      <c r="A4169" s="10" t="str">
        <f>IFERROR(__xludf.DUMMYFUNCTION("""COMPUTED_VALUE"""),"yamada")</f>
        <v>yamada</v>
      </c>
      <c r="B4169" s="10">
        <f>IFERROR(__xludf.DUMMYFUNCTION("""COMPUTED_VALUE"""),2284.0)</f>
        <v>2284</v>
      </c>
      <c r="C4169" s="10">
        <f>IFERROR(__xludf.DUMMYFUNCTION("""COMPUTED_VALUE"""),26535.0)</f>
        <v>26535</v>
      </c>
      <c r="D4169" s="5">
        <f>IFERROR(__xludf.DUMMYFUNCTION("""COMPUTED_VALUE"""),0.32402787513916953)</f>
        <v>0.3240278751</v>
      </c>
      <c r="E4169" s="5">
        <f>IFERROR(__xludf.DUMMYFUNCTION("""COMPUTED_VALUE"""),0.11950022679477135)</f>
        <v>0.1195002268</v>
      </c>
      <c r="F4169" s="5">
        <f>IFERROR(__xludf.DUMMYFUNCTION("""COMPUTED_VALUE"""),0.19990928209146014)</f>
        <v>0.1999092821</v>
      </c>
      <c r="G4169" s="5">
        <f>IFERROR(__xludf.DUMMYFUNCTION("""COMPUTED_VALUE"""),0.17648756752298875)</f>
        <v>0.1764875675</v>
      </c>
      <c r="H4169" s="5">
        <f>IFERROR(__xludf.DUMMYFUNCTION("""COMPUTED_VALUE"""),0.5973597359735974)</f>
        <v>0.597359736</v>
      </c>
      <c r="I4169" s="11">
        <f>IFERROR(__xludf.DUMMYFUNCTION("""COMPUTED_VALUE"""),6002.26897689769)</f>
        <v>6002.268977</v>
      </c>
      <c r="J4169" s="10">
        <f>IFERROR(__xludf.DUMMYFUNCTION("""COMPUTED_VALUE"""),7.0)</f>
        <v>7</v>
      </c>
      <c r="K4169" s="5">
        <f>IFERROR(__xludf.DUMMYFUNCTION("""COMPUTED_VALUE"""),0.003064798598949212)</f>
        <v>0.003064798599</v>
      </c>
      <c r="L4169" s="10">
        <f>IFERROR(__xludf.DUMMYFUNCTION("""COMPUTED_VALUE"""),2284.0)</f>
        <v>2284</v>
      </c>
      <c r="M4169" s="5">
        <f>IFERROR(__xludf.DUMMYFUNCTION("""COMPUTED_VALUE"""),1.0)</f>
        <v>1</v>
      </c>
    </row>
    <row r="4170">
      <c r="A4170" s="10" t="str">
        <f>IFERROR(__xludf.DUMMYFUNCTION("""COMPUTED_VALUE"""),"チャオリ")</f>
        <v>チャオリ</v>
      </c>
      <c r="B4170" s="10">
        <f>IFERROR(__xludf.DUMMYFUNCTION("""COMPUTED_VALUE"""),169.0)</f>
        <v>169</v>
      </c>
      <c r="C4170" s="10">
        <f>IFERROR(__xludf.DUMMYFUNCTION("""COMPUTED_VALUE"""),1985.0)</f>
        <v>1985</v>
      </c>
      <c r="D4170" s="5">
        <f>IFERROR(__xludf.DUMMYFUNCTION("""COMPUTED_VALUE"""),0.33370044052863435)</f>
        <v>0.3337004405</v>
      </c>
      <c r="E4170" s="5">
        <f>IFERROR(__xludf.DUMMYFUNCTION("""COMPUTED_VALUE"""),0.11949339207048458)</f>
        <v>0.1194933921</v>
      </c>
      <c r="F4170" s="5">
        <f>IFERROR(__xludf.DUMMYFUNCTION("""COMPUTED_VALUE"""),0.19548458149779735)</f>
        <v>0.1954845815</v>
      </c>
      <c r="G4170" s="5">
        <f>IFERROR(__xludf.DUMMYFUNCTION("""COMPUTED_VALUE"""),0.1751101321585903)</f>
        <v>0.1751101322</v>
      </c>
      <c r="H4170" s="5">
        <f>IFERROR(__xludf.DUMMYFUNCTION("""COMPUTED_VALUE"""),0.5521126760563381)</f>
        <v>0.5521126761</v>
      </c>
      <c r="I4170" s="11">
        <f>IFERROR(__xludf.DUMMYFUNCTION("""COMPUTED_VALUE"""),5658.028169014085)</f>
        <v>5658.028169</v>
      </c>
      <c r="J4170" s="10">
        <f>IFERROR(__xludf.DUMMYFUNCTION("""COMPUTED_VALUE"""),0.0)</f>
        <v>0</v>
      </c>
      <c r="K4170" s="5">
        <f>IFERROR(__xludf.DUMMYFUNCTION("""COMPUTED_VALUE"""),0.0)</f>
        <v>0</v>
      </c>
      <c r="L4170" s="10">
        <f>IFERROR(__xludf.DUMMYFUNCTION("""COMPUTED_VALUE"""),169.0)</f>
        <v>169</v>
      </c>
      <c r="M4170" s="5">
        <f>IFERROR(__xludf.DUMMYFUNCTION("""COMPUTED_VALUE"""),1.0)</f>
        <v>1</v>
      </c>
    </row>
    <row r="4171">
      <c r="A4171" s="10" t="str">
        <f>IFERROR(__xludf.DUMMYFUNCTION("""COMPUTED_VALUE"""),"あがれる間6s")</f>
        <v>あがれる間6s</v>
      </c>
      <c r="B4171" s="10">
        <f>IFERROR(__xludf.DUMMYFUNCTION("""COMPUTED_VALUE"""),1383.0)</f>
        <v>1383</v>
      </c>
      <c r="C4171" s="10">
        <f>IFERROR(__xludf.DUMMYFUNCTION("""COMPUTED_VALUE"""),15937.0)</f>
        <v>15937</v>
      </c>
      <c r="D4171" s="5">
        <f>IFERROR(__xludf.DUMMYFUNCTION("""COMPUTED_VALUE"""),0.3793458842929779)</f>
        <v>0.3793458843</v>
      </c>
      <c r="E4171" s="5">
        <f>IFERROR(__xludf.DUMMYFUNCTION("""COMPUTED_VALUE"""),0.11948605194448261)</f>
        <v>0.1194860519</v>
      </c>
      <c r="F4171" s="5">
        <f>IFERROR(__xludf.DUMMYFUNCTION("""COMPUTED_VALUE"""),0.21712244056616736)</f>
        <v>0.2171224406</v>
      </c>
      <c r="G4171" s="5">
        <f>IFERROR(__xludf.DUMMYFUNCTION("""COMPUTED_VALUE"""),0.19740277586917687)</f>
        <v>0.1974027759</v>
      </c>
      <c r="H4171" s="5">
        <f>IFERROR(__xludf.DUMMYFUNCTION("""COMPUTED_VALUE"""),0.5955696202531645)</f>
        <v>0.5955696203</v>
      </c>
      <c r="I4171" s="11">
        <f>IFERROR(__xludf.DUMMYFUNCTION("""COMPUTED_VALUE"""),5944.0822784810125)</f>
        <v>5944.082278</v>
      </c>
      <c r="J4171" s="10">
        <f>IFERROR(__xludf.DUMMYFUNCTION("""COMPUTED_VALUE"""),8.0)</f>
        <v>8</v>
      </c>
      <c r="K4171" s="5">
        <f>IFERROR(__xludf.DUMMYFUNCTION("""COMPUTED_VALUE"""),0.005784526391901663)</f>
        <v>0.005784526392</v>
      </c>
      <c r="L4171" s="10">
        <f>IFERROR(__xludf.DUMMYFUNCTION("""COMPUTED_VALUE"""),1370.0)</f>
        <v>1370</v>
      </c>
      <c r="M4171" s="5">
        <f>IFERROR(__xludf.DUMMYFUNCTION("""COMPUTED_VALUE"""),0.9906001446131598)</f>
        <v>0.9906001446</v>
      </c>
    </row>
    <row r="4172">
      <c r="A4172" s="10" t="str">
        <f>IFERROR(__xludf.DUMMYFUNCTION("""COMPUTED_VALUE"""),"full-tp!")</f>
        <v>full-tp!</v>
      </c>
      <c r="B4172" s="10">
        <f>IFERROR(__xludf.DUMMYFUNCTION("""COMPUTED_VALUE"""),851.0)</f>
        <v>851</v>
      </c>
      <c r="C4172" s="10">
        <f>IFERROR(__xludf.DUMMYFUNCTION("""COMPUTED_VALUE"""),9993.0)</f>
        <v>9993</v>
      </c>
      <c r="D4172" s="5">
        <f>IFERROR(__xludf.DUMMYFUNCTION("""COMPUTED_VALUE"""),0.39509954058192953)</f>
        <v>0.3950995406</v>
      </c>
      <c r="E4172" s="5">
        <f>IFERROR(__xludf.DUMMYFUNCTION("""COMPUTED_VALUE"""),0.11944869831546708)</f>
        <v>0.1194486983</v>
      </c>
      <c r="F4172" s="5">
        <f>IFERROR(__xludf.DUMMYFUNCTION("""COMPUTED_VALUE"""),0.21220739444322906)</f>
        <v>0.2122073944</v>
      </c>
      <c r="G4172" s="5">
        <f>IFERROR(__xludf.DUMMYFUNCTION("""COMPUTED_VALUE"""),0.12480857580398162)</f>
        <v>0.1248085758</v>
      </c>
      <c r="H4172" s="5">
        <f>IFERROR(__xludf.DUMMYFUNCTION("""COMPUTED_VALUE"""),0.6154639175257732)</f>
        <v>0.6154639175</v>
      </c>
      <c r="I4172" s="11">
        <f>IFERROR(__xludf.DUMMYFUNCTION("""COMPUTED_VALUE"""),5539.587628865979)</f>
        <v>5539.587629</v>
      </c>
      <c r="J4172" s="10">
        <f>IFERROR(__xludf.DUMMYFUNCTION("""COMPUTED_VALUE"""),2.0)</f>
        <v>2</v>
      </c>
      <c r="K4172" s="5">
        <f>IFERROR(__xludf.DUMMYFUNCTION("""COMPUTED_VALUE"""),0.0023501762632197414)</f>
        <v>0.002350176263</v>
      </c>
      <c r="L4172" s="10">
        <f>IFERROR(__xludf.DUMMYFUNCTION("""COMPUTED_VALUE"""),851.0)</f>
        <v>851</v>
      </c>
      <c r="M4172" s="5">
        <f>IFERROR(__xludf.DUMMYFUNCTION("""COMPUTED_VALUE"""),1.0)</f>
        <v>1</v>
      </c>
    </row>
    <row r="4173">
      <c r="A4173" s="10" t="str">
        <f>IFERROR(__xludf.DUMMYFUNCTION("""COMPUTED_VALUE"""),"Lon.")</f>
        <v>Lon.</v>
      </c>
      <c r="B4173" s="10">
        <f>IFERROR(__xludf.DUMMYFUNCTION("""COMPUTED_VALUE"""),188.0)</f>
        <v>188</v>
      </c>
      <c r="C4173" s="10">
        <f>IFERROR(__xludf.DUMMYFUNCTION("""COMPUTED_VALUE"""),2189.0)</f>
        <v>2189</v>
      </c>
      <c r="D4173" s="5">
        <f>IFERROR(__xludf.DUMMYFUNCTION("""COMPUTED_VALUE"""),0.3638180909545227)</f>
        <v>0.363818091</v>
      </c>
      <c r="E4173" s="5">
        <f>IFERROR(__xludf.DUMMYFUNCTION("""COMPUTED_VALUE"""),0.11944027986006997)</f>
        <v>0.1194402799</v>
      </c>
      <c r="F4173" s="5">
        <f>IFERROR(__xludf.DUMMYFUNCTION("""COMPUTED_VALUE"""),0.21189405297351324)</f>
        <v>0.211894053</v>
      </c>
      <c r="G4173" s="5">
        <f>IFERROR(__xludf.DUMMYFUNCTION("""COMPUTED_VALUE"""),0.16591704147926037)</f>
        <v>0.1659170415</v>
      </c>
      <c r="H4173" s="5">
        <f>IFERROR(__xludf.DUMMYFUNCTION("""COMPUTED_VALUE"""),0.5966981132075472)</f>
        <v>0.5966981132</v>
      </c>
      <c r="I4173" s="11">
        <f>IFERROR(__xludf.DUMMYFUNCTION("""COMPUTED_VALUE"""),5258.490566037736)</f>
        <v>5258.490566</v>
      </c>
      <c r="J4173" s="10">
        <f>IFERROR(__xludf.DUMMYFUNCTION("""COMPUTED_VALUE"""),0.0)</f>
        <v>0</v>
      </c>
      <c r="K4173" s="5">
        <f>IFERROR(__xludf.DUMMYFUNCTION("""COMPUTED_VALUE"""),0.0)</f>
        <v>0</v>
      </c>
      <c r="L4173" s="10">
        <f>IFERROR(__xludf.DUMMYFUNCTION("""COMPUTED_VALUE"""),0.0)</f>
        <v>0</v>
      </c>
      <c r="M4173" s="5">
        <f>IFERROR(__xludf.DUMMYFUNCTION("""COMPUTED_VALUE"""),0.0)</f>
        <v>0</v>
      </c>
    </row>
    <row r="4174">
      <c r="A4174" s="10" t="str">
        <f>IFERROR(__xludf.DUMMYFUNCTION("""COMPUTED_VALUE"""),"アルマヴィーヴァ")</f>
        <v>アルマヴィーヴァ</v>
      </c>
      <c r="B4174" s="10">
        <f>IFERROR(__xludf.DUMMYFUNCTION("""COMPUTED_VALUE"""),478.0)</f>
        <v>478</v>
      </c>
      <c r="C4174" s="10">
        <f>IFERROR(__xludf.DUMMYFUNCTION("""COMPUTED_VALUE"""),5552.0)</f>
        <v>5552</v>
      </c>
      <c r="D4174" s="5">
        <f>IFERROR(__xludf.DUMMYFUNCTION("""COMPUTED_VALUE"""),0.30705557745368545)</f>
        <v>0.3070555775</v>
      </c>
      <c r="E4174" s="5">
        <f>IFERROR(__xludf.DUMMYFUNCTION("""COMPUTED_VALUE"""),0.1194324004729996)</f>
        <v>0.1194324005</v>
      </c>
      <c r="F4174" s="5">
        <f>IFERROR(__xludf.DUMMYFUNCTION("""COMPUTED_VALUE"""),0.1821048482459598)</f>
        <v>0.1821048482</v>
      </c>
      <c r="G4174" s="5">
        <f>IFERROR(__xludf.DUMMYFUNCTION("""COMPUTED_VALUE"""),0.1584548679542767)</f>
        <v>0.158454868</v>
      </c>
      <c r="H4174" s="5">
        <f>IFERROR(__xludf.DUMMYFUNCTION("""COMPUTED_VALUE"""),0.5833333333333334)</f>
        <v>0.5833333333</v>
      </c>
      <c r="I4174" s="11">
        <f>IFERROR(__xludf.DUMMYFUNCTION("""COMPUTED_VALUE"""),6465.476190476191)</f>
        <v>6465.47619</v>
      </c>
      <c r="J4174" s="10">
        <f>IFERROR(__xludf.DUMMYFUNCTION("""COMPUTED_VALUE"""),4.0)</f>
        <v>4</v>
      </c>
      <c r="K4174" s="5">
        <f>IFERROR(__xludf.DUMMYFUNCTION("""COMPUTED_VALUE"""),0.008368200836820083)</f>
        <v>0.008368200837</v>
      </c>
      <c r="L4174" s="10">
        <f>IFERROR(__xludf.DUMMYFUNCTION("""COMPUTED_VALUE"""),478.0)</f>
        <v>478</v>
      </c>
      <c r="M4174" s="5">
        <f>IFERROR(__xludf.DUMMYFUNCTION("""COMPUTED_VALUE"""),1.0)</f>
        <v>1</v>
      </c>
    </row>
    <row r="4175">
      <c r="A4175" s="10" t="str">
        <f>IFERROR(__xludf.DUMMYFUNCTION("""COMPUTED_VALUE"""),"Seria")</f>
        <v>Seria</v>
      </c>
      <c r="B4175" s="10">
        <f>IFERROR(__xludf.DUMMYFUNCTION("""COMPUTED_VALUE"""),2828.0)</f>
        <v>2828</v>
      </c>
      <c r="C4175" s="10">
        <f>IFERROR(__xludf.DUMMYFUNCTION("""COMPUTED_VALUE"""),32732.0)</f>
        <v>32732</v>
      </c>
      <c r="D4175" s="5">
        <f>IFERROR(__xludf.DUMMYFUNCTION("""COMPUTED_VALUE"""),0.32982209737827717)</f>
        <v>0.3298220974</v>
      </c>
      <c r="E4175" s="5">
        <f>IFERROR(__xludf.DUMMYFUNCTION("""COMPUTED_VALUE"""),0.11941546281433922)</f>
        <v>0.1194154628</v>
      </c>
      <c r="F4175" s="5">
        <f>IFERROR(__xludf.DUMMYFUNCTION("""COMPUTED_VALUE"""),0.2128143392188336)</f>
        <v>0.2128143392</v>
      </c>
      <c r="G4175" s="5">
        <f>IFERROR(__xludf.DUMMYFUNCTION("""COMPUTED_VALUE"""),0.19816746923488496)</f>
        <v>0.1981674692</v>
      </c>
      <c r="H4175" s="5">
        <f>IFERROR(__xludf.DUMMYFUNCTION("""COMPUTED_VALUE"""),0.5868950345694531)</f>
        <v>0.5868950346</v>
      </c>
      <c r="I4175" s="11">
        <f>IFERROR(__xludf.DUMMYFUNCTION("""COMPUTED_VALUE"""),5931.222501571338)</f>
        <v>5931.222502</v>
      </c>
      <c r="J4175" s="10">
        <f>IFERROR(__xludf.DUMMYFUNCTION("""COMPUTED_VALUE"""),4.0)</f>
        <v>4</v>
      </c>
      <c r="K4175" s="5">
        <f>IFERROR(__xludf.DUMMYFUNCTION("""COMPUTED_VALUE"""),0.0014144271570014145)</f>
        <v>0.001414427157</v>
      </c>
      <c r="L4175" s="10">
        <f>IFERROR(__xludf.DUMMYFUNCTION("""COMPUTED_VALUE"""),2828.0)</f>
        <v>2828</v>
      </c>
      <c r="M4175" s="5">
        <f>IFERROR(__xludf.DUMMYFUNCTION("""COMPUTED_VALUE"""),1.0)</f>
        <v>1</v>
      </c>
    </row>
    <row r="4176">
      <c r="A4176" s="10" t="str">
        <f>IFERROR(__xludf.DUMMYFUNCTION("""COMPUTED_VALUE"""),"玩個JB")</f>
        <v>玩個JB</v>
      </c>
      <c r="B4176" s="10">
        <f>IFERROR(__xludf.DUMMYFUNCTION("""COMPUTED_VALUE"""),1884.0)</f>
        <v>1884</v>
      </c>
      <c r="C4176" s="10">
        <f>IFERROR(__xludf.DUMMYFUNCTION("""COMPUTED_VALUE"""),22225.0)</f>
        <v>22225</v>
      </c>
      <c r="D4176" s="5">
        <f>IFERROR(__xludf.DUMMYFUNCTION("""COMPUTED_VALUE"""),0.36669780246792194)</f>
        <v>0.3666978025</v>
      </c>
      <c r="E4176" s="5">
        <f>IFERROR(__xludf.DUMMYFUNCTION("""COMPUTED_VALUE"""),0.11941399144584829)</f>
        <v>0.1194139914</v>
      </c>
      <c r="F4176" s="5">
        <f>IFERROR(__xludf.DUMMYFUNCTION("""COMPUTED_VALUE"""),0.20810186323189617)</f>
        <v>0.2081018632</v>
      </c>
      <c r="G4176" s="5">
        <f>IFERROR(__xludf.DUMMYFUNCTION("""COMPUTED_VALUE"""),0.1612998377660882)</f>
        <v>0.1612998378</v>
      </c>
      <c r="H4176" s="5">
        <f>IFERROR(__xludf.DUMMYFUNCTION("""COMPUTED_VALUE"""),0.592487597448618)</f>
        <v>0.5924875974</v>
      </c>
      <c r="I4176" s="11">
        <f>IFERROR(__xludf.DUMMYFUNCTION("""COMPUTED_VALUE"""),5392.747460429955)</f>
        <v>5392.74746</v>
      </c>
      <c r="J4176" s="10">
        <f>IFERROR(__xludf.DUMMYFUNCTION("""COMPUTED_VALUE"""),2.0)</f>
        <v>2</v>
      </c>
      <c r="K4176" s="5">
        <f>IFERROR(__xludf.DUMMYFUNCTION("""COMPUTED_VALUE"""),0.0010615711252653928)</f>
        <v>0.001061571125</v>
      </c>
      <c r="L4176" s="10">
        <f>IFERROR(__xludf.DUMMYFUNCTION("""COMPUTED_VALUE"""),1854.0)</f>
        <v>1854</v>
      </c>
      <c r="M4176" s="5">
        <f>IFERROR(__xludf.DUMMYFUNCTION("""COMPUTED_VALUE"""),0.9840764331210191)</f>
        <v>0.9840764331</v>
      </c>
    </row>
    <row r="4177">
      <c r="A4177" s="10" t="str">
        <f>IFERROR(__xludf.DUMMYFUNCTION("""COMPUTED_VALUE"""),"Che")</f>
        <v>Che</v>
      </c>
      <c r="B4177" s="10">
        <f>IFERROR(__xludf.DUMMYFUNCTION("""COMPUTED_VALUE"""),2449.0)</f>
        <v>2449</v>
      </c>
      <c r="C4177" s="10">
        <f>IFERROR(__xludf.DUMMYFUNCTION("""COMPUTED_VALUE"""),28728.0)</f>
        <v>28728</v>
      </c>
      <c r="D4177" s="5">
        <f>IFERROR(__xludf.DUMMYFUNCTION("""COMPUTED_VALUE"""),0.3380646143308345)</f>
        <v>0.3380646143</v>
      </c>
      <c r="E4177" s="5">
        <f>IFERROR(__xludf.DUMMYFUNCTION("""COMPUTED_VALUE"""),0.11941093648921192)</f>
        <v>0.1194109365</v>
      </c>
      <c r="F4177" s="5">
        <f>IFERROR(__xludf.DUMMYFUNCTION("""COMPUTED_VALUE"""),0.2130979108794094)</f>
        <v>0.2130979109</v>
      </c>
      <c r="G4177" s="5">
        <f>IFERROR(__xludf.DUMMYFUNCTION("""COMPUTED_VALUE"""),0.17599604246736938)</f>
        <v>0.1759960425</v>
      </c>
      <c r="H4177" s="5">
        <f>IFERROR(__xludf.DUMMYFUNCTION("""COMPUTED_VALUE"""),0.6058928571428571)</f>
        <v>0.6058928571</v>
      </c>
      <c r="I4177" s="11">
        <f>IFERROR(__xludf.DUMMYFUNCTION("""COMPUTED_VALUE"""),5777.464285714285)</f>
        <v>5777.464286</v>
      </c>
      <c r="J4177" s="10">
        <f>IFERROR(__xludf.DUMMYFUNCTION("""COMPUTED_VALUE"""),4.0)</f>
        <v>4</v>
      </c>
      <c r="K4177" s="5">
        <f>IFERROR(__xludf.DUMMYFUNCTION("""COMPUTED_VALUE"""),0.0016333197223356473)</f>
        <v>0.001633319722</v>
      </c>
      <c r="L4177" s="10">
        <f>IFERROR(__xludf.DUMMYFUNCTION("""COMPUTED_VALUE"""),2449.0)</f>
        <v>2449</v>
      </c>
      <c r="M4177" s="5">
        <f>IFERROR(__xludf.DUMMYFUNCTION("""COMPUTED_VALUE"""),1.0)</f>
        <v>1</v>
      </c>
    </row>
    <row r="4178">
      <c r="A4178" s="10" t="str">
        <f>IFERROR(__xludf.DUMMYFUNCTION("""COMPUTED_VALUE"""),"TCT")</f>
        <v>TCT</v>
      </c>
      <c r="B4178" s="10">
        <f>IFERROR(__xludf.DUMMYFUNCTION("""COMPUTED_VALUE"""),1081.0)</f>
        <v>1081</v>
      </c>
      <c r="C4178" s="10">
        <f>IFERROR(__xludf.DUMMYFUNCTION("""COMPUTED_VALUE"""),12638.0)</f>
        <v>12638</v>
      </c>
      <c r="D4178" s="5">
        <f>IFERROR(__xludf.DUMMYFUNCTION("""COMPUTED_VALUE"""),0.3477546075971273)</f>
        <v>0.3477546076</v>
      </c>
      <c r="E4178" s="5">
        <f>IFERROR(__xludf.DUMMYFUNCTION("""COMPUTED_VALUE"""),0.1194081509042139)</f>
        <v>0.1194081509</v>
      </c>
      <c r="F4178" s="5">
        <f>IFERROR(__xludf.DUMMYFUNCTION("""COMPUTED_VALUE"""),0.21631911395690923)</f>
        <v>0.216319114</v>
      </c>
      <c r="G4178" s="5">
        <f>IFERROR(__xludf.DUMMYFUNCTION("""COMPUTED_VALUE"""),0.175391537596262)</f>
        <v>0.1753915376</v>
      </c>
      <c r="H4178" s="5">
        <f>IFERROR(__xludf.DUMMYFUNCTION("""COMPUTED_VALUE"""),0.5848)</f>
        <v>0.5848</v>
      </c>
      <c r="I4178" s="11">
        <f>IFERROR(__xludf.DUMMYFUNCTION("""COMPUTED_VALUE"""),5656.76)</f>
        <v>5656.76</v>
      </c>
      <c r="J4178" s="10">
        <f>IFERROR(__xludf.DUMMYFUNCTION("""COMPUTED_VALUE"""),1.0)</f>
        <v>1</v>
      </c>
      <c r="K4178" s="5">
        <f>IFERROR(__xludf.DUMMYFUNCTION("""COMPUTED_VALUE"""),9.250693802035153E-4)</f>
        <v>0.0009250693802</v>
      </c>
      <c r="L4178" s="10">
        <f>IFERROR(__xludf.DUMMYFUNCTION("""COMPUTED_VALUE"""),1081.0)</f>
        <v>1081</v>
      </c>
      <c r="M4178" s="5">
        <f>IFERROR(__xludf.DUMMYFUNCTION("""COMPUTED_VALUE"""),1.0)</f>
        <v>1</v>
      </c>
    </row>
    <row r="4179">
      <c r="A4179" s="10" t="str">
        <f>IFERROR(__xludf.DUMMYFUNCTION("""COMPUTED_VALUE"""),"money...")</f>
        <v>money...</v>
      </c>
      <c r="B4179" s="10">
        <f>IFERROR(__xludf.DUMMYFUNCTION("""COMPUTED_VALUE"""),3032.0)</f>
        <v>3032</v>
      </c>
      <c r="C4179" s="10">
        <f>IFERROR(__xludf.DUMMYFUNCTION("""COMPUTED_VALUE"""),35660.0)</f>
        <v>35660</v>
      </c>
      <c r="D4179" s="5">
        <f>IFERROR(__xludf.DUMMYFUNCTION("""COMPUTED_VALUE"""),0.3582812308446733)</f>
        <v>0.3582812308</v>
      </c>
      <c r="E4179" s="5">
        <f>IFERROR(__xludf.DUMMYFUNCTION("""COMPUTED_VALUE"""),0.1194066445997303)</f>
        <v>0.1194066446</v>
      </c>
      <c r="F4179" s="5">
        <f>IFERROR(__xludf.DUMMYFUNCTION("""COMPUTED_VALUE"""),0.2119958318009072)</f>
        <v>0.2119958318</v>
      </c>
      <c r="G4179" s="5">
        <f>IFERROR(__xludf.DUMMYFUNCTION("""COMPUTED_VALUE"""),0.14604021086183647)</f>
        <v>0.1460402109</v>
      </c>
      <c r="H4179" s="5">
        <f>IFERROR(__xludf.DUMMYFUNCTION("""COMPUTED_VALUE"""),0.6002602284227266)</f>
        <v>0.6002602284</v>
      </c>
      <c r="I4179" s="11">
        <f>IFERROR(__xludf.DUMMYFUNCTION("""COMPUTED_VALUE"""),5393.494289431835)</f>
        <v>5393.494289</v>
      </c>
      <c r="J4179" s="10">
        <f>IFERROR(__xludf.DUMMYFUNCTION("""COMPUTED_VALUE"""),5.0)</f>
        <v>5</v>
      </c>
      <c r="K4179" s="5">
        <f>IFERROR(__xludf.DUMMYFUNCTION("""COMPUTED_VALUE"""),0.0016490765171503958)</f>
        <v>0.001649076517</v>
      </c>
      <c r="L4179" s="10">
        <f>IFERROR(__xludf.DUMMYFUNCTION("""COMPUTED_VALUE"""),3032.0)</f>
        <v>3032</v>
      </c>
      <c r="M4179" s="5">
        <f>IFERROR(__xludf.DUMMYFUNCTION("""COMPUTED_VALUE"""),1.0)</f>
        <v>1</v>
      </c>
    </row>
    <row r="4180">
      <c r="A4180" s="10" t="str">
        <f>IFERROR(__xludf.DUMMYFUNCTION("""COMPUTED_VALUE"""),"hinajinn")</f>
        <v>hinajinn</v>
      </c>
      <c r="B4180" s="10">
        <f>IFERROR(__xludf.DUMMYFUNCTION("""COMPUTED_VALUE"""),3609.0)</f>
        <v>3609</v>
      </c>
      <c r="C4180" s="10">
        <f>IFERROR(__xludf.DUMMYFUNCTION("""COMPUTED_VALUE"""),42586.0)</f>
        <v>42586</v>
      </c>
      <c r="D4180" s="5">
        <f>IFERROR(__xludf.DUMMYFUNCTION("""COMPUTED_VALUE"""),0.27195525566359646)</f>
        <v>0.2719552557</v>
      </c>
      <c r="E4180" s="5">
        <f>IFERROR(__xludf.DUMMYFUNCTION("""COMPUTED_VALUE"""),0.11940375093003566)</f>
        <v>0.1194037509</v>
      </c>
      <c r="F4180" s="5">
        <f>IFERROR(__xludf.DUMMYFUNCTION("""COMPUTED_VALUE"""),0.19986145675654873)</f>
        <v>0.1998614568</v>
      </c>
      <c r="G4180" s="5">
        <f>IFERROR(__xludf.DUMMYFUNCTION("""COMPUTED_VALUE"""),0.15796495369063807)</f>
        <v>0.1579649537</v>
      </c>
      <c r="H4180" s="5">
        <f>IFERROR(__xludf.DUMMYFUNCTION("""COMPUTED_VALUE"""),0.5942233632862645)</f>
        <v>0.5942233633</v>
      </c>
      <c r="I4180" s="11">
        <f>IFERROR(__xludf.DUMMYFUNCTION("""COMPUTED_VALUE"""),5879.8973042362)</f>
        <v>5879.897304</v>
      </c>
      <c r="J4180" s="10">
        <f>IFERROR(__xludf.DUMMYFUNCTION("""COMPUTED_VALUE"""),5.0)</f>
        <v>5</v>
      </c>
      <c r="K4180" s="5">
        <f>IFERROR(__xludf.DUMMYFUNCTION("""COMPUTED_VALUE"""),0.0013854253255749516)</f>
        <v>0.001385425326</v>
      </c>
      <c r="L4180" s="10">
        <f>IFERROR(__xludf.DUMMYFUNCTION("""COMPUTED_VALUE"""),3609.0)</f>
        <v>3609</v>
      </c>
      <c r="M4180" s="5">
        <f>IFERROR(__xludf.DUMMYFUNCTION("""COMPUTED_VALUE"""),1.0)</f>
        <v>1</v>
      </c>
    </row>
    <row r="4181">
      <c r="A4181" s="10" t="str">
        <f>IFERROR(__xludf.DUMMYFUNCTION("""COMPUTED_VALUE"""),"arcti")</f>
        <v>arcti</v>
      </c>
      <c r="B4181" s="10">
        <f>IFERROR(__xludf.DUMMYFUNCTION("""COMPUTED_VALUE"""),141.0)</f>
        <v>141</v>
      </c>
      <c r="C4181" s="10">
        <f>IFERROR(__xludf.DUMMYFUNCTION("""COMPUTED_VALUE"""),1615.0)</f>
        <v>1615</v>
      </c>
      <c r="D4181" s="5">
        <f>IFERROR(__xludf.DUMMYFUNCTION("""COMPUTED_VALUE"""),0.3683853459972863)</f>
        <v>0.368385346</v>
      </c>
      <c r="E4181" s="5">
        <f>IFERROR(__xludf.DUMMYFUNCTION("""COMPUTED_VALUE"""),0.11940298507462686)</f>
        <v>0.1194029851</v>
      </c>
      <c r="F4181" s="5">
        <f>IFERROR(__xludf.DUMMYFUNCTION("""COMPUTED_VALUE"""),0.20827679782903663)</f>
        <v>0.2082767978</v>
      </c>
      <c r="G4181" s="5">
        <f>IFERROR(__xludf.DUMMYFUNCTION("""COMPUTED_VALUE"""),0.1824966078697422)</f>
        <v>0.1824966079</v>
      </c>
      <c r="H4181" s="5">
        <f>IFERROR(__xludf.DUMMYFUNCTION("""COMPUTED_VALUE"""),0.6416938110749185)</f>
        <v>0.6416938111</v>
      </c>
      <c r="I4181" s="11">
        <f>IFERROR(__xludf.DUMMYFUNCTION("""COMPUTED_VALUE"""),5497.719869706841)</f>
        <v>5497.71987</v>
      </c>
      <c r="J4181" s="10">
        <f>IFERROR(__xludf.DUMMYFUNCTION("""COMPUTED_VALUE"""),1.0)</f>
        <v>1</v>
      </c>
      <c r="K4181" s="5">
        <f>IFERROR(__xludf.DUMMYFUNCTION("""COMPUTED_VALUE"""),0.0070921985815602835)</f>
        <v>0.007092198582</v>
      </c>
      <c r="L4181" s="10">
        <f>IFERROR(__xludf.DUMMYFUNCTION("""COMPUTED_VALUE"""),141.0)</f>
        <v>141</v>
      </c>
      <c r="M4181" s="5">
        <f>IFERROR(__xludf.DUMMYFUNCTION("""COMPUTED_VALUE"""),1.0)</f>
        <v>1</v>
      </c>
    </row>
    <row r="4182">
      <c r="A4182" s="10" t="str">
        <f>IFERROR(__xludf.DUMMYFUNCTION("""COMPUTED_VALUE"""),"エステー")</f>
        <v>エステー</v>
      </c>
      <c r="B4182" s="10">
        <f>IFERROR(__xludf.DUMMYFUNCTION("""COMPUTED_VALUE"""),2916.0)</f>
        <v>2916</v>
      </c>
      <c r="C4182" s="10">
        <f>IFERROR(__xludf.DUMMYFUNCTION("""COMPUTED_VALUE"""),34365.0)</f>
        <v>34365</v>
      </c>
      <c r="D4182" s="5">
        <f>IFERROR(__xludf.DUMMYFUNCTION("""COMPUTED_VALUE"""),0.39002829978695663)</f>
        <v>0.3900282998</v>
      </c>
      <c r="E4182" s="5">
        <f>IFERROR(__xludf.DUMMYFUNCTION("""COMPUTED_VALUE"""),0.1193996629463576)</f>
        <v>0.1193996629</v>
      </c>
      <c r="F4182" s="5">
        <f>IFERROR(__xludf.DUMMYFUNCTION("""COMPUTED_VALUE"""),0.21135807179878532)</f>
        <v>0.2113580718</v>
      </c>
      <c r="G4182" s="5">
        <f>IFERROR(__xludf.DUMMYFUNCTION("""COMPUTED_VALUE"""),0.15628477853031894)</f>
        <v>0.1562847785</v>
      </c>
      <c r="H4182" s="5">
        <f>IFERROR(__xludf.DUMMYFUNCTION("""COMPUTED_VALUE"""),0.590642395065443)</f>
        <v>0.5906423951</v>
      </c>
      <c r="I4182" s="11">
        <f>IFERROR(__xludf.DUMMYFUNCTION("""COMPUTED_VALUE"""),5501.369038664059)</f>
        <v>5501.369039</v>
      </c>
      <c r="J4182" s="10">
        <f>IFERROR(__xludf.DUMMYFUNCTION("""COMPUTED_VALUE"""),9.0)</f>
        <v>9</v>
      </c>
      <c r="K4182" s="5">
        <f>IFERROR(__xludf.DUMMYFUNCTION("""COMPUTED_VALUE"""),0.0030864197530864196)</f>
        <v>0.003086419753</v>
      </c>
      <c r="L4182" s="10">
        <f>IFERROR(__xludf.DUMMYFUNCTION("""COMPUTED_VALUE"""),1052.0)</f>
        <v>1052</v>
      </c>
      <c r="M4182" s="5">
        <f>IFERROR(__xludf.DUMMYFUNCTION("""COMPUTED_VALUE"""),0.3607681755829904)</f>
        <v>0.3607681756</v>
      </c>
    </row>
    <row r="4183">
      <c r="A4183" s="10" t="str">
        <f>IFERROR(__xludf.DUMMYFUNCTION("""COMPUTED_VALUE"""),"ＹＮＴＩＴ")</f>
        <v>ＹＮＴＩＴ</v>
      </c>
      <c r="B4183" s="10">
        <f>IFERROR(__xludf.DUMMYFUNCTION("""COMPUTED_VALUE"""),398.0)</f>
        <v>398</v>
      </c>
      <c r="C4183" s="10">
        <f>IFERROR(__xludf.DUMMYFUNCTION("""COMPUTED_VALUE"""),4670.0)</f>
        <v>4670</v>
      </c>
      <c r="D4183" s="5">
        <f>IFERROR(__xludf.DUMMYFUNCTION("""COMPUTED_VALUE"""),0.3717228464419476)</f>
        <v>0.3717228464</v>
      </c>
      <c r="E4183" s="5">
        <f>IFERROR(__xludf.DUMMYFUNCTION("""COMPUTED_VALUE"""),0.11938202247191011)</f>
        <v>0.1193820225</v>
      </c>
      <c r="F4183" s="5">
        <f>IFERROR(__xludf.DUMMYFUNCTION("""COMPUTED_VALUE"""),0.20365168539325842)</f>
        <v>0.2036516854</v>
      </c>
      <c r="G4183" s="5">
        <f>IFERROR(__xludf.DUMMYFUNCTION("""COMPUTED_VALUE"""),0.1720505617977528)</f>
        <v>0.1720505618</v>
      </c>
      <c r="H4183" s="5">
        <f>IFERROR(__xludf.DUMMYFUNCTION("""COMPUTED_VALUE"""),0.6149425287356322)</f>
        <v>0.6149425287</v>
      </c>
      <c r="I4183" s="11">
        <f>IFERROR(__xludf.DUMMYFUNCTION("""COMPUTED_VALUE"""),5401.379310344828)</f>
        <v>5401.37931</v>
      </c>
      <c r="J4183" s="10">
        <f>IFERROR(__xludf.DUMMYFUNCTION("""COMPUTED_VALUE"""),2.0)</f>
        <v>2</v>
      </c>
      <c r="K4183" s="5">
        <f>IFERROR(__xludf.DUMMYFUNCTION("""COMPUTED_VALUE"""),0.005025125628140704)</f>
        <v>0.005025125628</v>
      </c>
      <c r="L4183" s="10">
        <f>IFERROR(__xludf.DUMMYFUNCTION("""COMPUTED_VALUE"""),398.0)</f>
        <v>398</v>
      </c>
      <c r="M4183" s="5">
        <f>IFERROR(__xludf.DUMMYFUNCTION("""COMPUTED_VALUE"""),1.0)</f>
        <v>1</v>
      </c>
    </row>
    <row r="4184">
      <c r="A4184" s="10" t="str">
        <f>IFERROR(__xludf.DUMMYFUNCTION("""COMPUTED_VALUE"""),"中山野草")</f>
        <v>中山野草</v>
      </c>
      <c r="B4184" s="10">
        <f>IFERROR(__xludf.DUMMYFUNCTION("""COMPUTED_VALUE"""),1120.0)</f>
        <v>1120</v>
      </c>
      <c r="C4184" s="10">
        <f>IFERROR(__xludf.DUMMYFUNCTION("""COMPUTED_VALUE"""),13157.0)</f>
        <v>13157</v>
      </c>
      <c r="D4184" s="5">
        <f>IFERROR(__xludf.DUMMYFUNCTION("""COMPUTED_VALUE"""),0.37758577718700675)</f>
        <v>0.3775857772</v>
      </c>
      <c r="E4184" s="5">
        <f>IFERROR(__xludf.DUMMYFUNCTION("""COMPUTED_VALUE"""),0.11938190579047936)</f>
        <v>0.1193819058</v>
      </c>
      <c r="F4184" s="5">
        <f>IFERROR(__xludf.DUMMYFUNCTION("""COMPUTED_VALUE"""),0.21334219489906123)</f>
        <v>0.2133421949</v>
      </c>
      <c r="G4184" s="5">
        <f>IFERROR(__xludf.DUMMYFUNCTION("""COMPUTED_VALUE"""),0.1502035390878126)</f>
        <v>0.1502035391</v>
      </c>
      <c r="H4184" s="5">
        <f>IFERROR(__xludf.DUMMYFUNCTION("""COMPUTED_VALUE"""),0.6140965732087228)</f>
        <v>0.6140965732</v>
      </c>
      <c r="I4184" s="11">
        <f>IFERROR(__xludf.DUMMYFUNCTION("""COMPUTED_VALUE"""),5543.029595015576)</f>
        <v>5543.029595</v>
      </c>
      <c r="J4184" s="10">
        <f>IFERROR(__xludf.DUMMYFUNCTION("""COMPUTED_VALUE"""),3.0)</f>
        <v>3</v>
      </c>
      <c r="K4184" s="5">
        <f>IFERROR(__xludf.DUMMYFUNCTION("""COMPUTED_VALUE"""),0.0026785714285714286)</f>
        <v>0.002678571429</v>
      </c>
      <c r="L4184" s="10">
        <f>IFERROR(__xludf.DUMMYFUNCTION("""COMPUTED_VALUE"""),931.0)</f>
        <v>931</v>
      </c>
      <c r="M4184" s="5">
        <f>IFERROR(__xludf.DUMMYFUNCTION("""COMPUTED_VALUE"""),0.83125)</f>
        <v>0.83125</v>
      </c>
    </row>
    <row r="4185">
      <c r="A4185" s="10" t="str">
        <f>IFERROR(__xludf.DUMMYFUNCTION("""COMPUTED_VALUE"""),"一閃さん")</f>
        <v>一閃さん</v>
      </c>
      <c r="B4185" s="10">
        <f>IFERROR(__xludf.DUMMYFUNCTION("""COMPUTED_VALUE"""),760.0)</f>
        <v>760</v>
      </c>
      <c r="C4185" s="10">
        <f>IFERROR(__xludf.DUMMYFUNCTION("""COMPUTED_VALUE"""),9078.0)</f>
        <v>9078</v>
      </c>
      <c r="D4185" s="5">
        <f>IFERROR(__xludf.DUMMYFUNCTION("""COMPUTED_VALUE"""),0.30223611445058907)</f>
        <v>0.3022361145</v>
      </c>
      <c r="E4185" s="5">
        <f>IFERROR(__xludf.DUMMYFUNCTION("""COMPUTED_VALUE"""),0.11937965857177206)</f>
        <v>0.1193796586</v>
      </c>
      <c r="F4185" s="5">
        <f>IFERROR(__xludf.DUMMYFUNCTION("""COMPUTED_VALUE"""),0.19475835537388794)</f>
        <v>0.1947583554</v>
      </c>
      <c r="G4185" s="5">
        <f>IFERROR(__xludf.DUMMYFUNCTION("""COMPUTED_VALUE"""),0.187304640538591)</f>
        <v>0.1873046405</v>
      </c>
      <c r="H4185" s="5">
        <f>IFERROR(__xludf.DUMMYFUNCTION("""COMPUTED_VALUE"""),0.5790123456790124)</f>
        <v>0.5790123457</v>
      </c>
      <c r="I4185" s="11">
        <f>IFERROR(__xludf.DUMMYFUNCTION("""COMPUTED_VALUE"""),5767.283950617284)</f>
        <v>5767.283951</v>
      </c>
      <c r="J4185" s="10">
        <f>IFERROR(__xludf.DUMMYFUNCTION("""COMPUTED_VALUE"""),1.0)</f>
        <v>1</v>
      </c>
      <c r="K4185" s="5">
        <f>IFERROR(__xludf.DUMMYFUNCTION("""COMPUTED_VALUE"""),0.0013157894736842105)</f>
        <v>0.001315789474</v>
      </c>
      <c r="L4185" s="10">
        <f>IFERROR(__xludf.DUMMYFUNCTION("""COMPUTED_VALUE"""),760.0)</f>
        <v>760</v>
      </c>
      <c r="M4185" s="5">
        <f>IFERROR(__xludf.DUMMYFUNCTION("""COMPUTED_VALUE"""),1.0)</f>
        <v>1</v>
      </c>
    </row>
    <row r="4186">
      <c r="A4186" s="10" t="str">
        <f>IFERROR(__xludf.DUMMYFUNCTION("""COMPUTED_VALUE"""),"柊まどか")</f>
        <v>柊まどか</v>
      </c>
      <c r="B4186" s="10">
        <f>IFERROR(__xludf.DUMMYFUNCTION("""COMPUTED_VALUE"""),213.0)</f>
        <v>213</v>
      </c>
      <c r="C4186" s="10">
        <f>IFERROR(__xludf.DUMMYFUNCTION("""COMPUTED_VALUE"""),2525.0)</f>
        <v>2525</v>
      </c>
      <c r="D4186" s="5">
        <f>IFERROR(__xludf.DUMMYFUNCTION("""COMPUTED_VALUE"""),0.39965397923875434)</f>
        <v>0.3996539792</v>
      </c>
      <c r="E4186" s="5">
        <f>IFERROR(__xludf.DUMMYFUNCTION("""COMPUTED_VALUE"""),0.11937716262975778)</f>
        <v>0.1193771626</v>
      </c>
      <c r="F4186" s="5">
        <f>IFERROR(__xludf.DUMMYFUNCTION("""COMPUTED_VALUE"""),0.19550173010380623)</f>
        <v>0.1955017301</v>
      </c>
      <c r="G4186" s="5">
        <f>IFERROR(__xludf.DUMMYFUNCTION("""COMPUTED_VALUE"""),0.14316608996539792)</f>
        <v>0.14316609</v>
      </c>
      <c r="H4186" s="5">
        <f>IFERROR(__xludf.DUMMYFUNCTION("""COMPUTED_VALUE"""),0.6570796460176991)</f>
        <v>0.657079646</v>
      </c>
      <c r="I4186" s="11">
        <f>IFERROR(__xludf.DUMMYFUNCTION("""COMPUTED_VALUE"""),5423.008849557522)</f>
        <v>5423.00885</v>
      </c>
      <c r="J4186" s="10">
        <f>IFERROR(__xludf.DUMMYFUNCTION("""COMPUTED_VALUE"""),0.0)</f>
        <v>0</v>
      </c>
      <c r="K4186" s="5">
        <f>IFERROR(__xludf.DUMMYFUNCTION("""COMPUTED_VALUE"""),0.0)</f>
        <v>0</v>
      </c>
      <c r="L4186" s="10">
        <f>IFERROR(__xludf.DUMMYFUNCTION("""COMPUTED_VALUE"""),0.0)</f>
        <v>0</v>
      </c>
      <c r="M4186" s="5">
        <f>IFERROR(__xludf.DUMMYFUNCTION("""COMPUTED_VALUE"""),0.0)</f>
        <v>0</v>
      </c>
    </row>
    <row r="4187">
      <c r="A4187" s="10" t="str">
        <f>IFERROR(__xludf.DUMMYFUNCTION("""COMPUTED_VALUE"""),"weismel")</f>
        <v>weismel</v>
      </c>
      <c r="B4187" s="10">
        <f>IFERROR(__xludf.DUMMYFUNCTION("""COMPUTED_VALUE"""),134.0)</f>
        <v>134</v>
      </c>
      <c r="C4187" s="10">
        <f>IFERROR(__xludf.DUMMYFUNCTION("""COMPUTED_VALUE"""),1600.0)</f>
        <v>1600</v>
      </c>
      <c r="D4187" s="5">
        <f>IFERROR(__xludf.DUMMYFUNCTION("""COMPUTED_VALUE"""),0.3383356070941337)</f>
        <v>0.3383356071</v>
      </c>
      <c r="E4187" s="5">
        <f>IFERROR(__xludf.DUMMYFUNCTION("""COMPUTED_VALUE"""),0.11937244201909959)</f>
        <v>0.119372442</v>
      </c>
      <c r="F4187" s="5">
        <f>IFERROR(__xludf.DUMMYFUNCTION("""COMPUTED_VALUE"""),0.19236016371077763)</f>
        <v>0.1923601637</v>
      </c>
      <c r="G4187" s="5">
        <f>IFERROR(__xludf.DUMMYFUNCTION("""COMPUTED_VALUE"""),0.15279672578444747)</f>
        <v>0.1527967258</v>
      </c>
      <c r="H4187" s="5">
        <f>IFERROR(__xludf.DUMMYFUNCTION("""COMPUTED_VALUE"""),0.5460992907801419)</f>
        <v>0.5460992908</v>
      </c>
      <c r="I4187" s="11">
        <f>IFERROR(__xludf.DUMMYFUNCTION("""COMPUTED_VALUE"""),6208.510638297872)</f>
        <v>6208.510638</v>
      </c>
      <c r="J4187" s="10">
        <f>IFERROR(__xludf.DUMMYFUNCTION("""COMPUTED_VALUE"""),0.0)</f>
        <v>0</v>
      </c>
      <c r="K4187" s="5">
        <f>IFERROR(__xludf.DUMMYFUNCTION("""COMPUTED_VALUE"""),0.0)</f>
        <v>0</v>
      </c>
      <c r="L4187" s="10">
        <f>IFERROR(__xludf.DUMMYFUNCTION("""COMPUTED_VALUE"""),134.0)</f>
        <v>134</v>
      </c>
      <c r="M4187" s="5">
        <f>IFERROR(__xludf.DUMMYFUNCTION("""COMPUTED_VALUE"""),1.0)</f>
        <v>1</v>
      </c>
    </row>
    <row r="4188">
      <c r="A4188" s="10" t="str">
        <f>IFERROR(__xludf.DUMMYFUNCTION("""COMPUTED_VALUE"""),"王小花")</f>
        <v>王小花</v>
      </c>
      <c r="B4188" s="10">
        <f>IFERROR(__xludf.DUMMYFUNCTION("""COMPUTED_VALUE"""),954.0)</f>
        <v>954</v>
      </c>
      <c r="C4188" s="10">
        <f>IFERROR(__xludf.DUMMYFUNCTION("""COMPUTED_VALUE"""),11301.0)</f>
        <v>11301</v>
      </c>
      <c r="D4188" s="5">
        <f>IFERROR(__xludf.DUMMYFUNCTION("""COMPUTED_VALUE"""),0.3395187010727747)</f>
        <v>0.3395187011</v>
      </c>
      <c r="E4188" s="5">
        <f>IFERROR(__xludf.DUMMYFUNCTION("""COMPUTED_VALUE"""),0.11935826809703295)</f>
        <v>0.1193582681</v>
      </c>
      <c r="F4188" s="5">
        <f>IFERROR(__xludf.DUMMYFUNCTION("""COMPUTED_VALUE"""),0.20856286846428918)</f>
        <v>0.2085628685</v>
      </c>
      <c r="G4188" s="5">
        <f>IFERROR(__xludf.DUMMYFUNCTION("""COMPUTED_VALUE"""),0.15424760800231951)</f>
        <v>0.154247608</v>
      </c>
      <c r="H4188" s="5">
        <f>IFERROR(__xludf.DUMMYFUNCTION("""COMPUTED_VALUE"""),0.6112140871177015)</f>
        <v>0.6112140871</v>
      </c>
      <c r="I4188" s="11">
        <f>IFERROR(__xludf.DUMMYFUNCTION("""COMPUTED_VALUE"""),5671.408711770157)</f>
        <v>5671.408712</v>
      </c>
      <c r="J4188" s="10">
        <f>IFERROR(__xludf.DUMMYFUNCTION("""COMPUTED_VALUE"""),1.0)</f>
        <v>1</v>
      </c>
      <c r="K4188" s="5">
        <f>IFERROR(__xludf.DUMMYFUNCTION("""COMPUTED_VALUE"""),0.0010482180293501049)</f>
        <v>0.001048218029</v>
      </c>
      <c r="L4188" s="10">
        <f>IFERROR(__xludf.DUMMYFUNCTION("""COMPUTED_VALUE"""),954.0)</f>
        <v>954</v>
      </c>
      <c r="M4188" s="5">
        <f>IFERROR(__xludf.DUMMYFUNCTION("""COMPUTED_VALUE"""),1.0)</f>
        <v>1</v>
      </c>
    </row>
    <row r="4189">
      <c r="A4189" s="10" t="str">
        <f>IFERROR(__xludf.DUMMYFUNCTION("""COMPUTED_VALUE"""),"寡人")</f>
        <v>寡人</v>
      </c>
      <c r="B4189" s="10">
        <f>IFERROR(__xludf.DUMMYFUNCTION("""COMPUTED_VALUE"""),735.0)</f>
        <v>735</v>
      </c>
      <c r="C4189" s="10">
        <f>IFERROR(__xludf.DUMMYFUNCTION("""COMPUTED_VALUE"""),8611.0)</f>
        <v>8611</v>
      </c>
      <c r="D4189" s="5">
        <f>IFERROR(__xludf.DUMMYFUNCTION("""COMPUTED_VALUE"""),0.3984255967496191)</f>
        <v>0.3984255967</v>
      </c>
      <c r="E4189" s="5">
        <f>IFERROR(__xludf.DUMMYFUNCTION("""COMPUTED_VALUE"""),0.11934992381919757)</f>
        <v>0.1193499238</v>
      </c>
      <c r="F4189" s="5">
        <f>IFERROR(__xludf.DUMMYFUNCTION("""COMPUTED_VALUE"""),0.20505332656170644)</f>
        <v>0.2050533266</v>
      </c>
      <c r="G4189" s="5">
        <f>IFERROR(__xludf.DUMMYFUNCTION("""COMPUTED_VALUE"""),0.15401218892839005)</f>
        <v>0.1540121889</v>
      </c>
      <c r="H4189" s="5">
        <f>IFERROR(__xludf.DUMMYFUNCTION("""COMPUTED_VALUE"""),0.604953560371517)</f>
        <v>0.6049535604</v>
      </c>
      <c r="I4189" s="11">
        <f>IFERROR(__xludf.DUMMYFUNCTION("""COMPUTED_VALUE"""),5422.910216718266)</f>
        <v>5422.910217</v>
      </c>
      <c r="J4189" s="10">
        <f>IFERROR(__xludf.DUMMYFUNCTION("""COMPUTED_VALUE"""),1.0)</f>
        <v>1</v>
      </c>
      <c r="K4189" s="5">
        <f>IFERROR(__xludf.DUMMYFUNCTION("""COMPUTED_VALUE"""),0.0013605442176870747)</f>
        <v>0.001360544218</v>
      </c>
      <c r="L4189" s="10">
        <f>IFERROR(__xludf.DUMMYFUNCTION("""COMPUTED_VALUE"""),735.0)</f>
        <v>735</v>
      </c>
      <c r="M4189" s="5">
        <f>IFERROR(__xludf.DUMMYFUNCTION("""COMPUTED_VALUE"""),1.0)</f>
        <v>1</v>
      </c>
    </row>
    <row r="4190">
      <c r="A4190" s="10" t="str">
        <f>IFERROR(__xludf.DUMMYFUNCTION("""COMPUTED_VALUE"""),"バードン")</f>
        <v>バードン</v>
      </c>
      <c r="B4190" s="10">
        <f>IFERROR(__xludf.DUMMYFUNCTION("""COMPUTED_VALUE"""),259.0)</f>
        <v>259</v>
      </c>
      <c r="C4190" s="10">
        <f>IFERROR(__xludf.DUMMYFUNCTION("""COMPUTED_VALUE"""),3108.0)</f>
        <v>3108</v>
      </c>
      <c r="D4190" s="5">
        <f>IFERROR(__xludf.DUMMYFUNCTION("""COMPUTED_VALUE"""),0.4103194103194103)</f>
        <v>0.4103194103</v>
      </c>
      <c r="E4190" s="5">
        <f>IFERROR(__xludf.DUMMYFUNCTION("""COMPUTED_VALUE"""),0.11934011934011934)</f>
        <v>0.1193401193</v>
      </c>
      <c r="F4190" s="5">
        <f>IFERROR(__xludf.DUMMYFUNCTION("""COMPUTED_VALUE"""),0.20322920322920324)</f>
        <v>0.2032292032</v>
      </c>
      <c r="G4190" s="5">
        <f>IFERROR(__xludf.DUMMYFUNCTION("""COMPUTED_VALUE"""),0.1618111618111618)</f>
        <v>0.1618111618</v>
      </c>
      <c r="H4190" s="5">
        <f>IFERROR(__xludf.DUMMYFUNCTION("""COMPUTED_VALUE"""),0.5941278065630398)</f>
        <v>0.5941278066</v>
      </c>
      <c r="I4190" s="11">
        <f>IFERROR(__xludf.DUMMYFUNCTION("""COMPUTED_VALUE"""),5503.454231433506)</f>
        <v>5503.454231</v>
      </c>
      <c r="J4190" s="10">
        <f>IFERROR(__xludf.DUMMYFUNCTION("""COMPUTED_VALUE"""),1.0)</f>
        <v>1</v>
      </c>
      <c r="K4190" s="5">
        <f>IFERROR(__xludf.DUMMYFUNCTION("""COMPUTED_VALUE"""),0.003861003861003861)</f>
        <v>0.003861003861</v>
      </c>
      <c r="L4190" s="10">
        <f>IFERROR(__xludf.DUMMYFUNCTION("""COMPUTED_VALUE"""),259.0)</f>
        <v>259</v>
      </c>
      <c r="M4190" s="5">
        <f>IFERROR(__xludf.DUMMYFUNCTION("""COMPUTED_VALUE"""),1.0)</f>
        <v>1</v>
      </c>
    </row>
    <row r="4191">
      <c r="A4191" s="10" t="str">
        <f>IFERROR(__xludf.DUMMYFUNCTION("""COMPUTED_VALUE"""),"tonnura")</f>
        <v>tonnura</v>
      </c>
      <c r="B4191" s="10">
        <f>IFERROR(__xludf.DUMMYFUNCTION("""COMPUTED_VALUE"""),2562.0)</f>
        <v>2562</v>
      </c>
      <c r="C4191" s="10">
        <f>IFERROR(__xludf.DUMMYFUNCTION("""COMPUTED_VALUE"""),30231.0)</f>
        <v>30231</v>
      </c>
      <c r="D4191" s="5">
        <f>IFERROR(__xludf.DUMMYFUNCTION("""COMPUTED_VALUE"""),0.309118508077632)</f>
        <v>0.3091185081</v>
      </c>
      <c r="E4191" s="5">
        <f>IFERROR(__xludf.DUMMYFUNCTION("""COMPUTED_VALUE"""),0.11933933282735192)</f>
        <v>0.1193393328</v>
      </c>
      <c r="F4191" s="5">
        <f>IFERROR(__xludf.DUMMYFUNCTION("""COMPUTED_VALUE"""),0.19747732118977918)</f>
        <v>0.1974773212</v>
      </c>
      <c r="G4191" s="5">
        <f>IFERROR(__xludf.DUMMYFUNCTION("""COMPUTED_VALUE"""),0.15801077017600926)</f>
        <v>0.1580107702</v>
      </c>
      <c r="H4191" s="5">
        <f>IFERROR(__xludf.DUMMYFUNCTION("""COMPUTED_VALUE"""),0.5949853587115667)</f>
        <v>0.5949853587</v>
      </c>
      <c r="I4191" s="11">
        <f>IFERROR(__xludf.DUMMYFUNCTION("""COMPUTED_VALUE"""),5830.6002928257685)</f>
        <v>5830.600293</v>
      </c>
      <c r="J4191" s="10">
        <f>IFERROR(__xludf.DUMMYFUNCTION("""COMPUTED_VALUE"""),5.0)</f>
        <v>5</v>
      </c>
      <c r="K4191" s="5">
        <f>IFERROR(__xludf.DUMMYFUNCTION("""COMPUTED_VALUE"""),0.00195160031225605)</f>
        <v>0.001951600312</v>
      </c>
      <c r="L4191" s="10">
        <f>IFERROR(__xludf.DUMMYFUNCTION("""COMPUTED_VALUE"""),2562.0)</f>
        <v>2562</v>
      </c>
      <c r="M4191" s="5">
        <f>IFERROR(__xludf.DUMMYFUNCTION("""COMPUTED_VALUE"""),1.0)</f>
        <v>1</v>
      </c>
    </row>
    <row r="4192">
      <c r="A4192" s="10" t="str">
        <f>IFERROR(__xludf.DUMMYFUNCTION("""COMPUTED_VALUE"""),"鈴屋内五曲")</f>
        <v>鈴屋内五曲</v>
      </c>
      <c r="B4192" s="10">
        <f>IFERROR(__xludf.DUMMYFUNCTION("""COMPUTED_VALUE"""),505.0)</f>
        <v>505</v>
      </c>
      <c r="C4192" s="10">
        <f>IFERROR(__xludf.DUMMYFUNCTION("""COMPUTED_VALUE"""),5994.0)</f>
        <v>5994</v>
      </c>
      <c r="D4192" s="5">
        <f>IFERROR(__xludf.DUMMYFUNCTION("""COMPUTED_VALUE"""),0.24612862087811987)</f>
        <v>0.2461286209</v>
      </c>
      <c r="E4192" s="5">
        <f>IFERROR(__xludf.DUMMYFUNCTION("""COMPUTED_VALUE"""),0.11932956822736382)</f>
        <v>0.1193295682</v>
      </c>
      <c r="F4192" s="5">
        <f>IFERROR(__xludf.DUMMYFUNCTION("""COMPUTED_VALUE"""),0.1996720714155584)</f>
        <v>0.1996720714</v>
      </c>
      <c r="G4192" s="5">
        <f>IFERROR(__xludf.DUMMYFUNCTION("""COMPUTED_VALUE"""),0.14501730734195664)</f>
        <v>0.1450173073</v>
      </c>
      <c r="H4192" s="5">
        <f>IFERROR(__xludf.DUMMYFUNCTION("""COMPUTED_VALUE"""),0.5802919708029197)</f>
        <v>0.5802919708</v>
      </c>
      <c r="I4192" s="11">
        <f>IFERROR(__xludf.DUMMYFUNCTION("""COMPUTED_VALUE"""),5776.733576642336)</f>
        <v>5776.733577</v>
      </c>
      <c r="J4192" s="10">
        <f>IFERROR(__xludf.DUMMYFUNCTION("""COMPUTED_VALUE"""),1.0)</f>
        <v>1</v>
      </c>
      <c r="K4192" s="5">
        <f>IFERROR(__xludf.DUMMYFUNCTION("""COMPUTED_VALUE"""),0.0019801980198019802)</f>
        <v>0.00198019802</v>
      </c>
      <c r="L4192" s="10">
        <f>IFERROR(__xludf.DUMMYFUNCTION("""COMPUTED_VALUE"""),505.0)</f>
        <v>505</v>
      </c>
      <c r="M4192" s="5">
        <f>IFERROR(__xludf.DUMMYFUNCTION("""COMPUTED_VALUE"""),1.0)</f>
        <v>1</v>
      </c>
    </row>
    <row r="4193">
      <c r="A4193" s="10" t="str">
        <f>IFERROR(__xludf.DUMMYFUNCTION("""COMPUTED_VALUE"""),"channyuu")</f>
        <v>channyuu</v>
      </c>
      <c r="B4193" s="10">
        <f>IFERROR(__xludf.DUMMYFUNCTION("""COMPUTED_VALUE"""),591.0)</f>
        <v>591</v>
      </c>
      <c r="C4193" s="10">
        <f>IFERROR(__xludf.DUMMYFUNCTION("""COMPUTED_VALUE"""),7128.0)</f>
        <v>7128</v>
      </c>
      <c r="D4193" s="5">
        <f>IFERROR(__xludf.DUMMYFUNCTION("""COMPUTED_VALUE"""),0.3714242007036867)</f>
        <v>0.3714242007</v>
      </c>
      <c r="E4193" s="5">
        <f>IFERROR(__xludf.DUMMYFUNCTION("""COMPUTED_VALUE"""),0.11932078935291418)</f>
        <v>0.1193207894</v>
      </c>
      <c r="F4193" s="5">
        <f>IFERROR(__xludf.DUMMYFUNCTION("""COMPUTED_VALUE"""),0.19473764723879455)</f>
        <v>0.1947376472</v>
      </c>
      <c r="G4193" s="5">
        <f>IFERROR(__xludf.DUMMYFUNCTION("""COMPUTED_VALUE"""),0.15924736117485086)</f>
        <v>0.1592473612</v>
      </c>
      <c r="H4193" s="5">
        <f>IFERROR(__xludf.DUMMYFUNCTION("""COMPUTED_VALUE"""),0.5545954438334643)</f>
        <v>0.5545954438</v>
      </c>
      <c r="I4193" s="11">
        <f>IFERROR(__xludf.DUMMYFUNCTION("""COMPUTED_VALUE"""),5644.46190102121)</f>
        <v>5644.461901</v>
      </c>
      <c r="J4193" s="10">
        <f>IFERROR(__xludf.DUMMYFUNCTION("""COMPUTED_VALUE"""),2.0)</f>
        <v>2</v>
      </c>
      <c r="K4193" s="5">
        <f>IFERROR(__xludf.DUMMYFUNCTION("""COMPUTED_VALUE"""),0.00338409475465313)</f>
        <v>0.003384094755</v>
      </c>
      <c r="L4193" s="10">
        <f>IFERROR(__xludf.DUMMYFUNCTION("""COMPUTED_VALUE"""),591.0)</f>
        <v>591</v>
      </c>
      <c r="M4193" s="5">
        <f>IFERROR(__xludf.DUMMYFUNCTION("""COMPUTED_VALUE"""),1.0)</f>
        <v>1</v>
      </c>
    </row>
    <row r="4194">
      <c r="A4194" s="10" t="str">
        <f>IFERROR(__xludf.DUMMYFUNCTION("""COMPUTED_VALUE"""),"トム０７２６")</f>
        <v>トム０７２６</v>
      </c>
      <c r="B4194" s="10">
        <f>IFERROR(__xludf.DUMMYFUNCTION("""COMPUTED_VALUE"""),307.0)</f>
        <v>307</v>
      </c>
      <c r="C4194" s="10">
        <f>IFERROR(__xludf.DUMMYFUNCTION("""COMPUTED_VALUE"""),3517.0)</f>
        <v>3517</v>
      </c>
      <c r="D4194" s="5">
        <f>IFERROR(__xludf.DUMMYFUNCTION("""COMPUTED_VALUE"""),0.30934579439252335)</f>
        <v>0.3093457944</v>
      </c>
      <c r="E4194" s="5">
        <f>IFERROR(__xludf.DUMMYFUNCTION("""COMPUTED_VALUE"""),0.11931464174454828)</f>
        <v>0.1193146417</v>
      </c>
      <c r="F4194" s="5">
        <f>IFERROR(__xludf.DUMMYFUNCTION("""COMPUTED_VALUE"""),0.22398753894080997)</f>
        <v>0.2239875389</v>
      </c>
      <c r="G4194" s="5">
        <f>IFERROR(__xludf.DUMMYFUNCTION("""COMPUTED_VALUE"""),0.22398753894080997)</f>
        <v>0.2239875389</v>
      </c>
      <c r="H4194" s="5">
        <f>IFERROR(__xludf.DUMMYFUNCTION("""COMPUTED_VALUE"""),0.5952712100139083)</f>
        <v>0.59527121</v>
      </c>
      <c r="I4194" s="11">
        <f>IFERROR(__xludf.DUMMYFUNCTION("""COMPUTED_VALUE"""),5682.475660639778)</f>
        <v>5682.475661</v>
      </c>
      <c r="J4194" s="10">
        <f>IFERROR(__xludf.DUMMYFUNCTION("""COMPUTED_VALUE"""),0.0)</f>
        <v>0</v>
      </c>
      <c r="K4194" s="5">
        <f>IFERROR(__xludf.DUMMYFUNCTION("""COMPUTED_VALUE"""),0.0)</f>
        <v>0</v>
      </c>
      <c r="L4194" s="10">
        <f>IFERROR(__xludf.DUMMYFUNCTION("""COMPUTED_VALUE"""),307.0)</f>
        <v>307</v>
      </c>
      <c r="M4194" s="5">
        <f>IFERROR(__xludf.DUMMYFUNCTION("""COMPUTED_VALUE"""),1.0)</f>
        <v>1</v>
      </c>
    </row>
    <row r="4195">
      <c r="A4195" s="10" t="str">
        <f>IFERROR(__xludf.DUMMYFUNCTION("""COMPUTED_VALUE"""),"てんぽいんと")</f>
        <v>てんぽいんと</v>
      </c>
      <c r="B4195" s="10">
        <f>IFERROR(__xludf.DUMMYFUNCTION("""COMPUTED_VALUE"""),3027.0)</f>
        <v>3027</v>
      </c>
      <c r="C4195" s="10">
        <f>IFERROR(__xludf.DUMMYFUNCTION("""COMPUTED_VALUE"""),35374.0)</f>
        <v>35374</v>
      </c>
      <c r="D4195" s="5">
        <f>IFERROR(__xludf.DUMMYFUNCTION("""COMPUTED_VALUE"""),0.36559804618666336)</f>
        <v>0.3655980462</v>
      </c>
      <c r="E4195" s="5">
        <f>IFERROR(__xludf.DUMMYFUNCTION("""COMPUTED_VALUE"""),0.11930008965282715)</f>
        <v>0.1193000897</v>
      </c>
      <c r="F4195" s="5">
        <f>IFERROR(__xludf.DUMMYFUNCTION("""COMPUTED_VALUE"""),0.20518131511423007)</f>
        <v>0.2051813151</v>
      </c>
      <c r="G4195" s="5">
        <f>IFERROR(__xludf.DUMMYFUNCTION("""COMPUTED_VALUE"""),0.17639966612050575)</f>
        <v>0.1763996661</v>
      </c>
      <c r="H4195" s="5">
        <f>IFERROR(__xludf.DUMMYFUNCTION("""COMPUTED_VALUE"""),0.5922856712370047)</f>
        <v>0.5922856712</v>
      </c>
      <c r="I4195" s="11">
        <f>IFERROR(__xludf.DUMMYFUNCTION("""COMPUTED_VALUE"""),5792.948621365074)</f>
        <v>5792.948621</v>
      </c>
      <c r="J4195" s="10">
        <f>IFERROR(__xludf.DUMMYFUNCTION("""COMPUTED_VALUE"""),7.0)</f>
        <v>7</v>
      </c>
      <c r="K4195" s="5">
        <f>IFERROR(__xludf.DUMMYFUNCTION("""COMPUTED_VALUE"""),0.0023125206475057814)</f>
        <v>0.002312520648</v>
      </c>
      <c r="L4195" s="10">
        <f>IFERROR(__xludf.DUMMYFUNCTION("""COMPUTED_VALUE"""),1721.0)</f>
        <v>1721</v>
      </c>
      <c r="M4195" s="5">
        <f>IFERROR(__xludf.DUMMYFUNCTION("""COMPUTED_VALUE"""),0.5685497191939214)</f>
        <v>0.5685497192</v>
      </c>
    </row>
    <row r="4196">
      <c r="A4196" s="10" t="str">
        <f>IFERROR(__xludf.DUMMYFUNCTION("""COMPUTED_VALUE"""),"夜明けのBEAT")</f>
        <v>夜明けのBEAT</v>
      </c>
      <c r="B4196" s="10">
        <f>IFERROR(__xludf.DUMMYFUNCTION("""COMPUTED_VALUE"""),467.0)</f>
        <v>467</v>
      </c>
      <c r="C4196" s="10">
        <f>IFERROR(__xludf.DUMMYFUNCTION("""COMPUTED_VALUE"""),5505.0)</f>
        <v>5505</v>
      </c>
      <c r="D4196" s="5">
        <f>IFERROR(__xludf.DUMMYFUNCTION("""COMPUTED_VALUE"""),0.39976181024215957)</f>
        <v>0.3997618102</v>
      </c>
      <c r="E4196" s="5">
        <f>IFERROR(__xludf.DUMMYFUNCTION("""COMPUTED_VALUE"""),0.11929337038507344)</f>
        <v>0.1192933704</v>
      </c>
      <c r="F4196" s="5">
        <f>IFERROR(__xludf.DUMMYFUNCTION("""COMPUTED_VALUE"""),0.21576022231044065)</f>
        <v>0.2157602223</v>
      </c>
      <c r="G4196" s="5">
        <f>IFERROR(__xludf.DUMMYFUNCTION("""COMPUTED_VALUE"""),0.15978562921794362)</f>
        <v>0.1597856292</v>
      </c>
      <c r="H4196" s="5">
        <f>IFERROR(__xludf.DUMMYFUNCTION("""COMPUTED_VALUE"""),0.5841766329346826)</f>
        <v>0.5841766329</v>
      </c>
      <c r="I4196" s="11">
        <f>IFERROR(__xludf.DUMMYFUNCTION("""COMPUTED_VALUE"""),5483.900643974241)</f>
        <v>5483.900644</v>
      </c>
      <c r="J4196" s="10">
        <f>IFERROR(__xludf.DUMMYFUNCTION("""COMPUTED_VALUE"""),1.0)</f>
        <v>1</v>
      </c>
      <c r="K4196" s="5">
        <f>IFERROR(__xludf.DUMMYFUNCTION("""COMPUTED_VALUE"""),0.0021413276231263384)</f>
        <v>0.002141327623</v>
      </c>
      <c r="L4196" s="10">
        <f>IFERROR(__xludf.DUMMYFUNCTION("""COMPUTED_VALUE"""),467.0)</f>
        <v>467</v>
      </c>
      <c r="M4196" s="5">
        <f>IFERROR(__xludf.DUMMYFUNCTION("""COMPUTED_VALUE"""),1.0)</f>
        <v>1</v>
      </c>
    </row>
    <row r="4197">
      <c r="A4197" s="10" t="str">
        <f>IFERROR(__xludf.DUMMYFUNCTION("""COMPUTED_VALUE"""),"由美子")</f>
        <v>由美子</v>
      </c>
      <c r="B4197" s="10">
        <f>IFERROR(__xludf.DUMMYFUNCTION("""COMPUTED_VALUE"""),101.0)</f>
        <v>101</v>
      </c>
      <c r="C4197" s="10">
        <f>IFERROR(__xludf.DUMMYFUNCTION("""COMPUTED_VALUE"""),1216.0)</f>
        <v>1216</v>
      </c>
      <c r="D4197" s="5">
        <f>IFERROR(__xludf.DUMMYFUNCTION("""COMPUTED_VALUE"""),0.36591928251121075)</f>
        <v>0.3659192825</v>
      </c>
      <c r="E4197" s="5">
        <f>IFERROR(__xludf.DUMMYFUNCTION("""COMPUTED_VALUE"""),0.11928251121076233)</f>
        <v>0.1192825112</v>
      </c>
      <c r="F4197" s="5">
        <f>IFERROR(__xludf.DUMMYFUNCTION("""COMPUTED_VALUE"""),0.20896860986547086)</f>
        <v>0.2089686099</v>
      </c>
      <c r="G4197" s="5">
        <f>IFERROR(__xludf.DUMMYFUNCTION("""COMPUTED_VALUE"""),0.17847533632286997)</f>
        <v>0.1784753363</v>
      </c>
      <c r="H4197" s="5">
        <f>IFERROR(__xludf.DUMMYFUNCTION("""COMPUTED_VALUE"""),0.575107296137339)</f>
        <v>0.5751072961</v>
      </c>
      <c r="I4197" s="11">
        <f>IFERROR(__xludf.DUMMYFUNCTION("""COMPUTED_VALUE"""),5645.064377682404)</f>
        <v>5645.064378</v>
      </c>
      <c r="J4197" s="10">
        <f>IFERROR(__xludf.DUMMYFUNCTION("""COMPUTED_VALUE"""),0.0)</f>
        <v>0</v>
      </c>
      <c r="K4197" s="5">
        <f>IFERROR(__xludf.DUMMYFUNCTION("""COMPUTED_VALUE"""),0.0)</f>
        <v>0</v>
      </c>
      <c r="L4197" s="10">
        <f>IFERROR(__xludf.DUMMYFUNCTION("""COMPUTED_VALUE"""),101.0)</f>
        <v>101</v>
      </c>
      <c r="M4197" s="5">
        <f>IFERROR(__xludf.DUMMYFUNCTION("""COMPUTED_VALUE"""),1.0)</f>
        <v>1</v>
      </c>
    </row>
    <row r="4198">
      <c r="A4198" s="10" t="str">
        <f>IFERROR(__xludf.DUMMYFUNCTION("""COMPUTED_VALUE"""),"ISSON4")</f>
        <v>ISSON4</v>
      </c>
      <c r="B4198" s="10">
        <f>IFERROR(__xludf.DUMMYFUNCTION("""COMPUTED_VALUE"""),3062.0)</f>
        <v>3062</v>
      </c>
      <c r="C4198" s="10">
        <f>IFERROR(__xludf.DUMMYFUNCTION("""COMPUTED_VALUE"""),35808.0)</f>
        <v>35808</v>
      </c>
      <c r="D4198" s="5">
        <f>IFERROR(__xludf.DUMMYFUNCTION("""COMPUTED_VALUE"""),0.32202406400781775)</f>
        <v>0.322024064</v>
      </c>
      <c r="E4198" s="5">
        <f>IFERROR(__xludf.DUMMYFUNCTION("""COMPUTED_VALUE"""),0.11928174433518597)</f>
        <v>0.1192817443</v>
      </c>
      <c r="F4198" s="5">
        <f>IFERROR(__xludf.DUMMYFUNCTION("""COMPUTED_VALUE"""),0.20487998534172114)</f>
        <v>0.2048799853</v>
      </c>
      <c r="G4198" s="5">
        <f>IFERROR(__xludf.DUMMYFUNCTION("""COMPUTED_VALUE"""),0.16435595187198437)</f>
        <v>0.1643559519</v>
      </c>
      <c r="H4198" s="5">
        <f>IFERROR(__xludf.DUMMYFUNCTION("""COMPUTED_VALUE"""),0.5985988970040245)</f>
        <v>0.598598897</v>
      </c>
      <c r="I4198" s="11">
        <f>IFERROR(__xludf.DUMMYFUNCTION("""COMPUTED_VALUE"""),5808.913399910568)</f>
        <v>5808.9134</v>
      </c>
      <c r="J4198" s="10">
        <f>IFERROR(__xludf.DUMMYFUNCTION("""COMPUTED_VALUE"""),7.0)</f>
        <v>7</v>
      </c>
      <c r="K4198" s="5">
        <f>IFERROR(__xludf.DUMMYFUNCTION("""COMPUTED_VALUE"""),0.0022860875244937948)</f>
        <v>0.002286087524</v>
      </c>
      <c r="L4198" s="10">
        <f>IFERROR(__xludf.DUMMYFUNCTION("""COMPUTED_VALUE"""),3062.0)</f>
        <v>3062</v>
      </c>
      <c r="M4198" s="5">
        <f>IFERROR(__xludf.DUMMYFUNCTION("""COMPUTED_VALUE"""),1.0)</f>
        <v>1</v>
      </c>
    </row>
    <row r="4199">
      <c r="A4199" s="10" t="str">
        <f>IFERROR(__xludf.DUMMYFUNCTION("""COMPUTED_VALUE"""),"雀荘中川")</f>
        <v>雀荘中川</v>
      </c>
      <c r="B4199" s="10">
        <f>IFERROR(__xludf.DUMMYFUNCTION("""COMPUTED_VALUE"""),2598.0)</f>
        <v>2598</v>
      </c>
      <c r="C4199" s="10">
        <f>IFERROR(__xludf.DUMMYFUNCTION("""COMPUTED_VALUE"""),30122.0)</f>
        <v>30122</v>
      </c>
      <c r="D4199" s="5">
        <f>IFERROR(__xludf.DUMMYFUNCTION("""COMPUTED_VALUE"""),0.3302208981252725)</f>
        <v>0.3302208981</v>
      </c>
      <c r="E4199" s="5">
        <f>IFERROR(__xludf.DUMMYFUNCTION("""COMPUTED_VALUE"""),0.11927772126144456)</f>
        <v>0.1192777213</v>
      </c>
      <c r="F4199" s="5">
        <f>IFERROR(__xludf.DUMMYFUNCTION("""COMPUTED_VALUE"""),0.2114881557913094)</f>
        <v>0.2114881558</v>
      </c>
      <c r="G4199" s="5">
        <f>IFERROR(__xludf.DUMMYFUNCTION("""COMPUTED_VALUE"""),0.18954367097805552)</f>
        <v>0.189543671</v>
      </c>
      <c r="H4199" s="5">
        <f>IFERROR(__xludf.DUMMYFUNCTION("""COMPUTED_VALUE"""),0.5882150833190174)</f>
        <v>0.5882150833</v>
      </c>
      <c r="I4199" s="11">
        <f>IFERROR(__xludf.DUMMYFUNCTION("""COMPUTED_VALUE"""),5835.148599896925)</f>
        <v>5835.1486</v>
      </c>
      <c r="J4199" s="10">
        <f>IFERROR(__xludf.DUMMYFUNCTION("""COMPUTED_VALUE"""),3.0)</f>
        <v>3</v>
      </c>
      <c r="K4199" s="5">
        <f>IFERROR(__xludf.DUMMYFUNCTION("""COMPUTED_VALUE"""),0.0011547344110854503)</f>
        <v>0.001154734411</v>
      </c>
      <c r="L4199" s="10">
        <f>IFERROR(__xludf.DUMMYFUNCTION("""COMPUTED_VALUE"""),2263.0)</f>
        <v>2263</v>
      </c>
      <c r="M4199" s="5">
        <f>IFERROR(__xludf.DUMMYFUNCTION("""COMPUTED_VALUE"""),0.8710546574287914)</f>
        <v>0.8710546574</v>
      </c>
    </row>
    <row r="4200">
      <c r="A4200" s="10" t="str">
        <f>IFERROR(__xludf.DUMMYFUNCTION("""COMPUTED_VALUE"""),"南極1号")</f>
        <v>南極1号</v>
      </c>
      <c r="B4200" s="10">
        <f>IFERROR(__xludf.DUMMYFUNCTION("""COMPUTED_VALUE"""),236.0)</f>
        <v>236</v>
      </c>
      <c r="C4200" s="10">
        <f>IFERROR(__xludf.DUMMYFUNCTION("""COMPUTED_VALUE"""),2852.0)</f>
        <v>2852</v>
      </c>
      <c r="D4200" s="5">
        <f>IFERROR(__xludf.DUMMYFUNCTION("""COMPUTED_VALUE"""),0.3669724770642202)</f>
        <v>0.3669724771</v>
      </c>
      <c r="E4200" s="5">
        <f>IFERROR(__xludf.DUMMYFUNCTION("""COMPUTED_VALUE"""),0.11926605504587157)</f>
        <v>0.119266055</v>
      </c>
      <c r="F4200" s="5">
        <f>IFERROR(__xludf.DUMMYFUNCTION("""COMPUTED_VALUE"""),0.19954128440366972)</f>
        <v>0.1995412844</v>
      </c>
      <c r="G4200" s="5">
        <f>IFERROR(__xludf.DUMMYFUNCTION("""COMPUTED_VALUE"""),0.14143730886850153)</f>
        <v>0.1414373089</v>
      </c>
      <c r="H4200" s="5">
        <f>IFERROR(__xludf.DUMMYFUNCTION("""COMPUTED_VALUE"""),0.5977011494252874)</f>
        <v>0.5977011494</v>
      </c>
      <c r="I4200" s="11">
        <f>IFERROR(__xludf.DUMMYFUNCTION("""COMPUTED_VALUE"""),5465.325670498084)</f>
        <v>5465.32567</v>
      </c>
      <c r="J4200" s="10">
        <f>IFERROR(__xludf.DUMMYFUNCTION("""COMPUTED_VALUE"""),0.0)</f>
        <v>0</v>
      </c>
      <c r="K4200" s="5">
        <f>IFERROR(__xludf.DUMMYFUNCTION("""COMPUTED_VALUE"""),0.0)</f>
        <v>0</v>
      </c>
      <c r="L4200" s="10">
        <f>IFERROR(__xludf.DUMMYFUNCTION("""COMPUTED_VALUE"""),236.0)</f>
        <v>236</v>
      </c>
      <c r="M4200" s="5">
        <f>IFERROR(__xludf.DUMMYFUNCTION("""COMPUTED_VALUE"""),1.0)</f>
        <v>1</v>
      </c>
    </row>
    <row r="4201">
      <c r="A4201" s="10" t="str">
        <f>IFERROR(__xludf.DUMMYFUNCTION("""COMPUTED_VALUE"""),"プラチナム")</f>
        <v>プラチナム</v>
      </c>
      <c r="B4201" s="10">
        <f>IFERROR(__xludf.DUMMYFUNCTION("""COMPUTED_VALUE"""),4969.0)</f>
        <v>4969</v>
      </c>
      <c r="C4201" s="10">
        <f>IFERROR(__xludf.DUMMYFUNCTION("""COMPUTED_VALUE"""),58182.0)</f>
        <v>58182</v>
      </c>
      <c r="D4201" s="5">
        <f>IFERROR(__xludf.DUMMYFUNCTION("""COMPUTED_VALUE"""),0.3387893935692406)</f>
        <v>0.3387893936</v>
      </c>
      <c r="E4201" s="5">
        <f>IFERROR(__xludf.DUMMYFUNCTION("""COMPUTED_VALUE"""),0.11925657264202356)</f>
        <v>0.1192565726</v>
      </c>
      <c r="F4201" s="5">
        <f>IFERROR(__xludf.DUMMYFUNCTION("""COMPUTED_VALUE"""),0.20526938905906453)</f>
        <v>0.2052693891</v>
      </c>
      <c r="G4201" s="5">
        <f>IFERROR(__xludf.DUMMYFUNCTION("""COMPUTED_VALUE"""),0.15601450773307274)</f>
        <v>0.1560145077</v>
      </c>
      <c r="H4201" s="5">
        <f>IFERROR(__xludf.DUMMYFUNCTION("""COMPUTED_VALUE"""),0.5980957612377552)</f>
        <v>0.5980957612</v>
      </c>
      <c r="I4201" s="11">
        <f>IFERROR(__xludf.DUMMYFUNCTION("""COMPUTED_VALUE"""),5599.789435136867)</f>
        <v>5599.789435</v>
      </c>
      <c r="J4201" s="10">
        <f>IFERROR(__xludf.DUMMYFUNCTION("""COMPUTED_VALUE"""),8.0)</f>
        <v>8</v>
      </c>
      <c r="K4201" s="5">
        <f>IFERROR(__xludf.DUMMYFUNCTION("""COMPUTED_VALUE"""),0.0016099818877037633)</f>
        <v>0.001609981888</v>
      </c>
      <c r="L4201" s="10">
        <f>IFERROR(__xludf.DUMMYFUNCTION("""COMPUTED_VALUE"""),4969.0)</f>
        <v>4969</v>
      </c>
      <c r="M4201" s="5">
        <f>IFERROR(__xludf.DUMMYFUNCTION("""COMPUTED_VALUE"""),1.0)</f>
        <v>1</v>
      </c>
    </row>
    <row r="4202">
      <c r="A4202" s="10" t="str">
        <f>IFERROR(__xludf.DUMMYFUNCTION("""COMPUTED_VALUE"""),"モケーレムベンベ")</f>
        <v>モケーレムベンベ</v>
      </c>
      <c r="B4202" s="10">
        <f>IFERROR(__xludf.DUMMYFUNCTION("""COMPUTED_VALUE"""),144.0)</f>
        <v>144</v>
      </c>
      <c r="C4202" s="10">
        <f>IFERROR(__xludf.DUMMYFUNCTION("""COMPUTED_VALUE"""),1645.0)</f>
        <v>1645</v>
      </c>
      <c r="D4202" s="5">
        <f>IFERROR(__xludf.DUMMYFUNCTION("""COMPUTED_VALUE"""),0.3111259160559627)</f>
        <v>0.3111259161</v>
      </c>
      <c r="E4202" s="5">
        <f>IFERROR(__xludf.DUMMYFUNCTION("""COMPUTED_VALUE"""),0.11925383077948035)</f>
        <v>0.1192538308</v>
      </c>
      <c r="F4202" s="5">
        <f>IFERROR(__xludf.DUMMYFUNCTION("""COMPUTED_VALUE"""),0.2005329780146569)</f>
        <v>0.200532978</v>
      </c>
      <c r="G4202" s="5">
        <f>IFERROR(__xludf.DUMMYFUNCTION("""COMPUTED_VALUE"""),0.1838774150566289)</f>
        <v>0.1838774151</v>
      </c>
      <c r="H4202" s="5">
        <f>IFERROR(__xludf.DUMMYFUNCTION("""COMPUTED_VALUE"""),0.6245847176079734)</f>
        <v>0.6245847176</v>
      </c>
      <c r="I4202" s="11">
        <f>IFERROR(__xludf.DUMMYFUNCTION("""COMPUTED_VALUE"""),5582.059800664452)</f>
        <v>5582.059801</v>
      </c>
      <c r="J4202" s="10">
        <f>IFERROR(__xludf.DUMMYFUNCTION("""COMPUTED_VALUE"""),1.0)</f>
        <v>1</v>
      </c>
      <c r="K4202" s="5">
        <f>IFERROR(__xludf.DUMMYFUNCTION("""COMPUTED_VALUE"""),0.006944444444444444)</f>
        <v>0.006944444444</v>
      </c>
      <c r="L4202" s="10">
        <f>IFERROR(__xludf.DUMMYFUNCTION("""COMPUTED_VALUE"""),0.0)</f>
        <v>0</v>
      </c>
      <c r="M4202" s="5">
        <f>IFERROR(__xludf.DUMMYFUNCTION("""COMPUTED_VALUE"""),0.0)</f>
        <v>0</v>
      </c>
    </row>
    <row r="4203">
      <c r="A4203" s="10" t="str">
        <f>IFERROR(__xludf.DUMMYFUNCTION("""COMPUTED_VALUE"""),"唯井ふたみ")</f>
        <v>唯井ふたみ</v>
      </c>
      <c r="B4203" s="10">
        <f>IFERROR(__xludf.DUMMYFUNCTION("""COMPUTED_VALUE"""),135.0)</f>
        <v>135</v>
      </c>
      <c r="C4203" s="10">
        <f>IFERROR(__xludf.DUMMYFUNCTION("""COMPUTED_VALUE"""),1527.0)</f>
        <v>1527</v>
      </c>
      <c r="D4203" s="5">
        <f>IFERROR(__xludf.DUMMYFUNCTION("""COMPUTED_VALUE"""),0.28160919540229884)</f>
        <v>0.2816091954</v>
      </c>
      <c r="E4203" s="5">
        <f>IFERROR(__xludf.DUMMYFUNCTION("""COMPUTED_VALUE"""),0.11925287356321838)</f>
        <v>0.1192528736</v>
      </c>
      <c r="F4203" s="5">
        <f>IFERROR(__xludf.DUMMYFUNCTION("""COMPUTED_VALUE"""),0.20474137931034483)</f>
        <v>0.2047413793</v>
      </c>
      <c r="G4203" s="5">
        <f>IFERROR(__xludf.DUMMYFUNCTION("""COMPUTED_VALUE"""),0.16522988505747127)</f>
        <v>0.1652298851</v>
      </c>
      <c r="H4203" s="5">
        <f>IFERROR(__xludf.DUMMYFUNCTION("""COMPUTED_VALUE"""),0.6035087719298246)</f>
        <v>0.6035087719</v>
      </c>
      <c r="I4203" s="11">
        <f>IFERROR(__xludf.DUMMYFUNCTION("""COMPUTED_VALUE"""),5221.0526315789475)</f>
        <v>5221.052632</v>
      </c>
      <c r="J4203" s="10">
        <f>IFERROR(__xludf.DUMMYFUNCTION("""COMPUTED_VALUE"""),0.0)</f>
        <v>0</v>
      </c>
      <c r="K4203" s="5">
        <f>IFERROR(__xludf.DUMMYFUNCTION("""COMPUTED_VALUE"""),0.0)</f>
        <v>0</v>
      </c>
      <c r="L4203" s="10">
        <f>IFERROR(__xludf.DUMMYFUNCTION("""COMPUTED_VALUE"""),0.0)</f>
        <v>0</v>
      </c>
      <c r="M4203" s="5">
        <f>IFERROR(__xludf.DUMMYFUNCTION("""COMPUTED_VALUE"""),0.0)</f>
        <v>0</v>
      </c>
    </row>
    <row r="4204">
      <c r="A4204" s="10" t="str">
        <f>IFERROR(__xludf.DUMMYFUNCTION("""COMPUTED_VALUE"""),"sin.nabe")</f>
        <v>sin.nabe</v>
      </c>
      <c r="B4204" s="10">
        <f>IFERROR(__xludf.DUMMYFUNCTION("""COMPUTED_VALUE"""),538.0)</f>
        <v>538</v>
      </c>
      <c r="C4204" s="10">
        <f>IFERROR(__xludf.DUMMYFUNCTION("""COMPUTED_VALUE"""),6366.0)</f>
        <v>6366</v>
      </c>
      <c r="D4204" s="5">
        <f>IFERROR(__xludf.DUMMYFUNCTION("""COMPUTED_VALUE"""),0.35552505147563485)</f>
        <v>0.3555250515</v>
      </c>
      <c r="E4204" s="5">
        <f>IFERROR(__xludf.DUMMYFUNCTION("""COMPUTED_VALUE"""),0.1192518874399451)</f>
        <v>0.1192518874</v>
      </c>
      <c r="F4204" s="5">
        <f>IFERROR(__xludf.DUMMYFUNCTION("""COMPUTED_VALUE"""),0.21225120109814688)</f>
        <v>0.2122512011</v>
      </c>
      <c r="G4204" s="5">
        <f>IFERROR(__xludf.DUMMYFUNCTION("""COMPUTED_VALUE"""),0.14670555936856555)</f>
        <v>0.1467055594</v>
      </c>
      <c r="H4204" s="5">
        <f>IFERROR(__xludf.DUMMYFUNCTION("""COMPUTED_VALUE"""),0.5966046887631367)</f>
        <v>0.5966046888</v>
      </c>
      <c r="I4204" s="11">
        <f>IFERROR(__xludf.DUMMYFUNCTION("""COMPUTED_VALUE"""),5658.367016976556)</f>
        <v>5658.367017</v>
      </c>
      <c r="J4204" s="10">
        <f>IFERROR(__xludf.DUMMYFUNCTION("""COMPUTED_VALUE"""),0.0)</f>
        <v>0</v>
      </c>
      <c r="K4204" s="5">
        <f>IFERROR(__xludf.DUMMYFUNCTION("""COMPUTED_VALUE"""),0.0)</f>
        <v>0</v>
      </c>
      <c r="L4204" s="10">
        <f>IFERROR(__xludf.DUMMYFUNCTION("""COMPUTED_VALUE"""),538.0)</f>
        <v>538</v>
      </c>
      <c r="M4204" s="5">
        <f>IFERROR(__xludf.DUMMYFUNCTION("""COMPUTED_VALUE"""),1.0)</f>
        <v>1</v>
      </c>
    </row>
    <row r="4205">
      <c r="A4205" s="10" t="str">
        <f>IFERROR(__xludf.DUMMYFUNCTION("""COMPUTED_VALUE"""),"だっていう")</f>
        <v>だっていう</v>
      </c>
      <c r="B4205" s="10">
        <f>IFERROR(__xludf.DUMMYFUNCTION("""COMPUTED_VALUE"""),1961.0)</f>
        <v>1961</v>
      </c>
      <c r="C4205" s="10">
        <f>IFERROR(__xludf.DUMMYFUNCTION("""COMPUTED_VALUE"""),22934.0)</f>
        <v>22934</v>
      </c>
      <c r="D4205" s="5">
        <f>IFERROR(__xludf.DUMMYFUNCTION("""COMPUTED_VALUE"""),0.37715157583559816)</f>
        <v>0.3771515758</v>
      </c>
      <c r="E4205" s="5">
        <f>IFERROR(__xludf.DUMMYFUNCTION("""COMPUTED_VALUE"""),0.11924855766938444)</f>
        <v>0.1192485577</v>
      </c>
      <c r="F4205" s="5">
        <f>IFERROR(__xludf.DUMMYFUNCTION("""COMPUTED_VALUE"""),0.21217756162685358)</f>
        <v>0.2121775616</v>
      </c>
      <c r="G4205" s="5">
        <f>IFERROR(__xludf.DUMMYFUNCTION("""COMPUTED_VALUE"""),0.15124207314165833)</f>
        <v>0.1512420731</v>
      </c>
      <c r="H4205" s="5">
        <f>IFERROR(__xludf.DUMMYFUNCTION("""COMPUTED_VALUE"""),0.6150561797752809)</f>
        <v>0.6150561798</v>
      </c>
      <c r="I4205" s="11">
        <f>IFERROR(__xludf.DUMMYFUNCTION("""COMPUTED_VALUE"""),5290.0224719101125)</f>
        <v>5290.022472</v>
      </c>
      <c r="J4205" s="10">
        <f>IFERROR(__xludf.DUMMYFUNCTION("""COMPUTED_VALUE"""),5.0)</f>
        <v>5</v>
      </c>
      <c r="K4205" s="5">
        <f>IFERROR(__xludf.DUMMYFUNCTION("""COMPUTED_VALUE"""),0.0025497195308516064)</f>
        <v>0.002549719531</v>
      </c>
      <c r="L4205" s="10">
        <f>IFERROR(__xludf.DUMMYFUNCTION("""COMPUTED_VALUE"""),1749.0)</f>
        <v>1749</v>
      </c>
      <c r="M4205" s="5">
        <f>IFERROR(__xludf.DUMMYFUNCTION("""COMPUTED_VALUE"""),0.8918918918918919)</f>
        <v>0.8918918919</v>
      </c>
    </row>
    <row r="4206">
      <c r="A4206" s="10" t="str">
        <f>IFERROR(__xludf.DUMMYFUNCTION("""COMPUTED_VALUE"""),"なーかむ")</f>
        <v>なーかむ</v>
      </c>
      <c r="B4206" s="10">
        <f>IFERROR(__xludf.DUMMYFUNCTION("""COMPUTED_VALUE"""),1050.0)</f>
        <v>1050</v>
      </c>
      <c r="C4206" s="10">
        <f>IFERROR(__xludf.DUMMYFUNCTION("""COMPUTED_VALUE"""),12438.0)</f>
        <v>12438</v>
      </c>
      <c r="D4206" s="5">
        <f>IFERROR(__xludf.DUMMYFUNCTION("""COMPUTED_VALUE"""),0.3061116965226554)</f>
        <v>0.3061116965</v>
      </c>
      <c r="E4206" s="5">
        <f>IFERROR(__xludf.DUMMYFUNCTION("""COMPUTED_VALUE"""),0.1192483315770987)</f>
        <v>0.1192483316</v>
      </c>
      <c r="F4206" s="5">
        <f>IFERROR(__xludf.DUMMYFUNCTION("""COMPUTED_VALUE"""),0.2065331928345627)</f>
        <v>0.2065331928</v>
      </c>
      <c r="G4206" s="5">
        <f>IFERROR(__xludf.DUMMYFUNCTION("""COMPUTED_VALUE"""),0.1353178784685634)</f>
        <v>0.1353178785</v>
      </c>
      <c r="H4206" s="5">
        <f>IFERROR(__xludf.DUMMYFUNCTION("""COMPUTED_VALUE"""),0.6003401360544217)</f>
        <v>0.6003401361</v>
      </c>
      <c r="I4206" s="11">
        <f>IFERROR(__xludf.DUMMYFUNCTION("""COMPUTED_VALUE"""),5559.651360544218)</f>
        <v>5559.651361</v>
      </c>
      <c r="J4206" s="10">
        <f>IFERROR(__xludf.DUMMYFUNCTION("""COMPUTED_VALUE"""),5.0)</f>
        <v>5</v>
      </c>
      <c r="K4206" s="5">
        <f>IFERROR(__xludf.DUMMYFUNCTION("""COMPUTED_VALUE"""),0.004761904761904762)</f>
        <v>0.004761904762</v>
      </c>
      <c r="L4206" s="10">
        <f>IFERROR(__xludf.DUMMYFUNCTION("""COMPUTED_VALUE"""),1050.0)</f>
        <v>1050</v>
      </c>
      <c r="M4206" s="5">
        <f>IFERROR(__xludf.DUMMYFUNCTION("""COMPUTED_VALUE"""),1.0)</f>
        <v>1</v>
      </c>
    </row>
    <row r="4207">
      <c r="A4207" s="10" t="str">
        <f>IFERROR(__xludf.DUMMYFUNCTION("""COMPUTED_VALUE"""),"ASO部＠福岡")</f>
        <v>ASO部＠福岡</v>
      </c>
      <c r="B4207" s="10">
        <f>IFERROR(__xludf.DUMMYFUNCTION("""COMPUTED_VALUE"""),1532.0)</f>
        <v>1532</v>
      </c>
      <c r="C4207" s="10">
        <f>IFERROR(__xludf.DUMMYFUNCTION("""COMPUTED_VALUE"""),17784.0)</f>
        <v>17784</v>
      </c>
      <c r="D4207" s="5">
        <f>IFERROR(__xludf.DUMMYFUNCTION("""COMPUTED_VALUE"""),0.3100541471818853)</f>
        <v>0.3100541472</v>
      </c>
      <c r="E4207" s="5">
        <f>IFERROR(__xludf.DUMMYFUNCTION("""COMPUTED_VALUE"""),0.1192468619246862)</f>
        <v>0.1192468619</v>
      </c>
      <c r="F4207" s="5">
        <f>IFERROR(__xludf.DUMMYFUNCTION("""COMPUTED_VALUE"""),0.20760521781934532)</f>
        <v>0.2076052178</v>
      </c>
      <c r="G4207" s="5">
        <f>IFERROR(__xludf.DUMMYFUNCTION("""COMPUTED_VALUE"""),0.18047009598818606)</f>
        <v>0.180470096</v>
      </c>
      <c r="H4207" s="5">
        <f>IFERROR(__xludf.DUMMYFUNCTION("""COMPUTED_VALUE"""),0.5981031416716064)</f>
        <v>0.5981031417</v>
      </c>
      <c r="I4207" s="11">
        <f>IFERROR(__xludf.DUMMYFUNCTION("""COMPUTED_VALUE"""),6006.19442797866)</f>
        <v>6006.194428</v>
      </c>
      <c r="J4207" s="10">
        <f>IFERROR(__xludf.DUMMYFUNCTION("""COMPUTED_VALUE"""),2.0)</f>
        <v>2</v>
      </c>
      <c r="K4207" s="5">
        <f>IFERROR(__xludf.DUMMYFUNCTION("""COMPUTED_VALUE"""),0.0013054830287206266)</f>
        <v>0.001305483029</v>
      </c>
      <c r="L4207" s="10">
        <f>IFERROR(__xludf.DUMMYFUNCTION("""COMPUTED_VALUE"""),1532.0)</f>
        <v>1532</v>
      </c>
      <c r="M4207" s="5">
        <f>IFERROR(__xludf.DUMMYFUNCTION("""COMPUTED_VALUE"""),1.0)</f>
        <v>1</v>
      </c>
    </row>
    <row r="4208">
      <c r="A4208" s="10" t="str">
        <f>IFERROR(__xludf.DUMMYFUNCTION("""COMPUTED_VALUE"""),"buzzwiz")</f>
        <v>buzzwiz</v>
      </c>
      <c r="B4208" s="10">
        <f>IFERROR(__xludf.DUMMYFUNCTION("""COMPUTED_VALUE"""),725.0)</f>
        <v>725</v>
      </c>
      <c r="C4208" s="10">
        <f>IFERROR(__xludf.DUMMYFUNCTION("""COMPUTED_VALUE"""),8600.0)</f>
        <v>8600</v>
      </c>
      <c r="D4208" s="5">
        <f>IFERROR(__xludf.DUMMYFUNCTION("""COMPUTED_VALUE"""),0.3391746031746032)</f>
        <v>0.3391746032</v>
      </c>
      <c r="E4208" s="5">
        <f>IFERROR(__xludf.DUMMYFUNCTION("""COMPUTED_VALUE"""),0.11923809523809524)</f>
        <v>0.1192380952</v>
      </c>
      <c r="F4208" s="5">
        <f>IFERROR(__xludf.DUMMYFUNCTION("""COMPUTED_VALUE"""),0.2102857142857143)</f>
        <v>0.2102857143</v>
      </c>
      <c r="G4208" s="5">
        <f>IFERROR(__xludf.DUMMYFUNCTION("""COMPUTED_VALUE"""),0.1335873015873016)</f>
        <v>0.1335873016</v>
      </c>
      <c r="H4208" s="5">
        <f>IFERROR(__xludf.DUMMYFUNCTION("""COMPUTED_VALUE"""),0.6183574879227053)</f>
        <v>0.6183574879</v>
      </c>
      <c r="I4208" s="11">
        <f>IFERROR(__xludf.DUMMYFUNCTION("""COMPUTED_VALUE"""),5234.118357487922)</f>
        <v>5234.118357</v>
      </c>
      <c r="J4208" s="10">
        <f>IFERROR(__xludf.DUMMYFUNCTION("""COMPUTED_VALUE"""),2.0)</f>
        <v>2</v>
      </c>
      <c r="K4208" s="5">
        <f>IFERROR(__xludf.DUMMYFUNCTION("""COMPUTED_VALUE"""),0.002758620689655172)</f>
        <v>0.00275862069</v>
      </c>
      <c r="L4208" s="10">
        <f>IFERROR(__xludf.DUMMYFUNCTION("""COMPUTED_VALUE"""),725.0)</f>
        <v>725</v>
      </c>
      <c r="M4208" s="5">
        <f>IFERROR(__xludf.DUMMYFUNCTION("""COMPUTED_VALUE"""),1.0)</f>
        <v>1</v>
      </c>
    </row>
    <row r="4209">
      <c r="A4209" s="10" t="str">
        <f>IFERROR(__xludf.DUMMYFUNCTION("""COMPUTED_VALUE"""),"華流")</f>
        <v>華流</v>
      </c>
      <c r="B4209" s="10">
        <f>IFERROR(__xludf.DUMMYFUNCTION("""COMPUTED_VALUE"""),175.0)</f>
        <v>175</v>
      </c>
      <c r="C4209" s="10">
        <f>IFERROR(__xludf.DUMMYFUNCTION("""COMPUTED_VALUE"""),2037.0)</f>
        <v>2037</v>
      </c>
      <c r="D4209" s="5">
        <f>IFERROR(__xludf.DUMMYFUNCTION("""COMPUTED_VALUE"""),0.2744360902255639)</f>
        <v>0.2744360902</v>
      </c>
      <c r="E4209" s="5">
        <f>IFERROR(__xludf.DUMMYFUNCTION("""COMPUTED_VALUE"""),0.11922663802363051)</f>
        <v>0.119226638</v>
      </c>
      <c r="F4209" s="5">
        <f>IFERROR(__xludf.DUMMYFUNCTION("""COMPUTED_VALUE"""),0.19441460794844254)</f>
        <v>0.1944146079</v>
      </c>
      <c r="G4209" s="5">
        <f>IFERROR(__xludf.DUMMYFUNCTION("""COMPUTED_VALUE"""),0.15252416756176154)</f>
        <v>0.1525241676</v>
      </c>
      <c r="H4209" s="5">
        <f>IFERROR(__xludf.DUMMYFUNCTION("""COMPUTED_VALUE"""),0.6243093922651933)</f>
        <v>0.6243093923</v>
      </c>
      <c r="I4209" s="11">
        <f>IFERROR(__xludf.DUMMYFUNCTION("""COMPUTED_VALUE"""),5740.331491712707)</f>
        <v>5740.331492</v>
      </c>
      <c r="J4209" s="10">
        <f>IFERROR(__xludf.DUMMYFUNCTION("""COMPUTED_VALUE"""),0.0)</f>
        <v>0</v>
      </c>
      <c r="K4209" s="5">
        <f>IFERROR(__xludf.DUMMYFUNCTION("""COMPUTED_VALUE"""),0.0)</f>
        <v>0</v>
      </c>
      <c r="L4209" s="10">
        <f>IFERROR(__xludf.DUMMYFUNCTION("""COMPUTED_VALUE"""),8.0)</f>
        <v>8</v>
      </c>
      <c r="M4209" s="5">
        <f>IFERROR(__xludf.DUMMYFUNCTION("""COMPUTED_VALUE"""),0.045714285714285714)</f>
        <v>0.04571428571</v>
      </c>
    </row>
    <row r="4210">
      <c r="A4210" s="10" t="str">
        <f>IFERROR(__xludf.DUMMYFUNCTION("""COMPUTED_VALUE"""),"huka")</f>
        <v>huka</v>
      </c>
      <c r="B4210" s="10">
        <f>IFERROR(__xludf.DUMMYFUNCTION("""COMPUTED_VALUE"""),247.0)</f>
        <v>247</v>
      </c>
      <c r="C4210" s="10">
        <f>IFERROR(__xludf.DUMMYFUNCTION("""COMPUTED_VALUE"""),2948.0)</f>
        <v>2948</v>
      </c>
      <c r="D4210" s="5">
        <f>IFERROR(__xludf.DUMMYFUNCTION("""COMPUTED_VALUE"""),0.33024805627545356)</f>
        <v>0.3302480563</v>
      </c>
      <c r="E4210" s="5">
        <f>IFERROR(__xludf.DUMMYFUNCTION("""COMPUTED_VALUE"""),0.11921510551647538)</f>
        <v>0.1192151055</v>
      </c>
      <c r="F4210" s="5">
        <f>IFERROR(__xludf.DUMMYFUNCTION("""COMPUTED_VALUE"""),0.19733432062199185)</f>
        <v>0.1973343206</v>
      </c>
      <c r="G4210" s="5">
        <f>IFERROR(__xludf.DUMMYFUNCTION("""COMPUTED_VALUE"""),0.15845982969270642)</f>
        <v>0.1584598297</v>
      </c>
      <c r="H4210" s="5">
        <f>IFERROR(__xludf.DUMMYFUNCTION("""COMPUTED_VALUE"""),0.5947467166979362)</f>
        <v>0.5947467167</v>
      </c>
      <c r="I4210" s="11">
        <f>IFERROR(__xludf.DUMMYFUNCTION("""COMPUTED_VALUE"""),5908.067542213884)</f>
        <v>5908.067542</v>
      </c>
      <c r="J4210" s="10">
        <f>IFERROR(__xludf.DUMMYFUNCTION("""COMPUTED_VALUE"""),2.0)</f>
        <v>2</v>
      </c>
      <c r="K4210" s="5">
        <f>IFERROR(__xludf.DUMMYFUNCTION("""COMPUTED_VALUE"""),0.008097165991902834)</f>
        <v>0.008097165992</v>
      </c>
      <c r="L4210" s="10">
        <f>IFERROR(__xludf.DUMMYFUNCTION("""COMPUTED_VALUE"""),247.0)</f>
        <v>247</v>
      </c>
      <c r="M4210" s="5">
        <f>IFERROR(__xludf.DUMMYFUNCTION("""COMPUTED_VALUE"""),1.0)</f>
        <v>1</v>
      </c>
    </row>
    <row r="4211">
      <c r="A4211" s="10" t="str">
        <f>IFERROR(__xludf.DUMMYFUNCTION("""COMPUTED_VALUE"""),"tenkey3")</f>
        <v>tenkey3</v>
      </c>
      <c r="B4211" s="10">
        <f>IFERROR(__xludf.DUMMYFUNCTION("""COMPUTED_VALUE"""),1504.0)</f>
        <v>1504</v>
      </c>
      <c r="C4211" s="10">
        <f>IFERROR(__xludf.DUMMYFUNCTION("""COMPUTED_VALUE"""),17588.0)</f>
        <v>17588</v>
      </c>
      <c r="D4211" s="5">
        <f>IFERROR(__xludf.DUMMYFUNCTION("""COMPUTED_VALUE"""),0.2491295697587665)</f>
        <v>0.2491295698</v>
      </c>
      <c r="E4211" s="5">
        <f>IFERROR(__xludf.DUMMYFUNCTION("""COMPUTED_VALUE"""),0.11918676946033326)</f>
        <v>0.1191867695</v>
      </c>
      <c r="F4211" s="5">
        <f>IFERROR(__xludf.DUMMYFUNCTION("""COMPUTED_VALUE"""),0.19547376274558567)</f>
        <v>0.1954737627</v>
      </c>
      <c r="G4211" s="5">
        <f>IFERROR(__xludf.DUMMYFUNCTION("""COMPUTED_VALUE"""),0.18241730912708282)</f>
        <v>0.1824173091</v>
      </c>
      <c r="H4211" s="5">
        <f>IFERROR(__xludf.DUMMYFUNCTION("""COMPUTED_VALUE"""),0.5734732824427481)</f>
        <v>0.5734732824</v>
      </c>
      <c r="I4211" s="11">
        <f>IFERROR(__xludf.DUMMYFUNCTION("""COMPUTED_VALUE"""),6118.9567430025445)</f>
        <v>6118.956743</v>
      </c>
      <c r="J4211" s="10">
        <f>IFERROR(__xludf.DUMMYFUNCTION("""COMPUTED_VALUE"""),3.0)</f>
        <v>3</v>
      </c>
      <c r="K4211" s="5">
        <f>IFERROR(__xludf.DUMMYFUNCTION("""COMPUTED_VALUE"""),0.0019946808510638296)</f>
        <v>0.001994680851</v>
      </c>
      <c r="L4211" s="10">
        <f>IFERROR(__xludf.DUMMYFUNCTION("""COMPUTED_VALUE"""),1504.0)</f>
        <v>1504</v>
      </c>
      <c r="M4211" s="5">
        <f>IFERROR(__xludf.DUMMYFUNCTION("""COMPUTED_VALUE"""),1.0)</f>
        <v>1</v>
      </c>
    </row>
    <row r="4212">
      <c r="A4212" s="10" t="str">
        <f>IFERROR(__xludf.DUMMYFUNCTION("""COMPUTED_VALUE"""),"美樹☆さやか")</f>
        <v>美樹☆さやか</v>
      </c>
      <c r="B4212" s="10">
        <f>IFERROR(__xludf.DUMMYFUNCTION("""COMPUTED_VALUE"""),1136.0)</f>
        <v>1136</v>
      </c>
      <c r="C4212" s="10">
        <f>IFERROR(__xludf.DUMMYFUNCTION("""COMPUTED_VALUE"""),13321.0)</f>
        <v>13321</v>
      </c>
      <c r="D4212" s="5">
        <f>IFERROR(__xludf.DUMMYFUNCTION("""COMPUTED_VALUE"""),0.32663110381616745)</f>
        <v>0.3266311038</v>
      </c>
      <c r="E4212" s="5">
        <f>IFERROR(__xludf.DUMMYFUNCTION("""COMPUTED_VALUE"""),0.1191629052113254)</f>
        <v>0.1191629052</v>
      </c>
      <c r="F4212" s="5">
        <f>IFERROR(__xludf.DUMMYFUNCTION("""COMPUTED_VALUE"""),0.21534673779236765)</f>
        <v>0.2153467378</v>
      </c>
      <c r="G4212" s="5">
        <f>IFERROR(__xludf.DUMMYFUNCTION("""COMPUTED_VALUE"""),0.1768567911366434)</f>
        <v>0.1768567911</v>
      </c>
      <c r="H4212" s="5">
        <f>IFERROR(__xludf.DUMMYFUNCTION("""COMPUTED_VALUE"""),0.6002286585365854)</f>
        <v>0.6002286585</v>
      </c>
      <c r="I4212" s="11">
        <f>IFERROR(__xludf.DUMMYFUNCTION("""COMPUTED_VALUE"""),5998.551829268293)</f>
        <v>5998.551829</v>
      </c>
      <c r="J4212" s="10">
        <f>IFERROR(__xludf.DUMMYFUNCTION("""COMPUTED_VALUE"""),2.0)</f>
        <v>2</v>
      </c>
      <c r="K4212" s="5">
        <f>IFERROR(__xludf.DUMMYFUNCTION("""COMPUTED_VALUE"""),0.0017605633802816902)</f>
        <v>0.00176056338</v>
      </c>
      <c r="L4212" s="10">
        <f>IFERROR(__xludf.DUMMYFUNCTION("""COMPUTED_VALUE"""),0.0)</f>
        <v>0</v>
      </c>
      <c r="M4212" s="5">
        <f>IFERROR(__xludf.DUMMYFUNCTION("""COMPUTED_VALUE"""),0.0)</f>
        <v>0</v>
      </c>
    </row>
    <row r="4213">
      <c r="A4213" s="10" t="str">
        <f>IFERROR(__xludf.DUMMYFUNCTION("""COMPUTED_VALUE"""),"kogepan")</f>
        <v>kogepan</v>
      </c>
      <c r="B4213" s="10">
        <f>IFERROR(__xludf.DUMMYFUNCTION("""COMPUTED_VALUE"""),636.0)</f>
        <v>636</v>
      </c>
      <c r="C4213" s="10">
        <f>IFERROR(__xludf.DUMMYFUNCTION("""COMPUTED_VALUE"""),7468.0)</f>
        <v>7468</v>
      </c>
      <c r="D4213" s="5">
        <f>IFERROR(__xludf.DUMMYFUNCTION("""COMPUTED_VALUE"""),0.30635245901639346)</f>
        <v>0.306352459</v>
      </c>
      <c r="E4213" s="5">
        <f>IFERROR(__xludf.DUMMYFUNCTION("""COMPUTED_VALUE"""),0.11914519906323184)</f>
        <v>0.1191451991</v>
      </c>
      <c r="F4213" s="5">
        <f>IFERROR(__xludf.DUMMYFUNCTION("""COMPUTED_VALUE"""),0.20447892271662763)</f>
        <v>0.2044789227</v>
      </c>
      <c r="G4213" s="5">
        <f>IFERROR(__xludf.DUMMYFUNCTION("""COMPUTED_VALUE"""),0.19979508196721313)</f>
        <v>0.199795082</v>
      </c>
      <c r="H4213" s="5">
        <f>IFERROR(__xludf.DUMMYFUNCTION("""COMPUTED_VALUE"""),0.5855404438081604)</f>
        <v>0.5855404438</v>
      </c>
      <c r="I4213" s="11">
        <f>IFERROR(__xludf.DUMMYFUNCTION("""COMPUTED_VALUE"""),6224.266284896206)</f>
        <v>6224.266285</v>
      </c>
      <c r="J4213" s="10">
        <f>IFERROR(__xludf.DUMMYFUNCTION("""COMPUTED_VALUE"""),1.0)</f>
        <v>1</v>
      </c>
      <c r="K4213" s="5">
        <f>IFERROR(__xludf.DUMMYFUNCTION("""COMPUTED_VALUE"""),0.0015723270440251573)</f>
        <v>0.001572327044</v>
      </c>
      <c r="L4213" s="10">
        <f>IFERROR(__xludf.DUMMYFUNCTION("""COMPUTED_VALUE"""),636.0)</f>
        <v>636</v>
      </c>
      <c r="M4213" s="5">
        <f>IFERROR(__xludf.DUMMYFUNCTION("""COMPUTED_VALUE"""),1.0)</f>
        <v>1</v>
      </c>
    </row>
    <row r="4214">
      <c r="A4214" s="10" t="str">
        <f>IFERROR(__xludf.DUMMYFUNCTION("""COMPUTED_VALUE"""),"暗い符")</f>
        <v>暗い符</v>
      </c>
      <c r="B4214" s="10">
        <f>IFERROR(__xludf.DUMMYFUNCTION("""COMPUTED_VALUE"""),2523.0)</f>
        <v>2523</v>
      </c>
      <c r="C4214" s="10">
        <f>IFERROR(__xludf.DUMMYFUNCTION("""COMPUTED_VALUE"""),29743.0)</f>
        <v>29743</v>
      </c>
      <c r="D4214" s="5">
        <f>IFERROR(__xludf.DUMMYFUNCTION("""COMPUTED_VALUE"""),0.36869948567229976)</f>
        <v>0.3686994857</v>
      </c>
      <c r="E4214" s="5">
        <f>IFERROR(__xludf.DUMMYFUNCTION("""COMPUTED_VALUE"""),0.11914033798677442)</f>
        <v>0.119140338</v>
      </c>
      <c r="F4214" s="5">
        <f>IFERROR(__xludf.DUMMYFUNCTION("""COMPUTED_VALUE"""),0.19753857457751653)</f>
        <v>0.1975385746</v>
      </c>
      <c r="G4214" s="5">
        <f>IFERROR(__xludf.DUMMYFUNCTION("""COMPUTED_VALUE"""),0.13210874357090374)</f>
        <v>0.1321087436</v>
      </c>
      <c r="H4214" s="5">
        <f>IFERROR(__xludf.DUMMYFUNCTION("""COMPUTED_VALUE"""),0.5953133717686442)</f>
        <v>0.5953133718</v>
      </c>
      <c r="I4214" s="11">
        <f>IFERROR(__xludf.DUMMYFUNCTION("""COMPUTED_VALUE"""),5950.3998512181515)</f>
        <v>5950.399851</v>
      </c>
      <c r="J4214" s="10">
        <f>IFERROR(__xludf.DUMMYFUNCTION("""COMPUTED_VALUE"""),4.0)</f>
        <v>4</v>
      </c>
      <c r="K4214" s="5">
        <f>IFERROR(__xludf.DUMMYFUNCTION("""COMPUTED_VALUE"""),0.0015854141894569957)</f>
        <v>0.001585414189</v>
      </c>
      <c r="L4214" s="10">
        <f>IFERROR(__xludf.DUMMYFUNCTION("""COMPUTED_VALUE"""),2523.0)</f>
        <v>2523</v>
      </c>
      <c r="M4214" s="5">
        <f>IFERROR(__xludf.DUMMYFUNCTION("""COMPUTED_VALUE"""),1.0)</f>
        <v>1</v>
      </c>
    </row>
    <row r="4215">
      <c r="A4215" s="10" t="str">
        <f>IFERROR(__xludf.DUMMYFUNCTION("""COMPUTED_VALUE"""),"石川智晶")</f>
        <v>石川智晶</v>
      </c>
      <c r="B4215" s="10">
        <f>IFERROR(__xludf.DUMMYFUNCTION("""COMPUTED_VALUE"""),557.0)</f>
        <v>557</v>
      </c>
      <c r="C4215" s="10">
        <f>IFERROR(__xludf.DUMMYFUNCTION("""COMPUTED_VALUE"""),6441.0)</f>
        <v>6441</v>
      </c>
      <c r="D4215" s="5">
        <f>IFERROR(__xludf.DUMMYFUNCTION("""COMPUTED_VALUE"""),0.3450033990482665)</f>
        <v>0.345003399</v>
      </c>
      <c r="E4215" s="5">
        <f>IFERROR(__xludf.DUMMYFUNCTION("""COMPUTED_VALUE"""),0.11913664174031272)</f>
        <v>0.1191366417</v>
      </c>
      <c r="F4215" s="5">
        <f>IFERROR(__xludf.DUMMYFUNCTION("""COMPUTED_VALUE"""),0.19680489462950373)</f>
        <v>0.1968048946</v>
      </c>
      <c r="G4215" s="5">
        <f>IFERROR(__xludf.DUMMYFUNCTION("""COMPUTED_VALUE"""),0.16859279401767505)</f>
        <v>0.168592794</v>
      </c>
      <c r="H4215" s="5">
        <f>IFERROR(__xludf.DUMMYFUNCTION("""COMPUTED_VALUE"""),0.5898100172711571)</f>
        <v>0.5898100173</v>
      </c>
      <c r="I4215" s="11">
        <f>IFERROR(__xludf.DUMMYFUNCTION("""COMPUTED_VALUE"""),5846.113989637306)</f>
        <v>5846.11399</v>
      </c>
      <c r="J4215" s="10">
        <f>IFERROR(__xludf.DUMMYFUNCTION("""COMPUTED_VALUE"""),2.0)</f>
        <v>2</v>
      </c>
      <c r="K4215" s="5">
        <f>IFERROR(__xludf.DUMMYFUNCTION("""COMPUTED_VALUE"""),0.003590664272890485)</f>
        <v>0.003590664273</v>
      </c>
      <c r="L4215" s="10">
        <f>IFERROR(__xludf.DUMMYFUNCTION("""COMPUTED_VALUE"""),0.0)</f>
        <v>0</v>
      </c>
      <c r="M4215" s="5">
        <f>IFERROR(__xludf.DUMMYFUNCTION("""COMPUTED_VALUE"""),0.0)</f>
        <v>0</v>
      </c>
    </row>
    <row r="4216">
      <c r="A4216" s="10" t="str">
        <f>IFERROR(__xludf.DUMMYFUNCTION("""COMPUTED_VALUE"""),"healthy7")</f>
        <v>healthy7</v>
      </c>
      <c r="B4216" s="10">
        <f>IFERROR(__xludf.DUMMYFUNCTION("""COMPUTED_VALUE"""),1292.0)</f>
        <v>1292</v>
      </c>
      <c r="C4216" s="10">
        <f>IFERROR(__xludf.DUMMYFUNCTION("""COMPUTED_VALUE"""),15579.0)</f>
        <v>15579</v>
      </c>
      <c r="D4216" s="5">
        <f>IFERROR(__xludf.DUMMYFUNCTION("""COMPUTED_VALUE"""),0.3508784209421152)</f>
        <v>0.3508784209</v>
      </c>
      <c r="E4216" s="5">
        <f>IFERROR(__xludf.DUMMYFUNCTION("""COMPUTED_VALUE"""),0.11912927836494716)</f>
        <v>0.1191292784</v>
      </c>
      <c r="F4216" s="5">
        <f>IFERROR(__xludf.DUMMYFUNCTION("""COMPUTED_VALUE"""),0.20340169384755372)</f>
        <v>0.2034016938</v>
      </c>
      <c r="G4216" s="5">
        <f>IFERROR(__xludf.DUMMYFUNCTION("""COMPUTED_VALUE"""),0.134457898789109)</f>
        <v>0.1344578988</v>
      </c>
      <c r="H4216" s="5">
        <f>IFERROR(__xludf.DUMMYFUNCTION("""COMPUTED_VALUE"""),0.5963523743977976)</f>
        <v>0.5963523744</v>
      </c>
      <c r="I4216" s="11">
        <f>IFERROR(__xludf.DUMMYFUNCTION("""COMPUTED_VALUE"""),5257.32966276669)</f>
        <v>5257.329663</v>
      </c>
      <c r="J4216" s="10">
        <f>IFERROR(__xludf.DUMMYFUNCTION("""COMPUTED_VALUE"""),3.0)</f>
        <v>3</v>
      </c>
      <c r="K4216" s="5">
        <f>IFERROR(__xludf.DUMMYFUNCTION("""COMPUTED_VALUE"""),0.0023219814241486067)</f>
        <v>0.002321981424</v>
      </c>
      <c r="L4216" s="10">
        <f>IFERROR(__xludf.DUMMYFUNCTION("""COMPUTED_VALUE"""),1292.0)</f>
        <v>1292</v>
      </c>
      <c r="M4216" s="5">
        <f>IFERROR(__xludf.DUMMYFUNCTION("""COMPUTED_VALUE"""),1.0)</f>
        <v>1</v>
      </c>
    </row>
    <row r="4217">
      <c r="A4217" s="10" t="str">
        <f>IFERROR(__xludf.DUMMYFUNCTION("""COMPUTED_VALUE"""),"牛丼大魔神")</f>
        <v>牛丼大魔神</v>
      </c>
      <c r="B4217" s="10">
        <f>IFERROR(__xludf.DUMMYFUNCTION("""COMPUTED_VALUE"""),401.0)</f>
        <v>401</v>
      </c>
      <c r="C4217" s="10">
        <f>IFERROR(__xludf.DUMMYFUNCTION("""COMPUTED_VALUE"""),4850.0)</f>
        <v>4850</v>
      </c>
      <c r="D4217" s="5">
        <f>IFERROR(__xludf.DUMMYFUNCTION("""COMPUTED_VALUE"""),0.37626432906271073)</f>
        <v>0.3762643291</v>
      </c>
      <c r="E4217" s="5">
        <f>IFERROR(__xludf.DUMMYFUNCTION("""COMPUTED_VALUE"""),0.11912789390874354)</f>
        <v>0.1191278939</v>
      </c>
      <c r="F4217" s="5">
        <f>IFERROR(__xludf.DUMMYFUNCTION("""COMPUTED_VALUE"""),0.20836142953472692)</f>
        <v>0.2083614295</v>
      </c>
      <c r="G4217" s="5">
        <f>IFERROR(__xludf.DUMMYFUNCTION("""COMPUTED_VALUE"""),0.149921330636098)</f>
        <v>0.1499213306</v>
      </c>
      <c r="H4217" s="5">
        <f>IFERROR(__xludf.DUMMYFUNCTION("""COMPUTED_VALUE"""),0.6040992448759439)</f>
        <v>0.6040992449</v>
      </c>
      <c r="I4217" s="11">
        <f>IFERROR(__xludf.DUMMYFUNCTION("""COMPUTED_VALUE"""),5482.308522114347)</f>
        <v>5482.308522</v>
      </c>
      <c r="J4217" s="10">
        <f>IFERROR(__xludf.DUMMYFUNCTION("""COMPUTED_VALUE"""),0.0)</f>
        <v>0</v>
      </c>
      <c r="K4217" s="5">
        <f>IFERROR(__xludf.DUMMYFUNCTION("""COMPUTED_VALUE"""),0.0)</f>
        <v>0</v>
      </c>
      <c r="L4217" s="10">
        <f>IFERROR(__xludf.DUMMYFUNCTION("""COMPUTED_VALUE"""),308.0)</f>
        <v>308</v>
      </c>
      <c r="M4217" s="5">
        <f>IFERROR(__xludf.DUMMYFUNCTION("""COMPUTED_VALUE"""),0.7680798004987531)</f>
        <v>0.7680798005</v>
      </c>
    </row>
    <row r="4218">
      <c r="A4218" s="10" t="str">
        <f>IFERROR(__xludf.DUMMYFUNCTION("""COMPUTED_VALUE"""),"アルダンn")</f>
        <v>アルダンn</v>
      </c>
      <c r="B4218" s="10">
        <f>IFERROR(__xludf.DUMMYFUNCTION("""COMPUTED_VALUE"""),1134.0)</f>
        <v>1134</v>
      </c>
      <c r="C4218" s="10">
        <f>IFERROR(__xludf.DUMMYFUNCTION("""COMPUTED_VALUE"""),13467.0)</f>
        <v>13467</v>
      </c>
      <c r="D4218" s="5">
        <f>IFERROR(__xludf.DUMMYFUNCTION("""COMPUTED_VALUE"""),0.3506040703802806)</f>
        <v>0.3506040704</v>
      </c>
      <c r="E4218" s="5">
        <f>IFERROR(__xludf.DUMMYFUNCTION("""COMPUTED_VALUE"""),0.11911132733317116)</f>
        <v>0.1191113273</v>
      </c>
      <c r="F4218" s="5">
        <f>IFERROR(__xludf.DUMMYFUNCTION("""COMPUTED_VALUE"""),0.21146517473445228)</f>
        <v>0.2114651747</v>
      </c>
      <c r="G4218" s="5">
        <f>IFERROR(__xludf.DUMMYFUNCTION("""COMPUTED_VALUE"""),0.16808562393578205)</f>
        <v>0.1680856239</v>
      </c>
      <c r="H4218" s="5">
        <f>IFERROR(__xludf.DUMMYFUNCTION("""COMPUTED_VALUE"""),0.5993098159509203)</f>
        <v>0.599309816</v>
      </c>
      <c r="I4218" s="11">
        <f>IFERROR(__xludf.DUMMYFUNCTION("""COMPUTED_VALUE"""),5617.599693251534)</f>
        <v>5617.599693</v>
      </c>
      <c r="J4218" s="10">
        <f>IFERROR(__xludf.DUMMYFUNCTION("""COMPUTED_VALUE"""),2.0)</f>
        <v>2</v>
      </c>
      <c r="K4218" s="5">
        <f>IFERROR(__xludf.DUMMYFUNCTION("""COMPUTED_VALUE"""),0.001763668430335097)</f>
        <v>0.00176366843</v>
      </c>
      <c r="L4218" s="10">
        <f>IFERROR(__xludf.DUMMYFUNCTION("""COMPUTED_VALUE"""),1134.0)</f>
        <v>1134</v>
      </c>
      <c r="M4218" s="5">
        <f>IFERROR(__xludf.DUMMYFUNCTION("""COMPUTED_VALUE"""),1.0)</f>
        <v>1</v>
      </c>
    </row>
    <row r="4219">
      <c r="A4219" s="10" t="str">
        <f>IFERROR(__xludf.DUMMYFUNCTION("""COMPUTED_VALUE"""),"ニシムーン")</f>
        <v>ニシムーン</v>
      </c>
      <c r="B4219" s="10">
        <f>IFERROR(__xludf.DUMMYFUNCTION("""COMPUTED_VALUE"""),776.0)</f>
        <v>776</v>
      </c>
      <c r="C4219" s="10">
        <f>IFERROR(__xludf.DUMMYFUNCTION("""COMPUTED_VALUE"""),9249.0)</f>
        <v>9249</v>
      </c>
      <c r="D4219" s="5">
        <f>IFERROR(__xludf.DUMMYFUNCTION("""COMPUTED_VALUE"""),0.408946063967898)</f>
        <v>0.408946064</v>
      </c>
      <c r="E4219" s="5">
        <f>IFERROR(__xludf.DUMMYFUNCTION("""COMPUTED_VALUE"""),0.11908414965183524)</f>
        <v>0.1190841497</v>
      </c>
      <c r="F4219" s="5">
        <f>IFERROR(__xludf.DUMMYFUNCTION("""COMPUTED_VALUE"""),0.21125929422872655)</f>
        <v>0.2112592942</v>
      </c>
      <c r="G4219" s="5">
        <f>IFERROR(__xludf.DUMMYFUNCTION("""COMPUTED_VALUE"""),0.14375073763720053)</f>
        <v>0.1437507376</v>
      </c>
      <c r="H4219" s="5">
        <f>IFERROR(__xludf.DUMMYFUNCTION("""COMPUTED_VALUE"""),0.6089385474860335)</f>
        <v>0.6089385475</v>
      </c>
      <c r="I4219" s="11">
        <f>IFERROR(__xludf.DUMMYFUNCTION("""COMPUTED_VALUE"""),5294.301675977654)</f>
        <v>5294.301676</v>
      </c>
      <c r="J4219" s="10">
        <f>IFERROR(__xludf.DUMMYFUNCTION("""COMPUTED_VALUE"""),2.0)</f>
        <v>2</v>
      </c>
      <c r="K4219" s="5">
        <f>IFERROR(__xludf.DUMMYFUNCTION("""COMPUTED_VALUE"""),0.002577319587628866)</f>
        <v>0.002577319588</v>
      </c>
      <c r="L4219" s="10">
        <f>IFERROR(__xludf.DUMMYFUNCTION("""COMPUTED_VALUE"""),342.0)</f>
        <v>342</v>
      </c>
      <c r="M4219" s="5">
        <f>IFERROR(__xludf.DUMMYFUNCTION("""COMPUTED_VALUE"""),0.44072164948453607)</f>
        <v>0.4407216495</v>
      </c>
    </row>
    <row r="4220">
      <c r="A4220" s="10" t="str">
        <f>IFERROR(__xludf.DUMMYFUNCTION("""COMPUTED_VALUE"""),"あねもね")</f>
        <v>あねもね</v>
      </c>
      <c r="B4220" s="10">
        <f>IFERROR(__xludf.DUMMYFUNCTION("""COMPUTED_VALUE"""),270.0)</f>
        <v>270</v>
      </c>
      <c r="C4220" s="10">
        <f>IFERROR(__xludf.DUMMYFUNCTION("""COMPUTED_VALUE"""),3100.0)</f>
        <v>3100</v>
      </c>
      <c r="D4220" s="5">
        <f>IFERROR(__xludf.DUMMYFUNCTION("""COMPUTED_VALUE"""),0.32932862190812723)</f>
        <v>0.3293286219</v>
      </c>
      <c r="E4220" s="5">
        <f>IFERROR(__xludf.DUMMYFUNCTION("""COMPUTED_VALUE"""),0.11908127208480565)</f>
        <v>0.1190812721</v>
      </c>
      <c r="F4220" s="5">
        <f>IFERROR(__xludf.DUMMYFUNCTION("""COMPUTED_VALUE"""),0.21024734982332155)</f>
        <v>0.2102473498</v>
      </c>
      <c r="G4220" s="5">
        <f>IFERROR(__xludf.DUMMYFUNCTION("""COMPUTED_VALUE"""),0.17915194346289753)</f>
        <v>0.1791519435</v>
      </c>
      <c r="H4220" s="5">
        <f>IFERROR(__xludf.DUMMYFUNCTION("""COMPUTED_VALUE"""),0.5714285714285714)</f>
        <v>0.5714285714</v>
      </c>
      <c r="I4220" s="11">
        <f>IFERROR(__xludf.DUMMYFUNCTION("""COMPUTED_VALUE"""),5816.302521008403)</f>
        <v>5816.302521</v>
      </c>
      <c r="J4220" s="10">
        <f>IFERROR(__xludf.DUMMYFUNCTION("""COMPUTED_VALUE"""),1.0)</f>
        <v>1</v>
      </c>
      <c r="K4220" s="5">
        <f>IFERROR(__xludf.DUMMYFUNCTION("""COMPUTED_VALUE"""),0.003703703703703704)</f>
        <v>0.003703703704</v>
      </c>
      <c r="L4220" s="10">
        <f>IFERROR(__xludf.DUMMYFUNCTION("""COMPUTED_VALUE"""),0.0)</f>
        <v>0</v>
      </c>
      <c r="M4220" s="5">
        <f>IFERROR(__xludf.DUMMYFUNCTION("""COMPUTED_VALUE"""),0.0)</f>
        <v>0</v>
      </c>
    </row>
    <row r="4221">
      <c r="A4221" s="10" t="str">
        <f>IFERROR(__xludf.DUMMYFUNCTION("""COMPUTED_VALUE"""),"ゼロスビート")</f>
        <v>ゼロスビート</v>
      </c>
      <c r="B4221" s="10">
        <f>IFERROR(__xludf.DUMMYFUNCTION("""COMPUTED_VALUE"""),261.0)</f>
        <v>261</v>
      </c>
      <c r="C4221" s="10">
        <f>IFERROR(__xludf.DUMMYFUNCTION("""COMPUTED_VALUE"""),3133.0)</f>
        <v>3133</v>
      </c>
      <c r="D4221" s="5">
        <f>IFERROR(__xludf.DUMMYFUNCTION("""COMPUTED_VALUE"""),0.306058495821727)</f>
        <v>0.3060584958</v>
      </c>
      <c r="E4221" s="5">
        <f>IFERROR(__xludf.DUMMYFUNCTION("""COMPUTED_VALUE"""),0.1190807799442897)</f>
        <v>0.1190807799</v>
      </c>
      <c r="F4221" s="5">
        <f>IFERROR(__xludf.DUMMYFUNCTION("""COMPUTED_VALUE"""),0.20055710306406685)</f>
        <v>0.2005571031</v>
      </c>
      <c r="G4221" s="5">
        <f>IFERROR(__xludf.DUMMYFUNCTION("""COMPUTED_VALUE"""),0.16887186629526463)</f>
        <v>0.1688718663</v>
      </c>
      <c r="H4221" s="5">
        <f>IFERROR(__xludf.DUMMYFUNCTION("""COMPUTED_VALUE"""),0.5711805555555556)</f>
        <v>0.5711805556</v>
      </c>
      <c r="I4221" s="11">
        <f>IFERROR(__xludf.DUMMYFUNCTION("""COMPUTED_VALUE"""),5755.729166666667)</f>
        <v>5755.729167</v>
      </c>
      <c r="J4221" s="10">
        <f>IFERROR(__xludf.DUMMYFUNCTION("""COMPUTED_VALUE"""),0.0)</f>
        <v>0</v>
      </c>
      <c r="K4221" s="5">
        <f>IFERROR(__xludf.DUMMYFUNCTION("""COMPUTED_VALUE"""),0.0)</f>
        <v>0</v>
      </c>
      <c r="L4221" s="10">
        <f>IFERROR(__xludf.DUMMYFUNCTION("""COMPUTED_VALUE"""),82.0)</f>
        <v>82</v>
      </c>
      <c r="M4221" s="5">
        <f>IFERROR(__xludf.DUMMYFUNCTION("""COMPUTED_VALUE"""),0.31417624521072796)</f>
        <v>0.3141762452</v>
      </c>
    </row>
    <row r="4222">
      <c r="A4222" s="10" t="str">
        <f>IFERROR(__xludf.DUMMYFUNCTION("""COMPUTED_VALUE"""),"ビスクドール")</f>
        <v>ビスクドール</v>
      </c>
      <c r="B4222" s="10">
        <f>IFERROR(__xludf.DUMMYFUNCTION("""COMPUTED_VALUE"""),2967.0)</f>
        <v>2967</v>
      </c>
      <c r="C4222" s="10">
        <f>IFERROR(__xludf.DUMMYFUNCTION("""COMPUTED_VALUE"""),34459.0)</f>
        <v>34459</v>
      </c>
      <c r="D4222" s="5">
        <f>IFERROR(__xludf.DUMMYFUNCTION("""COMPUTED_VALUE"""),0.2929315381684237)</f>
        <v>0.2929315382</v>
      </c>
      <c r="E4222" s="5">
        <f>IFERROR(__xludf.DUMMYFUNCTION("""COMPUTED_VALUE"""),0.11907786104407468)</f>
        <v>0.119077861</v>
      </c>
      <c r="F4222" s="5">
        <f>IFERROR(__xludf.DUMMYFUNCTION("""COMPUTED_VALUE"""),0.20589356026927474)</f>
        <v>0.2058935603</v>
      </c>
      <c r="G4222" s="5">
        <f>IFERROR(__xludf.DUMMYFUNCTION("""COMPUTED_VALUE"""),0.14648164613235107)</f>
        <v>0.1464816461</v>
      </c>
      <c r="H4222" s="5">
        <f>IFERROR(__xludf.DUMMYFUNCTION("""COMPUTED_VALUE"""),0.6088834053053671)</f>
        <v>0.6088834053</v>
      </c>
      <c r="I4222" s="11">
        <f>IFERROR(__xludf.DUMMYFUNCTION("""COMPUTED_VALUE"""),5693.738433066009)</f>
        <v>5693.738433</v>
      </c>
      <c r="J4222" s="10">
        <f>IFERROR(__xludf.DUMMYFUNCTION("""COMPUTED_VALUE"""),8.0)</f>
        <v>8</v>
      </c>
      <c r="K4222" s="5">
        <f>IFERROR(__xludf.DUMMYFUNCTION("""COMPUTED_VALUE"""),0.002696326255476913)</f>
        <v>0.002696326255</v>
      </c>
      <c r="L4222" s="10">
        <f>IFERROR(__xludf.DUMMYFUNCTION("""COMPUTED_VALUE"""),0.0)</f>
        <v>0</v>
      </c>
      <c r="M4222" s="5">
        <f>IFERROR(__xludf.DUMMYFUNCTION("""COMPUTED_VALUE"""),0.0)</f>
        <v>0</v>
      </c>
    </row>
    <row r="4223">
      <c r="A4223" s="10" t="str">
        <f>IFERROR(__xludf.DUMMYFUNCTION("""COMPUTED_VALUE"""),"zukky910")</f>
        <v>zukky910</v>
      </c>
      <c r="B4223" s="10">
        <f>IFERROR(__xludf.DUMMYFUNCTION("""COMPUTED_VALUE"""),187.0)</f>
        <v>187</v>
      </c>
      <c r="C4223" s="10">
        <f>IFERROR(__xludf.DUMMYFUNCTION("""COMPUTED_VALUE"""),2169.0)</f>
        <v>2169</v>
      </c>
      <c r="D4223" s="5">
        <f>IFERROR(__xludf.DUMMYFUNCTION("""COMPUTED_VALUE"""),0.3622603430877901)</f>
        <v>0.3622603431</v>
      </c>
      <c r="E4223" s="5">
        <f>IFERROR(__xludf.DUMMYFUNCTION("""COMPUTED_VALUE"""),0.11907164480322906)</f>
        <v>0.1190716448</v>
      </c>
      <c r="F4223" s="5">
        <f>IFERROR(__xludf.DUMMYFUNCTION("""COMPUTED_VALUE"""),0.20282542885973764)</f>
        <v>0.2028254289</v>
      </c>
      <c r="G4223" s="5">
        <f>IFERROR(__xludf.DUMMYFUNCTION("""COMPUTED_VALUE"""),0.1781029263370333)</f>
        <v>0.1781029263</v>
      </c>
      <c r="H4223" s="5">
        <f>IFERROR(__xludf.DUMMYFUNCTION("""COMPUTED_VALUE"""),0.5895522388059702)</f>
        <v>0.5895522388</v>
      </c>
      <c r="I4223" s="11">
        <f>IFERROR(__xludf.DUMMYFUNCTION("""COMPUTED_VALUE"""),6064.925373134329)</f>
        <v>6064.925373</v>
      </c>
      <c r="J4223" s="10">
        <f>IFERROR(__xludf.DUMMYFUNCTION("""COMPUTED_VALUE"""),0.0)</f>
        <v>0</v>
      </c>
      <c r="K4223" s="5">
        <f>IFERROR(__xludf.DUMMYFUNCTION("""COMPUTED_VALUE"""),0.0)</f>
        <v>0</v>
      </c>
      <c r="L4223" s="10">
        <f>IFERROR(__xludf.DUMMYFUNCTION("""COMPUTED_VALUE"""),187.0)</f>
        <v>187</v>
      </c>
      <c r="M4223" s="5">
        <f>IFERROR(__xludf.DUMMYFUNCTION("""COMPUTED_VALUE"""),1.0)</f>
        <v>1</v>
      </c>
    </row>
    <row r="4224">
      <c r="A4224" s="10" t="str">
        <f>IFERROR(__xludf.DUMMYFUNCTION("""COMPUTED_VALUE"""),"バリッサ")</f>
        <v>バリッサ</v>
      </c>
      <c r="B4224" s="10">
        <f>IFERROR(__xludf.DUMMYFUNCTION("""COMPUTED_VALUE"""),223.0)</f>
        <v>223</v>
      </c>
      <c r="C4224" s="10">
        <f>IFERROR(__xludf.DUMMYFUNCTION("""COMPUTED_VALUE"""),2625.0)</f>
        <v>2625</v>
      </c>
      <c r="D4224" s="5">
        <f>IFERROR(__xludf.DUMMYFUNCTION("""COMPUTED_VALUE"""),0.2697751873438801)</f>
        <v>0.2697751873</v>
      </c>
      <c r="E4224" s="5">
        <f>IFERROR(__xludf.DUMMYFUNCTION("""COMPUTED_VALUE"""),0.11906744379683597)</f>
        <v>0.1190674438</v>
      </c>
      <c r="F4224" s="5">
        <f>IFERROR(__xludf.DUMMYFUNCTION("""COMPUTED_VALUE"""),0.1806827643630308)</f>
        <v>0.1806827644</v>
      </c>
      <c r="G4224" s="5">
        <f>IFERROR(__xludf.DUMMYFUNCTION("""COMPUTED_VALUE"""),0.15986677768526228)</f>
        <v>0.1598667777</v>
      </c>
      <c r="H4224" s="5">
        <f>IFERROR(__xludf.DUMMYFUNCTION("""COMPUTED_VALUE"""),0.5806451612903226)</f>
        <v>0.5806451613</v>
      </c>
      <c r="I4224" s="11">
        <f>IFERROR(__xludf.DUMMYFUNCTION("""COMPUTED_VALUE"""),5376.958525345623)</f>
        <v>5376.958525</v>
      </c>
      <c r="J4224" s="10">
        <f>IFERROR(__xludf.DUMMYFUNCTION("""COMPUTED_VALUE"""),0.0)</f>
        <v>0</v>
      </c>
      <c r="K4224" s="5">
        <f>IFERROR(__xludf.DUMMYFUNCTION("""COMPUTED_VALUE"""),0.0)</f>
        <v>0</v>
      </c>
      <c r="L4224" s="10">
        <f>IFERROR(__xludf.DUMMYFUNCTION("""COMPUTED_VALUE"""),223.0)</f>
        <v>223</v>
      </c>
      <c r="M4224" s="5">
        <f>IFERROR(__xludf.DUMMYFUNCTION("""COMPUTED_VALUE"""),1.0)</f>
        <v>1</v>
      </c>
    </row>
    <row r="4225">
      <c r="A4225" s="10" t="str">
        <f>IFERROR(__xludf.DUMMYFUNCTION("""COMPUTED_VALUE"""),"矢澤にこ")</f>
        <v>矢澤にこ</v>
      </c>
      <c r="B4225" s="10">
        <f>IFERROR(__xludf.DUMMYFUNCTION("""COMPUTED_VALUE"""),1372.0)</f>
        <v>1372</v>
      </c>
      <c r="C4225" s="10">
        <f>IFERROR(__xludf.DUMMYFUNCTION("""COMPUTED_VALUE"""),15944.0)</f>
        <v>15944</v>
      </c>
      <c r="D4225" s="5">
        <f>IFERROR(__xludf.DUMMYFUNCTION("""COMPUTED_VALUE"""),0.29412572055997804)</f>
        <v>0.2941257206</v>
      </c>
      <c r="E4225" s="5">
        <f>IFERROR(__xludf.DUMMYFUNCTION("""COMPUTED_VALUE"""),0.11906395827614603)</f>
        <v>0.1190639583</v>
      </c>
      <c r="F4225" s="5">
        <f>IFERROR(__xludf.DUMMYFUNCTION("""COMPUTED_VALUE"""),0.20772714795498215)</f>
        <v>0.207727148</v>
      </c>
      <c r="G4225" s="5">
        <f>IFERROR(__xludf.DUMMYFUNCTION("""COMPUTED_VALUE"""),0.18645347241284654)</f>
        <v>0.1864534724</v>
      </c>
      <c r="H4225" s="5">
        <f>IFERROR(__xludf.DUMMYFUNCTION("""COMPUTED_VALUE"""),0.5939874463164849)</f>
        <v>0.5939874463</v>
      </c>
      <c r="I4225" s="11">
        <f>IFERROR(__xludf.DUMMYFUNCTION("""COMPUTED_VALUE"""),5765.444334324414)</f>
        <v>5765.444334</v>
      </c>
      <c r="J4225" s="10">
        <f>IFERROR(__xludf.DUMMYFUNCTION("""COMPUTED_VALUE"""),4.0)</f>
        <v>4</v>
      </c>
      <c r="K4225" s="5">
        <f>IFERROR(__xludf.DUMMYFUNCTION("""COMPUTED_VALUE"""),0.0029154518950437317)</f>
        <v>0.002915451895</v>
      </c>
      <c r="L4225" s="10">
        <f>IFERROR(__xludf.DUMMYFUNCTION("""COMPUTED_VALUE"""),0.0)</f>
        <v>0</v>
      </c>
      <c r="M4225" s="5">
        <f>IFERROR(__xludf.DUMMYFUNCTION("""COMPUTED_VALUE"""),0.0)</f>
        <v>0</v>
      </c>
    </row>
    <row r="4226">
      <c r="A4226" s="10" t="str">
        <f>IFERROR(__xludf.DUMMYFUNCTION("""COMPUTED_VALUE"""),"枝豆カレー甘口")</f>
        <v>枝豆カレー甘口</v>
      </c>
      <c r="B4226" s="10">
        <f>IFERROR(__xludf.DUMMYFUNCTION("""COMPUTED_VALUE"""),3027.0)</f>
        <v>3027</v>
      </c>
      <c r="C4226" s="10">
        <f>IFERROR(__xludf.DUMMYFUNCTION("""COMPUTED_VALUE"""),35817.0)</f>
        <v>35817</v>
      </c>
      <c r="D4226" s="5">
        <f>IFERROR(__xludf.DUMMYFUNCTION("""COMPUTED_VALUE"""),0.32162244586764255)</f>
        <v>0.3216224459</v>
      </c>
      <c r="E4226" s="5">
        <f>IFERROR(__xludf.DUMMYFUNCTION("""COMPUTED_VALUE"""),0.11906068923452272)</f>
        <v>0.1190606892</v>
      </c>
      <c r="F4226" s="5">
        <f>IFERROR(__xludf.DUMMYFUNCTION("""COMPUTED_VALUE"""),0.20375114364135408)</f>
        <v>0.2037511436</v>
      </c>
      <c r="G4226" s="5">
        <f>IFERROR(__xludf.DUMMYFUNCTION("""COMPUTED_VALUE"""),0.14315340042695943)</f>
        <v>0.1431534004</v>
      </c>
      <c r="H4226" s="5">
        <f>IFERROR(__xludf.DUMMYFUNCTION("""COMPUTED_VALUE"""),0.6148780122736117)</f>
        <v>0.6148780123</v>
      </c>
      <c r="I4226" s="11">
        <f>IFERROR(__xludf.DUMMYFUNCTION("""COMPUTED_VALUE"""),5679.284538242778)</f>
        <v>5679.284538</v>
      </c>
      <c r="J4226" s="10">
        <f>IFERROR(__xludf.DUMMYFUNCTION("""COMPUTED_VALUE"""),7.0)</f>
        <v>7</v>
      </c>
      <c r="K4226" s="5">
        <f>IFERROR(__xludf.DUMMYFUNCTION("""COMPUTED_VALUE"""),0.0023125206475057814)</f>
        <v>0.002312520648</v>
      </c>
      <c r="L4226" s="10">
        <f>IFERROR(__xludf.DUMMYFUNCTION("""COMPUTED_VALUE"""),0.0)</f>
        <v>0</v>
      </c>
      <c r="M4226" s="5">
        <f>IFERROR(__xludf.DUMMYFUNCTION("""COMPUTED_VALUE"""),0.0)</f>
        <v>0</v>
      </c>
    </row>
    <row r="4227">
      <c r="A4227" s="10" t="str">
        <f>IFERROR(__xludf.DUMMYFUNCTION("""COMPUTED_VALUE"""),"ほりえもん")</f>
        <v>ほりえもん</v>
      </c>
      <c r="B4227" s="10">
        <f>IFERROR(__xludf.DUMMYFUNCTION("""COMPUTED_VALUE"""),989.0)</f>
        <v>989</v>
      </c>
      <c r="C4227" s="10">
        <f>IFERROR(__xludf.DUMMYFUNCTION("""COMPUTED_VALUE"""),11757.0)</f>
        <v>11757</v>
      </c>
      <c r="D4227" s="5">
        <f>IFERROR(__xludf.DUMMYFUNCTION("""COMPUTED_VALUE"""),0.3538261515601783)</f>
        <v>0.3538261516</v>
      </c>
      <c r="E4227" s="5">
        <f>IFERROR(__xludf.DUMMYFUNCTION("""COMPUTED_VALUE"""),0.11905646359583952)</f>
        <v>0.1190564636</v>
      </c>
      <c r="F4227" s="5">
        <f>IFERROR(__xludf.DUMMYFUNCTION("""COMPUTED_VALUE"""),0.20709509658246658)</f>
        <v>0.2070950966</v>
      </c>
      <c r="G4227" s="5">
        <f>IFERROR(__xludf.DUMMYFUNCTION("""COMPUTED_VALUE"""),0.14570950965824667)</f>
        <v>0.1457095097</v>
      </c>
      <c r="H4227" s="5">
        <f>IFERROR(__xludf.DUMMYFUNCTION("""COMPUTED_VALUE"""),0.5968609865470852)</f>
        <v>0.5968609865</v>
      </c>
      <c r="I4227" s="11">
        <f>IFERROR(__xludf.DUMMYFUNCTION("""COMPUTED_VALUE"""),5767.488789237668)</f>
        <v>5767.488789</v>
      </c>
      <c r="J4227" s="10">
        <f>IFERROR(__xludf.DUMMYFUNCTION("""COMPUTED_VALUE"""),3.0)</f>
        <v>3</v>
      </c>
      <c r="K4227" s="5">
        <f>IFERROR(__xludf.DUMMYFUNCTION("""COMPUTED_VALUE"""),0.003033367037411527)</f>
        <v>0.003033367037</v>
      </c>
      <c r="L4227" s="10">
        <f>IFERROR(__xludf.DUMMYFUNCTION("""COMPUTED_VALUE"""),989.0)</f>
        <v>989</v>
      </c>
      <c r="M4227" s="5">
        <f>IFERROR(__xludf.DUMMYFUNCTION("""COMPUTED_VALUE"""),1.0)</f>
        <v>1</v>
      </c>
    </row>
    <row r="4228">
      <c r="A4228" s="10" t="str">
        <f>IFERROR(__xludf.DUMMYFUNCTION("""COMPUTED_VALUE"""),"ファリス")</f>
        <v>ファリス</v>
      </c>
      <c r="B4228" s="10">
        <f>IFERROR(__xludf.DUMMYFUNCTION("""COMPUTED_VALUE"""),373.0)</f>
        <v>373</v>
      </c>
      <c r="C4228" s="10">
        <f>IFERROR(__xludf.DUMMYFUNCTION("""COMPUTED_VALUE"""),4472.0)</f>
        <v>4472</v>
      </c>
      <c r="D4228" s="5">
        <f>IFERROR(__xludf.DUMMYFUNCTION("""COMPUTED_VALUE"""),0.34496218589899974)</f>
        <v>0.3449621859</v>
      </c>
      <c r="E4228" s="5">
        <f>IFERROR(__xludf.DUMMYFUNCTION("""COMPUTED_VALUE"""),0.11905342766528422)</f>
        <v>0.1190534277</v>
      </c>
      <c r="F4228" s="5">
        <f>IFERROR(__xludf.DUMMYFUNCTION("""COMPUTED_VALUE"""),0.20517199316906562)</f>
        <v>0.2051719932</v>
      </c>
      <c r="G4228" s="5">
        <f>IFERROR(__xludf.DUMMYFUNCTION("""COMPUTED_VALUE"""),0.15637960478165405)</f>
        <v>0.1563796048</v>
      </c>
      <c r="H4228" s="5">
        <f>IFERROR(__xludf.DUMMYFUNCTION("""COMPUTED_VALUE"""),0.5517241379310345)</f>
        <v>0.5517241379</v>
      </c>
      <c r="I4228" s="11">
        <f>IFERROR(__xludf.DUMMYFUNCTION("""COMPUTED_VALUE"""),5421.165279429251)</f>
        <v>5421.165279</v>
      </c>
      <c r="J4228" s="10">
        <f>IFERROR(__xludf.DUMMYFUNCTION("""COMPUTED_VALUE"""),1.0)</f>
        <v>1</v>
      </c>
      <c r="K4228" s="5">
        <f>IFERROR(__xludf.DUMMYFUNCTION("""COMPUTED_VALUE"""),0.002680965147453083)</f>
        <v>0.002680965147</v>
      </c>
      <c r="L4228" s="10">
        <f>IFERROR(__xludf.DUMMYFUNCTION("""COMPUTED_VALUE"""),0.0)</f>
        <v>0</v>
      </c>
      <c r="M4228" s="5">
        <f>IFERROR(__xludf.DUMMYFUNCTION("""COMPUTED_VALUE"""),0.0)</f>
        <v>0</v>
      </c>
    </row>
    <row r="4229">
      <c r="A4229" s="10" t="str">
        <f>IFERROR(__xludf.DUMMYFUNCTION("""COMPUTED_VALUE"""),"チェ！テバラ")</f>
        <v>チェ！テバラ</v>
      </c>
      <c r="B4229" s="10">
        <f>IFERROR(__xludf.DUMMYFUNCTION("""COMPUTED_VALUE"""),403.0)</f>
        <v>403</v>
      </c>
      <c r="C4229" s="10">
        <f>IFERROR(__xludf.DUMMYFUNCTION("""COMPUTED_VALUE"""),4754.0)</f>
        <v>4754</v>
      </c>
      <c r="D4229" s="5">
        <f>IFERROR(__xludf.DUMMYFUNCTION("""COMPUTED_VALUE"""),0.3063663525626293)</f>
        <v>0.3063663526</v>
      </c>
      <c r="E4229" s="5">
        <f>IFERROR(__xludf.DUMMYFUNCTION("""COMPUTED_VALUE"""),0.11905309124339232)</f>
        <v>0.1190530912</v>
      </c>
      <c r="F4229" s="5">
        <f>IFERROR(__xludf.DUMMYFUNCTION("""COMPUTED_VALUE"""),0.20799816134222018)</f>
        <v>0.2079981613</v>
      </c>
      <c r="G4229" s="5">
        <f>IFERROR(__xludf.DUMMYFUNCTION("""COMPUTED_VALUE"""),0.16639852907377614)</f>
        <v>0.1663985291</v>
      </c>
      <c r="H4229" s="5">
        <f>IFERROR(__xludf.DUMMYFUNCTION("""COMPUTED_VALUE"""),0.6)</f>
        <v>0.6</v>
      </c>
      <c r="I4229" s="11">
        <f>IFERROR(__xludf.DUMMYFUNCTION("""COMPUTED_VALUE"""),5454.917127071823)</f>
        <v>5454.917127</v>
      </c>
      <c r="J4229" s="10">
        <f>IFERROR(__xludf.DUMMYFUNCTION("""COMPUTED_VALUE"""),0.0)</f>
        <v>0</v>
      </c>
      <c r="K4229" s="5">
        <f>IFERROR(__xludf.DUMMYFUNCTION("""COMPUTED_VALUE"""),0.0)</f>
        <v>0</v>
      </c>
      <c r="L4229" s="10">
        <f>IFERROR(__xludf.DUMMYFUNCTION("""COMPUTED_VALUE"""),403.0)</f>
        <v>403</v>
      </c>
      <c r="M4229" s="5">
        <f>IFERROR(__xludf.DUMMYFUNCTION("""COMPUTED_VALUE"""),1.0)</f>
        <v>1</v>
      </c>
    </row>
    <row r="4230">
      <c r="A4230" s="10" t="str">
        <f>IFERROR(__xludf.DUMMYFUNCTION("""COMPUTED_VALUE"""),"ご機嫌麻雀")</f>
        <v>ご機嫌麻雀</v>
      </c>
      <c r="B4230" s="10">
        <f>IFERROR(__xludf.DUMMYFUNCTION("""COMPUTED_VALUE"""),150.0)</f>
        <v>150</v>
      </c>
      <c r="C4230" s="10">
        <f>IFERROR(__xludf.DUMMYFUNCTION("""COMPUTED_VALUE"""),1746.0)</f>
        <v>1746</v>
      </c>
      <c r="D4230" s="5">
        <f>IFERROR(__xludf.DUMMYFUNCTION("""COMPUTED_VALUE"""),0.38283208020050125)</f>
        <v>0.3828320802</v>
      </c>
      <c r="E4230" s="5">
        <f>IFERROR(__xludf.DUMMYFUNCTION("""COMPUTED_VALUE"""),0.11904761904761904)</f>
        <v>0.119047619</v>
      </c>
      <c r="F4230" s="5">
        <f>IFERROR(__xludf.DUMMYFUNCTION("""COMPUTED_VALUE"""),0.19924812030075187)</f>
        <v>0.1992481203</v>
      </c>
      <c r="G4230" s="5">
        <f>IFERROR(__xludf.DUMMYFUNCTION("""COMPUTED_VALUE"""),0.18107769423558898)</f>
        <v>0.1810776942</v>
      </c>
      <c r="H4230" s="5">
        <f>IFERROR(__xludf.DUMMYFUNCTION("""COMPUTED_VALUE"""),0.6069182389937107)</f>
        <v>0.606918239</v>
      </c>
      <c r="I4230" s="11">
        <f>IFERROR(__xludf.DUMMYFUNCTION("""COMPUTED_VALUE"""),5391.823899371069)</f>
        <v>5391.823899</v>
      </c>
      <c r="J4230" s="10">
        <f>IFERROR(__xludf.DUMMYFUNCTION("""COMPUTED_VALUE"""),0.0)</f>
        <v>0</v>
      </c>
      <c r="K4230" s="5">
        <f>IFERROR(__xludf.DUMMYFUNCTION("""COMPUTED_VALUE"""),0.0)</f>
        <v>0</v>
      </c>
      <c r="L4230" s="10">
        <f>IFERROR(__xludf.DUMMYFUNCTION("""COMPUTED_VALUE"""),150.0)</f>
        <v>150</v>
      </c>
      <c r="M4230" s="5">
        <f>IFERROR(__xludf.DUMMYFUNCTION("""COMPUTED_VALUE"""),1.0)</f>
        <v>1</v>
      </c>
    </row>
    <row r="4231">
      <c r="A4231" s="10" t="str">
        <f>IFERROR(__xludf.DUMMYFUNCTION("""COMPUTED_VALUE"""),"わっしょい君2号")</f>
        <v>わっしょい君2号</v>
      </c>
      <c r="B4231" s="10">
        <f>IFERROR(__xludf.DUMMYFUNCTION("""COMPUTED_VALUE"""),2412.0)</f>
        <v>2412</v>
      </c>
      <c r="C4231" s="10">
        <f>IFERROR(__xludf.DUMMYFUNCTION("""COMPUTED_VALUE"""),28074.0)</f>
        <v>28074</v>
      </c>
      <c r="D4231" s="5">
        <f>IFERROR(__xludf.DUMMYFUNCTION("""COMPUTED_VALUE"""),0.3365287195074429)</f>
        <v>0.3365287195</v>
      </c>
      <c r="E4231" s="5">
        <f>IFERROR(__xludf.DUMMYFUNCTION("""COMPUTED_VALUE"""),0.11904761904761904)</f>
        <v>0.119047619</v>
      </c>
      <c r="F4231" s="5">
        <f>IFERROR(__xludf.DUMMYFUNCTION("""COMPUTED_VALUE"""),0.21736419608760035)</f>
        <v>0.2173641961</v>
      </c>
      <c r="G4231" s="5">
        <f>IFERROR(__xludf.DUMMYFUNCTION("""COMPUTED_VALUE"""),0.17757774140752863)</f>
        <v>0.1775777414</v>
      </c>
      <c r="H4231" s="5">
        <f>IFERROR(__xludf.DUMMYFUNCTION("""COMPUTED_VALUE"""),0.5925062746504123)</f>
        <v>0.5925062747</v>
      </c>
      <c r="I4231" s="11">
        <f>IFERROR(__xludf.DUMMYFUNCTION("""COMPUTED_VALUE"""),5670.258157045536)</f>
        <v>5670.258157</v>
      </c>
      <c r="J4231" s="10">
        <f>IFERROR(__xludf.DUMMYFUNCTION("""COMPUTED_VALUE"""),4.0)</f>
        <v>4</v>
      </c>
      <c r="K4231" s="5">
        <f>IFERROR(__xludf.DUMMYFUNCTION("""COMPUTED_VALUE"""),0.001658374792703151)</f>
        <v>0.001658374793</v>
      </c>
      <c r="L4231" s="10">
        <f>IFERROR(__xludf.DUMMYFUNCTION("""COMPUTED_VALUE"""),2412.0)</f>
        <v>2412</v>
      </c>
      <c r="M4231" s="5">
        <f>IFERROR(__xludf.DUMMYFUNCTION("""COMPUTED_VALUE"""),1.0)</f>
        <v>1</v>
      </c>
    </row>
    <row r="4232">
      <c r="A4232" s="10" t="str">
        <f>IFERROR(__xludf.DUMMYFUNCTION("""COMPUTED_VALUE"""),"たつきむとん")</f>
        <v>たつきむとん</v>
      </c>
      <c r="B4232" s="10">
        <f>IFERROR(__xludf.DUMMYFUNCTION("""COMPUTED_VALUE"""),1492.0)</f>
        <v>1492</v>
      </c>
      <c r="C4232" s="10">
        <f>IFERROR(__xludf.DUMMYFUNCTION("""COMPUTED_VALUE"""),17344.0)</f>
        <v>17344</v>
      </c>
      <c r="D4232" s="5">
        <f>IFERROR(__xludf.DUMMYFUNCTION("""COMPUTED_VALUE"""),0.31579611405500885)</f>
        <v>0.3157961141</v>
      </c>
      <c r="E4232" s="5">
        <f>IFERROR(__xludf.DUMMYFUNCTION("""COMPUTED_VALUE"""),0.11903860711582134)</f>
        <v>0.1190386071</v>
      </c>
      <c r="F4232" s="5">
        <f>IFERROR(__xludf.DUMMYFUNCTION("""COMPUTED_VALUE"""),0.20748170577845068)</f>
        <v>0.2074817058</v>
      </c>
      <c r="G4232" s="5">
        <f>IFERROR(__xludf.DUMMYFUNCTION("""COMPUTED_VALUE"""),0.17038859449911684)</f>
        <v>0.1703885945</v>
      </c>
      <c r="H4232" s="5">
        <f>IFERROR(__xludf.DUMMYFUNCTION("""COMPUTED_VALUE"""),0.5995743387047735)</f>
        <v>0.5995743387</v>
      </c>
      <c r="I4232" s="11">
        <f>IFERROR(__xludf.DUMMYFUNCTION("""COMPUTED_VALUE"""),5555.2751596229855)</f>
        <v>5555.27516</v>
      </c>
      <c r="J4232" s="10">
        <f>IFERROR(__xludf.DUMMYFUNCTION("""COMPUTED_VALUE"""),4.0)</f>
        <v>4</v>
      </c>
      <c r="K4232" s="5">
        <f>IFERROR(__xludf.DUMMYFUNCTION("""COMPUTED_VALUE"""),0.002680965147453083)</f>
        <v>0.002680965147</v>
      </c>
      <c r="L4232" s="10">
        <f>IFERROR(__xludf.DUMMYFUNCTION("""COMPUTED_VALUE"""),1492.0)</f>
        <v>1492</v>
      </c>
      <c r="M4232" s="5">
        <f>IFERROR(__xludf.DUMMYFUNCTION("""COMPUTED_VALUE"""),1.0)</f>
        <v>1</v>
      </c>
    </row>
    <row r="4233">
      <c r="A4233" s="10" t="str">
        <f>IFERROR(__xludf.DUMMYFUNCTION("""COMPUTED_VALUE"""),"安岡さん")</f>
        <v>安岡さん</v>
      </c>
      <c r="B4233" s="10">
        <f>IFERROR(__xludf.DUMMYFUNCTION("""COMPUTED_VALUE"""),228.0)</f>
        <v>228</v>
      </c>
      <c r="C4233" s="10">
        <f>IFERROR(__xludf.DUMMYFUNCTION("""COMPUTED_VALUE"""),2765.0)</f>
        <v>2765</v>
      </c>
      <c r="D4233" s="5">
        <f>IFERROR(__xludf.DUMMYFUNCTION("""COMPUTED_VALUE"""),0.4193929838391801)</f>
        <v>0.4193929838</v>
      </c>
      <c r="E4233" s="5">
        <f>IFERROR(__xludf.DUMMYFUNCTION("""COMPUTED_VALUE"""),0.11903823413480488)</f>
        <v>0.1190382341</v>
      </c>
      <c r="F4233" s="5">
        <f>IFERROR(__xludf.DUMMYFUNCTION("""COMPUTED_VALUE"""),0.19865983445013796)</f>
        <v>0.1986598345</v>
      </c>
      <c r="G4233" s="5">
        <f>IFERROR(__xludf.DUMMYFUNCTION("""COMPUTED_VALUE"""),0.14702404414662987)</f>
        <v>0.1470240441</v>
      </c>
      <c r="H4233" s="5">
        <f>IFERROR(__xludf.DUMMYFUNCTION("""COMPUTED_VALUE"""),0.6031746031746031)</f>
        <v>0.6031746032</v>
      </c>
      <c r="I4233" s="11">
        <f>IFERROR(__xludf.DUMMYFUNCTION("""COMPUTED_VALUE"""),4706.349206349207)</f>
        <v>4706.349206</v>
      </c>
      <c r="J4233" s="10">
        <f>IFERROR(__xludf.DUMMYFUNCTION("""COMPUTED_VALUE"""),0.0)</f>
        <v>0</v>
      </c>
      <c r="K4233" s="5">
        <f>IFERROR(__xludf.DUMMYFUNCTION("""COMPUTED_VALUE"""),0.0)</f>
        <v>0</v>
      </c>
      <c r="L4233" s="10">
        <f>IFERROR(__xludf.DUMMYFUNCTION("""COMPUTED_VALUE"""),228.0)</f>
        <v>228</v>
      </c>
      <c r="M4233" s="5">
        <f>IFERROR(__xludf.DUMMYFUNCTION("""COMPUTED_VALUE"""),1.0)</f>
        <v>1</v>
      </c>
    </row>
    <row r="4234">
      <c r="A4234" s="10" t="str">
        <f>IFERROR(__xludf.DUMMYFUNCTION("""COMPUTED_VALUE"""),"伊裏野加奈")</f>
        <v>伊裏野加奈</v>
      </c>
      <c r="B4234" s="10">
        <f>IFERROR(__xludf.DUMMYFUNCTION("""COMPUTED_VALUE"""),787.0)</f>
        <v>787</v>
      </c>
      <c r="C4234" s="10">
        <f>IFERROR(__xludf.DUMMYFUNCTION("""COMPUTED_VALUE"""),9323.0)</f>
        <v>9323</v>
      </c>
      <c r="D4234" s="5">
        <f>IFERROR(__xludf.DUMMYFUNCTION("""COMPUTED_VALUE"""),0.37722586691658855)</f>
        <v>0.3772258669</v>
      </c>
      <c r="E4234" s="5">
        <f>IFERROR(__xludf.DUMMYFUNCTION("""COMPUTED_VALUE"""),0.1190253045923149)</f>
        <v>0.1190253046</v>
      </c>
      <c r="F4234" s="5">
        <f>IFERROR(__xludf.DUMMYFUNCTION("""COMPUTED_VALUE"""),0.20946579194001874)</f>
        <v>0.2094657919</v>
      </c>
      <c r="G4234" s="5">
        <f>IFERROR(__xludf.DUMMYFUNCTION("""COMPUTED_VALUE"""),0.14526710402999063)</f>
        <v>0.145267104</v>
      </c>
      <c r="H4234" s="5">
        <f>IFERROR(__xludf.DUMMYFUNCTION("""COMPUTED_VALUE"""),0.5945190156599552)</f>
        <v>0.5945190157</v>
      </c>
      <c r="I4234" s="11">
        <f>IFERROR(__xludf.DUMMYFUNCTION("""COMPUTED_VALUE"""),5439.261744966443)</f>
        <v>5439.261745</v>
      </c>
      <c r="J4234" s="10">
        <f>IFERROR(__xludf.DUMMYFUNCTION("""COMPUTED_VALUE"""),2.0)</f>
        <v>2</v>
      </c>
      <c r="K4234" s="5">
        <f>IFERROR(__xludf.DUMMYFUNCTION("""COMPUTED_VALUE"""),0.0025412960609911056)</f>
        <v>0.002541296061</v>
      </c>
      <c r="L4234" s="10">
        <f>IFERROR(__xludf.DUMMYFUNCTION("""COMPUTED_VALUE"""),329.0)</f>
        <v>329</v>
      </c>
      <c r="M4234" s="5">
        <f>IFERROR(__xludf.DUMMYFUNCTION("""COMPUTED_VALUE"""),0.41804320203303685)</f>
        <v>0.418043202</v>
      </c>
    </row>
    <row r="4235">
      <c r="A4235" s="10" t="str">
        <f>IFERROR(__xludf.DUMMYFUNCTION("""COMPUTED_VALUE"""),"ゆきのそら")</f>
        <v>ゆきのそら</v>
      </c>
      <c r="B4235" s="10">
        <f>IFERROR(__xludf.DUMMYFUNCTION("""COMPUTED_VALUE"""),267.0)</f>
        <v>267</v>
      </c>
      <c r="C4235" s="10">
        <f>IFERROR(__xludf.DUMMYFUNCTION("""COMPUTED_VALUE"""),3132.0)</f>
        <v>3132</v>
      </c>
      <c r="D4235" s="5">
        <f>IFERROR(__xludf.DUMMYFUNCTION("""COMPUTED_VALUE"""),0.3542757417102967)</f>
        <v>0.3542757417</v>
      </c>
      <c r="E4235" s="5">
        <f>IFERROR(__xludf.DUMMYFUNCTION("""COMPUTED_VALUE"""),0.11902268760907504)</f>
        <v>0.1190226876</v>
      </c>
      <c r="F4235" s="5">
        <f>IFERROR(__xludf.DUMMYFUNCTION("""COMPUTED_VALUE"""),0.1849912739965096)</f>
        <v>0.184991274</v>
      </c>
      <c r="G4235" s="5">
        <f>IFERROR(__xludf.DUMMYFUNCTION("""COMPUTED_VALUE"""),0.13926701570680627)</f>
        <v>0.1392670157</v>
      </c>
      <c r="H4235" s="5">
        <f>IFERROR(__xludf.DUMMYFUNCTION("""COMPUTED_VALUE"""),0.6075471698113207)</f>
        <v>0.6075471698</v>
      </c>
      <c r="I4235" s="11">
        <f>IFERROR(__xludf.DUMMYFUNCTION("""COMPUTED_VALUE"""),6016.981132075472)</f>
        <v>6016.981132</v>
      </c>
      <c r="J4235" s="10">
        <f>IFERROR(__xludf.DUMMYFUNCTION("""COMPUTED_VALUE"""),2.0)</f>
        <v>2</v>
      </c>
      <c r="K4235" s="5">
        <f>IFERROR(__xludf.DUMMYFUNCTION("""COMPUTED_VALUE"""),0.00749063670411985)</f>
        <v>0.007490636704</v>
      </c>
      <c r="L4235" s="10">
        <f>IFERROR(__xludf.DUMMYFUNCTION("""COMPUTED_VALUE"""),0.0)</f>
        <v>0</v>
      </c>
      <c r="M4235" s="5">
        <f>IFERROR(__xludf.DUMMYFUNCTION("""COMPUTED_VALUE"""),0.0)</f>
        <v>0</v>
      </c>
    </row>
    <row r="4236">
      <c r="A4236" s="10" t="str">
        <f>IFERROR(__xludf.DUMMYFUNCTION("""COMPUTED_VALUE"""),"流太")</f>
        <v>流太</v>
      </c>
      <c r="B4236" s="10">
        <f>IFERROR(__xludf.DUMMYFUNCTION("""COMPUTED_VALUE"""),555.0)</f>
        <v>555</v>
      </c>
      <c r="C4236" s="10">
        <f>IFERROR(__xludf.DUMMYFUNCTION("""COMPUTED_VALUE"""),6487.0)</f>
        <v>6487</v>
      </c>
      <c r="D4236" s="5">
        <f>IFERROR(__xludf.DUMMYFUNCTION("""COMPUTED_VALUE"""),0.30697909642616317)</f>
        <v>0.3069790964</v>
      </c>
      <c r="E4236" s="5">
        <f>IFERROR(__xludf.DUMMYFUNCTION("""COMPUTED_VALUE"""),0.11901550910316926)</f>
        <v>0.1190155091</v>
      </c>
      <c r="F4236" s="5">
        <f>IFERROR(__xludf.DUMMYFUNCTION("""COMPUTED_VALUE"""),0.19049224544841536)</f>
        <v>0.1904922454</v>
      </c>
      <c r="G4236" s="5">
        <f>IFERROR(__xludf.DUMMYFUNCTION("""COMPUTED_VALUE"""),0.16739716790289952)</f>
        <v>0.1673971679</v>
      </c>
      <c r="H4236" s="5">
        <f>IFERROR(__xludf.DUMMYFUNCTION("""COMPUTED_VALUE"""),0.5973451327433629)</f>
        <v>0.5973451327</v>
      </c>
      <c r="I4236" s="11">
        <f>IFERROR(__xludf.DUMMYFUNCTION("""COMPUTED_VALUE"""),6201.946902654868)</f>
        <v>6201.946903</v>
      </c>
      <c r="J4236" s="10">
        <f>IFERROR(__xludf.DUMMYFUNCTION("""COMPUTED_VALUE"""),3.0)</f>
        <v>3</v>
      </c>
      <c r="K4236" s="5">
        <f>IFERROR(__xludf.DUMMYFUNCTION("""COMPUTED_VALUE"""),0.005405405405405406)</f>
        <v>0.005405405405</v>
      </c>
      <c r="L4236" s="10">
        <f>IFERROR(__xludf.DUMMYFUNCTION("""COMPUTED_VALUE"""),555.0)</f>
        <v>555</v>
      </c>
      <c r="M4236" s="5">
        <f>IFERROR(__xludf.DUMMYFUNCTION("""COMPUTED_VALUE"""),1.0)</f>
        <v>1</v>
      </c>
    </row>
    <row r="4237">
      <c r="A4237" s="10" t="str">
        <f>IFERROR(__xludf.DUMMYFUNCTION("""COMPUTED_VALUE"""),"もりざね")</f>
        <v>もりざね</v>
      </c>
      <c r="B4237" s="10">
        <f>IFERROR(__xludf.DUMMYFUNCTION("""COMPUTED_VALUE"""),918.0)</f>
        <v>918</v>
      </c>
      <c r="C4237" s="10">
        <f>IFERROR(__xludf.DUMMYFUNCTION("""COMPUTED_VALUE"""),10892.0)</f>
        <v>10892</v>
      </c>
      <c r="D4237" s="5">
        <f>IFERROR(__xludf.DUMMYFUNCTION("""COMPUTED_VALUE"""),0.3441949067575697)</f>
        <v>0.3441949068</v>
      </c>
      <c r="E4237" s="5">
        <f>IFERROR(__xludf.DUMMYFUNCTION("""COMPUTED_VALUE"""),0.11900942450370965)</f>
        <v>0.1190094245</v>
      </c>
      <c r="F4237" s="5">
        <f>IFERROR(__xludf.DUMMYFUNCTION("""COMPUTED_VALUE"""),0.20804090635652697)</f>
        <v>0.2080409064</v>
      </c>
      <c r="G4237" s="5">
        <f>IFERROR(__xludf.DUMMYFUNCTION("""COMPUTED_VALUE"""),0.18016843793864046)</f>
        <v>0.1801684379</v>
      </c>
      <c r="H4237" s="5">
        <f>IFERROR(__xludf.DUMMYFUNCTION("""COMPUTED_VALUE"""),0.6086746987951808)</f>
        <v>0.6086746988</v>
      </c>
      <c r="I4237" s="11">
        <f>IFERROR(__xludf.DUMMYFUNCTION("""COMPUTED_VALUE"""),5785.831325301205)</f>
        <v>5785.831325</v>
      </c>
      <c r="J4237" s="10">
        <f>IFERROR(__xludf.DUMMYFUNCTION("""COMPUTED_VALUE"""),2.0)</f>
        <v>2</v>
      </c>
      <c r="K4237" s="5">
        <f>IFERROR(__xludf.DUMMYFUNCTION("""COMPUTED_VALUE"""),0.002178649237472767)</f>
        <v>0.002178649237</v>
      </c>
      <c r="L4237" s="10">
        <f>IFERROR(__xludf.DUMMYFUNCTION("""COMPUTED_VALUE"""),897.0)</f>
        <v>897</v>
      </c>
      <c r="M4237" s="5">
        <f>IFERROR(__xludf.DUMMYFUNCTION("""COMPUTED_VALUE"""),0.9771241830065359)</f>
        <v>0.977124183</v>
      </c>
    </row>
    <row r="4238">
      <c r="A4238" s="10" t="str">
        <f>IFERROR(__xludf.DUMMYFUNCTION("""COMPUTED_VALUE"""),"明日が見えない")</f>
        <v>明日が見えない</v>
      </c>
      <c r="B4238" s="10">
        <f>IFERROR(__xludf.DUMMYFUNCTION("""COMPUTED_VALUE"""),323.0)</f>
        <v>323</v>
      </c>
      <c r="C4238" s="10">
        <f>IFERROR(__xludf.DUMMYFUNCTION("""COMPUTED_VALUE"""),3718.0)</f>
        <v>3718</v>
      </c>
      <c r="D4238" s="5">
        <f>IFERROR(__xludf.DUMMYFUNCTION("""COMPUTED_VALUE"""),0.2845360824742268)</f>
        <v>0.2845360825</v>
      </c>
      <c r="E4238" s="5">
        <f>IFERROR(__xludf.DUMMYFUNCTION("""COMPUTED_VALUE"""),0.11899852724594992)</f>
        <v>0.1189985272</v>
      </c>
      <c r="F4238" s="5">
        <f>IFERROR(__xludf.DUMMYFUNCTION("""COMPUTED_VALUE"""),0.19764359351988217)</f>
        <v>0.1976435935</v>
      </c>
      <c r="G4238" s="5">
        <f>IFERROR(__xludf.DUMMYFUNCTION("""COMPUTED_VALUE"""),0.1519882179675994)</f>
        <v>0.151988218</v>
      </c>
      <c r="H4238" s="5">
        <f>IFERROR(__xludf.DUMMYFUNCTION("""COMPUTED_VALUE"""),0.5976154992548435)</f>
        <v>0.5976154993</v>
      </c>
      <c r="I4238" s="11">
        <f>IFERROR(__xludf.DUMMYFUNCTION("""COMPUTED_VALUE"""),5399.105812220566)</f>
        <v>5399.105812</v>
      </c>
      <c r="J4238" s="10">
        <f>IFERROR(__xludf.DUMMYFUNCTION("""COMPUTED_VALUE"""),0.0)</f>
        <v>0</v>
      </c>
      <c r="K4238" s="5">
        <f>IFERROR(__xludf.DUMMYFUNCTION("""COMPUTED_VALUE"""),0.0)</f>
        <v>0</v>
      </c>
      <c r="L4238" s="10">
        <f>IFERROR(__xludf.DUMMYFUNCTION("""COMPUTED_VALUE"""),323.0)</f>
        <v>323</v>
      </c>
      <c r="M4238" s="5">
        <f>IFERROR(__xludf.DUMMYFUNCTION("""COMPUTED_VALUE"""),1.0)</f>
        <v>1</v>
      </c>
    </row>
    <row r="4239">
      <c r="A4239" s="10" t="str">
        <f>IFERROR(__xludf.DUMMYFUNCTION("""COMPUTED_VALUE"""),"斑目V")</f>
        <v>斑目V</v>
      </c>
      <c r="B4239" s="10">
        <f>IFERROR(__xludf.DUMMYFUNCTION("""COMPUTED_VALUE"""),879.0)</f>
        <v>879</v>
      </c>
      <c r="C4239" s="10">
        <f>IFERROR(__xludf.DUMMYFUNCTION("""COMPUTED_VALUE"""),10426.0)</f>
        <v>10426</v>
      </c>
      <c r="D4239" s="5">
        <f>IFERROR(__xludf.DUMMYFUNCTION("""COMPUTED_VALUE"""),0.32125274955483396)</f>
        <v>0.3212527496</v>
      </c>
      <c r="E4239" s="5">
        <f>IFERROR(__xludf.DUMMYFUNCTION("""COMPUTED_VALUE"""),0.11899025872001676)</f>
        <v>0.1189902587</v>
      </c>
      <c r="F4239" s="5">
        <f>IFERROR(__xludf.DUMMYFUNCTION("""COMPUTED_VALUE"""),0.19493034461087252)</f>
        <v>0.1949303446</v>
      </c>
      <c r="G4239" s="5">
        <f>IFERROR(__xludf.DUMMYFUNCTION("""COMPUTED_VALUE"""),0.14674766942495024)</f>
        <v>0.1467476694</v>
      </c>
      <c r="H4239" s="5">
        <f>IFERROR(__xludf.DUMMYFUNCTION("""COMPUTED_VALUE"""),0.6077377753895755)</f>
        <v>0.6077377754</v>
      </c>
      <c r="I4239" s="11">
        <f>IFERROR(__xludf.DUMMYFUNCTION("""COMPUTED_VALUE"""),5631.327243417518)</f>
        <v>5631.327243</v>
      </c>
      <c r="J4239" s="10">
        <f>IFERROR(__xludf.DUMMYFUNCTION("""COMPUTED_VALUE"""),1.0)</f>
        <v>1</v>
      </c>
      <c r="K4239" s="5">
        <f>IFERROR(__xludf.DUMMYFUNCTION("""COMPUTED_VALUE"""),0.0011376564277588168)</f>
        <v>0.001137656428</v>
      </c>
      <c r="L4239" s="10">
        <f>IFERROR(__xludf.DUMMYFUNCTION("""COMPUTED_VALUE"""),879.0)</f>
        <v>879</v>
      </c>
      <c r="M4239" s="5">
        <f>IFERROR(__xludf.DUMMYFUNCTION("""COMPUTED_VALUE"""),1.0)</f>
        <v>1</v>
      </c>
    </row>
    <row r="4240">
      <c r="A4240" s="10" t="str">
        <f>IFERROR(__xludf.DUMMYFUNCTION("""COMPUTED_VALUE"""),"千羽鴉")</f>
        <v>千羽鴉</v>
      </c>
      <c r="B4240" s="10">
        <f>IFERROR(__xludf.DUMMYFUNCTION("""COMPUTED_VALUE"""),845.0)</f>
        <v>845</v>
      </c>
      <c r="C4240" s="10">
        <f>IFERROR(__xludf.DUMMYFUNCTION("""COMPUTED_VALUE"""),9871.0)</f>
        <v>9871</v>
      </c>
      <c r="D4240" s="5">
        <f>IFERROR(__xludf.DUMMYFUNCTION("""COMPUTED_VALUE"""),0.36394859295368936)</f>
        <v>0.363948593</v>
      </c>
      <c r="E4240" s="5">
        <f>IFERROR(__xludf.DUMMYFUNCTION("""COMPUTED_VALUE"""),0.11898958564148017)</f>
        <v>0.1189895856</v>
      </c>
      <c r="F4240" s="5">
        <f>IFERROR(__xludf.DUMMYFUNCTION("""COMPUTED_VALUE"""),0.2137159317527144)</f>
        <v>0.2137159318</v>
      </c>
      <c r="G4240" s="5">
        <f>IFERROR(__xludf.DUMMYFUNCTION("""COMPUTED_VALUE"""),0.19654331929980057)</f>
        <v>0.1965433193</v>
      </c>
      <c r="H4240" s="5">
        <f>IFERROR(__xludf.DUMMYFUNCTION("""COMPUTED_VALUE"""),0.592016588906169)</f>
        <v>0.5920165889</v>
      </c>
      <c r="I4240" s="11">
        <f>IFERROR(__xludf.DUMMYFUNCTION("""COMPUTED_VALUE"""),5761.430793157077)</f>
        <v>5761.430793</v>
      </c>
      <c r="J4240" s="10">
        <f>IFERROR(__xludf.DUMMYFUNCTION("""COMPUTED_VALUE"""),5.0)</f>
        <v>5</v>
      </c>
      <c r="K4240" s="5">
        <f>IFERROR(__xludf.DUMMYFUNCTION("""COMPUTED_VALUE"""),0.005917159763313609)</f>
        <v>0.005917159763</v>
      </c>
      <c r="L4240" s="10">
        <f>IFERROR(__xludf.DUMMYFUNCTION("""COMPUTED_VALUE"""),84.0)</f>
        <v>84</v>
      </c>
      <c r="M4240" s="5">
        <f>IFERROR(__xludf.DUMMYFUNCTION("""COMPUTED_VALUE"""),0.09940828402366864)</f>
        <v>0.09940828402</v>
      </c>
    </row>
    <row r="4241">
      <c r="A4241" s="10" t="str">
        <f>IFERROR(__xludf.DUMMYFUNCTION("""COMPUTED_VALUE"""),"広場の狼")</f>
        <v>広場の狼</v>
      </c>
      <c r="B4241" s="10">
        <f>IFERROR(__xludf.DUMMYFUNCTION("""COMPUTED_VALUE"""),342.0)</f>
        <v>342</v>
      </c>
      <c r="C4241" s="10">
        <f>IFERROR(__xludf.DUMMYFUNCTION("""COMPUTED_VALUE"""),3981.0)</f>
        <v>3981</v>
      </c>
      <c r="D4241" s="5">
        <f>IFERROR(__xludf.DUMMYFUNCTION("""COMPUTED_VALUE"""),0.3261885133278373)</f>
        <v>0.3261885133</v>
      </c>
      <c r="E4241" s="5">
        <f>IFERROR(__xludf.DUMMYFUNCTION("""COMPUTED_VALUE"""),0.11898873316845288)</f>
        <v>0.1189887332</v>
      </c>
      <c r="F4241" s="5">
        <f>IFERROR(__xludf.DUMMYFUNCTION("""COMPUTED_VALUE"""),0.19895575707611982)</f>
        <v>0.1989557571</v>
      </c>
      <c r="G4241" s="5">
        <f>IFERROR(__xludf.DUMMYFUNCTION("""COMPUTED_VALUE"""),0.17532289090409453)</f>
        <v>0.1753228909</v>
      </c>
      <c r="H4241" s="5">
        <f>IFERROR(__xludf.DUMMYFUNCTION("""COMPUTED_VALUE"""),0.5925414364640884)</f>
        <v>0.5925414365</v>
      </c>
      <c r="I4241" s="11">
        <f>IFERROR(__xludf.DUMMYFUNCTION("""COMPUTED_VALUE"""),5873.480662983426)</f>
        <v>5873.480663</v>
      </c>
      <c r="J4241" s="10">
        <f>IFERROR(__xludf.DUMMYFUNCTION("""COMPUTED_VALUE"""),0.0)</f>
        <v>0</v>
      </c>
      <c r="K4241" s="5">
        <f>IFERROR(__xludf.DUMMYFUNCTION("""COMPUTED_VALUE"""),0.0)</f>
        <v>0</v>
      </c>
      <c r="L4241" s="10">
        <f>IFERROR(__xludf.DUMMYFUNCTION("""COMPUTED_VALUE"""),342.0)</f>
        <v>342</v>
      </c>
      <c r="M4241" s="5">
        <f>IFERROR(__xludf.DUMMYFUNCTION("""COMPUTED_VALUE"""),1.0)</f>
        <v>1</v>
      </c>
    </row>
    <row r="4242">
      <c r="A4242" s="10" t="str">
        <f>IFERROR(__xludf.DUMMYFUNCTION("""COMPUTED_VALUE"""),"ごるはむ30")</f>
        <v>ごるはむ30</v>
      </c>
      <c r="B4242" s="10">
        <f>IFERROR(__xludf.DUMMYFUNCTION("""COMPUTED_VALUE"""),525.0)</f>
        <v>525</v>
      </c>
      <c r="C4242" s="10">
        <f>IFERROR(__xludf.DUMMYFUNCTION("""COMPUTED_VALUE"""),6215.0)</f>
        <v>6215</v>
      </c>
      <c r="D4242" s="5">
        <f>IFERROR(__xludf.DUMMYFUNCTION("""COMPUTED_VALUE"""),0.3156414762741652)</f>
        <v>0.3156414763</v>
      </c>
      <c r="E4242" s="5">
        <f>IFERROR(__xludf.DUMMYFUNCTION("""COMPUTED_VALUE"""),0.11898066783831283)</f>
        <v>0.1189806678</v>
      </c>
      <c r="F4242" s="5">
        <f>IFERROR(__xludf.DUMMYFUNCTION("""COMPUTED_VALUE"""),0.19595782073813708)</f>
        <v>0.1959578207</v>
      </c>
      <c r="G4242" s="5">
        <f>IFERROR(__xludf.DUMMYFUNCTION("""COMPUTED_VALUE"""),0.17768014059753953)</f>
        <v>0.1776801406</v>
      </c>
      <c r="H4242" s="5">
        <f>IFERROR(__xludf.DUMMYFUNCTION("""COMPUTED_VALUE"""),0.579372197309417)</f>
        <v>0.5793721973</v>
      </c>
      <c r="I4242" s="11">
        <f>IFERROR(__xludf.DUMMYFUNCTION("""COMPUTED_VALUE"""),5918.744394618834)</f>
        <v>5918.744395</v>
      </c>
      <c r="J4242" s="10">
        <f>IFERROR(__xludf.DUMMYFUNCTION("""COMPUTED_VALUE"""),2.0)</f>
        <v>2</v>
      </c>
      <c r="K4242" s="5">
        <f>IFERROR(__xludf.DUMMYFUNCTION("""COMPUTED_VALUE"""),0.0038095238095238095)</f>
        <v>0.00380952381</v>
      </c>
      <c r="L4242" s="10">
        <f>IFERROR(__xludf.DUMMYFUNCTION("""COMPUTED_VALUE"""),0.0)</f>
        <v>0</v>
      </c>
      <c r="M4242" s="5">
        <f>IFERROR(__xludf.DUMMYFUNCTION("""COMPUTED_VALUE"""),0.0)</f>
        <v>0</v>
      </c>
    </row>
    <row r="4243">
      <c r="A4243" s="10" t="str">
        <f>IFERROR(__xludf.DUMMYFUNCTION("""COMPUTED_VALUE"""),"siruneko")</f>
        <v>siruneko</v>
      </c>
      <c r="B4243" s="10">
        <f>IFERROR(__xludf.DUMMYFUNCTION("""COMPUTED_VALUE"""),1615.0)</f>
        <v>1615</v>
      </c>
      <c r="C4243" s="10">
        <f>IFERROR(__xludf.DUMMYFUNCTION("""COMPUTED_VALUE"""),19013.0)</f>
        <v>19013</v>
      </c>
      <c r="D4243" s="5">
        <f>IFERROR(__xludf.DUMMYFUNCTION("""COMPUTED_VALUE"""),0.43550982871594435)</f>
        <v>0.4355098287</v>
      </c>
      <c r="E4243" s="5">
        <f>IFERROR(__xludf.DUMMYFUNCTION("""COMPUTED_VALUE"""),0.11897919301069089)</f>
        <v>0.118979193</v>
      </c>
      <c r="F4243" s="5">
        <f>IFERROR(__xludf.DUMMYFUNCTION("""COMPUTED_VALUE"""),0.20260949534429246)</f>
        <v>0.2026094953</v>
      </c>
      <c r="G4243" s="5">
        <f>IFERROR(__xludf.DUMMYFUNCTION("""COMPUTED_VALUE"""),0.15064949994252214)</f>
        <v>0.1506494999</v>
      </c>
      <c r="H4243" s="5">
        <f>IFERROR(__xludf.DUMMYFUNCTION("""COMPUTED_VALUE"""),0.5895035460992908)</f>
        <v>0.5895035461</v>
      </c>
      <c r="I4243" s="11">
        <f>IFERROR(__xludf.DUMMYFUNCTION("""COMPUTED_VALUE"""),5420.2836879432625)</f>
        <v>5420.283688</v>
      </c>
      <c r="J4243" s="10">
        <f>IFERROR(__xludf.DUMMYFUNCTION("""COMPUTED_VALUE"""),3.0)</f>
        <v>3</v>
      </c>
      <c r="K4243" s="5">
        <f>IFERROR(__xludf.DUMMYFUNCTION("""COMPUTED_VALUE"""),0.0018575851393188853)</f>
        <v>0.001857585139</v>
      </c>
      <c r="L4243" s="10">
        <f>IFERROR(__xludf.DUMMYFUNCTION("""COMPUTED_VALUE"""),1577.0)</f>
        <v>1577</v>
      </c>
      <c r="M4243" s="5">
        <f>IFERROR(__xludf.DUMMYFUNCTION("""COMPUTED_VALUE"""),0.9764705882352941)</f>
        <v>0.9764705882</v>
      </c>
    </row>
    <row r="4244">
      <c r="A4244" s="10" t="str">
        <f>IFERROR(__xludf.DUMMYFUNCTION("""COMPUTED_VALUE"""),"チビとら")</f>
        <v>チビとら</v>
      </c>
      <c r="B4244" s="10">
        <f>IFERROR(__xludf.DUMMYFUNCTION("""COMPUTED_VALUE"""),306.0)</f>
        <v>306</v>
      </c>
      <c r="C4244" s="10">
        <f>IFERROR(__xludf.DUMMYFUNCTION("""COMPUTED_VALUE"""),3635.0)</f>
        <v>3635</v>
      </c>
      <c r="D4244" s="5">
        <f>IFERROR(__xludf.DUMMYFUNCTION("""COMPUTED_VALUE"""),0.3526584559927906)</f>
        <v>0.352658456</v>
      </c>
      <c r="E4244" s="5">
        <f>IFERROR(__xludf.DUMMYFUNCTION("""COMPUTED_VALUE"""),0.11895464103334334)</f>
        <v>0.118954641</v>
      </c>
      <c r="F4244" s="5">
        <f>IFERROR(__xludf.DUMMYFUNCTION("""COMPUTED_VALUE"""),0.21087413637729047)</f>
        <v>0.2108741364</v>
      </c>
      <c r="G4244" s="5">
        <f>IFERROR(__xludf.DUMMYFUNCTION("""COMPUTED_VALUE"""),0.14388705316911984)</f>
        <v>0.1438870532</v>
      </c>
      <c r="H4244" s="5">
        <f>IFERROR(__xludf.DUMMYFUNCTION("""COMPUTED_VALUE"""),0.6196581196581197)</f>
        <v>0.6196581197</v>
      </c>
      <c r="I4244" s="11">
        <f>IFERROR(__xludf.DUMMYFUNCTION("""COMPUTED_VALUE"""),5309.259259259259)</f>
        <v>5309.259259</v>
      </c>
      <c r="J4244" s="10">
        <f>IFERROR(__xludf.DUMMYFUNCTION("""COMPUTED_VALUE"""),1.0)</f>
        <v>1</v>
      </c>
      <c r="K4244" s="5">
        <f>IFERROR(__xludf.DUMMYFUNCTION("""COMPUTED_VALUE"""),0.0032679738562091504)</f>
        <v>0.003267973856</v>
      </c>
      <c r="L4244" s="10">
        <f>IFERROR(__xludf.DUMMYFUNCTION("""COMPUTED_VALUE"""),301.0)</f>
        <v>301</v>
      </c>
      <c r="M4244" s="5">
        <f>IFERROR(__xludf.DUMMYFUNCTION("""COMPUTED_VALUE"""),0.9836601307189542)</f>
        <v>0.9836601307</v>
      </c>
    </row>
    <row r="4245">
      <c r="A4245" s="10" t="str">
        <f>IFERROR(__xludf.DUMMYFUNCTION("""COMPUTED_VALUE"""),"shao")</f>
        <v>shao</v>
      </c>
      <c r="B4245" s="10">
        <f>IFERROR(__xludf.DUMMYFUNCTION("""COMPUTED_VALUE"""),1885.0)</f>
        <v>1885</v>
      </c>
      <c r="C4245" s="10">
        <f>IFERROR(__xludf.DUMMYFUNCTION("""COMPUTED_VALUE"""),22180.0)</f>
        <v>22180</v>
      </c>
      <c r="D4245" s="5">
        <f>IFERROR(__xludf.DUMMYFUNCTION("""COMPUTED_VALUE"""),0.32544961813254497)</f>
        <v>0.3254496181</v>
      </c>
      <c r="E4245" s="5">
        <f>IFERROR(__xludf.DUMMYFUNCTION("""COMPUTED_VALUE"""),0.11894555309189456)</f>
        <v>0.1189455531</v>
      </c>
      <c r="F4245" s="5">
        <f>IFERROR(__xludf.DUMMYFUNCTION("""COMPUTED_VALUE"""),0.21300813008130082)</f>
        <v>0.2130081301</v>
      </c>
      <c r="G4245" s="5">
        <f>IFERROR(__xludf.DUMMYFUNCTION("""COMPUTED_VALUE"""),0.16511456023651144)</f>
        <v>0.1651145602</v>
      </c>
      <c r="H4245" s="5">
        <f>IFERROR(__xludf.DUMMYFUNCTION("""COMPUTED_VALUE"""),0.6099930603747398)</f>
        <v>0.6099930604</v>
      </c>
      <c r="I4245" s="11">
        <f>IFERROR(__xludf.DUMMYFUNCTION("""COMPUTED_VALUE"""),5629.979181124219)</f>
        <v>5629.979181</v>
      </c>
      <c r="J4245" s="10">
        <f>IFERROR(__xludf.DUMMYFUNCTION("""COMPUTED_VALUE"""),3.0)</f>
        <v>3</v>
      </c>
      <c r="K4245" s="5">
        <f>IFERROR(__xludf.DUMMYFUNCTION("""COMPUTED_VALUE"""),0.0015915119363395225)</f>
        <v>0.001591511936</v>
      </c>
      <c r="L4245" s="10">
        <f>IFERROR(__xludf.DUMMYFUNCTION("""COMPUTED_VALUE"""),1885.0)</f>
        <v>1885</v>
      </c>
      <c r="M4245" s="5">
        <f>IFERROR(__xludf.DUMMYFUNCTION("""COMPUTED_VALUE"""),1.0)</f>
        <v>1</v>
      </c>
    </row>
    <row r="4246">
      <c r="A4246" s="10" t="str">
        <f>IFERROR(__xludf.DUMMYFUNCTION("""COMPUTED_VALUE"""),"鈴侍")</f>
        <v>鈴侍</v>
      </c>
      <c r="B4246" s="10">
        <f>IFERROR(__xludf.DUMMYFUNCTION("""COMPUTED_VALUE"""),2633.0)</f>
        <v>2633</v>
      </c>
      <c r="C4246" s="10">
        <f>IFERROR(__xludf.DUMMYFUNCTION("""COMPUTED_VALUE"""),31051.0)</f>
        <v>31051</v>
      </c>
      <c r="D4246" s="5">
        <f>IFERROR(__xludf.DUMMYFUNCTION("""COMPUTED_VALUE"""),0.38862692659581954)</f>
        <v>0.3886269266</v>
      </c>
      <c r="E4246" s="5">
        <f>IFERROR(__xludf.DUMMYFUNCTION("""COMPUTED_VALUE"""),0.11893870082342177)</f>
        <v>0.1189387008</v>
      </c>
      <c r="F4246" s="5">
        <f>IFERROR(__xludf.DUMMYFUNCTION("""COMPUTED_VALUE"""),0.20631290027447394)</f>
        <v>0.2063129003</v>
      </c>
      <c r="G4246" s="5">
        <f>IFERROR(__xludf.DUMMYFUNCTION("""COMPUTED_VALUE"""),0.15574635794214933)</f>
        <v>0.1557463579</v>
      </c>
      <c r="H4246" s="5">
        <f>IFERROR(__xludf.DUMMYFUNCTION("""COMPUTED_VALUE"""),0.5952584001364489)</f>
        <v>0.5952584001</v>
      </c>
      <c r="I4246" s="11">
        <f>IFERROR(__xludf.DUMMYFUNCTION("""COMPUTED_VALUE"""),5512.843254306669)</f>
        <v>5512.843254</v>
      </c>
      <c r="J4246" s="10">
        <f>IFERROR(__xludf.DUMMYFUNCTION("""COMPUTED_VALUE"""),9.0)</f>
        <v>9</v>
      </c>
      <c r="K4246" s="5">
        <f>IFERROR(__xludf.DUMMYFUNCTION("""COMPUTED_VALUE"""),0.003418154196733764)</f>
        <v>0.003418154197</v>
      </c>
      <c r="L4246" s="10">
        <f>IFERROR(__xludf.DUMMYFUNCTION("""COMPUTED_VALUE"""),2040.0)</f>
        <v>2040</v>
      </c>
      <c r="M4246" s="5">
        <f>IFERROR(__xludf.DUMMYFUNCTION("""COMPUTED_VALUE"""),0.7747816179263198)</f>
        <v>0.7747816179</v>
      </c>
    </row>
    <row r="4247">
      <c r="A4247" s="10" t="str">
        <f>IFERROR(__xludf.DUMMYFUNCTION("""COMPUTED_VALUE"""),"tydy")</f>
        <v>tydy</v>
      </c>
      <c r="B4247" s="10">
        <f>IFERROR(__xludf.DUMMYFUNCTION("""COMPUTED_VALUE"""),1165.0)</f>
        <v>1165</v>
      </c>
      <c r="C4247" s="10">
        <f>IFERROR(__xludf.DUMMYFUNCTION("""COMPUTED_VALUE"""),13903.0)</f>
        <v>13903</v>
      </c>
      <c r="D4247" s="5">
        <f>IFERROR(__xludf.DUMMYFUNCTION("""COMPUTED_VALUE"""),0.37156539488145707)</f>
        <v>0.3715653949</v>
      </c>
      <c r="E4247" s="5">
        <f>IFERROR(__xludf.DUMMYFUNCTION("""COMPUTED_VALUE"""),0.11893546867640131)</f>
        <v>0.1189354687</v>
      </c>
      <c r="F4247" s="5">
        <f>IFERROR(__xludf.DUMMYFUNCTION("""COMPUTED_VALUE"""),0.20678285445124822)</f>
        <v>0.2067828545</v>
      </c>
      <c r="G4247" s="5">
        <f>IFERROR(__xludf.DUMMYFUNCTION("""COMPUTED_VALUE"""),0.15080860417647982)</f>
        <v>0.1508086042</v>
      </c>
      <c r="H4247" s="5">
        <f>IFERROR(__xludf.DUMMYFUNCTION("""COMPUTED_VALUE"""),0.5945330296127562)</f>
        <v>0.5945330296</v>
      </c>
      <c r="I4247" s="11">
        <f>IFERROR(__xludf.DUMMYFUNCTION("""COMPUTED_VALUE"""),5413.097949886105)</f>
        <v>5413.09795</v>
      </c>
      <c r="J4247" s="10">
        <f>IFERROR(__xludf.DUMMYFUNCTION("""COMPUTED_VALUE"""),2.0)</f>
        <v>2</v>
      </c>
      <c r="K4247" s="5">
        <f>IFERROR(__xludf.DUMMYFUNCTION("""COMPUTED_VALUE"""),0.0017167381974248926)</f>
        <v>0.001716738197</v>
      </c>
      <c r="L4247" s="10">
        <f>IFERROR(__xludf.DUMMYFUNCTION("""COMPUTED_VALUE"""),1165.0)</f>
        <v>1165</v>
      </c>
      <c r="M4247" s="5">
        <f>IFERROR(__xludf.DUMMYFUNCTION("""COMPUTED_VALUE"""),1.0)</f>
        <v>1</v>
      </c>
    </row>
    <row r="4248">
      <c r="A4248" s="10" t="str">
        <f>IFERROR(__xludf.DUMMYFUNCTION("""COMPUTED_VALUE"""),"dannchi")</f>
        <v>dannchi</v>
      </c>
      <c r="B4248" s="10">
        <f>IFERROR(__xludf.DUMMYFUNCTION("""COMPUTED_VALUE"""),3821.0)</f>
        <v>3821</v>
      </c>
      <c r="C4248" s="10">
        <f>IFERROR(__xludf.DUMMYFUNCTION("""COMPUTED_VALUE"""),44946.0)</f>
        <v>44946</v>
      </c>
      <c r="D4248" s="5">
        <f>IFERROR(__xludf.DUMMYFUNCTION("""COMPUTED_VALUE"""),0.3347355623100304)</f>
        <v>0.3347355623</v>
      </c>
      <c r="E4248" s="5">
        <f>IFERROR(__xludf.DUMMYFUNCTION("""COMPUTED_VALUE"""),0.11893009118541033)</f>
        <v>0.1189300912</v>
      </c>
      <c r="F4248" s="5">
        <f>IFERROR(__xludf.DUMMYFUNCTION("""COMPUTED_VALUE"""),0.20505775075987842)</f>
        <v>0.2050577508</v>
      </c>
      <c r="G4248" s="5">
        <f>IFERROR(__xludf.DUMMYFUNCTION("""COMPUTED_VALUE"""),0.1661033434650456)</f>
        <v>0.1661033435</v>
      </c>
      <c r="H4248" s="5">
        <f>IFERROR(__xludf.DUMMYFUNCTION("""COMPUTED_VALUE"""),0.5976520811099253)</f>
        <v>0.5976520811</v>
      </c>
      <c r="I4248" s="11">
        <f>IFERROR(__xludf.DUMMYFUNCTION("""COMPUTED_VALUE"""),5710.755365824736)</f>
        <v>5710.755366</v>
      </c>
      <c r="J4248" s="10">
        <f>IFERROR(__xludf.DUMMYFUNCTION("""COMPUTED_VALUE"""),4.0)</f>
        <v>4</v>
      </c>
      <c r="K4248" s="5">
        <f>IFERROR(__xludf.DUMMYFUNCTION("""COMPUTED_VALUE"""),0.0010468463752944255)</f>
        <v>0.001046846375</v>
      </c>
      <c r="L4248" s="10">
        <f>IFERROR(__xludf.DUMMYFUNCTION("""COMPUTED_VALUE"""),2846.0)</f>
        <v>2846</v>
      </c>
      <c r="M4248" s="5">
        <f>IFERROR(__xludf.DUMMYFUNCTION("""COMPUTED_VALUE"""),0.7448311960219838)</f>
        <v>0.744831196</v>
      </c>
    </row>
    <row r="4249">
      <c r="A4249" s="10" t="str">
        <f>IFERROR(__xludf.DUMMYFUNCTION("""COMPUTED_VALUE"""),"照咲姉妹嶺上百合")</f>
        <v>照咲姉妹嶺上百合</v>
      </c>
      <c r="B4249" s="10">
        <f>IFERROR(__xludf.DUMMYFUNCTION("""COMPUTED_VALUE"""),734.0)</f>
        <v>734</v>
      </c>
      <c r="C4249" s="10">
        <f>IFERROR(__xludf.DUMMYFUNCTION("""COMPUTED_VALUE"""),8554.0)</f>
        <v>8554</v>
      </c>
      <c r="D4249" s="5">
        <f>IFERROR(__xludf.DUMMYFUNCTION("""COMPUTED_VALUE"""),0.32877237851662405)</f>
        <v>0.3287723785</v>
      </c>
      <c r="E4249" s="5">
        <f>IFERROR(__xludf.DUMMYFUNCTION("""COMPUTED_VALUE"""),0.11892583120204604)</f>
        <v>0.1189258312</v>
      </c>
      <c r="F4249" s="5">
        <f>IFERROR(__xludf.DUMMYFUNCTION("""COMPUTED_VALUE"""),0.19654731457800512)</f>
        <v>0.1965473146</v>
      </c>
      <c r="G4249" s="5">
        <f>IFERROR(__xludf.DUMMYFUNCTION("""COMPUTED_VALUE"""),0.19884910485933505)</f>
        <v>0.1988491049</v>
      </c>
      <c r="H4249" s="5">
        <f>IFERROR(__xludf.DUMMYFUNCTION("""COMPUTED_VALUE"""),0.5653871177618738)</f>
        <v>0.5653871178</v>
      </c>
      <c r="I4249" s="11">
        <f>IFERROR(__xludf.DUMMYFUNCTION("""COMPUTED_VALUE"""),5963.109954456734)</f>
        <v>5963.109954</v>
      </c>
      <c r="J4249" s="10">
        <f>IFERROR(__xludf.DUMMYFUNCTION("""COMPUTED_VALUE"""),0.0)</f>
        <v>0</v>
      </c>
      <c r="K4249" s="5">
        <f>IFERROR(__xludf.DUMMYFUNCTION("""COMPUTED_VALUE"""),0.0)</f>
        <v>0</v>
      </c>
      <c r="L4249" s="10">
        <f>IFERROR(__xludf.DUMMYFUNCTION("""COMPUTED_VALUE"""),734.0)</f>
        <v>734</v>
      </c>
      <c r="M4249" s="5">
        <f>IFERROR(__xludf.DUMMYFUNCTION("""COMPUTED_VALUE"""),1.0)</f>
        <v>1</v>
      </c>
    </row>
    <row r="4250">
      <c r="A4250" s="10" t="str">
        <f>IFERROR(__xludf.DUMMYFUNCTION("""COMPUTED_VALUE"""),"葵ちゃん")</f>
        <v>葵ちゃん</v>
      </c>
      <c r="B4250" s="10">
        <f>IFERROR(__xludf.DUMMYFUNCTION("""COMPUTED_VALUE"""),2233.0)</f>
        <v>2233</v>
      </c>
      <c r="C4250" s="10">
        <f>IFERROR(__xludf.DUMMYFUNCTION("""COMPUTED_VALUE"""),25996.0)</f>
        <v>25996</v>
      </c>
      <c r="D4250" s="5">
        <f>IFERROR(__xludf.DUMMYFUNCTION("""COMPUTED_VALUE"""),0.3390565164331103)</f>
        <v>0.3390565164</v>
      </c>
      <c r="E4250" s="5">
        <f>IFERROR(__xludf.DUMMYFUNCTION("""COMPUTED_VALUE"""),0.11892437823507133)</f>
        <v>0.1189243782</v>
      </c>
      <c r="F4250" s="5">
        <f>IFERROR(__xludf.DUMMYFUNCTION("""COMPUTED_VALUE"""),0.21306232378066742)</f>
        <v>0.2130623238</v>
      </c>
      <c r="G4250" s="5">
        <f>IFERROR(__xludf.DUMMYFUNCTION("""COMPUTED_VALUE"""),0.17624037369019063)</f>
        <v>0.1762403737</v>
      </c>
      <c r="H4250" s="5">
        <f>IFERROR(__xludf.DUMMYFUNCTION("""COMPUTED_VALUE"""),0.6045822634801501)</f>
        <v>0.6045822635</v>
      </c>
      <c r="I4250" s="11">
        <f>IFERROR(__xludf.DUMMYFUNCTION("""COMPUTED_VALUE"""),5599.604977286194)</f>
        <v>5599.604977</v>
      </c>
      <c r="J4250" s="10">
        <f>IFERROR(__xludf.DUMMYFUNCTION("""COMPUTED_VALUE"""),2.0)</f>
        <v>2</v>
      </c>
      <c r="K4250" s="5">
        <f>IFERROR(__xludf.DUMMYFUNCTION("""COMPUTED_VALUE"""),8.956560680698612E-4)</f>
        <v>0.0008956560681</v>
      </c>
      <c r="L4250" s="10">
        <f>IFERROR(__xludf.DUMMYFUNCTION("""COMPUTED_VALUE"""),160.0)</f>
        <v>160</v>
      </c>
      <c r="M4250" s="5">
        <f>IFERROR(__xludf.DUMMYFUNCTION("""COMPUTED_VALUE"""),0.07165248544558889)</f>
        <v>0.07165248545</v>
      </c>
    </row>
    <row r="4251">
      <c r="A4251" s="10" t="str">
        <f>IFERROR(__xludf.DUMMYFUNCTION("""COMPUTED_VALUE"""),"loJaskin")</f>
        <v>loJaskin</v>
      </c>
      <c r="B4251" s="10">
        <f>IFERROR(__xludf.DUMMYFUNCTION("""COMPUTED_VALUE"""),2161.0)</f>
        <v>2161</v>
      </c>
      <c r="C4251" s="10">
        <f>IFERROR(__xludf.DUMMYFUNCTION("""COMPUTED_VALUE"""),25597.0)</f>
        <v>25597</v>
      </c>
      <c r="D4251" s="5">
        <f>IFERROR(__xludf.DUMMYFUNCTION("""COMPUTED_VALUE"""),0.3780508619218297)</f>
        <v>0.3780508619</v>
      </c>
      <c r="E4251" s="5">
        <f>IFERROR(__xludf.DUMMYFUNCTION("""COMPUTED_VALUE"""),0.11891961085509473)</f>
        <v>0.1189196109</v>
      </c>
      <c r="F4251" s="5">
        <f>IFERROR(__xludf.DUMMYFUNCTION("""COMPUTED_VALUE"""),0.21176821983273597)</f>
        <v>0.2117682198</v>
      </c>
      <c r="G4251" s="5">
        <f>IFERROR(__xludf.DUMMYFUNCTION("""COMPUTED_VALUE"""),0.14742276839051033)</f>
        <v>0.1474227684</v>
      </c>
      <c r="H4251" s="5">
        <f>IFERROR(__xludf.DUMMYFUNCTION("""COMPUTED_VALUE"""),0.5913761837598227)</f>
        <v>0.5913761838</v>
      </c>
      <c r="I4251" s="11">
        <f>IFERROR(__xludf.DUMMYFUNCTION("""COMPUTED_VALUE"""),5321.922224461012)</f>
        <v>5321.922224</v>
      </c>
      <c r="J4251" s="10">
        <f>IFERROR(__xludf.DUMMYFUNCTION("""COMPUTED_VALUE"""),3.0)</f>
        <v>3</v>
      </c>
      <c r="K4251" s="5">
        <f>IFERROR(__xludf.DUMMYFUNCTION("""COMPUTED_VALUE"""),0.0013882461823229986)</f>
        <v>0.001388246182</v>
      </c>
      <c r="L4251" s="10">
        <f>IFERROR(__xludf.DUMMYFUNCTION("""COMPUTED_VALUE"""),1368.0)</f>
        <v>1368</v>
      </c>
      <c r="M4251" s="5">
        <f>IFERROR(__xludf.DUMMYFUNCTION("""COMPUTED_VALUE"""),0.6330402591392874)</f>
        <v>0.6330402591</v>
      </c>
    </row>
    <row r="4252">
      <c r="A4252" s="10" t="str">
        <f>IFERROR(__xludf.DUMMYFUNCTION("""COMPUTED_VALUE"""),"空水猫")</f>
        <v>空水猫</v>
      </c>
      <c r="B4252" s="10">
        <f>IFERROR(__xludf.DUMMYFUNCTION("""COMPUTED_VALUE"""),172.0)</f>
        <v>172</v>
      </c>
      <c r="C4252" s="10">
        <f>IFERROR(__xludf.DUMMYFUNCTION("""COMPUTED_VALUE"""),2022.0)</f>
        <v>2022</v>
      </c>
      <c r="D4252" s="5">
        <f>IFERROR(__xludf.DUMMYFUNCTION("""COMPUTED_VALUE"""),0.3637837837837838)</f>
        <v>0.3637837838</v>
      </c>
      <c r="E4252" s="5">
        <f>IFERROR(__xludf.DUMMYFUNCTION("""COMPUTED_VALUE"""),0.11891891891891893)</f>
        <v>0.1189189189</v>
      </c>
      <c r="F4252" s="5">
        <f>IFERROR(__xludf.DUMMYFUNCTION("""COMPUTED_VALUE"""),0.2064864864864865)</f>
        <v>0.2064864865</v>
      </c>
      <c r="G4252" s="5">
        <f>IFERROR(__xludf.DUMMYFUNCTION("""COMPUTED_VALUE"""),0.16864864864864865)</f>
        <v>0.1686486486</v>
      </c>
      <c r="H4252" s="5">
        <f>IFERROR(__xludf.DUMMYFUNCTION("""COMPUTED_VALUE"""),0.5837696335078534)</f>
        <v>0.5837696335</v>
      </c>
      <c r="I4252" s="11">
        <f>IFERROR(__xludf.DUMMYFUNCTION("""COMPUTED_VALUE"""),5658.638743455497)</f>
        <v>5658.638743</v>
      </c>
      <c r="J4252" s="10">
        <f>IFERROR(__xludf.DUMMYFUNCTION("""COMPUTED_VALUE"""),0.0)</f>
        <v>0</v>
      </c>
      <c r="K4252" s="5">
        <f>IFERROR(__xludf.DUMMYFUNCTION("""COMPUTED_VALUE"""),0.0)</f>
        <v>0</v>
      </c>
      <c r="L4252" s="10">
        <f>IFERROR(__xludf.DUMMYFUNCTION("""COMPUTED_VALUE"""),172.0)</f>
        <v>172</v>
      </c>
      <c r="M4252" s="5">
        <f>IFERROR(__xludf.DUMMYFUNCTION("""COMPUTED_VALUE"""),1.0)</f>
        <v>1</v>
      </c>
    </row>
    <row r="4253">
      <c r="A4253" s="10" t="str">
        <f>IFERROR(__xludf.DUMMYFUNCTION("""COMPUTED_VALUE"""),"faberge")</f>
        <v>faberge</v>
      </c>
      <c r="B4253" s="10">
        <f>IFERROR(__xludf.DUMMYFUNCTION("""COMPUTED_VALUE"""),547.0)</f>
        <v>547</v>
      </c>
      <c r="C4253" s="10">
        <f>IFERROR(__xludf.DUMMYFUNCTION("""COMPUTED_VALUE"""),6501.0)</f>
        <v>6501</v>
      </c>
      <c r="D4253" s="5">
        <f>IFERROR(__xludf.DUMMYFUNCTION("""COMPUTED_VALUE"""),0.39049378569029225)</f>
        <v>0.3904937857</v>
      </c>
      <c r="E4253" s="5">
        <f>IFERROR(__xludf.DUMMYFUNCTION("""COMPUTED_VALUE"""),0.11891165602955996)</f>
        <v>0.118911656</v>
      </c>
      <c r="F4253" s="5">
        <f>IFERROR(__xludf.DUMMYFUNCTION("""COMPUTED_VALUE"""),0.21296607322808195)</f>
        <v>0.2129660732</v>
      </c>
      <c r="G4253" s="5">
        <f>IFERROR(__xludf.DUMMYFUNCTION("""COMPUTED_VALUE"""),0.15451797111185758)</f>
        <v>0.1545179711</v>
      </c>
      <c r="H4253" s="5">
        <f>IFERROR(__xludf.DUMMYFUNCTION("""COMPUTED_VALUE"""),0.6048895899053628)</f>
        <v>0.6048895899</v>
      </c>
      <c r="I4253" s="11">
        <f>IFERROR(__xludf.DUMMYFUNCTION("""COMPUTED_VALUE"""),5006.940063091482)</f>
        <v>5006.940063</v>
      </c>
      <c r="J4253" s="10">
        <f>IFERROR(__xludf.DUMMYFUNCTION("""COMPUTED_VALUE"""),1.0)</f>
        <v>1</v>
      </c>
      <c r="K4253" s="5">
        <f>IFERROR(__xludf.DUMMYFUNCTION("""COMPUTED_VALUE"""),0.0018281535648994515)</f>
        <v>0.001828153565</v>
      </c>
      <c r="L4253" s="10">
        <f>IFERROR(__xludf.DUMMYFUNCTION("""COMPUTED_VALUE"""),258.0)</f>
        <v>258</v>
      </c>
      <c r="M4253" s="5">
        <f>IFERROR(__xludf.DUMMYFUNCTION("""COMPUTED_VALUE"""),0.4716636197440585)</f>
        <v>0.4716636197</v>
      </c>
    </row>
    <row r="4254">
      <c r="A4254" s="10" t="str">
        <f>IFERROR(__xludf.DUMMYFUNCTION("""COMPUTED_VALUE"""),"ルネスタ")</f>
        <v>ルネスタ</v>
      </c>
      <c r="B4254" s="10">
        <f>IFERROR(__xludf.DUMMYFUNCTION("""COMPUTED_VALUE"""),1755.0)</f>
        <v>1755</v>
      </c>
      <c r="C4254" s="10">
        <f>IFERROR(__xludf.DUMMYFUNCTION("""COMPUTED_VALUE"""),20568.0)</f>
        <v>20568</v>
      </c>
      <c r="D4254" s="5">
        <f>IFERROR(__xludf.DUMMYFUNCTION("""COMPUTED_VALUE"""),0.27284324669111787)</f>
        <v>0.2728432467</v>
      </c>
      <c r="E4254" s="5">
        <f>IFERROR(__xludf.DUMMYFUNCTION("""COMPUTED_VALUE"""),0.11890713868069952)</f>
        <v>0.1189071387</v>
      </c>
      <c r="F4254" s="5">
        <f>IFERROR(__xludf.DUMMYFUNCTION("""COMPUTED_VALUE"""),0.20198798703024504)</f>
        <v>0.201987987</v>
      </c>
      <c r="G4254" s="5">
        <f>IFERROR(__xludf.DUMMYFUNCTION("""COMPUTED_VALUE"""),0.147982777866369)</f>
        <v>0.1479827779</v>
      </c>
      <c r="H4254" s="5">
        <f>IFERROR(__xludf.DUMMYFUNCTION("""COMPUTED_VALUE"""),0.6076315789473684)</f>
        <v>0.6076315789</v>
      </c>
      <c r="I4254" s="11">
        <f>IFERROR(__xludf.DUMMYFUNCTION("""COMPUTED_VALUE"""),5728.815789473684)</f>
        <v>5728.815789</v>
      </c>
      <c r="J4254" s="10">
        <f>IFERROR(__xludf.DUMMYFUNCTION("""COMPUTED_VALUE"""),4.0)</f>
        <v>4</v>
      </c>
      <c r="K4254" s="5">
        <f>IFERROR(__xludf.DUMMYFUNCTION("""COMPUTED_VALUE"""),0.002279202279202279)</f>
        <v>0.002279202279</v>
      </c>
      <c r="L4254" s="10">
        <f>IFERROR(__xludf.DUMMYFUNCTION("""COMPUTED_VALUE"""),1755.0)</f>
        <v>1755</v>
      </c>
      <c r="M4254" s="5">
        <f>IFERROR(__xludf.DUMMYFUNCTION("""COMPUTED_VALUE"""),1.0)</f>
        <v>1</v>
      </c>
    </row>
    <row r="4255">
      <c r="A4255" s="10" t="str">
        <f>IFERROR(__xludf.DUMMYFUNCTION("""COMPUTED_VALUE"""),"まつみくろ")</f>
        <v>まつみくろ</v>
      </c>
      <c r="B4255" s="10">
        <f>IFERROR(__xludf.DUMMYFUNCTION("""COMPUTED_VALUE"""),346.0)</f>
        <v>346</v>
      </c>
      <c r="C4255" s="10">
        <f>IFERROR(__xludf.DUMMYFUNCTION("""COMPUTED_VALUE"""),3996.0)</f>
        <v>3996</v>
      </c>
      <c r="D4255" s="5">
        <f>IFERROR(__xludf.DUMMYFUNCTION("""COMPUTED_VALUE"""),0.38082191780821917)</f>
        <v>0.3808219178</v>
      </c>
      <c r="E4255" s="5">
        <f>IFERROR(__xludf.DUMMYFUNCTION("""COMPUTED_VALUE"""),0.1189041095890411)</f>
        <v>0.1189041096</v>
      </c>
      <c r="F4255" s="5">
        <f>IFERROR(__xludf.DUMMYFUNCTION("""COMPUTED_VALUE"""),0.2158904109589041)</f>
        <v>0.215890411</v>
      </c>
      <c r="G4255" s="5">
        <f>IFERROR(__xludf.DUMMYFUNCTION("""COMPUTED_VALUE"""),0.1463013698630137)</f>
        <v>0.1463013699</v>
      </c>
      <c r="H4255" s="5">
        <f>IFERROR(__xludf.DUMMYFUNCTION("""COMPUTED_VALUE"""),0.6294416243654822)</f>
        <v>0.6294416244</v>
      </c>
      <c r="I4255" s="11">
        <f>IFERROR(__xludf.DUMMYFUNCTION("""COMPUTED_VALUE"""),5348.223350253807)</f>
        <v>5348.22335</v>
      </c>
      <c r="J4255" s="10">
        <f>IFERROR(__xludf.DUMMYFUNCTION("""COMPUTED_VALUE"""),1.0)</f>
        <v>1</v>
      </c>
      <c r="K4255" s="5">
        <f>IFERROR(__xludf.DUMMYFUNCTION("""COMPUTED_VALUE"""),0.002890173410404624)</f>
        <v>0.00289017341</v>
      </c>
      <c r="L4255" s="10">
        <f>IFERROR(__xludf.DUMMYFUNCTION("""COMPUTED_VALUE"""),125.0)</f>
        <v>125</v>
      </c>
      <c r="M4255" s="5">
        <f>IFERROR(__xludf.DUMMYFUNCTION("""COMPUTED_VALUE"""),0.36127167630057805)</f>
        <v>0.3612716763</v>
      </c>
    </row>
    <row r="4256">
      <c r="A4256" s="10" t="str">
        <f>IFERROR(__xludf.DUMMYFUNCTION("""COMPUTED_VALUE"""),"時の漂泊")</f>
        <v>時の漂泊</v>
      </c>
      <c r="B4256" s="10">
        <f>IFERROR(__xludf.DUMMYFUNCTION("""COMPUTED_VALUE"""),1048.0)</f>
        <v>1048</v>
      </c>
      <c r="C4256" s="10">
        <f>IFERROR(__xludf.DUMMYFUNCTION("""COMPUTED_VALUE"""),12378.0)</f>
        <v>12378</v>
      </c>
      <c r="D4256" s="5">
        <f>IFERROR(__xludf.DUMMYFUNCTION("""COMPUTED_VALUE"""),0.3883495145631068)</f>
        <v>0.3883495146</v>
      </c>
      <c r="E4256" s="5">
        <f>IFERROR(__xludf.DUMMYFUNCTION("""COMPUTED_VALUE"""),0.11888790820829656)</f>
        <v>0.1188879082</v>
      </c>
      <c r="F4256" s="5">
        <f>IFERROR(__xludf.DUMMYFUNCTION("""COMPUTED_VALUE"""),0.20476610767872905)</f>
        <v>0.2047661077</v>
      </c>
      <c r="G4256" s="5">
        <f>IFERROR(__xludf.DUMMYFUNCTION("""COMPUTED_VALUE"""),0.15233892321270961)</f>
        <v>0.1523389232</v>
      </c>
      <c r="H4256" s="5">
        <f>IFERROR(__xludf.DUMMYFUNCTION("""COMPUTED_VALUE"""),0.6030172413793103)</f>
        <v>0.6030172414</v>
      </c>
      <c r="I4256" s="11">
        <f>IFERROR(__xludf.DUMMYFUNCTION("""COMPUTED_VALUE"""),5773.663793103448)</f>
        <v>5773.663793</v>
      </c>
      <c r="J4256" s="10">
        <f>IFERROR(__xludf.DUMMYFUNCTION("""COMPUTED_VALUE"""),2.0)</f>
        <v>2</v>
      </c>
      <c r="K4256" s="5">
        <f>IFERROR(__xludf.DUMMYFUNCTION("""COMPUTED_VALUE"""),0.0019083969465648854)</f>
        <v>0.001908396947</v>
      </c>
      <c r="L4256" s="10">
        <f>IFERROR(__xludf.DUMMYFUNCTION("""COMPUTED_VALUE"""),8.0)</f>
        <v>8</v>
      </c>
      <c r="M4256" s="5">
        <f>IFERROR(__xludf.DUMMYFUNCTION("""COMPUTED_VALUE"""),0.007633587786259542)</f>
        <v>0.007633587786</v>
      </c>
    </row>
    <row r="4257">
      <c r="A4257" s="10" t="str">
        <f>IFERROR(__xludf.DUMMYFUNCTION("""COMPUTED_VALUE"""),"これは教育やろな")</f>
        <v>これは教育やろな</v>
      </c>
      <c r="B4257" s="10">
        <f>IFERROR(__xludf.DUMMYFUNCTION("""COMPUTED_VALUE"""),689.0)</f>
        <v>689</v>
      </c>
      <c r="C4257" s="10">
        <f>IFERROR(__xludf.DUMMYFUNCTION("""COMPUTED_VALUE"""),8150.0)</f>
        <v>8150</v>
      </c>
      <c r="D4257" s="5">
        <f>IFERROR(__xludf.DUMMYFUNCTION("""COMPUTED_VALUE"""),0.3870794799624715)</f>
        <v>0.38707948</v>
      </c>
      <c r="E4257" s="5">
        <f>IFERROR(__xludf.DUMMYFUNCTION("""COMPUTED_VALUE"""),0.11888486798016351)</f>
        <v>0.118884868</v>
      </c>
      <c r="F4257" s="5">
        <f>IFERROR(__xludf.DUMMYFUNCTION("""COMPUTED_VALUE"""),0.20828307197426618)</f>
        <v>0.208283072</v>
      </c>
      <c r="G4257" s="5">
        <f>IFERROR(__xludf.DUMMYFUNCTION("""COMPUTED_VALUE"""),0.14260822945985793)</f>
        <v>0.1426082295</v>
      </c>
      <c r="H4257" s="5">
        <f>IFERROR(__xludf.DUMMYFUNCTION("""COMPUTED_VALUE"""),0.5791505791505791)</f>
        <v>0.5791505792</v>
      </c>
      <c r="I4257" s="11">
        <f>IFERROR(__xludf.DUMMYFUNCTION("""COMPUTED_VALUE"""),5233.397683397683)</f>
        <v>5233.397683</v>
      </c>
      <c r="J4257" s="10">
        <f>IFERROR(__xludf.DUMMYFUNCTION("""COMPUTED_VALUE"""),0.0)</f>
        <v>0</v>
      </c>
      <c r="K4257" s="5">
        <f>IFERROR(__xludf.DUMMYFUNCTION("""COMPUTED_VALUE"""),0.0)</f>
        <v>0</v>
      </c>
      <c r="L4257" s="10">
        <f>IFERROR(__xludf.DUMMYFUNCTION("""COMPUTED_VALUE"""),117.0)</f>
        <v>117</v>
      </c>
      <c r="M4257" s="5">
        <f>IFERROR(__xludf.DUMMYFUNCTION("""COMPUTED_VALUE"""),0.16981132075471697)</f>
        <v>0.1698113208</v>
      </c>
    </row>
    <row r="4258">
      <c r="A4258" s="10" t="str">
        <f>IFERROR(__xludf.DUMMYFUNCTION("""COMPUTED_VALUE"""),"伊咲")</f>
        <v>伊咲</v>
      </c>
      <c r="B4258" s="10">
        <f>IFERROR(__xludf.DUMMYFUNCTION("""COMPUTED_VALUE"""),297.0)</f>
        <v>297</v>
      </c>
      <c r="C4258" s="10">
        <f>IFERROR(__xludf.DUMMYFUNCTION("""COMPUTED_VALUE"""),3401.0)</f>
        <v>3401</v>
      </c>
      <c r="D4258" s="5">
        <f>IFERROR(__xludf.DUMMYFUNCTION("""COMPUTED_VALUE"""),0.30444587628865977)</f>
        <v>0.3044458763</v>
      </c>
      <c r="E4258" s="5">
        <f>IFERROR(__xludf.DUMMYFUNCTION("""COMPUTED_VALUE"""),0.11887886597938144)</f>
        <v>0.118878866</v>
      </c>
      <c r="F4258" s="5">
        <f>IFERROR(__xludf.DUMMYFUNCTION("""COMPUTED_VALUE"""),0.19329896907216496)</f>
        <v>0.1932989691</v>
      </c>
      <c r="G4258" s="5">
        <f>IFERROR(__xludf.DUMMYFUNCTION("""COMPUTED_VALUE"""),0.1646262886597938)</f>
        <v>0.1646262887</v>
      </c>
      <c r="H4258" s="5">
        <f>IFERROR(__xludf.DUMMYFUNCTION("""COMPUTED_VALUE"""),0.59)</f>
        <v>0.59</v>
      </c>
      <c r="I4258" s="11">
        <f>IFERROR(__xludf.DUMMYFUNCTION("""COMPUTED_VALUE"""),5884.666666666667)</f>
        <v>5884.666667</v>
      </c>
      <c r="J4258" s="10">
        <f>IFERROR(__xludf.DUMMYFUNCTION("""COMPUTED_VALUE"""),0.0)</f>
        <v>0</v>
      </c>
      <c r="K4258" s="5">
        <f>IFERROR(__xludf.DUMMYFUNCTION("""COMPUTED_VALUE"""),0.0)</f>
        <v>0</v>
      </c>
      <c r="L4258" s="10">
        <f>IFERROR(__xludf.DUMMYFUNCTION("""COMPUTED_VALUE"""),217.0)</f>
        <v>217</v>
      </c>
      <c r="M4258" s="5">
        <f>IFERROR(__xludf.DUMMYFUNCTION("""COMPUTED_VALUE"""),0.7306397306397306)</f>
        <v>0.7306397306</v>
      </c>
    </row>
    <row r="4259">
      <c r="A4259" s="10" t="str">
        <f>IFERROR(__xludf.DUMMYFUNCTION("""COMPUTED_VALUE"""),"野々宮藍")</f>
        <v>野々宮藍</v>
      </c>
      <c r="B4259" s="10">
        <f>IFERROR(__xludf.DUMMYFUNCTION("""COMPUTED_VALUE"""),3194.0)</f>
        <v>3194</v>
      </c>
      <c r="C4259" s="10">
        <f>IFERROR(__xludf.DUMMYFUNCTION("""COMPUTED_VALUE"""),37617.0)</f>
        <v>37617</v>
      </c>
      <c r="D4259" s="5">
        <f>IFERROR(__xludf.DUMMYFUNCTION("""COMPUTED_VALUE"""),0.4056009063707405)</f>
        <v>0.4056009064</v>
      </c>
      <c r="E4259" s="5">
        <f>IFERROR(__xludf.DUMMYFUNCTION("""COMPUTED_VALUE"""),0.11887400865700258)</f>
        <v>0.1188740087</v>
      </c>
      <c r="F4259" s="5">
        <f>IFERROR(__xludf.DUMMYFUNCTION("""COMPUTED_VALUE"""),0.21662841704674202)</f>
        <v>0.216628417</v>
      </c>
      <c r="G4259" s="5">
        <f>IFERROR(__xludf.DUMMYFUNCTION("""COMPUTED_VALUE"""),0.15896348371728206)</f>
        <v>0.1589634837</v>
      </c>
      <c r="H4259" s="5">
        <f>IFERROR(__xludf.DUMMYFUNCTION("""COMPUTED_VALUE"""),0.5950113986857986)</f>
        <v>0.5950113987</v>
      </c>
      <c r="I4259" s="11">
        <f>IFERROR(__xludf.DUMMYFUNCTION("""COMPUTED_VALUE"""),5298.350543113853)</f>
        <v>5298.350543</v>
      </c>
      <c r="J4259" s="10">
        <f>IFERROR(__xludf.DUMMYFUNCTION("""COMPUTED_VALUE"""),1.0)</f>
        <v>1</v>
      </c>
      <c r="K4259" s="5">
        <f>IFERROR(__xludf.DUMMYFUNCTION("""COMPUTED_VALUE"""),3.1308703819661864E-4)</f>
        <v>0.0003130870382</v>
      </c>
      <c r="L4259" s="10">
        <f>IFERROR(__xludf.DUMMYFUNCTION("""COMPUTED_VALUE"""),0.0)</f>
        <v>0</v>
      </c>
      <c r="M4259" s="5">
        <f>IFERROR(__xludf.DUMMYFUNCTION("""COMPUTED_VALUE"""),0.0)</f>
        <v>0</v>
      </c>
    </row>
    <row r="4260">
      <c r="A4260" s="10" t="str">
        <f>IFERROR(__xludf.DUMMYFUNCTION("""COMPUTED_VALUE"""),"鳴き麻雀の可能性")</f>
        <v>鳴き麻雀の可能性</v>
      </c>
      <c r="B4260" s="10">
        <f>IFERROR(__xludf.DUMMYFUNCTION("""COMPUTED_VALUE"""),132.0)</f>
        <v>132</v>
      </c>
      <c r="C4260" s="10">
        <f>IFERROR(__xludf.DUMMYFUNCTION("""COMPUTED_VALUE"""),1621.0)</f>
        <v>1621</v>
      </c>
      <c r="D4260" s="5">
        <f>IFERROR(__xludf.DUMMYFUNCTION("""COMPUTED_VALUE"""),0.5614506380120886)</f>
        <v>0.561450638</v>
      </c>
      <c r="E4260" s="5">
        <f>IFERROR(__xludf.DUMMYFUNCTION("""COMPUTED_VALUE"""),0.11887172599059771)</f>
        <v>0.118871726</v>
      </c>
      <c r="F4260" s="5">
        <f>IFERROR(__xludf.DUMMYFUNCTION("""COMPUTED_VALUE"""),0.19610476830087306)</f>
        <v>0.1961047683</v>
      </c>
      <c r="G4260" s="5">
        <f>IFERROR(__xludf.DUMMYFUNCTION("""COMPUTED_VALUE"""),0.11887172599059771)</f>
        <v>0.118871726</v>
      </c>
      <c r="H4260" s="5">
        <f>IFERROR(__xludf.DUMMYFUNCTION("""COMPUTED_VALUE"""),0.5993150684931506)</f>
        <v>0.5993150685</v>
      </c>
      <c r="I4260" s="11">
        <f>IFERROR(__xludf.DUMMYFUNCTION("""COMPUTED_VALUE"""),4879.109589041096)</f>
        <v>4879.109589</v>
      </c>
      <c r="J4260" s="10">
        <f>IFERROR(__xludf.DUMMYFUNCTION("""COMPUTED_VALUE"""),0.0)</f>
        <v>0</v>
      </c>
      <c r="K4260" s="5">
        <f>IFERROR(__xludf.DUMMYFUNCTION("""COMPUTED_VALUE"""),0.0)</f>
        <v>0</v>
      </c>
      <c r="L4260" s="10">
        <f>IFERROR(__xludf.DUMMYFUNCTION("""COMPUTED_VALUE"""),132.0)</f>
        <v>132</v>
      </c>
      <c r="M4260" s="5">
        <f>IFERROR(__xludf.DUMMYFUNCTION("""COMPUTED_VALUE"""),1.0)</f>
        <v>1</v>
      </c>
    </row>
    <row r="4261">
      <c r="A4261" s="10" t="str">
        <f>IFERROR(__xludf.DUMMYFUNCTION("""COMPUTED_VALUE"""),"covaya++")</f>
        <v>covaya++</v>
      </c>
      <c r="B4261" s="10">
        <f>IFERROR(__xludf.DUMMYFUNCTION("""COMPUTED_VALUE"""),1085.0)</f>
        <v>1085</v>
      </c>
      <c r="C4261" s="10">
        <f>IFERROR(__xludf.DUMMYFUNCTION("""COMPUTED_VALUE"""),12787.0)</f>
        <v>12787</v>
      </c>
      <c r="D4261" s="5">
        <f>IFERROR(__xludf.DUMMYFUNCTION("""COMPUTED_VALUE"""),0.3683985643479747)</f>
        <v>0.3683985643</v>
      </c>
      <c r="E4261" s="5">
        <f>IFERROR(__xludf.DUMMYFUNCTION("""COMPUTED_VALUE"""),0.11886856947530337)</f>
        <v>0.1188685695</v>
      </c>
      <c r="F4261" s="5">
        <f>IFERROR(__xludf.DUMMYFUNCTION("""COMPUTED_VALUE"""),0.1968894206118612)</f>
        <v>0.1968894206</v>
      </c>
      <c r="G4261" s="5">
        <f>IFERROR(__xludf.DUMMYFUNCTION("""COMPUTED_VALUE"""),0.15211075029909418)</f>
        <v>0.1521107503</v>
      </c>
      <c r="H4261" s="5">
        <f>IFERROR(__xludf.DUMMYFUNCTION("""COMPUTED_VALUE"""),0.6263020833333334)</f>
        <v>0.6263020833</v>
      </c>
      <c r="I4261" s="11">
        <f>IFERROR(__xludf.DUMMYFUNCTION("""COMPUTED_VALUE"""),5532.942708333333)</f>
        <v>5532.942708</v>
      </c>
      <c r="J4261" s="10">
        <f>IFERROR(__xludf.DUMMYFUNCTION("""COMPUTED_VALUE"""),2.0)</f>
        <v>2</v>
      </c>
      <c r="K4261" s="5">
        <f>IFERROR(__xludf.DUMMYFUNCTION("""COMPUTED_VALUE"""),0.0018433179723502304)</f>
        <v>0.001843317972</v>
      </c>
      <c r="L4261" s="10">
        <f>IFERROR(__xludf.DUMMYFUNCTION("""COMPUTED_VALUE"""),1085.0)</f>
        <v>1085</v>
      </c>
      <c r="M4261" s="5">
        <f>IFERROR(__xludf.DUMMYFUNCTION("""COMPUTED_VALUE"""),1.0)</f>
        <v>1</v>
      </c>
    </row>
    <row r="4262">
      <c r="A4262" s="10" t="str">
        <f>IFERROR(__xludf.DUMMYFUNCTION("""COMPUTED_VALUE"""),"はげちょく")</f>
        <v>はげちょく</v>
      </c>
      <c r="B4262" s="10">
        <f>IFERROR(__xludf.DUMMYFUNCTION("""COMPUTED_VALUE"""),2168.0)</f>
        <v>2168</v>
      </c>
      <c r="C4262" s="10">
        <f>IFERROR(__xludf.DUMMYFUNCTION("""COMPUTED_VALUE"""),25774.0)</f>
        <v>25774</v>
      </c>
      <c r="D4262" s="5">
        <f>IFERROR(__xludf.DUMMYFUNCTION("""COMPUTED_VALUE"""),0.3634669151910531)</f>
        <v>0.3634669152</v>
      </c>
      <c r="E4262" s="5">
        <f>IFERROR(__xludf.DUMMYFUNCTION("""COMPUTED_VALUE"""),0.11886808438532577)</f>
        <v>0.1188680844</v>
      </c>
      <c r="F4262" s="5">
        <f>IFERROR(__xludf.DUMMYFUNCTION("""COMPUTED_VALUE"""),0.21342031686859272)</f>
        <v>0.2134203169</v>
      </c>
      <c r="G4262" s="5">
        <f>IFERROR(__xludf.DUMMYFUNCTION("""COMPUTED_VALUE"""),0.1608912988223333)</f>
        <v>0.1608912988</v>
      </c>
      <c r="H4262" s="5">
        <f>IFERROR(__xludf.DUMMYFUNCTION("""COMPUTED_VALUE"""),0.5851528384279476)</f>
        <v>0.5851528384</v>
      </c>
      <c r="I4262" s="11">
        <f>IFERROR(__xludf.DUMMYFUNCTION("""COMPUTED_VALUE"""),5463.140134974196)</f>
        <v>5463.140135</v>
      </c>
      <c r="J4262" s="10">
        <f>IFERROR(__xludf.DUMMYFUNCTION("""COMPUTED_VALUE"""),4.0)</f>
        <v>4</v>
      </c>
      <c r="K4262" s="5">
        <f>IFERROR(__xludf.DUMMYFUNCTION("""COMPUTED_VALUE"""),0.0018450184501845018)</f>
        <v>0.00184501845</v>
      </c>
      <c r="L4262" s="10">
        <f>IFERROR(__xludf.DUMMYFUNCTION("""COMPUTED_VALUE"""),2168.0)</f>
        <v>2168</v>
      </c>
      <c r="M4262" s="5">
        <f>IFERROR(__xludf.DUMMYFUNCTION("""COMPUTED_VALUE"""),1.0)</f>
        <v>1</v>
      </c>
    </row>
    <row r="4263">
      <c r="A4263" s="10" t="str">
        <f>IFERROR(__xludf.DUMMYFUNCTION("""COMPUTED_VALUE"""),"タラフマラ族")</f>
        <v>タラフマラ族</v>
      </c>
      <c r="B4263" s="10">
        <f>IFERROR(__xludf.DUMMYFUNCTION("""COMPUTED_VALUE"""),436.0)</f>
        <v>436</v>
      </c>
      <c r="C4263" s="10">
        <f>IFERROR(__xludf.DUMMYFUNCTION("""COMPUTED_VALUE"""),5164.0)</f>
        <v>5164</v>
      </c>
      <c r="D4263" s="5">
        <f>IFERROR(__xludf.DUMMYFUNCTION("""COMPUTED_VALUE"""),0.41814720812182743)</f>
        <v>0.4181472081</v>
      </c>
      <c r="E4263" s="5">
        <f>IFERROR(__xludf.DUMMYFUNCTION("""COMPUTED_VALUE"""),0.1188663282571912)</f>
        <v>0.1188663283</v>
      </c>
      <c r="F4263" s="5">
        <f>IFERROR(__xludf.DUMMYFUNCTION("""COMPUTED_VALUE"""),0.21890862944162437)</f>
        <v>0.2189086294</v>
      </c>
      <c r="G4263" s="5">
        <f>IFERROR(__xludf.DUMMYFUNCTION("""COMPUTED_VALUE"""),0.16687817258883247)</f>
        <v>0.1668781726</v>
      </c>
      <c r="H4263" s="5">
        <f>IFERROR(__xludf.DUMMYFUNCTION("""COMPUTED_VALUE"""),0.553623188405797)</f>
        <v>0.5536231884</v>
      </c>
      <c r="I4263" s="11">
        <f>IFERROR(__xludf.DUMMYFUNCTION("""COMPUTED_VALUE"""),5409.275362318841)</f>
        <v>5409.275362</v>
      </c>
      <c r="J4263" s="10">
        <f>IFERROR(__xludf.DUMMYFUNCTION("""COMPUTED_VALUE"""),0.0)</f>
        <v>0</v>
      </c>
      <c r="K4263" s="5">
        <f>IFERROR(__xludf.DUMMYFUNCTION("""COMPUTED_VALUE"""),0.0)</f>
        <v>0</v>
      </c>
      <c r="L4263" s="10">
        <f>IFERROR(__xludf.DUMMYFUNCTION("""COMPUTED_VALUE"""),435.0)</f>
        <v>435</v>
      </c>
      <c r="M4263" s="5">
        <f>IFERROR(__xludf.DUMMYFUNCTION("""COMPUTED_VALUE"""),0.9977064220183486)</f>
        <v>0.997706422</v>
      </c>
    </row>
    <row r="4264">
      <c r="A4264" s="10" t="str">
        <f>IFERROR(__xludf.DUMMYFUNCTION("""COMPUTED_VALUE"""),"Dr★イチガキ")</f>
        <v>Dr★イチガキ</v>
      </c>
      <c r="B4264" s="10">
        <f>IFERROR(__xludf.DUMMYFUNCTION("""COMPUTED_VALUE"""),411.0)</f>
        <v>411</v>
      </c>
      <c r="C4264" s="10">
        <f>IFERROR(__xludf.DUMMYFUNCTION("""COMPUTED_VALUE"""),4803.0)</f>
        <v>4803</v>
      </c>
      <c r="D4264" s="5">
        <f>IFERROR(__xludf.DUMMYFUNCTION("""COMPUTED_VALUE"""),0.3891165755919854)</f>
        <v>0.3891165756</v>
      </c>
      <c r="E4264" s="5">
        <f>IFERROR(__xludf.DUMMYFUNCTION("""COMPUTED_VALUE"""),0.11885245901639344)</f>
        <v>0.118852459</v>
      </c>
      <c r="F4264" s="5">
        <f>IFERROR(__xludf.DUMMYFUNCTION("""COMPUTED_VALUE"""),0.20446265938069216)</f>
        <v>0.2044626594</v>
      </c>
      <c r="G4264" s="5">
        <f>IFERROR(__xludf.DUMMYFUNCTION("""COMPUTED_VALUE"""),0.1621129326047359)</f>
        <v>0.1621129326</v>
      </c>
      <c r="H4264" s="5">
        <f>IFERROR(__xludf.DUMMYFUNCTION("""COMPUTED_VALUE"""),0.5868596881959911)</f>
        <v>0.5868596882</v>
      </c>
      <c r="I4264" s="11">
        <f>IFERROR(__xludf.DUMMYFUNCTION("""COMPUTED_VALUE"""),5400.556792873052)</f>
        <v>5400.556793</v>
      </c>
      <c r="J4264" s="10">
        <f>IFERROR(__xludf.DUMMYFUNCTION("""COMPUTED_VALUE"""),0.0)</f>
        <v>0</v>
      </c>
      <c r="K4264" s="5">
        <f>IFERROR(__xludf.DUMMYFUNCTION("""COMPUTED_VALUE"""),0.0)</f>
        <v>0</v>
      </c>
      <c r="L4264" s="10">
        <f>IFERROR(__xludf.DUMMYFUNCTION("""COMPUTED_VALUE"""),411.0)</f>
        <v>411</v>
      </c>
      <c r="M4264" s="5">
        <f>IFERROR(__xludf.DUMMYFUNCTION("""COMPUTED_VALUE"""),1.0)</f>
        <v>1</v>
      </c>
    </row>
    <row r="4265">
      <c r="A4265" s="10" t="str">
        <f>IFERROR(__xludf.DUMMYFUNCTION("""COMPUTED_VALUE"""),"天苦位")</f>
        <v>天苦位</v>
      </c>
      <c r="B4265" s="10">
        <f>IFERROR(__xludf.DUMMYFUNCTION("""COMPUTED_VALUE"""),411.0)</f>
        <v>411</v>
      </c>
      <c r="C4265" s="10">
        <f>IFERROR(__xludf.DUMMYFUNCTION("""COMPUTED_VALUE"""),4820.0)</f>
        <v>4820</v>
      </c>
      <c r="D4265" s="5">
        <f>IFERROR(__xludf.DUMMYFUNCTION("""COMPUTED_VALUE"""),0.35268768428215014)</f>
        <v>0.3526876843</v>
      </c>
      <c r="E4265" s="5">
        <f>IFERROR(__xludf.DUMMYFUNCTION("""COMPUTED_VALUE"""),0.11884781129507825)</f>
        <v>0.1188478113</v>
      </c>
      <c r="F4265" s="5">
        <f>IFERROR(__xludf.DUMMYFUNCTION("""COMPUTED_VALUE"""),0.2102517577682014)</f>
        <v>0.2102517578</v>
      </c>
      <c r="G4265" s="5">
        <f>IFERROR(__xludf.DUMMYFUNCTION("""COMPUTED_VALUE"""),0.16126105692900886)</f>
        <v>0.1612610569</v>
      </c>
      <c r="H4265" s="5">
        <f>IFERROR(__xludf.DUMMYFUNCTION("""COMPUTED_VALUE"""),0.6008629989212514)</f>
        <v>0.6008629989</v>
      </c>
      <c r="I4265" s="11">
        <f>IFERROR(__xludf.DUMMYFUNCTION("""COMPUTED_VALUE"""),5645.738942826321)</f>
        <v>5645.738943</v>
      </c>
      <c r="J4265" s="10">
        <f>IFERROR(__xludf.DUMMYFUNCTION("""COMPUTED_VALUE"""),0.0)</f>
        <v>0</v>
      </c>
      <c r="K4265" s="5">
        <f>IFERROR(__xludf.DUMMYFUNCTION("""COMPUTED_VALUE"""),0.0)</f>
        <v>0</v>
      </c>
      <c r="L4265" s="10">
        <f>IFERROR(__xludf.DUMMYFUNCTION("""COMPUTED_VALUE"""),384.0)</f>
        <v>384</v>
      </c>
      <c r="M4265" s="5">
        <f>IFERROR(__xludf.DUMMYFUNCTION("""COMPUTED_VALUE"""),0.9343065693430657)</f>
        <v>0.9343065693</v>
      </c>
    </row>
    <row r="4266">
      <c r="A4266" s="10" t="str">
        <f>IFERROR(__xludf.DUMMYFUNCTION("""COMPUTED_VALUE"""),"LS陽")</f>
        <v>LS陽</v>
      </c>
      <c r="B4266" s="10">
        <f>IFERROR(__xludf.DUMMYFUNCTION("""COMPUTED_VALUE"""),1068.0)</f>
        <v>1068</v>
      </c>
      <c r="C4266" s="10">
        <f>IFERROR(__xludf.DUMMYFUNCTION("""COMPUTED_VALUE"""),12688.0)</f>
        <v>12688</v>
      </c>
      <c r="D4266" s="5">
        <f>IFERROR(__xludf.DUMMYFUNCTION("""COMPUTED_VALUE"""),0.34509466437177283)</f>
        <v>0.3450946644</v>
      </c>
      <c r="E4266" s="5">
        <f>IFERROR(__xludf.DUMMYFUNCTION("""COMPUTED_VALUE"""),0.11884681583476764)</f>
        <v>0.1188468158</v>
      </c>
      <c r="F4266" s="5">
        <f>IFERROR(__xludf.DUMMYFUNCTION("""COMPUTED_VALUE"""),0.19948364888123923)</f>
        <v>0.1994836489</v>
      </c>
      <c r="G4266" s="5">
        <f>IFERROR(__xludf.DUMMYFUNCTION("""COMPUTED_VALUE"""),0.15111876075731498)</f>
        <v>0.1511187608</v>
      </c>
      <c r="H4266" s="5">
        <f>IFERROR(__xludf.DUMMYFUNCTION("""COMPUTED_VALUE"""),0.591458153580673)</f>
        <v>0.5914581536</v>
      </c>
      <c r="I4266" s="11">
        <f>IFERROR(__xludf.DUMMYFUNCTION("""COMPUTED_VALUE"""),5328.041415012942)</f>
        <v>5328.041415</v>
      </c>
      <c r="J4266" s="10">
        <f>IFERROR(__xludf.DUMMYFUNCTION("""COMPUTED_VALUE"""),1.0)</f>
        <v>1</v>
      </c>
      <c r="K4266" s="5">
        <f>IFERROR(__xludf.DUMMYFUNCTION("""COMPUTED_VALUE"""),9.363295880149813E-4)</f>
        <v>0.000936329588</v>
      </c>
      <c r="L4266" s="10">
        <f>IFERROR(__xludf.DUMMYFUNCTION("""COMPUTED_VALUE"""),1068.0)</f>
        <v>1068</v>
      </c>
      <c r="M4266" s="5">
        <f>IFERROR(__xludf.DUMMYFUNCTION("""COMPUTED_VALUE"""),1.0)</f>
        <v>1</v>
      </c>
    </row>
    <row r="4267">
      <c r="A4267" s="10" t="str">
        <f>IFERROR(__xludf.DUMMYFUNCTION("""COMPUTED_VALUE"""),"wxindan")</f>
        <v>wxindan</v>
      </c>
      <c r="B4267" s="10">
        <f>IFERROR(__xludf.DUMMYFUNCTION("""COMPUTED_VALUE"""),109.0)</f>
        <v>109</v>
      </c>
      <c r="C4267" s="10">
        <f>IFERROR(__xludf.DUMMYFUNCTION("""COMPUTED_VALUE"""),1287.0)</f>
        <v>1287</v>
      </c>
      <c r="D4267" s="5">
        <f>IFERROR(__xludf.DUMMYFUNCTION("""COMPUTED_VALUE"""),0.32597623089983024)</f>
        <v>0.3259762309</v>
      </c>
      <c r="E4267" s="5">
        <f>IFERROR(__xludf.DUMMYFUNCTION("""COMPUTED_VALUE"""),0.11884550084889643)</f>
        <v>0.1188455008</v>
      </c>
      <c r="F4267" s="5">
        <f>IFERROR(__xludf.DUMMYFUNCTION("""COMPUTED_VALUE"""),0.18930390492359933)</f>
        <v>0.1893039049</v>
      </c>
      <c r="G4267" s="5">
        <f>IFERROR(__xludf.DUMMYFUNCTION("""COMPUTED_VALUE"""),0.13837011884550085)</f>
        <v>0.1383701188</v>
      </c>
      <c r="H4267" s="5">
        <f>IFERROR(__xludf.DUMMYFUNCTION("""COMPUTED_VALUE"""),0.5515695067264574)</f>
        <v>0.5515695067</v>
      </c>
      <c r="I4267" s="11">
        <f>IFERROR(__xludf.DUMMYFUNCTION("""COMPUTED_VALUE"""),5432.735426008969)</f>
        <v>5432.735426</v>
      </c>
      <c r="J4267" s="10">
        <f>IFERROR(__xludf.DUMMYFUNCTION("""COMPUTED_VALUE"""),1.0)</f>
        <v>1</v>
      </c>
      <c r="K4267" s="5">
        <f>IFERROR(__xludf.DUMMYFUNCTION("""COMPUTED_VALUE"""),0.009174311926605505)</f>
        <v>0.009174311927</v>
      </c>
      <c r="L4267" s="10">
        <f>IFERROR(__xludf.DUMMYFUNCTION("""COMPUTED_VALUE"""),109.0)</f>
        <v>109</v>
      </c>
      <c r="M4267" s="5">
        <f>IFERROR(__xludf.DUMMYFUNCTION("""COMPUTED_VALUE"""),1.0)</f>
        <v>1</v>
      </c>
    </row>
    <row r="4268">
      <c r="A4268" s="10" t="str">
        <f>IFERROR(__xludf.DUMMYFUNCTION("""COMPUTED_VALUE"""),"ブーーーン")</f>
        <v>ブーーーン</v>
      </c>
      <c r="B4268" s="10">
        <f>IFERROR(__xludf.DUMMYFUNCTION("""COMPUTED_VALUE"""),269.0)</f>
        <v>269</v>
      </c>
      <c r="C4268" s="10">
        <f>IFERROR(__xludf.DUMMYFUNCTION("""COMPUTED_VALUE"""),3147.0)</f>
        <v>3147</v>
      </c>
      <c r="D4268" s="5">
        <f>IFERROR(__xludf.DUMMYFUNCTION("""COMPUTED_VALUE"""),0.41139680333564976)</f>
        <v>0.4113968033</v>
      </c>
      <c r="E4268" s="5">
        <f>IFERROR(__xludf.DUMMYFUNCTION("""COMPUTED_VALUE"""),0.11883252258512857)</f>
        <v>0.1188325226</v>
      </c>
      <c r="F4268" s="5">
        <f>IFERROR(__xludf.DUMMYFUNCTION("""COMPUTED_VALUE"""),0.22515635858234886)</f>
        <v>0.2251563586</v>
      </c>
      <c r="G4268" s="5">
        <f>IFERROR(__xludf.DUMMYFUNCTION("""COMPUTED_VALUE"""),0.1911049339819319)</f>
        <v>0.191104934</v>
      </c>
      <c r="H4268" s="5">
        <f>IFERROR(__xludf.DUMMYFUNCTION("""COMPUTED_VALUE"""),0.5848765432098766)</f>
        <v>0.5848765432</v>
      </c>
      <c r="I4268" s="11">
        <f>IFERROR(__xludf.DUMMYFUNCTION("""COMPUTED_VALUE"""),5385.030864197531)</f>
        <v>5385.030864</v>
      </c>
      <c r="J4268" s="10">
        <f>IFERROR(__xludf.DUMMYFUNCTION("""COMPUTED_VALUE"""),0.0)</f>
        <v>0</v>
      </c>
      <c r="K4268" s="5">
        <f>IFERROR(__xludf.DUMMYFUNCTION("""COMPUTED_VALUE"""),0.0)</f>
        <v>0</v>
      </c>
      <c r="L4268" s="10">
        <f>IFERROR(__xludf.DUMMYFUNCTION("""COMPUTED_VALUE"""),269.0)</f>
        <v>269</v>
      </c>
      <c r="M4268" s="5">
        <f>IFERROR(__xludf.DUMMYFUNCTION("""COMPUTED_VALUE"""),1.0)</f>
        <v>1</v>
      </c>
    </row>
    <row r="4269">
      <c r="A4269" s="10" t="str">
        <f>IFERROR(__xludf.DUMMYFUNCTION("""COMPUTED_VALUE"""),"もみあげ")</f>
        <v>もみあげ</v>
      </c>
      <c r="B4269" s="10">
        <f>IFERROR(__xludf.DUMMYFUNCTION("""COMPUTED_VALUE"""),3175.0)</f>
        <v>3175</v>
      </c>
      <c r="C4269" s="10">
        <f>IFERROR(__xludf.DUMMYFUNCTION("""COMPUTED_VALUE"""),37115.0)</f>
        <v>37115</v>
      </c>
      <c r="D4269" s="5">
        <f>IFERROR(__xludf.DUMMYFUNCTION("""COMPUTED_VALUE"""),0.356570418385386)</f>
        <v>0.3565704184</v>
      </c>
      <c r="E4269" s="5">
        <f>IFERROR(__xludf.DUMMYFUNCTION("""COMPUTED_VALUE"""),0.11882734236888627)</f>
        <v>0.1188273424</v>
      </c>
      <c r="F4269" s="5">
        <f>IFERROR(__xludf.DUMMYFUNCTION("""COMPUTED_VALUE"""),0.21084266352386566)</f>
        <v>0.2108426635</v>
      </c>
      <c r="G4269" s="5">
        <f>IFERROR(__xludf.DUMMYFUNCTION("""COMPUTED_VALUE"""),0.14755450795521508)</f>
        <v>0.147554508</v>
      </c>
      <c r="H4269" s="5">
        <f>IFERROR(__xludf.DUMMYFUNCTION("""COMPUTED_VALUE"""),0.6053661263275573)</f>
        <v>0.6053661263</v>
      </c>
      <c r="I4269" s="11">
        <f>IFERROR(__xludf.DUMMYFUNCTION("""COMPUTED_VALUE"""),5328.493571827837)</f>
        <v>5328.493572</v>
      </c>
      <c r="J4269" s="10">
        <f>IFERROR(__xludf.DUMMYFUNCTION("""COMPUTED_VALUE"""),6.0)</f>
        <v>6</v>
      </c>
      <c r="K4269" s="5">
        <f>IFERROR(__xludf.DUMMYFUNCTION("""COMPUTED_VALUE"""),0.001889763779527559)</f>
        <v>0.00188976378</v>
      </c>
      <c r="L4269" s="10">
        <f>IFERROR(__xludf.DUMMYFUNCTION("""COMPUTED_VALUE"""),3175.0)</f>
        <v>3175</v>
      </c>
      <c r="M4269" s="5">
        <f>IFERROR(__xludf.DUMMYFUNCTION("""COMPUTED_VALUE"""),1.0)</f>
        <v>1</v>
      </c>
    </row>
    <row r="4270">
      <c r="A4270" s="10" t="str">
        <f>IFERROR(__xludf.DUMMYFUNCTION("""COMPUTED_VALUE"""),"NO.Ⅰ")</f>
        <v>NO.Ⅰ</v>
      </c>
      <c r="B4270" s="10">
        <f>IFERROR(__xludf.DUMMYFUNCTION("""COMPUTED_VALUE"""),554.0)</f>
        <v>554</v>
      </c>
      <c r="C4270" s="10">
        <f>IFERROR(__xludf.DUMMYFUNCTION("""COMPUTED_VALUE"""),6487.0)</f>
        <v>6487</v>
      </c>
      <c r="D4270" s="5">
        <f>IFERROR(__xludf.DUMMYFUNCTION("""COMPUTED_VALUE"""),0.34906455418843757)</f>
        <v>0.3490645542</v>
      </c>
      <c r="E4270" s="5">
        <f>IFERROR(__xludf.DUMMYFUNCTION("""COMPUTED_VALUE"""),0.11882690038766223)</f>
        <v>0.1188269004</v>
      </c>
      <c r="F4270" s="5">
        <f>IFERROR(__xludf.DUMMYFUNCTION("""COMPUTED_VALUE"""),0.23883364233945728)</f>
        <v>0.2388336423</v>
      </c>
      <c r="G4270" s="5">
        <f>IFERROR(__xludf.DUMMYFUNCTION("""COMPUTED_VALUE"""),0.24068767908309455)</f>
        <v>0.2406876791</v>
      </c>
      <c r="H4270" s="5">
        <f>IFERROR(__xludf.DUMMYFUNCTION("""COMPUTED_VALUE"""),0.589273112208892)</f>
        <v>0.5892731122</v>
      </c>
      <c r="I4270" s="11">
        <f>IFERROR(__xludf.DUMMYFUNCTION("""COMPUTED_VALUE"""),5756.033874382499)</f>
        <v>5756.033874</v>
      </c>
      <c r="J4270" s="10">
        <f>IFERROR(__xludf.DUMMYFUNCTION("""COMPUTED_VALUE"""),3.0)</f>
        <v>3</v>
      </c>
      <c r="K4270" s="5">
        <f>IFERROR(__xludf.DUMMYFUNCTION("""COMPUTED_VALUE"""),0.005415162454873646)</f>
        <v>0.005415162455</v>
      </c>
      <c r="L4270" s="10">
        <f>IFERROR(__xludf.DUMMYFUNCTION("""COMPUTED_VALUE"""),554.0)</f>
        <v>554</v>
      </c>
      <c r="M4270" s="5">
        <f>IFERROR(__xludf.DUMMYFUNCTION("""COMPUTED_VALUE"""),1.0)</f>
        <v>1</v>
      </c>
    </row>
    <row r="4271">
      <c r="A4271" s="10" t="str">
        <f>IFERROR(__xludf.DUMMYFUNCTION("""COMPUTED_VALUE"""),"エリカ")</f>
        <v>エリカ</v>
      </c>
      <c r="B4271" s="10">
        <f>IFERROR(__xludf.DUMMYFUNCTION("""COMPUTED_VALUE"""),796.0)</f>
        <v>796</v>
      </c>
      <c r="C4271" s="10">
        <f>IFERROR(__xludf.DUMMYFUNCTION("""COMPUTED_VALUE"""),9422.0)</f>
        <v>9422</v>
      </c>
      <c r="D4271" s="5">
        <f>IFERROR(__xludf.DUMMYFUNCTION("""COMPUTED_VALUE"""),0.31451425921632276)</f>
        <v>0.3145142592</v>
      </c>
      <c r="E4271" s="5">
        <f>IFERROR(__xludf.DUMMYFUNCTION("""COMPUTED_VALUE"""),0.11882680268954324)</f>
        <v>0.1188268027</v>
      </c>
      <c r="F4271" s="5">
        <f>IFERROR(__xludf.DUMMYFUNCTION("""COMPUTED_VALUE"""),0.20310688615812658)</f>
        <v>0.2031068862</v>
      </c>
      <c r="G4271" s="5">
        <f>IFERROR(__xludf.DUMMYFUNCTION("""COMPUTED_VALUE"""),0.15580802225828888)</f>
        <v>0.1558080223</v>
      </c>
      <c r="H4271" s="5">
        <f>IFERROR(__xludf.DUMMYFUNCTION("""COMPUTED_VALUE"""),0.6050228310502284)</f>
        <v>0.6050228311</v>
      </c>
      <c r="I4271" s="11">
        <f>IFERROR(__xludf.DUMMYFUNCTION("""COMPUTED_VALUE"""),5482.534246575343)</f>
        <v>5482.534247</v>
      </c>
      <c r="J4271" s="10">
        <f>IFERROR(__xludf.DUMMYFUNCTION("""COMPUTED_VALUE"""),0.0)</f>
        <v>0</v>
      </c>
      <c r="K4271" s="5">
        <f>IFERROR(__xludf.DUMMYFUNCTION("""COMPUTED_VALUE"""),0.0)</f>
        <v>0</v>
      </c>
      <c r="L4271" s="10">
        <f>IFERROR(__xludf.DUMMYFUNCTION("""COMPUTED_VALUE"""),0.0)</f>
        <v>0</v>
      </c>
      <c r="M4271" s="5">
        <f>IFERROR(__xludf.DUMMYFUNCTION("""COMPUTED_VALUE"""),0.0)</f>
        <v>0</v>
      </c>
    </row>
    <row r="4272">
      <c r="A4272" s="10" t="str">
        <f>IFERROR(__xludf.DUMMYFUNCTION("""COMPUTED_VALUE"""),"OMANTA")</f>
        <v>OMANTA</v>
      </c>
      <c r="B4272" s="10">
        <f>IFERROR(__xludf.DUMMYFUNCTION("""COMPUTED_VALUE"""),4866.0)</f>
        <v>4866</v>
      </c>
      <c r="C4272" s="10">
        <f>IFERROR(__xludf.DUMMYFUNCTION("""COMPUTED_VALUE"""),56809.0)</f>
        <v>56809</v>
      </c>
      <c r="D4272" s="5">
        <f>IFERROR(__xludf.DUMMYFUNCTION("""COMPUTED_VALUE"""),0.35631365150260863)</f>
        <v>0.3563136515</v>
      </c>
      <c r="E4272" s="5">
        <f>IFERROR(__xludf.DUMMYFUNCTION("""COMPUTED_VALUE"""),0.11882255549352175)</f>
        <v>0.1188225555</v>
      </c>
      <c r="F4272" s="5">
        <f>IFERROR(__xludf.DUMMYFUNCTION("""COMPUTED_VALUE"""),0.22037618158365901)</f>
        <v>0.2203761816</v>
      </c>
      <c r="G4272" s="5">
        <f>IFERROR(__xludf.DUMMYFUNCTION("""COMPUTED_VALUE"""),0.17147642608243652)</f>
        <v>0.1714764261</v>
      </c>
      <c r="H4272" s="5">
        <f>IFERROR(__xludf.DUMMYFUNCTION("""COMPUTED_VALUE"""),0.5969249585044116)</f>
        <v>0.5969249585</v>
      </c>
      <c r="I4272" s="11">
        <f>IFERROR(__xludf.DUMMYFUNCTION("""COMPUTED_VALUE"""),5562.479252205818)</f>
        <v>5562.479252</v>
      </c>
      <c r="J4272" s="10">
        <f>IFERROR(__xludf.DUMMYFUNCTION("""COMPUTED_VALUE"""),4.0)</f>
        <v>4</v>
      </c>
      <c r="K4272" s="5">
        <f>IFERROR(__xludf.DUMMYFUNCTION("""COMPUTED_VALUE"""),8.220304151253596E-4)</f>
        <v>0.0008220304151</v>
      </c>
      <c r="L4272" s="10">
        <f>IFERROR(__xludf.DUMMYFUNCTION("""COMPUTED_VALUE"""),4796.0)</f>
        <v>4796</v>
      </c>
      <c r="M4272" s="5">
        <f>IFERROR(__xludf.DUMMYFUNCTION("""COMPUTED_VALUE"""),0.9856144677353063)</f>
        <v>0.9856144677</v>
      </c>
    </row>
    <row r="4273">
      <c r="A4273" s="10" t="str">
        <f>IFERROR(__xludf.DUMMYFUNCTION("""COMPUTED_VALUE"""),"温室野菜")</f>
        <v>温室野菜</v>
      </c>
      <c r="B4273" s="10">
        <f>IFERROR(__xludf.DUMMYFUNCTION("""COMPUTED_VALUE"""),190.0)</f>
        <v>190</v>
      </c>
      <c r="C4273" s="10">
        <f>IFERROR(__xludf.DUMMYFUNCTION("""COMPUTED_VALUE"""),2294.0)</f>
        <v>2294</v>
      </c>
      <c r="D4273" s="5">
        <f>IFERROR(__xludf.DUMMYFUNCTION("""COMPUTED_VALUE"""),0.279467680608365)</f>
        <v>0.2794676806</v>
      </c>
      <c r="E4273" s="5">
        <f>IFERROR(__xludf.DUMMYFUNCTION("""COMPUTED_VALUE"""),0.1188212927756654)</f>
        <v>0.1188212928</v>
      </c>
      <c r="F4273" s="5">
        <f>IFERROR(__xludf.DUMMYFUNCTION("""COMPUTED_VALUE"""),0.19011406844106463)</f>
        <v>0.1901140684</v>
      </c>
      <c r="G4273" s="5">
        <f>IFERROR(__xludf.DUMMYFUNCTION("""COMPUTED_VALUE"""),0.14401140684410646)</f>
        <v>0.1440114068</v>
      </c>
      <c r="H4273" s="5">
        <f>IFERROR(__xludf.DUMMYFUNCTION("""COMPUTED_VALUE"""),0.6175)</f>
        <v>0.6175</v>
      </c>
      <c r="I4273" s="11">
        <f>IFERROR(__xludf.DUMMYFUNCTION("""COMPUTED_VALUE"""),5608.75)</f>
        <v>5608.75</v>
      </c>
      <c r="J4273" s="10">
        <f>IFERROR(__xludf.DUMMYFUNCTION("""COMPUTED_VALUE"""),0.0)</f>
        <v>0</v>
      </c>
      <c r="K4273" s="5">
        <f>IFERROR(__xludf.DUMMYFUNCTION("""COMPUTED_VALUE"""),0.0)</f>
        <v>0</v>
      </c>
      <c r="L4273" s="10">
        <f>IFERROR(__xludf.DUMMYFUNCTION("""COMPUTED_VALUE"""),190.0)</f>
        <v>190</v>
      </c>
      <c r="M4273" s="5">
        <f>IFERROR(__xludf.DUMMYFUNCTION("""COMPUTED_VALUE"""),1.0)</f>
        <v>1</v>
      </c>
    </row>
    <row r="4274">
      <c r="A4274" s="10" t="str">
        <f>IFERROR(__xludf.DUMMYFUNCTION("""COMPUTED_VALUE"""),"隠者Ⅸ")</f>
        <v>隠者Ⅸ</v>
      </c>
      <c r="B4274" s="10">
        <f>IFERROR(__xludf.DUMMYFUNCTION("""COMPUTED_VALUE"""),935.0)</f>
        <v>935</v>
      </c>
      <c r="C4274" s="10">
        <f>IFERROR(__xludf.DUMMYFUNCTION("""COMPUTED_VALUE"""),10908.0)</f>
        <v>10908</v>
      </c>
      <c r="D4274" s="5">
        <f>IFERROR(__xludf.DUMMYFUNCTION("""COMPUTED_VALUE"""),0.3805274240449213)</f>
        <v>0.380527424</v>
      </c>
      <c r="E4274" s="5">
        <f>IFERROR(__xludf.DUMMYFUNCTION("""COMPUTED_VALUE"""),0.11882081620375012)</f>
        <v>0.1188208162</v>
      </c>
      <c r="F4274" s="5">
        <f>IFERROR(__xludf.DUMMYFUNCTION("""COMPUTED_VALUE"""),0.22330291787827133)</f>
        <v>0.2233029179</v>
      </c>
      <c r="G4274" s="5">
        <f>IFERROR(__xludf.DUMMYFUNCTION("""COMPUTED_VALUE"""),0.174771884087035)</f>
        <v>0.1747718841</v>
      </c>
      <c r="H4274" s="5">
        <f>IFERROR(__xludf.DUMMYFUNCTION("""COMPUTED_VALUE"""),0.5819488100583745)</f>
        <v>0.5819488101</v>
      </c>
      <c r="I4274" s="11">
        <f>IFERROR(__xludf.DUMMYFUNCTION("""COMPUTED_VALUE"""),5498.248765154917)</f>
        <v>5498.248765</v>
      </c>
      <c r="J4274" s="10">
        <f>IFERROR(__xludf.DUMMYFUNCTION("""COMPUTED_VALUE"""),4.0)</f>
        <v>4</v>
      </c>
      <c r="K4274" s="5">
        <f>IFERROR(__xludf.DUMMYFUNCTION("""COMPUTED_VALUE"""),0.0042780748663101605)</f>
        <v>0.004278074866</v>
      </c>
      <c r="L4274" s="10">
        <f>IFERROR(__xludf.DUMMYFUNCTION("""COMPUTED_VALUE"""),935.0)</f>
        <v>935</v>
      </c>
      <c r="M4274" s="5">
        <f>IFERROR(__xludf.DUMMYFUNCTION("""COMPUTED_VALUE"""),1.0)</f>
        <v>1</v>
      </c>
    </row>
    <row r="4275">
      <c r="A4275" s="10" t="str">
        <f>IFERROR(__xludf.DUMMYFUNCTION("""COMPUTED_VALUE"""),"▽与作(おにぎり")</f>
        <v>▽与作(おにぎり</v>
      </c>
      <c r="B4275" s="10">
        <f>IFERROR(__xludf.DUMMYFUNCTION("""COMPUTED_VALUE"""),2794.0)</f>
        <v>2794</v>
      </c>
      <c r="C4275" s="10">
        <f>IFERROR(__xludf.DUMMYFUNCTION("""COMPUTED_VALUE"""),32428.0)</f>
        <v>32428</v>
      </c>
      <c r="D4275" s="5">
        <f>IFERROR(__xludf.DUMMYFUNCTION("""COMPUTED_VALUE"""),0.36026186137544713)</f>
        <v>0.3602618614</v>
      </c>
      <c r="E4275" s="5">
        <f>IFERROR(__xludf.DUMMYFUNCTION("""COMPUTED_VALUE"""),0.11881622460687048)</f>
        <v>0.1188162246</v>
      </c>
      <c r="F4275" s="5">
        <f>IFERROR(__xludf.DUMMYFUNCTION("""COMPUTED_VALUE"""),0.20864547479246812)</f>
        <v>0.2086454748</v>
      </c>
      <c r="G4275" s="5">
        <f>IFERROR(__xludf.DUMMYFUNCTION("""COMPUTED_VALUE"""),0.18276304245123845)</f>
        <v>0.1827630425</v>
      </c>
      <c r="H4275" s="5">
        <f>IFERROR(__xludf.DUMMYFUNCTION("""COMPUTED_VALUE"""),0.596474203461103)</f>
        <v>0.5964742035</v>
      </c>
      <c r="I4275" s="11">
        <f>IFERROR(__xludf.DUMMYFUNCTION("""COMPUTED_VALUE"""),5691.460456089277)</f>
        <v>5691.460456</v>
      </c>
      <c r="J4275" s="10">
        <f>IFERROR(__xludf.DUMMYFUNCTION("""COMPUTED_VALUE"""),7.0)</f>
        <v>7</v>
      </c>
      <c r="K4275" s="5">
        <f>IFERROR(__xludf.DUMMYFUNCTION("""COMPUTED_VALUE"""),0.0025053686471009306)</f>
        <v>0.002505368647</v>
      </c>
      <c r="L4275" s="10">
        <f>IFERROR(__xludf.DUMMYFUNCTION("""COMPUTED_VALUE"""),2788.0)</f>
        <v>2788</v>
      </c>
      <c r="M4275" s="5">
        <f>IFERROR(__xludf.DUMMYFUNCTION("""COMPUTED_VALUE"""),0.9978525411596277)</f>
        <v>0.9978525412</v>
      </c>
    </row>
    <row r="4276">
      <c r="A4276" s="10" t="str">
        <f>IFERROR(__xludf.DUMMYFUNCTION("""COMPUTED_VALUE"""),"ふるつぱあ")</f>
        <v>ふるつぱあ</v>
      </c>
      <c r="B4276" s="10">
        <f>IFERROR(__xludf.DUMMYFUNCTION("""COMPUTED_VALUE"""),706.0)</f>
        <v>706</v>
      </c>
      <c r="C4276" s="10">
        <f>IFERROR(__xludf.DUMMYFUNCTION("""COMPUTED_VALUE"""),8374.0)</f>
        <v>8374</v>
      </c>
      <c r="D4276" s="5">
        <f>IFERROR(__xludf.DUMMYFUNCTION("""COMPUTED_VALUE"""),0.41145018257694316)</f>
        <v>0.4114501826</v>
      </c>
      <c r="E4276" s="5">
        <f>IFERROR(__xludf.DUMMYFUNCTION("""COMPUTED_VALUE"""),0.11880542514345331)</f>
        <v>0.1188054251</v>
      </c>
      <c r="F4276" s="5">
        <f>IFERROR(__xludf.DUMMYFUNCTION("""COMPUTED_VALUE"""),0.21100678142931664)</f>
        <v>0.2110067814</v>
      </c>
      <c r="G4276" s="5">
        <f>IFERROR(__xludf.DUMMYFUNCTION("""COMPUTED_VALUE"""),0.12232655190401669)</f>
        <v>0.1223265519</v>
      </c>
      <c r="H4276" s="5">
        <f>IFERROR(__xludf.DUMMYFUNCTION("""COMPUTED_VALUE"""),0.6260815822002472)</f>
        <v>0.6260815822</v>
      </c>
      <c r="I4276" s="11">
        <f>IFERROR(__xludf.DUMMYFUNCTION("""COMPUTED_VALUE"""),5344.87021013597)</f>
        <v>5344.87021</v>
      </c>
      <c r="J4276" s="10">
        <f>IFERROR(__xludf.DUMMYFUNCTION("""COMPUTED_VALUE"""),0.0)</f>
        <v>0</v>
      </c>
      <c r="K4276" s="5">
        <f>IFERROR(__xludf.DUMMYFUNCTION("""COMPUTED_VALUE"""),0.0)</f>
        <v>0</v>
      </c>
      <c r="L4276" s="10">
        <f>IFERROR(__xludf.DUMMYFUNCTION("""COMPUTED_VALUE"""),706.0)</f>
        <v>706</v>
      </c>
      <c r="M4276" s="5">
        <f>IFERROR(__xludf.DUMMYFUNCTION("""COMPUTED_VALUE"""),1.0)</f>
        <v>1</v>
      </c>
    </row>
    <row r="4277">
      <c r="A4277" s="10" t="str">
        <f>IFERROR(__xludf.DUMMYFUNCTION("""COMPUTED_VALUE"""),"くまモン(ソ)")</f>
        <v>くまモン(ソ)</v>
      </c>
      <c r="B4277" s="10">
        <f>IFERROR(__xludf.DUMMYFUNCTION("""COMPUTED_VALUE"""),231.0)</f>
        <v>231</v>
      </c>
      <c r="C4277" s="10">
        <f>IFERROR(__xludf.DUMMYFUNCTION("""COMPUTED_VALUE"""),2731.0)</f>
        <v>2731</v>
      </c>
      <c r="D4277" s="5">
        <f>IFERROR(__xludf.DUMMYFUNCTION("""COMPUTED_VALUE"""),0.3544)</f>
        <v>0.3544</v>
      </c>
      <c r="E4277" s="5">
        <f>IFERROR(__xludf.DUMMYFUNCTION("""COMPUTED_VALUE"""),0.1188)</f>
        <v>0.1188</v>
      </c>
      <c r="F4277" s="5">
        <f>IFERROR(__xludf.DUMMYFUNCTION("""COMPUTED_VALUE"""),0.22)</f>
        <v>0.22</v>
      </c>
      <c r="G4277" s="5">
        <f>IFERROR(__xludf.DUMMYFUNCTION("""COMPUTED_VALUE"""),0.1552)</f>
        <v>0.1552</v>
      </c>
      <c r="H4277" s="5">
        <f>IFERROR(__xludf.DUMMYFUNCTION("""COMPUTED_VALUE"""),0.6145454545454545)</f>
        <v>0.6145454545</v>
      </c>
      <c r="I4277" s="11">
        <f>IFERROR(__xludf.DUMMYFUNCTION("""COMPUTED_VALUE"""),5080.181818181818)</f>
        <v>5080.181818</v>
      </c>
      <c r="J4277" s="10">
        <f>IFERROR(__xludf.DUMMYFUNCTION("""COMPUTED_VALUE"""),0.0)</f>
        <v>0</v>
      </c>
      <c r="K4277" s="5">
        <f>IFERROR(__xludf.DUMMYFUNCTION("""COMPUTED_VALUE"""),0.0)</f>
        <v>0</v>
      </c>
      <c r="L4277" s="10">
        <f>IFERROR(__xludf.DUMMYFUNCTION("""COMPUTED_VALUE"""),0.0)</f>
        <v>0</v>
      </c>
      <c r="M4277" s="5">
        <f>IFERROR(__xludf.DUMMYFUNCTION("""COMPUTED_VALUE"""),0.0)</f>
        <v>0</v>
      </c>
    </row>
    <row r="4278">
      <c r="A4278" s="10" t="str">
        <f>IFERROR(__xludf.DUMMYFUNCTION("""COMPUTED_VALUE"""),"inabaT")</f>
        <v>inabaT</v>
      </c>
      <c r="B4278" s="10">
        <f>IFERROR(__xludf.DUMMYFUNCTION("""COMPUTED_VALUE"""),835.0)</f>
        <v>835</v>
      </c>
      <c r="C4278" s="10">
        <f>IFERROR(__xludf.DUMMYFUNCTION("""COMPUTED_VALUE"""),9985.0)</f>
        <v>9985</v>
      </c>
      <c r="D4278" s="5">
        <f>IFERROR(__xludf.DUMMYFUNCTION("""COMPUTED_VALUE"""),0.3659016393442623)</f>
        <v>0.3659016393</v>
      </c>
      <c r="E4278" s="5">
        <f>IFERROR(__xludf.DUMMYFUNCTION("""COMPUTED_VALUE"""),0.11879781420765027)</f>
        <v>0.1187978142</v>
      </c>
      <c r="F4278" s="5">
        <f>IFERROR(__xludf.DUMMYFUNCTION("""COMPUTED_VALUE"""),0.2103825136612022)</f>
        <v>0.2103825137</v>
      </c>
      <c r="G4278" s="5">
        <f>IFERROR(__xludf.DUMMYFUNCTION("""COMPUTED_VALUE"""),0.16513661202185792)</f>
        <v>0.165136612</v>
      </c>
      <c r="H4278" s="5">
        <f>IFERROR(__xludf.DUMMYFUNCTION("""COMPUTED_VALUE"""),0.6057142857142858)</f>
        <v>0.6057142857</v>
      </c>
      <c r="I4278" s="11">
        <f>IFERROR(__xludf.DUMMYFUNCTION("""COMPUTED_VALUE"""),5298.7532467532465)</f>
        <v>5298.753247</v>
      </c>
      <c r="J4278" s="10">
        <f>IFERROR(__xludf.DUMMYFUNCTION("""COMPUTED_VALUE"""),0.0)</f>
        <v>0</v>
      </c>
      <c r="K4278" s="5">
        <f>IFERROR(__xludf.DUMMYFUNCTION("""COMPUTED_VALUE"""),0.0)</f>
        <v>0</v>
      </c>
      <c r="L4278" s="10">
        <f>IFERROR(__xludf.DUMMYFUNCTION("""COMPUTED_VALUE"""),835.0)</f>
        <v>835</v>
      </c>
      <c r="M4278" s="5">
        <f>IFERROR(__xludf.DUMMYFUNCTION("""COMPUTED_VALUE"""),1.0)</f>
        <v>1</v>
      </c>
    </row>
    <row r="4279">
      <c r="A4279" s="10" t="str">
        <f>IFERROR(__xludf.DUMMYFUNCTION("""COMPUTED_VALUE"""),"放銃王４")</f>
        <v>放銃王４</v>
      </c>
      <c r="B4279" s="10">
        <f>IFERROR(__xludf.DUMMYFUNCTION("""COMPUTED_VALUE"""),761.0)</f>
        <v>761</v>
      </c>
      <c r="C4279" s="10">
        <f>IFERROR(__xludf.DUMMYFUNCTION("""COMPUTED_VALUE"""),9044.0)</f>
        <v>9044</v>
      </c>
      <c r="D4279" s="5">
        <f>IFERROR(__xludf.DUMMYFUNCTION("""COMPUTED_VALUE"""),0.343716044911264)</f>
        <v>0.3437160449</v>
      </c>
      <c r="E4279" s="5">
        <f>IFERROR(__xludf.DUMMYFUNCTION("""COMPUTED_VALUE"""),0.11879753712423036)</f>
        <v>0.1187975371</v>
      </c>
      <c r="F4279" s="5">
        <f>IFERROR(__xludf.DUMMYFUNCTION("""COMPUTED_VALUE"""),0.21550162984425933)</f>
        <v>0.2155016298</v>
      </c>
      <c r="G4279" s="5">
        <f>IFERROR(__xludf.DUMMYFUNCTION("""COMPUTED_VALUE"""),0.18338766147531088)</f>
        <v>0.1833876615</v>
      </c>
      <c r="H4279" s="5">
        <f>IFERROR(__xludf.DUMMYFUNCTION("""COMPUTED_VALUE"""),0.5837535014005603)</f>
        <v>0.5837535014</v>
      </c>
      <c r="I4279" s="11">
        <f>IFERROR(__xludf.DUMMYFUNCTION("""COMPUTED_VALUE"""),5570.364145658264)</f>
        <v>5570.364146</v>
      </c>
      <c r="J4279" s="10">
        <f>IFERROR(__xludf.DUMMYFUNCTION("""COMPUTED_VALUE"""),1.0)</f>
        <v>1</v>
      </c>
      <c r="K4279" s="5">
        <f>IFERROR(__xludf.DUMMYFUNCTION("""COMPUTED_VALUE"""),0.001314060446780552)</f>
        <v>0.001314060447</v>
      </c>
      <c r="L4279" s="10">
        <f>IFERROR(__xludf.DUMMYFUNCTION("""COMPUTED_VALUE"""),433.0)</f>
        <v>433</v>
      </c>
      <c r="M4279" s="5">
        <f>IFERROR(__xludf.DUMMYFUNCTION("""COMPUTED_VALUE"""),0.568988173455979)</f>
        <v>0.5689881735</v>
      </c>
    </row>
    <row r="4280">
      <c r="A4280" s="10" t="str">
        <f>IFERROR(__xludf.DUMMYFUNCTION("""COMPUTED_VALUE"""),"イカにも東北")</f>
        <v>イカにも東北</v>
      </c>
      <c r="B4280" s="10">
        <f>IFERROR(__xludf.DUMMYFUNCTION("""COMPUTED_VALUE"""),2476.0)</f>
        <v>2476</v>
      </c>
      <c r="C4280" s="10">
        <f>IFERROR(__xludf.DUMMYFUNCTION("""COMPUTED_VALUE"""),28665.0)</f>
        <v>28665</v>
      </c>
      <c r="D4280" s="5">
        <f>IFERROR(__xludf.DUMMYFUNCTION("""COMPUTED_VALUE"""),0.31898888846462253)</f>
        <v>0.3189888885</v>
      </c>
      <c r="E4280" s="5">
        <f>IFERROR(__xludf.DUMMYFUNCTION("""COMPUTED_VALUE"""),0.11879033181870251)</f>
        <v>0.1187903318</v>
      </c>
      <c r="F4280" s="5">
        <f>IFERROR(__xludf.DUMMYFUNCTION("""COMPUTED_VALUE"""),0.20733895910496775)</f>
        <v>0.2073389591</v>
      </c>
      <c r="G4280" s="5">
        <f>IFERROR(__xludf.DUMMYFUNCTION("""COMPUTED_VALUE"""),0.1815647791057314)</f>
        <v>0.1815647791</v>
      </c>
      <c r="H4280" s="5">
        <f>IFERROR(__xludf.DUMMYFUNCTION("""COMPUTED_VALUE"""),0.6104972375690608)</f>
        <v>0.6104972376</v>
      </c>
      <c r="I4280" s="11">
        <f>IFERROR(__xludf.DUMMYFUNCTION("""COMPUTED_VALUE"""),5854.567219152855)</f>
        <v>5854.567219</v>
      </c>
      <c r="J4280" s="10">
        <f>IFERROR(__xludf.DUMMYFUNCTION("""COMPUTED_VALUE"""),6.0)</f>
        <v>6</v>
      </c>
      <c r="K4280" s="5">
        <f>IFERROR(__xludf.DUMMYFUNCTION("""COMPUTED_VALUE"""),0.0024232633279483036)</f>
        <v>0.002423263328</v>
      </c>
      <c r="L4280" s="10">
        <f>IFERROR(__xludf.DUMMYFUNCTION("""COMPUTED_VALUE"""),2476.0)</f>
        <v>2476</v>
      </c>
      <c r="M4280" s="5">
        <f>IFERROR(__xludf.DUMMYFUNCTION("""COMPUTED_VALUE"""),1.0)</f>
        <v>1</v>
      </c>
    </row>
    <row r="4281">
      <c r="A4281" s="10" t="str">
        <f>IFERROR(__xludf.DUMMYFUNCTION("""COMPUTED_VALUE"""),"小萌")</f>
        <v>小萌</v>
      </c>
      <c r="B4281" s="10">
        <f>IFERROR(__xludf.DUMMYFUNCTION("""COMPUTED_VALUE"""),2560.0)</f>
        <v>2560</v>
      </c>
      <c r="C4281" s="10">
        <f>IFERROR(__xludf.DUMMYFUNCTION("""COMPUTED_VALUE"""),30098.0)</f>
        <v>30098</v>
      </c>
      <c r="D4281" s="5">
        <f>IFERROR(__xludf.DUMMYFUNCTION("""COMPUTED_VALUE"""),0.32852785242210764)</f>
        <v>0.3285278524</v>
      </c>
      <c r="E4281" s="5">
        <f>IFERROR(__xludf.DUMMYFUNCTION("""COMPUTED_VALUE"""),0.11878132035732443)</f>
        <v>0.1187813204</v>
      </c>
      <c r="F4281" s="5">
        <f>IFERROR(__xludf.DUMMYFUNCTION("""COMPUTED_VALUE"""),0.2253613189047861)</f>
        <v>0.2253613189</v>
      </c>
      <c r="G4281" s="5">
        <f>IFERROR(__xludf.DUMMYFUNCTION("""COMPUTED_VALUE"""),0.16355581378458856)</f>
        <v>0.1635558138</v>
      </c>
      <c r="H4281" s="5">
        <f>IFERROR(__xludf.DUMMYFUNCTION("""COMPUTED_VALUE"""),0.602803738317757)</f>
        <v>0.6028037383</v>
      </c>
      <c r="I4281" s="11">
        <f>IFERROR(__xludf.DUMMYFUNCTION("""COMPUTED_VALUE"""),5416.290686432485)</f>
        <v>5416.290686</v>
      </c>
      <c r="J4281" s="10">
        <f>IFERROR(__xludf.DUMMYFUNCTION("""COMPUTED_VALUE"""),5.0)</f>
        <v>5</v>
      </c>
      <c r="K4281" s="5">
        <f>IFERROR(__xludf.DUMMYFUNCTION("""COMPUTED_VALUE"""),0.001953125)</f>
        <v>0.001953125</v>
      </c>
      <c r="L4281" s="10">
        <f>IFERROR(__xludf.DUMMYFUNCTION("""COMPUTED_VALUE"""),2560.0)</f>
        <v>2560</v>
      </c>
      <c r="M4281" s="5">
        <f>IFERROR(__xludf.DUMMYFUNCTION("""COMPUTED_VALUE"""),1.0)</f>
        <v>1</v>
      </c>
    </row>
    <row r="4282">
      <c r="A4282" s="10" t="str">
        <f>IFERROR(__xludf.DUMMYFUNCTION("""COMPUTED_VALUE"""),"Bardant")</f>
        <v>Bardant</v>
      </c>
      <c r="B4282" s="10">
        <f>IFERROR(__xludf.DUMMYFUNCTION("""COMPUTED_VALUE"""),712.0)</f>
        <v>712</v>
      </c>
      <c r="C4282" s="10">
        <f>IFERROR(__xludf.DUMMYFUNCTION("""COMPUTED_VALUE"""),8399.0)</f>
        <v>8399</v>
      </c>
      <c r="D4282" s="5">
        <f>IFERROR(__xludf.DUMMYFUNCTION("""COMPUTED_VALUE"""),0.31000390269285805)</f>
        <v>0.3100039027</v>
      </c>
      <c r="E4282" s="5">
        <f>IFERROR(__xludf.DUMMYFUNCTION("""COMPUTED_VALUE"""),0.11877195264732665)</f>
        <v>0.1187719526</v>
      </c>
      <c r="F4282" s="5">
        <f>IFERROR(__xludf.DUMMYFUNCTION("""COMPUTED_VALUE"""),0.20593209314426955)</f>
        <v>0.2059320931</v>
      </c>
      <c r="G4282" s="5">
        <f>IFERROR(__xludf.DUMMYFUNCTION("""COMPUTED_VALUE"""),0.17197866527904254)</f>
        <v>0.1719786653</v>
      </c>
      <c r="H4282" s="5">
        <f>IFERROR(__xludf.DUMMYFUNCTION("""COMPUTED_VALUE"""),0.5849652558433355)</f>
        <v>0.5849652558</v>
      </c>
      <c r="I4282" s="11">
        <f>IFERROR(__xludf.DUMMYFUNCTION("""COMPUTED_VALUE"""),5516.171825647505)</f>
        <v>5516.171826</v>
      </c>
      <c r="J4282" s="10">
        <f>IFERROR(__xludf.DUMMYFUNCTION("""COMPUTED_VALUE"""),1.0)</f>
        <v>1</v>
      </c>
      <c r="K4282" s="5">
        <f>IFERROR(__xludf.DUMMYFUNCTION("""COMPUTED_VALUE"""),0.0014044943820224719)</f>
        <v>0.001404494382</v>
      </c>
      <c r="L4282" s="10">
        <f>IFERROR(__xludf.DUMMYFUNCTION("""COMPUTED_VALUE"""),642.0)</f>
        <v>642</v>
      </c>
      <c r="M4282" s="5">
        <f>IFERROR(__xludf.DUMMYFUNCTION("""COMPUTED_VALUE"""),0.901685393258427)</f>
        <v>0.9016853933</v>
      </c>
    </row>
    <row r="4283">
      <c r="A4283" s="10" t="str">
        <f>IFERROR(__xludf.DUMMYFUNCTION("""COMPUTED_VALUE"""),"おてぃんぽ")</f>
        <v>おてぃんぽ</v>
      </c>
      <c r="B4283" s="10">
        <f>IFERROR(__xludf.DUMMYFUNCTION("""COMPUTED_VALUE"""),103.0)</f>
        <v>103</v>
      </c>
      <c r="C4283" s="10">
        <f>IFERROR(__xludf.DUMMYFUNCTION("""COMPUTED_VALUE"""),1206.0)</f>
        <v>1206</v>
      </c>
      <c r="D4283" s="5">
        <f>IFERROR(__xludf.DUMMYFUNCTION("""COMPUTED_VALUE"""),0.31640979147778786)</f>
        <v>0.3164097915</v>
      </c>
      <c r="E4283" s="5">
        <f>IFERROR(__xludf.DUMMYFUNCTION("""COMPUTED_VALUE"""),0.11876699909338169)</f>
        <v>0.1187669991</v>
      </c>
      <c r="F4283" s="5">
        <f>IFERROR(__xludf.DUMMYFUNCTION("""COMPUTED_VALUE"""),0.17497733454215775)</f>
        <v>0.1749773345</v>
      </c>
      <c r="G4283" s="5">
        <f>IFERROR(__xludf.DUMMYFUNCTION("""COMPUTED_VALUE"""),0.15503173164097914)</f>
        <v>0.1550317316</v>
      </c>
      <c r="H4283" s="5">
        <f>IFERROR(__xludf.DUMMYFUNCTION("""COMPUTED_VALUE"""),0.6269430051813472)</f>
        <v>0.6269430052</v>
      </c>
      <c r="I4283" s="11">
        <f>IFERROR(__xludf.DUMMYFUNCTION("""COMPUTED_VALUE"""),5905.699481865285)</f>
        <v>5905.699482</v>
      </c>
      <c r="J4283" s="10">
        <f>IFERROR(__xludf.DUMMYFUNCTION("""COMPUTED_VALUE"""),0.0)</f>
        <v>0</v>
      </c>
      <c r="K4283" s="5">
        <f>IFERROR(__xludf.DUMMYFUNCTION("""COMPUTED_VALUE"""),0.0)</f>
        <v>0</v>
      </c>
      <c r="L4283" s="10">
        <f>IFERROR(__xludf.DUMMYFUNCTION("""COMPUTED_VALUE"""),103.0)</f>
        <v>103</v>
      </c>
      <c r="M4283" s="5">
        <f>IFERROR(__xludf.DUMMYFUNCTION("""COMPUTED_VALUE"""),1.0)</f>
        <v>1</v>
      </c>
    </row>
    <row r="4284">
      <c r="A4284" s="10" t="str">
        <f>IFERROR(__xludf.DUMMYFUNCTION("""COMPUTED_VALUE"""),"ぷーやん")</f>
        <v>ぷーやん</v>
      </c>
      <c r="B4284" s="10">
        <f>IFERROR(__xludf.DUMMYFUNCTION("""COMPUTED_VALUE"""),341.0)</f>
        <v>341</v>
      </c>
      <c r="C4284" s="10">
        <f>IFERROR(__xludf.DUMMYFUNCTION("""COMPUTED_VALUE"""),3987.0)</f>
        <v>3987</v>
      </c>
      <c r="D4284" s="5">
        <f>IFERROR(__xludf.DUMMYFUNCTION("""COMPUTED_VALUE"""),0.37739989029072957)</f>
        <v>0.3773998903</v>
      </c>
      <c r="E4284" s="5">
        <f>IFERROR(__xludf.DUMMYFUNCTION("""COMPUTED_VALUE"""),0.11876028524410312)</f>
        <v>0.1187602852</v>
      </c>
      <c r="F4284" s="5">
        <f>IFERROR(__xludf.DUMMYFUNCTION("""COMPUTED_VALUE"""),0.21009325287986835)</f>
        <v>0.2100932529</v>
      </c>
      <c r="G4284" s="5">
        <f>IFERROR(__xludf.DUMMYFUNCTION("""COMPUTED_VALUE"""),0.17142073505211192)</f>
        <v>0.1714207351</v>
      </c>
      <c r="H4284" s="5">
        <f>IFERROR(__xludf.DUMMYFUNCTION("""COMPUTED_VALUE"""),0.5887728459530026)</f>
        <v>0.588772846</v>
      </c>
      <c r="I4284" s="11">
        <f>IFERROR(__xludf.DUMMYFUNCTION("""COMPUTED_VALUE"""),5581.201044386423)</f>
        <v>5581.201044</v>
      </c>
      <c r="J4284" s="10">
        <f>IFERROR(__xludf.DUMMYFUNCTION("""COMPUTED_VALUE"""),0.0)</f>
        <v>0</v>
      </c>
      <c r="K4284" s="5">
        <f>IFERROR(__xludf.DUMMYFUNCTION("""COMPUTED_VALUE"""),0.0)</f>
        <v>0</v>
      </c>
      <c r="L4284" s="10">
        <f>IFERROR(__xludf.DUMMYFUNCTION("""COMPUTED_VALUE"""),341.0)</f>
        <v>341</v>
      </c>
      <c r="M4284" s="5">
        <f>IFERROR(__xludf.DUMMYFUNCTION("""COMPUTED_VALUE"""),1.0)</f>
        <v>1</v>
      </c>
    </row>
    <row r="4285">
      <c r="A4285" s="10" t="str">
        <f>IFERROR(__xludf.DUMMYFUNCTION("""COMPUTED_VALUE"""),"タカクラ")</f>
        <v>タカクラ</v>
      </c>
      <c r="B4285" s="10">
        <f>IFERROR(__xludf.DUMMYFUNCTION("""COMPUTED_VALUE"""),323.0)</f>
        <v>323</v>
      </c>
      <c r="C4285" s="10">
        <f>IFERROR(__xludf.DUMMYFUNCTION("""COMPUTED_VALUE"""),3767.0)</f>
        <v>3767</v>
      </c>
      <c r="D4285" s="5">
        <f>IFERROR(__xludf.DUMMYFUNCTION("""COMPUTED_VALUE"""),0.390534262485482)</f>
        <v>0.3905342625</v>
      </c>
      <c r="E4285" s="5">
        <f>IFERROR(__xludf.DUMMYFUNCTION("""COMPUTED_VALUE"""),0.11875725900116144)</f>
        <v>0.118757259</v>
      </c>
      <c r="F4285" s="5">
        <f>IFERROR(__xludf.DUMMYFUNCTION("""COMPUTED_VALUE"""),0.21399535423925667)</f>
        <v>0.2139953542</v>
      </c>
      <c r="G4285" s="5">
        <f>IFERROR(__xludf.DUMMYFUNCTION("""COMPUTED_VALUE"""),0.15766550522648085)</f>
        <v>0.1576655052</v>
      </c>
      <c r="H4285" s="5">
        <f>IFERROR(__xludf.DUMMYFUNCTION("""COMPUTED_VALUE"""),0.5861601085481682)</f>
        <v>0.5861601085</v>
      </c>
      <c r="I4285" s="11">
        <f>IFERROR(__xludf.DUMMYFUNCTION("""COMPUTED_VALUE"""),5797.693351424695)</f>
        <v>5797.693351</v>
      </c>
      <c r="J4285" s="10">
        <f>IFERROR(__xludf.DUMMYFUNCTION("""COMPUTED_VALUE"""),1.0)</f>
        <v>1</v>
      </c>
      <c r="K4285" s="5">
        <f>IFERROR(__xludf.DUMMYFUNCTION("""COMPUTED_VALUE"""),0.0030959752321981426)</f>
        <v>0.003095975232</v>
      </c>
      <c r="L4285" s="10">
        <f>IFERROR(__xludf.DUMMYFUNCTION("""COMPUTED_VALUE"""),323.0)</f>
        <v>323</v>
      </c>
      <c r="M4285" s="5">
        <f>IFERROR(__xludf.DUMMYFUNCTION("""COMPUTED_VALUE"""),1.0)</f>
        <v>1</v>
      </c>
    </row>
    <row r="4286">
      <c r="A4286" s="10" t="str">
        <f>IFERROR(__xludf.DUMMYFUNCTION("""COMPUTED_VALUE"""),"キアラ・トスカナ")</f>
        <v>キアラ・トスカナ</v>
      </c>
      <c r="B4286" s="10">
        <f>IFERROR(__xludf.DUMMYFUNCTION("""COMPUTED_VALUE"""),375.0)</f>
        <v>375</v>
      </c>
      <c r="C4286" s="10">
        <f>IFERROR(__xludf.DUMMYFUNCTION("""COMPUTED_VALUE"""),4451.0)</f>
        <v>4451</v>
      </c>
      <c r="D4286" s="5">
        <f>IFERROR(__xludf.DUMMYFUNCTION("""COMPUTED_VALUE"""),0.3267909715407262)</f>
        <v>0.3267909715</v>
      </c>
      <c r="E4286" s="5">
        <f>IFERROR(__xludf.DUMMYFUNCTION("""COMPUTED_VALUE"""),0.11874386653581943)</f>
        <v>0.1187438665</v>
      </c>
      <c r="F4286" s="5">
        <f>IFERROR(__xludf.DUMMYFUNCTION("""COMPUTED_VALUE"""),0.21663395485770362)</f>
        <v>0.2166339549</v>
      </c>
      <c r="G4286" s="5">
        <f>IFERROR(__xludf.DUMMYFUNCTION("""COMPUTED_VALUE"""),0.16535819430814525)</f>
        <v>0.1653581943</v>
      </c>
      <c r="H4286" s="5">
        <f>IFERROR(__xludf.DUMMYFUNCTION("""COMPUTED_VALUE"""),0.6409966024915063)</f>
        <v>0.6409966025</v>
      </c>
      <c r="I4286" s="11">
        <f>IFERROR(__xludf.DUMMYFUNCTION("""COMPUTED_VALUE"""),5511.891279728199)</f>
        <v>5511.89128</v>
      </c>
      <c r="J4286" s="10">
        <f>IFERROR(__xludf.DUMMYFUNCTION("""COMPUTED_VALUE"""),0.0)</f>
        <v>0</v>
      </c>
      <c r="K4286" s="5">
        <f>IFERROR(__xludf.DUMMYFUNCTION("""COMPUTED_VALUE"""),0.0)</f>
        <v>0</v>
      </c>
      <c r="L4286" s="10">
        <f>IFERROR(__xludf.DUMMYFUNCTION("""COMPUTED_VALUE"""),0.0)</f>
        <v>0</v>
      </c>
      <c r="M4286" s="5">
        <f>IFERROR(__xludf.DUMMYFUNCTION("""COMPUTED_VALUE"""),0.0)</f>
        <v>0</v>
      </c>
    </row>
    <row r="4287">
      <c r="A4287" s="10" t="str">
        <f>IFERROR(__xludf.DUMMYFUNCTION("""COMPUTED_VALUE"""),"安達さくら")</f>
        <v>安達さくら</v>
      </c>
      <c r="B4287" s="10">
        <f>IFERROR(__xludf.DUMMYFUNCTION("""COMPUTED_VALUE"""),1511.0)</f>
        <v>1511</v>
      </c>
      <c r="C4287" s="10">
        <f>IFERROR(__xludf.DUMMYFUNCTION("""COMPUTED_VALUE"""),17689.0)</f>
        <v>17689</v>
      </c>
      <c r="D4287" s="5">
        <f>IFERROR(__xludf.DUMMYFUNCTION("""COMPUTED_VALUE"""),0.282544195821486)</f>
        <v>0.2825441958</v>
      </c>
      <c r="E4287" s="5">
        <f>IFERROR(__xludf.DUMMYFUNCTION("""COMPUTED_VALUE"""),0.11874150080356038)</f>
        <v>0.1187415008</v>
      </c>
      <c r="F4287" s="5">
        <f>IFERROR(__xludf.DUMMYFUNCTION("""COMPUTED_VALUE"""),0.2029917171467425)</f>
        <v>0.2029917171</v>
      </c>
      <c r="G4287" s="5">
        <f>IFERROR(__xludf.DUMMYFUNCTION("""COMPUTED_VALUE"""),0.1878476943998022)</f>
        <v>0.1878476944</v>
      </c>
      <c r="H4287" s="5">
        <f>IFERROR(__xludf.DUMMYFUNCTION("""COMPUTED_VALUE"""),0.5837393422655298)</f>
        <v>0.5837393423</v>
      </c>
      <c r="I4287" s="11">
        <f>IFERROR(__xludf.DUMMYFUNCTION("""COMPUTED_VALUE"""),5904.902557856273)</f>
        <v>5904.902558</v>
      </c>
      <c r="J4287" s="10">
        <f>IFERROR(__xludf.DUMMYFUNCTION("""COMPUTED_VALUE"""),2.0)</f>
        <v>2</v>
      </c>
      <c r="K4287" s="5">
        <f>IFERROR(__xludf.DUMMYFUNCTION("""COMPUTED_VALUE"""),0.0013236267372600927)</f>
        <v>0.001323626737</v>
      </c>
      <c r="L4287" s="10">
        <f>IFERROR(__xludf.DUMMYFUNCTION("""COMPUTED_VALUE"""),1511.0)</f>
        <v>1511</v>
      </c>
      <c r="M4287" s="5">
        <f>IFERROR(__xludf.DUMMYFUNCTION("""COMPUTED_VALUE"""),1.0)</f>
        <v>1</v>
      </c>
    </row>
    <row r="4288">
      <c r="A4288" s="10" t="str">
        <f>IFERROR(__xludf.DUMMYFUNCTION("""COMPUTED_VALUE"""),"終級奧義")</f>
        <v>終級奧義</v>
      </c>
      <c r="B4288" s="10">
        <f>IFERROR(__xludf.DUMMYFUNCTION("""COMPUTED_VALUE"""),1926.0)</f>
        <v>1926</v>
      </c>
      <c r="C4288" s="10">
        <f>IFERROR(__xludf.DUMMYFUNCTION("""COMPUTED_VALUE"""),22619.0)</f>
        <v>22619</v>
      </c>
      <c r="D4288" s="5">
        <f>IFERROR(__xludf.DUMMYFUNCTION("""COMPUTED_VALUE"""),0.36152322041269996)</f>
        <v>0.3615232204</v>
      </c>
      <c r="E4288" s="5">
        <f>IFERROR(__xludf.DUMMYFUNCTION("""COMPUTED_VALUE"""),0.11873580437829218)</f>
        <v>0.1187358044</v>
      </c>
      <c r="F4288" s="5">
        <f>IFERROR(__xludf.DUMMYFUNCTION("""COMPUTED_VALUE"""),0.2154834968346784)</f>
        <v>0.2154834968</v>
      </c>
      <c r="G4288" s="5">
        <f>IFERROR(__xludf.DUMMYFUNCTION("""COMPUTED_VALUE"""),0.14724786159570868)</f>
        <v>0.1472478616</v>
      </c>
      <c r="H4288" s="5">
        <f>IFERROR(__xludf.DUMMYFUNCTION("""COMPUTED_VALUE"""),0.5960977797712491)</f>
        <v>0.5960977798</v>
      </c>
      <c r="I4288" s="11">
        <f>IFERROR(__xludf.DUMMYFUNCTION("""COMPUTED_VALUE"""),5335.07512895268)</f>
        <v>5335.075129</v>
      </c>
      <c r="J4288" s="10">
        <f>IFERROR(__xludf.DUMMYFUNCTION("""COMPUTED_VALUE"""),4.0)</f>
        <v>4</v>
      </c>
      <c r="K4288" s="5">
        <f>IFERROR(__xludf.DUMMYFUNCTION("""COMPUTED_VALUE"""),0.0020768431983385254)</f>
        <v>0.002076843198</v>
      </c>
      <c r="L4288" s="10">
        <f>IFERROR(__xludf.DUMMYFUNCTION("""COMPUTED_VALUE"""),1674.0)</f>
        <v>1674</v>
      </c>
      <c r="M4288" s="5">
        <f>IFERROR(__xludf.DUMMYFUNCTION("""COMPUTED_VALUE"""),0.8691588785046729)</f>
        <v>0.8691588785</v>
      </c>
    </row>
    <row r="4289">
      <c r="A4289" s="10" t="str">
        <f>IFERROR(__xludf.DUMMYFUNCTION("""COMPUTED_VALUE"""),"カチューシャ")</f>
        <v>カチューシャ</v>
      </c>
      <c r="B4289" s="10">
        <f>IFERROR(__xludf.DUMMYFUNCTION("""COMPUTED_VALUE"""),150.0)</f>
        <v>150</v>
      </c>
      <c r="C4289" s="10">
        <f>IFERROR(__xludf.DUMMYFUNCTION("""COMPUTED_VALUE"""),1784.0)</f>
        <v>1784</v>
      </c>
      <c r="D4289" s="5">
        <f>IFERROR(__xludf.DUMMYFUNCTION("""COMPUTED_VALUE"""),0.22766217870257038)</f>
        <v>0.2276621787</v>
      </c>
      <c r="E4289" s="5">
        <f>IFERROR(__xludf.DUMMYFUNCTION("""COMPUTED_VALUE"""),0.11872705018359853)</f>
        <v>0.1187270502</v>
      </c>
      <c r="F4289" s="5">
        <f>IFERROR(__xludf.DUMMYFUNCTION("""COMPUTED_VALUE"""),0.17686658506731945)</f>
        <v>0.1768665851</v>
      </c>
      <c r="G4289" s="5">
        <f>IFERROR(__xludf.DUMMYFUNCTION("""COMPUTED_VALUE"""),0.17319461444308445)</f>
        <v>0.1731946144</v>
      </c>
      <c r="H4289" s="5">
        <f>IFERROR(__xludf.DUMMYFUNCTION("""COMPUTED_VALUE"""),0.5674740484429066)</f>
        <v>0.5674740484</v>
      </c>
      <c r="I4289" s="11">
        <f>IFERROR(__xludf.DUMMYFUNCTION("""COMPUTED_VALUE"""),6355.363321799308)</f>
        <v>6355.363322</v>
      </c>
      <c r="J4289" s="10">
        <f>IFERROR(__xludf.DUMMYFUNCTION("""COMPUTED_VALUE"""),1.0)</f>
        <v>1</v>
      </c>
      <c r="K4289" s="5">
        <f>IFERROR(__xludf.DUMMYFUNCTION("""COMPUTED_VALUE"""),0.006666666666666667)</f>
        <v>0.006666666667</v>
      </c>
      <c r="L4289" s="10">
        <f>IFERROR(__xludf.DUMMYFUNCTION("""COMPUTED_VALUE"""),0.0)</f>
        <v>0</v>
      </c>
      <c r="M4289" s="5">
        <f>IFERROR(__xludf.DUMMYFUNCTION("""COMPUTED_VALUE"""),0.0)</f>
        <v>0</v>
      </c>
    </row>
    <row r="4290">
      <c r="A4290" s="10" t="str">
        <f>IFERROR(__xludf.DUMMYFUNCTION("""COMPUTED_VALUE"""),"おっなにっなにー")</f>
        <v>おっなにっなにー</v>
      </c>
      <c r="B4290" s="10">
        <f>IFERROR(__xludf.DUMMYFUNCTION("""COMPUTED_VALUE"""),326.0)</f>
        <v>326</v>
      </c>
      <c r="C4290" s="10">
        <f>IFERROR(__xludf.DUMMYFUNCTION("""COMPUTED_VALUE"""),3830.0)</f>
        <v>3830</v>
      </c>
      <c r="D4290" s="5">
        <f>IFERROR(__xludf.DUMMYFUNCTION("""COMPUTED_VALUE"""),0.3898401826484018)</f>
        <v>0.3898401826</v>
      </c>
      <c r="E4290" s="5">
        <f>IFERROR(__xludf.DUMMYFUNCTION("""COMPUTED_VALUE"""),0.1187214611872146)</f>
        <v>0.1187214612</v>
      </c>
      <c r="F4290" s="5">
        <f>IFERROR(__xludf.DUMMYFUNCTION("""COMPUTED_VALUE"""),0.19720319634703196)</f>
        <v>0.1972031963</v>
      </c>
      <c r="G4290" s="5">
        <f>IFERROR(__xludf.DUMMYFUNCTION("""COMPUTED_VALUE"""),0.15496575342465754)</f>
        <v>0.1549657534</v>
      </c>
      <c r="H4290" s="5">
        <f>IFERROR(__xludf.DUMMYFUNCTION("""COMPUTED_VALUE"""),0.5817655571635311)</f>
        <v>0.5817655572</v>
      </c>
      <c r="I4290" s="11">
        <f>IFERROR(__xludf.DUMMYFUNCTION("""COMPUTED_VALUE"""),5866.280752532562)</f>
        <v>5866.280753</v>
      </c>
      <c r="J4290" s="10">
        <f>IFERROR(__xludf.DUMMYFUNCTION("""COMPUTED_VALUE"""),1.0)</f>
        <v>1</v>
      </c>
      <c r="K4290" s="5">
        <f>IFERROR(__xludf.DUMMYFUNCTION("""COMPUTED_VALUE"""),0.003067484662576687)</f>
        <v>0.003067484663</v>
      </c>
      <c r="L4290" s="10">
        <f>IFERROR(__xludf.DUMMYFUNCTION("""COMPUTED_VALUE"""),0.0)</f>
        <v>0</v>
      </c>
      <c r="M4290" s="5">
        <f>IFERROR(__xludf.DUMMYFUNCTION("""COMPUTED_VALUE"""),0.0)</f>
        <v>0</v>
      </c>
    </row>
    <row r="4291">
      <c r="A4291" s="10" t="str">
        <f>IFERROR(__xludf.DUMMYFUNCTION("""COMPUTED_VALUE"""),"Scrapt")</f>
        <v>Scrapt</v>
      </c>
      <c r="B4291" s="10">
        <f>IFERROR(__xludf.DUMMYFUNCTION("""COMPUTED_VALUE"""),120.0)</f>
        <v>120</v>
      </c>
      <c r="C4291" s="10">
        <f>IFERROR(__xludf.DUMMYFUNCTION("""COMPUTED_VALUE"""),1451.0)</f>
        <v>1451</v>
      </c>
      <c r="D4291" s="5">
        <f>IFERROR(__xludf.DUMMYFUNCTION("""COMPUTED_VALUE"""),0.34485349361382417)</f>
        <v>0.3448534936</v>
      </c>
      <c r="E4291" s="5">
        <f>IFERROR(__xludf.DUMMYFUNCTION("""COMPUTED_VALUE"""),0.11870773854244929)</f>
        <v>0.1187077385</v>
      </c>
      <c r="F4291" s="5">
        <f>IFERROR(__xludf.DUMMYFUNCTION("""COMPUTED_VALUE"""),0.20586025544703232)</f>
        <v>0.2058602554</v>
      </c>
      <c r="G4291" s="5">
        <f>IFERROR(__xludf.DUMMYFUNCTION("""COMPUTED_VALUE"""),0.16754320060105185)</f>
        <v>0.1675432006</v>
      </c>
      <c r="H4291" s="5">
        <f>IFERROR(__xludf.DUMMYFUNCTION("""COMPUTED_VALUE"""),0.6021897810218978)</f>
        <v>0.602189781</v>
      </c>
      <c r="I4291" s="11">
        <f>IFERROR(__xludf.DUMMYFUNCTION("""COMPUTED_VALUE"""),5237.226277372263)</f>
        <v>5237.226277</v>
      </c>
      <c r="J4291" s="10">
        <f>IFERROR(__xludf.DUMMYFUNCTION("""COMPUTED_VALUE"""),0.0)</f>
        <v>0</v>
      </c>
      <c r="K4291" s="5">
        <f>IFERROR(__xludf.DUMMYFUNCTION("""COMPUTED_VALUE"""),0.0)</f>
        <v>0</v>
      </c>
      <c r="L4291" s="10">
        <f>IFERROR(__xludf.DUMMYFUNCTION("""COMPUTED_VALUE"""),120.0)</f>
        <v>120</v>
      </c>
      <c r="M4291" s="5">
        <f>IFERROR(__xludf.DUMMYFUNCTION("""COMPUTED_VALUE"""),1.0)</f>
        <v>1</v>
      </c>
    </row>
    <row r="4292">
      <c r="A4292" s="10" t="str">
        <f>IFERROR(__xludf.DUMMYFUNCTION("""COMPUTED_VALUE"""),"ら抜き")</f>
        <v>ら抜き</v>
      </c>
      <c r="B4292" s="10">
        <f>IFERROR(__xludf.DUMMYFUNCTION("""COMPUTED_VALUE"""),1032.0)</f>
        <v>1032</v>
      </c>
      <c r="C4292" s="10">
        <f>IFERROR(__xludf.DUMMYFUNCTION("""COMPUTED_VALUE"""),12194.0)</f>
        <v>12194</v>
      </c>
      <c r="D4292" s="5">
        <f>IFERROR(__xludf.DUMMYFUNCTION("""COMPUTED_VALUE"""),0.3769037806844652)</f>
        <v>0.3769037807</v>
      </c>
      <c r="E4292" s="5">
        <f>IFERROR(__xludf.DUMMYFUNCTION("""COMPUTED_VALUE"""),0.11870632503135639)</f>
        <v>0.118706325</v>
      </c>
      <c r="F4292" s="5">
        <f>IFERROR(__xludf.DUMMYFUNCTION("""COMPUTED_VALUE"""),0.22048020068088156)</f>
        <v>0.2204802007</v>
      </c>
      <c r="G4292" s="5">
        <f>IFERROR(__xludf.DUMMYFUNCTION("""COMPUTED_VALUE"""),0.15167532700232933)</f>
        <v>0.151675327</v>
      </c>
      <c r="H4292" s="5">
        <f>IFERROR(__xludf.DUMMYFUNCTION("""COMPUTED_VALUE"""),0.6107273466070703)</f>
        <v>0.6107273466</v>
      </c>
      <c r="I4292" s="11">
        <f>IFERROR(__xludf.DUMMYFUNCTION("""COMPUTED_VALUE"""),5232.54774481918)</f>
        <v>5232.547745</v>
      </c>
      <c r="J4292" s="10">
        <f>IFERROR(__xludf.DUMMYFUNCTION("""COMPUTED_VALUE"""),3.0)</f>
        <v>3</v>
      </c>
      <c r="K4292" s="5">
        <f>IFERROR(__xludf.DUMMYFUNCTION("""COMPUTED_VALUE"""),0.0029069767441860465)</f>
        <v>0.002906976744</v>
      </c>
      <c r="L4292" s="10">
        <f>IFERROR(__xludf.DUMMYFUNCTION("""COMPUTED_VALUE"""),1032.0)</f>
        <v>1032</v>
      </c>
      <c r="M4292" s="5">
        <f>IFERROR(__xludf.DUMMYFUNCTION("""COMPUTED_VALUE"""),1.0)</f>
        <v>1</v>
      </c>
    </row>
    <row r="4293">
      <c r="A4293" s="10" t="str">
        <f>IFERROR(__xludf.DUMMYFUNCTION("""COMPUTED_VALUE"""),"派遣のジャック")</f>
        <v>派遣のジャック</v>
      </c>
      <c r="B4293" s="10">
        <f>IFERROR(__xludf.DUMMYFUNCTION("""COMPUTED_VALUE"""),626.0)</f>
        <v>626</v>
      </c>
      <c r="C4293" s="10">
        <f>IFERROR(__xludf.DUMMYFUNCTION("""COMPUTED_VALUE"""),7374.0)</f>
        <v>7374</v>
      </c>
      <c r="D4293" s="5">
        <f>IFERROR(__xludf.DUMMYFUNCTION("""COMPUTED_VALUE"""),0.39018968583283936)</f>
        <v>0.3901896858</v>
      </c>
      <c r="E4293" s="5">
        <f>IFERROR(__xludf.DUMMYFUNCTION("""COMPUTED_VALUE"""),0.11870183758150563)</f>
        <v>0.1187018376</v>
      </c>
      <c r="F4293" s="5">
        <f>IFERROR(__xludf.DUMMYFUNCTION("""COMPUTED_VALUE"""),0.21221102548903378)</f>
        <v>0.2122110255</v>
      </c>
      <c r="G4293" s="5">
        <f>IFERROR(__xludf.DUMMYFUNCTION("""COMPUTED_VALUE"""),0.1489330171902786)</f>
        <v>0.1489330172</v>
      </c>
      <c r="H4293" s="5">
        <f>IFERROR(__xludf.DUMMYFUNCTION("""COMPUTED_VALUE"""),0.5921787709497207)</f>
        <v>0.5921787709</v>
      </c>
      <c r="I4293" s="11">
        <f>IFERROR(__xludf.DUMMYFUNCTION("""COMPUTED_VALUE"""),5324.022346368715)</f>
        <v>5324.022346</v>
      </c>
      <c r="J4293" s="10">
        <f>IFERROR(__xludf.DUMMYFUNCTION("""COMPUTED_VALUE"""),0.0)</f>
        <v>0</v>
      </c>
      <c r="K4293" s="5">
        <f>IFERROR(__xludf.DUMMYFUNCTION("""COMPUTED_VALUE"""),0.0)</f>
        <v>0</v>
      </c>
      <c r="L4293" s="10">
        <f>IFERROR(__xludf.DUMMYFUNCTION("""COMPUTED_VALUE"""),626.0)</f>
        <v>626</v>
      </c>
      <c r="M4293" s="5">
        <f>IFERROR(__xludf.DUMMYFUNCTION("""COMPUTED_VALUE"""),1.0)</f>
        <v>1</v>
      </c>
    </row>
    <row r="4294">
      <c r="A4294" s="10" t="str">
        <f>IFERROR(__xludf.DUMMYFUNCTION("""COMPUTED_VALUE"""),"西岡育未♪")</f>
        <v>西岡育未♪</v>
      </c>
      <c r="B4294" s="10">
        <f>IFERROR(__xludf.DUMMYFUNCTION("""COMPUTED_VALUE"""),1171.0)</f>
        <v>1171</v>
      </c>
      <c r="C4294" s="10">
        <f>IFERROR(__xludf.DUMMYFUNCTION("""COMPUTED_VALUE"""),13648.0)</f>
        <v>13648</v>
      </c>
      <c r="D4294" s="5">
        <f>IFERROR(__xludf.DUMMYFUNCTION("""COMPUTED_VALUE"""),0.35689668990943335)</f>
        <v>0.3568966899</v>
      </c>
      <c r="E4294" s="5">
        <f>IFERROR(__xludf.DUMMYFUNCTION("""COMPUTED_VALUE"""),0.11869840506532019)</f>
        <v>0.1186984051</v>
      </c>
      <c r="F4294" s="5">
        <f>IFERROR(__xludf.DUMMYFUNCTION("""COMPUTED_VALUE"""),0.216318025166306)</f>
        <v>0.2163180252</v>
      </c>
      <c r="G4294" s="5">
        <f>IFERROR(__xludf.DUMMYFUNCTION("""COMPUTED_VALUE"""),0.14939488659132805)</f>
        <v>0.1493948866</v>
      </c>
      <c r="H4294" s="5">
        <f>IFERROR(__xludf.DUMMYFUNCTION("""COMPUTED_VALUE"""),0.6128195628010374)</f>
        <v>0.6128195628</v>
      </c>
      <c r="I4294" s="11">
        <f>IFERROR(__xludf.DUMMYFUNCTION("""COMPUTED_VALUE"""),5402.4453501296775)</f>
        <v>5402.44535</v>
      </c>
      <c r="J4294" s="10">
        <f>IFERROR(__xludf.DUMMYFUNCTION("""COMPUTED_VALUE"""),4.0)</f>
        <v>4</v>
      </c>
      <c r="K4294" s="5">
        <f>IFERROR(__xludf.DUMMYFUNCTION("""COMPUTED_VALUE"""),0.0034158838599487617)</f>
        <v>0.00341588386</v>
      </c>
      <c r="L4294" s="10">
        <f>IFERROR(__xludf.DUMMYFUNCTION("""COMPUTED_VALUE"""),1.0)</f>
        <v>1</v>
      </c>
      <c r="M4294" s="5">
        <f>IFERROR(__xludf.DUMMYFUNCTION("""COMPUTED_VALUE"""),8.539709649871904E-4)</f>
        <v>0.000853970965</v>
      </c>
    </row>
    <row r="4295">
      <c r="A4295" s="10" t="str">
        <f>IFERROR(__xludf.DUMMYFUNCTION("""COMPUTED_VALUE"""),"嫌煙外科医")</f>
        <v>嫌煙外科医</v>
      </c>
      <c r="B4295" s="10">
        <f>IFERROR(__xludf.DUMMYFUNCTION("""COMPUTED_VALUE"""),1372.0)</f>
        <v>1372</v>
      </c>
      <c r="C4295" s="10">
        <f>IFERROR(__xludf.DUMMYFUNCTION("""COMPUTED_VALUE"""),15923.0)</f>
        <v>15923</v>
      </c>
      <c r="D4295" s="5">
        <f>IFERROR(__xludf.DUMMYFUNCTION("""COMPUTED_VALUE"""),0.29592467871623945)</f>
        <v>0.2959246787</v>
      </c>
      <c r="E4295" s="5">
        <f>IFERROR(__xludf.DUMMYFUNCTION("""COMPUTED_VALUE"""),0.11868600096213319)</f>
        <v>0.118686001</v>
      </c>
      <c r="F4295" s="5">
        <f>IFERROR(__xludf.DUMMYFUNCTION("""COMPUTED_VALUE"""),0.2197099855680022)</f>
        <v>0.2197099856</v>
      </c>
      <c r="G4295" s="5">
        <f>IFERROR(__xludf.DUMMYFUNCTION("""COMPUTED_VALUE"""),0.169679059858429)</f>
        <v>0.1696790599</v>
      </c>
      <c r="H4295" s="5">
        <f>IFERROR(__xludf.DUMMYFUNCTION("""COMPUTED_VALUE"""),0.6099468251485768)</f>
        <v>0.6099468251</v>
      </c>
      <c r="I4295" s="11">
        <f>IFERROR(__xludf.DUMMYFUNCTION("""COMPUTED_VALUE"""),5565.46762589928)</f>
        <v>5565.467626</v>
      </c>
      <c r="J4295" s="10">
        <f>IFERROR(__xludf.DUMMYFUNCTION("""COMPUTED_VALUE"""),3.0)</f>
        <v>3</v>
      </c>
      <c r="K4295" s="5">
        <f>IFERROR(__xludf.DUMMYFUNCTION("""COMPUTED_VALUE"""),0.002186588921282799)</f>
        <v>0.002186588921</v>
      </c>
      <c r="L4295" s="10">
        <f>IFERROR(__xludf.DUMMYFUNCTION("""COMPUTED_VALUE"""),1372.0)</f>
        <v>1372</v>
      </c>
      <c r="M4295" s="5">
        <f>IFERROR(__xludf.DUMMYFUNCTION("""COMPUTED_VALUE"""),1.0)</f>
        <v>1</v>
      </c>
    </row>
    <row r="4296">
      <c r="A4296" s="10" t="str">
        <f>IFERROR(__xludf.DUMMYFUNCTION("""COMPUTED_VALUE"""),"ゆうくん＠ユーズ")</f>
        <v>ゆうくん＠ユーズ</v>
      </c>
      <c r="B4296" s="10">
        <f>IFERROR(__xludf.DUMMYFUNCTION("""COMPUTED_VALUE"""),1119.0)</f>
        <v>1119</v>
      </c>
      <c r="C4296" s="10">
        <f>IFERROR(__xludf.DUMMYFUNCTION("""COMPUTED_VALUE"""),13042.0)</f>
        <v>13042</v>
      </c>
      <c r="D4296" s="5">
        <f>IFERROR(__xludf.DUMMYFUNCTION("""COMPUTED_VALUE"""),0.2875115323324667)</f>
        <v>0.2875115323</v>
      </c>
      <c r="E4296" s="5">
        <f>IFERROR(__xludf.DUMMYFUNCTION("""COMPUTED_VALUE"""),0.11867818502054851)</f>
        <v>0.118678185</v>
      </c>
      <c r="F4296" s="5">
        <f>IFERROR(__xludf.DUMMYFUNCTION("""COMPUTED_VALUE"""),0.20036903463893316)</f>
        <v>0.2003690346</v>
      </c>
      <c r="G4296" s="5">
        <f>IFERROR(__xludf.DUMMYFUNCTION("""COMPUTED_VALUE"""),0.16866560429422126)</f>
        <v>0.1686656043</v>
      </c>
      <c r="H4296" s="5">
        <f>IFERROR(__xludf.DUMMYFUNCTION("""COMPUTED_VALUE"""),0.6195060694851402)</f>
        <v>0.6195060695</v>
      </c>
      <c r="I4296" s="11">
        <f>IFERROR(__xludf.DUMMYFUNCTION("""COMPUTED_VALUE"""),5756.257848472164)</f>
        <v>5756.257848</v>
      </c>
      <c r="J4296" s="10">
        <f>IFERROR(__xludf.DUMMYFUNCTION("""COMPUTED_VALUE"""),1.0)</f>
        <v>1</v>
      </c>
      <c r="K4296" s="5">
        <f>IFERROR(__xludf.DUMMYFUNCTION("""COMPUTED_VALUE"""),8.936550491510277E-4)</f>
        <v>0.0008936550492</v>
      </c>
      <c r="L4296" s="10">
        <f>IFERROR(__xludf.DUMMYFUNCTION("""COMPUTED_VALUE"""),1119.0)</f>
        <v>1119</v>
      </c>
      <c r="M4296" s="5">
        <f>IFERROR(__xludf.DUMMYFUNCTION("""COMPUTED_VALUE"""),1.0)</f>
        <v>1</v>
      </c>
    </row>
    <row r="4297">
      <c r="A4297" s="10" t="str">
        <f>IFERROR(__xludf.DUMMYFUNCTION("""COMPUTED_VALUE"""),"NG＠川村軍団")</f>
        <v>NG＠川村軍団</v>
      </c>
      <c r="B4297" s="10">
        <f>IFERROR(__xludf.DUMMYFUNCTION("""COMPUTED_VALUE"""),549.0)</f>
        <v>549</v>
      </c>
      <c r="C4297" s="10">
        <f>IFERROR(__xludf.DUMMYFUNCTION("""COMPUTED_VALUE"""),6439.0)</f>
        <v>6439</v>
      </c>
      <c r="D4297" s="5">
        <f>IFERROR(__xludf.DUMMYFUNCTION("""COMPUTED_VALUE"""),0.4088285229202037)</f>
        <v>0.4088285229</v>
      </c>
      <c r="E4297" s="5">
        <f>IFERROR(__xludf.DUMMYFUNCTION("""COMPUTED_VALUE"""),0.11867572156196944)</f>
        <v>0.1186757216</v>
      </c>
      <c r="F4297" s="5">
        <f>IFERROR(__xludf.DUMMYFUNCTION("""COMPUTED_VALUE"""),0.21867572156196943)</f>
        <v>0.2186757216</v>
      </c>
      <c r="G4297" s="5">
        <f>IFERROR(__xludf.DUMMYFUNCTION("""COMPUTED_VALUE"""),0.15942275042444823)</f>
        <v>0.1594227504</v>
      </c>
      <c r="H4297" s="5">
        <f>IFERROR(__xludf.DUMMYFUNCTION("""COMPUTED_VALUE"""),0.609472049689441)</f>
        <v>0.6094720497</v>
      </c>
      <c r="I4297" s="11">
        <f>IFERROR(__xludf.DUMMYFUNCTION("""COMPUTED_VALUE"""),5158.773291925466)</f>
        <v>5158.773292</v>
      </c>
      <c r="J4297" s="10">
        <f>IFERROR(__xludf.DUMMYFUNCTION("""COMPUTED_VALUE"""),0.0)</f>
        <v>0</v>
      </c>
      <c r="K4297" s="5">
        <f>IFERROR(__xludf.DUMMYFUNCTION("""COMPUTED_VALUE"""),0.0)</f>
        <v>0</v>
      </c>
      <c r="L4297" s="10">
        <f>IFERROR(__xludf.DUMMYFUNCTION("""COMPUTED_VALUE"""),513.0)</f>
        <v>513</v>
      </c>
      <c r="M4297" s="5">
        <f>IFERROR(__xludf.DUMMYFUNCTION("""COMPUTED_VALUE"""),0.9344262295081968)</f>
        <v>0.9344262295</v>
      </c>
    </row>
    <row r="4298">
      <c r="A4298" s="10" t="str">
        <f>IFERROR(__xludf.DUMMYFUNCTION("""COMPUTED_VALUE"""),"カポネ団の兄貴")</f>
        <v>カポネ団の兄貴</v>
      </c>
      <c r="B4298" s="10">
        <f>IFERROR(__xludf.DUMMYFUNCTION("""COMPUTED_VALUE"""),4925.0)</f>
        <v>4925</v>
      </c>
      <c r="C4298" s="10">
        <f>IFERROR(__xludf.DUMMYFUNCTION("""COMPUTED_VALUE"""),58057.0)</f>
        <v>58057</v>
      </c>
      <c r="D4298" s="5">
        <f>IFERROR(__xludf.DUMMYFUNCTION("""COMPUTED_VALUE"""),0.34583678385906796)</f>
        <v>0.3458367839</v>
      </c>
      <c r="E4298" s="5">
        <f>IFERROR(__xludf.DUMMYFUNCTION("""COMPUTED_VALUE"""),0.11866671685613189)</f>
        <v>0.1186667169</v>
      </c>
      <c r="F4298" s="5">
        <f>IFERROR(__xludf.DUMMYFUNCTION("""COMPUTED_VALUE"""),0.21331777459911164)</f>
        <v>0.2133177746</v>
      </c>
      <c r="G4298" s="5">
        <f>IFERROR(__xludf.DUMMYFUNCTION("""COMPUTED_VALUE"""),0.15538658435594369)</f>
        <v>0.1553865844</v>
      </c>
      <c r="H4298" s="5">
        <f>IFERROR(__xludf.DUMMYFUNCTION("""COMPUTED_VALUE"""),0.6087877183695076)</f>
        <v>0.6087877184</v>
      </c>
      <c r="I4298" s="11">
        <f>IFERROR(__xludf.DUMMYFUNCTION("""COMPUTED_VALUE"""),5715.899064760896)</f>
        <v>5715.899065</v>
      </c>
      <c r="J4298" s="10">
        <f>IFERROR(__xludf.DUMMYFUNCTION("""COMPUTED_VALUE"""),11.0)</f>
        <v>11</v>
      </c>
      <c r="K4298" s="5">
        <f>IFERROR(__xludf.DUMMYFUNCTION("""COMPUTED_VALUE"""),0.002233502538071066)</f>
        <v>0.002233502538</v>
      </c>
      <c r="L4298" s="10">
        <f>IFERROR(__xludf.DUMMYFUNCTION("""COMPUTED_VALUE"""),4925.0)</f>
        <v>4925</v>
      </c>
      <c r="M4298" s="5">
        <f>IFERROR(__xludf.DUMMYFUNCTION("""COMPUTED_VALUE"""),1.0)</f>
        <v>1</v>
      </c>
    </row>
    <row r="4299">
      <c r="A4299" s="10" t="str">
        <f>IFERROR(__xludf.DUMMYFUNCTION("""COMPUTED_VALUE"""),"破壊と誕生の神殿")</f>
        <v>破壊と誕生の神殿</v>
      </c>
      <c r="B4299" s="10">
        <f>IFERROR(__xludf.DUMMYFUNCTION("""COMPUTED_VALUE"""),1460.0)</f>
        <v>1460</v>
      </c>
      <c r="C4299" s="10">
        <f>IFERROR(__xludf.DUMMYFUNCTION("""COMPUTED_VALUE"""),17219.0)</f>
        <v>17219</v>
      </c>
      <c r="D4299" s="5">
        <f>IFERROR(__xludf.DUMMYFUNCTION("""COMPUTED_VALUE"""),0.3310489244241386)</f>
        <v>0.3310489244</v>
      </c>
      <c r="E4299" s="5">
        <f>IFERROR(__xludf.DUMMYFUNCTION("""COMPUTED_VALUE"""),0.1186623516720604)</f>
        <v>0.1186623517</v>
      </c>
      <c r="F4299" s="5">
        <f>IFERROR(__xludf.DUMMYFUNCTION("""COMPUTED_VALUE"""),0.20718319690335682)</f>
        <v>0.2071831969</v>
      </c>
      <c r="G4299" s="5">
        <f>IFERROR(__xludf.DUMMYFUNCTION("""COMPUTED_VALUE"""),0.1755822069928295)</f>
        <v>0.175582207</v>
      </c>
      <c r="H4299" s="5">
        <f>IFERROR(__xludf.DUMMYFUNCTION("""COMPUTED_VALUE"""),0.5758039816232772)</f>
        <v>0.5758039816</v>
      </c>
      <c r="I4299" s="11">
        <f>IFERROR(__xludf.DUMMYFUNCTION("""COMPUTED_VALUE"""),5868.514548238897)</f>
        <v>5868.514548</v>
      </c>
      <c r="J4299" s="10">
        <f>IFERROR(__xludf.DUMMYFUNCTION("""COMPUTED_VALUE"""),2.0)</f>
        <v>2</v>
      </c>
      <c r="K4299" s="5">
        <f>IFERROR(__xludf.DUMMYFUNCTION("""COMPUTED_VALUE"""),0.0013698630136986301)</f>
        <v>0.001369863014</v>
      </c>
      <c r="L4299" s="10">
        <f>IFERROR(__xludf.DUMMYFUNCTION("""COMPUTED_VALUE"""),0.0)</f>
        <v>0</v>
      </c>
      <c r="M4299" s="5">
        <f>IFERROR(__xludf.DUMMYFUNCTION("""COMPUTED_VALUE"""),0.0)</f>
        <v>0</v>
      </c>
    </row>
    <row r="4300">
      <c r="A4300" s="10" t="str">
        <f>IFERROR(__xludf.DUMMYFUNCTION("""COMPUTED_VALUE"""),"デジタル仙人")</f>
        <v>デジタル仙人</v>
      </c>
      <c r="B4300" s="10">
        <f>IFERROR(__xludf.DUMMYFUNCTION("""COMPUTED_VALUE"""),6761.0)</f>
        <v>6761</v>
      </c>
      <c r="C4300" s="10">
        <f>IFERROR(__xludf.DUMMYFUNCTION("""COMPUTED_VALUE"""),79620.0)</f>
        <v>79620</v>
      </c>
      <c r="D4300" s="5">
        <f>IFERROR(__xludf.DUMMYFUNCTION("""COMPUTED_VALUE"""),0.3040118585212534)</f>
        <v>0.3040118585</v>
      </c>
      <c r="E4300" s="5">
        <f>IFERROR(__xludf.DUMMYFUNCTION("""COMPUTED_VALUE"""),0.11865383823549595)</f>
        <v>0.1186538382</v>
      </c>
      <c r="F4300" s="5">
        <f>IFERROR(__xludf.DUMMYFUNCTION("""COMPUTED_VALUE"""),0.2085123320385951)</f>
        <v>0.208512332</v>
      </c>
      <c r="G4300" s="5">
        <f>IFERROR(__xludf.DUMMYFUNCTION("""COMPUTED_VALUE"""),0.1549842847143112)</f>
        <v>0.1549842847</v>
      </c>
      <c r="H4300" s="5">
        <f>IFERROR(__xludf.DUMMYFUNCTION("""COMPUTED_VALUE"""),0.593996840442338)</f>
        <v>0.5939968404</v>
      </c>
      <c r="I4300" s="11">
        <f>IFERROR(__xludf.DUMMYFUNCTION("""COMPUTED_VALUE"""),5678.403106898368)</f>
        <v>5678.403107</v>
      </c>
      <c r="J4300" s="10">
        <f>IFERROR(__xludf.DUMMYFUNCTION("""COMPUTED_VALUE"""),7.0)</f>
        <v>7</v>
      </c>
      <c r="K4300" s="5">
        <f>IFERROR(__xludf.DUMMYFUNCTION("""COMPUTED_VALUE"""),0.0010353498003253957)</f>
        <v>0.0010353498</v>
      </c>
      <c r="L4300" s="10">
        <f>IFERROR(__xludf.DUMMYFUNCTION("""COMPUTED_VALUE"""),0.0)</f>
        <v>0</v>
      </c>
      <c r="M4300" s="5">
        <f>IFERROR(__xludf.DUMMYFUNCTION("""COMPUTED_VALUE"""),0.0)</f>
        <v>0</v>
      </c>
    </row>
    <row r="4301">
      <c r="A4301" s="10" t="str">
        <f>IFERROR(__xludf.DUMMYFUNCTION("""COMPUTED_VALUE"""),"清澄のピン雀通い")</f>
        <v>清澄のピン雀通い</v>
      </c>
      <c r="B4301" s="10">
        <f>IFERROR(__xludf.DUMMYFUNCTION("""COMPUTED_VALUE"""),544.0)</f>
        <v>544</v>
      </c>
      <c r="C4301" s="10">
        <f>IFERROR(__xludf.DUMMYFUNCTION("""COMPUTED_VALUE"""),6452.0)</f>
        <v>6452</v>
      </c>
      <c r="D4301" s="5">
        <f>IFERROR(__xludf.DUMMYFUNCTION("""COMPUTED_VALUE"""),0.3718686526743399)</f>
        <v>0.3718686527</v>
      </c>
      <c r="E4301" s="5">
        <f>IFERROR(__xludf.DUMMYFUNCTION("""COMPUTED_VALUE"""),0.11865267433987813)</f>
        <v>0.1186526743</v>
      </c>
      <c r="F4301" s="5">
        <f>IFERROR(__xludf.DUMMYFUNCTION("""COMPUTED_VALUE"""),0.2037914691943128)</f>
        <v>0.2037914692</v>
      </c>
      <c r="G4301" s="5">
        <f>IFERROR(__xludf.DUMMYFUNCTION("""COMPUTED_VALUE"""),0.15538253215978334)</f>
        <v>0.1553825322</v>
      </c>
      <c r="H4301" s="5">
        <f>IFERROR(__xludf.DUMMYFUNCTION("""COMPUTED_VALUE"""),0.6021594684385382)</f>
        <v>0.6021594684</v>
      </c>
      <c r="I4301" s="11">
        <f>IFERROR(__xludf.DUMMYFUNCTION("""COMPUTED_VALUE"""),5756.312292358804)</f>
        <v>5756.312292</v>
      </c>
      <c r="J4301" s="10">
        <f>IFERROR(__xludf.DUMMYFUNCTION("""COMPUTED_VALUE"""),1.0)</f>
        <v>1</v>
      </c>
      <c r="K4301" s="5">
        <f>IFERROR(__xludf.DUMMYFUNCTION("""COMPUTED_VALUE"""),0.001838235294117647)</f>
        <v>0.001838235294</v>
      </c>
      <c r="L4301" s="10">
        <f>IFERROR(__xludf.DUMMYFUNCTION("""COMPUTED_VALUE"""),544.0)</f>
        <v>544</v>
      </c>
      <c r="M4301" s="5">
        <f>IFERROR(__xludf.DUMMYFUNCTION("""COMPUTED_VALUE"""),1.0)</f>
        <v>1</v>
      </c>
    </row>
    <row r="4302">
      <c r="A4302" s="10" t="str">
        <f>IFERROR(__xludf.DUMMYFUNCTION("""COMPUTED_VALUE"""),"ベジ―タ")</f>
        <v>ベジ―タ</v>
      </c>
      <c r="B4302" s="10">
        <f>IFERROR(__xludf.DUMMYFUNCTION("""COMPUTED_VALUE"""),810.0)</f>
        <v>810</v>
      </c>
      <c r="C4302" s="10">
        <f>IFERROR(__xludf.DUMMYFUNCTION("""COMPUTED_VALUE"""),9474.0)</f>
        <v>9474</v>
      </c>
      <c r="D4302" s="5">
        <f>IFERROR(__xludf.DUMMYFUNCTION("""COMPUTED_VALUE"""),0.3554939981532779)</f>
        <v>0.3554939982</v>
      </c>
      <c r="E4302" s="5">
        <f>IFERROR(__xludf.DUMMYFUNCTION("""COMPUTED_VALUE"""),0.11865189289012004)</f>
        <v>0.1186518929</v>
      </c>
      <c r="F4302" s="5">
        <f>IFERROR(__xludf.DUMMYFUNCTION("""COMPUTED_VALUE"""),0.21352723915050784)</f>
        <v>0.2135272392</v>
      </c>
      <c r="G4302" s="5">
        <f>IFERROR(__xludf.DUMMYFUNCTION("""COMPUTED_VALUE"""),0.16862880886426593)</f>
        <v>0.1686288089</v>
      </c>
      <c r="H4302" s="5">
        <f>IFERROR(__xludf.DUMMYFUNCTION("""COMPUTED_VALUE"""),0.6108108108108108)</f>
        <v>0.6108108108</v>
      </c>
      <c r="I4302" s="11">
        <f>IFERROR(__xludf.DUMMYFUNCTION("""COMPUTED_VALUE"""),5541.5675675675675)</f>
        <v>5541.567568</v>
      </c>
      <c r="J4302" s="10">
        <f>IFERROR(__xludf.DUMMYFUNCTION("""COMPUTED_VALUE"""),0.0)</f>
        <v>0</v>
      </c>
      <c r="K4302" s="5">
        <f>IFERROR(__xludf.DUMMYFUNCTION("""COMPUTED_VALUE"""),0.0)</f>
        <v>0</v>
      </c>
      <c r="L4302" s="10">
        <f>IFERROR(__xludf.DUMMYFUNCTION("""COMPUTED_VALUE"""),810.0)</f>
        <v>810</v>
      </c>
      <c r="M4302" s="5">
        <f>IFERROR(__xludf.DUMMYFUNCTION("""COMPUTED_VALUE"""),1.0)</f>
        <v>1</v>
      </c>
    </row>
    <row r="4303">
      <c r="A4303" s="10" t="str">
        <f>IFERROR(__xludf.DUMMYFUNCTION("""COMPUTED_VALUE"""),"@muka")</f>
        <v>@muka</v>
      </c>
      <c r="B4303" s="10">
        <f>IFERROR(__xludf.DUMMYFUNCTION("""COMPUTED_VALUE"""),276.0)</f>
        <v>276</v>
      </c>
      <c r="C4303" s="10">
        <f>IFERROR(__xludf.DUMMYFUNCTION("""COMPUTED_VALUE"""),3226.0)</f>
        <v>3226</v>
      </c>
      <c r="D4303" s="5">
        <f>IFERROR(__xludf.DUMMYFUNCTION("""COMPUTED_VALUE"""),0.3461016949152542)</f>
        <v>0.3461016949</v>
      </c>
      <c r="E4303" s="5">
        <f>IFERROR(__xludf.DUMMYFUNCTION("""COMPUTED_VALUE"""),0.11864406779661017)</f>
        <v>0.1186440678</v>
      </c>
      <c r="F4303" s="5">
        <f>IFERROR(__xludf.DUMMYFUNCTION("""COMPUTED_VALUE"""),0.20135593220338982)</f>
        <v>0.2013559322</v>
      </c>
      <c r="G4303" s="5">
        <f>IFERROR(__xludf.DUMMYFUNCTION("""COMPUTED_VALUE"""),0.16983050847457626)</f>
        <v>0.1698305085</v>
      </c>
      <c r="H4303" s="5">
        <f>IFERROR(__xludf.DUMMYFUNCTION("""COMPUTED_VALUE"""),0.5909090909090909)</f>
        <v>0.5909090909</v>
      </c>
      <c r="I4303" s="11">
        <f>IFERROR(__xludf.DUMMYFUNCTION("""COMPUTED_VALUE"""),5409.93265993266)</f>
        <v>5409.93266</v>
      </c>
      <c r="J4303" s="10">
        <f>IFERROR(__xludf.DUMMYFUNCTION("""COMPUTED_VALUE"""),0.0)</f>
        <v>0</v>
      </c>
      <c r="K4303" s="5">
        <f>IFERROR(__xludf.DUMMYFUNCTION("""COMPUTED_VALUE"""),0.0)</f>
        <v>0</v>
      </c>
      <c r="L4303" s="10">
        <f>IFERROR(__xludf.DUMMYFUNCTION("""COMPUTED_VALUE"""),250.0)</f>
        <v>250</v>
      </c>
      <c r="M4303" s="5">
        <f>IFERROR(__xludf.DUMMYFUNCTION("""COMPUTED_VALUE"""),0.9057971014492754)</f>
        <v>0.9057971014</v>
      </c>
    </row>
    <row r="4304">
      <c r="A4304" s="10" t="str">
        <f>IFERROR(__xludf.DUMMYFUNCTION("""COMPUTED_VALUE"""),"あおむらさき")</f>
        <v>あおむらさき</v>
      </c>
      <c r="B4304" s="10">
        <f>IFERROR(__xludf.DUMMYFUNCTION("""COMPUTED_VALUE"""),394.0)</f>
        <v>394</v>
      </c>
      <c r="C4304" s="10">
        <f>IFERROR(__xludf.DUMMYFUNCTION("""COMPUTED_VALUE"""),4600.0)</f>
        <v>4600</v>
      </c>
      <c r="D4304" s="5">
        <f>IFERROR(__xludf.DUMMYFUNCTION("""COMPUTED_VALUE"""),0.33975273418925345)</f>
        <v>0.3397527342</v>
      </c>
      <c r="E4304" s="5">
        <f>IFERROR(__xludf.DUMMYFUNCTION("""COMPUTED_VALUE"""),0.11864003804089396)</f>
        <v>0.118640038</v>
      </c>
      <c r="F4304" s="5">
        <f>IFERROR(__xludf.DUMMYFUNCTION("""COMPUTED_VALUE"""),0.19971469329529243)</f>
        <v>0.1997146933</v>
      </c>
      <c r="G4304" s="5">
        <f>IFERROR(__xludf.DUMMYFUNCTION("""COMPUTED_VALUE"""),0.19163100332857821)</f>
        <v>0.1916310033</v>
      </c>
      <c r="H4304" s="5">
        <f>IFERROR(__xludf.DUMMYFUNCTION("""COMPUTED_VALUE"""),0.5797619047619048)</f>
        <v>0.5797619048</v>
      </c>
      <c r="I4304" s="11">
        <f>IFERROR(__xludf.DUMMYFUNCTION("""COMPUTED_VALUE"""),5528.214285714285)</f>
        <v>5528.214286</v>
      </c>
      <c r="J4304" s="10">
        <f>IFERROR(__xludf.DUMMYFUNCTION("""COMPUTED_VALUE"""),1.0)</f>
        <v>1</v>
      </c>
      <c r="K4304" s="5">
        <f>IFERROR(__xludf.DUMMYFUNCTION("""COMPUTED_VALUE"""),0.0025380710659898475)</f>
        <v>0.002538071066</v>
      </c>
      <c r="L4304" s="10">
        <f>IFERROR(__xludf.DUMMYFUNCTION("""COMPUTED_VALUE"""),394.0)</f>
        <v>394</v>
      </c>
      <c r="M4304" s="5">
        <f>IFERROR(__xludf.DUMMYFUNCTION("""COMPUTED_VALUE"""),1.0)</f>
        <v>1</v>
      </c>
    </row>
    <row r="4305">
      <c r="A4305" s="10" t="str">
        <f>IFERROR(__xludf.DUMMYFUNCTION("""COMPUTED_VALUE"""),"ヤキン")</f>
        <v>ヤキン</v>
      </c>
      <c r="B4305" s="10">
        <f>IFERROR(__xludf.DUMMYFUNCTION("""COMPUTED_VALUE"""),9035.0)</f>
        <v>9035</v>
      </c>
      <c r="C4305" s="10">
        <f>IFERROR(__xludf.DUMMYFUNCTION("""COMPUTED_VALUE"""),106546.0)</f>
        <v>106546</v>
      </c>
      <c r="D4305" s="5">
        <f>IFERROR(__xludf.DUMMYFUNCTION("""COMPUTED_VALUE"""),0.3888176718524064)</f>
        <v>0.3888176719</v>
      </c>
      <c r="E4305" s="5">
        <f>IFERROR(__xludf.DUMMYFUNCTION("""COMPUTED_VALUE"""),0.11863276963624617)</f>
        <v>0.1186327696</v>
      </c>
      <c r="F4305" s="5">
        <f>IFERROR(__xludf.DUMMYFUNCTION("""COMPUTED_VALUE"""),0.21542184984258186)</f>
        <v>0.2154218498</v>
      </c>
      <c r="G4305" s="5">
        <f>IFERROR(__xludf.DUMMYFUNCTION("""COMPUTED_VALUE"""),0.1495215924357252)</f>
        <v>0.1495215924</v>
      </c>
      <c r="H4305" s="5">
        <f>IFERROR(__xludf.DUMMYFUNCTION("""COMPUTED_VALUE"""),0.6072074645339427)</f>
        <v>0.6072074645</v>
      </c>
      <c r="I4305" s="11">
        <f>IFERROR(__xludf.DUMMYFUNCTION("""COMPUTED_VALUE"""),5409.292583071503)</f>
        <v>5409.292583</v>
      </c>
      <c r="J4305" s="10">
        <f>IFERROR(__xludf.DUMMYFUNCTION("""COMPUTED_VALUE"""),12.0)</f>
        <v>12</v>
      </c>
      <c r="K4305" s="5">
        <f>IFERROR(__xludf.DUMMYFUNCTION("""COMPUTED_VALUE"""),0.0013281682346430548)</f>
        <v>0.001328168235</v>
      </c>
      <c r="L4305" s="10">
        <f>IFERROR(__xludf.DUMMYFUNCTION("""COMPUTED_VALUE"""),9032.0)</f>
        <v>9032</v>
      </c>
      <c r="M4305" s="5">
        <f>IFERROR(__xludf.DUMMYFUNCTION("""COMPUTED_VALUE"""),0.9996679579413392)</f>
        <v>0.9996679579</v>
      </c>
    </row>
    <row r="4306">
      <c r="A4306" s="10" t="str">
        <f>IFERROR(__xludf.DUMMYFUNCTION("""COMPUTED_VALUE"""),"こっしー")</f>
        <v>こっしー</v>
      </c>
      <c r="B4306" s="10">
        <f>IFERROR(__xludf.DUMMYFUNCTION("""COMPUTED_VALUE"""),395.0)</f>
        <v>395</v>
      </c>
      <c r="C4306" s="10">
        <f>IFERROR(__xludf.DUMMYFUNCTION("""COMPUTED_VALUE"""),4635.0)</f>
        <v>4635</v>
      </c>
      <c r="D4306" s="5">
        <f>IFERROR(__xludf.DUMMYFUNCTION("""COMPUTED_VALUE"""),0.36863207547169813)</f>
        <v>0.3686320755</v>
      </c>
      <c r="E4306" s="5">
        <f>IFERROR(__xludf.DUMMYFUNCTION("""COMPUTED_VALUE"""),0.11863207547169811)</f>
        <v>0.1186320755</v>
      </c>
      <c r="F4306" s="5">
        <f>IFERROR(__xludf.DUMMYFUNCTION("""COMPUTED_VALUE"""),0.20778301886792452)</f>
        <v>0.2077830189</v>
      </c>
      <c r="G4306" s="5">
        <f>IFERROR(__xludf.DUMMYFUNCTION("""COMPUTED_VALUE"""),0.18490566037735848)</f>
        <v>0.1849056604</v>
      </c>
      <c r="H4306" s="5">
        <f>IFERROR(__xludf.DUMMYFUNCTION("""COMPUTED_VALUE"""),0.6129398410896708)</f>
        <v>0.6129398411</v>
      </c>
      <c r="I4306" s="11">
        <f>IFERROR(__xludf.DUMMYFUNCTION("""COMPUTED_VALUE"""),6021.3393870601585)</f>
        <v>6021.339387</v>
      </c>
      <c r="J4306" s="10">
        <f>IFERROR(__xludf.DUMMYFUNCTION("""COMPUTED_VALUE"""),1.0)</f>
        <v>1</v>
      </c>
      <c r="K4306" s="5">
        <f>IFERROR(__xludf.DUMMYFUNCTION("""COMPUTED_VALUE"""),0.002531645569620253)</f>
        <v>0.00253164557</v>
      </c>
      <c r="L4306" s="10">
        <f>IFERROR(__xludf.DUMMYFUNCTION("""COMPUTED_VALUE"""),395.0)</f>
        <v>395</v>
      </c>
      <c r="M4306" s="5">
        <f>IFERROR(__xludf.DUMMYFUNCTION("""COMPUTED_VALUE"""),1.0)</f>
        <v>1</v>
      </c>
    </row>
    <row r="4307">
      <c r="A4307" s="10" t="str">
        <f>IFERROR(__xludf.DUMMYFUNCTION("""COMPUTED_VALUE"""),"あいえっ！？")</f>
        <v>あいえっ！？</v>
      </c>
      <c r="B4307" s="10">
        <f>IFERROR(__xludf.DUMMYFUNCTION("""COMPUTED_VALUE"""),1346.0)</f>
        <v>1346</v>
      </c>
      <c r="C4307" s="10">
        <f>IFERROR(__xludf.DUMMYFUNCTION("""COMPUTED_VALUE"""),15804.0)</f>
        <v>15804</v>
      </c>
      <c r="D4307" s="5">
        <f>IFERROR(__xludf.DUMMYFUNCTION("""COMPUTED_VALUE"""),0.2719601604647946)</f>
        <v>0.2719601605</v>
      </c>
      <c r="E4307" s="5">
        <f>IFERROR(__xludf.DUMMYFUNCTION("""COMPUTED_VALUE"""),0.11861944943975654)</f>
        <v>0.1186194494</v>
      </c>
      <c r="F4307" s="5">
        <f>IFERROR(__xludf.DUMMYFUNCTION("""COMPUTED_VALUE"""),0.2077050767741043)</f>
        <v>0.2077050768</v>
      </c>
      <c r="G4307" s="5">
        <f>IFERROR(__xludf.DUMMYFUNCTION("""COMPUTED_VALUE"""),0.1648222437404897)</f>
        <v>0.1648222437</v>
      </c>
      <c r="H4307" s="5">
        <f>IFERROR(__xludf.DUMMYFUNCTION("""COMPUTED_VALUE"""),0.5947385947385947)</f>
        <v>0.5947385947</v>
      </c>
      <c r="I4307" s="11">
        <f>IFERROR(__xludf.DUMMYFUNCTION("""COMPUTED_VALUE"""),5957.042957042957)</f>
        <v>5957.042957</v>
      </c>
      <c r="J4307" s="10">
        <f>IFERROR(__xludf.DUMMYFUNCTION("""COMPUTED_VALUE"""),2.0)</f>
        <v>2</v>
      </c>
      <c r="K4307" s="5">
        <f>IFERROR(__xludf.DUMMYFUNCTION("""COMPUTED_VALUE"""),0.0014858841010401188)</f>
        <v>0.001485884101</v>
      </c>
      <c r="L4307" s="10">
        <f>IFERROR(__xludf.DUMMYFUNCTION("""COMPUTED_VALUE"""),1346.0)</f>
        <v>1346</v>
      </c>
      <c r="M4307" s="5">
        <f>IFERROR(__xludf.DUMMYFUNCTION("""COMPUTED_VALUE"""),1.0)</f>
        <v>1</v>
      </c>
    </row>
    <row r="4308">
      <c r="A4308" s="10" t="str">
        <f>IFERROR(__xludf.DUMMYFUNCTION("""COMPUTED_VALUE"""),"霧雨魔理沙")</f>
        <v>霧雨魔理沙</v>
      </c>
      <c r="B4308" s="10">
        <f>IFERROR(__xludf.DUMMYFUNCTION("""COMPUTED_VALUE"""),106.0)</f>
        <v>106</v>
      </c>
      <c r="C4308" s="10">
        <f>IFERROR(__xludf.DUMMYFUNCTION("""COMPUTED_VALUE"""),1320.0)</f>
        <v>1320</v>
      </c>
      <c r="D4308" s="5">
        <f>IFERROR(__xludf.DUMMYFUNCTION("""COMPUTED_VALUE"""),0.4110378912685338)</f>
        <v>0.4110378913</v>
      </c>
      <c r="E4308" s="5">
        <f>IFERROR(__xludf.DUMMYFUNCTION("""COMPUTED_VALUE"""),0.1186161449752883)</f>
        <v>0.118616145</v>
      </c>
      <c r="F4308" s="5">
        <f>IFERROR(__xludf.DUMMYFUNCTION("""COMPUTED_VALUE"""),0.20345963756177923)</f>
        <v>0.2034596376</v>
      </c>
      <c r="G4308" s="5">
        <f>IFERROR(__xludf.DUMMYFUNCTION("""COMPUTED_VALUE"""),0.18533772652388797)</f>
        <v>0.1853377265</v>
      </c>
      <c r="H4308" s="5">
        <f>IFERROR(__xludf.DUMMYFUNCTION("""COMPUTED_VALUE"""),0.6032388663967612)</f>
        <v>0.6032388664</v>
      </c>
      <c r="I4308" s="11">
        <f>IFERROR(__xludf.DUMMYFUNCTION("""COMPUTED_VALUE"""),5657.48987854251)</f>
        <v>5657.489879</v>
      </c>
      <c r="J4308" s="10">
        <f>IFERROR(__xludf.DUMMYFUNCTION("""COMPUTED_VALUE"""),0.0)</f>
        <v>0</v>
      </c>
      <c r="K4308" s="5">
        <f>IFERROR(__xludf.DUMMYFUNCTION("""COMPUTED_VALUE"""),0.0)</f>
        <v>0</v>
      </c>
      <c r="L4308" s="10">
        <f>IFERROR(__xludf.DUMMYFUNCTION("""COMPUTED_VALUE"""),0.0)</f>
        <v>0</v>
      </c>
      <c r="M4308" s="5">
        <f>IFERROR(__xludf.DUMMYFUNCTION("""COMPUTED_VALUE"""),0.0)</f>
        <v>0</v>
      </c>
    </row>
    <row r="4309">
      <c r="A4309" s="10" t="str">
        <f>IFERROR(__xludf.DUMMYFUNCTION("""COMPUTED_VALUE"""),"丸号")</f>
        <v>丸号</v>
      </c>
      <c r="B4309" s="10">
        <f>IFERROR(__xludf.DUMMYFUNCTION("""COMPUTED_VALUE"""),555.0)</f>
        <v>555</v>
      </c>
      <c r="C4309" s="10">
        <f>IFERROR(__xludf.DUMMYFUNCTION("""COMPUTED_VALUE"""),6507.0)</f>
        <v>6507</v>
      </c>
      <c r="D4309" s="5">
        <f>IFERROR(__xludf.DUMMYFUNCTION("""COMPUTED_VALUE"""),0.3079637096774194)</f>
        <v>0.3079637097</v>
      </c>
      <c r="E4309" s="5">
        <f>IFERROR(__xludf.DUMMYFUNCTION("""COMPUTED_VALUE"""),0.11861559139784947)</f>
        <v>0.1186155914</v>
      </c>
      <c r="F4309" s="5">
        <f>IFERROR(__xludf.DUMMYFUNCTION("""COMPUTED_VALUE"""),0.1868279569892473)</f>
        <v>0.186827957</v>
      </c>
      <c r="G4309" s="5">
        <f>IFERROR(__xludf.DUMMYFUNCTION("""COMPUTED_VALUE"""),0.1592741935483871)</f>
        <v>0.1592741935</v>
      </c>
      <c r="H4309" s="5">
        <f>IFERROR(__xludf.DUMMYFUNCTION("""COMPUTED_VALUE"""),0.6160071942446043)</f>
        <v>0.6160071942</v>
      </c>
      <c r="I4309" s="11">
        <f>IFERROR(__xludf.DUMMYFUNCTION("""COMPUTED_VALUE"""),6085.701438848921)</f>
        <v>6085.701439</v>
      </c>
      <c r="J4309" s="10">
        <f>IFERROR(__xludf.DUMMYFUNCTION("""COMPUTED_VALUE"""),3.0)</f>
        <v>3</v>
      </c>
      <c r="K4309" s="5">
        <f>IFERROR(__xludf.DUMMYFUNCTION("""COMPUTED_VALUE"""),0.005405405405405406)</f>
        <v>0.005405405405</v>
      </c>
      <c r="L4309" s="10">
        <f>IFERROR(__xludf.DUMMYFUNCTION("""COMPUTED_VALUE"""),555.0)</f>
        <v>555</v>
      </c>
      <c r="M4309" s="5">
        <f>IFERROR(__xludf.DUMMYFUNCTION("""COMPUTED_VALUE"""),1.0)</f>
        <v>1</v>
      </c>
    </row>
    <row r="4310">
      <c r="A4310" s="10" t="str">
        <f>IFERROR(__xludf.DUMMYFUNCTION("""COMPUTED_VALUE"""),"椋大樹")</f>
        <v>椋大樹</v>
      </c>
      <c r="B4310" s="10">
        <f>IFERROR(__xludf.DUMMYFUNCTION("""COMPUTED_VALUE"""),1189.0)</f>
        <v>1189</v>
      </c>
      <c r="C4310" s="10">
        <f>IFERROR(__xludf.DUMMYFUNCTION("""COMPUTED_VALUE"""),14080.0)</f>
        <v>14080</v>
      </c>
      <c r="D4310" s="5">
        <f>IFERROR(__xludf.DUMMYFUNCTION("""COMPUTED_VALUE"""),0.3113800325808704)</f>
        <v>0.3113800326</v>
      </c>
      <c r="E4310" s="5">
        <f>IFERROR(__xludf.DUMMYFUNCTION("""COMPUTED_VALUE"""),0.11860988286401365)</f>
        <v>0.1186098829</v>
      </c>
      <c r="F4310" s="5">
        <f>IFERROR(__xludf.DUMMYFUNCTION("""COMPUTED_VALUE"""),0.2112326429291754)</f>
        <v>0.2112326429</v>
      </c>
      <c r="G4310" s="5">
        <f>IFERROR(__xludf.DUMMYFUNCTION("""COMPUTED_VALUE"""),0.16096501435109767)</f>
        <v>0.1609650144</v>
      </c>
      <c r="H4310" s="5">
        <f>IFERROR(__xludf.DUMMYFUNCTION("""COMPUTED_VALUE"""),0.625413147264047)</f>
        <v>0.6254131473</v>
      </c>
      <c r="I4310" s="11">
        <f>IFERROR(__xludf.DUMMYFUNCTION("""COMPUTED_VALUE"""),5438.597135512303)</f>
        <v>5438.597136</v>
      </c>
      <c r="J4310" s="10">
        <f>IFERROR(__xludf.DUMMYFUNCTION("""COMPUTED_VALUE"""),2.0)</f>
        <v>2</v>
      </c>
      <c r="K4310" s="5">
        <f>IFERROR(__xludf.DUMMYFUNCTION("""COMPUTED_VALUE"""),0.001682085786375105)</f>
        <v>0.001682085786</v>
      </c>
      <c r="L4310" s="10">
        <f>IFERROR(__xludf.DUMMYFUNCTION("""COMPUTED_VALUE"""),1189.0)</f>
        <v>1189</v>
      </c>
      <c r="M4310" s="5">
        <f>IFERROR(__xludf.DUMMYFUNCTION("""COMPUTED_VALUE"""),1.0)</f>
        <v>1</v>
      </c>
    </row>
    <row r="4311">
      <c r="A4311" s="10" t="str">
        <f>IFERROR(__xludf.DUMMYFUNCTION("""COMPUTED_VALUE"""),"ふがいないや")</f>
        <v>ふがいないや</v>
      </c>
      <c r="B4311" s="10">
        <f>IFERROR(__xludf.DUMMYFUNCTION("""COMPUTED_VALUE"""),947.0)</f>
        <v>947</v>
      </c>
      <c r="C4311" s="10">
        <f>IFERROR(__xludf.DUMMYFUNCTION("""COMPUTED_VALUE"""),10998.0)</f>
        <v>10998</v>
      </c>
      <c r="D4311" s="5">
        <f>IFERROR(__xludf.DUMMYFUNCTION("""COMPUTED_VALUE"""),0.3584717938513581)</f>
        <v>0.3584717939</v>
      </c>
      <c r="E4311" s="5">
        <f>IFERROR(__xludf.DUMMYFUNCTION("""COMPUTED_VALUE"""),0.11859516466023282)</f>
        <v>0.1185951647</v>
      </c>
      <c r="F4311" s="5">
        <f>IFERROR(__xludf.DUMMYFUNCTION("""COMPUTED_VALUE"""),0.20863595662123172)</f>
        <v>0.2086359566</v>
      </c>
      <c r="G4311" s="5">
        <f>IFERROR(__xludf.DUMMYFUNCTION("""COMPUTED_VALUE"""),0.1538155407422147)</f>
        <v>0.1538155407</v>
      </c>
      <c r="H4311" s="5">
        <f>IFERROR(__xludf.DUMMYFUNCTION("""COMPUTED_VALUE"""),0.6056270863137816)</f>
        <v>0.6056270863</v>
      </c>
      <c r="I4311" s="11">
        <f>IFERROR(__xludf.DUMMYFUNCTION("""COMPUTED_VALUE"""),5739.389604196471)</f>
        <v>5739.389604</v>
      </c>
      <c r="J4311" s="10">
        <f>IFERROR(__xludf.DUMMYFUNCTION("""COMPUTED_VALUE"""),3.0)</f>
        <v>3</v>
      </c>
      <c r="K4311" s="5">
        <f>IFERROR(__xludf.DUMMYFUNCTION("""COMPUTED_VALUE"""),0.0031678986272439284)</f>
        <v>0.003167898627</v>
      </c>
      <c r="L4311" s="10">
        <f>IFERROR(__xludf.DUMMYFUNCTION("""COMPUTED_VALUE"""),947.0)</f>
        <v>947</v>
      </c>
      <c r="M4311" s="5">
        <f>IFERROR(__xludf.DUMMYFUNCTION("""COMPUTED_VALUE"""),1.0)</f>
        <v>1</v>
      </c>
    </row>
    <row r="4312">
      <c r="A4312" s="10" t="str">
        <f>IFERROR(__xludf.DUMMYFUNCTION("""COMPUTED_VALUE"""),"つふみき")</f>
        <v>つふみき</v>
      </c>
      <c r="B4312" s="10">
        <f>IFERROR(__xludf.DUMMYFUNCTION("""COMPUTED_VALUE"""),791.0)</f>
        <v>791</v>
      </c>
      <c r="C4312" s="10">
        <f>IFERROR(__xludf.DUMMYFUNCTION("""COMPUTED_VALUE"""),9417.0)</f>
        <v>9417</v>
      </c>
      <c r="D4312" s="5">
        <f>IFERROR(__xludf.DUMMYFUNCTION("""COMPUTED_VALUE"""),0.3867377695339671)</f>
        <v>0.3867377695</v>
      </c>
      <c r="E4312" s="5">
        <f>IFERROR(__xludf.DUMMYFUNCTION("""COMPUTED_VALUE"""),0.11859494551356364)</f>
        <v>0.1185949455</v>
      </c>
      <c r="F4312" s="5">
        <f>IFERROR(__xludf.DUMMYFUNCTION("""COMPUTED_VALUE"""),0.2230466032923719)</f>
        <v>0.2230466033</v>
      </c>
      <c r="G4312" s="5">
        <f>IFERROR(__xludf.DUMMYFUNCTION("""COMPUTED_VALUE"""),0.1755158822165546)</f>
        <v>0.1755158822</v>
      </c>
      <c r="H4312" s="5">
        <f>IFERROR(__xludf.DUMMYFUNCTION("""COMPUTED_VALUE"""),0.6216216216216216)</f>
        <v>0.6216216216</v>
      </c>
      <c r="I4312" s="11">
        <f>IFERROR(__xludf.DUMMYFUNCTION("""COMPUTED_VALUE"""),5400.0)</f>
        <v>5400</v>
      </c>
      <c r="J4312" s="10">
        <f>IFERROR(__xludf.DUMMYFUNCTION("""COMPUTED_VALUE"""),0.0)</f>
        <v>0</v>
      </c>
      <c r="K4312" s="5">
        <f>IFERROR(__xludf.DUMMYFUNCTION("""COMPUTED_VALUE"""),0.0)</f>
        <v>0</v>
      </c>
      <c r="L4312" s="10">
        <f>IFERROR(__xludf.DUMMYFUNCTION("""COMPUTED_VALUE"""),791.0)</f>
        <v>791</v>
      </c>
      <c r="M4312" s="5">
        <f>IFERROR(__xludf.DUMMYFUNCTION("""COMPUTED_VALUE"""),1.0)</f>
        <v>1</v>
      </c>
    </row>
    <row r="4313">
      <c r="A4313" s="10" t="str">
        <f>IFERROR(__xludf.DUMMYFUNCTION("""COMPUTED_VALUE"""),"炎のシュレン")</f>
        <v>炎のシュレン</v>
      </c>
      <c r="B4313" s="10">
        <f>IFERROR(__xludf.DUMMYFUNCTION("""COMPUTED_VALUE"""),2405.0)</f>
        <v>2405</v>
      </c>
      <c r="C4313" s="10">
        <f>IFERROR(__xludf.DUMMYFUNCTION("""COMPUTED_VALUE"""),28351.0)</f>
        <v>28351</v>
      </c>
      <c r="D4313" s="5">
        <f>IFERROR(__xludf.DUMMYFUNCTION("""COMPUTED_VALUE"""),0.3345409697063131)</f>
        <v>0.3345409697</v>
      </c>
      <c r="E4313" s="5">
        <f>IFERROR(__xludf.DUMMYFUNCTION("""COMPUTED_VALUE"""),0.11859246126570569)</f>
        <v>0.1185924613</v>
      </c>
      <c r="F4313" s="5">
        <f>IFERROR(__xludf.DUMMYFUNCTION("""COMPUTED_VALUE"""),0.2090881060664457)</f>
        <v>0.2090881061</v>
      </c>
      <c r="G4313" s="5">
        <f>IFERROR(__xludf.DUMMYFUNCTION("""COMPUTED_VALUE"""),0.16187466276111925)</f>
        <v>0.1618746628</v>
      </c>
      <c r="H4313" s="5">
        <f>IFERROR(__xludf.DUMMYFUNCTION("""COMPUTED_VALUE"""),0.6049769585253456)</f>
        <v>0.6049769585</v>
      </c>
      <c r="I4313" s="11">
        <f>IFERROR(__xludf.DUMMYFUNCTION("""COMPUTED_VALUE"""),5363.428571428572)</f>
        <v>5363.428571</v>
      </c>
      <c r="J4313" s="10">
        <f>IFERROR(__xludf.DUMMYFUNCTION("""COMPUTED_VALUE"""),3.0)</f>
        <v>3</v>
      </c>
      <c r="K4313" s="5">
        <f>IFERROR(__xludf.DUMMYFUNCTION("""COMPUTED_VALUE"""),0.0012474012474012475)</f>
        <v>0.001247401247</v>
      </c>
      <c r="L4313" s="10">
        <f>IFERROR(__xludf.DUMMYFUNCTION("""COMPUTED_VALUE"""),2405.0)</f>
        <v>2405</v>
      </c>
      <c r="M4313" s="5">
        <f>IFERROR(__xludf.DUMMYFUNCTION("""COMPUTED_VALUE"""),1.0)</f>
        <v>1</v>
      </c>
    </row>
    <row r="4314">
      <c r="A4314" s="10" t="str">
        <f>IFERROR(__xludf.DUMMYFUNCTION("""COMPUTED_VALUE"""),"クリームソーダ")</f>
        <v>クリームソーダ</v>
      </c>
      <c r="B4314" s="10">
        <f>IFERROR(__xludf.DUMMYFUNCTION("""COMPUTED_VALUE"""),241.0)</f>
        <v>241</v>
      </c>
      <c r="C4314" s="10">
        <f>IFERROR(__xludf.DUMMYFUNCTION("""COMPUTED_VALUE"""),2872.0)</f>
        <v>2872</v>
      </c>
      <c r="D4314" s="5">
        <f>IFERROR(__xludf.DUMMYFUNCTION("""COMPUTED_VALUE"""),0.3200304066894717)</f>
        <v>0.3200304067</v>
      </c>
      <c r="E4314" s="5">
        <f>IFERROR(__xludf.DUMMYFUNCTION("""COMPUTED_VALUE"""),0.11858608893956671)</f>
        <v>0.1185860889</v>
      </c>
      <c r="F4314" s="5">
        <f>IFERROR(__xludf.DUMMYFUNCTION("""COMPUTED_VALUE"""),0.20030406689471683)</f>
        <v>0.2003040669</v>
      </c>
      <c r="G4314" s="5">
        <f>IFERROR(__xludf.DUMMYFUNCTION("""COMPUTED_VALUE"""),0.18358038768529075)</f>
        <v>0.1835803877</v>
      </c>
      <c r="H4314" s="5">
        <f>IFERROR(__xludf.DUMMYFUNCTION("""COMPUTED_VALUE"""),0.6318785578747628)</f>
        <v>0.6318785579</v>
      </c>
      <c r="I4314" s="11">
        <f>IFERROR(__xludf.DUMMYFUNCTION("""COMPUTED_VALUE"""),5539.468690702087)</f>
        <v>5539.468691</v>
      </c>
      <c r="J4314" s="10">
        <f>IFERROR(__xludf.DUMMYFUNCTION("""COMPUTED_VALUE"""),0.0)</f>
        <v>0</v>
      </c>
      <c r="K4314" s="5">
        <f>IFERROR(__xludf.DUMMYFUNCTION("""COMPUTED_VALUE"""),0.0)</f>
        <v>0</v>
      </c>
      <c r="L4314" s="10">
        <f>IFERROR(__xludf.DUMMYFUNCTION("""COMPUTED_VALUE"""),241.0)</f>
        <v>241</v>
      </c>
      <c r="M4314" s="5">
        <f>IFERROR(__xludf.DUMMYFUNCTION("""COMPUTED_VALUE"""),1.0)</f>
        <v>1</v>
      </c>
    </row>
    <row r="4315">
      <c r="A4315" s="10" t="str">
        <f>IFERROR(__xludf.DUMMYFUNCTION("""COMPUTED_VALUE"""),"EFFY")</f>
        <v>EFFY</v>
      </c>
      <c r="B4315" s="10">
        <f>IFERROR(__xludf.DUMMYFUNCTION("""COMPUTED_VALUE"""),330.0)</f>
        <v>330</v>
      </c>
      <c r="C4315" s="10">
        <f>IFERROR(__xludf.DUMMYFUNCTION("""COMPUTED_VALUE"""),3838.0)</f>
        <v>3838</v>
      </c>
      <c r="D4315" s="5">
        <f>IFERROR(__xludf.DUMMYFUNCTION("""COMPUTED_VALUE"""),0.346921322690992)</f>
        <v>0.3469213227</v>
      </c>
      <c r="E4315" s="5">
        <f>IFERROR(__xludf.DUMMYFUNCTION("""COMPUTED_VALUE"""),0.11858608893956671)</f>
        <v>0.1185860889</v>
      </c>
      <c r="F4315" s="5">
        <f>IFERROR(__xludf.DUMMYFUNCTION("""COMPUTED_VALUE"""),0.1961231470923603)</f>
        <v>0.1961231471</v>
      </c>
      <c r="G4315" s="5">
        <f>IFERROR(__xludf.DUMMYFUNCTION("""COMPUTED_VALUE"""),0.12913340935005702)</f>
        <v>0.1291334094</v>
      </c>
      <c r="H4315" s="5">
        <f>IFERROR(__xludf.DUMMYFUNCTION("""COMPUTED_VALUE"""),0.5915697674418605)</f>
        <v>0.5915697674</v>
      </c>
      <c r="I4315" s="11">
        <f>IFERROR(__xludf.DUMMYFUNCTION("""COMPUTED_VALUE"""),5618.313953488372)</f>
        <v>5618.313953</v>
      </c>
      <c r="J4315" s="10">
        <f>IFERROR(__xludf.DUMMYFUNCTION("""COMPUTED_VALUE"""),0.0)</f>
        <v>0</v>
      </c>
      <c r="K4315" s="5">
        <f>IFERROR(__xludf.DUMMYFUNCTION("""COMPUTED_VALUE"""),0.0)</f>
        <v>0</v>
      </c>
      <c r="L4315" s="10">
        <f>IFERROR(__xludf.DUMMYFUNCTION("""COMPUTED_VALUE"""),0.0)</f>
        <v>0</v>
      </c>
      <c r="M4315" s="5">
        <f>IFERROR(__xludf.DUMMYFUNCTION("""COMPUTED_VALUE"""),0.0)</f>
        <v>0</v>
      </c>
    </row>
    <row r="4316">
      <c r="A4316" s="10" t="str">
        <f>IFERROR(__xludf.DUMMYFUNCTION("""COMPUTED_VALUE"""),"【渚楓】")</f>
        <v>【渚楓】</v>
      </c>
      <c r="B4316" s="10">
        <f>IFERROR(__xludf.DUMMYFUNCTION("""COMPUTED_VALUE"""),1428.0)</f>
        <v>1428</v>
      </c>
      <c r="C4316" s="10">
        <f>IFERROR(__xludf.DUMMYFUNCTION("""COMPUTED_VALUE"""),16793.0)</f>
        <v>16793</v>
      </c>
      <c r="D4316" s="5">
        <f>IFERROR(__xludf.DUMMYFUNCTION("""COMPUTED_VALUE"""),0.30569476082004554)</f>
        <v>0.3056947608</v>
      </c>
      <c r="E4316" s="5">
        <f>IFERROR(__xludf.DUMMYFUNCTION("""COMPUTED_VALUE"""),0.11858119101854865)</f>
        <v>0.118581191</v>
      </c>
      <c r="F4316" s="5">
        <f>IFERROR(__xludf.DUMMYFUNCTION("""COMPUTED_VALUE"""),0.2119752684672958)</f>
        <v>0.2119752685</v>
      </c>
      <c r="G4316" s="5">
        <f>IFERROR(__xludf.DUMMYFUNCTION("""COMPUTED_VALUE"""),0.14838919622518712)</f>
        <v>0.1483891962</v>
      </c>
      <c r="H4316" s="5">
        <f>IFERROR(__xludf.DUMMYFUNCTION("""COMPUTED_VALUE"""),0.6027018728891618)</f>
        <v>0.6027018729</v>
      </c>
      <c r="I4316" s="11">
        <f>IFERROR(__xludf.DUMMYFUNCTION("""COMPUTED_VALUE"""),5793.460239484188)</f>
        <v>5793.460239</v>
      </c>
      <c r="J4316" s="10">
        <f>IFERROR(__xludf.DUMMYFUNCTION("""COMPUTED_VALUE"""),6.0)</f>
        <v>6</v>
      </c>
      <c r="K4316" s="5">
        <f>IFERROR(__xludf.DUMMYFUNCTION("""COMPUTED_VALUE"""),0.004201680672268907)</f>
        <v>0.004201680672</v>
      </c>
      <c r="L4316" s="10">
        <f>IFERROR(__xludf.DUMMYFUNCTION("""COMPUTED_VALUE"""),337.0)</f>
        <v>337</v>
      </c>
      <c r="M4316" s="5">
        <f>IFERROR(__xludf.DUMMYFUNCTION("""COMPUTED_VALUE"""),0.23599439775910364)</f>
        <v>0.2359943978</v>
      </c>
    </row>
    <row r="4317">
      <c r="A4317" s="10" t="str">
        <f>IFERROR(__xludf.DUMMYFUNCTION("""COMPUTED_VALUE"""),"ちびひよ")</f>
        <v>ちびひよ</v>
      </c>
      <c r="B4317" s="10">
        <f>IFERROR(__xludf.DUMMYFUNCTION("""COMPUTED_VALUE"""),1698.0)</f>
        <v>1698</v>
      </c>
      <c r="C4317" s="10">
        <f>IFERROR(__xludf.DUMMYFUNCTION("""COMPUTED_VALUE"""),19897.0)</f>
        <v>19897</v>
      </c>
      <c r="D4317" s="5">
        <f>IFERROR(__xludf.DUMMYFUNCTION("""COMPUTED_VALUE"""),0.357437221825375)</f>
        <v>0.3574372218</v>
      </c>
      <c r="E4317" s="5">
        <f>IFERROR(__xludf.DUMMYFUNCTION("""COMPUTED_VALUE"""),0.1185779438430683)</f>
        <v>0.1185779438</v>
      </c>
      <c r="F4317" s="5">
        <f>IFERROR(__xludf.DUMMYFUNCTION("""COMPUTED_VALUE"""),0.21237430628056486)</f>
        <v>0.2123743063</v>
      </c>
      <c r="G4317" s="5">
        <f>IFERROR(__xludf.DUMMYFUNCTION("""COMPUTED_VALUE"""),0.16358041650640145)</f>
        <v>0.1635804165</v>
      </c>
      <c r="H4317" s="5">
        <f>IFERROR(__xludf.DUMMYFUNCTION("""COMPUTED_VALUE"""),0.6051746442432083)</f>
        <v>0.6051746442</v>
      </c>
      <c r="I4317" s="11">
        <f>IFERROR(__xludf.DUMMYFUNCTION("""COMPUTED_VALUE"""),5317.024579560155)</f>
        <v>5317.02458</v>
      </c>
      <c r="J4317" s="10">
        <f>IFERROR(__xludf.DUMMYFUNCTION("""COMPUTED_VALUE"""),3.0)</f>
        <v>3</v>
      </c>
      <c r="K4317" s="5">
        <f>IFERROR(__xludf.DUMMYFUNCTION("""COMPUTED_VALUE"""),0.0017667844522968198)</f>
        <v>0.001766784452</v>
      </c>
      <c r="L4317" s="10">
        <f>IFERROR(__xludf.DUMMYFUNCTION("""COMPUTED_VALUE"""),1651.0)</f>
        <v>1651</v>
      </c>
      <c r="M4317" s="5">
        <f>IFERROR(__xludf.DUMMYFUNCTION("""COMPUTED_VALUE"""),0.9723203769140165)</f>
        <v>0.9723203769</v>
      </c>
    </row>
    <row r="4318">
      <c r="A4318" s="10" t="str">
        <f>IFERROR(__xludf.DUMMYFUNCTION("""COMPUTED_VALUE"""),"㈲大博打")</f>
        <v>㈲大博打</v>
      </c>
      <c r="B4318" s="10">
        <f>IFERROR(__xludf.DUMMYFUNCTION("""COMPUTED_VALUE"""),1115.0)</f>
        <v>1115</v>
      </c>
      <c r="C4318" s="10">
        <f>IFERROR(__xludf.DUMMYFUNCTION("""COMPUTED_VALUE"""),13141.0)</f>
        <v>13141</v>
      </c>
      <c r="D4318" s="5">
        <f>IFERROR(__xludf.DUMMYFUNCTION("""COMPUTED_VALUE"""),0.3104939298187261)</f>
        <v>0.3104939298</v>
      </c>
      <c r="E4318" s="5">
        <f>IFERROR(__xludf.DUMMYFUNCTION("""COMPUTED_VALUE"""),0.11857641776151671)</f>
        <v>0.1185764178</v>
      </c>
      <c r="F4318" s="5">
        <f>IFERROR(__xludf.DUMMYFUNCTION("""COMPUTED_VALUE"""),0.20863129885248627)</f>
        <v>0.2086312989</v>
      </c>
      <c r="G4318" s="5">
        <f>IFERROR(__xludf.DUMMYFUNCTION("""COMPUTED_VALUE"""),0.16954930982870448)</f>
        <v>0.1695493098</v>
      </c>
      <c r="H4318" s="5">
        <f>IFERROR(__xludf.DUMMYFUNCTION("""COMPUTED_VALUE"""),0.5986448784376246)</f>
        <v>0.5986448784</v>
      </c>
      <c r="I4318" s="11">
        <f>IFERROR(__xludf.DUMMYFUNCTION("""COMPUTED_VALUE"""),5835.352730171383)</f>
        <v>5835.35273</v>
      </c>
      <c r="J4318" s="10">
        <f>IFERROR(__xludf.DUMMYFUNCTION("""COMPUTED_VALUE"""),6.0)</f>
        <v>6</v>
      </c>
      <c r="K4318" s="5">
        <f>IFERROR(__xludf.DUMMYFUNCTION("""COMPUTED_VALUE"""),0.0053811659192825115)</f>
        <v>0.005381165919</v>
      </c>
      <c r="L4318" s="10">
        <f>IFERROR(__xludf.DUMMYFUNCTION("""COMPUTED_VALUE"""),1115.0)</f>
        <v>1115</v>
      </c>
      <c r="M4318" s="5">
        <f>IFERROR(__xludf.DUMMYFUNCTION("""COMPUTED_VALUE"""),1.0)</f>
        <v>1</v>
      </c>
    </row>
    <row r="4319">
      <c r="A4319" s="10" t="str">
        <f>IFERROR(__xludf.DUMMYFUNCTION("""COMPUTED_VALUE"""),"ピョン吉")</f>
        <v>ピョン吉</v>
      </c>
      <c r="B4319" s="10">
        <f>IFERROR(__xludf.DUMMYFUNCTION("""COMPUTED_VALUE"""),2009.0)</f>
        <v>2009</v>
      </c>
      <c r="C4319" s="10">
        <f>IFERROR(__xludf.DUMMYFUNCTION("""COMPUTED_VALUE"""),23591.0)</f>
        <v>23591</v>
      </c>
      <c r="D4319" s="5">
        <f>IFERROR(__xludf.DUMMYFUNCTION("""COMPUTED_VALUE"""),0.42368640533778146)</f>
        <v>0.4236864053</v>
      </c>
      <c r="E4319" s="5">
        <f>IFERROR(__xludf.DUMMYFUNCTION("""COMPUTED_VALUE"""),0.11857103141506811)</f>
        <v>0.1185710314</v>
      </c>
      <c r="F4319" s="5">
        <f>IFERROR(__xludf.DUMMYFUNCTION("""COMPUTED_VALUE"""),0.20822907978871283)</f>
        <v>0.2082290798</v>
      </c>
      <c r="G4319" s="5">
        <f>IFERROR(__xludf.DUMMYFUNCTION("""COMPUTED_VALUE"""),0.1548975998517283)</f>
        <v>0.1548975999</v>
      </c>
      <c r="H4319" s="5">
        <f>IFERROR(__xludf.DUMMYFUNCTION("""COMPUTED_VALUE"""),0.5976858032932799)</f>
        <v>0.5976858033</v>
      </c>
      <c r="I4319" s="11">
        <f>IFERROR(__xludf.DUMMYFUNCTION("""COMPUTED_VALUE"""),5364.374721851357)</f>
        <v>5364.374722</v>
      </c>
      <c r="J4319" s="10">
        <f>IFERROR(__xludf.DUMMYFUNCTION("""COMPUTED_VALUE"""),3.0)</f>
        <v>3</v>
      </c>
      <c r="K4319" s="5">
        <f>IFERROR(__xludf.DUMMYFUNCTION("""COMPUTED_VALUE"""),0.0014932802389248383)</f>
        <v>0.001493280239</v>
      </c>
      <c r="L4319" s="10">
        <f>IFERROR(__xludf.DUMMYFUNCTION("""COMPUTED_VALUE"""),309.0)</f>
        <v>309</v>
      </c>
      <c r="M4319" s="5">
        <f>IFERROR(__xludf.DUMMYFUNCTION("""COMPUTED_VALUE"""),0.15380786460925833)</f>
        <v>0.1538078646</v>
      </c>
    </row>
    <row r="4320">
      <c r="A4320" s="10" t="str">
        <f>IFERROR(__xludf.DUMMYFUNCTION("""COMPUTED_VALUE"""),"うに軍団")</f>
        <v>うに軍団</v>
      </c>
      <c r="B4320" s="10">
        <f>IFERROR(__xludf.DUMMYFUNCTION("""COMPUTED_VALUE"""),596.0)</f>
        <v>596</v>
      </c>
      <c r="C4320" s="10">
        <f>IFERROR(__xludf.DUMMYFUNCTION("""COMPUTED_VALUE"""),7023.0)</f>
        <v>7023</v>
      </c>
      <c r="D4320" s="5">
        <f>IFERROR(__xludf.DUMMYFUNCTION("""COMPUTED_VALUE"""),0.38042632643535085)</f>
        <v>0.3804263264</v>
      </c>
      <c r="E4320" s="5">
        <f>IFERROR(__xludf.DUMMYFUNCTION("""COMPUTED_VALUE"""),0.11856231523261242)</f>
        <v>0.1185623152</v>
      </c>
      <c r="F4320" s="5">
        <f>IFERROR(__xludf.DUMMYFUNCTION("""COMPUTED_VALUE"""),0.21720865100357864)</f>
        <v>0.217208651</v>
      </c>
      <c r="G4320" s="5">
        <f>IFERROR(__xludf.DUMMYFUNCTION("""COMPUTED_VALUE"""),0.18391162284113893)</f>
        <v>0.1839116228</v>
      </c>
      <c r="H4320" s="5">
        <f>IFERROR(__xludf.DUMMYFUNCTION("""COMPUTED_VALUE"""),0.5952722063037249)</f>
        <v>0.5952722063</v>
      </c>
      <c r="I4320" s="11">
        <f>IFERROR(__xludf.DUMMYFUNCTION("""COMPUTED_VALUE"""),5498.853868194842)</f>
        <v>5498.853868</v>
      </c>
      <c r="J4320" s="10">
        <f>IFERROR(__xludf.DUMMYFUNCTION("""COMPUTED_VALUE"""),0.0)</f>
        <v>0</v>
      </c>
      <c r="K4320" s="5">
        <f>IFERROR(__xludf.DUMMYFUNCTION("""COMPUTED_VALUE"""),0.0)</f>
        <v>0</v>
      </c>
      <c r="L4320" s="10">
        <f>IFERROR(__xludf.DUMMYFUNCTION("""COMPUTED_VALUE"""),461.0)</f>
        <v>461</v>
      </c>
      <c r="M4320" s="5">
        <f>IFERROR(__xludf.DUMMYFUNCTION("""COMPUTED_VALUE"""),0.7734899328859061)</f>
        <v>0.7734899329</v>
      </c>
    </row>
    <row r="4321">
      <c r="A4321" s="10" t="str">
        <f>IFERROR(__xludf.DUMMYFUNCTION("""COMPUTED_VALUE"""),"シンプルなワキガ")</f>
        <v>シンプルなワキガ</v>
      </c>
      <c r="B4321" s="10">
        <f>IFERROR(__xludf.DUMMYFUNCTION("""COMPUTED_VALUE"""),6451.0)</f>
        <v>6451</v>
      </c>
      <c r="C4321" s="10">
        <f>IFERROR(__xludf.DUMMYFUNCTION("""COMPUTED_VALUE"""),75750.0)</f>
        <v>75750</v>
      </c>
      <c r="D4321" s="5">
        <f>IFERROR(__xludf.DUMMYFUNCTION("""COMPUTED_VALUE"""),0.3514625030664223)</f>
        <v>0.3514625031</v>
      </c>
      <c r="E4321" s="5">
        <f>IFERROR(__xludf.DUMMYFUNCTION("""COMPUTED_VALUE"""),0.11855870936088544)</f>
        <v>0.1185587094</v>
      </c>
      <c r="F4321" s="5">
        <f>IFERROR(__xludf.DUMMYFUNCTION("""COMPUTED_VALUE"""),0.21311995844095874)</f>
        <v>0.2131199584</v>
      </c>
      <c r="G4321" s="5">
        <f>IFERROR(__xludf.DUMMYFUNCTION("""COMPUTED_VALUE"""),0.18783820834355475)</f>
        <v>0.1878382083</v>
      </c>
      <c r="H4321" s="5">
        <f>IFERROR(__xludf.DUMMYFUNCTION("""COMPUTED_VALUE"""),0.5838580811158508)</f>
        <v>0.5838580811</v>
      </c>
      <c r="I4321" s="11">
        <f>IFERROR(__xludf.DUMMYFUNCTION("""COMPUTED_VALUE"""),5741.4990859232175)</f>
        <v>5741.499086</v>
      </c>
      <c r="J4321" s="10">
        <f>IFERROR(__xludf.DUMMYFUNCTION("""COMPUTED_VALUE"""),6.0)</f>
        <v>6</v>
      </c>
      <c r="K4321" s="5">
        <f>IFERROR(__xludf.DUMMYFUNCTION("""COMPUTED_VALUE"""),9.300883583940474E-4)</f>
        <v>0.0009300883584</v>
      </c>
      <c r="L4321" s="10">
        <f>IFERROR(__xludf.DUMMYFUNCTION("""COMPUTED_VALUE"""),6451.0)</f>
        <v>6451</v>
      </c>
      <c r="M4321" s="5">
        <f>IFERROR(__xludf.DUMMYFUNCTION("""COMPUTED_VALUE"""),1.0)</f>
        <v>1</v>
      </c>
    </row>
    <row r="4322">
      <c r="A4322" s="10" t="str">
        <f>IFERROR(__xludf.DUMMYFUNCTION("""COMPUTED_VALUE"""),"城島カナミ")</f>
        <v>城島カナミ</v>
      </c>
      <c r="B4322" s="10">
        <f>IFERROR(__xludf.DUMMYFUNCTION("""COMPUTED_VALUE"""),574.0)</f>
        <v>574</v>
      </c>
      <c r="C4322" s="10">
        <f>IFERROR(__xludf.DUMMYFUNCTION("""COMPUTED_VALUE"""),6706.0)</f>
        <v>6706</v>
      </c>
      <c r="D4322" s="5">
        <f>IFERROR(__xludf.DUMMYFUNCTION("""COMPUTED_VALUE"""),0.34377038486627526)</f>
        <v>0.3437703849</v>
      </c>
      <c r="E4322" s="5">
        <f>IFERROR(__xludf.DUMMYFUNCTION("""COMPUTED_VALUE"""),0.11855838225701239)</f>
        <v>0.1185583823</v>
      </c>
      <c r="F4322" s="5">
        <f>IFERROR(__xludf.DUMMYFUNCTION("""COMPUTED_VALUE"""),0.21053489889106328)</f>
        <v>0.2105348989</v>
      </c>
      <c r="G4322" s="5">
        <f>IFERROR(__xludf.DUMMYFUNCTION("""COMPUTED_VALUE"""),0.19487932159165036)</f>
        <v>0.1948793216</v>
      </c>
      <c r="H4322" s="5">
        <f>IFERROR(__xludf.DUMMYFUNCTION("""COMPUTED_VALUE"""),0.587141750580945)</f>
        <v>0.5871417506</v>
      </c>
      <c r="I4322" s="11">
        <f>IFERROR(__xludf.DUMMYFUNCTION("""COMPUTED_VALUE"""),5994.42292796282)</f>
        <v>5994.422928</v>
      </c>
      <c r="J4322" s="10">
        <f>IFERROR(__xludf.DUMMYFUNCTION("""COMPUTED_VALUE"""),2.0)</f>
        <v>2</v>
      </c>
      <c r="K4322" s="5">
        <f>IFERROR(__xludf.DUMMYFUNCTION("""COMPUTED_VALUE"""),0.003484320557491289)</f>
        <v>0.003484320557</v>
      </c>
      <c r="L4322" s="10">
        <f>IFERROR(__xludf.DUMMYFUNCTION("""COMPUTED_VALUE"""),574.0)</f>
        <v>574</v>
      </c>
      <c r="M4322" s="5">
        <f>IFERROR(__xludf.DUMMYFUNCTION("""COMPUTED_VALUE"""),1.0)</f>
        <v>1</v>
      </c>
    </row>
    <row r="4323">
      <c r="A4323" s="10" t="str">
        <f>IFERROR(__xludf.DUMMYFUNCTION("""COMPUTED_VALUE"""),"duck")</f>
        <v>duck</v>
      </c>
      <c r="B4323" s="10">
        <f>IFERROR(__xludf.DUMMYFUNCTION("""COMPUTED_VALUE"""),125.0)</f>
        <v>125</v>
      </c>
      <c r="C4323" s="10">
        <f>IFERROR(__xludf.DUMMYFUNCTION("""COMPUTED_VALUE"""),1483.0)</f>
        <v>1483</v>
      </c>
      <c r="D4323" s="5">
        <f>IFERROR(__xludf.DUMMYFUNCTION("""COMPUTED_VALUE"""),0.3070692194403535)</f>
        <v>0.3070692194</v>
      </c>
      <c r="E4323" s="5">
        <f>IFERROR(__xludf.DUMMYFUNCTION("""COMPUTED_VALUE"""),0.11855670103092783)</f>
        <v>0.118556701</v>
      </c>
      <c r="F4323" s="5">
        <f>IFERROR(__xludf.DUMMYFUNCTION("""COMPUTED_VALUE"""),0.19808541973490426)</f>
        <v>0.1980854197</v>
      </c>
      <c r="G4323" s="5">
        <f>IFERROR(__xludf.DUMMYFUNCTION("""COMPUTED_VALUE"""),0.17525773195876287)</f>
        <v>0.175257732</v>
      </c>
      <c r="H4323" s="5">
        <f>IFERROR(__xludf.DUMMYFUNCTION("""COMPUTED_VALUE"""),0.587360594795539)</f>
        <v>0.5873605948</v>
      </c>
      <c r="I4323" s="11">
        <f>IFERROR(__xludf.DUMMYFUNCTION("""COMPUTED_VALUE"""),5502.230483271375)</f>
        <v>5502.230483</v>
      </c>
      <c r="J4323" s="10">
        <f>IFERROR(__xludf.DUMMYFUNCTION("""COMPUTED_VALUE"""),0.0)</f>
        <v>0</v>
      </c>
      <c r="K4323" s="5">
        <f>IFERROR(__xludf.DUMMYFUNCTION("""COMPUTED_VALUE"""),0.0)</f>
        <v>0</v>
      </c>
      <c r="L4323" s="10">
        <f>IFERROR(__xludf.DUMMYFUNCTION("""COMPUTED_VALUE"""),125.0)</f>
        <v>125</v>
      </c>
      <c r="M4323" s="5">
        <f>IFERROR(__xludf.DUMMYFUNCTION("""COMPUTED_VALUE"""),1.0)</f>
        <v>1</v>
      </c>
    </row>
    <row r="4324">
      <c r="A4324" s="10" t="str">
        <f>IFERROR(__xludf.DUMMYFUNCTION("""COMPUTED_VALUE"""),"超ヒモリロ")</f>
        <v>超ヒモリロ</v>
      </c>
      <c r="B4324" s="10">
        <f>IFERROR(__xludf.DUMMYFUNCTION("""COMPUTED_VALUE"""),2049.0)</f>
        <v>2049</v>
      </c>
      <c r="C4324" s="10">
        <f>IFERROR(__xludf.DUMMYFUNCTION("""COMPUTED_VALUE"""),24174.0)</f>
        <v>24174</v>
      </c>
      <c r="D4324" s="5">
        <f>IFERROR(__xludf.DUMMYFUNCTION("""COMPUTED_VALUE"""),0.3401581920903955)</f>
        <v>0.3401581921</v>
      </c>
      <c r="E4324" s="5">
        <f>IFERROR(__xludf.DUMMYFUNCTION("""COMPUTED_VALUE"""),0.11855367231638418)</f>
        <v>0.1185536723</v>
      </c>
      <c r="F4324" s="5">
        <f>IFERROR(__xludf.DUMMYFUNCTION("""COMPUTED_VALUE"""),0.20836158192090395)</f>
        <v>0.2083615819</v>
      </c>
      <c r="G4324" s="5">
        <f>IFERROR(__xludf.DUMMYFUNCTION("""COMPUTED_VALUE"""),0.17618079096045197)</f>
        <v>0.176180791</v>
      </c>
      <c r="H4324" s="5">
        <f>IFERROR(__xludf.DUMMYFUNCTION("""COMPUTED_VALUE"""),0.5813449023861171)</f>
        <v>0.5813449024</v>
      </c>
      <c r="I4324" s="11">
        <f>IFERROR(__xludf.DUMMYFUNCTION("""COMPUTED_VALUE"""),5874.728850325379)</f>
        <v>5874.72885</v>
      </c>
      <c r="J4324" s="10">
        <f>IFERROR(__xludf.DUMMYFUNCTION("""COMPUTED_VALUE"""),6.0)</f>
        <v>6</v>
      </c>
      <c r="K4324" s="5">
        <f>IFERROR(__xludf.DUMMYFUNCTION("""COMPUTED_VALUE"""),0.0029282576866764276)</f>
        <v>0.002928257687</v>
      </c>
      <c r="L4324" s="10">
        <f>IFERROR(__xludf.DUMMYFUNCTION("""COMPUTED_VALUE"""),1317.0)</f>
        <v>1317</v>
      </c>
      <c r="M4324" s="5">
        <f>IFERROR(__xludf.DUMMYFUNCTION("""COMPUTED_VALUE"""),0.6427525622254758)</f>
        <v>0.6427525622</v>
      </c>
    </row>
    <row r="4325">
      <c r="A4325" s="10" t="str">
        <f>IFERROR(__xludf.DUMMYFUNCTION("""COMPUTED_VALUE"""),"ますくはがし")</f>
        <v>ますくはがし</v>
      </c>
      <c r="B4325" s="10">
        <f>IFERROR(__xludf.DUMMYFUNCTION("""COMPUTED_VALUE"""),1788.0)</f>
        <v>1788</v>
      </c>
      <c r="C4325" s="10">
        <f>IFERROR(__xludf.DUMMYFUNCTION("""COMPUTED_VALUE"""),21105.0)</f>
        <v>21105</v>
      </c>
      <c r="D4325" s="5">
        <f>IFERROR(__xludf.DUMMYFUNCTION("""COMPUTED_VALUE"""),0.3536781073665683)</f>
        <v>0.3536781074</v>
      </c>
      <c r="E4325" s="5">
        <f>IFERROR(__xludf.DUMMYFUNCTION("""COMPUTED_VALUE"""),0.11854842884505876)</f>
        <v>0.1185484288</v>
      </c>
      <c r="F4325" s="5">
        <f>IFERROR(__xludf.DUMMYFUNCTION("""COMPUTED_VALUE"""),0.2127141895739504)</f>
        <v>0.2127141896</v>
      </c>
      <c r="G4325" s="5">
        <f>IFERROR(__xludf.DUMMYFUNCTION("""COMPUTED_VALUE"""),0.16457006781591343)</f>
        <v>0.1645700678</v>
      </c>
      <c r="H4325" s="5">
        <f>IFERROR(__xludf.DUMMYFUNCTION("""COMPUTED_VALUE"""),0.5923582380141154)</f>
        <v>0.592358238</v>
      </c>
      <c r="I4325" s="11">
        <f>IFERROR(__xludf.DUMMYFUNCTION("""COMPUTED_VALUE"""),5392.69895351667)</f>
        <v>5392.698954</v>
      </c>
      <c r="J4325" s="10">
        <f>IFERROR(__xludf.DUMMYFUNCTION("""COMPUTED_VALUE"""),4.0)</f>
        <v>4</v>
      </c>
      <c r="K4325" s="5">
        <f>IFERROR(__xludf.DUMMYFUNCTION("""COMPUTED_VALUE"""),0.0022371364653243847)</f>
        <v>0.002237136465</v>
      </c>
      <c r="L4325" s="10">
        <f>IFERROR(__xludf.DUMMYFUNCTION("""COMPUTED_VALUE"""),1391.0)</f>
        <v>1391</v>
      </c>
      <c r="M4325" s="5">
        <f>IFERROR(__xludf.DUMMYFUNCTION("""COMPUTED_VALUE"""),0.7779642058165548)</f>
        <v>0.7779642058</v>
      </c>
    </row>
    <row r="4326">
      <c r="A4326" s="10" t="str">
        <f>IFERROR(__xludf.DUMMYFUNCTION("""COMPUTED_VALUE"""),"よつばと！")</f>
        <v>よつばと！</v>
      </c>
      <c r="B4326" s="10">
        <f>IFERROR(__xludf.DUMMYFUNCTION("""COMPUTED_VALUE"""),1156.0)</f>
        <v>1156</v>
      </c>
      <c r="C4326" s="10">
        <f>IFERROR(__xludf.DUMMYFUNCTION("""COMPUTED_VALUE"""),13649.0)</f>
        <v>13649</v>
      </c>
      <c r="D4326" s="5">
        <f>IFERROR(__xludf.DUMMYFUNCTION("""COMPUTED_VALUE"""),0.36924677819578966)</f>
        <v>0.3692467782</v>
      </c>
      <c r="E4326" s="5">
        <f>IFERROR(__xludf.DUMMYFUNCTION("""COMPUTED_VALUE"""),0.11854638597614664)</f>
        <v>0.118546386</v>
      </c>
      <c r="F4326" s="5">
        <f>IFERROR(__xludf.DUMMYFUNCTION("""COMPUTED_VALUE"""),0.21171856239494116)</f>
        <v>0.2117185624</v>
      </c>
      <c r="G4326" s="5">
        <f>IFERROR(__xludf.DUMMYFUNCTION("""COMPUTED_VALUE"""),0.15744817097574643)</f>
        <v>0.157448171</v>
      </c>
      <c r="H4326" s="5">
        <f>IFERROR(__xludf.DUMMYFUNCTION("""COMPUTED_VALUE"""),0.6068052930056711)</f>
        <v>0.606805293</v>
      </c>
      <c r="I4326" s="11">
        <f>IFERROR(__xludf.DUMMYFUNCTION("""COMPUTED_VALUE"""),5470.245746691871)</f>
        <v>5470.245747</v>
      </c>
      <c r="J4326" s="10">
        <f>IFERROR(__xludf.DUMMYFUNCTION("""COMPUTED_VALUE"""),3.0)</f>
        <v>3</v>
      </c>
      <c r="K4326" s="5">
        <f>IFERROR(__xludf.DUMMYFUNCTION("""COMPUTED_VALUE"""),0.0025951557093425604)</f>
        <v>0.002595155709</v>
      </c>
      <c r="L4326" s="10">
        <f>IFERROR(__xludf.DUMMYFUNCTION("""COMPUTED_VALUE"""),0.0)</f>
        <v>0</v>
      </c>
      <c r="M4326" s="5">
        <f>IFERROR(__xludf.DUMMYFUNCTION("""COMPUTED_VALUE"""),0.0)</f>
        <v>0</v>
      </c>
    </row>
    <row r="4327">
      <c r="A4327" s="10" t="str">
        <f>IFERROR(__xludf.DUMMYFUNCTION("""COMPUTED_VALUE"""),"shino!!")</f>
        <v>shino!!</v>
      </c>
      <c r="B4327" s="10">
        <f>IFERROR(__xludf.DUMMYFUNCTION("""COMPUTED_VALUE"""),1994.0)</f>
        <v>1994</v>
      </c>
      <c r="C4327" s="10">
        <f>IFERROR(__xludf.DUMMYFUNCTION("""COMPUTED_VALUE"""),23540.0)</f>
        <v>23540</v>
      </c>
      <c r="D4327" s="5">
        <f>IFERROR(__xludf.DUMMYFUNCTION("""COMPUTED_VALUE"""),0.3580711036851388)</f>
        <v>0.3580711037</v>
      </c>
      <c r="E4327" s="5">
        <f>IFERROR(__xludf.DUMMYFUNCTION("""COMPUTED_VALUE"""),0.11853708344936414)</f>
        <v>0.1185370834</v>
      </c>
      <c r="F4327" s="5">
        <f>IFERROR(__xludf.DUMMYFUNCTION("""COMPUTED_VALUE"""),0.21985519353940405)</f>
        <v>0.2198551935</v>
      </c>
      <c r="G4327" s="5">
        <f>IFERROR(__xludf.DUMMYFUNCTION("""COMPUTED_VALUE"""),0.16040100250626566)</f>
        <v>0.1604010025</v>
      </c>
      <c r="H4327" s="5">
        <f>IFERROR(__xludf.DUMMYFUNCTION("""COMPUTED_VALUE"""),0.6153683766096686)</f>
        <v>0.6153683766</v>
      </c>
      <c r="I4327" s="11">
        <f>IFERROR(__xludf.DUMMYFUNCTION("""COMPUTED_VALUE"""),5279.079586236015)</f>
        <v>5279.079586</v>
      </c>
      <c r="J4327" s="10">
        <f>IFERROR(__xludf.DUMMYFUNCTION("""COMPUTED_VALUE"""),3.0)</f>
        <v>3</v>
      </c>
      <c r="K4327" s="5">
        <f>IFERROR(__xludf.DUMMYFUNCTION("""COMPUTED_VALUE"""),0.0015045135406218655)</f>
        <v>0.001504513541</v>
      </c>
      <c r="L4327" s="10">
        <f>IFERROR(__xludf.DUMMYFUNCTION("""COMPUTED_VALUE"""),1994.0)</f>
        <v>1994</v>
      </c>
      <c r="M4327" s="5">
        <f>IFERROR(__xludf.DUMMYFUNCTION("""COMPUTED_VALUE"""),1.0)</f>
        <v>1</v>
      </c>
    </row>
    <row r="4328">
      <c r="A4328" s="10" t="str">
        <f>IFERROR(__xludf.DUMMYFUNCTION("""COMPUTED_VALUE"""),"にられば")</f>
        <v>にられば</v>
      </c>
      <c r="B4328" s="10">
        <f>IFERROR(__xludf.DUMMYFUNCTION("""COMPUTED_VALUE"""),210.0)</f>
        <v>210</v>
      </c>
      <c r="C4328" s="10">
        <f>IFERROR(__xludf.DUMMYFUNCTION("""COMPUTED_VALUE"""),2471.0)</f>
        <v>2471</v>
      </c>
      <c r="D4328" s="5">
        <f>IFERROR(__xludf.DUMMYFUNCTION("""COMPUTED_VALUE"""),0.3533834586466165)</f>
        <v>0.3533834586</v>
      </c>
      <c r="E4328" s="5">
        <f>IFERROR(__xludf.DUMMYFUNCTION("""COMPUTED_VALUE"""),0.11853162317558602)</f>
        <v>0.1185316232</v>
      </c>
      <c r="F4328" s="5">
        <f>IFERROR(__xludf.DUMMYFUNCTION("""COMPUTED_VALUE"""),0.1959310039805396)</f>
        <v>0.195931004</v>
      </c>
      <c r="G4328" s="5">
        <f>IFERROR(__xludf.DUMMYFUNCTION("""COMPUTED_VALUE"""),0.15656789031402035)</f>
        <v>0.1565678903</v>
      </c>
      <c r="H4328" s="5">
        <f>IFERROR(__xludf.DUMMYFUNCTION("""COMPUTED_VALUE"""),0.5575620767494357)</f>
        <v>0.5575620767</v>
      </c>
      <c r="I4328" s="11">
        <f>IFERROR(__xludf.DUMMYFUNCTION("""COMPUTED_VALUE"""),5204.51467268623)</f>
        <v>5204.514673</v>
      </c>
      <c r="J4328" s="10">
        <f>IFERROR(__xludf.DUMMYFUNCTION("""COMPUTED_VALUE"""),0.0)</f>
        <v>0</v>
      </c>
      <c r="K4328" s="5">
        <f>IFERROR(__xludf.DUMMYFUNCTION("""COMPUTED_VALUE"""),0.0)</f>
        <v>0</v>
      </c>
      <c r="L4328" s="10">
        <f>IFERROR(__xludf.DUMMYFUNCTION("""COMPUTED_VALUE"""),210.0)</f>
        <v>210</v>
      </c>
      <c r="M4328" s="5">
        <f>IFERROR(__xludf.DUMMYFUNCTION("""COMPUTED_VALUE"""),1.0)</f>
        <v>1</v>
      </c>
    </row>
    <row r="4329">
      <c r="A4329" s="10" t="str">
        <f>IFERROR(__xludf.DUMMYFUNCTION("""COMPUTED_VALUE"""),"EternalD")</f>
        <v>EternalD</v>
      </c>
      <c r="B4329" s="10">
        <f>IFERROR(__xludf.DUMMYFUNCTION("""COMPUTED_VALUE"""),159.0)</f>
        <v>159</v>
      </c>
      <c r="C4329" s="10">
        <f>IFERROR(__xludf.DUMMYFUNCTION("""COMPUTED_VALUE"""),1897.0)</f>
        <v>1897</v>
      </c>
      <c r="D4329" s="5">
        <f>IFERROR(__xludf.DUMMYFUNCTION("""COMPUTED_VALUE"""),0.31530494821634064)</f>
        <v>0.3153049482</v>
      </c>
      <c r="E4329" s="5">
        <f>IFERROR(__xludf.DUMMYFUNCTION("""COMPUTED_VALUE"""),0.11852704257767549)</f>
        <v>0.1185270426</v>
      </c>
      <c r="F4329" s="5">
        <f>IFERROR(__xludf.DUMMYFUNCTION("""COMPUTED_VALUE"""),0.20655926352128884)</f>
        <v>0.2065592635</v>
      </c>
      <c r="G4329" s="5">
        <f>IFERROR(__xludf.DUMMYFUNCTION("""COMPUTED_VALUE"""),0.16455696202531644)</f>
        <v>0.164556962</v>
      </c>
      <c r="H4329" s="5">
        <f>IFERROR(__xludf.DUMMYFUNCTION("""COMPUTED_VALUE"""),0.6128133704735376)</f>
        <v>0.6128133705</v>
      </c>
      <c r="I4329" s="11">
        <f>IFERROR(__xludf.DUMMYFUNCTION("""COMPUTED_VALUE"""),5327.298050139276)</f>
        <v>5327.29805</v>
      </c>
      <c r="J4329" s="10">
        <f>IFERROR(__xludf.DUMMYFUNCTION("""COMPUTED_VALUE"""),1.0)</f>
        <v>1</v>
      </c>
      <c r="K4329" s="5">
        <f>IFERROR(__xludf.DUMMYFUNCTION("""COMPUTED_VALUE"""),0.006289308176100629)</f>
        <v>0.006289308176</v>
      </c>
      <c r="L4329" s="10">
        <f>IFERROR(__xludf.DUMMYFUNCTION("""COMPUTED_VALUE"""),159.0)</f>
        <v>159</v>
      </c>
      <c r="M4329" s="5">
        <f>IFERROR(__xludf.DUMMYFUNCTION("""COMPUTED_VALUE"""),1.0)</f>
        <v>1</v>
      </c>
    </row>
    <row r="4330">
      <c r="A4330" s="10" t="str">
        <f>IFERROR(__xludf.DUMMYFUNCTION("""COMPUTED_VALUE"""),"gskg3")</f>
        <v>gskg3</v>
      </c>
      <c r="B4330" s="10">
        <f>IFERROR(__xludf.DUMMYFUNCTION("""COMPUTED_VALUE"""),2143.0)</f>
        <v>2143</v>
      </c>
      <c r="C4330" s="10">
        <f>IFERROR(__xludf.DUMMYFUNCTION("""COMPUTED_VALUE"""),24975.0)</f>
        <v>24975</v>
      </c>
      <c r="D4330" s="5">
        <f>IFERROR(__xludf.DUMMYFUNCTION("""COMPUTED_VALUE"""),0.37464961457603363)</f>
        <v>0.3746496146</v>
      </c>
      <c r="E4330" s="5">
        <f>IFERROR(__xludf.DUMMYFUNCTION("""COMPUTED_VALUE"""),0.11851786965662228)</f>
        <v>0.1185178697</v>
      </c>
      <c r="F4330" s="5">
        <f>IFERROR(__xludf.DUMMYFUNCTION("""COMPUTED_VALUE"""),0.2093990889978977)</f>
        <v>0.209399089</v>
      </c>
      <c r="G4330" s="5">
        <f>IFERROR(__xludf.DUMMYFUNCTION("""COMPUTED_VALUE"""),0.16157147862648913)</f>
        <v>0.1615714786</v>
      </c>
      <c r="H4330" s="5">
        <f>IFERROR(__xludf.DUMMYFUNCTION("""COMPUTED_VALUE"""),0.6069859861953566)</f>
        <v>0.6069859862</v>
      </c>
      <c r="I4330" s="11">
        <f>IFERROR(__xludf.DUMMYFUNCTION("""COMPUTED_VALUE"""),5655.051244509516)</f>
        <v>5655.051245</v>
      </c>
      <c r="J4330" s="10">
        <f>IFERROR(__xludf.DUMMYFUNCTION("""COMPUTED_VALUE"""),13.0)</f>
        <v>13</v>
      </c>
      <c r="K4330" s="5">
        <f>IFERROR(__xludf.DUMMYFUNCTION("""COMPUTED_VALUE"""),0.006066262249183388)</f>
        <v>0.006066262249</v>
      </c>
      <c r="L4330" s="10">
        <f>IFERROR(__xludf.DUMMYFUNCTION("""COMPUTED_VALUE"""),2143.0)</f>
        <v>2143</v>
      </c>
      <c r="M4330" s="5">
        <f>IFERROR(__xludf.DUMMYFUNCTION("""COMPUTED_VALUE"""),1.0)</f>
        <v>1</v>
      </c>
    </row>
    <row r="4331">
      <c r="A4331" s="10" t="str">
        <f>IFERROR(__xludf.DUMMYFUNCTION("""COMPUTED_VALUE"""),"(＾ν＾)")</f>
        <v>(＾ν＾)</v>
      </c>
      <c r="B4331" s="10">
        <f>IFERROR(__xludf.DUMMYFUNCTION("""COMPUTED_VALUE"""),326.0)</f>
        <v>326</v>
      </c>
      <c r="C4331" s="10">
        <f>IFERROR(__xludf.DUMMYFUNCTION("""COMPUTED_VALUE"""),3853.0)</f>
        <v>3853</v>
      </c>
      <c r="D4331" s="5">
        <f>IFERROR(__xludf.DUMMYFUNCTION("""COMPUTED_VALUE"""),0.31669974482563085)</f>
        <v>0.3166997448</v>
      </c>
      <c r="E4331" s="5">
        <f>IFERROR(__xludf.DUMMYFUNCTION("""COMPUTED_VALUE"""),0.11851431811738021)</f>
        <v>0.1185143181</v>
      </c>
      <c r="F4331" s="5">
        <f>IFERROR(__xludf.DUMMYFUNCTION("""COMPUTED_VALUE"""),0.20952650978168416)</f>
        <v>0.2095265098</v>
      </c>
      <c r="G4331" s="5">
        <f>IFERROR(__xludf.DUMMYFUNCTION("""COMPUTED_VALUE"""),0.16614686702580098)</f>
        <v>0.166146867</v>
      </c>
      <c r="H4331" s="5">
        <f>IFERROR(__xludf.DUMMYFUNCTION("""COMPUTED_VALUE"""),0.584573748308525)</f>
        <v>0.5845737483</v>
      </c>
      <c r="I4331" s="11">
        <f>IFERROR(__xludf.DUMMYFUNCTION("""COMPUTED_VALUE"""),5636.129905277402)</f>
        <v>5636.129905</v>
      </c>
      <c r="J4331" s="10">
        <f>IFERROR(__xludf.DUMMYFUNCTION("""COMPUTED_VALUE"""),0.0)</f>
        <v>0</v>
      </c>
      <c r="K4331" s="5">
        <f>IFERROR(__xludf.DUMMYFUNCTION("""COMPUTED_VALUE"""),0.0)</f>
        <v>0</v>
      </c>
      <c r="L4331" s="10">
        <f>IFERROR(__xludf.DUMMYFUNCTION("""COMPUTED_VALUE"""),326.0)</f>
        <v>326</v>
      </c>
      <c r="M4331" s="5">
        <f>IFERROR(__xludf.DUMMYFUNCTION("""COMPUTED_VALUE"""),1.0)</f>
        <v>1</v>
      </c>
    </row>
    <row r="4332">
      <c r="A4332" s="10" t="str">
        <f>IFERROR(__xludf.DUMMYFUNCTION("""COMPUTED_VALUE"""),"犬のポン")</f>
        <v>犬のポン</v>
      </c>
      <c r="B4332" s="10">
        <f>IFERROR(__xludf.DUMMYFUNCTION("""COMPUTED_VALUE"""),107.0)</f>
        <v>107</v>
      </c>
      <c r="C4332" s="10">
        <f>IFERROR(__xludf.DUMMYFUNCTION("""COMPUTED_VALUE"""),1263.0)</f>
        <v>1263</v>
      </c>
      <c r="D4332" s="5">
        <f>IFERROR(__xludf.DUMMYFUNCTION("""COMPUTED_VALUE"""),0.35726643598615915)</f>
        <v>0.357266436</v>
      </c>
      <c r="E4332" s="5">
        <f>IFERROR(__xludf.DUMMYFUNCTION("""COMPUTED_VALUE"""),0.1185121107266436)</f>
        <v>0.1185121107</v>
      </c>
      <c r="F4332" s="5">
        <f>IFERROR(__xludf.DUMMYFUNCTION("""COMPUTED_VALUE"""),0.19636678200692043)</f>
        <v>0.196366782</v>
      </c>
      <c r="G4332" s="5">
        <f>IFERROR(__xludf.DUMMYFUNCTION("""COMPUTED_VALUE"""),0.185121107266436)</f>
        <v>0.1851211073</v>
      </c>
      <c r="H4332" s="5">
        <f>IFERROR(__xludf.DUMMYFUNCTION("""COMPUTED_VALUE"""),0.6079295154185022)</f>
        <v>0.6079295154</v>
      </c>
      <c r="I4332" s="11">
        <f>IFERROR(__xludf.DUMMYFUNCTION("""COMPUTED_VALUE"""),5618.942731277533)</f>
        <v>5618.942731</v>
      </c>
      <c r="J4332" s="10">
        <f>IFERROR(__xludf.DUMMYFUNCTION("""COMPUTED_VALUE"""),1.0)</f>
        <v>1</v>
      </c>
      <c r="K4332" s="5">
        <f>IFERROR(__xludf.DUMMYFUNCTION("""COMPUTED_VALUE"""),0.009345794392523364)</f>
        <v>0.009345794393</v>
      </c>
      <c r="L4332" s="10">
        <f>IFERROR(__xludf.DUMMYFUNCTION("""COMPUTED_VALUE"""),107.0)</f>
        <v>107</v>
      </c>
      <c r="M4332" s="5">
        <f>IFERROR(__xludf.DUMMYFUNCTION("""COMPUTED_VALUE"""),1.0)</f>
        <v>1</v>
      </c>
    </row>
    <row r="4333">
      <c r="A4333" s="10" t="str">
        <f>IFERROR(__xludf.DUMMYFUNCTION("""COMPUTED_VALUE"""),"ベタオリスク")</f>
        <v>ベタオリスク</v>
      </c>
      <c r="B4333" s="10">
        <f>IFERROR(__xludf.DUMMYFUNCTION("""COMPUTED_VALUE"""),1887.0)</f>
        <v>1887</v>
      </c>
      <c r="C4333" s="10">
        <f>IFERROR(__xludf.DUMMYFUNCTION("""COMPUTED_VALUE"""),22417.0)</f>
        <v>22417</v>
      </c>
      <c r="D4333" s="5">
        <f>IFERROR(__xludf.DUMMYFUNCTION("""COMPUTED_VALUE"""),0.3762299074525085)</f>
        <v>0.3762299075</v>
      </c>
      <c r="E4333" s="5">
        <f>IFERROR(__xludf.DUMMYFUNCTION("""COMPUTED_VALUE"""),0.11850949829517779)</f>
        <v>0.1185094983</v>
      </c>
      <c r="F4333" s="5">
        <f>IFERROR(__xludf.DUMMYFUNCTION("""COMPUTED_VALUE"""),0.21237213833414514)</f>
        <v>0.2123721383</v>
      </c>
      <c r="G4333" s="5">
        <f>IFERROR(__xludf.DUMMYFUNCTION("""COMPUTED_VALUE"""),0.17272284461763274)</f>
        <v>0.1727228446</v>
      </c>
      <c r="H4333" s="5">
        <f>IFERROR(__xludf.DUMMYFUNCTION("""COMPUTED_VALUE"""),0.5892201834862385)</f>
        <v>0.5892201835</v>
      </c>
      <c r="I4333" s="11">
        <f>IFERROR(__xludf.DUMMYFUNCTION("""COMPUTED_VALUE"""),5379.701834862385)</f>
        <v>5379.701835</v>
      </c>
      <c r="J4333" s="10">
        <f>IFERROR(__xludf.DUMMYFUNCTION("""COMPUTED_VALUE"""),5.0)</f>
        <v>5</v>
      </c>
      <c r="K4333" s="5">
        <f>IFERROR(__xludf.DUMMYFUNCTION("""COMPUTED_VALUE"""),0.002649708532061473)</f>
        <v>0.002649708532</v>
      </c>
      <c r="L4333" s="10">
        <f>IFERROR(__xludf.DUMMYFUNCTION("""COMPUTED_VALUE"""),1887.0)</f>
        <v>1887</v>
      </c>
      <c r="M4333" s="5">
        <f>IFERROR(__xludf.DUMMYFUNCTION("""COMPUTED_VALUE"""),1.0)</f>
        <v>1</v>
      </c>
    </row>
    <row r="4334">
      <c r="A4334" s="10" t="str">
        <f>IFERROR(__xludf.DUMMYFUNCTION("""COMPUTED_VALUE"""),"みっつずつ")</f>
        <v>みっつずつ</v>
      </c>
      <c r="B4334" s="10">
        <f>IFERROR(__xludf.DUMMYFUNCTION("""COMPUTED_VALUE"""),1530.0)</f>
        <v>1530</v>
      </c>
      <c r="C4334" s="10">
        <f>IFERROR(__xludf.DUMMYFUNCTION("""COMPUTED_VALUE"""),17976.0)</f>
        <v>17976</v>
      </c>
      <c r="D4334" s="5">
        <f>IFERROR(__xludf.DUMMYFUNCTION("""COMPUTED_VALUE"""),0.3222060075398273)</f>
        <v>0.3222060075</v>
      </c>
      <c r="E4334" s="5">
        <f>IFERROR(__xludf.DUMMYFUNCTION("""COMPUTED_VALUE"""),0.11850905995378816)</f>
        <v>0.11850906</v>
      </c>
      <c r="F4334" s="5">
        <f>IFERROR(__xludf.DUMMYFUNCTION("""COMPUTED_VALUE"""),0.19737322145202482)</f>
        <v>0.1973732215</v>
      </c>
      <c r="G4334" s="5">
        <f>IFERROR(__xludf.DUMMYFUNCTION("""COMPUTED_VALUE"""),0.1583971786452633)</f>
        <v>0.1583971786</v>
      </c>
      <c r="H4334" s="5">
        <f>IFERROR(__xludf.DUMMYFUNCTION("""COMPUTED_VALUE"""),0.5945779420825632)</f>
        <v>0.5945779421</v>
      </c>
      <c r="I4334" s="11">
        <f>IFERROR(__xludf.DUMMYFUNCTION("""COMPUTED_VALUE"""),5790.26494146642)</f>
        <v>5790.264941</v>
      </c>
      <c r="J4334" s="10">
        <f>IFERROR(__xludf.DUMMYFUNCTION("""COMPUTED_VALUE"""),4.0)</f>
        <v>4</v>
      </c>
      <c r="K4334" s="5">
        <f>IFERROR(__xludf.DUMMYFUNCTION("""COMPUTED_VALUE"""),0.00261437908496732)</f>
        <v>0.002614379085</v>
      </c>
      <c r="L4334" s="10">
        <f>IFERROR(__xludf.DUMMYFUNCTION("""COMPUTED_VALUE"""),1530.0)</f>
        <v>1530</v>
      </c>
      <c r="M4334" s="5">
        <f>IFERROR(__xludf.DUMMYFUNCTION("""COMPUTED_VALUE"""),1.0)</f>
        <v>1</v>
      </c>
    </row>
    <row r="4335">
      <c r="A4335" s="10" t="str">
        <f>IFERROR(__xludf.DUMMYFUNCTION("""COMPUTED_VALUE"""),"十二人の兄者")</f>
        <v>十二人の兄者</v>
      </c>
      <c r="B4335" s="10">
        <f>IFERROR(__xludf.DUMMYFUNCTION("""COMPUTED_VALUE"""),115.0)</f>
        <v>115</v>
      </c>
      <c r="C4335" s="10">
        <f>IFERROR(__xludf.DUMMYFUNCTION("""COMPUTED_VALUE"""),1347.0)</f>
        <v>1347</v>
      </c>
      <c r="D4335" s="5">
        <f>IFERROR(__xludf.DUMMYFUNCTION("""COMPUTED_VALUE"""),0.3392857142857143)</f>
        <v>0.3392857143</v>
      </c>
      <c r="E4335" s="5">
        <f>IFERROR(__xludf.DUMMYFUNCTION("""COMPUTED_VALUE"""),0.1185064935064935)</f>
        <v>0.1185064935</v>
      </c>
      <c r="F4335" s="5">
        <f>IFERROR(__xludf.DUMMYFUNCTION("""COMPUTED_VALUE"""),0.2012987012987013)</f>
        <v>0.2012987013</v>
      </c>
      <c r="G4335" s="5">
        <f>IFERROR(__xludf.DUMMYFUNCTION("""COMPUTED_VALUE"""),0.1680194805194805)</f>
        <v>0.1680194805</v>
      </c>
      <c r="H4335" s="5">
        <f>IFERROR(__xludf.DUMMYFUNCTION("""COMPUTED_VALUE"""),0.6612903225806451)</f>
        <v>0.6612903226</v>
      </c>
      <c r="I4335" s="11">
        <f>IFERROR(__xludf.DUMMYFUNCTION("""COMPUTED_VALUE"""),5983.467741935484)</f>
        <v>5983.467742</v>
      </c>
      <c r="J4335" s="10">
        <f>IFERROR(__xludf.DUMMYFUNCTION("""COMPUTED_VALUE"""),0.0)</f>
        <v>0</v>
      </c>
      <c r="K4335" s="5">
        <f>IFERROR(__xludf.DUMMYFUNCTION("""COMPUTED_VALUE"""),0.0)</f>
        <v>0</v>
      </c>
      <c r="L4335" s="10">
        <f>IFERROR(__xludf.DUMMYFUNCTION("""COMPUTED_VALUE"""),115.0)</f>
        <v>115</v>
      </c>
      <c r="M4335" s="5">
        <f>IFERROR(__xludf.DUMMYFUNCTION("""COMPUTED_VALUE"""),1.0)</f>
        <v>1</v>
      </c>
    </row>
    <row r="4336">
      <c r="A4336" s="10" t="str">
        <f>IFERROR(__xludf.DUMMYFUNCTION("""COMPUTED_VALUE"""),"龍門渕透花")</f>
        <v>龍門渕透花</v>
      </c>
      <c r="B4336" s="10">
        <f>IFERROR(__xludf.DUMMYFUNCTION("""COMPUTED_VALUE"""),2251.0)</f>
        <v>2251</v>
      </c>
      <c r="C4336" s="10">
        <f>IFERROR(__xludf.DUMMYFUNCTION("""COMPUTED_VALUE"""),26495.0)</f>
        <v>26495</v>
      </c>
      <c r="D4336" s="5">
        <f>IFERROR(__xludf.DUMMYFUNCTION("""COMPUTED_VALUE"""),0.39469559478633887)</f>
        <v>0.3946955948</v>
      </c>
      <c r="E4336" s="5">
        <f>IFERROR(__xludf.DUMMYFUNCTION("""COMPUTED_VALUE"""),0.11850354726942748)</f>
        <v>0.1185035473</v>
      </c>
      <c r="F4336" s="5">
        <f>IFERROR(__xludf.DUMMYFUNCTION("""COMPUTED_VALUE"""),0.22706649067810591)</f>
        <v>0.2270664907</v>
      </c>
      <c r="G4336" s="5">
        <f>IFERROR(__xludf.DUMMYFUNCTION("""COMPUTED_VALUE"""),0.17682725622834516)</f>
        <v>0.1768272562</v>
      </c>
      <c r="H4336" s="5">
        <f>IFERROR(__xludf.DUMMYFUNCTION("""COMPUTED_VALUE"""),0.6087193460490463)</f>
        <v>0.608719346</v>
      </c>
      <c r="I4336" s="11">
        <f>IFERROR(__xludf.DUMMYFUNCTION("""COMPUTED_VALUE"""),5145.758401453224)</f>
        <v>5145.758401</v>
      </c>
      <c r="J4336" s="10">
        <f>IFERROR(__xludf.DUMMYFUNCTION("""COMPUTED_VALUE"""),2.0)</f>
        <v>2</v>
      </c>
      <c r="K4336" s="5">
        <f>IFERROR(__xludf.DUMMYFUNCTION("""COMPUTED_VALUE"""),8.88494002665482E-4)</f>
        <v>0.0008884940027</v>
      </c>
      <c r="L4336" s="10">
        <f>IFERROR(__xludf.DUMMYFUNCTION("""COMPUTED_VALUE"""),2251.0)</f>
        <v>2251</v>
      </c>
      <c r="M4336" s="5">
        <f>IFERROR(__xludf.DUMMYFUNCTION("""COMPUTED_VALUE"""),1.0)</f>
        <v>1</v>
      </c>
    </row>
    <row r="4337">
      <c r="A4337" s="10" t="str">
        <f>IFERROR(__xludf.DUMMYFUNCTION("""COMPUTED_VALUE"""),"tanaKa芋子")</f>
        <v>tanaKa芋子</v>
      </c>
      <c r="B4337" s="10">
        <f>IFERROR(__xludf.DUMMYFUNCTION("""COMPUTED_VALUE"""),638.0)</f>
        <v>638</v>
      </c>
      <c r="C4337" s="10">
        <f>IFERROR(__xludf.DUMMYFUNCTION("""COMPUTED_VALUE"""),7558.0)</f>
        <v>7558</v>
      </c>
      <c r="D4337" s="5">
        <f>IFERROR(__xludf.DUMMYFUNCTION("""COMPUTED_VALUE"""),0.3796242774566474)</f>
        <v>0.3796242775</v>
      </c>
      <c r="E4337" s="5">
        <f>IFERROR(__xludf.DUMMYFUNCTION("""COMPUTED_VALUE"""),0.11849710982658959)</f>
        <v>0.1184971098</v>
      </c>
      <c r="F4337" s="5">
        <f>IFERROR(__xludf.DUMMYFUNCTION("""COMPUTED_VALUE"""),0.20910404624277457)</f>
        <v>0.2091040462</v>
      </c>
      <c r="G4337" s="5">
        <f>IFERROR(__xludf.DUMMYFUNCTION("""COMPUTED_VALUE"""),0.13684971098265897)</f>
        <v>0.136849711</v>
      </c>
      <c r="H4337" s="5">
        <f>IFERROR(__xludf.DUMMYFUNCTION("""COMPUTED_VALUE"""),0.5922598479612993)</f>
        <v>0.592259848</v>
      </c>
      <c r="I4337" s="11">
        <f>IFERROR(__xludf.DUMMYFUNCTION("""COMPUTED_VALUE"""),5215.549412577747)</f>
        <v>5215.549413</v>
      </c>
      <c r="J4337" s="10">
        <f>IFERROR(__xludf.DUMMYFUNCTION("""COMPUTED_VALUE"""),2.0)</f>
        <v>2</v>
      </c>
      <c r="K4337" s="5">
        <f>IFERROR(__xludf.DUMMYFUNCTION("""COMPUTED_VALUE"""),0.003134796238244514)</f>
        <v>0.003134796238</v>
      </c>
      <c r="L4337" s="10">
        <f>IFERROR(__xludf.DUMMYFUNCTION("""COMPUTED_VALUE"""),0.0)</f>
        <v>0</v>
      </c>
      <c r="M4337" s="5">
        <f>IFERROR(__xludf.DUMMYFUNCTION("""COMPUTED_VALUE"""),0.0)</f>
        <v>0</v>
      </c>
    </row>
    <row r="4338">
      <c r="A4338" s="10" t="str">
        <f>IFERROR(__xludf.DUMMYFUNCTION("""COMPUTED_VALUE"""),"バッキー")</f>
        <v>バッキー</v>
      </c>
      <c r="B4338" s="10">
        <f>IFERROR(__xludf.DUMMYFUNCTION("""COMPUTED_VALUE"""),342.0)</f>
        <v>342</v>
      </c>
      <c r="C4338" s="10">
        <f>IFERROR(__xludf.DUMMYFUNCTION("""COMPUTED_VALUE"""),4030.0)</f>
        <v>4030</v>
      </c>
      <c r="D4338" s="5">
        <f>IFERROR(__xludf.DUMMYFUNCTION("""COMPUTED_VALUE"""),0.32049891540130154)</f>
        <v>0.3204989154</v>
      </c>
      <c r="E4338" s="5">
        <f>IFERROR(__xludf.DUMMYFUNCTION("""COMPUTED_VALUE"""),0.11849240780911063)</f>
        <v>0.1184924078</v>
      </c>
      <c r="F4338" s="5">
        <f>IFERROR(__xludf.DUMMYFUNCTION("""COMPUTED_VALUE"""),0.20309110629067245)</f>
        <v>0.2030911063</v>
      </c>
      <c r="G4338" s="5">
        <f>IFERROR(__xludf.DUMMYFUNCTION("""COMPUTED_VALUE"""),0.17678958785249457)</f>
        <v>0.1767895879</v>
      </c>
      <c r="H4338" s="5">
        <f>IFERROR(__xludf.DUMMYFUNCTION("""COMPUTED_VALUE"""),0.5834445927903872)</f>
        <v>0.5834445928</v>
      </c>
      <c r="I4338" s="11">
        <f>IFERROR(__xludf.DUMMYFUNCTION("""COMPUTED_VALUE"""),5555.941255006675)</f>
        <v>5555.941255</v>
      </c>
      <c r="J4338" s="10">
        <f>IFERROR(__xludf.DUMMYFUNCTION("""COMPUTED_VALUE"""),0.0)</f>
        <v>0</v>
      </c>
      <c r="K4338" s="5">
        <f>IFERROR(__xludf.DUMMYFUNCTION("""COMPUTED_VALUE"""),0.0)</f>
        <v>0</v>
      </c>
      <c r="L4338" s="10">
        <f>IFERROR(__xludf.DUMMYFUNCTION("""COMPUTED_VALUE"""),256.0)</f>
        <v>256</v>
      </c>
      <c r="M4338" s="5">
        <f>IFERROR(__xludf.DUMMYFUNCTION("""COMPUTED_VALUE"""),0.7485380116959064)</f>
        <v>0.7485380117</v>
      </c>
    </row>
    <row r="4339">
      <c r="A4339" s="10" t="str">
        <f>IFERROR(__xludf.DUMMYFUNCTION("""COMPUTED_VALUE"""),"花桜里")</f>
        <v>花桜里</v>
      </c>
      <c r="B4339" s="10">
        <f>IFERROR(__xludf.DUMMYFUNCTION("""COMPUTED_VALUE"""),4353.0)</f>
        <v>4353</v>
      </c>
      <c r="C4339" s="10">
        <f>IFERROR(__xludf.DUMMYFUNCTION("""COMPUTED_VALUE"""),50746.0)</f>
        <v>50746</v>
      </c>
      <c r="D4339" s="5">
        <f>IFERROR(__xludf.DUMMYFUNCTION("""COMPUTED_VALUE"""),0.24738645916409804)</f>
        <v>0.2473864592</v>
      </c>
      <c r="E4339" s="5">
        <f>IFERROR(__xludf.DUMMYFUNCTION("""COMPUTED_VALUE"""),0.11848770288621129)</f>
        <v>0.1184877029</v>
      </c>
      <c r="F4339" s="5">
        <f>IFERROR(__xludf.DUMMYFUNCTION("""COMPUTED_VALUE"""),0.20005173194231887)</f>
        <v>0.2000517319</v>
      </c>
      <c r="G4339" s="5">
        <f>IFERROR(__xludf.DUMMYFUNCTION("""COMPUTED_VALUE"""),0.16362382255943786)</f>
        <v>0.1636238226</v>
      </c>
      <c r="H4339" s="5">
        <f>IFERROR(__xludf.DUMMYFUNCTION("""COMPUTED_VALUE"""),0.598857881693783)</f>
        <v>0.5988578817</v>
      </c>
      <c r="I4339" s="11">
        <f>IFERROR(__xludf.DUMMYFUNCTION("""COMPUTED_VALUE"""),6121.937291240168)</f>
        <v>6121.937291</v>
      </c>
      <c r="J4339" s="10">
        <f>IFERROR(__xludf.DUMMYFUNCTION("""COMPUTED_VALUE"""),14.0)</f>
        <v>14</v>
      </c>
      <c r="K4339" s="5">
        <f>IFERROR(__xludf.DUMMYFUNCTION("""COMPUTED_VALUE"""),0.0032161727544222376)</f>
        <v>0.003216172754</v>
      </c>
      <c r="L4339" s="10">
        <f>IFERROR(__xludf.DUMMYFUNCTION("""COMPUTED_VALUE"""),4353.0)</f>
        <v>4353</v>
      </c>
      <c r="M4339" s="5">
        <f>IFERROR(__xludf.DUMMYFUNCTION("""COMPUTED_VALUE"""),1.0)</f>
        <v>1</v>
      </c>
    </row>
    <row r="4340">
      <c r="A4340" s="10" t="str">
        <f>IFERROR(__xludf.DUMMYFUNCTION("""COMPUTED_VALUE"""),"明鏡止水")</f>
        <v>明鏡止水</v>
      </c>
      <c r="B4340" s="10">
        <f>IFERROR(__xludf.DUMMYFUNCTION("""COMPUTED_VALUE"""),136.0)</f>
        <v>136</v>
      </c>
      <c r="C4340" s="10">
        <f>IFERROR(__xludf.DUMMYFUNCTION("""COMPUTED_VALUE"""),1537.0)</f>
        <v>1537</v>
      </c>
      <c r="D4340" s="5">
        <f>IFERROR(__xludf.DUMMYFUNCTION("""COMPUTED_VALUE"""),0.2533904354032834)</f>
        <v>0.2533904354</v>
      </c>
      <c r="E4340" s="5">
        <f>IFERROR(__xludf.DUMMYFUNCTION("""COMPUTED_VALUE"""),0.11848679514632406)</f>
        <v>0.1184867951</v>
      </c>
      <c r="F4340" s="5">
        <f>IFERROR(__xludf.DUMMYFUNCTION("""COMPUTED_VALUE"""),0.2091363311920057)</f>
        <v>0.2091363312</v>
      </c>
      <c r="G4340" s="5">
        <f>IFERROR(__xludf.DUMMYFUNCTION("""COMPUTED_VALUE"""),0.18201284796573874)</f>
        <v>0.182012848</v>
      </c>
      <c r="H4340" s="5">
        <f>IFERROR(__xludf.DUMMYFUNCTION("""COMPUTED_VALUE"""),0.6552901023890785)</f>
        <v>0.6552901024</v>
      </c>
      <c r="I4340" s="11">
        <f>IFERROR(__xludf.DUMMYFUNCTION("""COMPUTED_VALUE"""),5894.539249146757)</f>
        <v>5894.539249</v>
      </c>
      <c r="J4340" s="10">
        <f>IFERROR(__xludf.DUMMYFUNCTION("""COMPUTED_VALUE"""),0.0)</f>
        <v>0</v>
      </c>
      <c r="K4340" s="5">
        <f>IFERROR(__xludf.DUMMYFUNCTION("""COMPUTED_VALUE"""),0.0)</f>
        <v>0</v>
      </c>
      <c r="L4340" s="10">
        <f>IFERROR(__xludf.DUMMYFUNCTION("""COMPUTED_VALUE"""),136.0)</f>
        <v>136</v>
      </c>
      <c r="M4340" s="5">
        <f>IFERROR(__xludf.DUMMYFUNCTION("""COMPUTED_VALUE"""),1.0)</f>
        <v>1</v>
      </c>
    </row>
    <row r="4341">
      <c r="A4341" s="10" t="str">
        <f>IFERROR(__xludf.DUMMYFUNCTION("""COMPUTED_VALUE"""),"しみs")</f>
        <v>しみs</v>
      </c>
      <c r="B4341" s="10">
        <f>IFERROR(__xludf.DUMMYFUNCTION("""COMPUTED_VALUE"""),3479.0)</f>
        <v>3479</v>
      </c>
      <c r="C4341" s="10">
        <f>IFERROR(__xludf.DUMMYFUNCTION("""COMPUTED_VALUE"""),40540.0)</f>
        <v>40540</v>
      </c>
      <c r="D4341" s="5">
        <f>IFERROR(__xludf.DUMMYFUNCTION("""COMPUTED_VALUE"""),0.3374976390275492)</f>
        <v>0.337497639</v>
      </c>
      <c r="E4341" s="5">
        <f>IFERROR(__xludf.DUMMYFUNCTION("""COMPUTED_VALUE"""),0.11848034321793799)</f>
        <v>0.1184803432</v>
      </c>
      <c r="F4341" s="5">
        <f>IFERROR(__xludf.DUMMYFUNCTION("""COMPUTED_VALUE"""),0.2180998893715766)</f>
        <v>0.2180998894</v>
      </c>
      <c r="G4341" s="5">
        <f>IFERROR(__xludf.DUMMYFUNCTION("""COMPUTED_VALUE"""),0.17287714848493024)</f>
        <v>0.1728771485</v>
      </c>
      <c r="H4341" s="5">
        <f>IFERROR(__xludf.DUMMYFUNCTION("""COMPUTED_VALUE"""),0.6006433254979586)</f>
        <v>0.6006433255</v>
      </c>
      <c r="I4341" s="11">
        <f>IFERROR(__xludf.DUMMYFUNCTION("""COMPUTED_VALUE"""),5583.830261041692)</f>
        <v>5583.830261</v>
      </c>
      <c r="J4341" s="10">
        <f>IFERROR(__xludf.DUMMYFUNCTION("""COMPUTED_VALUE"""),9.0)</f>
        <v>9</v>
      </c>
      <c r="K4341" s="5">
        <f>IFERROR(__xludf.DUMMYFUNCTION("""COMPUTED_VALUE"""),0.0025869502730669733)</f>
        <v>0.002586950273</v>
      </c>
      <c r="L4341" s="10">
        <f>IFERROR(__xludf.DUMMYFUNCTION("""COMPUTED_VALUE"""),3479.0)</f>
        <v>3479</v>
      </c>
      <c r="M4341" s="5">
        <f>IFERROR(__xludf.DUMMYFUNCTION("""COMPUTED_VALUE"""),1.0)</f>
        <v>1</v>
      </c>
    </row>
    <row r="4342">
      <c r="A4342" s="10" t="str">
        <f>IFERROR(__xludf.DUMMYFUNCTION("""COMPUTED_VALUE"""),"パシリ＠川村軍団")</f>
        <v>パシリ＠川村軍団</v>
      </c>
      <c r="B4342" s="10">
        <f>IFERROR(__xludf.DUMMYFUNCTION("""COMPUTED_VALUE"""),486.0)</f>
        <v>486</v>
      </c>
      <c r="C4342" s="10">
        <f>IFERROR(__xludf.DUMMYFUNCTION("""COMPUTED_VALUE"""),5753.0)</f>
        <v>5753</v>
      </c>
      <c r="D4342" s="5">
        <f>IFERROR(__xludf.DUMMYFUNCTION("""COMPUTED_VALUE"""),0.3550408202012531)</f>
        <v>0.3550408202</v>
      </c>
      <c r="E4342" s="5">
        <f>IFERROR(__xludf.DUMMYFUNCTION("""COMPUTED_VALUE"""),0.11847351433453579)</f>
        <v>0.1184735143</v>
      </c>
      <c r="F4342" s="5">
        <f>IFERROR(__xludf.DUMMYFUNCTION("""COMPUTED_VALUE"""),0.199734194038352)</f>
        <v>0.199734194</v>
      </c>
      <c r="G4342" s="5">
        <f>IFERROR(__xludf.DUMMYFUNCTION("""COMPUTED_VALUE"""),0.14961078412758685)</f>
        <v>0.1496107841</v>
      </c>
      <c r="H4342" s="5">
        <f>IFERROR(__xludf.DUMMYFUNCTION("""COMPUTED_VALUE"""),0.5807984790874525)</f>
        <v>0.5807984791</v>
      </c>
      <c r="I4342" s="11">
        <f>IFERROR(__xludf.DUMMYFUNCTION("""COMPUTED_VALUE"""),5475.570342205323)</f>
        <v>5475.570342</v>
      </c>
      <c r="J4342" s="10">
        <f>IFERROR(__xludf.DUMMYFUNCTION("""COMPUTED_VALUE"""),0.0)</f>
        <v>0</v>
      </c>
      <c r="K4342" s="5">
        <f>IFERROR(__xludf.DUMMYFUNCTION("""COMPUTED_VALUE"""),0.0)</f>
        <v>0</v>
      </c>
      <c r="L4342" s="10">
        <f>IFERROR(__xludf.DUMMYFUNCTION("""COMPUTED_VALUE"""),486.0)</f>
        <v>486</v>
      </c>
      <c r="M4342" s="5">
        <f>IFERROR(__xludf.DUMMYFUNCTION("""COMPUTED_VALUE"""),1.0)</f>
        <v>1</v>
      </c>
    </row>
    <row r="4343">
      <c r="A4343" s="10" t="str">
        <f>IFERROR(__xludf.DUMMYFUNCTION("""COMPUTED_VALUE"""),"地蔵ラス推進委員")</f>
        <v>地蔵ラス推進委員</v>
      </c>
      <c r="B4343" s="10">
        <f>IFERROR(__xludf.DUMMYFUNCTION("""COMPUTED_VALUE"""),152.0)</f>
        <v>152</v>
      </c>
      <c r="C4343" s="10">
        <f>IFERROR(__xludf.DUMMYFUNCTION("""COMPUTED_VALUE"""),1798.0)</f>
        <v>1798</v>
      </c>
      <c r="D4343" s="5">
        <f>IFERROR(__xludf.DUMMYFUNCTION("""COMPUTED_VALUE"""),0.3140947752126367)</f>
        <v>0.3140947752</v>
      </c>
      <c r="E4343" s="5">
        <f>IFERROR(__xludf.DUMMYFUNCTION("""COMPUTED_VALUE"""),0.11846901579586877)</f>
        <v>0.1184690158</v>
      </c>
      <c r="F4343" s="5">
        <f>IFERROR(__xludf.DUMMYFUNCTION("""COMPUTED_VALUE"""),0.21567436208991494)</f>
        <v>0.2156743621</v>
      </c>
      <c r="G4343" s="5">
        <f>IFERROR(__xludf.DUMMYFUNCTION("""COMPUTED_VALUE"""),0.17800729040097205)</f>
        <v>0.1780072904</v>
      </c>
      <c r="H4343" s="5">
        <f>IFERROR(__xludf.DUMMYFUNCTION("""COMPUTED_VALUE"""),0.5943661971830986)</f>
        <v>0.5943661972</v>
      </c>
      <c r="I4343" s="11">
        <f>IFERROR(__xludf.DUMMYFUNCTION("""COMPUTED_VALUE"""),5572.112676056338)</f>
        <v>5572.112676</v>
      </c>
      <c r="J4343" s="10">
        <f>IFERROR(__xludf.DUMMYFUNCTION("""COMPUTED_VALUE"""),0.0)</f>
        <v>0</v>
      </c>
      <c r="K4343" s="5">
        <f>IFERROR(__xludf.DUMMYFUNCTION("""COMPUTED_VALUE"""),0.0)</f>
        <v>0</v>
      </c>
      <c r="L4343" s="10">
        <f>IFERROR(__xludf.DUMMYFUNCTION("""COMPUTED_VALUE"""),152.0)</f>
        <v>152</v>
      </c>
      <c r="M4343" s="5">
        <f>IFERROR(__xludf.DUMMYFUNCTION("""COMPUTED_VALUE"""),1.0)</f>
        <v>1</v>
      </c>
    </row>
    <row r="4344">
      <c r="A4344" s="10" t="str">
        <f>IFERROR(__xludf.DUMMYFUNCTION("""COMPUTED_VALUE"""),"至極の面前手役派")</f>
        <v>至極の面前手役派</v>
      </c>
      <c r="B4344" s="10">
        <f>IFERROR(__xludf.DUMMYFUNCTION("""COMPUTED_VALUE"""),2386.0)</f>
        <v>2386</v>
      </c>
      <c r="C4344" s="10">
        <f>IFERROR(__xludf.DUMMYFUNCTION("""COMPUTED_VALUE"""),27754.0)</f>
        <v>27754</v>
      </c>
      <c r="D4344" s="5">
        <f>IFERROR(__xludf.DUMMYFUNCTION("""COMPUTED_VALUE"""),0.3304556922106591)</f>
        <v>0.3304556922</v>
      </c>
      <c r="E4344" s="5">
        <f>IFERROR(__xludf.DUMMYFUNCTION("""COMPUTED_VALUE"""),0.1184563229265216)</f>
        <v>0.1184563229</v>
      </c>
      <c r="F4344" s="5">
        <f>IFERROR(__xludf.DUMMYFUNCTION("""COMPUTED_VALUE"""),0.21452223273415327)</f>
        <v>0.2145222327</v>
      </c>
      <c r="G4344" s="5">
        <f>IFERROR(__xludf.DUMMYFUNCTION("""COMPUTED_VALUE"""),0.1805029959003469)</f>
        <v>0.1805029959</v>
      </c>
      <c r="H4344" s="5">
        <f>IFERROR(__xludf.DUMMYFUNCTION("""COMPUTED_VALUE"""),0.5922454979786843)</f>
        <v>0.592245498</v>
      </c>
      <c r="I4344" s="11">
        <f>IFERROR(__xludf.DUMMYFUNCTION("""COMPUTED_VALUE"""),5753.050349136347)</f>
        <v>5753.050349</v>
      </c>
      <c r="J4344" s="10">
        <f>IFERROR(__xludf.DUMMYFUNCTION("""COMPUTED_VALUE"""),2.0)</f>
        <v>2</v>
      </c>
      <c r="K4344" s="5">
        <f>IFERROR(__xludf.DUMMYFUNCTION("""COMPUTED_VALUE"""),8.382229673093043E-4)</f>
        <v>0.0008382229673</v>
      </c>
      <c r="L4344" s="10">
        <f>IFERROR(__xludf.DUMMYFUNCTION("""COMPUTED_VALUE"""),951.0)</f>
        <v>951</v>
      </c>
      <c r="M4344" s="5">
        <f>IFERROR(__xludf.DUMMYFUNCTION("""COMPUTED_VALUE"""),0.3985750209555742)</f>
        <v>0.398575021</v>
      </c>
    </row>
    <row r="4345">
      <c r="A4345" s="10" t="str">
        <f>IFERROR(__xludf.DUMMYFUNCTION("""COMPUTED_VALUE"""),"西風連打")</f>
        <v>西風連打</v>
      </c>
      <c r="B4345" s="10">
        <f>IFERROR(__xludf.DUMMYFUNCTION("""COMPUTED_VALUE"""),749.0)</f>
        <v>749</v>
      </c>
      <c r="C4345" s="10">
        <f>IFERROR(__xludf.DUMMYFUNCTION("""COMPUTED_VALUE"""),8828.0)</f>
        <v>8828</v>
      </c>
      <c r="D4345" s="5">
        <f>IFERROR(__xludf.DUMMYFUNCTION("""COMPUTED_VALUE"""),0.33382844411437057)</f>
        <v>0.3338284441</v>
      </c>
      <c r="E4345" s="5">
        <f>IFERROR(__xludf.DUMMYFUNCTION("""COMPUTED_VALUE"""),0.11845525436316376)</f>
        <v>0.1184552544</v>
      </c>
      <c r="F4345" s="5">
        <f>IFERROR(__xludf.DUMMYFUNCTION("""COMPUTED_VALUE"""),0.20708008416883278)</f>
        <v>0.2070800842</v>
      </c>
      <c r="G4345" s="5">
        <f>IFERROR(__xludf.DUMMYFUNCTION("""COMPUTED_VALUE"""),0.18442876593637827)</f>
        <v>0.1844287659</v>
      </c>
      <c r="H4345" s="5">
        <f>IFERROR(__xludf.DUMMYFUNCTION("""COMPUTED_VALUE"""),0.5833831440526002)</f>
        <v>0.5833831441</v>
      </c>
      <c r="I4345" s="11">
        <f>IFERROR(__xludf.DUMMYFUNCTION("""COMPUTED_VALUE"""),5501.613867304244)</f>
        <v>5501.613867</v>
      </c>
      <c r="J4345" s="10">
        <f>IFERROR(__xludf.DUMMYFUNCTION("""COMPUTED_VALUE"""),1.0)</f>
        <v>1</v>
      </c>
      <c r="K4345" s="5">
        <f>IFERROR(__xludf.DUMMYFUNCTION("""COMPUTED_VALUE"""),0.0013351134846461949)</f>
        <v>0.001335113485</v>
      </c>
      <c r="L4345" s="10">
        <f>IFERROR(__xludf.DUMMYFUNCTION("""COMPUTED_VALUE"""),745.0)</f>
        <v>745</v>
      </c>
      <c r="M4345" s="5">
        <f>IFERROR(__xludf.DUMMYFUNCTION("""COMPUTED_VALUE"""),0.9946595460614153)</f>
        <v>0.9946595461</v>
      </c>
    </row>
    <row r="4346">
      <c r="A4346" s="10" t="str">
        <f>IFERROR(__xludf.DUMMYFUNCTION("""COMPUTED_VALUE"""),"シロブチノワール")</f>
        <v>シロブチノワール</v>
      </c>
      <c r="B4346" s="10">
        <f>IFERROR(__xludf.DUMMYFUNCTION("""COMPUTED_VALUE"""),369.0)</f>
        <v>369</v>
      </c>
      <c r="C4346" s="10">
        <f>IFERROR(__xludf.DUMMYFUNCTION("""COMPUTED_VALUE"""),4320.0)</f>
        <v>4320</v>
      </c>
      <c r="D4346" s="5">
        <f>IFERROR(__xludf.DUMMYFUNCTION("""COMPUTED_VALUE"""),0.3553530751708428)</f>
        <v>0.3553530752</v>
      </c>
      <c r="E4346" s="5">
        <f>IFERROR(__xludf.DUMMYFUNCTION("""COMPUTED_VALUE"""),0.11845102505694761)</f>
        <v>0.1184510251</v>
      </c>
      <c r="F4346" s="5">
        <f>IFERROR(__xludf.DUMMYFUNCTION("""COMPUTED_VALUE"""),0.21893191597064035)</f>
        <v>0.218931916</v>
      </c>
      <c r="G4346" s="5">
        <f>IFERROR(__xludf.DUMMYFUNCTION("""COMPUTED_VALUE"""),0.17337382941027588)</f>
        <v>0.1733738294</v>
      </c>
      <c r="H4346" s="5">
        <f>IFERROR(__xludf.DUMMYFUNCTION("""COMPUTED_VALUE"""),0.5907514450867052)</f>
        <v>0.5907514451</v>
      </c>
      <c r="I4346" s="11">
        <f>IFERROR(__xludf.DUMMYFUNCTION("""COMPUTED_VALUE"""),5866.820809248555)</f>
        <v>5866.820809</v>
      </c>
      <c r="J4346" s="10">
        <f>IFERROR(__xludf.DUMMYFUNCTION("""COMPUTED_VALUE"""),1.0)</f>
        <v>1</v>
      </c>
      <c r="K4346" s="5">
        <f>IFERROR(__xludf.DUMMYFUNCTION("""COMPUTED_VALUE"""),0.0027100271002710027)</f>
        <v>0.0027100271</v>
      </c>
      <c r="L4346" s="10">
        <f>IFERROR(__xludf.DUMMYFUNCTION("""COMPUTED_VALUE"""),369.0)</f>
        <v>369</v>
      </c>
      <c r="M4346" s="5">
        <f>IFERROR(__xludf.DUMMYFUNCTION("""COMPUTED_VALUE"""),1.0)</f>
        <v>1</v>
      </c>
    </row>
    <row r="4347">
      <c r="A4347" s="10" t="str">
        <f>IFERROR(__xludf.DUMMYFUNCTION("""COMPUTED_VALUE"""),"ぐら☆タン")</f>
        <v>ぐら☆タン</v>
      </c>
      <c r="B4347" s="10">
        <f>IFERROR(__xludf.DUMMYFUNCTION("""COMPUTED_VALUE"""),218.0)</f>
        <v>218</v>
      </c>
      <c r="C4347" s="10">
        <f>IFERROR(__xludf.DUMMYFUNCTION("""COMPUTED_VALUE"""),2565.0)</f>
        <v>2565</v>
      </c>
      <c r="D4347" s="5">
        <f>IFERROR(__xludf.DUMMYFUNCTION("""COMPUTED_VALUE"""),0.2735406902428632)</f>
        <v>0.2735406902</v>
      </c>
      <c r="E4347" s="5">
        <f>IFERROR(__xludf.DUMMYFUNCTION("""COMPUTED_VALUE"""),0.11844908393694077)</f>
        <v>0.1184490839</v>
      </c>
      <c r="F4347" s="5">
        <f>IFERROR(__xludf.DUMMYFUNCTION("""COMPUTED_VALUE"""),0.21474222411589264)</f>
        <v>0.2147422241</v>
      </c>
      <c r="G4347" s="5">
        <f>IFERROR(__xludf.DUMMYFUNCTION("""COMPUTED_VALUE"""),0.18236046016190882)</f>
        <v>0.1823604602</v>
      </c>
      <c r="H4347" s="5">
        <f>IFERROR(__xludf.DUMMYFUNCTION("""COMPUTED_VALUE"""),0.6111111111111112)</f>
        <v>0.6111111111</v>
      </c>
      <c r="I4347" s="11">
        <f>IFERROR(__xludf.DUMMYFUNCTION("""COMPUTED_VALUE"""),5485.714285714285)</f>
        <v>5485.714286</v>
      </c>
      <c r="J4347" s="10">
        <f>IFERROR(__xludf.DUMMYFUNCTION("""COMPUTED_VALUE"""),0.0)</f>
        <v>0</v>
      </c>
      <c r="K4347" s="5">
        <f>IFERROR(__xludf.DUMMYFUNCTION("""COMPUTED_VALUE"""),0.0)</f>
        <v>0</v>
      </c>
      <c r="L4347" s="10">
        <f>IFERROR(__xludf.DUMMYFUNCTION("""COMPUTED_VALUE"""),0.0)</f>
        <v>0</v>
      </c>
      <c r="M4347" s="5">
        <f>IFERROR(__xludf.DUMMYFUNCTION("""COMPUTED_VALUE"""),0.0)</f>
        <v>0</v>
      </c>
    </row>
    <row r="4348">
      <c r="A4348" s="10" t="str">
        <f>IFERROR(__xludf.DUMMYFUNCTION("""COMPUTED_VALUE"""),"HOMO女")</f>
        <v>HOMO女</v>
      </c>
      <c r="B4348" s="10">
        <f>IFERROR(__xludf.DUMMYFUNCTION("""COMPUTED_VALUE"""),1214.0)</f>
        <v>1214</v>
      </c>
      <c r="C4348" s="10">
        <f>IFERROR(__xludf.DUMMYFUNCTION("""COMPUTED_VALUE"""),14207.0)</f>
        <v>14207</v>
      </c>
      <c r="D4348" s="5">
        <f>IFERROR(__xludf.DUMMYFUNCTION("""COMPUTED_VALUE"""),0.3166320326329562)</f>
        <v>0.3166320326</v>
      </c>
      <c r="E4348" s="5">
        <f>IFERROR(__xludf.DUMMYFUNCTION("""COMPUTED_VALUE"""),0.11844839528977141)</f>
        <v>0.1184483953</v>
      </c>
      <c r="F4348" s="5">
        <f>IFERROR(__xludf.DUMMYFUNCTION("""COMPUTED_VALUE"""),0.20218579234972678)</f>
        <v>0.2021857923</v>
      </c>
      <c r="G4348" s="5">
        <f>IFERROR(__xludf.DUMMYFUNCTION("""COMPUTED_VALUE"""),0.18717771107519435)</f>
        <v>0.1871777111</v>
      </c>
      <c r="H4348" s="5">
        <f>IFERROR(__xludf.DUMMYFUNCTION("""COMPUTED_VALUE"""),0.5869813475447279)</f>
        <v>0.5869813475</v>
      </c>
      <c r="I4348" s="11">
        <f>IFERROR(__xludf.DUMMYFUNCTION("""COMPUTED_VALUE"""),6103.464027407689)</f>
        <v>6103.464027</v>
      </c>
      <c r="J4348" s="10">
        <f>IFERROR(__xludf.DUMMYFUNCTION("""COMPUTED_VALUE"""),3.0)</f>
        <v>3</v>
      </c>
      <c r="K4348" s="5">
        <f>IFERROR(__xludf.DUMMYFUNCTION("""COMPUTED_VALUE"""),0.002471169686985173)</f>
        <v>0.002471169687</v>
      </c>
      <c r="L4348" s="10">
        <f>IFERROR(__xludf.DUMMYFUNCTION("""COMPUTED_VALUE"""),1214.0)</f>
        <v>1214</v>
      </c>
      <c r="M4348" s="5">
        <f>IFERROR(__xludf.DUMMYFUNCTION("""COMPUTED_VALUE"""),1.0)</f>
        <v>1</v>
      </c>
    </row>
    <row r="4349">
      <c r="A4349" s="10" t="str">
        <f>IFERROR(__xludf.DUMMYFUNCTION("""COMPUTED_VALUE"""),"フサウミコップ")</f>
        <v>フサウミコップ</v>
      </c>
      <c r="B4349" s="10">
        <f>IFERROR(__xludf.DUMMYFUNCTION("""COMPUTED_VALUE"""),1680.0)</f>
        <v>1680</v>
      </c>
      <c r="C4349" s="10">
        <f>IFERROR(__xludf.DUMMYFUNCTION("""COMPUTED_VALUE"""),19562.0)</f>
        <v>19562</v>
      </c>
      <c r="D4349" s="5">
        <f>IFERROR(__xludf.DUMMYFUNCTION("""COMPUTED_VALUE"""),0.3291018901688849)</f>
        <v>0.3291018902</v>
      </c>
      <c r="E4349" s="5">
        <f>IFERROR(__xludf.DUMMYFUNCTION("""COMPUTED_VALUE"""),0.11844312716698356)</f>
        <v>0.1184431272</v>
      </c>
      <c r="F4349" s="5">
        <f>IFERROR(__xludf.DUMMYFUNCTION("""COMPUTED_VALUE"""),0.21882339783022034)</f>
        <v>0.2188233978</v>
      </c>
      <c r="G4349" s="5">
        <f>IFERROR(__xludf.DUMMYFUNCTION("""COMPUTED_VALUE"""),0.1968459903813891)</f>
        <v>0.1968459904</v>
      </c>
      <c r="H4349" s="5">
        <f>IFERROR(__xludf.DUMMYFUNCTION("""COMPUTED_VALUE"""),0.6000511116790187)</f>
        <v>0.6000511117</v>
      </c>
      <c r="I4349" s="11">
        <f>IFERROR(__xludf.DUMMYFUNCTION("""COMPUTED_VALUE"""),5936.87707641196)</f>
        <v>5936.877076</v>
      </c>
      <c r="J4349" s="10">
        <f>IFERROR(__xludf.DUMMYFUNCTION("""COMPUTED_VALUE"""),1.0)</f>
        <v>1</v>
      </c>
      <c r="K4349" s="5">
        <f>IFERROR(__xludf.DUMMYFUNCTION("""COMPUTED_VALUE"""),5.952380952380953E-4)</f>
        <v>0.0005952380952</v>
      </c>
      <c r="L4349" s="10">
        <f>IFERROR(__xludf.DUMMYFUNCTION("""COMPUTED_VALUE"""),1680.0)</f>
        <v>1680</v>
      </c>
      <c r="M4349" s="5">
        <f>IFERROR(__xludf.DUMMYFUNCTION("""COMPUTED_VALUE"""),1.0)</f>
        <v>1</v>
      </c>
    </row>
    <row r="4350">
      <c r="A4350" s="10" t="str">
        <f>IFERROR(__xludf.DUMMYFUNCTION("""COMPUTED_VALUE"""),"からーぜ")</f>
        <v>からーぜ</v>
      </c>
      <c r="B4350" s="10">
        <f>IFERROR(__xludf.DUMMYFUNCTION("""COMPUTED_VALUE"""),1930.0)</f>
        <v>1930</v>
      </c>
      <c r="C4350" s="10">
        <f>IFERROR(__xludf.DUMMYFUNCTION("""COMPUTED_VALUE"""),22843.0)</f>
        <v>22843</v>
      </c>
      <c r="D4350" s="5">
        <f>IFERROR(__xludf.DUMMYFUNCTION("""COMPUTED_VALUE"""),0.3467699517046813)</f>
        <v>0.3467699517</v>
      </c>
      <c r="E4350" s="5">
        <f>IFERROR(__xludf.DUMMYFUNCTION("""COMPUTED_VALUE"""),0.11844307368622388)</f>
        <v>0.1184430737</v>
      </c>
      <c r="F4350" s="5">
        <f>IFERROR(__xludf.DUMMYFUNCTION("""COMPUTED_VALUE"""),0.21001291062975183)</f>
        <v>0.2100129106</v>
      </c>
      <c r="G4350" s="5">
        <f>IFERROR(__xludf.DUMMYFUNCTION("""COMPUTED_VALUE"""),0.1766365418639124)</f>
        <v>0.1766365419</v>
      </c>
      <c r="H4350" s="5">
        <f>IFERROR(__xludf.DUMMYFUNCTION("""COMPUTED_VALUE"""),0.5876593806921676)</f>
        <v>0.5876593807</v>
      </c>
      <c r="I4350" s="11">
        <f>IFERROR(__xludf.DUMMYFUNCTION("""COMPUTED_VALUE"""),5573.998178506376)</f>
        <v>5573.998179</v>
      </c>
      <c r="J4350" s="10">
        <f>IFERROR(__xludf.DUMMYFUNCTION("""COMPUTED_VALUE"""),3.0)</f>
        <v>3</v>
      </c>
      <c r="K4350" s="5">
        <f>IFERROR(__xludf.DUMMYFUNCTION("""COMPUTED_VALUE"""),0.0015544041450777201)</f>
        <v>0.001554404145</v>
      </c>
      <c r="L4350" s="10">
        <f>IFERROR(__xludf.DUMMYFUNCTION("""COMPUTED_VALUE"""),1603.0)</f>
        <v>1603</v>
      </c>
      <c r="M4350" s="5">
        <f>IFERROR(__xludf.DUMMYFUNCTION("""COMPUTED_VALUE"""),0.8305699481865285)</f>
        <v>0.8305699482</v>
      </c>
    </row>
    <row r="4351">
      <c r="A4351" s="10" t="str">
        <f>IFERROR(__xludf.DUMMYFUNCTION("""COMPUTED_VALUE"""),"鷺森灼.")</f>
        <v>鷺森灼.</v>
      </c>
      <c r="B4351" s="10">
        <f>IFERROR(__xludf.DUMMYFUNCTION("""COMPUTED_VALUE"""),1172.0)</f>
        <v>1172</v>
      </c>
      <c r="C4351" s="10">
        <f>IFERROR(__xludf.DUMMYFUNCTION("""COMPUTED_VALUE"""),13761.0)</f>
        <v>13761</v>
      </c>
      <c r="D4351" s="5">
        <f>IFERROR(__xludf.DUMMYFUNCTION("""COMPUTED_VALUE"""),0.3397410437683692)</f>
        <v>0.3397410438</v>
      </c>
      <c r="E4351" s="5">
        <f>IFERROR(__xludf.DUMMYFUNCTION("""COMPUTED_VALUE"""),0.11843673047898959)</f>
        <v>0.1184367305</v>
      </c>
      <c r="F4351" s="5">
        <f>IFERROR(__xludf.DUMMYFUNCTION("""COMPUTED_VALUE"""),0.20494082135197395)</f>
        <v>0.2049408214</v>
      </c>
      <c r="G4351" s="5">
        <f>IFERROR(__xludf.DUMMYFUNCTION("""COMPUTED_VALUE"""),0.16323774723965367)</f>
        <v>0.1632377472</v>
      </c>
      <c r="H4351" s="5">
        <f>IFERROR(__xludf.DUMMYFUNCTION("""COMPUTED_VALUE"""),0.5988372093023255)</f>
        <v>0.5988372093</v>
      </c>
      <c r="I4351" s="11">
        <f>IFERROR(__xludf.DUMMYFUNCTION("""COMPUTED_VALUE"""),5641.085271317829)</f>
        <v>5641.085271</v>
      </c>
      <c r="J4351" s="10">
        <f>IFERROR(__xludf.DUMMYFUNCTION("""COMPUTED_VALUE"""),0.0)</f>
        <v>0</v>
      </c>
      <c r="K4351" s="5">
        <f>IFERROR(__xludf.DUMMYFUNCTION("""COMPUTED_VALUE"""),0.0)</f>
        <v>0</v>
      </c>
      <c r="L4351" s="10">
        <f>IFERROR(__xludf.DUMMYFUNCTION("""COMPUTED_VALUE"""),0.0)</f>
        <v>0</v>
      </c>
      <c r="M4351" s="5">
        <f>IFERROR(__xludf.DUMMYFUNCTION("""COMPUTED_VALUE"""),0.0)</f>
        <v>0</v>
      </c>
    </row>
    <row r="4352">
      <c r="A4352" s="10" t="str">
        <f>IFERROR(__xludf.DUMMYFUNCTION("""COMPUTED_VALUE"""),"ウディ")</f>
        <v>ウディ</v>
      </c>
      <c r="B4352" s="10">
        <f>IFERROR(__xludf.DUMMYFUNCTION("""COMPUTED_VALUE"""),186.0)</f>
        <v>186</v>
      </c>
      <c r="C4352" s="10">
        <f>IFERROR(__xludf.DUMMYFUNCTION("""COMPUTED_VALUE"""),2204.0)</f>
        <v>2204</v>
      </c>
      <c r="D4352" s="5">
        <f>IFERROR(__xludf.DUMMYFUNCTION("""COMPUTED_VALUE"""),0.3553022794846383)</f>
        <v>0.3553022795</v>
      </c>
      <c r="E4352" s="5">
        <f>IFERROR(__xludf.DUMMYFUNCTION("""COMPUTED_VALUE"""),0.11843409316154609)</f>
        <v>0.1184340932</v>
      </c>
      <c r="F4352" s="5">
        <f>IFERROR(__xludf.DUMMYFUNCTION("""COMPUTED_VALUE"""),0.19573835480673935)</f>
        <v>0.1957383548</v>
      </c>
      <c r="G4352" s="5">
        <f>IFERROR(__xludf.DUMMYFUNCTION("""COMPUTED_VALUE"""),0.14866204162537167)</f>
        <v>0.1486620416</v>
      </c>
      <c r="H4352" s="5">
        <f>IFERROR(__xludf.DUMMYFUNCTION("""COMPUTED_VALUE"""),0.5772151898734177)</f>
        <v>0.5772151899</v>
      </c>
      <c r="I4352" s="11">
        <f>IFERROR(__xludf.DUMMYFUNCTION("""COMPUTED_VALUE"""),5192.658227848101)</f>
        <v>5192.658228</v>
      </c>
      <c r="J4352" s="10">
        <f>IFERROR(__xludf.DUMMYFUNCTION("""COMPUTED_VALUE"""),0.0)</f>
        <v>0</v>
      </c>
      <c r="K4352" s="5">
        <f>IFERROR(__xludf.DUMMYFUNCTION("""COMPUTED_VALUE"""),0.0)</f>
        <v>0</v>
      </c>
      <c r="L4352" s="10">
        <f>IFERROR(__xludf.DUMMYFUNCTION("""COMPUTED_VALUE"""),186.0)</f>
        <v>186</v>
      </c>
      <c r="M4352" s="5">
        <f>IFERROR(__xludf.DUMMYFUNCTION("""COMPUTED_VALUE"""),1.0)</f>
        <v>1</v>
      </c>
    </row>
    <row r="4353">
      <c r="A4353" s="10" t="str">
        <f>IFERROR(__xludf.DUMMYFUNCTION("""COMPUTED_VALUE"""),"いのは")</f>
        <v>いのは</v>
      </c>
      <c r="B4353" s="10">
        <f>IFERROR(__xludf.DUMMYFUNCTION("""COMPUTED_VALUE"""),591.0)</f>
        <v>591</v>
      </c>
      <c r="C4353" s="10">
        <f>IFERROR(__xludf.DUMMYFUNCTION("""COMPUTED_VALUE"""),6941.0)</f>
        <v>6941</v>
      </c>
      <c r="D4353" s="5">
        <f>IFERROR(__xludf.DUMMYFUNCTION("""COMPUTED_VALUE"""),0.36157480314960627)</f>
        <v>0.3615748031</v>
      </c>
      <c r="E4353" s="5">
        <f>IFERROR(__xludf.DUMMYFUNCTION("""COMPUTED_VALUE"""),0.1184251968503937)</f>
        <v>0.1184251969</v>
      </c>
      <c r="F4353" s="5">
        <f>IFERROR(__xludf.DUMMYFUNCTION("""COMPUTED_VALUE"""),0.21023622047244095)</f>
        <v>0.2102362205</v>
      </c>
      <c r="G4353" s="5">
        <f>IFERROR(__xludf.DUMMYFUNCTION("""COMPUTED_VALUE"""),0.12535433070866142)</f>
        <v>0.1253543307</v>
      </c>
      <c r="H4353" s="5">
        <f>IFERROR(__xludf.DUMMYFUNCTION("""COMPUTED_VALUE"""),0.6127340823970038)</f>
        <v>0.6127340824</v>
      </c>
      <c r="I4353" s="11">
        <f>IFERROR(__xludf.DUMMYFUNCTION("""COMPUTED_VALUE"""),5400.074906367041)</f>
        <v>5400.074906</v>
      </c>
      <c r="J4353" s="10">
        <f>IFERROR(__xludf.DUMMYFUNCTION("""COMPUTED_VALUE"""),1.0)</f>
        <v>1</v>
      </c>
      <c r="K4353" s="5">
        <f>IFERROR(__xludf.DUMMYFUNCTION("""COMPUTED_VALUE"""),0.001692047377326565)</f>
        <v>0.001692047377</v>
      </c>
      <c r="L4353" s="10">
        <f>IFERROR(__xludf.DUMMYFUNCTION("""COMPUTED_VALUE"""),591.0)</f>
        <v>591</v>
      </c>
      <c r="M4353" s="5">
        <f>IFERROR(__xludf.DUMMYFUNCTION("""COMPUTED_VALUE"""),1.0)</f>
        <v>1</v>
      </c>
    </row>
    <row r="4354">
      <c r="A4354" s="10" t="str">
        <f>IFERROR(__xludf.DUMMYFUNCTION("""COMPUTED_VALUE"""),"ごにょ")</f>
        <v>ごにょ</v>
      </c>
      <c r="B4354" s="10">
        <f>IFERROR(__xludf.DUMMYFUNCTION("""COMPUTED_VALUE"""),368.0)</f>
        <v>368</v>
      </c>
      <c r="C4354" s="10">
        <f>IFERROR(__xludf.DUMMYFUNCTION("""COMPUTED_VALUE"""),4303.0)</f>
        <v>4303</v>
      </c>
      <c r="D4354" s="5">
        <f>IFERROR(__xludf.DUMMYFUNCTION("""COMPUTED_VALUE"""),0.3855146124523507)</f>
        <v>0.3855146125</v>
      </c>
      <c r="E4354" s="5">
        <f>IFERROR(__xludf.DUMMYFUNCTION("""COMPUTED_VALUE"""),0.11842439644218551)</f>
        <v>0.1184243964</v>
      </c>
      <c r="F4354" s="5">
        <f>IFERROR(__xludf.DUMMYFUNCTION("""COMPUTED_VALUE"""),0.21550190597204574)</f>
        <v>0.215501906</v>
      </c>
      <c r="G4354" s="5">
        <f>IFERROR(__xludf.DUMMYFUNCTION("""COMPUTED_VALUE"""),0.18246505717916137)</f>
        <v>0.1824650572</v>
      </c>
      <c r="H4354" s="5">
        <f>IFERROR(__xludf.DUMMYFUNCTION("""COMPUTED_VALUE"""),0.6108490566037735)</f>
        <v>0.6108490566</v>
      </c>
      <c r="I4354" s="11">
        <f>IFERROR(__xludf.DUMMYFUNCTION("""COMPUTED_VALUE"""),5756.957547169812)</f>
        <v>5756.957547</v>
      </c>
      <c r="J4354" s="10">
        <f>IFERROR(__xludf.DUMMYFUNCTION("""COMPUTED_VALUE"""),2.0)</f>
        <v>2</v>
      </c>
      <c r="K4354" s="5">
        <f>IFERROR(__xludf.DUMMYFUNCTION("""COMPUTED_VALUE"""),0.005434782608695652)</f>
        <v>0.005434782609</v>
      </c>
      <c r="L4354" s="10">
        <f>IFERROR(__xludf.DUMMYFUNCTION("""COMPUTED_VALUE"""),368.0)</f>
        <v>368</v>
      </c>
      <c r="M4354" s="5">
        <f>IFERROR(__xludf.DUMMYFUNCTION("""COMPUTED_VALUE"""),1.0)</f>
        <v>1</v>
      </c>
    </row>
    <row r="4355">
      <c r="A4355" s="10" t="str">
        <f>IFERROR(__xludf.DUMMYFUNCTION("""COMPUTED_VALUE"""),"Journey")</f>
        <v>Journey</v>
      </c>
      <c r="B4355" s="10">
        <f>IFERROR(__xludf.DUMMYFUNCTION("""COMPUTED_VALUE"""),4781.0)</f>
        <v>4781</v>
      </c>
      <c r="C4355" s="10">
        <f>IFERROR(__xludf.DUMMYFUNCTION("""COMPUTED_VALUE"""),56175.0)</f>
        <v>56175</v>
      </c>
      <c r="D4355" s="5">
        <f>IFERROR(__xludf.DUMMYFUNCTION("""COMPUTED_VALUE"""),0.3572985173366541)</f>
        <v>0.3572985173</v>
      </c>
      <c r="E4355" s="5">
        <f>IFERROR(__xludf.DUMMYFUNCTION("""COMPUTED_VALUE"""),0.11841849243102308)</f>
        <v>0.1184184924</v>
      </c>
      <c r="F4355" s="5">
        <f>IFERROR(__xludf.DUMMYFUNCTION("""COMPUTED_VALUE"""),0.21428571428571427)</f>
        <v>0.2142857143</v>
      </c>
      <c r="G4355" s="5">
        <f>IFERROR(__xludf.DUMMYFUNCTION("""COMPUTED_VALUE"""),0.1607580651437911)</f>
        <v>0.1607580651</v>
      </c>
      <c r="H4355" s="5">
        <f>IFERROR(__xludf.DUMMYFUNCTION("""COMPUTED_VALUE"""),0.6055570689185508)</f>
        <v>0.6055570689</v>
      </c>
      <c r="I4355" s="11">
        <f>IFERROR(__xludf.DUMMYFUNCTION("""COMPUTED_VALUE"""),5336.765640606556)</f>
        <v>5336.765641</v>
      </c>
      <c r="J4355" s="10">
        <f>IFERROR(__xludf.DUMMYFUNCTION("""COMPUTED_VALUE"""),4.0)</f>
        <v>4</v>
      </c>
      <c r="K4355" s="5">
        <f>IFERROR(__xludf.DUMMYFUNCTION("""COMPUTED_VALUE"""),8.366450533361222E-4)</f>
        <v>0.0008366450533</v>
      </c>
      <c r="L4355" s="10">
        <f>IFERROR(__xludf.DUMMYFUNCTION("""COMPUTED_VALUE"""),4471.0)</f>
        <v>4471</v>
      </c>
      <c r="M4355" s="5">
        <f>IFERROR(__xludf.DUMMYFUNCTION("""COMPUTED_VALUE"""),0.9351600083664505)</f>
        <v>0.9351600084</v>
      </c>
    </row>
    <row r="4356">
      <c r="A4356" s="10" t="str">
        <f>IFERROR(__xludf.DUMMYFUNCTION("""COMPUTED_VALUE"""),"wine")</f>
        <v>wine</v>
      </c>
      <c r="B4356" s="10">
        <f>IFERROR(__xludf.DUMMYFUNCTION("""COMPUTED_VALUE"""),1349.0)</f>
        <v>1349</v>
      </c>
      <c r="C4356" s="10">
        <f>IFERROR(__xludf.DUMMYFUNCTION("""COMPUTED_VALUE"""),15790.0)</f>
        <v>15790</v>
      </c>
      <c r="D4356" s="5">
        <f>IFERROR(__xludf.DUMMYFUNCTION("""COMPUTED_VALUE"""),0.3223460979156568)</f>
        <v>0.3223460979</v>
      </c>
      <c r="E4356" s="5">
        <f>IFERROR(__xludf.DUMMYFUNCTION("""COMPUTED_VALUE"""),0.1184128522955474)</f>
        <v>0.1184128523</v>
      </c>
      <c r="F4356" s="5">
        <f>IFERROR(__xludf.DUMMYFUNCTION("""COMPUTED_VALUE"""),0.20801883526071602)</f>
        <v>0.2080188353</v>
      </c>
      <c r="G4356" s="5">
        <f>IFERROR(__xludf.DUMMYFUNCTION("""COMPUTED_VALUE"""),0.17775777300740947)</f>
        <v>0.177757773</v>
      </c>
      <c r="H4356" s="5">
        <f>IFERROR(__xludf.DUMMYFUNCTION("""COMPUTED_VALUE"""),0.5975366178428761)</f>
        <v>0.5975366178</v>
      </c>
      <c r="I4356" s="11">
        <f>IFERROR(__xludf.DUMMYFUNCTION("""COMPUTED_VALUE"""),5512.683089214381)</f>
        <v>5512.683089</v>
      </c>
      <c r="J4356" s="10">
        <f>IFERROR(__xludf.DUMMYFUNCTION("""COMPUTED_VALUE"""),0.0)</f>
        <v>0</v>
      </c>
      <c r="K4356" s="5">
        <f>IFERROR(__xludf.DUMMYFUNCTION("""COMPUTED_VALUE"""),0.0)</f>
        <v>0</v>
      </c>
      <c r="L4356" s="10">
        <f>IFERROR(__xludf.DUMMYFUNCTION("""COMPUTED_VALUE"""),1349.0)</f>
        <v>1349</v>
      </c>
      <c r="M4356" s="5">
        <f>IFERROR(__xludf.DUMMYFUNCTION("""COMPUTED_VALUE"""),1.0)</f>
        <v>1</v>
      </c>
    </row>
    <row r="4357">
      <c r="A4357" s="10" t="str">
        <f>IFERROR(__xludf.DUMMYFUNCTION("""COMPUTED_VALUE"""),"元気一発")</f>
        <v>元気一発</v>
      </c>
      <c r="B4357" s="10">
        <f>IFERROR(__xludf.DUMMYFUNCTION("""COMPUTED_VALUE"""),1394.0)</f>
        <v>1394</v>
      </c>
      <c r="C4357" s="10">
        <f>IFERROR(__xludf.DUMMYFUNCTION("""COMPUTED_VALUE"""),16460.0)</f>
        <v>16460</v>
      </c>
      <c r="D4357" s="5">
        <f>IFERROR(__xludf.DUMMYFUNCTION("""COMPUTED_VALUE"""),0.3153458117615824)</f>
        <v>0.3153458118</v>
      </c>
      <c r="E4357" s="5">
        <f>IFERROR(__xludf.DUMMYFUNCTION("""COMPUTED_VALUE"""),0.11841231912916501)</f>
        <v>0.1184123191</v>
      </c>
      <c r="F4357" s="5">
        <f>IFERROR(__xludf.DUMMYFUNCTION("""COMPUTED_VALUE"""),0.2199654851984601)</f>
        <v>0.2199654852</v>
      </c>
      <c r="G4357" s="5">
        <f>IFERROR(__xludf.DUMMYFUNCTION("""COMPUTED_VALUE"""),0.15505110845612638)</f>
        <v>0.1550511085</v>
      </c>
      <c r="H4357" s="5">
        <f>IFERROR(__xludf.DUMMYFUNCTION("""COMPUTED_VALUE"""),0.6089318044659022)</f>
        <v>0.6089318045</v>
      </c>
      <c r="I4357" s="11">
        <f>IFERROR(__xludf.DUMMYFUNCTION("""COMPUTED_VALUE"""),5203.289076644538)</f>
        <v>5203.289077</v>
      </c>
      <c r="J4357" s="10">
        <f>IFERROR(__xludf.DUMMYFUNCTION("""COMPUTED_VALUE"""),4.0)</f>
        <v>4</v>
      </c>
      <c r="K4357" s="5">
        <f>IFERROR(__xludf.DUMMYFUNCTION("""COMPUTED_VALUE"""),0.0028694404591104736)</f>
        <v>0.002869440459</v>
      </c>
      <c r="L4357" s="10">
        <f>IFERROR(__xludf.DUMMYFUNCTION("""COMPUTED_VALUE"""),0.0)</f>
        <v>0</v>
      </c>
      <c r="M4357" s="5">
        <f>IFERROR(__xludf.DUMMYFUNCTION("""COMPUTED_VALUE"""),0.0)</f>
        <v>0</v>
      </c>
    </row>
    <row r="4358">
      <c r="A4358" s="10" t="str">
        <f>IFERROR(__xludf.DUMMYFUNCTION("""COMPUTED_VALUE"""),"＼(＾o＾)／★")</f>
        <v>＼(＾o＾)／★</v>
      </c>
      <c r="B4358" s="10">
        <f>IFERROR(__xludf.DUMMYFUNCTION("""COMPUTED_VALUE"""),11455.0)</f>
        <v>11455</v>
      </c>
      <c r="C4358" s="10">
        <f>IFERROR(__xludf.DUMMYFUNCTION("""COMPUTED_VALUE"""),133876.0)</f>
        <v>133876</v>
      </c>
      <c r="D4358" s="5">
        <f>IFERROR(__xludf.DUMMYFUNCTION("""COMPUTED_VALUE"""),0.3152890435464504)</f>
        <v>0.3152890435</v>
      </c>
      <c r="E4358" s="5">
        <f>IFERROR(__xludf.DUMMYFUNCTION("""COMPUTED_VALUE"""),0.1184110569265077)</f>
        <v>0.1184110569</v>
      </c>
      <c r="F4358" s="5">
        <f>IFERROR(__xludf.DUMMYFUNCTION("""COMPUTED_VALUE"""),0.21146698687316717)</f>
        <v>0.2114669869</v>
      </c>
      <c r="G4358" s="5">
        <f>IFERROR(__xludf.DUMMYFUNCTION("""COMPUTED_VALUE"""),0.16234959688288775)</f>
        <v>0.1623495969</v>
      </c>
      <c r="H4358" s="5">
        <f>IFERROR(__xludf.DUMMYFUNCTION("""COMPUTED_VALUE"""),0.6004326328800988)</f>
        <v>0.6004326329</v>
      </c>
      <c r="I4358" s="11">
        <f>IFERROR(__xludf.DUMMYFUNCTION("""COMPUTED_VALUE"""),5746.388288009889)</f>
        <v>5746.388288</v>
      </c>
      <c r="J4358" s="10">
        <f>IFERROR(__xludf.DUMMYFUNCTION("""COMPUTED_VALUE"""),27.0)</f>
        <v>27</v>
      </c>
      <c r="K4358" s="5">
        <f>IFERROR(__xludf.DUMMYFUNCTION("""COMPUTED_VALUE"""),0.002357049323439546)</f>
        <v>0.002357049323</v>
      </c>
      <c r="L4358" s="10">
        <f>IFERROR(__xludf.DUMMYFUNCTION("""COMPUTED_VALUE"""),11455.0)</f>
        <v>11455</v>
      </c>
      <c r="M4358" s="5">
        <f>IFERROR(__xludf.DUMMYFUNCTION("""COMPUTED_VALUE"""),1.0)</f>
        <v>1</v>
      </c>
    </row>
    <row r="4359">
      <c r="A4359" s="10" t="str">
        <f>IFERROR(__xludf.DUMMYFUNCTION("""COMPUTED_VALUE"""),"オオカミ先生")</f>
        <v>オオカミ先生</v>
      </c>
      <c r="B4359" s="10">
        <f>IFERROR(__xludf.DUMMYFUNCTION("""COMPUTED_VALUE"""),151.0)</f>
        <v>151</v>
      </c>
      <c r="C4359" s="10">
        <f>IFERROR(__xludf.DUMMYFUNCTION("""COMPUTED_VALUE"""),1798.0)</f>
        <v>1798</v>
      </c>
      <c r="D4359" s="5">
        <f>IFERROR(__xludf.DUMMYFUNCTION("""COMPUTED_VALUE"""),0.3054037644201579)</f>
        <v>0.3054037644</v>
      </c>
      <c r="E4359" s="5">
        <f>IFERROR(__xludf.DUMMYFUNCTION("""COMPUTED_VALUE"""),0.11839708561020036)</f>
        <v>0.1183970856</v>
      </c>
      <c r="F4359" s="5">
        <f>IFERROR(__xludf.DUMMYFUNCTION("""COMPUTED_VALUE"""),0.22100789313904068)</f>
        <v>0.2210078931</v>
      </c>
      <c r="G4359" s="5">
        <f>IFERROR(__xludf.DUMMYFUNCTION("""COMPUTED_VALUE"""),0.1973284760170006)</f>
        <v>0.197328476</v>
      </c>
      <c r="H4359" s="5">
        <f>IFERROR(__xludf.DUMMYFUNCTION("""COMPUTED_VALUE"""),0.6208791208791209)</f>
        <v>0.6208791209</v>
      </c>
      <c r="I4359" s="11">
        <f>IFERROR(__xludf.DUMMYFUNCTION("""COMPUTED_VALUE"""),5464.010989010989)</f>
        <v>5464.010989</v>
      </c>
      <c r="J4359" s="10">
        <f>IFERROR(__xludf.DUMMYFUNCTION("""COMPUTED_VALUE"""),0.0)</f>
        <v>0</v>
      </c>
      <c r="K4359" s="5">
        <f>IFERROR(__xludf.DUMMYFUNCTION("""COMPUTED_VALUE"""),0.0)</f>
        <v>0</v>
      </c>
      <c r="L4359" s="10">
        <f>IFERROR(__xludf.DUMMYFUNCTION("""COMPUTED_VALUE"""),0.0)</f>
        <v>0</v>
      </c>
      <c r="M4359" s="5">
        <f>IFERROR(__xludf.DUMMYFUNCTION("""COMPUTED_VALUE"""),0.0)</f>
        <v>0</v>
      </c>
    </row>
    <row r="4360">
      <c r="A4360" s="10" t="str">
        <f>IFERROR(__xludf.DUMMYFUNCTION("""COMPUTED_VALUE"""),"岡村靖幸")</f>
        <v>岡村靖幸</v>
      </c>
      <c r="B4360" s="10">
        <f>IFERROR(__xludf.DUMMYFUNCTION("""COMPUTED_VALUE"""),2119.0)</f>
        <v>2119</v>
      </c>
      <c r="C4360" s="10">
        <f>IFERROR(__xludf.DUMMYFUNCTION("""COMPUTED_VALUE"""),24994.0)</f>
        <v>24994</v>
      </c>
      <c r="D4360" s="5">
        <f>IFERROR(__xludf.DUMMYFUNCTION("""COMPUTED_VALUE"""),0.3657704918032787)</f>
        <v>0.3657704918</v>
      </c>
      <c r="E4360" s="5">
        <f>IFERROR(__xludf.DUMMYFUNCTION("""COMPUTED_VALUE"""),0.11838251366120218)</f>
        <v>0.1183825137</v>
      </c>
      <c r="F4360" s="5">
        <f>IFERROR(__xludf.DUMMYFUNCTION("""COMPUTED_VALUE"""),0.2073879781420765)</f>
        <v>0.2073879781</v>
      </c>
      <c r="G4360" s="5">
        <f>IFERROR(__xludf.DUMMYFUNCTION("""COMPUTED_VALUE"""),0.16201092896174862)</f>
        <v>0.162010929</v>
      </c>
      <c r="H4360" s="5">
        <f>IFERROR(__xludf.DUMMYFUNCTION("""COMPUTED_VALUE"""),0.6007588532883642)</f>
        <v>0.6007588533</v>
      </c>
      <c r="I4360" s="11">
        <f>IFERROR(__xludf.DUMMYFUNCTION("""COMPUTED_VALUE"""),5531.745362563238)</f>
        <v>5531.745363</v>
      </c>
      <c r="J4360" s="10">
        <f>IFERROR(__xludf.DUMMYFUNCTION("""COMPUTED_VALUE"""),2.0)</f>
        <v>2</v>
      </c>
      <c r="K4360" s="5">
        <f>IFERROR(__xludf.DUMMYFUNCTION("""COMPUTED_VALUE"""),9.438414346389807E-4)</f>
        <v>0.0009438414346</v>
      </c>
      <c r="L4360" s="10">
        <f>IFERROR(__xludf.DUMMYFUNCTION("""COMPUTED_VALUE"""),2119.0)</f>
        <v>2119</v>
      </c>
      <c r="M4360" s="5">
        <f>IFERROR(__xludf.DUMMYFUNCTION("""COMPUTED_VALUE"""),1.0)</f>
        <v>1</v>
      </c>
    </row>
    <row r="4361">
      <c r="A4361" s="10" t="str">
        <f>IFERROR(__xludf.DUMMYFUNCTION("""COMPUTED_VALUE"""),"水偵")</f>
        <v>水偵</v>
      </c>
      <c r="B4361" s="10">
        <f>IFERROR(__xludf.DUMMYFUNCTION("""COMPUTED_VALUE"""),657.0)</f>
        <v>657</v>
      </c>
      <c r="C4361" s="10">
        <f>IFERROR(__xludf.DUMMYFUNCTION("""COMPUTED_VALUE"""),7795.0)</f>
        <v>7795</v>
      </c>
      <c r="D4361" s="5">
        <f>IFERROR(__xludf.DUMMYFUNCTION("""COMPUTED_VALUE"""),0.3600448304847296)</f>
        <v>0.3600448305</v>
      </c>
      <c r="E4361" s="5">
        <f>IFERROR(__xludf.DUMMYFUNCTION("""COMPUTED_VALUE"""),0.11838049873914262)</f>
        <v>0.1183804987</v>
      </c>
      <c r="F4361" s="5">
        <f>IFERROR(__xludf.DUMMYFUNCTION("""COMPUTED_VALUE"""),0.20033622863547212)</f>
        <v>0.2003362286</v>
      </c>
      <c r="G4361" s="5">
        <f>IFERROR(__xludf.DUMMYFUNCTION("""COMPUTED_VALUE"""),0.14261697954609134)</f>
        <v>0.1426169795</v>
      </c>
      <c r="H4361" s="5">
        <f>IFERROR(__xludf.DUMMYFUNCTION("""COMPUTED_VALUE"""),0.5804195804195804)</f>
        <v>0.5804195804</v>
      </c>
      <c r="I4361" s="11">
        <f>IFERROR(__xludf.DUMMYFUNCTION("""COMPUTED_VALUE"""),5429.2307692307695)</f>
        <v>5429.230769</v>
      </c>
      <c r="J4361" s="10">
        <f>IFERROR(__xludf.DUMMYFUNCTION("""COMPUTED_VALUE"""),2.0)</f>
        <v>2</v>
      </c>
      <c r="K4361" s="5">
        <f>IFERROR(__xludf.DUMMYFUNCTION("""COMPUTED_VALUE"""),0.0030441400304414)</f>
        <v>0.00304414003</v>
      </c>
      <c r="L4361" s="10">
        <f>IFERROR(__xludf.DUMMYFUNCTION("""COMPUTED_VALUE"""),657.0)</f>
        <v>657</v>
      </c>
      <c r="M4361" s="5">
        <f>IFERROR(__xludf.DUMMYFUNCTION("""COMPUTED_VALUE"""),1.0)</f>
        <v>1</v>
      </c>
    </row>
    <row r="4362">
      <c r="A4362" s="10" t="str">
        <f>IFERROR(__xludf.DUMMYFUNCTION("""COMPUTED_VALUE"""),"紅い狐")</f>
        <v>紅い狐</v>
      </c>
      <c r="B4362" s="10">
        <f>IFERROR(__xludf.DUMMYFUNCTION("""COMPUTED_VALUE"""),133.0)</f>
        <v>133</v>
      </c>
      <c r="C4362" s="10">
        <f>IFERROR(__xludf.DUMMYFUNCTION("""COMPUTED_VALUE"""),1586.0)</f>
        <v>1586</v>
      </c>
      <c r="D4362" s="5">
        <f>IFERROR(__xludf.DUMMYFUNCTION("""COMPUTED_VALUE"""),0.3785271851342051)</f>
        <v>0.3785271851</v>
      </c>
      <c r="E4362" s="5">
        <f>IFERROR(__xludf.DUMMYFUNCTION("""COMPUTED_VALUE"""),0.11837577426015142)</f>
        <v>0.1183757743</v>
      </c>
      <c r="F4362" s="5">
        <f>IFERROR(__xludf.DUMMYFUNCTION("""COMPUTED_VALUE"""),0.19270474879559532)</f>
        <v>0.1927047488</v>
      </c>
      <c r="G4362" s="5">
        <f>IFERROR(__xludf.DUMMYFUNCTION("""COMPUTED_VALUE"""),0.14728148657949072)</f>
        <v>0.1472814866</v>
      </c>
      <c r="H4362" s="5">
        <f>IFERROR(__xludf.DUMMYFUNCTION("""COMPUTED_VALUE"""),0.5464285714285714)</f>
        <v>0.5464285714</v>
      </c>
      <c r="I4362" s="11">
        <f>IFERROR(__xludf.DUMMYFUNCTION("""COMPUTED_VALUE"""),5199.642857142857)</f>
        <v>5199.642857</v>
      </c>
      <c r="J4362" s="10">
        <f>IFERROR(__xludf.DUMMYFUNCTION("""COMPUTED_VALUE"""),0.0)</f>
        <v>0</v>
      </c>
      <c r="K4362" s="5">
        <f>IFERROR(__xludf.DUMMYFUNCTION("""COMPUTED_VALUE"""),0.0)</f>
        <v>0</v>
      </c>
      <c r="L4362" s="10">
        <f>IFERROR(__xludf.DUMMYFUNCTION("""COMPUTED_VALUE"""),133.0)</f>
        <v>133</v>
      </c>
      <c r="M4362" s="5">
        <f>IFERROR(__xludf.DUMMYFUNCTION("""COMPUTED_VALUE"""),1.0)</f>
        <v>1</v>
      </c>
    </row>
    <row r="4363">
      <c r="A4363" s="10" t="str">
        <f>IFERROR(__xludf.DUMMYFUNCTION("""COMPUTED_VALUE"""),"養分一確")</f>
        <v>養分一確</v>
      </c>
      <c r="B4363" s="10">
        <f>IFERROR(__xludf.DUMMYFUNCTION("""COMPUTED_VALUE"""),308.0)</f>
        <v>308</v>
      </c>
      <c r="C4363" s="10">
        <f>IFERROR(__xludf.DUMMYFUNCTION("""COMPUTED_VALUE"""),3628.0)</f>
        <v>3628</v>
      </c>
      <c r="D4363" s="5">
        <f>IFERROR(__xludf.DUMMYFUNCTION("""COMPUTED_VALUE"""),0.38433734939759034)</f>
        <v>0.3843373494</v>
      </c>
      <c r="E4363" s="5">
        <f>IFERROR(__xludf.DUMMYFUNCTION("""COMPUTED_VALUE"""),0.11837349397590362)</f>
        <v>0.118373494</v>
      </c>
      <c r="F4363" s="5">
        <f>IFERROR(__xludf.DUMMYFUNCTION("""COMPUTED_VALUE"""),0.2147590361445783)</f>
        <v>0.2147590361</v>
      </c>
      <c r="G4363" s="5">
        <f>IFERROR(__xludf.DUMMYFUNCTION("""COMPUTED_VALUE"""),0.1753012048192771)</f>
        <v>0.1753012048</v>
      </c>
      <c r="H4363" s="5">
        <f>IFERROR(__xludf.DUMMYFUNCTION("""COMPUTED_VALUE"""),0.5974754558204769)</f>
        <v>0.5974754558</v>
      </c>
      <c r="I4363" s="11">
        <f>IFERROR(__xludf.DUMMYFUNCTION("""COMPUTED_VALUE"""),5572.931276297335)</f>
        <v>5572.931276</v>
      </c>
      <c r="J4363" s="10">
        <f>IFERROR(__xludf.DUMMYFUNCTION("""COMPUTED_VALUE"""),0.0)</f>
        <v>0</v>
      </c>
      <c r="K4363" s="5">
        <f>IFERROR(__xludf.DUMMYFUNCTION("""COMPUTED_VALUE"""),0.0)</f>
        <v>0</v>
      </c>
      <c r="L4363" s="10">
        <f>IFERROR(__xludf.DUMMYFUNCTION("""COMPUTED_VALUE"""),308.0)</f>
        <v>308</v>
      </c>
      <c r="M4363" s="5">
        <f>IFERROR(__xludf.DUMMYFUNCTION("""COMPUTED_VALUE"""),1.0)</f>
        <v>1</v>
      </c>
    </row>
    <row r="4364">
      <c r="A4364" s="10" t="str">
        <f>IFERROR(__xludf.DUMMYFUNCTION("""COMPUTED_VALUE"""),"Ｗ・Ｍペーニャ")</f>
        <v>Ｗ・Ｍペーニャ</v>
      </c>
      <c r="B4364" s="10">
        <f>IFERROR(__xludf.DUMMYFUNCTION("""COMPUTED_VALUE"""),924.0)</f>
        <v>924</v>
      </c>
      <c r="C4364" s="10">
        <f>IFERROR(__xludf.DUMMYFUNCTION("""COMPUTED_VALUE"""),10808.0)</f>
        <v>10808</v>
      </c>
      <c r="D4364" s="5">
        <f>IFERROR(__xludf.DUMMYFUNCTION("""COMPUTED_VALUE"""),0.25789154188587615)</f>
        <v>0.2578915419</v>
      </c>
      <c r="E4364" s="5">
        <f>IFERROR(__xludf.DUMMYFUNCTION("""COMPUTED_VALUE"""),0.11837312828814245)</f>
        <v>0.1183731283</v>
      </c>
      <c r="F4364" s="5">
        <f>IFERROR(__xludf.DUMMYFUNCTION("""COMPUTED_VALUE"""),0.198097936058276)</f>
        <v>0.1980979361</v>
      </c>
      <c r="G4364" s="5">
        <f>IFERROR(__xludf.DUMMYFUNCTION("""COMPUTED_VALUE"""),0.17948199109672197)</f>
        <v>0.1794819911</v>
      </c>
      <c r="H4364" s="5">
        <f>IFERROR(__xludf.DUMMYFUNCTION("""COMPUTED_VALUE"""),0.5873340143003064)</f>
        <v>0.5873340143</v>
      </c>
      <c r="I4364" s="11">
        <f>IFERROR(__xludf.DUMMYFUNCTION("""COMPUTED_VALUE"""),6116.956077630235)</f>
        <v>6116.956078</v>
      </c>
      <c r="J4364" s="10">
        <f>IFERROR(__xludf.DUMMYFUNCTION("""COMPUTED_VALUE"""),4.0)</f>
        <v>4</v>
      </c>
      <c r="K4364" s="5">
        <f>IFERROR(__xludf.DUMMYFUNCTION("""COMPUTED_VALUE"""),0.004329004329004329)</f>
        <v>0.004329004329</v>
      </c>
      <c r="L4364" s="10">
        <f>IFERROR(__xludf.DUMMYFUNCTION("""COMPUTED_VALUE"""),924.0)</f>
        <v>924</v>
      </c>
      <c r="M4364" s="5">
        <f>IFERROR(__xludf.DUMMYFUNCTION("""COMPUTED_VALUE"""),1.0)</f>
        <v>1</v>
      </c>
    </row>
    <row r="4365">
      <c r="A4365" s="10" t="str">
        <f>IFERROR(__xludf.DUMMYFUNCTION("""COMPUTED_VALUE"""),"藤×滝")</f>
        <v>藤×滝</v>
      </c>
      <c r="B4365" s="10">
        <f>IFERROR(__xludf.DUMMYFUNCTION("""COMPUTED_VALUE"""),705.0)</f>
        <v>705</v>
      </c>
      <c r="C4365" s="10">
        <f>IFERROR(__xludf.DUMMYFUNCTION("""COMPUTED_VALUE"""),8190.0)</f>
        <v>8190</v>
      </c>
      <c r="D4365" s="5">
        <f>IFERROR(__xludf.DUMMYFUNCTION("""COMPUTED_VALUE"""),0.2654642618570474)</f>
        <v>0.2654642619</v>
      </c>
      <c r="E4365" s="5">
        <f>IFERROR(__xludf.DUMMYFUNCTION("""COMPUTED_VALUE"""),0.11837007348029392)</f>
        <v>0.1183700735</v>
      </c>
      <c r="F4365" s="5">
        <f>IFERROR(__xludf.DUMMYFUNCTION("""COMPUTED_VALUE"""),0.2032064128256513)</f>
        <v>0.2032064128</v>
      </c>
      <c r="G4365" s="5">
        <f>IFERROR(__xludf.DUMMYFUNCTION("""COMPUTED_VALUE"""),0.1772879091516366)</f>
        <v>0.1772879092</v>
      </c>
      <c r="H4365" s="5">
        <f>IFERROR(__xludf.DUMMYFUNCTION("""COMPUTED_VALUE"""),0.5811965811965812)</f>
        <v>0.5811965812</v>
      </c>
      <c r="I4365" s="11">
        <f>IFERROR(__xludf.DUMMYFUNCTION("""COMPUTED_VALUE"""),5908.284023668639)</f>
        <v>5908.284024</v>
      </c>
      <c r="J4365" s="10">
        <f>IFERROR(__xludf.DUMMYFUNCTION("""COMPUTED_VALUE"""),4.0)</f>
        <v>4</v>
      </c>
      <c r="K4365" s="5">
        <f>IFERROR(__xludf.DUMMYFUNCTION("""COMPUTED_VALUE"""),0.005673758865248227)</f>
        <v>0.005673758865</v>
      </c>
      <c r="L4365" s="10">
        <f>IFERROR(__xludf.DUMMYFUNCTION("""COMPUTED_VALUE"""),705.0)</f>
        <v>705</v>
      </c>
      <c r="M4365" s="5">
        <f>IFERROR(__xludf.DUMMYFUNCTION("""COMPUTED_VALUE"""),1.0)</f>
        <v>1</v>
      </c>
    </row>
    <row r="4366">
      <c r="A4366" s="10" t="str">
        <f>IFERROR(__xludf.DUMMYFUNCTION("""COMPUTED_VALUE"""),"(「・`ω・)「")</f>
        <v>(「・`ω・)「</v>
      </c>
      <c r="B4366" s="10">
        <f>IFERROR(__xludf.DUMMYFUNCTION("""COMPUTED_VALUE"""),2266.0)</f>
        <v>2266</v>
      </c>
      <c r="C4366" s="10">
        <f>IFERROR(__xludf.DUMMYFUNCTION("""COMPUTED_VALUE"""),26800.0)</f>
        <v>26800</v>
      </c>
      <c r="D4366" s="5">
        <f>IFERROR(__xludf.DUMMYFUNCTION("""COMPUTED_VALUE"""),0.34723241216271294)</f>
        <v>0.3472324122</v>
      </c>
      <c r="E4366" s="5">
        <f>IFERROR(__xludf.DUMMYFUNCTION("""COMPUTED_VALUE"""),0.11836634874052336)</f>
        <v>0.1183663487</v>
      </c>
      <c r="F4366" s="5">
        <f>IFERROR(__xludf.DUMMYFUNCTION("""COMPUTED_VALUE"""),0.21113556696828892)</f>
        <v>0.211135567</v>
      </c>
      <c r="G4366" s="5">
        <f>IFERROR(__xludf.DUMMYFUNCTION("""COMPUTED_VALUE"""),0.152889867123176)</f>
        <v>0.1528898671</v>
      </c>
      <c r="H4366" s="5">
        <f>IFERROR(__xludf.DUMMYFUNCTION("""COMPUTED_VALUE"""),0.6077220077220077)</f>
        <v>0.6077220077</v>
      </c>
      <c r="I4366" s="11">
        <f>IFERROR(__xludf.DUMMYFUNCTION("""COMPUTED_VALUE"""),5644.6138996139)</f>
        <v>5644.6139</v>
      </c>
      <c r="J4366" s="10">
        <f>IFERROR(__xludf.DUMMYFUNCTION("""COMPUTED_VALUE"""),6.0)</f>
        <v>6</v>
      </c>
      <c r="K4366" s="5">
        <f>IFERROR(__xludf.DUMMYFUNCTION("""COMPUTED_VALUE"""),0.00264783759929391)</f>
        <v>0.002647837599</v>
      </c>
      <c r="L4366" s="10">
        <f>IFERROR(__xludf.DUMMYFUNCTION("""COMPUTED_VALUE"""),2051.0)</f>
        <v>2051</v>
      </c>
      <c r="M4366" s="5">
        <f>IFERROR(__xludf.DUMMYFUNCTION("""COMPUTED_VALUE"""),0.9051191526919682)</f>
        <v>0.9051191527</v>
      </c>
    </row>
    <row r="4367">
      <c r="A4367" s="10" t="str">
        <f>IFERROR(__xludf.DUMMYFUNCTION("""COMPUTED_VALUE"""),"レーベンブロイ")</f>
        <v>レーベンブロイ</v>
      </c>
      <c r="B4367" s="10">
        <f>IFERROR(__xludf.DUMMYFUNCTION("""COMPUTED_VALUE"""),1326.0)</f>
        <v>1326</v>
      </c>
      <c r="C4367" s="10">
        <f>IFERROR(__xludf.DUMMYFUNCTION("""COMPUTED_VALUE"""),15548.0)</f>
        <v>15548</v>
      </c>
      <c r="D4367" s="5">
        <f>IFERROR(__xludf.DUMMYFUNCTION("""COMPUTED_VALUE"""),0.36506820419069047)</f>
        <v>0.3650682042</v>
      </c>
      <c r="E4367" s="5">
        <f>IFERROR(__xludf.DUMMYFUNCTION("""COMPUTED_VALUE"""),0.1183377865279145)</f>
        <v>0.1183377865</v>
      </c>
      <c r="F4367" s="5">
        <f>IFERROR(__xludf.DUMMYFUNCTION("""COMPUTED_VALUE"""),0.20770637041203768)</f>
        <v>0.2077063704</v>
      </c>
      <c r="G4367" s="5">
        <f>IFERROR(__xludf.DUMMYFUNCTION("""COMPUTED_VALUE"""),0.16404162565040079)</f>
        <v>0.1640416257</v>
      </c>
      <c r="H4367" s="5">
        <f>IFERROR(__xludf.DUMMYFUNCTION("""COMPUTED_VALUE"""),0.6049424509140149)</f>
        <v>0.6049424509</v>
      </c>
      <c r="I4367" s="11">
        <f>IFERROR(__xludf.DUMMYFUNCTION("""COMPUTED_VALUE"""),5848.916723087339)</f>
        <v>5848.916723</v>
      </c>
      <c r="J4367" s="10">
        <f>IFERROR(__xludf.DUMMYFUNCTION("""COMPUTED_VALUE"""),3.0)</f>
        <v>3</v>
      </c>
      <c r="K4367" s="5">
        <f>IFERROR(__xludf.DUMMYFUNCTION("""COMPUTED_VALUE"""),0.0022624434389140274)</f>
        <v>0.002262443439</v>
      </c>
      <c r="L4367" s="10">
        <f>IFERROR(__xludf.DUMMYFUNCTION("""COMPUTED_VALUE"""),1161.0)</f>
        <v>1161</v>
      </c>
      <c r="M4367" s="5">
        <f>IFERROR(__xludf.DUMMYFUNCTION("""COMPUTED_VALUE"""),0.8755656108597285)</f>
        <v>0.8755656109</v>
      </c>
    </row>
    <row r="4368">
      <c r="A4368" s="10" t="str">
        <f>IFERROR(__xludf.DUMMYFUNCTION("""COMPUTED_VALUE"""),"埼京線")</f>
        <v>埼京線</v>
      </c>
      <c r="B4368" s="10">
        <f>IFERROR(__xludf.DUMMYFUNCTION("""COMPUTED_VALUE"""),181.0)</f>
        <v>181</v>
      </c>
      <c r="C4368" s="10">
        <f>IFERROR(__xludf.DUMMYFUNCTION("""COMPUTED_VALUE"""),2150.0)</f>
        <v>2150</v>
      </c>
      <c r="D4368" s="5">
        <f>IFERROR(__xludf.DUMMYFUNCTION("""COMPUTED_VALUE"""),0.3052310817673946)</f>
        <v>0.3052310818</v>
      </c>
      <c r="E4368" s="5">
        <f>IFERROR(__xludf.DUMMYFUNCTION("""COMPUTED_VALUE"""),0.11833417978669375)</f>
        <v>0.1183341798</v>
      </c>
      <c r="F4368" s="5">
        <f>IFERROR(__xludf.DUMMYFUNCTION("""COMPUTED_VALUE"""),0.2133062468257999)</f>
        <v>0.2133062468</v>
      </c>
      <c r="G4368" s="5">
        <f>IFERROR(__xludf.DUMMYFUNCTION("""COMPUTED_VALUE"""),0.15947181310309802)</f>
        <v>0.1594718131</v>
      </c>
      <c r="H4368" s="5">
        <f>IFERROR(__xludf.DUMMYFUNCTION("""COMPUTED_VALUE"""),0.5761904761904761)</f>
        <v>0.5761904762</v>
      </c>
      <c r="I4368" s="11">
        <f>IFERROR(__xludf.DUMMYFUNCTION("""COMPUTED_VALUE"""),5624.285714285715)</f>
        <v>5624.285714</v>
      </c>
      <c r="J4368" s="10">
        <f>IFERROR(__xludf.DUMMYFUNCTION("""COMPUTED_VALUE"""),0.0)</f>
        <v>0</v>
      </c>
      <c r="K4368" s="5">
        <f>IFERROR(__xludf.DUMMYFUNCTION("""COMPUTED_VALUE"""),0.0)</f>
        <v>0</v>
      </c>
      <c r="L4368" s="10">
        <f>IFERROR(__xludf.DUMMYFUNCTION("""COMPUTED_VALUE"""),181.0)</f>
        <v>181</v>
      </c>
      <c r="M4368" s="5">
        <f>IFERROR(__xludf.DUMMYFUNCTION("""COMPUTED_VALUE"""),1.0)</f>
        <v>1</v>
      </c>
    </row>
    <row r="4369">
      <c r="A4369" s="10" t="str">
        <f>IFERROR(__xludf.DUMMYFUNCTION("""COMPUTED_VALUE"""),"オッキーナ♪")</f>
        <v>オッキーナ♪</v>
      </c>
      <c r="B4369" s="10">
        <f>IFERROR(__xludf.DUMMYFUNCTION("""COMPUTED_VALUE"""),251.0)</f>
        <v>251</v>
      </c>
      <c r="C4369" s="10">
        <f>IFERROR(__xludf.DUMMYFUNCTION("""COMPUTED_VALUE"""),2922.0)</f>
        <v>2922</v>
      </c>
      <c r="D4369" s="5">
        <f>IFERROR(__xludf.DUMMYFUNCTION("""COMPUTED_VALUE"""),0.3946087607637589)</f>
        <v>0.3946087608</v>
      </c>
      <c r="E4369" s="5">
        <f>IFERROR(__xludf.DUMMYFUNCTION("""COMPUTED_VALUE"""),0.1183077499064021)</f>
        <v>0.1183077499</v>
      </c>
      <c r="F4369" s="5">
        <f>IFERROR(__xludf.DUMMYFUNCTION("""COMPUTED_VALUE"""),0.20554099588169225)</f>
        <v>0.2055409959</v>
      </c>
      <c r="G4369" s="5">
        <f>IFERROR(__xludf.DUMMYFUNCTION("""COMPUTED_VALUE"""),0.1374017222014227)</f>
        <v>0.1374017222</v>
      </c>
      <c r="H4369" s="5">
        <f>IFERROR(__xludf.DUMMYFUNCTION("""COMPUTED_VALUE"""),0.6029143897996357)</f>
        <v>0.6029143898</v>
      </c>
      <c r="I4369" s="11">
        <f>IFERROR(__xludf.DUMMYFUNCTION("""COMPUTED_VALUE"""),5333.5154826958105)</f>
        <v>5333.515483</v>
      </c>
      <c r="J4369" s="10">
        <f>IFERROR(__xludf.DUMMYFUNCTION("""COMPUTED_VALUE"""),0.0)</f>
        <v>0</v>
      </c>
      <c r="K4369" s="5">
        <f>IFERROR(__xludf.DUMMYFUNCTION("""COMPUTED_VALUE"""),0.0)</f>
        <v>0</v>
      </c>
      <c r="L4369" s="10">
        <f>IFERROR(__xludf.DUMMYFUNCTION("""COMPUTED_VALUE"""),21.0)</f>
        <v>21</v>
      </c>
      <c r="M4369" s="5">
        <f>IFERROR(__xludf.DUMMYFUNCTION("""COMPUTED_VALUE"""),0.08366533864541832)</f>
        <v>0.08366533865</v>
      </c>
    </row>
    <row r="4370">
      <c r="A4370" s="10" t="str">
        <f>IFERROR(__xludf.DUMMYFUNCTION("""COMPUTED_VALUE"""),"ワニTA")</f>
        <v>ワニTA</v>
      </c>
      <c r="B4370" s="10">
        <f>IFERROR(__xludf.DUMMYFUNCTION("""COMPUTED_VALUE"""),819.0)</f>
        <v>819</v>
      </c>
      <c r="C4370" s="10">
        <f>IFERROR(__xludf.DUMMYFUNCTION("""COMPUTED_VALUE"""),9703.0)</f>
        <v>9703</v>
      </c>
      <c r="D4370" s="5">
        <f>IFERROR(__xludf.DUMMYFUNCTION("""COMPUTED_VALUE"""),0.3846240432237731)</f>
        <v>0.3846240432</v>
      </c>
      <c r="E4370" s="5">
        <f>IFERROR(__xludf.DUMMYFUNCTION("""COMPUTED_VALUE"""),0.11830256641152634)</f>
        <v>0.1183025664</v>
      </c>
      <c r="F4370" s="5">
        <f>IFERROR(__xludf.DUMMYFUNCTION("""COMPUTED_VALUE"""),0.22084646555605583)</f>
        <v>0.2208464656</v>
      </c>
      <c r="G4370" s="5">
        <f>IFERROR(__xludf.DUMMYFUNCTION("""COMPUTED_VALUE"""),0.18291310220621343)</f>
        <v>0.1829131022</v>
      </c>
      <c r="H4370" s="5">
        <f>IFERROR(__xludf.DUMMYFUNCTION("""COMPUTED_VALUE"""),0.5958205912334352)</f>
        <v>0.5958205912</v>
      </c>
      <c r="I4370" s="11">
        <f>IFERROR(__xludf.DUMMYFUNCTION("""COMPUTED_VALUE"""),5911.620795107034)</f>
        <v>5911.620795</v>
      </c>
      <c r="J4370" s="10">
        <f>IFERROR(__xludf.DUMMYFUNCTION("""COMPUTED_VALUE"""),2.0)</f>
        <v>2</v>
      </c>
      <c r="K4370" s="5">
        <f>IFERROR(__xludf.DUMMYFUNCTION("""COMPUTED_VALUE"""),0.002442002442002442)</f>
        <v>0.002442002442</v>
      </c>
      <c r="L4370" s="10">
        <f>IFERROR(__xludf.DUMMYFUNCTION("""COMPUTED_VALUE"""),819.0)</f>
        <v>819</v>
      </c>
      <c r="M4370" s="5">
        <f>IFERROR(__xludf.DUMMYFUNCTION("""COMPUTED_VALUE"""),1.0)</f>
        <v>1</v>
      </c>
    </row>
    <row r="4371">
      <c r="A4371" s="10" t="str">
        <f>IFERROR(__xludf.DUMMYFUNCTION("""COMPUTED_VALUE"""),"天魔太郎")</f>
        <v>天魔太郎</v>
      </c>
      <c r="B4371" s="10">
        <f>IFERROR(__xludf.DUMMYFUNCTION("""COMPUTED_VALUE"""),752.0)</f>
        <v>752</v>
      </c>
      <c r="C4371" s="10">
        <f>IFERROR(__xludf.DUMMYFUNCTION("""COMPUTED_VALUE"""),8757.0)</f>
        <v>8757</v>
      </c>
      <c r="D4371" s="5">
        <f>IFERROR(__xludf.DUMMYFUNCTION("""COMPUTED_VALUE"""),0.36439725171767645)</f>
        <v>0.3643972517</v>
      </c>
      <c r="E4371" s="5">
        <f>IFERROR(__xludf.DUMMYFUNCTION("""COMPUTED_VALUE"""),0.11830106183635228)</f>
        <v>0.1183010618</v>
      </c>
      <c r="F4371" s="5">
        <f>IFERROR(__xludf.DUMMYFUNCTION("""COMPUTED_VALUE"""),0.2032479700187383)</f>
        <v>0.20324797</v>
      </c>
      <c r="G4371" s="5">
        <f>IFERROR(__xludf.DUMMYFUNCTION("""COMPUTED_VALUE"""),0.1702685821361649)</f>
        <v>0.1702685821</v>
      </c>
      <c r="H4371" s="5">
        <f>IFERROR(__xludf.DUMMYFUNCTION("""COMPUTED_VALUE"""),0.594960049170252)</f>
        <v>0.5949600492</v>
      </c>
      <c r="I4371" s="11">
        <f>IFERROR(__xludf.DUMMYFUNCTION("""COMPUTED_VALUE"""),5553.9028887523045)</f>
        <v>5553.902889</v>
      </c>
      <c r="J4371" s="10">
        <f>IFERROR(__xludf.DUMMYFUNCTION("""COMPUTED_VALUE"""),2.0)</f>
        <v>2</v>
      </c>
      <c r="K4371" s="5">
        <f>IFERROR(__xludf.DUMMYFUNCTION("""COMPUTED_VALUE"""),0.0026595744680851063)</f>
        <v>0.002659574468</v>
      </c>
      <c r="L4371" s="10">
        <f>IFERROR(__xludf.DUMMYFUNCTION("""COMPUTED_VALUE"""),752.0)</f>
        <v>752</v>
      </c>
      <c r="M4371" s="5">
        <f>IFERROR(__xludf.DUMMYFUNCTION("""COMPUTED_VALUE"""),1.0)</f>
        <v>1</v>
      </c>
    </row>
    <row r="4372">
      <c r="A4372" s="10" t="str">
        <f>IFERROR(__xludf.DUMMYFUNCTION("""COMPUTED_VALUE"""),"☆マサキ☆")</f>
        <v>☆マサキ☆</v>
      </c>
      <c r="B4372" s="10">
        <f>IFERROR(__xludf.DUMMYFUNCTION("""COMPUTED_VALUE"""),207.0)</f>
        <v>207</v>
      </c>
      <c r="C4372" s="10">
        <f>IFERROR(__xludf.DUMMYFUNCTION("""COMPUTED_VALUE"""),2481.0)</f>
        <v>2481</v>
      </c>
      <c r="D4372" s="5">
        <f>IFERROR(__xludf.DUMMYFUNCTION("""COMPUTED_VALUE"""),0.3073878627968338)</f>
        <v>0.3073878628</v>
      </c>
      <c r="E4372" s="5">
        <f>IFERROR(__xludf.DUMMYFUNCTION("""COMPUTED_VALUE"""),0.11829375549692173)</f>
        <v>0.1182937555</v>
      </c>
      <c r="F4372" s="5">
        <f>IFERROR(__xludf.DUMMYFUNCTION("""COMPUTED_VALUE"""),0.20932277924362358)</f>
        <v>0.2093227792</v>
      </c>
      <c r="G4372" s="5">
        <f>IFERROR(__xludf.DUMMYFUNCTION("""COMPUTED_VALUE"""),0.1627088830255057)</f>
        <v>0.162708883</v>
      </c>
      <c r="H4372" s="5">
        <f>IFERROR(__xludf.DUMMYFUNCTION("""COMPUTED_VALUE"""),0.5819327731092437)</f>
        <v>0.5819327731</v>
      </c>
      <c r="I4372" s="11">
        <f>IFERROR(__xludf.DUMMYFUNCTION("""COMPUTED_VALUE"""),5919.117647058823)</f>
        <v>5919.117647</v>
      </c>
      <c r="J4372" s="10">
        <f>IFERROR(__xludf.DUMMYFUNCTION("""COMPUTED_VALUE"""),1.0)</f>
        <v>1</v>
      </c>
      <c r="K4372" s="5">
        <f>IFERROR(__xludf.DUMMYFUNCTION("""COMPUTED_VALUE"""),0.004830917874396135)</f>
        <v>0.004830917874</v>
      </c>
      <c r="L4372" s="10">
        <f>IFERROR(__xludf.DUMMYFUNCTION("""COMPUTED_VALUE"""),0.0)</f>
        <v>0</v>
      </c>
      <c r="M4372" s="5">
        <f>IFERROR(__xludf.DUMMYFUNCTION("""COMPUTED_VALUE"""),0.0)</f>
        <v>0</v>
      </c>
    </row>
    <row r="4373">
      <c r="A4373" s="10" t="str">
        <f>IFERROR(__xludf.DUMMYFUNCTION("""COMPUTED_VALUE"""),"bookkeep")</f>
        <v>bookkeep</v>
      </c>
      <c r="B4373" s="10">
        <f>IFERROR(__xludf.DUMMYFUNCTION("""COMPUTED_VALUE"""),912.0)</f>
        <v>912</v>
      </c>
      <c r="C4373" s="10">
        <f>IFERROR(__xludf.DUMMYFUNCTION("""COMPUTED_VALUE"""),10786.0)</f>
        <v>10786</v>
      </c>
      <c r="D4373" s="5">
        <f>IFERROR(__xludf.DUMMYFUNCTION("""COMPUTED_VALUE"""),0.37441766254810616)</f>
        <v>0.3744176625</v>
      </c>
      <c r="E4373" s="5">
        <f>IFERROR(__xludf.DUMMYFUNCTION("""COMPUTED_VALUE"""),0.1182904597933968)</f>
        <v>0.1182904598</v>
      </c>
      <c r="F4373" s="5">
        <f>IFERROR(__xludf.DUMMYFUNCTION("""COMPUTED_VALUE"""),0.20559043953818107)</f>
        <v>0.2055904395</v>
      </c>
      <c r="G4373" s="5">
        <f>IFERROR(__xludf.DUMMYFUNCTION("""COMPUTED_VALUE"""),0.136317601782459)</f>
        <v>0.1363176018</v>
      </c>
      <c r="H4373" s="5">
        <f>IFERROR(__xludf.DUMMYFUNCTION("""COMPUTED_VALUE"""),0.6088669950738916)</f>
        <v>0.6088669951</v>
      </c>
      <c r="I4373" s="11">
        <f>IFERROR(__xludf.DUMMYFUNCTION("""COMPUTED_VALUE"""),5275.665024630542)</f>
        <v>5275.665025</v>
      </c>
      <c r="J4373" s="10">
        <f>IFERROR(__xludf.DUMMYFUNCTION("""COMPUTED_VALUE"""),4.0)</f>
        <v>4</v>
      </c>
      <c r="K4373" s="5">
        <f>IFERROR(__xludf.DUMMYFUNCTION("""COMPUTED_VALUE"""),0.0043859649122807015)</f>
        <v>0.004385964912</v>
      </c>
      <c r="L4373" s="10">
        <f>IFERROR(__xludf.DUMMYFUNCTION("""COMPUTED_VALUE"""),912.0)</f>
        <v>912</v>
      </c>
      <c r="M4373" s="5">
        <f>IFERROR(__xludf.DUMMYFUNCTION("""COMPUTED_VALUE"""),1.0)</f>
        <v>1</v>
      </c>
    </row>
    <row r="4374">
      <c r="A4374" s="10" t="str">
        <f>IFERROR(__xludf.DUMMYFUNCTION("""COMPUTED_VALUE"""),"マガジン")</f>
        <v>マガジン</v>
      </c>
      <c r="B4374" s="10">
        <f>IFERROR(__xludf.DUMMYFUNCTION("""COMPUTED_VALUE"""),557.0)</f>
        <v>557</v>
      </c>
      <c r="C4374" s="10">
        <f>IFERROR(__xludf.DUMMYFUNCTION("""COMPUTED_VALUE"""),6627.0)</f>
        <v>6627</v>
      </c>
      <c r="D4374" s="5">
        <f>IFERROR(__xludf.DUMMYFUNCTION("""COMPUTED_VALUE"""),0.38336079077429985)</f>
        <v>0.3833607908</v>
      </c>
      <c r="E4374" s="5">
        <f>IFERROR(__xludf.DUMMYFUNCTION("""COMPUTED_VALUE"""),0.11828665568369028)</f>
        <v>0.1182866557</v>
      </c>
      <c r="F4374" s="5">
        <f>IFERROR(__xludf.DUMMYFUNCTION("""COMPUTED_VALUE"""),0.21367380560131796)</f>
        <v>0.2136738056</v>
      </c>
      <c r="G4374" s="5">
        <f>IFERROR(__xludf.DUMMYFUNCTION("""COMPUTED_VALUE"""),0.14233937397034596)</f>
        <v>0.142339374</v>
      </c>
      <c r="H4374" s="5">
        <f>IFERROR(__xludf.DUMMYFUNCTION("""COMPUTED_VALUE"""),0.5882806476484195)</f>
        <v>0.5882806476</v>
      </c>
      <c r="I4374" s="11">
        <f>IFERROR(__xludf.DUMMYFUNCTION("""COMPUTED_VALUE"""),5528.9899768697)</f>
        <v>5528.989977</v>
      </c>
      <c r="J4374" s="10">
        <f>IFERROR(__xludf.DUMMYFUNCTION("""COMPUTED_VALUE"""),2.0)</f>
        <v>2</v>
      </c>
      <c r="K4374" s="5">
        <f>IFERROR(__xludf.DUMMYFUNCTION("""COMPUTED_VALUE"""),0.003590664272890485)</f>
        <v>0.003590664273</v>
      </c>
      <c r="L4374" s="10">
        <f>IFERROR(__xludf.DUMMYFUNCTION("""COMPUTED_VALUE"""),0.0)</f>
        <v>0</v>
      </c>
      <c r="M4374" s="5">
        <f>IFERROR(__xludf.DUMMYFUNCTION("""COMPUTED_VALUE"""),0.0)</f>
        <v>0</v>
      </c>
    </row>
    <row r="4375">
      <c r="A4375" s="10" t="str">
        <f>IFERROR(__xludf.DUMMYFUNCTION("""COMPUTED_VALUE"""),"zeRo")</f>
        <v>zeRo</v>
      </c>
      <c r="B4375" s="10">
        <f>IFERROR(__xludf.DUMMYFUNCTION("""COMPUTED_VALUE"""),8157.0)</f>
        <v>8157</v>
      </c>
      <c r="C4375" s="10">
        <f>IFERROR(__xludf.DUMMYFUNCTION("""COMPUTED_VALUE"""),95363.0)</f>
        <v>95363</v>
      </c>
      <c r="D4375" s="5">
        <f>IFERROR(__xludf.DUMMYFUNCTION("""COMPUTED_VALUE"""),0.3387725615209963)</f>
        <v>0.3387725615</v>
      </c>
      <c r="E4375" s="5">
        <f>IFERROR(__xludf.DUMMYFUNCTION("""COMPUTED_VALUE"""),0.11828314565511547)</f>
        <v>0.1182831457</v>
      </c>
      <c r="F4375" s="5">
        <f>IFERROR(__xludf.DUMMYFUNCTION("""COMPUTED_VALUE"""),0.21758823934132973)</f>
        <v>0.2175882393</v>
      </c>
      <c r="G4375" s="5">
        <f>IFERROR(__xludf.DUMMYFUNCTION("""COMPUTED_VALUE"""),0.18275118684494185)</f>
        <v>0.1827511868</v>
      </c>
      <c r="H4375" s="5">
        <f>IFERROR(__xludf.DUMMYFUNCTION("""COMPUTED_VALUE"""),0.591357048748353)</f>
        <v>0.5913570487</v>
      </c>
      <c r="I4375" s="11">
        <f>IFERROR(__xludf.DUMMYFUNCTION("""COMPUTED_VALUE"""),5808.263504611331)</f>
        <v>5808.263505</v>
      </c>
      <c r="J4375" s="10">
        <f>IFERROR(__xludf.DUMMYFUNCTION("""COMPUTED_VALUE"""),12.0)</f>
        <v>12</v>
      </c>
      <c r="K4375" s="5">
        <f>IFERROR(__xludf.DUMMYFUNCTION("""COMPUTED_VALUE"""),0.001471129091577786)</f>
        <v>0.001471129092</v>
      </c>
      <c r="L4375" s="10">
        <f>IFERROR(__xludf.DUMMYFUNCTION("""COMPUTED_VALUE"""),8156.0)</f>
        <v>8156</v>
      </c>
      <c r="M4375" s="5">
        <f>IFERROR(__xludf.DUMMYFUNCTION("""COMPUTED_VALUE"""),0.9998774059090352)</f>
        <v>0.9998774059</v>
      </c>
    </row>
    <row r="4376">
      <c r="A4376" s="10" t="str">
        <f>IFERROR(__xludf.DUMMYFUNCTION("""COMPUTED_VALUE"""),"-慶次-")</f>
        <v>-慶次-</v>
      </c>
      <c r="B4376" s="10">
        <f>IFERROR(__xludf.DUMMYFUNCTION("""COMPUTED_VALUE"""),761.0)</f>
        <v>761</v>
      </c>
      <c r="C4376" s="10">
        <f>IFERROR(__xludf.DUMMYFUNCTION("""COMPUTED_VALUE"""),9004.0)</f>
        <v>9004</v>
      </c>
      <c r="D4376" s="5">
        <f>IFERROR(__xludf.DUMMYFUNCTION("""COMPUTED_VALUE"""),0.32912774475312384)</f>
        <v>0.3291277448</v>
      </c>
      <c r="E4376" s="5">
        <f>IFERROR(__xludf.DUMMYFUNCTION("""COMPUTED_VALUE"""),0.11828217881839136)</f>
        <v>0.1182821788</v>
      </c>
      <c r="F4376" s="5">
        <f>IFERROR(__xludf.DUMMYFUNCTION("""COMPUTED_VALUE"""),0.20004852602207934)</f>
        <v>0.200048526</v>
      </c>
      <c r="G4376" s="5">
        <f>IFERROR(__xludf.DUMMYFUNCTION("""COMPUTED_VALUE"""),0.14290913502365643)</f>
        <v>0.142909135</v>
      </c>
      <c r="H4376" s="5">
        <f>IFERROR(__xludf.DUMMYFUNCTION("""COMPUTED_VALUE"""),0.5870224378411159)</f>
        <v>0.5870224378</v>
      </c>
      <c r="I4376" s="11">
        <f>IFERROR(__xludf.DUMMYFUNCTION("""COMPUTED_VALUE"""),5857.85324439054)</f>
        <v>5857.853244</v>
      </c>
      <c r="J4376" s="10">
        <f>IFERROR(__xludf.DUMMYFUNCTION("""COMPUTED_VALUE"""),5.0)</f>
        <v>5</v>
      </c>
      <c r="K4376" s="5">
        <f>IFERROR(__xludf.DUMMYFUNCTION("""COMPUTED_VALUE"""),0.006570302233902759)</f>
        <v>0.006570302234</v>
      </c>
      <c r="L4376" s="10">
        <f>IFERROR(__xludf.DUMMYFUNCTION("""COMPUTED_VALUE"""),718.0)</f>
        <v>718</v>
      </c>
      <c r="M4376" s="5">
        <f>IFERROR(__xludf.DUMMYFUNCTION("""COMPUTED_VALUE"""),0.9434954007884363)</f>
        <v>0.9434954008</v>
      </c>
    </row>
    <row r="4377">
      <c r="A4377" s="10" t="str">
        <f>IFERROR(__xludf.DUMMYFUNCTION("""COMPUTED_VALUE"""),"wax")</f>
        <v>wax</v>
      </c>
      <c r="B4377" s="10">
        <f>IFERROR(__xludf.DUMMYFUNCTION("""COMPUTED_VALUE"""),141.0)</f>
        <v>141</v>
      </c>
      <c r="C4377" s="10">
        <f>IFERROR(__xludf.DUMMYFUNCTION("""COMPUTED_VALUE"""),1722.0)</f>
        <v>1722</v>
      </c>
      <c r="D4377" s="5">
        <f>IFERROR(__xludf.DUMMYFUNCTION("""COMPUTED_VALUE"""),0.33649588867805186)</f>
        <v>0.3364958887</v>
      </c>
      <c r="E4377" s="5">
        <f>IFERROR(__xludf.DUMMYFUNCTION("""COMPUTED_VALUE"""),0.11827956989247312)</f>
        <v>0.1182795699</v>
      </c>
      <c r="F4377" s="5">
        <f>IFERROR(__xludf.DUMMYFUNCTION("""COMPUTED_VALUE"""),0.20113851992409867)</f>
        <v>0.2011385199</v>
      </c>
      <c r="G4377" s="5">
        <f>IFERROR(__xludf.DUMMYFUNCTION("""COMPUTED_VALUE"""),0.1568627450980392)</f>
        <v>0.1568627451</v>
      </c>
      <c r="H4377" s="5">
        <f>IFERROR(__xludf.DUMMYFUNCTION("""COMPUTED_VALUE"""),0.5817610062893082)</f>
        <v>0.5817610063</v>
      </c>
      <c r="I4377" s="11">
        <f>IFERROR(__xludf.DUMMYFUNCTION("""COMPUTED_VALUE"""),5599.37106918239)</f>
        <v>5599.371069</v>
      </c>
      <c r="J4377" s="10">
        <f>IFERROR(__xludf.DUMMYFUNCTION("""COMPUTED_VALUE"""),0.0)</f>
        <v>0</v>
      </c>
      <c r="K4377" s="5">
        <f>IFERROR(__xludf.DUMMYFUNCTION("""COMPUTED_VALUE"""),0.0)</f>
        <v>0</v>
      </c>
      <c r="L4377" s="10">
        <f>IFERROR(__xludf.DUMMYFUNCTION("""COMPUTED_VALUE"""),53.0)</f>
        <v>53</v>
      </c>
      <c r="M4377" s="5">
        <f>IFERROR(__xludf.DUMMYFUNCTION("""COMPUTED_VALUE"""),0.375886524822695)</f>
        <v>0.3758865248</v>
      </c>
    </row>
    <row r="4378">
      <c r="A4378" s="10" t="str">
        <f>IFERROR(__xludf.DUMMYFUNCTION("""COMPUTED_VALUE"""),"大鳥獅子吼")</f>
        <v>大鳥獅子吼</v>
      </c>
      <c r="B4378" s="10">
        <f>IFERROR(__xludf.DUMMYFUNCTION("""COMPUTED_VALUE"""),301.0)</f>
        <v>301</v>
      </c>
      <c r="C4378" s="10">
        <f>IFERROR(__xludf.DUMMYFUNCTION("""COMPUTED_VALUE"""),3548.0)</f>
        <v>3548</v>
      </c>
      <c r="D4378" s="5">
        <f>IFERROR(__xludf.DUMMYFUNCTION("""COMPUTED_VALUE"""),0.39574992300585154)</f>
        <v>0.395749923</v>
      </c>
      <c r="E4378" s="5">
        <f>IFERROR(__xludf.DUMMYFUNCTION("""COMPUTED_VALUE"""),0.11826301201108716)</f>
        <v>0.118263012</v>
      </c>
      <c r="F4378" s="5">
        <f>IFERROR(__xludf.DUMMYFUNCTION("""COMPUTED_VALUE"""),0.22051124114567294)</f>
        <v>0.2205112411</v>
      </c>
      <c r="G4378" s="5">
        <f>IFERROR(__xludf.DUMMYFUNCTION("""COMPUTED_VALUE"""),0.1619956883276871)</f>
        <v>0.1619956883</v>
      </c>
      <c r="H4378" s="5">
        <f>IFERROR(__xludf.DUMMYFUNCTION("""COMPUTED_VALUE"""),0.5921787709497207)</f>
        <v>0.5921787709</v>
      </c>
      <c r="I4378" s="11">
        <f>IFERROR(__xludf.DUMMYFUNCTION("""COMPUTED_VALUE"""),5179.469273743017)</f>
        <v>5179.469274</v>
      </c>
      <c r="J4378" s="10">
        <f>IFERROR(__xludf.DUMMYFUNCTION("""COMPUTED_VALUE"""),0.0)</f>
        <v>0</v>
      </c>
      <c r="K4378" s="5">
        <f>IFERROR(__xludf.DUMMYFUNCTION("""COMPUTED_VALUE"""),0.0)</f>
        <v>0</v>
      </c>
      <c r="L4378" s="10">
        <f>IFERROR(__xludf.DUMMYFUNCTION("""COMPUTED_VALUE"""),301.0)</f>
        <v>301</v>
      </c>
      <c r="M4378" s="5">
        <f>IFERROR(__xludf.DUMMYFUNCTION("""COMPUTED_VALUE"""),1.0)</f>
        <v>1</v>
      </c>
    </row>
    <row r="4379">
      <c r="A4379" s="10" t="str">
        <f>IFERROR(__xludf.DUMMYFUNCTION("""COMPUTED_VALUE"""),"ぱーそん")</f>
        <v>ぱーそん</v>
      </c>
      <c r="B4379" s="10">
        <f>IFERROR(__xludf.DUMMYFUNCTION("""COMPUTED_VALUE"""),2299.0)</f>
        <v>2299</v>
      </c>
      <c r="C4379" s="10">
        <f>IFERROR(__xludf.DUMMYFUNCTION("""COMPUTED_VALUE"""),26935.0)</f>
        <v>26935</v>
      </c>
      <c r="D4379" s="5">
        <f>IFERROR(__xludf.DUMMYFUNCTION("""COMPUTED_VALUE"""),0.3268387725280078)</f>
        <v>0.3268387725</v>
      </c>
      <c r="E4379" s="5">
        <f>IFERROR(__xludf.DUMMYFUNCTION("""COMPUTED_VALUE"""),0.1182415976619581)</f>
        <v>0.1182415977</v>
      </c>
      <c r="F4379" s="5">
        <f>IFERROR(__xludf.DUMMYFUNCTION("""COMPUTED_VALUE"""),0.20685176164961844)</f>
        <v>0.2068517616</v>
      </c>
      <c r="G4379" s="5">
        <f>IFERROR(__xludf.DUMMYFUNCTION("""COMPUTED_VALUE"""),0.15818314661471017)</f>
        <v>0.1581831466</v>
      </c>
      <c r="H4379" s="5">
        <f>IFERROR(__xludf.DUMMYFUNCTION("""COMPUTED_VALUE"""),0.6012558869701727)</f>
        <v>0.601255887</v>
      </c>
      <c r="I4379" s="11">
        <f>IFERROR(__xludf.DUMMYFUNCTION("""COMPUTED_VALUE"""),5446.7032967032965)</f>
        <v>5446.703297</v>
      </c>
      <c r="J4379" s="10">
        <f>IFERROR(__xludf.DUMMYFUNCTION("""COMPUTED_VALUE"""),7.0)</f>
        <v>7</v>
      </c>
      <c r="K4379" s="5">
        <f>IFERROR(__xludf.DUMMYFUNCTION("""COMPUTED_VALUE"""),0.003044802087864289)</f>
        <v>0.003044802088</v>
      </c>
      <c r="L4379" s="10">
        <f>IFERROR(__xludf.DUMMYFUNCTION("""COMPUTED_VALUE"""),2299.0)</f>
        <v>2299</v>
      </c>
      <c r="M4379" s="5">
        <f>IFERROR(__xludf.DUMMYFUNCTION("""COMPUTED_VALUE"""),1.0)</f>
        <v>1</v>
      </c>
    </row>
    <row r="4380">
      <c r="A4380" s="10" t="str">
        <f>IFERROR(__xludf.DUMMYFUNCTION("""COMPUTED_VALUE"""),"ベルだけ設定６")</f>
        <v>ベルだけ設定６</v>
      </c>
      <c r="B4380" s="10">
        <f>IFERROR(__xludf.DUMMYFUNCTION("""COMPUTED_VALUE"""),3823.0)</f>
        <v>3823</v>
      </c>
      <c r="C4380" s="10">
        <f>IFERROR(__xludf.DUMMYFUNCTION("""COMPUTED_VALUE"""),45047.0)</f>
        <v>45047</v>
      </c>
      <c r="D4380" s="5">
        <f>IFERROR(__xludf.DUMMYFUNCTION("""COMPUTED_VALUE"""),0.30795167863380557)</f>
        <v>0.3079516786</v>
      </c>
      <c r="E4380" s="5">
        <f>IFERROR(__xludf.DUMMYFUNCTION("""COMPUTED_VALUE"""),0.11823209780710266)</f>
        <v>0.1182320978</v>
      </c>
      <c r="F4380" s="5">
        <f>IFERROR(__xludf.DUMMYFUNCTION("""COMPUTED_VALUE"""),0.2007810983892878)</f>
        <v>0.2007810984</v>
      </c>
      <c r="G4380" s="5">
        <f>IFERROR(__xludf.DUMMYFUNCTION("""COMPUTED_VALUE"""),0.17407335532699397)</f>
        <v>0.1740733553</v>
      </c>
      <c r="H4380" s="5">
        <f>IFERROR(__xludf.DUMMYFUNCTION("""COMPUTED_VALUE"""),0.5845112963634167)</f>
        <v>0.5845112964</v>
      </c>
      <c r="I4380" s="11">
        <f>IFERROR(__xludf.DUMMYFUNCTION("""COMPUTED_VALUE"""),5889.815150416818)</f>
        <v>5889.81515</v>
      </c>
      <c r="J4380" s="10">
        <f>IFERROR(__xludf.DUMMYFUNCTION("""COMPUTED_VALUE"""),5.0)</f>
        <v>5</v>
      </c>
      <c r="K4380" s="5">
        <f>IFERROR(__xludf.DUMMYFUNCTION("""COMPUTED_VALUE"""),0.0013078733978550876)</f>
        <v>0.001307873398</v>
      </c>
      <c r="L4380" s="10">
        <f>IFERROR(__xludf.DUMMYFUNCTION("""COMPUTED_VALUE"""),3823.0)</f>
        <v>3823</v>
      </c>
      <c r="M4380" s="5">
        <f>IFERROR(__xludf.DUMMYFUNCTION("""COMPUTED_VALUE"""),1.0)</f>
        <v>1</v>
      </c>
    </row>
    <row r="4381">
      <c r="A4381" s="10" t="str">
        <f>IFERROR(__xludf.DUMMYFUNCTION("""COMPUTED_VALUE"""),"かるかるかるみん")</f>
        <v>かるかるかるみん</v>
      </c>
      <c r="B4381" s="10">
        <f>IFERROR(__xludf.DUMMYFUNCTION("""COMPUTED_VALUE"""),569.0)</f>
        <v>569</v>
      </c>
      <c r="C4381" s="10">
        <f>IFERROR(__xludf.DUMMYFUNCTION("""COMPUTED_VALUE"""),6676.0)</f>
        <v>6676</v>
      </c>
      <c r="D4381" s="5">
        <f>IFERROR(__xludf.DUMMYFUNCTION("""COMPUTED_VALUE"""),0.3274930407728836)</f>
        <v>0.3274930408</v>
      </c>
      <c r="E4381" s="5">
        <f>IFERROR(__xludf.DUMMYFUNCTION("""COMPUTED_VALUE"""),0.11822498771901097)</f>
        <v>0.1182249877</v>
      </c>
      <c r="F4381" s="5">
        <f>IFERROR(__xludf.DUMMYFUNCTION("""COMPUTED_VALUE"""),0.2092680530538726)</f>
        <v>0.2092680531</v>
      </c>
      <c r="G4381" s="5">
        <f>IFERROR(__xludf.DUMMYFUNCTION("""COMPUTED_VALUE"""),0.16816767643687572)</f>
        <v>0.1681676764</v>
      </c>
      <c r="H4381" s="5">
        <f>IFERROR(__xludf.DUMMYFUNCTION("""COMPUTED_VALUE"""),0.593114241001565)</f>
        <v>0.593114241</v>
      </c>
      <c r="I4381" s="11">
        <f>IFERROR(__xludf.DUMMYFUNCTION("""COMPUTED_VALUE"""),5339.593114241002)</f>
        <v>5339.593114</v>
      </c>
      <c r="J4381" s="10">
        <f>IFERROR(__xludf.DUMMYFUNCTION("""COMPUTED_VALUE"""),1.0)</f>
        <v>1</v>
      </c>
      <c r="K4381" s="5">
        <f>IFERROR(__xludf.DUMMYFUNCTION("""COMPUTED_VALUE"""),0.0017574692442882249)</f>
        <v>0.001757469244</v>
      </c>
      <c r="L4381" s="10">
        <f>IFERROR(__xludf.DUMMYFUNCTION("""COMPUTED_VALUE"""),569.0)</f>
        <v>569</v>
      </c>
      <c r="M4381" s="5">
        <f>IFERROR(__xludf.DUMMYFUNCTION("""COMPUTED_VALUE"""),1.0)</f>
        <v>1</v>
      </c>
    </row>
    <row r="4382">
      <c r="A4382" s="10" t="str">
        <f>IFERROR(__xludf.DUMMYFUNCTION("""COMPUTED_VALUE"""),"小林賢")</f>
        <v>小林賢</v>
      </c>
      <c r="B4382" s="10">
        <f>IFERROR(__xludf.DUMMYFUNCTION("""COMPUTED_VALUE"""),180.0)</f>
        <v>180</v>
      </c>
      <c r="C4382" s="10">
        <f>IFERROR(__xludf.DUMMYFUNCTION("""COMPUTED_VALUE"""),2117.0)</f>
        <v>2117</v>
      </c>
      <c r="D4382" s="5">
        <f>IFERROR(__xludf.DUMMYFUNCTION("""COMPUTED_VALUE"""),0.29375322663913267)</f>
        <v>0.2937532266</v>
      </c>
      <c r="E4382" s="5">
        <f>IFERROR(__xludf.DUMMYFUNCTION("""COMPUTED_VALUE"""),0.11822405782137325)</f>
        <v>0.1182240578</v>
      </c>
      <c r="F4382" s="5">
        <f>IFERROR(__xludf.DUMMYFUNCTION("""COMPUTED_VALUE"""),0.20908621579762518)</f>
        <v>0.2090862158</v>
      </c>
      <c r="G4382" s="5">
        <f>IFERROR(__xludf.DUMMYFUNCTION("""COMPUTED_VALUE"""),0.16933402168301498)</f>
        <v>0.1693340217</v>
      </c>
      <c r="H4382" s="5">
        <f>IFERROR(__xludf.DUMMYFUNCTION("""COMPUTED_VALUE"""),0.5530864197530864)</f>
        <v>0.5530864198</v>
      </c>
      <c r="I4382" s="11">
        <f>IFERROR(__xludf.DUMMYFUNCTION("""COMPUTED_VALUE"""),6107.407407407408)</f>
        <v>6107.407407</v>
      </c>
      <c r="J4382" s="10">
        <f>IFERROR(__xludf.DUMMYFUNCTION("""COMPUTED_VALUE"""),1.0)</f>
        <v>1</v>
      </c>
      <c r="K4382" s="5">
        <f>IFERROR(__xludf.DUMMYFUNCTION("""COMPUTED_VALUE"""),0.005555555555555556)</f>
        <v>0.005555555556</v>
      </c>
      <c r="L4382" s="10">
        <f>IFERROR(__xludf.DUMMYFUNCTION("""COMPUTED_VALUE"""),0.0)</f>
        <v>0</v>
      </c>
      <c r="M4382" s="5">
        <f>IFERROR(__xludf.DUMMYFUNCTION("""COMPUTED_VALUE"""),0.0)</f>
        <v>0</v>
      </c>
    </row>
    <row r="4383">
      <c r="A4383" s="10" t="str">
        <f>IFERROR(__xludf.DUMMYFUNCTION("""COMPUTED_VALUE"""),"銀ばさみ")</f>
        <v>銀ばさみ</v>
      </c>
      <c r="B4383" s="10">
        <f>IFERROR(__xludf.DUMMYFUNCTION("""COMPUTED_VALUE"""),1441.0)</f>
        <v>1441</v>
      </c>
      <c r="C4383" s="10">
        <f>IFERROR(__xludf.DUMMYFUNCTION("""COMPUTED_VALUE"""),16988.0)</f>
        <v>16988</v>
      </c>
      <c r="D4383" s="5">
        <f>IFERROR(__xludf.DUMMYFUNCTION("""COMPUTED_VALUE"""),0.32302051842799256)</f>
        <v>0.3230205184</v>
      </c>
      <c r="E4383" s="5">
        <f>IFERROR(__xludf.DUMMYFUNCTION("""COMPUTED_VALUE"""),0.11822216504791921)</f>
        <v>0.118222165</v>
      </c>
      <c r="F4383" s="5">
        <f>IFERROR(__xludf.DUMMYFUNCTION("""COMPUTED_VALUE"""),0.2163761497394996)</f>
        <v>0.2163761497</v>
      </c>
      <c r="G4383" s="5">
        <f>IFERROR(__xludf.DUMMYFUNCTION("""COMPUTED_VALUE"""),0.16556248793979547)</f>
        <v>0.1655624879</v>
      </c>
      <c r="H4383" s="5">
        <f>IFERROR(__xludf.DUMMYFUNCTION("""COMPUTED_VALUE"""),0.6073127229488704)</f>
        <v>0.6073127229</v>
      </c>
      <c r="I4383" s="11">
        <f>IFERROR(__xludf.DUMMYFUNCTION("""COMPUTED_VALUE"""),5571.313912009513)</f>
        <v>5571.313912</v>
      </c>
      <c r="J4383" s="10">
        <f>IFERROR(__xludf.DUMMYFUNCTION("""COMPUTED_VALUE"""),1.0)</f>
        <v>1</v>
      </c>
      <c r="K4383" s="5">
        <f>IFERROR(__xludf.DUMMYFUNCTION("""COMPUTED_VALUE"""),6.939625260235947E-4)</f>
        <v>0.000693962526</v>
      </c>
      <c r="L4383" s="10">
        <f>IFERROR(__xludf.DUMMYFUNCTION("""COMPUTED_VALUE"""),1441.0)</f>
        <v>1441</v>
      </c>
      <c r="M4383" s="5">
        <f>IFERROR(__xludf.DUMMYFUNCTION("""COMPUTED_VALUE"""),1.0)</f>
        <v>1</v>
      </c>
    </row>
    <row r="4384">
      <c r="A4384" s="10" t="str">
        <f>IFERROR(__xludf.DUMMYFUNCTION("""COMPUTED_VALUE"""),"一連卓上")</f>
        <v>一連卓上</v>
      </c>
      <c r="B4384" s="10">
        <f>IFERROR(__xludf.DUMMYFUNCTION("""COMPUTED_VALUE"""),106.0)</f>
        <v>106</v>
      </c>
      <c r="C4384" s="10">
        <f>IFERROR(__xludf.DUMMYFUNCTION("""COMPUTED_VALUE"""),1248.0)</f>
        <v>1248</v>
      </c>
      <c r="D4384" s="5">
        <f>IFERROR(__xludf.DUMMYFUNCTION("""COMPUTED_VALUE"""),0.4098073555166375)</f>
        <v>0.4098073555</v>
      </c>
      <c r="E4384" s="5">
        <f>IFERROR(__xludf.DUMMYFUNCTION("""COMPUTED_VALUE"""),0.11821366024518389)</f>
        <v>0.1182136602</v>
      </c>
      <c r="F4384" s="5">
        <f>IFERROR(__xludf.DUMMYFUNCTION("""COMPUTED_VALUE"""),0.22329246935201402)</f>
        <v>0.2232924694</v>
      </c>
      <c r="G4384" s="5">
        <f>IFERROR(__xludf.DUMMYFUNCTION("""COMPUTED_VALUE"""),0.1690017513134851)</f>
        <v>0.1690017513</v>
      </c>
      <c r="H4384" s="5">
        <f>IFERROR(__xludf.DUMMYFUNCTION("""COMPUTED_VALUE"""),0.5333333333333333)</f>
        <v>0.5333333333</v>
      </c>
      <c r="I4384" s="11">
        <f>IFERROR(__xludf.DUMMYFUNCTION("""COMPUTED_VALUE"""),5300.392156862745)</f>
        <v>5300.392157</v>
      </c>
      <c r="J4384" s="10">
        <f>IFERROR(__xludf.DUMMYFUNCTION("""COMPUTED_VALUE"""),0.0)</f>
        <v>0</v>
      </c>
      <c r="K4384" s="5">
        <f>IFERROR(__xludf.DUMMYFUNCTION("""COMPUTED_VALUE"""),0.0)</f>
        <v>0</v>
      </c>
      <c r="L4384" s="10">
        <f>IFERROR(__xludf.DUMMYFUNCTION("""COMPUTED_VALUE"""),106.0)</f>
        <v>106</v>
      </c>
      <c r="M4384" s="5">
        <f>IFERROR(__xludf.DUMMYFUNCTION("""COMPUTED_VALUE"""),1.0)</f>
        <v>1</v>
      </c>
    </row>
    <row r="4385">
      <c r="A4385" s="10" t="str">
        <f>IFERROR(__xludf.DUMMYFUNCTION("""COMPUTED_VALUE"""),"ともわこう")</f>
        <v>ともわこう</v>
      </c>
      <c r="B4385" s="10">
        <f>IFERROR(__xludf.DUMMYFUNCTION("""COMPUTED_VALUE"""),960.0)</f>
        <v>960</v>
      </c>
      <c r="C4385" s="10">
        <f>IFERROR(__xludf.DUMMYFUNCTION("""COMPUTED_VALUE"""),11138.0)</f>
        <v>11138</v>
      </c>
      <c r="D4385" s="5">
        <f>IFERROR(__xludf.DUMMYFUNCTION("""COMPUTED_VALUE"""),0.33955590489290627)</f>
        <v>0.3395559049</v>
      </c>
      <c r="E4385" s="5">
        <f>IFERROR(__xludf.DUMMYFUNCTION("""COMPUTED_VALUE"""),0.11819610925525643)</f>
        <v>0.1181961093</v>
      </c>
      <c r="F4385" s="5">
        <f>IFERROR(__xludf.DUMMYFUNCTION("""COMPUTED_VALUE"""),0.21821575948123403)</f>
        <v>0.2182157595</v>
      </c>
      <c r="G4385" s="5">
        <f>IFERROR(__xludf.DUMMYFUNCTION("""COMPUTED_VALUE"""),0.1752800157201808)</f>
        <v>0.1752800157</v>
      </c>
      <c r="H4385" s="5">
        <f>IFERROR(__xludf.DUMMYFUNCTION("""COMPUTED_VALUE"""),0.5992796037820801)</f>
        <v>0.5992796038</v>
      </c>
      <c r="I4385" s="11">
        <f>IFERROR(__xludf.DUMMYFUNCTION("""COMPUTED_VALUE"""),5614.903196758217)</f>
        <v>5614.903197</v>
      </c>
      <c r="J4385" s="10">
        <f>IFERROR(__xludf.DUMMYFUNCTION("""COMPUTED_VALUE"""),2.0)</f>
        <v>2</v>
      </c>
      <c r="K4385" s="5">
        <f>IFERROR(__xludf.DUMMYFUNCTION("""COMPUTED_VALUE"""),0.0020833333333333333)</f>
        <v>0.002083333333</v>
      </c>
      <c r="L4385" s="10">
        <f>IFERROR(__xludf.DUMMYFUNCTION("""COMPUTED_VALUE"""),960.0)</f>
        <v>960</v>
      </c>
      <c r="M4385" s="5">
        <f>IFERROR(__xludf.DUMMYFUNCTION("""COMPUTED_VALUE"""),1.0)</f>
        <v>1</v>
      </c>
    </row>
    <row r="4386">
      <c r="A4386" s="10" t="str">
        <f>IFERROR(__xludf.DUMMYFUNCTION("""COMPUTED_VALUE"""),"やめてけれ３")</f>
        <v>やめてけれ３</v>
      </c>
      <c r="B4386" s="10">
        <f>IFERROR(__xludf.DUMMYFUNCTION("""COMPUTED_VALUE"""),128.0)</f>
        <v>128</v>
      </c>
      <c r="C4386" s="10">
        <f>IFERROR(__xludf.DUMMYFUNCTION("""COMPUTED_VALUE"""),1465.0)</f>
        <v>1465</v>
      </c>
      <c r="D4386" s="5">
        <f>IFERROR(__xludf.DUMMYFUNCTION("""COMPUTED_VALUE"""),0.3410620792819746)</f>
        <v>0.3410620793</v>
      </c>
      <c r="E4386" s="5">
        <f>IFERROR(__xludf.DUMMYFUNCTION("""COMPUTED_VALUE"""),0.11817501869857891)</f>
        <v>0.1181750187</v>
      </c>
      <c r="F4386" s="5">
        <f>IFERROR(__xludf.DUMMYFUNCTION("""COMPUTED_VALUE"""),0.2236350037397158)</f>
        <v>0.2236350037</v>
      </c>
      <c r="G4386" s="5">
        <f>IFERROR(__xludf.DUMMYFUNCTION("""COMPUTED_VALUE"""),0.16978309648466716)</f>
        <v>0.1697830965</v>
      </c>
      <c r="H4386" s="5">
        <f>IFERROR(__xludf.DUMMYFUNCTION("""COMPUTED_VALUE"""),0.5418060200668896)</f>
        <v>0.5418060201</v>
      </c>
      <c r="I4386" s="11">
        <f>IFERROR(__xludf.DUMMYFUNCTION("""COMPUTED_VALUE"""),6021.739130434783)</f>
        <v>6021.73913</v>
      </c>
      <c r="J4386" s="10">
        <f>IFERROR(__xludf.DUMMYFUNCTION("""COMPUTED_VALUE"""),0.0)</f>
        <v>0</v>
      </c>
      <c r="K4386" s="5">
        <f>IFERROR(__xludf.DUMMYFUNCTION("""COMPUTED_VALUE"""),0.0)</f>
        <v>0</v>
      </c>
      <c r="L4386" s="10">
        <f>IFERROR(__xludf.DUMMYFUNCTION("""COMPUTED_VALUE"""),0.0)</f>
        <v>0</v>
      </c>
      <c r="M4386" s="5">
        <f>IFERROR(__xludf.DUMMYFUNCTION("""COMPUTED_VALUE"""),0.0)</f>
        <v>0</v>
      </c>
    </row>
    <row r="4387">
      <c r="A4387" s="10" t="str">
        <f>IFERROR(__xludf.DUMMYFUNCTION("""COMPUTED_VALUE"""),"“rain”")</f>
        <v>“rain”</v>
      </c>
      <c r="B4387" s="10">
        <f>IFERROR(__xludf.DUMMYFUNCTION("""COMPUTED_VALUE"""),100.0)</f>
        <v>100</v>
      </c>
      <c r="C4387" s="10">
        <f>IFERROR(__xludf.DUMMYFUNCTION("""COMPUTED_VALUE"""),1217.0)</f>
        <v>1217</v>
      </c>
      <c r="D4387" s="5">
        <f>IFERROR(__xludf.DUMMYFUNCTION("""COMPUTED_VALUE"""),0.39659803043867503)</f>
        <v>0.3965980304</v>
      </c>
      <c r="E4387" s="5">
        <f>IFERROR(__xludf.DUMMYFUNCTION("""COMPUTED_VALUE"""),0.11817367949865712)</f>
        <v>0.1181736795</v>
      </c>
      <c r="F4387" s="5">
        <f>IFERROR(__xludf.DUMMYFUNCTION("""COMPUTED_VALUE"""),0.19785138764547897)</f>
        <v>0.1978513876</v>
      </c>
      <c r="G4387" s="5">
        <f>IFERROR(__xludf.DUMMYFUNCTION("""COMPUTED_VALUE"""),0.18084153983885407)</f>
        <v>0.1808415398</v>
      </c>
      <c r="H4387" s="5">
        <f>IFERROR(__xludf.DUMMYFUNCTION("""COMPUTED_VALUE"""),0.579185520361991)</f>
        <v>0.5791855204</v>
      </c>
      <c r="I4387" s="11">
        <f>IFERROR(__xludf.DUMMYFUNCTION("""COMPUTED_VALUE"""),4691.402714932126)</f>
        <v>4691.402715</v>
      </c>
      <c r="J4387" s="10">
        <f>IFERROR(__xludf.DUMMYFUNCTION("""COMPUTED_VALUE"""),0.0)</f>
        <v>0</v>
      </c>
      <c r="K4387" s="5">
        <f>IFERROR(__xludf.DUMMYFUNCTION("""COMPUTED_VALUE"""),0.0)</f>
        <v>0</v>
      </c>
      <c r="L4387" s="10">
        <f>IFERROR(__xludf.DUMMYFUNCTION("""COMPUTED_VALUE"""),100.0)</f>
        <v>100</v>
      </c>
      <c r="M4387" s="5">
        <f>IFERROR(__xludf.DUMMYFUNCTION("""COMPUTED_VALUE"""),1.0)</f>
        <v>1</v>
      </c>
    </row>
    <row r="4388">
      <c r="A4388" s="10" t="str">
        <f>IFERROR(__xludf.DUMMYFUNCTION("""COMPUTED_VALUE"""),"長風止息")</f>
        <v>長風止息</v>
      </c>
      <c r="B4388" s="10">
        <f>IFERROR(__xludf.DUMMYFUNCTION("""COMPUTED_VALUE"""),150.0)</f>
        <v>150</v>
      </c>
      <c r="C4388" s="10">
        <f>IFERROR(__xludf.DUMMYFUNCTION("""COMPUTED_VALUE"""),1724.0)</f>
        <v>1724</v>
      </c>
      <c r="D4388" s="5">
        <f>IFERROR(__xludf.DUMMYFUNCTION("""COMPUTED_VALUE"""),0.35895806861499363)</f>
        <v>0.3589580686</v>
      </c>
      <c r="E4388" s="5">
        <f>IFERROR(__xludf.DUMMYFUNCTION("""COMPUTED_VALUE"""),0.1181702668360864)</f>
        <v>0.1181702668</v>
      </c>
      <c r="F4388" s="5">
        <f>IFERROR(__xludf.DUMMYFUNCTION("""COMPUTED_VALUE"""),0.1963151207115629)</f>
        <v>0.1963151207</v>
      </c>
      <c r="G4388" s="5">
        <f>IFERROR(__xludf.DUMMYFUNCTION("""COMPUTED_VALUE"""),0.16518424396442186)</f>
        <v>0.165184244</v>
      </c>
      <c r="H4388" s="5">
        <f>IFERROR(__xludf.DUMMYFUNCTION("""COMPUTED_VALUE"""),0.6148867313915858)</f>
        <v>0.6148867314</v>
      </c>
      <c r="I4388" s="11">
        <f>IFERROR(__xludf.DUMMYFUNCTION("""COMPUTED_VALUE"""),5381.553398058252)</f>
        <v>5381.553398</v>
      </c>
      <c r="J4388" s="10">
        <f>IFERROR(__xludf.DUMMYFUNCTION("""COMPUTED_VALUE"""),0.0)</f>
        <v>0</v>
      </c>
      <c r="K4388" s="5">
        <f>IFERROR(__xludf.DUMMYFUNCTION("""COMPUTED_VALUE"""),0.0)</f>
        <v>0</v>
      </c>
      <c r="L4388" s="10">
        <f>IFERROR(__xludf.DUMMYFUNCTION("""COMPUTED_VALUE"""),111.0)</f>
        <v>111</v>
      </c>
      <c r="M4388" s="5">
        <f>IFERROR(__xludf.DUMMYFUNCTION("""COMPUTED_VALUE"""),0.74)</f>
        <v>0.74</v>
      </c>
    </row>
    <row r="4389">
      <c r="A4389" s="10" t="str">
        <f>IFERROR(__xludf.DUMMYFUNCTION("""COMPUTED_VALUE"""),"なんなんだー")</f>
        <v>なんなんだー</v>
      </c>
      <c r="B4389" s="10">
        <f>IFERROR(__xludf.DUMMYFUNCTION("""COMPUTED_VALUE"""),490.0)</f>
        <v>490</v>
      </c>
      <c r="C4389" s="10">
        <f>IFERROR(__xludf.DUMMYFUNCTION("""COMPUTED_VALUE"""),5779.0)</f>
        <v>5779</v>
      </c>
      <c r="D4389" s="5">
        <f>IFERROR(__xludf.DUMMYFUNCTION("""COMPUTED_VALUE"""),0.3961051238419361)</f>
        <v>0.3961051238</v>
      </c>
      <c r="E4389" s="5">
        <f>IFERROR(__xludf.DUMMYFUNCTION("""COMPUTED_VALUE"""),0.11816978634902628)</f>
        <v>0.1181697863</v>
      </c>
      <c r="F4389" s="5">
        <f>IFERROR(__xludf.DUMMYFUNCTION("""COMPUTED_VALUE"""),0.21686519190773304)</f>
        <v>0.2168651919</v>
      </c>
      <c r="G4389" s="5">
        <f>IFERROR(__xludf.DUMMYFUNCTION("""COMPUTED_VALUE"""),0.16846284741917186)</f>
        <v>0.1684628474</v>
      </c>
      <c r="H4389" s="5">
        <f>IFERROR(__xludf.DUMMYFUNCTION("""COMPUTED_VALUE"""),0.6068003487358327)</f>
        <v>0.6068003487</v>
      </c>
      <c r="I4389" s="11">
        <f>IFERROR(__xludf.DUMMYFUNCTION("""COMPUTED_VALUE"""),5617.523975588491)</f>
        <v>5617.523976</v>
      </c>
      <c r="J4389" s="10">
        <f>IFERROR(__xludf.DUMMYFUNCTION("""COMPUTED_VALUE"""),1.0)</f>
        <v>1</v>
      </c>
      <c r="K4389" s="5">
        <f>IFERROR(__xludf.DUMMYFUNCTION("""COMPUTED_VALUE"""),0.0020408163265306124)</f>
        <v>0.002040816327</v>
      </c>
      <c r="L4389" s="10">
        <f>IFERROR(__xludf.DUMMYFUNCTION("""COMPUTED_VALUE"""),490.0)</f>
        <v>490</v>
      </c>
      <c r="M4389" s="5">
        <f>IFERROR(__xludf.DUMMYFUNCTION("""COMPUTED_VALUE"""),1.0)</f>
        <v>1</v>
      </c>
    </row>
    <row r="4390">
      <c r="A4390" s="10" t="str">
        <f>IFERROR(__xludf.DUMMYFUNCTION("""COMPUTED_VALUE"""),"T-2")</f>
        <v>T-2</v>
      </c>
      <c r="B4390" s="10">
        <f>IFERROR(__xludf.DUMMYFUNCTION("""COMPUTED_VALUE"""),128.0)</f>
        <v>128</v>
      </c>
      <c r="C4390" s="10">
        <f>IFERROR(__xludf.DUMMYFUNCTION("""COMPUTED_VALUE"""),1499.0)</f>
        <v>1499</v>
      </c>
      <c r="D4390" s="5">
        <f>IFERROR(__xludf.DUMMYFUNCTION("""COMPUTED_VALUE"""),0.4215900802334063)</f>
        <v>0.4215900802</v>
      </c>
      <c r="E4390" s="5">
        <f>IFERROR(__xludf.DUMMYFUNCTION("""COMPUTED_VALUE"""),0.11816192560175055)</f>
        <v>0.1181619256</v>
      </c>
      <c r="F4390" s="5">
        <f>IFERROR(__xludf.DUMMYFUNCTION("""COMPUTED_VALUE"""),0.2137126185266229)</f>
        <v>0.2137126185</v>
      </c>
      <c r="G4390" s="5">
        <f>IFERROR(__xludf.DUMMYFUNCTION("""COMPUTED_VALUE"""),0.16630196936542668)</f>
        <v>0.1663019694</v>
      </c>
      <c r="H4390" s="5">
        <f>IFERROR(__xludf.DUMMYFUNCTION("""COMPUTED_VALUE"""),0.6040955631399317)</f>
        <v>0.6040955631</v>
      </c>
      <c r="I4390" s="11">
        <f>IFERROR(__xludf.DUMMYFUNCTION("""COMPUTED_VALUE"""),5165.18771331058)</f>
        <v>5165.187713</v>
      </c>
      <c r="J4390" s="10">
        <f>IFERROR(__xludf.DUMMYFUNCTION("""COMPUTED_VALUE"""),1.0)</f>
        <v>1</v>
      </c>
      <c r="K4390" s="5">
        <f>IFERROR(__xludf.DUMMYFUNCTION("""COMPUTED_VALUE"""),0.0078125)</f>
        <v>0.0078125</v>
      </c>
      <c r="L4390" s="10">
        <f>IFERROR(__xludf.DUMMYFUNCTION("""COMPUTED_VALUE"""),128.0)</f>
        <v>128</v>
      </c>
      <c r="M4390" s="5">
        <f>IFERROR(__xludf.DUMMYFUNCTION("""COMPUTED_VALUE"""),1.0)</f>
        <v>1</v>
      </c>
    </row>
    <row r="4391">
      <c r="A4391" s="10" t="str">
        <f>IFERROR(__xludf.DUMMYFUNCTION("""COMPUTED_VALUE"""),"お知らせ")</f>
        <v>お知らせ</v>
      </c>
      <c r="B4391" s="10">
        <f>IFERROR(__xludf.DUMMYFUNCTION("""COMPUTED_VALUE"""),4306.0)</f>
        <v>4306</v>
      </c>
      <c r="C4391" s="10">
        <f>IFERROR(__xludf.DUMMYFUNCTION("""COMPUTED_VALUE"""),50007.0)</f>
        <v>50007</v>
      </c>
      <c r="D4391" s="5">
        <f>IFERROR(__xludf.DUMMYFUNCTION("""COMPUTED_VALUE"""),0.29979650335878866)</f>
        <v>0.2997965034</v>
      </c>
      <c r="E4391" s="5">
        <f>IFERROR(__xludf.DUMMYFUNCTION("""COMPUTED_VALUE"""),0.11815934005820442)</f>
        <v>0.1181593401</v>
      </c>
      <c r="F4391" s="5">
        <f>IFERROR(__xludf.DUMMYFUNCTION("""COMPUTED_VALUE"""),0.210980066081705)</f>
        <v>0.2109800661</v>
      </c>
      <c r="G4391" s="5">
        <f>IFERROR(__xludf.DUMMYFUNCTION("""COMPUTED_VALUE"""),0.19769808100479203)</f>
        <v>0.197698081</v>
      </c>
      <c r="H4391" s="5">
        <f>IFERROR(__xludf.DUMMYFUNCTION("""COMPUTED_VALUE"""),0.5855631611698817)</f>
        <v>0.5855631612</v>
      </c>
      <c r="I4391" s="11">
        <f>IFERROR(__xludf.DUMMYFUNCTION("""COMPUTED_VALUE"""),5850.7778469197265)</f>
        <v>5850.777847</v>
      </c>
      <c r="J4391" s="10">
        <f>IFERROR(__xludf.DUMMYFUNCTION("""COMPUTED_VALUE"""),10.0)</f>
        <v>10</v>
      </c>
      <c r="K4391" s="5">
        <f>IFERROR(__xludf.DUMMYFUNCTION("""COMPUTED_VALUE"""),0.0023223409196470044)</f>
        <v>0.00232234092</v>
      </c>
      <c r="L4391" s="10">
        <f>IFERROR(__xludf.DUMMYFUNCTION("""COMPUTED_VALUE"""),4288.0)</f>
        <v>4288</v>
      </c>
      <c r="M4391" s="5">
        <f>IFERROR(__xludf.DUMMYFUNCTION("""COMPUTED_VALUE"""),0.9958197863446354)</f>
        <v>0.9958197863</v>
      </c>
    </row>
    <row r="4392">
      <c r="A4392" s="10" t="str">
        <f>IFERROR(__xludf.DUMMYFUNCTION("""COMPUTED_VALUE"""),"とまとま君")</f>
        <v>とまとま君</v>
      </c>
      <c r="B4392" s="10">
        <f>IFERROR(__xludf.DUMMYFUNCTION("""COMPUTED_VALUE"""),227.0)</f>
        <v>227</v>
      </c>
      <c r="C4392" s="10">
        <f>IFERROR(__xludf.DUMMYFUNCTION("""COMPUTED_VALUE"""),2656.0)</f>
        <v>2656</v>
      </c>
      <c r="D4392" s="5">
        <f>IFERROR(__xludf.DUMMYFUNCTION("""COMPUTED_VALUE"""),0.38987237546315356)</f>
        <v>0.3898723755</v>
      </c>
      <c r="E4392" s="5">
        <f>IFERROR(__xludf.DUMMYFUNCTION("""COMPUTED_VALUE"""),0.11815561959654179)</f>
        <v>0.1181556196</v>
      </c>
      <c r="F4392" s="5">
        <f>IFERROR(__xludf.DUMMYFUNCTION("""COMPUTED_VALUE"""),0.22354878550843968)</f>
        <v>0.2235487855</v>
      </c>
      <c r="G4392" s="5">
        <f>IFERROR(__xludf.DUMMYFUNCTION("""COMPUTED_VALUE"""),0.16467682173734047)</f>
        <v>0.1646768217</v>
      </c>
      <c r="H4392" s="5">
        <f>IFERROR(__xludf.DUMMYFUNCTION("""COMPUTED_VALUE"""),0.6279926335174953)</f>
        <v>0.6279926335</v>
      </c>
      <c r="I4392" s="11">
        <f>IFERROR(__xludf.DUMMYFUNCTION("""COMPUTED_VALUE"""),5465.193370165746)</f>
        <v>5465.19337</v>
      </c>
      <c r="J4392" s="10">
        <f>IFERROR(__xludf.DUMMYFUNCTION("""COMPUTED_VALUE"""),0.0)</f>
        <v>0</v>
      </c>
      <c r="K4392" s="5">
        <f>IFERROR(__xludf.DUMMYFUNCTION("""COMPUTED_VALUE"""),0.0)</f>
        <v>0</v>
      </c>
      <c r="L4392" s="10">
        <f>IFERROR(__xludf.DUMMYFUNCTION("""COMPUTED_VALUE"""),154.0)</f>
        <v>154</v>
      </c>
      <c r="M4392" s="5">
        <f>IFERROR(__xludf.DUMMYFUNCTION("""COMPUTED_VALUE"""),0.6784140969162996)</f>
        <v>0.6784140969</v>
      </c>
    </row>
    <row r="4393">
      <c r="A4393" s="10" t="str">
        <f>IFERROR(__xludf.DUMMYFUNCTION("""COMPUTED_VALUE"""),"ぷろすと")</f>
        <v>ぷろすと</v>
      </c>
      <c r="B4393" s="10">
        <f>IFERROR(__xludf.DUMMYFUNCTION("""COMPUTED_VALUE"""),107.0)</f>
        <v>107</v>
      </c>
      <c r="C4393" s="10">
        <f>IFERROR(__xludf.DUMMYFUNCTION("""COMPUTED_VALUE"""),1275.0)</f>
        <v>1275</v>
      </c>
      <c r="D4393" s="5">
        <f>IFERROR(__xludf.DUMMYFUNCTION("""COMPUTED_VALUE"""),0.3210616438356164)</f>
        <v>0.3210616438</v>
      </c>
      <c r="E4393" s="5">
        <f>IFERROR(__xludf.DUMMYFUNCTION("""COMPUTED_VALUE"""),0.11815068493150685)</f>
        <v>0.1181506849</v>
      </c>
      <c r="F4393" s="5">
        <f>IFERROR(__xludf.DUMMYFUNCTION("""COMPUTED_VALUE"""),0.2131849315068493)</f>
        <v>0.2131849315</v>
      </c>
      <c r="G4393" s="5">
        <f>IFERROR(__xludf.DUMMYFUNCTION("""COMPUTED_VALUE"""),0.14383561643835616)</f>
        <v>0.1438356164</v>
      </c>
      <c r="H4393" s="5">
        <f>IFERROR(__xludf.DUMMYFUNCTION("""COMPUTED_VALUE"""),0.6024096385542169)</f>
        <v>0.6024096386</v>
      </c>
      <c r="I4393" s="11">
        <f>IFERROR(__xludf.DUMMYFUNCTION("""COMPUTED_VALUE"""),5721.686746987952)</f>
        <v>5721.686747</v>
      </c>
      <c r="J4393" s="10">
        <f>IFERROR(__xludf.DUMMYFUNCTION("""COMPUTED_VALUE"""),0.0)</f>
        <v>0</v>
      </c>
      <c r="K4393" s="5">
        <f>IFERROR(__xludf.DUMMYFUNCTION("""COMPUTED_VALUE"""),0.0)</f>
        <v>0</v>
      </c>
      <c r="L4393" s="10">
        <f>IFERROR(__xludf.DUMMYFUNCTION("""COMPUTED_VALUE"""),107.0)</f>
        <v>107</v>
      </c>
      <c r="M4393" s="5">
        <f>IFERROR(__xludf.DUMMYFUNCTION("""COMPUTED_VALUE"""),1.0)</f>
        <v>1</v>
      </c>
    </row>
    <row r="4394">
      <c r="A4394" s="10" t="str">
        <f>IFERROR(__xludf.DUMMYFUNCTION("""COMPUTED_VALUE"""),"新開善文")</f>
        <v>新開善文</v>
      </c>
      <c r="B4394" s="10">
        <f>IFERROR(__xludf.DUMMYFUNCTION("""COMPUTED_VALUE"""),974.0)</f>
        <v>974</v>
      </c>
      <c r="C4394" s="10">
        <f>IFERROR(__xludf.DUMMYFUNCTION("""COMPUTED_VALUE"""),11529.0)</f>
        <v>11529</v>
      </c>
      <c r="D4394" s="5">
        <f>IFERROR(__xludf.DUMMYFUNCTION("""COMPUTED_VALUE"""),0.32250118427285646)</f>
        <v>0.3225011843</v>
      </c>
      <c r="E4394" s="5">
        <f>IFERROR(__xludf.DUMMYFUNCTION("""COMPUTED_VALUE"""),0.1181430601610611)</f>
        <v>0.1181430602</v>
      </c>
      <c r="F4394" s="5">
        <f>IFERROR(__xludf.DUMMYFUNCTION("""COMPUTED_VALUE"""),0.19943154902889626)</f>
        <v>0.199431549</v>
      </c>
      <c r="G4394" s="5">
        <f>IFERROR(__xludf.DUMMYFUNCTION("""COMPUTED_VALUE"""),0.16513500710563714)</f>
        <v>0.1651350071</v>
      </c>
      <c r="H4394" s="5">
        <f>IFERROR(__xludf.DUMMYFUNCTION("""COMPUTED_VALUE"""),0.5876484560570071)</f>
        <v>0.5876484561</v>
      </c>
      <c r="I4394" s="11">
        <f>IFERROR(__xludf.DUMMYFUNCTION("""COMPUTED_VALUE"""),5969.406175771972)</f>
        <v>5969.406176</v>
      </c>
      <c r="J4394" s="10">
        <f>IFERROR(__xludf.DUMMYFUNCTION("""COMPUTED_VALUE"""),2.0)</f>
        <v>2</v>
      </c>
      <c r="K4394" s="5">
        <f>IFERROR(__xludf.DUMMYFUNCTION("""COMPUTED_VALUE"""),0.002053388090349076)</f>
        <v>0.00205338809</v>
      </c>
      <c r="L4394" s="10">
        <f>IFERROR(__xludf.DUMMYFUNCTION("""COMPUTED_VALUE"""),273.0)</f>
        <v>273</v>
      </c>
      <c r="M4394" s="5">
        <f>IFERROR(__xludf.DUMMYFUNCTION("""COMPUTED_VALUE"""),0.2802874743326489)</f>
        <v>0.2802874743</v>
      </c>
    </row>
    <row r="4395">
      <c r="A4395" s="10" t="str">
        <f>IFERROR(__xludf.DUMMYFUNCTION("""COMPUTED_VALUE"""),"URAN")</f>
        <v>URAN</v>
      </c>
      <c r="B4395" s="10">
        <f>IFERROR(__xludf.DUMMYFUNCTION("""COMPUTED_VALUE"""),476.0)</f>
        <v>476</v>
      </c>
      <c r="C4395" s="10">
        <f>IFERROR(__xludf.DUMMYFUNCTION("""COMPUTED_VALUE"""),5606.0)</f>
        <v>5606</v>
      </c>
      <c r="D4395" s="5">
        <f>IFERROR(__xludf.DUMMYFUNCTION("""COMPUTED_VALUE"""),0.3557504873294347)</f>
        <v>0.3557504873</v>
      </c>
      <c r="E4395" s="5">
        <f>IFERROR(__xludf.DUMMYFUNCTION("""COMPUTED_VALUE"""),0.11812865497076024)</f>
        <v>0.118128655</v>
      </c>
      <c r="F4395" s="5">
        <f>IFERROR(__xludf.DUMMYFUNCTION("""COMPUTED_VALUE"""),0.2037037037037037)</f>
        <v>0.2037037037</v>
      </c>
      <c r="G4395" s="5">
        <f>IFERROR(__xludf.DUMMYFUNCTION("""COMPUTED_VALUE"""),0.14580896686159844)</f>
        <v>0.1458089669</v>
      </c>
      <c r="H4395" s="5">
        <f>IFERROR(__xludf.DUMMYFUNCTION("""COMPUTED_VALUE"""),0.6047846889952153)</f>
        <v>0.604784689</v>
      </c>
      <c r="I4395" s="11">
        <f>IFERROR(__xludf.DUMMYFUNCTION("""COMPUTED_VALUE"""),5389.760765550239)</f>
        <v>5389.760766</v>
      </c>
      <c r="J4395" s="10">
        <f>IFERROR(__xludf.DUMMYFUNCTION("""COMPUTED_VALUE"""),0.0)</f>
        <v>0</v>
      </c>
      <c r="K4395" s="5">
        <f>IFERROR(__xludf.DUMMYFUNCTION("""COMPUTED_VALUE"""),0.0)</f>
        <v>0</v>
      </c>
      <c r="L4395" s="10">
        <f>IFERROR(__xludf.DUMMYFUNCTION("""COMPUTED_VALUE"""),164.0)</f>
        <v>164</v>
      </c>
      <c r="M4395" s="5">
        <f>IFERROR(__xludf.DUMMYFUNCTION("""COMPUTED_VALUE"""),0.3445378151260504)</f>
        <v>0.3445378151</v>
      </c>
    </row>
    <row r="4396">
      <c r="A4396" s="10" t="str">
        <f>IFERROR(__xludf.DUMMYFUNCTION("""COMPUTED_VALUE"""),"焦燥のバラッド")</f>
        <v>焦燥のバラッド</v>
      </c>
      <c r="B4396" s="10">
        <f>IFERROR(__xludf.DUMMYFUNCTION("""COMPUTED_VALUE"""),434.0)</f>
        <v>434</v>
      </c>
      <c r="C4396" s="10">
        <f>IFERROR(__xludf.DUMMYFUNCTION("""COMPUTED_VALUE"""),5141.0)</f>
        <v>5141</v>
      </c>
      <c r="D4396" s="5">
        <f>IFERROR(__xludf.DUMMYFUNCTION("""COMPUTED_VALUE"""),0.3906947100063735)</f>
        <v>0.39069471</v>
      </c>
      <c r="E4396" s="5">
        <f>IFERROR(__xludf.DUMMYFUNCTION("""COMPUTED_VALUE"""),0.11812194603781602)</f>
        <v>0.118121946</v>
      </c>
      <c r="F4396" s="5">
        <f>IFERROR(__xludf.DUMMYFUNCTION("""COMPUTED_VALUE"""),0.2260463140004249)</f>
        <v>0.226046314</v>
      </c>
      <c r="G4396" s="5">
        <f>IFERROR(__xludf.DUMMYFUNCTION("""COMPUTED_VALUE"""),0.17187168047588697)</f>
        <v>0.1718716805</v>
      </c>
      <c r="H4396" s="5">
        <f>IFERROR(__xludf.DUMMYFUNCTION("""COMPUTED_VALUE"""),0.5864661654135338)</f>
        <v>0.5864661654</v>
      </c>
      <c r="I4396" s="11">
        <f>IFERROR(__xludf.DUMMYFUNCTION("""COMPUTED_VALUE"""),5542.857142857143)</f>
        <v>5542.857143</v>
      </c>
      <c r="J4396" s="10">
        <f>IFERROR(__xludf.DUMMYFUNCTION("""COMPUTED_VALUE"""),2.0)</f>
        <v>2</v>
      </c>
      <c r="K4396" s="5">
        <f>IFERROR(__xludf.DUMMYFUNCTION("""COMPUTED_VALUE"""),0.004608294930875576)</f>
        <v>0.004608294931</v>
      </c>
      <c r="L4396" s="10">
        <f>IFERROR(__xludf.DUMMYFUNCTION("""COMPUTED_VALUE"""),434.0)</f>
        <v>434</v>
      </c>
      <c r="M4396" s="5">
        <f>IFERROR(__xludf.DUMMYFUNCTION("""COMPUTED_VALUE"""),1.0)</f>
        <v>1</v>
      </c>
    </row>
    <row r="4397">
      <c r="A4397" s="10" t="str">
        <f>IFERROR(__xludf.DUMMYFUNCTION("""COMPUTED_VALUE"""),"sfsf")</f>
        <v>sfsf</v>
      </c>
      <c r="B4397" s="10">
        <f>IFERROR(__xludf.DUMMYFUNCTION("""COMPUTED_VALUE"""),1475.0)</f>
        <v>1475</v>
      </c>
      <c r="C4397" s="10">
        <f>IFERROR(__xludf.DUMMYFUNCTION("""COMPUTED_VALUE"""),17578.0)</f>
        <v>17578</v>
      </c>
      <c r="D4397" s="5">
        <f>IFERROR(__xludf.DUMMYFUNCTION("""COMPUTED_VALUE"""),0.4179966465875924)</f>
        <v>0.4179966466</v>
      </c>
      <c r="E4397" s="5">
        <f>IFERROR(__xludf.DUMMYFUNCTION("""COMPUTED_VALUE"""),0.11811463702415699)</f>
        <v>0.118114637</v>
      </c>
      <c r="F4397" s="5">
        <f>IFERROR(__xludf.DUMMYFUNCTION("""COMPUTED_VALUE"""),0.20809786996211885)</f>
        <v>0.20809787</v>
      </c>
      <c r="G4397" s="5">
        <f>IFERROR(__xludf.DUMMYFUNCTION("""COMPUTED_VALUE"""),0.14978575420729057)</f>
        <v>0.1497857542</v>
      </c>
      <c r="H4397" s="5">
        <f>IFERROR(__xludf.DUMMYFUNCTION("""COMPUTED_VALUE"""),0.594449418084154)</f>
        <v>0.5944494181</v>
      </c>
      <c r="I4397" s="11">
        <f>IFERROR(__xludf.DUMMYFUNCTION("""COMPUTED_VALUE"""),5514.622500746046)</f>
        <v>5514.622501</v>
      </c>
      <c r="J4397" s="10">
        <f>IFERROR(__xludf.DUMMYFUNCTION("""COMPUTED_VALUE"""),7.0)</f>
        <v>7</v>
      </c>
      <c r="K4397" s="5">
        <f>IFERROR(__xludf.DUMMYFUNCTION("""COMPUTED_VALUE"""),0.0047457627118644066)</f>
        <v>0.004745762712</v>
      </c>
      <c r="L4397" s="10">
        <f>IFERROR(__xludf.DUMMYFUNCTION("""COMPUTED_VALUE"""),1475.0)</f>
        <v>1475</v>
      </c>
      <c r="M4397" s="5">
        <f>IFERROR(__xludf.DUMMYFUNCTION("""COMPUTED_VALUE"""),1.0)</f>
        <v>1</v>
      </c>
    </row>
    <row r="4398">
      <c r="A4398" s="10" t="str">
        <f>IFERROR(__xludf.DUMMYFUNCTION("""COMPUTED_VALUE"""),"大宮忍v")</f>
        <v>大宮忍v</v>
      </c>
      <c r="B4398" s="10">
        <f>IFERROR(__xludf.DUMMYFUNCTION("""COMPUTED_VALUE"""),1858.0)</f>
        <v>1858</v>
      </c>
      <c r="C4398" s="10">
        <f>IFERROR(__xludf.DUMMYFUNCTION("""COMPUTED_VALUE"""),21754.0)</f>
        <v>21754</v>
      </c>
      <c r="D4398" s="5">
        <f>IFERROR(__xludf.DUMMYFUNCTION("""COMPUTED_VALUE"""),0.34901487736228387)</f>
        <v>0.3490148774</v>
      </c>
      <c r="E4398" s="5">
        <f>IFERROR(__xludf.DUMMYFUNCTION("""COMPUTED_VALUE"""),0.11811419380780057)</f>
        <v>0.1181141938</v>
      </c>
      <c r="F4398" s="5">
        <f>IFERROR(__xludf.DUMMYFUNCTION("""COMPUTED_VALUE"""),0.2071773220747889)</f>
        <v>0.2071773221</v>
      </c>
      <c r="G4398" s="5">
        <f>IFERROR(__xludf.DUMMYFUNCTION("""COMPUTED_VALUE"""),0.14997989545637314)</f>
        <v>0.1499798955</v>
      </c>
      <c r="H4398" s="5">
        <f>IFERROR(__xludf.DUMMYFUNCTION("""COMPUTED_VALUE"""),0.5904900533721494)</f>
        <v>0.5904900534</v>
      </c>
      <c r="I4398" s="11">
        <f>IFERROR(__xludf.DUMMYFUNCTION("""COMPUTED_VALUE"""),5839.058709364386)</f>
        <v>5839.058709</v>
      </c>
      <c r="J4398" s="10">
        <f>IFERROR(__xludf.DUMMYFUNCTION("""COMPUTED_VALUE"""),4.0)</f>
        <v>4</v>
      </c>
      <c r="K4398" s="5">
        <f>IFERROR(__xludf.DUMMYFUNCTION("""COMPUTED_VALUE"""),0.002152852529601722)</f>
        <v>0.00215285253</v>
      </c>
      <c r="L4398" s="10">
        <f>IFERROR(__xludf.DUMMYFUNCTION("""COMPUTED_VALUE"""),1407.0)</f>
        <v>1407</v>
      </c>
      <c r="M4398" s="5">
        <f>IFERROR(__xludf.DUMMYFUNCTION("""COMPUTED_VALUE"""),0.7572658772874058)</f>
        <v>0.7572658773</v>
      </c>
    </row>
    <row r="4399">
      <c r="A4399" s="10" t="str">
        <f>IFERROR(__xludf.DUMMYFUNCTION("""COMPUTED_VALUE"""),"豪猪")</f>
        <v>豪猪</v>
      </c>
      <c r="B4399" s="10">
        <f>IFERROR(__xludf.DUMMYFUNCTION("""COMPUTED_VALUE"""),161.0)</f>
        <v>161</v>
      </c>
      <c r="C4399" s="10">
        <f>IFERROR(__xludf.DUMMYFUNCTION("""COMPUTED_VALUE"""),1939.0)</f>
        <v>1939</v>
      </c>
      <c r="D4399" s="5">
        <f>IFERROR(__xludf.DUMMYFUNCTION("""COMPUTED_VALUE"""),0.3025871766029246)</f>
        <v>0.3025871766</v>
      </c>
      <c r="E4399" s="5">
        <f>IFERROR(__xludf.DUMMYFUNCTION("""COMPUTED_VALUE"""),0.11811023622047244)</f>
        <v>0.1181102362</v>
      </c>
      <c r="F4399" s="5">
        <f>IFERROR(__xludf.DUMMYFUNCTION("""COMPUTED_VALUE"""),0.20078740157480315)</f>
        <v>0.2007874016</v>
      </c>
      <c r="G4399" s="5">
        <f>IFERROR(__xludf.DUMMYFUNCTION("""COMPUTED_VALUE"""),0.16591676040494938)</f>
        <v>0.1659167604</v>
      </c>
      <c r="H4399" s="5">
        <f>IFERROR(__xludf.DUMMYFUNCTION("""COMPUTED_VALUE"""),0.5658263305322129)</f>
        <v>0.5658263305</v>
      </c>
      <c r="I4399" s="11">
        <f>IFERROR(__xludf.DUMMYFUNCTION("""COMPUTED_VALUE"""),5420.16806722689)</f>
        <v>5420.168067</v>
      </c>
      <c r="J4399" s="10">
        <f>IFERROR(__xludf.DUMMYFUNCTION("""COMPUTED_VALUE"""),1.0)</f>
        <v>1</v>
      </c>
      <c r="K4399" s="5">
        <f>IFERROR(__xludf.DUMMYFUNCTION("""COMPUTED_VALUE"""),0.006211180124223602)</f>
        <v>0.006211180124</v>
      </c>
      <c r="L4399" s="10">
        <f>IFERROR(__xludf.DUMMYFUNCTION("""COMPUTED_VALUE"""),20.0)</f>
        <v>20</v>
      </c>
      <c r="M4399" s="5">
        <f>IFERROR(__xludf.DUMMYFUNCTION("""COMPUTED_VALUE"""),0.12422360248447205)</f>
        <v>0.1242236025</v>
      </c>
    </row>
    <row r="4400">
      <c r="A4400" s="10" t="str">
        <f>IFERROR(__xludf.DUMMYFUNCTION("""COMPUTED_VALUE"""),"kaiiti")</f>
        <v>kaiiti</v>
      </c>
      <c r="B4400" s="10">
        <f>IFERROR(__xludf.DUMMYFUNCTION("""COMPUTED_VALUE"""),738.0)</f>
        <v>738</v>
      </c>
      <c r="C4400" s="10">
        <f>IFERROR(__xludf.DUMMYFUNCTION("""COMPUTED_VALUE"""),8680.0)</f>
        <v>8680</v>
      </c>
      <c r="D4400" s="5">
        <f>IFERROR(__xludf.DUMMYFUNCTION("""COMPUTED_VALUE"""),0.2942583732057416)</f>
        <v>0.2942583732</v>
      </c>
      <c r="E4400" s="5">
        <f>IFERROR(__xludf.DUMMYFUNCTION("""COMPUTED_VALUE"""),0.1181062704608411)</f>
        <v>0.1181062705</v>
      </c>
      <c r="F4400" s="5">
        <f>IFERROR(__xludf.DUMMYFUNCTION("""COMPUTED_VALUE"""),0.22626542432636615)</f>
        <v>0.2262654243</v>
      </c>
      <c r="G4400" s="5">
        <f>IFERROR(__xludf.DUMMYFUNCTION("""COMPUTED_VALUE"""),0.2238730798287585)</f>
        <v>0.2238730798</v>
      </c>
      <c r="H4400" s="5">
        <f>IFERROR(__xludf.DUMMYFUNCTION("""COMPUTED_VALUE"""),0.5965498052309405)</f>
        <v>0.5965498052</v>
      </c>
      <c r="I4400" s="11">
        <f>IFERROR(__xludf.DUMMYFUNCTION("""COMPUTED_VALUE"""),5734.835837506956)</f>
        <v>5734.835838</v>
      </c>
      <c r="J4400" s="10">
        <f>IFERROR(__xludf.DUMMYFUNCTION("""COMPUTED_VALUE"""),1.0)</f>
        <v>1</v>
      </c>
      <c r="K4400" s="5">
        <f>IFERROR(__xludf.DUMMYFUNCTION("""COMPUTED_VALUE"""),0.0013550135501355014)</f>
        <v>0.00135501355</v>
      </c>
      <c r="L4400" s="10">
        <f>IFERROR(__xludf.DUMMYFUNCTION("""COMPUTED_VALUE"""),738.0)</f>
        <v>738</v>
      </c>
      <c r="M4400" s="5">
        <f>IFERROR(__xludf.DUMMYFUNCTION("""COMPUTED_VALUE"""),1.0)</f>
        <v>1</v>
      </c>
    </row>
    <row r="4401">
      <c r="A4401" s="10" t="str">
        <f>IFERROR(__xludf.DUMMYFUNCTION("""COMPUTED_VALUE"""),"３週間@vip")</f>
        <v>３週間@vip</v>
      </c>
      <c r="B4401" s="10">
        <f>IFERROR(__xludf.DUMMYFUNCTION("""COMPUTED_VALUE"""),602.0)</f>
        <v>602</v>
      </c>
      <c r="C4401" s="10">
        <f>IFERROR(__xludf.DUMMYFUNCTION("""COMPUTED_VALUE"""),7249.0)</f>
        <v>7249</v>
      </c>
      <c r="D4401" s="5">
        <f>IFERROR(__xludf.DUMMYFUNCTION("""COMPUTED_VALUE"""),0.313073567022717)</f>
        <v>0.313073567</v>
      </c>
      <c r="E4401" s="5">
        <f>IFERROR(__xludf.DUMMYFUNCTION("""COMPUTED_VALUE"""),0.11809839025124116)</f>
        <v>0.1180983903</v>
      </c>
      <c r="F4401" s="5">
        <f>IFERROR(__xludf.DUMMYFUNCTION("""COMPUTED_VALUE"""),0.18504588536181737)</f>
        <v>0.1850458854</v>
      </c>
      <c r="G4401" s="5">
        <f>IFERROR(__xludf.DUMMYFUNCTION("""COMPUTED_VALUE"""),0.1492402587633519)</f>
        <v>0.1492402588</v>
      </c>
      <c r="H4401" s="5">
        <f>IFERROR(__xludf.DUMMYFUNCTION("""COMPUTED_VALUE"""),0.5886178861788618)</f>
        <v>0.5886178862</v>
      </c>
      <c r="I4401" s="11">
        <f>IFERROR(__xludf.DUMMYFUNCTION("""COMPUTED_VALUE"""),5827.3983739837395)</f>
        <v>5827.398374</v>
      </c>
      <c r="J4401" s="10">
        <f>IFERROR(__xludf.DUMMYFUNCTION("""COMPUTED_VALUE"""),1.0)</f>
        <v>1</v>
      </c>
      <c r="K4401" s="5">
        <f>IFERROR(__xludf.DUMMYFUNCTION("""COMPUTED_VALUE"""),0.0016611295681063123)</f>
        <v>0.001661129568</v>
      </c>
      <c r="L4401" s="10">
        <f>IFERROR(__xludf.DUMMYFUNCTION("""COMPUTED_VALUE"""),602.0)</f>
        <v>602</v>
      </c>
      <c r="M4401" s="5">
        <f>IFERROR(__xludf.DUMMYFUNCTION("""COMPUTED_VALUE"""),1.0)</f>
        <v>1</v>
      </c>
    </row>
    <row r="4402">
      <c r="A4402" s="10" t="str">
        <f>IFERROR(__xludf.DUMMYFUNCTION("""COMPUTED_VALUE"""),"Mpeace")</f>
        <v>Mpeace</v>
      </c>
      <c r="B4402" s="10">
        <f>IFERROR(__xludf.DUMMYFUNCTION("""COMPUTED_VALUE"""),125.0)</f>
        <v>125</v>
      </c>
      <c r="C4402" s="10">
        <f>IFERROR(__xludf.DUMMYFUNCTION("""COMPUTED_VALUE"""),1429.0)</f>
        <v>1429</v>
      </c>
      <c r="D4402" s="5">
        <f>IFERROR(__xludf.DUMMYFUNCTION("""COMPUTED_VALUE"""),0.2607361963190184)</f>
        <v>0.2607361963</v>
      </c>
      <c r="E4402" s="5">
        <f>IFERROR(__xludf.DUMMYFUNCTION("""COMPUTED_VALUE"""),0.11809815950920245)</f>
        <v>0.1180981595</v>
      </c>
      <c r="F4402" s="5">
        <f>IFERROR(__xludf.DUMMYFUNCTION("""COMPUTED_VALUE"""),0.1794478527607362)</f>
        <v>0.1794478528</v>
      </c>
      <c r="G4402" s="5">
        <f>IFERROR(__xludf.DUMMYFUNCTION("""COMPUTED_VALUE"""),0.1526073619631902)</f>
        <v>0.152607362</v>
      </c>
      <c r="H4402" s="5">
        <f>IFERROR(__xludf.DUMMYFUNCTION("""COMPUTED_VALUE"""),0.5683760683760684)</f>
        <v>0.5683760684</v>
      </c>
      <c r="I4402" s="11">
        <f>IFERROR(__xludf.DUMMYFUNCTION("""COMPUTED_VALUE"""),5786.324786324786)</f>
        <v>5786.324786</v>
      </c>
      <c r="J4402" s="10">
        <f>IFERROR(__xludf.DUMMYFUNCTION("""COMPUTED_VALUE"""),0.0)</f>
        <v>0</v>
      </c>
      <c r="K4402" s="5">
        <f>IFERROR(__xludf.DUMMYFUNCTION("""COMPUTED_VALUE"""),0.0)</f>
        <v>0</v>
      </c>
      <c r="L4402" s="10">
        <f>IFERROR(__xludf.DUMMYFUNCTION("""COMPUTED_VALUE"""),125.0)</f>
        <v>125</v>
      </c>
      <c r="M4402" s="5">
        <f>IFERROR(__xludf.DUMMYFUNCTION("""COMPUTED_VALUE"""),1.0)</f>
        <v>1</v>
      </c>
    </row>
    <row r="4403">
      <c r="A4403" s="10" t="str">
        <f>IFERROR(__xludf.DUMMYFUNCTION("""COMPUTED_VALUE"""),"きくてぃす☆")</f>
        <v>きくてぃす☆</v>
      </c>
      <c r="B4403" s="10">
        <f>IFERROR(__xludf.DUMMYFUNCTION("""COMPUTED_VALUE"""),5253.0)</f>
        <v>5253</v>
      </c>
      <c r="C4403" s="10">
        <f>IFERROR(__xludf.DUMMYFUNCTION("""COMPUTED_VALUE"""),62101.0)</f>
        <v>62101</v>
      </c>
      <c r="D4403" s="5">
        <f>IFERROR(__xludf.DUMMYFUNCTION("""COMPUTED_VALUE"""),0.34912397973543485)</f>
        <v>0.3491239797</v>
      </c>
      <c r="E4403" s="5">
        <f>IFERROR(__xludf.DUMMYFUNCTION("""COMPUTED_VALUE"""),0.11808682803264847)</f>
        <v>0.118086828</v>
      </c>
      <c r="F4403" s="5">
        <f>IFERROR(__xludf.DUMMYFUNCTION("""COMPUTED_VALUE"""),0.20764142977765268)</f>
        <v>0.2076414298</v>
      </c>
      <c r="G4403" s="5">
        <f>IFERROR(__xludf.DUMMYFUNCTION("""COMPUTED_VALUE"""),0.1638228257810301)</f>
        <v>0.1638228258</v>
      </c>
      <c r="H4403" s="5">
        <f>IFERROR(__xludf.DUMMYFUNCTION("""COMPUTED_VALUE"""),0.5902236529989834)</f>
        <v>0.590223653</v>
      </c>
      <c r="I4403" s="11">
        <f>IFERROR(__xludf.DUMMYFUNCTION("""COMPUTED_VALUE"""),5425.762453405625)</f>
        <v>5425.762453</v>
      </c>
      <c r="J4403" s="10">
        <f>IFERROR(__xludf.DUMMYFUNCTION("""COMPUTED_VALUE"""),4.0)</f>
        <v>4</v>
      </c>
      <c r="K4403" s="5">
        <f>IFERROR(__xludf.DUMMYFUNCTION("""COMPUTED_VALUE"""),7.614696363982486E-4)</f>
        <v>0.0007614696364</v>
      </c>
      <c r="L4403" s="10">
        <f>IFERROR(__xludf.DUMMYFUNCTION("""COMPUTED_VALUE"""),4256.0)</f>
        <v>4256</v>
      </c>
      <c r="M4403" s="5">
        <f>IFERROR(__xludf.DUMMYFUNCTION("""COMPUTED_VALUE"""),0.8102036931277365)</f>
        <v>0.8102036931</v>
      </c>
    </row>
    <row r="4404">
      <c r="A4404" s="10" t="str">
        <f>IFERROR(__xludf.DUMMYFUNCTION("""COMPUTED_VALUE"""),"SPS")</f>
        <v>SPS</v>
      </c>
      <c r="B4404" s="10">
        <f>IFERROR(__xludf.DUMMYFUNCTION("""COMPUTED_VALUE"""),1167.0)</f>
        <v>1167</v>
      </c>
      <c r="C4404" s="10">
        <f>IFERROR(__xludf.DUMMYFUNCTION("""COMPUTED_VALUE"""),13777.0)</f>
        <v>13777</v>
      </c>
      <c r="D4404" s="5">
        <f>IFERROR(__xludf.DUMMYFUNCTION("""COMPUTED_VALUE"""),0.2913560666137986)</f>
        <v>0.2913560666</v>
      </c>
      <c r="E4404" s="5">
        <f>IFERROR(__xludf.DUMMYFUNCTION("""COMPUTED_VALUE"""),0.11808088818398096)</f>
        <v>0.1180808882</v>
      </c>
      <c r="F4404" s="5">
        <f>IFERROR(__xludf.DUMMYFUNCTION("""COMPUTED_VALUE"""),0.22934179222839016)</f>
        <v>0.2293417922</v>
      </c>
      <c r="G4404" s="5">
        <f>IFERROR(__xludf.DUMMYFUNCTION("""COMPUTED_VALUE"""),0.17914353687549564)</f>
        <v>0.1791435369</v>
      </c>
      <c r="H4404" s="5">
        <f>IFERROR(__xludf.DUMMYFUNCTION("""COMPUTED_VALUE"""),0.5957814661134163)</f>
        <v>0.5957814661</v>
      </c>
      <c r="I4404" s="11">
        <f>IFERROR(__xludf.DUMMYFUNCTION("""COMPUTED_VALUE"""),5491.078838174274)</f>
        <v>5491.078838</v>
      </c>
      <c r="J4404" s="10">
        <f>IFERROR(__xludf.DUMMYFUNCTION("""COMPUTED_VALUE"""),1.0)</f>
        <v>1</v>
      </c>
      <c r="K4404" s="5">
        <f>IFERROR(__xludf.DUMMYFUNCTION("""COMPUTED_VALUE"""),8.56898029134533E-4)</f>
        <v>0.0008568980291</v>
      </c>
      <c r="L4404" s="10">
        <f>IFERROR(__xludf.DUMMYFUNCTION("""COMPUTED_VALUE"""),1167.0)</f>
        <v>1167</v>
      </c>
      <c r="M4404" s="5">
        <f>IFERROR(__xludf.DUMMYFUNCTION("""COMPUTED_VALUE"""),1.0)</f>
        <v>1</v>
      </c>
    </row>
    <row r="4405">
      <c r="A4405" s="10" t="str">
        <f>IFERROR(__xludf.DUMMYFUNCTION("""COMPUTED_VALUE"""),"tnfsh204")</f>
        <v>tnfsh204</v>
      </c>
      <c r="B4405" s="10">
        <f>IFERROR(__xludf.DUMMYFUNCTION("""COMPUTED_VALUE"""),5586.0)</f>
        <v>5586</v>
      </c>
      <c r="C4405" s="10">
        <f>IFERROR(__xludf.DUMMYFUNCTION("""COMPUTED_VALUE"""),65672.0)</f>
        <v>65672</v>
      </c>
      <c r="D4405" s="5">
        <f>IFERROR(__xludf.DUMMYFUNCTION("""COMPUTED_VALUE"""),0.3434909962387245)</f>
        <v>0.3434909962</v>
      </c>
      <c r="E4405" s="5">
        <f>IFERROR(__xludf.DUMMYFUNCTION("""COMPUTED_VALUE"""),0.11808075092367606)</f>
        <v>0.1180807509</v>
      </c>
      <c r="F4405" s="5">
        <f>IFERROR(__xludf.DUMMYFUNCTION("""COMPUTED_VALUE"""),0.2120294244915621)</f>
        <v>0.2120294245</v>
      </c>
      <c r="G4405" s="5">
        <f>IFERROR(__xludf.DUMMYFUNCTION("""COMPUTED_VALUE"""),0.1617681323436408)</f>
        <v>0.1617681323</v>
      </c>
      <c r="H4405" s="5">
        <f>IFERROR(__xludf.DUMMYFUNCTION("""COMPUTED_VALUE"""),0.5945054945054945)</f>
        <v>0.5945054945</v>
      </c>
      <c r="I4405" s="11">
        <f>IFERROR(__xludf.DUMMYFUNCTION("""COMPUTED_VALUE"""),5639.183673469388)</f>
        <v>5639.183673</v>
      </c>
      <c r="J4405" s="10">
        <f>IFERROR(__xludf.DUMMYFUNCTION("""COMPUTED_VALUE"""),13.0)</f>
        <v>13</v>
      </c>
      <c r="K4405" s="5">
        <f>IFERROR(__xludf.DUMMYFUNCTION("""COMPUTED_VALUE"""),0.002327246688148944)</f>
        <v>0.002327246688</v>
      </c>
      <c r="L4405" s="10">
        <f>IFERROR(__xludf.DUMMYFUNCTION("""COMPUTED_VALUE"""),5185.0)</f>
        <v>5185</v>
      </c>
      <c r="M4405" s="5">
        <f>IFERROR(__xludf.DUMMYFUNCTION("""COMPUTED_VALUE"""),0.9282133906194057)</f>
        <v>0.9282133906</v>
      </c>
    </row>
    <row r="4406">
      <c r="A4406" s="10" t="str">
        <f>IFERROR(__xludf.DUMMYFUNCTION("""COMPUTED_VALUE"""),"capducal")</f>
        <v>capducal</v>
      </c>
      <c r="B4406" s="10">
        <f>IFERROR(__xludf.DUMMYFUNCTION("""COMPUTED_VALUE"""),804.0)</f>
        <v>804</v>
      </c>
      <c r="C4406" s="10">
        <f>IFERROR(__xludf.DUMMYFUNCTION("""COMPUTED_VALUE"""),9273.0)</f>
        <v>9273</v>
      </c>
      <c r="D4406" s="5">
        <f>IFERROR(__xludf.DUMMYFUNCTION("""COMPUTED_VALUE"""),0.2293068839296257)</f>
        <v>0.2293068839</v>
      </c>
      <c r="E4406" s="5">
        <f>IFERROR(__xludf.DUMMYFUNCTION("""COMPUTED_VALUE"""),0.1180776951233912)</f>
        <v>0.1180776951</v>
      </c>
      <c r="F4406" s="5">
        <f>IFERROR(__xludf.DUMMYFUNCTION("""COMPUTED_VALUE"""),0.1878616129413154)</f>
        <v>0.1878616129</v>
      </c>
      <c r="G4406" s="5">
        <f>IFERROR(__xludf.DUMMYFUNCTION("""COMPUTED_VALUE"""),0.14381863266029046)</f>
        <v>0.1438186327</v>
      </c>
      <c r="H4406" s="5">
        <f>IFERROR(__xludf.DUMMYFUNCTION("""COMPUTED_VALUE"""),0.6147077309868008)</f>
        <v>0.614707731</v>
      </c>
      <c r="I4406" s="11">
        <f>IFERROR(__xludf.DUMMYFUNCTION("""COMPUTED_VALUE"""),5951.099937146449)</f>
        <v>5951.099937</v>
      </c>
      <c r="J4406" s="10">
        <f>IFERROR(__xludf.DUMMYFUNCTION("""COMPUTED_VALUE"""),0.0)</f>
        <v>0</v>
      </c>
      <c r="K4406" s="5">
        <f>IFERROR(__xludf.DUMMYFUNCTION("""COMPUTED_VALUE"""),0.0)</f>
        <v>0</v>
      </c>
      <c r="L4406" s="10">
        <f>IFERROR(__xludf.DUMMYFUNCTION("""COMPUTED_VALUE"""),804.0)</f>
        <v>804</v>
      </c>
      <c r="M4406" s="5">
        <f>IFERROR(__xludf.DUMMYFUNCTION("""COMPUTED_VALUE"""),1.0)</f>
        <v>1</v>
      </c>
    </row>
    <row r="4407">
      <c r="A4407" s="10" t="str">
        <f>IFERROR(__xludf.DUMMYFUNCTION("""COMPUTED_VALUE"""),"彩京")</f>
        <v>彩京</v>
      </c>
      <c r="B4407" s="10">
        <f>IFERROR(__xludf.DUMMYFUNCTION("""COMPUTED_VALUE"""),2013.0)</f>
        <v>2013</v>
      </c>
      <c r="C4407" s="10">
        <f>IFERROR(__xludf.DUMMYFUNCTION("""COMPUTED_VALUE"""),23677.0)</f>
        <v>23677</v>
      </c>
      <c r="D4407" s="5">
        <f>IFERROR(__xludf.DUMMYFUNCTION("""COMPUTED_VALUE"""),0.35473596750369274)</f>
        <v>0.3547359675</v>
      </c>
      <c r="E4407" s="5">
        <f>IFERROR(__xludf.DUMMYFUNCTION("""COMPUTED_VALUE"""),0.11807607090103397)</f>
        <v>0.1180760709</v>
      </c>
      <c r="F4407" s="5">
        <f>IFERROR(__xludf.DUMMYFUNCTION("""COMPUTED_VALUE"""),0.20734859675036926)</f>
        <v>0.2073485968</v>
      </c>
      <c r="G4407" s="5">
        <f>IFERROR(__xludf.DUMMYFUNCTION("""COMPUTED_VALUE"""),0.1537112259970458)</f>
        <v>0.153711226</v>
      </c>
      <c r="H4407" s="5">
        <f>IFERROR(__xludf.DUMMYFUNCTION("""COMPUTED_VALUE"""),0.5959483526268923)</f>
        <v>0.5959483526</v>
      </c>
      <c r="I4407" s="11">
        <f>IFERROR(__xludf.DUMMYFUNCTION("""COMPUTED_VALUE"""),5556.990204808549)</f>
        <v>5556.990205</v>
      </c>
      <c r="J4407" s="10">
        <f>IFERROR(__xludf.DUMMYFUNCTION("""COMPUTED_VALUE"""),4.0)</f>
        <v>4</v>
      </c>
      <c r="K4407" s="5">
        <f>IFERROR(__xludf.DUMMYFUNCTION("""COMPUTED_VALUE"""),0.001987083954297069)</f>
        <v>0.001987083954</v>
      </c>
      <c r="L4407" s="10">
        <f>IFERROR(__xludf.DUMMYFUNCTION("""COMPUTED_VALUE"""),2013.0)</f>
        <v>2013</v>
      </c>
      <c r="M4407" s="5">
        <f>IFERROR(__xludf.DUMMYFUNCTION("""COMPUTED_VALUE"""),1.0)</f>
        <v>1</v>
      </c>
    </row>
    <row r="4408">
      <c r="A4408" s="10" t="str">
        <f>IFERROR(__xludf.DUMMYFUNCTION("""COMPUTED_VALUE"""),"野田神")</f>
        <v>野田神</v>
      </c>
      <c r="B4408" s="10">
        <f>IFERROR(__xludf.DUMMYFUNCTION("""COMPUTED_VALUE"""),156.0)</f>
        <v>156</v>
      </c>
      <c r="C4408" s="10">
        <f>IFERROR(__xludf.DUMMYFUNCTION("""COMPUTED_VALUE"""),1816.0)</f>
        <v>1816</v>
      </c>
      <c r="D4408" s="5">
        <f>IFERROR(__xludf.DUMMYFUNCTION("""COMPUTED_VALUE"""),0.28012048192771083)</f>
        <v>0.2801204819</v>
      </c>
      <c r="E4408" s="5">
        <f>IFERROR(__xludf.DUMMYFUNCTION("""COMPUTED_VALUE"""),0.1180722891566265)</f>
        <v>0.1180722892</v>
      </c>
      <c r="F4408" s="5">
        <f>IFERROR(__xludf.DUMMYFUNCTION("""COMPUTED_VALUE"""),0.18795180722891566)</f>
        <v>0.1879518072</v>
      </c>
      <c r="G4408" s="5">
        <f>IFERROR(__xludf.DUMMYFUNCTION("""COMPUTED_VALUE"""),0.18313253012048192)</f>
        <v>0.1831325301</v>
      </c>
      <c r="H4408" s="5">
        <f>IFERROR(__xludf.DUMMYFUNCTION("""COMPUTED_VALUE"""),0.5480769230769231)</f>
        <v>0.5480769231</v>
      </c>
      <c r="I4408" s="11">
        <f>IFERROR(__xludf.DUMMYFUNCTION("""COMPUTED_VALUE"""),5678.525641025641)</f>
        <v>5678.525641</v>
      </c>
      <c r="J4408" s="10">
        <f>IFERROR(__xludf.DUMMYFUNCTION("""COMPUTED_VALUE"""),0.0)</f>
        <v>0</v>
      </c>
      <c r="K4408" s="5">
        <f>IFERROR(__xludf.DUMMYFUNCTION("""COMPUTED_VALUE"""),0.0)</f>
        <v>0</v>
      </c>
      <c r="L4408" s="10">
        <f>IFERROR(__xludf.DUMMYFUNCTION("""COMPUTED_VALUE"""),45.0)</f>
        <v>45</v>
      </c>
      <c r="M4408" s="5">
        <f>IFERROR(__xludf.DUMMYFUNCTION("""COMPUTED_VALUE"""),0.28846153846153844)</f>
        <v>0.2884615385</v>
      </c>
    </row>
    <row r="4409">
      <c r="A4409" s="10" t="str">
        <f>IFERROR(__xludf.DUMMYFUNCTION("""COMPUTED_VALUE"""),"昼休みの残業")</f>
        <v>昼休みの残業</v>
      </c>
      <c r="B4409" s="10">
        <f>IFERROR(__xludf.DUMMYFUNCTION("""COMPUTED_VALUE"""),247.0)</f>
        <v>247</v>
      </c>
      <c r="C4409" s="10">
        <f>IFERROR(__xludf.DUMMYFUNCTION("""COMPUTED_VALUE"""),2881.0)</f>
        <v>2881</v>
      </c>
      <c r="D4409" s="5">
        <f>IFERROR(__xludf.DUMMYFUNCTION("""COMPUTED_VALUE"""),0.36104783599088835)</f>
        <v>0.361047836</v>
      </c>
      <c r="E4409" s="5">
        <f>IFERROR(__xludf.DUMMYFUNCTION("""COMPUTED_VALUE"""),0.11807137433561124)</f>
        <v>0.1180713743</v>
      </c>
      <c r="F4409" s="5">
        <f>IFERROR(__xludf.DUMMYFUNCTION("""COMPUTED_VALUE"""),0.19438116932422173)</f>
        <v>0.1943811693</v>
      </c>
      <c r="G4409" s="5">
        <f>IFERROR(__xludf.DUMMYFUNCTION("""COMPUTED_VALUE"""),0.14578587699316628)</f>
        <v>0.145785877</v>
      </c>
      <c r="H4409" s="5">
        <f>IFERROR(__xludf.DUMMYFUNCTION("""COMPUTED_VALUE"""),0.615234375)</f>
        <v>0.615234375</v>
      </c>
      <c r="I4409" s="11">
        <f>IFERROR(__xludf.DUMMYFUNCTION("""COMPUTED_VALUE"""),6176.5625)</f>
        <v>6176.5625</v>
      </c>
      <c r="J4409" s="10">
        <f>IFERROR(__xludf.DUMMYFUNCTION("""COMPUTED_VALUE"""),1.0)</f>
        <v>1</v>
      </c>
      <c r="K4409" s="5">
        <f>IFERROR(__xludf.DUMMYFUNCTION("""COMPUTED_VALUE"""),0.004048582995951417)</f>
        <v>0.004048582996</v>
      </c>
      <c r="L4409" s="10">
        <f>IFERROR(__xludf.DUMMYFUNCTION("""COMPUTED_VALUE"""),247.0)</f>
        <v>247</v>
      </c>
      <c r="M4409" s="5">
        <f>IFERROR(__xludf.DUMMYFUNCTION("""COMPUTED_VALUE"""),1.0)</f>
        <v>1</v>
      </c>
    </row>
    <row r="4410">
      <c r="A4410" s="10" t="str">
        <f>IFERROR(__xludf.DUMMYFUNCTION("""COMPUTED_VALUE"""),"ちゃここ")</f>
        <v>ちゃここ</v>
      </c>
      <c r="B4410" s="10">
        <f>IFERROR(__xludf.DUMMYFUNCTION("""COMPUTED_VALUE"""),3460.0)</f>
        <v>3460</v>
      </c>
      <c r="C4410" s="10">
        <f>IFERROR(__xludf.DUMMYFUNCTION("""COMPUTED_VALUE"""),40711.0)</f>
        <v>40711</v>
      </c>
      <c r="D4410" s="5">
        <f>IFERROR(__xludf.DUMMYFUNCTION("""COMPUTED_VALUE"""),0.3985933263536549)</f>
        <v>0.3985933264</v>
      </c>
      <c r="E4410" s="5">
        <f>IFERROR(__xludf.DUMMYFUNCTION("""COMPUTED_VALUE"""),0.11806394459209149)</f>
        <v>0.1180639446</v>
      </c>
      <c r="F4410" s="5">
        <f>IFERROR(__xludf.DUMMYFUNCTION("""COMPUTED_VALUE"""),0.2055783737349333)</f>
        <v>0.2055783737</v>
      </c>
      <c r="G4410" s="5">
        <f>IFERROR(__xludf.DUMMYFUNCTION("""COMPUTED_VALUE"""),0.15215698907411881)</f>
        <v>0.1521569891</v>
      </c>
      <c r="H4410" s="5">
        <f>IFERROR(__xludf.DUMMYFUNCTION("""COMPUTED_VALUE"""),0.6102115434839384)</f>
        <v>0.6102115435</v>
      </c>
      <c r="I4410" s="11">
        <f>IFERROR(__xludf.DUMMYFUNCTION("""COMPUTED_VALUE"""),5554.19169495952)</f>
        <v>5554.191695</v>
      </c>
      <c r="J4410" s="10">
        <f>IFERROR(__xludf.DUMMYFUNCTION("""COMPUTED_VALUE"""),3.0)</f>
        <v>3</v>
      </c>
      <c r="K4410" s="5">
        <f>IFERROR(__xludf.DUMMYFUNCTION("""COMPUTED_VALUE"""),8.670520231213873E-4)</f>
        <v>0.0008670520231</v>
      </c>
      <c r="L4410" s="10">
        <f>IFERROR(__xludf.DUMMYFUNCTION("""COMPUTED_VALUE"""),0.0)</f>
        <v>0</v>
      </c>
      <c r="M4410" s="5">
        <f>IFERROR(__xludf.DUMMYFUNCTION("""COMPUTED_VALUE"""),0.0)</f>
        <v>0</v>
      </c>
    </row>
    <row r="4411">
      <c r="A4411" s="10" t="str">
        <f>IFERROR(__xludf.DUMMYFUNCTION("""COMPUTED_VALUE"""),"稲作ヴォルケイノ")</f>
        <v>稲作ヴォルケイノ</v>
      </c>
      <c r="B4411" s="10">
        <f>IFERROR(__xludf.DUMMYFUNCTION("""COMPUTED_VALUE"""),1926.0)</f>
        <v>1926</v>
      </c>
      <c r="C4411" s="10">
        <f>IFERROR(__xludf.DUMMYFUNCTION("""COMPUTED_VALUE"""),22627.0)</f>
        <v>22627</v>
      </c>
      <c r="D4411" s="5">
        <f>IFERROR(__xludf.DUMMYFUNCTION("""COMPUTED_VALUE"""),0.3756823341867543)</f>
        <v>0.3756823342</v>
      </c>
      <c r="E4411" s="5">
        <f>IFERROR(__xludf.DUMMYFUNCTION("""COMPUTED_VALUE"""),0.11806192937539249)</f>
        <v>0.1180619294</v>
      </c>
      <c r="F4411" s="5">
        <f>IFERROR(__xludf.DUMMYFUNCTION("""COMPUTED_VALUE"""),0.22110042993092122)</f>
        <v>0.2211004299</v>
      </c>
      <c r="G4411" s="5">
        <f>IFERROR(__xludf.DUMMYFUNCTION("""COMPUTED_VALUE"""),0.17525723395005072)</f>
        <v>0.175257234</v>
      </c>
      <c r="H4411" s="5">
        <f>IFERROR(__xludf.DUMMYFUNCTION("""COMPUTED_VALUE"""),0.5964605636880053)</f>
        <v>0.5964605637</v>
      </c>
      <c r="I4411" s="11">
        <f>IFERROR(__xludf.DUMMYFUNCTION("""COMPUTED_VALUE"""),5384.181778457505)</f>
        <v>5384.181778</v>
      </c>
      <c r="J4411" s="10">
        <f>IFERROR(__xludf.DUMMYFUNCTION("""COMPUTED_VALUE"""),1.0)</f>
        <v>1</v>
      </c>
      <c r="K4411" s="5">
        <f>IFERROR(__xludf.DUMMYFUNCTION("""COMPUTED_VALUE"""),5.192107995846313E-4)</f>
        <v>0.0005192107996</v>
      </c>
      <c r="L4411" s="10">
        <f>IFERROR(__xludf.DUMMYFUNCTION("""COMPUTED_VALUE"""),1813.0)</f>
        <v>1813</v>
      </c>
      <c r="M4411" s="5">
        <f>IFERROR(__xludf.DUMMYFUNCTION("""COMPUTED_VALUE"""),0.9413291796469366)</f>
        <v>0.9413291796</v>
      </c>
    </row>
    <row r="4412">
      <c r="A4412" s="10" t="str">
        <f>IFERROR(__xludf.DUMMYFUNCTION("""COMPUTED_VALUE"""),"ADP")</f>
        <v>ADP</v>
      </c>
      <c r="B4412" s="10">
        <f>IFERROR(__xludf.DUMMYFUNCTION("""COMPUTED_VALUE"""),1304.0)</f>
        <v>1304</v>
      </c>
      <c r="C4412" s="10">
        <f>IFERROR(__xludf.DUMMYFUNCTION("""COMPUTED_VALUE"""),15229.0)</f>
        <v>15229</v>
      </c>
      <c r="D4412" s="5">
        <f>IFERROR(__xludf.DUMMYFUNCTION("""COMPUTED_VALUE"""),0.36344703770197484)</f>
        <v>0.3634470377</v>
      </c>
      <c r="E4412" s="5">
        <f>IFERROR(__xludf.DUMMYFUNCTION("""COMPUTED_VALUE"""),0.11806104129263914)</f>
        <v>0.1180610413</v>
      </c>
      <c r="F4412" s="5">
        <f>IFERROR(__xludf.DUMMYFUNCTION("""COMPUTED_VALUE"""),0.2102692998204668)</f>
        <v>0.2102692998</v>
      </c>
      <c r="G4412" s="5">
        <f>IFERROR(__xludf.DUMMYFUNCTION("""COMPUTED_VALUE"""),0.15662477558348295)</f>
        <v>0.1566247756</v>
      </c>
      <c r="H4412" s="5">
        <f>IFERROR(__xludf.DUMMYFUNCTION("""COMPUTED_VALUE"""),0.601775956284153)</f>
        <v>0.6017759563</v>
      </c>
      <c r="I4412" s="11">
        <f>IFERROR(__xludf.DUMMYFUNCTION("""COMPUTED_VALUE"""),5427.219945355191)</f>
        <v>5427.219945</v>
      </c>
      <c r="J4412" s="10">
        <f>IFERROR(__xludf.DUMMYFUNCTION("""COMPUTED_VALUE"""),1.0)</f>
        <v>1</v>
      </c>
      <c r="K4412" s="5">
        <f>IFERROR(__xludf.DUMMYFUNCTION("""COMPUTED_VALUE"""),7.668711656441718E-4)</f>
        <v>0.0007668711656</v>
      </c>
      <c r="L4412" s="10">
        <f>IFERROR(__xludf.DUMMYFUNCTION("""COMPUTED_VALUE"""),1009.0)</f>
        <v>1009</v>
      </c>
      <c r="M4412" s="5">
        <f>IFERROR(__xludf.DUMMYFUNCTION("""COMPUTED_VALUE"""),0.7737730061349694)</f>
        <v>0.7737730061</v>
      </c>
    </row>
    <row r="4413">
      <c r="A4413" s="10" t="str">
        <f>IFERROR(__xludf.DUMMYFUNCTION("""COMPUTED_VALUE"""),"そこはかとない")</f>
        <v>そこはかとない</v>
      </c>
      <c r="B4413" s="10">
        <f>IFERROR(__xludf.DUMMYFUNCTION("""COMPUTED_VALUE"""),231.0)</f>
        <v>231</v>
      </c>
      <c r="C4413" s="10">
        <f>IFERROR(__xludf.DUMMYFUNCTION("""COMPUTED_VALUE"""),2679.0)</f>
        <v>2679</v>
      </c>
      <c r="D4413" s="5">
        <f>IFERROR(__xludf.DUMMYFUNCTION("""COMPUTED_VALUE"""),0.3272058823529412)</f>
        <v>0.3272058824</v>
      </c>
      <c r="E4413" s="5">
        <f>IFERROR(__xludf.DUMMYFUNCTION("""COMPUTED_VALUE"""),0.11805555555555555)</f>
        <v>0.1180555556</v>
      </c>
      <c r="F4413" s="5">
        <f>IFERROR(__xludf.DUMMYFUNCTION("""COMPUTED_VALUE"""),0.2042483660130719)</f>
        <v>0.204248366</v>
      </c>
      <c r="G4413" s="5">
        <f>IFERROR(__xludf.DUMMYFUNCTION("""COMPUTED_VALUE"""),0.15441176470588236)</f>
        <v>0.1544117647</v>
      </c>
      <c r="H4413" s="5">
        <f>IFERROR(__xludf.DUMMYFUNCTION("""COMPUTED_VALUE"""),0.632)</f>
        <v>0.632</v>
      </c>
      <c r="I4413" s="11">
        <f>IFERROR(__xludf.DUMMYFUNCTION("""COMPUTED_VALUE"""),5287.6)</f>
        <v>5287.6</v>
      </c>
      <c r="J4413" s="10">
        <f>IFERROR(__xludf.DUMMYFUNCTION("""COMPUTED_VALUE"""),0.0)</f>
        <v>0</v>
      </c>
      <c r="K4413" s="5">
        <f>IFERROR(__xludf.DUMMYFUNCTION("""COMPUTED_VALUE"""),0.0)</f>
        <v>0</v>
      </c>
      <c r="L4413" s="10">
        <f>IFERROR(__xludf.DUMMYFUNCTION("""COMPUTED_VALUE"""),231.0)</f>
        <v>231</v>
      </c>
      <c r="M4413" s="5">
        <f>IFERROR(__xludf.DUMMYFUNCTION("""COMPUTED_VALUE"""),1.0)</f>
        <v>1</v>
      </c>
    </row>
    <row r="4414">
      <c r="A4414" s="10" t="str">
        <f>IFERROR(__xludf.DUMMYFUNCTION("""COMPUTED_VALUE"""),"Z\pZ")</f>
        <v>Z\pZ</v>
      </c>
      <c r="B4414" s="10">
        <f>IFERROR(__xludf.DUMMYFUNCTION("""COMPUTED_VALUE"""),317.0)</f>
        <v>317</v>
      </c>
      <c r="C4414" s="10">
        <f>IFERROR(__xludf.DUMMYFUNCTION("""COMPUTED_VALUE"""),3655.0)</f>
        <v>3655</v>
      </c>
      <c r="D4414" s="5">
        <f>IFERROR(__xludf.DUMMYFUNCTION("""COMPUTED_VALUE"""),0.408627920910725)</f>
        <v>0.4086279209</v>
      </c>
      <c r="E4414" s="5">
        <f>IFERROR(__xludf.DUMMYFUNCTION("""COMPUTED_VALUE"""),0.11803475134811264)</f>
        <v>0.1180347513</v>
      </c>
      <c r="F4414" s="5">
        <f>IFERROR(__xludf.DUMMYFUNCTION("""COMPUTED_VALUE"""),0.1926303175554224)</f>
        <v>0.1926303176</v>
      </c>
      <c r="G4414" s="5">
        <f>IFERROR(__xludf.DUMMYFUNCTION("""COMPUTED_VALUE"""),0.14110245656081485)</f>
        <v>0.1411024566</v>
      </c>
      <c r="H4414" s="5">
        <f>IFERROR(__xludf.DUMMYFUNCTION("""COMPUTED_VALUE"""),0.5738724727838258)</f>
        <v>0.5738724728</v>
      </c>
      <c r="I4414" s="11">
        <f>IFERROR(__xludf.DUMMYFUNCTION("""COMPUTED_VALUE"""),5691.7573872472785)</f>
        <v>5691.757387</v>
      </c>
      <c r="J4414" s="10">
        <f>IFERROR(__xludf.DUMMYFUNCTION("""COMPUTED_VALUE"""),1.0)</f>
        <v>1</v>
      </c>
      <c r="K4414" s="5">
        <f>IFERROR(__xludf.DUMMYFUNCTION("""COMPUTED_VALUE"""),0.0031545741324921135)</f>
        <v>0.003154574132</v>
      </c>
      <c r="L4414" s="10">
        <f>IFERROR(__xludf.DUMMYFUNCTION("""COMPUTED_VALUE"""),314.0)</f>
        <v>314</v>
      </c>
      <c r="M4414" s="5">
        <f>IFERROR(__xludf.DUMMYFUNCTION("""COMPUTED_VALUE"""),0.9905362776025236)</f>
        <v>0.9905362776</v>
      </c>
    </row>
    <row r="4415">
      <c r="A4415" s="10" t="str">
        <f>IFERROR(__xludf.DUMMYFUNCTION("""COMPUTED_VALUE"""),"惣流・アスカ")</f>
        <v>惣流・アスカ</v>
      </c>
      <c r="B4415" s="10">
        <f>IFERROR(__xludf.DUMMYFUNCTION("""COMPUTED_VALUE"""),168.0)</f>
        <v>168</v>
      </c>
      <c r="C4415" s="10">
        <f>IFERROR(__xludf.DUMMYFUNCTION("""COMPUTED_VALUE"""),1998.0)</f>
        <v>1998</v>
      </c>
      <c r="D4415" s="5">
        <f>IFERROR(__xludf.DUMMYFUNCTION("""COMPUTED_VALUE"""),0.32131147540983607)</f>
        <v>0.3213114754</v>
      </c>
      <c r="E4415" s="5">
        <f>IFERROR(__xludf.DUMMYFUNCTION("""COMPUTED_VALUE"""),0.1180327868852459)</f>
        <v>0.1180327869</v>
      </c>
      <c r="F4415" s="5">
        <f>IFERROR(__xludf.DUMMYFUNCTION("""COMPUTED_VALUE"""),0.20491803278688525)</f>
        <v>0.2049180328</v>
      </c>
      <c r="G4415" s="5">
        <f>IFERROR(__xludf.DUMMYFUNCTION("""COMPUTED_VALUE"""),0.17486338797814208)</f>
        <v>0.174863388</v>
      </c>
      <c r="H4415" s="5">
        <f>IFERROR(__xludf.DUMMYFUNCTION("""COMPUTED_VALUE"""),0.608)</f>
        <v>0.608</v>
      </c>
      <c r="I4415" s="11">
        <f>IFERROR(__xludf.DUMMYFUNCTION("""COMPUTED_VALUE"""),5550.4)</f>
        <v>5550.4</v>
      </c>
      <c r="J4415" s="10">
        <f>IFERROR(__xludf.DUMMYFUNCTION("""COMPUTED_VALUE"""),1.0)</f>
        <v>1</v>
      </c>
      <c r="K4415" s="5">
        <f>IFERROR(__xludf.DUMMYFUNCTION("""COMPUTED_VALUE"""),0.005952380952380952)</f>
        <v>0.005952380952</v>
      </c>
      <c r="L4415" s="10">
        <f>IFERROR(__xludf.DUMMYFUNCTION("""COMPUTED_VALUE"""),168.0)</f>
        <v>168</v>
      </c>
      <c r="M4415" s="5">
        <f>IFERROR(__xludf.DUMMYFUNCTION("""COMPUTED_VALUE"""),1.0)</f>
        <v>1</v>
      </c>
    </row>
    <row r="4416">
      <c r="A4416" s="10" t="str">
        <f>IFERROR(__xludf.DUMMYFUNCTION("""COMPUTED_VALUE"""),"momo-")</f>
        <v>momo-</v>
      </c>
      <c r="B4416" s="10">
        <f>IFERROR(__xludf.DUMMYFUNCTION("""COMPUTED_VALUE"""),707.0)</f>
        <v>707</v>
      </c>
      <c r="C4416" s="10">
        <f>IFERROR(__xludf.DUMMYFUNCTION("""COMPUTED_VALUE"""),8400.0)</f>
        <v>8400</v>
      </c>
      <c r="D4416" s="5">
        <f>IFERROR(__xludf.DUMMYFUNCTION("""COMPUTED_VALUE"""),0.37436630703236706)</f>
        <v>0.374366307</v>
      </c>
      <c r="E4416" s="5">
        <f>IFERROR(__xludf.DUMMYFUNCTION("""COMPUTED_VALUE"""),0.11802937735603795)</f>
        <v>0.1180293774</v>
      </c>
      <c r="F4416" s="5">
        <f>IFERROR(__xludf.DUMMYFUNCTION("""COMPUTED_VALUE"""),0.20941115299623034)</f>
        <v>0.209411153</v>
      </c>
      <c r="G4416" s="5">
        <f>IFERROR(__xludf.DUMMYFUNCTION("""COMPUTED_VALUE"""),0.16313531782139606)</f>
        <v>0.1631353178</v>
      </c>
      <c r="H4416" s="5">
        <f>IFERROR(__xludf.DUMMYFUNCTION("""COMPUTED_VALUE"""),0.6045934202358784)</f>
        <v>0.6045934202</v>
      </c>
      <c r="I4416" s="11">
        <f>IFERROR(__xludf.DUMMYFUNCTION("""COMPUTED_VALUE"""),5493.7306021104905)</f>
        <v>5493.730602</v>
      </c>
      <c r="J4416" s="10">
        <f>IFERROR(__xludf.DUMMYFUNCTION("""COMPUTED_VALUE"""),2.0)</f>
        <v>2</v>
      </c>
      <c r="K4416" s="5">
        <f>IFERROR(__xludf.DUMMYFUNCTION("""COMPUTED_VALUE"""),0.002828854314002829)</f>
        <v>0.002828854314</v>
      </c>
      <c r="L4416" s="10">
        <f>IFERROR(__xludf.DUMMYFUNCTION("""COMPUTED_VALUE"""),707.0)</f>
        <v>707</v>
      </c>
      <c r="M4416" s="5">
        <f>IFERROR(__xludf.DUMMYFUNCTION("""COMPUTED_VALUE"""),1.0)</f>
        <v>1</v>
      </c>
    </row>
    <row r="4417">
      <c r="A4417" s="10" t="str">
        <f>IFERROR(__xludf.DUMMYFUNCTION("""COMPUTED_VALUE"""),"ゃょぃ")</f>
        <v>ゃょぃ</v>
      </c>
      <c r="B4417" s="10">
        <f>IFERROR(__xludf.DUMMYFUNCTION("""COMPUTED_VALUE"""),1741.0)</f>
        <v>1741</v>
      </c>
      <c r="C4417" s="10">
        <f>IFERROR(__xludf.DUMMYFUNCTION("""COMPUTED_VALUE"""),20543.0)</f>
        <v>20543</v>
      </c>
      <c r="D4417" s="5">
        <f>IFERROR(__xludf.DUMMYFUNCTION("""COMPUTED_VALUE"""),0.35012232741197746)</f>
        <v>0.3501223274</v>
      </c>
      <c r="E4417" s="5">
        <f>IFERROR(__xludf.DUMMYFUNCTION("""COMPUTED_VALUE"""),0.11801935964259122)</f>
        <v>0.1180193596</v>
      </c>
      <c r="F4417" s="5">
        <f>IFERROR(__xludf.DUMMYFUNCTION("""COMPUTED_VALUE"""),0.21359429847888523)</f>
        <v>0.2135942985</v>
      </c>
      <c r="G4417" s="5">
        <f>IFERROR(__xludf.DUMMYFUNCTION("""COMPUTED_VALUE"""),0.16381236038719285)</f>
        <v>0.1638123604</v>
      </c>
      <c r="H4417" s="5">
        <f>IFERROR(__xludf.DUMMYFUNCTION("""COMPUTED_VALUE"""),0.6063247011952191)</f>
        <v>0.6063247012</v>
      </c>
      <c r="I4417" s="11">
        <f>IFERROR(__xludf.DUMMYFUNCTION("""COMPUTED_VALUE"""),5356.822709163346)</f>
        <v>5356.822709</v>
      </c>
      <c r="J4417" s="10">
        <f>IFERROR(__xludf.DUMMYFUNCTION("""COMPUTED_VALUE"""),2.0)</f>
        <v>2</v>
      </c>
      <c r="K4417" s="5">
        <f>IFERROR(__xludf.DUMMYFUNCTION("""COMPUTED_VALUE"""),0.0011487650775416428)</f>
        <v>0.001148765078</v>
      </c>
      <c r="L4417" s="10">
        <f>IFERROR(__xludf.DUMMYFUNCTION("""COMPUTED_VALUE"""),1741.0)</f>
        <v>1741</v>
      </c>
      <c r="M4417" s="5">
        <f>IFERROR(__xludf.DUMMYFUNCTION("""COMPUTED_VALUE"""),1.0)</f>
        <v>1</v>
      </c>
    </row>
    <row r="4418">
      <c r="A4418" s="10" t="str">
        <f>IFERROR(__xludf.DUMMYFUNCTION("""COMPUTED_VALUE"""),"ロロナ")</f>
        <v>ロロナ</v>
      </c>
      <c r="B4418" s="10">
        <f>IFERROR(__xludf.DUMMYFUNCTION("""COMPUTED_VALUE"""),217.0)</f>
        <v>217</v>
      </c>
      <c r="C4418" s="10">
        <f>IFERROR(__xludf.DUMMYFUNCTION("""COMPUTED_VALUE"""),2598.0)</f>
        <v>2598</v>
      </c>
      <c r="D4418" s="5">
        <f>IFERROR(__xludf.DUMMYFUNCTION("""COMPUTED_VALUE"""),0.39269214615707687)</f>
        <v>0.3926921462</v>
      </c>
      <c r="E4418" s="5">
        <f>IFERROR(__xludf.DUMMYFUNCTION("""COMPUTED_VALUE"""),0.11801763964720706)</f>
        <v>0.1180176396</v>
      </c>
      <c r="F4418" s="5">
        <f>IFERROR(__xludf.DUMMYFUNCTION("""COMPUTED_VALUE"""),0.20411591768164636)</f>
        <v>0.2041159177</v>
      </c>
      <c r="G4418" s="5">
        <f>IFERROR(__xludf.DUMMYFUNCTION("""COMPUTED_VALUE"""),0.15287694246115077)</f>
        <v>0.1528769425</v>
      </c>
      <c r="H4418" s="5">
        <f>IFERROR(__xludf.DUMMYFUNCTION("""COMPUTED_VALUE"""),0.6213991769547325)</f>
        <v>0.621399177</v>
      </c>
      <c r="I4418" s="11">
        <f>IFERROR(__xludf.DUMMYFUNCTION("""COMPUTED_VALUE"""),4970.164609053498)</f>
        <v>4970.164609</v>
      </c>
      <c r="J4418" s="10">
        <f>IFERROR(__xludf.DUMMYFUNCTION("""COMPUTED_VALUE"""),0.0)</f>
        <v>0</v>
      </c>
      <c r="K4418" s="5">
        <f>IFERROR(__xludf.DUMMYFUNCTION("""COMPUTED_VALUE"""),0.0)</f>
        <v>0</v>
      </c>
      <c r="L4418" s="10">
        <f>IFERROR(__xludf.DUMMYFUNCTION("""COMPUTED_VALUE"""),0.0)</f>
        <v>0</v>
      </c>
      <c r="M4418" s="5">
        <f>IFERROR(__xludf.DUMMYFUNCTION("""COMPUTED_VALUE"""),0.0)</f>
        <v>0</v>
      </c>
    </row>
    <row r="4419">
      <c r="A4419" s="10" t="str">
        <f>IFERROR(__xludf.DUMMYFUNCTION("""COMPUTED_VALUE"""),"幻霊")</f>
        <v>幻霊</v>
      </c>
      <c r="B4419" s="10">
        <f>IFERROR(__xludf.DUMMYFUNCTION("""COMPUTED_VALUE"""),2048.0)</f>
        <v>2048</v>
      </c>
      <c r="C4419" s="10">
        <f>IFERROR(__xludf.DUMMYFUNCTION("""COMPUTED_VALUE"""),23774.0)</f>
        <v>23774</v>
      </c>
      <c r="D4419" s="5">
        <f>IFERROR(__xludf.DUMMYFUNCTION("""COMPUTED_VALUE"""),0.3831814415907208)</f>
        <v>0.3831814416</v>
      </c>
      <c r="E4419" s="5">
        <f>IFERROR(__xludf.DUMMYFUNCTION("""COMPUTED_VALUE"""),0.11801528122986284)</f>
        <v>0.1180152812</v>
      </c>
      <c r="F4419" s="5">
        <f>IFERROR(__xludf.DUMMYFUNCTION("""COMPUTED_VALUE"""),0.21494982969713708)</f>
        <v>0.2149498297</v>
      </c>
      <c r="G4419" s="5">
        <f>IFERROR(__xludf.DUMMYFUNCTION("""COMPUTED_VALUE"""),0.14438921108349442)</f>
        <v>0.1443892111</v>
      </c>
      <c r="H4419" s="5">
        <f>IFERROR(__xludf.DUMMYFUNCTION("""COMPUTED_VALUE"""),0.6177730192719486)</f>
        <v>0.6177730193</v>
      </c>
      <c r="I4419" s="11">
        <f>IFERROR(__xludf.DUMMYFUNCTION("""COMPUTED_VALUE"""),5336.017130620985)</f>
        <v>5336.017131</v>
      </c>
      <c r="J4419" s="10">
        <f>IFERROR(__xludf.DUMMYFUNCTION("""COMPUTED_VALUE"""),5.0)</f>
        <v>5</v>
      </c>
      <c r="K4419" s="5">
        <f>IFERROR(__xludf.DUMMYFUNCTION("""COMPUTED_VALUE"""),0.00244140625)</f>
        <v>0.00244140625</v>
      </c>
      <c r="L4419" s="10">
        <f>IFERROR(__xludf.DUMMYFUNCTION("""COMPUTED_VALUE"""),871.0)</f>
        <v>871</v>
      </c>
      <c r="M4419" s="5">
        <f>IFERROR(__xludf.DUMMYFUNCTION("""COMPUTED_VALUE"""),0.42529296875)</f>
        <v>0.4252929688</v>
      </c>
    </row>
    <row r="4420">
      <c r="A4420" s="10" t="str">
        <f>IFERROR(__xludf.DUMMYFUNCTION("""COMPUTED_VALUE"""),"黒本尊")</f>
        <v>黒本尊</v>
      </c>
      <c r="B4420" s="10">
        <f>IFERROR(__xludf.DUMMYFUNCTION("""COMPUTED_VALUE"""),214.0)</f>
        <v>214</v>
      </c>
      <c r="C4420" s="10">
        <f>IFERROR(__xludf.DUMMYFUNCTION("""COMPUTED_VALUE"""),2468.0)</f>
        <v>2468</v>
      </c>
      <c r="D4420" s="5">
        <f>IFERROR(__xludf.DUMMYFUNCTION("""COMPUTED_VALUE"""),0.2506654835847382)</f>
        <v>0.2506654836</v>
      </c>
      <c r="E4420" s="5">
        <f>IFERROR(__xludf.DUMMYFUNCTION("""COMPUTED_VALUE"""),0.11801242236024845)</f>
        <v>0.1180124224</v>
      </c>
      <c r="F4420" s="5">
        <f>IFERROR(__xludf.DUMMYFUNCTION("""COMPUTED_VALUE"""),0.1898846495119787)</f>
        <v>0.1898846495</v>
      </c>
      <c r="G4420" s="5">
        <f>IFERROR(__xludf.DUMMYFUNCTION("""COMPUTED_VALUE"""),0.15306122448979592)</f>
        <v>0.1530612245</v>
      </c>
      <c r="H4420" s="5">
        <f>IFERROR(__xludf.DUMMYFUNCTION("""COMPUTED_VALUE"""),0.616822429906542)</f>
        <v>0.6168224299</v>
      </c>
      <c r="I4420" s="11">
        <f>IFERROR(__xludf.DUMMYFUNCTION("""COMPUTED_VALUE"""),5791.121495327103)</f>
        <v>5791.121495</v>
      </c>
      <c r="J4420" s="10">
        <f>IFERROR(__xludf.DUMMYFUNCTION("""COMPUTED_VALUE"""),0.0)</f>
        <v>0</v>
      </c>
      <c r="K4420" s="5">
        <f>IFERROR(__xludf.DUMMYFUNCTION("""COMPUTED_VALUE"""),0.0)</f>
        <v>0</v>
      </c>
      <c r="L4420" s="10">
        <f>IFERROR(__xludf.DUMMYFUNCTION("""COMPUTED_VALUE"""),214.0)</f>
        <v>214</v>
      </c>
      <c r="M4420" s="5">
        <f>IFERROR(__xludf.DUMMYFUNCTION("""COMPUTED_VALUE"""),1.0)</f>
        <v>1</v>
      </c>
    </row>
    <row r="4421">
      <c r="A4421" s="10" t="str">
        <f>IFERROR(__xludf.DUMMYFUNCTION("""COMPUTED_VALUE"""),"gomu")</f>
        <v>gomu</v>
      </c>
      <c r="B4421" s="10">
        <f>IFERROR(__xludf.DUMMYFUNCTION("""COMPUTED_VALUE"""),1658.0)</f>
        <v>1658</v>
      </c>
      <c r="C4421" s="10">
        <f>IFERROR(__xludf.DUMMYFUNCTION("""COMPUTED_VALUE"""),19419.0)</f>
        <v>19419</v>
      </c>
      <c r="D4421" s="5">
        <f>IFERROR(__xludf.DUMMYFUNCTION("""COMPUTED_VALUE"""),0.3094983390574855)</f>
        <v>0.3094983391</v>
      </c>
      <c r="E4421" s="5">
        <f>IFERROR(__xludf.DUMMYFUNCTION("""COMPUTED_VALUE"""),0.1180113732334891)</f>
        <v>0.1180113732</v>
      </c>
      <c r="F4421" s="5">
        <f>IFERROR(__xludf.DUMMYFUNCTION("""COMPUTED_VALUE"""),0.19278193795394402)</f>
        <v>0.192781938</v>
      </c>
      <c r="G4421" s="5">
        <f>IFERROR(__xludf.DUMMYFUNCTION("""COMPUTED_VALUE"""),0.18292888913912506)</f>
        <v>0.1829288891</v>
      </c>
      <c r="H4421" s="5">
        <f>IFERROR(__xludf.DUMMYFUNCTION("""COMPUTED_VALUE"""),0.5861565420560748)</f>
        <v>0.5861565421</v>
      </c>
      <c r="I4421" s="11">
        <f>IFERROR(__xludf.DUMMYFUNCTION("""COMPUTED_VALUE"""),5915.216121495327)</f>
        <v>5915.216121</v>
      </c>
      <c r="J4421" s="10">
        <f>IFERROR(__xludf.DUMMYFUNCTION("""COMPUTED_VALUE"""),2.0)</f>
        <v>2</v>
      </c>
      <c r="K4421" s="5">
        <f>IFERROR(__xludf.DUMMYFUNCTION("""COMPUTED_VALUE"""),0.0012062726176115801)</f>
        <v>0.001206272618</v>
      </c>
      <c r="L4421" s="10">
        <f>IFERROR(__xludf.DUMMYFUNCTION("""COMPUTED_VALUE"""),1658.0)</f>
        <v>1658</v>
      </c>
      <c r="M4421" s="5">
        <f>IFERROR(__xludf.DUMMYFUNCTION("""COMPUTED_VALUE"""),1.0)</f>
        <v>1</v>
      </c>
    </row>
    <row r="4422">
      <c r="A4422" s="10" t="str">
        <f>IFERROR(__xludf.DUMMYFUNCTION("""COMPUTED_VALUE"""),"mnw20000")</f>
        <v>mnw20000</v>
      </c>
      <c r="B4422" s="10">
        <f>IFERROR(__xludf.DUMMYFUNCTION("""COMPUTED_VALUE"""),846.0)</f>
        <v>846</v>
      </c>
      <c r="C4422" s="10">
        <f>IFERROR(__xludf.DUMMYFUNCTION("""COMPUTED_VALUE"""),9896.0)</f>
        <v>9896</v>
      </c>
      <c r="D4422" s="5">
        <f>IFERROR(__xludf.DUMMYFUNCTION("""COMPUTED_VALUE"""),0.33469613259668507)</f>
        <v>0.3346961326</v>
      </c>
      <c r="E4422" s="5">
        <f>IFERROR(__xludf.DUMMYFUNCTION("""COMPUTED_VALUE"""),0.11801104972375691)</f>
        <v>0.1180110497</v>
      </c>
      <c r="F4422" s="5">
        <f>IFERROR(__xludf.DUMMYFUNCTION("""COMPUTED_VALUE"""),0.20861878453038674)</f>
        <v>0.2086187845</v>
      </c>
      <c r="G4422" s="5">
        <f>IFERROR(__xludf.DUMMYFUNCTION("""COMPUTED_VALUE"""),0.1529281767955801)</f>
        <v>0.1529281768</v>
      </c>
      <c r="H4422" s="5">
        <f>IFERROR(__xludf.DUMMYFUNCTION("""COMPUTED_VALUE"""),0.6048728813559322)</f>
        <v>0.6048728814</v>
      </c>
      <c r="I4422" s="11">
        <f>IFERROR(__xludf.DUMMYFUNCTION("""COMPUTED_VALUE"""),5849.205508474576)</f>
        <v>5849.205508</v>
      </c>
      <c r="J4422" s="10">
        <f>IFERROR(__xludf.DUMMYFUNCTION("""COMPUTED_VALUE"""),0.0)</f>
        <v>0</v>
      </c>
      <c r="K4422" s="5">
        <f>IFERROR(__xludf.DUMMYFUNCTION("""COMPUTED_VALUE"""),0.0)</f>
        <v>0</v>
      </c>
      <c r="L4422" s="10">
        <f>IFERROR(__xludf.DUMMYFUNCTION("""COMPUTED_VALUE"""),846.0)</f>
        <v>846</v>
      </c>
      <c r="M4422" s="5">
        <f>IFERROR(__xludf.DUMMYFUNCTION("""COMPUTED_VALUE"""),1.0)</f>
        <v>1</v>
      </c>
    </row>
    <row r="4423">
      <c r="A4423" s="10" t="str">
        <f>IFERROR(__xludf.DUMMYFUNCTION("""COMPUTED_VALUE"""),"Rhaegar")</f>
        <v>Rhaegar</v>
      </c>
      <c r="B4423" s="10">
        <f>IFERROR(__xludf.DUMMYFUNCTION("""COMPUTED_VALUE"""),272.0)</f>
        <v>272</v>
      </c>
      <c r="C4423" s="10">
        <f>IFERROR(__xludf.DUMMYFUNCTION("""COMPUTED_VALUE"""),3221.0)</f>
        <v>3221</v>
      </c>
      <c r="D4423" s="5">
        <f>IFERROR(__xludf.DUMMYFUNCTION("""COMPUTED_VALUE"""),0.3289250593421499)</f>
        <v>0.3289250593</v>
      </c>
      <c r="E4423" s="5">
        <f>IFERROR(__xludf.DUMMYFUNCTION("""COMPUTED_VALUE"""),0.11800610376398779)</f>
        <v>0.1180061038</v>
      </c>
      <c r="F4423" s="5">
        <f>IFERROR(__xludf.DUMMYFUNCTION("""COMPUTED_VALUE"""),0.1943031536113937)</f>
        <v>0.1943031536</v>
      </c>
      <c r="G4423" s="5">
        <f>IFERROR(__xludf.DUMMYFUNCTION("""COMPUTED_VALUE"""),0.1705662936588674)</f>
        <v>0.1705662937</v>
      </c>
      <c r="H4423" s="5">
        <f>IFERROR(__xludf.DUMMYFUNCTION("""COMPUTED_VALUE"""),0.5619546247818499)</f>
        <v>0.5619546248</v>
      </c>
      <c r="I4423" s="11">
        <f>IFERROR(__xludf.DUMMYFUNCTION("""COMPUTED_VALUE"""),5644.851657940663)</f>
        <v>5644.851658</v>
      </c>
      <c r="J4423" s="10">
        <f>IFERROR(__xludf.DUMMYFUNCTION("""COMPUTED_VALUE"""),0.0)</f>
        <v>0</v>
      </c>
      <c r="K4423" s="5">
        <f>IFERROR(__xludf.DUMMYFUNCTION("""COMPUTED_VALUE"""),0.0)</f>
        <v>0</v>
      </c>
      <c r="L4423" s="10">
        <f>IFERROR(__xludf.DUMMYFUNCTION("""COMPUTED_VALUE"""),36.0)</f>
        <v>36</v>
      </c>
      <c r="M4423" s="5">
        <f>IFERROR(__xludf.DUMMYFUNCTION("""COMPUTED_VALUE"""),0.1323529411764706)</f>
        <v>0.1323529412</v>
      </c>
    </row>
    <row r="4424">
      <c r="A4424" s="10" t="str">
        <f>IFERROR(__xludf.DUMMYFUNCTION("""COMPUTED_VALUE"""),"morizane")</f>
        <v>morizane</v>
      </c>
      <c r="B4424" s="10">
        <f>IFERROR(__xludf.DUMMYFUNCTION("""COMPUTED_VALUE"""),1445.0)</f>
        <v>1445</v>
      </c>
      <c r="C4424" s="10">
        <f>IFERROR(__xludf.DUMMYFUNCTION("""COMPUTED_VALUE"""),16887.0)</f>
        <v>16887</v>
      </c>
      <c r="D4424" s="5">
        <f>IFERROR(__xludf.DUMMYFUNCTION("""COMPUTED_VALUE"""),0.3492423261235591)</f>
        <v>0.3492423261</v>
      </c>
      <c r="E4424" s="5">
        <f>IFERROR(__xludf.DUMMYFUNCTION("""COMPUTED_VALUE"""),0.11798989768164746)</f>
        <v>0.1179898977</v>
      </c>
      <c r="F4424" s="5">
        <f>IFERROR(__xludf.DUMMYFUNCTION("""COMPUTED_VALUE"""),0.2113715839917109)</f>
        <v>0.211371584</v>
      </c>
      <c r="G4424" s="5">
        <f>IFERROR(__xludf.DUMMYFUNCTION("""COMPUTED_VALUE"""),0.16073047532703016)</f>
        <v>0.1607304753</v>
      </c>
      <c r="H4424" s="5">
        <f>IFERROR(__xludf.DUMMYFUNCTION("""COMPUTED_VALUE"""),0.6066176470588235)</f>
        <v>0.6066176471</v>
      </c>
      <c r="I4424" s="11">
        <f>IFERROR(__xludf.DUMMYFUNCTION("""COMPUTED_VALUE"""),5758.517156862745)</f>
        <v>5758.517157</v>
      </c>
      <c r="J4424" s="10">
        <f>IFERROR(__xludf.DUMMYFUNCTION("""COMPUTED_VALUE"""),5.0)</f>
        <v>5</v>
      </c>
      <c r="K4424" s="5">
        <f>IFERROR(__xludf.DUMMYFUNCTION("""COMPUTED_VALUE"""),0.0034602076124567475)</f>
        <v>0.003460207612</v>
      </c>
      <c r="L4424" s="10">
        <f>IFERROR(__xludf.DUMMYFUNCTION("""COMPUTED_VALUE"""),729.0)</f>
        <v>729</v>
      </c>
      <c r="M4424" s="5">
        <f>IFERROR(__xludf.DUMMYFUNCTION("""COMPUTED_VALUE"""),0.5044982698961937)</f>
        <v>0.5044982699</v>
      </c>
    </row>
    <row r="4425">
      <c r="A4425" s="10" t="str">
        <f>IFERROR(__xludf.DUMMYFUNCTION("""COMPUTED_VALUE"""),"検査員")</f>
        <v>検査員</v>
      </c>
      <c r="B4425" s="10">
        <f>IFERROR(__xludf.DUMMYFUNCTION("""COMPUTED_VALUE"""),461.0)</f>
        <v>461</v>
      </c>
      <c r="C4425" s="10">
        <f>IFERROR(__xludf.DUMMYFUNCTION("""COMPUTED_VALUE"""),5360.0)</f>
        <v>5360</v>
      </c>
      <c r="D4425" s="5">
        <f>IFERROR(__xludf.DUMMYFUNCTION("""COMPUTED_VALUE"""),0.36027760767503575)</f>
        <v>0.3602776077</v>
      </c>
      <c r="E4425" s="5">
        <f>IFERROR(__xludf.DUMMYFUNCTION("""COMPUTED_VALUE"""),0.11798326189018167)</f>
        <v>0.1179832619</v>
      </c>
      <c r="F4425" s="5">
        <f>IFERROR(__xludf.DUMMYFUNCTION("""COMPUTED_VALUE"""),0.20432741375790978)</f>
        <v>0.2043274138</v>
      </c>
      <c r="G4425" s="5">
        <f>IFERROR(__xludf.DUMMYFUNCTION("""COMPUTED_VALUE"""),0.1557460706266585)</f>
        <v>0.1557460706</v>
      </c>
      <c r="H4425" s="5">
        <f>IFERROR(__xludf.DUMMYFUNCTION("""COMPUTED_VALUE"""),0.6113886113886113)</f>
        <v>0.6113886114</v>
      </c>
      <c r="I4425" s="11">
        <f>IFERROR(__xludf.DUMMYFUNCTION("""COMPUTED_VALUE"""),5744.855144855145)</f>
        <v>5744.855145</v>
      </c>
      <c r="J4425" s="10">
        <f>IFERROR(__xludf.DUMMYFUNCTION("""COMPUTED_VALUE"""),0.0)</f>
        <v>0</v>
      </c>
      <c r="K4425" s="5">
        <f>IFERROR(__xludf.DUMMYFUNCTION("""COMPUTED_VALUE"""),0.0)</f>
        <v>0</v>
      </c>
      <c r="L4425" s="10">
        <f>IFERROR(__xludf.DUMMYFUNCTION("""COMPUTED_VALUE"""),461.0)</f>
        <v>461</v>
      </c>
      <c r="M4425" s="5">
        <f>IFERROR(__xludf.DUMMYFUNCTION("""COMPUTED_VALUE"""),1.0)</f>
        <v>1</v>
      </c>
    </row>
    <row r="4426">
      <c r="A4426" s="10" t="str">
        <f>IFERROR(__xludf.DUMMYFUNCTION("""COMPUTED_VALUE"""),"タメロンチャン")</f>
        <v>タメロンチャン</v>
      </c>
      <c r="B4426" s="10">
        <f>IFERROR(__xludf.DUMMYFUNCTION("""COMPUTED_VALUE"""),128.0)</f>
        <v>128</v>
      </c>
      <c r="C4426" s="10">
        <f>IFERROR(__xludf.DUMMYFUNCTION("""COMPUTED_VALUE"""),1535.0)</f>
        <v>1535</v>
      </c>
      <c r="D4426" s="5">
        <f>IFERROR(__xludf.DUMMYFUNCTION("""COMPUTED_VALUE"""),0.3169864960909737)</f>
        <v>0.3169864961</v>
      </c>
      <c r="E4426" s="5">
        <f>IFERROR(__xludf.DUMMYFUNCTION("""COMPUTED_VALUE"""),0.11798152096659559)</f>
        <v>0.117981521</v>
      </c>
      <c r="F4426" s="5">
        <f>IFERROR(__xludf.DUMMYFUNCTION("""COMPUTED_VALUE"""),0.20398009950248755)</f>
        <v>0.2039800995</v>
      </c>
      <c r="G4426" s="5">
        <f>IFERROR(__xludf.DUMMYFUNCTION("""COMPUTED_VALUE"""),0.14498933901918976)</f>
        <v>0.144989339</v>
      </c>
      <c r="H4426" s="5">
        <f>IFERROR(__xludf.DUMMYFUNCTION("""COMPUTED_VALUE"""),0.662020905923345)</f>
        <v>0.6620209059</v>
      </c>
      <c r="I4426" s="11">
        <f>IFERROR(__xludf.DUMMYFUNCTION("""COMPUTED_VALUE"""),5301.742160278745)</f>
        <v>5301.74216</v>
      </c>
      <c r="J4426" s="10">
        <f>IFERROR(__xludf.DUMMYFUNCTION("""COMPUTED_VALUE"""),0.0)</f>
        <v>0</v>
      </c>
      <c r="K4426" s="5">
        <f>IFERROR(__xludf.DUMMYFUNCTION("""COMPUTED_VALUE"""),0.0)</f>
        <v>0</v>
      </c>
      <c r="L4426" s="10">
        <f>IFERROR(__xludf.DUMMYFUNCTION("""COMPUTED_VALUE"""),1.0)</f>
        <v>1</v>
      </c>
      <c r="M4426" s="5">
        <f>IFERROR(__xludf.DUMMYFUNCTION("""COMPUTED_VALUE"""),0.0078125)</f>
        <v>0.0078125</v>
      </c>
    </row>
    <row r="4427">
      <c r="A4427" s="10" t="str">
        <f>IFERROR(__xludf.DUMMYFUNCTION("""COMPUTED_VALUE"""),"KW")</f>
        <v>KW</v>
      </c>
      <c r="B4427" s="10">
        <f>IFERROR(__xludf.DUMMYFUNCTION("""COMPUTED_VALUE"""),225.0)</f>
        <v>225</v>
      </c>
      <c r="C4427" s="10">
        <f>IFERROR(__xludf.DUMMYFUNCTION("""COMPUTED_VALUE"""),2607.0)</f>
        <v>2607</v>
      </c>
      <c r="D4427" s="5">
        <f>IFERROR(__xludf.DUMMYFUNCTION("""COMPUTED_VALUE"""),0.2858942065491184)</f>
        <v>0.2858942065</v>
      </c>
      <c r="E4427" s="5">
        <f>IFERROR(__xludf.DUMMYFUNCTION("""COMPUTED_VALUE"""),0.117968094038623)</f>
        <v>0.117968094</v>
      </c>
      <c r="F4427" s="5">
        <f>IFERROR(__xludf.DUMMYFUNCTION("""COMPUTED_VALUE"""),0.21914357682619648)</f>
        <v>0.2191435768</v>
      </c>
      <c r="G4427" s="5">
        <f>IFERROR(__xludf.DUMMYFUNCTION("""COMPUTED_VALUE"""),0.20822837951301426)</f>
        <v>0.2082283795</v>
      </c>
      <c r="H4427" s="5">
        <f>IFERROR(__xludf.DUMMYFUNCTION("""COMPUTED_VALUE"""),0.60727969348659)</f>
        <v>0.6072796935</v>
      </c>
      <c r="I4427" s="11">
        <f>IFERROR(__xludf.DUMMYFUNCTION("""COMPUTED_VALUE"""),5434.865900383142)</f>
        <v>5434.8659</v>
      </c>
      <c r="J4427" s="10">
        <f>IFERROR(__xludf.DUMMYFUNCTION("""COMPUTED_VALUE"""),1.0)</f>
        <v>1</v>
      </c>
      <c r="K4427" s="5">
        <f>IFERROR(__xludf.DUMMYFUNCTION("""COMPUTED_VALUE"""),0.0044444444444444444)</f>
        <v>0.004444444444</v>
      </c>
      <c r="L4427" s="10">
        <f>IFERROR(__xludf.DUMMYFUNCTION("""COMPUTED_VALUE"""),225.0)</f>
        <v>225</v>
      </c>
      <c r="M4427" s="5">
        <f>IFERROR(__xludf.DUMMYFUNCTION("""COMPUTED_VALUE"""),1.0)</f>
        <v>1</v>
      </c>
    </row>
    <row r="4428">
      <c r="A4428" s="10" t="str">
        <f>IFERROR(__xludf.DUMMYFUNCTION("""COMPUTED_VALUE"""),"koboz")</f>
        <v>koboz</v>
      </c>
      <c r="B4428" s="10">
        <f>IFERROR(__xludf.DUMMYFUNCTION("""COMPUTED_VALUE"""),1150.0)</f>
        <v>1150</v>
      </c>
      <c r="C4428" s="10">
        <f>IFERROR(__xludf.DUMMYFUNCTION("""COMPUTED_VALUE"""),13467.0)</f>
        <v>13467</v>
      </c>
      <c r="D4428" s="5">
        <f>IFERROR(__xludf.DUMMYFUNCTION("""COMPUTED_VALUE"""),0.3185840707964602)</f>
        <v>0.3185840708</v>
      </c>
      <c r="E4428" s="5">
        <f>IFERROR(__xludf.DUMMYFUNCTION("""COMPUTED_VALUE"""),0.11796703742794512)</f>
        <v>0.1179670374</v>
      </c>
      <c r="F4428" s="5">
        <f>IFERROR(__xludf.DUMMYFUNCTION("""COMPUTED_VALUE"""),0.22221320126654218)</f>
        <v>0.2222132013</v>
      </c>
      <c r="G4428" s="5">
        <f>IFERROR(__xludf.DUMMYFUNCTION("""COMPUTED_VALUE"""),0.15157911829179183)</f>
        <v>0.1515791183</v>
      </c>
      <c r="H4428" s="5">
        <f>IFERROR(__xludf.DUMMYFUNCTION("""COMPUTED_VALUE"""),0.6127146510778224)</f>
        <v>0.6127146511</v>
      </c>
      <c r="I4428" s="11">
        <f>IFERROR(__xludf.DUMMYFUNCTION("""COMPUTED_VALUE"""),5448.118377785897)</f>
        <v>5448.118378</v>
      </c>
      <c r="J4428" s="10">
        <f>IFERROR(__xludf.DUMMYFUNCTION("""COMPUTED_VALUE"""),2.0)</f>
        <v>2</v>
      </c>
      <c r="K4428" s="5">
        <f>IFERROR(__xludf.DUMMYFUNCTION("""COMPUTED_VALUE"""),0.0017391304347826088)</f>
        <v>0.001739130435</v>
      </c>
      <c r="L4428" s="10">
        <f>IFERROR(__xludf.DUMMYFUNCTION("""COMPUTED_VALUE"""),914.0)</f>
        <v>914</v>
      </c>
      <c r="M4428" s="5">
        <f>IFERROR(__xludf.DUMMYFUNCTION("""COMPUTED_VALUE"""),0.7947826086956522)</f>
        <v>0.7947826087</v>
      </c>
    </row>
    <row r="4429">
      <c r="A4429" s="10" t="str">
        <f>IFERROR(__xludf.DUMMYFUNCTION("""COMPUTED_VALUE"""),"sakuryo")</f>
        <v>sakuryo</v>
      </c>
      <c r="B4429" s="10">
        <f>IFERROR(__xludf.DUMMYFUNCTION("""COMPUTED_VALUE"""),198.0)</f>
        <v>198</v>
      </c>
      <c r="C4429" s="10">
        <f>IFERROR(__xludf.DUMMYFUNCTION("""COMPUTED_VALUE"""),2419.0)</f>
        <v>2419</v>
      </c>
      <c r="D4429" s="5">
        <f>IFERROR(__xludf.DUMMYFUNCTION("""COMPUTED_VALUE"""),0.35434488968932915)</f>
        <v>0.3543448897</v>
      </c>
      <c r="E4429" s="5">
        <f>IFERROR(__xludf.DUMMYFUNCTION("""COMPUTED_VALUE"""),0.11796488068437641)</f>
        <v>0.1179648807</v>
      </c>
      <c r="F4429" s="5">
        <f>IFERROR(__xludf.DUMMYFUNCTION("""COMPUTED_VALUE"""),0.20171094101755965)</f>
        <v>0.201710941</v>
      </c>
      <c r="G4429" s="5">
        <f>IFERROR(__xludf.DUMMYFUNCTION("""COMPUTED_VALUE"""),0.16614137775776677)</f>
        <v>0.1661413778</v>
      </c>
      <c r="H4429" s="5">
        <f>IFERROR(__xludf.DUMMYFUNCTION("""COMPUTED_VALUE"""),0.5825892857142857)</f>
        <v>0.5825892857</v>
      </c>
      <c r="I4429" s="11">
        <f>IFERROR(__xludf.DUMMYFUNCTION("""COMPUTED_VALUE"""),5064.732142857143)</f>
        <v>5064.732143</v>
      </c>
      <c r="J4429" s="10">
        <f>IFERROR(__xludf.DUMMYFUNCTION("""COMPUTED_VALUE"""),1.0)</f>
        <v>1</v>
      </c>
      <c r="K4429" s="5">
        <f>IFERROR(__xludf.DUMMYFUNCTION("""COMPUTED_VALUE"""),0.005050505050505051)</f>
        <v>0.005050505051</v>
      </c>
      <c r="L4429" s="10">
        <f>IFERROR(__xludf.DUMMYFUNCTION("""COMPUTED_VALUE"""),198.0)</f>
        <v>198</v>
      </c>
      <c r="M4429" s="5">
        <f>IFERROR(__xludf.DUMMYFUNCTION("""COMPUTED_VALUE"""),1.0)</f>
        <v>1</v>
      </c>
    </row>
    <row r="4430">
      <c r="A4430" s="10" t="str">
        <f>IFERROR(__xludf.DUMMYFUNCTION("""COMPUTED_VALUE"""),"kakiage@")</f>
        <v>kakiage@</v>
      </c>
      <c r="B4430" s="10">
        <f>IFERROR(__xludf.DUMMYFUNCTION("""COMPUTED_VALUE"""),177.0)</f>
        <v>177</v>
      </c>
      <c r="C4430" s="10">
        <f>IFERROR(__xludf.DUMMYFUNCTION("""COMPUTED_VALUE"""),2076.0)</f>
        <v>2076</v>
      </c>
      <c r="D4430" s="5">
        <f>IFERROR(__xludf.DUMMYFUNCTION("""COMPUTED_VALUE"""),0.33438651922064244)</f>
        <v>0.3343865192</v>
      </c>
      <c r="E4430" s="5">
        <f>IFERROR(__xludf.DUMMYFUNCTION("""COMPUTED_VALUE"""),0.11795681937862032)</f>
        <v>0.1179568194</v>
      </c>
      <c r="F4430" s="5">
        <f>IFERROR(__xludf.DUMMYFUNCTION("""COMPUTED_VALUE"""),0.1990521327014218)</f>
        <v>0.1990521327</v>
      </c>
      <c r="G4430" s="5">
        <f>IFERROR(__xludf.DUMMYFUNCTION("""COMPUTED_VALUE"""),0.15587151132174829)</f>
        <v>0.1558715113</v>
      </c>
      <c r="H4430" s="5">
        <f>IFERROR(__xludf.DUMMYFUNCTION("""COMPUTED_VALUE"""),0.5873015873015873)</f>
        <v>0.5873015873</v>
      </c>
      <c r="I4430" s="11">
        <f>IFERROR(__xludf.DUMMYFUNCTION("""COMPUTED_VALUE"""),5415.608465608466)</f>
        <v>5415.608466</v>
      </c>
      <c r="J4430" s="10">
        <f>IFERROR(__xludf.DUMMYFUNCTION("""COMPUTED_VALUE"""),0.0)</f>
        <v>0</v>
      </c>
      <c r="K4430" s="5">
        <f>IFERROR(__xludf.DUMMYFUNCTION("""COMPUTED_VALUE"""),0.0)</f>
        <v>0</v>
      </c>
      <c r="L4430" s="10">
        <f>IFERROR(__xludf.DUMMYFUNCTION("""COMPUTED_VALUE"""),177.0)</f>
        <v>177</v>
      </c>
      <c r="M4430" s="5">
        <f>IFERROR(__xludf.DUMMYFUNCTION("""COMPUTED_VALUE"""),1.0)</f>
        <v>1</v>
      </c>
    </row>
    <row r="4431">
      <c r="A4431" s="10" t="str">
        <f>IFERROR(__xludf.DUMMYFUNCTION("""COMPUTED_VALUE"""),"foobar22")</f>
        <v>foobar22</v>
      </c>
      <c r="B4431" s="10">
        <f>IFERROR(__xludf.DUMMYFUNCTION("""COMPUTED_VALUE"""),122.0)</f>
        <v>122</v>
      </c>
      <c r="C4431" s="10">
        <f>IFERROR(__xludf.DUMMYFUNCTION("""COMPUTED_VALUE"""),1453.0)</f>
        <v>1453</v>
      </c>
      <c r="D4431" s="5">
        <f>IFERROR(__xludf.DUMMYFUNCTION("""COMPUTED_VALUE"""),0.32231404958677684)</f>
        <v>0.3223140496</v>
      </c>
      <c r="E4431" s="5">
        <f>IFERROR(__xludf.DUMMYFUNCTION("""COMPUTED_VALUE"""),0.1179564237415477)</f>
        <v>0.1179564237</v>
      </c>
      <c r="F4431" s="5">
        <f>IFERROR(__xludf.DUMMYFUNCTION("""COMPUTED_VALUE"""),0.1960931630353118)</f>
        <v>0.196093163</v>
      </c>
      <c r="G4431" s="5">
        <f>IFERROR(__xludf.DUMMYFUNCTION("""COMPUTED_VALUE"""),0.12697220135236664)</f>
        <v>0.1269722014</v>
      </c>
      <c r="H4431" s="5">
        <f>IFERROR(__xludf.DUMMYFUNCTION("""COMPUTED_VALUE"""),0.5708812260536399)</f>
        <v>0.5708812261</v>
      </c>
      <c r="I4431" s="11">
        <f>IFERROR(__xludf.DUMMYFUNCTION("""COMPUTED_VALUE"""),5533.333333333333)</f>
        <v>5533.333333</v>
      </c>
      <c r="J4431" s="10">
        <f>IFERROR(__xludf.DUMMYFUNCTION("""COMPUTED_VALUE"""),1.0)</f>
        <v>1</v>
      </c>
      <c r="K4431" s="5">
        <f>IFERROR(__xludf.DUMMYFUNCTION("""COMPUTED_VALUE"""),0.00819672131147541)</f>
        <v>0.008196721311</v>
      </c>
      <c r="L4431" s="10">
        <f>IFERROR(__xludf.DUMMYFUNCTION("""COMPUTED_VALUE"""),122.0)</f>
        <v>122</v>
      </c>
      <c r="M4431" s="5">
        <f>IFERROR(__xludf.DUMMYFUNCTION("""COMPUTED_VALUE"""),1.0)</f>
        <v>1</v>
      </c>
    </row>
    <row r="4432">
      <c r="A4432" s="10" t="str">
        <f>IFERROR(__xludf.DUMMYFUNCTION("""COMPUTED_VALUE"""),"§獅子原爽")</f>
        <v>§獅子原爽</v>
      </c>
      <c r="B4432" s="10">
        <f>IFERROR(__xludf.DUMMYFUNCTION("""COMPUTED_VALUE"""),150.0)</f>
        <v>150</v>
      </c>
      <c r="C4432" s="10">
        <f>IFERROR(__xludf.DUMMYFUNCTION("""COMPUTED_VALUE"""),1710.0)</f>
        <v>1710</v>
      </c>
      <c r="D4432" s="5">
        <f>IFERROR(__xludf.DUMMYFUNCTION("""COMPUTED_VALUE"""),0.31794871794871793)</f>
        <v>0.3179487179</v>
      </c>
      <c r="E4432" s="5">
        <f>IFERROR(__xludf.DUMMYFUNCTION("""COMPUTED_VALUE"""),0.11794871794871795)</f>
        <v>0.1179487179</v>
      </c>
      <c r="F4432" s="5">
        <f>IFERROR(__xludf.DUMMYFUNCTION("""COMPUTED_VALUE"""),0.21474358974358973)</f>
        <v>0.2147435897</v>
      </c>
      <c r="G4432" s="5">
        <f>IFERROR(__xludf.DUMMYFUNCTION("""COMPUTED_VALUE"""),0.1891025641025641)</f>
        <v>0.1891025641</v>
      </c>
      <c r="H4432" s="5">
        <f>IFERROR(__xludf.DUMMYFUNCTION("""COMPUTED_VALUE"""),0.6358208955223881)</f>
        <v>0.6358208955</v>
      </c>
      <c r="I4432" s="11">
        <f>IFERROR(__xludf.DUMMYFUNCTION("""COMPUTED_VALUE"""),6360.298507462687)</f>
        <v>6360.298507</v>
      </c>
      <c r="J4432" s="10">
        <f>IFERROR(__xludf.DUMMYFUNCTION("""COMPUTED_VALUE"""),0.0)</f>
        <v>0</v>
      </c>
      <c r="K4432" s="5">
        <f>IFERROR(__xludf.DUMMYFUNCTION("""COMPUTED_VALUE"""),0.0)</f>
        <v>0</v>
      </c>
      <c r="L4432" s="10">
        <f>IFERROR(__xludf.DUMMYFUNCTION("""COMPUTED_VALUE"""),0.0)</f>
        <v>0</v>
      </c>
      <c r="M4432" s="5">
        <f>IFERROR(__xludf.DUMMYFUNCTION("""COMPUTED_VALUE"""),0.0)</f>
        <v>0</v>
      </c>
    </row>
    <row r="4433">
      <c r="A4433" s="10" t="str">
        <f>IFERROR(__xludf.DUMMYFUNCTION("""COMPUTED_VALUE"""),"zelden")</f>
        <v>zelden</v>
      </c>
      <c r="B4433" s="10">
        <f>IFERROR(__xludf.DUMMYFUNCTION("""COMPUTED_VALUE"""),3050.0)</f>
        <v>3050</v>
      </c>
      <c r="C4433" s="10">
        <f>IFERROR(__xludf.DUMMYFUNCTION("""COMPUTED_VALUE"""),35905.0)</f>
        <v>35905</v>
      </c>
      <c r="D4433" s="5">
        <f>IFERROR(__xludf.DUMMYFUNCTION("""COMPUTED_VALUE"""),0.3433571754679653)</f>
        <v>0.3433571755</v>
      </c>
      <c r="E4433" s="5">
        <f>IFERROR(__xludf.DUMMYFUNCTION("""COMPUTED_VALUE"""),0.11794247450920713)</f>
        <v>0.1179424745</v>
      </c>
      <c r="F4433" s="5">
        <f>IFERROR(__xludf.DUMMYFUNCTION("""COMPUTED_VALUE"""),0.21311824684218536)</f>
        <v>0.2131182468</v>
      </c>
      <c r="G4433" s="5">
        <f>IFERROR(__xludf.DUMMYFUNCTION("""COMPUTED_VALUE"""),0.17163293258255974)</f>
        <v>0.1716329326</v>
      </c>
      <c r="H4433" s="5">
        <f>IFERROR(__xludf.DUMMYFUNCTION("""COMPUTED_VALUE"""),0.5896886603827478)</f>
        <v>0.5896886604</v>
      </c>
      <c r="I4433" s="11">
        <f>IFERROR(__xludf.DUMMYFUNCTION("""COMPUTED_VALUE"""),5536.689517280777)</f>
        <v>5536.689517</v>
      </c>
      <c r="J4433" s="10">
        <f>IFERROR(__xludf.DUMMYFUNCTION("""COMPUTED_VALUE"""),6.0)</f>
        <v>6</v>
      </c>
      <c r="K4433" s="5">
        <f>IFERROR(__xludf.DUMMYFUNCTION("""COMPUTED_VALUE"""),0.0019672131147540984)</f>
        <v>0.001967213115</v>
      </c>
      <c r="L4433" s="10">
        <f>IFERROR(__xludf.DUMMYFUNCTION("""COMPUTED_VALUE"""),3050.0)</f>
        <v>3050</v>
      </c>
      <c r="M4433" s="5">
        <f>IFERROR(__xludf.DUMMYFUNCTION("""COMPUTED_VALUE"""),1.0)</f>
        <v>1</v>
      </c>
    </row>
    <row r="4434">
      <c r="A4434" s="10" t="str">
        <f>IFERROR(__xludf.DUMMYFUNCTION("""COMPUTED_VALUE"""),"IQ180真剣様")</f>
        <v>IQ180真剣様</v>
      </c>
      <c r="B4434" s="10">
        <f>IFERROR(__xludf.DUMMYFUNCTION("""COMPUTED_VALUE"""),376.0)</f>
        <v>376</v>
      </c>
      <c r="C4434" s="10">
        <f>IFERROR(__xludf.DUMMYFUNCTION("""COMPUTED_VALUE"""),4302.0)</f>
        <v>4302</v>
      </c>
      <c r="D4434" s="5">
        <f>IFERROR(__xludf.DUMMYFUNCTION("""COMPUTED_VALUE"""),0.4032093734080489)</f>
        <v>0.4032093734</v>
      </c>
      <c r="E4434" s="5">
        <f>IFERROR(__xludf.DUMMYFUNCTION("""COMPUTED_VALUE"""),0.11793173713703516)</f>
        <v>0.1179317371</v>
      </c>
      <c r="F4434" s="5">
        <f>IFERROR(__xludf.DUMMYFUNCTION("""COMPUTED_VALUE"""),0.19816607233825778)</f>
        <v>0.1981660723</v>
      </c>
      <c r="G4434" s="5">
        <f>IFERROR(__xludf.DUMMYFUNCTION("""COMPUTED_VALUE"""),0.16021395822720327)</f>
        <v>0.1602139582</v>
      </c>
      <c r="H4434" s="5">
        <f>IFERROR(__xludf.DUMMYFUNCTION("""COMPUTED_VALUE"""),0.6053984575835476)</f>
        <v>0.6053984576</v>
      </c>
      <c r="I4434" s="11">
        <f>IFERROR(__xludf.DUMMYFUNCTION("""COMPUTED_VALUE"""),5770.951156812339)</f>
        <v>5770.951157</v>
      </c>
      <c r="J4434" s="10">
        <f>IFERROR(__xludf.DUMMYFUNCTION("""COMPUTED_VALUE"""),1.0)</f>
        <v>1</v>
      </c>
      <c r="K4434" s="5">
        <f>IFERROR(__xludf.DUMMYFUNCTION("""COMPUTED_VALUE"""),0.0026595744680851063)</f>
        <v>0.002659574468</v>
      </c>
      <c r="L4434" s="10">
        <f>IFERROR(__xludf.DUMMYFUNCTION("""COMPUTED_VALUE"""),376.0)</f>
        <v>376</v>
      </c>
      <c r="M4434" s="5">
        <f>IFERROR(__xludf.DUMMYFUNCTION("""COMPUTED_VALUE"""),1.0)</f>
        <v>1</v>
      </c>
    </row>
    <row r="4435">
      <c r="A4435" s="10" t="str">
        <f>IFERROR(__xludf.DUMMYFUNCTION("""COMPUTED_VALUE"""),"nil...")</f>
        <v>nil...</v>
      </c>
      <c r="B4435" s="10">
        <f>IFERROR(__xludf.DUMMYFUNCTION("""COMPUTED_VALUE"""),369.0)</f>
        <v>369</v>
      </c>
      <c r="C4435" s="10">
        <f>IFERROR(__xludf.DUMMYFUNCTION("""COMPUTED_VALUE"""),4329.0)</f>
        <v>4329</v>
      </c>
      <c r="D4435" s="5">
        <f>IFERROR(__xludf.DUMMYFUNCTION("""COMPUTED_VALUE"""),0.21792929292929292)</f>
        <v>0.2179292929</v>
      </c>
      <c r="E4435" s="5">
        <f>IFERROR(__xludf.DUMMYFUNCTION("""COMPUTED_VALUE"""),0.11792929292929293)</f>
        <v>0.1179292929</v>
      </c>
      <c r="F4435" s="5">
        <f>IFERROR(__xludf.DUMMYFUNCTION("""COMPUTED_VALUE"""),0.20227272727272727)</f>
        <v>0.2022727273</v>
      </c>
      <c r="G4435" s="5">
        <f>IFERROR(__xludf.DUMMYFUNCTION("""COMPUTED_VALUE"""),0.19722222222222222)</f>
        <v>0.1972222222</v>
      </c>
      <c r="H4435" s="5">
        <f>IFERROR(__xludf.DUMMYFUNCTION("""COMPUTED_VALUE"""),0.5892634207240949)</f>
        <v>0.5892634207</v>
      </c>
      <c r="I4435" s="11">
        <f>IFERROR(__xludf.DUMMYFUNCTION("""COMPUTED_VALUE"""),6214.8564294631715)</f>
        <v>6214.856429</v>
      </c>
      <c r="J4435" s="10">
        <f>IFERROR(__xludf.DUMMYFUNCTION("""COMPUTED_VALUE"""),1.0)</f>
        <v>1</v>
      </c>
      <c r="K4435" s="5">
        <f>IFERROR(__xludf.DUMMYFUNCTION("""COMPUTED_VALUE"""),0.0027100271002710027)</f>
        <v>0.0027100271</v>
      </c>
      <c r="L4435" s="10">
        <f>IFERROR(__xludf.DUMMYFUNCTION("""COMPUTED_VALUE"""),368.0)</f>
        <v>368</v>
      </c>
      <c r="M4435" s="5">
        <f>IFERROR(__xludf.DUMMYFUNCTION("""COMPUTED_VALUE"""),0.997289972899729)</f>
        <v>0.9972899729</v>
      </c>
    </row>
    <row r="4436">
      <c r="A4436" s="10" t="str">
        <f>IFERROR(__xludf.DUMMYFUNCTION("""COMPUTED_VALUE"""),"LAPD")</f>
        <v>LAPD</v>
      </c>
      <c r="B4436" s="10">
        <f>IFERROR(__xludf.DUMMYFUNCTION("""COMPUTED_VALUE"""),262.0)</f>
        <v>262</v>
      </c>
      <c r="C4436" s="10">
        <f>IFERROR(__xludf.DUMMYFUNCTION("""COMPUTED_VALUE"""),3069.0)</f>
        <v>3069</v>
      </c>
      <c r="D4436" s="5">
        <f>IFERROR(__xludf.DUMMYFUNCTION("""COMPUTED_VALUE"""),0.4004275026718917)</f>
        <v>0.4004275027</v>
      </c>
      <c r="E4436" s="5">
        <f>IFERROR(__xludf.DUMMYFUNCTION("""COMPUTED_VALUE"""),0.11791948699679373)</f>
        <v>0.117919487</v>
      </c>
      <c r="F4436" s="5">
        <f>IFERROR(__xludf.DUMMYFUNCTION("""COMPUTED_VALUE"""),0.22016387602422516)</f>
        <v>0.220163876</v>
      </c>
      <c r="G4436" s="5">
        <f>IFERROR(__xludf.DUMMYFUNCTION("""COMPUTED_VALUE"""),0.1574634841467759)</f>
        <v>0.1574634841</v>
      </c>
      <c r="H4436" s="5">
        <f>IFERROR(__xludf.DUMMYFUNCTION("""COMPUTED_VALUE"""),0.610032362459547)</f>
        <v>0.6100323625</v>
      </c>
      <c r="I4436" s="11">
        <f>IFERROR(__xludf.DUMMYFUNCTION("""COMPUTED_VALUE"""),5317.313915857605)</f>
        <v>5317.313916</v>
      </c>
      <c r="J4436" s="10">
        <f>IFERROR(__xludf.DUMMYFUNCTION("""COMPUTED_VALUE"""),1.0)</f>
        <v>1</v>
      </c>
      <c r="K4436" s="5">
        <f>IFERROR(__xludf.DUMMYFUNCTION("""COMPUTED_VALUE"""),0.003816793893129771)</f>
        <v>0.003816793893</v>
      </c>
      <c r="L4436" s="10">
        <f>IFERROR(__xludf.DUMMYFUNCTION("""COMPUTED_VALUE"""),262.0)</f>
        <v>262</v>
      </c>
      <c r="M4436" s="5">
        <f>IFERROR(__xludf.DUMMYFUNCTION("""COMPUTED_VALUE"""),1.0)</f>
        <v>1</v>
      </c>
    </row>
    <row r="4437">
      <c r="A4437" s="10" t="str">
        <f>IFERROR(__xludf.DUMMYFUNCTION("""COMPUTED_VALUE"""),"風車")</f>
        <v>風車</v>
      </c>
      <c r="B4437" s="10">
        <f>IFERROR(__xludf.DUMMYFUNCTION("""COMPUTED_VALUE"""),194.0)</f>
        <v>194</v>
      </c>
      <c r="C4437" s="10">
        <f>IFERROR(__xludf.DUMMYFUNCTION("""COMPUTED_VALUE"""),2357.0)</f>
        <v>2357</v>
      </c>
      <c r="D4437" s="5">
        <f>IFERROR(__xludf.DUMMYFUNCTION("""COMPUTED_VALUE"""),0.34766527970411465)</f>
        <v>0.3476652797</v>
      </c>
      <c r="E4437" s="5">
        <f>IFERROR(__xludf.DUMMYFUNCTION("""COMPUTED_VALUE"""),0.11789181692094314)</f>
        <v>0.1178918169</v>
      </c>
      <c r="F4437" s="5">
        <f>IFERROR(__xludf.DUMMYFUNCTION("""COMPUTED_VALUE"""),0.21128062875635692)</f>
        <v>0.2112806288</v>
      </c>
      <c r="G4437" s="5">
        <f>IFERROR(__xludf.DUMMYFUNCTION("""COMPUTED_VALUE"""),0.1659731853906611)</f>
        <v>0.1659731854</v>
      </c>
      <c r="H4437" s="5">
        <f>IFERROR(__xludf.DUMMYFUNCTION("""COMPUTED_VALUE"""),0.5733041575492341)</f>
        <v>0.5733041575</v>
      </c>
      <c r="I4437" s="11">
        <f>IFERROR(__xludf.DUMMYFUNCTION("""COMPUTED_VALUE"""),5873.960612691466)</f>
        <v>5873.960613</v>
      </c>
      <c r="J4437" s="10">
        <f>IFERROR(__xludf.DUMMYFUNCTION("""COMPUTED_VALUE"""),0.0)</f>
        <v>0</v>
      </c>
      <c r="K4437" s="5">
        <f>IFERROR(__xludf.DUMMYFUNCTION("""COMPUTED_VALUE"""),0.0)</f>
        <v>0</v>
      </c>
      <c r="L4437" s="10">
        <f>IFERROR(__xludf.DUMMYFUNCTION("""COMPUTED_VALUE"""),194.0)</f>
        <v>194</v>
      </c>
      <c r="M4437" s="5">
        <f>IFERROR(__xludf.DUMMYFUNCTION("""COMPUTED_VALUE"""),1.0)</f>
        <v>1</v>
      </c>
    </row>
    <row r="4438">
      <c r="A4438" s="10" t="str">
        <f>IFERROR(__xludf.DUMMYFUNCTION("""COMPUTED_VALUE"""),"黒沢祐一")</f>
        <v>黒沢祐一</v>
      </c>
      <c r="B4438" s="10">
        <f>IFERROR(__xludf.DUMMYFUNCTION("""COMPUTED_VALUE"""),922.0)</f>
        <v>922</v>
      </c>
      <c r="C4438" s="10">
        <f>IFERROR(__xludf.DUMMYFUNCTION("""COMPUTED_VALUE"""),10787.0)</f>
        <v>10787</v>
      </c>
      <c r="D4438" s="5">
        <f>IFERROR(__xludf.DUMMYFUNCTION("""COMPUTED_VALUE"""),0.366953877344146)</f>
        <v>0.3669538773</v>
      </c>
      <c r="E4438" s="5">
        <f>IFERROR(__xludf.DUMMYFUNCTION("""COMPUTED_VALUE"""),0.11789153573238723)</f>
        <v>0.1178915357</v>
      </c>
      <c r="F4438" s="5">
        <f>IFERROR(__xludf.DUMMYFUNCTION("""COMPUTED_VALUE"""),0.20598073998986316)</f>
        <v>0.20598074</v>
      </c>
      <c r="G4438" s="5">
        <f>IFERROR(__xludf.DUMMYFUNCTION("""COMPUTED_VALUE"""),0.16847440446021286)</f>
        <v>0.1684744045</v>
      </c>
      <c r="H4438" s="5">
        <f>IFERROR(__xludf.DUMMYFUNCTION("""COMPUTED_VALUE"""),0.5910433070866141)</f>
        <v>0.5910433071</v>
      </c>
      <c r="I4438" s="11">
        <f>IFERROR(__xludf.DUMMYFUNCTION("""COMPUTED_VALUE"""),5500.9842519685035)</f>
        <v>5500.984252</v>
      </c>
      <c r="J4438" s="10">
        <f>IFERROR(__xludf.DUMMYFUNCTION("""COMPUTED_VALUE"""),3.0)</f>
        <v>3</v>
      </c>
      <c r="K4438" s="5">
        <f>IFERROR(__xludf.DUMMYFUNCTION("""COMPUTED_VALUE"""),0.0032537960954446853)</f>
        <v>0.003253796095</v>
      </c>
      <c r="L4438" s="10">
        <f>IFERROR(__xludf.DUMMYFUNCTION("""COMPUTED_VALUE"""),922.0)</f>
        <v>922</v>
      </c>
      <c r="M4438" s="5">
        <f>IFERROR(__xludf.DUMMYFUNCTION("""COMPUTED_VALUE"""),1.0)</f>
        <v>1</v>
      </c>
    </row>
    <row r="4439">
      <c r="A4439" s="10" t="str">
        <f>IFERROR(__xludf.DUMMYFUNCTION("""COMPUTED_VALUE"""),"こがらしまる")</f>
        <v>こがらしまる</v>
      </c>
      <c r="B4439" s="10">
        <f>IFERROR(__xludf.DUMMYFUNCTION("""COMPUTED_VALUE"""),1017.0)</f>
        <v>1017</v>
      </c>
      <c r="C4439" s="10">
        <f>IFERROR(__xludf.DUMMYFUNCTION("""COMPUTED_VALUE"""),11849.0)</f>
        <v>11849</v>
      </c>
      <c r="D4439" s="5">
        <f>IFERROR(__xludf.DUMMYFUNCTION("""COMPUTED_VALUE"""),0.3440731166912851)</f>
        <v>0.3440731167</v>
      </c>
      <c r="E4439" s="5">
        <f>IFERROR(__xludf.DUMMYFUNCTION("""COMPUTED_VALUE"""),0.11789143279172822)</f>
        <v>0.1178914328</v>
      </c>
      <c r="F4439" s="5">
        <f>IFERROR(__xludf.DUMMYFUNCTION("""COMPUTED_VALUE"""),0.2081794682422452)</f>
        <v>0.2081794682</v>
      </c>
      <c r="G4439" s="5">
        <f>IFERROR(__xludf.DUMMYFUNCTION("""COMPUTED_VALUE"""),0.19110044313146232)</f>
        <v>0.1911004431</v>
      </c>
      <c r="H4439" s="5">
        <f>IFERROR(__xludf.DUMMYFUNCTION("""COMPUTED_VALUE"""),0.5951219512195122)</f>
        <v>0.5951219512</v>
      </c>
      <c r="I4439" s="11">
        <f>IFERROR(__xludf.DUMMYFUNCTION("""COMPUTED_VALUE"""),5784.922394678492)</f>
        <v>5784.922395</v>
      </c>
      <c r="J4439" s="10">
        <f>IFERROR(__xludf.DUMMYFUNCTION("""COMPUTED_VALUE"""),2.0)</f>
        <v>2</v>
      </c>
      <c r="K4439" s="5">
        <f>IFERROR(__xludf.DUMMYFUNCTION("""COMPUTED_VALUE"""),0.0019665683382497543)</f>
        <v>0.001966568338</v>
      </c>
      <c r="L4439" s="10">
        <f>IFERROR(__xludf.DUMMYFUNCTION("""COMPUTED_VALUE"""),966.0)</f>
        <v>966</v>
      </c>
      <c r="M4439" s="5">
        <f>IFERROR(__xludf.DUMMYFUNCTION("""COMPUTED_VALUE"""),0.9498525073746312)</f>
        <v>0.9498525074</v>
      </c>
    </row>
    <row r="4440">
      <c r="A4440" s="10" t="str">
        <f>IFERROR(__xludf.DUMMYFUNCTION("""COMPUTED_VALUE"""),"Fukatsur")</f>
        <v>Fukatsur</v>
      </c>
      <c r="B4440" s="10">
        <f>IFERROR(__xludf.DUMMYFUNCTION("""COMPUTED_VALUE"""),478.0)</f>
        <v>478</v>
      </c>
      <c r="C4440" s="10">
        <f>IFERROR(__xludf.DUMMYFUNCTION("""COMPUTED_VALUE"""),5704.0)</f>
        <v>5704</v>
      </c>
      <c r="D4440" s="5">
        <f>IFERROR(__xludf.DUMMYFUNCTION("""COMPUTED_VALUE"""),0.3679678530424799)</f>
        <v>0.367967853</v>
      </c>
      <c r="E4440" s="5">
        <f>IFERROR(__xludf.DUMMYFUNCTION("""COMPUTED_VALUE"""),0.1178721775736701)</f>
        <v>0.1178721776</v>
      </c>
      <c r="F4440" s="5">
        <f>IFERROR(__xludf.DUMMYFUNCTION("""COMPUTED_VALUE"""),0.19383849980864906)</f>
        <v>0.1938384998</v>
      </c>
      <c r="G4440" s="5">
        <f>IFERROR(__xludf.DUMMYFUNCTION("""COMPUTED_VALUE"""),0.1385380788365863)</f>
        <v>0.1385380788</v>
      </c>
      <c r="H4440" s="5">
        <f>IFERROR(__xludf.DUMMYFUNCTION("""COMPUTED_VALUE"""),0.6357354392892399)</f>
        <v>0.6357354393</v>
      </c>
      <c r="I4440" s="11">
        <f>IFERROR(__xludf.DUMMYFUNCTION("""COMPUTED_VALUE"""),5603.455083909181)</f>
        <v>5603.455084</v>
      </c>
      <c r="J4440" s="10">
        <f>IFERROR(__xludf.DUMMYFUNCTION("""COMPUTED_VALUE"""),0.0)</f>
        <v>0</v>
      </c>
      <c r="K4440" s="5">
        <f>IFERROR(__xludf.DUMMYFUNCTION("""COMPUTED_VALUE"""),0.0)</f>
        <v>0</v>
      </c>
      <c r="L4440" s="10">
        <f>IFERROR(__xludf.DUMMYFUNCTION("""COMPUTED_VALUE"""),478.0)</f>
        <v>478</v>
      </c>
      <c r="M4440" s="5">
        <f>IFERROR(__xludf.DUMMYFUNCTION("""COMPUTED_VALUE"""),1.0)</f>
        <v>1</v>
      </c>
    </row>
    <row r="4441">
      <c r="A4441" s="10" t="str">
        <f>IFERROR(__xludf.DUMMYFUNCTION("""COMPUTED_VALUE"""),"KIRI")</f>
        <v>KIRI</v>
      </c>
      <c r="B4441" s="10">
        <f>IFERROR(__xludf.DUMMYFUNCTION("""COMPUTED_VALUE"""),311.0)</f>
        <v>311</v>
      </c>
      <c r="C4441" s="10">
        <f>IFERROR(__xludf.DUMMYFUNCTION("""COMPUTED_VALUE"""),3688.0)</f>
        <v>3688</v>
      </c>
      <c r="D4441" s="5">
        <f>IFERROR(__xludf.DUMMYFUNCTION("""COMPUTED_VALUE"""),0.3905833580100681)</f>
        <v>0.390583358</v>
      </c>
      <c r="E4441" s="5">
        <f>IFERROR(__xludf.DUMMYFUNCTION("""COMPUTED_VALUE"""),0.11785608528279538)</f>
        <v>0.1178560853</v>
      </c>
      <c r="F4441" s="5">
        <f>IFERROR(__xludf.DUMMYFUNCTION("""COMPUTED_VALUE"""),0.20846905537459284)</f>
        <v>0.2084690554</v>
      </c>
      <c r="G4441" s="5">
        <f>IFERROR(__xludf.DUMMYFUNCTION("""COMPUTED_VALUE"""),0.160497482973053)</f>
        <v>0.160497483</v>
      </c>
      <c r="H4441" s="5">
        <f>IFERROR(__xludf.DUMMYFUNCTION("""COMPUTED_VALUE"""),0.5838068181818182)</f>
        <v>0.5838068182</v>
      </c>
      <c r="I4441" s="11">
        <f>IFERROR(__xludf.DUMMYFUNCTION("""COMPUTED_VALUE"""),4994.602272727273)</f>
        <v>4994.602273</v>
      </c>
      <c r="J4441" s="10">
        <f>IFERROR(__xludf.DUMMYFUNCTION("""COMPUTED_VALUE"""),0.0)</f>
        <v>0</v>
      </c>
      <c r="K4441" s="5">
        <f>IFERROR(__xludf.DUMMYFUNCTION("""COMPUTED_VALUE"""),0.0)</f>
        <v>0</v>
      </c>
      <c r="L4441" s="10">
        <f>IFERROR(__xludf.DUMMYFUNCTION("""COMPUTED_VALUE"""),311.0)</f>
        <v>311</v>
      </c>
      <c r="M4441" s="5">
        <f>IFERROR(__xludf.DUMMYFUNCTION("""COMPUTED_VALUE"""),1.0)</f>
        <v>1</v>
      </c>
    </row>
    <row r="4442">
      <c r="A4442" s="10" t="str">
        <f>IFERROR(__xludf.DUMMYFUNCTION("""COMPUTED_VALUE"""),"しおまねき")</f>
        <v>しおまねき</v>
      </c>
      <c r="B4442" s="10">
        <f>IFERROR(__xludf.DUMMYFUNCTION("""COMPUTED_VALUE"""),3934.0)</f>
        <v>3934</v>
      </c>
      <c r="C4442" s="10">
        <f>IFERROR(__xludf.DUMMYFUNCTION("""COMPUTED_VALUE"""),46273.0)</f>
        <v>46273</v>
      </c>
      <c r="D4442" s="5">
        <f>IFERROR(__xludf.DUMMYFUNCTION("""COMPUTED_VALUE"""),0.28781974066463545)</f>
        <v>0.2878197407</v>
      </c>
      <c r="E4442" s="5">
        <f>IFERROR(__xludf.DUMMYFUNCTION("""COMPUTED_VALUE"""),0.11783462056260186)</f>
        <v>0.1178346206</v>
      </c>
      <c r="F4442" s="5">
        <f>IFERROR(__xludf.DUMMYFUNCTION("""COMPUTED_VALUE"""),0.19598951321476651)</f>
        <v>0.1959895132</v>
      </c>
      <c r="G4442" s="5">
        <f>IFERROR(__xludf.DUMMYFUNCTION("""COMPUTED_VALUE"""),0.18538463355298898)</f>
        <v>0.1853846336</v>
      </c>
      <c r="H4442" s="5">
        <f>IFERROR(__xludf.DUMMYFUNCTION("""COMPUTED_VALUE"""),0.5871294287780188)</f>
        <v>0.5871294288</v>
      </c>
      <c r="I4442" s="11">
        <f>IFERROR(__xludf.DUMMYFUNCTION("""COMPUTED_VALUE"""),6148.879248011569)</f>
        <v>6148.879248</v>
      </c>
      <c r="J4442" s="10">
        <f>IFERROR(__xludf.DUMMYFUNCTION("""COMPUTED_VALUE"""),14.0)</f>
        <v>14</v>
      </c>
      <c r="K4442" s="5">
        <f>IFERROR(__xludf.DUMMYFUNCTION("""COMPUTED_VALUE"""),0.0035587188612099642)</f>
        <v>0.003558718861</v>
      </c>
      <c r="L4442" s="10">
        <f>IFERROR(__xludf.DUMMYFUNCTION("""COMPUTED_VALUE"""),3934.0)</f>
        <v>3934</v>
      </c>
      <c r="M4442" s="5">
        <f>IFERROR(__xludf.DUMMYFUNCTION("""COMPUTED_VALUE"""),1.0)</f>
        <v>1</v>
      </c>
    </row>
    <row r="4443">
      <c r="A4443" s="10" t="str">
        <f>IFERROR(__xludf.DUMMYFUNCTION("""COMPUTED_VALUE"""),"卓上の☆")</f>
        <v>卓上の☆</v>
      </c>
      <c r="B4443" s="10">
        <f>IFERROR(__xludf.DUMMYFUNCTION("""COMPUTED_VALUE"""),118.0)</f>
        <v>118</v>
      </c>
      <c r="C4443" s="10">
        <f>IFERROR(__xludf.DUMMYFUNCTION("""COMPUTED_VALUE"""),1391.0)</f>
        <v>1391</v>
      </c>
      <c r="D4443" s="5">
        <f>IFERROR(__xludf.DUMMYFUNCTION("""COMPUTED_VALUE"""),0.29850746268656714)</f>
        <v>0.2985074627</v>
      </c>
      <c r="E4443" s="5">
        <f>IFERROR(__xludf.DUMMYFUNCTION("""COMPUTED_VALUE"""),0.1178318931657502)</f>
        <v>0.1178318932</v>
      </c>
      <c r="F4443" s="5">
        <f>IFERROR(__xludf.DUMMYFUNCTION("""COMPUTED_VALUE"""),0.197172034564022)</f>
        <v>0.1971720346</v>
      </c>
      <c r="G4443" s="5">
        <f>IFERROR(__xludf.DUMMYFUNCTION("""COMPUTED_VALUE"""),0.1539670070699136)</f>
        <v>0.1539670071</v>
      </c>
      <c r="H4443" s="5">
        <f>IFERROR(__xludf.DUMMYFUNCTION("""COMPUTED_VALUE"""),0.6095617529880478)</f>
        <v>0.609561753</v>
      </c>
      <c r="I4443" s="11">
        <f>IFERROR(__xludf.DUMMYFUNCTION("""COMPUTED_VALUE"""),5821.1155378486055)</f>
        <v>5821.115538</v>
      </c>
      <c r="J4443" s="10">
        <f>IFERROR(__xludf.DUMMYFUNCTION("""COMPUTED_VALUE"""),0.0)</f>
        <v>0</v>
      </c>
      <c r="K4443" s="5">
        <f>IFERROR(__xludf.DUMMYFUNCTION("""COMPUTED_VALUE"""),0.0)</f>
        <v>0</v>
      </c>
      <c r="L4443" s="10">
        <f>IFERROR(__xludf.DUMMYFUNCTION("""COMPUTED_VALUE"""),0.0)</f>
        <v>0</v>
      </c>
      <c r="M4443" s="5">
        <f>IFERROR(__xludf.DUMMYFUNCTION("""COMPUTED_VALUE"""),0.0)</f>
        <v>0</v>
      </c>
    </row>
    <row r="4444">
      <c r="A4444" s="10" t="str">
        <f>IFERROR(__xludf.DUMMYFUNCTION("""COMPUTED_VALUE"""),"あまみ～")</f>
        <v>あまみ～</v>
      </c>
      <c r="B4444" s="10">
        <f>IFERROR(__xludf.DUMMYFUNCTION("""COMPUTED_VALUE"""),536.0)</f>
        <v>536</v>
      </c>
      <c r="C4444" s="10">
        <f>IFERROR(__xludf.DUMMYFUNCTION("""COMPUTED_VALUE"""),6324.0)</f>
        <v>6324</v>
      </c>
      <c r="D4444" s="5">
        <f>IFERROR(__xludf.DUMMYFUNCTION("""COMPUTED_VALUE"""),0.33275742916378714)</f>
        <v>0.3327574292</v>
      </c>
      <c r="E4444" s="5">
        <f>IFERROR(__xludf.DUMMYFUNCTION("""COMPUTED_VALUE"""),0.11782999308914996)</f>
        <v>0.1178299931</v>
      </c>
      <c r="F4444" s="5">
        <f>IFERROR(__xludf.DUMMYFUNCTION("""COMPUTED_VALUE"""),0.1974775397373877)</f>
        <v>0.1974775397</v>
      </c>
      <c r="G4444" s="5">
        <f>IFERROR(__xludf.DUMMYFUNCTION("""COMPUTED_VALUE"""),0.13925362819626813)</f>
        <v>0.1392536282</v>
      </c>
      <c r="H4444" s="5">
        <f>IFERROR(__xludf.DUMMYFUNCTION("""COMPUTED_VALUE"""),0.5966754155730534)</f>
        <v>0.5966754156</v>
      </c>
      <c r="I4444" s="11">
        <f>IFERROR(__xludf.DUMMYFUNCTION("""COMPUTED_VALUE"""),5531.321084864392)</f>
        <v>5531.321085</v>
      </c>
      <c r="J4444" s="10">
        <f>IFERROR(__xludf.DUMMYFUNCTION("""COMPUTED_VALUE"""),1.0)</f>
        <v>1</v>
      </c>
      <c r="K4444" s="5">
        <f>IFERROR(__xludf.DUMMYFUNCTION("""COMPUTED_VALUE"""),0.0018656716417910447)</f>
        <v>0.001865671642</v>
      </c>
      <c r="L4444" s="10">
        <f>IFERROR(__xludf.DUMMYFUNCTION("""COMPUTED_VALUE"""),536.0)</f>
        <v>536</v>
      </c>
      <c r="M4444" s="5">
        <f>IFERROR(__xludf.DUMMYFUNCTION("""COMPUTED_VALUE"""),1.0)</f>
        <v>1</v>
      </c>
    </row>
    <row r="4445">
      <c r="A4445" s="10" t="str">
        <f>IFERROR(__xludf.DUMMYFUNCTION("""COMPUTED_VALUE"""),"ハーレムエース")</f>
        <v>ハーレムエース</v>
      </c>
      <c r="B4445" s="10">
        <f>IFERROR(__xludf.DUMMYFUNCTION("""COMPUTED_VALUE"""),525.0)</f>
        <v>525</v>
      </c>
      <c r="C4445" s="10">
        <f>IFERROR(__xludf.DUMMYFUNCTION("""COMPUTED_VALUE"""),6178.0)</f>
        <v>6178</v>
      </c>
      <c r="D4445" s="5">
        <f>IFERROR(__xludf.DUMMYFUNCTION("""COMPUTED_VALUE"""),0.3453033787369538)</f>
        <v>0.3453033787</v>
      </c>
      <c r="E4445" s="5">
        <f>IFERROR(__xludf.DUMMYFUNCTION("""COMPUTED_VALUE"""),0.11781355032725986)</f>
        <v>0.1178135503</v>
      </c>
      <c r="F4445" s="5">
        <f>IFERROR(__xludf.DUMMYFUNCTION("""COMPUTED_VALUE"""),0.19989386166637182)</f>
        <v>0.1998938617</v>
      </c>
      <c r="G4445" s="5">
        <f>IFERROR(__xludf.DUMMYFUNCTION("""COMPUTED_VALUE"""),0.15832301432867504)</f>
        <v>0.1583230143</v>
      </c>
      <c r="H4445" s="5">
        <f>IFERROR(__xludf.DUMMYFUNCTION("""COMPUTED_VALUE"""),0.5902654867256637)</f>
        <v>0.5902654867</v>
      </c>
      <c r="I4445" s="11">
        <f>IFERROR(__xludf.DUMMYFUNCTION("""COMPUTED_VALUE"""),5934.33628318584)</f>
        <v>5934.336283</v>
      </c>
      <c r="J4445" s="10">
        <f>IFERROR(__xludf.DUMMYFUNCTION("""COMPUTED_VALUE"""),0.0)</f>
        <v>0</v>
      </c>
      <c r="K4445" s="5">
        <f>IFERROR(__xludf.DUMMYFUNCTION("""COMPUTED_VALUE"""),0.0)</f>
        <v>0</v>
      </c>
      <c r="L4445" s="10">
        <f>IFERROR(__xludf.DUMMYFUNCTION("""COMPUTED_VALUE"""),525.0)</f>
        <v>525</v>
      </c>
      <c r="M4445" s="5">
        <f>IFERROR(__xludf.DUMMYFUNCTION("""COMPUTED_VALUE"""),1.0)</f>
        <v>1</v>
      </c>
    </row>
    <row r="4446">
      <c r="A4446" s="10" t="str">
        <f>IFERROR(__xludf.DUMMYFUNCTION("""COMPUTED_VALUE"""),"村八分")</f>
        <v>村八分</v>
      </c>
      <c r="B4446" s="10">
        <f>IFERROR(__xludf.DUMMYFUNCTION("""COMPUTED_VALUE"""),370.0)</f>
        <v>370</v>
      </c>
      <c r="C4446" s="10">
        <f>IFERROR(__xludf.DUMMYFUNCTION("""COMPUTED_VALUE"""),4402.0)</f>
        <v>4402</v>
      </c>
      <c r="D4446" s="5">
        <f>IFERROR(__xludf.DUMMYFUNCTION("""COMPUTED_VALUE"""),0.36681547619047616)</f>
        <v>0.3668154762</v>
      </c>
      <c r="E4446" s="5">
        <f>IFERROR(__xludf.DUMMYFUNCTION("""COMPUTED_VALUE"""),0.11780753968253968)</f>
        <v>0.1178075397</v>
      </c>
      <c r="F4446" s="5">
        <f>IFERROR(__xludf.DUMMYFUNCTION("""COMPUTED_VALUE"""),0.22594246031746032)</f>
        <v>0.2259424603</v>
      </c>
      <c r="G4446" s="5">
        <f>IFERROR(__xludf.DUMMYFUNCTION("""COMPUTED_VALUE"""),0.1463293650793651)</f>
        <v>0.1463293651</v>
      </c>
      <c r="H4446" s="5">
        <f>IFERROR(__xludf.DUMMYFUNCTION("""COMPUTED_VALUE"""),0.5960482985729967)</f>
        <v>0.5960482986</v>
      </c>
      <c r="I4446" s="11">
        <f>IFERROR(__xludf.DUMMYFUNCTION("""COMPUTED_VALUE"""),5258.616904500549)</f>
        <v>5258.616905</v>
      </c>
      <c r="J4446" s="10">
        <f>IFERROR(__xludf.DUMMYFUNCTION("""COMPUTED_VALUE"""),0.0)</f>
        <v>0</v>
      </c>
      <c r="K4446" s="5">
        <f>IFERROR(__xludf.DUMMYFUNCTION("""COMPUTED_VALUE"""),0.0)</f>
        <v>0</v>
      </c>
      <c r="L4446" s="10">
        <f>IFERROR(__xludf.DUMMYFUNCTION("""COMPUTED_VALUE"""),370.0)</f>
        <v>370</v>
      </c>
      <c r="M4446" s="5">
        <f>IFERROR(__xludf.DUMMYFUNCTION("""COMPUTED_VALUE"""),1.0)</f>
        <v>1</v>
      </c>
    </row>
    <row r="4447">
      <c r="A4447" s="10" t="str">
        <f>IFERROR(__xludf.DUMMYFUNCTION("""COMPUTED_VALUE"""),"那里...不可以")</f>
        <v>那里...不可以</v>
      </c>
      <c r="B4447" s="10">
        <f>IFERROR(__xludf.DUMMYFUNCTION("""COMPUTED_VALUE"""),1131.0)</f>
        <v>1131</v>
      </c>
      <c r="C4447" s="10">
        <f>IFERROR(__xludf.DUMMYFUNCTION("""COMPUTED_VALUE"""),13508.0)</f>
        <v>13508</v>
      </c>
      <c r="D4447" s="5">
        <f>IFERROR(__xludf.DUMMYFUNCTION("""COMPUTED_VALUE"""),0.3576795669386766)</f>
        <v>0.3576795669</v>
      </c>
      <c r="E4447" s="5">
        <f>IFERROR(__xludf.DUMMYFUNCTION("""COMPUTED_VALUE"""),0.11779914357275592)</f>
        <v>0.1177991436</v>
      </c>
      <c r="F4447" s="5">
        <f>IFERROR(__xludf.DUMMYFUNCTION("""COMPUTED_VALUE"""),0.20626969378686272)</f>
        <v>0.2062696938</v>
      </c>
      <c r="G4447" s="5">
        <f>IFERROR(__xludf.DUMMYFUNCTION("""COMPUTED_VALUE"""),0.1573079098327543)</f>
        <v>0.1573079098</v>
      </c>
      <c r="H4447" s="5">
        <f>IFERROR(__xludf.DUMMYFUNCTION("""COMPUTED_VALUE"""),0.5981198589894242)</f>
        <v>0.598119859</v>
      </c>
      <c r="I4447" s="11">
        <f>IFERROR(__xludf.DUMMYFUNCTION("""COMPUTED_VALUE"""),5461.53544849197)</f>
        <v>5461.535448</v>
      </c>
      <c r="J4447" s="10">
        <f>IFERROR(__xludf.DUMMYFUNCTION("""COMPUTED_VALUE"""),1.0)</f>
        <v>1</v>
      </c>
      <c r="K4447" s="5">
        <f>IFERROR(__xludf.DUMMYFUNCTION("""COMPUTED_VALUE"""),8.841732979664014E-4)</f>
        <v>0.000884173298</v>
      </c>
      <c r="L4447" s="10">
        <f>IFERROR(__xludf.DUMMYFUNCTION("""COMPUTED_VALUE"""),40.0)</f>
        <v>40</v>
      </c>
      <c r="M4447" s="5">
        <f>IFERROR(__xludf.DUMMYFUNCTION("""COMPUTED_VALUE"""),0.03536693191865606)</f>
        <v>0.03536693192</v>
      </c>
    </row>
    <row r="4448">
      <c r="A4448" s="10" t="str">
        <f>IFERROR(__xludf.DUMMYFUNCTION("""COMPUTED_VALUE"""),"yumikika")</f>
        <v>yumikika</v>
      </c>
      <c r="B4448" s="10">
        <f>IFERROR(__xludf.DUMMYFUNCTION("""COMPUTED_VALUE"""),1245.0)</f>
        <v>1245</v>
      </c>
      <c r="C4448" s="10">
        <f>IFERROR(__xludf.DUMMYFUNCTION("""COMPUTED_VALUE"""),14590.0)</f>
        <v>14590</v>
      </c>
      <c r="D4448" s="5">
        <f>IFERROR(__xludf.DUMMYFUNCTION("""COMPUTED_VALUE"""),0.2940427126264519)</f>
        <v>0.2940427126</v>
      </c>
      <c r="E4448" s="5">
        <f>IFERROR(__xludf.DUMMYFUNCTION("""COMPUTED_VALUE"""),0.11779692768827277)</f>
        <v>0.1177969277</v>
      </c>
      <c r="F4448" s="5">
        <f>IFERROR(__xludf.DUMMYFUNCTION("""COMPUTED_VALUE"""),0.1967028849756463)</f>
        <v>0.196702885</v>
      </c>
      <c r="G4448" s="5">
        <f>IFERROR(__xludf.DUMMYFUNCTION("""COMPUTED_VALUE"""),0.1644061446234545)</f>
        <v>0.1644061446</v>
      </c>
      <c r="H4448" s="5">
        <f>IFERROR(__xludf.DUMMYFUNCTION("""COMPUTED_VALUE"""),0.6049523809523809)</f>
        <v>0.604952381</v>
      </c>
      <c r="I4448" s="11">
        <f>IFERROR(__xludf.DUMMYFUNCTION("""COMPUTED_VALUE"""),5666.590476190476)</f>
        <v>5666.590476</v>
      </c>
      <c r="J4448" s="10">
        <f>IFERROR(__xludf.DUMMYFUNCTION("""COMPUTED_VALUE"""),0.0)</f>
        <v>0</v>
      </c>
      <c r="K4448" s="5">
        <f>IFERROR(__xludf.DUMMYFUNCTION("""COMPUTED_VALUE"""),0.0)</f>
        <v>0</v>
      </c>
      <c r="L4448" s="10">
        <f>IFERROR(__xludf.DUMMYFUNCTION("""COMPUTED_VALUE"""),1245.0)</f>
        <v>1245</v>
      </c>
      <c r="M4448" s="5">
        <f>IFERROR(__xludf.DUMMYFUNCTION("""COMPUTED_VALUE"""),1.0)</f>
        <v>1</v>
      </c>
    </row>
    <row r="4449">
      <c r="A4449" s="10" t="str">
        <f>IFERROR(__xludf.DUMMYFUNCTION("""COMPUTED_VALUE"""),"Love☆乙牌！")</f>
        <v>Love☆乙牌！</v>
      </c>
      <c r="B4449" s="10">
        <f>IFERROR(__xludf.DUMMYFUNCTION("""COMPUTED_VALUE"""),269.0)</f>
        <v>269</v>
      </c>
      <c r="C4449" s="10">
        <f>IFERROR(__xludf.DUMMYFUNCTION("""COMPUTED_VALUE"""),3079.0)</f>
        <v>3079</v>
      </c>
      <c r="D4449" s="5">
        <f>IFERROR(__xludf.DUMMYFUNCTION("""COMPUTED_VALUE"""),0.37544483985765126)</f>
        <v>0.3754448399</v>
      </c>
      <c r="E4449" s="5">
        <f>IFERROR(__xludf.DUMMYFUNCTION("""COMPUTED_VALUE"""),0.11779359430604983)</f>
        <v>0.1177935943</v>
      </c>
      <c r="F4449" s="5">
        <f>IFERROR(__xludf.DUMMYFUNCTION("""COMPUTED_VALUE"""),0.22455516014234875)</f>
        <v>0.2245551601</v>
      </c>
      <c r="G4449" s="5">
        <f>IFERROR(__xludf.DUMMYFUNCTION("""COMPUTED_VALUE"""),0.13736654804270462)</f>
        <v>0.137366548</v>
      </c>
      <c r="H4449" s="5">
        <f>IFERROR(__xludf.DUMMYFUNCTION("""COMPUTED_VALUE"""),0.572107765451664)</f>
        <v>0.5721077655</v>
      </c>
      <c r="I4449" s="11">
        <f>IFERROR(__xludf.DUMMYFUNCTION("""COMPUTED_VALUE"""),5041.362916006339)</f>
        <v>5041.362916</v>
      </c>
      <c r="J4449" s="10">
        <f>IFERROR(__xludf.DUMMYFUNCTION("""COMPUTED_VALUE"""),0.0)</f>
        <v>0</v>
      </c>
      <c r="K4449" s="5">
        <f>IFERROR(__xludf.DUMMYFUNCTION("""COMPUTED_VALUE"""),0.0)</f>
        <v>0</v>
      </c>
      <c r="L4449" s="10">
        <f>IFERROR(__xludf.DUMMYFUNCTION("""COMPUTED_VALUE"""),0.0)</f>
        <v>0</v>
      </c>
      <c r="M4449" s="5">
        <f>IFERROR(__xludf.DUMMYFUNCTION("""COMPUTED_VALUE"""),0.0)</f>
        <v>0</v>
      </c>
    </row>
    <row r="4450">
      <c r="A4450" s="10" t="str">
        <f>IFERROR(__xludf.DUMMYFUNCTION("""COMPUTED_VALUE"""),"遥マーガレット")</f>
        <v>遥マーガレット</v>
      </c>
      <c r="B4450" s="10">
        <f>IFERROR(__xludf.DUMMYFUNCTION("""COMPUTED_VALUE"""),594.0)</f>
        <v>594</v>
      </c>
      <c r="C4450" s="10">
        <f>IFERROR(__xludf.DUMMYFUNCTION("""COMPUTED_VALUE"""),7182.0)</f>
        <v>7182</v>
      </c>
      <c r="D4450" s="5">
        <f>IFERROR(__xludf.DUMMYFUNCTION("""COMPUTED_VALUE"""),0.368093503339405)</f>
        <v>0.3680935033</v>
      </c>
      <c r="E4450" s="5">
        <f>IFERROR(__xludf.DUMMYFUNCTION("""COMPUTED_VALUE"""),0.1177899210686096)</f>
        <v>0.1177899211</v>
      </c>
      <c r="F4450" s="5">
        <f>IFERROR(__xludf.DUMMYFUNCTION("""COMPUTED_VALUE"""),0.20947176684881602)</f>
        <v>0.2094717668</v>
      </c>
      <c r="G4450" s="5">
        <f>IFERROR(__xludf.DUMMYFUNCTION("""COMPUTED_VALUE"""),0.16636308439587127)</f>
        <v>0.1663630844</v>
      </c>
      <c r="H4450" s="5">
        <f>IFERROR(__xludf.DUMMYFUNCTION("""COMPUTED_VALUE"""),0.5985507246376811)</f>
        <v>0.5985507246</v>
      </c>
      <c r="I4450" s="11">
        <f>IFERROR(__xludf.DUMMYFUNCTION("""COMPUTED_VALUE"""),5403.188405797101)</f>
        <v>5403.188406</v>
      </c>
      <c r="J4450" s="10">
        <f>IFERROR(__xludf.DUMMYFUNCTION("""COMPUTED_VALUE"""),1.0)</f>
        <v>1</v>
      </c>
      <c r="K4450" s="5">
        <f>IFERROR(__xludf.DUMMYFUNCTION("""COMPUTED_VALUE"""),0.0016835016835016834)</f>
        <v>0.001683501684</v>
      </c>
      <c r="L4450" s="10">
        <f>IFERROR(__xludf.DUMMYFUNCTION("""COMPUTED_VALUE"""),0.0)</f>
        <v>0</v>
      </c>
      <c r="M4450" s="5">
        <f>IFERROR(__xludf.DUMMYFUNCTION("""COMPUTED_VALUE"""),0.0)</f>
        <v>0</v>
      </c>
    </row>
    <row r="4451">
      <c r="A4451" s="10" t="str">
        <f>IFERROR(__xludf.DUMMYFUNCTION("""COMPUTED_VALUE"""),"sunchild")</f>
        <v>sunchild</v>
      </c>
      <c r="B4451" s="10">
        <f>IFERROR(__xludf.DUMMYFUNCTION("""COMPUTED_VALUE"""),695.0)</f>
        <v>695</v>
      </c>
      <c r="C4451" s="10">
        <f>IFERROR(__xludf.DUMMYFUNCTION("""COMPUTED_VALUE"""),8200.0)</f>
        <v>8200</v>
      </c>
      <c r="D4451" s="5">
        <f>IFERROR(__xludf.DUMMYFUNCTION("""COMPUTED_VALUE"""),0.31925383077948033)</f>
        <v>0.3192538308</v>
      </c>
      <c r="E4451" s="5">
        <f>IFERROR(__xludf.DUMMYFUNCTION("""COMPUTED_VALUE"""),0.11778814123917389)</f>
        <v>0.1177881412</v>
      </c>
      <c r="F4451" s="5">
        <f>IFERROR(__xludf.DUMMYFUNCTION("""COMPUTED_VALUE"""),0.21159227181878748)</f>
        <v>0.2115922718</v>
      </c>
      <c r="G4451" s="5">
        <f>IFERROR(__xludf.DUMMYFUNCTION("""COMPUTED_VALUE"""),0.17441705529646903)</f>
        <v>0.1744170553</v>
      </c>
      <c r="H4451" s="5">
        <f>IFERROR(__xludf.DUMMYFUNCTION("""COMPUTED_VALUE"""),0.5793450881612091)</f>
        <v>0.5793450882</v>
      </c>
      <c r="I4451" s="11">
        <f>IFERROR(__xludf.DUMMYFUNCTION("""COMPUTED_VALUE"""),5579.219143576826)</f>
        <v>5579.219144</v>
      </c>
      <c r="J4451" s="10">
        <f>IFERROR(__xludf.DUMMYFUNCTION("""COMPUTED_VALUE"""),2.0)</f>
        <v>2</v>
      </c>
      <c r="K4451" s="5">
        <f>IFERROR(__xludf.DUMMYFUNCTION("""COMPUTED_VALUE"""),0.0028776978417266188)</f>
        <v>0.002877697842</v>
      </c>
      <c r="L4451" s="10">
        <f>IFERROR(__xludf.DUMMYFUNCTION("""COMPUTED_VALUE"""),695.0)</f>
        <v>695</v>
      </c>
      <c r="M4451" s="5">
        <f>IFERROR(__xludf.DUMMYFUNCTION("""COMPUTED_VALUE"""),1.0)</f>
        <v>1</v>
      </c>
    </row>
    <row r="4452">
      <c r="A4452" s="10" t="str">
        <f>IFERROR(__xludf.DUMMYFUNCTION("""COMPUTED_VALUE"""),"潮騒")</f>
        <v>潮騒</v>
      </c>
      <c r="B4452" s="10">
        <f>IFERROR(__xludf.DUMMYFUNCTION("""COMPUTED_VALUE"""),978.0)</f>
        <v>978</v>
      </c>
      <c r="C4452" s="10">
        <f>IFERROR(__xludf.DUMMYFUNCTION("""COMPUTED_VALUE"""),11480.0)</f>
        <v>11480</v>
      </c>
      <c r="D4452" s="5">
        <f>IFERROR(__xludf.DUMMYFUNCTION("""COMPUTED_VALUE"""),0.3281279756236907)</f>
        <v>0.3281279756</v>
      </c>
      <c r="E4452" s="5">
        <f>IFERROR(__xludf.DUMMYFUNCTION("""COMPUTED_VALUE"""),0.1177870881736812)</f>
        <v>0.1177870882</v>
      </c>
      <c r="F4452" s="5">
        <f>IFERROR(__xludf.DUMMYFUNCTION("""COMPUTED_VALUE"""),0.22310036183584078)</f>
        <v>0.2231003618</v>
      </c>
      <c r="G4452" s="5">
        <f>IFERROR(__xludf.DUMMYFUNCTION("""COMPUTED_VALUE"""),0.20072367168158445)</f>
        <v>0.2007236717</v>
      </c>
      <c r="H4452" s="5">
        <f>IFERROR(__xludf.DUMMYFUNCTION("""COMPUTED_VALUE"""),0.5932565087494664)</f>
        <v>0.5932565087</v>
      </c>
      <c r="I4452" s="11">
        <f>IFERROR(__xludf.DUMMYFUNCTION("""COMPUTED_VALUE"""),5636.235595390525)</f>
        <v>5636.235595</v>
      </c>
      <c r="J4452" s="10">
        <f>IFERROR(__xludf.DUMMYFUNCTION("""COMPUTED_VALUE"""),0.0)</f>
        <v>0</v>
      </c>
      <c r="K4452" s="5">
        <f>IFERROR(__xludf.DUMMYFUNCTION("""COMPUTED_VALUE"""),0.0)</f>
        <v>0</v>
      </c>
      <c r="L4452" s="10">
        <f>IFERROR(__xludf.DUMMYFUNCTION("""COMPUTED_VALUE"""),382.0)</f>
        <v>382</v>
      </c>
      <c r="M4452" s="5">
        <f>IFERROR(__xludf.DUMMYFUNCTION("""COMPUTED_VALUE"""),0.39059304703476483)</f>
        <v>0.390593047</v>
      </c>
    </row>
    <row r="4453">
      <c r="A4453" s="10" t="str">
        <f>IFERROR(__xludf.DUMMYFUNCTION("""COMPUTED_VALUE"""),"Murphy")</f>
        <v>Murphy</v>
      </c>
      <c r="B4453" s="10">
        <f>IFERROR(__xludf.DUMMYFUNCTION("""COMPUTED_VALUE"""),673.0)</f>
        <v>673</v>
      </c>
      <c r="C4453" s="10">
        <f>IFERROR(__xludf.DUMMYFUNCTION("""COMPUTED_VALUE"""),7941.0)</f>
        <v>7941</v>
      </c>
      <c r="D4453" s="5">
        <f>IFERROR(__xludf.DUMMYFUNCTION("""COMPUTED_VALUE"""),0.3743808475509081)</f>
        <v>0.3743808476</v>
      </c>
      <c r="E4453" s="5">
        <f>IFERROR(__xludf.DUMMYFUNCTION("""COMPUTED_VALUE"""),0.11777655476059438)</f>
        <v>0.1177765548</v>
      </c>
      <c r="F4453" s="5">
        <f>IFERROR(__xludf.DUMMYFUNCTION("""COMPUTED_VALUE"""),0.21518987341772153)</f>
        <v>0.2151898734</v>
      </c>
      <c r="G4453" s="5">
        <f>IFERROR(__xludf.DUMMYFUNCTION("""COMPUTED_VALUE"""),0.16097963676389654)</f>
        <v>0.1609796368</v>
      </c>
      <c r="H4453" s="5">
        <f>IFERROR(__xludf.DUMMYFUNCTION("""COMPUTED_VALUE"""),0.6150895140664961)</f>
        <v>0.6150895141</v>
      </c>
      <c r="I4453" s="11">
        <f>IFERROR(__xludf.DUMMYFUNCTION("""COMPUTED_VALUE"""),5539.386189258312)</f>
        <v>5539.386189</v>
      </c>
      <c r="J4453" s="10">
        <f>IFERROR(__xludf.DUMMYFUNCTION("""COMPUTED_VALUE"""),0.0)</f>
        <v>0</v>
      </c>
      <c r="K4453" s="5">
        <f>IFERROR(__xludf.DUMMYFUNCTION("""COMPUTED_VALUE"""),0.0)</f>
        <v>0</v>
      </c>
      <c r="L4453" s="10">
        <f>IFERROR(__xludf.DUMMYFUNCTION("""COMPUTED_VALUE"""),673.0)</f>
        <v>673</v>
      </c>
      <c r="M4453" s="5">
        <f>IFERROR(__xludf.DUMMYFUNCTION("""COMPUTED_VALUE"""),1.0)</f>
        <v>1</v>
      </c>
    </row>
    <row r="4454">
      <c r="A4454" s="10" t="str">
        <f>IFERROR(__xludf.DUMMYFUNCTION("""COMPUTED_VALUE"""),"陽光")</f>
        <v>陽光</v>
      </c>
      <c r="B4454" s="10">
        <f>IFERROR(__xludf.DUMMYFUNCTION("""COMPUTED_VALUE"""),470.0)</f>
        <v>470</v>
      </c>
      <c r="C4454" s="10">
        <f>IFERROR(__xludf.DUMMYFUNCTION("""COMPUTED_VALUE"""),5480.0)</f>
        <v>5480</v>
      </c>
      <c r="D4454" s="5">
        <f>IFERROR(__xludf.DUMMYFUNCTION("""COMPUTED_VALUE"""),0.3854291417165669)</f>
        <v>0.3854291417</v>
      </c>
      <c r="E4454" s="5">
        <f>IFERROR(__xludf.DUMMYFUNCTION("""COMPUTED_VALUE"""),0.11776447105788423)</f>
        <v>0.1177644711</v>
      </c>
      <c r="F4454" s="5">
        <f>IFERROR(__xludf.DUMMYFUNCTION("""COMPUTED_VALUE"""),0.2089820359281437)</f>
        <v>0.2089820359</v>
      </c>
      <c r="G4454" s="5">
        <f>IFERROR(__xludf.DUMMYFUNCTION("""COMPUTED_VALUE"""),0.15508982035928143)</f>
        <v>0.1550898204</v>
      </c>
      <c r="H4454" s="5">
        <f>IFERROR(__xludf.DUMMYFUNCTION("""COMPUTED_VALUE"""),0.600764087870105)</f>
        <v>0.6007640879</v>
      </c>
      <c r="I4454" s="11">
        <f>IFERROR(__xludf.DUMMYFUNCTION("""COMPUTED_VALUE"""),5534.383954154728)</f>
        <v>5534.383954</v>
      </c>
      <c r="J4454" s="10">
        <f>IFERROR(__xludf.DUMMYFUNCTION("""COMPUTED_VALUE"""),0.0)</f>
        <v>0</v>
      </c>
      <c r="K4454" s="5">
        <f>IFERROR(__xludf.DUMMYFUNCTION("""COMPUTED_VALUE"""),0.0)</f>
        <v>0</v>
      </c>
      <c r="L4454" s="10">
        <f>IFERROR(__xludf.DUMMYFUNCTION("""COMPUTED_VALUE"""),470.0)</f>
        <v>470</v>
      </c>
      <c r="M4454" s="5">
        <f>IFERROR(__xludf.DUMMYFUNCTION("""COMPUTED_VALUE"""),1.0)</f>
        <v>1</v>
      </c>
    </row>
    <row r="4455">
      <c r="A4455" s="10" t="str">
        <f>IFERROR(__xludf.DUMMYFUNCTION("""COMPUTED_VALUE"""),"armor")</f>
        <v>armor</v>
      </c>
      <c r="B4455" s="10">
        <f>IFERROR(__xludf.DUMMYFUNCTION("""COMPUTED_VALUE"""),759.0)</f>
        <v>759</v>
      </c>
      <c r="C4455" s="10">
        <f>IFERROR(__xludf.DUMMYFUNCTION("""COMPUTED_VALUE"""),8877.0)</f>
        <v>8877</v>
      </c>
      <c r="D4455" s="5">
        <f>IFERROR(__xludf.DUMMYFUNCTION("""COMPUTED_VALUE"""),0.3186745503818674)</f>
        <v>0.3186745504</v>
      </c>
      <c r="E4455" s="5">
        <f>IFERROR(__xludf.DUMMYFUNCTION("""COMPUTED_VALUE"""),0.1177629958117763)</f>
        <v>0.1177629958</v>
      </c>
      <c r="F4455" s="5">
        <f>IFERROR(__xludf.DUMMYFUNCTION("""COMPUTED_VALUE"""),0.19980290711998028)</f>
        <v>0.1998029071</v>
      </c>
      <c r="G4455" s="5">
        <f>IFERROR(__xludf.DUMMYFUNCTION("""COMPUTED_VALUE"""),0.15964523281596452)</f>
        <v>0.1596452328</v>
      </c>
      <c r="H4455" s="5">
        <f>IFERROR(__xludf.DUMMYFUNCTION("""COMPUTED_VALUE"""),0.5974106041923551)</f>
        <v>0.5974106042</v>
      </c>
      <c r="I4455" s="11">
        <f>IFERROR(__xludf.DUMMYFUNCTION("""COMPUTED_VALUE"""),5728.976572133169)</f>
        <v>5728.976572</v>
      </c>
      <c r="J4455" s="10">
        <f>IFERROR(__xludf.DUMMYFUNCTION("""COMPUTED_VALUE"""),1.0)</f>
        <v>1</v>
      </c>
      <c r="K4455" s="5">
        <f>IFERROR(__xludf.DUMMYFUNCTION("""COMPUTED_VALUE"""),0.0013175230566534915)</f>
        <v>0.001317523057</v>
      </c>
      <c r="L4455" s="10">
        <f>IFERROR(__xludf.DUMMYFUNCTION("""COMPUTED_VALUE"""),93.0)</f>
        <v>93</v>
      </c>
      <c r="M4455" s="5">
        <f>IFERROR(__xludf.DUMMYFUNCTION("""COMPUTED_VALUE"""),0.1225296442687747)</f>
        <v>0.1225296443</v>
      </c>
    </row>
    <row r="4456">
      <c r="A4456" s="10" t="str">
        <f>IFERROR(__xludf.DUMMYFUNCTION("""COMPUTED_VALUE"""),"akkyo")</f>
        <v>akkyo</v>
      </c>
      <c r="B4456" s="10">
        <f>IFERROR(__xludf.DUMMYFUNCTION("""COMPUTED_VALUE"""),151.0)</f>
        <v>151</v>
      </c>
      <c r="C4456" s="10">
        <f>IFERROR(__xludf.DUMMYFUNCTION("""COMPUTED_VALUE"""),1773.0)</f>
        <v>1773</v>
      </c>
      <c r="D4456" s="5">
        <f>IFERROR(__xludf.DUMMYFUNCTION("""COMPUTED_VALUE"""),0.343403205918619)</f>
        <v>0.3434032059</v>
      </c>
      <c r="E4456" s="5">
        <f>IFERROR(__xludf.DUMMYFUNCTION("""COMPUTED_VALUE"""),0.11775585696670776)</f>
        <v>0.117755857</v>
      </c>
      <c r="F4456" s="5">
        <f>IFERROR(__xludf.DUMMYFUNCTION("""COMPUTED_VALUE"""),0.20221948212083848)</f>
        <v>0.2022194821</v>
      </c>
      <c r="G4456" s="5">
        <f>IFERROR(__xludf.DUMMYFUNCTION("""COMPUTED_VALUE"""),0.16522811344019728)</f>
        <v>0.1652281134</v>
      </c>
      <c r="H4456" s="5">
        <f>IFERROR(__xludf.DUMMYFUNCTION("""COMPUTED_VALUE"""),0.6097560975609756)</f>
        <v>0.6097560976</v>
      </c>
      <c r="I4456" s="11">
        <f>IFERROR(__xludf.DUMMYFUNCTION("""COMPUTED_VALUE"""),5183.536585365854)</f>
        <v>5183.536585</v>
      </c>
      <c r="J4456" s="10">
        <f>IFERROR(__xludf.DUMMYFUNCTION("""COMPUTED_VALUE"""),0.0)</f>
        <v>0</v>
      </c>
      <c r="K4456" s="5">
        <f>IFERROR(__xludf.DUMMYFUNCTION("""COMPUTED_VALUE"""),0.0)</f>
        <v>0</v>
      </c>
      <c r="L4456" s="10">
        <f>IFERROR(__xludf.DUMMYFUNCTION("""COMPUTED_VALUE"""),151.0)</f>
        <v>151</v>
      </c>
      <c r="M4456" s="5">
        <f>IFERROR(__xludf.DUMMYFUNCTION("""COMPUTED_VALUE"""),1.0)</f>
        <v>1</v>
      </c>
    </row>
    <row r="4457">
      <c r="A4457" s="10" t="str">
        <f>IFERROR(__xludf.DUMMYFUNCTION("""COMPUTED_VALUE"""),"toshi523")</f>
        <v>toshi523</v>
      </c>
      <c r="B4457" s="10">
        <f>IFERROR(__xludf.DUMMYFUNCTION("""COMPUTED_VALUE"""),514.0)</f>
        <v>514</v>
      </c>
      <c r="C4457" s="10">
        <f>IFERROR(__xludf.DUMMYFUNCTION("""COMPUTED_VALUE"""),6102.0)</f>
        <v>6102</v>
      </c>
      <c r="D4457" s="5">
        <f>IFERROR(__xludf.DUMMYFUNCTION("""COMPUTED_VALUE"""),0.3464566929133858)</f>
        <v>0.3464566929</v>
      </c>
      <c r="E4457" s="5">
        <f>IFERROR(__xludf.DUMMYFUNCTION("""COMPUTED_VALUE"""),0.11775232641374374)</f>
        <v>0.1177523264</v>
      </c>
      <c r="F4457" s="5">
        <f>IFERROR(__xludf.DUMMYFUNCTION("""COMPUTED_VALUE"""),0.21456692913385828)</f>
        <v>0.2145669291</v>
      </c>
      <c r="G4457" s="5">
        <f>IFERROR(__xludf.DUMMYFUNCTION("""COMPUTED_VALUE"""),0.16553328561202577)</f>
        <v>0.1655332856</v>
      </c>
      <c r="H4457" s="5">
        <f>IFERROR(__xludf.DUMMYFUNCTION("""COMPUTED_VALUE"""),0.5921601334445371)</f>
        <v>0.5921601334</v>
      </c>
      <c r="I4457" s="11">
        <f>IFERROR(__xludf.DUMMYFUNCTION("""COMPUTED_VALUE"""),5270.642201834862)</f>
        <v>5270.642202</v>
      </c>
      <c r="J4457" s="10">
        <f>IFERROR(__xludf.DUMMYFUNCTION("""COMPUTED_VALUE"""),1.0)</f>
        <v>1</v>
      </c>
      <c r="K4457" s="5">
        <f>IFERROR(__xludf.DUMMYFUNCTION("""COMPUTED_VALUE"""),0.0019455252918287938)</f>
        <v>0.001945525292</v>
      </c>
      <c r="L4457" s="10">
        <f>IFERROR(__xludf.DUMMYFUNCTION("""COMPUTED_VALUE"""),514.0)</f>
        <v>514</v>
      </c>
      <c r="M4457" s="5">
        <f>IFERROR(__xludf.DUMMYFUNCTION("""COMPUTED_VALUE"""),1.0)</f>
        <v>1</v>
      </c>
    </row>
    <row r="4458">
      <c r="A4458" s="10" t="str">
        <f>IFERROR(__xludf.DUMMYFUNCTION("""COMPUTED_VALUE"""),"アフリカ㌧これら")</f>
        <v>アフリカ㌧これら</v>
      </c>
      <c r="B4458" s="10">
        <f>IFERROR(__xludf.DUMMYFUNCTION("""COMPUTED_VALUE"""),112.0)</f>
        <v>112</v>
      </c>
      <c r="C4458" s="10">
        <f>IFERROR(__xludf.DUMMYFUNCTION("""COMPUTED_VALUE"""),1267.0)</f>
        <v>1267</v>
      </c>
      <c r="D4458" s="5">
        <f>IFERROR(__xludf.DUMMYFUNCTION("""COMPUTED_VALUE"""),0.34025974025974026)</f>
        <v>0.3402597403</v>
      </c>
      <c r="E4458" s="5">
        <f>IFERROR(__xludf.DUMMYFUNCTION("""COMPUTED_VALUE"""),0.11774891774891776)</f>
        <v>0.1177489177</v>
      </c>
      <c r="F4458" s="5">
        <f>IFERROR(__xludf.DUMMYFUNCTION("""COMPUTED_VALUE"""),0.18354978354978355)</f>
        <v>0.1835497835</v>
      </c>
      <c r="G4458" s="5">
        <f>IFERROR(__xludf.DUMMYFUNCTION("""COMPUTED_VALUE"""),0.16536796536796536)</f>
        <v>0.1653679654</v>
      </c>
      <c r="H4458" s="5">
        <f>IFERROR(__xludf.DUMMYFUNCTION("""COMPUTED_VALUE"""),0.5566037735849056)</f>
        <v>0.5566037736</v>
      </c>
      <c r="I4458" s="11">
        <f>IFERROR(__xludf.DUMMYFUNCTION("""COMPUTED_VALUE"""),5637.264150943396)</f>
        <v>5637.264151</v>
      </c>
      <c r="J4458" s="10">
        <f>IFERROR(__xludf.DUMMYFUNCTION("""COMPUTED_VALUE"""),0.0)</f>
        <v>0</v>
      </c>
      <c r="K4458" s="5">
        <f>IFERROR(__xludf.DUMMYFUNCTION("""COMPUTED_VALUE"""),0.0)</f>
        <v>0</v>
      </c>
      <c r="L4458" s="10">
        <f>IFERROR(__xludf.DUMMYFUNCTION("""COMPUTED_VALUE"""),112.0)</f>
        <v>112</v>
      </c>
      <c r="M4458" s="5">
        <f>IFERROR(__xludf.DUMMYFUNCTION("""COMPUTED_VALUE"""),1.0)</f>
        <v>1</v>
      </c>
    </row>
    <row r="4459">
      <c r="A4459" s="10" t="str">
        <f>IFERROR(__xludf.DUMMYFUNCTION("""COMPUTED_VALUE"""),"gapao")</f>
        <v>gapao</v>
      </c>
      <c r="B4459" s="10">
        <f>IFERROR(__xludf.DUMMYFUNCTION("""COMPUTED_VALUE"""),663.0)</f>
        <v>663</v>
      </c>
      <c r="C4459" s="10">
        <f>IFERROR(__xludf.DUMMYFUNCTION("""COMPUTED_VALUE"""),7848.0)</f>
        <v>7848</v>
      </c>
      <c r="D4459" s="5">
        <f>IFERROR(__xludf.DUMMYFUNCTION("""COMPUTED_VALUE"""),0.38900487125956856)</f>
        <v>0.3890048713</v>
      </c>
      <c r="E4459" s="5">
        <f>IFERROR(__xludf.DUMMYFUNCTION("""COMPUTED_VALUE"""),0.11774530271398748)</f>
        <v>0.1177453027</v>
      </c>
      <c r="F4459" s="5">
        <f>IFERROR(__xludf.DUMMYFUNCTION("""COMPUTED_VALUE"""),0.20528879610299233)</f>
        <v>0.2052887961</v>
      </c>
      <c r="G4459" s="5">
        <f>IFERROR(__xludf.DUMMYFUNCTION("""COMPUTED_VALUE"""),0.1601948503827418)</f>
        <v>0.1601948504</v>
      </c>
      <c r="H4459" s="5">
        <f>IFERROR(__xludf.DUMMYFUNCTION("""COMPUTED_VALUE"""),0.5850847457627119)</f>
        <v>0.5850847458</v>
      </c>
      <c r="I4459" s="11">
        <f>IFERROR(__xludf.DUMMYFUNCTION("""COMPUTED_VALUE"""),5618.64406779661)</f>
        <v>5618.644068</v>
      </c>
      <c r="J4459" s="10">
        <f>IFERROR(__xludf.DUMMYFUNCTION("""COMPUTED_VALUE"""),0.0)</f>
        <v>0</v>
      </c>
      <c r="K4459" s="5">
        <f>IFERROR(__xludf.DUMMYFUNCTION("""COMPUTED_VALUE"""),0.0)</f>
        <v>0</v>
      </c>
      <c r="L4459" s="10">
        <f>IFERROR(__xludf.DUMMYFUNCTION("""COMPUTED_VALUE"""),663.0)</f>
        <v>663</v>
      </c>
      <c r="M4459" s="5">
        <f>IFERROR(__xludf.DUMMYFUNCTION("""COMPUTED_VALUE"""),1.0)</f>
        <v>1</v>
      </c>
    </row>
    <row r="4460">
      <c r="A4460" s="10" t="str">
        <f>IFERROR(__xludf.DUMMYFUNCTION("""COMPUTED_VALUE"""),"Benawii")</f>
        <v>Benawii</v>
      </c>
      <c r="B4460" s="10">
        <f>IFERROR(__xludf.DUMMYFUNCTION("""COMPUTED_VALUE"""),202.0)</f>
        <v>202</v>
      </c>
      <c r="C4460" s="10">
        <f>IFERROR(__xludf.DUMMYFUNCTION("""COMPUTED_VALUE"""),2377.0)</f>
        <v>2377</v>
      </c>
      <c r="D4460" s="5">
        <f>IFERROR(__xludf.DUMMYFUNCTION("""COMPUTED_VALUE"""),0.3255172413793103)</f>
        <v>0.3255172414</v>
      </c>
      <c r="E4460" s="5">
        <f>IFERROR(__xludf.DUMMYFUNCTION("""COMPUTED_VALUE"""),0.11770114942528735)</f>
        <v>0.1177011494</v>
      </c>
      <c r="F4460" s="5">
        <f>IFERROR(__xludf.DUMMYFUNCTION("""COMPUTED_VALUE"""),0.20045977011494254)</f>
        <v>0.2004597701</v>
      </c>
      <c r="G4460" s="5">
        <f>IFERROR(__xludf.DUMMYFUNCTION("""COMPUTED_VALUE"""),0.17885057471264368)</f>
        <v>0.1788505747</v>
      </c>
      <c r="H4460" s="5">
        <f>IFERROR(__xludf.DUMMYFUNCTION("""COMPUTED_VALUE"""),0.6376146788990825)</f>
        <v>0.6376146789</v>
      </c>
      <c r="I4460" s="11">
        <f>IFERROR(__xludf.DUMMYFUNCTION("""COMPUTED_VALUE"""),5575.688073394495)</f>
        <v>5575.688073</v>
      </c>
      <c r="J4460" s="10">
        <f>IFERROR(__xludf.DUMMYFUNCTION("""COMPUTED_VALUE"""),0.0)</f>
        <v>0</v>
      </c>
      <c r="K4460" s="5">
        <f>IFERROR(__xludf.DUMMYFUNCTION("""COMPUTED_VALUE"""),0.0)</f>
        <v>0</v>
      </c>
      <c r="L4460" s="10">
        <f>IFERROR(__xludf.DUMMYFUNCTION("""COMPUTED_VALUE"""),0.0)</f>
        <v>0</v>
      </c>
      <c r="M4460" s="5">
        <f>IFERROR(__xludf.DUMMYFUNCTION("""COMPUTED_VALUE"""),0.0)</f>
        <v>0</v>
      </c>
    </row>
    <row r="4461">
      <c r="A4461" s="10" t="str">
        <f>IFERROR(__xludf.DUMMYFUNCTION("""COMPUTED_VALUE"""),"bifix32")</f>
        <v>bifix32</v>
      </c>
      <c r="B4461" s="10">
        <f>IFERROR(__xludf.DUMMYFUNCTION("""COMPUTED_VALUE"""),114.0)</f>
        <v>114</v>
      </c>
      <c r="C4461" s="10">
        <f>IFERROR(__xludf.DUMMYFUNCTION("""COMPUTED_VALUE"""),1329.0)</f>
        <v>1329</v>
      </c>
      <c r="D4461" s="5">
        <f>IFERROR(__xludf.DUMMYFUNCTION("""COMPUTED_VALUE"""),0.28641975308641976)</f>
        <v>0.2864197531</v>
      </c>
      <c r="E4461" s="5">
        <f>IFERROR(__xludf.DUMMYFUNCTION("""COMPUTED_VALUE"""),0.1176954732510288)</f>
        <v>0.1176954733</v>
      </c>
      <c r="F4461" s="5">
        <f>IFERROR(__xludf.DUMMYFUNCTION("""COMPUTED_VALUE"""),0.21646090534979423)</f>
        <v>0.2164609053</v>
      </c>
      <c r="G4461" s="5">
        <f>IFERROR(__xludf.DUMMYFUNCTION("""COMPUTED_VALUE"""),0.16954732510288065)</f>
        <v>0.1695473251</v>
      </c>
      <c r="H4461" s="5">
        <f>IFERROR(__xludf.DUMMYFUNCTION("""COMPUTED_VALUE"""),0.6273764258555133)</f>
        <v>0.6273764259</v>
      </c>
      <c r="I4461" s="11">
        <f>IFERROR(__xludf.DUMMYFUNCTION("""COMPUTED_VALUE"""),5673.003802281369)</f>
        <v>5673.003802</v>
      </c>
      <c r="J4461" s="10">
        <f>IFERROR(__xludf.DUMMYFUNCTION("""COMPUTED_VALUE"""),0.0)</f>
        <v>0</v>
      </c>
      <c r="K4461" s="5">
        <f>IFERROR(__xludf.DUMMYFUNCTION("""COMPUTED_VALUE"""),0.0)</f>
        <v>0</v>
      </c>
      <c r="L4461" s="10">
        <f>IFERROR(__xludf.DUMMYFUNCTION("""COMPUTED_VALUE"""),114.0)</f>
        <v>114</v>
      </c>
      <c r="M4461" s="5">
        <f>IFERROR(__xludf.DUMMYFUNCTION("""COMPUTED_VALUE"""),1.0)</f>
        <v>1</v>
      </c>
    </row>
    <row r="4462">
      <c r="A4462" s="10" t="str">
        <f>IFERROR(__xludf.DUMMYFUNCTION("""COMPUTED_VALUE"""),"消費税キリン")</f>
        <v>消費税キリン</v>
      </c>
      <c r="B4462" s="10">
        <f>IFERROR(__xludf.DUMMYFUNCTION("""COMPUTED_VALUE"""),137.0)</f>
        <v>137</v>
      </c>
      <c r="C4462" s="10">
        <f>IFERROR(__xludf.DUMMYFUNCTION("""COMPUTED_VALUE"""),1590.0)</f>
        <v>1590</v>
      </c>
      <c r="D4462" s="5">
        <f>IFERROR(__xludf.DUMMYFUNCTION("""COMPUTED_VALUE"""),0.2959394356503785)</f>
        <v>0.2959394357</v>
      </c>
      <c r="E4462" s="5">
        <f>IFERROR(__xludf.DUMMYFUNCTION("""COMPUTED_VALUE"""),0.11768754301445286)</f>
        <v>0.117687543</v>
      </c>
      <c r="F4462" s="5">
        <f>IFERROR(__xludf.DUMMYFUNCTION("""COMPUTED_VALUE"""),0.194769442532691)</f>
        <v>0.1947694425</v>
      </c>
      <c r="G4462" s="5">
        <f>IFERROR(__xludf.DUMMYFUNCTION("""COMPUTED_VALUE"""),0.18169304886441845)</f>
        <v>0.1816930489</v>
      </c>
      <c r="H4462" s="5">
        <f>IFERROR(__xludf.DUMMYFUNCTION("""COMPUTED_VALUE"""),0.5936395759717314)</f>
        <v>0.593639576</v>
      </c>
      <c r="I4462" s="11">
        <f>IFERROR(__xludf.DUMMYFUNCTION("""COMPUTED_VALUE"""),5696.466431095407)</f>
        <v>5696.466431</v>
      </c>
      <c r="J4462" s="10">
        <f>IFERROR(__xludf.DUMMYFUNCTION("""COMPUTED_VALUE"""),0.0)</f>
        <v>0</v>
      </c>
      <c r="K4462" s="5">
        <f>IFERROR(__xludf.DUMMYFUNCTION("""COMPUTED_VALUE"""),0.0)</f>
        <v>0</v>
      </c>
      <c r="L4462" s="10">
        <f>IFERROR(__xludf.DUMMYFUNCTION("""COMPUTED_VALUE"""),86.0)</f>
        <v>86</v>
      </c>
      <c r="M4462" s="5">
        <f>IFERROR(__xludf.DUMMYFUNCTION("""COMPUTED_VALUE"""),0.6277372262773723)</f>
        <v>0.6277372263</v>
      </c>
    </row>
    <row r="4463">
      <c r="A4463" s="10" t="str">
        <f>IFERROR(__xludf.DUMMYFUNCTION("""COMPUTED_VALUE"""),"うめだ")</f>
        <v>うめだ</v>
      </c>
      <c r="B4463" s="10">
        <f>IFERROR(__xludf.DUMMYFUNCTION("""COMPUTED_VALUE"""),782.0)</f>
        <v>782</v>
      </c>
      <c r="C4463" s="10">
        <f>IFERROR(__xludf.DUMMYFUNCTION("""COMPUTED_VALUE"""),9169.0)</f>
        <v>9169</v>
      </c>
      <c r="D4463" s="5">
        <f>IFERROR(__xludf.DUMMYFUNCTION("""COMPUTED_VALUE"""),0.34386550614045547)</f>
        <v>0.3438655061</v>
      </c>
      <c r="E4463" s="5">
        <f>IFERROR(__xludf.DUMMYFUNCTION("""COMPUTED_VALUE"""),0.11768212710146655)</f>
        <v>0.1176821271</v>
      </c>
      <c r="F4463" s="5">
        <f>IFERROR(__xludf.DUMMYFUNCTION("""COMPUTED_VALUE"""),0.19959461070704662)</f>
        <v>0.1995946107</v>
      </c>
      <c r="G4463" s="5">
        <f>IFERROR(__xludf.DUMMYFUNCTION("""COMPUTED_VALUE"""),0.14427089543340885)</f>
        <v>0.1442708954</v>
      </c>
      <c r="H4463" s="5">
        <f>IFERROR(__xludf.DUMMYFUNCTION("""COMPUTED_VALUE"""),0.5955794504181601)</f>
        <v>0.5955794504</v>
      </c>
      <c r="I4463" s="11">
        <f>IFERROR(__xludf.DUMMYFUNCTION("""COMPUTED_VALUE"""),5500.0)</f>
        <v>5500</v>
      </c>
      <c r="J4463" s="10">
        <f>IFERROR(__xludf.DUMMYFUNCTION("""COMPUTED_VALUE"""),3.0)</f>
        <v>3</v>
      </c>
      <c r="K4463" s="5">
        <f>IFERROR(__xludf.DUMMYFUNCTION("""COMPUTED_VALUE"""),0.0038363171355498722)</f>
        <v>0.003836317136</v>
      </c>
      <c r="L4463" s="10">
        <f>IFERROR(__xludf.DUMMYFUNCTION("""COMPUTED_VALUE"""),0.0)</f>
        <v>0</v>
      </c>
      <c r="M4463" s="5">
        <f>IFERROR(__xludf.DUMMYFUNCTION("""COMPUTED_VALUE"""),0.0)</f>
        <v>0</v>
      </c>
    </row>
    <row r="4464">
      <c r="A4464" s="10" t="str">
        <f>IFERROR(__xludf.DUMMYFUNCTION("""COMPUTED_VALUE"""),"あるふぁの人")</f>
        <v>あるふぁの人</v>
      </c>
      <c r="B4464" s="10">
        <f>IFERROR(__xludf.DUMMYFUNCTION("""COMPUTED_VALUE"""),701.0)</f>
        <v>701</v>
      </c>
      <c r="C4464" s="10">
        <f>IFERROR(__xludf.DUMMYFUNCTION("""COMPUTED_VALUE"""),8332.0)</f>
        <v>8332</v>
      </c>
      <c r="D4464" s="5">
        <f>IFERROR(__xludf.DUMMYFUNCTION("""COMPUTED_VALUE"""),0.41711440178220416)</f>
        <v>0.4171144018</v>
      </c>
      <c r="E4464" s="5">
        <f>IFERROR(__xludf.DUMMYFUNCTION("""COMPUTED_VALUE"""),0.11767789280566111)</f>
        <v>0.1176778928</v>
      </c>
      <c r="F4464" s="5">
        <f>IFERROR(__xludf.DUMMYFUNCTION("""COMPUTED_VALUE"""),0.2217271655091076)</f>
        <v>0.2217271655</v>
      </c>
      <c r="G4464" s="5">
        <f>IFERROR(__xludf.DUMMYFUNCTION("""COMPUTED_VALUE"""),0.16485388546717336)</f>
        <v>0.1648538855</v>
      </c>
      <c r="H4464" s="5">
        <f>IFERROR(__xludf.DUMMYFUNCTION("""COMPUTED_VALUE"""),0.6158392434988179)</f>
        <v>0.6158392435</v>
      </c>
      <c r="I4464" s="11">
        <f>IFERROR(__xludf.DUMMYFUNCTION("""COMPUTED_VALUE"""),5173.817966903073)</f>
        <v>5173.817967</v>
      </c>
      <c r="J4464" s="10">
        <f>IFERROR(__xludf.DUMMYFUNCTION("""COMPUTED_VALUE"""),0.0)</f>
        <v>0</v>
      </c>
      <c r="K4464" s="5">
        <f>IFERROR(__xludf.DUMMYFUNCTION("""COMPUTED_VALUE"""),0.0)</f>
        <v>0</v>
      </c>
      <c r="L4464" s="10">
        <f>IFERROR(__xludf.DUMMYFUNCTION("""COMPUTED_VALUE"""),701.0)</f>
        <v>701</v>
      </c>
      <c r="M4464" s="5">
        <f>IFERROR(__xludf.DUMMYFUNCTION("""COMPUTED_VALUE"""),1.0)</f>
        <v>1</v>
      </c>
    </row>
    <row r="4465">
      <c r="A4465" s="10" t="str">
        <f>IFERROR(__xludf.DUMMYFUNCTION("""COMPUTED_VALUE"""),"のうなめろん")</f>
        <v>のうなめろん</v>
      </c>
      <c r="B4465" s="10">
        <f>IFERROR(__xludf.DUMMYFUNCTION("""COMPUTED_VALUE"""),1678.0)</f>
        <v>1678</v>
      </c>
      <c r="C4465" s="10">
        <f>IFERROR(__xludf.DUMMYFUNCTION("""COMPUTED_VALUE"""),19923.0)</f>
        <v>19923</v>
      </c>
      <c r="D4465" s="5">
        <f>IFERROR(__xludf.DUMMYFUNCTION("""COMPUTED_VALUE"""),0.3161962181419567)</f>
        <v>0.3161962181</v>
      </c>
      <c r="E4465" s="5">
        <f>IFERROR(__xludf.DUMMYFUNCTION("""COMPUTED_VALUE"""),0.11767607563716087)</f>
        <v>0.1176760756</v>
      </c>
      <c r="F4465" s="5">
        <f>IFERROR(__xludf.DUMMYFUNCTION("""COMPUTED_VALUE"""),0.2019731433269389)</f>
        <v>0.2019731433</v>
      </c>
      <c r="G4465" s="5">
        <f>IFERROR(__xludf.DUMMYFUNCTION("""COMPUTED_VALUE"""),0.17511647026582625)</f>
        <v>0.1751164703</v>
      </c>
      <c r="H4465" s="5">
        <f>IFERROR(__xludf.DUMMYFUNCTION("""COMPUTED_VALUE"""),0.5739484396200815)</f>
        <v>0.5739484396</v>
      </c>
      <c r="I4465" s="11">
        <f>IFERROR(__xludf.DUMMYFUNCTION("""COMPUTED_VALUE"""),5851.071913161465)</f>
        <v>5851.071913</v>
      </c>
      <c r="J4465" s="10">
        <f>IFERROR(__xludf.DUMMYFUNCTION("""COMPUTED_VALUE"""),3.0)</f>
        <v>3</v>
      </c>
      <c r="K4465" s="5">
        <f>IFERROR(__xludf.DUMMYFUNCTION("""COMPUTED_VALUE"""),0.0017878426698450535)</f>
        <v>0.00178784267</v>
      </c>
      <c r="L4465" s="10">
        <f>IFERROR(__xludf.DUMMYFUNCTION("""COMPUTED_VALUE"""),1678.0)</f>
        <v>1678</v>
      </c>
      <c r="M4465" s="5">
        <f>IFERROR(__xludf.DUMMYFUNCTION("""COMPUTED_VALUE"""),1.0)</f>
        <v>1</v>
      </c>
    </row>
    <row r="4466">
      <c r="A4466" s="10" t="str">
        <f>IFERROR(__xludf.DUMMYFUNCTION("""COMPUTED_VALUE"""),"saki6342")</f>
        <v>saki6342</v>
      </c>
      <c r="B4466" s="10">
        <f>IFERROR(__xludf.DUMMYFUNCTION("""COMPUTED_VALUE"""),3272.0)</f>
        <v>3272</v>
      </c>
      <c r="C4466" s="10">
        <f>IFERROR(__xludf.DUMMYFUNCTION("""COMPUTED_VALUE"""),38432.0)</f>
        <v>38432</v>
      </c>
      <c r="D4466" s="5">
        <f>IFERROR(__xludf.DUMMYFUNCTION("""COMPUTED_VALUE"""),0.3504835039817975)</f>
        <v>0.350483504</v>
      </c>
      <c r="E4466" s="5">
        <f>IFERROR(__xludf.DUMMYFUNCTION("""COMPUTED_VALUE"""),0.11766211604095562)</f>
        <v>0.117662116</v>
      </c>
      <c r="F4466" s="5">
        <f>IFERROR(__xludf.DUMMYFUNCTION("""COMPUTED_VALUE"""),0.20762229806598406)</f>
        <v>0.2076222981</v>
      </c>
      <c r="G4466" s="5">
        <f>IFERROR(__xludf.DUMMYFUNCTION("""COMPUTED_VALUE"""),0.18430034129692832)</f>
        <v>0.1843003413</v>
      </c>
      <c r="H4466" s="5">
        <f>IFERROR(__xludf.DUMMYFUNCTION("""COMPUTED_VALUE"""),0.583013698630137)</f>
        <v>0.5830136986</v>
      </c>
      <c r="I4466" s="11">
        <f>IFERROR(__xludf.DUMMYFUNCTION("""COMPUTED_VALUE"""),5765.273972602739)</f>
        <v>5765.273973</v>
      </c>
      <c r="J4466" s="10">
        <f>IFERROR(__xludf.DUMMYFUNCTION("""COMPUTED_VALUE"""),0.0)</f>
        <v>0</v>
      </c>
      <c r="K4466" s="5">
        <f>IFERROR(__xludf.DUMMYFUNCTION("""COMPUTED_VALUE"""),0.0)</f>
        <v>0</v>
      </c>
      <c r="L4466" s="10">
        <f>IFERROR(__xludf.DUMMYFUNCTION("""COMPUTED_VALUE"""),3272.0)</f>
        <v>3272</v>
      </c>
      <c r="M4466" s="5">
        <f>IFERROR(__xludf.DUMMYFUNCTION("""COMPUTED_VALUE"""),1.0)</f>
        <v>1</v>
      </c>
    </row>
    <row r="4467">
      <c r="A4467" s="10" t="str">
        <f>IFERROR(__xludf.DUMMYFUNCTION("""COMPUTED_VALUE"""),"８９１０")</f>
        <v>８９１０</v>
      </c>
      <c r="B4467" s="10">
        <f>IFERROR(__xludf.DUMMYFUNCTION("""COMPUTED_VALUE"""),589.0)</f>
        <v>589</v>
      </c>
      <c r="C4467" s="10">
        <f>IFERROR(__xludf.DUMMYFUNCTION("""COMPUTED_VALUE"""),6904.0)</f>
        <v>6904</v>
      </c>
      <c r="D4467" s="5">
        <f>IFERROR(__xludf.DUMMYFUNCTION("""COMPUTED_VALUE"""),0.3691211401425178)</f>
        <v>0.3691211401</v>
      </c>
      <c r="E4467" s="5">
        <f>IFERROR(__xludf.DUMMYFUNCTION("""COMPUTED_VALUE"""),0.11765637371338084)</f>
        <v>0.1176563737</v>
      </c>
      <c r="F4467" s="5">
        <f>IFERROR(__xludf.DUMMYFUNCTION("""COMPUTED_VALUE"""),0.20063341250989708)</f>
        <v>0.2006334125</v>
      </c>
      <c r="G4467" s="5">
        <f>IFERROR(__xludf.DUMMYFUNCTION("""COMPUTED_VALUE"""),0.16009501187648456)</f>
        <v>0.1600950119</v>
      </c>
      <c r="H4467" s="5">
        <f>IFERROR(__xludf.DUMMYFUNCTION("""COMPUTED_VALUE"""),0.5816890292028414)</f>
        <v>0.5816890292</v>
      </c>
      <c r="I4467" s="11">
        <f>IFERROR(__xludf.DUMMYFUNCTION("""COMPUTED_VALUE"""),5468.192580899763)</f>
        <v>5468.192581</v>
      </c>
      <c r="J4467" s="10">
        <f>IFERROR(__xludf.DUMMYFUNCTION("""COMPUTED_VALUE"""),1.0)</f>
        <v>1</v>
      </c>
      <c r="K4467" s="5">
        <f>IFERROR(__xludf.DUMMYFUNCTION("""COMPUTED_VALUE"""),0.001697792869269949)</f>
        <v>0.001697792869</v>
      </c>
      <c r="L4467" s="10">
        <f>IFERROR(__xludf.DUMMYFUNCTION("""COMPUTED_VALUE"""),589.0)</f>
        <v>589</v>
      </c>
      <c r="M4467" s="5">
        <f>IFERROR(__xludf.DUMMYFUNCTION("""COMPUTED_VALUE"""),1.0)</f>
        <v>1</v>
      </c>
    </row>
    <row r="4468">
      <c r="A4468" s="10" t="str">
        <f>IFERROR(__xludf.DUMMYFUNCTION("""COMPUTED_VALUE"""),"ＺＥＲＯ－ＭＡＸ")</f>
        <v>ＺＥＲＯ－ＭＡＸ</v>
      </c>
      <c r="B4468" s="10">
        <f>IFERROR(__xludf.DUMMYFUNCTION("""COMPUTED_VALUE"""),1597.0)</f>
        <v>1597</v>
      </c>
      <c r="C4468" s="10">
        <f>IFERROR(__xludf.DUMMYFUNCTION("""COMPUTED_VALUE"""),19047.0)</f>
        <v>19047</v>
      </c>
      <c r="D4468" s="5">
        <f>IFERROR(__xludf.DUMMYFUNCTION("""COMPUTED_VALUE"""),0.4053868194842407)</f>
        <v>0.4053868195</v>
      </c>
      <c r="E4468" s="5">
        <f>IFERROR(__xludf.DUMMYFUNCTION("""COMPUTED_VALUE"""),0.11765042979942693)</f>
        <v>0.1176504298</v>
      </c>
      <c r="F4468" s="5">
        <f>IFERROR(__xludf.DUMMYFUNCTION("""COMPUTED_VALUE"""),0.20550143266475646)</f>
        <v>0.2055014327</v>
      </c>
      <c r="G4468" s="5">
        <f>IFERROR(__xludf.DUMMYFUNCTION("""COMPUTED_VALUE"""),0.16578796561604583)</f>
        <v>0.1657879656</v>
      </c>
      <c r="H4468" s="5">
        <f>IFERROR(__xludf.DUMMYFUNCTION("""COMPUTED_VALUE"""),0.5978806469604016)</f>
        <v>0.597880647</v>
      </c>
      <c r="I4468" s="11">
        <f>IFERROR(__xludf.DUMMYFUNCTION("""COMPUTED_VALUE"""),5184.885666480758)</f>
        <v>5184.885666</v>
      </c>
      <c r="J4468" s="10">
        <f>IFERROR(__xludf.DUMMYFUNCTION("""COMPUTED_VALUE"""),5.0)</f>
        <v>5</v>
      </c>
      <c r="K4468" s="5">
        <f>IFERROR(__xludf.DUMMYFUNCTION("""COMPUTED_VALUE"""),0.0031308703819661866)</f>
        <v>0.003130870382</v>
      </c>
      <c r="L4468" s="10">
        <f>IFERROR(__xludf.DUMMYFUNCTION("""COMPUTED_VALUE"""),1597.0)</f>
        <v>1597</v>
      </c>
      <c r="M4468" s="5">
        <f>IFERROR(__xludf.DUMMYFUNCTION("""COMPUTED_VALUE"""),1.0)</f>
        <v>1</v>
      </c>
    </row>
    <row r="4469">
      <c r="A4469" s="10" t="str">
        <f>IFERROR(__xludf.DUMMYFUNCTION("""COMPUTED_VALUE"""),"boyatetu")</f>
        <v>boyatetu</v>
      </c>
      <c r="B4469" s="10">
        <f>IFERROR(__xludf.DUMMYFUNCTION("""COMPUTED_VALUE"""),2356.0)</f>
        <v>2356</v>
      </c>
      <c r="C4469" s="10">
        <f>IFERROR(__xludf.DUMMYFUNCTION("""COMPUTED_VALUE"""),27618.0)</f>
        <v>27618</v>
      </c>
      <c r="D4469" s="5">
        <f>IFERROR(__xludf.DUMMYFUNCTION("""COMPUTED_VALUE"""),0.2628057952656163)</f>
        <v>0.2628057953</v>
      </c>
      <c r="E4469" s="5">
        <f>IFERROR(__xludf.DUMMYFUNCTION("""COMPUTED_VALUE"""),0.11764705882352941)</f>
        <v>0.1176470588</v>
      </c>
      <c r="F4469" s="5">
        <f>IFERROR(__xludf.DUMMYFUNCTION("""COMPUTED_VALUE"""),0.19950914416910775)</f>
        <v>0.1995091442</v>
      </c>
      <c r="G4469" s="5">
        <f>IFERROR(__xludf.DUMMYFUNCTION("""COMPUTED_VALUE"""),0.18478346924234026)</f>
        <v>0.1847834692</v>
      </c>
      <c r="H4469" s="5">
        <f>IFERROR(__xludf.DUMMYFUNCTION("""COMPUTED_VALUE"""),0.5998015873015873)</f>
        <v>0.5998015873</v>
      </c>
      <c r="I4469" s="11">
        <f>IFERROR(__xludf.DUMMYFUNCTION("""COMPUTED_VALUE"""),5983.273809523809)</f>
        <v>5983.27381</v>
      </c>
      <c r="J4469" s="10">
        <f>IFERROR(__xludf.DUMMYFUNCTION("""COMPUTED_VALUE"""),5.0)</f>
        <v>5</v>
      </c>
      <c r="K4469" s="5">
        <f>IFERROR(__xludf.DUMMYFUNCTION("""COMPUTED_VALUE"""),0.0021222410865874364)</f>
        <v>0.002122241087</v>
      </c>
      <c r="L4469" s="10">
        <f>IFERROR(__xludf.DUMMYFUNCTION("""COMPUTED_VALUE"""),2356.0)</f>
        <v>2356</v>
      </c>
      <c r="M4469" s="5">
        <f>IFERROR(__xludf.DUMMYFUNCTION("""COMPUTED_VALUE"""),1.0)</f>
        <v>1</v>
      </c>
    </row>
    <row r="4470">
      <c r="A4470" s="10" t="str">
        <f>IFERROR(__xludf.DUMMYFUNCTION("""COMPUTED_VALUE"""),"青猫")</f>
        <v>青猫</v>
      </c>
      <c r="B4470" s="10">
        <f>IFERROR(__xludf.DUMMYFUNCTION("""COMPUTED_VALUE"""),1300.0)</f>
        <v>1300</v>
      </c>
      <c r="C4470" s="10">
        <f>IFERROR(__xludf.DUMMYFUNCTION("""COMPUTED_VALUE"""),15419.0)</f>
        <v>15419</v>
      </c>
      <c r="D4470" s="5">
        <f>IFERROR(__xludf.DUMMYFUNCTION("""COMPUTED_VALUE"""),0.33890502160209646)</f>
        <v>0.3389050216</v>
      </c>
      <c r="E4470" s="5">
        <f>IFERROR(__xludf.DUMMYFUNCTION("""COMPUTED_VALUE"""),0.11764289255613004)</f>
        <v>0.1176428926</v>
      </c>
      <c r="F4470" s="5">
        <f>IFERROR(__xludf.DUMMYFUNCTION("""COMPUTED_VALUE"""),0.22012890431333665)</f>
        <v>0.2201289043</v>
      </c>
      <c r="G4470" s="5">
        <f>IFERROR(__xludf.DUMMYFUNCTION("""COMPUTED_VALUE"""),0.15631418655712162)</f>
        <v>0.1563141866</v>
      </c>
      <c r="H4470" s="5">
        <f>IFERROR(__xludf.DUMMYFUNCTION("""COMPUTED_VALUE"""),0.611003861003861)</f>
        <v>0.611003861</v>
      </c>
      <c r="I4470" s="11">
        <f>IFERROR(__xludf.DUMMYFUNCTION("""COMPUTED_VALUE"""),5171.557271557272)</f>
        <v>5171.557272</v>
      </c>
      <c r="J4470" s="10">
        <f>IFERROR(__xludf.DUMMYFUNCTION("""COMPUTED_VALUE"""),0.0)</f>
        <v>0</v>
      </c>
      <c r="K4470" s="5">
        <f>IFERROR(__xludf.DUMMYFUNCTION("""COMPUTED_VALUE"""),0.0)</f>
        <v>0</v>
      </c>
      <c r="L4470" s="10">
        <f>IFERROR(__xludf.DUMMYFUNCTION("""COMPUTED_VALUE"""),1300.0)</f>
        <v>1300</v>
      </c>
      <c r="M4470" s="5">
        <f>IFERROR(__xludf.DUMMYFUNCTION("""COMPUTED_VALUE"""),1.0)</f>
        <v>1</v>
      </c>
    </row>
    <row r="4471">
      <c r="A4471" s="10" t="str">
        <f>IFERROR(__xludf.DUMMYFUNCTION("""COMPUTED_VALUE"""),"きらら397")</f>
        <v>きらら397</v>
      </c>
      <c r="B4471" s="10">
        <f>IFERROR(__xludf.DUMMYFUNCTION("""COMPUTED_VALUE"""),114.0)</f>
        <v>114</v>
      </c>
      <c r="C4471" s="10">
        <f>IFERROR(__xludf.DUMMYFUNCTION("""COMPUTED_VALUE"""),1364.0)</f>
        <v>1364</v>
      </c>
      <c r="D4471" s="5">
        <f>IFERROR(__xludf.DUMMYFUNCTION("""COMPUTED_VALUE"""),0.3376)</f>
        <v>0.3376</v>
      </c>
      <c r="E4471" s="5">
        <f>IFERROR(__xludf.DUMMYFUNCTION("""COMPUTED_VALUE"""),0.1176)</f>
        <v>0.1176</v>
      </c>
      <c r="F4471" s="5">
        <f>IFERROR(__xludf.DUMMYFUNCTION("""COMPUTED_VALUE"""),0.2192)</f>
        <v>0.2192</v>
      </c>
      <c r="G4471" s="5">
        <f>IFERROR(__xludf.DUMMYFUNCTION("""COMPUTED_VALUE"""),0.1776)</f>
        <v>0.1776</v>
      </c>
      <c r="H4471" s="5">
        <f>IFERROR(__xludf.DUMMYFUNCTION("""COMPUTED_VALUE"""),0.6167883211678832)</f>
        <v>0.6167883212</v>
      </c>
      <c r="I4471" s="11">
        <f>IFERROR(__xludf.DUMMYFUNCTION("""COMPUTED_VALUE"""),5240.875912408759)</f>
        <v>5240.875912</v>
      </c>
      <c r="J4471" s="10">
        <f>IFERROR(__xludf.DUMMYFUNCTION("""COMPUTED_VALUE"""),0.0)</f>
        <v>0</v>
      </c>
      <c r="K4471" s="5">
        <f>IFERROR(__xludf.DUMMYFUNCTION("""COMPUTED_VALUE"""),0.0)</f>
        <v>0</v>
      </c>
      <c r="L4471" s="10">
        <f>IFERROR(__xludf.DUMMYFUNCTION("""COMPUTED_VALUE"""),114.0)</f>
        <v>114</v>
      </c>
      <c r="M4471" s="5">
        <f>IFERROR(__xludf.DUMMYFUNCTION("""COMPUTED_VALUE"""),1.0)</f>
        <v>1</v>
      </c>
    </row>
    <row r="4472">
      <c r="A4472" s="10" t="str">
        <f>IFERROR(__xludf.DUMMYFUNCTION("""COMPUTED_VALUE"""),"武則輝海")</f>
        <v>武則輝海</v>
      </c>
      <c r="B4472" s="10">
        <f>IFERROR(__xludf.DUMMYFUNCTION("""COMPUTED_VALUE"""),3667.0)</f>
        <v>3667</v>
      </c>
      <c r="C4472" s="10">
        <f>IFERROR(__xludf.DUMMYFUNCTION("""COMPUTED_VALUE"""),43446.0)</f>
        <v>43446</v>
      </c>
      <c r="D4472" s="5">
        <f>IFERROR(__xludf.DUMMYFUNCTION("""COMPUTED_VALUE"""),0.30863018175419193)</f>
        <v>0.3086301818</v>
      </c>
      <c r="E4472" s="5">
        <f>IFERROR(__xludf.DUMMYFUNCTION("""COMPUTED_VALUE"""),0.11759973855551924)</f>
        <v>0.1175997386</v>
      </c>
      <c r="F4472" s="5">
        <f>IFERROR(__xludf.DUMMYFUNCTION("""COMPUTED_VALUE"""),0.20608863973453329)</f>
        <v>0.2060886397</v>
      </c>
      <c r="G4472" s="5">
        <f>IFERROR(__xludf.DUMMYFUNCTION("""COMPUTED_VALUE"""),0.14530279795872195)</f>
        <v>0.145302798</v>
      </c>
      <c r="H4472" s="5">
        <f>IFERROR(__xludf.DUMMYFUNCTION("""COMPUTED_VALUE"""),0.6019760917296901)</f>
        <v>0.6019760917</v>
      </c>
      <c r="I4472" s="11">
        <f>IFERROR(__xludf.DUMMYFUNCTION("""COMPUTED_VALUE"""),5671.907782385948)</f>
        <v>5671.907782</v>
      </c>
      <c r="J4472" s="10">
        <f>IFERROR(__xludf.DUMMYFUNCTION("""COMPUTED_VALUE"""),5.0)</f>
        <v>5</v>
      </c>
      <c r="K4472" s="5">
        <f>IFERROR(__xludf.DUMMYFUNCTION("""COMPUTED_VALUE"""),0.0013635124079629125)</f>
        <v>0.001363512408</v>
      </c>
      <c r="L4472" s="10">
        <f>IFERROR(__xludf.DUMMYFUNCTION("""COMPUTED_VALUE"""),3667.0)</f>
        <v>3667</v>
      </c>
      <c r="M4472" s="5">
        <f>IFERROR(__xludf.DUMMYFUNCTION("""COMPUTED_VALUE"""),1.0)</f>
        <v>1</v>
      </c>
    </row>
    <row r="4473">
      <c r="A4473" s="10" t="str">
        <f>IFERROR(__xludf.DUMMYFUNCTION("""COMPUTED_VALUE"""),"Calcifer")</f>
        <v>Calcifer</v>
      </c>
      <c r="B4473" s="10">
        <f>IFERROR(__xludf.DUMMYFUNCTION("""COMPUTED_VALUE"""),112.0)</f>
        <v>112</v>
      </c>
      <c r="C4473" s="10">
        <f>IFERROR(__xludf.DUMMYFUNCTION("""COMPUTED_VALUE"""),1328.0)</f>
        <v>1328</v>
      </c>
      <c r="D4473" s="5">
        <f>IFERROR(__xludf.DUMMYFUNCTION("""COMPUTED_VALUE"""),0.3626644736842105)</f>
        <v>0.3626644737</v>
      </c>
      <c r="E4473" s="5">
        <f>IFERROR(__xludf.DUMMYFUNCTION("""COMPUTED_VALUE"""),0.11759868421052631)</f>
        <v>0.1175986842</v>
      </c>
      <c r="F4473" s="5">
        <f>IFERROR(__xludf.DUMMYFUNCTION("""COMPUTED_VALUE"""),0.20230263157894737)</f>
        <v>0.2023026316</v>
      </c>
      <c r="G4473" s="5">
        <f>IFERROR(__xludf.DUMMYFUNCTION("""COMPUTED_VALUE"""),0.18338815789473684)</f>
        <v>0.1833881579</v>
      </c>
      <c r="H4473" s="5">
        <f>IFERROR(__xludf.DUMMYFUNCTION("""COMPUTED_VALUE"""),0.5487804878048781)</f>
        <v>0.5487804878</v>
      </c>
      <c r="I4473" s="11">
        <f>IFERROR(__xludf.DUMMYFUNCTION("""COMPUTED_VALUE"""),5506.910569105691)</f>
        <v>5506.910569</v>
      </c>
      <c r="J4473" s="10">
        <f>IFERROR(__xludf.DUMMYFUNCTION("""COMPUTED_VALUE"""),0.0)</f>
        <v>0</v>
      </c>
      <c r="K4473" s="5">
        <f>IFERROR(__xludf.DUMMYFUNCTION("""COMPUTED_VALUE"""),0.0)</f>
        <v>0</v>
      </c>
      <c r="L4473" s="10">
        <f>IFERROR(__xludf.DUMMYFUNCTION("""COMPUTED_VALUE"""),112.0)</f>
        <v>112</v>
      </c>
      <c r="M4473" s="5">
        <f>IFERROR(__xludf.DUMMYFUNCTION("""COMPUTED_VALUE"""),1.0)</f>
        <v>1</v>
      </c>
    </row>
    <row r="4474">
      <c r="A4474" s="10" t="str">
        <f>IFERROR(__xludf.DUMMYFUNCTION("""COMPUTED_VALUE"""),"世直し人")</f>
        <v>世直し人</v>
      </c>
      <c r="B4474" s="10">
        <f>IFERROR(__xludf.DUMMYFUNCTION("""COMPUTED_VALUE"""),729.0)</f>
        <v>729</v>
      </c>
      <c r="C4474" s="10">
        <f>IFERROR(__xludf.DUMMYFUNCTION("""COMPUTED_VALUE"""),8493.0)</f>
        <v>8493</v>
      </c>
      <c r="D4474" s="5">
        <f>IFERROR(__xludf.DUMMYFUNCTION("""COMPUTED_VALUE"""),0.34453889747552807)</f>
        <v>0.3445388975</v>
      </c>
      <c r="E4474" s="5">
        <f>IFERROR(__xludf.DUMMYFUNCTION("""COMPUTED_VALUE"""),0.11759402369912417)</f>
        <v>0.1175940237</v>
      </c>
      <c r="F4474" s="5">
        <f>IFERROR(__xludf.DUMMYFUNCTION("""COMPUTED_VALUE"""),0.2159969088098918)</f>
        <v>0.2159969088</v>
      </c>
      <c r="G4474" s="5">
        <f>IFERROR(__xludf.DUMMYFUNCTION("""COMPUTED_VALUE"""),0.18997939206594538)</f>
        <v>0.1899793921</v>
      </c>
      <c r="H4474" s="5">
        <f>IFERROR(__xludf.DUMMYFUNCTION("""COMPUTED_VALUE"""),0.5885509838998211)</f>
        <v>0.5885509839</v>
      </c>
      <c r="I4474" s="11">
        <f>IFERROR(__xludf.DUMMYFUNCTION("""COMPUTED_VALUE"""),5748.598688133572)</f>
        <v>5748.598688</v>
      </c>
      <c r="J4474" s="10">
        <f>IFERROR(__xludf.DUMMYFUNCTION("""COMPUTED_VALUE"""),2.0)</f>
        <v>2</v>
      </c>
      <c r="K4474" s="5">
        <f>IFERROR(__xludf.DUMMYFUNCTION("""COMPUTED_VALUE"""),0.0027434842249657062)</f>
        <v>0.002743484225</v>
      </c>
      <c r="L4474" s="10">
        <f>IFERROR(__xludf.DUMMYFUNCTION("""COMPUTED_VALUE"""),729.0)</f>
        <v>729</v>
      </c>
      <c r="M4474" s="5">
        <f>IFERROR(__xludf.DUMMYFUNCTION("""COMPUTED_VALUE"""),1.0)</f>
        <v>1</v>
      </c>
    </row>
    <row r="4475">
      <c r="A4475" s="10" t="str">
        <f>IFERROR(__xludf.DUMMYFUNCTION("""COMPUTED_VALUE"""),"ロバート・ローズ")</f>
        <v>ロバート・ローズ</v>
      </c>
      <c r="B4475" s="10">
        <f>IFERROR(__xludf.DUMMYFUNCTION("""COMPUTED_VALUE"""),303.0)</f>
        <v>303</v>
      </c>
      <c r="C4475" s="10">
        <f>IFERROR(__xludf.DUMMYFUNCTION("""COMPUTED_VALUE"""),3611.0)</f>
        <v>3611</v>
      </c>
      <c r="D4475" s="5">
        <f>IFERROR(__xludf.DUMMYFUNCTION("""COMPUTED_VALUE"""),0.40024183796856105)</f>
        <v>0.400241838</v>
      </c>
      <c r="E4475" s="5">
        <f>IFERROR(__xludf.DUMMYFUNCTION("""COMPUTED_VALUE"""),0.1175937122128174)</f>
        <v>0.1175937122</v>
      </c>
      <c r="F4475" s="5">
        <f>IFERROR(__xludf.DUMMYFUNCTION("""COMPUTED_VALUE"""),0.22007255139056833)</f>
        <v>0.2200725514</v>
      </c>
      <c r="G4475" s="5">
        <f>IFERROR(__xludf.DUMMYFUNCTION("""COMPUTED_VALUE"""),0.15749697702539298)</f>
        <v>0.157496977</v>
      </c>
      <c r="H4475" s="5">
        <f>IFERROR(__xludf.DUMMYFUNCTION("""COMPUTED_VALUE"""),0.6208791208791209)</f>
        <v>0.6208791209</v>
      </c>
      <c r="I4475" s="11">
        <f>IFERROR(__xludf.DUMMYFUNCTION("""COMPUTED_VALUE"""),5201.373626373626)</f>
        <v>5201.373626</v>
      </c>
      <c r="J4475" s="10">
        <f>IFERROR(__xludf.DUMMYFUNCTION("""COMPUTED_VALUE"""),0.0)</f>
        <v>0</v>
      </c>
      <c r="K4475" s="5">
        <f>IFERROR(__xludf.DUMMYFUNCTION("""COMPUTED_VALUE"""),0.0)</f>
        <v>0</v>
      </c>
      <c r="L4475" s="10">
        <f>IFERROR(__xludf.DUMMYFUNCTION("""COMPUTED_VALUE"""),303.0)</f>
        <v>303</v>
      </c>
      <c r="M4475" s="5">
        <f>IFERROR(__xludf.DUMMYFUNCTION("""COMPUTED_VALUE"""),1.0)</f>
        <v>1</v>
      </c>
    </row>
    <row r="4476">
      <c r="A4476" s="10" t="str">
        <f>IFERROR(__xludf.DUMMYFUNCTION("""COMPUTED_VALUE"""),"Touya110")</f>
        <v>Touya110</v>
      </c>
      <c r="B4476" s="10">
        <f>IFERROR(__xludf.DUMMYFUNCTION("""COMPUTED_VALUE"""),581.0)</f>
        <v>581</v>
      </c>
      <c r="C4476" s="10">
        <f>IFERROR(__xludf.DUMMYFUNCTION("""COMPUTED_VALUE"""),6772.0)</f>
        <v>6772</v>
      </c>
      <c r="D4476" s="5">
        <f>IFERROR(__xludf.DUMMYFUNCTION("""COMPUTED_VALUE"""),0.3849135842351801)</f>
        <v>0.3849135842</v>
      </c>
      <c r="E4476" s="5">
        <f>IFERROR(__xludf.DUMMYFUNCTION("""COMPUTED_VALUE"""),0.11759005007268616)</f>
        <v>0.1175900501</v>
      </c>
      <c r="F4476" s="5">
        <f>IFERROR(__xludf.DUMMYFUNCTION("""COMPUTED_VALUE"""),0.2220965918268454)</f>
        <v>0.2220965918</v>
      </c>
      <c r="G4476" s="5">
        <f>IFERROR(__xludf.DUMMYFUNCTION("""COMPUTED_VALUE"""),0.17105475690518496)</f>
        <v>0.1710547569</v>
      </c>
      <c r="H4476" s="5">
        <f>IFERROR(__xludf.DUMMYFUNCTION("""COMPUTED_VALUE"""),0.5614545454545454)</f>
        <v>0.5614545455</v>
      </c>
      <c r="I4476" s="11">
        <f>IFERROR(__xludf.DUMMYFUNCTION("""COMPUTED_VALUE"""),5827.563636363637)</f>
        <v>5827.563636</v>
      </c>
      <c r="J4476" s="10">
        <f>IFERROR(__xludf.DUMMYFUNCTION("""COMPUTED_VALUE"""),3.0)</f>
        <v>3</v>
      </c>
      <c r="K4476" s="5">
        <f>IFERROR(__xludf.DUMMYFUNCTION("""COMPUTED_VALUE"""),0.0051635111876075735)</f>
        <v>0.005163511188</v>
      </c>
      <c r="L4476" s="10">
        <f>IFERROR(__xludf.DUMMYFUNCTION("""COMPUTED_VALUE"""),330.0)</f>
        <v>330</v>
      </c>
      <c r="M4476" s="5">
        <f>IFERROR(__xludf.DUMMYFUNCTION("""COMPUTED_VALUE"""),0.5679862306368331)</f>
        <v>0.5679862306</v>
      </c>
    </row>
    <row r="4477">
      <c r="A4477" s="10" t="str">
        <f>IFERROR(__xludf.DUMMYFUNCTION("""COMPUTED_VALUE"""),"kenya01")</f>
        <v>kenya01</v>
      </c>
      <c r="B4477" s="10">
        <f>IFERROR(__xludf.DUMMYFUNCTION("""COMPUTED_VALUE"""),773.0)</f>
        <v>773</v>
      </c>
      <c r="C4477" s="10">
        <f>IFERROR(__xludf.DUMMYFUNCTION("""COMPUTED_VALUE"""),9167.0)</f>
        <v>9167</v>
      </c>
      <c r="D4477" s="5">
        <f>IFERROR(__xludf.DUMMYFUNCTION("""COMPUTED_VALUE"""),0.32058613295210864)</f>
        <v>0.320586133</v>
      </c>
      <c r="E4477" s="5">
        <f>IFERROR(__xludf.DUMMYFUNCTION("""COMPUTED_VALUE"""),0.11758398856325947)</f>
        <v>0.1175839886</v>
      </c>
      <c r="F4477" s="5">
        <f>IFERROR(__xludf.DUMMYFUNCTION("""COMPUTED_VALUE"""),0.20002382654276865)</f>
        <v>0.2000238265</v>
      </c>
      <c r="G4477" s="5">
        <f>IFERROR(__xludf.DUMMYFUNCTION("""COMPUTED_VALUE"""),0.15260900643316655)</f>
        <v>0.1526090064</v>
      </c>
      <c r="H4477" s="5">
        <f>IFERROR(__xludf.DUMMYFUNCTION("""COMPUTED_VALUE"""),0.6015485407980941)</f>
        <v>0.6015485408</v>
      </c>
      <c r="I4477" s="11">
        <f>IFERROR(__xludf.DUMMYFUNCTION("""COMPUTED_VALUE"""),5783.02561048243)</f>
        <v>5783.02561</v>
      </c>
      <c r="J4477" s="10">
        <f>IFERROR(__xludf.DUMMYFUNCTION("""COMPUTED_VALUE"""),2.0)</f>
        <v>2</v>
      </c>
      <c r="K4477" s="5">
        <f>IFERROR(__xludf.DUMMYFUNCTION("""COMPUTED_VALUE"""),0.00258732212160414)</f>
        <v>0.002587322122</v>
      </c>
      <c r="L4477" s="10">
        <f>IFERROR(__xludf.DUMMYFUNCTION("""COMPUTED_VALUE"""),773.0)</f>
        <v>773</v>
      </c>
      <c r="M4477" s="5">
        <f>IFERROR(__xludf.DUMMYFUNCTION("""COMPUTED_VALUE"""),1.0)</f>
        <v>1</v>
      </c>
    </row>
    <row r="4478">
      <c r="A4478" s="10" t="str">
        <f>IFERROR(__xludf.DUMMYFUNCTION("""COMPUTED_VALUE"""),"ピーチ・マキ")</f>
        <v>ピーチ・マキ</v>
      </c>
      <c r="B4478" s="10">
        <f>IFERROR(__xludf.DUMMYFUNCTION("""COMPUTED_VALUE"""),519.0)</f>
        <v>519</v>
      </c>
      <c r="C4478" s="10">
        <f>IFERROR(__xludf.DUMMYFUNCTION("""COMPUTED_VALUE"""),6013.0)</f>
        <v>6013</v>
      </c>
      <c r="D4478" s="5">
        <f>IFERROR(__xludf.DUMMYFUNCTION("""COMPUTED_VALUE"""),0.333636694575901)</f>
        <v>0.3336366946</v>
      </c>
      <c r="E4478" s="5">
        <f>IFERROR(__xludf.DUMMYFUNCTION("""COMPUTED_VALUE"""),0.11758281761922097)</f>
        <v>0.1175828176</v>
      </c>
      <c r="F4478" s="5">
        <f>IFERROR(__xludf.DUMMYFUNCTION("""COMPUTED_VALUE"""),0.20294867127775756)</f>
        <v>0.2029486713</v>
      </c>
      <c r="G4478" s="5">
        <f>IFERROR(__xludf.DUMMYFUNCTION("""COMPUTED_VALUE"""),0.17091372406261376)</f>
        <v>0.1709137241</v>
      </c>
      <c r="H4478" s="5">
        <f>IFERROR(__xludf.DUMMYFUNCTION("""COMPUTED_VALUE"""),0.6062780269058295)</f>
        <v>0.6062780269</v>
      </c>
      <c r="I4478" s="11">
        <f>IFERROR(__xludf.DUMMYFUNCTION("""COMPUTED_VALUE"""),5604.663677130045)</f>
        <v>5604.663677</v>
      </c>
      <c r="J4478" s="10">
        <f>IFERROR(__xludf.DUMMYFUNCTION("""COMPUTED_VALUE"""),0.0)</f>
        <v>0</v>
      </c>
      <c r="K4478" s="5">
        <f>IFERROR(__xludf.DUMMYFUNCTION("""COMPUTED_VALUE"""),0.0)</f>
        <v>0</v>
      </c>
      <c r="L4478" s="10">
        <f>IFERROR(__xludf.DUMMYFUNCTION("""COMPUTED_VALUE"""),0.0)</f>
        <v>0</v>
      </c>
      <c r="M4478" s="5">
        <f>IFERROR(__xludf.DUMMYFUNCTION("""COMPUTED_VALUE"""),0.0)</f>
        <v>0</v>
      </c>
    </row>
    <row r="4479">
      <c r="A4479" s="10" t="str">
        <f>IFERROR(__xludf.DUMMYFUNCTION("""COMPUTED_VALUE"""),"ポンチーズ")</f>
        <v>ポンチーズ</v>
      </c>
      <c r="B4479" s="10">
        <f>IFERROR(__xludf.DUMMYFUNCTION("""COMPUTED_VALUE"""),1779.0)</f>
        <v>1779</v>
      </c>
      <c r="C4479" s="10">
        <f>IFERROR(__xludf.DUMMYFUNCTION("""COMPUTED_VALUE"""),20737.0)</f>
        <v>20737</v>
      </c>
      <c r="D4479" s="5">
        <f>IFERROR(__xludf.DUMMYFUNCTION("""COMPUTED_VALUE"""),0.31859900833421245)</f>
        <v>0.3185990083</v>
      </c>
      <c r="E4479" s="5">
        <f>IFERROR(__xludf.DUMMYFUNCTION("""COMPUTED_VALUE"""),0.11757569363856947)</f>
        <v>0.1175756936</v>
      </c>
      <c r="F4479" s="5">
        <f>IFERROR(__xludf.DUMMYFUNCTION("""COMPUTED_VALUE"""),0.21072897985019517)</f>
        <v>0.2107289799</v>
      </c>
      <c r="G4479" s="5">
        <f>IFERROR(__xludf.DUMMYFUNCTION("""COMPUTED_VALUE"""),0.17185357105179871)</f>
        <v>0.1718535711</v>
      </c>
      <c r="H4479" s="5">
        <f>IFERROR(__xludf.DUMMYFUNCTION("""COMPUTED_VALUE"""),0.5877346683354193)</f>
        <v>0.5877346683</v>
      </c>
      <c r="I4479" s="11">
        <f>IFERROR(__xludf.DUMMYFUNCTION("""COMPUTED_VALUE"""),5695.219023779725)</f>
        <v>5695.219024</v>
      </c>
      <c r="J4479" s="10">
        <f>IFERROR(__xludf.DUMMYFUNCTION("""COMPUTED_VALUE"""),2.0)</f>
        <v>2</v>
      </c>
      <c r="K4479" s="5">
        <f>IFERROR(__xludf.DUMMYFUNCTION("""COMPUTED_VALUE"""),0.0011242270938729624)</f>
        <v>0.001124227094</v>
      </c>
      <c r="L4479" s="10">
        <f>IFERROR(__xludf.DUMMYFUNCTION("""COMPUTED_VALUE"""),1779.0)</f>
        <v>1779</v>
      </c>
      <c r="M4479" s="5">
        <f>IFERROR(__xludf.DUMMYFUNCTION("""COMPUTED_VALUE"""),1.0)</f>
        <v>1</v>
      </c>
    </row>
    <row r="4480">
      <c r="A4480" s="10" t="str">
        <f>IFERROR(__xludf.DUMMYFUNCTION("""COMPUTED_VALUE"""),"植野")</f>
        <v>植野</v>
      </c>
      <c r="B4480" s="10">
        <f>IFERROR(__xludf.DUMMYFUNCTION("""COMPUTED_VALUE"""),2891.0)</f>
        <v>2891</v>
      </c>
      <c r="C4480" s="10">
        <f>IFERROR(__xludf.DUMMYFUNCTION("""COMPUTED_VALUE"""),34063.0)</f>
        <v>34063</v>
      </c>
      <c r="D4480" s="5">
        <f>IFERROR(__xludf.DUMMYFUNCTION("""COMPUTED_VALUE"""),0.32715257282176313)</f>
        <v>0.3271525728</v>
      </c>
      <c r="E4480" s="5">
        <f>IFERROR(__xludf.DUMMYFUNCTION("""COMPUTED_VALUE"""),0.11757346336455794)</f>
        <v>0.1175734634</v>
      </c>
      <c r="F4480" s="5">
        <f>IFERROR(__xludf.DUMMYFUNCTION("""COMPUTED_VALUE"""),0.20852046708584626)</f>
        <v>0.2085204671</v>
      </c>
      <c r="G4480" s="5">
        <f>IFERROR(__xludf.DUMMYFUNCTION("""COMPUTED_VALUE"""),0.1554921083023226)</f>
        <v>0.1554921083</v>
      </c>
      <c r="H4480" s="5">
        <f>IFERROR(__xludf.DUMMYFUNCTION("""COMPUTED_VALUE"""),0.5963076923076923)</f>
        <v>0.5963076923</v>
      </c>
      <c r="I4480" s="11">
        <f>IFERROR(__xludf.DUMMYFUNCTION("""COMPUTED_VALUE"""),5551.461538461538)</f>
        <v>5551.461538</v>
      </c>
      <c r="J4480" s="10">
        <f>IFERROR(__xludf.DUMMYFUNCTION("""COMPUTED_VALUE"""),3.0)</f>
        <v>3</v>
      </c>
      <c r="K4480" s="5">
        <f>IFERROR(__xludf.DUMMYFUNCTION("""COMPUTED_VALUE"""),0.0010377032168799724)</f>
        <v>0.001037703217</v>
      </c>
      <c r="L4480" s="10">
        <f>IFERROR(__xludf.DUMMYFUNCTION("""COMPUTED_VALUE"""),2891.0)</f>
        <v>2891</v>
      </c>
      <c r="M4480" s="5">
        <f>IFERROR(__xludf.DUMMYFUNCTION("""COMPUTED_VALUE"""),1.0)</f>
        <v>1</v>
      </c>
    </row>
    <row r="4481">
      <c r="A4481" s="10" t="str">
        <f>IFERROR(__xludf.DUMMYFUNCTION("""COMPUTED_VALUE"""),"ドラ５ン")</f>
        <v>ドラ５ン</v>
      </c>
      <c r="B4481" s="10">
        <f>IFERROR(__xludf.DUMMYFUNCTION("""COMPUTED_VALUE"""),418.0)</f>
        <v>418</v>
      </c>
      <c r="C4481" s="10">
        <f>IFERROR(__xludf.DUMMYFUNCTION("""COMPUTED_VALUE"""),4994.0)</f>
        <v>4994</v>
      </c>
      <c r="D4481" s="5">
        <f>IFERROR(__xludf.DUMMYFUNCTION("""COMPUTED_VALUE"""),0.26289335664335667)</f>
        <v>0.2628933566</v>
      </c>
      <c r="E4481" s="5">
        <f>IFERROR(__xludf.DUMMYFUNCTION("""COMPUTED_VALUE"""),0.11756993006993006)</f>
        <v>0.1175699301</v>
      </c>
      <c r="F4481" s="5">
        <f>IFERROR(__xludf.DUMMYFUNCTION("""COMPUTED_VALUE"""),0.17832167832167833)</f>
        <v>0.1783216783</v>
      </c>
      <c r="G4481" s="5">
        <f>IFERROR(__xludf.DUMMYFUNCTION("""COMPUTED_VALUE"""),0.1520979020979021)</f>
        <v>0.1520979021</v>
      </c>
      <c r="H4481" s="5">
        <f>IFERROR(__xludf.DUMMYFUNCTION("""COMPUTED_VALUE"""),0.5955882352941176)</f>
        <v>0.5955882353</v>
      </c>
      <c r="I4481" s="11">
        <f>IFERROR(__xludf.DUMMYFUNCTION("""COMPUTED_VALUE"""),6011.764705882353)</f>
        <v>6011.764706</v>
      </c>
      <c r="J4481" s="10">
        <f>IFERROR(__xludf.DUMMYFUNCTION("""COMPUTED_VALUE"""),0.0)</f>
        <v>0</v>
      </c>
      <c r="K4481" s="5">
        <f>IFERROR(__xludf.DUMMYFUNCTION("""COMPUTED_VALUE"""),0.0)</f>
        <v>0</v>
      </c>
      <c r="L4481" s="10">
        <f>IFERROR(__xludf.DUMMYFUNCTION("""COMPUTED_VALUE"""),418.0)</f>
        <v>418</v>
      </c>
      <c r="M4481" s="5">
        <f>IFERROR(__xludf.DUMMYFUNCTION("""COMPUTED_VALUE"""),1.0)</f>
        <v>1</v>
      </c>
    </row>
    <row r="4482">
      <c r="A4482" s="10" t="str">
        <f>IFERROR(__xludf.DUMMYFUNCTION("""COMPUTED_VALUE"""),"メガデジ")</f>
        <v>メガデジ</v>
      </c>
      <c r="B4482" s="10">
        <f>IFERROR(__xludf.DUMMYFUNCTION("""COMPUTED_VALUE"""),681.0)</f>
        <v>681</v>
      </c>
      <c r="C4482" s="10">
        <f>IFERROR(__xludf.DUMMYFUNCTION("""COMPUTED_VALUE"""),8081.0)</f>
        <v>8081</v>
      </c>
      <c r="D4482" s="5">
        <f>IFERROR(__xludf.DUMMYFUNCTION("""COMPUTED_VALUE"""),0.32297297297297295)</f>
        <v>0.322972973</v>
      </c>
      <c r="E4482" s="5">
        <f>IFERROR(__xludf.DUMMYFUNCTION("""COMPUTED_VALUE"""),0.11756756756756757)</f>
        <v>0.1175675676</v>
      </c>
      <c r="F4482" s="5">
        <f>IFERROR(__xludf.DUMMYFUNCTION("""COMPUTED_VALUE"""),0.20824324324324325)</f>
        <v>0.2082432432</v>
      </c>
      <c r="G4482" s="5">
        <f>IFERROR(__xludf.DUMMYFUNCTION("""COMPUTED_VALUE"""),0.18445945945945946)</f>
        <v>0.1844594595</v>
      </c>
      <c r="H4482" s="5">
        <f>IFERROR(__xludf.DUMMYFUNCTION("""COMPUTED_VALUE"""),0.5937702790395847)</f>
        <v>0.593770279</v>
      </c>
      <c r="I4482" s="11">
        <f>IFERROR(__xludf.DUMMYFUNCTION("""COMPUTED_VALUE"""),5611.875405580791)</f>
        <v>5611.875406</v>
      </c>
      <c r="J4482" s="10">
        <f>IFERROR(__xludf.DUMMYFUNCTION("""COMPUTED_VALUE"""),0.0)</f>
        <v>0</v>
      </c>
      <c r="K4482" s="5">
        <f>IFERROR(__xludf.DUMMYFUNCTION("""COMPUTED_VALUE"""),0.0)</f>
        <v>0</v>
      </c>
      <c r="L4482" s="10">
        <f>IFERROR(__xludf.DUMMYFUNCTION("""COMPUTED_VALUE"""),672.0)</f>
        <v>672</v>
      </c>
      <c r="M4482" s="5">
        <f>IFERROR(__xludf.DUMMYFUNCTION("""COMPUTED_VALUE"""),0.986784140969163)</f>
        <v>0.986784141</v>
      </c>
    </row>
    <row r="4483">
      <c r="A4483" s="10" t="str">
        <f>IFERROR(__xludf.DUMMYFUNCTION("""COMPUTED_VALUE"""),"雀鬼ひろろん")</f>
        <v>雀鬼ひろろん</v>
      </c>
      <c r="B4483" s="10">
        <f>IFERROR(__xludf.DUMMYFUNCTION("""COMPUTED_VALUE"""),1028.0)</f>
        <v>1028</v>
      </c>
      <c r="C4483" s="10">
        <f>IFERROR(__xludf.DUMMYFUNCTION("""COMPUTED_VALUE"""),11975.0)</f>
        <v>11975</v>
      </c>
      <c r="D4483" s="5">
        <f>IFERROR(__xludf.DUMMYFUNCTION("""COMPUTED_VALUE"""),0.42486525988855395)</f>
        <v>0.4248652599</v>
      </c>
      <c r="E4483" s="5">
        <f>IFERROR(__xludf.DUMMYFUNCTION("""COMPUTED_VALUE"""),0.11756645656344204)</f>
        <v>0.1175664566</v>
      </c>
      <c r="F4483" s="5">
        <f>IFERROR(__xludf.DUMMYFUNCTION("""COMPUTED_VALUE"""),0.21996894126244634)</f>
        <v>0.2199689413</v>
      </c>
      <c r="G4483" s="5">
        <f>IFERROR(__xludf.DUMMYFUNCTION("""COMPUTED_VALUE"""),0.16305837215675528)</f>
        <v>0.1630583722</v>
      </c>
      <c r="H4483" s="5">
        <f>IFERROR(__xludf.DUMMYFUNCTION("""COMPUTED_VALUE"""),0.6291528239202658)</f>
        <v>0.6291528239</v>
      </c>
      <c r="I4483" s="11">
        <f>IFERROR(__xludf.DUMMYFUNCTION("""COMPUTED_VALUE"""),5300.041528239202)</f>
        <v>5300.041528</v>
      </c>
      <c r="J4483" s="10">
        <f>IFERROR(__xludf.DUMMYFUNCTION("""COMPUTED_VALUE"""),1.0)</f>
        <v>1</v>
      </c>
      <c r="K4483" s="5">
        <f>IFERROR(__xludf.DUMMYFUNCTION("""COMPUTED_VALUE"""),9.727626459143969E-4)</f>
        <v>0.0009727626459</v>
      </c>
      <c r="L4483" s="10">
        <f>IFERROR(__xludf.DUMMYFUNCTION("""COMPUTED_VALUE"""),1018.0)</f>
        <v>1018</v>
      </c>
      <c r="M4483" s="5">
        <f>IFERROR(__xludf.DUMMYFUNCTION("""COMPUTED_VALUE"""),0.9902723735408561)</f>
        <v>0.9902723735</v>
      </c>
    </row>
    <row r="4484">
      <c r="A4484" s="10" t="str">
        <f>IFERROR(__xludf.DUMMYFUNCTION("""COMPUTED_VALUE"""),"インディゴブルー")</f>
        <v>インディゴブルー</v>
      </c>
      <c r="B4484" s="10">
        <f>IFERROR(__xludf.DUMMYFUNCTION("""COMPUTED_VALUE"""),2844.0)</f>
        <v>2844</v>
      </c>
      <c r="C4484" s="10">
        <f>IFERROR(__xludf.DUMMYFUNCTION("""COMPUTED_VALUE"""),33151.0)</f>
        <v>33151</v>
      </c>
      <c r="D4484" s="5">
        <f>IFERROR(__xludf.DUMMYFUNCTION("""COMPUTED_VALUE"""),0.3222687827894546)</f>
        <v>0.3222687828</v>
      </c>
      <c r="E4484" s="5">
        <f>IFERROR(__xludf.DUMMYFUNCTION("""COMPUTED_VALUE"""),0.11756359916850892)</f>
        <v>0.1175635992</v>
      </c>
      <c r="F4484" s="5">
        <f>IFERROR(__xludf.DUMMYFUNCTION("""COMPUTED_VALUE"""),0.20589302801333026)</f>
        <v>0.205893028</v>
      </c>
      <c r="G4484" s="5">
        <f>IFERROR(__xludf.DUMMYFUNCTION("""COMPUTED_VALUE"""),0.16926782591480516)</f>
        <v>0.1692678259</v>
      </c>
      <c r="H4484" s="5">
        <f>IFERROR(__xludf.DUMMYFUNCTION("""COMPUTED_VALUE"""),0.5991987179487179)</f>
        <v>0.5991987179</v>
      </c>
      <c r="I4484" s="11">
        <f>IFERROR(__xludf.DUMMYFUNCTION("""COMPUTED_VALUE"""),5483.173076923077)</f>
        <v>5483.173077</v>
      </c>
      <c r="J4484" s="10">
        <f>IFERROR(__xludf.DUMMYFUNCTION("""COMPUTED_VALUE"""),9.0)</f>
        <v>9</v>
      </c>
      <c r="K4484" s="5">
        <f>IFERROR(__xludf.DUMMYFUNCTION("""COMPUTED_VALUE"""),0.0031645569620253164)</f>
        <v>0.003164556962</v>
      </c>
      <c r="L4484" s="10">
        <f>IFERROR(__xludf.DUMMYFUNCTION("""COMPUTED_VALUE"""),2844.0)</f>
        <v>2844</v>
      </c>
      <c r="M4484" s="5">
        <f>IFERROR(__xludf.DUMMYFUNCTION("""COMPUTED_VALUE"""),1.0)</f>
        <v>1</v>
      </c>
    </row>
    <row r="4485">
      <c r="A4485" s="10" t="str">
        <f>IFERROR(__xludf.DUMMYFUNCTION("""COMPUTED_VALUE"""),"raruto7")</f>
        <v>raruto7</v>
      </c>
      <c r="B4485" s="10">
        <f>IFERROR(__xludf.DUMMYFUNCTION("""COMPUTED_VALUE"""),1787.0)</f>
        <v>1787</v>
      </c>
      <c r="C4485" s="10">
        <f>IFERROR(__xludf.DUMMYFUNCTION("""COMPUTED_VALUE"""),20977.0)</f>
        <v>20977</v>
      </c>
      <c r="D4485" s="5">
        <f>IFERROR(__xludf.DUMMYFUNCTION("""COMPUTED_VALUE"""),0.35956227201667534)</f>
        <v>0.359562272</v>
      </c>
      <c r="E4485" s="5">
        <f>IFERROR(__xludf.DUMMYFUNCTION("""COMPUTED_VALUE"""),0.11756122980719125)</f>
        <v>0.1175612298</v>
      </c>
      <c r="F4485" s="5">
        <f>IFERROR(__xludf.DUMMYFUNCTION("""COMPUTED_VALUE"""),0.20870244919228764)</f>
        <v>0.2087024492</v>
      </c>
      <c r="G4485" s="5">
        <f>IFERROR(__xludf.DUMMYFUNCTION("""COMPUTED_VALUE"""),0.1676393955184992)</f>
        <v>0.1676393955</v>
      </c>
      <c r="H4485" s="5">
        <f>IFERROR(__xludf.DUMMYFUNCTION("""COMPUTED_VALUE"""),0.5917602996254682)</f>
        <v>0.5917602996</v>
      </c>
      <c r="I4485" s="11">
        <f>IFERROR(__xludf.DUMMYFUNCTION("""COMPUTED_VALUE"""),5682.047440699126)</f>
        <v>5682.047441</v>
      </c>
      <c r="J4485" s="10">
        <f>IFERROR(__xludf.DUMMYFUNCTION("""COMPUTED_VALUE"""),4.0)</f>
        <v>4</v>
      </c>
      <c r="K4485" s="5">
        <f>IFERROR(__xludf.DUMMYFUNCTION("""COMPUTED_VALUE"""),0.002238388360380526)</f>
        <v>0.00223838836</v>
      </c>
      <c r="L4485" s="10">
        <f>IFERROR(__xludf.DUMMYFUNCTION("""COMPUTED_VALUE"""),1787.0)</f>
        <v>1787</v>
      </c>
      <c r="M4485" s="5">
        <f>IFERROR(__xludf.DUMMYFUNCTION("""COMPUTED_VALUE"""),1.0)</f>
        <v>1</v>
      </c>
    </row>
    <row r="4486">
      <c r="A4486" s="10" t="str">
        <f>IFERROR(__xludf.DUMMYFUNCTION("""COMPUTED_VALUE"""),"take-you")</f>
        <v>take-you</v>
      </c>
      <c r="B4486" s="10">
        <f>IFERROR(__xludf.DUMMYFUNCTION("""COMPUTED_VALUE"""),5114.0)</f>
        <v>5114</v>
      </c>
      <c r="C4486" s="10">
        <f>IFERROR(__xludf.DUMMYFUNCTION("""COMPUTED_VALUE"""),59944.0)</f>
        <v>59944</v>
      </c>
      <c r="D4486" s="5">
        <f>IFERROR(__xludf.DUMMYFUNCTION("""COMPUTED_VALUE"""),0.365055626481853)</f>
        <v>0.3650556265</v>
      </c>
      <c r="E4486" s="5">
        <f>IFERROR(__xludf.DUMMYFUNCTION("""COMPUTED_VALUE"""),0.1175451395221594)</f>
        <v>0.1175451395</v>
      </c>
      <c r="F4486" s="5">
        <f>IFERROR(__xludf.DUMMYFUNCTION("""COMPUTED_VALUE"""),0.2171803757067299)</f>
        <v>0.2171803757</v>
      </c>
      <c r="G4486" s="5">
        <f>IFERROR(__xludf.DUMMYFUNCTION("""COMPUTED_VALUE"""),0.18043042130220682)</f>
        <v>0.1804304213</v>
      </c>
      <c r="H4486" s="5">
        <f>IFERROR(__xludf.DUMMYFUNCTION("""COMPUTED_VALUE"""),0.586580450117568)</f>
        <v>0.5865804501</v>
      </c>
      <c r="I4486" s="11">
        <f>IFERROR(__xludf.DUMMYFUNCTION("""COMPUTED_VALUE"""),5574.680886798791)</f>
        <v>5574.680887</v>
      </c>
      <c r="J4486" s="10">
        <f>IFERROR(__xludf.DUMMYFUNCTION("""COMPUTED_VALUE"""),12.0)</f>
        <v>12</v>
      </c>
      <c r="K4486" s="5">
        <f>IFERROR(__xludf.DUMMYFUNCTION("""COMPUTED_VALUE"""),0.0023464998044583495)</f>
        <v>0.002346499804</v>
      </c>
      <c r="L4486" s="10">
        <f>IFERROR(__xludf.DUMMYFUNCTION("""COMPUTED_VALUE"""),2572.0)</f>
        <v>2572</v>
      </c>
      <c r="M4486" s="5">
        <f>IFERROR(__xludf.DUMMYFUNCTION("""COMPUTED_VALUE"""),0.502933124755573)</f>
        <v>0.5029331248</v>
      </c>
    </row>
    <row r="4487">
      <c r="A4487" s="10" t="str">
        <f>IFERROR(__xludf.DUMMYFUNCTION("""COMPUTED_VALUE"""),"配牌6シャンテン")</f>
        <v>配牌6シャンテン</v>
      </c>
      <c r="B4487" s="10">
        <f>IFERROR(__xludf.DUMMYFUNCTION("""COMPUTED_VALUE"""),399.0)</f>
        <v>399</v>
      </c>
      <c r="C4487" s="10">
        <f>IFERROR(__xludf.DUMMYFUNCTION("""COMPUTED_VALUE"""),4704.0)</f>
        <v>4704</v>
      </c>
      <c r="D4487" s="5">
        <f>IFERROR(__xludf.DUMMYFUNCTION("""COMPUTED_VALUE"""),0.30708478513356563)</f>
        <v>0.3070847851</v>
      </c>
      <c r="E4487" s="5">
        <f>IFERROR(__xludf.DUMMYFUNCTION("""COMPUTED_VALUE"""),0.11753774680603948)</f>
        <v>0.1175377468</v>
      </c>
      <c r="F4487" s="5">
        <f>IFERROR(__xludf.DUMMYFUNCTION("""COMPUTED_VALUE"""),0.20023228803716608)</f>
        <v>0.200232288</v>
      </c>
      <c r="G4487" s="5">
        <f>IFERROR(__xludf.DUMMYFUNCTION("""COMPUTED_VALUE"""),0.154006968641115)</f>
        <v>0.1540069686</v>
      </c>
      <c r="H4487" s="5">
        <f>IFERROR(__xludf.DUMMYFUNCTION("""COMPUTED_VALUE"""),0.580046403712297)</f>
        <v>0.5800464037</v>
      </c>
      <c r="I4487" s="11">
        <f>IFERROR(__xludf.DUMMYFUNCTION("""COMPUTED_VALUE"""),5626.798143851508)</f>
        <v>5626.798144</v>
      </c>
      <c r="J4487" s="10">
        <f>IFERROR(__xludf.DUMMYFUNCTION("""COMPUTED_VALUE"""),4.0)</f>
        <v>4</v>
      </c>
      <c r="K4487" s="5">
        <f>IFERROR(__xludf.DUMMYFUNCTION("""COMPUTED_VALUE"""),0.010025062656641603)</f>
        <v>0.01002506266</v>
      </c>
      <c r="L4487" s="10">
        <f>IFERROR(__xludf.DUMMYFUNCTION("""COMPUTED_VALUE"""),387.0)</f>
        <v>387</v>
      </c>
      <c r="M4487" s="5">
        <f>IFERROR(__xludf.DUMMYFUNCTION("""COMPUTED_VALUE"""),0.9699248120300752)</f>
        <v>0.969924812</v>
      </c>
    </row>
    <row r="4488">
      <c r="A4488" s="10" t="str">
        <f>IFERROR(__xludf.DUMMYFUNCTION("""COMPUTED_VALUE"""),"カンダタ")</f>
        <v>カンダタ</v>
      </c>
      <c r="B4488" s="10">
        <f>IFERROR(__xludf.DUMMYFUNCTION("""COMPUTED_VALUE"""),925.0)</f>
        <v>925</v>
      </c>
      <c r="C4488" s="10">
        <f>IFERROR(__xludf.DUMMYFUNCTION("""COMPUTED_VALUE"""),10871.0)</f>
        <v>10871</v>
      </c>
      <c r="D4488" s="5">
        <f>IFERROR(__xludf.DUMMYFUNCTION("""COMPUTED_VALUE"""),0.33943293786446815)</f>
        <v>0.3394329379</v>
      </c>
      <c r="E4488" s="5">
        <f>IFERROR(__xludf.DUMMYFUNCTION("""COMPUTED_VALUE"""),0.117534687311482)</f>
        <v>0.1175346873</v>
      </c>
      <c r="F4488" s="5">
        <f>IFERROR(__xludf.DUMMYFUNCTION("""COMPUTED_VALUE"""),0.21325155841544338)</f>
        <v>0.2132515584</v>
      </c>
      <c r="G4488" s="5">
        <f>IFERROR(__xludf.DUMMYFUNCTION("""COMPUTED_VALUE"""),0.18248542127488437)</f>
        <v>0.1824854213</v>
      </c>
      <c r="H4488" s="5">
        <f>IFERROR(__xludf.DUMMYFUNCTION("""COMPUTED_VALUE"""),0.6105610561056105)</f>
        <v>0.6105610561</v>
      </c>
      <c r="I4488" s="11">
        <f>IFERROR(__xludf.DUMMYFUNCTION("""COMPUTED_VALUE"""),5567.7510608203675)</f>
        <v>5567.751061</v>
      </c>
      <c r="J4488" s="10">
        <f>IFERROR(__xludf.DUMMYFUNCTION("""COMPUTED_VALUE"""),5.0)</f>
        <v>5</v>
      </c>
      <c r="K4488" s="5">
        <f>IFERROR(__xludf.DUMMYFUNCTION("""COMPUTED_VALUE"""),0.005405405405405406)</f>
        <v>0.005405405405</v>
      </c>
      <c r="L4488" s="10">
        <f>IFERROR(__xludf.DUMMYFUNCTION("""COMPUTED_VALUE"""),925.0)</f>
        <v>925</v>
      </c>
      <c r="M4488" s="5">
        <f>IFERROR(__xludf.DUMMYFUNCTION("""COMPUTED_VALUE"""),1.0)</f>
        <v>1</v>
      </c>
    </row>
    <row r="4489">
      <c r="A4489" s="10" t="str">
        <f>IFERROR(__xludf.DUMMYFUNCTION("""COMPUTED_VALUE"""),"タマネギ")</f>
        <v>タマネギ</v>
      </c>
      <c r="B4489" s="10">
        <f>IFERROR(__xludf.DUMMYFUNCTION("""COMPUTED_VALUE"""),2278.0)</f>
        <v>2278</v>
      </c>
      <c r="C4489" s="10">
        <f>IFERROR(__xludf.DUMMYFUNCTION("""COMPUTED_VALUE"""),26750.0)</f>
        <v>26750</v>
      </c>
      <c r="D4489" s="5">
        <f>IFERROR(__xludf.DUMMYFUNCTION("""COMPUTED_VALUE"""),0.38427590715920235)</f>
        <v>0.3842759072</v>
      </c>
      <c r="E4489" s="5">
        <f>IFERROR(__xludf.DUMMYFUNCTION("""COMPUTED_VALUE"""),0.11752206603465185)</f>
        <v>0.117522066</v>
      </c>
      <c r="F4489" s="5">
        <f>IFERROR(__xludf.DUMMYFUNCTION("""COMPUTED_VALUE"""),0.21963877084014383)</f>
        <v>0.2196387708</v>
      </c>
      <c r="G4489" s="5">
        <f>IFERROR(__xludf.DUMMYFUNCTION("""COMPUTED_VALUE"""),0.1680696305982347)</f>
        <v>0.1680696306</v>
      </c>
      <c r="H4489" s="5">
        <f>IFERROR(__xludf.DUMMYFUNCTION("""COMPUTED_VALUE"""),0.592)</f>
        <v>0.592</v>
      </c>
      <c r="I4489" s="11">
        <f>IFERROR(__xludf.DUMMYFUNCTION("""COMPUTED_VALUE"""),5510.158139534884)</f>
        <v>5510.15814</v>
      </c>
      <c r="J4489" s="10">
        <f>IFERROR(__xludf.DUMMYFUNCTION("""COMPUTED_VALUE"""),3.0)</f>
        <v>3</v>
      </c>
      <c r="K4489" s="5">
        <f>IFERROR(__xludf.DUMMYFUNCTION("""COMPUTED_VALUE"""),0.0013169446883230904)</f>
        <v>0.001316944688</v>
      </c>
      <c r="L4489" s="10">
        <f>IFERROR(__xludf.DUMMYFUNCTION("""COMPUTED_VALUE"""),2278.0)</f>
        <v>2278</v>
      </c>
      <c r="M4489" s="5">
        <f>IFERROR(__xludf.DUMMYFUNCTION("""COMPUTED_VALUE"""),1.0)</f>
        <v>1</v>
      </c>
    </row>
    <row r="4490">
      <c r="A4490" s="10" t="str">
        <f>IFERROR(__xludf.DUMMYFUNCTION("""COMPUTED_VALUE"""),"FAM")</f>
        <v>FAM</v>
      </c>
      <c r="B4490" s="10">
        <f>IFERROR(__xludf.DUMMYFUNCTION("""COMPUTED_VALUE"""),769.0)</f>
        <v>769</v>
      </c>
      <c r="C4490" s="10">
        <f>IFERROR(__xludf.DUMMYFUNCTION("""COMPUTED_VALUE"""),9040.0)</f>
        <v>9040</v>
      </c>
      <c r="D4490" s="5">
        <f>IFERROR(__xludf.DUMMYFUNCTION("""COMPUTED_VALUE"""),0.3897956716237456)</f>
        <v>0.3897956716</v>
      </c>
      <c r="E4490" s="5">
        <f>IFERROR(__xludf.DUMMYFUNCTION("""COMPUTED_VALUE"""),0.117519042437432)</f>
        <v>0.1175190424</v>
      </c>
      <c r="F4490" s="5">
        <f>IFERROR(__xludf.DUMMYFUNCTION("""COMPUTED_VALUE"""),0.20904364647563778)</f>
        <v>0.2090436465</v>
      </c>
      <c r="G4490" s="5">
        <f>IFERROR(__xludf.DUMMYFUNCTION("""COMPUTED_VALUE"""),0.14907508161044614)</f>
        <v>0.1490750816</v>
      </c>
      <c r="H4490" s="5">
        <f>IFERROR(__xludf.DUMMYFUNCTION("""COMPUTED_VALUE"""),0.5876229034123771)</f>
        <v>0.5876229034</v>
      </c>
      <c r="I4490" s="11">
        <f>IFERROR(__xludf.DUMMYFUNCTION("""COMPUTED_VALUE"""),5394.216310005783)</f>
        <v>5394.21631</v>
      </c>
      <c r="J4490" s="10">
        <f>IFERROR(__xludf.DUMMYFUNCTION("""COMPUTED_VALUE"""),0.0)</f>
        <v>0</v>
      </c>
      <c r="K4490" s="5">
        <f>IFERROR(__xludf.DUMMYFUNCTION("""COMPUTED_VALUE"""),0.0)</f>
        <v>0</v>
      </c>
      <c r="L4490" s="10">
        <f>IFERROR(__xludf.DUMMYFUNCTION("""COMPUTED_VALUE"""),769.0)</f>
        <v>769</v>
      </c>
      <c r="M4490" s="5">
        <f>IFERROR(__xludf.DUMMYFUNCTION("""COMPUTED_VALUE"""),1.0)</f>
        <v>1</v>
      </c>
    </row>
    <row r="4491">
      <c r="A4491" s="10" t="str">
        <f>IFERROR(__xludf.DUMMYFUNCTION("""COMPUTED_VALUE"""),"ぺりかん")</f>
        <v>ぺりかん</v>
      </c>
      <c r="B4491" s="10">
        <f>IFERROR(__xludf.DUMMYFUNCTION("""COMPUTED_VALUE"""),1123.0)</f>
        <v>1123</v>
      </c>
      <c r="C4491" s="10">
        <f>IFERROR(__xludf.DUMMYFUNCTION("""COMPUTED_VALUE"""),13209.0)</f>
        <v>13209</v>
      </c>
      <c r="D4491" s="5">
        <f>IFERROR(__xludf.DUMMYFUNCTION("""COMPUTED_VALUE"""),0.3375806718517293)</f>
        <v>0.3375806719</v>
      </c>
      <c r="E4491" s="5">
        <f>IFERROR(__xludf.DUMMYFUNCTION("""COMPUTED_VALUE"""),0.11749131226212146)</f>
        <v>0.1174913123</v>
      </c>
      <c r="F4491" s="5">
        <f>IFERROR(__xludf.DUMMYFUNCTION("""COMPUTED_VALUE"""),0.2048651332119808)</f>
        <v>0.2048651332</v>
      </c>
      <c r="G4491" s="5">
        <f>IFERROR(__xludf.DUMMYFUNCTION("""COMPUTED_VALUE"""),0.17019692205858017)</f>
        <v>0.1701969221</v>
      </c>
      <c r="H4491" s="5">
        <f>IFERROR(__xludf.DUMMYFUNCTION("""COMPUTED_VALUE"""),0.5783521809369951)</f>
        <v>0.5783521809</v>
      </c>
      <c r="I4491" s="11">
        <f>IFERROR(__xludf.DUMMYFUNCTION("""COMPUTED_VALUE"""),5757.552504038772)</f>
        <v>5757.552504</v>
      </c>
      <c r="J4491" s="10">
        <f>IFERROR(__xludf.DUMMYFUNCTION("""COMPUTED_VALUE"""),3.0)</f>
        <v>3</v>
      </c>
      <c r="K4491" s="5">
        <f>IFERROR(__xludf.DUMMYFUNCTION("""COMPUTED_VALUE"""),0.0026714158504007124)</f>
        <v>0.00267141585</v>
      </c>
      <c r="L4491" s="10">
        <f>IFERROR(__xludf.DUMMYFUNCTION("""COMPUTED_VALUE"""),0.0)</f>
        <v>0</v>
      </c>
      <c r="M4491" s="5">
        <f>IFERROR(__xludf.DUMMYFUNCTION("""COMPUTED_VALUE"""),0.0)</f>
        <v>0</v>
      </c>
    </row>
    <row r="4492">
      <c r="A4492" s="10" t="str">
        <f>IFERROR(__xludf.DUMMYFUNCTION("""COMPUTED_VALUE"""),"溝内大樹")</f>
        <v>溝内大樹</v>
      </c>
      <c r="B4492" s="10">
        <f>IFERROR(__xludf.DUMMYFUNCTION("""COMPUTED_VALUE"""),1701.0)</f>
        <v>1701</v>
      </c>
      <c r="C4492" s="10">
        <f>IFERROR(__xludf.DUMMYFUNCTION("""COMPUTED_VALUE"""),20095.0)</f>
        <v>20095</v>
      </c>
      <c r="D4492" s="5">
        <f>IFERROR(__xludf.DUMMYFUNCTION("""COMPUTED_VALUE"""),0.31254756985973686)</f>
        <v>0.3125475699</v>
      </c>
      <c r="E4492" s="5">
        <f>IFERROR(__xludf.DUMMYFUNCTION("""COMPUTED_VALUE"""),0.11748396216157443)</f>
        <v>0.1174839622</v>
      </c>
      <c r="F4492" s="5">
        <f>IFERROR(__xludf.DUMMYFUNCTION("""COMPUTED_VALUE"""),0.20631727737305644)</f>
        <v>0.2063172774</v>
      </c>
      <c r="G4492" s="5">
        <f>IFERROR(__xludf.DUMMYFUNCTION("""COMPUTED_VALUE"""),0.15630096770686094)</f>
        <v>0.1563009677</v>
      </c>
      <c r="H4492" s="5">
        <f>IFERROR(__xludf.DUMMYFUNCTION("""COMPUTED_VALUE"""),0.6013175230566535)</f>
        <v>0.6013175231</v>
      </c>
      <c r="I4492" s="11">
        <f>IFERROR(__xludf.DUMMYFUNCTION("""COMPUTED_VALUE"""),5714.044795783926)</f>
        <v>5714.044796</v>
      </c>
      <c r="J4492" s="10">
        <f>IFERROR(__xludf.DUMMYFUNCTION("""COMPUTED_VALUE"""),2.0)</f>
        <v>2</v>
      </c>
      <c r="K4492" s="5">
        <f>IFERROR(__xludf.DUMMYFUNCTION("""COMPUTED_VALUE"""),0.0011757789535567313)</f>
        <v>0.001175778954</v>
      </c>
      <c r="L4492" s="10">
        <f>IFERROR(__xludf.DUMMYFUNCTION("""COMPUTED_VALUE"""),1593.0)</f>
        <v>1593</v>
      </c>
      <c r="M4492" s="5">
        <f>IFERROR(__xludf.DUMMYFUNCTION("""COMPUTED_VALUE"""),0.9365079365079365)</f>
        <v>0.9365079365</v>
      </c>
    </row>
    <row r="4493">
      <c r="A4493" s="10" t="str">
        <f>IFERROR(__xludf.DUMMYFUNCTION("""COMPUTED_VALUE"""),"☆Ｒ．Ｄ．★")</f>
        <v>☆Ｒ．Ｄ．★</v>
      </c>
      <c r="B4493" s="10">
        <f>IFERROR(__xludf.DUMMYFUNCTION("""COMPUTED_VALUE"""),776.0)</f>
        <v>776</v>
      </c>
      <c r="C4493" s="10">
        <f>IFERROR(__xludf.DUMMYFUNCTION("""COMPUTED_VALUE"""),9229.0)</f>
        <v>9229</v>
      </c>
      <c r="D4493" s="5">
        <f>IFERROR(__xludf.DUMMYFUNCTION("""COMPUTED_VALUE"""),0.40352537560629365)</f>
        <v>0.4035253756</v>
      </c>
      <c r="E4493" s="5">
        <f>IFERROR(__xludf.DUMMYFUNCTION("""COMPUTED_VALUE"""),0.11747308647817344)</f>
        <v>0.1174730865</v>
      </c>
      <c r="F4493" s="5">
        <f>IFERROR(__xludf.DUMMYFUNCTION("""COMPUTED_VALUE"""),0.2130604519105643)</f>
        <v>0.2130604519</v>
      </c>
      <c r="G4493" s="5">
        <f>IFERROR(__xludf.DUMMYFUNCTION("""COMPUTED_VALUE"""),0.15497456524310896)</f>
        <v>0.1549745652</v>
      </c>
      <c r="H4493" s="5">
        <f>IFERROR(__xludf.DUMMYFUNCTION("""COMPUTED_VALUE"""),0.61188228761799)</f>
        <v>0.6118822876</v>
      </c>
      <c r="I4493" s="11">
        <f>IFERROR(__xludf.DUMMYFUNCTION("""COMPUTED_VALUE"""),5148.528595224875)</f>
        <v>5148.528595</v>
      </c>
      <c r="J4493" s="10">
        <f>IFERROR(__xludf.DUMMYFUNCTION("""COMPUTED_VALUE"""),2.0)</f>
        <v>2</v>
      </c>
      <c r="K4493" s="5">
        <f>IFERROR(__xludf.DUMMYFUNCTION("""COMPUTED_VALUE"""),0.002577319587628866)</f>
        <v>0.002577319588</v>
      </c>
      <c r="L4493" s="10">
        <f>IFERROR(__xludf.DUMMYFUNCTION("""COMPUTED_VALUE"""),776.0)</f>
        <v>776</v>
      </c>
      <c r="M4493" s="5">
        <f>IFERROR(__xludf.DUMMYFUNCTION("""COMPUTED_VALUE"""),1.0)</f>
        <v>1</v>
      </c>
    </row>
    <row r="4494">
      <c r="A4494" s="10" t="str">
        <f>IFERROR(__xludf.DUMMYFUNCTION("""COMPUTED_VALUE"""),".=夢乃マホ=")</f>
        <v>.=夢乃マホ=</v>
      </c>
      <c r="B4494" s="10">
        <f>IFERROR(__xludf.DUMMYFUNCTION("""COMPUTED_VALUE"""),653.0)</f>
        <v>653</v>
      </c>
      <c r="C4494" s="10">
        <f>IFERROR(__xludf.DUMMYFUNCTION("""COMPUTED_VALUE"""),7643.0)</f>
        <v>7643</v>
      </c>
      <c r="D4494" s="5">
        <f>IFERROR(__xludf.DUMMYFUNCTION("""COMPUTED_VALUE"""),0.3357653791130186)</f>
        <v>0.3357653791</v>
      </c>
      <c r="E4494" s="5">
        <f>IFERROR(__xludf.DUMMYFUNCTION("""COMPUTED_VALUE"""),0.11745350500715307)</f>
        <v>0.117453505</v>
      </c>
      <c r="F4494" s="5">
        <f>IFERROR(__xludf.DUMMYFUNCTION("""COMPUTED_VALUE"""),0.21702432045779685)</f>
        <v>0.2170243205</v>
      </c>
      <c r="G4494" s="5">
        <f>IFERROR(__xludf.DUMMYFUNCTION("""COMPUTED_VALUE"""),0.18240343347639484)</f>
        <v>0.1824034335</v>
      </c>
      <c r="H4494" s="5">
        <f>IFERROR(__xludf.DUMMYFUNCTION("""COMPUTED_VALUE"""),0.5926170072511536)</f>
        <v>0.5926170073</v>
      </c>
      <c r="I4494" s="11">
        <f>IFERROR(__xludf.DUMMYFUNCTION("""COMPUTED_VALUE"""),5721.885299934081)</f>
        <v>5721.8853</v>
      </c>
      <c r="J4494" s="10">
        <f>IFERROR(__xludf.DUMMYFUNCTION("""COMPUTED_VALUE"""),1.0)</f>
        <v>1</v>
      </c>
      <c r="K4494" s="5">
        <f>IFERROR(__xludf.DUMMYFUNCTION("""COMPUTED_VALUE"""),0.0015313935681470138)</f>
        <v>0.001531393568</v>
      </c>
      <c r="L4494" s="10">
        <f>IFERROR(__xludf.DUMMYFUNCTION("""COMPUTED_VALUE"""),4.0)</f>
        <v>4</v>
      </c>
      <c r="M4494" s="5">
        <f>IFERROR(__xludf.DUMMYFUNCTION("""COMPUTED_VALUE"""),0.006125574272588055)</f>
        <v>0.006125574273</v>
      </c>
    </row>
    <row r="4495">
      <c r="A4495" s="10" t="str">
        <f>IFERROR(__xludf.DUMMYFUNCTION("""COMPUTED_VALUE"""),"ucchi-02")</f>
        <v>ucchi-02</v>
      </c>
      <c r="B4495" s="10">
        <f>IFERROR(__xludf.DUMMYFUNCTION("""COMPUTED_VALUE"""),494.0)</f>
        <v>494</v>
      </c>
      <c r="C4495" s="10">
        <f>IFERROR(__xludf.DUMMYFUNCTION("""COMPUTED_VALUE"""),5842.0)</f>
        <v>5842</v>
      </c>
      <c r="D4495" s="5">
        <f>IFERROR(__xludf.DUMMYFUNCTION("""COMPUTED_VALUE"""),0.31039640987284967)</f>
        <v>0.3103964099</v>
      </c>
      <c r="E4495" s="5">
        <f>IFERROR(__xludf.DUMMYFUNCTION("""COMPUTED_VALUE"""),0.11742707554225879)</f>
        <v>0.1174270755</v>
      </c>
      <c r="F4495" s="5">
        <f>IFERROR(__xludf.DUMMYFUNCTION("""COMPUTED_VALUE"""),0.2081151832460733)</f>
        <v>0.2081151832</v>
      </c>
      <c r="G4495" s="5">
        <f>IFERROR(__xludf.DUMMYFUNCTION("""COMPUTED_VALUE"""),0.1712789827973074)</f>
        <v>0.1712789828</v>
      </c>
      <c r="H4495" s="5">
        <f>IFERROR(__xludf.DUMMYFUNCTION("""COMPUTED_VALUE"""),0.5705300988319856)</f>
        <v>0.5705300988</v>
      </c>
      <c r="I4495" s="11">
        <f>IFERROR(__xludf.DUMMYFUNCTION("""COMPUTED_VALUE"""),5422.731356693621)</f>
        <v>5422.731357</v>
      </c>
      <c r="J4495" s="10">
        <f>IFERROR(__xludf.DUMMYFUNCTION("""COMPUTED_VALUE"""),0.0)</f>
        <v>0</v>
      </c>
      <c r="K4495" s="5">
        <f>IFERROR(__xludf.DUMMYFUNCTION("""COMPUTED_VALUE"""),0.0)</f>
        <v>0</v>
      </c>
      <c r="L4495" s="10">
        <f>IFERROR(__xludf.DUMMYFUNCTION("""COMPUTED_VALUE"""),494.0)</f>
        <v>494</v>
      </c>
      <c r="M4495" s="5">
        <f>IFERROR(__xludf.DUMMYFUNCTION("""COMPUTED_VALUE"""),1.0)</f>
        <v>1</v>
      </c>
    </row>
    <row r="4496">
      <c r="A4496" s="10" t="str">
        <f>IFERROR(__xludf.DUMMYFUNCTION("""COMPUTED_VALUE"""),"アークＫ")</f>
        <v>アークＫ</v>
      </c>
      <c r="B4496" s="10">
        <f>IFERROR(__xludf.DUMMYFUNCTION("""COMPUTED_VALUE"""),1138.0)</f>
        <v>1138</v>
      </c>
      <c r="C4496" s="10">
        <f>IFERROR(__xludf.DUMMYFUNCTION("""COMPUTED_VALUE"""),13206.0)</f>
        <v>13206</v>
      </c>
      <c r="D4496" s="5">
        <f>IFERROR(__xludf.DUMMYFUNCTION("""COMPUTED_VALUE"""),0.28231687106397085)</f>
        <v>0.2823168711</v>
      </c>
      <c r="E4496" s="5">
        <f>IFERROR(__xludf.DUMMYFUNCTION("""COMPUTED_VALUE"""),0.11741796486576069)</f>
        <v>0.1174179649</v>
      </c>
      <c r="F4496" s="5">
        <f>IFERROR(__xludf.DUMMYFUNCTION("""COMPUTED_VALUE"""),0.211219754723235)</f>
        <v>0.2112197547</v>
      </c>
      <c r="G4496" s="5">
        <f>IFERROR(__xludf.DUMMYFUNCTION("""COMPUTED_VALUE"""),0.1687935034802784)</f>
        <v>0.1687935035</v>
      </c>
      <c r="H4496" s="5">
        <f>IFERROR(__xludf.DUMMYFUNCTION("""COMPUTED_VALUE"""),0.6057277363672028)</f>
        <v>0.6057277364</v>
      </c>
      <c r="I4496" s="11">
        <f>IFERROR(__xludf.DUMMYFUNCTION("""COMPUTED_VALUE"""),5903.3346410357)</f>
        <v>5903.334641</v>
      </c>
      <c r="J4496" s="10">
        <f>IFERROR(__xludf.DUMMYFUNCTION("""COMPUTED_VALUE"""),2.0)</f>
        <v>2</v>
      </c>
      <c r="K4496" s="5">
        <f>IFERROR(__xludf.DUMMYFUNCTION("""COMPUTED_VALUE"""),0.0017574692442882249)</f>
        <v>0.001757469244</v>
      </c>
      <c r="L4496" s="10">
        <f>IFERROR(__xludf.DUMMYFUNCTION("""COMPUTED_VALUE"""),1138.0)</f>
        <v>1138</v>
      </c>
      <c r="M4496" s="5">
        <f>IFERROR(__xludf.DUMMYFUNCTION("""COMPUTED_VALUE"""),1.0)</f>
        <v>1</v>
      </c>
    </row>
    <row r="4497">
      <c r="A4497" s="10" t="str">
        <f>IFERROR(__xludf.DUMMYFUNCTION("""COMPUTED_VALUE"""),"亞図鎖∞∞∞∞∞")</f>
        <v>亞図鎖∞∞∞∞∞</v>
      </c>
      <c r="B4497" s="10">
        <f>IFERROR(__xludf.DUMMYFUNCTION("""COMPUTED_VALUE"""),261.0)</f>
        <v>261</v>
      </c>
      <c r="C4497" s="10">
        <f>IFERROR(__xludf.DUMMYFUNCTION("""COMPUTED_VALUE"""),3080.0)</f>
        <v>3080</v>
      </c>
      <c r="D4497" s="5">
        <f>IFERROR(__xludf.DUMMYFUNCTION("""COMPUTED_VALUE"""),0.3753103937566513)</f>
        <v>0.3753103938</v>
      </c>
      <c r="E4497" s="5">
        <f>IFERROR(__xludf.DUMMYFUNCTION("""COMPUTED_VALUE"""),0.11741752394466123)</f>
        <v>0.1174175239</v>
      </c>
      <c r="F4497" s="5">
        <f>IFERROR(__xludf.DUMMYFUNCTION("""COMPUTED_VALUE"""),0.20929407591344448)</f>
        <v>0.2092940759</v>
      </c>
      <c r="G4497" s="5">
        <f>IFERROR(__xludf.DUMMYFUNCTION("""COMPUTED_VALUE"""),0.1660163178432068)</f>
        <v>0.1660163178</v>
      </c>
      <c r="H4497" s="5">
        <f>IFERROR(__xludf.DUMMYFUNCTION("""COMPUTED_VALUE"""),0.6)</f>
        <v>0.6</v>
      </c>
      <c r="I4497" s="11">
        <f>IFERROR(__xludf.DUMMYFUNCTION("""COMPUTED_VALUE"""),5180.338983050848)</f>
        <v>5180.338983</v>
      </c>
      <c r="J4497" s="10">
        <f>IFERROR(__xludf.DUMMYFUNCTION("""COMPUTED_VALUE"""),1.0)</f>
        <v>1</v>
      </c>
      <c r="K4497" s="5">
        <f>IFERROR(__xludf.DUMMYFUNCTION("""COMPUTED_VALUE"""),0.0038314176245210726)</f>
        <v>0.003831417625</v>
      </c>
      <c r="L4497" s="10">
        <f>IFERROR(__xludf.DUMMYFUNCTION("""COMPUTED_VALUE"""),0.0)</f>
        <v>0</v>
      </c>
      <c r="M4497" s="5">
        <f>IFERROR(__xludf.DUMMYFUNCTION("""COMPUTED_VALUE"""),0.0)</f>
        <v>0</v>
      </c>
    </row>
    <row r="4498">
      <c r="A4498" s="10" t="str">
        <f>IFERROR(__xludf.DUMMYFUNCTION("""COMPUTED_VALUE"""),"☆華琳☆")</f>
        <v>☆華琳☆</v>
      </c>
      <c r="B4498" s="10">
        <f>IFERROR(__xludf.DUMMYFUNCTION("""COMPUTED_VALUE"""),361.0)</f>
        <v>361</v>
      </c>
      <c r="C4498" s="10">
        <f>IFERROR(__xludf.DUMMYFUNCTION("""COMPUTED_VALUE"""),4202.0)</f>
        <v>4202</v>
      </c>
      <c r="D4498" s="5">
        <f>IFERROR(__xludf.DUMMYFUNCTION("""COMPUTED_VALUE"""),0.36058318146316065)</f>
        <v>0.3605831815</v>
      </c>
      <c r="E4498" s="5">
        <f>IFERROR(__xludf.DUMMYFUNCTION("""COMPUTED_VALUE"""),0.11741733923457433)</f>
        <v>0.1174173392</v>
      </c>
      <c r="F4498" s="5">
        <f>IFERROR(__xludf.DUMMYFUNCTION("""COMPUTED_VALUE"""),0.21192397813069513)</f>
        <v>0.2119239781</v>
      </c>
      <c r="G4498" s="5">
        <f>IFERROR(__xludf.DUMMYFUNCTION("""COMPUTED_VALUE"""),0.17547513668315542)</f>
        <v>0.1754751367</v>
      </c>
      <c r="H4498" s="5">
        <f>IFERROR(__xludf.DUMMYFUNCTION("""COMPUTED_VALUE"""),0.6044226044226044)</f>
        <v>0.6044226044</v>
      </c>
      <c r="I4498" s="11">
        <f>IFERROR(__xludf.DUMMYFUNCTION("""COMPUTED_VALUE"""),5611.7936117936115)</f>
        <v>5611.793612</v>
      </c>
      <c r="J4498" s="10">
        <f>IFERROR(__xludf.DUMMYFUNCTION("""COMPUTED_VALUE"""),1.0)</f>
        <v>1</v>
      </c>
      <c r="K4498" s="5">
        <f>IFERROR(__xludf.DUMMYFUNCTION("""COMPUTED_VALUE"""),0.002770083102493075)</f>
        <v>0.002770083102</v>
      </c>
      <c r="L4498" s="10">
        <f>IFERROR(__xludf.DUMMYFUNCTION("""COMPUTED_VALUE"""),361.0)</f>
        <v>361</v>
      </c>
      <c r="M4498" s="5">
        <f>IFERROR(__xludf.DUMMYFUNCTION("""COMPUTED_VALUE"""),1.0)</f>
        <v>1</v>
      </c>
    </row>
    <row r="4499">
      <c r="A4499" s="10" t="str">
        <f>IFERROR(__xludf.DUMMYFUNCTION("""COMPUTED_VALUE"""),"ベタオリーチ！")</f>
        <v>ベタオリーチ！</v>
      </c>
      <c r="B4499" s="10">
        <f>IFERROR(__xludf.DUMMYFUNCTION("""COMPUTED_VALUE"""),1363.0)</f>
        <v>1363</v>
      </c>
      <c r="C4499" s="10">
        <f>IFERROR(__xludf.DUMMYFUNCTION("""COMPUTED_VALUE"""),16183.0)</f>
        <v>16183</v>
      </c>
      <c r="D4499" s="5">
        <f>IFERROR(__xludf.DUMMYFUNCTION("""COMPUTED_VALUE"""),0.3979757085020243)</f>
        <v>0.3979757085</v>
      </c>
      <c r="E4499" s="5">
        <f>IFERROR(__xludf.DUMMYFUNCTION("""COMPUTED_VALUE"""),0.11740890688259109)</f>
        <v>0.1174089069</v>
      </c>
      <c r="F4499" s="5">
        <f>IFERROR(__xludf.DUMMYFUNCTION("""COMPUTED_VALUE"""),0.20944669365721996)</f>
        <v>0.2094466937</v>
      </c>
      <c r="G4499" s="5">
        <f>IFERROR(__xludf.DUMMYFUNCTION("""COMPUTED_VALUE"""),0.1508097165991903)</f>
        <v>0.1508097166</v>
      </c>
      <c r="H4499" s="5">
        <f>IFERROR(__xludf.DUMMYFUNCTION("""COMPUTED_VALUE"""),0.5963273195876289)</f>
        <v>0.5963273196</v>
      </c>
      <c r="I4499" s="11">
        <f>IFERROR(__xludf.DUMMYFUNCTION("""COMPUTED_VALUE"""),5428.18943298969)</f>
        <v>5428.189433</v>
      </c>
      <c r="J4499" s="10">
        <f>IFERROR(__xludf.DUMMYFUNCTION("""COMPUTED_VALUE"""),3.0)</f>
        <v>3</v>
      </c>
      <c r="K4499" s="5">
        <f>IFERROR(__xludf.DUMMYFUNCTION("""COMPUTED_VALUE"""),0.0022010271460014674)</f>
        <v>0.002201027146</v>
      </c>
      <c r="L4499" s="10">
        <f>IFERROR(__xludf.DUMMYFUNCTION("""COMPUTED_VALUE"""),1363.0)</f>
        <v>1363</v>
      </c>
      <c r="M4499" s="5">
        <f>IFERROR(__xludf.DUMMYFUNCTION("""COMPUTED_VALUE"""),1.0)</f>
        <v>1</v>
      </c>
    </row>
    <row r="4500">
      <c r="A4500" s="10" t="str">
        <f>IFERROR(__xludf.DUMMYFUNCTION("""COMPUTED_VALUE"""),"yearligh")</f>
        <v>yearligh</v>
      </c>
      <c r="B4500" s="10">
        <f>IFERROR(__xludf.DUMMYFUNCTION("""COMPUTED_VALUE"""),693.0)</f>
        <v>693</v>
      </c>
      <c r="C4500" s="10">
        <f>IFERROR(__xludf.DUMMYFUNCTION("""COMPUTED_VALUE"""),8112.0)</f>
        <v>8112</v>
      </c>
      <c r="D4500" s="5">
        <f>IFERROR(__xludf.DUMMYFUNCTION("""COMPUTED_VALUE"""),0.33683784876668016)</f>
        <v>0.3368378488</v>
      </c>
      <c r="E4500" s="5">
        <f>IFERROR(__xludf.DUMMYFUNCTION("""COMPUTED_VALUE"""),0.11740126701711821)</f>
        <v>0.117401267</v>
      </c>
      <c r="F4500" s="5">
        <f>IFERROR(__xludf.DUMMYFUNCTION("""COMPUTED_VALUE"""),0.2089230354495215)</f>
        <v>0.2089230354</v>
      </c>
      <c r="G4500" s="5">
        <f>IFERROR(__xludf.DUMMYFUNCTION("""COMPUTED_VALUE"""),0.18223480253403423)</f>
        <v>0.1822348025</v>
      </c>
      <c r="H4500" s="5">
        <f>IFERROR(__xludf.DUMMYFUNCTION("""COMPUTED_VALUE"""),0.6174193548387097)</f>
        <v>0.6174193548</v>
      </c>
      <c r="I4500" s="11">
        <f>IFERROR(__xludf.DUMMYFUNCTION("""COMPUTED_VALUE"""),5632.967741935484)</f>
        <v>5632.967742</v>
      </c>
      <c r="J4500" s="10">
        <f>IFERROR(__xludf.DUMMYFUNCTION("""COMPUTED_VALUE"""),3.0)</f>
        <v>3</v>
      </c>
      <c r="K4500" s="5">
        <f>IFERROR(__xludf.DUMMYFUNCTION("""COMPUTED_VALUE"""),0.004329004329004329)</f>
        <v>0.004329004329</v>
      </c>
      <c r="L4500" s="10">
        <f>IFERROR(__xludf.DUMMYFUNCTION("""COMPUTED_VALUE"""),693.0)</f>
        <v>693</v>
      </c>
      <c r="M4500" s="5">
        <f>IFERROR(__xludf.DUMMYFUNCTION("""COMPUTED_VALUE"""),1.0)</f>
        <v>1</v>
      </c>
    </row>
    <row r="4501">
      <c r="A4501" s="10" t="str">
        <f>IFERROR(__xludf.DUMMYFUNCTION("""COMPUTED_VALUE"""),"sinsist")</f>
        <v>sinsist</v>
      </c>
      <c r="B4501" s="10">
        <f>IFERROR(__xludf.DUMMYFUNCTION("""COMPUTED_VALUE"""),5994.0)</f>
        <v>5994</v>
      </c>
      <c r="C4501" s="10">
        <f>IFERROR(__xludf.DUMMYFUNCTION("""COMPUTED_VALUE"""),70012.0)</f>
        <v>70012</v>
      </c>
      <c r="D4501" s="5">
        <f>IFERROR(__xludf.DUMMYFUNCTION("""COMPUTED_VALUE"""),0.4139616982723609)</f>
        <v>0.4139616983</v>
      </c>
      <c r="E4501" s="5">
        <f>IFERROR(__xludf.DUMMYFUNCTION("""COMPUTED_VALUE"""),0.11738885938329845)</f>
        <v>0.1173888594</v>
      </c>
      <c r="F4501" s="5">
        <f>IFERROR(__xludf.DUMMYFUNCTION("""COMPUTED_VALUE"""),0.21470523915148865)</f>
        <v>0.2147052392</v>
      </c>
      <c r="G4501" s="5">
        <f>IFERROR(__xludf.DUMMYFUNCTION("""COMPUTED_VALUE"""),0.15052016620325534)</f>
        <v>0.1505201662</v>
      </c>
      <c r="H4501" s="5">
        <f>IFERROR(__xludf.DUMMYFUNCTION("""COMPUTED_VALUE"""),0.60465623863223)</f>
        <v>0.6046562386</v>
      </c>
      <c r="I4501" s="11">
        <f>IFERROR(__xludf.DUMMYFUNCTION("""COMPUTED_VALUE"""),5468.810476536923)</f>
        <v>5468.810477</v>
      </c>
      <c r="J4501" s="10">
        <f>IFERROR(__xludf.DUMMYFUNCTION("""COMPUTED_VALUE"""),12.0)</f>
        <v>12</v>
      </c>
      <c r="K4501" s="5">
        <f>IFERROR(__xludf.DUMMYFUNCTION("""COMPUTED_VALUE"""),0.002002002002002002)</f>
        <v>0.002002002002</v>
      </c>
      <c r="L4501" s="10">
        <f>IFERROR(__xludf.DUMMYFUNCTION("""COMPUTED_VALUE"""),5994.0)</f>
        <v>5994</v>
      </c>
      <c r="M4501" s="5">
        <f>IFERROR(__xludf.DUMMYFUNCTION("""COMPUTED_VALUE"""),1.0)</f>
        <v>1</v>
      </c>
    </row>
    <row r="4502">
      <c r="A4502" s="10" t="str">
        <f>IFERROR(__xludf.DUMMYFUNCTION("""COMPUTED_VALUE"""),"からくり")</f>
        <v>からくり</v>
      </c>
      <c r="B4502" s="10">
        <f>IFERROR(__xludf.DUMMYFUNCTION("""COMPUTED_VALUE"""),828.0)</f>
        <v>828</v>
      </c>
      <c r="C4502" s="10">
        <f>IFERROR(__xludf.DUMMYFUNCTION("""COMPUTED_VALUE"""),9679.0)</f>
        <v>9679</v>
      </c>
      <c r="D4502" s="5">
        <f>IFERROR(__xludf.DUMMYFUNCTION("""COMPUTED_VALUE"""),0.3560049711896961)</f>
        <v>0.3560049712</v>
      </c>
      <c r="E4502" s="5">
        <f>IFERROR(__xludf.DUMMYFUNCTION("""COMPUTED_VALUE"""),0.1173878657778782)</f>
        <v>0.1173878658</v>
      </c>
      <c r="F4502" s="5">
        <f>IFERROR(__xludf.DUMMYFUNCTION("""COMPUTED_VALUE"""),0.21059767257936957)</f>
        <v>0.2105976726</v>
      </c>
      <c r="G4502" s="5">
        <f>IFERROR(__xludf.DUMMYFUNCTION("""COMPUTED_VALUE"""),0.19523217715512373)</f>
        <v>0.1952321772</v>
      </c>
      <c r="H4502" s="5">
        <f>IFERROR(__xludf.DUMMYFUNCTION("""COMPUTED_VALUE"""),0.6013948497854077)</f>
        <v>0.6013948498</v>
      </c>
      <c r="I4502" s="11">
        <f>IFERROR(__xludf.DUMMYFUNCTION("""COMPUTED_VALUE"""),5613.412017167382)</f>
        <v>5613.412017</v>
      </c>
      <c r="J4502" s="10">
        <f>IFERROR(__xludf.DUMMYFUNCTION("""COMPUTED_VALUE"""),2.0)</f>
        <v>2</v>
      </c>
      <c r="K4502" s="5">
        <f>IFERROR(__xludf.DUMMYFUNCTION("""COMPUTED_VALUE"""),0.0024154589371980675)</f>
        <v>0.002415458937</v>
      </c>
      <c r="L4502" s="10">
        <f>IFERROR(__xludf.DUMMYFUNCTION("""COMPUTED_VALUE"""),513.0)</f>
        <v>513</v>
      </c>
      <c r="M4502" s="5">
        <f>IFERROR(__xludf.DUMMYFUNCTION("""COMPUTED_VALUE"""),0.6195652173913043)</f>
        <v>0.6195652174</v>
      </c>
    </row>
    <row r="4503">
      <c r="A4503" s="10" t="str">
        <f>IFERROR(__xludf.DUMMYFUNCTION("""COMPUTED_VALUE"""),"コカライア")</f>
        <v>コカライア</v>
      </c>
      <c r="B4503" s="10">
        <f>IFERROR(__xludf.DUMMYFUNCTION("""COMPUTED_VALUE"""),1234.0)</f>
        <v>1234</v>
      </c>
      <c r="C4503" s="10">
        <f>IFERROR(__xludf.DUMMYFUNCTION("""COMPUTED_VALUE"""),14414.0)</f>
        <v>14414</v>
      </c>
      <c r="D4503" s="5">
        <f>IFERROR(__xludf.DUMMYFUNCTION("""COMPUTED_VALUE"""),0.33801213960546284)</f>
        <v>0.3380121396</v>
      </c>
      <c r="E4503" s="5">
        <f>IFERROR(__xludf.DUMMYFUNCTION("""COMPUTED_VALUE"""),0.11737481031866465)</f>
        <v>0.1173748103</v>
      </c>
      <c r="F4503" s="5">
        <f>IFERROR(__xludf.DUMMYFUNCTION("""COMPUTED_VALUE"""),0.1977238239757208)</f>
        <v>0.197723824</v>
      </c>
      <c r="G4503" s="5">
        <f>IFERROR(__xludf.DUMMYFUNCTION("""COMPUTED_VALUE"""),0.1738998482549317)</f>
        <v>0.1738998483</v>
      </c>
      <c r="H4503" s="5">
        <f>IFERROR(__xludf.DUMMYFUNCTION("""COMPUTED_VALUE"""),0.5832693783576363)</f>
        <v>0.5832693784</v>
      </c>
      <c r="I4503" s="11">
        <f>IFERROR(__xludf.DUMMYFUNCTION("""COMPUTED_VALUE"""),6031.120491174213)</f>
        <v>6031.120491</v>
      </c>
      <c r="J4503" s="10">
        <f>IFERROR(__xludf.DUMMYFUNCTION("""COMPUTED_VALUE"""),4.0)</f>
        <v>4</v>
      </c>
      <c r="K4503" s="5">
        <f>IFERROR(__xludf.DUMMYFUNCTION("""COMPUTED_VALUE"""),0.0032414910858995136)</f>
        <v>0.003241491086</v>
      </c>
      <c r="L4503" s="10">
        <f>IFERROR(__xludf.DUMMYFUNCTION("""COMPUTED_VALUE"""),1234.0)</f>
        <v>1234</v>
      </c>
      <c r="M4503" s="5">
        <f>IFERROR(__xludf.DUMMYFUNCTION("""COMPUTED_VALUE"""),1.0)</f>
        <v>1</v>
      </c>
    </row>
    <row r="4504">
      <c r="A4504" s="10" t="str">
        <f>IFERROR(__xludf.DUMMYFUNCTION("""COMPUTED_VALUE"""),"あたい最強ね")</f>
        <v>あたい最強ね</v>
      </c>
      <c r="B4504" s="10">
        <f>IFERROR(__xludf.DUMMYFUNCTION("""COMPUTED_VALUE"""),122.0)</f>
        <v>122</v>
      </c>
      <c r="C4504" s="10">
        <f>IFERROR(__xludf.DUMMYFUNCTION("""COMPUTED_VALUE"""),1417.0)</f>
        <v>1417</v>
      </c>
      <c r="D4504" s="5">
        <f>IFERROR(__xludf.DUMMYFUNCTION("""COMPUTED_VALUE"""),0.27104247104247103)</f>
        <v>0.271042471</v>
      </c>
      <c r="E4504" s="5">
        <f>IFERROR(__xludf.DUMMYFUNCTION("""COMPUTED_VALUE"""),0.11737451737451737)</f>
        <v>0.1173745174</v>
      </c>
      <c r="F4504" s="5">
        <f>IFERROR(__xludf.DUMMYFUNCTION("""COMPUTED_VALUE"""),0.18532818532818532)</f>
        <v>0.1853281853</v>
      </c>
      <c r="G4504" s="5">
        <f>IFERROR(__xludf.DUMMYFUNCTION("""COMPUTED_VALUE"""),0.15444015444015444)</f>
        <v>0.1544401544</v>
      </c>
      <c r="H4504" s="5">
        <f>IFERROR(__xludf.DUMMYFUNCTION("""COMPUTED_VALUE"""),0.5583333333333333)</f>
        <v>0.5583333333</v>
      </c>
      <c r="I4504" s="11">
        <f>IFERROR(__xludf.DUMMYFUNCTION("""COMPUTED_VALUE"""),5521.25)</f>
        <v>5521.25</v>
      </c>
      <c r="J4504" s="10">
        <f>IFERROR(__xludf.DUMMYFUNCTION("""COMPUTED_VALUE"""),0.0)</f>
        <v>0</v>
      </c>
      <c r="K4504" s="5">
        <f>IFERROR(__xludf.DUMMYFUNCTION("""COMPUTED_VALUE"""),0.0)</f>
        <v>0</v>
      </c>
      <c r="L4504" s="10">
        <f>IFERROR(__xludf.DUMMYFUNCTION("""COMPUTED_VALUE"""),0.0)</f>
        <v>0</v>
      </c>
      <c r="M4504" s="5">
        <f>IFERROR(__xludf.DUMMYFUNCTION("""COMPUTED_VALUE"""),0.0)</f>
        <v>0</v>
      </c>
    </row>
    <row r="4505">
      <c r="A4505" s="10" t="str">
        <f>IFERROR(__xludf.DUMMYFUNCTION("""COMPUTED_VALUE"""),"動画目的？")</f>
        <v>動画目的？</v>
      </c>
      <c r="B4505" s="10">
        <f>IFERROR(__xludf.DUMMYFUNCTION("""COMPUTED_VALUE"""),193.0)</f>
        <v>193</v>
      </c>
      <c r="C4505" s="10">
        <f>IFERROR(__xludf.DUMMYFUNCTION("""COMPUTED_VALUE"""),2306.0)</f>
        <v>2306</v>
      </c>
      <c r="D4505" s="5">
        <f>IFERROR(__xludf.DUMMYFUNCTION("""COMPUTED_VALUE"""),0.35778513961192615)</f>
        <v>0.3577851396</v>
      </c>
      <c r="E4505" s="5">
        <f>IFERROR(__xludf.DUMMYFUNCTION("""COMPUTED_VALUE"""),0.11736867013724563)</f>
        <v>0.1173686701</v>
      </c>
      <c r="F4505" s="5">
        <f>IFERROR(__xludf.DUMMYFUNCTION("""COMPUTED_VALUE"""),0.2129673450070989)</f>
        <v>0.212967345</v>
      </c>
      <c r="G4505" s="5">
        <f>IFERROR(__xludf.DUMMYFUNCTION("""COMPUTED_VALUE"""),0.16848083293894936)</f>
        <v>0.1684808329</v>
      </c>
      <c r="H4505" s="5">
        <f>IFERROR(__xludf.DUMMYFUNCTION("""COMPUTED_VALUE"""),0.5755555555555556)</f>
        <v>0.5755555556</v>
      </c>
      <c r="I4505" s="11">
        <f>IFERROR(__xludf.DUMMYFUNCTION("""COMPUTED_VALUE"""),5643.111111111111)</f>
        <v>5643.111111</v>
      </c>
      <c r="J4505" s="10">
        <f>IFERROR(__xludf.DUMMYFUNCTION("""COMPUTED_VALUE"""),0.0)</f>
        <v>0</v>
      </c>
      <c r="K4505" s="5">
        <f>IFERROR(__xludf.DUMMYFUNCTION("""COMPUTED_VALUE"""),0.0)</f>
        <v>0</v>
      </c>
      <c r="L4505" s="10">
        <f>IFERROR(__xludf.DUMMYFUNCTION("""COMPUTED_VALUE"""),193.0)</f>
        <v>193</v>
      </c>
      <c r="M4505" s="5">
        <f>IFERROR(__xludf.DUMMYFUNCTION("""COMPUTED_VALUE"""),1.0)</f>
        <v>1</v>
      </c>
    </row>
    <row r="4506">
      <c r="A4506" s="10" t="str">
        <f>IFERROR(__xludf.DUMMYFUNCTION("""COMPUTED_VALUE"""),"僕モノクマうぷぷ")</f>
        <v>僕モノクマうぷぷ</v>
      </c>
      <c r="B4506" s="10">
        <f>IFERROR(__xludf.DUMMYFUNCTION("""COMPUTED_VALUE"""),589.0)</f>
        <v>589</v>
      </c>
      <c r="C4506" s="10">
        <f>IFERROR(__xludf.DUMMYFUNCTION("""COMPUTED_VALUE"""),6886.0)</f>
        <v>6886</v>
      </c>
      <c r="D4506" s="5">
        <f>IFERROR(__xludf.DUMMYFUNCTION("""COMPUTED_VALUE"""),0.395744005081785)</f>
        <v>0.3957440051</v>
      </c>
      <c r="E4506" s="5">
        <f>IFERROR(__xludf.DUMMYFUNCTION("""COMPUTED_VALUE"""),0.11735747181197395)</f>
        <v>0.1173574718</v>
      </c>
      <c r="F4506" s="5">
        <f>IFERROR(__xludf.DUMMYFUNCTION("""COMPUTED_VALUE"""),0.20771796093377798)</f>
        <v>0.2077179609</v>
      </c>
      <c r="G4506" s="5">
        <f>IFERROR(__xludf.DUMMYFUNCTION("""COMPUTED_VALUE"""),0.17309830077814833)</f>
        <v>0.1730983008</v>
      </c>
      <c r="H4506" s="5">
        <f>IFERROR(__xludf.DUMMYFUNCTION("""COMPUTED_VALUE"""),0.5879204892966361)</f>
        <v>0.5879204893</v>
      </c>
      <c r="I4506" s="11">
        <f>IFERROR(__xludf.DUMMYFUNCTION("""COMPUTED_VALUE"""),5554.587155963302)</f>
        <v>5554.587156</v>
      </c>
      <c r="J4506" s="10">
        <f>IFERROR(__xludf.DUMMYFUNCTION("""COMPUTED_VALUE"""),0.0)</f>
        <v>0</v>
      </c>
      <c r="K4506" s="5">
        <f>IFERROR(__xludf.DUMMYFUNCTION("""COMPUTED_VALUE"""),0.0)</f>
        <v>0</v>
      </c>
      <c r="L4506" s="10">
        <f>IFERROR(__xludf.DUMMYFUNCTION("""COMPUTED_VALUE"""),589.0)</f>
        <v>589</v>
      </c>
      <c r="M4506" s="5">
        <f>IFERROR(__xludf.DUMMYFUNCTION("""COMPUTED_VALUE"""),1.0)</f>
        <v>1</v>
      </c>
    </row>
    <row r="4507">
      <c r="A4507" s="10" t="str">
        <f>IFERROR(__xludf.DUMMYFUNCTION("""COMPUTED_VALUE"""),"ばいつぁ★だすと")</f>
        <v>ばいつぁ★だすと</v>
      </c>
      <c r="B4507" s="10">
        <f>IFERROR(__xludf.DUMMYFUNCTION("""COMPUTED_VALUE"""),188.0)</f>
        <v>188</v>
      </c>
      <c r="C4507" s="10">
        <f>IFERROR(__xludf.DUMMYFUNCTION("""COMPUTED_VALUE"""),2182.0)</f>
        <v>2182</v>
      </c>
      <c r="D4507" s="5">
        <f>IFERROR(__xludf.DUMMYFUNCTION("""COMPUTED_VALUE"""),0.31293881644934807)</f>
        <v>0.3129388164</v>
      </c>
      <c r="E4507" s="5">
        <f>IFERROR(__xludf.DUMMYFUNCTION("""COMPUTED_VALUE"""),0.11735205616850551)</f>
        <v>0.1173520562</v>
      </c>
      <c r="F4507" s="5">
        <f>IFERROR(__xludf.DUMMYFUNCTION("""COMPUTED_VALUE"""),0.19759277833500502)</f>
        <v>0.1975927783</v>
      </c>
      <c r="G4507" s="5">
        <f>IFERROR(__xludf.DUMMYFUNCTION("""COMPUTED_VALUE"""),0.17352056168505517)</f>
        <v>0.1735205617</v>
      </c>
      <c r="H4507" s="5">
        <f>IFERROR(__xludf.DUMMYFUNCTION("""COMPUTED_VALUE"""),0.616751269035533)</f>
        <v>0.616751269</v>
      </c>
      <c r="I4507" s="11">
        <f>IFERROR(__xludf.DUMMYFUNCTION("""COMPUTED_VALUE"""),5580.710659898477)</f>
        <v>5580.71066</v>
      </c>
      <c r="J4507" s="10">
        <f>IFERROR(__xludf.DUMMYFUNCTION("""COMPUTED_VALUE"""),0.0)</f>
        <v>0</v>
      </c>
      <c r="K4507" s="5">
        <f>IFERROR(__xludf.DUMMYFUNCTION("""COMPUTED_VALUE"""),0.0)</f>
        <v>0</v>
      </c>
      <c r="L4507" s="10">
        <f>IFERROR(__xludf.DUMMYFUNCTION("""COMPUTED_VALUE"""),188.0)</f>
        <v>188</v>
      </c>
      <c r="M4507" s="5">
        <f>IFERROR(__xludf.DUMMYFUNCTION("""COMPUTED_VALUE"""),1.0)</f>
        <v>1</v>
      </c>
    </row>
    <row r="4508">
      <c r="A4508" s="10" t="str">
        <f>IFERROR(__xludf.DUMMYFUNCTION("""COMPUTED_VALUE"""),"Asa24")</f>
        <v>Asa24</v>
      </c>
      <c r="B4508" s="10">
        <f>IFERROR(__xludf.DUMMYFUNCTION("""COMPUTED_VALUE"""),1284.0)</f>
        <v>1284</v>
      </c>
      <c r="C4508" s="10">
        <f>IFERROR(__xludf.DUMMYFUNCTION("""COMPUTED_VALUE"""),15029.0)</f>
        <v>15029</v>
      </c>
      <c r="D4508" s="5">
        <f>IFERROR(__xludf.DUMMYFUNCTION("""COMPUTED_VALUE"""),0.3130592942888323)</f>
        <v>0.3130592943</v>
      </c>
      <c r="E4508" s="5">
        <f>IFERROR(__xludf.DUMMYFUNCTION("""COMPUTED_VALUE"""),0.11735176427791924)</f>
        <v>0.1173517643</v>
      </c>
      <c r="F4508" s="5">
        <f>IFERROR(__xludf.DUMMYFUNCTION("""COMPUTED_VALUE"""),0.2058202982902874)</f>
        <v>0.2058202983</v>
      </c>
      <c r="G4508" s="5">
        <f>IFERROR(__xludf.DUMMYFUNCTION("""COMPUTED_VALUE"""),0.16209530738450345)</f>
        <v>0.1620953074</v>
      </c>
      <c r="H4508" s="5">
        <f>IFERROR(__xludf.DUMMYFUNCTION("""COMPUTED_VALUE"""),0.5765288087663485)</f>
        <v>0.5765288088</v>
      </c>
      <c r="I4508" s="11">
        <f>IFERROR(__xludf.DUMMYFUNCTION("""COMPUTED_VALUE"""),5497.949805585013)</f>
        <v>5497.949806</v>
      </c>
      <c r="J4508" s="10">
        <f>IFERROR(__xludf.DUMMYFUNCTION("""COMPUTED_VALUE"""),3.0)</f>
        <v>3</v>
      </c>
      <c r="K4508" s="5">
        <f>IFERROR(__xludf.DUMMYFUNCTION("""COMPUTED_VALUE"""),0.002336448598130841)</f>
        <v>0.002336448598</v>
      </c>
      <c r="L4508" s="10">
        <f>IFERROR(__xludf.DUMMYFUNCTION("""COMPUTED_VALUE"""),1284.0)</f>
        <v>1284</v>
      </c>
      <c r="M4508" s="5">
        <f>IFERROR(__xludf.DUMMYFUNCTION("""COMPUTED_VALUE"""),1.0)</f>
        <v>1</v>
      </c>
    </row>
    <row r="4509">
      <c r="A4509" s="10" t="str">
        <f>IFERROR(__xludf.DUMMYFUNCTION("""COMPUTED_VALUE"""),"某AV女優")</f>
        <v>某AV女優</v>
      </c>
      <c r="B4509" s="10">
        <f>IFERROR(__xludf.DUMMYFUNCTION("""COMPUTED_VALUE"""),383.0)</f>
        <v>383</v>
      </c>
      <c r="C4509" s="10">
        <f>IFERROR(__xludf.DUMMYFUNCTION("""COMPUTED_VALUE"""),4465.0)</f>
        <v>4465</v>
      </c>
      <c r="D4509" s="5">
        <f>IFERROR(__xludf.DUMMYFUNCTION("""COMPUTED_VALUE"""),0.39490445859872614)</f>
        <v>0.3949044586</v>
      </c>
      <c r="E4509" s="5">
        <f>IFERROR(__xludf.DUMMYFUNCTION("""COMPUTED_VALUE"""),0.11734443900048995)</f>
        <v>0.117344439</v>
      </c>
      <c r="F4509" s="5">
        <f>IFERROR(__xludf.DUMMYFUNCTION("""COMPUTED_VALUE"""),0.21680548750612444)</f>
        <v>0.2168054875</v>
      </c>
      <c r="G4509" s="5">
        <f>IFERROR(__xludf.DUMMYFUNCTION("""COMPUTED_VALUE"""),0.18177364037236649)</f>
        <v>0.1817736404</v>
      </c>
      <c r="H4509" s="5">
        <f>IFERROR(__xludf.DUMMYFUNCTION("""COMPUTED_VALUE"""),0.5875706214689266)</f>
        <v>0.5875706215</v>
      </c>
      <c r="I4509" s="11">
        <f>IFERROR(__xludf.DUMMYFUNCTION("""COMPUTED_VALUE"""),5264.5197740113)</f>
        <v>5264.519774</v>
      </c>
      <c r="J4509" s="10">
        <f>IFERROR(__xludf.DUMMYFUNCTION("""COMPUTED_VALUE"""),0.0)</f>
        <v>0</v>
      </c>
      <c r="K4509" s="5">
        <f>IFERROR(__xludf.DUMMYFUNCTION("""COMPUTED_VALUE"""),0.0)</f>
        <v>0</v>
      </c>
      <c r="L4509" s="10">
        <f>IFERROR(__xludf.DUMMYFUNCTION("""COMPUTED_VALUE"""),0.0)</f>
        <v>0</v>
      </c>
      <c r="M4509" s="5">
        <f>IFERROR(__xludf.DUMMYFUNCTION("""COMPUTED_VALUE"""),0.0)</f>
        <v>0</v>
      </c>
    </row>
    <row r="4510">
      <c r="A4510" s="10" t="str">
        <f>IFERROR(__xludf.DUMMYFUNCTION("""COMPUTED_VALUE"""),"ＲＯＥＮＴＧＥＮ")</f>
        <v>ＲＯＥＮＴＧＥＮ</v>
      </c>
      <c r="B4510" s="10">
        <f>IFERROR(__xludf.DUMMYFUNCTION("""COMPUTED_VALUE"""),325.0)</f>
        <v>325</v>
      </c>
      <c r="C4510" s="10">
        <f>IFERROR(__xludf.DUMMYFUNCTION("""COMPUTED_VALUE"""),3819.0)</f>
        <v>3819</v>
      </c>
      <c r="D4510" s="5">
        <f>IFERROR(__xludf.DUMMYFUNCTION("""COMPUTED_VALUE"""),0.3033772180881511)</f>
        <v>0.3033772181</v>
      </c>
      <c r="E4510" s="5">
        <f>IFERROR(__xludf.DUMMYFUNCTION("""COMPUTED_VALUE"""),0.11734401831711505)</f>
        <v>0.1173440183</v>
      </c>
      <c r="F4510" s="5">
        <f>IFERROR(__xludf.DUMMYFUNCTION("""COMPUTED_VALUE"""),0.20206067544361764)</f>
        <v>0.2020606754</v>
      </c>
      <c r="G4510" s="5">
        <f>IFERROR(__xludf.DUMMYFUNCTION("""COMPUTED_VALUE"""),0.1522610188895249)</f>
        <v>0.1522610189</v>
      </c>
      <c r="H4510" s="5">
        <f>IFERROR(__xludf.DUMMYFUNCTION("""COMPUTED_VALUE"""),0.6175637393767706)</f>
        <v>0.6175637394</v>
      </c>
      <c r="I4510" s="11">
        <f>IFERROR(__xludf.DUMMYFUNCTION("""COMPUTED_VALUE"""),6034.2776203966005)</f>
        <v>6034.27762</v>
      </c>
      <c r="J4510" s="10">
        <f>IFERROR(__xludf.DUMMYFUNCTION("""COMPUTED_VALUE"""),1.0)</f>
        <v>1</v>
      </c>
      <c r="K4510" s="5">
        <f>IFERROR(__xludf.DUMMYFUNCTION("""COMPUTED_VALUE"""),0.003076923076923077)</f>
        <v>0.003076923077</v>
      </c>
      <c r="L4510" s="10">
        <f>IFERROR(__xludf.DUMMYFUNCTION("""COMPUTED_VALUE"""),325.0)</f>
        <v>325</v>
      </c>
      <c r="M4510" s="5">
        <f>IFERROR(__xludf.DUMMYFUNCTION("""COMPUTED_VALUE"""),1.0)</f>
        <v>1</v>
      </c>
    </row>
    <row r="4511">
      <c r="A4511" s="10" t="str">
        <f>IFERROR(__xludf.DUMMYFUNCTION("""COMPUTED_VALUE"""),"きぼうβ")</f>
        <v>きぼうβ</v>
      </c>
      <c r="B4511" s="10">
        <f>IFERROR(__xludf.DUMMYFUNCTION("""COMPUTED_VALUE"""),231.0)</f>
        <v>231</v>
      </c>
      <c r="C4511" s="10">
        <f>IFERROR(__xludf.DUMMYFUNCTION("""COMPUTED_VALUE"""),2745.0)</f>
        <v>2745</v>
      </c>
      <c r="D4511" s="5">
        <f>IFERROR(__xludf.DUMMYFUNCTION("""COMPUTED_VALUE"""),0.3731105807478122)</f>
        <v>0.3731105807</v>
      </c>
      <c r="E4511" s="5">
        <f>IFERROR(__xludf.DUMMYFUNCTION("""COMPUTED_VALUE"""),0.1173428798727128)</f>
        <v>0.1173428799</v>
      </c>
      <c r="F4511" s="5">
        <f>IFERROR(__xludf.DUMMYFUNCTION("""COMPUTED_VALUE"""),0.2092283214001591)</f>
        <v>0.2092283214</v>
      </c>
      <c r="G4511" s="5">
        <f>IFERROR(__xludf.DUMMYFUNCTION("""COMPUTED_VALUE"""),0.17143993635640414)</f>
        <v>0.1714399364</v>
      </c>
      <c r="H4511" s="5">
        <f>IFERROR(__xludf.DUMMYFUNCTION("""COMPUTED_VALUE"""),0.5798479087452472)</f>
        <v>0.5798479087</v>
      </c>
      <c r="I4511" s="11">
        <f>IFERROR(__xludf.DUMMYFUNCTION("""COMPUTED_VALUE"""),5774.90494296578)</f>
        <v>5774.904943</v>
      </c>
      <c r="J4511" s="10">
        <f>IFERROR(__xludf.DUMMYFUNCTION("""COMPUTED_VALUE"""),1.0)</f>
        <v>1</v>
      </c>
      <c r="K4511" s="5">
        <f>IFERROR(__xludf.DUMMYFUNCTION("""COMPUTED_VALUE"""),0.004329004329004329)</f>
        <v>0.004329004329</v>
      </c>
      <c r="L4511" s="10">
        <f>IFERROR(__xludf.DUMMYFUNCTION("""COMPUTED_VALUE"""),1.0)</f>
        <v>1</v>
      </c>
      <c r="M4511" s="5">
        <f>IFERROR(__xludf.DUMMYFUNCTION("""COMPUTED_VALUE"""),0.004329004329004329)</f>
        <v>0.004329004329</v>
      </c>
    </row>
    <row r="4512">
      <c r="A4512" s="10" t="str">
        <f>IFERROR(__xludf.DUMMYFUNCTION("""COMPUTED_VALUE"""),"不運キャラ")</f>
        <v>不運キャラ</v>
      </c>
      <c r="B4512" s="10">
        <f>IFERROR(__xludf.DUMMYFUNCTION("""COMPUTED_VALUE"""),532.0)</f>
        <v>532</v>
      </c>
      <c r="C4512" s="10">
        <f>IFERROR(__xludf.DUMMYFUNCTION("""COMPUTED_VALUE"""),6353.0)</f>
        <v>6353</v>
      </c>
      <c r="D4512" s="5">
        <f>IFERROR(__xludf.DUMMYFUNCTION("""COMPUTED_VALUE"""),0.31334822195499057)</f>
        <v>0.313348222</v>
      </c>
      <c r="E4512" s="5">
        <f>IFERROR(__xludf.DUMMYFUNCTION("""COMPUTED_VALUE"""),0.11733379144476894)</f>
        <v>0.1173337914</v>
      </c>
      <c r="F4512" s="5">
        <f>IFERROR(__xludf.DUMMYFUNCTION("""COMPUTED_VALUE"""),0.2113038996735956)</f>
        <v>0.2113038997</v>
      </c>
      <c r="G4512" s="5">
        <f>IFERROR(__xludf.DUMMYFUNCTION("""COMPUTED_VALUE"""),0.17385328981274695)</f>
        <v>0.1738532898</v>
      </c>
      <c r="H4512" s="5">
        <f>IFERROR(__xludf.DUMMYFUNCTION("""COMPUTED_VALUE"""),0.5959349593495935)</f>
        <v>0.5959349593</v>
      </c>
      <c r="I4512" s="11">
        <f>IFERROR(__xludf.DUMMYFUNCTION("""COMPUTED_VALUE"""),5762.926829268293)</f>
        <v>5762.926829</v>
      </c>
      <c r="J4512" s="10">
        <f>IFERROR(__xludf.DUMMYFUNCTION("""COMPUTED_VALUE"""),1.0)</f>
        <v>1</v>
      </c>
      <c r="K4512" s="5">
        <f>IFERROR(__xludf.DUMMYFUNCTION("""COMPUTED_VALUE"""),0.0018796992481203006)</f>
        <v>0.001879699248</v>
      </c>
      <c r="L4512" s="10">
        <f>IFERROR(__xludf.DUMMYFUNCTION("""COMPUTED_VALUE"""),532.0)</f>
        <v>532</v>
      </c>
      <c r="M4512" s="5">
        <f>IFERROR(__xludf.DUMMYFUNCTION("""COMPUTED_VALUE"""),1.0)</f>
        <v>1</v>
      </c>
    </row>
    <row r="4513">
      <c r="A4513" s="10" t="str">
        <f>IFERROR(__xludf.DUMMYFUNCTION("""COMPUTED_VALUE"""),"RuD-A")</f>
        <v>RuD-A</v>
      </c>
      <c r="B4513" s="10">
        <f>IFERROR(__xludf.DUMMYFUNCTION("""COMPUTED_VALUE"""),224.0)</f>
        <v>224</v>
      </c>
      <c r="C4513" s="10">
        <f>IFERROR(__xludf.DUMMYFUNCTION("""COMPUTED_VALUE"""),2653.0)</f>
        <v>2653</v>
      </c>
      <c r="D4513" s="5">
        <f>IFERROR(__xludf.DUMMYFUNCTION("""COMPUTED_VALUE"""),0.3750514615067929)</f>
        <v>0.3750514615</v>
      </c>
      <c r="E4513" s="5">
        <f>IFERROR(__xludf.DUMMYFUNCTION("""COMPUTED_VALUE"""),0.11733223548785508)</f>
        <v>0.1173322355</v>
      </c>
      <c r="F4513" s="5">
        <f>IFERROR(__xludf.DUMMYFUNCTION("""COMPUTED_VALUE"""),0.20625771922601893)</f>
        <v>0.2062577192</v>
      </c>
      <c r="G4513" s="5">
        <f>IFERROR(__xludf.DUMMYFUNCTION("""COMPUTED_VALUE"""),0.1560312885961301)</f>
        <v>0.1560312886</v>
      </c>
      <c r="H4513" s="5">
        <f>IFERROR(__xludf.DUMMYFUNCTION("""COMPUTED_VALUE"""),0.5708582834331337)</f>
        <v>0.5708582834</v>
      </c>
      <c r="I4513" s="11">
        <f>IFERROR(__xludf.DUMMYFUNCTION("""COMPUTED_VALUE"""),5221.956087824351)</f>
        <v>5221.956088</v>
      </c>
      <c r="J4513" s="10">
        <f>IFERROR(__xludf.DUMMYFUNCTION("""COMPUTED_VALUE"""),0.0)</f>
        <v>0</v>
      </c>
      <c r="K4513" s="5">
        <f>IFERROR(__xludf.DUMMYFUNCTION("""COMPUTED_VALUE"""),0.0)</f>
        <v>0</v>
      </c>
      <c r="L4513" s="10">
        <f>IFERROR(__xludf.DUMMYFUNCTION("""COMPUTED_VALUE"""),0.0)</f>
        <v>0</v>
      </c>
      <c r="M4513" s="5">
        <f>IFERROR(__xludf.DUMMYFUNCTION("""COMPUTED_VALUE"""),0.0)</f>
        <v>0</v>
      </c>
    </row>
    <row r="4514">
      <c r="A4514" s="10" t="str">
        <f>IFERROR(__xludf.DUMMYFUNCTION("""COMPUTED_VALUE"""),"課長視野狭窄")</f>
        <v>課長視野狭窄</v>
      </c>
      <c r="B4514" s="10">
        <f>IFERROR(__xludf.DUMMYFUNCTION("""COMPUTED_VALUE"""),2264.0)</f>
        <v>2264</v>
      </c>
      <c r="C4514" s="10">
        <f>IFERROR(__xludf.DUMMYFUNCTION("""COMPUTED_VALUE"""),26717.0)</f>
        <v>26717</v>
      </c>
      <c r="D4514" s="5">
        <f>IFERROR(__xludf.DUMMYFUNCTION("""COMPUTED_VALUE"""),0.3475238212080317)</f>
        <v>0.3475238212</v>
      </c>
      <c r="E4514" s="5">
        <f>IFERROR(__xludf.DUMMYFUNCTION("""COMPUTED_VALUE"""),0.11732711732711733)</f>
        <v>0.1173271173</v>
      </c>
      <c r="F4514" s="5">
        <f>IFERROR(__xludf.DUMMYFUNCTION("""COMPUTED_VALUE"""),0.20598699546067967)</f>
        <v>0.2059869955</v>
      </c>
      <c r="G4514" s="5">
        <f>IFERROR(__xludf.DUMMYFUNCTION("""COMPUTED_VALUE"""),0.17625649204596572)</f>
        <v>0.176256492</v>
      </c>
      <c r="H4514" s="5">
        <f>IFERROR(__xludf.DUMMYFUNCTION("""COMPUTED_VALUE"""),0.5940043676791741)</f>
        <v>0.5940043677</v>
      </c>
      <c r="I4514" s="11">
        <f>IFERROR(__xludf.DUMMYFUNCTION("""COMPUTED_VALUE"""),5792.753623188406)</f>
        <v>5792.753623</v>
      </c>
      <c r="J4514" s="10">
        <f>IFERROR(__xludf.DUMMYFUNCTION("""COMPUTED_VALUE"""),7.0)</f>
        <v>7</v>
      </c>
      <c r="K4514" s="5">
        <f>IFERROR(__xludf.DUMMYFUNCTION("""COMPUTED_VALUE"""),0.0030918727915194345)</f>
        <v>0.003091872792</v>
      </c>
      <c r="L4514" s="10">
        <f>IFERROR(__xludf.DUMMYFUNCTION("""COMPUTED_VALUE"""),2264.0)</f>
        <v>2264</v>
      </c>
      <c r="M4514" s="5">
        <f>IFERROR(__xludf.DUMMYFUNCTION("""COMPUTED_VALUE"""),1.0)</f>
        <v>1</v>
      </c>
    </row>
    <row r="4515">
      <c r="A4515" s="10" t="str">
        <f>IFERROR(__xludf.DUMMYFUNCTION("""COMPUTED_VALUE"""),"豊穣の角笛")</f>
        <v>豊穣の角笛</v>
      </c>
      <c r="B4515" s="10">
        <f>IFERROR(__xludf.DUMMYFUNCTION("""COMPUTED_VALUE"""),134.0)</f>
        <v>134</v>
      </c>
      <c r="C4515" s="10">
        <f>IFERROR(__xludf.DUMMYFUNCTION("""COMPUTED_VALUE"""),1600.0)</f>
        <v>1600</v>
      </c>
      <c r="D4515" s="5">
        <f>IFERROR(__xludf.DUMMYFUNCTION("""COMPUTED_VALUE"""),0.35129604365620737)</f>
        <v>0.3512960437</v>
      </c>
      <c r="E4515" s="5">
        <f>IFERROR(__xludf.DUMMYFUNCTION("""COMPUTED_VALUE"""),0.11732605729877217)</f>
        <v>0.1173260573</v>
      </c>
      <c r="F4515" s="5">
        <f>IFERROR(__xludf.DUMMYFUNCTION("""COMPUTED_VALUE"""),0.2189631650750341)</f>
        <v>0.2189631651</v>
      </c>
      <c r="G4515" s="5">
        <f>IFERROR(__xludf.DUMMYFUNCTION("""COMPUTED_VALUE"""),0.19577080491132332)</f>
        <v>0.1957708049</v>
      </c>
      <c r="H4515" s="5">
        <f>IFERROR(__xludf.DUMMYFUNCTION("""COMPUTED_VALUE"""),0.5638629283489096)</f>
        <v>0.5638629283</v>
      </c>
      <c r="I4515" s="11">
        <f>IFERROR(__xludf.DUMMYFUNCTION("""COMPUTED_VALUE"""),5712.14953271028)</f>
        <v>5712.149533</v>
      </c>
      <c r="J4515" s="10">
        <f>IFERROR(__xludf.DUMMYFUNCTION("""COMPUTED_VALUE"""),0.0)</f>
        <v>0</v>
      </c>
      <c r="K4515" s="5">
        <f>IFERROR(__xludf.DUMMYFUNCTION("""COMPUTED_VALUE"""),0.0)</f>
        <v>0</v>
      </c>
      <c r="L4515" s="10">
        <f>IFERROR(__xludf.DUMMYFUNCTION("""COMPUTED_VALUE"""),134.0)</f>
        <v>134</v>
      </c>
      <c r="M4515" s="5">
        <f>IFERROR(__xludf.DUMMYFUNCTION("""COMPUTED_VALUE"""),1.0)</f>
        <v>1</v>
      </c>
    </row>
    <row r="4516">
      <c r="A4516" s="10" t="str">
        <f>IFERROR(__xludf.DUMMYFUNCTION("""COMPUTED_VALUE"""),"墾田永年私財法")</f>
        <v>墾田永年私財法</v>
      </c>
      <c r="B4516" s="10">
        <f>IFERROR(__xludf.DUMMYFUNCTION("""COMPUTED_VALUE"""),102.0)</f>
        <v>102</v>
      </c>
      <c r="C4516" s="10">
        <f>IFERROR(__xludf.DUMMYFUNCTION("""COMPUTED_VALUE"""),1193.0)</f>
        <v>1193</v>
      </c>
      <c r="D4516" s="5">
        <f>IFERROR(__xludf.DUMMYFUNCTION("""COMPUTED_VALUE"""),0.41979835013748856)</f>
        <v>0.4197983501</v>
      </c>
      <c r="E4516" s="5">
        <f>IFERROR(__xludf.DUMMYFUNCTION("""COMPUTED_VALUE"""),0.11732355637030248)</f>
        <v>0.1173235564</v>
      </c>
      <c r="F4516" s="5">
        <f>IFERROR(__xludf.DUMMYFUNCTION("""COMPUTED_VALUE"""),0.22823098075160403)</f>
        <v>0.2282309808</v>
      </c>
      <c r="G4516" s="5">
        <f>IFERROR(__xludf.DUMMYFUNCTION("""COMPUTED_VALUE"""),0.1695692025664528)</f>
        <v>0.1695692026</v>
      </c>
      <c r="H4516" s="5">
        <f>IFERROR(__xludf.DUMMYFUNCTION("""COMPUTED_VALUE"""),0.6385542168674698)</f>
        <v>0.6385542169</v>
      </c>
      <c r="I4516" s="11">
        <f>IFERROR(__xludf.DUMMYFUNCTION("""COMPUTED_VALUE"""),5102.81124497992)</f>
        <v>5102.811245</v>
      </c>
      <c r="J4516" s="10">
        <f>IFERROR(__xludf.DUMMYFUNCTION("""COMPUTED_VALUE"""),0.0)</f>
        <v>0</v>
      </c>
      <c r="K4516" s="5">
        <f>IFERROR(__xludf.DUMMYFUNCTION("""COMPUTED_VALUE"""),0.0)</f>
        <v>0</v>
      </c>
      <c r="L4516" s="10">
        <f>IFERROR(__xludf.DUMMYFUNCTION("""COMPUTED_VALUE"""),102.0)</f>
        <v>102</v>
      </c>
      <c r="M4516" s="5">
        <f>IFERROR(__xludf.DUMMYFUNCTION("""COMPUTED_VALUE"""),1.0)</f>
        <v>1</v>
      </c>
    </row>
    <row r="4517">
      <c r="A4517" s="10" t="str">
        <f>IFERROR(__xludf.DUMMYFUNCTION("""COMPUTED_VALUE"""),"nemonemo")</f>
        <v>nemonemo</v>
      </c>
      <c r="B4517" s="10">
        <f>IFERROR(__xludf.DUMMYFUNCTION("""COMPUTED_VALUE"""),201.0)</f>
        <v>201</v>
      </c>
      <c r="C4517" s="10">
        <f>IFERROR(__xludf.DUMMYFUNCTION("""COMPUTED_VALUE"""),2383.0)</f>
        <v>2383</v>
      </c>
      <c r="D4517" s="5">
        <f>IFERROR(__xludf.DUMMYFUNCTION("""COMPUTED_VALUE"""),0.35151237396883594)</f>
        <v>0.351512374</v>
      </c>
      <c r="E4517" s="5">
        <f>IFERROR(__xludf.DUMMYFUNCTION("""COMPUTED_VALUE"""),0.11732355637030248)</f>
        <v>0.1173235564</v>
      </c>
      <c r="F4517" s="5">
        <f>IFERROR(__xludf.DUMMYFUNCTION("""COMPUTED_VALUE"""),0.20485792850595783)</f>
        <v>0.2048579285</v>
      </c>
      <c r="G4517" s="5">
        <f>IFERROR(__xludf.DUMMYFUNCTION("""COMPUTED_VALUE"""),0.13290559120073328)</f>
        <v>0.1329055912</v>
      </c>
      <c r="H4517" s="5">
        <f>IFERROR(__xludf.DUMMYFUNCTION("""COMPUTED_VALUE"""),0.5816554809843401)</f>
        <v>0.581655481</v>
      </c>
      <c r="I4517" s="11">
        <f>IFERROR(__xludf.DUMMYFUNCTION("""COMPUTED_VALUE"""),5510.738255033557)</f>
        <v>5510.738255</v>
      </c>
      <c r="J4517" s="10">
        <f>IFERROR(__xludf.DUMMYFUNCTION("""COMPUTED_VALUE"""),0.0)</f>
        <v>0</v>
      </c>
      <c r="K4517" s="5">
        <f>IFERROR(__xludf.DUMMYFUNCTION("""COMPUTED_VALUE"""),0.0)</f>
        <v>0</v>
      </c>
      <c r="L4517" s="10">
        <f>IFERROR(__xludf.DUMMYFUNCTION("""COMPUTED_VALUE"""),201.0)</f>
        <v>201</v>
      </c>
      <c r="M4517" s="5">
        <f>IFERROR(__xludf.DUMMYFUNCTION("""COMPUTED_VALUE"""),1.0)</f>
        <v>1</v>
      </c>
    </row>
    <row r="4518">
      <c r="A4518" s="10" t="str">
        <f>IFERROR(__xludf.DUMMYFUNCTION("""COMPUTED_VALUE"""),"ノーコンテスト")</f>
        <v>ノーコンテスト</v>
      </c>
      <c r="B4518" s="10">
        <f>IFERROR(__xludf.DUMMYFUNCTION("""COMPUTED_VALUE"""),819.0)</f>
        <v>819</v>
      </c>
      <c r="C4518" s="10">
        <f>IFERROR(__xludf.DUMMYFUNCTION("""COMPUTED_VALUE"""),9573.0)</f>
        <v>9573</v>
      </c>
      <c r="D4518" s="5">
        <f>IFERROR(__xludf.DUMMYFUNCTION("""COMPUTED_VALUE"""),0.3323052318939913)</f>
        <v>0.3323052319</v>
      </c>
      <c r="E4518" s="5">
        <f>IFERROR(__xludf.DUMMYFUNCTION("""COMPUTED_VALUE"""),0.11731779757824995)</f>
        <v>0.1173177976</v>
      </c>
      <c r="F4518" s="5">
        <f>IFERROR(__xludf.DUMMYFUNCTION("""COMPUTED_VALUE"""),0.21590130226182316)</f>
        <v>0.2159013023</v>
      </c>
      <c r="G4518" s="5">
        <f>IFERROR(__xludf.DUMMYFUNCTION("""COMPUTED_VALUE"""),0.15787068768562942)</f>
        <v>0.1578706877</v>
      </c>
      <c r="H4518" s="5">
        <f>IFERROR(__xludf.DUMMYFUNCTION("""COMPUTED_VALUE"""),0.6100529100529101)</f>
        <v>0.6100529101</v>
      </c>
      <c r="I4518" s="11">
        <f>IFERROR(__xludf.DUMMYFUNCTION("""COMPUTED_VALUE"""),5594.4973544973545)</f>
        <v>5594.497354</v>
      </c>
      <c r="J4518" s="10">
        <f>IFERROR(__xludf.DUMMYFUNCTION("""COMPUTED_VALUE"""),1.0)</f>
        <v>1</v>
      </c>
      <c r="K4518" s="5">
        <f>IFERROR(__xludf.DUMMYFUNCTION("""COMPUTED_VALUE"""),0.001221001221001221)</f>
        <v>0.001221001221</v>
      </c>
      <c r="L4518" s="10">
        <f>IFERROR(__xludf.DUMMYFUNCTION("""COMPUTED_VALUE"""),819.0)</f>
        <v>819</v>
      </c>
      <c r="M4518" s="5">
        <f>IFERROR(__xludf.DUMMYFUNCTION("""COMPUTED_VALUE"""),1.0)</f>
        <v>1</v>
      </c>
    </row>
    <row r="4519">
      <c r="A4519" s="10" t="str">
        <f>IFERROR(__xludf.DUMMYFUNCTION("""COMPUTED_VALUE"""),"魔術師メリー")</f>
        <v>魔術師メリー</v>
      </c>
      <c r="B4519" s="10">
        <f>IFERROR(__xludf.DUMMYFUNCTION("""COMPUTED_VALUE"""),1939.0)</f>
        <v>1939</v>
      </c>
      <c r="C4519" s="10">
        <f>IFERROR(__xludf.DUMMYFUNCTION("""COMPUTED_VALUE"""),23037.0)</f>
        <v>23037</v>
      </c>
      <c r="D4519" s="5">
        <f>IFERROR(__xludf.DUMMYFUNCTION("""COMPUTED_VALUE"""),0.4058204569153474)</f>
        <v>0.4058204569</v>
      </c>
      <c r="E4519" s="5">
        <f>IFERROR(__xludf.DUMMYFUNCTION("""COMPUTED_VALUE"""),0.1173096976016684)</f>
        <v>0.1173096976</v>
      </c>
      <c r="F4519" s="5">
        <f>IFERROR(__xludf.DUMMYFUNCTION("""COMPUTED_VALUE"""),0.2095459285240307)</f>
        <v>0.2095459285</v>
      </c>
      <c r="G4519" s="5">
        <f>IFERROR(__xludf.DUMMYFUNCTION("""COMPUTED_VALUE"""),0.1622902644800455)</f>
        <v>0.1622902645</v>
      </c>
      <c r="H4519" s="5">
        <f>IFERROR(__xludf.DUMMYFUNCTION("""COMPUTED_VALUE"""),0.6136620674055644)</f>
        <v>0.6136620674</v>
      </c>
      <c r="I4519" s="11">
        <f>IFERROR(__xludf.DUMMYFUNCTION("""COMPUTED_VALUE"""),5398.235693282063)</f>
        <v>5398.235693</v>
      </c>
      <c r="J4519" s="10">
        <f>IFERROR(__xludf.DUMMYFUNCTION("""COMPUTED_VALUE"""),0.0)</f>
        <v>0</v>
      </c>
      <c r="K4519" s="5">
        <f>IFERROR(__xludf.DUMMYFUNCTION("""COMPUTED_VALUE"""),0.0)</f>
        <v>0</v>
      </c>
      <c r="L4519" s="10">
        <f>IFERROR(__xludf.DUMMYFUNCTION("""COMPUTED_VALUE"""),0.0)</f>
        <v>0</v>
      </c>
      <c r="M4519" s="5">
        <f>IFERROR(__xludf.DUMMYFUNCTION("""COMPUTED_VALUE"""),0.0)</f>
        <v>0</v>
      </c>
    </row>
    <row r="4520">
      <c r="A4520" s="10" t="str">
        <f>IFERROR(__xludf.DUMMYFUNCTION("""COMPUTED_VALUE"""),"パトカー燃やす")</f>
        <v>パトカー燃やす</v>
      </c>
      <c r="B4520" s="10">
        <f>IFERROR(__xludf.DUMMYFUNCTION("""COMPUTED_VALUE"""),1726.0)</f>
        <v>1726</v>
      </c>
      <c r="C4520" s="10">
        <f>IFERROR(__xludf.DUMMYFUNCTION("""COMPUTED_VALUE"""),20301.0)</f>
        <v>20301</v>
      </c>
      <c r="D4520" s="5">
        <f>IFERROR(__xludf.DUMMYFUNCTION("""COMPUTED_VALUE"""),0.27542395693135935)</f>
        <v>0.2754239569</v>
      </c>
      <c r="E4520" s="5">
        <f>IFERROR(__xludf.DUMMYFUNCTION("""COMPUTED_VALUE"""),0.11730820995962316)</f>
        <v>0.11730821</v>
      </c>
      <c r="F4520" s="5">
        <f>IFERROR(__xludf.DUMMYFUNCTION("""COMPUTED_VALUE"""),0.20586810228802152)</f>
        <v>0.2058681023</v>
      </c>
      <c r="G4520" s="5">
        <f>IFERROR(__xludf.DUMMYFUNCTION("""COMPUTED_VALUE"""),0.18497981157469717)</f>
        <v>0.1849798116</v>
      </c>
      <c r="H4520" s="5">
        <f>IFERROR(__xludf.DUMMYFUNCTION("""COMPUTED_VALUE"""),0.5993723849372385)</f>
        <v>0.5993723849</v>
      </c>
      <c r="I4520" s="11">
        <f>IFERROR(__xludf.DUMMYFUNCTION("""COMPUTED_VALUE"""),5990.716527196652)</f>
        <v>5990.716527</v>
      </c>
      <c r="J4520" s="10">
        <f>IFERROR(__xludf.DUMMYFUNCTION("""COMPUTED_VALUE"""),3.0)</f>
        <v>3</v>
      </c>
      <c r="K4520" s="5">
        <f>IFERROR(__xludf.DUMMYFUNCTION("""COMPUTED_VALUE"""),0.0017381228273464658)</f>
        <v>0.001738122827</v>
      </c>
      <c r="L4520" s="10">
        <f>IFERROR(__xludf.DUMMYFUNCTION("""COMPUTED_VALUE"""),0.0)</f>
        <v>0</v>
      </c>
      <c r="M4520" s="5">
        <f>IFERROR(__xludf.DUMMYFUNCTION("""COMPUTED_VALUE"""),0.0)</f>
        <v>0</v>
      </c>
    </row>
    <row r="4521">
      <c r="A4521" s="10" t="str">
        <f>IFERROR(__xludf.DUMMYFUNCTION("""COMPUTED_VALUE"""),"魚青")</f>
        <v>魚青</v>
      </c>
      <c r="B4521" s="10">
        <f>IFERROR(__xludf.DUMMYFUNCTION("""COMPUTED_VALUE"""),507.0)</f>
        <v>507</v>
      </c>
      <c r="C4521" s="10">
        <f>IFERROR(__xludf.DUMMYFUNCTION("""COMPUTED_VALUE"""),5886.0)</f>
        <v>5886</v>
      </c>
      <c r="D4521" s="5">
        <f>IFERROR(__xludf.DUMMYFUNCTION("""COMPUTED_VALUE"""),0.3125116192600855)</f>
        <v>0.3125116193</v>
      </c>
      <c r="E4521" s="5">
        <f>IFERROR(__xludf.DUMMYFUNCTION("""COMPUTED_VALUE"""),0.11730804982338724)</f>
        <v>0.1173080498</v>
      </c>
      <c r="F4521" s="5">
        <f>IFERROR(__xludf.DUMMYFUNCTION("""COMPUTED_VALUE"""),0.18925450827291318)</f>
        <v>0.1892545083</v>
      </c>
      <c r="G4521" s="5">
        <f>IFERROR(__xludf.DUMMYFUNCTION("""COMPUTED_VALUE"""),0.12641754973043318)</f>
        <v>0.1264175497</v>
      </c>
      <c r="H4521" s="5">
        <f>IFERROR(__xludf.DUMMYFUNCTION("""COMPUTED_VALUE"""),0.6041257367387033)</f>
        <v>0.6041257367</v>
      </c>
      <c r="I4521" s="11">
        <f>IFERROR(__xludf.DUMMYFUNCTION("""COMPUTED_VALUE"""),5836.345776031434)</f>
        <v>5836.345776</v>
      </c>
      <c r="J4521" s="10">
        <f>IFERROR(__xludf.DUMMYFUNCTION("""COMPUTED_VALUE"""),3.0)</f>
        <v>3</v>
      </c>
      <c r="K4521" s="5">
        <f>IFERROR(__xludf.DUMMYFUNCTION("""COMPUTED_VALUE"""),0.005917159763313609)</f>
        <v>0.005917159763</v>
      </c>
      <c r="L4521" s="10">
        <f>IFERROR(__xludf.DUMMYFUNCTION("""COMPUTED_VALUE"""),507.0)</f>
        <v>507</v>
      </c>
      <c r="M4521" s="5">
        <f>IFERROR(__xludf.DUMMYFUNCTION("""COMPUTED_VALUE"""),1.0)</f>
        <v>1</v>
      </c>
    </row>
    <row r="4522">
      <c r="A4522" s="10" t="str">
        <f>IFERROR(__xludf.DUMMYFUNCTION("""COMPUTED_VALUE"""),"腹痛ぽっくん")</f>
        <v>腹痛ぽっくん</v>
      </c>
      <c r="B4522" s="10">
        <f>IFERROR(__xludf.DUMMYFUNCTION("""COMPUTED_VALUE"""),163.0)</f>
        <v>163</v>
      </c>
      <c r="C4522" s="10">
        <f>IFERROR(__xludf.DUMMYFUNCTION("""COMPUTED_VALUE"""),1885.0)</f>
        <v>1885</v>
      </c>
      <c r="D4522" s="5">
        <f>IFERROR(__xludf.DUMMYFUNCTION("""COMPUTED_VALUE"""),0.3635307781649245)</f>
        <v>0.3635307782</v>
      </c>
      <c r="E4522" s="5">
        <f>IFERROR(__xludf.DUMMYFUNCTION("""COMPUTED_VALUE"""),0.1173054587688734)</f>
        <v>0.1173054588</v>
      </c>
      <c r="F4522" s="5">
        <f>IFERROR(__xludf.DUMMYFUNCTION("""COMPUTED_VALUE"""),0.20441347270615565)</f>
        <v>0.2044134727</v>
      </c>
      <c r="G4522" s="5">
        <f>IFERROR(__xludf.DUMMYFUNCTION("""COMPUTED_VALUE"""),0.19047619047619047)</f>
        <v>0.1904761905</v>
      </c>
      <c r="H4522" s="5">
        <f>IFERROR(__xludf.DUMMYFUNCTION("""COMPUTED_VALUE"""),0.6051136363636364)</f>
        <v>0.6051136364</v>
      </c>
      <c r="I4522" s="11">
        <f>IFERROR(__xludf.DUMMYFUNCTION("""COMPUTED_VALUE"""),6322.443181818182)</f>
        <v>6322.443182</v>
      </c>
      <c r="J4522" s="10">
        <f>IFERROR(__xludf.DUMMYFUNCTION("""COMPUTED_VALUE"""),1.0)</f>
        <v>1</v>
      </c>
      <c r="K4522" s="5">
        <f>IFERROR(__xludf.DUMMYFUNCTION("""COMPUTED_VALUE"""),0.006134969325153374)</f>
        <v>0.006134969325</v>
      </c>
      <c r="L4522" s="10">
        <f>IFERROR(__xludf.DUMMYFUNCTION("""COMPUTED_VALUE"""),163.0)</f>
        <v>163</v>
      </c>
      <c r="M4522" s="5">
        <f>IFERROR(__xludf.DUMMYFUNCTION("""COMPUTED_VALUE"""),1.0)</f>
        <v>1</v>
      </c>
    </row>
    <row r="4523">
      <c r="A4523" s="10" t="str">
        <f>IFERROR(__xludf.DUMMYFUNCTION("""COMPUTED_VALUE"""),"アップルグミ")</f>
        <v>アップルグミ</v>
      </c>
      <c r="B4523" s="10">
        <f>IFERROR(__xludf.DUMMYFUNCTION("""COMPUTED_VALUE"""),1182.0)</f>
        <v>1182</v>
      </c>
      <c r="C4523" s="10">
        <f>IFERROR(__xludf.DUMMYFUNCTION("""COMPUTED_VALUE"""),14012.0)</f>
        <v>14012</v>
      </c>
      <c r="D4523" s="5">
        <f>IFERROR(__xludf.DUMMYFUNCTION("""COMPUTED_VALUE"""),0.39937646141855027)</f>
        <v>0.3993764614</v>
      </c>
      <c r="E4523" s="5">
        <f>IFERROR(__xludf.DUMMYFUNCTION("""COMPUTED_VALUE"""),0.11730319563522992)</f>
        <v>0.1173031956</v>
      </c>
      <c r="F4523" s="5">
        <f>IFERROR(__xludf.DUMMYFUNCTION("""COMPUTED_VALUE"""),0.21699142634450508)</f>
        <v>0.2169914263</v>
      </c>
      <c r="G4523" s="5">
        <f>IFERROR(__xludf.DUMMYFUNCTION("""COMPUTED_VALUE"""),0.1519095869056898)</f>
        <v>0.1519095869</v>
      </c>
      <c r="H4523" s="5">
        <f>IFERROR(__xludf.DUMMYFUNCTION("""COMPUTED_VALUE"""),0.5833333333333334)</f>
        <v>0.5833333333</v>
      </c>
      <c r="I4523" s="11">
        <f>IFERROR(__xludf.DUMMYFUNCTION("""COMPUTED_VALUE"""),5370.869252873563)</f>
        <v>5370.869253</v>
      </c>
      <c r="J4523" s="10">
        <f>IFERROR(__xludf.DUMMYFUNCTION("""COMPUTED_VALUE"""),2.0)</f>
        <v>2</v>
      </c>
      <c r="K4523" s="5">
        <f>IFERROR(__xludf.DUMMYFUNCTION("""COMPUTED_VALUE"""),0.001692047377326565)</f>
        <v>0.001692047377</v>
      </c>
      <c r="L4523" s="10">
        <f>IFERROR(__xludf.DUMMYFUNCTION("""COMPUTED_VALUE"""),1182.0)</f>
        <v>1182</v>
      </c>
      <c r="M4523" s="5">
        <f>IFERROR(__xludf.DUMMYFUNCTION("""COMPUTED_VALUE"""),1.0)</f>
        <v>1</v>
      </c>
    </row>
    <row r="4524">
      <c r="A4524" s="10" t="str">
        <f>IFERROR(__xludf.DUMMYFUNCTION("""COMPUTED_VALUE"""),"ryo17")</f>
        <v>ryo17</v>
      </c>
      <c r="B4524" s="10">
        <f>IFERROR(__xludf.DUMMYFUNCTION("""COMPUTED_VALUE"""),404.0)</f>
        <v>404</v>
      </c>
      <c r="C4524" s="10">
        <f>IFERROR(__xludf.DUMMYFUNCTION("""COMPUTED_VALUE"""),4641.0)</f>
        <v>4641</v>
      </c>
      <c r="D4524" s="5">
        <f>IFERROR(__xludf.DUMMYFUNCTION("""COMPUTED_VALUE"""),0.1699315553457635)</f>
        <v>0.1699315553</v>
      </c>
      <c r="E4524" s="5">
        <f>IFERROR(__xludf.DUMMYFUNCTION("""COMPUTED_VALUE"""),0.1172999763983951)</f>
        <v>0.1172999764</v>
      </c>
      <c r="F4524" s="5">
        <f>IFERROR(__xludf.DUMMYFUNCTION("""COMPUTED_VALUE"""),0.17772008496577768)</f>
        <v>0.177720085</v>
      </c>
      <c r="G4524" s="5">
        <f>IFERROR(__xludf.DUMMYFUNCTION("""COMPUTED_VALUE"""),0.19848949728581544)</f>
        <v>0.1984894973</v>
      </c>
      <c r="H4524" s="5">
        <f>IFERROR(__xludf.DUMMYFUNCTION("""COMPUTED_VALUE"""),0.601593625498008)</f>
        <v>0.6015936255</v>
      </c>
      <c r="I4524" s="11">
        <f>IFERROR(__xludf.DUMMYFUNCTION("""COMPUTED_VALUE"""),6118.061088977423)</f>
        <v>6118.061089</v>
      </c>
      <c r="J4524" s="10">
        <f>IFERROR(__xludf.DUMMYFUNCTION("""COMPUTED_VALUE"""),2.0)</f>
        <v>2</v>
      </c>
      <c r="K4524" s="5">
        <f>IFERROR(__xludf.DUMMYFUNCTION("""COMPUTED_VALUE"""),0.0049504950495049506)</f>
        <v>0.00495049505</v>
      </c>
      <c r="L4524" s="10">
        <f>IFERROR(__xludf.DUMMYFUNCTION("""COMPUTED_VALUE"""),404.0)</f>
        <v>404</v>
      </c>
      <c r="M4524" s="5">
        <f>IFERROR(__xludf.DUMMYFUNCTION("""COMPUTED_VALUE"""),1.0)</f>
        <v>1</v>
      </c>
    </row>
    <row r="4525">
      <c r="A4525" s="10" t="str">
        <f>IFERROR(__xludf.DUMMYFUNCTION("""COMPUTED_VALUE"""),"どくだみ！")</f>
        <v>どくだみ！</v>
      </c>
      <c r="B4525" s="10">
        <f>IFERROR(__xludf.DUMMYFUNCTION("""COMPUTED_VALUE"""),511.0)</f>
        <v>511</v>
      </c>
      <c r="C4525" s="10">
        <f>IFERROR(__xludf.DUMMYFUNCTION("""COMPUTED_VALUE"""),6062.0)</f>
        <v>6062</v>
      </c>
      <c r="D4525" s="5">
        <f>IFERROR(__xludf.DUMMYFUNCTION("""COMPUTED_VALUE"""),0.3644388398486759)</f>
        <v>0.3644388398</v>
      </c>
      <c r="E4525" s="5">
        <f>IFERROR(__xludf.DUMMYFUNCTION("""COMPUTED_VALUE"""),0.11727616645649433)</f>
        <v>0.1172761665</v>
      </c>
      <c r="F4525" s="5">
        <f>IFERROR(__xludf.DUMMYFUNCTION("""COMPUTED_VALUE"""),0.21887948117456313)</f>
        <v>0.2188794812</v>
      </c>
      <c r="G4525" s="5">
        <f>IFERROR(__xludf.DUMMYFUNCTION("""COMPUTED_VALUE"""),0.1873536299765808)</f>
        <v>0.18735363</v>
      </c>
      <c r="H4525" s="5">
        <f>IFERROR(__xludf.DUMMYFUNCTION("""COMPUTED_VALUE"""),0.5983539094650205)</f>
        <v>0.5983539095</v>
      </c>
      <c r="I4525" s="11">
        <f>IFERROR(__xludf.DUMMYFUNCTION("""COMPUTED_VALUE"""),5455.884773662551)</f>
        <v>5455.884774</v>
      </c>
      <c r="J4525" s="10">
        <f>IFERROR(__xludf.DUMMYFUNCTION("""COMPUTED_VALUE"""),0.0)</f>
        <v>0</v>
      </c>
      <c r="K4525" s="5">
        <f>IFERROR(__xludf.DUMMYFUNCTION("""COMPUTED_VALUE"""),0.0)</f>
        <v>0</v>
      </c>
      <c r="L4525" s="10">
        <f>IFERROR(__xludf.DUMMYFUNCTION("""COMPUTED_VALUE"""),511.0)</f>
        <v>511</v>
      </c>
      <c r="M4525" s="5">
        <f>IFERROR(__xludf.DUMMYFUNCTION("""COMPUTED_VALUE"""),1.0)</f>
        <v>1</v>
      </c>
    </row>
    <row r="4526">
      <c r="A4526" s="10" t="str">
        <f>IFERROR(__xludf.DUMMYFUNCTION("""COMPUTED_VALUE"""),"ちゅーれん")</f>
        <v>ちゅーれん</v>
      </c>
      <c r="B4526" s="10">
        <f>IFERROR(__xludf.DUMMYFUNCTION("""COMPUTED_VALUE"""),510.0)</f>
        <v>510</v>
      </c>
      <c r="C4526" s="10">
        <f>IFERROR(__xludf.DUMMYFUNCTION("""COMPUTED_VALUE"""),5993.0)</f>
        <v>5993</v>
      </c>
      <c r="D4526" s="5">
        <f>IFERROR(__xludf.DUMMYFUNCTION("""COMPUTED_VALUE"""),0.40744118183476197)</f>
        <v>0.4074411818</v>
      </c>
      <c r="E4526" s="5">
        <f>IFERROR(__xludf.DUMMYFUNCTION("""COMPUTED_VALUE"""),0.11727156666058727)</f>
        <v>0.1172715667</v>
      </c>
      <c r="F4526" s="5">
        <f>IFERROR(__xludf.DUMMYFUNCTION("""COMPUTED_VALUE"""),0.21119824913368593)</f>
        <v>0.2111982491</v>
      </c>
      <c r="G4526" s="5">
        <f>IFERROR(__xludf.DUMMYFUNCTION("""COMPUTED_VALUE"""),0.1614079883275579)</f>
        <v>0.1614079883</v>
      </c>
      <c r="H4526" s="5">
        <f>IFERROR(__xludf.DUMMYFUNCTION("""COMPUTED_VALUE"""),0.5967184801381693)</f>
        <v>0.5967184801</v>
      </c>
      <c r="I4526" s="11">
        <f>IFERROR(__xludf.DUMMYFUNCTION("""COMPUTED_VALUE"""),5443.350604490501)</f>
        <v>5443.350604</v>
      </c>
      <c r="J4526" s="10">
        <f>IFERROR(__xludf.DUMMYFUNCTION("""COMPUTED_VALUE"""),1.0)</f>
        <v>1</v>
      </c>
      <c r="K4526" s="5">
        <f>IFERROR(__xludf.DUMMYFUNCTION("""COMPUTED_VALUE"""),0.00196078431372549)</f>
        <v>0.001960784314</v>
      </c>
      <c r="L4526" s="10">
        <f>IFERROR(__xludf.DUMMYFUNCTION("""COMPUTED_VALUE"""),510.0)</f>
        <v>510</v>
      </c>
      <c r="M4526" s="5">
        <f>IFERROR(__xludf.DUMMYFUNCTION("""COMPUTED_VALUE"""),1.0)</f>
        <v>1</v>
      </c>
    </row>
    <row r="4527">
      <c r="A4527" s="10" t="str">
        <f>IFERROR(__xludf.DUMMYFUNCTION("""COMPUTED_VALUE"""),"MJの最高峰")</f>
        <v>MJの最高峰</v>
      </c>
      <c r="B4527" s="10">
        <f>IFERROR(__xludf.DUMMYFUNCTION("""COMPUTED_VALUE"""),1822.0)</f>
        <v>1822</v>
      </c>
      <c r="C4527" s="10">
        <f>IFERROR(__xludf.DUMMYFUNCTION("""COMPUTED_VALUE"""),21401.0)</f>
        <v>21401</v>
      </c>
      <c r="D4527" s="5">
        <f>IFERROR(__xludf.DUMMYFUNCTION("""COMPUTED_VALUE"""),0.3187088206752132)</f>
        <v>0.3187088207</v>
      </c>
      <c r="E4527" s="5">
        <f>IFERROR(__xludf.DUMMYFUNCTION("""COMPUTED_VALUE"""),0.11726850196639256)</f>
        <v>0.117268502</v>
      </c>
      <c r="F4527" s="5">
        <f>IFERROR(__xludf.DUMMYFUNCTION("""COMPUTED_VALUE"""),0.21032739159303335)</f>
        <v>0.2103273916</v>
      </c>
      <c r="G4527" s="5">
        <f>IFERROR(__xludf.DUMMYFUNCTION("""COMPUTED_VALUE"""),0.15118238929465244)</f>
        <v>0.1511823893</v>
      </c>
      <c r="H4527" s="5">
        <f>IFERROR(__xludf.DUMMYFUNCTION("""COMPUTED_VALUE"""),0.6041767848470131)</f>
        <v>0.6041767848</v>
      </c>
      <c r="I4527" s="11">
        <f>IFERROR(__xludf.DUMMYFUNCTION("""COMPUTED_VALUE"""),5604.662457503642)</f>
        <v>5604.662458</v>
      </c>
      <c r="J4527" s="10">
        <f>IFERROR(__xludf.DUMMYFUNCTION("""COMPUTED_VALUE"""),1.0)</f>
        <v>1</v>
      </c>
      <c r="K4527" s="5">
        <f>IFERROR(__xludf.DUMMYFUNCTION("""COMPUTED_VALUE"""),5.488474204171241E-4)</f>
        <v>0.0005488474204</v>
      </c>
      <c r="L4527" s="10">
        <f>IFERROR(__xludf.DUMMYFUNCTION("""COMPUTED_VALUE"""),1822.0)</f>
        <v>1822</v>
      </c>
      <c r="M4527" s="5">
        <f>IFERROR(__xludf.DUMMYFUNCTION("""COMPUTED_VALUE"""),1.0)</f>
        <v>1</v>
      </c>
    </row>
    <row r="4528">
      <c r="A4528" s="10" t="str">
        <f>IFERROR(__xludf.DUMMYFUNCTION("""COMPUTED_VALUE"""),"龍門渕透華")</f>
        <v>龍門渕透華</v>
      </c>
      <c r="B4528" s="10">
        <f>IFERROR(__xludf.DUMMYFUNCTION("""COMPUTED_VALUE"""),975.0)</f>
        <v>975</v>
      </c>
      <c r="C4528" s="10">
        <f>IFERROR(__xludf.DUMMYFUNCTION("""COMPUTED_VALUE"""),11430.0)</f>
        <v>11430</v>
      </c>
      <c r="D4528" s="5">
        <f>IFERROR(__xludf.DUMMYFUNCTION("""COMPUTED_VALUE"""),0.23462458153993304)</f>
        <v>0.2346245815</v>
      </c>
      <c r="E4528" s="5">
        <f>IFERROR(__xludf.DUMMYFUNCTION("""COMPUTED_VALUE"""),0.11726446676231468)</f>
        <v>0.1172644668</v>
      </c>
      <c r="F4528" s="5">
        <f>IFERROR(__xludf.DUMMYFUNCTION("""COMPUTED_VALUE"""),0.19598278335724534)</f>
        <v>0.1959827834</v>
      </c>
      <c r="G4528" s="5">
        <f>IFERROR(__xludf.DUMMYFUNCTION("""COMPUTED_VALUE"""),0.12979435676709708)</f>
        <v>0.1297943568</v>
      </c>
      <c r="H4528" s="5">
        <f>IFERROR(__xludf.DUMMYFUNCTION("""COMPUTED_VALUE"""),0.6085895558809176)</f>
        <v>0.6085895559</v>
      </c>
      <c r="I4528" s="11">
        <f>IFERROR(__xludf.DUMMYFUNCTION("""COMPUTED_VALUE"""),5694.485114690093)</f>
        <v>5694.485115</v>
      </c>
      <c r="J4528" s="10">
        <f>IFERROR(__xludf.DUMMYFUNCTION("""COMPUTED_VALUE"""),4.0)</f>
        <v>4</v>
      </c>
      <c r="K4528" s="5">
        <f>IFERROR(__xludf.DUMMYFUNCTION("""COMPUTED_VALUE"""),0.0041025641025641026)</f>
        <v>0.004102564103</v>
      </c>
      <c r="L4528" s="10">
        <f>IFERROR(__xludf.DUMMYFUNCTION("""COMPUTED_VALUE"""),6.0)</f>
        <v>6</v>
      </c>
      <c r="M4528" s="5">
        <f>IFERROR(__xludf.DUMMYFUNCTION("""COMPUTED_VALUE"""),0.006153846153846154)</f>
        <v>0.006153846154</v>
      </c>
    </row>
    <row r="4529">
      <c r="A4529" s="10" t="str">
        <f>IFERROR(__xludf.DUMMYFUNCTION("""COMPUTED_VALUE"""),"三色同刻☆")</f>
        <v>三色同刻☆</v>
      </c>
      <c r="B4529" s="10">
        <f>IFERROR(__xludf.DUMMYFUNCTION("""COMPUTED_VALUE"""),3070.0)</f>
        <v>3070</v>
      </c>
      <c r="C4529" s="10">
        <f>IFERROR(__xludf.DUMMYFUNCTION("""COMPUTED_VALUE"""),36202.0)</f>
        <v>36202</v>
      </c>
      <c r="D4529" s="5">
        <f>IFERROR(__xludf.DUMMYFUNCTION("""COMPUTED_VALUE"""),0.3863032717614391)</f>
        <v>0.3863032718</v>
      </c>
      <c r="E4529" s="5">
        <f>IFERROR(__xludf.DUMMYFUNCTION("""COMPUTED_VALUE"""),0.11725823976819993)</f>
        <v>0.1172582398</v>
      </c>
      <c r="F4529" s="5">
        <f>IFERROR(__xludf.DUMMYFUNCTION("""COMPUTED_VALUE"""),0.21450561390800435)</f>
        <v>0.2145056139</v>
      </c>
      <c r="G4529" s="5">
        <f>IFERROR(__xludf.DUMMYFUNCTION("""COMPUTED_VALUE"""),0.1499758541591211)</f>
        <v>0.1499758542</v>
      </c>
      <c r="H4529" s="5">
        <f>IFERROR(__xludf.DUMMYFUNCTION("""COMPUTED_VALUE"""),0.6063036442943577)</f>
        <v>0.6063036443</v>
      </c>
      <c r="I4529" s="11">
        <f>IFERROR(__xludf.DUMMYFUNCTION("""COMPUTED_VALUE"""),5427.268889826932)</f>
        <v>5427.26889</v>
      </c>
      <c r="J4529" s="10">
        <f>IFERROR(__xludf.DUMMYFUNCTION("""COMPUTED_VALUE"""),7.0)</f>
        <v>7</v>
      </c>
      <c r="K4529" s="5">
        <f>IFERROR(__xludf.DUMMYFUNCTION("""COMPUTED_VALUE"""),0.002280130293159609)</f>
        <v>0.002280130293</v>
      </c>
      <c r="L4529" s="10">
        <f>IFERROR(__xludf.DUMMYFUNCTION("""COMPUTED_VALUE"""),3070.0)</f>
        <v>3070</v>
      </c>
      <c r="M4529" s="5">
        <f>IFERROR(__xludf.DUMMYFUNCTION("""COMPUTED_VALUE"""),1.0)</f>
        <v>1</v>
      </c>
    </row>
    <row r="4530">
      <c r="A4530" s="10" t="str">
        <f>IFERROR(__xludf.DUMMYFUNCTION("""COMPUTED_VALUE"""),"松原不狗")</f>
        <v>松原不狗</v>
      </c>
      <c r="B4530" s="10">
        <f>IFERROR(__xludf.DUMMYFUNCTION("""COMPUTED_VALUE"""),228.0)</f>
        <v>228</v>
      </c>
      <c r="C4530" s="10">
        <f>IFERROR(__xludf.DUMMYFUNCTION("""COMPUTED_VALUE"""),2693.0)</f>
        <v>2693</v>
      </c>
      <c r="D4530" s="5">
        <f>IFERROR(__xludf.DUMMYFUNCTION("""COMPUTED_VALUE"""),0.385395537525355)</f>
        <v>0.3853955375</v>
      </c>
      <c r="E4530" s="5">
        <f>IFERROR(__xludf.DUMMYFUNCTION("""COMPUTED_VALUE"""),0.11724137931034483)</f>
        <v>0.1172413793</v>
      </c>
      <c r="F4530" s="5">
        <f>IFERROR(__xludf.DUMMYFUNCTION("""COMPUTED_VALUE"""),0.20446247464503042)</f>
        <v>0.2044624746</v>
      </c>
      <c r="G4530" s="5">
        <f>IFERROR(__xludf.DUMMYFUNCTION("""COMPUTED_VALUE"""),0.1484787018255578)</f>
        <v>0.1484787018</v>
      </c>
      <c r="H4530" s="5">
        <f>IFERROR(__xludf.DUMMYFUNCTION("""COMPUTED_VALUE"""),0.5932539682539683)</f>
        <v>0.5932539683</v>
      </c>
      <c r="I4530" s="11">
        <f>IFERROR(__xludf.DUMMYFUNCTION("""COMPUTED_VALUE"""),5142.063492063492)</f>
        <v>5142.063492</v>
      </c>
      <c r="J4530" s="10">
        <f>IFERROR(__xludf.DUMMYFUNCTION("""COMPUTED_VALUE"""),0.0)</f>
        <v>0</v>
      </c>
      <c r="K4530" s="5">
        <f>IFERROR(__xludf.DUMMYFUNCTION("""COMPUTED_VALUE"""),0.0)</f>
        <v>0</v>
      </c>
      <c r="L4530" s="10">
        <f>IFERROR(__xludf.DUMMYFUNCTION("""COMPUTED_VALUE"""),219.0)</f>
        <v>219</v>
      </c>
      <c r="M4530" s="5">
        <f>IFERROR(__xludf.DUMMYFUNCTION("""COMPUTED_VALUE"""),0.9605263157894737)</f>
        <v>0.9605263158</v>
      </c>
    </row>
    <row r="4531">
      <c r="A4531" s="10" t="str">
        <f>IFERROR(__xludf.DUMMYFUNCTION("""COMPUTED_VALUE"""),"lamb")</f>
        <v>lamb</v>
      </c>
      <c r="B4531" s="10">
        <f>IFERROR(__xludf.DUMMYFUNCTION("""COMPUTED_VALUE"""),552.0)</f>
        <v>552</v>
      </c>
      <c r="C4531" s="10">
        <f>IFERROR(__xludf.DUMMYFUNCTION("""COMPUTED_VALUE"""),6480.0)</f>
        <v>6480</v>
      </c>
      <c r="D4531" s="5">
        <f>IFERROR(__xludf.DUMMYFUNCTION("""COMPUTED_VALUE"""),0.35543184885290147)</f>
        <v>0.3554318489</v>
      </c>
      <c r="E4531" s="5">
        <f>IFERROR(__xludf.DUMMYFUNCTION("""COMPUTED_VALUE"""),0.11724021592442645)</f>
        <v>0.1172402159</v>
      </c>
      <c r="F4531" s="5">
        <f>IFERROR(__xludf.DUMMYFUNCTION("""COMPUTED_VALUE"""),0.20883940620782726)</f>
        <v>0.2088394062</v>
      </c>
      <c r="G4531" s="5">
        <f>IFERROR(__xludf.DUMMYFUNCTION("""COMPUTED_VALUE"""),0.17324561403508773)</f>
        <v>0.173245614</v>
      </c>
      <c r="H4531" s="5">
        <f>IFERROR(__xludf.DUMMYFUNCTION("""COMPUTED_VALUE"""),0.6025848142164781)</f>
        <v>0.6025848142</v>
      </c>
      <c r="I4531" s="11">
        <f>IFERROR(__xludf.DUMMYFUNCTION("""COMPUTED_VALUE"""),5522.051696284329)</f>
        <v>5522.051696</v>
      </c>
      <c r="J4531" s="10">
        <f>IFERROR(__xludf.DUMMYFUNCTION("""COMPUTED_VALUE"""),1.0)</f>
        <v>1</v>
      </c>
      <c r="K4531" s="5">
        <f>IFERROR(__xludf.DUMMYFUNCTION("""COMPUTED_VALUE"""),0.0018115942028985507)</f>
        <v>0.001811594203</v>
      </c>
      <c r="L4531" s="10">
        <f>IFERROR(__xludf.DUMMYFUNCTION("""COMPUTED_VALUE"""),552.0)</f>
        <v>552</v>
      </c>
      <c r="M4531" s="5">
        <f>IFERROR(__xludf.DUMMYFUNCTION("""COMPUTED_VALUE"""),1.0)</f>
        <v>1</v>
      </c>
    </row>
    <row r="4532">
      <c r="A4532" s="10" t="str">
        <f>IFERROR(__xludf.DUMMYFUNCTION("""COMPUTED_VALUE"""),"まるたろう")</f>
        <v>まるたろう</v>
      </c>
      <c r="B4532" s="10">
        <f>IFERROR(__xludf.DUMMYFUNCTION("""COMPUTED_VALUE"""),859.0)</f>
        <v>859</v>
      </c>
      <c r="C4532" s="10">
        <f>IFERROR(__xludf.DUMMYFUNCTION("""COMPUTED_VALUE"""),10199.0)</f>
        <v>10199</v>
      </c>
      <c r="D4532" s="5">
        <f>IFERROR(__xludf.DUMMYFUNCTION("""COMPUTED_VALUE"""),0.33822269807280514)</f>
        <v>0.3382226981</v>
      </c>
      <c r="E4532" s="5">
        <f>IFERROR(__xludf.DUMMYFUNCTION("""COMPUTED_VALUE"""),0.11723768736616702)</f>
        <v>0.1172376874</v>
      </c>
      <c r="F4532" s="5">
        <f>IFERROR(__xludf.DUMMYFUNCTION("""COMPUTED_VALUE"""),0.21177730192719485)</f>
        <v>0.2117773019</v>
      </c>
      <c r="G4532" s="5">
        <f>IFERROR(__xludf.DUMMYFUNCTION("""COMPUTED_VALUE"""),0.16241970021413277)</f>
        <v>0.1624197002</v>
      </c>
      <c r="H4532" s="5">
        <f>IFERROR(__xludf.DUMMYFUNCTION("""COMPUTED_VALUE"""),0.5995955510616785)</f>
        <v>0.5995955511</v>
      </c>
      <c r="I4532" s="11">
        <f>IFERROR(__xludf.DUMMYFUNCTION("""COMPUTED_VALUE"""),5372.952477249747)</f>
        <v>5372.952477</v>
      </c>
      <c r="J4532" s="10">
        <f>IFERROR(__xludf.DUMMYFUNCTION("""COMPUTED_VALUE"""),3.0)</f>
        <v>3</v>
      </c>
      <c r="K4532" s="5">
        <f>IFERROR(__xludf.DUMMYFUNCTION("""COMPUTED_VALUE"""),0.0034924330616996507)</f>
        <v>0.003492433062</v>
      </c>
      <c r="L4532" s="10">
        <f>IFERROR(__xludf.DUMMYFUNCTION("""COMPUTED_VALUE"""),460.0)</f>
        <v>460</v>
      </c>
      <c r="M4532" s="5">
        <f>IFERROR(__xludf.DUMMYFUNCTION("""COMPUTED_VALUE"""),0.5355064027939465)</f>
        <v>0.5355064028</v>
      </c>
    </row>
    <row r="4533">
      <c r="A4533" s="10" t="str">
        <f>IFERROR(__xludf.DUMMYFUNCTION("""COMPUTED_VALUE"""),"ひぽきよし")</f>
        <v>ひぽきよし</v>
      </c>
      <c r="B4533" s="10">
        <f>IFERROR(__xludf.DUMMYFUNCTION("""COMPUTED_VALUE"""),700.0)</f>
        <v>700</v>
      </c>
      <c r="C4533" s="10">
        <f>IFERROR(__xludf.DUMMYFUNCTION("""COMPUTED_VALUE"""),8266.0)</f>
        <v>8266</v>
      </c>
      <c r="D4533" s="5">
        <f>IFERROR(__xludf.DUMMYFUNCTION("""COMPUTED_VALUE"""),0.37272006344171293)</f>
        <v>0.3727200634</v>
      </c>
      <c r="E4533" s="5">
        <f>IFERROR(__xludf.DUMMYFUNCTION("""COMPUTED_VALUE"""),0.11723499867829765)</f>
        <v>0.1172349987</v>
      </c>
      <c r="F4533" s="5">
        <f>IFERROR(__xludf.DUMMYFUNCTION("""COMPUTED_VALUE"""),0.21147237642083003)</f>
        <v>0.2114723764</v>
      </c>
      <c r="G4533" s="5">
        <f>IFERROR(__xludf.DUMMYFUNCTION("""COMPUTED_VALUE"""),0.1506740681998414)</f>
        <v>0.1506740682</v>
      </c>
      <c r="H4533" s="5">
        <f>IFERROR(__xludf.DUMMYFUNCTION("""COMPUTED_VALUE"""),0.615625)</f>
        <v>0.615625</v>
      </c>
      <c r="I4533" s="11">
        <f>IFERROR(__xludf.DUMMYFUNCTION("""COMPUTED_VALUE"""),5450.75)</f>
        <v>5450.75</v>
      </c>
      <c r="J4533" s="10">
        <f>IFERROR(__xludf.DUMMYFUNCTION("""COMPUTED_VALUE"""),0.0)</f>
        <v>0</v>
      </c>
      <c r="K4533" s="5">
        <f>IFERROR(__xludf.DUMMYFUNCTION("""COMPUTED_VALUE"""),0.0)</f>
        <v>0</v>
      </c>
      <c r="L4533" s="10">
        <f>IFERROR(__xludf.DUMMYFUNCTION("""COMPUTED_VALUE"""),700.0)</f>
        <v>700</v>
      </c>
      <c r="M4533" s="5">
        <f>IFERROR(__xludf.DUMMYFUNCTION("""COMPUTED_VALUE"""),1.0)</f>
        <v>1</v>
      </c>
    </row>
    <row r="4534">
      <c r="A4534" s="10" t="str">
        <f>IFERROR(__xludf.DUMMYFUNCTION("""COMPUTED_VALUE"""),"森宮蒼乃")</f>
        <v>森宮蒼乃</v>
      </c>
      <c r="B4534" s="10">
        <f>IFERROR(__xludf.DUMMYFUNCTION("""COMPUTED_VALUE"""),666.0)</f>
        <v>666</v>
      </c>
      <c r="C4534" s="10">
        <f>IFERROR(__xludf.DUMMYFUNCTION("""COMPUTED_VALUE"""),7739.0)</f>
        <v>7739</v>
      </c>
      <c r="D4534" s="5">
        <f>IFERROR(__xludf.DUMMYFUNCTION("""COMPUTED_VALUE"""),0.39700268627173757)</f>
        <v>0.3970026863</v>
      </c>
      <c r="E4534" s="5">
        <f>IFERROR(__xludf.DUMMYFUNCTION("""COMPUTED_VALUE"""),0.11720627739290258)</f>
        <v>0.1172062774</v>
      </c>
      <c r="F4534" s="5">
        <f>IFERROR(__xludf.DUMMYFUNCTION("""COMPUTED_VALUE"""),0.20231867665771242)</f>
        <v>0.2023186767</v>
      </c>
      <c r="G4534" s="5">
        <f>IFERROR(__xludf.DUMMYFUNCTION("""COMPUTED_VALUE"""),0.15679343984165134)</f>
        <v>0.1567934398</v>
      </c>
      <c r="H4534" s="5">
        <f>IFERROR(__xludf.DUMMYFUNCTION("""COMPUTED_VALUE"""),0.5918937805730259)</f>
        <v>0.5918937806</v>
      </c>
      <c r="I4534" s="11">
        <f>IFERROR(__xludf.DUMMYFUNCTION("""COMPUTED_VALUE"""),5316.002795248079)</f>
        <v>5316.002795</v>
      </c>
      <c r="J4534" s="10">
        <f>IFERROR(__xludf.DUMMYFUNCTION("""COMPUTED_VALUE"""),1.0)</f>
        <v>1</v>
      </c>
      <c r="K4534" s="5">
        <f>IFERROR(__xludf.DUMMYFUNCTION("""COMPUTED_VALUE"""),0.0015015015015015015)</f>
        <v>0.001501501502</v>
      </c>
      <c r="L4534" s="10">
        <f>IFERROR(__xludf.DUMMYFUNCTION("""COMPUTED_VALUE"""),423.0)</f>
        <v>423</v>
      </c>
      <c r="M4534" s="5">
        <f>IFERROR(__xludf.DUMMYFUNCTION("""COMPUTED_VALUE"""),0.6351351351351351)</f>
        <v>0.6351351351</v>
      </c>
    </row>
    <row r="4535">
      <c r="A4535" s="10" t="str">
        <f>IFERROR(__xludf.DUMMYFUNCTION("""COMPUTED_VALUE"""),"alucard")</f>
        <v>alucard</v>
      </c>
      <c r="B4535" s="10">
        <f>IFERROR(__xludf.DUMMYFUNCTION("""COMPUTED_VALUE"""),1103.0)</f>
        <v>1103</v>
      </c>
      <c r="C4535" s="10">
        <f>IFERROR(__xludf.DUMMYFUNCTION("""COMPUTED_VALUE"""),12963.0)</f>
        <v>12963</v>
      </c>
      <c r="D4535" s="5">
        <f>IFERROR(__xludf.DUMMYFUNCTION("""COMPUTED_VALUE"""),0.4069139966273187)</f>
        <v>0.4069139966</v>
      </c>
      <c r="E4535" s="5">
        <f>IFERROR(__xludf.DUMMYFUNCTION("""COMPUTED_VALUE"""),0.11720067453625632)</f>
        <v>0.1172006745</v>
      </c>
      <c r="F4535" s="5">
        <f>IFERROR(__xludf.DUMMYFUNCTION("""COMPUTED_VALUE"""),0.20792580101180438)</f>
        <v>0.207925801</v>
      </c>
      <c r="G4535" s="5">
        <f>IFERROR(__xludf.DUMMYFUNCTION("""COMPUTED_VALUE"""),0.14797639123102868)</f>
        <v>0.1479763912</v>
      </c>
      <c r="H4535" s="5">
        <f>IFERROR(__xludf.DUMMYFUNCTION("""COMPUTED_VALUE"""),0.578264395782644)</f>
        <v>0.5782643958</v>
      </c>
      <c r="I4535" s="11">
        <f>IFERROR(__xludf.DUMMYFUNCTION("""COMPUTED_VALUE"""),5538.442822384428)</f>
        <v>5538.442822</v>
      </c>
      <c r="J4535" s="10">
        <f>IFERROR(__xludf.DUMMYFUNCTION("""COMPUTED_VALUE"""),3.0)</f>
        <v>3</v>
      </c>
      <c r="K4535" s="5">
        <f>IFERROR(__xludf.DUMMYFUNCTION("""COMPUTED_VALUE"""),0.0027198549410698096)</f>
        <v>0.002719854941</v>
      </c>
      <c r="L4535" s="10">
        <f>IFERROR(__xludf.DUMMYFUNCTION("""COMPUTED_VALUE"""),1101.0)</f>
        <v>1101</v>
      </c>
      <c r="M4535" s="5">
        <f>IFERROR(__xludf.DUMMYFUNCTION("""COMPUTED_VALUE"""),0.9981867633726201)</f>
        <v>0.9981867634</v>
      </c>
    </row>
    <row r="4536">
      <c r="A4536" s="10" t="str">
        <f>IFERROR(__xludf.DUMMYFUNCTION("""COMPUTED_VALUE"""),"(￥ω￥)")</f>
        <v>(￥ω￥)</v>
      </c>
      <c r="B4536" s="10">
        <f>IFERROR(__xludf.DUMMYFUNCTION("""COMPUTED_VALUE"""),128.0)</f>
        <v>128</v>
      </c>
      <c r="C4536" s="10">
        <f>IFERROR(__xludf.DUMMYFUNCTION("""COMPUTED_VALUE"""),1570.0)</f>
        <v>1570</v>
      </c>
      <c r="D4536" s="5">
        <f>IFERROR(__xludf.DUMMYFUNCTION("""COMPUTED_VALUE"""),0.4147018030513176)</f>
        <v>0.4147018031</v>
      </c>
      <c r="E4536" s="5">
        <f>IFERROR(__xludf.DUMMYFUNCTION("""COMPUTED_VALUE"""),0.11719833564493759)</f>
        <v>0.1171983356</v>
      </c>
      <c r="F4536" s="5">
        <f>IFERROR(__xludf.DUMMYFUNCTION("""COMPUTED_VALUE"""),0.1955617198335645)</f>
        <v>0.1955617198</v>
      </c>
      <c r="G4536" s="5">
        <f>IFERROR(__xludf.DUMMYFUNCTION("""COMPUTED_VALUE"""),0.1553398058252427)</f>
        <v>0.1553398058</v>
      </c>
      <c r="H4536" s="5">
        <f>IFERROR(__xludf.DUMMYFUNCTION("""COMPUTED_VALUE"""),0.5851063829787234)</f>
        <v>0.585106383</v>
      </c>
      <c r="I4536" s="11">
        <f>IFERROR(__xludf.DUMMYFUNCTION("""COMPUTED_VALUE"""),5532.978723404255)</f>
        <v>5532.978723</v>
      </c>
      <c r="J4536" s="10">
        <f>IFERROR(__xludf.DUMMYFUNCTION("""COMPUTED_VALUE"""),0.0)</f>
        <v>0</v>
      </c>
      <c r="K4536" s="5">
        <f>IFERROR(__xludf.DUMMYFUNCTION("""COMPUTED_VALUE"""),0.0)</f>
        <v>0</v>
      </c>
      <c r="L4536" s="10">
        <f>IFERROR(__xludf.DUMMYFUNCTION("""COMPUTED_VALUE"""),128.0)</f>
        <v>128</v>
      </c>
      <c r="M4536" s="5">
        <f>IFERROR(__xludf.DUMMYFUNCTION("""COMPUTED_VALUE"""),1.0)</f>
        <v>1</v>
      </c>
    </row>
    <row r="4537">
      <c r="A4537" s="10" t="str">
        <f>IFERROR(__xludf.DUMMYFUNCTION("""COMPUTED_VALUE"""),"Ichigeki")</f>
        <v>Ichigeki</v>
      </c>
      <c r="B4537" s="10">
        <f>IFERROR(__xludf.DUMMYFUNCTION("""COMPUTED_VALUE"""),583.0)</f>
        <v>583</v>
      </c>
      <c r="C4537" s="10">
        <f>IFERROR(__xludf.DUMMYFUNCTION("""COMPUTED_VALUE"""),6872.0)</f>
        <v>6872</v>
      </c>
      <c r="D4537" s="5">
        <f>IFERROR(__xludf.DUMMYFUNCTION("""COMPUTED_VALUE"""),0.3401176657656225)</f>
        <v>0.3401176658</v>
      </c>
      <c r="E4537" s="5">
        <f>IFERROR(__xludf.DUMMYFUNCTION("""COMPUTED_VALUE"""),0.11718874224837017)</f>
        <v>0.1171887422</v>
      </c>
      <c r="F4537" s="5">
        <f>IFERROR(__xludf.DUMMYFUNCTION("""COMPUTED_VALUE"""),0.22102083002067102)</f>
        <v>0.22102083</v>
      </c>
      <c r="G4537" s="5">
        <f>IFERROR(__xludf.DUMMYFUNCTION("""COMPUTED_VALUE"""),0.1647320718715217)</f>
        <v>0.1647320719</v>
      </c>
      <c r="H4537" s="5">
        <f>IFERROR(__xludf.DUMMYFUNCTION("""COMPUTED_VALUE"""),0.5906474820143884)</f>
        <v>0.590647482</v>
      </c>
      <c r="I4537" s="11">
        <f>IFERROR(__xludf.DUMMYFUNCTION("""COMPUTED_VALUE"""),5384.172661870503)</f>
        <v>5384.172662</v>
      </c>
      <c r="J4537" s="10">
        <f>IFERROR(__xludf.DUMMYFUNCTION("""COMPUTED_VALUE"""),2.0)</f>
        <v>2</v>
      </c>
      <c r="K4537" s="5">
        <f>IFERROR(__xludf.DUMMYFUNCTION("""COMPUTED_VALUE"""),0.003430531732418525)</f>
        <v>0.003430531732</v>
      </c>
      <c r="L4537" s="10">
        <f>IFERROR(__xludf.DUMMYFUNCTION("""COMPUTED_VALUE"""),583.0)</f>
        <v>583</v>
      </c>
      <c r="M4537" s="5">
        <f>IFERROR(__xludf.DUMMYFUNCTION("""COMPUTED_VALUE"""),1.0)</f>
        <v>1</v>
      </c>
    </row>
    <row r="4538">
      <c r="A4538" s="10" t="str">
        <f>IFERROR(__xludf.DUMMYFUNCTION("""COMPUTED_VALUE"""),"taro3900")</f>
        <v>taro3900</v>
      </c>
      <c r="B4538" s="10">
        <f>IFERROR(__xludf.DUMMYFUNCTION("""COMPUTED_VALUE"""),3219.0)</f>
        <v>3219</v>
      </c>
      <c r="C4538" s="10">
        <f>IFERROR(__xludf.DUMMYFUNCTION("""COMPUTED_VALUE"""),38354.0)</f>
        <v>38354</v>
      </c>
      <c r="D4538" s="5">
        <f>IFERROR(__xludf.DUMMYFUNCTION("""COMPUTED_VALUE"""),0.34008823110858116)</f>
        <v>0.3400882311</v>
      </c>
      <c r="E4538" s="5">
        <f>IFERROR(__xludf.DUMMYFUNCTION("""COMPUTED_VALUE"""),0.11717660452540202)</f>
        <v>0.1171766045</v>
      </c>
      <c r="F4538" s="5">
        <f>IFERROR(__xludf.DUMMYFUNCTION("""COMPUTED_VALUE"""),0.21462928703571937)</f>
        <v>0.214629287</v>
      </c>
      <c r="G4538" s="5">
        <f>IFERROR(__xludf.DUMMYFUNCTION("""COMPUTED_VALUE"""),0.14657748683648783)</f>
        <v>0.1465774868</v>
      </c>
      <c r="H4538" s="5">
        <f>IFERROR(__xludf.DUMMYFUNCTION("""COMPUTED_VALUE"""),0.608539981434823)</f>
        <v>0.6085399814</v>
      </c>
      <c r="I4538" s="11">
        <f>IFERROR(__xludf.DUMMYFUNCTION("""COMPUTED_VALUE"""),5455.748574459621)</f>
        <v>5455.748574</v>
      </c>
      <c r="J4538" s="10">
        <f>IFERROR(__xludf.DUMMYFUNCTION("""COMPUTED_VALUE"""),13.0)</f>
        <v>13</v>
      </c>
      <c r="K4538" s="5">
        <f>IFERROR(__xludf.DUMMYFUNCTION("""COMPUTED_VALUE"""),0.00403852127990059)</f>
        <v>0.00403852128</v>
      </c>
      <c r="L4538" s="10">
        <f>IFERROR(__xludf.DUMMYFUNCTION("""COMPUTED_VALUE"""),3219.0)</f>
        <v>3219</v>
      </c>
      <c r="M4538" s="5">
        <f>IFERROR(__xludf.DUMMYFUNCTION("""COMPUTED_VALUE"""),1.0)</f>
        <v>1</v>
      </c>
    </row>
    <row r="4539">
      <c r="A4539" s="10" t="str">
        <f>IFERROR(__xludf.DUMMYFUNCTION("""COMPUTED_VALUE"""),"P.Mall")</f>
        <v>P.Mall</v>
      </c>
      <c r="B4539" s="10">
        <f>IFERROR(__xludf.DUMMYFUNCTION("""COMPUTED_VALUE"""),454.0)</f>
        <v>454</v>
      </c>
      <c r="C4539" s="10">
        <f>IFERROR(__xludf.DUMMYFUNCTION("""COMPUTED_VALUE"""),5455.0)</f>
        <v>5455</v>
      </c>
      <c r="D4539" s="5">
        <f>IFERROR(__xludf.DUMMYFUNCTION("""COMPUTED_VALUE"""),0.40191961607678467)</f>
        <v>0.4019196161</v>
      </c>
      <c r="E4539" s="5">
        <f>IFERROR(__xludf.DUMMYFUNCTION("""COMPUTED_VALUE"""),0.11717656468706258)</f>
        <v>0.1171765647</v>
      </c>
      <c r="F4539" s="5">
        <f>IFERROR(__xludf.DUMMYFUNCTION("""COMPUTED_VALUE"""),0.21995600879824034)</f>
        <v>0.2199560088</v>
      </c>
      <c r="G4539" s="5">
        <f>IFERROR(__xludf.DUMMYFUNCTION("""COMPUTED_VALUE"""),0.14617076584683064)</f>
        <v>0.1461707658</v>
      </c>
      <c r="H4539" s="5">
        <f>IFERROR(__xludf.DUMMYFUNCTION("""COMPUTED_VALUE"""),0.6090909090909091)</f>
        <v>0.6090909091</v>
      </c>
      <c r="I4539" s="11">
        <f>IFERROR(__xludf.DUMMYFUNCTION("""COMPUTED_VALUE"""),5139.272727272727)</f>
        <v>5139.272727</v>
      </c>
      <c r="J4539" s="10">
        <f>IFERROR(__xludf.DUMMYFUNCTION("""COMPUTED_VALUE"""),1.0)</f>
        <v>1</v>
      </c>
      <c r="K4539" s="5">
        <f>IFERROR(__xludf.DUMMYFUNCTION("""COMPUTED_VALUE"""),0.0022026431718061676)</f>
        <v>0.002202643172</v>
      </c>
      <c r="L4539" s="10">
        <f>IFERROR(__xludf.DUMMYFUNCTION("""COMPUTED_VALUE"""),110.0)</f>
        <v>110</v>
      </c>
      <c r="M4539" s="5">
        <f>IFERROR(__xludf.DUMMYFUNCTION("""COMPUTED_VALUE"""),0.2422907488986784)</f>
        <v>0.2422907489</v>
      </c>
    </row>
    <row r="4540">
      <c r="A4540" s="10" t="str">
        <f>IFERROR(__xludf.DUMMYFUNCTION("""COMPUTED_VALUE"""),"サラバ!")</f>
        <v>サラバ!</v>
      </c>
      <c r="B4540" s="10">
        <f>IFERROR(__xludf.DUMMYFUNCTION("""COMPUTED_VALUE"""),555.0)</f>
        <v>555</v>
      </c>
      <c r="C4540" s="10">
        <f>IFERROR(__xludf.DUMMYFUNCTION("""COMPUTED_VALUE"""),6512.0)</f>
        <v>6512</v>
      </c>
      <c r="D4540" s="5">
        <f>IFERROR(__xludf.DUMMYFUNCTION("""COMPUTED_VALUE"""),0.3048514352862179)</f>
        <v>0.3048514353</v>
      </c>
      <c r="E4540" s="5">
        <f>IFERROR(__xludf.DUMMYFUNCTION("""COMPUTED_VALUE"""),0.11717307369481282)</f>
        <v>0.1171730737</v>
      </c>
      <c r="F4540" s="5">
        <f>IFERROR(__xludf.DUMMYFUNCTION("""COMPUTED_VALUE"""),0.20228302836998488)</f>
        <v>0.2022830284</v>
      </c>
      <c r="G4540" s="5">
        <f>IFERROR(__xludf.DUMMYFUNCTION("""COMPUTED_VALUE"""),0.19640758771193553)</f>
        <v>0.1964075877</v>
      </c>
      <c r="H4540" s="5">
        <f>IFERROR(__xludf.DUMMYFUNCTION("""COMPUTED_VALUE"""),0.5767634854771784)</f>
        <v>0.5767634855</v>
      </c>
      <c r="I4540" s="11">
        <f>IFERROR(__xludf.DUMMYFUNCTION("""COMPUTED_VALUE"""),5750.124481327801)</f>
        <v>5750.124481</v>
      </c>
      <c r="J4540" s="10">
        <f>IFERROR(__xludf.DUMMYFUNCTION("""COMPUTED_VALUE"""),1.0)</f>
        <v>1</v>
      </c>
      <c r="K4540" s="5">
        <f>IFERROR(__xludf.DUMMYFUNCTION("""COMPUTED_VALUE"""),0.0018018018018018018)</f>
        <v>0.001801801802</v>
      </c>
      <c r="L4540" s="10">
        <f>IFERROR(__xludf.DUMMYFUNCTION("""COMPUTED_VALUE"""),555.0)</f>
        <v>555</v>
      </c>
      <c r="M4540" s="5">
        <f>IFERROR(__xludf.DUMMYFUNCTION("""COMPUTED_VALUE"""),1.0)</f>
        <v>1</v>
      </c>
    </row>
    <row r="4541">
      <c r="A4541" s="10" t="str">
        <f>IFERROR(__xludf.DUMMYFUNCTION("""COMPUTED_VALUE"""),"ハ崎真悟")</f>
        <v>ハ崎真悟</v>
      </c>
      <c r="B4541" s="10">
        <f>IFERROR(__xludf.DUMMYFUNCTION("""COMPUTED_VALUE"""),328.0)</f>
        <v>328</v>
      </c>
      <c r="C4541" s="10">
        <f>IFERROR(__xludf.DUMMYFUNCTION("""COMPUTED_VALUE"""),3793.0)</f>
        <v>3793</v>
      </c>
      <c r="D4541" s="5">
        <f>IFERROR(__xludf.DUMMYFUNCTION("""COMPUTED_VALUE"""),0.4049062049062049)</f>
        <v>0.4049062049</v>
      </c>
      <c r="E4541" s="5">
        <f>IFERROR(__xludf.DUMMYFUNCTION("""COMPUTED_VALUE"""),0.11717171717171718)</f>
        <v>0.1171717172</v>
      </c>
      <c r="F4541" s="5">
        <f>IFERROR(__xludf.DUMMYFUNCTION("""COMPUTED_VALUE"""),0.2204906204906205)</f>
        <v>0.2204906205</v>
      </c>
      <c r="G4541" s="5">
        <f>IFERROR(__xludf.DUMMYFUNCTION("""COMPUTED_VALUE"""),0.18268398268398267)</f>
        <v>0.1826839827</v>
      </c>
      <c r="H4541" s="5">
        <f>IFERROR(__xludf.DUMMYFUNCTION("""COMPUTED_VALUE"""),0.599476439790576)</f>
        <v>0.5994764398</v>
      </c>
      <c r="I4541" s="11">
        <f>IFERROR(__xludf.DUMMYFUNCTION("""COMPUTED_VALUE"""),5387.303664921466)</f>
        <v>5387.303665</v>
      </c>
      <c r="J4541" s="10">
        <f>IFERROR(__xludf.DUMMYFUNCTION("""COMPUTED_VALUE"""),0.0)</f>
        <v>0</v>
      </c>
      <c r="K4541" s="5">
        <f>IFERROR(__xludf.DUMMYFUNCTION("""COMPUTED_VALUE"""),0.0)</f>
        <v>0</v>
      </c>
      <c r="L4541" s="10">
        <f>IFERROR(__xludf.DUMMYFUNCTION("""COMPUTED_VALUE"""),328.0)</f>
        <v>328</v>
      </c>
      <c r="M4541" s="5">
        <f>IFERROR(__xludf.DUMMYFUNCTION("""COMPUTED_VALUE"""),1.0)</f>
        <v>1</v>
      </c>
    </row>
    <row r="4542">
      <c r="A4542" s="10" t="str">
        <f>IFERROR(__xludf.DUMMYFUNCTION("""COMPUTED_VALUE"""),"世を直す者")</f>
        <v>世を直す者</v>
      </c>
      <c r="B4542" s="10">
        <f>IFERROR(__xludf.DUMMYFUNCTION("""COMPUTED_VALUE"""),1069.0)</f>
        <v>1069</v>
      </c>
      <c r="C4542" s="10">
        <f>IFERROR(__xludf.DUMMYFUNCTION("""COMPUTED_VALUE"""),12532.0)</f>
        <v>12532</v>
      </c>
      <c r="D4542" s="5">
        <f>IFERROR(__xludf.DUMMYFUNCTION("""COMPUTED_VALUE"""),0.351740382098927)</f>
        <v>0.3517403821</v>
      </c>
      <c r="E4542" s="5">
        <f>IFERROR(__xludf.DUMMYFUNCTION("""COMPUTED_VALUE"""),0.11715955683503446)</f>
        <v>0.1171595568</v>
      </c>
      <c r="F4542" s="5">
        <f>IFERROR(__xludf.DUMMYFUNCTION("""COMPUTED_VALUE"""),0.20352438279682455)</f>
        <v>0.2035243828</v>
      </c>
      <c r="G4542" s="5">
        <f>IFERROR(__xludf.DUMMYFUNCTION("""COMPUTED_VALUE"""),0.17438715868446306)</f>
        <v>0.1743871587</v>
      </c>
      <c r="H4542" s="5">
        <f>IFERROR(__xludf.DUMMYFUNCTION("""COMPUTED_VALUE"""),0.5996570938705529)</f>
        <v>0.5996570939</v>
      </c>
      <c r="I4542" s="11">
        <f>IFERROR(__xludf.DUMMYFUNCTION("""COMPUTED_VALUE"""),5567.6810972996145)</f>
        <v>5567.681097</v>
      </c>
      <c r="J4542" s="10">
        <f>IFERROR(__xludf.DUMMYFUNCTION("""COMPUTED_VALUE"""),4.0)</f>
        <v>4</v>
      </c>
      <c r="K4542" s="5">
        <f>IFERROR(__xludf.DUMMYFUNCTION("""COMPUTED_VALUE"""),0.0037418147801683817)</f>
        <v>0.00374181478</v>
      </c>
      <c r="L4542" s="10">
        <f>IFERROR(__xludf.DUMMYFUNCTION("""COMPUTED_VALUE"""),1069.0)</f>
        <v>1069</v>
      </c>
      <c r="M4542" s="5">
        <f>IFERROR(__xludf.DUMMYFUNCTION("""COMPUTED_VALUE"""),1.0)</f>
        <v>1</v>
      </c>
    </row>
    <row r="4543">
      <c r="A4543" s="10" t="str">
        <f>IFERROR(__xludf.DUMMYFUNCTION("""COMPUTED_VALUE"""),"鳥の詩")</f>
        <v>鳥の詩</v>
      </c>
      <c r="B4543" s="10">
        <f>IFERROR(__xludf.DUMMYFUNCTION("""COMPUTED_VALUE"""),402.0)</f>
        <v>402</v>
      </c>
      <c r="C4543" s="10">
        <f>IFERROR(__xludf.DUMMYFUNCTION("""COMPUTED_VALUE"""),4765.0)</f>
        <v>4765</v>
      </c>
      <c r="D4543" s="5">
        <f>IFERROR(__xludf.DUMMYFUNCTION("""COMPUTED_VALUE"""),0.3731377492550997)</f>
        <v>0.3731377493</v>
      </c>
      <c r="E4543" s="5">
        <f>IFERROR(__xludf.DUMMYFUNCTION("""COMPUTED_VALUE"""),0.11712124684849874)</f>
        <v>0.1171212468</v>
      </c>
      <c r="F4543" s="5">
        <f>IFERROR(__xludf.DUMMYFUNCTION("""COMPUTED_VALUE"""),0.19917487966995187)</f>
        <v>0.1991748797</v>
      </c>
      <c r="G4543" s="5">
        <f>IFERROR(__xludf.DUMMYFUNCTION("""COMPUTED_VALUE"""),0.15608526243410498)</f>
        <v>0.1560852624</v>
      </c>
      <c r="H4543" s="5">
        <f>IFERROR(__xludf.DUMMYFUNCTION("""COMPUTED_VALUE"""),0.5937859608745685)</f>
        <v>0.5937859609</v>
      </c>
      <c r="I4543" s="11">
        <f>IFERROR(__xludf.DUMMYFUNCTION("""COMPUTED_VALUE"""),5621.518987341772)</f>
        <v>5621.518987</v>
      </c>
      <c r="J4543" s="10">
        <f>IFERROR(__xludf.DUMMYFUNCTION("""COMPUTED_VALUE"""),1.0)</f>
        <v>1</v>
      </c>
      <c r="K4543" s="5">
        <f>IFERROR(__xludf.DUMMYFUNCTION("""COMPUTED_VALUE"""),0.0024875621890547263)</f>
        <v>0.002487562189</v>
      </c>
      <c r="L4543" s="10">
        <f>IFERROR(__xludf.DUMMYFUNCTION("""COMPUTED_VALUE"""),0.0)</f>
        <v>0</v>
      </c>
      <c r="M4543" s="5">
        <f>IFERROR(__xludf.DUMMYFUNCTION("""COMPUTED_VALUE"""),0.0)</f>
        <v>0</v>
      </c>
    </row>
    <row r="4544">
      <c r="A4544" s="10" t="str">
        <f>IFERROR(__xludf.DUMMYFUNCTION("""COMPUTED_VALUE"""),"まーれまれ")</f>
        <v>まーれまれ</v>
      </c>
      <c r="B4544" s="10">
        <f>IFERROR(__xludf.DUMMYFUNCTION("""COMPUTED_VALUE"""),310.0)</f>
        <v>310</v>
      </c>
      <c r="C4544" s="10">
        <f>IFERROR(__xludf.DUMMYFUNCTION("""COMPUTED_VALUE"""),3751.0)</f>
        <v>3751</v>
      </c>
      <c r="D4544" s="5">
        <f>IFERROR(__xludf.DUMMYFUNCTION("""COMPUTED_VALUE"""),0.3684975297878524)</f>
        <v>0.3684975298</v>
      </c>
      <c r="E4544" s="5">
        <f>IFERROR(__xludf.DUMMYFUNCTION("""COMPUTED_VALUE"""),0.11711711711711711)</f>
        <v>0.1171171171</v>
      </c>
      <c r="F4544" s="5">
        <f>IFERROR(__xludf.DUMMYFUNCTION("""COMPUTED_VALUE"""),0.2072072072072072)</f>
        <v>0.2072072072</v>
      </c>
      <c r="G4544" s="5">
        <f>IFERROR(__xludf.DUMMYFUNCTION("""COMPUTED_VALUE"""),0.17785527462946818)</f>
        <v>0.1778552746</v>
      </c>
      <c r="H4544" s="5">
        <f>IFERROR(__xludf.DUMMYFUNCTION("""COMPUTED_VALUE"""),0.603085553997195)</f>
        <v>0.603085554</v>
      </c>
      <c r="I4544" s="11">
        <f>IFERROR(__xludf.DUMMYFUNCTION("""COMPUTED_VALUE"""),5208.695652173913)</f>
        <v>5208.695652</v>
      </c>
      <c r="J4544" s="10">
        <f>IFERROR(__xludf.DUMMYFUNCTION("""COMPUTED_VALUE"""),0.0)</f>
        <v>0</v>
      </c>
      <c r="K4544" s="5">
        <f>IFERROR(__xludf.DUMMYFUNCTION("""COMPUTED_VALUE"""),0.0)</f>
        <v>0</v>
      </c>
      <c r="L4544" s="10">
        <f>IFERROR(__xludf.DUMMYFUNCTION("""COMPUTED_VALUE"""),310.0)</f>
        <v>310</v>
      </c>
      <c r="M4544" s="5">
        <f>IFERROR(__xludf.DUMMYFUNCTION("""COMPUTED_VALUE"""),1.0)</f>
        <v>1</v>
      </c>
    </row>
    <row r="4545">
      <c r="A4545" s="10" t="str">
        <f>IFERROR(__xludf.DUMMYFUNCTION("""COMPUTED_VALUE"""),"太くないお")</f>
        <v>太くないお</v>
      </c>
      <c r="B4545" s="10">
        <f>IFERROR(__xludf.DUMMYFUNCTION("""COMPUTED_VALUE"""),4465.0)</f>
        <v>4465</v>
      </c>
      <c r="C4545" s="10">
        <f>IFERROR(__xludf.DUMMYFUNCTION("""COMPUTED_VALUE"""),52470.0)</f>
        <v>52470</v>
      </c>
      <c r="D4545" s="5">
        <f>IFERROR(__xludf.DUMMYFUNCTION("""COMPUTED_VALUE"""),0.37091969586501405)</f>
        <v>0.3709196959</v>
      </c>
      <c r="E4545" s="5">
        <f>IFERROR(__xludf.DUMMYFUNCTION("""COMPUTED_VALUE"""),0.11711280074992188)</f>
        <v>0.1171128007</v>
      </c>
      <c r="F4545" s="5">
        <f>IFERROR(__xludf.DUMMYFUNCTION("""COMPUTED_VALUE"""),0.22360170815540048)</f>
        <v>0.2236017082</v>
      </c>
      <c r="G4545" s="5">
        <f>IFERROR(__xludf.DUMMYFUNCTION("""COMPUTED_VALUE"""),0.18308509530257264)</f>
        <v>0.1830850953</v>
      </c>
      <c r="H4545" s="5">
        <f>IFERROR(__xludf.DUMMYFUNCTION("""COMPUTED_VALUE"""),0.5923234581703)</f>
        <v>0.5923234582</v>
      </c>
      <c r="I4545" s="11">
        <f>IFERROR(__xludf.DUMMYFUNCTION("""COMPUTED_VALUE"""),5562.4743804732625)</f>
        <v>5562.47438</v>
      </c>
      <c r="J4545" s="10">
        <f>IFERROR(__xludf.DUMMYFUNCTION("""COMPUTED_VALUE"""),16.0)</f>
        <v>16</v>
      </c>
      <c r="K4545" s="5">
        <f>IFERROR(__xludf.DUMMYFUNCTION("""COMPUTED_VALUE"""),0.0035834266517357225)</f>
        <v>0.003583426652</v>
      </c>
      <c r="L4545" s="10">
        <f>IFERROR(__xludf.DUMMYFUNCTION("""COMPUTED_VALUE"""),3382.0)</f>
        <v>3382</v>
      </c>
      <c r="M4545" s="5">
        <f>IFERROR(__xludf.DUMMYFUNCTION("""COMPUTED_VALUE"""),0.7574468085106383)</f>
        <v>0.7574468085</v>
      </c>
    </row>
    <row r="4546">
      <c r="A4546" s="10" t="str">
        <f>IFERROR(__xludf.DUMMYFUNCTION("""COMPUTED_VALUE"""),"よー＠ロック")</f>
        <v>よー＠ロック</v>
      </c>
      <c r="B4546" s="10">
        <f>IFERROR(__xludf.DUMMYFUNCTION("""COMPUTED_VALUE"""),1028.0)</f>
        <v>1028</v>
      </c>
      <c r="C4546" s="10">
        <f>IFERROR(__xludf.DUMMYFUNCTION("""COMPUTED_VALUE"""),12137.0)</f>
        <v>12137</v>
      </c>
      <c r="D4546" s="5">
        <f>IFERROR(__xludf.DUMMYFUNCTION("""COMPUTED_VALUE"""),0.34080475290305157)</f>
        <v>0.3408047529</v>
      </c>
      <c r="E4546" s="5">
        <f>IFERROR(__xludf.DUMMYFUNCTION("""COMPUTED_VALUE"""),0.11711225132775227)</f>
        <v>0.1171122513</v>
      </c>
      <c r="F4546" s="5">
        <f>IFERROR(__xludf.DUMMYFUNCTION("""COMPUTED_VALUE"""),0.19263660095418128)</f>
        <v>0.192636601</v>
      </c>
      <c r="G4546" s="5">
        <f>IFERROR(__xludf.DUMMYFUNCTION("""COMPUTED_VALUE"""),0.16464128184355029)</f>
        <v>0.1646412818</v>
      </c>
      <c r="H4546" s="5">
        <f>IFERROR(__xludf.DUMMYFUNCTION("""COMPUTED_VALUE"""),0.5836448598130841)</f>
        <v>0.5836448598</v>
      </c>
      <c r="I4546" s="11">
        <f>IFERROR(__xludf.DUMMYFUNCTION("""COMPUTED_VALUE"""),5592.242990654206)</f>
        <v>5592.242991</v>
      </c>
      <c r="J4546" s="10">
        <f>IFERROR(__xludf.DUMMYFUNCTION("""COMPUTED_VALUE"""),3.0)</f>
        <v>3</v>
      </c>
      <c r="K4546" s="5">
        <f>IFERROR(__xludf.DUMMYFUNCTION("""COMPUTED_VALUE"""),0.0029182879377431907)</f>
        <v>0.002918287938</v>
      </c>
      <c r="L4546" s="10">
        <f>IFERROR(__xludf.DUMMYFUNCTION("""COMPUTED_VALUE"""),1028.0)</f>
        <v>1028</v>
      </c>
      <c r="M4546" s="5">
        <f>IFERROR(__xludf.DUMMYFUNCTION("""COMPUTED_VALUE"""),1.0)</f>
        <v>1</v>
      </c>
    </row>
    <row r="4547">
      <c r="A4547" s="10" t="str">
        <f>IFERROR(__xludf.DUMMYFUNCTION("""COMPUTED_VALUE"""),"はむ")</f>
        <v>はむ</v>
      </c>
      <c r="B4547" s="10">
        <f>IFERROR(__xludf.DUMMYFUNCTION("""COMPUTED_VALUE"""),880.0)</f>
        <v>880</v>
      </c>
      <c r="C4547" s="10">
        <f>IFERROR(__xludf.DUMMYFUNCTION("""COMPUTED_VALUE"""),10307.0)</f>
        <v>10307</v>
      </c>
      <c r="D4547" s="5">
        <f>IFERROR(__xludf.DUMMYFUNCTION("""COMPUTED_VALUE"""),0.34783069905590325)</f>
        <v>0.3478306991</v>
      </c>
      <c r="E4547" s="5">
        <f>IFERROR(__xludf.DUMMYFUNCTION("""COMPUTED_VALUE"""),0.11711042749549168)</f>
        <v>0.1171104275</v>
      </c>
      <c r="F4547" s="5">
        <f>IFERROR(__xludf.DUMMYFUNCTION("""COMPUTED_VALUE"""),0.21141402354937944)</f>
        <v>0.2114140235</v>
      </c>
      <c r="G4547" s="5">
        <f>IFERROR(__xludf.DUMMYFUNCTION("""COMPUTED_VALUE"""),0.1698313355256179)</f>
        <v>0.1698313355</v>
      </c>
      <c r="H4547" s="5">
        <f>IFERROR(__xludf.DUMMYFUNCTION("""COMPUTED_VALUE"""),0.5905669844455594)</f>
        <v>0.5905669844</v>
      </c>
      <c r="I4547" s="11">
        <f>IFERROR(__xludf.DUMMYFUNCTION("""COMPUTED_VALUE"""),5539.98996487707)</f>
        <v>5539.989965</v>
      </c>
      <c r="J4547" s="10">
        <f>IFERROR(__xludf.DUMMYFUNCTION("""COMPUTED_VALUE"""),1.0)</f>
        <v>1</v>
      </c>
      <c r="K4547" s="5">
        <f>IFERROR(__xludf.DUMMYFUNCTION("""COMPUTED_VALUE"""),0.0011363636363636363)</f>
        <v>0.001136363636</v>
      </c>
      <c r="L4547" s="10">
        <f>IFERROR(__xludf.DUMMYFUNCTION("""COMPUTED_VALUE"""),880.0)</f>
        <v>880</v>
      </c>
      <c r="M4547" s="5">
        <f>IFERROR(__xludf.DUMMYFUNCTION("""COMPUTED_VALUE"""),1.0)</f>
        <v>1</v>
      </c>
    </row>
    <row r="4548">
      <c r="A4548" s="10" t="str">
        <f>IFERROR(__xludf.DUMMYFUNCTION("""COMPUTED_VALUE"""),"†土御門舞夏†")</f>
        <v>†土御門舞夏†</v>
      </c>
      <c r="B4548" s="10">
        <f>IFERROR(__xludf.DUMMYFUNCTION("""COMPUTED_VALUE"""),584.0)</f>
        <v>584</v>
      </c>
      <c r="C4548" s="10">
        <f>IFERROR(__xludf.DUMMYFUNCTION("""COMPUTED_VALUE"""),6946.0)</f>
        <v>6946</v>
      </c>
      <c r="D4548" s="5">
        <f>IFERROR(__xludf.DUMMYFUNCTION("""COMPUTED_VALUE"""),0.3480037723986168)</f>
        <v>0.3480037724</v>
      </c>
      <c r="E4548" s="5">
        <f>IFERROR(__xludf.DUMMYFUNCTION("""COMPUTED_VALUE"""),0.11710154039610185)</f>
        <v>0.1171015404</v>
      </c>
      <c r="F4548" s="5">
        <f>IFERROR(__xludf.DUMMYFUNCTION("""COMPUTED_VALUE"""),0.20245205910091166)</f>
        <v>0.2024520591</v>
      </c>
      <c r="G4548" s="5">
        <f>IFERROR(__xludf.DUMMYFUNCTION("""COMPUTED_VALUE"""),0.17085822068531908)</f>
        <v>0.1708582207</v>
      </c>
      <c r="H4548" s="5">
        <f>IFERROR(__xludf.DUMMYFUNCTION("""COMPUTED_VALUE"""),0.593167701863354)</f>
        <v>0.5931677019</v>
      </c>
      <c r="I4548" s="11">
        <f>IFERROR(__xludf.DUMMYFUNCTION("""COMPUTED_VALUE"""),5476.630434782609)</f>
        <v>5476.630435</v>
      </c>
      <c r="J4548" s="10">
        <f>IFERROR(__xludf.DUMMYFUNCTION("""COMPUTED_VALUE"""),3.0)</f>
        <v>3</v>
      </c>
      <c r="K4548" s="5">
        <f>IFERROR(__xludf.DUMMYFUNCTION("""COMPUTED_VALUE"""),0.005136986301369863)</f>
        <v>0.005136986301</v>
      </c>
      <c r="L4548" s="10">
        <f>IFERROR(__xludf.DUMMYFUNCTION("""COMPUTED_VALUE"""),0.0)</f>
        <v>0</v>
      </c>
      <c r="M4548" s="5">
        <f>IFERROR(__xludf.DUMMYFUNCTION("""COMPUTED_VALUE"""),0.0)</f>
        <v>0</v>
      </c>
    </row>
    <row r="4549">
      <c r="A4549" s="10" t="str">
        <f>IFERROR(__xludf.DUMMYFUNCTION("""COMPUTED_VALUE"""),"ピカ吾郎")</f>
        <v>ピカ吾郎</v>
      </c>
      <c r="B4549" s="10">
        <f>IFERROR(__xludf.DUMMYFUNCTION("""COMPUTED_VALUE"""),6446.0)</f>
        <v>6446</v>
      </c>
      <c r="C4549" s="10">
        <f>IFERROR(__xludf.DUMMYFUNCTION("""COMPUTED_VALUE"""),76336.0)</f>
        <v>76336</v>
      </c>
      <c r="D4549" s="5">
        <f>IFERROR(__xludf.DUMMYFUNCTION("""COMPUTED_VALUE"""),0.39203033338102733)</f>
        <v>0.3920303334</v>
      </c>
      <c r="E4549" s="5">
        <f>IFERROR(__xludf.DUMMYFUNCTION("""COMPUTED_VALUE"""),0.11709829732436686)</f>
        <v>0.1170982973</v>
      </c>
      <c r="F4549" s="5">
        <f>IFERROR(__xludf.DUMMYFUNCTION("""COMPUTED_VALUE"""),0.21761339247388753)</f>
        <v>0.2176133925</v>
      </c>
      <c r="G4549" s="5">
        <f>IFERROR(__xludf.DUMMYFUNCTION("""COMPUTED_VALUE"""),0.14405494348261555)</f>
        <v>0.1440549435</v>
      </c>
      <c r="H4549" s="5">
        <f>IFERROR(__xludf.DUMMYFUNCTION("""COMPUTED_VALUE"""),0.6043789861266355)</f>
        <v>0.6043789861</v>
      </c>
      <c r="I4549" s="11">
        <f>IFERROR(__xludf.DUMMYFUNCTION("""COMPUTED_VALUE"""),5260.931027680978)</f>
        <v>5260.931028</v>
      </c>
      <c r="J4549" s="10">
        <f>IFERROR(__xludf.DUMMYFUNCTION("""COMPUTED_VALUE"""),13.0)</f>
        <v>13</v>
      </c>
      <c r="K4549" s="5">
        <f>IFERROR(__xludf.DUMMYFUNCTION("""COMPUTED_VALUE"""),0.002016754576481539)</f>
        <v>0.002016754576</v>
      </c>
      <c r="L4549" s="10">
        <f>IFERROR(__xludf.DUMMYFUNCTION("""COMPUTED_VALUE"""),6440.0)</f>
        <v>6440</v>
      </c>
      <c r="M4549" s="5">
        <f>IFERROR(__xludf.DUMMYFUNCTION("""COMPUTED_VALUE"""),0.99906919019547)</f>
        <v>0.9990691902</v>
      </c>
    </row>
    <row r="4550">
      <c r="A4550" s="10" t="str">
        <f>IFERROR(__xludf.DUMMYFUNCTION("""COMPUTED_VALUE"""),"NIGG18")</f>
        <v>NIGG18</v>
      </c>
      <c r="B4550" s="10">
        <f>IFERROR(__xludf.DUMMYFUNCTION("""COMPUTED_VALUE"""),371.0)</f>
        <v>371</v>
      </c>
      <c r="C4550" s="10">
        <f>IFERROR(__xludf.DUMMYFUNCTION("""COMPUTED_VALUE"""),4385.0)</f>
        <v>4385</v>
      </c>
      <c r="D4550" s="5">
        <f>IFERROR(__xludf.DUMMYFUNCTION("""COMPUTED_VALUE"""),0.33906327852516194)</f>
        <v>0.3390632785</v>
      </c>
      <c r="E4550" s="5">
        <f>IFERROR(__xludf.DUMMYFUNCTION("""COMPUTED_VALUE"""),0.11709018435475835)</f>
        <v>0.1170901844</v>
      </c>
      <c r="F4550" s="5">
        <f>IFERROR(__xludf.DUMMYFUNCTION("""COMPUTED_VALUE"""),0.18858993522670653)</f>
        <v>0.1885899352</v>
      </c>
      <c r="G4550" s="5">
        <f>IFERROR(__xludf.DUMMYFUNCTION("""COMPUTED_VALUE"""),0.16666666666666666)</f>
        <v>0.1666666667</v>
      </c>
      <c r="H4550" s="5">
        <f>IFERROR(__xludf.DUMMYFUNCTION("""COMPUTED_VALUE"""),0.5997357992073976)</f>
        <v>0.5997357992</v>
      </c>
      <c r="I4550" s="11">
        <f>IFERROR(__xludf.DUMMYFUNCTION("""COMPUTED_VALUE"""),5666.3143989431965)</f>
        <v>5666.314399</v>
      </c>
      <c r="J4550" s="10">
        <f>IFERROR(__xludf.DUMMYFUNCTION("""COMPUTED_VALUE"""),1.0)</f>
        <v>1</v>
      </c>
      <c r="K4550" s="5">
        <f>IFERROR(__xludf.DUMMYFUNCTION("""COMPUTED_VALUE"""),0.0026954177897574125)</f>
        <v>0.00269541779</v>
      </c>
      <c r="L4550" s="10">
        <f>IFERROR(__xludf.DUMMYFUNCTION("""COMPUTED_VALUE"""),363.0)</f>
        <v>363</v>
      </c>
      <c r="M4550" s="5">
        <f>IFERROR(__xludf.DUMMYFUNCTION("""COMPUTED_VALUE"""),0.9784366576819407)</f>
        <v>0.9784366577</v>
      </c>
    </row>
    <row r="4551">
      <c r="A4551" s="10" t="str">
        <f>IFERROR(__xludf.DUMMYFUNCTION("""COMPUTED_VALUE"""),"G3龍門")</f>
        <v>G3龍門</v>
      </c>
      <c r="B4551" s="10">
        <f>IFERROR(__xludf.DUMMYFUNCTION("""COMPUTED_VALUE"""),2705.0)</f>
        <v>2705</v>
      </c>
      <c r="C4551" s="10">
        <f>IFERROR(__xludf.DUMMYFUNCTION("""COMPUTED_VALUE"""),32128.0)</f>
        <v>32128</v>
      </c>
      <c r="D4551" s="5">
        <f>IFERROR(__xludf.DUMMYFUNCTION("""COMPUTED_VALUE"""),0.4080821126329742)</f>
        <v>0.4080821126</v>
      </c>
      <c r="E4551" s="5">
        <f>IFERROR(__xludf.DUMMYFUNCTION("""COMPUTED_VALUE"""),0.11708527342555144)</f>
        <v>0.1170852734</v>
      </c>
      <c r="F4551" s="5">
        <f>IFERROR(__xludf.DUMMYFUNCTION("""COMPUTED_VALUE"""),0.21445807701458042)</f>
        <v>0.214458077</v>
      </c>
      <c r="G4551" s="5">
        <f>IFERROR(__xludf.DUMMYFUNCTION("""COMPUTED_VALUE"""),0.1632736294735411)</f>
        <v>0.1632736295</v>
      </c>
      <c r="H4551" s="5">
        <f>IFERROR(__xludf.DUMMYFUNCTION("""COMPUTED_VALUE"""),0.5944532488114105)</f>
        <v>0.5944532488</v>
      </c>
      <c r="I4551" s="11">
        <f>IFERROR(__xludf.DUMMYFUNCTION("""COMPUTED_VALUE"""),5246.0697305863705)</f>
        <v>5246.069731</v>
      </c>
      <c r="J4551" s="10">
        <f>IFERROR(__xludf.DUMMYFUNCTION("""COMPUTED_VALUE"""),2.0)</f>
        <v>2</v>
      </c>
      <c r="K4551" s="5">
        <f>IFERROR(__xludf.DUMMYFUNCTION("""COMPUTED_VALUE"""),7.393715341959334E-4)</f>
        <v>0.0007393715342</v>
      </c>
      <c r="L4551" s="10">
        <f>IFERROR(__xludf.DUMMYFUNCTION("""COMPUTED_VALUE"""),2588.0)</f>
        <v>2588</v>
      </c>
      <c r="M4551" s="5">
        <f>IFERROR(__xludf.DUMMYFUNCTION("""COMPUTED_VALUE"""),0.956746765249538)</f>
        <v>0.9567467652</v>
      </c>
    </row>
    <row r="4552">
      <c r="A4552" s="10" t="str">
        <f>IFERROR(__xludf.DUMMYFUNCTION("""COMPUTED_VALUE"""),"ぴの")</f>
        <v>ぴの</v>
      </c>
      <c r="B4552" s="10">
        <f>IFERROR(__xludf.DUMMYFUNCTION("""COMPUTED_VALUE"""),1481.0)</f>
        <v>1481</v>
      </c>
      <c r="C4552" s="10">
        <f>IFERROR(__xludf.DUMMYFUNCTION("""COMPUTED_VALUE"""),17811.0)</f>
        <v>17811</v>
      </c>
      <c r="D4552" s="5">
        <f>IFERROR(__xludf.DUMMYFUNCTION("""COMPUTED_VALUE"""),0.34837721984078385)</f>
        <v>0.3483772198</v>
      </c>
      <c r="E4552" s="5">
        <f>IFERROR(__xludf.DUMMYFUNCTION("""COMPUTED_VALUE"""),0.11708511941212492)</f>
        <v>0.1170851194</v>
      </c>
      <c r="F4552" s="5">
        <f>IFERROR(__xludf.DUMMYFUNCTION("""COMPUTED_VALUE"""),0.20771586037966933)</f>
        <v>0.2077158604</v>
      </c>
      <c r="G4552" s="5">
        <f>IFERROR(__xludf.DUMMYFUNCTION("""COMPUTED_VALUE"""),0.16344151867728107)</f>
        <v>0.1634415187</v>
      </c>
      <c r="H4552" s="5">
        <f>IFERROR(__xludf.DUMMYFUNCTION("""COMPUTED_VALUE"""),0.6014150943396226)</f>
        <v>0.6014150943</v>
      </c>
      <c r="I4552" s="11">
        <f>IFERROR(__xludf.DUMMYFUNCTION("""COMPUTED_VALUE"""),5514.740566037736)</f>
        <v>5514.740566</v>
      </c>
      <c r="J4552" s="10">
        <f>IFERROR(__xludf.DUMMYFUNCTION("""COMPUTED_VALUE"""),3.0)</f>
        <v>3</v>
      </c>
      <c r="K4552" s="5">
        <f>IFERROR(__xludf.DUMMYFUNCTION("""COMPUTED_VALUE"""),0.002025658338960162)</f>
        <v>0.002025658339</v>
      </c>
      <c r="L4552" s="10">
        <f>IFERROR(__xludf.DUMMYFUNCTION("""COMPUTED_VALUE"""),1481.0)</f>
        <v>1481</v>
      </c>
      <c r="M4552" s="5">
        <f>IFERROR(__xludf.DUMMYFUNCTION("""COMPUTED_VALUE"""),1.0)</f>
        <v>1</v>
      </c>
    </row>
    <row r="4553">
      <c r="A4553" s="10" t="str">
        <f>IFERROR(__xludf.DUMMYFUNCTION("""COMPUTED_VALUE"""),"Kat")</f>
        <v>Kat</v>
      </c>
      <c r="B4553" s="10">
        <f>IFERROR(__xludf.DUMMYFUNCTION("""COMPUTED_VALUE"""),345.0)</f>
        <v>345</v>
      </c>
      <c r="C4553" s="10">
        <f>IFERROR(__xludf.DUMMYFUNCTION("""COMPUTED_VALUE"""),4035.0)</f>
        <v>4035</v>
      </c>
      <c r="D4553" s="5">
        <f>IFERROR(__xludf.DUMMYFUNCTION("""COMPUTED_VALUE"""),0.35609756097560974)</f>
        <v>0.356097561</v>
      </c>
      <c r="E4553" s="5">
        <f>IFERROR(__xludf.DUMMYFUNCTION("""COMPUTED_VALUE"""),0.11707317073170732)</f>
        <v>0.1170731707</v>
      </c>
      <c r="F4553" s="5">
        <f>IFERROR(__xludf.DUMMYFUNCTION("""COMPUTED_VALUE"""),0.21951219512195122)</f>
        <v>0.2195121951</v>
      </c>
      <c r="G4553" s="5">
        <f>IFERROR(__xludf.DUMMYFUNCTION("""COMPUTED_VALUE"""),0.16802168021680217)</f>
        <v>0.1680216802</v>
      </c>
      <c r="H4553" s="5">
        <f>IFERROR(__xludf.DUMMYFUNCTION("""COMPUTED_VALUE"""),0.6197530864197531)</f>
        <v>0.6197530864</v>
      </c>
      <c r="I4553" s="11">
        <f>IFERROR(__xludf.DUMMYFUNCTION("""COMPUTED_VALUE"""),5584.444444444444)</f>
        <v>5584.444444</v>
      </c>
      <c r="J4553" s="10">
        <f>IFERROR(__xludf.DUMMYFUNCTION("""COMPUTED_VALUE"""),0.0)</f>
        <v>0</v>
      </c>
      <c r="K4553" s="5">
        <f>IFERROR(__xludf.DUMMYFUNCTION("""COMPUTED_VALUE"""),0.0)</f>
        <v>0</v>
      </c>
      <c r="L4553" s="10">
        <f>IFERROR(__xludf.DUMMYFUNCTION("""COMPUTED_VALUE"""),345.0)</f>
        <v>345</v>
      </c>
      <c r="M4553" s="5">
        <f>IFERROR(__xludf.DUMMYFUNCTION("""COMPUTED_VALUE"""),1.0)</f>
        <v>1</v>
      </c>
    </row>
    <row r="4554">
      <c r="A4554" s="10" t="str">
        <f>IFERROR(__xludf.DUMMYFUNCTION("""COMPUTED_VALUE"""),"fail")</f>
        <v>fail</v>
      </c>
      <c r="B4554" s="10">
        <f>IFERROR(__xludf.DUMMYFUNCTION("""COMPUTED_VALUE"""),236.0)</f>
        <v>236</v>
      </c>
      <c r="C4554" s="10">
        <f>IFERROR(__xludf.DUMMYFUNCTION("""COMPUTED_VALUE"""),2679.0)</f>
        <v>2679</v>
      </c>
      <c r="D4554" s="5">
        <f>IFERROR(__xludf.DUMMYFUNCTION("""COMPUTED_VALUE"""),0.3319688907081457)</f>
        <v>0.3319688907</v>
      </c>
      <c r="E4554" s="5">
        <f>IFERROR(__xludf.DUMMYFUNCTION("""COMPUTED_VALUE"""),0.11706917724109701)</f>
        <v>0.1170691772</v>
      </c>
      <c r="F4554" s="5">
        <f>IFERROR(__xludf.DUMMYFUNCTION("""COMPUTED_VALUE"""),0.20507572656569792)</f>
        <v>0.2050757266</v>
      </c>
      <c r="G4554" s="5">
        <f>IFERROR(__xludf.DUMMYFUNCTION("""COMPUTED_VALUE"""),0.1829717560376586)</f>
        <v>0.182971756</v>
      </c>
      <c r="H4554" s="5">
        <f>IFERROR(__xludf.DUMMYFUNCTION("""COMPUTED_VALUE"""),0.6167664670658682)</f>
        <v>0.6167664671</v>
      </c>
      <c r="I4554" s="11">
        <f>IFERROR(__xludf.DUMMYFUNCTION("""COMPUTED_VALUE"""),5922.9540918163675)</f>
        <v>5922.954092</v>
      </c>
      <c r="J4554" s="10">
        <f>IFERROR(__xludf.DUMMYFUNCTION("""COMPUTED_VALUE"""),0.0)</f>
        <v>0</v>
      </c>
      <c r="K4554" s="5">
        <f>IFERROR(__xludf.DUMMYFUNCTION("""COMPUTED_VALUE"""),0.0)</f>
        <v>0</v>
      </c>
      <c r="L4554" s="10">
        <f>IFERROR(__xludf.DUMMYFUNCTION("""COMPUTED_VALUE"""),236.0)</f>
        <v>236</v>
      </c>
      <c r="M4554" s="5">
        <f>IFERROR(__xludf.DUMMYFUNCTION("""COMPUTED_VALUE"""),1.0)</f>
        <v>1</v>
      </c>
    </row>
    <row r="4555">
      <c r="A4555" s="10" t="str">
        <f>IFERROR(__xludf.DUMMYFUNCTION("""COMPUTED_VALUE"""),"めろんぱん")</f>
        <v>めろんぱん</v>
      </c>
      <c r="B4555" s="10">
        <f>IFERROR(__xludf.DUMMYFUNCTION("""COMPUTED_VALUE"""),495.0)</f>
        <v>495</v>
      </c>
      <c r="C4555" s="10">
        <f>IFERROR(__xludf.DUMMYFUNCTION("""COMPUTED_VALUE"""),5877.0)</f>
        <v>5877</v>
      </c>
      <c r="D4555" s="5">
        <f>IFERROR(__xludf.DUMMYFUNCTION("""COMPUTED_VALUE"""),0.3403939056112969)</f>
        <v>0.3403939056</v>
      </c>
      <c r="E4555" s="5">
        <f>IFERROR(__xludf.DUMMYFUNCTION("""COMPUTED_VALUE"""),0.11705685618729098)</f>
        <v>0.1170568562</v>
      </c>
      <c r="F4555" s="5">
        <f>IFERROR(__xludf.DUMMYFUNCTION("""COMPUTED_VALUE"""),0.20512820512820512)</f>
        <v>0.2051282051</v>
      </c>
      <c r="G4555" s="5">
        <f>IFERROR(__xludf.DUMMYFUNCTION("""COMPUTED_VALUE"""),0.1806020066889632)</f>
        <v>0.1806020067</v>
      </c>
      <c r="H4555" s="5">
        <f>IFERROR(__xludf.DUMMYFUNCTION("""COMPUTED_VALUE"""),0.5733695652173914)</f>
        <v>0.5733695652</v>
      </c>
      <c r="I4555" s="11">
        <f>IFERROR(__xludf.DUMMYFUNCTION("""COMPUTED_VALUE"""),5495.289855072464)</f>
        <v>5495.289855</v>
      </c>
      <c r="J4555" s="10">
        <f>IFERROR(__xludf.DUMMYFUNCTION("""COMPUTED_VALUE"""),0.0)</f>
        <v>0</v>
      </c>
      <c r="K4555" s="5">
        <f>IFERROR(__xludf.DUMMYFUNCTION("""COMPUTED_VALUE"""),0.0)</f>
        <v>0</v>
      </c>
      <c r="L4555" s="10">
        <f>IFERROR(__xludf.DUMMYFUNCTION("""COMPUTED_VALUE"""),0.0)</f>
        <v>0</v>
      </c>
      <c r="M4555" s="5">
        <f>IFERROR(__xludf.DUMMYFUNCTION("""COMPUTED_VALUE"""),0.0)</f>
        <v>0</v>
      </c>
    </row>
    <row r="4556">
      <c r="A4556" s="10" t="str">
        <f>IFERROR(__xludf.DUMMYFUNCTION("""COMPUTED_VALUE"""),"とと")</f>
        <v>とと</v>
      </c>
      <c r="B4556" s="10">
        <f>IFERROR(__xludf.DUMMYFUNCTION("""COMPUTED_VALUE"""),1535.0)</f>
        <v>1535</v>
      </c>
      <c r="C4556" s="10">
        <f>IFERROR(__xludf.DUMMYFUNCTION("""COMPUTED_VALUE"""),17879.0)</f>
        <v>17879</v>
      </c>
      <c r="D4556" s="5">
        <f>IFERROR(__xludf.DUMMYFUNCTION("""COMPUTED_VALUE"""),0.30837004405286345)</f>
        <v>0.3083700441</v>
      </c>
      <c r="E4556" s="5">
        <f>IFERROR(__xludf.DUMMYFUNCTION("""COMPUTED_VALUE"""),0.11704601076847773)</f>
        <v>0.1170460108</v>
      </c>
      <c r="F4556" s="5">
        <f>IFERROR(__xludf.DUMMYFUNCTION("""COMPUTED_VALUE"""),0.19958394517865882)</f>
        <v>0.1995839452</v>
      </c>
      <c r="G4556" s="5">
        <f>IFERROR(__xludf.DUMMYFUNCTION("""COMPUTED_VALUE"""),0.17633382280959373)</f>
        <v>0.1763338228</v>
      </c>
      <c r="H4556" s="5">
        <f>IFERROR(__xludf.DUMMYFUNCTION("""COMPUTED_VALUE"""),0.5996321275291232)</f>
        <v>0.5996321275</v>
      </c>
      <c r="I4556" s="11">
        <f>IFERROR(__xludf.DUMMYFUNCTION("""COMPUTED_VALUE"""),5881.82096873084)</f>
        <v>5881.820969</v>
      </c>
      <c r="J4556" s="10">
        <f>IFERROR(__xludf.DUMMYFUNCTION("""COMPUTED_VALUE"""),3.0)</f>
        <v>3</v>
      </c>
      <c r="K4556" s="5">
        <f>IFERROR(__xludf.DUMMYFUNCTION("""COMPUTED_VALUE"""),0.001954397394136808)</f>
        <v>0.001954397394</v>
      </c>
      <c r="L4556" s="10">
        <f>IFERROR(__xludf.DUMMYFUNCTION("""COMPUTED_VALUE"""),0.0)</f>
        <v>0</v>
      </c>
      <c r="M4556" s="5">
        <f>IFERROR(__xludf.DUMMYFUNCTION("""COMPUTED_VALUE"""),0.0)</f>
        <v>0</v>
      </c>
    </row>
    <row r="4557">
      <c r="A4557" s="10" t="str">
        <f>IFERROR(__xludf.DUMMYFUNCTION("""COMPUTED_VALUE"""),"さりーすこっと")</f>
        <v>さりーすこっと</v>
      </c>
      <c r="B4557" s="10">
        <f>IFERROR(__xludf.DUMMYFUNCTION("""COMPUTED_VALUE"""),2938.0)</f>
        <v>2938</v>
      </c>
      <c r="C4557" s="10">
        <f>IFERROR(__xludf.DUMMYFUNCTION("""COMPUTED_VALUE"""),34697.0)</f>
        <v>34697</v>
      </c>
      <c r="D4557" s="5">
        <f>IFERROR(__xludf.DUMMYFUNCTION("""COMPUTED_VALUE"""),0.3320318649831544)</f>
        <v>0.332031865</v>
      </c>
      <c r="E4557" s="5">
        <f>IFERROR(__xludf.DUMMYFUNCTION("""COMPUTED_VALUE"""),0.11703769010359268)</f>
        <v>0.1170376901</v>
      </c>
      <c r="F4557" s="5">
        <f>IFERROR(__xludf.DUMMYFUNCTION("""COMPUTED_VALUE"""),0.2040996253030637)</f>
        <v>0.2040996253</v>
      </c>
      <c r="G4557" s="5">
        <f>IFERROR(__xludf.DUMMYFUNCTION("""COMPUTED_VALUE"""),0.1617179382222362)</f>
        <v>0.1617179382</v>
      </c>
      <c r="H4557" s="5">
        <f>IFERROR(__xludf.DUMMYFUNCTION("""COMPUTED_VALUE"""),0.5979635914841098)</f>
        <v>0.5979635915</v>
      </c>
      <c r="I4557" s="11">
        <f>IFERROR(__xludf.DUMMYFUNCTION("""COMPUTED_VALUE"""),5703.208886146251)</f>
        <v>5703.208886</v>
      </c>
      <c r="J4557" s="10">
        <f>IFERROR(__xludf.DUMMYFUNCTION("""COMPUTED_VALUE"""),6.0)</f>
        <v>6</v>
      </c>
      <c r="K4557" s="5">
        <f>IFERROR(__xludf.DUMMYFUNCTION("""COMPUTED_VALUE"""),0.0020422055820285907)</f>
        <v>0.002042205582</v>
      </c>
      <c r="L4557" s="10">
        <f>IFERROR(__xludf.DUMMYFUNCTION("""COMPUTED_VALUE"""),0.0)</f>
        <v>0</v>
      </c>
      <c r="M4557" s="5">
        <f>IFERROR(__xludf.DUMMYFUNCTION("""COMPUTED_VALUE"""),0.0)</f>
        <v>0</v>
      </c>
    </row>
    <row r="4558">
      <c r="A4558" s="10" t="str">
        <f>IFERROR(__xludf.DUMMYFUNCTION("""COMPUTED_VALUE"""),"D-K")</f>
        <v>D-K</v>
      </c>
      <c r="B4558" s="10">
        <f>IFERROR(__xludf.DUMMYFUNCTION("""COMPUTED_VALUE"""),865.0)</f>
        <v>865</v>
      </c>
      <c r="C4558" s="10">
        <f>IFERROR(__xludf.DUMMYFUNCTION("""COMPUTED_VALUE"""),10307.0)</f>
        <v>10307</v>
      </c>
      <c r="D4558" s="5">
        <f>IFERROR(__xludf.DUMMYFUNCTION("""COMPUTED_VALUE"""),0.22431688201652192)</f>
        <v>0.224316882</v>
      </c>
      <c r="E4558" s="5">
        <f>IFERROR(__xludf.DUMMYFUNCTION("""COMPUTED_VALUE"""),0.11703029019275578)</f>
        <v>0.1170302902</v>
      </c>
      <c r="F4558" s="5">
        <f>IFERROR(__xludf.DUMMYFUNCTION("""COMPUTED_VALUE"""),0.18682482524888794)</f>
        <v>0.1868248252</v>
      </c>
      <c r="G4558" s="5">
        <f>IFERROR(__xludf.DUMMYFUNCTION("""COMPUTED_VALUE"""),0.1932853209065876)</f>
        <v>0.1932853209</v>
      </c>
      <c r="H4558" s="5">
        <f>IFERROR(__xludf.DUMMYFUNCTION("""COMPUTED_VALUE"""),0.5975056689342404)</f>
        <v>0.5975056689</v>
      </c>
      <c r="I4558" s="11">
        <f>IFERROR(__xludf.DUMMYFUNCTION("""COMPUTED_VALUE"""),6293.707482993197)</f>
        <v>6293.707483</v>
      </c>
      <c r="J4558" s="10">
        <f>IFERROR(__xludf.DUMMYFUNCTION("""COMPUTED_VALUE"""),4.0)</f>
        <v>4</v>
      </c>
      <c r="K4558" s="5">
        <f>IFERROR(__xludf.DUMMYFUNCTION("""COMPUTED_VALUE"""),0.004624277456647399)</f>
        <v>0.004624277457</v>
      </c>
      <c r="L4558" s="10">
        <f>IFERROR(__xludf.DUMMYFUNCTION("""COMPUTED_VALUE"""),865.0)</f>
        <v>865</v>
      </c>
      <c r="M4558" s="5">
        <f>IFERROR(__xludf.DUMMYFUNCTION("""COMPUTED_VALUE"""),1.0)</f>
        <v>1</v>
      </c>
    </row>
    <row r="4559">
      <c r="A4559" s="10" t="str">
        <f>IFERROR(__xludf.DUMMYFUNCTION("""COMPUTED_VALUE"""),"タナギ")</f>
        <v>タナギ</v>
      </c>
      <c r="B4559" s="10">
        <f>IFERROR(__xludf.DUMMYFUNCTION("""COMPUTED_VALUE"""),2780.0)</f>
        <v>2780</v>
      </c>
      <c r="C4559" s="10">
        <f>IFERROR(__xludf.DUMMYFUNCTION("""COMPUTED_VALUE"""),32901.0)</f>
        <v>32901</v>
      </c>
      <c r="D4559" s="5">
        <f>IFERROR(__xludf.DUMMYFUNCTION("""COMPUTED_VALUE"""),0.36642209753992233)</f>
        <v>0.3664220975</v>
      </c>
      <c r="E4559" s="5">
        <f>IFERROR(__xludf.DUMMYFUNCTION("""COMPUTED_VALUE"""),0.11702798711862156)</f>
        <v>0.1170279871</v>
      </c>
      <c r="F4559" s="5">
        <f>IFERROR(__xludf.DUMMYFUNCTION("""COMPUTED_VALUE"""),0.21529829686929386)</f>
        <v>0.2152982969</v>
      </c>
      <c r="G4559" s="5">
        <f>IFERROR(__xludf.DUMMYFUNCTION("""COMPUTED_VALUE"""),0.16871949802463398)</f>
        <v>0.168719498</v>
      </c>
      <c r="H4559" s="5">
        <f>IFERROR(__xludf.DUMMYFUNCTION("""COMPUTED_VALUE"""),0.582112567463377)</f>
        <v>0.5821125675</v>
      </c>
      <c r="I4559" s="11">
        <f>IFERROR(__xludf.DUMMYFUNCTION("""COMPUTED_VALUE"""),5578.1033153431)</f>
        <v>5578.103315</v>
      </c>
      <c r="J4559" s="10">
        <f>IFERROR(__xludf.DUMMYFUNCTION("""COMPUTED_VALUE"""),7.0)</f>
        <v>7</v>
      </c>
      <c r="K4559" s="5">
        <f>IFERROR(__xludf.DUMMYFUNCTION("""COMPUTED_VALUE"""),0.002517985611510791)</f>
        <v>0.002517985612</v>
      </c>
      <c r="L4559" s="10">
        <f>IFERROR(__xludf.DUMMYFUNCTION("""COMPUTED_VALUE"""),2780.0)</f>
        <v>2780</v>
      </c>
      <c r="M4559" s="5">
        <f>IFERROR(__xludf.DUMMYFUNCTION("""COMPUTED_VALUE"""),1.0)</f>
        <v>1</v>
      </c>
    </row>
    <row r="4560">
      <c r="A4560" s="10" t="str">
        <f>IFERROR(__xludf.DUMMYFUNCTION("""COMPUTED_VALUE"""),"あやのちゃんV")</f>
        <v>あやのちゃんV</v>
      </c>
      <c r="B4560" s="10">
        <f>IFERROR(__xludf.DUMMYFUNCTION("""COMPUTED_VALUE"""),234.0)</f>
        <v>234</v>
      </c>
      <c r="C4560" s="10">
        <f>IFERROR(__xludf.DUMMYFUNCTION("""COMPUTED_VALUE"""),2781.0)</f>
        <v>2781</v>
      </c>
      <c r="D4560" s="5">
        <f>IFERROR(__xludf.DUMMYFUNCTION("""COMPUTED_VALUE"""),0.3341185708676875)</f>
        <v>0.3341185709</v>
      </c>
      <c r="E4560" s="5">
        <f>IFERROR(__xludf.DUMMYFUNCTION("""COMPUTED_VALUE"""),0.11700039261876717)</f>
        <v>0.1170003926</v>
      </c>
      <c r="F4560" s="5">
        <f>IFERROR(__xludf.DUMMYFUNCTION("""COMPUTED_VALUE"""),0.22182960345504515)</f>
        <v>0.2218296035</v>
      </c>
      <c r="G4560" s="5">
        <f>IFERROR(__xludf.DUMMYFUNCTION("""COMPUTED_VALUE"""),0.1696113074204947)</f>
        <v>0.1696113074</v>
      </c>
      <c r="H4560" s="5">
        <f>IFERROR(__xludf.DUMMYFUNCTION("""COMPUTED_VALUE"""),0.6230088495575221)</f>
        <v>0.6230088496</v>
      </c>
      <c r="I4560" s="11">
        <f>IFERROR(__xludf.DUMMYFUNCTION("""COMPUTED_VALUE"""),5415.7522123893805)</f>
        <v>5415.752212</v>
      </c>
      <c r="J4560" s="10">
        <f>IFERROR(__xludf.DUMMYFUNCTION("""COMPUTED_VALUE"""),0.0)</f>
        <v>0</v>
      </c>
      <c r="K4560" s="5">
        <f>IFERROR(__xludf.DUMMYFUNCTION("""COMPUTED_VALUE"""),0.0)</f>
        <v>0</v>
      </c>
      <c r="L4560" s="10">
        <f>IFERROR(__xludf.DUMMYFUNCTION("""COMPUTED_VALUE"""),234.0)</f>
        <v>234</v>
      </c>
      <c r="M4560" s="5">
        <f>IFERROR(__xludf.DUMMYFUNCTION("""COMPUTED_VALUE"""),1.0)</f>
        <v>1</v>
      </c>
    </row>
    <row r="4561">
      <c r="A4561" s="10" t="str">
        <f>IFERROR(__xludf.DUMMYFUNCTION("""COMPUTED_VALUE"""),"ryo…15")</f>
        <v>ryo…15</v>
      </c>
      <c r="B4561" s="10">
        <f>IFERROR(__xludf.DUMMYFUNCTION("""COMPUTED_VALUE"""),4574.0)</f>
        <v>4574</v>
      </c>
      <c r="C4561" s="10">
        <f>IFERROR(__xludf.DUMMYFUNCTION("""COMPUTED_VALUE"""),53924.0)</f>
        <v>53924</v>
      </c>
      <c r="D4561" s="5">
        <f>IFERROR(__xludf.DUMMYFUNCTION("""COMPUTED_VALUE"""),0.323242147922999)</f>
        <v>0.3232421479</v>
      </c>
      <c r="E4561" s="5">
        <f>IFERROR(__xludf.DUMMYFUNCTION("""COMPUTED_VALUE"""),0.11698074974670719)</f>
        <v>0.1169807497</v>
      </c>
      <c r="F4561" s="5">
        <f>IFERROR(__xludf.DUMMYFUNCTION("""COMPUTED_VALUE"""),0.2001823708206687)</f>
        <v>0.2001823708</v>
      </c>
      <c r="G4561" s="5">
        <f>IFERROR(__xludf.DUMMYFUNCTION("""COMPUTED_VALUE"""),0.1549341438703141)</f>
        <v>0.1549341439</v>
      </c>
      <c r="H4561" s="5">
        <f>IFERROR(__xludf.DUMMYFUNCTION("""COMPUTED_VALUE"""),0.5969227654620913)</f>
        <v>0.5969227655</v>
      </c>
      <c r="I4561" s="11">
        <f>IFERROR(__xludf.DUMMYFUNCTION("""COMPUTED_VALUE"""),5741.542666261767)</f>
        <v>5741.542666</v>
      </c>
      <c r="J4561" s="10">
        <f>IFERROR(__xludf.DUMMYFUNCTION("""COMPUTED_VALUE"""),13.0)</f>
        <v>13</v>
      </c>
      <c r="K4561" s="5">
        <f>IFERROR(__xludf.DUMMYFUNCTION("""COMPUTED_VALUE"""),0.0028421512898994315)</f>
        <v>0.00284215129</v>
      </c>
      <c r="L4561" s="10">
        <f>IFERROR(__xludf.DUMMYFUNCTION("""COMPUTED_VALUE"""),4574.0)</f>
        <v>4574</v>
      </c>
      <c r="M4561" s="5">
        <f>IFERROR(__xludf.DUMMYFUNCTION("""COMPUTED_VALUE"""),1.0)</f>
        <v>1</v>
      </c>
    </row>
    <row r="4562">
      <c r="A4562" s="10" t="str">
        <f>IFERROR(__xludf.DUMMYFUNCTION("""COMPUTED_VALUE"""),"純黒K")</f>
        <v>純黒K</v>
      </c>
      <c r="B4562" s="10">
        <f>IFERROR(__xludf.DUMMYFUNCTION("""COMPUTED_VALUE"""),1314.0)</f>
        <v>1314</v>
      </c>
      <c r="C4562" s="10">
        <f>IFERROR(__xludf.DUMMYFUNCTION("""COMPUTED_VALUE"""),15385.0)</f>
        <v>15385</v>
      </c>
      <c r="D4562" s="5">
        <f>IFERROR(__xludf.DUMMYFUNCTION("""COMPUTED_VALUE"""),0.39805273257053514)</f>
        <v>0.3980527326</v>
      </c>
      <c r="E4562" s="5">
        <f>IFERROR(__xludf.DUMMYFUNCTION("""COMPUTED_VALUE"""),0.11697818207661147)</f>
        <v>0.1169781821</v>
      </c>
      <c r="F4562" s="5">
        <f>IFERROR(__xludf.DUMMYFUNCTION("""COMPUTED_VALUE"""),0.21519437140217468)</f>
        <v>0.2151943714</v>
      </c>
      <c r="G4562" s="5">
        <f>IFERROR(__xludf.DUMMYFUNCTION("""COMPUTED_VALUE"""),0.14583185274678417)</f>
        <v>0.1458318527</v>
      </c>
      <c r="H4562" s="5">
        <f>IFERROR(__xludf.DUMMYFUNCTION("""COMPUTED_VALUE"""),0.6066710700132101)</f>
        <v>0.60667107</v>
      </c>
      <c r="I4562" s="11">
        <f>IFERROR(__xludf.DUMMYFUNCTION("""COMPUTED_VALUE"""),5485.1717305151915)</f>
        <v>5485.171731</v>
      </c>
      <c r="J4562" s="10">
        <f>IFERROR(__xludf.DUMMYFUNCTION("""COMPUTED_VALUE"""),7.0)</f>
        <v>7</v>
      </c>
      <c r="K4562" s="5">
        <f>IFERROR(__xludf.DUMMYFUNCTION("""COMPUTED_VALUE"""),0.00532724505327245)</f>
        <v>0.005327245053</v>
      </c>
      <c r="L4562" s="10">
        <f>IFERROR(__xludf.DUMMYFUNCTION("""COMPUTED_VALUE"""),1303.0)</f>
        <v>1303</v>
      </c>
      <c r="M4562" s="5">
        <f>IFERROR(__xludf.DUMMYFUNCTION("""COMPUTED_VALUE"""),0.9916286149162862)</f>
        <v>0.9916286149</v>
      </c>
    </row>
    <row r="4563">
      <c r="A4563" s="10" t="str">
        <f>IFERROR(__xludf.DUMMYFUNCTION("""COMPUTED_VALUE"""),"赤瞳@水貨軍團")</f>
        <v>赤瞳@水貨軍團</v>
      </c>
      <c r="B4563" s="10">
        <f>IFERROR(__xludf.DUMMYFUNCTION("""COMPUTED_VALUE"""),311.0)</f>
        <v>311</v>
      </c>
      <c r="C4563" s="10">
        <f>IFERROR(__xludf.DUMMYFUNCTION("""COMPUTED_VALUE"""),3654.0)</f>
        <v>3654</v>
      </c>
      <c r="D4563" s="5">
        <f>IFERROR(__xludf.DUMMYFUNCTION("""COMPUTED_VALUE"""),0.39276099311995216)</f>
        <v>0.3927609931</v>
      </c>
      <c r="E4563" s="5">
        <f>IFERROR(__xludf.DUMMYFUNCTION("""COMPUTED_VALUE"""),0.11696081364044271)</f>
        <v>0.1169608136</v>
      </c>
      <c r="F4563" s="5">
        <f>IFERROR(__xludf.DUMMYFUNCTION("""COMPUTED_VALUE"""),0.21029015854023334)</f>
        <v>0.2102901585</v>
      </c>
      <c r="G4563" s="5">
        <f>IFERROR(__xludf.DUMMYFUNCTION("""COMPUTED_VALUE"""),0.17319772659288066)</f>
        <v>0.1731977266</v>
      </c>
      <c r="H4563" s="5">
        <f>IFERROR(__xludf.DUMMYFUNCTION("""COMPUTED_VALUE"""),0.6002844950213371)</f>
        <v>0.600284495</v>
      </c>
      <c r="I4563" s="11">
        <f>IFERROR(__xludf.DUMMYFUNCTION("""COMPUTED_VALUE"""),5728.4495021337125)</f>
        <v>5728.449502</v>
      </c>
      <c r="J4563" s="10">
        <f>IFERROR(__xludf.DUMMYFUNCTION("""COMPUTED_VALUE"""),0.0)</f>
        <v>0</v>
      </c>
      <c r="K4563" s="5">
        <f>IFERROR(__xludf.DUMMYFUNCTION("""COMPUTED_VALUE"""),0.0)</f>
        <v>0</v>
      </c>
      <c r="L4563" s="10">
        <f>IFERROR(__xludf.DUMMYFUNCTION("""COMPUTED_VALUE"""),15.0)</f>
        <v>15</v>
      </c>
      <c r="M4563" s="5">
        <f>IFERROR(__xludf.DUMMYFUNCTION("""COMPUTED_VALUE"""),0.04823151125401929)</f>
        <v>0.04823151125</v>
      </c>
    </row>
    <row r="4564">
      <c r="A4564" s="10" t="str">
        <f>IFERROR(__xludf.DUMMYFUNCTION("""COMPUTED_VALUE"""),"†水銀燈†")</f>
        <v>†水銀燈†</v>
      </c>
      <c r="B4564" s="10">
        <f>IFERROR(__xludf.DUMMYFUNCTION("""COMPUTED_VALUE"""),673.0)</f>
        <v>673</v>
      </c>
      <c r="C4564" s="10">
        <f>IFERROR(__xludf.DUMMYFUNCTION("""COMPUTED_VALUE"""),7958.0)</f>
        <v>7958</v>
      </c>
      <c r="D4564" s="5">
        <f>IFERROR(__xludf.DUMMYFUNCTION("""COMPUTED_VALUE"""),0.32916952642415925)</f>
        <v>0.3291695264</v>
      </c>
      <c r="E4564" s="5">
        <f>IFERROR(__xludf.DUMMYFUNCTION("""COMPUTED_VALUE"""),0.11695264241592312)</f>
        <v>0.1169526424</v>
      </c>
      <c r="F4564" s="5">
        <f>IFERROR(__xludf.DUMMYFUNCTION("""COMPUTED_VALUE"""),0.19698009608785175)</f>
        <v>0.1969800961</v>
      </c>
      <c r="G4564" s="5">
        <f>IFERROR(__xludf.DUMMYFUNCTION("""COMPUTED_VALUE"""),0.1832532601235415)</f>
        <v>0.1832532601</v>
      </c>
      <c r="H4564" s="5">
        <f>IFERROR(__xludf.DUMMYFUNCTION("""COMPUTED_VALUE"""),0.6055749128919861)</f>
        <v>0.6055749129</v>
      </c>
      <c r="I4564" s="11">
        <f>IFERROR(__xludf.DUMMYFUNCTION("""COMPUTED_VALUE"""),5751.498257839721)</f>
        <v>5751.498258</v>
      </c>
      <c r="J4564" s="10">
        <f>IFERROR(__xludf.DUMMYFUNCTION("""COMPUTED_VALUE"""),1.0)</f>
        <v>1</v>
      </c>
      <c r="K4564" s="5">
        <f>IFERROR(__xludf.DUMMYFUNCTION("""COMPUTED_VALUE"""),0.0014858841010401188)</f>
        <v>0.001485884101</v>
      </c>
      <c r="L4564" s="10">
        <f>IFERROR(__xludf.DUMMYFUNCTION("""COMPUTED_VALUE"""),0.0)</f>
        <v>0</v>
      </c>
      <c r="M4564" s="5">
        <f>IFERROR(__xludf.DUMMYFUNCTION("""COMPUTED_VALUE"""),0.0)</f>
        <v>0</v>
      </c>
    </row>
    <row r="4565">
      <c r="A4565" s="10" t="str">
        <f>IFERROR(__xludf.DUMMYFUNCTION("""COMPUTED_VALUE"""),"桜島麻衣")</f>
        <v>桜島麻衣</v>
      </c>
      <c r="B4565" s="10">
        <f>IFERROR(__xludf.DUMMYFUNCTION("""COMPUTED_VALUE"""),611.0)</f>
        <v>611</v>
      </c>
      <c r="C4565" s="10">
        <f>IFERROR(__xludf.DUMMYFUNCTION("""COMPUTED_VALUE"""),7144.0)</f>
        <v>7144</v>
      </c>
      <c r="D4565" s="5">
        <f>IFERROR(__xludf.DUMMYFUNCTION("""COMPUTED_VALUE"""),0.2929741313332313)</f>
        <v>0.2929741313</v>
      </c>
      <c r="E4565" s="5">
        <f>IFERROR(__xludf.DUMMYFUNCTION("""COMPUTED_VALUE"""),0.11694474207867749)</f>
        <v>0.1169447421</v>
      </c>
      <c r="F4565" s="5">
        <f>IFERROR(__xludf.DUMMYFUNCTION("""COMPUTED_VALUE"""),0.20296953926220726)</f>
        <v>0.2029695393</v>
      </c>
      <c r="G4565" s="5">
        <f>IFERROR(__xludf.DUMMYFUNCTION("""COMPUTED_VALUE"""),0.1937853972141436)</f>
        <v>0.1937853972</v>
      </c>
      <c r="H4565" s="5">
        <f>IFERROR(__xludf.DUMMYFUNCTION("""COMPUTED_VALUE"""),0.6018099547511312)</f>
        <v>0.6018099548</v>
      </c>
      <c r="I4565" s="11">
        <f>IFERROR(__xludf.DUMMYFUNCTION("""COMPUTED_VALUE"""),5781.447963800905)</f>
        <v>5781.447964</v>
      </c>
      <c r="J4565" s="10">
        <f>IFERROR(__xludf.DUMMYFUNCTION("""COMPUTED_VALUE"""),2.0)</f>
        <v>2</v>
      </c>
      <c r="K4565" s="5">
        <f>IFERROR(__xludf.DUMMYFUNCTION("""COMPUTED_VALUE"""),0.0032733224222585926)</f>
        <v>0.003273322422</v>
      </c>
      <c r="L4565" s="10">
        <f>IFERROR(__xludf.DUMMYFUNCTION("""COMPUTED_VALUE"""),0.0)</f>
        <v>0</v>
      </c>
      <c r="M4565" s="5">
        <f>IFERROR(__xludf.DUMMYFUNCTION("""COMPUTED_VALUE"""),0.0)</f>
        <v>0</v>
      </c>
    </row>
    <row r="4566">
      <c r="A4566" s="10" t="str">
        <f>IFERROR(__xludf.DUMMYFUNCTION("""COMPUTED_VALUE"""),"aism")</f>
        <v>aism</v>
      </c>
      <c r="B4566" s="10">
        <f>IFERROR(__xludf.DUMMYFUNCTION("""COMPUTED_VALUE"""),609.0)</f>
        <v>609</v>
      </c>
      <c r="C4566" s="10">
        <f>IFERROR(__xludf.DUMMYFUNCTION("""COMPUTED_VALUE"""),7296.0)</f>
        <v>7296</v>
      </c>
      <c r="D4566" s="5">
        <f>IFERROR(__xludf.DUMMYFUNCTION("""COMPUTED_VALUE"""),0.3740092717212502)</f>
        <v>0.3740092717</v>
      </c>
      <c r="E4566" s="5">
        <f>IFERROR(__xludf.DUMMYFUNCTION("""COMPUTED_VALUE"""),0.11694332286526095)</f>
        <v>0.1169433229</v>
      </c>
      <c r="F4566" s="5">
        <f>IFERROR(__xludf.DUMMYFUNCTION("""COMPUTED_VALUE"""),0.20891281591147)</f>
        <v>0.2089128159</v>
      </c>
      <c r="G4566" s="5">
        <f>IFERROR(__xludf.DUMMYFUNCTION("""COMPUTED_VALUE"""),0.15552564677732914)</f>
        <v>0.1555256468</v>
      </c>
      <c r="H4566" s="5">
        <f>IFERROR(__xludf.DUMMYFUNCTION("""COMPUTED_VALUE"""),0.6027201145311382)</f>
        <v>0.6027201145</v>
      </c>
      <c r="I4566" s="11">
        <f>IFERROR(__xludf.DUMMYFUNCTION("""COMPUTED_VALUE"""),5214.173228346457)</f>
        <v>5214.173228</v>
      </c>
      <c r="J4566" s="10">
        <f>IFERROR(__xludf.DUMMYFUNCTION("""COMPUTED_VALUE"""),0.0)</f>
        <v>0</v>
      </c>
      <c r="K4566" s="5">
        <f>IFERROR(__xludf.DUMMYFUNCTION("""COMPUTED_VALUE"""),0.0)</f>
        <v>0</v>
      </c>
      <c r="L4566" s="10">
        <f>IFERROR(__xludf.DUMMYFUNCTION("""COMPUTED_VALUE"""),609.0)</f>
        <v>609</v>
      </c>
      <c r="M4566" s="5">
        <f>IFERROR(__xludf.DUMMYFUNCTION("""COMPUTED_VALUE"""),1.0)</f>
        <v>1</v>
      </c>
    </row>
    <row r="4567">
      <c r="A4567" s="10" t="str">
        <f>IFERROR(__xludf.DUMMYFUNCTION("""COMPUTED_VALUE"""),"ちゃびん？")</f>
        <v>ちゃびん？</v>
      </c>
      <c r="B4567" s="10">
        <f>IFERROR(__xludf.DUMMYFUNCTION("""COMPUTED_VALUE"""),354.0)</f>
        <v>354</v>
      </c>
      <c r="C4567" s="10">
        <f>IFERROR(__xludf.DUMMYFUNCTION("""COMPUTED_VALUE"""),4185.0)</f>
        <v>4185</v>
      </c>
      <c r="D4567" s="5">
        <f>IFERROR(__xludf.DUMMYFUNCTION("""COMPUTED_VALUE"""),0.25998433829287393)</f>
        <v>0.2599843383</v>
      </c>
      <c r="E4567" s="5">
        <f>IFERROR(__xludf.DUMMYFUNCTION("""COMPUTED_VALUE"""),0.11694074654137301)</f>
        <v>0.1169407465</v>
      </c>
      <c r="F4567" s="5">
        <f>IFERROR(__xludf.DUMMYFUNCTION("""COMPUTED_VALUE"""),0.19864265204907336)</f>
        <v>0.198642652</v>
      </c>
      <c r="G4567" s="5">
        <f>IFERROR(__xludf.DUMMYFUNCTION("""COMPUTED_VALUE"""),0.16601409553641347)</f>
        <v>0.1660140955</v>
      </c>
      <c r="H4567" s="5">
        <f>IFERROR(__xludf.DUMMYFUNCTION("""COMPUTED_VALUE"""),0.5834428383705651)</f>
        <v>0.5834428384</v>
      </c>
      <c r="I4567" s="11">
        <f>IFERROR(__xludf.DUMMYFUNCTION("""COMPUTED_VALUE"""),6033.11432325887)</f>
        <v>6033.114323</v>
      </c>
      <c r="J4567" s="10">
        <f>IFERROR(__xludf.DUMMYFUNCTION("""COMPUTED_VALUE"""),1.0)</f>
        <v>1</v>
      </c>
      <c r="K4567" s="5">
        <f>IFERROR(__xludf.DUMMYFUNCTION("""COMPUTED_VALUE"""),0.002824858757062147)</f>
        <v>0.002824858757</v>
      </c>
      <c r="L4567" s="10">
        <f>IFERROR(__xludf.DUMMYFUNCTION("""COMPUTED_VALUE"""),354.0)</f>
        <v>354</v>
      </c>
      <c r="M4567" s="5">
        <f>IFERROR(__xludf.DUMMYFUNCTION("""COMPUTED_VALUE"""),1.0)</f>
        <v>1</v>
      </c>
    </row>
    <row r="4568">
      <c r="A4568" s="10" t="str">
        <f>IFERROR(__xludf.DUMMYFUNCTION("""COMPUTED_VALUE"""),"くうたろ")</f>
        <v>くうたろ</v>
      </c>
      <c r="B4568" s="10">
        <f>IFERROR(__xludf.DUMMYFUNCTION("""COMPUTED_VALUE"""),4080.0)</f>
        <v>4080</v>
      </c>
      <c r="C4568" s="10">
        <f>IFERROR(__xludf.DUMMYFUNCTION("""COMPUTED_VALUE"""),47727.0)</f>
        <v>47727</v>
      </c>
      <c r="D4568" s="5">
        <f>IFERROR(__xludf.DUMMYFUNCTION("""COMPUTED_VALUE"""),0.3607808096776411)</f>
        <v>0.3607808097</v>
      </c>
      <c r="E4568" s="5">
        <f>IFERROR(__xludf.DUMMYFUNCTION("""COMPUTED_VALUE"""),0.11693816298943799)</f>
        <v>0.116938163</v>
      </c>
      <c r="F4568" s="5">
        <f>IFERROR(__xludf.DUMMYFUNCTION("""COMPUTED_VALUE"""),0.21167548743327147)</f>
        <v>0.2116754874</v>
      </c>
      <c r="G4568" s="5">
        <f>IFERROR(__xludf.DUMMYFUNCTION("""COMPUTED_VALUE"""),0.171581093775059)</f>
        <v>0.1715810938</v>
      </c>
      <c r="H4568" s="5">
        <f>IFERROR(__xludf.DUMMYFUNCTION("""COMPUTED_VALUE"""),0.5994155211602987)</f>
        <v>0.5994155212</v>
      </c>
      <c r="I4568" s="11">
        <f>IFERROR(__xludf.DUMMYFUNCTION("""COMPUTED_VALUE"""),5639.041021755601)</f>
        <v>5639.041022</v>
      </c>
      <c r="J4568" s="10">
        <f>IFERROR(__xludf.DUMMYFUNCTION("""COMPUTED_VALUE"""),3.0)</f>
        <v>3</v>
      </c>
      <c r="K4568" s="5">
        <f>IFERROR(__xludf.DUMMYFUNCTION("""COMPUTED_VALUE"""),7.352941176470588E-4)</f>
        <v>0.0007352941176</v>
      </c>
      <c r="L4568" s="10">
        <f>IFERROR(__xludf.DUMMYFUNCTION("""COMPUTED_VALUE"""),3778.0)</f>
        <v>3778</v>
      </c>
      <c r="M4568" s="5">
        <f>IFERROR(__xludf.DUMMYFUNCTION("""COMPUTED_VALUE"""),0.9259803921568628)</f>
        <v>0.9259803922</v>
      </c>
    </row>
    <row r="4569">
      <c r="A4569" s="10" t="str">
        <f>IFERROR(__xludf.DUMMYFUNCTION("""COMPUTED_VALUE"""),"シンフォニア")</f>
        <v>シンフォニア</v>
      </c>
      <c r="B4569" s="10">
        <f>IFERROR(__xludf.DUMMYFUNCTION("""COMPUTED_VALUE"""),454.0)</f>
        <v>454</v>
      </c>
      <c r="C4569" s="10">
        <f>IFERROR(__xludf.DUMMYFUNCTION("""COMPUTED_VALUE"""),5286.0)</f>
        <v>5286</v>
      </c>
      <c r="D4569" s="5">
        <f>IFERROR(__xludf.DUMMYFUNCTION("""COMPUTED_VALUE"""),0.31084437086092714)</f>
        <v>0.3108443709</v>
      </c>
      <c r="E4569" s="5">
        <f>IFERROR(__xludf.DUMMYFUNCTION("""COMPUTED_VALUE"""),0.11692880794701986)</f>
        <v>0.1169288079</v>
      </c>
      <c r="F4569" s="5">
        <f>IFERROR(__xludf.DUMMYFUNCTION("""COMPUTED_VALUE"""),0.2075745033112583)</f>
        <v>0.2075745033</v>
      </c>
      <c r="G4569" s="5">
        <f>IFERROR(__xludf.DUMMYFUNCTION("""COMPUTED_VALUE"""),0.16783940397350994)</f>
        <v>0.167839404</v>
      </c>
      <c r="H4569" s="5">
        <f>IFERROR(__xludf.DUMMYFUNCTION("""COMPUTED_VALUE"""),0.6241276171485544)</f>
        <v>0.6241276171</v>
      </c>
      <c r="I4569" s="11">
        <f>IFERROR(__xludf.DUMMYFUNCTION("""COMPUTED_VALUE"""),5806.380857427717)</f>
        <v>5806.380857</v>
      </c>
      <c r="J4569" s="10">
        <f>IFERROR(__xludf.DUMMYFUNCTION("""COMPUTED_VALUE"""),0.0)</f>
        <v>0</v>
      </c>
      <c r="K4569" s="5">
        <f>IFERROR(__xludf.DUMMYFUNCTION("""COMPUTED_VALUE"""),0.0)</f>
        <v>0</v>
      </c>
      <c r="L4569" s="10">
        <f>IFERROR(__xludf.DUMMYFUNCTION("""COMPUTED_VALUE"""),451.0)</f>
        <v>451</v>
      </c>
      <c r="M4569" s="5">
        <f>IFERROR(__xludf.DUMMYFUNCTION("""COMPUTED_VALUE"""),0.9933920704845814)</f>
        <v>0.9933920705</v>
      </c>
    </row>
    <row r="4570">
      <c r="A4570" s="10" t="str">
        <f>IFERROR(__xludf.DUMMYFUNCTION("""COMPUTED_VALUE"""),"Honekko_")</f>
        <v>Honekko_</v>
      </c>
      <c r="B4570" s="10">
        <f>IFERROR(__xludf.DUMMYFUNCTION("""COMPUTED_VALUE"""),358.0)</f>
        <v>358</v>
      </c>
      <c r="C4570" s="10">
        <f>IFERROR(__xludf.DUMMYFUNCTION("""COMPUTED_VALUE"""),4267.0)</f>
        <v>4267</v>
      </c>
      <c r="D4570" s="5">
        <f>IFERROR(__xludf.DUMMYFUNCTION("""COMPUTED_VALUE"""),0.35840368380660015)</f>
        <v>0.3584036838</v>
      </c>
      <c r="E4570" s="5">
        <f>IFERROR(__xludf.DUMMYFUNCTION("""COMPUTED_VALUE"""),0.11690969557431569)</f>
        <v>0.1169096956</v>
      </c>
      <c r="F4570" s="5">
        <f>IFERROR(__xludf.DUMMYFUNCTION("""COMPUTED_VALUE"""),0.21207469941161422)</f>
        <v>0.2120746994</v>
      </c>
      <c r="G4570" s="5">
        <f>IFERROR(__xludf.DUMMYFUNCTION("""COMPUTED_VALUE"""),0.17677155282680992)</f>
        <v>0.1767715528</v>
      </c>
      <c r="H4570" s="5">
        <f>IFERROR(__xludf.DUMMYFUNCTION("""COMPUTED_VALUE"""),0.5705669481302774)</f>
        <v>0.5705669481</v>
      </c>
      <c r="I4570" s="11">
        <f>IFERROR(__xludf.DUMMYFUNCTION("""COMPUTED_VALUE"""),5271.049457177322)</f>
        <v>5271.049457</v>
      </c>
      <c r="J4570" s="10">
        <f>IFERROR(__xludf.DUMMYFUNCTION("""COMPUTED_VALUE"""),0.0)</f>
        <v>0</v>
      </c>
      <c r="K4570" s="5">
        <f>IFERROR(__xludf.DUMMYFUNCTION("""COMPUTED_VALUE"""),0.0)</f>
        <v>0</v>
      </c>
      <c r="L4570" s="10">
        <f>IFERROR(__xludf.DUMMYFUNCTION("""COMPUTED_VALUE"""),198.0)</f>
        <v>198</v>
      </c>
      <c r="M4570" s="5">
        <f>IFERROR(__xludf.DUMMYFUNCTION("""COMPUTED_VALUE"""),0.553072625698324)</f>
        <v>0.5530726257</v>
      </c>
    </row>
    <row r="4571">
      <c r="A4571" s="10" t="str">
        <f>IFERROR(__xludf.DUMMYFUNCTION("""COMPUTED_VALUE"""),"★月神★＠MJ")</f>
        <v>★月神★＠MJ</v>
      </c>
      <c r="B4571" s="10">
        <f>IFERROR(__xludf.DUMMYFUNCTION("""COMPUTED_VALUE"""),254.0)</f>
        <v>254</v>
      </c>
      <c r="C4571" s="10">
        <f>IFERROR(__xludf.DUMMYFUNCTION("""COMPUTED_VALUE"""),3034.0)</f>
        <v>3034</v>
      </c>
      <c r="D4571" s="5">
        <f>IFERROR(__xludf.DUMMYFUNCTION("""COMPUTED_VALUE"""),0.31510791366906477)</f>
        <v>0.3151079137</v>
      </c>
      <c r="E4571" s="5">
        <f>IFERROR(__xludf.DUMMYFUNCTION("""COMPUTED_VALUE"""),0.11690647482014388)</f>
        <v>0.1169064748</v>
      </c>
      <c r="F4571" s="5">
        <f>IFERROR(__xludf.DUMMYFUNCTION("""COMPUTED_VALUE"""),0.2237410071942446)</f>
        <v>0.2237410072</v>
      </c>
      <c r="G4571" s="5">
        <f>IFERROR(__xludf.DUMMYFUNCTION("""COMPUTED_VALUE"""),0.20719424460431654)</f>
        <v>0.2071942446</v>
      </c>
      <c r="H4571" s="5">
        <f>IFERROR(__xludf.DUMMYFUNCTION("""COMPUTED_VALUE"""),0.6237942122186495)</f>
        <v>0.6237942122</v>
      </c>
      <c r="I4571" s="11">
        <f>IFERROR(__xludf.DUMMYFUNCTION("""COMPUTED_VALUE"""),6020.257234726688)</f>
        <v>6020.257235</v>
      </c>
      <c r="J4571" s="10">
        <f>IFERROR(__xludf.DUMMYFUNCTION("""COMPUTED_VALUE"""),1.0)</f>
        <v>1</v>
      </c>
      <c r="K4571" s="5">
        <f>IFERROR(__xludf.DUMMYFUNCTION("""COMPUTED_VALUE"""),0.003937007874015748)</f>
        <v>0.003937007874</v>
      </c>
      <c r="L4571" s="10">
        <f>IFERROR(__xludf.DUMMYFUNCTION("""COMPUTED_VALUE"""),254.0)</f>
        <v>254</v>
      </c>
      <c r="M4571" s="5">
        <f>IFERROR(__xludf.DUMMYFUNCTION("""COMPUTED_VALUE"""),1.0)</f>
        <v>1</v>
      </c>
    </row>
    <row r="4572">
      <c r="A4572" s="10" t="str">
        <f>IFERROR(__xludf.DUMMYFUNCTION("""COMPUTED_VALUE"""),"Route8")</f>
        <v>Route8</v>
      </c>
      <c r="B4572" s="10">
        <f>IFERROR(__xludf.DUMMYFUNCTION("""COMPUTED_VALUE"""),394.0)</f>
        <v>394</v>
      </c>
      <c r="C4572" s="10">
        <f>IFERROR(__xludf.DUMMYFUNCTION("""COMPUTED_VALUE"""),4697.0)</f>
        <v>4697</v>
      </c>
      <c r="D4572" s="5">
        <f>IFERROR(__xludf.DUMMYFUNCTION("""COMPUTED_VALUE"""),0.3425517081106205)</f>
        <v>0.3425517081</v>
      </c>
      <c r="E4572" s="5">
        <f>IFERROR(__xludf.DUMMYFUNCTION("""COMPUTED_VALUE"""),0.11689518940274227)</f>
        <v>0.1168951894</v>
      </c>
      <c r="F4572" s="5">
        <f>IFERROR(__xludf.DUMMYFUNCTION("""COMPUTED_VALUE"""),0.20148733441784802)</f>
        <v>0.2014873344</v>
      </c>
      <c r="G4572" s="5">
        <f>IFERROR(__xludf.DUMMYFUNCTION("""COMPUTED_VALUE"""),0.1777829421333953)</f>
        <v>0.1777829421</v>
      </c>
      <c r="H4572" s="5">
        <f>IFERROR(__xludf.DUMMYFUNCTION("""COMPUTED_VALUE"""),0.5732410611303345)</f>
        <v>0.5732410611</v>
      </c>
      <c r="I4572" s="11">
        <f>IFERROR(__xludf.DUMMYFUNCTION("""COMPUTED_VALUE"""),5775.778546712802)</f>
        <v>5775.778547</v>
      </c>
      <c r="J4572" s="10">
        <f>IFERROR(__xludf.DUMMYFUNCTION("""COMPUTED_VALUE"""),0.0)</f>
        <v>0</v>
      </c>
      <c r="K4572" s="5">
        <f>IFERROR(__xludf.DUMMYFUNCTION("""COMPUTED_VALUE"""),0.0)</f>
        <v>0</v>
      </c>
      <c r="L4572" s="10">
        <f>IFERROR(__xludf.DUMMYFUNCTION("""COMPUTED_VALUE"""),328.0)</f>
        <v>328</v>
      </c>
      <c r="M4572" s="5">
        <f>IFERROR(__xludf.DUMMYFUNCTION("""COMPUTED_VALUE"""),0.8324873096446701)</f>
        <v>0.8324873096</v>
      </c>
    </row>
    <row r="4573">
      <c r="A4573" s="10" t="str">
        <f>IFERROR(__xludf.DUMMYFUNCTION("""COMPUTED_VALUE"""),"橋本奈々未")</f>
        <v>橋本奈々未</v>
      </c>
      <c r="B4573" s="10">
        <f>IFERROR(__xludf.DUMMYFUNCTION("""COMPUTED_VALUE"""),240.0)</f>
        <v>240</v>
      </c>
      <c r="C4573" s="10">
        <f>IFERROR(__xludf.DUMMYFUNCTION("""COMPUTED_VALUE"""),2721.0)</f>
        <v>2721</v>
      </c>
      <c r="D4573" s="5">
        <f>IFERROR(__xludf.DUMMYFUNCTION("""COMPUTED_VALUE"""),0.3252720677146312)</f>
        <v>0.3252720677</v>
      </c>
      <c r="E4573" s="5">
        <f>IFERROR(__xludf.DUMMYFUNCTION("""COMPUTED_VALUE"""),0.11688835147118097)</f>
        <v>0.1168883515</v>
      </c>
      <c r="F4573" s="5">
        <f>IFERROR(__xludf.DUMMYFUNCTION("""COMPUTED_VALUE"""),0.20193470374848851)</f>
        <v>0.2019347037</v>
      </c>
      <c r="G4573" s="5">
        <f>IFERROR(__xludf.DUMMYFUNCTION("""COMPUTED_VALUE"""),0.17291414752116083)</f>
        <v>0.1729141475</v>
      </c>
      <c r="H4573" s="5">
        <f>IFERROR(__xludf.DUMMYFUNCTION("""COMPUTED_VALUE"""),0.6287425149700598)</f>
        <v>0.628742515</v>
      </c>
      <c r="I4573" s="11">
        <f>IFERROR(__xludf.DUMMYFUNCTION("""COMPUTED_VALUE"""),5303.792415169661)</f>
        <v>5303.792415</v>
      </c>
      <c r="J4573" s="10">
        <f>IFERROR(__xludf.DUMMYFUNCTION("""COMPUTED_VALUE"""),0.0)</f>
        <v>0</v>
      </c>
      <c r="K4573" s="5">
        <f>IFERROR(__xludf.DUMMYFUNCTION("""COMPUTED_VALUE"""),0.0)</f>
        <v>0</v>
      </c>
      <c r="L4573" s="10">
        <f>IFERROR(__xludf.DUMMYFUNCTION("""COMPUTED_VALUE"""),0.0)</f>
        <v>0</v>
      </c>
      <c r="M4573" s="5">
        <f>IFERROR(__xludf.DUMMYFUNCTION("""COMPUTED_VALUE"""),0.0)</f>
        <v>0</v>
      </c>
    </row>
    <row r="4574">
      <c r="A4574" s="10" t="str">
        <f>IFERROR(__xludf.DUMMYFUNCTION("""COMPUTED_VALUE"""),"ゆかりさん")</f>
        <v>ゆかりさん</v>
      </c>
      <c r="B4574" s="10">
        <f>IFERROR(__xludf.DUMMYFUNCTION("""COMPUTED_VALUE"""),257.0)</f>
        <v>257</v>
      </c>
      <c r="C4574" s="10">
        <f>IFERROR(__xludf.DUMMYFUNCTION("""COMPUTED_VALUE"""),3046.0)</f>
        <v>3046</v>
      </c>
      <c r="D4574" s="5">
        <f>IFERROR(__xludf.DUMMYFUNCTION("""COMPUTED_VALUE"""),0.3155252778773754)</f>
        <v>0.3155252779</v>
      </c>
      <c r="E4574" s="5">
        <f>IFERROR(__xludf.DUMMYFUNCTION("""COMPUTED_VALUE"""),0.11688777339548226)</f>
        <v>0.1168877734</v>
      </c>
      <c r="F4574" s="5">
        <f>IFERROR(__xludf.DUMMYFUNCTION("""COMPUTED_VALUE"""),0.19935460738615993)</f>
        <v>0.1993546074</v>
      </c>
      <c r="G4574" s="5">
        <f>IFERROR(__xludf.DUMMYFUNCTION("""COMPUTED_VALUE"""),0.17353890283255646)</f>
        <v>0.1735389028</v>
      </c>
      <c r="H4574" s="5">
        <f>IFERROR(__xludf.DUMMYFUNCTION("""COMPUTED_VALUE"""),0.5899280575539568)</f>
        <v>0.5899280576</v>
      </c>
      <c r="I4574" s="11">
        <f>IFERROR(__xludf.DUMMYFUNCTION("""COMPUTED_VALUE"""),5830.035971223022)</f>
        <v>5830.035971</v>
      </c>
      <c r="J4574" s="10">
        <f>IFERROR(__xludf.DUMMYFUNCTION("""COMPUTED_VALUE"""),0.0)</f>
        <v>0</v>
      </c>
      <c r="K4574" s="5">
        <f>IFERROR(__xludf.DUMMYFUNCTION("""COMPUTED_VALUE"""),0.0)</f>
        <v>0</v>
      </c>
      <c r="L4574" s="10">
        <f>IFERROR(__xludf.DUMMYFUNCTION("""COMPUTED_VALUE"""),1.0)</f>
        <v>1</v>
      </c>
      <c r="M4574" s="5">
        <f>IFERROR(__xludf.DUMMYFUNCTION("""COMPUTED_VALUE"""),0.0038910505836575876)</f>
        <v>0.003891050584</v>
      </c>
    </row>
    <row r="4575">
      <c r="A4575" s="10" t="str">
        <f>IFERROR(__xludf.DUMMYFUNCTION("""COMPUTED_VALUE"""),"ねきせEX")</f>
        <v>ねきせEX</v>
      </c>
      <c r="B4575" s="10">
        <f>IFERROR(__xludf.DUMMYFUNCTION("""COMPUTED_VALUE"""),1539.0)</f>
        <v>1539</v>
      </c>
      <c r="C4575" s="10">
        <f>IFERROR(__xludf.DUMMYFUNCTION("""COMPUTED_VALUE"""),18085.0)</f>
        <v>18085</v>
      </c>
      <c r="D4575" s="5">
        <f>IFERROR(__xludf.DUMMYFUNCTION("""COMPUTED_VALUE"""),0.3849873081107216)</f>
        <v>0.3849873081</v>
      </c>
      <c r="E4575" s="5">
        <f>IFERROR(__xludf.DUMMYFUNCTION("""COMPUTED_VALUE"""),0.11688625649703856)</f>
        <v>0.1168862565</v>
      </c>
      <c r="F4575" s="5">
        <f>IFERROR(__xludf.DUMMYFUNCTION("""COMPUTED_VALUE"""),0.21237761392481566)</f>
        <v>0.2123776139</v>
      </c>
      <c r="G4575" s="5">
        <f>IFERROR(__xludf.DUMMYFUNCTION("""COMPUTED_VALUE"""),0.16396712196301222)</f>
        <v>0.163967122</v>
      </c>
      <c r="H4575" s="5">
        <f>IFERROR(__xludf.DUMMYFUNCTION("""COMPUTED_VALUE"""),0.5970404097894138)</f>
        <v>0.5970404098</v>
      </c>
      <c r="I4575" s="11">
        <f>IFERROR(__xludf.DUMMYFUNCTION("""COMPUTED_VALUE"""),5494.194649971542)</f>
        <v>5494.19465</v>
      </c>
      <c r="J4575" s="10">
        <f>IFERROR(__xludf.DUMMYFUNCTION("""COMPUTED_VALUE"""),2.0)</f>
        <v>2</v>
      </c>
      <c r="K4575" s="5">
        <f>IFERROR(__xludf.DUMMYFUNCTION("""COMPUTED_VALUE"""),0.001299545159194282)</f>
        <v>0.001299545159</v>
      </c>
      <c r="L4575" s="10">
        <f>IFERROR(__xludf.DUMMYFUNCTION("""COMPUTED_VALUE"""),1118.0)</f>
        <v>1118</v>
      </c>
      <c r="M4575" s="5">
        <f>IFERROR(__xludf.DUMMYFUNCTION("""COMPUTED_VALUE"""),0.7264457439896036)</f>
        <v>0.726445744</v>
      </c>
    </row>
    <row r="4576">
      <c r="A4576" s="10" t="str">
        <f>IFERROR(__xludf.DUMMYFUNCTION("""COMPUTED_VALUE"""),"真賀田＠四季")</f>
        <v>真賀田＠四季</v>
      </c>
      <c r="B4576" s="10">
        <f>IFERROR(__xludf.DUMMYFUNCTION("""COMPUTED_VALUE"""),676.0)</f>
        <v>676</v>
      </c>
      <c r="C4576" s="10">
        <f>IFERROR(__xludf.DUMMYFUNCTION("""COMPUTED_VALUE"""),8008.0)</f>
        <v>8008</v>
      </c>
      <c r="D4576" s="5">
        <f>IFERROR(__xludf.DUMMYFUNCTION("""COMPUTED_VALUE"""),0.2257228587015821)</f>
        <v>0.2257228587</v>
      </c>
      <c r="E4576" s="5">
        <f>IFERROR(__xludf.DUMMYFUNCTION("""COMPUTED_VALUE"""),0.1168848881614839)</f>
        <v>0.1168848882</v>
      </c>
      <c r="F4576" s="5">
        <f>IFERROR(__xludf.DUMMYFUNCTION("""COMPUTED_VALUE"""),0.1869885433715221)</f>
        <v>0.1869885434</v>
      </c>
      <c r="G4576" s="5">
        <f>IFERROR(__xludf.DUMMYFUNCTION("""COMPUTED_VALUE"""),0.16693944353518822)</f>
        <v>0.1669394435</v>
      </c>
      <c r="H4576" s="5">
        <f>IFERROR(__xludf.DUMMYFUNCTION("""COMPUTED_VALUE"""),0.6046681254558717)</f>
        <v>0.6046681255</v>
      </c>
      <c r="I4576" s="11">
        <f>IFERROR(__xludf.DUMMYFUNCTION("""COMPUTED_VALUE"""),6248.9423778264045)</f>
        <v>6248.942378</v>
      </c>
      <c r="J4576" s="10">
        <f>IFERROR(__xludf.DUMMYFUNCTION("""COMPUTED_VALUE"""),5.0)</f>
        <v>5</v>
      </c>
      <c r="K4576" s="5">
        <f>IFERROR(__xludf.DUMMYFUNCTION("""COMPUTED_VALUE"""),0.0073964497041420114)</f>
        <v>0.007396449704</v>
      </c>
      <c r="L4576" s="10">
        <f>IFERROR(__xludf.DUMMYFUNCTION("""COMPUTED_VALUE"""),676.0)</f>
        <v>676</v>
      </c>
      <c r="M4576" s="5">
        <f>IFERROR(__xludf.DUMMYFUNCTION("""COMPUTED_VALUE"""),1.0)</f>
        <v>1</v>
      </c>
    </row>
    <row r="4577">
      <c r="A4577" s="10" t="str">
        <f>IFERROR(__xludf.DUMMYFUNCTION("""COMPUTED_VALUE"""),"九州の星")</f>
        <v>九州の星</v>
      </c>
      <c r="B4577" s="10">
        <f>IFERROR(__xludf.DUMMYFUNCTION("""COMPUTED_VALUE"""),1064.0)</f>
        <v>1064</v>
      </c>
      <c r="C4577" s="10">
        <f>IFERROR(__xludf.DUMMYFUNCTION("""COMPUTED_VALUE"""),12555.0)</f>
        <v>12555</v>
      </c>
      <c r="D4577" s="5">
        <f>IFERROR(__xludf.DUMMYFUNCTION("""COMPUTED_VALUE"""),0.3472282655991646)</f>
        <v>0.3472282656</v>
      </c>
      <c r="E4577" s="5">
        <f>IFERROR(__xludf.DUMMYFUNCTION("""COMPUTED_VALUE"""),0.11687407536332782)</f>
        <v>0.1168740754</v>
      </c>
      <c r="F4577" s="5">
        <f>IFERROR(__xludf.DUMMYFUNCTION("""COMPUTED_VALUE"""),0.20781481159168044)</f>
        <v>0.2078148116</v>
      </c>
      <c r="G4577" s="5">
        <f>IFERROR(__xludf.DUMMYFUNCTION("""COMPUTED_VALUE"""),0.1359324688886955)</f>
        <v>0.1359324689</v>
      </c>
      <c r="H4577" s="5">
        <f>IFERROR(__xludf.DUMMYFUNCTION("""COMPUTED_VALUE"""),0.6113902847571189)</f>
        <v>0.6113902848</v>
      </c>
      <c r="I4577" s="11">
        <f>IFERROR(__xludf.DUMMYFUNCTION("""COMPUTED_VALUE"""),5488.525963149079)</f>
        <v>5488.525963</v>
      </c>
      <c r="J4577" s="10">
        <f>IFERROR(__xludf.DUMMYFUNCTION("""COMPUTED_VALUE"""),4.0)</f>
        <v>4</v>
      </c>
      <c r="K4577" s="5">
        <f>IFERROR(__xludf.DUMMYFUNCTION("""COMPUTED_VALUE"""),0.0037593984962406013)</f>
        <v>0.003759398496</v>
      </c>
      <c r="L4577" s="10">
        <f>IFERROR(__xludf.DUMMYFUNCTION("""COMPUTED_VALUE"""),1064.0)</f>
        <v>1064</v>
      </c>
      <c r="M4577" s="5">
        <f>IFERROR(__xludf.DUMMYFUNCTION("""COMPUTED_VALUE"""),1.0)</f>
        <v>1</v>
      </c>
    </row>
    <row r="4578">
      <c r="A4578" s="10" t="str">
        <f>IFERROR(__xludf.DUMMYFUNCTION("""COMPUTED_VALUE"""),"キリギリス")</f>
        <v>キリギリス</v>
      </c>
      <c r="B4578" s="10">
        <f>IFERROR(__xludf.DUMMYFUNCTION("""COMPUTED_VALUE"""),143.0)</f>
        <v>143</v>
      </c>
      <c r="C4578" s="10">
        <f>IFERROR(__xludf.DUMMYFUNCTION("""COMPUTED_VALUE"""),1649.0)</f>
        <v>1649</v>
      </c>
      <c r="D4578" s="5">
        <f>IFERROR(__xludf.DUMMYFUNCTION("""COMPUTED_VALUE"""),0.20717131474103587)</f>
        <v>0.2071713147</v>
      </c>
      <c r="E4578" s="5">
        <f>IFERROR(__xludf.DUMMYFUNCTION("""COMPUTED_VALUE"""),0.11686586985391766)</f>
        <v>0.1168658699</v>
      </c>
      <c r="F4578" s="5">
        <f>IFERROR(__xludf.DUMMYFUNCTION("""COMPUTED_VALUE"""),0.1852589641434263)</f>
        <v>0.1852589641</v>
      </c>
      <c r="G4578" s="5">
        <f>IFERROR(__xludf.DUMMYFUNCTION("""COMPUTED_VALUE"""),0.16666666666666666)</f>
        <v>0.1666666667</v>
      </c>
      <c r="H4578" s="5">
        <f>IFERROR(__xludf.DUMMYFUNCTION("""COMPUTED_VALUE"""),0.5770609318996416)</f>
        <v>0.5770609319</v>
      </c>
      <c r="I4578" s="11">
        <f>IFERROR(__xludf.DUMMYFUNCTION("""COMPUTED_VALUE"""),6514.336917562724)</f>
        <v>6514.336918</v>
      </c>
      <c r="J4578" s="10">
        <f>IFERROR(__xludf.DUMMYFUNCTION("""COMPUTED_VALUE"""),0.0)</f>
        <v>0</v>
      </c>
      <c r="K4578" s="5">
        <f>IFERROR(__xludf.DUMMYFUNCTION("""COMPUTED_VALUE"""),0.0)</f>
        <v>0</v>
      </c>
      <c r="L4578" s="10">
        <f>IFERROR(__xludf.DUMMYFUNCTION("""COMPUTED_VALUE"""),143.0)</f>
        <v>143</v>
      </c>
      <c r="M4578" s="5">
        <f>IFERROR(__xludf.DUMMYFUNCTION("""COMPUTED_VALUE"""),1.0)</f>
        <v>1</v>
      </c>
    </row>
    <row r="4579">
      <c r="A4579" s="10" t="str">
        <f>IFERROR(__xludf.DUMMYFUNCTION("""COMPUTED_VALUE"""),"CLS")</f>
        <v>CLS</v>
      </c>
      <c r="B4579" s="10">
        <f>IFERROR(__xludf.DUMMYFUNCTION("""COMPUTED_VALUE"""),7571.0)</f>
        <v>7571</v>
      </c>
      <c r="C4579" s="10">
        <f>IFERROR(__xludf.DUMMYFUNCTION("""COMPUTED_VALUE"""),88546.0)</f>
        <v>88546</v>
      </c>
      <c r="D4579" s="5">
        <f>IFERROR(__xludf.DUMMYFUNCTION("""COMPUTED_VALUE"""),0.3055263970361223)</f>
        <v>0.305526397</v>
      </c>
      <c r="E4579" s="5">
        <f>IFERROR(__xludf.DUMMYFUNCTION("""COMPUTED_VALUE"""),0.11683853041062056)</f>
        <v>0.1168385304</v>
      </c>
      <c r="F4579" s="5">
        <f>IFERROR(__xludf.DUMMYFUNCTION("""COMPUTED_VALUE"""),0.20123494905835135)</f>
        <v>0.2012349491</v>
      </c>
      <c r="G4579" s="5">
        <f>IFERROR(__xludf.DUMMYFUNCTION("""COMPUTED_VALUE"""),0.16318616857054646)</f>
        <v>0.1631861686</v>
      </c>
      <c r="H4579" s="5">
        <f>IFERROR(__xludf.DUMMYFUNCTION("""COMPUTED_VALUE"""),0.5890150352868978)</f>
        <v>0.5890150353</v>
      </c>
      <c r="I4579" s="11">
        <f>IFERROR(__xludf.DUMMYFUNCTION("""COMPUTED_VALUE"""),6036.526541884014)</f>
        <v>6036.526542</v>
      </c>
      <c r="J4579" s="10">
        <f>IFERROR(__xludf.DUMMYFUNCTION("""COMPUTED_VALUE"""),25.0)</f>
        <v>25</v>
      </c>
      <c r="K4579" s="5">
        <f>IFERROR(__xludf.DUMMYFUNCTION("""COMPUTED_VALUE"""),0.003302073702285035)</f>
        <v>0.003302073702</v>
      </c>
      <c r="L4579" s="10">
        <f>IFERROR(__xludf.DUMMYFUNCTION("""COMPUTED_VALUE"""),7571.0)</f>
        <v>7571</v>
      </c>
      <c r="M4579" s="5">
        <f>IFERROR(__xludf.DUMMYFUNCTION("""COMPUTED_VALUE"""),1.0)</f>
        <v>1</v>
      </c>
    </row>
    <row r="4580">
      <c r="A4580" s="10" t="str">
        <f>IFERROR(__xludf.DUMMYFUNCTION("""COMPUTED_VALUE"""),"遙遠的他。")</f>
        <v>遙遠的他。</v>
      </c>
      <c r="B4580" s="10">
        <f>IFERROR(__xludf.DUMMYFUNCTION("""COMPUTED_VALUE"""),616.0)</f>
        <v>616</v>
      </c>
      <c r="C4580" s="10">
        <f>IFERROR(__xludf.DUMMYFUNCTION("""COMPUTED_VALUE"""),7198.0)</f>
        <v>7198</v>
      </c>
      <c r="D4580" s="5">
        <f>IFERROR(__xludf.DUMMYFUNCTION("""COMPUTED_VALUE"""),0.32300212701306596)</f>
        <v>0.323002127</v>
      </c>
      <c r="E4580" s="5">
        <f>IFERROR(__xludf.DUMMYFUNCTION("""COMPUTED_VALUE"""),0.11683378912184746)</f>
        <v>0.1168337891</v>
      </c>
      <c r="F4580" s="5">
        <f>IFERROR(__xludf.DUMMYFUNCTION("""COMPUTED_VALUE"""),0.20085080522637497)</f>
        <v>0.2008508052</v>
      </c>
      <c r="G4580" s="5">
        <f>IFERROR(__xludf.DUMMYFUNCTION("""COMPUTED_VALUE"""),0.16879367973260406)</f>
        <v>0.1687936797</v>
      </c>
      <c r="H4580" s="5">
        <f>IFERROR(__xludf.DUMMYFUNCTION("""COMPUTED_VALUE"""),0.596822995461422)</f>
        <v>0.5968229955</v>
      </c>
      <c r="I4580" s="11">
        <f>IFERROR(__xludf.DUMMYFUNCTION("""COMPUTED_VALUE"""),5773.298033282905)</f>
        <v>5773.298033</v>
      </c>
      <c r="J4580" s="10">
        <f>IFERROR(__xludf.DUMMYFUNCTION("""COMPUTED_VALUE"""),1.0)</f>
        <v>1</v>
      </c>
      <c r="K4580" s="5">
        <f>IFERROR(__xludf.DUMMYFUNCTION("""COMPUTED_VALUE"""),0.0016233766233766235)</f>
        <v>0.001623376623</v>
      </c>
      <c r="L4580" s="10">
        <f>IFERROR(__xludf.DUMMYFUNCTION("""COMPUTED_VALUE"""),399.0)</f>
        <v>399</v>
      </c>
      <c r="M4580" s="5">
        <f>IFERROR(__xludf.DUMMYFUNCTION("""COMPUTED_VALUE"""),0.6477272727272727)</f>
        <v>0.6477272727</v>
      </c>
    </row>
    <row r="4581">
      <c r="A4581" s="10" t="str">
        <f>IFERROR(__xludf.DUMMYFUNCTION("""COMPUTED_VALUE"""),"KiShim@")</f>
        <v>KiShim@</v>
      </c>
      <c r="B4581" s="10">
        <f>IFERROR(__xludf.DUMMYFUNCTION("""COMPUTED_VALUE"""),237.0)</f>
        <v>237</v>
      </c>
      <c r="C4581" s="10">
        <f>IFERROR(__xludf.DUMMYFUNCTION("""COMPUTED_VALUE"""),2762.0)</f>
        <v>2762</v>
      </c>
      <c r="D4581" s="5">
        <f>IFERROR(__xludf.DUMMYFUNCTION("""COMPUTED_VALUE"""),0.3192079207920792)</f>
        <v>0.3192079208</v>
      </c>
      <c r="E4581" s="5">
        <f>IFERROR(__xludf.DUMMYFUNCTION("""COMPUTED_VALUE"""),0.11683168316831684)</f>
        <v>0.1168316832</v>
      </c>
      <c r="F4581" s="5">
        <f>IFERROR(__xludf.DUMMYFUNCTION("""COMPUTED_VALUE"""),0.19801980198019803)</f>
        <v>0.198019802</v>
      </c>
      <c r="G4581" s="5">
        <f>IFERROR(__xludf.DUMMYFUNCTION("""COMPUTED_VALUE"""),0.17742574257425742)</f>
        <v>0.1774257426</v>
      </c>
      <c r="H4581" s="5">
        <f>IFERROR(__xludf.DUMMYFUNCTION("""COMPUTED_VALUE"""),0.594)</f>
        <v>0.594</v>
      </c>
      <c r="I4581" s="11">
        <f>IFERROR(__xludf.DUMMYFUNCTION("""COMPUTED_VALUE"""),5825.6)</f>
        <v>5825.6</v>
      </c>
      <c r="J4581" s="10">
        <f>IFERROR(__xludf.DUMMYFUNCTION("""COMPUTED_VALUE"""),1.0)</f>
        <v>1</v>
      </c>
      <c r="K4581" s="5">
        <f>IFERROR(__xludf.DUMMYFUNCTION("""COMPUTED_VALUE"""),0.004219409282700422)</f>
        <v>0.004219409283</v>
      </c>
      <c r="L4581" s="10">
        <f>IFERROR(__xludf.DUMMYFUNCTION("""COMPUTED_VALUE"""),237.0)</f>
        <v>237</v>
      </c>
      <c r="M4581" s="5">
        <f>IFERROR(__xludf.DUMMYFUNCTION("""COMPUTED_VALUE"""),1.0)</f>
        <v>1</v>
      </c>
    </row>
    <row r="4582">
      <c r="A4582" s="10" t="str">
        <f>IFERROR(__xludf.DUMMYFUNCTION("""COMPUTED_VALUE"""),"小鞠")</f>
        <v>小鞠</v>
      </c>
      <c r="B4582" s="10">
        <f>IFERROR(__xludf.DUMMYFUNCTION("""COMPUTED_VALUE"""),214.0)</f>
        <v>214</v>
      </c>
      <c r="C4582" s="10">
        <f>IFERROR(__xludf.DUMMYFUNCTION("""COMPUTED_VALUE"""),2491.0)</f>
        <v>2491</v>
      </c>
      <c r="D4582" s="5">
        <f>IFERROR(__xludf.DUMMYFUNCTION("""COMPUTED_VALUE"""),0.32323232323232326)</f>
        <v>0.3232323232</v>
      </c>
      <c r="E4582" s="5">
        <f>IFERROR(__xludf.DUMMYFUNCTION("""COMPUTED_VALUE"""),0.11682037768994291)</f>
        <v>0.1168203777</v>
      </c>
      <c r="F4582" s="5">
        <f>IFERROR(__xludf.DUMMYFUNCTION("""COMPUTED_VALUE"""),0.207290294246816)</f>
        <v>0.2072902942</v>
      </c>
      <c r="G4582" s="5">
        <f>IFERROR(__xludf.DUMMYFUNCTION("""COMPUTED_VALUE"""),0.18840579710144928)</f>
        <v>0.1884057971</v>
      </c>
      <c r="H4582" s="5">
        <f>IFERROR(__xludf.DUMMYFUNCTION("""COMPUTED_VALUE"""),0.597457627118644)</f>
        <v>0.5974576271</v>
      </c>
      <c r="I4582" s="11">
        <f>IFERROR(__xludf.DUMMYFUNCTION("""COMPUTED_VALUE"""),6221.822033898305)</f>
        <v>6221.822034</v>
      </c>
      <c r="J4582" s="10">
        <f>IFERROR(__xludf.DUMMYFUNCTION("""COMPUTED_VALUE"""),1.0)</f>
        <v>1</v>
      </c>
      <c r="K4582" s="5">
        <f>IFERROR(__xludf.DUMMYFUNCTION("""COMPUTED_VALUE"""),0.004672897196261682)</f>
        <v>0.004672897196</v>
      </c>
      <c r="L4582" s="10">
        <f>IFERROR(__xludf.DUMMYFUNCTION("""COMPUTED_VALUE"""),0.0)</f>
        <v>0</v>
      </c>
      <c r="M4582" s="5">
        <f>IFERROR(__xludf.DUMMYFUNCTION("""COMPUTED_VALUE"""),0.0)</f>
        <v>0</v>
      </c>
    </row>
    <row r="4583">
      <c r="A4583" s="10" t="str">
        <f>IFERROR(__xludf.DUMMYFUNCTION("""COMPUTED_VALUE"""),"不聴ぱみゅぱみゅ")</f>
        <v>不聴ぱみゅぱみゅ</v>
      </c>
      <c r="B4583" s="10">
        <f>IFERROR(__xludf.DUMMYFUNCTION("""COMPUTED_VALUE"""),680.0)</f>
        <v>680</v>
      </c>
      <c r="C4583" s="10">
        <f>IFERROR(__xludf.DUMMYFUNCTION("""COMPUTED_VALUE"""),7991.0)</f>
        <v>7991</v>
      </c>
      <c r="D4583" s="5">
        <f>IFERROR(__xludf.DUMMYFUNCTION("""COMPUTED_VALUE"""),0.3300506086718643)</f>
        <v>0.3300506087</v>
      </c>
      <c r="E4583" s="5">
        <f>IFERROR(__xludf.DUMMYFUNCTION("""COMPUTED_VALUE"""),0.11681028587060593)</f>
        <v>0.1168102859</v>
      </c>
      <c r="F4583" s="5">
        <f>IFERROR(__xludf.DUMMYFUNCTION("""COMPUTED_VALUE"""),0.22062645328956368)</f>
        <v>0.2206264533</v>
      </c>
      <c r="G4583" s="5">
        <f>IFERROR(__xludf.DUMMYFUNCTION("""COMPUTED_VALUE"""),0.14279852277390234)</f>
        <v>0.1427985228</v>
      </c>
      <c r="H4583" s="5">
        <f>IFERROR(__xludf.DUMMYFUNCTION("""COMPUTED_VALUE"""),0.5920644761314321)</f>
        <v>0.5920644761</v>
      </c>
      <c r="I4583" s="11">
        <f>IFERROR(__xludf.DUMMYFUNCTION("""COMPUTED_VALUE"""),5641.227526348419)</f>
        <v>5641.227526</v>
      </c>
      <c r="J4583" s="10">
        <f>IFERROR(__xludf.DUMMYFUNCTION("""COMPUTED_VALUE"""),2.0)</f>
        <v>2</v>
      </c>
      <c r="K4583" s="5">
        <f>IFERROR(__xludf.DUMMYFUNCTION("""COMPUTED_VALUE"""),0.0029411764705882353)</f>
        <v>0.002941176471</v>
      </c>
      <c r="L4583" s="10">
        <f>IFERROR(__xludf.DUMMYFUNCTION("""COMPUTED_VALUE"""),680.0)</f>
        <v>680</v>
      </c>
      <c r="M4583" s="5">
        <f>IFERROR(__xludf.DUMMYFUNCTION("""COMPUTED_VALUE"""),1.0)</f>
        <v>1</v>
      </c>
    </row>
    <row r="4584">
      <c r="A4584" s="10" t="str">
        <f>IFERROR(__xludf.DUMMYFUNCTION("""COMPUTED_VALUE"""),"駄菓子先輩24歳")</f>
        <v>駄菓子先輩24歳</v>
      </c>
      <c r="B4584" s="10">
        <f>IFERROR(__xludf.DUMMYFUNCTION("""COMPUTED_VALUE"""),280.0)</f>
        <v>280</v>
      </c>
      <c r="C4584" s="10">
        <f>IFERROR(__xludf.DUMMYFUNCTION("""COMPUTED_VALUE"""),3251.0)</f>
        <v>3251</v>
      </c>
      <c r="D4584" s="5">
        <f>IFERROR(__xludf.DUMMYFUNCTION("""COMPUTED_VALUE"""),0.3692359474924268)</f>
        <v>0.3692359475</v>
      </c>
      <c r="E4584" s="5">
        <f>IFERROR(__xludf.DUMMYFUNCTION("""COMPUTED_VALUE"""),0.11679569168630091)</f>
        <v>0.1167956917</v>
      </c>
      <c r="F4584" s="5">
        <f>IFERROR(__xludf.DUMMYFUNCTION("""COMPUTED_VALUE"""),0.20498148771457422)</f>
        <v>0.2049814877</v>
      </c>
      <c r="G4584" s="5">
        <f>IFERROR(__xludf.DUMMYFUNCTION("""COMPUTED_VALUE"""),0.1400201952204645)</f>
        <v>0.1400201952</v>
      </c>
      <c r="H4584" s="5">
        <f>IFERROR(__xludf.DUMMYFUNCTION("""COMPUTED_VALUE"""),0.6403940886699507)</f>
        <v>0.6403940887</v>
      </c>
      <c r="I4584" s="11">
        <f>IFERROR(__xludf.DUMMYFUNCTION("""COMPUTED_VALUE"""),5263.7110016420365)</f>
        <v>5263.711002</v>
      </c>
      <c r="J4584" s="10">
        <f>IFERROR(__xludf.DUMMYFUNCTION("""COMPUTED_VALUE"""),0.0)</f>
        <v>0</v>
      </c>
      <c r="K4584" s="5">
        <f>IFERROR(__xludf.DUMMYFUNCTION("""COMPUTED_VALUE"""),0.0)</f>
        <v>0</v>
      </c>
      <c r="L4584" s="10">
        <f>IFERROR(__xludf.DUMMYFUNCTION("""COMPUTED_VALUE"""),280.0)</f>
        <v>280</v>
      </c>
      <c r="M4584" s="5">
        <f>IFERROR(__xludf.DUMMYFUNCTION("""COMPUTED_VALUE"""),1.0)</f>
        <v>1</v>
      </c>
    </row>
    <row r="4585">
      <c r="A4585" s="10" t="str">
        <f>IFERROR(__xludf.DUMMYFUNCTION("""COMPUTED_VALUE"""),"ラーメン生活")</f>
        <v>ラーメン生活</v>
      </c>
      <c r="B4585" s="10">
        <f>IFERROR(__xludf.DUMMYFUNCTION("""COMPUTED_VALUE"""),368.0)</f>
        <v>368</v>
      </c>
      <c r="C4585" s="10">
        <f>IFERROR(__xludf.DUMMYFUNCTION("""COMPUTED_VALUE"""),4418.0)</f>
        <v>4418</v>
      </c>
      <c r="D4585" s="5">
        <f>IFERROR(__xludf.DUMMYFUNCTION("""COMPUTED_VALUE"""),0.351358024691358)</f>
        <v>0.3513580247</v>
      </c>
      <c r="E4585" s="5">
        <f>IFERROR(__xludf.DUMMYFUNCTION("""COMPUTED_VALUE"""),0.11679012345679013)</f>
        <v>0.1167901235</v>
      </c>
      <c r="F4585" s="5">
        <f>IFERROR(__xludf.DUMMYFUNCTION("""COMPUTED_VALUE"""),0.19283950617283951)</f>
        <v>0.1928395062</v>
      </c>
      <c r="G4585" s="5">
        <f>IFERROR(__xludf.DUMMYFUNCTION("""COMPUTED_VALUE"""),0.1345679012345679)</f>
        <v>0.1345679012</v>
      </c>
      <c r="H4585" s="5">
        <f>IFERROR(__xludf.DUMMYFUNCTION("""COMPUTED_VALUE"""),0.6017925736235595)</f>
        <v>0.6017925736</v>
      </c>
      <c r="I4585" s="11">
        <f>IFERROR(__xludf.DUMMYFUNCTION("""COMPUTED_VALUE"""),5447.375160051216)</f>
        <v>5447.37516</v>
      </c>
      <c r="J4585" s="10">
        <f>IFERROR(__xludf.DUMMYFUNCTION("""COMPUTED_VALUE"""),1.0)</f>
        <v>1</v>
      </c>
      <c r="K4585" s="5">
        <f>IFERROR(__xludf.DUMMYFUNCTION("""COMPUTED_VALUE"""),0.002717391304347826)</f>
        <v>0.002717391304</v>
      </c>
      <c r="L4585" s="10">
        <f>IFERROR(__xludf.DUMMYFUNCTION("""COMPUTED_VALUE"""),368.0)</f>
        <v>368</v>
      </c>
      <c r="M4585" s="5">
        <f>IFERROR(__xludf.DUMMYFUNCTION("""COMPUTED_VALUE"""),1.0)</f>
        <v>1</v>
      </c>
    </row>
    <row r="4586">
      <c r="A4586" s="10" t="str">
        <f>IFERROR(__xludf.DUMMYFUNCTION("""COMPUTED_VALUE"""),"ぴぃぴぃ")</f>
        <v>ぴぃぴぃ</v>
      </c>
      <c r="B4586" s="10">
        <f>IFERROR(__xludf.DUMMYFUNCTION("""COMPUTED_VALUE"""),315.0)</f>
        <v>315</v>
      </c>
      <c r="C4586" s="10">
        <f>IFERROR(__xludf.DUMMYFUNCTION("""COMPUTED_VALUE"""),3740.0)</f>
        <v>3740</v>
      </c>
      <c r="D4586" s="5">
        <f>IFERROR(__xludf.DUMMYFUNCTION("""COMPUTED_VALUE"""),0.32321167883211677)</f>
        <v>0.3232116788</v>
      </c>
      <c r="E4586" s="5">
        <f>IFERROR(__xludf.DUMMYFUNCTION("""COMPUTED_VALUE"""),0.11678832116788321)</f>
        <v>0.1167883212</v>
      </c>
      <c r="F4586" s="5">
        <f>IFERROR(__xludf.DUMMYFUNCTION("""COMPUTED_VALUE"""),0.2075912408759124)</f>
        <v>0.2075912409</v>
      </c>
      <c r="G4586" s="5">
        <f>IFERROR(__xludf.DUMMYFUNCTION("""COMPUTED_VALUE"""),0.1897810218978102)</f>
        <v>0.1897810219</v>
      </c>
      <c r="H4586" s="5">
        <f>IFERROR(__xludf.DUMMYFUNCTION("""COMPUTED_VALUE"""),0.5682137834036568)</f>
        <v>0.5682137834</v>
      </c>
      <c r="I4586" s="11">
        <f>IFERROR(__xludf.DUMMYFUNCTION("""COMPUTED_VALUE"""),5986.6385372714485)</f>
        <v>5986.638537</v>
      </c>
      <c r="J4586" s="10">
        <f>IFERROR(__xludf.DUMMYFUNCTION("""COMPUTED_VALUE"""),0.0)</f>
        <v>0</v>
      </c>
      <c r="K4586" s="5">
        <f>IFERROR(__xludf.DUMMYFUNCTION("""COMPUTED_VALUE"""),0.0)</f>
        <v>0</v>
      </c>
      <c r="L4586" s="10">
        <f>IFERROR(__xludf.DUMMYFUNCTION("""COMPUTED_VALUE"""),315.0)</f>
        <v>315</v>
      </c>
      <c r="M4586" s="5">
        <f>IFERROR(__xludf.DUMMYFUNCTION("""COMPUTED_VALUE"""),1.0)</f>
        <v>1</v>
      </c>
    </row>
    <row r="4587">
      <c r="A4587" s="10" t="str">
        <f>IFERROR(__xludf.DUMMYFUNCTION("""COMPUTED_VALUE"""),"VENOM")</f>
        <v>VENOM</v>
      </c>
      <c r="B4587" s="10">
        <f>IFERROR(__xludf.DUMMYFUNCTION("""COMPUTED_VALUE"""),109.0)</f>
        <v>109</v>
      </c>
      <c r="C4587" s="10">
        <f>IFERROR(__xludf.DUMMYFUNCTION("""COMPUTED_VALUE"""),1342.0)</f>
        <v>1342</v>
      </c>
      <c r="D4587" s="5">
        <f>IFERROR(__xludf.DUMMYFUNCTION("""COMPUTED_VALUE"""),0.22384428223844283)</f>
        <v>0.2238442822</v>
      </c>
      <c r="E4587" s="5">
        <f>IFERROR(__xludf.DUMMYFUNCTION("""COMPUTED_VALUE"""),0.11678832116788321)</f>
        <v>0.1167883212</v>
      </c>
      <c r="F4587" s="5">
        <f>IFERROR(__xludf.DUMMYFUNCTION("""COMPUTED_VALUE"""),0.170316301703163)</f>
        <v>0.1703163017</v>
      </c>
      <c r="G4587" s="5">
        <f>IFERROR(__xludf.DUMMYFUNCTION("""COMPUTED_VALUE"""),0.17193836171938362)</f>
        <v>0.1719383617</v>
      </c>
      <c r="H4587" s="5">
        <f>IFERROR(__xludf.DUMMYFUNCTION("""COMPUTED_VALUE"""),0.5619047619047619)</f>
        <v>0.5619047619</v>
      </c>
      <c r="I4587" s="11">
        <f>IFERROR(__xludf.DUMMYFUNCTION("""COMPUTED_VALUE"""),6687.619047619048)</f>
        <v>6687.619048</v>
      </c>
      <c r="J4587" s="10">
        <f>IFERROR(__xludf.DUMMYFUNCTION("""COMPUTED_VALUE"""),1.0)</f>
        <v>1</v>
      </c>
      <c r="K4587" s="5">
        <f>IFERROR(__xludf.DUMMYFUNCTION("""COMPUTED_VALUE"""),0.009174311926605505)</f>
        <v>0.009174311927</v>
      </c>
      <c r="L4587" s="10">
        <f>IFERROR(__xludf.DUMMYFUNCTION("""COMPUTED_VALUE"""),109.0)</f>
        <v>109</v>
      </c>
      <c r="M4587" s="5">
        <f>IFERROR(__xludf.DUMMYFUNCTION("""COMPUTED_VALUE"""),1.0)</f>
        <v>1</v>
      </c>
    </row>
    <row r="4588">
      <c r="A4588" s="10" t="str">
        <f>IFERROR(__xludf.DUMMYFUNCTION("""COMPUTED_VALUE"""),"fuku02")</f>
        <v>fuku02</v>
      </c>
      <c r="B4588" s="10">
        <f>IFERROR(__xludf.DUMMYFUNCTION("""COMPUTED_VALUE"""),2597.0)</f>
        <v>2597</v>
      </c>
      <c r="C4588" s="10">
        <f>IFERROR(__xludf.DUMMYFUNCTION("""COMPUTED_VALUE"""),30871.0)</f>
        <v>30871</v>
      </c>
      <c r="D4588" s="5">
        <f>IFERROR(__xludf.DUMMYFUNCTION("""COMPUTED_VALUE"""),0.33942845016623047)</f>
        <v>0.3394284502</v>
      </c>
      <c r="E4588" s="5">
        <f>IFERROR(__xludf.DUMMYFUNCTION("""COMPUTED_VALUE"""),0.11678573954870199)</f>
        <v>0.1167857395</v>
      </c>
      <c r="F4588" s="5">
        <f>IFERROR(__xludf.DUMMYFUNCTION("""COMPUTED_VALUE"""),0.21125415576147696)</f>
        <v>0.2112541558</v>
      </c>
      <c r="G4588" s="5">
        <f>IFERROR(__xludf.DUMMYFUNCTION("""COMPUTED_VALUE"""),0.15908608615689326)</f>
        <v>0.1590860862</v>
      </c>
      <c r="H4588" s="5">
        <f>IFERROR(__xludf.DUMMYFUNCTION("""COMPUTED_VALUE"""),0.5923321613929349)</f>
        <v>0.5923321614</v>
      </c>
      <c r="I4588" s="11">
        <f>IFERROR(__xludf.DUMMYFUNCTION("""COMPUTED_VALUE"""),5246.174451699314)</f>
        <v>5246.174452</v>
      </c>
      <c r="J4588" s="10">
        <f>IFERROR(__xludf.DUMMYFUNCTION("""COMPUTED_VALUE"""),3.0)</f>
        <v>3</v>
      </c>
      <c r="K4588" s="5">
        <f>IFERROR(__xludf.DUMMYFUNCTION("""COMPUTED_VALUE"""),0.0011551790527531767)</f>
        <v>0.001155179053</v>
      </c>
      <c r="L4588" s="10">
        <f>IFERROR(__xludf.DUMMYFUNCTION("""COMPUTED_VALUE"""),2597.0)</f>
        <v>2597</v>
      </c>
      <c r="M4588" s="5">
        <f>IFERROR(__xludf.DUMMYFUNCTION("""COMPUTED_VALUE"""),1.0)</f>
        <v>1</v>
      </c>
    </row>
    <row r="4589">
      <c r="A4589" s="10" t="str">
        <f>IFERROR(__xludf.DUMMYFUNCTION("""COMPUTED_VALUE"""),"MARUTA")</f>
        <v>MARUTA</v>
      </c>
      <c r="B4589" s="10">
        <f>IFERROR(__xludf.DUMMYFUNCTION("""COMPUTED_VALUE"""),122.0)</f>
        <v>122</v>
      </c>
      <c r="C4589" s="10">
        <f>IFERROR(__xludf.DUMMYFUNCTION("""COMPUTED_VALUE"""),1415.0)</f>
        <v>1415</v>
      </c>
      <c r="D4589" s="5">
        <f>IFERROR(__xludf.DUMMYFUNCTION("""COMPUTED_VALUE"""),0.34184068058778033)</f>
        <v>0.3418406806</v>
      </c>
      <c r="E4589" s="5">
        <f>IFERROR(__xludf.DUMMYFUNCTION("""COMPUTED_VALUE"""),0.11678267594740913)</f>
        <v>0.1167826759</v>
      </c>
      <c r="F4589" s="5">
        <f>IFERROR(__xludf.DUMMYFUNCTION("""COMPUTED_VALUE"""),0.20726991492652747)</f>
        <v>0.2072699149</v>
      </c>
      <c r="G4589" s="5">
        <f>IFERROR(__xludf.DUMMYFUNCTION("""COMPUTED_VALUE"""),0.18097447795823665)</f>
        <v>0.180974478</v>
      </c>
      <c r="H4589" s="5">
        <f>IFERROR(__xludf.DUMMYFUNCTION("""COMPUTED_VALUE"""),0.6791044776119403)</f>
        <v>0.6791044776</v>
      </c>
      <c r="I4589" s="11">
        <f>IFERROR(__xludf.DUMMYFUNCTION("""COMPUTED_VALUE"""),5190.671641791045)</f>
        <v>5190.671642</v>
      </c>
      <c r="J4589" s="10">
        <f>IFERROR(__xludf.DUMMYFUNCTION("""COMPUTED_VALUE"""),0.0)</f>
        <v>0</v>
      </c>
      <c r="K4589" s="5">
        <f>IFERROR(__xludf.DUMMYFUNCTION("""COMPUTED_VALUE"""),0.0)</f>
        <v>0</v>
      </c>
      <c r="L4589" s="10">
        <f>IFERROR(__xludf.DUMMYFUNCTION("""COMPUTED_VALUE"""),0.0)</f>
        <v>0</v>
      </c>
      <c r="M4589" s="5">
        <f>IFERROR(__xludf.DUMMYFUNCTION("""COMPUTED_VALUE"""),0.0)</f>
        <v>0</v>
      </c>
    </row>
    <row r="4590">
      <c r="A4590" s="10" t="str">
        <f>IFERROR(__xludf.DUMMYFUNCTION("""COMPUTED_VALUE"""),"kk0921")</f>
        <v>kk0921</v>
      </c>
      <c r="B4590" s="10">
        <f>IFERROR(__xludf.DUMMYFUNCTION("""COMPUTED_VALUE"""),344.0)</f>
        <v>344</v>
      </c>
      <c r="C4590" s="10">
        <f>IFERROR(__xludf.DUMMYFUNCTION("""COMPUTED_VALUE"""),4052.0)</f>
        <v>4052</v>
      </c>
      <c r="D4590" s="5">
        <f>IFERROR(__xludf.DUMMYFUNCTION("""COMPUTED_VALUE"""),0.3384573894282632)</f>
        <v>0.3384573894</v>
      </c>
      <c r="E4590" s="5">
        <f>IFERROR(__xludf.DUMMYFUNCTION("""COMPUTED_VALUE"""),0.11677454153182308)</f>
        <v>0.1167745415</v>
      </c>
      <c r="F4590" s="5">
        <f>IFERROR(__xludf.DUMMYFUNCTION("""COMPUTED_VALUE"""),0.20819848975188782)</f>
        <v>0.2081984898</v>
      </c>
      <c r="G4590" s="5">
        <f>IFERROR(__xludf.DUMMYFUNCTION("""COMPUTED_VALUE"""),0.1941747572815534)</f>
        <v>0.1941747573</v>
      </c>
      <c r="H4590" s="5">
        <f>IFERROR(__xludf.DUMMYFUNCTION("""COMPUTED_VALUE"""),0.5841968911917098)</f>
        <v>0.5841968912</v>
      </c>
      <c r="I4590" s="11">
        <f>IFERROR(__xludf.DUMMYFUNCTION("""COMPUTED_VALUE"""),5532.5129533678755)</f>
        <v>5532.512953</v>
      </c>
      <c r="J4590" s="10">
        <f>IFERROR(__xludf.DUMMYFUNCTION("""COMPUTED_VALUE"""),1.0)</f>
        <v>1</v>
      </c>
      <c r="K4590" s="5">
        <f>IFERROR(__xludf.DUMMYFUNCTION("""COMPUTED_VALUE"""),0.0029069767441860465)</f>
        <v>0.002906976744</v>
      </c>
      <c r="L4590" s="10">
        <f>IFERROR(__xludf.DUMMYFUNCTION("""COMPUTED_VALUE"""),344.0)</f>
        <v>344</v>
      </c>
      <c r="M4590" s="5">
        <f>IFERROR(__xludf.DUMMYFUNCTION("""COMPUTED_VALUE"""),1.0)</f>
        <v>1</v>
      </c>
    </row>
    <row r="4591">
      <c r="A4591" s="10" t="str">
        <f>IFERROR(__xludf.DUMMYFUNCTION("""COMPUTED_VALUE"""),"shima_k")</f>
        <v>shima_k</v>
      </c>
      <c r="B4591" s="10">
        <f>IFERROR(__xludf.DUMMYFUNCTION("""COMPUTED_VALUE"""),329.0)</f>
        <v>329</v>
      </c>
      <c r="C4591" s="10">
        <f>IFERROR(__xludf.DUMMYFUNCTION("""COMPUTED_VALUE"""),3960.0)</f>
        <v>3960</v>
      </c>
      <c r="D4591" s="5">
        <f>IFERROR(__xludf.DUMMYFUNCTION("""COMPUTED_VALUE"""),0.28697328559625446)</f>
        <v>0.2869732856</v>
      </c>
      <c r="E4591" s="5">
        <f>IFERROR(__xludf.DUMMYFUNCTION("""COMPUTED_VALUE"""),0.11677223905260259)</f>
        <v>0.1167722391</v>
      </c>
      <c r="F4591" s="5">
        <f>IFERROR(__xludf.DUMMYFUNCTION("""COMPUTED_VALUE"""),0.1963646378408152)</f>
        <v>0.1963646378</v>
      </c>
      <c r="G4591" s="5">
        <f>IFERROR(__xludf.DUMMYFUNCTION("""COMPUTED_VALUE"""),0.17873863949325255)</f>
        <v>0.1787386395</v>
      </c>
      <c r="H4591" s="5">
        <f>IFERROR(__xludf.DUMMYFUNCTION("""COMPUTED_VALUE"""),0.6227208976157083)</f>
        <v>0.6227208976</v>
      </c>
      <c r="I4591" s="11">
        <f>IFERROR(__xludf.DUMMYFUNCTION("""COMPUTED_VALUE"""),5811.921458625526)</f>
        <v>5811.921459</v>
      </c>
      <c r="J4591" s="10">
        <f>IFERROR(__xludf.DUMMYFUNCTION("""COMPUTED_VALUE"""),0.0)</f>
        <v>0</v>
      </c>
      <c r="K4591" s="5">
        <f>IFERROR(__xludf.DUMMYFUNCTION("""COMPUTED_VALUE"""),0.0)</f>
        <v>0</v>
      </c>
      <c r="L4591" s="10">
        <f>IFERROR(__xludf.DUMMYFUNCTION("""COMPUTED_VALUE"""),215.0)</f>
        <v>215</v>
      </c>
      <c r="M4591" s="5">
        <f>IFERROR(__xludf.DUMMYFUNCTION("""COMPUTED_VALUE"""),0.6534954407294833)</f>
        <v>0.6534954407</v>
      </c>
    </row>
    <row r="4592">
      <c r="A4592" s="10" t="str">
        <f>IFERROR(__xludf.DUMMYFUNCTION("""COMPUTED_VALUE"""),"慎さんです")</f>
        <v>慎さんです</v>
      </c>
      <c r="B4592" s="10">
        <f>IFERROR(__xludf.DUMMYFUNCTION("""COMPUTED_VALUE"""),288.0)</f>
        <v>288</v>
      </c>
      <c r="C4592" s="10">
        <f>IFERROR(__xludf.DUMMYFUNCTION("""COMPUTED_VALUE"""),3354.0)</f>
        <v>3354</v>
      </c>
      <c r="D4592" s="5">
        <f>IFERROR(__xludf.DUMMYFUNCTION("""COMPUTED_VALUE"""),0.4390084801043705)</f>
        <v>0.4390084801</v>
      </c>
      <c r="E4592" s="5">
        <f>IFERROR(__xludf.DUMMYFUNCTION("""COMPUTED_VALUE"""),0.11676451402478799)</f>
        <v>0.116764514</v>
      </c>
      <c r="F4592" s="5">
        <f>IFERROR(__xludf.DUMMYFUNCTION("""COMPUTED_VALUE"""),0.21232876712328766)</f>
        <v>0.2123287671</v>
      </c>
      <c r="G4592" s="5">
        <f>IFERROR(__xludf.DUMMYFUNCTION("""COMPUTED_VALUE"""),0.1278538812785388)</f>
        <v>0.1278538813</v>
      </c>
      <c r="H4592" s="5">
        <f>IFERROR(__xludf.DUMMYFUNCTION("""COMPUTED_VALUE"""),0.6328725038402457)</f>
        <v>0.6328725038</v>
      </c>
      <c r="I4592" s="11">
        <f>IFERROR(__xludf.DUMMYFUNCTION("""COMPUTED_VALUE"""),5069.278033794163)</f>
        <v>5069.278034</v>
      </c>
      <c r="J4592" s="10">
        <f>IFERROR(__xludf.DUMMYFUNCTION("""COMPUTED_VALUE"""),0.0)</f>
        <v>0</v>
      </c>
      <c r="K4592" s="5">
        <f>IFERROR(__xludf.DUMMYFUNCTION("""COMPUTED_VALUE"""),0.0)</f>
        <v>0</v>
      </c>
      <c r="L4592" s="10">
        <f>IFERROR(__xludf.DUMMYFUNCTION("""COMPUTED_VALUE"""),288.0)</f>
        <v>288</v>
      </c>
      <c r="M4592" s="5">
        <f>IFERROR(__xludf.DUMMYFUNCTION("""COMPUTED_VALUE"""),1.0)</f>
        <v>1</v>
      </c>
    </row>
    <row r="4593">
      <c r="A4593" s="10" t="str">
        <f>IFERROR(__xludf.DUMMYFUNCTION("""COMPUTED_VALUE"""),"NOBUSHI")</f>
        <v>NOBUSHI</v>
      </c>
      <c r="B4593" s="10">
        <f>IFERROR(__xludf.DUMMYFUNCTION("""COMPUTED_VALUE"""),1531.0)</f>
        <v>1531</v>
      </c>
      <c r="C4593" s="10">
        <f>IFERROR(__xludf.DUMMYFUNCTION("""COMPUTED_VALUE"""),17872.0)</f>
        <v>17872</v>
      </c>
      <c r="D4593" s="5">
        <f>IFERROR(__xludf.DUMMYFUNCTION("""COMPUTED_VALUE"""),0.3325989841502968)</f>
        <v>0.3325989842</v>
      </c>
      <c r="E4593" s="5">
        <f>IFERROR(__xludf.DUMMYFUNCTION("""COMPUTED_VALUE"""),0.11676152010280888)</f>
        <v>0.1167615201</v>
      </c>
      <c r="F4593" s="5">
        <f>IFERROR(__xludf.DUMMYFUNCTION("""COMPUTED_VALUE"""),0.21271648001958265)</f>
        <v>0.21271648</v>
      </c>
      <c r="G4593" s="5">
        <f>IFERROR(__xludf.DUMMYFUNCTION("""COMPUTED_VALUE"""),0.15262223854109297)</f>
        <v>0.1526222385</v>
      </c>
      <c r="H4593" s="5">
        <f>IFERROR(__xludf.DUMMYFUNCTION("""COMPUTED_VALUE"""),0.6001150747986191)</f>
        <v>0.6001150748</v>
      </c>
      <c r="I4593" s="11">
        <f>IFERROR(__xludf.DUMMYFUNCTION("""COMPUTED_VALUE"""),5490.017261219793)</f>
        <v>5490.017261</v>
      </c>
      <c r="J4593" s="10">
        <f>IFERROR(__xludf.DUMMYFUNCTION("""COMPUTED_VALUE"""),4.0)</f>
        <v>4</v>
      </c>
      <c r="K4593" s="5">
        <f>IFERROR(__xludf.DUMMYFUNCTION("""COMPUTED_VALUE"""),0.002612671456564337)</f>
        <v>0.002612671457</v>
      </c>
      <c r="L4593" s="10">
        <f>IFERROR(__xludf.DUMMYFUNCTION("""COMPUTED_VALUE"""),1531.0)</f>
        <v>1531</v>
      </c>
      <c r="M4593" s="5">
        <f>IFERROR(__xludf.DUMMYFUNCTION("""COMPUTED_VALUE"""),1.0)</f>
        <v>1</v>
      </c>
    </row>
    <row r="4594">
      <c r="A4594" s="10" t="str">
        <f>IFERROR(__xludf.DUMMYFUNCTION("""COMPUTED_VALUE"""),"なまはげリーチ☆")</f>
        <v>なまはげリーチ☆</v>
      </c>
      <c r="B4594" s="10">
        <f>IFERROR(__xludf.DUMMYFUNCTION("""COMPUTED_VALUE"""),369.0)</f>
        <v>369</v>
      </c>
      <c r="C4594" s="10">
        <f>IFERROR(__xludf.DUMMYFUNCTION("""COMPUTED_VALUE"""),4455.0)</f>
        <v>4455</v>
      </c>
      <c r="D4594" s="5">
        <f>IFERROR(__xludf.DUMMYFUNCTION("""COMPUTED_VALUE"""),0.3355359765051395)</f>
        <v>0.3355359765</v>
      </c>
      <c r="E4594" s="5">
        <f>IFERROR(__xludf.DUMMYFUNCTION("""COMPUTED_VALUE"""),0.11674008810572688)</f>
        <v>0.1167400881</v>
      </c>
      <c r="F4594" s="5">
        <f>IFERROR(__xludf.DUMMYFUNCTION("""COMPUTED_VALUE"""),0.2173274596182085)</f>
        <v>0.2173274596</v>
      </c>
      <c r="G4594" s="5">
        <f>IFERROR(__xludf.DUMMYFUNCTION("""COMPUTED_VALUE"""),0.16740088105726872)</f>
        <v>0.1674008811</v>
      </c>
      <c r="H4594" s="5">
        <f>IFERROR(__xludf.DUMMYFUNCTION("""COMPUTED_VALUE"""),0.5822072072072072)</f>
        <v>0.5822072072</v>
      </c>
      <c r="I4594" s="11">
        <f>IFERROR(__xludf.DUMMYFUNCTION("""COMPUTED_VALUE"""),5810.022522522522)</f>
        <v>5810.022523</v>
      </c>
      <c r="J4594" s="10">
        <f>IFERROR(__xludf.DUMMYFUNCTION("""COMPUTED_VALUE"""),0.0)</f>
        <v>0</v>
      </c>
      <c r="K4594" s="5">
        <f>IFERROR(__xludf.DUMMYFUNCTION("""COMPUTED_VALUE"""),0.0)</f>
        <v>0</v>
      </c>
      <c r="L4594" s="10">
        <f>IFERROR(__xludf.DUMMYFUNCTION("""COMPUTED_VALUE"""),365.0)</f>
        <v>365</v>
      </c>
      <c r="M4594" s="5">
        <f>IFERROR(__xludf.DUMMYFUNCTION("""COMPUTED_VALUE"""),0.989159891598916)</f>
        <v>0.9891598916</v>
      </c>
    </row>
    <row r="4595">
      <c r="A4595" s="10" t="str">
        <f>IFERROR(__xludf.DUMMYFUNCTION("""COMPUTED_VALUE"""),"神架タイタニック")</f>
        <v>神架タイタニック</v>
      </c>
      <c r="B4595" s="10">
        <f>IFERROR(__xludf.DUMMYFUNCTION("""COMPUTED_VALUE"""),872.0)</f>
        <v>872</v>
      </c>
      <c r="C4595" s="10">
        <f>IFERROR(__xludf.DUMMYFUNCTION("""COMPUTED_VALUE"""),10247.0)</f>
        <v>10247</v>
      </c>
      <c r="D4595" s="5">
        <f>IFERROR(__xludf.DUMMYFUNCTION("""COMPUTED_VALUE"""),0.3810133333333333)</f>
        <v>0.3810133333</v>
      </c>
      <c r="E4595" s="5">
        <f>IFERROR(__xludf.DUMMYFUNCTION("""COMPUTED_VALUE"""),0.11669333333333333)</f>
        <v>0.1166933333</v>
      </c>
      <c r="F4595" s="5">
        <f>IFERROR(__xludf.DUMMYFUNCTION("""COMPUTED_VALUE"""),0.21109333333333333)</f>
        <v>0.2110933333</v>
      </c>
      <c r="G4595" s="5">
        <f>IFERROR(__xludf.DUMMYFUNCTION("""COMPUTED_VALUE"""),0.16693333333333332)</f>
        <v>0.1669333333</v>
      </c>
      <c r="H4595" s="5">
        <f>IFERROR(__xludf.DUMMYFUNCTION("""COMPUTED_VALUE"""),0.5922182920667004)</f>
        <v>0.5922182921</v>
      </c>
      <c r="I4595" s="11">
        <f>IFERROR(__xludf.DUMMYFUNCTION("""COMPUTED_VALUE"""),5622.081859525013)</f>
        <v>5622.08186</v>
      </c>
      <c r="J4595" s="10">
        <f>IFERROR(__xludf.DUMMYFUNCTION("""COMPUTED_VALUE"""),4.0)</f>
        <v>4</v>
      </c>
      <c r="K4595" s="5">
        <f>IFERROR(__xludf.DUMMYFUNCTION("""COMPUTED_VALUE"""),0.0045871559633027525)</f>
        <v>0.004587155963</v>
      </c>
      <c r="L4595" s="10">
        <f>IFERROR(__xludf.DUMMYFUNCTION("""COMPUTED_VALUE"""),872.0)</f>
        <v>872</v>
      </c>
      <c r="M4595" s="5">
        <f>IFERROR(__xludf.DUMMYFUNCTION("""COMPUTED_VALUE"""),1.0)</f>
        <v>1</v>
      </c>
    </row>
    <row r="4596">
      <c r="A4596" s="10" t="str">
        <f>IFERROR(__xludf.DUMMYFUNCTION("""COMPUTED_VALUE"""),"つむぐ")</f>
        <v>つむぐ</v>
      </c>
      <c r="B4596" s="10">
        <f>IFERROR(__xludf.DUMMYFUNCTION("""COMPUTED_VALUE"""),297.0)</f>
        <v>297</v>
      </c>
      <c r="C4596" s="10">
        <f>IFERROR(__xludf.DUMMYFUNCTION("""COMPUTED_VALUE"""),3502.0)</f>
        <v>3502</v>
      </c>
      <c r="D4596" s="5">
        <f>IFERROR(__xludf.DUMMYFUNCTION("""COMPUTED_VALUE"""),0.22059282371294853)</f>
        <v>0.2205928237</v>
      </c>
      <c r="E4596" s="5">
        <f>IFERROR(__xludf.DUMMYFUNCTION("""COMPUTED_VALUE"""),0.11669266770670828)</f>
        <v>0.1166926677</v>
      </c>
      <c r="F4596" s="5">
        <f>IFERROR(__xludf.DUMMYFUNCTION("""COMPUTED_VALUE"""),0.20343213728549142)</f>
        <v>0.2034321373</v>
      </c>
      <c r="G4596" s="5">
        <f>IFERROR(__xludf.DUMMYFUNCTION("""COMPUTED_VALUE"""),0.184399375975039)</f>
        <v>0.184399376</v>
      </c>
      <c r="H4596" s="5">
        <f>IFERROR(__xludf.DUMMYFUNCTION("""COMPUTED_VALUE"""),0.5720858895705522)</f>
        <v>0.5720858896</v>
      </c>
      <c r="I4596" s="11">
        <f>IFERROR(__xludf.DUMMYFUNCTION("""COMPUTED_VALUE"""),6391.257668711656)</f>
        <v>6391.257669</v>
      </c>
      <c r="J4596" s="10">
        <f>IFERROR(__xludf.DUMMYFUNCTION("""COMPUTED_VALUE"""),2.0)</f>
        <v>2</v>
      </c>
      <c r="K4596" s="5">
        <f>IFERROR(__xludf.DUMMYFUNCTION("""COMPUTED_VALUE"""),0.006734006734006734)</f>
        <v>0.006734006734</v>
      </c>
      <c r="L4596" s="10">
        <f>IFERROR(__xludf.DUMMYFUNCTION("""COMPUTED_VALUE"""),297.0)</f>
        <v>297</v>
      </c>
      <c r="M4596" s="5">
        <f>IFERROR(__xludf.DUMMYFUNCTION("""COMPUTED_VALUE"""),1.0)</f>
        <v>1</v>
      </c>
    </row>
    <row r="4597">
      <c r="A4597" s="10" t="str">
        <f>IFERROR(__xludf.DUMMYFUNCTION("""COMPUTED_VALUE"""),"erumioru")</f>
        <v>erumioru</v>
      </c>
      <c r="B4597" s="10">
        <f>IFERROR(__xludf.DUMMYFUNCTION("""COMPUTED_VALUE"""),171.0)</f>
        <v>171</v>
      </c>
      <c r="C4597" s="10">
        <f>IFERROR(__xludf.DUMMYFUNCTION("""COMPUTED_VALUE"""),2005.0)</f>
        <v>2005</v>
      </c>
      <c r="D4597" s="5">
        <f>IFERROR(__xludf.DUMMYFUNCTION("""COMPUTED_VALUE"""),0.3435114503816794)</f>
        <v>0.3435114504</v>
      </c>
      <c r="E4597" s="5">
        <f>IFERROR(__xludf.DUMMYFUNCTION("""COMPUTED_VALUE"""),0.11668484187568157)</f>
        <v>0.1166848419</v>
      </c>
      <c r="F4597" s="5">
        <f>IFERROR(__xludf.DUMMYFUNCTION("""COMPUTED_VALUE"""),0.22519083969465647)</f>
        <v>0.2251908397</v>
      </c>
      <c r="G4597" s="5">
        <f>IFERROR(__xludf.DUMMYFUNCTION("""COMPUTED_VALUE"""),0.20283533260632497)</f>
        <v>0.2028353326</v>
      </c>
      <c r="H4597" s="5">
        <f>IFERROR(__xludf.DUMMYFUNCTION("""COMPUTED_VALUE"""),0.612590799031477)</f>
        <v>0.612590799</v>
      </c>
      <c r="I4597" s="11">
        <f>IFERROR(__xludf.DUMMYFUNCTION("""COMPUTED_VALUE"""),5334.866828087167)</f>
        <v>5334.866828</v>
      </c>
      <c r="J4597" s="10">
        <f>IFERROR(__xludf.DUMMYFUNCTION("""COMPUTED_VALUE"""),0.0)</f>
        <v>0</v>
      </c>
      <c r="K4597" s="5">
        <f>IFERROR(__xludf.DUMMYFUNCTION("""COMPUTED_VALUE"""),0.0)</f>
        <v>0</v>
      </c>
      <c r="L4597" s="10">
        <f>IFERROR(__xludf.DUMMYFUNCTION("""COMPUTED_VALUE"""),0.0)</f>
        <v>0</v>
      </c>
      <c r="M4597" s="5">
        <f>IFERROR(__xludf.DUMMYFUNCTION("""COMPUTED_VALUE"""),0.0)</f>
        <v>0</v>
      </c>
    </row>
    <row r="4598">
      <c r="A4598" s="10" t="str">
        <f>IFERROR(__xludf.DUMMYFUNCTION("""COMPUTED_VALUE"""),"斜め77度")</f>
        <v>斜め77度</v>
      </c>
      <c r="B4598" s="10">
        <f>IFERROR(__xludf.DUMMYFUNCTION("""COMPUTED_VALUE"""),312.0)</f>
        <v>312</v>
      </c>
      <c r="C4598" s="10">
        <f>IFERROR(__xludf.DUMMYFUNCTION("""COMPUTED_VALUE"""),3723.0)</f>
        <v>3723</v>
      </c>
      <c r="D4598" s="5">
        <f>IFERROR(__xludf.DUMMYFUNCTION("""COMPUTED_VALUE"""),0.35532102022867196)</f>
        <v>0.3553210202</v>
      </c>
      <c r="E4598" s="5">
        <f>IFERROR(__xludf.DUMMYFUNCTION("""COMPUTED_VALUE"""),0.11668132512459689)</f>
        <v>0.1166813251</v>
      </c>
      <c r="F4598" s="5">
        <f>IFERROR(__xludf.DUMMYFUNCTION("""COMPUTED_VALUE"""),0.20727059513339197)</f>
        <v>0.2072705951</v>
      </c>
      <c r="G4598" s="5">
        <f>IFERROR(__xludf.DUMMYFUNCTION("""COMPUTED_VALUE"""),0.16212254470829668)</f>
        <v>0.1621225447</v>
      </c>
      <c r="H4598" s="5">
        <f>IFERROR(__xludf.DUMMYFUNCTION("""COMPUTED_VALUE"""),0.5968882602545968)</f>
        <v>0.5968882603</v>
      </c>
      <c r="I4598" s="11">
        <f>IFERROR(__xludf.DUMMYFUNCTION("""COMPUTED_VALUE"""),5404.384724186704)</f>
        <v>5404.384724</v>
      </c>
      <c r="J4598" s="10">
        <f>IFERROR(__xludf.DUMMYFUNCTION("""COMPUTED_VALUE"""),1.0)</f>
        <v>1</v>
      </c>
      <c r="K4598" s="5">
        <f>IFERROR(__xludf.DUMMYFUNCTION("""COMPUTED_VALUE"""),0.003205128205128205)</f>
        <v>0.003205128205</v>
      </c>
      <c r="L4598" s="10">
        <f>IFERROR(__xludf.DUMMYFUNCTION("""COMPUTED_VALUE"""),312.0)</f>
        <v>312</v>
      </c>
      <c r="M4598" s="5">
        <f>IFERROR(__xludf.DUMMYFUNCTION("""COMPUTED_VALUE"""),1.0)</f>
        <v>1</v>
      </c>
    </row>
    <row r="4599">
      <c r="A4599" s="10" t="str">
        <f>IFERROR(__xludf.DUMMYFUNCTION("""COMPUTED_VALUE"""),"ベタオリズム")</f>
        <v>ベタオリズム</v>
      </c>
      <c r="B4599" s="10">
        <f>IFERROR(__xludf.DUMMYFUNCTION("""COMPUTED_VALUE"""),518.0)</f>
        <v>518</v>
      </c>
      <c r="C4599" s="10">
        <f>IFERROR(__xludf.DUMMYFUNCTION("""COMPUTED_VALUE"""),6072.0)</f>
        <v>6072</v>
      </c>
      <c r="D4599" s="5">
        <f>IFERROR(__xludf.DUMMYFUNCTION("""COMPUTED_VALUE"""),0.38386748289521067)</f>
        <v>0.3838674829</v>
      </c>
      <c r="E4599" s="5">
        <f>IFERROR(__xludf.DUMMYFUNCTION("""COMPUTED_VALUE"""),0.1166726683471372)</f>
        <v>0.1166726683</v>
      </c>
      <c r="F4599" s="5">
        <f>IFERROR(__xludf.DUMMYFUNCTION("""COMPUTED_VALUE"""),0.21660064818149083)</f>
        <v>0.2166006482</v>
      </c>
      <c r="G4599" s="5">
        <f>IFERROR(__xludf.DUMMYFUNCTION("""COMPUTED_VALUE"""),0.16600648181490818)</f>
        <v>0.1660064818</v>
      </c>
      <c r="H4599" s="5">
        <f>IFERROR(__xludf.DUMMYFUNCTION("""COMPUTED_VALUE"""),0.5960099750623441)</f>
        <v>0.5960099751</v>
      </c>
      <c r="I4599" s="11">
        <f>IFERROR(__xludf.DUMMYFUNCTION("""COMPUTED_VALUE"""),5480.548628428927)</f>
        <v>5480.548628</v>
      </c>
      <c r="J4599" s="10">
        <f>IFERROR(__xludf.DUMMYFUNCTION("""COMPUTED_VALUE"""),0.0)</f>
        <v>0</v>
      </c>
      <c r="K4599" s="5">
        <f>IFERROR(__xludf.DUMMYFUNCTION("""COMPUTED_VALUE"""),0.0)</f>
        <v>0</v>
      </c>
      <c r="L4599" s="10">
        <f>IFERROR(__xludf.DUMMYFUNCTION("""COMPUTED_VALUE"""),364.0)</f>
        <v>364</v>
      </c>
      <c r="M4599" s="5">
        <f>IFERROR(__xludf.DUMMYFUNCTION("""COMPUTED_VALUE"""),0.7027027027027027)</f>
        <v>0.7027027027</v>
      </c>
    </row>
    <row r="4600">
      <c r="A4600" s="10" t="str">
        <f>IFERROR(__xludf.DUMMYFUNCTION("""COMPUTED_VALUE"""),"宮永照(代理)")</f>
        <v>宮永照(代理)</v>
      </c>
      <c r="B4600" s="10">
        <f>IFERROR(__xludf.DUMMYFUNCTION("""COMPUTED_VALUE"""),208.0)</f>
        <v>208</v>
      </c>
      <c r="C4600" s="10">
        <f>IFERROR(__xludf.DUMMYFUNCTION("""COMPUTED_VALUE"""),2411.0)</f>
        <v>2411</v>
      </c>
      <c r="D4600" s="5">
        <f>IFERROR(__xludf.DUMMYFUNCTION("""COMPUTED_VALUE"""),0.398093508851566)</f>
        <v>0.3980935089</v>
      </c>
      <c r="E4600" s="5">
        <f>IFERROR(__xludf.DUMMYFUNCTION("""COMPUTED_VALUE"""),0.11665910122560146)</f>
        <v>0.1166591012</v>
      </c>
      <c r="F4600" s="5">
        <f>IFERROR(__xludf.DUMMYFUNCTION("""COMPUTED_VALUE"""),0.22015433499773038)</f>
        <v>0.220154335</v>
      </c>
      <c r="G4600" s="5">
        <f>IFERROR(__xludf.DUMMYFUNCTION("""COMPUTED_VALUE"""),0.18837948252383113)</f>
        <v>0.1883794825</v>
      </c>
      <c r="H4600" s="5">
        <f>IFERROR(__xludf.DUMMYFUNCTION("""COMPUTED_VALUE"""),0.5979381443298969)</f>
        <v>0.5979381443</v>
      </c>
      <c r="I4600" s="11">
        <f>IFERROR(__xludf.DUMMYFUNCTION("""COMPUTED_VALUE"""),5762.886597938144)</f>
        <v>5762.886598</v>
      </c>
      <c r="J4600" s="10">
        <f>IFERROR(__xludf.DUMMYFUNCTION("""COMPUTED_VALUE"""),0.0)</f>
        <v>0</v>
      </c>
      <c r="K4600" s="5">
        <f>IFERROR(__xludf.DUMMYFUNCTION("""COMPUTED_VALUE"""),0.0)</f>
        <v>0</v>
      </c>
      <c r="L4600" s="10">
        <f>IFERROR(__xludf.DUMMYFUNCTION("""COMPUTED_VALUE"""),184.0)</f>
        <v>184</v>
      </c>
      <c r="M4600" s="5">
        <f>IFERROR(__xludf.DUMMYFUNCTION("""COMPUTED_VALUE"""),0.8846153846153846)</f>
        <v>0.8846153846</v>
      </c>
    </row>
    <row r="4601">
      <c r="A4601" s="10" t="str">
        <f>IFERROR(__xludf.DUMMYFUNCTION("""COMPUTED_VALUE"""),"QB可愛い")</f>
        <v>QB可愛い</v>
      </c>
      <c r="B4601" s="10">
        <f>IFERROR(__xludf.DUMMYFUNCTION("""COMPUTED_VALUE"""),115.0)</f>
        <v>115</v>
      </c>
      <c r="C4601" s="10">
        <f>IFERROR(__xludf.DUMMYFUNCTION("""COMPUTED_VALUE"""),1358.0)</f>
        <v>1358</v>
      </c>
      <c r="D4601" s="5">
        <f>IFERROR(__xludf.DUMMYFUNCTION("""COMPUTED_VALUE"""),0.3684633950120676)</f>
        <v>0.368463395</v>
      </c>
      <c r="E4601" s="5">
        <f>IFERROR(__xludf.DUMMYFUNCTION("""COMPUTED_VALUE"""),0.1166532582461786)</f>
        <v>0.1166532582</v>
      </c>
      <c r="F4601" s="5">
        <f>IFERROR(__xludf.DUMMYFUNCTION("""COMPUTED_VALUE"""),0.1842316975060338)</f>
        <v>0.1842316975</v>
      </c>
      <c r="G4601" s="5">
        <f>IFERROR(__xludf.DUMMYFUNCTION("""COMPUTED_VALUE"""),0.12872083668543846)</f>
        <v>0.1287208367</v>
      </c>
      <c r="H4601" s="5">
        <f>IFERROR(__xludf.DUMMYFUNCTION("""COMPUTED_VALUE"""),0.6244541484716157)</f>
        <v>0.6244541485</v>
      </c>
      <c r="I4601" s="11">
        <f>IFERROR(__xludf.DUMMYFUNCTION("""COMPUTED_VALUE"""),5180.7860262008735)</f>
        <v>5180.786026</v>
      </c>
      <c r="J4601" s="10">
        <f>IFERROR(__xludf.DUMMYFUNCTION("""COMPUTED_VALUE"""),0.0)</f>
        <v>0</v>
      </c>
      <c r="K4601" s="5">
        <f>IFERROR(__xludf.DUMMYFUNCTION("""COMPUTED_VALUE"""),0.0)</f>
        <v>0</v>
      </c>
      <c r="L4601" s="10">
        <f>IFERROR(__xludf.DUMMYFUNCTION("""COMPUTED_VALUE"""),115.0)</f>
        <v>115</v>
      </c>
      <c r="M4601" s="5">
        <f>IFERROR(__xludf.DUMMYFUNCTION("""COMPUTED_VALUE"""),1.0)</f>
        <v>1</v>
      </c>
    </row>
    <row r="4602">
      <c r="A4602" s="10" t="str">
        <f>IFERROR(__xludf.DUMMYFUNCTION("""COMPUTED_VALUE"""),"draetc")</f>
        <v>draetc</v>
      </c>
      <c r="B4602" s="10">
        <f>IFERROR(__xludf.DUMMYFUNCTION("""COMPUTED_VALUE"""),522.0)</f>
        <v>522</v>
      </c>
      <c r="C4602" s="10">
        <f>IFERROR(__xludf.DUMMYFUNCTION("""COMPUTED_VALUE"""),6120.0)</f>
        <v>6120</v>
      </c>
      <c r="D4602" s="5">
        <f>IFERROR(__xludf.DUMMYFUNCTION("""COMPUTED_VALUE"""),0.3281529117541979)</f>
        <v>0.3281529118</v>
      </c>
      <c r="E4602" s="5">
        <f>IFERROR(__xludf.DUMMYFUNCTION("""COMPUTED_VALUE"""),0.11664880314397999)</f>
        <v>0.1166488031</v>
      </c>
      <c r="F4602" s="5">
        <f>IFERROR(__xludf.DUMMYFUNCTION("""COMPUTED_VALUE"""),0.21204001429081815)</f>
        <v>0.2120400143</v>
      </c>
      <c r="G4602" s="5">
        <f>IFERROR(__xludf.DUMMYFUNCTION("""COMPUTED_VALUE"""),0.14880314397999286)</f>
        <v>0.148803144</v>
      </c>
      <c r="H4602" s="5">
        <f>IFERROR(__xludf.DUMMYFUNCTION("""COMPUTED_VALUE"""),0.6006739679865206)</f>
        <v>0.600673968</v>
      </c>
      <c r="I4602" s="11">
        <f>IFERROR(__xludf.DUMMYFUNCTION("""COMPUTED_VALUE"""),5603.032855939343)</f>
        <v>5603.032856</v>
      </c>
      <c r="J4602" s="10">
        <f>IFERROR(__xludf.DUMMYFUNCTION("""COMPUTED_VALUE"""),0.0)</f>
        <v>0</v>
      </c>
      <c r="K4602" s="5">
        <f>IFERROR(__xludf.DUMMYFUNCTION("""COMPUTED_VALUE"""),0.0)</f>
        <v>0</v>
      </c>
      <c r="L4602" s="10">
        <f>IFERROR(__xludf.DUMMYFUNCTION("""COMPUTED_VALUE"""),522.0)</f>
        <v>522</v>
      </c>
      <c r="M4602" s="5">
        <f>IFERROR(__xludf.DUMMYFUNCTION("""COMPUTED_VALUE"""),1.0)</f>
        <v>1</v>
      </c>
    </row>
    <row r="4603">
      <c r="A4603" s="10" t="str">
        <f>IFERROR(__xludf.DUMMYFUNCTION("""COMPUTED_VALUE"""),"wrwrwrwr")</f>
        <v>wrwrwrwr</v>
      </c>
      <c r="B4603" s="10">
        <f>IFERROR(__xludf.DUMMYFUNCTION("""COMPUTED_VALUE"""),912.0)</f>
        <v>912</v>
      </c>
      <c r="C4603" s="10">
        <f>IFERROR(__xludf.DUMMYFUNCTION("""COMPUTED_VALUE"""),10617.0)</f>
        <v>10617</v>
      </c>
      <c r="D4603" s="5">
        <f>IFERROR(__xludf.DUMMYFUNCTION("""COMPUTED_VALUE"""),0.381349819680577)</f>
        <v>0.3813498197</v>
      </c>
      <c r="E4603" s="5">
        <f>IFERROR(__xludf.DUMMYFUNCTION("""COMPUTED_VALUE"""),0.1166409067490984)</f>
        <v>0.1166409067</v>
      </c>
      <c r="F4603" s="5">
        <f>IFERROR(__xludf.DUMMYFUNCTION("""COMPUTED_VALUE"""),0.21638330757341576)</f>
        <v>0.2163833076</v>
      </c>
      <c r="G4603" s="5">
        <f>IFERROR(__xludf.DUMMYFUNCTION("""COMPUTED_VALUE"""),0.147655847501288)</f>
        <v>0.1476558475</v>
      </c>
      <c r="H4603" s="5">
        <f>IFERROR(__xludf.DUMMYFUNCTION("""COMPUTED_VALUE"""),0.6142857142857143)</f>
        <v>0.6142857143</v>
      </c>
      <c r="I4603" s="11">
        <f>IFERROR(__xludf.DUMMYFUNCTION("""COMPUTED_VALUE"""),5298.666666666667)</f>
        <v>5298.666667</v>
      </c>
      <c r="J4603" s="10">
        <f>IFERROR(__xludf.DUMMYFUNCTION("""COMPUTED_VALUE"""),3.0)</f>
        <v>3</v>
      </c>
      <c r="K4603" s="5">
        <f>IFERROR(__xludf.DUMMYFUNCTION("""COMPUTED_VALUE"""),0.003289473684210526)</f>
        <v>0.003289473684</v>
      </c>
      <c r="L4603" s="10">
        <f>IFERROR(__xludf.DUMMYFUNCTION("""COMPUTED_VALUE"""),912.0)</f>
        <v>912</v>
      </c>
      <c r="M4603" s="5">
        <f>IFERROR(__xludf.DUMMYFUNCTION("""COMPUTED_VALUE"""),1.0)</f>
        <v>1</v>
      </c>
    </row>
    <row r="4604">
      <c r="A4604" s="10" t="str">
        <f>IFERROR(__xludf.DUMMYFUNCTION("""COMPUTED_VALUE"""),"89%")</f>
        <v>89%</v>
      </c>
      <c r="B4604" s="10">
        <f>IFERROR(__xludf.DUMMYFUNCTION("""COMPUTED_VALUE"""),292.0)</f>
        <v>292</v>
      </c>
      <c r="C4604" s="10">
        <f>IFERROR(__xludf.DUMMYFUNCTION("""COMPUTED_VALUE"""),3507.0)</f>
        <v>3507</v>
      </c>
      <c r="D4604" s="5">
        <f>IFERROR(__xludf.DUMMYFUNCTION("""COMPUTED_VALUE"""),0.39875583203732506)</f>
        <v>0.398755832</v>
      </c>
      <c r="E4604" s="5">
        <f>IFERROR(__xludf.DUMMYFUNCTION("""COMPUTED_VALUE"""),0.1166407465007776)</f>
        <v>0.1166407465</v>
      </c>
      <c r="F4604" s="5">
        <f>IFERROR(__xludf.DUMMYFUNCTION("""COMPUTED_VALUE"""),0.208398133748056)</f>
        <v>0.2083981337</v>
      </c>
      <c r="G4604" s="5">
        <f>IFERROR(__xludf.DUMMYFUNCTION("""COMPUTED_VALUE"""),0.13965785381026438)</f>
        <v>0.1396578538</v>
      </c>
      <c r="H4604" s="5">
        <f>IFERROR(__xludf.DUMMYFUNCTION("""COMPUTED_VALUE"""),0.6268656716417911)</f>
        <v>0.6268656716</v>
      </c>
      <c r="I4604" s="11">
        <f>IFERROR(__xludf.DUMMYFUNCTION("""COMPUTED_VALUE"""),5155.9701492537315)</f>
        <v>5155.970149</v>
      </c>
      <c r="J4604" s="10">
        <f>IFERROR(__xludf.DUMMYFUNCTION("""COMPUTED_VALUE"""),1.0)</f>
        <v>1</v>
      </c>
      <c r="K4604" s="5">
        <f>IFERROR(__xludf.DUMMYFUNCTION("""COMPUTED_VALUE"""),0.003424657534246575)</f>
        <v>0.003424657534</v>
      </c>
      <c r="L4604" s="10">
        <f>IFERROR(__xludf.DUMMYFUNCTION("""COMPUTED_VALUE"""),292.0)</f>
        <v>292</v>
      </c>
      <c r="M4604" s="5">
        <f>IFERROR(__xludf.DUMMYFUNCTION("""COMPUTED_VALUE"""),1.0)</f>
        <v>1</v>
      </c>
    </row>
    <row r="4605">
      <c r="A4605" s="10" t="str">
        <f>IFERROR(__xludf.DUMMYFUNCTION("""COMPUTED_VALUE"""),"純３龍門")</f>
        <v>純３龍門</v>
      </c>
      <c r="B4605" s="10">
        <f>IFERROR(__xludf.DUMMYFUNCTION("""COMPUTED_VALUE"""),1076.0)</f>
        <v>1076</v>
      </c>
      <c r="C4605" s="10">
        <f>IFERROR(__xludf.DUMMYFUNCTION("""COMPUTED_VALUE"""),12573.0)</f>
        <v>12573</v>
      </c>
      <c r="D4605" s="5">
        <f>IFERROR(__xludf.DUMMYFUNCTION("""COMPUTED_VALUE"""),0.34522049230233975)</f>
        <v>0.3452204923</v>
      </c>
      <c r="E4605" s="5">
        <f>IFERROR(__xludf.DUMMYFUNCTION("""COMPUTED_VALUE"""),0.11663912324954336)</f>
        <v>0.1166391232</v>
      </c>
      <c r="F4605" s="5">
        <f>IFERROR(__xludf.DUMMYFUNCTION("""COMPUTED_VALUE"""),0.22127511524745586)</f>
        <v>0.2212751152</v>
      </c>
      <c r="G4605" s="5">
        <f>IFERROR(__xludf.DUMMYFUNCTION("""COMPUTED_VALUE"""),0.1883969731234235)</f>
        <v>0.1883969731</v>
      </c>
      <c r="H4605" s="5">
        <f>IFERROR(__xludf.DUMMYFUNCTION("""COMPUTED_VALUE"""),0.5986635220125787)</f>
        <v>0.598663522</v>
      </c>
      <c r="I4605" s="11">
        <f>IFERROR(__xludf.DUMMYFUNCTION("""COMPUTED_VALUE"""),5240.841194968553)</f>
        <v>5240.841195</v>
      </c>
      <c r="J4605" s="10">
        <f>IFERROR(__xludf.DUMMYFUNCTION("""COMPUTED_VALUE"""),1.0)</f>
        <v>1</v>
      </c>
      <c r="K4605" s="5">
        <f>IFERROR(__xludf.DUMMYFUNCTION("""COMPUTED_VALUE"""),9.293680297397769E-4)</f>
        <v>0.0009293680297</v>
      </c>
      <c r="L4605" s="10">
        <f>IFERROR(__xludf.DUMMYFUNCTION("""COMPUTED_VALUE"""),21.0)</f>
        <v>21</v>
      </c>
      <c r="M4605" s="5">
        <f>IFERROR(__xludf.DUMMYFUNCTION("""COMPUTED_VALUE"""),0.019516728624535316)</f>
        <v>0.01951672862</v>
      </c>
    </row>
    <row r="4606">
      <c r="A4606" s="10" t="str">
        <f>IFERROR(__xludf.DUMMYFUNCTION("""COMPUTED_VALUE"""),"うめすテル")</f>
        <v>うめすテル</v>
      </c>
      <c r="B4606" s="10">
        <f>IFERROR(__xludf.DUMMYFUNCTION("""COMPUTED_VALUE"""),512.0)</f>
        <v>512</v>
      </c>
      <c r="C4606" s="10">
        <f>IFERROR(__xludf.DUMMYFUNCTION("""COMPUTED_VALUE"""),6042.0)</f>
        <v>6042</v>
      </c>
      <c r="D4606" s="5">
        <f>IFERROR(__xludf.DUMMYFUNCTION("""COMPUTED_VALUE"""),0.3573236889692586)</f>
        <v>0.357323689</v>
      </c>
      <c r="E4606" s="5">
        <f>IFERROR(__xludf.DUMMYFUNCTION("""COMPUTED_VALUE"""),0.1166365280289331)</f>
        <v>0.116636528</v>
      </c>
      <c r="F4606" s="5">
        <f>IFERROR(__xludf.DUMMYFUNCTION("""COMPUTED_VALUE"""),0.2019891500904159)</f>
        <v>0.2019891501</v>
      </c>
      <c r="G4606" s="5">
        <f>IFERROR(__xludf.DUMMYFUNCTION("""COMPUTED_VALUE"""),0.17811934900542495)</f>
        <v>0.178119349</v>
      </c>
      <c r="H4606" s="5">
        <f>IFERROR(__xludf.DUMMYFUNCTION("""COMPUTED_VALUE"""),0.5684870188003581)</f>
        <v>0.5684870188</v>
      </c>
      <c r="I4606" s="11">
        <f>IFERROR(__xludf.DUMMYFUNCTION("""COMPUTED_VALUE"""),5553.5362578334825)</f>
        <v>5553.536258</v>
      </c>
      <c r="J4606" s="10">
        <f>IFERROR(__xludf.DUMMYFUNCTION("""COMPUTED_VALUE"""),0.0)</f>
        <v>0</v>
      </c>
      <c r="K4606" s="5">
        <f>IFERROR(__xludf.DUMMYFUNCTION("""COMPUTED_VALUE"""),0.0)</f>
        <v>0</v>
      </c>
      <c r="L4606" s="10">
        <f>IFERROR(__xludf.DUMMYFUNCTION("""COMPUTED_VALUE"""),278.0)</f>
        <v>278</v>
      </c>
      <c r="M4606" s="5">
        <f>IFERROR(__xludf.DUMMYFUNCTION("""COMPUTED_VALUE"""),0.54296875)</f>
        <v>0.54296875</v>
      </c>
    </row>
    <row r="4607">
      <c r="A4607" s="10" t="str">
        <f>IFERROR(__xludf.DUMMYFUNCTION("""COMPUTED_VALUE"""),"今夜は役牌バック")</f>
        <v>今夜は役牌バック</v>
      </c>
      <c r="B4607" s="10">
        <f>IFERROR(__xludf.DUMMYFUNCTION("""COMPUTED_VALUE"""),509.0)</f>
        <v>509</v>
      </c>
      <c r="C4607" s="10">
        <f>IFERROR(__xludf.DUMMYFUNCTION("""COMPUTED_VALUE"""),5988.0)</f>
        <v>5988</v>
      </c>
      <c r="D4607" s="5">
        <f>IFERROR(__xludf.DUMMYFUNCTION("""COMPUTED_VALUE"""),0.39824785544807445)</f>
        <v>0.3982478554</v>
      </c>
      <c r="E4607" s="5">
        <f>IFERROR(__xludf.DUMMYFUNCTION("""COMPUTED_VALUE"""),0.11662712173754335)</f>
        <v>0.1166271217</v>
      </c>
      <c r="F4607" s="5">
        <f>IFERROR(__xludf.DUMMYFUNCTION("""COMPUTED_VALUE"""),0.19675123197663807)</f>
        <v>0.196751232</v>
      </c>
      <c r="G4607" s="5">
        <f>IFERROR(__xludf.DUMMYFUNCTION("""COMPUTED_VALUE"""),0.1558678590983756)</f>
        <v>0.1558678591</v>
      </c>
      <c r="H4607" s="5">
        <f>IFERROR(__xludf.DUMMYFUNCTION("""COMPUTED_VALUE"""),0.5807050092764379)</f>
        <v>0.5807050093</v>
      </c>
      <c r="I4607" s="11">
        <f>IFERROR(__xludf.DUMMYFUNCTION("""COMPUTED_VALUE"""),5492.764378478664)</f>
        <v>5492.764378</v>
      </c>
      <c r="J4607" s="10">
        <f>IFERROR(__xludf.DUMMYFUNCTION("""COMPUTED_VALUE"""),0.0)</f>
        <v>0</v>
      </c>
      <c r="K4607" s="5">
        <f>IFERROR(__xludf.DUMMYFUNCTION("""COMPUTED_VALUE"""),0.0)</f>
        <v>0</v>
      </c>
      <c r="L4607" s="10">
        <f>IFERROR(__xludf.DUMMYFUNCTION("""COMPUTED_VALUE"""),509.0)</f>
        <v>509</v>
      </c>
      <c r="M4607" s="5">
        <f>IFERROR(__xludf.DUMMYFUNCTION("""COMPUTED_VALUE"""),1.0)</f>
        <v>1</v>
      </c>
    </row>
    <row r="4608">
      <c r="A4608" s="10" t="str">
        <f>IFERROR(__xludf.DUMMYFUNCTION("""COMPUTED_VALUE"""),"あたかな")</f>
        <v>あたかな</v>
      </c>
      <c r="B4608" s="10">
        <f>IFERROR(__xludf.DUMMYFUNCTION("""COMPUTED_VALUE"""),135.0)</f>
        <v>135</v>
      </c>
      <c r="C4608" s="10">
        <f>IFERROR(__xludf.DUMMYFUNCTION("""COMPUTED_VALUE"""),1610.0)</f>
        <v>1610</v>
      </c>
      <c r="D4608" s="5">
        <f>IFERROR(__xludf.DUMMYFUNCTION("""COMPUTED_VALUE"""),0.32610169491525426)</f>
        <v>0.3261016949</v>
      </c>
      <c r="E4608" s="5">
        <f>IFERROR(__xludf.DUMMYFUNCTION("""COMPUTED_VALUE"""),0.11661016949152542)</f>
        <v>0.1166101695</v>
      </c>
      <c r="F4608" s="5">
        <f>IFERROR(__xludf.DUMMYFUNCTION("""COMPUTED_VALUE"""),0.1864406779661017)</f>
        <v>0.186440678</v>
      </c>
      <c r="G4608" s="5">
        <f>IFERROR(__xludf.DUMMYFUNCTION("""COMPUTED_VALUE"""),0.1871186440677966)</f>
        <v>0.1871186441</v>
      </c>
      <c r="H4608" s="5">
        <f>IFERROR(__xludf.DUMMYFUNCTION("""COMPUTED_VALUE"""),0.5345454545454545)</f>
        <v>0.5345454545</v>
      </c>
      <c r="I4608" s="11">
        <f>IFERROR(__xludf.DUMMYFUNCTION("""COMPUTED_VALUE"""),6027.636363636364)</f>
        <v>6027.636364</v>
      </c>
      <c r="J4608" s="10">
        <f>IFERROR(__xludf.DUMMYFUNCTION("""COMPUTED_VALUE"""),0.0)</f>
        <v>0</v>
      </c>
      <c r="K4608" s="5">
        <f>IFERROR(__xludf.DUMMYFUNCTION("""COMPUTED_VALUE"""),0.0)</f>
        <v>0</v>
      </c>
      <c r="L4608" s="10">
        <f>IFERROR(__xludf.DUMMYFUNCTION("""COMPUTED_VALUE"""),135.0)</f>
        <v>135</v>
      </c>
      <c r="M4608" s="5">
        <f>IFERROR(__xludf.DUMMYFUNCTION("""COMPUTED_VALUE"""),1.0)</f>
        <v>1</v>
      </c>
    </row>
    <row r="4609">
      <c r="A4609" s="10" t="str">
        <f>IFERROR(__xludf.DUMMYFUNCTION("""COMPUTED_VALUE"""),"オカルト一色")</f>
        <v>オカルト一色</v>
      </c>
      <c r="B4609" s="10">
        <f>IFERROR(__xludf.DUMMYFUNCTION("""COMPUTED_VALUE"""),2970.0)</f>
        <v>2970</v>
      </c>
      <c r="C4609" s="10">
        <f>IFERROR(__xludf.DUMMYFUNCTION("""COMPUTED_VALUE"""),35009.0)</f>
        <v>35009</v>
      </c>
      <c r="D4609" s="5">
        <f>IFERROR(__xludf.DUMMYFUNCTION("""COMPUTED_VALUE"""),0.31486625674958646)</f>
        <v>0.3148662567</v>
      </c>
      <c r="E4609" s="5">
        <f>IFERROR(__xludf.DUMMYFUNCTION("""COMPUTED_VALUE"""),0.1166078841412029)</f>
        <v>0.1166078841</v>
      </c>
      <c r="F4609" s="5">
        <f>IFERROR(__xludf.DUMMYFUNCTION("""COMPUTED_VALUE"""),0.20574924310995973)</f>
        <v>0.2057492431</v>
      </c>
      <c r="G4609" s="5">
        <f>IFERROR(__xludf.DUMMYFUNCTION("""COMPUTED_VALUE"""),0.16536096632229472)</f>
        <v>0.1653609663</v>
      </c>
      <c r="H4609" s="5">
        <f>IFERROR(__xludf.DUMMYFUNCTION("""COMPUTED_VALUE"""),0.5972390776699029)</f>
        <v>0.5972390777</v>
      </c>
      <c r="I4609" s="11">
        <f>IFERROR(__xludf.DUMMYFUNCTION("""COMPUTED_VALUE"""),5484.1929611650485)</f>
        <v>5484.192961</v>
      </c>
      <c r="J4609" s="10">
        <f>IFERROR(__xludf.DUMMYFUNCTION("""COMPUTED_VALUE"""),5.0)</f>
        <v>5</v>
      </c>
      <c r="K4609" s="5">
        <f>IFERROR(__xludf.DUMMYFUNCTION("""COMPUTED_VALUE"""),0.0016835016835016834)</f>
        <v>0.001683501684</v>
      </c>
      <c r="L4609" s="10">
        <f>IFERROR(__xludf.DUMMYFUNCTION("""COMPUTED_VALUE"""),2970.0)</f>
        <v>2970</v>
      </c>
      <c r="M4609" s="5">
        <f>IFERROR(__xludf.DUMMYFUNCTION("""COMPUTED_VALUE"""),1.0)</f>
        <v>1</v>
      </c>
    </row>
    <row r="4610">
      <c r="A4610" s="10" t="str">
        <f>IFERROR(__xludf.DUMMYFUNCTION("""COMPUTED_VALUE"""),"桃白白")</f>
        <v>桃白白</v>
      </c>
      <c r="B4610" s="10">
        <f>IFERROR(__xludf.DUMMYFUNCTION("""COMPUTED_VALUE"""),413.0)</f>
        <v>413</v>
      </c>
      <c r="C4610" s="10">
        <f>IFERROR(__xludf.DUMMYFUNCTION("""COMPUTED_VALUE"""),4761.0)</f>
        <v>4761</v>
      </c>
      <c r="D4610" s="5">
        <f>IFERROR(__xludf.DUMMYFUNCTION("""COMPUTED_VALUE"""),0.22700091996320146)</f>
        <v>0.22700092</v>
      </c>
      <c r="E4610" s="5">
        <f>IFERROR(__xludf.DUMMYFUNCTION("""COMPUTED_VALUE"""),0.11660533578656854)</f>
        <v>0.1166053358</v>
      </c>
      <c r="F4610" s="5">
        <f>IFERROR(__xludf.DUMMYFUNCTION("""COMPUTED_VALUE"""),0.19480220791168354)</f>
        <v>0.1948022079</v>
      </c>
      <c r="G4610" s="5">
        <f>IFERROR(__xludf.DUMMYFUNCTION("""COMPUTED_VALUE"""),0.14880404783808648)</f>
        <v>0.1488040478</v>
      </c>
      <c r="H4610" s="5">
        <f>IFERROR(__xludf.DUMMYFUNCTION("""COMPUTED_VALUE"""),0.6033057851239669)</f>
        <v>0.6033057851</v>
      </c>
      <c r="I4610" s="11">
        <f>IFERROR(__xludf.DUMMYFUNCTION("""COMPUTED_VALUE"""),6011.806375442739)</f>
        <v>6011.806375</v>
      </c>
      <c r="J4610" s="10">
        <f>IFERROR(__xludf.DUMMYFUNCTION("""COMPUTED_VALUE"""),1.0)</f>
        <v>1</v>
      </c>
      <c r="K4610" s="5">
        <f>IFERROR(__xludf.DUMMYFUNCTION("""COMPUTED_VALUE"""),0.002421307506053269)</f>
        <v>0.002421307506</v>
      </c>
      <c r="L4610" s="10">
        <f>IFERROR(__xludf.DUMMYFUNCTION("""COMPUTED_VALUE"""),413.0)</f>
        <v>413</v>
      </c>
      <c r="M4610" s="5">
        <f>IFERROR(__xludf.DUMMYFUNCTION("""COMPUTED_VALUE"""),1.0)</f>
        <v>1</v>
      </c>
    </row>
    <row r="4611">
      <c r="A4611" s="10" t="str">
        <f>IFERROR(__xludf.DUMMYFUNCTION("""COMPUTED_VALUE"""),"sapoten")</f>
        <v>sapoten</v>
      </c>
      <c r="B4611" s="10">
        <f>IFERROR(__xludf.DUMMYFUNCTION("""COMPUTED_VALUE"""),1208.0)</f>
        <v>1208</v>
      </c>
      <c r="C4611" s="10">
        <f>IFERROR(__xludf.DUMMYFUNCTION("""COMPUTED_VALUE"""),14270.0)</f>
        <v>14270</v>
      </c>
      <c r="D4611" s="5">
        <f>IFERROR(__xludf.DUMMYFUNCTION("""COMPUTED_VALUE"""),0.3566069514622569)</f>
        <v>0.3566069515</v>
      </c>
      <c r="E4611" s="5">
        <f>IFERROR(__xludf.DUMMYFUNCTION("""COMPUTED_VALUE"""),0.11659776450773235)</f>
        <v>0.1165977645</v>
      </c>
      <c r="F4611" s="5">
        <f>IFERROR(__xludf.DUMMYFUNCTION("""COMPUTED_VALUE"""),0.20218955749502374)</f>
        <v>0.2021895575</v>
      </c>
      <c r="G4611" s="5">
        <f>IFERROR(__xludf.DUMMYFUNCTION("""COMPUTED_VALUE"""),0.14768029398254479)</f>
        <v>0.147680294</v>
      </c>
      <c r="H4611" s="5">
        <f>IFERROR(__xludf.DUMMYFUNCTION("""COMPUTED_VALUE"""),0.5891707686482393)</f>
        <v>0.5891707686</v>
      </c>
      <c r="I4611" s="11">
        <f>IFERROR(__xludf.DUMMYFUNCTION("""COMPUTED_VALUE"""),5426.732298371829)</f>
        <v>5426.732298</v>
      </c>
      <c r="J4611" s="10">
        <f>IFERROR(__xludf.DUMMYFUNCTION("""COMPUTED_VALUE"""),4.0)</f>
        <v>4</v>
      </c>
      <c r="K4611" s="5">
        <f>IFERROR(__xludf.DUMMYFUNCTION("""COMPUTED_VALUE"""),0.0033112582781456954)</f>
        <v>0.003311258278</v>
      </c>
      <c r="L4611" s="10">
        <f>IFERROR(__xludf.DUMMYFUNCTION("""COMPUTED_VALUE"""),1208.0)</f>
        <v>1208</v>
      </c>
      <c r="M4611" s="5">
        <f>IFERROR(__xludf.DUMMYFUNCTION("""COMPUTED_VALUE"""),1.0)</f>
        <v>1</v>
      </c>
    </row>
    <row r="4612">
      <c r="A4612" s="10" t="str">
        <f>IFERROR(__xludf.DUMMYFUNCTION("""COMPUTED_VALUE"""),"運がほぼ全て")</f>
        <v>運がほぼ全て</v>
      </c>
      <c r="B4612" s="10">
        <f>IFERROR(__xludf.DUMMYFUNCTION("""COMPUTED_VALUE"""),461.0)</f>
        <v>461</v>
      </c>
      <c r="C4612" s="10">
        <f>IFERROR(__xludf.DUMMYFUNCTION("""COMPUTED_VALUE"""),5384.0)</f>
        <v>5384</v>
      </c>
      <c r="D4612" s="5">
        <f>IFERROR(__xludf.DUMMYFUNCTION("""COMPUTED_VALUE"""),0.30225472273004267)</f>
        <v>0.3022547227</v>
      </c>
      <c r="E4612" s="5">
        <f>IFERROR(__xludf.DUMMYFUNCTION("""COMPUTED_VALUE"""),0.11659557180580947)</f>
        <v>0.1165955718</v>
      </c>
      <c r="F4612" s="5">
        <f>IFERROR(__xludf.DUMMYFUNCTION("""COMPUTED_VALUE"""),0.19520617509648588)</f>
        <v>0.1952061751</v>
      </c>
      <c r="G4612" s="5">
        <f>IFERROR(__xludf.DUMMYFUNCTION("""COMPUTED_VALUE"""),0.1811903310989234)</f>
        <v>0.1811903311</v>
      </c>
      <c r="H4612" s="5">
        <f>IFERROR(__xludf.DUMMYFUNCTION("""COMPUTED_VALUE"""),0.5660770031217481)</f>
        <v>0.5660770031</v>
      </c>
      <c r="I4612" s="11">
        <f>IFERROR(__xludf.DUMMYFUNCTION("""COMPUTED_VALUE"""),5938.085327783559)</f>
        <v>5938.085328</v>
      </c>
      <c r="J4612" s="10">
        <f>IFERROR(__xludf.DUMMYFUNCTION("""COMPUTED_VALUE"""),1.0)</f>
        <v>1</v>
      </c>
      <c r="K4612" s="5">
        <f>IFERROR(__xludf.DUMMYFUNCTION("""COMPUTED_VALUE"""),0.0021691973969631237)</f>
        <v>0.002169197397</v>
      </c>
      <c r="L4612" s="10">
        <f>IFERROR(__xludf.DUMMYFUNCTION("""COMPUTED_VALUE"""),461.0)</f>
        <v>461</v>
      </c>
      <c r="M4612" s="5">
        <f>IFERROR(__xludf.DUMMYFUNCTION("""COMPUTED_VALUE"""),1.0)</f>
        <v>1</v>
      </c>
    </row>
    <row r="4613">
      <c r="A4613" s="10" t="str">
        <f>IFERROR(__xludf.DUMMYFUNCTION("""COMPUTED_VALUE"""),"ムムゥ")</f>
        <v>ムムゥ</v>
      </c>
      <c r="B4613" s="10">
        <f>IFERROR(__xludf.DUMMYFUNCTION("""COMPUTED_VALUE"""),1073.0)</f>
        <v>1073</v>
      </c>
      <c r="C4613" s="10">
        <f>IFERROR(__xludf.DUMMYFUNCTION("""COMPUTED_VALUE"""),12446.0)</f>
        <v>12446</v>
      </c>
      <c r="D4613" s="5">
        <f>IFERROR(__xludf.DUMMYFUNCTION("""COMPUTED_VALUE"""),0.3502154224918667)</f>
        <v>0.3502154225</v>
      </c>
      <c r="E4613" s="5">
        <f>IFERROR(__xludf.DUMMYFUNCTION("""COMPUTED_VALUE"""),0.11659192825112108)</f>
        <v>0.1165919283</v>
      </c>
      <c r="F4613" s="5">
        <f>IFERROR(__xludf.DUMMYFUNCTION("""COMPUTED_VALUE"""),0.2177965356546206)</f>
        <v>0.2177965357</v>
      </c>
      <c r="G4613" s="5">
        <f>IFERROR(__xludf.DUMMYFUNCTION("""COMPUTED_VALUE"""),0.18121867581113163)</f>
        <v>0.1812186758</v>
      </c>
      <c r="H4613" s="5">
        <f>IFERROR(__xludf.DUMMYFUNCTION("""COMPUTED_VALUE"""),0.6007266855066613)</f>
        <v>0.6007266855</v>
      </c>
      <c r="I4613" s="11">
        <f>IFERROR(__xludf.DUMMYFUNCTION("""COMPUTED_VALUE"""),5672.628179249092)</f>
        <v>5672.628179</v>
      </c>
      <c r="J4613" s="10">
        <f>IFERROR(__xludf.DUMMYFUNCTION("""COMPUTED_VALUE"""),1.0)</f>
        <v>1</v>
      </c>
      <c r="K4613" s="5">
        <f>IFERROR(__xludf.DUMMYFUNCTION("""COMPUTED_VALUE"""),9.319664492078285E-4)</f>
        <v>0.0009319664492</v>
      </c>
      <c r="L4613" s="10">
        <f>IFERROR(__xludf.DUMMYFUNCTION("""COMPUTED_VALUE"""),968.0)</f>
        <v>968</v>
      </c>
      <c r="M4613" s="5">
        <f>IFERROR(__xludf.DUMMYFUNCTION("""COMPUTED_VALUE"""),0.902143522833178)</f>
        <v>0.9021435228</v>
      </c>
    </row>
    <row r="4614">
      <c r="A4614" s="10" t="str">
        <f>IFERROR(__xludf.DUMMYFUNCTION("""COMPUTED_VALUE"""),"kashelly")</f>
        <v>kashelly</v>
      </c>
      <c r="B4614" s="10">
        <f>IFERROR(__xludf.DUMMYFUNCTION("""COMPUTED_VALUE"""),347.0)</f>
        <v>347</v>
      </c>
      <c r="C4614" s="10">
        <f>IFERROR(__xludf.DUMMYFUNCTION("""COMPUTED_VALUE"""),4130.0)</f>
        <v>4130</v>
      </c>
      <c r="D4614" s="5">
        <f>IFERROR(__xludf.DUMMYFUNCTION("""COMPUTED_VALUE"""),0.34390695215437483)</f>
        <v>0.3439069522</v>
      </c>
      <c r="E4614" s="5">
        <f>IFERROR(__xludf.DUMMYFUNCTION("""COMPUTED_VALUE"""),0.11657414750198256)</f>
        <v>0.1165741475</v>
      </c>
      <c r="F4614" s="5">
        <f>IFERROR(__xludf.DUMMYFUNCTION("""COMPUTED_VALUE"""),0.20618556701030927)</f>
        <v>0.206185567</v>
      </c>
      <c r="G4614" s="5">
        <f>IFERROR(__xludf.DUMMYFUNCTION("""COMPUTED_VALUE"""),0.14829500396510706)</f>
        <v>0.148295004</v>
      </c>
      <c r="H4614" s="5">
        <f>IFERROR(__xludf.DUMMYFUNCTION("""COMPUTED_VALUE"""),0.6012820512820513)</f>
        <v>0.6012820513</v>
      </c>
      <c r="I4614" s="11">
        <f>IFERROR(__xludf.DUMMYFUNCTION("""COMPUTED_VALUE"""),5638.589743589743)</f>
        <v>5638.589744</v>
      </c>
      <c r="J4614" s="10">
        <f>IFERROR(__xludf.DUMMYFUNCTION("""COMPUTED_VALUE"""),2.0)</f>
        <v>2</v>
      </c>
      <c r="K4614" s="5">
        <f>IFERROR(__xludf.DUMMYFUNCTION("""COMPUTED_VALUE"""),0.005763688760806916)</f>
        <v>0.005763688761</v>
      </c>
      <c r="L4614" s="10">
        <f>IFERROR(__xludf.DUMMYFUNCTION("""COMPUTED_VALUE"""),347.0)</f>
        <v>347</v>
      </c>
      <c r="M4614" s="5">
        <f>IFERROR(__xludf.DUMMYFUNCTION("""COMPUTED_VALUE"""),1.0)</f>
        <v>1</v>
      </c>
    </row>
    <row r="4615">
      <c r="A4615" s="10" t="str">
        <f>IFERROR(__xludf.DUMMYFUNCTION("""COMPUTED_VALUE"""),"無修正")</f>
        <v>無修正</v>
      </c>
      <c r="B4615" s="10">
        <f>IFERROR(__xludf.DUMMYFUNCTION("""COMPUTED_VALUE"""),147.0)</f>
        <v>147</v>
      </c>
      <c r="C4615" s="10">
        <f>IFERROR(__xludf.DUMMYFUNCTION("""COMPUTED_VALUE"""),1734.0)</f>
        <v>1734</v>
      </c>
      <c r="D4615" s="5">
        <f>IFERROR(__xludf.DUMMYFUNCTION("""COMPUTED_VALUE"""),0.27977315689981097)</f>
        <v>0.2797731569</v>
      </c>
      <c r="E4615" s="5">
        <f>IFERROR(__xludf.DUMMYFUNCTION("""COMPUTED_VALUE"""),0.11657214870825457)</f>
        <v>0.1165721487</v>
      </c>
      <c r="F4615" s="5">
        <f>IFERROR(__xludf.DUMMYFUNCTION("""COMPUTED_VALUE"""),0.19092627599243855)</f>
        <v>0.190926276</v>
      </c>
      <c r="G4615" s="5">
        <f>IFERROR(__xludf.DUMMYFUNCTION("""COMPUTED_VALUE"""),0.17013232514177692)</f>
        <v>0.1701323251</v>
      </c>
      <c r="H4615" s="5">
        <f>IFERROR(__xludf.DUMMYFUNCTION("""COMPUTED_VALUE"""),0.636963696369637)</f>
        <v>0.6369636964</v>
      </c>
      <c r="I4615" s="11">
        <f>IFERROR(__xludf.DUMMYFUNCTION("""COMPUTED_VALUE"""),6014.521452145214)</f>
        <v>6014.521452</v>
      </c>
      <c r="J4615" s="10">
        <f>IFERROR(__xludf.DUMMYFUNCTION("""COMPUTED_VALUE"""),0.0)</f>
        <v>0</v>
      </c>
      <c r="K4615" s="5">
        <f>IFERROR(__xludf.DUMMYFUNCTION("""COMPUTED_VALUE"""),0.0)</f>
        <v>0</v>
      </c>
      <c r="L4615" s="10">
        <f>IFERROR(__xludf.DUMMYFUNCTION("""COMPUTED_VALUE"""),6.0)</f>
        <v>6</v>
      </c>
      <c r="M4615" s="5">
        <f>IFERROR(__xludf.DUMMYFUNCTION("""COMPUTED_VALUE"""),0.04081632653061224)</f>
        <v>0.04081632653</v>
      </c>
    </row>
    <row r="4616">
      <c r="A4616" s="10" t="str">
        <f>IFERROR(__xludf.DUMMYFUNCTION("""COMPUTED_VALUE"""),"Lilim")</f>
        <v>Lilim</v>
      </c>
      <c r="B4616" s="10">
        <f>IFERROR(__xludf.DUMMYFUNCTION("""COMPUTED_VALUE"""),571.0)</f>
        <v>571</v>
      </c>
      <c r="C4616" s="10">
        <f>IFERROR(__xludf.DUMMYFUNCTION("""COMPUTED_VALUE"""),6699.0)</f>
        <v>6699</v>
      </c>
      <c r="D4616" s="5">
        <f>IFERROR(__xludf.DUMMYFUNCTION("""COMPUTED_VALUE"""),0.3286553524804178)</f>
        <v>0.3286553525</v>
      </c>
      <c r="E4616" s="5">
        <f>IFERROR(__xludf.DUMMYFUNCTION("""COMPUTED_VALUE"""),0.11651436031331593)</f>
        <v>0.1165143603</v>
      </c>
      <c r="F4616" s="5">
        <f>IFERROR(__xludf.DUMMYFUNCTION("""COMPUTED_VALUE"""),0.2078981723237598)</f>
        <v>0.2078981723</v>
      </c>
      <c r="G4616" s="5">
        <f>IFERROR(__xludf.DUMMYFUNCTION("""COMPUTED_VALUE"""),0.1468668407310705)</f>
        <v>0.1468668407</v>
      </c>
      <c r="H4616" s="5">
        <f>IFERROR(__xludf.DUMMYFUNCTION("""COMPUTED_VALUE"""),0.5957613814756672)</f>
        <v>0.5957613815</v>
      </c>
      <c r="I4616" s="11">
        <f>IFERROR(__xludf.DUMMYFUNCTION("""COMPUTED_VALUE"""),5573.9403453689165)</f>
        <v>5573.940345</v>
      </c>
      <c r="J4616" s="10">
        <f>IFERROR(__xludf.DUMMYFUNCTION("""COMPUTED_VALUE"""),1.0)</f>
        <v>1</v>
      </c>
      <c r="K4616" s="5">
        <f>IFERROR(__xludf.DUMMYFUNCTION("""COMPUTED_VALUE"""),0.0017513134851138354)</f>
        <v>0.001751313485</v>
      </c>
      <c r="L4616" s="10">
        <f>IFERROR(__xludf.DUMMYFUNCTION("""COMPUTED_VALUE"""),0.0)</f>
        <v>0</v>
      </c>
      <c r="M4616" s="5">
        <f>IFERROR(__xludf.DUMMYFUNCTION("""COMPUTED_VALUE"""),0.0)</f>
        <v>0</v>
      </c>
    </row>
    <row r="4617">
      <c r="A4617" s="10" t="str">
        <f>IFERROR(__xludf.DUMMYFUNCTION("""COMPUTED_VALUE"""),"藤井聡太")</f>
        <v>藤井聡太</v>
      </c>
      <c r="B4617" s="10">
        <f>IFERROR(__xludf.DUMMYFUNCTION("""COMPUTED_VALUE"""),1683.0)</f>
        <v>1683</v>
      </c>
      <c r="C4617" s="10">
        <f>IFERROR(__xludf.DUMMYFUNCTION("""COMPUTED_VALUE"""),19476.0)</f>
        <v>19476</v>
      </c>
      <c r="D4617" s="5">
        <f>IFERROR(__xludf.DUMMYFUNCTION("""COMPUTED_VALUE"""),0.3736862811217895)</f>
        <v>0.3736862811</v>
      </c>
      <c r="E4617" s="5">
        <f>IFERROR(__xludf.DUMMYFUNCTION("""COMPUTED_VALUE"""),0.11650649131680998)</f>
        <v>0.1165064913</v>
      </c>
      <c r="F4617" s="5">
        <f>IFERROR(__xludf.DUMMYFUNCTION("""COMPUTED_VALUE"""),0.22789861181363458)</f>
        <v>0.2278986118</v>
      </c>
      <c r="G4617" s="5">
        <f>IFERROR(__xludf.DUMMYFUNCTION("""COMPUTED_VALUE"""),0.19103018040802563)</f>
        <v>0.1910301804</v>
      </c>
      <c r="H4617" s="5">
        <f>IFERROR(__xludf.DUMMYFUNCTION("""COMPUTED_VALUE"""),0.612577065351418)</f>
        <v>0.6125770654</v>
      </c>
      <c r="I4617" s="11">
        <f>IFERROR(__xludf.DUMMYFUNCTION("""COMPUTED_VALUE"""),5670.7768187422935)</f>
        <v>5670.776819</v>
      </c>
      <c r="J4617" s="10">
        <f>IFERROR(__xludf.DUMMYFUNCTION("""COMPUTED_VALUE"""),1.0)</f>
        <v>1</v>
      </c>
      <c r="K4617" s="5">
        <f>IFERROR(__xludf.DUMMYFUNCTION("""COMPUTED_VALUE"""),5.941770647653001E-4)</f>
        <v>0.0005941770648</v>
      </c>
      <c r="L4617" s="10">
        <f>IFERROR(__xludf.DUMMYFUNCTION("""COMPUTED_VALUE"""),1671.0)</f>
        <v>1671</v>
      </c>
      <c r="M4617" s="5">
        <f>IFERROR(__xludf.DUMMYFUNCTION("""COMPUTED_VALUE"""),0.9928698752228164)</f>
        <v>0.9928698752</v>
      </c>
    </row>
    <row r="4618">
      <c r="A4618" s="10" t="str">
        <f>IFERROR(__xludf.DUMMYFUNCTION("""COMPUTED_VALUE"""),"(「・ω・)「")</f>
        <v>(「・ω・)「</v>
      </c>
      <c r="B4618" s="10">
        <f>IFERROR(__xludf.DUMMYFUNCTION("""COMPUTED_VALUE"""),118.0)</f>
        <v>118</v>
      </c>
      <c r="C4618" s="10">
        <f>IFERROR(__xludf.DUMMYFUNCTION("""COMPUTED_VALUE"""),1354.0)</f>
        <v>1354</v>
      </c>
      <c r="D4618" s="5">
        <f>IFERROR(__xludf.DUMMYFUNCTION("""COMPUTED_VALUE"""),0.35760517799352753)</f>
        <v>0.357605178</v>
      </c>
      <c r="E4618" s="5">
        <f>IFERROR(__xludf.DUMMYFUNCTION("""COMPUTED_VALUE"""),0.11650485436893204)</f>
        <v>0.1165048544</v>
      </c>
      <c r="F4618" s="5">
        <f>IFERROR(__xludf.DUMMYFUNCTION("""COMPUTED_VALUE"""),0.19741100323624594)</f>
        <v>0.1974110032</v>
      </c>
      <c r="G4618" s="5">
        <f>IFERROR(__xludf.DUMMYFUNCTION("""COMPUTED_VALUE"""),0.16423948220064724)</f>
        <v>0.1642394822</v>
      </c>
      <c r="H4618" s="5">
        <f>IFERROR(__xludf.DUMMYFUNCTION("""COMPUTED_VALUE"""),0.5778688524590164)</f>
        <v>0.5778688525</v>
      </c>
      <c r="I4618" s="11">
        <f>IFERROR(__xludf.DUMMYFUNCTION("""COMPUTED_VALUE"""),5341.393442622951)</f>
        <v>5341.393443</v>
      </c>
      <c r="J4618" s="10">
        <f>IFERROR(__xludf.DUMMYFUNCTION("""COMPUTED_VALUE"""),1.0)</f>
        <v>1</v>
      </c>
      <c r="K4618" s="5">
        <f>IFERROR(__xludf.DUMMYFUNCTION("""COMPUTED_VALUE"""),0.00847457627118644)</f>
        <v>0.008474576271</v>
      </c>
      <c r="L4618" s="10">
        <f>IFERROR(__xludf.DUMMYFUNCTION("""COMPUTED_VALUE"""),108.0)</f>
        <v>108</v>
      </c>
      <c r="M4618" s="5">
        <f>IFERROR(__xludf.DUMMYFUNCTION("""COMPUTED_VALUE"""),0.9152542372881356)</f>
        <v>0.9152542373</v>
      </c>
    </row>
    <row r="4619">
      <c r="A4619" s="10" t="str">
        <f>IFERROR(__xludf.DUMMYFUNCTION("""COMPUTED_VALUE"""),"ラガヴーリソ２")</f>
        <v>ラガヴーリソ２</v>
      </c>
      <c r="B4619" s="10">
        <f>IFERROR(__xludf.DUMMYFUNCTION("""COMPUTED_VALUE"""),1056.0)</f>
        <v>1056</v>
      </c>
      <c r="C4619" s="10">
        <f>IFERROR(__xludf.DUMMYFUNCTION("""COMPUTED_VALUE"""),12326.0)</f>
        <v>12326</v>
      </c>
      <c r="D4619" s="5">
        <f>IFERROR(__xludf.DUMMYFUNCTION("""COMPUTED_VALUE"""),0.34250221827861577)</f>
        <v>0.3425022183</v>
      </c>
      <c r="E4619" s="5">
        <f>IFERROR(__xludf.DUMMYFUNCTION("""COMPUTED_VALUE"""),0.11650399290150842)</f>
        <v>0.1165039929</v>
      </c>
      <c r="F4619" s="5">
        <f>IFERROR(__xludf.DUMMYFUNCTION("""COMPUTED_VALUE"""),0.1994676131322094)</f>
        <v>0.1994676131</v>
      </c>
      <c r="G4619" s="5">
        <f>IFERROR(__xludf.DUMMYFUNCTION("""COMPUTED_VALUE"""),0.17125110913930788)</f>
        <v>0.1712511091</v>
      </c>
      <c r="H4619" s="5">
        <f>IFERROR(__xludf.DUMMYFUNCTION("""COMPUTED_VALUE"""),0.597864768683274)</f>
        <v>0.5978647687</v>
      </c>
      <c r="I4619" s="11">
        <f>IFERROR(__xludf.DUMMYFUNCTION("""COMPUTED_VALUE"""),5758.185053380783)</f>
        <v>5758.185053</v>
      </c>
      <c r="J4619" s="10">
        <f>IFERROR(__xludf.DUMMYFUNCTION("""COMPUTED_VALUE"""),2.0)</f>
        <v>2</v>
      </c>
      <c r="K4619" s="5">
        <f>IFERROR(__xludf.DUMMYFUNCTION("""COMPUTED_VALUE"""),0.001893939393939394)</f>
        <v>0.001893939394</v>
      </c>
      <c r="L4619" s="10">
        <f>IFERROR(__xludf.DUMMYFUNCTION("""COMPUTED_VALUE"""),956.0)</f>
        <v>956</v>
      </c>
      <c r="M4619" s="5">
        <f>IFERROR(__xludf.DUMMYFUNCTION("""COMPUTED_VALUE"""),0.9053030303030303)</f>
        <v>0.9053030303</v>
      </c>
    </row>
    <row r="4620">
      <c r="A4620" s="10" t="str">
        <f>IFERROR(__xludf.DUMMYFUNCTION("""COMPUTED_VALUE"""),"鶴田.姫子")</f>
        <v>鶴田.姫子</v>
      </c>
      <c r="B4620" s="10">
        <f>IFERROR(__xludf.DUMMYFUNCTION("""COMPUTED_VALUE"""),1503.0)</f>
        <v>1503</v>
      </c>
      <c r="C4620" s="10">
        <f>IFERROR(__xludf.DUMMYFUNCTION("""COMPUTED_VALUE"""),17597.0)</f>
        <v>17597</v>
      </c>
      <c r="D4620" s="5">
        <f>IFERROR(__xludf.DUMMYFUNCTION("""COMPUTED_VALUE"""),0.31545917733316764)</f>
        <v>0.3154591773</v>
      </c>
      <c r="E4620" s="5">
        <f>IFERROR(__xludf.DUMMYFUNCTION("""COMPUTED_VALUE"""),0.11650304461289922)</f>
        <v>0.1165030446</v>
      </c>
      <c r="F4620" s="5">
        <f>IFERROR(__xludf.DUMMYFUNCTION("""COMPUTED_VALUE"""),0.19174847769355038)</f>
        <v>0.1917484777</v>
      </c>
      <c r="G4620" s="5">
        <f>IFERROR(__xludf.DUMMYFUNCTION("""COMPUTED_VALUE"""),0.15502671803156456)</f>
        <v>0.155026718</v>
      </c>
      <c r="H4620" s="5">
        <f>IFERROR(__xludf.DUMMYFUNCTION("""COMPUTED_VALUE"""),0.5978613091380428)</f>
        <v>0.5978613091</v>
      </c>
      <c r="I4620" s="11">
        <f>IFERROR(__xludf.DUMMYFUNCTION("""COMPUTED_VALUE"""),5761.665586519766)</f>
        <v>5761.665587</v>
      </c>
      <c r="J4620" s="10">
        <f>IFERROR(__xludf.DUMMYFUNCTION("""COMPUTED_VALUE"""),1.0)</f>
        <v>1</v>
      </c>
      <c r="K4620" s="5">
        <f>IFERROR(__xludf.DUMMYFUNCTION("""COMPUTED_VALUE"""),6.653359946773121E-4)</f>
        <v>0.0006653359947</v>
      </c>
      <c r="L4620" s="10">
        <f>IFERROR(__xludf.DUMMYFUNCTION("""COMPUTED_VALUE"""),0.0)</f>
        <v>0</v>
      </c>
      <c r="M4620" s="5">
        <f>IFERROR(__xludf.DUMMYFUNCTION("""COMPUTED_VALUE"""),0.0)</f>
        <v>0</v>
      </c>
    </row>
    <row r="4621">
      <c r="A4621" s="10" t="str">
        <f>IFERROR(__xludf.DUMMYFUNCTION("""COMPUTED_VALUE"""),"白バラコーヒー")</f>
        <v>白バラコーヒー</v>
      </c>
      <c r="B4621" s="10">
        <f>IFERROR(__xludf.DUMMYFUNCTION("""COMPUTED_VALUE"""),223.0)</f>
        <v>223</v>
      </c>
      <c r="C4621" s="10">
        <f>IFERROR(__xludf.DUMMYFUNCTION("""COMPUTED_VALUE"""),2515.0)</f>
        <v>2515</v>
      </c>
      <c r="D4621" s="5">
        <f>IFERROR(__xludf.DUMMYFUNCTION("""COMPUTED_VALUE"""),0.3075916230366492)</f>
        <v>0.307591623</v>
      </c>
      <c r="E4621" s="5">
        <f>IFERROR(__xludf.DUMMYFUNCTION("""COMPUTED_VALUE"""),0.11649214659685864)</f>
        <v>0.1164921466</v>
      </c>
      <c r="F4621" s="5">
        <f>IFERROR(__xludf.DUMMYFUNCTION("""COMPUTED_VALUE"""),0.21553228621291448)</f>
        <v>0.2155322862</v>
      </c>
      <c r="G4621" s="5">
        <f>IFERROR(__xludf.DUMMYFUNCTION("""COMPUTED_VALUE"""),0.19240837696335078)</f>
        <v>0.192408377</v>
      </c>
      <c r="H4621" s="5">
        <f>IFERROR(__xludf.DUMMYFUNCTION("""COMPUTED_VALUE"""),0.5647773279352226)</f>
        <v>0.5647773279</v>
      </c>
      <c r="I4621" s="11">
        <f>IFERROR(__xludf.DUMMYFUNCTION("""COMPUTED_VALUE"""),6095.344129554656)</f>
        <v>6095.34413</v>
      </c>
      <c r="J4621" s="10">
        <f>IFERROR(__xludf.DUMMYFUNCTION("""COMPUTED_VALUE"""),2.0)</f>
        <v>2</v>
      </c>
      <c r="K4621" s="5">
        <f>IFERROR(__xludf.DUMMYFUNCTION("""COMPUTED_VALUE"""),0.008968609865470852)</f>
        <v>0.008968609865</v>
      </c>
      <c r="L4621" s="10">
        <f>IFERROR(__xludf.DUMMYFUNCTION("""COMPUTED_VALUE"""),212.0)</f>
        <v>212</v>
      </c>
      <c r="M4621" s="5">
        <f>IFERROR(__xludf.DUMMYFUNCTION("""COMPUTED_VALUE"""),0.9506726457399103)</f>
        <v>0.9506726457</v>
      </c>
    </row>
    <row r="4622">
      <c r="A4622" s="10" t="str">
        <f>IFERROR(__xludf.DUMMYFUNCTION("""COMPUTED_VALUE"""),"mineral2")</f>
        <v>mineral2</v>
      </c>
      <c r="B4622" s="10">
        <f>IFERROR(__xludf.DUMMYFUNCTION("""COMPUTED_VALUE"""),637.0)</f>
        <v>637</v>
      </c>
      <c r="C4622" s="10">
        <f>IFERROR(__xludf.DUMMYFUNCTION("""COMPUTED_VALUE"""),7393.0)</f>
        <v>7393</v>
      </c>
      <c r="D4622" s="5">
        <f>IFERROR(__xludf.DUMMYFUNCTION("""COMPUTED_VALUE"""),0.27886323268206037)</f>
        <v>0.2788632327</v>
      </c>
      <c r="E4622" s="5">
        <f>IFERROR(__xludf.DUMMYFUNCTION("""COMPUTED_VALUE"""),0.1164890467732386)</f>
        <v>0.1164890468</v>
      </c>
      <c r="F4622" s="5">
        <f>IFERROR(__xludf.DUMMYFUNCTION("""COMPUTED_VALUE"""),0.20367081113084665)</f>
        <v>0.2036708111</v>
      </c>
      <c r="G4622" s="5">
        <f>IFERROR(__xludf.DUMMYFUNCTION("""COMPUTED_VALUE"""),0.18738898756660746)</f>
        <v>0.1873889876</v>
      </c>
      <c r="H4622" s="5">
        <f>IFERROR(__xludf.DUMMYFUNCTION("""COMPUTED_VALUE"""),0.6104651162790697)</f>
        <v>0.6104651163</v>
      </c>
      <c r="I4622" s="11">
        <f>IFERROR(__xludf.DUMMYFUNCTION("""COMPUTED_VALUE"""),6023.90988372093)</f>
        <v>6023.909884</v>
      </c>
      <c r="J4622" s="10">
        <f>IFERROR(__xludf.DUMMYFUNCTION("""COMPUTED_VALUE"""),2.0)</f>
        <v>2</v>
      </c>
      <c r="K4622" s="5">
        <f>IFERROR(__xludf.DUMMYFUNCTION("""COMPUTED_VALUE"""),0.0031397174254317113)</f>
        <v>0.003139717425</v>
      </c>
      <c r="L4622" s="10">
        <f>IFERROR(__xludf.DUMMYFUNCTION("""COMPUTED_VALUE"""),637.0)</f>
        <v>637</v>
      </c>
      <c r="M4622" s="5">
        <f>IFERROR(__xludf.DUMMYFUNCTION("""COMPUTED_VALUE"""),1.0)</f>
        <v>1</v>
      </c>
    </row>
    <row r="4623">
      <c r="A4623" s="10" t="str">
        <f>IFERROR(__xludf.DUMMYFUNCTION("""COMPUTED_VALUE"""),"-豊口めぐみ-")</f>
        <v>-豊口めぐみ-</v>
      </c>
      <c r="B4623" s="10">
        <f>IFERROR(__xludf.DUMMYFUNCTION("""COMPUTED_VALUE"""),684.0)</f>
        <v>684</v>
      </c>
      <c r="C4623" s="10">
        <f>IFERROR(__xludf.DUMMYFUNCTION("""COMPUTED_VALUE"""),8136.0)</f>
        <v>8136</v>
      </c>
      <c r="D4623" s="5">
        <f>IFERROR(__xludf.DUMMYFUNCTION("""COMPUTED_VALUE"""),0.36835748792270534)</f>
        <v>0.3683574879</v>
      </c>
      <c r="E4623" s="5">
        <f>IFERROR(__xludf.DUMMYFUNCTION("""COMPUTED_VALUE"""),0.11647879763821793)</f>
        <v>0.1164787976</v>
      </c>
      <c r="F4623" s="5">
        <f>IFERROR(__xludf.DUMMYFUNCTION("""COMPUTED_VALUE"""),0.21859903381642512)</f>
        <v>0.2185990338</v>
      </c>
      <c r="G4623" s="5">
        <f>IFERROR(__xludf.DUMMYFUNCTION("""COMPUTED_VALUE"""),0.17726784755770264)</f>
        <v>0.1772678476</v>
      </c>
      <c r="H4623" s="5">
        <f>IFERROR(__xludf.DUMMYFUNCTION("""COMPUTED_VALUE"""),0.6022099447513812)</f>
        <v>0.6022099448</v>
      </c>
      <c r="I4623" s="11">
        <f>IFERROR(__xludf.DUMMYFUNCTION("""COMPUTED_VALUE"""),5734.192756292204)</f>
        <v>5734.192756</v>
      </c>
      <c r="J4623" s="10">
        <f>IFERROR(__xludf.DUMMYFUNCTION("""COMPUTED_VALUE"""),2.0)</f>
        <v>2</v>
      </c>
      <c r="K4623" s="5">
        <f>IFERROR(__xludf.DUMMYFUNCTION("""COMPUTED_VALUE"""),0.0029239766081871343)</f>
        <v>0.002923976608</v>
      </c>
      <c r="L4623" s="10">
        <f>IFERROR(__xludf.DUMMYFUNCTION("""COMPUTED_VALUE"""),0.0)</f>
        <v>0</v>
      </c>
      <c r="M4623" s="5">
        <f>IFERROR(__xludf.DUMMYFUNCTION("""COMPUTED_VALUE"""),0.0)</f>
        <v>0</v>
      </c>
    </row>
    <row r="4624">
      <c r="A4624" s="10" t="str">
        <f>IFERROR(__xludf.DUMMYFUNCTION("""COMPUTED_VALUE"""),"藤田靖子プロ")</f>
        <v>藤田靖子プロ</v>
      </c>
      <c r="B4624" s="10">
        <f>IFERROR(__xludf.DUMMYFUNCTION("""COMPUTED_VALUE"""),514.0)</f>
        <v>514</v>
      </c>
      <c r="C4624" s="10">
        <f>IFERROR(__xludf.DUMMYFUNCTION("""COMPUTED_VALUE"""),6000.0)</f>
        <v>6000</v>
      </c>
      <c r="D4624" s="5">
        <f>IFERROR(__xludf.DUMMYFUNCTION("""COMPUTED_VALUE"""),0.2980313525337222)</f>
        <v>0.2980313525</v>
      </c>
      <c r="E4624" s="5">
        <f>IFERROR(__xludf.DUMMYFUNCTION("""COMPUTED_VALUE"""),0.11647830842143639)</f>
        <v>0.1164783084</v>
      </c>
      <c r="F4624" s="5">
        <f>IFERROR(__xludf.DUMMYFUNCTION("""COMPUTED_VALUE"""),0.2132701421800948)</f>
        <v>0.2132701422</v>
      </c>
      <c r="G4624" s="5">
        <f>IFERROR(__xludf.DUMMYFUNCTION("""COMPUTED_VALUE"""),0.17480860371855633)</f>
        <v>0.1748086037</v>
      </c>
      <c r="H4624" s="5">
        <f>IFERROR(__xludf.DUMMYFUNCTION("""COMPUTED_VALUE"""),0.5752136752136752)</f>
        <v>0.5752136752</v>
      </c>
      <c r="I4624" s="11">
        <f>IFERROR(__xludf.DUMMYFUNCTION("""COMPUTED_VALUE"""),5908.803418803419)</f>
        <v>5908.803419</v>
      </c>
      <c r="J4624" s="10">
        <f>IFERROR(__xludf.DUMMYFUNCTION("""COMPUTED_VALUE"""),1.0)</f>
        <v>1</v>
      </c>
      <c r="K4624" s="5">
        <f>IFERROR(__xludf.DUMMYFUNCTION("""COMPUTED_VALUE"""),0.0019455252918287938)</f>
        <v>0.001945525292</v>
      </c>
      <c r="L4624" s="10">
        <f>IFERROR(__xludf.DUMMYFUNCTION("""COMPUTED_VALUE"""),0.0)</f>
        <v>0</v>
      </c>
      <c r="M4624" s="5">
        <f>IFERROR(__xludf.DUMMYFUNCTION("""COMPUTED_VALUE"""),0.0)</f>
        <v>0</v>
      </c>
    </row>
    <row r="4625">
      <c r="A4625" s="10" t="str">
        <f>IFERROR(__xludf.DUMMYFUNCTION("""COMPUTED_VALUE"""),"早大ダメ修士")</f>
        <v>早大ダメ修士</v>
      </c>
      <c r="B4625" s="10">
        <f>IFERROR(__xludf.DUMMYFUNCTION("""COMPUTED_VALUE"""),1076.0)</f>
        <v>1076</v>
      </c>
      <c r="C4625" s="10">
        <f>IFERROR(__xludf.DUMMYFUNCTION("""COMPUTED_VALUE"""),12383.0)</f>
        <v>12383</v>
      </c>
      <c r="D4625" s="5">
        <f>IFERROR(__xludf.DUMMYFUNCTION("""COMPUTED_VALUE"""),0.3152914123993986)</f>
        <v>0.3152914124</v>
      </c>
      <c r="E4625" s="5">
        <f>IFERROR(__xludf.DUMMYFUNCTION("""COMPUTED_VALUE"""),0.11647651897054921)</f>
        <v>0.116476519</v>
      </c>
      <c r="F4625" s="5">
        <f>IFERROR(__xludf.DUMMYFUNCTION("""COMPUTED_VALUE"""),0.2035906960290086)</f>
        <v>0.203590696</v>
      </c>
      <c r="G4625" s="5">
        <f>IFERROR(__xludf.DUMMYFUNCTION("""COMPUTED_VALUE"""),0.1789157159281861)</f>
        <v>0.1789157159</v>
      </c>
      <c r="H4625" s="5">
        <f>IFERROR(__xludf.DUMMYFUNCTION("""COMPUTED_VALUE"""),0.5920938314509122)</f>
        <v>0.5920938315</v>
      </c>
      <c r="I4625" s="11">
        <f>IFERROR(__xludf.DUMMYFUNCTION("""COMPUTED_VALUE"""),5877.932232841008)</f>
        <v>5877.932233</v>
      </c>
      <c r="J4625" s="10">
        <f>IFERROR(__xludf.DUMMYFUNCTION("""COMPUTED_VALUE"""),6.0)</f>
        <v>6</v>
      </c>
      <c r="K4625" s="5">
        <f>IFERROR(__xludf.DUMMYFUNCTION("""COMPUTED_VALUE"""),0.0055762081784386614)</f>
        <v>0.005576208178</v>
      </c>
      <c r="L4625" s="10">
        <f>IFERROR(__xludf.DUMMYFUNCTION("""COMPUTED_VALUE"""),1076.0)</f>
        <v>1076</v>
      </c>
      <c r="M4625" s="5">
        <f>IFERROR(__xludf.DUMMYFUNCTION("""COMPUTED_VALUE"""),1.0)</f>
        <v>1</v>
      </c>
    </row>
    <row r="4626">
      <c r="A4626" s="10" t="str">
        <f>IFERROR(__xludf.DUMMYFUNCTION("""COMPUTED_VALUE"""),"light98")</f>
        <v>light98</v>
      </c>
      <c r="B4626" s="10">
        <f>IFERROR(__xludf.DUMMYFUNCTION("""COMPUTED_VALUE"""),339.0)</f>
        <v>339</v>
      </c>
      <c r="C4626" s="10">
        <f>IFERROR(__xludf.DUMMYFUNCTION("""COMPUTED_VALUE"""),3988.0)</f>
        <v>3988</v>
      </c>
      <c r="D4626" s="5">
        <f>IFERROR(__xludf.DUMMYFUNCTION("""COMPUTED_VALUE"""),0.3025486434639627)</f>
        <v>0.3025486435</v>
      </c>
      <c r="E4626" s="5">
        <f>IFERROR(__xludf.DUMMYFUNCTION("""COMPUTED_VALUE"""),0.11647026582625376)</f>
        <v>0.1164702658</v>
      </c>
      <c r="F4626" s="5">
        <f>IFERROR(__xludf.DUMMYFUNCTION("""COMPUTED_VALUE"""),0.18690052069060017)</f>
        <v>0.1869005207</v>
      </c>
      <c r="G4626" s="5">
        <f>IFERROR(__xludf.DUMMYFUNCTION("""COMPUTED_VALUE"""),0.18936694984927377)</f>
        <v>0.1893669498</v>
      </c>
      <c r="H4626" s="5">
        <f>IFERROR(__xludf.DUMMYFUNCTION("""COMPUTED_VALUE"""),0.5733137829912024)</f>
        <v>0.573313783</v>
      </c>
      <c r="I4626" s="11">
        <f>IFERROR(__xludf.DUMMYFUNCTION("""COMPUTED_VALUE"""),6284.457478005865)</f>
        <v>6284.457478</v>
      </c>
      <c r="J4626" s="10">
        <f>IFERROR(__xludf.DUMMYFUNCTION("""COMPUTED_VALUE"""),1.0)</f>
        <v>1</v>
      </c>
      <c r="K4626" s="5">
        <f>IFERROR(__xludf.DUMMYFUNCTION("""COMPUTED_VALUE"""),0.0029498525073746312)</f>
        <v>0.002949852507</v>
      </c>
      <c r="L4626" s="10">
        <f>IFERROR(__xludf.DUMMYFUNCTION("""COMPUTED_VALUE"""),339.0)</f>
        <v>339</v>
      </c>
      <c r="M4626" s="5">
        <f>IFERROR(__xludf.DUMMYFUNCTION("""COMPUTED_VALUE"""),1.0)</f>
        <v>1</v>
      </c>
    </row>
    <row r="4627">
      <c r="A4627" s="10" t="str">
        <f>IFERROR(__xludf.DUMMYFUNCTION("""COMPUTED_VALUE"""),"人生フルゼンツ")</f>
        <v>人生フルゼンツ</v>
      </c>
      <c r="B4627" s="10">
        <f>IFERROR(__xludf.DUMMYFUNCTION("""COMPUTED_VALUE"""),3429.0)</f>
        <v>3429</v>
      </c>
      <c r="C4627" s="10">
        <f>IFERROR(__xludf.DUMMYFUNCTION("""COMPUTED_VALUE"""),40085.0)</f>
        <v>40085</v>
      </c>
      <c r="D4627" s="5">
        <f>IFERROR(__xludf.DUMMYFUNCTION("""COMPUTED_VALUE"""),0.35483958969882146)</f>
        <v>0.3548395897</v>
      </c>
      <c r="E4627" s="5">
        <f>IFERROR(__xludf.DUMMYFUNCTION("""COMPUTED_VALUE"""),0.11646115233522479)</f>
        <v>0.1164611523</v>
      </c>
      <c r="F4627" s="5">
        <f>IFERROR(__xludf.DUMMYFUNCTION("""COMPUTED_VALUE"""),0.21971846355303362)</f>
        <v>0.2197184636</v>
      </c>
      <c r="G4627" s="5">
        <f>IFERROR(__xludf.DUMMYFUNCTION("""COMPUTED_VALUE"""),0.1677487996508075)</f>
        <v>0.1677487997</v>
      </c>
      <c r="H4627" s="5">
        <f>IFERROR(__xludf.DUMMYFUNCTION("""COMPUTED_VALUE"""),0.5905140302955053)</f>
        <v>0.5905140303</v>
      </c>
      <c r="I4627" s="11">
        <f>IFERROR(__xludf.DUMMYFUNCTION("""COMPUTED_VALUE"""),5389.967717904147)</f>
        <v>5389.967718</v>
      </c>
      <c r="J4627" s="10">
        <f>IFERROR(__xludf.DUMMYFUNCTION("""COMPUTED_VALUE"""),5.0)</f>
        <v>5</v>
      </c>
      <c r="K4627" s="5">
        <f>IFERROR(__xludf.DUMMYFUNCTION("""COMPUTED_VALUE"""),0.0014581510644502771)</f>
        <v>0.001458151064</v>
      </c>
      <c r="L4627" s="10">
        <f>IFERROR(__xludf.DUMMYFUNCTION("""COMPUTED_VALUE"""),3429.0)</f>
        <v>3429</v>
      </c>
      <c r="M4627" s="5">
        <f>IFERROR(__xludf.DUMMYFUNCTION("""COMPUTED_VALUE"""),1.0)</f>
        <v>1</v>
      </c>
    </row>
    <row r="4628">
      <c r="A4628" s="10" t="str">
        <f>IFERROR(__xludf.DUMMYFUNCTION("""COMPUTED_VALUE"""),"Darui")</f>
        <v>Darui</v>
      </c>
      <c r="B4628" s="10">
        <f>IFERROR(__xludf.DUMMYFUNCTION("""COMPUTED_VALUE"""),673.0)</f>
        <v>673</v>
      </c>
      <c r="C4628" s="10">
        <f>IFERROR(__xludf.DUMMYFUNCTION("""COMPUTED_VALUE"""),7826.0)</f>
        <v>7826</v>
      </c>
      <c r="D4628" s="5">
        <f>IFERROR(__xludf.DUMMYFUNCTION("""COMPUTED_VALUE"""),0.33482454914022086)</f>
        <v>0.3348245491</v>
      </c>
      <c r="E4628" s="5">
        <f>IFERROR(__xludf.DUMMYFUNCTION("""COMPUTED_VALUE"""),0.11645463441912485)</f>
        <v>0.1164546344</v>
      </c>
      <c r="F4628" s="5">
        <f>IFERROR(__xludf.DUMMYFUNCTION("""COMPUTED_VALUE"""),0.2070459946875437)</f>
        <v>0.2070459947</v>
      </c>
      <c r="G4628" s="5">
        <f>IFERROR(__xludf.DUMMYFUNCTION("""COMPUTED_VALUE"""),0.170977212358451)</f>
        <v>0.1709772124</v>
      </c>
      <c r="H4628" s="5">
        <f>IFERROR(__xludf.DUMMYFUNCTION("""COMPUTED_VALUE"""),0.5955435516542876)</f>
        <v>0.5955435517</v>
      </c>
      <c r="I4628" s="11">
        <f>IFERROR(__xludf.DUMMYFUNCTION("""COMPUTED_VALUE"""),5719.108710330857)</f>
        <v>5719.10871</v>
      </c>
      <c r="J4628" s="10">
        <f>IFERROR(__xludf.DUMMYFUNCTION("""COMPUTED_VALUE"""),2.0)</f>
        <v>2</v>
      </c>
      <c r="K4628" s="5">
        <f>IFERROR(__xludf.DUMMYFUNCTION("""COMPUTED_VALUE"""),0.0029717682020802376)</f>
        <v>0.002971768202</v>
      </c>
      <c r="L4628" s="10">
        <f>IFERROR(__xludf.DUMMYFUNCTION("""COMPUTED_VALUE"""),377.0)</f>
        <v>377</v>
      </c>
      <c r="M4628" s="5">
        <f>IFERROR(__xludf.DUMMYFUNCTION("""COMPUTED_VALUE"""),0.5601783060921248)</f>
        <v>0.5601783061</v>
      </c>
    </row>
    <row r="4629">
      <c r="A4629" s="10" t="str">
        <f>IFERROR(__xludf.DUMMYFUNCTION("""COMPUTED_VALUE"""),"jasmine3")</f>
        <v>jasmine3</v>
      </c>
      <c r="B4629" s="10">
        <f>IFERROR(__xludf.DUMMYFUNCTION("""COMPUTED_VALUE"""),212.0)</f>
        <v>212</v>
      </c>
      <c r="C4629" s="10">
        <f>IFERROR(__xludf.DUMMYFUNCTION("""COMPUTED_VALUE"""),2419.0)</f>
        <v>2419</v>
      </c>
      <c r="D4629" s="5">
        <f>IFERROR(__xludf.DUMMYFUNCTION("""COMPUTED_VALUE"""),0.3357498867240598)</f>
        <v>0.3357498867</v>
      </c>
      <c r="E4629" s="5">
        <f>IFERROR(__xludf.DUMMYFUNCTION("""COMPUTED_VALUE"""),0.11644766651563208)</f>
        <v>0.1164476665</v>
      </c>
      <c r="F4629" s="5">
        <f>IFERROR(__xludf.DUMMYFUNCTION("""COMPUTED_VALUE"""),0.1893973719981876)</f>
        <v>0.189397372</v>
      </c>
      <c r="G4629" s="5">
        <f>IFERROR(__xludf.DUMMYFUNCTION("""COMPUTED_VALUE"""),0.13457181694608064)</f>
        <v>0.1345718169</v>
      </c>
      <c r="H4629" s="5">
        <f>IFERROR(__xludf.DUMMYFUNCTION("""COMPUTED_VALUE"""),0.631578947368421)</f>
        <v>0.6315789474</v>
      </c>
      <c r="I4629" s="11">
        <f>IFERROR(__xludf.DUMMYFUNCTION("""COMPUTED_VALUE"""),5545.454545454545)</f>
        <v>5545.454545</v>
      </c>
      <c r="J4629" s="10">
        <f>IFERROR(__xludf.DUMMYFUNCTION("""COMPUTED_VALUE"""),1.0)</f>
        <v>1</v>
      </c>
      <c r="K4629" s="5">
        <f>IFERROR(__xludf.DUMMYFUNCTION("""COMPUTED_VALUE"""),0.0047169811320754715)</f>
        <v>0.004716981132</v>
      </c>
      <c r="L4629" s="10">
        <f>IFERROR(__xludf.DUMMYFUNCTION("""COMPUTED_VALUE"""),212.0)</f>
        <v>212</v>
      </c>
      <c r="M4629" s="5">
        <f>IFERROR(__xludf.DUMMYFUNCTION("""COMPUTED_VALUE"""),1.0)</f>
        <v>1</v>
      </c>
    </row>
    <row r="4630">
      <c r="A4630" s="10" t="str">
        <f>IFERROR(__xludf.DUMMYFUNCTION("""COMPUTED_VALUE"""),"Eldis_C")</f>
        <v>Eldis_C</v>
      </c>
      <c r="B4630" s="10">
        <f>IFERROR(__xludf.DUMMYFUNCTION("""COMPUTED_VALUE"""),161.0)</f>
        <v>161</v>
      </c>
      <c r="C4630" s="10">
        <f>IFERROR(__xludf.DUMMYFUNCTION("""COMPUTED_VALUE"""),1913.0)</f>
        <v>1913</v>
      </c>
      <c r="D4630" s="5">
        <f>IFERROR(__xludf.DUMMYFUNCTION("""COMPUTED_VALUE"""),0.329337899543379)</f>
        <v>0.3293378995</v>
      </c>
      <c r="E4630" s="5">
        <f>IFERROR(__xludf.DUMMYFUNCTION("""COMPUTED_VALUE"""),0.11643835616438356)</f>
        <v>0.1164383562</v>
      </c>
      <c r="F4630" s="5">
        <f>IFERROR(__xludf.DUMMYFUNCTION("""COMPUTED_VALUE"""),0.18550228310502284)</f>
        <v>0.1855022831</v>
      </c>
      <c r="G4630" s="5">
        <f>IFERROR(__xludf.DUMMYFUNCTION("""COMPUTED_VALUE"""),0.14440639269406394)</f>
        <v>0.1444063927</v>
      </c>
      <c r="H4630" s="5">
        <f>IFERROR(__xludf.DUMMYFUNCTION("""COMPUTED_VALUE"""),0.5661538461538461)</f>
        <v>0.5661538462</v>
      </c>
      <c r="I4630" s="11">
        <f>IFERROR(__xludf.DUMMYFUNCTION("""COMPUTED_VALUE"""),5324.307692307692)</f>
        <v>5324.307692</v>
      </c>
      <c r="J4630" s="10">
        <f>IFERROR(__xludf.DUMMYFUNCTION("""COMPUTED_VALUE"""),1.0)</f>
        <v>1</v>
      </c>
      <c r="K4630" s="5">
        <f>IFERROR(__xludf.DUMMYFUNCTION("""COMPUTED_VALUE"""),0.006211180124223602)</f>
        <v>0.006211180124</v>
      </c>
      <c r="L4630" s="10">
        <f>IFERROR(__xludf.DUMMYFUNCTION("""COMPUTED_VALUE"""),0.0)</f>
        <v>0</v>
      </c>
      <c r="M4630" s="5">
        <f>IFERROR(__xludf.DUMMYFUNCTION("""COMPUTED_VALUE"""),0.0)</f>
        <v>0</v>
      </c>
    </row>
    <row r="4631">
      <c r="A4631" s="10" t="str">
        <f>IFERROR(__xludf.DUMMYFUNCTION("""COMPUTED_VALUE"""),"青木茂")</f>
        <v>青木茂</v>
      </c>
      <c r="B4631" s="10">
        <f>IFERROR(__xludf.DUMMYFUNCTION("""COMPUTED_VALUE"""),210.0)</f>
        <v>210</v>
      </c>
      <c r="C4631" s="10">
        <f>IFERROR(__xludf.DUMMYFUNCTION("""COMPUTED_VALUE"""),2443.0)</f>
        <v>2443</v>
      </c>
      <c r="D4631" s="5">
        <f>IFERROR(__xludf.DUMMYFUNCTION("""COMPUTED_VALUE"""),0.29198387819077476)</f>
        <v>0.2919838782</v>
      </c>
      <c r="E4631" s="5">
        <f>IFERROR(__xludf.DUMMYFUNCTION("""COMPUTED_VALUE"""),0.11643528884908196)</f>
        <v>0.1164352888</v>
      </c>
      <c r="F4631" s="5">
        <f>IFERROR(__xludf.DUMMYFUNCTION("""COMPUTED_VALUE"""),0.19704433497536947)</f>
        <v>0.197044335</v>
      </c>
      <c r="G4631" s="5">
        <f>IFERROR(__xludf.DUMMYFUNCTION("""COMPUTED_VALUE"""),0.15629198387819077)</f>
        <v>0.1562919839</v>
      </c>
      <c r="H4631" s="5">
        <f>IFERROR(__xludf.DUMMYFUNCTION("""COMPUTED_VALUE"""),0.5818181818181818)</f>
        <v>0.5818181818</v>
      </c>
      <c r="I4631" s="11">
        <f>IFERROR(__xludf.DUMMYFUNCTION("""COMPUTED_VALUE"""),5980.909090909091)</f>
        <v>5980.909091</v>
      </c>
      <c r="J4631" s="10">
        <f>IFERROR(__xludf.DUMMYFUNCTION("""COMPUTED_VALUE"""),1.0)</f>
        <v>1</v>
      </c>
      <c r="K4631" s="5">
        <f>IFERROR(__xludf.DUMMYFUNCTION("""COMPUTED_VALUE"""),0.004761904761904762)</f>
        <v>0.004761904762</v>
      </c>
      <c r="L4631" s="10">
        <f>IFERROR(__xludf.DUMMYFUNCTION("""COMPUTED_VALUE"""),207.0)</f>
        <v>207</v>
      </c>
      <c r="M4631" s="5">
        <f>IFERROR(__xludf.DUMMYFUNCTION("""COMPUTED_VALUE"""),0.9857142857142858)</f>
        <v>0.9857142857</v>
      </c>
    </row>
    <row r="4632">
      <c r="A4632" s="10" t="str">
        <f>IFERROR(__xludf.DUMMYFUNCTION("""COMPUTED_VALUE"""),"妖精の尾巴")</f>
        <v>妖精の尾巴</v>
      </c>
      <c r="B4632" s="10">
        <f>IFERROR(__xludf.DUMMYFUNCTION("""COMPUTED_VALUE"""),250.0)</f>
        <v>250</v>
      </c>
      <c r="C4632" s="10">
        <f>IFERROR(__xludf.DUMMYFUNCTION("""COMPUTED_VALUE"""),2947.0)</f>
        <v>2947</v>
      </c>
      <c r="D4632" s="5">
        <f>IFERROR(__xludf.DUMMYFUNCTION("""COMPUTED_VALUE"""),0.3244345569150908)</f>
        <v>0.3244345569</v>
      </c>
      <c r="E4632" s="5">
        <f>IFERROR(__xludf.DUMMYFUNCTION("""COMPUTED_VALUE"""),0.1164256581386726)</f>
        <v>0.1164256581</v>
      </c>
      <c r="F4632" s="5">
        <f>IFERROR(__xludf.DUMMYFUNCTION("""COMPUTED_VALUE"""),0.20689655172413793)</f>
        <v>0.2068965517</v>
      </c>
      <c r="G4632" s="5">
        <f>IFERROR(__xludf.DUMMYFUNCTION("""COMPUTED_VALUE"""),0.15350389321468297)</f>
        <v>0.1535038932</v>
      </c>
      <c r="H4632" s="5">
        <f>IFERROR(__xludf.DUMMYFUNCTION("""COMPUTED_VALUE"""),0.5931899641577061)</f>
        <v>0.5931899642</v>
      </c>
      <c r="I4632" s="11">
        <f>IFERROR(__xludf.DUMMYFUNCTION("""COMPUTED_VALUE"""),5586.021505376344)</f>
        <v>5586.021505</v>
      </c>
      <c r="J4632" s="10">
        <f>IFERROR(__xludf.DUMMYFUNCTION("""COMPUTED_VALUE"""),0.0)</f>
        <v>0</v>
      </c>
      <c r="K4632" s="5">
        <f>IFERROR(__xludf.DUMMYFUNCTION("""COMPUTED_VALUE"""),0.0)</f>
        <v>0</v>
      </c>
      <c r="L4632" s="10">
        <f>IFERROR(__xludf.DUMMYFUNCTION("""COMPUTED_VALUE"""),7.0)</f>
        <v>7</v>
      </c>
      <c r="M4632" s="5">
        <f>IFERROR(__xludf.DUMMYFUNCTION("""COMPUTED_VALUE"""),0.028)</f>
        <v>0.028</v>
      </c>
    </row>
    <row r="4633">
      <c r="A4633" s="10" t="str">
        <f>IFERROR(__xludf.DUMMYFUNCTION("""COMPUTED_VALUE"""),"のちゆん")</f>
        <v>のちゆん</v>
      </c>
      <c r="B4633" s="10">
        <f>IFERROR(__xludf.DUMMYFUNCTION("""COMPUTED_VALUE"""),599.0)</f>
        <v>599</v>
      </c>
      <c r="C4633" s="10">
        <f>IFERROR(__xludf.DUMMYFUNCTION("""COMPUTED_VALUE"""),7110.0)</f>
        <v>7110</v>
      </c>
      <c r="D4633" s="5">
        <f>IFERROR(__xludf.DUMMYFUNCTION("""COMPUTED_VALUE"""),0.32084165258792813)</f>
        <v>0.3208416526</v>
      </c>
      <c r="E4633" s="5">
        <f>IFERROR(__xludf.DUMMYFUNCTION("""COMPUTED_VALUE"""),0.1164183689141453)</f>
        <v>0.1164183689</v>
      </c>
      <c r="F4633" s="5">
        <f>IFERROR(__xludf.DUMMYFUNCTION("""COMPUTED_VALUE"""),0.20657349101520503)</f>
        <v>0.206573491</v>
      </c>
      <c r="G4633" s="5">
        <f>IFERROR(__xludf.DUMMYFUNCTION("""COMPUTED_VALUE"""),0.1588081707878974)</f>
        <v>0.1588081708</v>
      </c>
      <c r="H4633" s="5">
        <f>IFERROR(__xludf.DUMMYFUNCTION("""COMPUTED_VALUE"""),0.5828996282527881)</f>
        <v>0.5828996283</v>
      </c>
      <c r="I4633" s="11">
        <f>IFERROR(__xludf.DUMMYFUNCTION("""COMPUTED_VALUE"""),5513.754646840149)</f>
        <v>5513.754647</v>
      </c>
      <c r="J4633" s="10">
        <f>IFERROR(__xludf.DUMMYFUNCTION("""COMPUTED_VALUE"""),1.0)</f>
        <v>1</v>
      </c>
      <c r="K4633" s="5">
        <f>IFERROR(__xludf.DUMMYFUNCTION("""COMPUTED_VALUE"""),0.001669449081803005)</f>
        <v>0.001669449082</v>
      </c>
      <c r="L4633" s="10">
        <f>IFERROR(__xludf.DUMMYFUNCTION("""COMPUTED_VALUE"""),280.0)</f>
        <v>280</v>
      </c>
      <c r="M4633" s="5">
        <f>IFERROR(__xludf.DUMMYFUNCTION("""COMPUTED_VALUE"""),0.4674457429048414)</f>
        <v>0.4674457429</v>
      </c>
    </row>
    <row r="4634">
      <c r="A4634" s="10" t="str">
        <f>IFERROR(__xludf.DUMMYFUNCTION("""COMPUTED_VALUE"""),"aress")</f>
        <v>aress</v>
      </c>
      <c r="B4634" s="10">
        <f>IFERROR(__xludf.DUMMYFUNCTION("""COMPUTED_VALUE"""),114.0)</f>
        <v>114</v>
      </c>
      <c r="C4634" s="10">
        <f>IFERROR(__xludf.DUMMYFUNCTION("""COMPUTED_VALUE"""),1351.0)</f>
        <v>1351</v>
      </c>
      <c r="D4634" s="5">
        <f>IFERROR(__xludf.DUMMYFUNCTION("""COMPUTED_VALUE"""),0.42926434923201295)</f>
        <v>0.4292643492</v>
      </c>
      <c r="E4634" s="5">
        <f>IFERROR(__xludf.DUMMYFUNCTION("""COMPUTED_VALUE"""),0.116410670978173)</f>
        <v>0.116410671</v>
      </c>
      <c r="F4634" s="5">
        <f>IFERROR(__xludf.DUMMYFUNCTION("""COMPUTED_VALUE"""),0.211802748585287)</f>
        <v>0.2118027486</v>
      </c>
      <c r="G4634" s="5">
        <f>IFERROR(__xludf.DUMMYFUNCTION("""COMPUTED_VALUE"""),0.1471301535974131)</f>
        <v>0.1471301536</v>
      </c>
      <c r="H4634" s="5">
        <f>IFERROR(__xludf.DUMMYFUNCTION("""COMPUTED_VALUE"""),0.6374045801526718)</f>
        <v>0.6374045802</v>
      </c>
      <c r="I4634" s="11">
        <f>IFERROR(__xludf.DUMMYFUNCTION("""COMPUTED_VALUE"""),4955.343511450382)</f>
        <v>4955.343511</v>
      </c>
      <c r="J4634" s="10">
        <f>IFERROR(__xludf.DUMMYFUNCTION("""COMPUTED_VALUE"""),0.0)</f>
        <v>0</v>
      </c>
      <c r="K4634" s="5">
        <f>IFERROR(__xludf.DUMMYFUNCTION("""COMPUTED_VALUE"""),0.0)</f>
        <v>0</v>
      </c>
      <c r="L4634" s="10">
        <f>IFERROR(__xludf.DUMMYFUNCTION("""COMPUTED_VALUE"""),114.0)</f>
        <v>114</v>
      </c>
      <c r="M4634" s="5">
        <f>IFERROR(__xludf.DUMMYFUNCTION("""COMPUTED_VALUE"""),1.0)</f>
        <v>1</v>
      </c>
    </row>
    <row r="4635">
      <c r="A4635" s="10" t="str">
        <f>IFERROR(__xludf.DUMMYFUNCTION("""COMPUTED_VALUE"""),"hearts@")</f>
        <v>hearts@</v>
      </c>
      <c r="B4635" s="10">
        <f>IFERROR(__xludf.DUMMYFUNCTION("""COMPUTED_VALUE"""),1008.0)</f>
        <v>1008</v>
      </c>
      <c r="C4635" s="10">
        <f>IFERROR(__xludf.DUMMYFUNCTION("""COMPUTED_VALUE"""),11979.0)</f>
        <v>11979</v>
      </c>
      <c r="D4635" s="5">
        <f>IFERROR(__xludf.DUMMYFUNCTION("""COMPUTED_VALUE"""),0.3415367787804211)</f>
        <v>0.3415367788</v>
      </c>
      <c r="E4635" s="5">
        <f>IFERROR(__xludf.DUMMYFUNCTION("""COMPUTED_VALUE"""),0.1163977759547899)</f>
        <v>0.116397776</v>
      </c>
      <c r="F4635" s="5">
        <f>IFERROR(__xludf.DUMMYFUNCTION("""COMPUTED_VALUE"""),0.20371889526934644)</f>
        <v>0.2037188953</v>
      </c>
      <c r="G4635" s="5">
        <f>IFERROR(__xludf.DUMMYFUNCTION("""COMPUTED_VALUE"""),0.18330143104548355)</f>
        <v>0.183301431</v>
      </c>
      <c r="H4635" s="5">
        <f>IFERROR(__xludf.DUMMYFUNCTION("""COMPUTED_VALUE"""),0.6044742729306488)</f>
        <v>0.6044742729</v>
      </c>
      <c r="I4635" s="11">
        <f>IFERROR(__xludf.DUMMYFUNCTION("""COMPUTED_VALUE"""),5624.96644295302)</f>
        <v>5624.966443</v>
      </c>
      <c r="J4635" s="10">
        <f>IFERROR(__xludf.DUMMYFUNCTION("""COMPUTED_VALUE"""),3.0)</f>
        <v>3</v>
      </c>
      <c r="K4635" s="5">
        <f>IFERROR(__xludf.DUMMYFUNCTION("""COMPUTED_VALUE"""),0.002976190476190476)</f>
        <v>0.002976190476</v>
      </c>
      <c r="L4635" s="10">
        <f>IFERROR(__xludf.DUMMYFUNCTION("""COMPUTED_VALUE"""),1008.0)</f>
        <v>1008</v>
      </c>
      <c r="M4635" s="5">
        <f>IFERROR(__xludf.DUMMYFUNCTION("""COMPUTED_VALUE"""),1.0)</f>
        <v>1</v>
      </c>
    </row>
    <row r="4636">
      <c r="A4636" s="10" t="str">
        <f>IFERROR(__xludf.DUMMYFUNCTION("""COMPUTED_VALUE"""),"fees")</f>
        <v>fees</v>
      </c>
      <c r="B4636" s="10">
        <f>IFERROR(__xludf.DUMMYFUNCTION("""COMPUTED_VALUE"""),2532.0)</f>
        <v>2532</v>
      </c>
      <c r="C4636" s="10">
        <f>IFERROR(__xludf.DUMMYFUNCTION("""COMPUTED_VALUE"""),30293.0)</f>
        <v>30293</v>
      </c>
      <c r="D4636" s="5">
        <f>IFERROR(__xludf.DUMMYFUNCTION("""COMPUTED_VALUE"""),0.3654767479557653)</f>
        <v>0.365476748</v>
      </c>
      <c r="E4636" s="5">
        <f>IFERROR(__xludf.DUMMYFUNCTION("""COMPUTED_VALUE"""),0.11638629732358344)</f>
        <v>0.1163862973</v>
      </c>
      <c r="F4636" s="5">
        <f>IFERROR(__xludf.DUMMYFUNCTION("""COMPUTED_VALUE"""),0.20557616800547532)</f>
        <v>0.205576168</v>
      </c>
      <c r="G4636" s="5">
        <f>IFERROR(__xludf.DUMMYFUNCTION("""COMPUTED_VALUE"""),0.16746514894996578)</f>
        <v>0.1674651489</v>
      </c>
      <c r="H4636" s="5">
        <f>IFERROR(__xludf.DUMMYFUNCTION("""COMPUTED_VALUE"""),0.6034694235149816)</f>
        <v>0.6034694235</v>
      </c>
      <c r="I4636" s="11">
        <f>IFERROR(__xludf.DUMMYFUNCTION("""COMPUTED_VALUE"""),5519.852812335728)</f>
        <v>5519.852812</v>
      </c>
      <c r="J4636" s="10">
        <f>IFERROR(__xludf.DUMMYFUNCTION("""COMPUTED_VALUE"""),9.0)</f>
        <v>9</v>
      </c>
      <c r="K4636" s="5">
        <f>IFERROR(__xludf.DUMMYFUNCTION("""COMPUTED_VALUE"""),0.0035545023696682463)</f>
        <v>0.00355450237</v>
      </c>
      <c r="L4636" s="10">
        <f>IFERROR(__xludf.DUMMYFUNCTION("""COMPUTED_VALUE"""),2532.0)</f>
        <v>2532</v>
      </c>
      <c r="M4636" s="5">
        <f>IFERROR(__xludf.DUMMYFUNCTION("""COMPUTED_VALUE"""),1.0)</f>
        <v>1</v>
      </c>
    </row>
    <row r="4637">
      <c r="A4637" s="10" t="str">
        <f>IFERROR(__xludf.DUMMYFUNCTION("""COMPUTED_VALUE"""),"Marlin")</f>
        <v>Marlin</v>
      </c>
      <c r="B4637" s="10">
        <f>IFERROR(__xludf.DUMMYFUNCTION("""COMPUTED_VALUE"""),594.0)</f>
        <v>594</v>
      </c>
      <c r="C4637" s="10">
        <f>IFERROR(__xludf.DUMMYFUNCTION("""COMPUTED_VALUE"""),7013.0)</f>
        <v>7013</v>
      </c>
      <c r="D4637" s="5">
        <f>IFERROR(__xludf.DUMMYFUNCTION("""COMPUTED_VALUE"""),0.43277769122916343)</f>
        <v>0.4327776912</v>
      </c>
      <c r="E4637" s="5">
        <f>IFERROR(__xludf.DUMMYFUNCTION("""COMPUTED_VALUE"""),0.1163732668639975)</f>
        <v>0.1163732669</v>
      </c>
      <c r="F4637" s="5">
        <f>IFERROR(__xludf.DUMMYFUNCTION("""COMPUTED_VALUE"""),0.21529833307368748)</f>
        <v>0.2152983331</v>
      </c>
      <c r="G4637" s="5">
        <f>IFERROR(__xludf.DUMMYFUNCTION("""COMPUTED_VALUE"""),0.15812431842966193)</f>
        <v>0.1581243184</v>
      </c>
      <c r="H4637" s="5">
        <f>IFERROR(__xludf.DUMMYFUNCTION("""COMPUTED_VALUE"""),0.58972503617945)</f>
        <v>0.5897250362</v>
      </c>
      <c r="I4637" s="11">
        <f>IFERROR(__xludf.DUMMYFUNCTION("""COMPUTED_VALUE"""),5275.61505065123)</f>
        <v>5275.615051</v>
      </c>
      <c r="J4637" s="10">
        <f>IFERROR(__xludf.DUMMYFUNCTION("""COMPUTED_VALUE"""),1.0)</f>
        <v>1</v>
      </c>
      <c r="K4637" s="5">
        <f>IFERROR(__xludf.DUMMYFUNCTION("""COMPUTED_VALUE"""),0.0016835016835016834)</f>
        <v>0.001683501684</v>
      </c>
      <c r="L4637" s="10">
        <f>IFERROR(__xludf.DUMMYFUNCTION("""COMPUTED_VALUE"""),594.0)</f>
        <v>594</v>
      </c>
      <c r="M4637" s="5">
        <f>IFERROR(__xludf.DUMMYFUNCTION("""COMPUTED_VALUE"""),1.0)</f>
        <v>1</v>
      </c>
    </row>
    <row r="4638">
      <c r="A4638" s="10" t="str">
        <f>IFERROR(__xludf.DUMMYFUNCTION("""COMPUTED_VALUE"""),"るーみっく")</f>
        <v>るーみっく</v>
      </c>
      <c r="B4638" s="10">
        <f>IFERROR(__xludf.DUMMYFUNCTION("""COMPUTED_VALUE"""),1575.0)</f>
        <v>1575</v>
      </c>
      <c r="C4638" s="10">
        <f>IFERROR(__xludf.DUMMYFUNCTION("""COMPUTED_VALUE"""),18530.0)</f>
        <v>18530</v>
      </c>
      <c r="D4638" s="5">
        <f>IFERROR(__xludf.DUMMYFUNCTION("""COMPUTED_VALUE"""),0.3699203774697729)</f>
        <v>0.3699203775</v>
      </c>
      <c r="E4638" s="5">
        <f>IFERROR(__xludf.DUMMYFUNCTION("""COMPUTED_VALUE"""),0.11636685343556473)</f>
        <v>0.1163668534</v>
      </c>
      <c r="F4638" s="5">
        <f>IFERROR(__xludf.DUMMYFUNCTION("""COMPUTED_VALUE"""),0.21769389560601593)</f>
        <v>0.2176938956</v>
      </c>
      <c r="G4638" s="5">
        <f>IFERROR(__xludf.DUMMYFUNCTION("""COMPUTED_VALUE"""),0.15346505455617812)</f>
        <v>0.1534650546</v>
      </c>
      <c r="H4638" s="5">
        <f>IFERROR(__xludf.DUMMYFUNCTION("""COMPUTED_VALUE"""),0.604714169601734)</f>
        <v>0.6047141696</v>
      </c>
      <c r="I4638" s="11">
        <f>IFERROR(__xludf.DUMMYFUNCTION("""COMPUTED_VALUE"""),5626.632348956922)</f>
        <v>5626.632349</v>
      </c>
      <c r="J4638" s="10">
        <f>IFERROR(__xludf.DUMMYFUNCTION("""COMPUTED_VALUE"""),2.0)</f>
        <v>2</v>
      </c>
      <c r="K4638" s="5">
        <f>IFERROR(__xludf.DUMMYFUNCTION("""COMPUTED_VALUE"""),0.0012698412698412698)</f>
        <v>0.00126984127</v>
      </c>
      <c r="L4638" s="10">
        <f>IFERROR(__xludf.DUMMYFUNCTION("""COMPUTED_VALUE"""),1575.0)</f>
        <v>1575</v>
      </c>
      <c r="M4638" s="5">
        <f>IFERROR(__xludf.DUMMYFUNCTION("""COMPUTED_VALUE"""),1.0)</f>
        <v>1</v>
      </c>
    </row>
    <row r="4639">
      <c r="A4639" s="10" t="str">
        <f>IFERROR(__xludf.DUMMYFUNCTION("""COMPUTED_VALUE"""),"メガネくん")</f>
        <v>メガネくん</v>
      </c>
      <c r="B4639" s="10">
        <f>IFERROR(__xludf.DUMMYFUNCTION("""COMPUTED_VALUE"""),821.0)</f>
        <v>821</v>
      </c>
      <c r="C4639" s="10">
        <f>IFERROR(__xludf.DUMMYFUNCTION("""COMPUTED_VALUE"""),9690.0)</f>
        <v>9690</v>
      </c>
      <c r="D4639" s="5">
        <f>IFERROR(__xludf.DUMMYFUNCTION("""COMPUTED_VALUE"""),0.35663547186830535)</f>
        <v>0.3566354719</v>
      </c>
      <c r="E4639" s="5">
        <f>IFERROR(__xludf.DUMMYFUNCTION("""COMPUTED_VALUE"""),0.11636035629721501)</f>
        <v>0.1163603563</v>
      </c>
      <c r="F4639" s="5">
        <f>IFERROR(__xludf.DUMMYFUNCTION("""COMPUTED_VALUE"""),0.20487089863569738)</f>
        <v>0.2048708986</v>
      </c>
      <c r="G4639" s="5">
        <f>IFERROR(__xludf.DUMMYFUNCTION("""COMPUTED_VALUE"""),0.16630961776975983)</f>
        <v>0.1663096178</v>
      </c>
      <c r="H4639" s="5">
        <f>IFERROR(__xludf.DUMMYFUNCTION("""COMPUTED_VALUE"""),0.5982388552559164)</f>
        <v>0.5982388553</v>
      </c>
      <c r="I4639" s="11">
        <f>IFERROR(__xludf.DUMMYFUNCTION("""COMPUTED_VALUE"""),5709.356081452945)</f>
        <v>5709.356081</v>
      </c>
      <c r="J4639" s="10">
        <f>IFERROR(__xludf.DUMMYFUNCTION("""COMPUTED_VALUE"""),1.0)</f>
        <v>1</v>
      </c>
      <c r="K4639" s="5">
        <f>IFERROR(__xludf.DUMMYFUNCTION("""COMPUTED_VALUE"""),0.001218026796589525)</f>
        <v>0.001218026797</v>
      </c>
      <c r="L4639" s="10">
        <f>IFERROR(__xludf.DUMMYFUNCTION("""COMPUTED_VALUE"""),821.0)</f>
        <v>821</v>
      </c>
      <c r="M4639" s="5">
        <f>IFERROR(__xludf.DUMMYFUNCTION("""COMPUTED_VALUE"""),1.0)</f>
        <v>1</v>
      </c>
    </row>
    <row r="4640">
      <c r="A4640" s="10" t="str">
        <f>IFERROR(__xludf.DUMMYFUNCTION("""COMPUTED_VALUE"""),"烏賊之輔")</f>
        <v>烏賊之輔</v>
      </c>
      <c r="B4640" s="10">
        <f>IFERROR(__xludf.DUMMYFUNCTION("""COMPUTED_VALUE"""),2984.0)</f>
        <v>2984</v>
      </c>
      <c r="C4640" s="10">
        <f>IFERROR(__xludf.DUMMYFUNCTION("""COMPUTED_VALUE"""),35118.0)</f>
        <v>35118</v>
      </c>
      <c r="D4640" s="5">
        <f>IFERROR(__xludf.DUMMYFUNCTION("""COMPUTED_VALUE"""),0.3322960104562146)</f>
        <v>0.3322960105</v>
      </c>
      <c r="E4640" s="5">
        <f>IFERROR(__xludf.DUMMYFUNCTION("""COMPUTED_VALUE"""),0.11635650712640816)</f>
        <v>0.1163565071</v>
      </c>
      <c r="F4640" s="5">
        <f>IFERROR(__xludf.DUMMYFUNCTION("""COMPUTED_VALUE"""),0.2108981141470094)</f>
        <v>0.2108981141</v>
      </c>
      <c r="G4640" s="5">
        <f>IFERROR(__xludf.DUMMYFUNCTION("""COMPUTED_VALUE"""),0.15410468662475882)</f>
        <v>0.1541046866</v>
      </c>
      <c r="H4640" s="5">
        <f>IFERROR(__xludf.DUMMYFUNCTION("""COMPUTED_VALUE"""),0.6038069942452412)</f>
        <v>0.6038069942</v>
      </c>
      <c r="I4640" s="11">
        <f>IFERROR(__xludf.DUMMYFUNCTION("""COMPUTED_VALUE"""),5647.985834440018)</f>
        <v>5647.985834</v>
      </c>
      <c r="J4640" s="10">
        <f>IFERROR(__xludf.DUMMYFUNCTION("""COMPUTED_VALUE"""),4.0)</f>
        <v>4</v>
      </c>
      <c r="K4640" s="5">
        <f>IFERROR(__xludf.DUMMYFUNCTION("""COMPUTED_VALUE"""),0.0013404825737265416)</f>
        <v>0.001340482574</v>
      </c>
      <c r="L4640" s="10">
        <f>IFERROR(__xludf.DUMMYFUNCTION("""COMPUTED_VALUE"""),2981.0)</f>
        <v>2981</v>
      </c>
      <c r="M4640" s="5">
        <f>IFERROR(__xludf.DUMMYFUNCTION("""COMPUTED_VALUE"""),0.9989946380697051)</f>
        <v>0.9989946381</v>
      </c>
    </row>
    <row r="4641">
      <c r="A4641" s="10" t="str">
        <f>IFERROR(__xludf.DUMMYFUNCTION("""COMPUTED_VALUE"""),"栗林里莉")</f>
        <v>栗林里莉</v>
      </c>
      <c r="B4641" s="10">
        <f>IFERROR(__xludf.DUMMYFUNCTION("""COMPUTED_VALUE"""),149.0)</f>
        <v>149</v>
      </c>
      <c r="C4641" s="10">
        <f>IFERROR(__xludf.DUMMYFUNCTION("""COMPUTED_VALUE"""),1739.0)</f>
        <v>1739</v>
      </c>
      <c r="D4641" s="5">
        <f>IFERROR(__xludf.DUMMYFUNCTION("""COMPUTED_VALUE"""),0.3968553459119497)</f>
        <v>0.3968553459</v>
      </c>
      <c r="E4641" s="5">
        <f>IFERROR(__xludf.DUMMYFUNCTION("""COMPUTED_VALUE"""),0.11635220125786164)</f>
        <v>0.1163522013</v>
      </c>
      <c r="F4641" s="5">
        <f>IFERROR(__xludf.DUMMYFUNCTION("""COMPUTED_VALUE"""),0.1968553459119497)</f>
        <v>0.1968553459</v>
      </c>
      <c r="G4641" s="5">
        <f>IFERROR(__xludf.DUMMYFUNCTION("""COMPUTED_VALUE"""),0.14150943396226415)</f>
        <v>0.141509434</v>
      </c>
      <c r="H4641" s="5">
        <f>IFERROR(__xludf.DUMMYFUNCTION("""COMPUTED_VALUE"""),0.6070287539936102)</f>
        <v>0.607028754</v>
      </c>
      <c r="I4641" s="11">
        <f>IFERROR(__xludf.DUMMYFUNCTION("""COMPUTED_VALUE"""),5255.910543130991)</f>
        <v>5255.910543</v>
      </c>
      <c r="J4641" s="10">
        <f>IFERROR(__xludf.DUMMYFUNCTION("""COMPUTED_VALUE"""),0.0)</f>
        <v>0</v>
      </c>
      <c r="K4641" s="5">
        <f>IFERROR(__xludf.DUMMYFUNCTION("""COMPUTED_VALUE"""),0.0)</f>
        <v>0</v>
      </c>
      <c r="L4641" s="10">
        <f>IFERROR(__xludf.DUMMYFUNCTION("""COMPUTED_VALUE"""),149.0)</f>
        <v>149</v>
      </c>
      <c r="M4641" s="5">
        <f>IFERROR(__xludf.DUMMYFUNCTION("""COMPUTED_VALUE"""),1.0)</f>
        <v>1</v>
      </c>
    </row>
    <row r="4642">
      <c r="A4642" s="10" t="str">
        <f>IFERROR(__xludf.DUMMYFUNCTION("""COMPUTED_VALUE"""),"majikuzu")</f>
        <v>majikuzu</v>
      </c>
      <c r="B4642" s="10">
        <f>IFERROR(__xludf.DUMMYFUNCTION("""COMPUTED_VALUE"""),2342.0)</f>
        <v>2342</v>
      </c>
      <c r="C4642" s="10">
        <f>IFERROR(__xludf.DUMMYFUNCTION("""COMPUTED_VALUE"""),27482.0)</f>
        <v>27482</v>
      </c>
      <c r="D4642" s="5">
        <f>IFERROR(__xludf.DUMMYFUNCTION("""COMPUTED_VALUE"""),0.36762132060461417)</f>
        <v>0.3676213206</v>
      </c>
      <c r="E4642" s="5">
        <f>IFERROR(__xludf.DUMMYFUNCTION("""COMPUTED_VALUE"""),0.11634844868735084)</f>
        <v>0.1163484487</v>
      </c>
      <c r="F4642" s="5">
        <f>IFERROR(__xludf.DUMMYFUNCTION("""COMPUTED_VALUE"""),0.21610978520286397)</f>
        <v>0.2161097852</v>
      </c>
      <c r="G4642" s="5">
        <f>IFERROR(__xludf.DUMMYFUNCTION("""COMPUTED_VALUE"""),0.176412092283214)</f>
        <v>0.1764120923</v>
      </c>
      <c r="H4642" s="5">
        <f>IFERROR(__xludf.DUMMYFUNCTION("""COMPUTED_VALUE"""),0.5958034235229155)</f>
        <v>0.5958034235</v>
      </c>
      <c r="I4642" s="11">
        <f>IFERROR(__xludf.DUMMYFUNCTION("""COMPUTED_VALUE"""),5520.154610712314)</f>
        <v>5520.154611</v>
      </c>
      <c r="J4642" s="10">
        <f>IFERROR(__xludf.DUMMYFUNCTION("""COMPUTED_VALUE"""),1.0)</f>
        <v>1</v>
      </c>
      <c r="K4642" s="5">
        <f>IFERROR(__xludf.DUMMYFUNCTION("""COMPUTED_VALUE"""),4.269854824935952E-4)</f>
        <v>0.0004269854825</v>
      </c>
      <c r="L4642" s="10">
        <f>IFERROR(__xludf.DUMMYFUNCTION("""COMPUTED_VALUE"""),2338.0)</f>
        <v>2338</v>
      </c>
      <c r="M4642" s="5">
        <f>IFERROR(__xludf.DUMMYFUNCTION("""COMPUTED_VALUE"""),0.9982920580700256)</f>
        <v>0.9982920581</v>
      </c>
    </row>
    <row r="4643">
      <c r="A4643" s="10" t="str">
        <f>IFERROR(__xludf.DUMMYFUNCTION("""COMPUTED_VALUE"""),"橋本万光年")</f>
        <v>橋本万光年</v>
      </c>
      <c r="B4643" s="10">
        <f>IFERROR(__xludf.DUMMYFUNCTION("""COMPUTED_VALUE"""),198.0)</f>
        <v>198</v>
      </c>
      <c r="C4643" s="10">
        <f>IFERROR(__xludf.DUMMYFUNCTION("""COMPUTED_VALUE"""),2347.0)</f>
        <v>2347</v>
      </c>
      <c r="D4643" s="5">
        <f>IFERROR(__xludf.DUMMYFUNCTION("""COMPUTED_VALUE"""),0.31316891577477896)</f>
        <v>0.3131689158</v>
      </c>
      <c r="E4643" s="5">
        <f>IFERROR(__xludf.DUMMYFUNCTION("""COMPUTED_VALUE"""),0.11633317822242904)</f>
        <v>0.1163331782</v>
      </c>
      <c r="F4643" s="5">
        <f>IFERROR(__xludf.DUMMYFUNCTION("""COMPUTED_VALUE"""),0.20335039553280596)</f>
        <v>0.2033503955</v>
      </c>
      <c r="G4643" s="5">
        <f>IFERROR(__xludf.DUMMYFUNCTION("""COMPUTED_VALUE"""),0.1614704513727315)</f>
        <v>0.1614704514</v>
      </c>
      <c r="H4643" s="5">
        <f>IFERROR(__xludf.DUMMYFUNCTION("""COMPUTED_VALUE"""),0.6132723112128147)</f>
        <v>0.6132723112</v>
      </c>
      <c r="I4643" s="11">
        <f>IFERROR(__xludf.DUMMYFUNCTION("""COMPUTED_VALUE"""),5815.102974828375)</f>
        <v>5815.102975</v>
      </c>
      <c r="J4643" s="10">
        <f>IFERROR(__xludf.DUMMYFUNCTION("""COMPUTED_VALUE"""),1.0)</f>
        <v>1</v>
      </c>
      <c r="K4643" s="5">
        <f>IFERROR(__xludf.DUMMYFUNCTION("""COMPUTED_VALUE"""),0.005050505050505051)</f>
        <v>0.005050505051</v>
      </c>
      <c r="L4643" s="10">
        <f>IFERROR(__xludf.DUMMYFUNCTION("""COMPUTED_VALUE"""),198.0)</f>
        <v>198</v>
      </c>
      <c r="M4643" s="5">
        <f>IFERROR(__xludf.DUMMYFUNCTION("""COMPUTED_VALUE"""),1.0)</f>
        <v>1</v>
      </c>
    </row>
    <row r="4644">
      <c r="A4644" s="10" t="str">
        <f>IFERROR(__xludf.DUMMYFUNCTION("""COMPUTED_VALUE"""),"Kyuri")</f>
        <v>Kyuri</v>
      </c>
      <c r="B4644" s="10">
        <f>IFERROR(__xludf.DUMMYFUNCTION("""COMPUTED_VALUE"""),260.0)</f>
        <v>260</v>
      </c>
      <c r="C4644" s="10">
        <f>IFERROR(__xludf.DUMMYFUNCTION("""COMPUTED_VALUE"""),3028.0)</f>
        <v>3028</v>
      </c>
      <c r="D4644" s="5">
        <f>IFERROR(__xludf.DUMMYFUNCTION("""COMPUTED_VALUE"""),0.3627167630057804)</f>
        <v>0.362716763</v>
      </c>
      <c r="E4644" s="5">
        <f>IFERROR(__xludf.DUMMYFUNCTION("""COMPUTED_VALUE"""),0.11632947976878613)</f>
        <v>0.1163294798</v>
      </c>
      <c r="F4644" s="5">
        <f>IFERROR(__xludf.DUMMYFUNCTION("""COMPUTED_VALUE"""),0.19797687861271676)</f>
        <v>0.1979768786</v>
      </c>
      <c r="G4644" s="5">
        <f>IFERROR(__xludf.DUMMYFUNCTION("""COMPUTED_VALUE"""),0.157514450867052)</f>
        <v>0.1575144509</v>
      </c>
      <c r="H4644" s="5">
        <f>IFERROR(__xludf.DUMMYFUNCTION("""COMPUTED_VALUE"""),0.6040145985401459)</f>
        <v>0.6040145985</v>
      </c>
      <c r="I4644" s="11">
        <f>IFERROR(__xludf.DUMMYFUNCTION("""COMPUTED_VALUE"""),5435.948905109489)</f>
        <v>5435.948905</v>
      </c>
      <c r="J4644" s="10">
        <f>IFERROR(__xludf.DUMMYFUNCTION("""COMPUTED_VALUE"""),1.0)</f>
        <v>1</v>
      </c>
      <c r="K4644" s="5">
        <f>IFERROR(__xludf.DUMMYFUNCTION("""COMPUTED_VALUE"""),0.0038461538461538464)</f>
        <v>0.003846153846</v>
      </c>
      <c r="L4644" s="10">
        <f>IFERROR(__xludf.DUMMYFUNCTION("""COMPUTED_VALUE"""),255.0)</f>
        <v>255</v>
      </c>
      <c r="M4644" s="5">
        <f>IFERROR(__xludf.DUMMYFUNCTION("""COMPUTED_VALUE"""),0.9807692307692307)</f>
        <v>0.9807692308</v>
      </c>
    </row>
    <row r="4645">
      <c r="A4645" s="10" t="str">
        <f>IFERROR(__xludf.DUMMYFUNCTION("""COMPUTED_VALUE"""),"A.S")</f>
        <v>A.S</v>
      </c>
      <c r="B4645" s="10">
        <f>IFERROR(__xludf.DUMMYFUNCTION("""COMPUTED_VALUE"""),522.0)</f>
        <v>522</v>
      </c>
      <c r="C4645" s="10">
        <f>IFERROR(__xludf.DUMMYFUNCTION("""COMPUTED_VALUE"""),6024.0)</f>
        <v>6024</v>
      </c>
      <c r="D4645" s="5">
        <f>IFERROR(__xludf.DUMMYFUNCTION("""COMPUTED_VALUE"""),0.3355143584151218)</f>
        <v>0.3355143584</v>
      </c>
      <c r="E4645" s="5">
        <f>IFERROR(__xludf.DUMMYFUNCTION("""COMPUTED_VALUE"""),0.1163213376953835)</f>
        <v>0.1163213377</v>
      </c>
      <c r="F4645" s="5">
        <f>IFERROR(__xludf.DUMMYFUNCTION("""COMPUTED_VALUE"""),0.21628498727735368)</f>
        <v>0.2162849873</v>
      </c>
      <c r="G4645" s="5">
        <f>IFERROR(__xludf.DUMMYFUNCTION("""COMPUTED_VALUE"""),0.17066521264994547)</f>
        <v>0.1706652126</v>
      </c>
      <c r="H4645" s="5">
        <f>IFERROR(__xludf.DUMMYFUNCTION("""COMPUTED_VALUE"""),0.5773109243697478)</f>
        <v>0.5773109244</v>
      </c>
      <c r="I4645" s="11">
        <f>IFERROR(__xludf.DUMMYFUNCTION("""COMPUTED_VALUE"""),5975.882352941177)</f>
        <v>5975.882353</v>
      </c>
      <c r="J4645" s="10">
        <f>IFERROR(__xludf.DUMMYFUNCTION("""COMPUTED_VALUE"""),1.0)</f>
        <v>1</v>
      </c>
      <c r="K4645" s="5">
        <f>IFERROR(__xludf.DUMMYFUNCTION("""COMPUTED_VALUE"""),0.0019157088122605363)</f>
        <v>0.001915708812</v>
      </c>
      <c r="L4645" s="10">
        <f>IFERROR(__xludf.DUMMYFUNCTION("""COMPUTED_VALUE"""),0.0)</f>
        <v>0</v>
      </c>
      <c r="M4645" s="5">
        <f>IFERROR(__xludf.DUMMYFUNCTION("""COMPUTED_VALUE"""),0.0)</f>
        <v>0</v>
      </c>
    </row>
    <row r="4646">
      <c r="A4646" s="10" t="str">
        <f>IFERROR(__xludf.DUMMYFUNCTION("""COMPUTED_VALUE"""),"烏賊天")</f>
        <v>烏賊天</v>
      </c>
      <c r="B4646" s="10">
        <f>IFERROR(__xludf.DUMMYFUNCTION("""COMPUTED_VALUE"""),765.0)</f>
        <v>765</v>
      </c>
      <c r="C4646" s="10">
        <f>IFERROR(__xludf.DUMMYFUNCTION("""COMPUTED_VALUE"""),9044.0)</f>
        <v>9044</v>
      </c>
      <c r="D4646" s="5">
        <f>IFERROR(__xludf.DUMMYFUNCTION("""COMPUTED_VALUE"""),0.3505254257760599)</f>
        <v>0.3505254258</v>
      </c>
      <c r="E4646" s="5">
        <f>IFERROR(__xludf.DUMMYFUNCTION("""COMPUTED_VALUE"""),0.11631839594153884)</f>
        <v>0.1163183959</v>
      </c>
      <c r="F4646" s="5">
        <f>IFERROR(__xludf.DUMMYFUNCTION("""COMPUTED_VALUE"""),0.20932479768087933)</f>
        <v>0.2093247977</v>
      </c>
      <c r="G4646" s="5">
        <f>IFERROR(__xludf.DUMMYFUNCTION("""COMPUTED_VALUE"""),0.16330474695011474)</f>
        <v>0.163304747</v>
      </c>
      <c r="H4646" s="5">
        <f>IFERROR(__xludf.DUMMYFUNCTION("""COMPUTED_VALUE"""),0.6064627813040969)</f>
        <v>0.6064627813</v>
      </c>
      <c r="I4646" s="11">
        <f>IFERROR(__xludf.DUMMYFUNCTION("""COMPUTED_VALUE"""),5394.287362954415)</f>
        <v>5394.287363</v>
      </c>
      <c r="J4646" s="10">
        <f>IFERROR(__xludf.DUMMYFUNCTION("""COMPUTED_VALUE"""),0.0)</f>
        <v>0</v>
      </c>
      <c r="K4646" s="5">
        <f>IFERROR(__xludf.DUMMYFUNCTION("""COMPUTED_VALUE"""),0.0)</f>
        <v>0</v>
      </c>
      <c r="L4646" s="10">
        <f>IFERROR(__xludf.DUMMYFUNCTION("""COMPUTED_VALUE"""),763.0)</f>
        <v>763</v>
      </c>
      <c r="M4646" s="5">
        <f>IFERROR(__xludf.DUMMYFUNCTION("""COMPUTED_VALUE"""),0.9973856209150327)</f>
        <v>0.9973856209</v>
      </c>
    </row>
    <row r="4647">
      <c r="A4647" s="10" t="str">
        <f>IFERROR(__xludf.DUMMYFUNCTION("""COMPUTED_VALUE"""),"フリー麻雀ten")</f>
        <v>フリー麻雀ten</v>
      </c>
      <c r="B4647" s="10">
        <f>IFERROR(__xludf.DUMMYFUNCTION("""COMPUTED_VALUE"""),176.0)</f>
        <v>176</v>
      </c>
      <c r="C4647" s="10">
        <f>IFERROR(__xludf.DUMMYFUNCTION("""COMPUTED_VALUE"""),2033.0)</f>
        <v>2033</v>
      </c>
      <c r="D4647" s="5">
        <f>IFERROR(__xludf.DUMMYFUNCTION("""COMPUTED_VALUE"""),0.3683360258481422)</f>
        <v>0.3683360258</v>
      </c>
      <c r="E4647" s="5">
        <f>IFERROR(__xludf.DUMMYFUNCTION("""COMPUTED_VALUE"""),0.11631663974151858)</f>
        <v>0.1163166397</v>
      </c>
      <c r="F4647" s="5">
        <f>IFERROR(__xludf.DUMMYFUNCTION("""COMPUTED_VALUE"""),0.19978459881529348)</f>
        <v>0.1997845988</v>
      </c>
      <c r="G4647" s="5">
        <f>IFERROR(__xludf.DUMMYFUNCTION("""COMPUTED_VALUE"""),0.172859450726979)</f>
        <v>0.1728594507</v>
      </c>
      <c r="H4647" s="5">
        <f>IFERROR(__xludf.DUMMYFUNCTION("""COMPUTED_VALUE"""),0.6469002695417789)</f>
        <v>0.6469002695</v>
      </c>
      <c r="I4647" s="11">
        <f>IFERROR(__xludf.DUMMYFUNCTION("""COMPUTED_VALUE"""),5931.536388140162)</f>
        <v>5931.536388</v>
      </c>
      <c r="J4647" s="10">
        <f>IFERROR(__xludf.DUMMYFUNCTION("""COMPUTED_VALUE"""),0.0)</f>
        <v>0</v>
      </c>
      <c r="K4647" s="5">
        <f>IFERROR(__xludf.DUMMYFUNCTION("""COMPUTED_VALUE"""),0.0)</f>
        <v>0</v>
      </c>
      <c r="L4647" s="10">
        <f>IFERROR(__xludf.DUMMYFUNCTION("""COMPUTED_VALUE"""),176.0)</f>
        <v>176</v>
      </c>
      <c r="M4647" s="5">
        <f>IFERROR(__xludf.DUMMYFUNCTION("""COMPUTED_VALUE"""),1.0)</f>
        <v>1</v>
      </c>
    </row>
    <row r="4648">
      <c r="A4648" s="10" t="str">
        <f>IFERROR(__xludf.DUMMYFUNCTION("""COMPUTED_VALUE"""),"千羽妙見流")</f>
        <v>千羽妙見流</v>
      </c>
      <c r="B4648" s="10">
        <f>IFERROR(__xludf.DUMMYFUNCTION("""COMPUTED_VALUE"""),450.0)</f>
        <v>450</v>
      </c>
      <c r="C4648" s="10">
        <f>IFERROR(__xludf.DUMMYFUNCTION("""COMPUTED_VALUE"""),5334.0)</f>
        <v>5334</v>
      </c>
      <c r="D4648" s="5">
        <f>IFERROR(__xludf.DUMMYFUNCTION("""COMPUTED_VALUE"""),0.4369369369369369)</f>
        <v>0.4369369369</v>
      </c>
      <c r="E4648" s="5">
        <f>IFERROR(__xludf.DUMMYFUNCTION("""COMPUTED_VALUE"""),0.1162981162981163)</f>
        <v>0.1162981163</v>
      </c>
      <c r="F4648" s="5">
        <f>IFERROR(__xludf.DUMMYFUNCTION("""COMPUTED_VALUE"""),0.2065929565929566)</f>
        <v>0.2065929566</v>
      </c>
      <c r="G4648" s="5">
        <f>IFERROR(__xludf.DUMMYFUNCTION("""COMPUTED_VALUE"""),0.14107289107289106)</f>
        <v>0.1410728911</v>
      </c>
      <c r="H4648" s="5">
        <f>IFERROR(__xludf.DUMMYFUNCTION("""COMPUTED_VALUE"""),0.6095143706640238)</f>
        <v>0.6095143707</v>
      </c>
      <c r="I4648" s="11">
        <f>IFERROR(__xludf.DUMMYFUNCTION("""COMPUTED_VALUE"""),5169.276511397423)</f>
        <v>5169.276511</v>
      </c>
      <c r="J4648" s="10">
        <f>IFERROR(__xludf.DUMMYFUNCTION("""COMPUTED_VALUE"""),1.0)</f>
        <v>1</v>
      </c>
      <c r="K4648" s="5">
        <f>IFERROR(__xludf.DUMMYFUNCTION("""COMPUTED_VALUE"""),0.0022222222222222222)</f>
        <v>0.002222222222</v>
      </c>
      <c r="L4648" s="10">
        <f>IFERROR(__xludf.DUMMYFUNCTION("""COMPUTED_VALUE"""),439.0)</f>
        <v>439</v>
      </c>
      <c r="M4648" s="5">
        <f>IFERROR(__xludf.DUMMYFUNCTION("""COMPUTED_VALUE"""),0.9755555555555555)</f>
        <v>0.9755555556</v>
      </c>
    </row>
    <row r="4649">
      <c r="A4649" s="10" t="str">
        <f>IFERROR(__xludf.DUMMYFUNCTION("""COMPUTED_VALUE"""),"yuiyui00")</f>
        <v>yuiyui00</v>
      </c>
      <c r="B4649" s="10">
        <f>IFERROR(__xludf.DUMMYFUNCTION("""COMPUTED_VALUE"""),130.0)</f>
        <v>130</v>
      </c>
      <c r="C4649" s="10">
        <f>IFERROR(__xludf.DUMMYFUNCTION("""COMPUTED_VALUE"""),1523.0)</f>
        <v>1523</v>
      </c>
      <c r="D4649" s="5">
        <f>IFERROR(__xludf.DUMMYFUNCTION("""COMPUTED_VALUE"""),0.35534816941852115)</f>
        <v>0.3553481694</v>
      </c>
      <c r="E4649" s="5">
        <f>IFERROR(__xludf.DUMMYFUNCTION("""COMPUTED_VALUE"""),0.11629576453697056)</f>
        <v>0.1162957645</v>
      </c>
      <c r="F4649" s="5">
        <f>IFERROR(__xludf.DUMMYFUNCTION("""COMPUTED_VALUE"""),0.19239052404881551)</f>
        <v>0.192390524</v>
      </c>
      <c r="G4649" s="5">
        <f>IFERROR(__xludf.DUMMYFUNCTION("""COMPUTED_VALUE"""),0.1457286432160804)</f>
        <v>0.1457286432</v>
      </c>
      <c r="H4649" s="5">
        <f>IFERROR(__xludf.DUMMYFUNCTION("""COMPUTED_VALUE"""),0.6529850746268657)</f>
        <v>0.6529850746</v>
      </c>
      <c r="I4649" s="11">
        <f>IFERROR(__xludf.DUMMYFUNCTION("""COMPUTED_VALUE"""),5951.865671641791)</f>
        <v>5951.865672</v>
      </c>
      <c r="J4649" s="10">
        <f>IFERROR(__xludf.DUMMYFUNCTION("""COMPUTED_VALUE"""),0.0)</f>
        <v>0</v>
      </c>
      <c r="K4649" s="5">
        <f>IFERROR(__xludf.DUMMYFUNCTION("""COMPUTED_VALUE"""),0.0)</f>
        <v>0</v>
      </c>
      <c r="L4649" s="10">
        <f>IFERROR(__xludf.DUMMYFUNCTION("""COMPUTED_VALUE"""),130.0)</f>
        <v>130</v>
      </c>
      <c r="M4649" s="5">
        <f>IFERROR(__xludf.DUMMYFUNCTION("""COMPUTED_VALUE"""),1.0)</f>
        <v>1</v>
      </c>
    </row>
    <row r="4650">
      <c r="A4650" s="10" t="str">
        <f>IFERROR(__xludf.DUMMYFUNCTION("""COMPUTED_VALUE"""),"てつん☆")</f>
        <v>てつん☆</v>
      </c>
      <c r="B4650" s="10">
        <f>IFERROR(__xludf.DUMMYFUNCTION("""COMPUTED_VALUE"""),153.0)</f>
        <v>153</v>
      </c>
      <c r="C4650" s="10">
        <f>IFERROR(__xludf.DUMMYFUNCTION("""COMPUTED_VALUE"""),1804.0)</f>
        <v>1804</v>
      </c>
      <c r="D4650" s="5">
        <f>IFERROR(__xludf.DUMMYFUNCTION("""COMPUTED_VALUE"""),0.33131435493640216)</f>
        <v>0.3313143549</v>
      </c>
      <c r="E4650" s="5">
        <f>IFERROR(__xludf.DUMMYFUNCTION("""COMPUTED_VALUE"""),0.11629315566323441)</f>
        <v>0.1162931557</v>
      </c>
      <c r="F4650" s="5">
        <f>IFERROR(__xludf.DUMMYFUNCTION("""COMPUTED_VALUE"""),0.20169594185342216)</f>
        <v>0.2016959419</v>
      </c>
      <c r="G4650" s="5">
        <f>IFERROR(__xludf.DUMMYFUNCTION("""COMPUTED_VALUE"""),0.17504542701393094)</f>
        <v>0.175045427</v>
      </c>
      <c r="H4650" s="5">
        <f>IFERROR(__xludf.DUMMYFUNCTION("""COMPUTED_VALUE"""),0.6006006006006006)</f>
        <v>0.6006006006</v>
      </c>
      <c r="I4650" s="11">
        <f>IFERROR(__xludf.DUMMYFUNCTION("""COMPUTED_VALUE"""),5139.339339339339)</f>
        <v>5139.339339</v>
      </c>
      <c r="J4650" s="10">
        <f>IFERROR(__xludf.DUMMYFUNCTION("""COMPUTED_VALUE"""),0.0)</f>
        <v>0</v>
      </c>
      <c r="K4650" s="5">
        <f>IFERROR(__xludf.DUMMYFUNCTION("""COMPUTED_VALUE"""),0.0)</f>
        <v>0</v>
      </c>
      <c r="L4650" s="10">
        <f>IFERROR(__xludf.DUMMYFUNCTION("""COMPUTED_VALUE"""),152.0)</f>
        <v>152</v>
      </c>
      <c r="M4650" s="5">
        <f>IFERROR(__xludf.DUMMYFUNCTION("""COMPUTED_VALUE"""),0.9934640522875817)</f>
        <v>0.9934640523</v>
      </c>
    </row>
    <row r="4651">
      <c r="A4651" s="10" t="str">
        <f>IFERROR(__xludf.DUMMYFUNCTION("""COMPUTED_VALUE"""),"mono-14")</f>
        <v>mono-14</v>
      </c>
      <c r="B4651" s="10">
        <f>IFERROR(__xludf.DUMMYFUNCTION("""COMPUTED_VALUE"""),5729.0)</f>
        <v>5729</v>
      </c>
      <c r="C4651" s="10">
        <f>IFERROR(__xludf.DUMMYFUNCTION("""COMPUTED_VALUE"""),67344.0)</f>
        <v>67344</v>
      </c>
      <c r="D4651" s="5">
        <f>IFERROR(__xludf.DUMMYFUNCTION("""COMPUTED_VALUE"""),0.38448429765479186)</f>
        <v>0.3844842977</v>
      </c>
      <c r="E4651" s="5">
        <f>IFERROR(__xludf.DUMMYFUNCTION("""COMPUTED_VALUE"""),0.11628661851821796)</f>
        <v>0.1162866185</v>
      </c>
      <c r="F4651" s="5">
        <f>IFERROR(__xludf.DUMMYFUNCTION("""COMPUTED_VALUE"""),0.20370039763044714)</f>
        <v>0.2037003976</v>
      </c>
      <c r="G4651" s="5">
        <f>IFERROR(__xludf.DUMMYFUNCTION("""COMPUTED_VALUE"""),0.11734155643917878)</f>
        <v>0.1173415564</v>
      </c>
      <c r="H4651" s="5">
        <f>IFERROR(__xludf.DUMMYFUNCTION("""COMPUTED_VALUE"""),0.6217831248506095)</f>
        <v>0.6217831249</v>
      </c>
      <c r="I4651" s="11">
        <f>IFERROR(__xludf.DUMMYFUNCTION("""COMPUTED_VALUE"""),5585.403553501713)</f>
        <v>5585.403554</v>
      </c>
      <c r="J4651" s="10">
        <f>IFERROR(__xludf.DUMMYFUNCTION("""COMPUTED_VALUE"""),17.0)</f>
        <v>17</v>
      </c>
      <c r="K4651" s="5">
        <f>IFERROR(__xludf.DUMMYFUNCTION("""COMPUTED_VALUE"""),0.002967359050445104)</f>
        <v>0.00296735905</v>
      </c>
      <c r="L4651" s="10">
        <f>IFERROR(__xludf.DUMMYFUNCTION("""COMPUTED_VALUE"""),5729.0)</f>
        <v>5729</v>
      </c>
      <c r="M4651" s="5">
        <f>IFERROR(__xludf.DUMMYFUNCTION("""COMPUTED_VALUE"""),1.0)</f>
        <v>1</v>
      </c>
    </row>
    <row r="4652">
      <c r="A4652" s="10" t="str">
        <f>IFERROR(__xludf.DUMMYFUNCTION("""COMPUTED_VALUE"""),"表裏裏")</f>
        <v>表裏裏</v>
      </c>
      <c r="B4652" s="10">
        <f>IFERROR(__xludf.DUMMYFUNCTION("""COMPUTED_VALUE"""),1873.0)</f>
        <v>1873</v>
      </c>
      <c r="C4652" s="10">
        <f>IFERROR(__xludf.DUMMYFUNCTION("""COMPUTED_VALUE"""),22057.0)</f>
        <v>22057</v>
      </c>
      <c r="D4652" s="5">
        <f>IFERROR(__xludf.DUMMYFUNCTION("""COMPUTED_VALUE"""),0.3890210067380103)</f>
        <v>0.3890210067</v>
      </c>
      <c r="E4652" s="5">
        <f>IFERROR(__xludf.DUMMYFUNCTION("""COMPUTED_VALUE"""),0.11628022195798653)</f>
        <v>0.116280222</v>
      </c>
      <c r="F4652" s="5">
        <f>IFERROR(__xludf.DUMMYFUNCTION("""COMPUTED_VALUE"""),0.2076397146254459)</f>
        <v>0.2076397146</v>
      </c>
      <c r="G4652" s="5">
        <f>IFERROR(__xludf.DUMMYFUNCTION("""COMPUTED_VALUE"""),0.1551228695996829)</f>
        <v>0.1551228696</v>
      </c>
      <c r="H4652" s="5">
        <f>IFERROR(__xludf.DUMMYFUNCTION("""COMPUTED_VALUE"""),0.602481507993319)</f>
        <v>0.602481508</v>
      </c>
      <c r="I4652" s="11">
        <f>IFERROR(__xludf.DUMMYFUNCTION("""COMPUTED_VALUE"""),5385.850632307325)</f>
        <v>5385.850632</v>
      </c>
      <c r="J4652" s="10">
        <f>IFERROR(__xludf.DUMMYFUNCTION("""COMPUTED_VALUE"""),3.0)</f>
        <v>3</v>
      </c>
      <c r="K4652" s="5">
        <f>IFERROR(__xludf.DUMMYFUNCTION("""COMPUTED_VALUE"""),0.001601708489054992)</f>
        <v>0.001601708489</v>
      </c>
      <c r="L4652" s="10">
        <f>IFERROR(__xludf.DUMMYFUNCTION("""COMPUTED_VALUE"""),1872.0)</f>
        <v>1872</v>
      </c>
      <c r="M4652" s="5">
        <f>IFERROR(__xludf.DUMMYFUNCTION("""COMPUTED_VALUE"""),0.999466097170315)</f>
        <v>0.9994660972</v>
      </c>
    </row>
    <row r="4653">
      <c r="A4653" s="10" t="str">
        <f>IFERROR(__xludf.DUMMYFUNCTION("""COMPUTED_VALUE"""),"meucci")</f>
        <v>meucci</v>
      </c>
      <c r="B4653" s="10">
        <f>IFERROR(__xludf.DUMMYFUNCTION("""COMPUTED_VALUE"""),154.0)</f>
        <v>154</v>
      </c>
      <c r="C4653" s="10">
        <f>IFERROR(__xludf.DUMMYFUNCTION("""COMPUTED_VALUE"""),1831.0)</f>
        <v>1831</v>
      </c>
      <c r="D4653" s="5">
        <f>IFERROR(__xludf.DUMMYFUNCTION("""COMPUTED_VALUE"""),0.24627310673822303)</f>
        <v>0.2462731067</v>
      </c>
      <c r="E4653" s="5">
        <f>IFERROR(__xludf.DUMMYFUNCTION("""COMPUTED_VALUE"""),0.11627906976744186)</f>
        <v>0.1162790698</v>
      </c>
      <c r="F4653" s="5">
        <f>IFERROR(__xludf.DUMMYFUNCTION("""COMPUTED_VALUE"""),0.1836612999403697)</f>
        <v>0.1836612999</v>
      </c>
      <c r="G4653" s="5">
        <f>IFERROR(__xludf.DUMMYFUNCTION("""COMPUTED_VALUE"""),0.15324985092426952)</f>
        <v>0.1532498509</v>
      </c>
      <c r="H4653" s="5">
        <f>IFERROR(__xludf.DUMMYFUNCTION("""COMPUTED_VALUE"""),0.6396103896103896)</f>
        <v>0.6396103896</v>
      </c>
      <c r="I4653" s="11">
        <f>IFERROR(__xludf.DUMMYFUNCTION("""COMPUTED_VALUE"""),5942.207792207792)</f>
        <v>5942.207792</v>
      </c>
      <c r="J4653" s="10">
        <f>IFERROR(__xludf.DUMMYFUNCTION("""COMPUTED_VALUE"""),0.0)</f>
        <v>0</v>
      </c>
      <c r="K4653" s="5">
        <f>IFERROR(__xludf.DUMMYFUNCTION("""COMPUTED_VALUE"""),0.0)</f>
        <v>0</v>
      </c>
      <c r="L4653" s="10">
        <f>IFERROR(__xludf.DUMMYFUNCTION("""COMPUTED_VALUE"""),0.0)</f>
        <v>0</v>
      </c>
      <c r="M4653" s="5">
        <f>IFERROR(__xludf.DUMMYFUNCTION("""COMPUTED_VALUE"""),0.0)</f>
        <v>0</v>
      </c>
    </row>
    <row r="4654">
      <c r="A4654" s="10" t="str">
        <f>IFERROR(__xludf.DUMMYFUNCTION("""COMPUTED_VALUE"""),"しゃんおじ")</f>
        <v>しゃんおじ</v>
      </c>
      <c r="B4654" s="10">
        <f>IFERROR(__xludf.DUMMYFUNCTION("""COMPUTED_VALUE"""),426.0)</f>
        <v>426</v>
      </c>
      <c r="C4654" s="10">
        <f>IFERROR(__xludf.DUMMYFUNCTION("""COMPUTED_VALUE"""),5010.0)</f>
        <v>5010</v>
      </c>
      <c r="D4654" s="5">
        <f>IFERROR(__xludf.DUMMYFUNCTION("""COMPUTED_VALUE"""),0.32809773123909247)</f>
        <v>0.3280977312</v>
      </c>
      <c r="E4654" s="5">
        <f>IFERROR(__xludf.DUMMYFUNCTION("""COMPUTED_VALUE"""),0.1162739965095986)</f>
        <v>0.1162739965</v>
      </c>
      <c r="F4654" s="5">
        <f>IFERROR(__xludf.DUMMYFUNCTION("""COMPUTED_VALUE"""),0.20964223385689354)</f>
        <v>0.2096422339</v>
      </c>
      <c r="G4654" s="5">
        <f>IFERROR(__xludf.DUMMYFUNCTION("""COMPUTED_VALUE"""),0.19088132635253055)</f>
        <v>0.1908813264</v>
      </c>
      <c r="H4654" s="5">
        <f>IFERROR(__xludf.DUMMYFUNCTION("""COMPUTED_VALUE"""),0.5691987513007284)</f>
        <v>0.5691987513</v>
      </c>
      <c r="I4654" s="11">
        <f>IFERROR(__xludf.DUMMYFUNCTION("""COMPUTED_VALUE"""),5871.279916753382)</f>
        <v>5871.279917</v>
      </c>
      <c r="J4654" s="10">
        <f>IFERROR(__xludf.DUMMYFUNCTION("""COMPUTED_VALUE"""),0.0)</f>
        <v>0</v>
      </c>
      <c r="K4654" s="5">
        <f>IFERROR(__xludf.DUMMYFUNCTION("""COMPUTED_VALUE"""),0.0)</f>
        <v>0</v>
      </c>
      <c r="L4654" s="10">
        <f>IFERROR(__xludf.DUMMYFUNCTION("""COMPUTED_VALUE"""),39.0)</f>
        <v>39</v>
      </c>
      <c r="M4654" s="5">
        <f>IFERROR(__xludf.DUMMYFUNCTION("""COMPUTED_VALUE"""),0.09154929577464789)</f>
        <v>0.09154929577</v>
      </c>
    </row>
    <row r="4655">
      <c r="A4655" s="10" t="str">
        <f>IFERROR(__xludf.DUMMYFUNCTION("""COMPUTED_VALUE"""),"うるさいは褒め詞")</f>
        <v>うるさいは褒め詞</v>
      </c>
      <c r="B4655" s="10">
        <f>IFERROR(__xludf.DUMMYFUNCTION("""COMPUTED_VALUE"""),971.0)</f>
        <v>971</v>
      </c>
      <c r="C4655" s="10">
        <f>IFERROR(__xludf.DUMMYFUNCTION("""COMPUTED_VALUE"""),11481.0)</f>
        <v>11481</v>
      </c>
      <c r="D4655" s="5">
        <f>IFERROR(__xludf.DUMMYFUNCTION("""COMPUTED_VALUE"""),0.32055185537583253)</f>
        <v>0.3205518554</v>
      </c>
      <c r="E4655" s="5">
        <f>IFERROR(__xludf.DUMMYFUNCTION("""COMPUTED_VALUE"""),0.11627021883920076)</f>
        <v>0.1162702188</v>
      </c>
      <c r="F4655" s="5">
        <f>IFERROR(__xludf.DUMMYFUNCTION("""COMPUTED_VALUE"""),0.1940057088487155)</f>
        <v>0.1940057088</v>
      </c>
      <c r="G4655" s="5">
        <f>IFERROR(__xludf.DUMMYFUNCTION("""COMPUTED_VALUE"""),0.11550903901046622)</f>
        <v>0.115509039</v>
      </c>
      <c r="H4655" s="5">
        <f>IFERROR(__xludf.DUMMYFUNCTION("""COMPUTED_VALUE"""),0.6159882295242766)</f>
        <v>0.6159882295</v>
      </c>
      <c r="I4655" s="11">
        <f>IFERROR(__xludf.DUMMYFUNCTION("""COMPUTED_VALUE"""),5512.751348700343)</f>
        <v>5512.751349</v>
      </c>
      <c r="J4655" s="10">
        <f>IFERROR(__xludf.DUMMYFUNCTION("""COMPUTED_VALUE"""),0.0)</f>
        <v>0</v>
      </c>
      <c r="K4655" s="5">
        <f>IFERROR(__xludf.DUMMYFUNCTION("""COMPUTED_VALUE"""),0.0)</f>
        <v>0</v>
      </c>
      <c r="L4655" s="10">
        <f>IFERROR(__xludf.DUMMYFUNCTION("""COMPUTED_VALUE"""),971.0)</f>
        <v>971</v>
      </c>
      <c r="M4655" s="5">
        <f>IFERROR(__xludf.DUMMYFUNCTION("""COMPUTED_VALUE"""),1.0)</f>
        <v>1</v>
      </c>
    </row>
    <row r="4656">
      <c r="A4656" s="10" t="str">
        <f>IFERROR(__xludf.DUMMYFUNCTION("""COMPUTED_VALUE"""),"hijio")</f>
        <v>hijio</v>
      </c>
      <c r="B4656" s="10">
        <f>IFERROR(__xludf.DUMMYFUNCTION("""COMPUTED_VALUE"""),492.0)</f>
        <v>492</v>
      </c>
      <c r="C4656" s="10">
        <f>IFERROR(__xludf.DUMMYFUNCTION("""COMPUTED_VALUE"""),5696.0)</f>
        <v>5696</v>
      </c>
      <c r="D4656" s="5">
        <f>IFERROR(__xludf.DUMMYFUNCTION("""COMPUTED_VALUE"""),0.27901614142966946)</f>
        <v>0.2790161414</v>
      </c>
      <c r="E4656" s="5">
        <f>IFERROR(__xludf.DUMMYFUNCTION("""COMPUTED_VALUE"""),0.11625672559569562)</f>
        <v>0.1162567256</v>
      </c>
      <c r="F4656" s="5">
        <f>IFERROR(__xludf.DUMMYFUNCTION("""COMPUTED_VALUE"""),0.1960030745580323)</f>
        <v>0.1960030746</v>
      </c>
      <c r="G4656" s="5">
        <f>IFERROR(__xludf.DUMMYFUNCTION("""COMPUTED_VALUE"""),0.19177555726364334)</f>
        <v>0.1917755573</v>
      </c>
      <c r="H4656" s="5">
        <f>IFERROR(__xludf.DUMMYFUNCTION("""COMPUTED_VALUE"""),0.6098039215686275)</f>
        <v>0.6098039216</v>
      </c>
      <c r="I4656" s="11">
        <f>IFERROR(__xludf.DUMMYFUNCTION("""COMPUTED_VALUE"""),5920.78431372549)</f>
        <v>5920.784314</v>
      </c>
      <c r="J4656" s="10">
        <f>IFERROR(__xludf.DUMMYFUNCTION("""COMPUTED_VALUE"""),4.0)</f>
        <v>4</v>
      </c>
      <c r="K4656" s="5">
        <f>IFERROR(__xludf.DUMMYFUNCTION("""COMPUTED_VALUE"""),0.008130081300813009)</f>
        <v>0.008130081301</v>
      </c>
      <c r="L4656" s="10">
        <f>IFERROR(__xludf.DUMMYFUNCTION("""COMPUTED_VALUE"""),492.0)</f>
        <v>492</v>
      </c>
      <c r="M4656" s="5">
        <f>IFERROR(__xludf.DUMMYFUNCTION("""COMPUTED_VALUE"""),1.0)</f>
        <v>1</v>
      </c>
    </row>
    <row r="4657">
      <c r="A4657" s="10" t="str">
        <f>IFERROR(__xludf.DUMMYFUNCTION("""COMPUTED_VALUE"""),"G8龍門")</f>
        <v>G8龍門</v>
      </c>
      <c r="B4657" s="10">
        <f>IFERROR(__xludf.DUMMYFUNCTION("""COMPUTED_VALUE"""),539.0)</f>
        <v>539</v>
      </c>
      <c r="C4657" s="10">
        <f>IFERROR(__xludf.DUMMYFUNCTION("""COMPUTED_VALUE"""),6337.0)</f>
        <v>6337</v>
      </c>
      <c r="D4657" s="5">
        <f>IFERROR(__xludf.DUMMYFUNCTION("""COMPUTED_VALUE"""),0.3797861331493618)</f>
        <v>0.3797861331</v>
      </c>
      <c r="E4657" s="5">
        <f>IFERROR(__xludf.DUMMYFUNCTION("""COMPUTED_VALUE"""),0.11624698171783374)</f>
        <v>0.1162469817</v>
      </c>
      <c r="F4657" s="5">
        <f>IFERROR(__xludf.DUMMYFUNCTION("""COMPUTED_VALUE"""),0.1986892031735081)</f>
        <v>0.1986892032</v>
      </c>
      <c r="G4657" s="5">
        <f>IFERROR(__xludf.DUMMYFUNCTION("""COMPUTED_VALUE"""),0.11331493618489134)</f>
        <v>0.1133149362</v>
      </c>
      <c r="H4657" s="5">
        <f>IFERROR(__xludf.DUMMYFUNCTION("""COMPUTED_VALUE"""),0.6223958333333334)</f>
        <v>0.6223958333</v>
      </c>
      <c r="I4657" s="11">
        <f>IFERROR(__xludf.DUMMYFUNCTION("""COMPUTED_VALUE"""),5270.746527777777)</f>
        <v>5270.746528</v>
      </c>
      <c r="J4657" s="10">
        <f>IFERROR(__xludf.DUMMYFUNCTION("""COMPUTED_VALUE"""),0.0)</f>
        <v>0</v>
      </c>
      <c r="K4657" s="5">
        <f>IFERROR(__xludf.DUMMYFUNCTION("""COMPUTED_VALUE"""),0.0)</f>
        <v>0</v>
      </c>
      <c r="L4657" s="10">
        <f>IFERROR(__xludf.DUMMYFUNCTION("""COMPUTED_VALUE"""),1.0)</f>
        <v>1</v>
      </c>
      <c r="M4657" s="5">
        <f>IFERROR(__xludf.DUMMYFUNCTION("""COMPUTED_VALUE"""),0.0018552875695732839)</f>
        <v>0.00185528757</v>
      </c>
    </row>
    <row r="4658">
      <c r="A4658" s="10" t="str">
        <f>IFERROR(__xludf.DUMMYFUNCTION("""COMPUTED_VALUE"""),"カブト")</f>
        <v>カブト</v>
      </c>
      <c r="B4658" s="10">
        <f>IFERROR(__xludf.DUMMYFUNCTION("""COMPUTED_VALUE"""),4118.0)</f>
        <v>4118</v>
      </c>
      <c r="C4658" s="10">
        <f>IFERROR(__xludf.DUMMYFUNCTION("""COMPUTED_VALUE"""),48774.0)</f>
        <v>48774</v>
      </c>
      <c r="D4658" s="5">
        <f>IFERROR(__xludf.DUMMYFUNCTION("""COMPUTED_VALUE"""),0.3250179147259047)</f>
        <v>0.3250179147</v>
      </c>
      <c r="E4658" s="5">
        <f>IFERROR(__xludf.DUMMYFUNCTION("""COMPUTED_VALUE"""),0.11624417771408098)</f>
        <v>0.1162441777</v>
      </c>
      <c r="F4658" s="5">
        <f>IFERROR(__xludf.DUMMYFUNCTION("""COMPUTED_VALUE"""),0.2098038337513436)</f>
        <v>0.2098038338</v>
      </c>
      <c r="G4658" s="5">
        <f>IFERROR(__xludf.DUMMYFUNCTION("""COMPUTED_VALUE"""),0.16584557506270153)</f>
        <v>0.1658455751</v>
      </c>
      <c r="H4658" s="5">
        <f>IFERROR(__xludf.DUMMYFUNCTION("""COMPUTED_VALUE"""),0.5970754616287758)</f>
        <v>0.5970754616</v>
      </c>
      <c r="I4658" s="11">
        <f>IFERROR(__xludf.DUMMYFUNCTION("""COMPUTED_VALUE"""),5484.416693350411)</f>
        <v>5484.416693</v>
      </c>
      <c r="J4658" s="10">
        <f>IFERROR(__xludf.DUMMYFUNCTION("""COMPUTED_VALUE"""),12.0)</f>
        <v>12</v>
      </c>
      <c r="K4658" s="5">
        <f>IFERROR(__xludf.DUMMYFUNCTION("""COMPUTED_VALUE"""),0.0029140359397765905)</f>
        <v>0.00291403594</v>
      </c>
      <c r="L4658" s="10">
        <f>IFERROR(__xludf.DUMMYFUNCTION("""COMPUTED_VALUE"""),4103.0)</f>
        <v>4103</v>
      </c>
      <c r="M4658" s="5">
        <f>IFERROR(__xludf.DUMMYFUNCTION("""COMPUTED_VALUE"""),0.9963574550752793)</f>
        <v>0.9963574551</v>
      </c>
    </row>
    <row r="4659">
      <c r="A4659" s="10" t="str">
        <f>IFERROR(__xludf.DUMMYFUNCTION("""COMPUTED_VALUE"""),"がりがり☆ガリー")</f>
        <v>がりがり☆ガリー</v>
      </c>
      <c r="B4659" s="10">
        <f>IFERROR(__xludf.DUMMYFUNCTION("""COMPUTED_VALUE"""),286.0)</f>
        <v>286</v>
      </c>
      <c r="C4659" s="10">
        <f>IFERROR(__xludf.DUMMYFUNCTION("""COMPUTED_VALUE"""),3383.0)</f>
        <v>3383</v>
      </c>
      <c r="D4659" s="5">
        <f>IFERROR(__xludf.DUMMYFUNCTION("""COMPUTED_VALUE"""),0.3477558927994834)</f>
        <v>0.3477558928</v>
      </c>
      <c r="E4659" s="5">
        <f>IFERROR(__xludf.DUMMYFUNCTION("""COMPUTED_VALUE"""),0.11624152405553762)</f>
        <v>0.1162415241</v>
      </c>
      <c r="F4659" s="5">
        <f>IFERROR(__xludf.DUMMYFUNCTION("""COMPUTED_VALUE"""),0.1959961252825315)</f>
        <v>0.1959961253</v>
      </c>
      <c r="G4659" s="5">
        <f>IFERROR(__xludf.DUMMYFUNCTION("""COMPUTED_VALUE"""),0.16919599612528252)</f>
        <v>0.1691959961</v>
      </c>
      <c r="H4659" s="5">
        <f>IFERROR(__xludf.DUMMYFUNCTION("""COMPUTED_VALUE"""),0.5733113673805601)</f>
        <v>0.5733113674</v>
      </c>
      <c r="I4659" s="11">
        <f>IFERROR(__xludf.DUMMYFUNCTION("""COMPUTED_VALUE"""),5629.489291598023)</f>
        <v>5629.489292</v>
      </c>
      <c r="J4659" s="10">
        <f>IFERROR(__xludf.DUMMYFUNCTION("""COMPUTED_VALUE"""),1.0)</f>
        <v>1</v>
      </c>
      <c r="K4659" s="5">
        <f>IFERROR(__xludf.DUMMYFUNCTION("""COMPUTED_VALUE"""),0.0034965034965034965)</f>
        <v>0.003496503497</v>
      </c>
      <c r="L4659" s="10">
        <f>IFERROR(__xludf.DUMMYFUNCTION("""COMPUTED_VALUE"""),286.0)</f>
        <v>286</v>
      </c>
      <c r="M4659" s="5">
        <f>IFERROR(__xludf.DUMMYFUNCTION("""COMPUTED_VALUE"""),1.0)</f>
        <v>1</v>
      </c>
    </row>
    <row r="4660">
      <c r="A4660" s="10" t="str">
        <f>IFERROR(__xludf.DUMMYFUNCTION("""COMPUTED_VALUE"""),"かりんちゃん")</f>
        <v>かりんちゃん</v>
      </c>
      <c r="B4660" s="10">
        <f>IFERROR(__xludf.DUMMYFUNCTION("""COMPUTED_VALUE"""),603.0)</f>
        <v>603</v>
      </c>
      <c r="C4660" s="10">
        <f>IFERROR(__xludf.DUMMYFUNCTION("""COMPUTED_VALUE"""),7038.0)</f>
        <v>7038</v>
      </c>
      <c r="D4660" s="5">
        <f>IFERROR(__xludf.DUMMYFUNCTION("""COMPUTED_VALUE"""),0.354001554001554)</f>
        <v>0.354001554</v>
      </c>
      <c r="E4660" s="5">
        <f>IFERROR(__xludf.DUMMYFUNCTION("""COMPUTED_VALUE"""),0.11623931623931624)</f>
        <v>0.1162393162</v>
      </c>
      <c r="F4660" s="5">
        <f>IFERROR(__xludf.DUMMYFUNCTION("""COMPUTED_VALUE"""),0.21491841491841493)</f>
        <v>0.2149184149</v>
      </c>
      <c r="G4660" s="5">
        <f>IFERROR(__xludf.DUMMYFUNCTION("""COMPUTED_VALUE"""),0.16845376845376844)</f>
        <v>0.1684537685</v>
      </c>
      <c r="H4660" s="5">
        <f>IFERROR(__xludf.DUMMYFUNCTION("""COMPUTED_VALUE"""),0.6030368763557483)</f>
        <v>0.6030368764</v>
      </c>
      <c r="I4660" s="11">
        <f>IFERROR(__xludf.DUMMYFUNCTION("""COMPUTED_VALUE"""),5558.134490238612)</f>
        <v>5558.13449</v>
      </c>
      <c r="J4660" s="10">
        <f>IFERROR(__xludf.DUMMYFUNCTION("""COMPUTED_VALUE"""),2.0)</f>
        <v>2</v>
      </c>
      <c r="K4660" s="5">
        <f>IFERROR(__xludf.DUMMYFUNCTION("""COMPUTED_VALUE"""),0.003316749585406302)</f>
        <v>0.003316749585</v>
      </c>
      <c r="L4660" s="10">
        <f>IFERROR(__xludf.DUMMYFUNCTION("""COMPUTED_VALUE"""),2.0)</f>
        <v>2</v>
      </c>
      <c r="M4660" s="5">
        <f>IFERROR(__xludf.DUMMYFUNCTION("""COMPUTED_VALUE"""),0.003316749585406302)</f>
        <v>0.003316749585</v>
      </c>
    </row>
    <row r="4661">
      <c r="A4661" s="10" t="str">
        <f>IFERROR(__xludf.DUMMYFUNCTION("""COMPUTED_VALUE"""),"豆特＠河村軍団")</f>
        <v>豆特＠河村軍団</v>
      </c>
      <c r="B4661" s="10">
        <f>IFERROR(__xludf.DUMMYFUNCTION("""COMPUTED_VALUE"""),2405.0)</f>
        <v>2405</v>
      </c>
      <c r="C4661" s="10">
        <f>IFERROR(__xludf.DUMMYFUNCTION("""COMPUTED_VALUE"""),28498.0)</f>
        <v>28498</v>
      </c>
      <c r="D4661" s="5">
        <f>IFERROR(__xludf.DUMMYFUNCTION("""COMPUTED_VALUE"""),0.4089602575403365)</f>
        <v>0.4089602575</v>
      </c>
      <c r="E4661" s="5">
        <f>IFERROR(__xludf.DUMMYFUNCTION("""COMPUTED_VALUE"""),0.11623807151343273)</f>
        <v>0.1162380715</v>
      </c>
      <c r="F4661" s="5">
        <f>IFERROR(__xludf.DUMMYFUNCTION("""COMPUTED_VALUE"""),0.21020963476794544)</f>
        <v>0.2102096348</v>
      </c>
      <c r="G4661" s="5">
        <f>IFERROR(__xludf.DUMMYFUNCTION("""COMPUTED_VALUE"""),0.1458628751006017)</f>
        <v>0.1458628751</v>
      </c>
      <c r="H4661" s="5">
        <f>IFERROR(__xludf.DUMMYFUNCTION("""COMPUTED_VALUE"""),0.6005469462169554)</f>
        <v>0.6005469462</v>
      </c>
      <c r="I4661" s="11">
        <f>IFERROR(__xludf.DUMMYFUNCTION("""COMPUTED_VALUE"""),5386.453965360073)</f>
        <v>5386.453965</v>
      </c>
      <c r="J4661" s="10">
        <f>IFERROR(__xludf.DUMMYFUNCTION("""COMPUTED_VALUE"""),7.0)</f>
        <v>7</v>
      </c>
      <c r="K4661" s="5">
        <f>IFERROR(__xludf.DUMMYFUNCTION("""COMPUTED_VALUE"""),0.0029106029106029108)</f>
        <v>0.002910602911</v>
      </c>
      <c r="L4661" s="10">
        <f>IFERROR(__xludf.DUMMYFUNCTION("""COMPUTED_VALUE"""),2393.0)</f>
        <v>2393</v>
      </c>
      <c r="M4661" s="5">
        <f>IFERROR(__xludf.DUMMYFUNCTION("""COMPUTED_VALUE"""),0.995010395010395)</f>
        <v>0.995010395</v>
      </c>
    </row>
    <row r="4662">
      <c r="A4662" s="10" t="str">
        <f>IFERROR(__xludf.DUMMYFUNCTION("""COMPUTED_VALUE"""),"てぴぴぴぴ")</f>
        <v>てぴぴぴぴ</v>
      </c>
      <c r="B4662" s="10">
        <f>IFERROR(__xludf.DUMMYFUNCTION("""COMPUTED_VALUE"""),704.0)</f>
        <v>704</v>
      </c>
      <c r="C4662" s="10">
        <f>IFERROR(__xludf.DUMMYFUNCTION("""COMPUTED_VALUE"""),8215.0)</f>
        <v>8215</v>
      </c>
      <c r="D4662" s="5">
        <f>IFERROR(__xludf.DUMMYFUNCTION("""COMPUTED_VALUE"""),0.3301823991479164)</f>
        <v>0.3301823991</v>
      </c>
      <c r="E4662" s="5">
        <f>IFERROR(__xludf.DUMMYFUNCTION("""COMPUTED_VALUE"""),0.11622953002263348)</f>
        <v>0.11622953</v>
      </c>
      <c r="F4662" s="5">
        <f>IFERROR(__xludf.DUMMYFUNCTION("""COMPUTED_VALUE"""),0.20183730528558114)</f>
        <v>0.2018373053</v>
      </c>
      <c r="G4662" s="5">
        <f>IFERROR(__xludf.DUMMYFUNCTION("""COMPUTED_VALUE"""),0.1750765543868992)</f>
        <v>0.1750765544</v>
      </c>
      <c r="H4662" s="5">
        <f>IFERROR(__xludf.DUMMYFUNCTION("""COMPUTED_VALUE"""),0.6134564643799473)</f>
        <v>0.6134564644</v>
      </c>
      <c r="I4662" s="11">
        <f>IFERROR(__xludf.DUMMYFUNCTION("""COMPUTED_VALUE"""),5875.7255936675465)</f>
        <v>5875.725594</v>
      </c>
      <c r="J4662" s="10">
        <f>IFERROR(__xludf.DUMMYFUNCTION("""COMPUTED_VALUE"""),1.0)</f>
        <v>1</v>
      </c>
      <c r="K4662" s="5">
        <f>IFERROR(__xludf.DUMMYFUNCTION("""COMPUTED_VALUE"""),0.0014204545454545455)</f>
        <v>0.001420454545</v>
      </c>
      <c r="L4662" s="10">
        <f>IFERROR(__xludf.DUMMYFUNCTION("""COMPUTED_VALUE"""),0.0)</f>
        <v>0</v>
      </c>
      <c r="M4662" s="5">
        <f>IFERROR(__xludf.DUMMYFUNCTION("""COMPUTED_VALUE"""),0.0)</f>
        <v>0</v>
      </c>
    </row>
    <row r="4663">
      <c r="A4663" s="10" t="str">
        <f>IFERROR(__xludf.DUMMYFUNCTION("""COMPUTED_VALUE"""),"開かれ")</f>
        <v>開かれ</v>
      </c>
      <c r="B4663" s="10">
        <f>IFERROR(__xludf.DUMMYFUNCTION("""COMPUTED_VALUE"""),110.0)</f>
        <v>110</v>
      </c>
      <c r="C4663" s="10">
        <f>IFERROR(__xludf.DUMMYFUNCTION("""COMPUTED_VALUE"""),1306.0)</f>
        <v>1306</v>
      </c>
      <c r="D4663" s="5">
        <f>IFERROR(__xludf.DUMMYFUNCTION("""COMPUTED_VALUE"""),0.3520066889632107)</f>
        <v>0.352006689</v>
      </c>
      <c r="E4663" s="5">
        <f>IFERROR(__xludf.DUMMYFUNCTION("""COMPUTED_VALUE"""),0.11622073578595318)</f>
        <v>0.1162207358</v>
      </c>
      <c r="F4663" s="5">
        <f>IFERROR(__xludf.DUMMYFUNCTION("""COMPUTED_VALUE"""),0.19983277591973245)</f>
        <v>0.1998327759</v>
      </c>
      <c r="G4663" s="5">
        <f>IFERROR(__xludf.DUMMYFUNCTION("""COMPUTED_VALUE"""),0.1588628762541806)</f>
        <v>0.1588628763</v>
      </c>
      <c r="H4663" s="5">
        <f>IFERROR(__xludf.DUMMYFUNCTION("""COMPUTED_VALUE"""),0.5941422594142259)</f>
        <v>0.5941422594</v>
      </c>
      <c r="I4663" s="11">
        <f>IFERROR(__xludf.DUMMYFUNCTION("""COMPUTED_VALUE"""),5406.694560669456)</f>
        <v>5406.694561</v>
      </c>
      <c r="J4663" s="10">
        <f>IFERROR(__xludf.DUMMYFUNCTION("""COMPUTED_VALUE"""),0.0)</f>
        <v>0</v>
      </c>
      <c r="K4663" s="5">
        <f>IFERROR(__xludf.DUMMYFUNCTION("""COMPUTED_VALUE"""),0.0)</f>
        <v>0</v>
      </c>
      <c r="L4663" s="10">
        <f>IFERROR(__xludf.DUMMYFUNCTION("""COMPUTED_VALUE"""),54.0)</f>
        <v>54</v>
      </c>
      <c r="M4663" s="5">
        <f>IFERROR(__xludf.DUMMYFUNCTION("""COMPUTED_VALUE"""),0.4909090909090909)</f>
        <v>0.4909090909</v>
      </c>
    </row>
    <row r="4664">
      <c r="A4664" s="10" t="str">
        <f>IFERROR(__xludf.DUMMYFUNCTION("""COMPUTED_VALUE"""),"月詠さん")</f>
        <v>月詠さん</v>
      </c>
      <c r="B4664" s="10">
        <f>IFERROR(__xludf.DUMMYFUNCTION("""COMPUTED_VALUE"""),636.0)</f>
        <v>636</v>
      </c>
      <c r="C4664" s="10">
        <f>IFERROR(__xludf.DUMMYFUNCTION("""COMPUTED_VALUE"""),7546.0)</f>
        <v>7546</v>
      </c>
      <c r="D4664" s="5">
        <f>IFERROR(__xludf.DUMMYFUNCTION("""COMPUTED_VALUE"""),0.3057887120115774)</f>
        <v>0.305788712</v>
      </c>
      <c r="E4664" s="5">
        <f>IFERROR(__xludf.DUMMYFUNCTION("""COMPUTED_VALUE"""),0.11620839363241679)</f>
        <v>0.1162083936</v>
      </c>
      <c r="F4664" s="5">
        <f>IFERROR(__xludf.DUMMYFUNCTION("""COMPUTED_VALUE"""),0.20188133140376266)</f>
        <v>0.2018813314</v>
      </c>
      <c r="G4664" s="5">
        <f>IFERROR(__xludf.DUMMYFUNCTION("""COMPUTED_VALUE"""),0.17120115774240233)</f>
        <v>0.1712011577</v>
      </c>
      <c r="H4664" s="5">
        <f>IFERROR(__xludf.DUMMYFUNCTION("""COMPUTED_VALUE"""),0.5706093189964158)</f>
        <v>0.570609319</v>
      </c>
      <c r="I4664" s="11">
        <f>IFERROR(__xludf.DUMMYFUNCTION("""COMPUTED_VALUE"""),5673.1899641577065)</f>
        <v>5673.189964</v>
      </c>
      <c r="J4664" s="10">
        <f>IFERROR(__xludf.DUMMYFUNCTION("""COMPUTED_VALUE"""),0.0)</f>
        <v>0</v>
      </c>
      <c r="K4664" s="5">
        <f>IFERROR(__xludf.DUMMYFUNCTION("""COMPUTED_VALUE"""),0.0)</f>
        <v>0</v>
      </c>
      <c r="L4664" s="10">
        <f>IFERROR(__xludf.DUMMYFUNCTION("""COMPUTED_VALUE"""),0.0)</f>
        <v>0</v>
      </c>
      <c r="M4664" s="5">
        <f>IFERROR(__xludf.DUMMYFUNCTION("""COMPUTED_VALUE"""),0.0)</f>
        <v>0</v>
      </c>
    </row>
    <row r="4665">
      <c r="A4665" s="10" t="str">
        <f>IFERROR(__xludf.DUMMYFUNCTION("""COMPUTED_VALUE"""),"和泉紗霧")</f>
        <v>和泉紗霧</v>
      </c>
      <c r="B4665" s="10">
        <f>IFERROR(__xludf.DUMMYFUNCTION("""COMPUTED_VALUE"""),1679.0)</f>
        <v>1679</v>
      </c>
      <c r="C4665" s="10">
        <f>IFERROR(__xludf.DUMMYFUNCTION("""COMPUTED_VALUE"""),19579.0)</f>
        <v>19579</v>
      </c>
      <c r="D4665" s="5">
        <f>IFERROR(__xludf.DUMMYFUNCTION("""COMPUTED_VALUE"""),0.2988268156424581)</f>
        <v>0.2988268156</v>
      </c>
      <c r="E4665" s="5">
        <f>IFERROR(__xludf.DUMMYFUNCTION("""COMPUTED_VALUE"""),0.11620111731843576)</f>
        <v>0.1162011173</v>
      </c>
      <c r="F4665" s="5">
        <f>IFERROR(__xludf.DUMMYFUNCTION("""COMPUTED_VALUE"""),0.20564245810055867)</f>
        <v>0.2056424581</v>
      </c>
      <c r="G4665" s="5">
        <f>IFERROR(__xludf.DUMMYFUNCTION("""COMPUTED_VALUE"""),0.14804469273743018)</f>
        <v>0.1480446927</v>
      </c>
      <c r="H4665" s="5">
        <f>IFERROR(__xludf.DUMMYFUNCTION("""COMPUTED_VALUE"""),0.6052703069817984)</f>
        <v>0.605270307</v>
      </c>
      <c r="I4665" s="11">
        <f>IFERROR(__xludf.DUMMYFUNCTION("""COMPUTED_VALUE"""),5866.829665851671)</f>
        <v>5866.829666</v>
      </c>
      <c r="J4665" s="10">
        <f>IFERROR(__xludf.DUMMYFUNCTION("""COMPUTED_VALUE"""),7.0)</f>
        <v>7</v>
      </c>
      <c r="K4665" s="5">
        <f>IFERROR(__xludf.DUMMYFUNCTION("""COMPUTED_VALUE"""),0.004169148302561048)</f>
        <v>0.004169148303</v>
      </c>
      <c r="L4665" s="10">
        <f>IFERROR(__xludf.DUMMYFUNCTION("""COMPUTED_VALUE"""),0.0)</f>
        <v>0</v>
      </c>
      <c r="M4665" s="5">
        <f>IFERROR(__xludf.DUMMYFUNCTION("""COMPUTED_VALUE"""),0.0)</f>
        <v>0</v>
      </c>
    </row>
    <row r="4666">
      <c r="A4666" s="10" t="str">
        <f>IFERROR(__xludf.DUMMYFUNCTION("""COMPUTED_VALUE"""),"アフリカ")</f>
        <v>アフリカ</v>
      </c>
      <c r="B4666" s="10">
        <f>IFERROR(__xludf.DUMMYFUNCTION("""COMPUTED_VALUE"""),3295.0)</f>
        <v>3295</v>
      </c>
      <c r="C4666" s="10">
        <f>IFERROR(__xludf.DUMMYFUNCTION("""COMPUTED_VALUE"""),38752.0)</f>
        <v>38752</v>
      </c>
      <c r="D4666" s="5">
        <f>IFERROR(__xludf.DUMMYFUNCTION("""COMPUTED_VALUE"""),0.39123445299940773)</f>
        <v>0.391234453</v>
      </c>
      <c r="E4666" s="5">
        <f>IFERROR(__xludf.DUMMYFUNCTION("""COMPUTED_VALUE"""),0.11619708379163494)</f>
        <v>0.1161970838</v>
      </c>
      <c r="F4666" s="5">
        <f>IFERROR(__xludf.DUMMYFUNCTION("""COMPUTED_VALUE"""),0.218913049609386)</f>
        <v>0.2189130496</v>
      </c>
      <c r="G4666" s="5">
        <f>IFERROR(__xludf.DUMMYFUNCTION("""COMPUTED_VALUE"""),0.1491383929830499)</f>
        <v>0.149138393</v>
      </c>
      <c r="H4666" s="5">
        <f>IFERROR(__xludf.DUMMYFUNCTION("""COMPUTED_VALUE"""),0.6239371296057717)</f>
        <v>0.6239371296</v>
      </c>
      <c r="I4666" s="11">
        <f>IFERROR(__xludf.DUMMYFUNCTION("""COMPUTED_VALUE"""),5195.593919093018)</f>
        <v>5195.593919</v>
      </c>
      <c r="J4666" s="10">
        <f>IFERROR(__xludf.DUMMYFUNCTION("""COMPUTED_VALUE"""),2.0)</f>
        <v>2</v>
      </c>
      <c r="K4666" s="5">
        <f>IFERROR(__xludf.DUMMYFUNCTION("""COMPUTED_VALUE"""),6.069802731411229E-4)</f>
        <v>0.0006069802731</v>
      </c>
      <c r="L4666" s="10">
        <f>IFERROR(__xludf.DUMMYFUNCTION("""COMPUTED_VALUE"""),3295.0)</f>
        <v>3295</v>
      </c>
      <c r="M4666" s="5">
        <f>IFERROR(__xludf.DUMMYFUNCTION("""COMPUTED_VALUE"""),1.0)</f>
        <v>1</v>
      </c>
    </row>
    <row r="4667">
      <c r="A4667" s="10" t="str">
        <f>IFERROR(__xludf.DUMMYFUNCTION("""COMPUTED_VALUE"""),".Sai")</f>
        <v>.Sai</v>
      </c>
      <c r="B4667" s="10">
        <f>IFERROR(__xludf.DUMMYFUNCTION("""COMPUTED_VALUE"""),585.0)</f>
        <v>585</v>
      </c>
      <c r="C4667" s="10">
        <f>IFERROR(__xludf.DUMMYFUNCTION("""COMPUTED_VALUE"""),6988.0)</f>
        <v>6988</v>
      </c>
      <c r="D4667" s="5">
        <f>IFERROR(__xludf.DUMMYFUNCTION("""COMPUTED_VALUE"""),0.3011088552241137)</f>
        <v>0.3011088552</v>
      </c>
      <c r="E4667" s="5">
        <f>IFERROR(__xludf.DUMMYFUNCTION("""COMPUTED_VALUE"""),0.11619553334374512)</f>
        <v>0.1161955333</v>
      </c>
      <c r="F4667" s="5">
        <f>IFERROR(__xludf.DUMMYFUNCTION("""COMPUTED_VALUE"""),0.21255661408714666)</f>
        <v>0.2125566141</v>
      </c>
      <c r="G4667" s="5">
        <f>IFERROR(__xludf.DUMMYFUNCTION("""COMPUTED_VALUE"""),0.18944244885210057)</f>
        <v>0.1894424489</v>
      </c>
      <c r="H4667" s="5">
        <f>IFERROR(__xludf.DUMMYFUNCTION("""COMPUTED_VALUE"""),0.6076414401175606)</f>
        <v>0.6076414401</v>
      </c>
      <c r="I4667" s="11">
        <f>IFERROR(__xludf.DUMMYFUNCTION("""COMPUTED_VALUE"""),5703.30639235856)</f>
        <v>5703.306392</v>
      </c>
      <c r="J4667" s="10">
        <f>IFERROR(__xludf.DUMMYFUNCTION("""COMPUTED_VALUE"""),0.0)</f>
        <v>0</v>
      </c>
      <c r="K4667" s="5">
        <f>IFERROR(__xludf.DUMMYFUNCTION("""COMPUTED_VALUE"""),0.0)</f>
        <v>0</v>
      </c>
      <c r="L4667" s="10">
        <f>IFERROR(__xludf.DUMMYFUNCTION("""COMPUTED_VALUE"""),585.0)</f>
        <v>585</v>
      </c>
      <c r="M4667" s="5">
        <f>IFERROR(__xludf.DUMMYFUNCTION("""COMPUTED_VALUE"""),1.0)</f>
        <v>1</v>
      </c>
    </row>
    <row r="4668">
      <c r="A4668" s="10" t="str">
        <f>IFERROR(__xludf.DUMMYFUNCTION("""COMPUTED_VALUE"""),"nangoku")</f>
        <v>nangoku</v>
      </c>
      <c r="B4668" s="10">
        <f>IFERROR(__xludf.DUMMYFUNCTION("""COMPUTED_VALUE"""),287.0)</f>
        <v>287</v>
      </c>
      <c r="C4668" s="10">
        <f>IFERROR(__xludf.DUMMYFUNCTION("""COMPUTED_VALUE"""),3351.0)</f>
        <v>3351</v>
      </c>
      <c r="D4668" s="5">
        <f>IFERROR(__xludf.DUMMYFUNCTION("""COMPUTED_VALUE"""),0.4046997389033943)</f>
        <v>0.4046997389</v>
      </c>
      <c r="E4668" s="5">
        <f>IFERROR(__xludf.DUMMYFUNCTION("""COMPUTED_VALUE"""),0.11618798955613577)</f>
        <v>0.1161879896</v>
      </c>
      <c r="F4668" s="5">
        <f>IFERROR(__xludf.DUMMYFUNCTION("""COMPUTED_VALUE"""),0.21703655352480417)</f>
        <v>0.2170365535</v>
      </c>
      <c r="G4668" s="5">
        <f>IFERROR(__xludf.DUMMYFUNCTION("""COMPUTED_VALUE"""),0.13968668407310705)</f>
        <v>0.1396866841</v>
      </c>
      <c r="H4668" s="5">
        <f>IFERROR(__xludf.DUMMYFUNCTION("""COMPUTED_VALUE"""),0.6255639097744361)</f>
        <v>0.6255639098</v>
      </c>
      <c r="I4668" s="11">
        <f>IFERROR(__xludf.DUMMYFUNCTION("""COMPUTED_VALUE"""),5036.8421052631575)</f>
        <v>5036.842105</v>
      </c>
      <c r="J4668" s="10">
        <f>IFERROR(__xludf.DUMMYFUNCTION("""COMPUTED_VALUE"""),0.0)</f>
        <v>0</v>
      </c>
      <c r="K4668" s="5">
        <f>IFERROR(__xludf.DUMMYFUNCTION("""COMPUTED_VALUE"""),0.0)</f>
        <v>0</v>
      </c>
      <c r="L4668" s="10">
        <f>IFERROR(__xludf.DUMMYFUNCTION("""COMPUTED_VALUE"""),287.0)</f>
        <v>287</v>
      </c>
      <c r="M4668" s="5">
        <f>IFERROR(__xludf.DUMMYFUNCTION("""COMPUTED_VALUE"""),1.0)</f>
        <v>1</v>
      </c>
    </row>
    <row r="4669">
      <c r="A4669" s="10" t="str">
        <f>IFERROR(__xludf.DUMMYFUNCTION("""COMPUTED_VALUE"""),"スーリヤ")</f>
        <v>スーリヤ</v>
      </c>
      <c r="B4669" s="10">
        <f>IFERROR(__xludf.DUMMYFUNCTION("""COMPUTED_VALUE"""),360.0)</f>
        <v>360</v>
      </c>
      <c r="C4669" s="10">
        <f>IFERROR(__xludf.DUMMYFUNCTION("""COMPUTED_VALUE"""),4173.0)</f>
        <v>4173</v>
      </c>
      <c r="D4669" s="5">
        <f>IFERROR(__xludf.DUMMYFUNCTION("""COMPUTED_VALUE"""),0.33307107264621033)</f>
        <v>0.3330710726</v>
      </c>
      <c r="E4669" s="5">
        <f>IFERROR(__xludf.DUMMYFUNCTION("""COMPUTED_VALUE"""),0.11618148439548912)</f>
        <v>0.1161814844</v>
      </c>
      <c r="F4669" s="5">
        <f>IFERROR(__xludf.DUMMYFUNCTION("""COMPUTED_VALUE"""),0.2237083661159192)</f>
        <v>0.2237083661</v>
      </c>
      <c r="G4669" s="5">
        <f>IFERROR(__xludf.DUMMYFUNCTION("""COMPUTED_VALUE"""),0.15316024127983216)</f>
        <v>0.1531602413</v>
      </c>
      <c r="H4669" s="5">
        <f>IFERROR(__xludf.DUMMYFUNCTION("""COMPUTED_VALUE"""),0.6400937866354045)</f>
        <v>0.6400937866</v>
      </c>
      <c r="I4669" s="11">
        <f>IFERROR(__xludf.DUMMYFUNCTION("""COMPUTED_VALUE"""),5239.15592028136)</f>
        <v>5239.15592</v>
      </c>
      <c r="J4669" s="10">
        <f>IFERROR(__xludf.DUMMYFUNCTION("""COMPUTED_VALUE"""),1.0)</f>
        <v>1</v>
      </c>
      <c r="K4669" s="5">
        <f>IFERROR(__xludf.DUMMYFUNCTION("""COMPUTED_VALUE"""),0.002777777777777778)</f>
        <v>0.002777777778</v>
      </c>
      <c r="L4669" s="10">
        <f>IFERROR(__xludf.DUMMYFUNCTION("""COMPUTED_VALUE"""),360.0)</f>
        <v>360</v>
      </c>
      <c r="M4669" s="5">
        <f>IFERROR(__xludf.DUMMYFUNCTION("""COMPUTED_VALUE"""),1.0)</f>
        <v>1</v>
      </c>
    </row>
    <row r="4670">
      <c r="A4670" s="10" t="str">
        <f>IFERROR(__xludf.DUMMYFUNCTION("""COMPUTED_VALUE"""),"みゆろん")</f>
        <v>みゆろん</v>
      </c>
      <c r="B4670" s="10">
        <f>IFERROR(__xludf.DUMMYFUNCTION("""COMPUTED_VALUE"""),985.0)</f>
        <v>985</v>
      </c>
      <c r="C4670" s="10">
        <f>IFERROR(__xludf.DUMMYFUNCTION("""COMPUTED_VALUE"""),11522.0)</f>
        <v>11522</v>
      </c>
      <c r="D4670" s="5">
        <f>IFERROR(__xludf.DUMMYFUNCTION("""COMPUTED_VALUE"""),0.3715478789029135)</f>
        <v>0.3715478789</v>
      </c>
      <c r="E4670" s="5">
        <f>IFERROR(__xludf.DUMMYFUNCTION("""COMPUTED_VALUE"""),0.1161620954730948)</f>
        <v>0.1161620955</v>
      </c>
      <c r="F4670" s="5">
        <f>IFERROR(__xludf.DUMMYFUNCTION("""COMPUTED_VALUE"""),0.2213153649046218)</f>
        <v>0.2213153649</v>
      </c>
      <c r="G4670" s="5">
        <f>IFERROR(__xludf.DUMMYFUNCTION("""COMPUTED_VALUE"""),0.18819398310714625)</f>
        <v>0.1881939831</v>
      </c>
      <c r="H4670" s="5">
        <f>IFERROR(__xludf.DUMMYFUNCTION("""COMPUTED_VALUE"""),0.5853344768439108)</f>
        <v>0.5853344768</v>
      </c>
      <c r="I4670" s="11">
        <f>IFERROR(__xludf.DUMMYFUNCTION("""COMPUTED_VALUE"""),5294.468267581475)</f>
        <v>5294.468268</v>
      </c>
      <c r="J4670" s="10">
        <f>IFERROR(__xludf.DUMMYFUNCTION("""COMPUTED_VALUE"""),0.0)</f>
        <v>0</v>
      </c>
      <c r="K4670" s="5">
        <f>IFERROR(__xludf.DUMMYFUNCTION("""COMPUTED_VALUE"""),0.0)</f>
        <v>0</v>
      </c>
      <c r="L4670" s="10">
        <f>IFERROR(__xludf.DUMMYFUNCTION("""COMPUTED_VALUE"""),985.0)</f>
        <v>985</v>
      </c>
      <c r="M4670" s="5">
        <f>IFERROR(__xludf.DUMMYFUNCTION("""COMPUTED_VALUE"""),1.0)</f>
        <v>1</v>
      </c>
    </row>
    <row r="4671">
      <c r="A4671" s="10" t="str">
        <f>IFERROR(__xludf.DUMMYFUNCTION("""COMPUTED_VALUE"""),"nesier")</f>
        <v>nesier</v>
      </c>
      <c r="B4671" s="10">
        <f>IFERROR(__xludf.DUMMYFUNCTION("""COMPUTED_VALUE"""),251.0)</f>
        <v>251</v>
      </c>
      <c r="C4671" s="10">
        <f>IFERROR(__xludf.DUMMYFUNCTION("""COMPUTED_VALUE"""),3006.0)</f>
        <v>3006</v>
      </c>
      <c r="D4671" s="5">
        <f>IFERROR(__xludf.DUMMYFUNCTION("""COMPUTED_VALUE"""),0.344464609800363)</f>
        <v>0.3444646098</v>
      </c>
      <c r="E4671" s="5">
        <f>IFERROR(__xludf.DUMMYFUNCTION("""COMPUTED_VALUE"""),0.1161524500907441)</f>
        <v>0.1161524501</v>
      </c>
      <c r="F4671" s="5">
        <f>IFERROR(__xludf.DUMMYFUNCTION("""COMPUTED_VALUE"""),0.2)</f>
        <v>0.2</v>
      </c>
      <c r="G4671" s="5">
        <f>IFERROR(__xludf.DUMMYFUNCTION("""COMPUTED_VALUE"""),0.16116152450090745)</f>
        <v>0.1611615245</v>
      </c>
      <c r="H4671" s="5">
        <f>IFERROR(__xludf.DUMMYFUNCTION("""COMPUTED_VALUE"""),0.5934664246823956)</f>
        <v>0.5934664247</v>
      </c>
      <c r="I4671" s="11">
        <f>IFERROR(__xludf.DUMMYFUNCTION("""COMPUTED_VALUE"""),5562.068965517241)</f>
        <v>5562.068966</v>
      </c>
      <c r="J4671" s="10">
        <f>IFERROR(__xludf.DUMMYFUNCTION("""COMPUTED_VALUE"""),0.0)</f>
        <v>0</v>
      </c>
      <c r="K4671" s="5">
        <f>IFERROR(__xludf.DUMMYFUNCTION("""COMPUTED_VALUE"""),0.0)</f>
        <v>0</v>
      </c>
      <c r="L4671" s="10">
        <f>IFERROR(__xludf.DUMMYFUNCTION("""COMPUTED_VALUE"""),251.0)</f>
        <v>251</v>
      </c>
      <c r="M4671" s="5">
        <f>IFERROR(__xludf.DUMMYFUNCTION("""COMPUTED_VALUE"""),1.0)</f>
        <v>1</v>
      </c>
    </row>
    <row r="4672">
      <c r="A4672" s="10" t="str">
        <f>IFERROR(__xludf.DUMMYFUNCTION("""COMPUTED_VALUE"""),"げっち")</f>
        <v>げっち</v>
      </c>
      <c r="B4672" s="10">
        <f>IFERROR(__xludf.DUMMYFUNCTION("""COMPUTED_VALUE"""),3384.0)</f>
        <v>3384</v>
      </c>
      <c r="C4672" s="10">
        <f>IFERROR(__xludf.DUMMYFUNCTION("""COMPUTED_VALUE"""),39819.0)</f>
        <v>39819</v>
      </c>
      <c r="D4672" s="5">
        <f>IFERROR(__xludf.DUMMYFUNCTION("""COMPUTED_VALUE"""),0.31996706463565255)</f>
        <v>0.3199670646</v>
      </c>
      <c r="E4672" s="5">
        <f>IFERROR(__xludf.DUMMYFUNCTION("""COMPUTED_VALUE"""),0.11615205159873748)</f>
        <v>0.1161520516</v>
      </c>
      <c r="F4672" s="5">
        <f>IFERROR(__xludf.DUMMYFUNCTION("""COMPUTED_VALUE"""),0.20565390421298202)</f>
        <v>0.2056539042</v>
      </c>
      <c r="G4672" s="5">
        <f>IFERROR(__xludf.DUMMYFUNCTION("""COMPUTED_VALUE"""),0.18342253327844105)</f>
        <v>0.1834225333</v>
      </c>
      <c r="H4672" s="5">
        <f>IFERROR(__xludf.DUMMYFUNCTION("""COMPUTED_VALUE"""),0.5922861337248099)</f>
        <v>0.5922861337</v>
      </c>
      <c r="I4672" s="11">
        <f>IFERROR(__xludf.DUMMYFUNCTION("""COMPUTED_VALUE"""),5611.27719204591)</f>
        <v>5611.277192</v>
      </c>
      <c r="J4672" s="10">
        <f>IFERROR(__xludf.DUMMYFUNCTION("""COMPUTED_VALUE"""),7.0)</f>
        <v>7</v>
      </c>
      <c r="K4672" s="5">
        <f>IFERROR(__xludf.DUMMYFUNCTION("""COMPUTED_VALUE"""),0.0020685579196217494)</f>
        <v>0.00206855792</v>
      </c>
      <c r="L4672" s="10">
        <f>IFERROR(__xludf.DUMMYFUNCTION("""COMPUTED_VALUE"""),3377.0)</f>
        <v>3377</v>
      </c>
      <c r="M4672" s="5">
        <f>IFERROR(__xludf.DUMMYFUNCTION("""COMPUTED_VALUE"""),0.9979314420803782)</f>
        <v>0.9979314421</v>
      </c>
    </row>
    <row r="4673">
      <c r="A4673" s="10" t="str">
        <f>IFERROR(__xludf.DUMMYFUNCTION("""COMPUTED_VALUE"""),"たまらんガッパ")</f>
        <v>たまらんガッパ</v>
      </c>
      <c r="B4673" s="10">
        <f>IFERROR(__xludf.DUMMYFUNCTION("""COMPUTED_VALUE"""),997.0)</f>
        <v>997</v>
      </c>
      <c r="C4673" s="10">
        <f>IFERROR(__xludf.DUMMYFUNCTION("""COMPUTED_VALUE"""),11811.0)</f>
        <v>11811</v>
      </c>
      <c r="D4673" s="5">
        <f>IFERROR(__xludf.DUMMYFUNCTION("""COMPUTED_VALUE"""),0.3487146291843906)</f>
        <v>0.3487146292</v>
      </c>
      <c r="E4673" s="5">
        <f>IFERROR(__xludf.DUMMYFUNCTION("""COMPUTED_VALUE"""),0.11614573700758277)</f>
        <v>0.116145737</v>
      </c>
      <c r="F4673" s="5">
        <f>IFERROR(__xludf.DUMMYFUNCTION("""COMPUTED_VALUE"""),0.21250231181801368)</f>
        <v>0.2125023118</v>
      </c>
      <c r="G4673" s="5">
        <f>IFERROR(__xludf.DUMMYFUNCTION("""COMPUTED_VALUE"""),0.1777325688921768)</f>
        <v>0.1777325689</v>
      </c>
      <c r="H4673" s="5">
        <f>IFERROR(__xludf.DUMMYFUNCTION("""COMPUTED_VALUE"""),0.587467362924282)</f>
        <v>0.5874673629</v>
      </c>
      <c r="I4673" s="11">
        <f>IFERROR(__xludf.DUMMYFUNCTION("""COMPUTED_VALUE"""),5422.323759791123)</f>
        <v>5422.32376</v>
      </c>
      <c r="J4673" s="10">
        <f>IFERROR(__xludf.DUMMYFUNCTION("""COMPUTED_VALUE"""),0.0)</f>
        <v>0</v>
      </c>
      <c r="K4673" s="5">
        <f>IFERROR(__xludf.DUMMYFUNCTION("""COMPUTED_VALUE"""),0.0)</f>
        <v>0</v>
      </c>
      <c r="L4673" s="10">
        <f>IFERROR(__xludf.DUMMYFUNCTION("""COMPUTED_VALUE"""),997.0)</f>
        <v>997</v>
      </c>
      <c r="M4673" s="5">
        <f>IFERROR(__xludf.DUMMYFUNCTION("""COMPUTED_VALUE"""),1.0)</f>
        <v>1</v>
      </c>
    </row>
    <row r="4674">
      <c r="A4674" s="10" t="str">
        <f>IFERROR(__xludf.DUMMYFUNCTION("""COMPUTED_VALUE"""),"マオにゃん")</f>
        <v>マオにゃん</v>
      </c>
      <c r="B4674" s="10">
        <f>IFERROR(__xludf.DUMMYFUNCTION("""COMPUTED_VALUE"""),119.0)</f>
        <v>119</v>
      </c>
      <c r="C4674" s="10">
        <f>IFERROR(__xludf.DUMMYFUNCTION("""COMPUTED_VALUE"""),1411.0)</f>
        <v>1411</v>
      </c>
      <c r="D4674" s="5">
        <f>IFERROR(__xludf.DUMMYFUNCTION("""COMPUTED_VALUE"""),0.2654798761609907)</f>
        <v>0.2654798762</v>
      </c>
      <c r="E4674" s="5">
        <f>IFERROR(__xludf.DUMMYFUNCTION("""COMPUTED_VALUE"""),0.11609907120743033)</f>
        <v>0.1160990712</v>
      </c>
      <c r="F4674" s="5">
        <f>IFERROR(__xludf.DUMMYFUNCTION("""COMPUTED_VALUE"""),0.19117647058823528)</f>
        <v>0.1911764706</v>
      </c>
      <c r="G4674" s="5">
        <f>IFERROR(__xludf.DUMMYFUNCTION("""COMPUTED_VALUE"""),0.17182662538699692)</f>
        <v>0.1718266254</v>
      </c>
      <c r="H4674" s="5">
        <f>IFERROR(__xludf.DUMMYFUNCTION("""COMPUTED_VALUE"""),0.5951417004048583)</f>
        <v>0.5951417004</v>
      </c>
      <c r="I4674" s="11">
        <f>IFERROR(__xludf.DUMMYFUNCTION("""COMPUTED_VALUE"""),5557.894736842105)</f>
        <v>5557.894737</v>
      </c>
      <c r="J4674" s="10">
        <f>IFERROR(__xludf.DUMMYFUNCTION("""COMPUTED_VALUE"""),0.0)</f>
        <v>0</v>
      </c>
      <c r="K4674" s="5">
        <f>IFERROR(__xludf.DUMMYFUNCTION("""COMPUTED_VALUE"""),0.0)</f>
        <v>0</v>
      </c>
      <c r="L4674" s="10">
        <f>IFERROR(__xludf.DUMMYFUNCTION("""COMPUTED_VALUE"""),0.0)</f>
        <v>0</v>
      </c>
      <c r="M4674" s="5">
        <f>IFERROR(__xludf.DUMMYFUNCTION("""COMPUTED_VALUE"""),0.0)</f>
        <v>0</v>
      </c>
    </row>
    <row r="4675">
      <c r="A4675" s="10" t="str">
        <f>IFERROR(__xludf.DUMMYFUNCTION("""COMPUTED_VALUE"""),"【ジーコ】")</f>
        <v>【ジーコ】</v>
      </c>
      <c r="B4675" s="10">
        <f>IFERROR(__xludf.DUMMYFUNCTION("""COMPUTED_VALUE"""),164.0)</f>
        <v>164</v>
      </c>
      <c r="C4675" s="10">
        <f>IFERROR(__xludf.DUMMYFUNCTION("""COMPUTED_VALUE"""),1947.0)</f>
        <v>1947</v>
      </c>
      <c r="D4675" s="5">
        <f>IFERROR(__xludf.DUMMYFUNCTION("""COMPUTED_VALUE"""),0.32922041503084687)</f>
        <v>0.329220415</v>
      </c>
      <c r="E4675" s="5">
        <f>IFERROR(__xludf.DUMMYFUNCTION("""COMPUTED_VALUE"""),0.1160964666292765)</f>
        <v>0.1160964666</v>
      </c>
      <c r="F4675" s="5">
        <f>IFERROR(__xludf.DUMMYFUNCTION("""COMPUTED_VALUE"""),0.20302860347728546)</f>
        <v>0.2030286035</v>
      </c>
      <c r="G4675" s="5">
        <f>IFERROR(__xludf.DUMMYFUNCTION("""COMPUTED_VALUE"""),0.18003365114974762)</f>
        <v>0.1800336511</v>
      </c>
      <c r="H4675" s="5">
        <f>IFERROR(__xludf.DUMMYFUNCTION("""COMPUTED_VALUE"""),0.5773480662983426)</f>
        <v>0.5773480663</v>
      </c>
      <c r="I4675" s="11">
        <f>IFERROR(__xludf.DUMMYFUNCTION("""COMPUTED_VALUE"""),5995.85635359116)</f>
        <v>5995.856354</v>
      </c>
      <c r="J4675" s="10">
        <f>IFERROR(__xludf.DUMMYFUNCTION("""COMPUTED_VALUE"""),2.0)</f>
        <v>2</v>
      </c>
      <c r="K4675" s="5">
        <f>IFERROR(__xludf.DUMMYFUNCTION("""COMPUTED_VALUE"""),0.012195121951219513)</f>
        <v>0.01219512195</v>
      </c>
      <c r="L4675" s="10">
        <f>IFERROR(__xludf.DUMMYFUNCTION("""COMPUTED_VALUE"""),164.0)</f>
        <v>164</v>
      </c>
      <c r="M4675" s="5">
        <f>IFERROR(__xludf.DUMMYFUNCTION("""COMPUTED_VALUE"""),1.0)</f>
        <v>1</v>
      </c>
    </row>
    <row r="4676">
      <c r="A4676" s="10" t="str">
        <f>IFERROR(__xludf.DUMMYFUNCTION("""COMPUTED_VALUE"""),"おーくりー♪")</f>
        <v>おーくりー♪</v>
      </c>
      <c r="B4676" s="10">
        <f>IFERROR(__xludf.DUMMYFUNCTION("""COMPUTED_VALUE"""),114.0)</f>
        <v>114</v>
      </c>
      <c r="C4676" s="10">
        <f>IFERROR(__xludf.DUMMYFUNCTION("""COMPUTED_VALUE"""),1363.0)</f>
        <v>1363</v>
      </c>
      <c r="D4676" s="5">
        <f>IFERROR(__xludf.DUMMYFUNCTION("""COMPUTED_VALUE"""),0.4035228182546037)</f>
        <v>0.4035228183</v>
      </c>
      <c r="E4676" s="5">
        <f>IFERROR(__xludf.DUMMYFUNCTION("""COMPUTED_VALUE"""),0.11609287429943956)</f>
        <v>0.1160928743</v>
      </c>
      <c r="F4676" s="5">
        <f>IFERROR(__xludf.DUMMYFUNCTION("""COMPUTED_VALUE"""),0.20256204963971178)</f>
        <v>0.2025620496</v>
      </c>
      <c r="G4676" s="5">
        <f>IFERROR(__xludf.DUMMYFUNCTION("""COMPUTED_VALUE"""),0.17373899119295436)</f>
        <v>0.1737389912</v>
      </c>
      <c r="H4676" s="5">
        <f>IFERROR(__xludf.DUMMYFUNCTION("""COMPUTED_VALUE"""),0.6047430830039525)</f>
        <v>0.604743083</v>
      </c>
      <c r="I4676" s="11">
        <f>IFERROR(__xludf.DUMMYFUNCTION("""COMPUTED_VALUE"""),5352.173913043478)</f>
        <v>5352.173913</v>
      </c>
      <c r="J4676" s="10">
        <f>IFERROR(__xludf.DUMMYFUNCTION("""COMPUTED_VALUE"""),0.0)</f>
        <v>0</v>
      </c>
      <c r="K4676" s="5">
        <f>IFERROR(__xludf.DUMMYFUNCTION("""COMPUTED_VALUE"""),0.0)</f>
        <v>0</v>
      </c>
      <c r="L4676" s="10">
        <f>IFERROR(__xludf.DUMMYFUNCTION("""COMPUTED_VALUE"""),114.0)</f>
        <v>114</v>
      </c>
      <c r="M4676" s="5">
        <f>IFERROR(__xludf.DUMMYFUNCTION("""COMPUTED_VALUE"""),1.0)</f>
        <v>1</v>
      </c>
    </row>
    <row r="4677">
      <c r="A4677" s="10" t="str">
        <f>IFERROR(__xludf.DUMMYFUNCTION("""COMPUTED_VALUE"""),"pause")</f>
        <v>pause</v>
      </c>
      <c r="B4677" s="10">
        <f>IFERROR(__xludf.DUMMYFUNCTION("""COMPUTED_VALUE"""),198.0)</f>
        <v>198</v>
      </c>
      <c r="C4677" s="10">
        <f>IFERROR(__xludf.DUMMYFUNCTION("""COMPUTED_VALUE"""),2317.0)</f>
        <v>2317</v>
      </c>
      <c r="D4677" s="5">
        <f>IFERROR(__xludf.DUMMYFUNCTION("""COMPUTED_VALUE"""),0.3572439830108542)</f>
        <v>0.357243983</v>
      </c>
      <c r="E4677" s="5">
        <f>IFERROR(__xludf.DUMMYFUNCTION("""COMPUTED_VALUE"""),0.11609249646059462)</f>
        <v>0.1160924965</v>
      </c>
      <c r="F4677" s="5">
        <f>IFERROR(__xludf.DUMMYFUNCTION("""COMPUTED_VALUE"""),0.22038697498820198)</f>
        <v>0.220386975</v>
      </c>
      <c r="G4677" s="5">
        <f>IFERROR(__xludf.DUMMYFUNCTION("""COMPUTED_VALUE"""),0.18216139688532326)</f>
        <v>0.1821613969</v>
      </c>
      <c r="H4677" s="5">
        <f>IFERROR(__xludf.DUMMYFUNCTION("""COMPUTED_VALUE"""),0.6145610278372591)</f>
        <v>0.6145610278</v>
      </c>
      <c r="I4677" s="11">
        <f>IFERROR(__xludf.DUMMYFUNCTION("""COMPUTED_VALUE"""),5616.488222698073)</f>
        <v>5616.488223</v>
      </c>
      <c r="J4677" s="10">
        <f>IFERROR(__xludf.DUMMYFUNCTION("""COMPUTED_VALUE"""),0.0)</f>
        <v>0</v>
      </c>
      <c r="K4677" s="5">
        <f>IFERROR(__xludf.DUMMYFUNCTION("""COMPUTED_VALUE"""),0.0)</f>
        <v>0</v>
      </c>
      <c r="L4677" s="10">
        <f>IFERROR(__xludf.DUMMYFUNCTION("""COMPUTED_VALUE"""),98.0)</f>
        <v>98</v>
      </c>
      <c r="M4677" s="5">
        <f>IFERROR(__xludf.DUMMYFUNCTION("""COMPUTED_VALUE"""),0.494949494949495)</f>
        <v>0.4949494949</v>
      </c>
    </row>
    <row r="4678">
      <c r="A4678" s="10" t="str">
        <f>IFERROR(__xludf.DUMMYFUNCTION("""COMPUTED_VALUE"""),"カフェー丸")</f>
        <v>カフェー丸</v>
      </c>
      <c r="B4678" s="10">
        <f>IFERROR(__xludf.DUMMYFUNCTION("""COMPUTED_VALUE"""),102.0)</f>
        <v>102</v>
      </c>
      <c r="C4678" s="10">
        <f>IFERROR(__xludf.DUMMYFUNCTION("""COMPUTED_VALUE"""),1196.0)</f>
        <v>1196</v>
      </c>
      <c r="D4678" s="5">
        <f>IFERROR(__xludf.DUMMYFUNCTION("""COMPUTED_VALUE"""),0.2230347349177331)</f>
        <v>0.2230347349</v>
      </c>
      <c r="E4678" s="5">
        <f>IFERROR(__xludf.DUMMYFUNCTION("""COMPUTED_VALUE"""),0.11608775137111517)</f>
        <v>0.1160877514</v>
      </c>
      <c r="F4678" s="5">
        <f>IFERROR(__xludf.DUMMYFUNCTION("""COMPUTED_VALUE"""),0.19378427787934185)</f>
        <v>0.1937842779</v>
      </c>
      <c r="G4678" s="5">
        <f>IFERROR(__xludf.DUMMYFUNCTION("""COMPUTED_VALUE"""),0.22212065813528337)</f>
        <v>0.2221206581</v>
      </c>
      <c r="H4678" s="5">
        <f>IFERROR(__xludf.DUMMYFUNCTION("""COMPUTED_VALUE"""),0.5471698113207547)</f>
        <v>0.5471698113</v>
      </c>
      <c r="I4678" s="11">
        <f>IFERROR(__xludf.DUMMYFUNCTION("""COMPUTED_VALUE"""),6470.2830188679245)</f>
        <v>6470.283019</v>
      </c>
      <c r="J4678" s="10">
        <f>IFERROR(__xludf.DUMMYFUNCTION("""COMPUTED_VALUE"""),0.0)</f>
        <v>0</v>
      </c>
      <c r="K4678" s="5">
        <f>IFERROR(__xludf.DUMMYFUNCTION("""COMPUTED_VALUE"""),0.0)</f>
        <v>0</v>
      </c>
      <c r="L4678" s="10">
        <f>IFERROR(__xludf.DUMMYFUNCTION("""COMPUTED_VALUE"""),102.0)</f>
        <v>102</v>
      </c>
      <c r="M4678" s="5">
        <f>IFERROR(__xludf.DUMMYFUNCTION("""COMPUTED_VALUE"""),1.0)</f>
        <v>1</v>
      </c>
    </row>
    <row r="4679">
      <c r="A4679" s="10" t="str">
        <f>IFERROR(__xludf.DUMMYFUNCTION("""COMPUTED_VALUE"""),"Nabby")</f>
        <v>Nabby</v>
      </c>
      <c r="B4679" s="10">
        <f>IFERROR(__xludf.DUMMYFUNCTION("""COMPUTED_VALUE"""),520.0)</f>
        <v>520</v>
      </c>
      <c r="C4679" s="10">
        <f>IFERROR(__xludf.DUMMYFUNCTION("""COMPUTED_VALUE"""),6120.0)</f>
        <v>6120</v>
      </c>
      <c r="D4679" s="5">
        <f>IFERROR(__xludf.DUMMYFUNCTION("""COMPUTED_VALUE"""),0.3335714285714286)</f>
        <v>0.3335714286</v>
      </c>
      <c r="E4679" s="5">
        <f>IFERROR(__xludf.DUMMYFUNCTION("""COMPUTED_VALUE"""),0.11607142857142858)</f>
        <v>0.1160714286</v>
      </c>
      <c r="F4679" s="5">
        <f>IFERROR(__xludf.DUMMYFUNCTION("""COMPUTED_VALUE"""),0.20285714285714285)</f>
        <v>0.2028571429</v>
      </c>
      <c r="G4679" s="5">
        <f>IFERROR(__xludf.DUMMYFUNCTION("""COMPUTED_VALUE"""),0.16732142857142857)</f>
        <v>0.1673214286</v>
      </c>
      <c r="H4679" s="5">
        <f>IFERROR(__xludf.DUMMYFUNCTION("""COMPUTED_VALUE"""),0.613556338028169)</f>
        <v>0.613556338</v>
      </c>
      <c r="I4679" s="11">
        <f>IFERROR(__xludf.DUMMYFUNCTION("""COMPUTED_VALUE"""),5698.5035211267605)</f>
        <v>5698.503521</v>
      </c>
      <c r="J4679" s="10">
        <f>IFERROR(__xludf.DUMMYFUNCTION("""COMPUTED_VALUE"""),2.0)</f>
        <v>2</v>
      </c>
      <c r="K4679" s="5">
        <f>IFERROR(__xludf.DUMMYFUNCTION("""COMPUTED_VALUE"""),0.0038461538461538464)</f>
        <v>0.003846153846</v>
      </c>
      <c r="L4679" s="10">
        <f>IFERROR(__xludf.DUMMYFUNCTION("""COMPUTED_VALUE"""),505.0)</f>
        <v>505</v>
      </c>
      <c r="M4679" s="5">
        <f>IFERROR(__xludf.DUMMYFUNCTION("""COMPUTED_VALUE"""),0.9711538461538461)</f>
        <v>0.9711538462</v>
      </c>
    </row>
    <row r="4680">
      <c r="A4680" s="10" t="str">
        <f>IFERROR(__xludf.DUMMYFUNCTION("""COMPUTED_VALUE"""),"完全無敵少女DX")</f>
        <v>完全無敵少女DX</v>
      </c>
      <c r="B4680" s="10">
        <f>IFERROR(__xludf.DUMMYFUNCTION("""COMPUTED_VALUE"""),1742.0)</f>
        <v>1742</v>
      </c>
      <c r="C4680" s="10">
        <f>IFERROR(__xludf.DUMMYFUNCTION("""COMPUTED_VALUE"""),20558.0)</f>
        <v>20558</v>
      </c>
      <c r="D4680" s="5">
        <f>IFERROR(__xludf.DUMMYFUNCTION("""COMPUTED_VALUE"""),0.3929634353741497)</f>
        <v>0.3929634354</v>
      </c>
      <c r="E4680" s="5">
        <f>IFERROR(__xludf.DUMMYFUNCTION("""COMPUTED_VALUE"""),0.11607142857142858)</f>
        <v>0.1160714286</v>
      </c>
      <c r="F4680" s="5">
        <f>IFERROR(__xludf.DUMMYFUNCTION("""COMPUTED_VALUE"""),0.2149766156462585)</f>
        <v>0.2149766156</v>
      </c>
      <c r="G4680" s="5">
        <f>IFERROR(__xludf.DUMMYFUNCTION("""COMPUTED_VALUE"""),0.13206845238095238)</f>
        <v>0.1320684524</v>
      </c>
      <c r="H4680" s="5">
        <f>IFERROR(__xludf.DUMMYFUNCTION("""COMPUTED_VALUE"""),0.6118665018541409)</f>
        <v>0.6118665019</v>
      </c>
      <c r="I4680" s="11">
        <f>IFERROR(__xludf.DUMMYFUNCTION("""COMPUTED_VALUE"""),5206.279357231149)</f>
        <v>5206.279357</v>
      </c>
      <c r="J4680" s="10">
        <f>IFERROR(__xludf.DUMMYFUNCTION("""COMPUTED_VALUE"""),3.0)</f>
        <v>3</v>
      </c>
      <c r="K4680" s="5">
        <f>IFERROR(__xludf.DUMMYFUNCTION("""COMPUTED_VALUE"""),0.001722158438576349)</f>
        <v>0.001722158439</v>
      </c>
      <c r="L4680" s="10">
        <f>IFERROR(__xludf.DUMMYFUNCTION("""COMPUTED_VALUE"""),925.0)</f>
        <v>925</v>
      </c>
      <c r="M4680" s="5">
        <f>IFERROR(__xludf.DUMMYFUNCTION("""COMPUTED_VALUE"""),0.5309988518943742)</f>
        <v>0.5309988519</v>
      </c>
    </row>
    <row r="4681">
      <c r="A4681" s="10" t="str">
        <f>IFERROR(__xludf.DUMMYFUNCTION("""COMPUTED_VALUE"""),"PassCode")</f>
        <v>PassCode</v>
      </c>
      <c r="B4681" s="10">
        <f>IFERROR(__xludf.DUMMYFUNCTION("""COMPUTED_VALUE"""),1500.0)</f>
        <v>1500</v>
      </c>
      <c r="C4681" s="10">
        <f>IFERROR(__xludf.DUMMYFUNCTION("""COMPUTED_VALUE"""),17370.0)</f>
        <v>17370</v>
      </c>
      <c r="D4681" s="5">
        <f>IFERROR(__xludf.DUMMYFUNCTION("""COMPUTED_VALUE"""),0.3231253938248267)</f>
        <v>0.3231253938</v>
      </c>
      <c r="E4681" s="5">
        <f>IFERROR(__xludf.DUMMYFUNCTION("""COMPUTED_VALUE"""),0.11606805293005672)</f>
        <v>0.1160680529</v>
      </c>
      <c r="F4681" s="5">
        <f>IFERROR(__xludf.DUMMYFUNCTION("""COMPUTED_VALUE"""),0.20630119722747323)</f>
        <v>0.2063011972</v>
      </c>
      <c r="G4681" s="5">
        <f>IFERROR(__xludf.DUMMYFUNCTION("""COMPUTED_VALUE"""),0.1541902961562697)</f>
        <v>0.1541902962</v>
      </c>
      <c r="H4681" s="5">
        <f>IFERROR(__xludf.DUMMYFUNCTION("""COMPUTED_VALUE"""),0.6078191814294441)</f>
        <v>0.6078191814</v>
      </c>
      <c r="I4681" s="11">
        <f>IFERROR(__xludf.DUMMYFUNCTION("""COMPUTED_VALUE"""),5913.286499694564)</f>
        <v>5913.2865</v>
      </c>
      <c r="J4681" s="10">
        <f>IFERROR(__xludf.DUMMYFUNCTION("""COMPUTED_VALUE"""),5.0)</f>
        <v>5</v>
      </c>
      <c r="K4681" s="5">
        <f>IFERROR(__xludf.DUMMYFUNCTION("""COMPUTED_VALUE"""),0.0033333333333333335)</f>
        <v>0.003333333333</v>
      </c>
      <c r="L4681" s="10">
        <f>IFERROR(__xludf.DUMMYFUNCTION("""COMPUTED_VALUE"""),1500.0)</f>
        <v>1500</v>
      </c>
      <c r="M4681" s="5">
        <f>IFERROR(__xludf.DUMMYFUNCTION("""COMPUTED_VALUE"""),1.0)</f>
        <v>1</v>
      </c>
    </row>
    <row r="4682">
      <c r="A4682" s="10" t="str">
        <f>IFERROR(__xludf.DUMMYFUNCTION("""COMPUTED_VALUE"""),"sstaro")</f>
        <v>sstaro</v>
      </c>
      <c r="B4682" s="10">
        <f>IFERROR(__xludf.DUMMYFUNCTION("""COMPUTED_VALUE"""),1398.0)</f>
        <v>1398</v>
      </c>
      <c r="C4682" s="10">
        <f>IFERROR(__xludf.DUMMYFUNCTION("""COMPUTED_VALUE"""),16648.0)</f>
        <v>16648</v>
      </c>
      <c r="D4682" s="5">
        <f>IFERROR(__xludf.DUMMYFUNCTION("""COMPUTED_VALUE"""),0.35160655737704916)</f>
        <v>0.3516065574</v>
      </c>
      <c r="E4682" s="5">
        <f>IFERROR(__xludf.DUMMYFUNCTION("""COMPUTED_VALUE"""),0.1160655737704918)</f>
        <v>0.1160655738</v>
      </c>
      <c r="F4682" s="5">
        <f>IFERROR(__xludf.DUMMYFUNCTION("""COMPUTED_VALUE"""),0.22662295081967213)</f>
        <v>0.2266229508</v>
      </c>
      <c r="G4682" s="5">
        <f>IFERROR(__xludf.DUMMYFUNCTION("""COMPUTED_VALUE"""),0.15744262295081968)</f>
        <v>0.157442623</v>
      </c>
      <c r="H4682" s="5">
        <f>IFERROR(__xludf.DUMMYFUNCTION("""COMPUTED_VALUE"""),0.6125578703703703)</f>
        <v>0.6125578704</v>
      </c>
      <c r="I4682" s="11">
        <f>IFERROR(__xludf.DUMMYFUNCTION("""COMPUTED_VALUE"""),5120.688657407408)</f>
        <v>5120.688657</v>
      </c>
      <c r="J4682" s="10">
        <f>IFERROR(__xludf.DUMMYFUNCTION("""COMPUTED_VALUE"""),2.0)</f>
        <v>2</v>
      </c>
      <c r="K4682" s="5">
        <f>IFERROR(__xludf.DUMMYFUNCTION("""COMPUTED_VALUE"""),0.001430615164520744)</f>
        <v>0.001430615165</v>
      </c>
      <c r="L4682" s="10">
        <f>IFERROR(__xludf.DUMMYFUNCTION("""COMPUTED_VALUE"""),1398.0)</f>
        <v>1398</v>
      </c>
      <c r="M4682" s="5">
        <f>IFERROR(__xludf.DUMMYFUNCTION("""COMPUTED_VALUE"""),1.0)</f>
        <v>1</v>
      </c>
    </row>
    <row r="4683">
      <c r="A4683" s="10" t="str">
        <f>IFERROR(__xludf.DUMMYFUNCTION("""COMPUTED_VALUE"""),"†赤土晴絵†")</f>
        <v>†赤土晴絵†</v>
      </c>
      <c r="B4683" s="10">
        <f>IFERROR(__xludf.DUMMYFUNCTION("""COMPUTED_VALUE"""),745.0)</f>
        <v>745</v>
      </c>
      <c r="C4683" s="10">
        <f>IFERROR(__xludf.DUMMYFUNCTION("""COMPUTED_VALUE"""),8586.0)</f>
        <v>8586</v>
      </c>
      <c r="D4683" s="5">
        <f>IFERROR(__xludf.DUMMYFUNCTION("""COMPUTED_VALUE"""),0.32597882923096544)</f>
        <v>0.3259788292</v>
      </c>
      <c r="E4683" s="5">
        <f>IFERROR(__xludf.DUMMYFUNCTION("""COMPUTED_VALUE"""),0.11605662543042979)</f>
        <v>0.1160566254</v>
      </c>
      <c r="F4683" s="5">
        <f>IFERROR(__xludf.DUMMYFUNCTION("""COMPUTED_VALUE"""),0.20737150873613058)</f>
        <v>0.2073715087</v>
      </c>
      <c r="G4683" s="5">
        <f>IFERROR(__xludf.DUMMYFUNCTION("""COMPUTED_VALUE"""),0.17089656931513839)</f>
        <v>0.1708965693</v>
      </c>
      <c r="H4683" s="5">
        <f>IFERROR(__xludf.DUMMYFUNCTION("""COMPUTED_VALUE"""),0.5824108241082411)</f>
        <v>0.5824108241</v>
      </c>
      <c r="I4683" s="11">
        <f>IFERROR(__xludf.DUMMYFUNCTION("""COMPUTED_VALUE"""),5607.19557195572)</f>
        <v>5607.195572</v>
      </c>
      <c r="J4683" s="10">
        <f>IFERROR(__xludf.DUMMYFUNCTION("""COMPUTED_VALUE"""),0.0)</f>
        <v>0</v>
      </c>
      <c r="K4683" s="5">
        <f>IFERROR(__xludf.DUMMYFUNCTION("""COMPUTED_VALUE"""),0.0)</f>
        <v>0</v>
      </c>
      <c r="L4683" s="10">
        <f>IFERROR(__xludf.DUMMYFUNCTION("""COMPUTED_VALUE"""),2.0)</f>
        <v>2</v>
      </c>
      <c r="M4683" s="5">
        <f>IFERROR(__xludf.DUMMYFUNCTION("""COMPUTED_VALUE"""),0.0026845637583892616)</f>
        <v>0.002684563758</v>
      </c>
    </row>
    <row r="4684">
      <c r="A4684" s="10" t="str">
        <f>IFERROR(__xludf.DUMMYFUNCTION("""COMPUTED_VALUE"""),"猫。")</f>
        <v>猫。</v>
      </c>
      <c r="B4684" s="10">
        <f>IFERROR(__xludf.DUMMYFUNCTION("""COMPUTED_VALUE"""),741.0)</f>
        <v>741</v>
      </c>
      <c r="C4684" s="10">
        <f>IFERROR(__xludf.DUMMYFUNCTION("""COMPUTED_VALUE"""),8763.0)</f>
        <v>8763</v>
      </c>
      <c r="D4684" s="5">
        <f>IFERROR(__xludf.DUMMYFUNCTION("""COMPUTED_VALUE"""),0.36337571677885816)</f>
        <v>0.3633757168</v>
      </c>
      <c r="E4684" s="5">
        <f>IFERROR(__xludf.DUMMYFUNCTION("""COMPUTED_VALUE"""),0.11605584642233857)</f>
        <v>0.1160558464</v>
      </c>
      <c r="F4684" s="5">
        <f>IFERROR(__xludf.DUMMYFUNCTION("""COMPUTED_VALUE"""),0.20967339815507355)</f>
        <v>0.2096733982</v>
      </c>
      <c r="G4684" s="5">
        <f>IFERROR(__xludf.DUMMYFUNCTION("""COMPUTED_VALUE"""),0.17165295437546746)</f>
        <v>0.1716529544</v>
      </c>
      <c r="H4684" s="5">
        <f>IFERROR(__xludf.DUMMYFUNCTION("""COMPUTED_VALUE"""),0.5945303210463734)</f>
        <v>0.594530321</v>
      </c>
      <c r="I4684" s="11">
        <f>IFERROR(__xludf.DUMMYFUNCTION("""COMPUTED_VALUE"""),5282.401902497028)</f>
        <v>5282.401902</v>
      </c>
      <c r="J4684" s="10">
        <f>IFERROR(__xludf.DUMMYFUNCTION("""COMPUTED_VALUE"""),0.0)</f>
        <v>0</v>
      </c>
      <c r="K4684" s="5">
        <f>IFERROR(__xludf.DUMMYFUNCTION("""COMPUTED_VALUE"""),0.0)</f>
        <v>0</v>
      </c>
      <c r="L4684" s="10">
        <f>IFERROR(__xludf.DUMMYFUNCTION("""COMPUTED_VALUE"""),741.0)</f>
        <v>741</v>
      </c>
      <c r="M4684" s="5">
        <f>IFERROR(__xludf.DUMMYFUNCTION("""COMPUTED_VALUE"""),1.0)</f>
        <v>1</v>
      </c>
    </row>
    <row r="4685">
      <c r="A4685" s="10" t="str">
        <f>IFERROR(__xludf.DUMMYFUNCTION("""COMPUTED_VALUE"""),"配牌ドラチェック")</f>
        <v>配牌ドラチェック</v>
      </c>
      <c r="B4685" s="10">
        <f>IFERROR(__xludf.DUMMYFUNCTION("""COMPUTED_VALUE"""),271.0)</f>
        <v>271</v>
      </c>
      <c r="C4685" s="10">
        <f>IFERROR(__xludf.DUMMYFUNCTION("""COMPUTED_VALUE"""),3149.0)</f>
        <v>3149</v>
      </c>
      <c r="D4685" s="5">
        <f>IFERROR(__xludf.DUMMYFUNCTION("""COMPUTED_VALUE"""),0.4047949965253648)</f>
        <v>0.4047949965</v>
      </c>
      <c r="E4685" s="5">
        <f>IFERROR(__xludf.DUMMYFUNCTION("""COMPUTED_VALUE"""),0.11605281445448228)</f>
        <v>0.1160528145</v>
      </c>
      <c r="F4685" s="5">
        <f>IFERROR(__xludf.DUMMYFUNCTION("""COMPUTED_VALUE"""),0.2143849895760945)</f>
        <v>0.2143849896</v>
      </c>
      <c r="G4685" s="5">
        <f>IFERROR(__xludf.DUMMYFUNCTION("""COMPUTED_VALUE"""),0.17338429464906185)</f>
        <v>0.1733842946</v>
      </c>
      <c r="H4685" s="5">
        <f>IFERROR(__xludf.DUMMYFUNCTION("""COMPUTED_VALUE"""),0.6337115072933549)</f>
        <v>0.6337115073</v>
      </c>
      <c r="I4685" s="11">
        <f>IFERROR(__xludf.DUMMYFUNCTION("""COMPUTED_VALUE"""),5175.688816855753)</f>
        <v>5175.688817</v>
      </c>
      <c r="J4685" s="10">
        <f>IFERROR(__xludf.DUMMYFUNCTION("""COMPUTED_VALUE"""),0.0)</f>
        <v>0</v>
      </c>
      <c r="K4685" s="5">
        <f>IFERROR(__xludf.DUMMYFUNCTION("""COMPUTED_VALUE"""),0.0)</f>
        <v>0</v>
      </c>
      <c r="L4685" s="10">
        <f>IFERROR(__xludf.DUMMYFUNCTION("""COMPUTED_VALUE"""),271.0)</f>
        <v>271</v>
      </c>
      <c r="M4685" s="5">
        <f>IFERROR(__xludf.DUMMYFUNCTION("""COMPUTED_VALUE"""),1.0)</f>
        <v>1</v>
      </c>
    </row>
    <row r="4686">
      <c r="A4686" s="10" t="str">
        <f>IFERROR(__xludf.DUMMYFUNCTION("""COMPUTED_VALUE"""),"てらごん")</f>
        <v>てらごん</v>
      </c>
      <c r="B4686" s="10">
        <f>IFERROR(__xludf.DUMMYFUNCTION("""COMPUTED_VALUE"""),810.0)</f>
        <v>810</v>
      </c>
      <c r="C4686" s="10">
        <f>IFERROR(__xludf.DUMMYFUNCTION("""COMPUTED_VALUE"""),9470.0)</f>
        <v>9470</v>
      </c>
      <c r="D4686" s="5">
        <f>IFERROR(__xludf.DUMMYFUNCTION("""COMPUTED_VALUE"""),0.3232101616628176)</f>
        <v>0.3232101617</v>
      </c>
      <c r="E4686" s="5">
        <f>IFERROR(__xludf.DUMMYFUNCTION("""COMPUTED_VALUE"""),0.11605080831408776)</f>
        <v>0.1160508083</v>
      </c>
      <c r="F4686" s="5">
        <f>IFERROR(__xludf.DUMMYFUNCTION("""COMPUTED_VALUE"""),0.21466512702078522)</f>
        <v>0.214665127</v>
      </c>
      <c r="G4686" s="5">
        <f>IFERROR(__xludf.DUMMYFUNCTION("""COMPUTED_VALUE"""),0.17909930715935335)</f>
        <v>0.1790993072</v>
      </c>
      <c r="H4686" s="5">
        <f>IFERROR(__xludf.DUMMYFUNCTION("""COMPUTED_VALUE"""),0.5997848305540613)</f>
        <v>0.5997848306</v>
      </c>
      <c r="I4686" s="11">
        <f>IFERROR(__xludf.DUMMYFUNCTION("""COMPUTED_VALUE"""),5872.296933835395)</f>
        <v>5872.296934</v>
      </c>
      <c r="J4686" s="10">
        <f>IFERROR(__xludf.DUMMYFUNCTION("""COMPUTED_VALUE"""),3.0)</f>
        <v>3</v>
      </c>
      <c r="K4686" s="5">
        <f>IFERROR(__xludf.DUMMYFUNCTION("""COMPUTED_VALUE"""),0.003703703703703704)</f>
        <v>0.003703703704</v>
      </c>
      <c r="L4686" s="10">
        <f>IFERROR(__xludf.DUMMYFUNCTION("""COMPUTED_VALUE"""),810.0)</f>
        <v>810</v>
      </c>
      <c r="M4686" s="5">
        <f>IFERROR(__xludf.DUMMYFUNCTION("""COMPUTED_VALUE"""),1.0)</f>
        <v>1</v>
      </c>
    </row>
    <row r="4687">
      <c r="A4687" s="10" t="str">
        <f>IFERROR(__xludf.DUMMYFUNCTION("""COMPUTED_VALUE"""),"すぱさぶ")</f>
        <v>すぱさぶ</v>
      </c>
      <c r="B4687" s="10">
        <f>IFERROR(__xludf.DUMMYFUNCTION("""COMPUTED_VALUE"""),531.0)</f>
        <v>531</v>
      </c>
      <c r="C4687" s="10">
        <f>IFERROR(__xludf.DUMMYFUNCTION("""COMPUTED_VALUE"""),6201.0)</f>
        <v>6201</v>
      </c>
      <c r="D4687" s="5">
        <f>IFERROR(__xludf.DUMMYFUNCTION("""COMPUTED_VALUE"""),0.3379188712522046)</f>
        <v>0.3379188713</v>
      </c>
      <c r="E4687" s="5">
        <f>IFERROR(__xludf.DUMMYFUNCTION("""COMPUTED_VALUE"""),0.11604938271604938)</f>
        <v>0.1160493827</v>
      </c>
      <c r="F4687" s="5">
        <f>IFERROR(__xludf.DUMMYFUNCTION("""COMPUTED_VALUE"""),0.21322751322751324)</f>
        <v>0.2132275132</v>
      </c>
      <c r="G4687" s="5">
        <f>IFERROR(__xludf.DUMMYFUNCTION("""COMPUTED_VALUE"""),0.2056437389770723)</f>
        <v>0.205643739</v>
      </c>
      <c r="H4687" s="5">
        <f>IFERROR(__xludf.DUMMYFUNCTION("""COMPUTED_VALUE"""),0.5665839536807279)</f>
        <v>0.5665839537</v>
      </c>
      <c r="I4687" s="11">
        <f>IFERROR(__xludf.DUMMYFUNCTION("""COMPUTED_VALUE"""),6001.902398676592)</f>
        <v>6001.902399</v>
      </c>
      <c r="J4687" s="10">
        <f>IFERROR(__xludf.DUMMYFUNCTION("""COMPUTED_VALUE"""),0.0)</f>
        <v>0</v>
      </c>
      <c r="K4687" s="5">
        <f>IFERROR(__xludf.DUMMYFUNCTION("""COMPUTED_VALUE"""),0.0)</f>
        <v>0</v>
      </c>
      <c r="L4687" s="10">
        <f>IFERROR(__xludf.DUMMYFUNCTION("""COMPUTED_VALUE"""),531.0)</f>
        <v>531</v>
      </c>
      <c r="M4687" s="5">
        <f>IFERROR(__xludf.DUMMYFUNCTION("""COMPUTED_VALUE"""),1.0)</f>
        <v>1</v>
      </c>
    </row>
    <row r="4688">
      <c r="A4688" s="10" t="str">
        <f>IFERROR(__xludf.DUMMYFUNCTION("""COMPUTED_VALUE"""),"くさくないお")</f>
        <v>くさくないお</v>
      </c>
      <c r="B4688" s="10">
        <f>IFERROR(__xludf.DUMMYFUNCTION("""COMPUTED_VALUE"""),1528.0)</f>
        <v>1528</v>
      </c>
      <c r="C4688" s="10">
        <f>IFERROR(__xludf.DUMMYFUNCTION("""COMPUTED_VALUE"""),17979.0)</f>
        <v>17979</v>
      </c>
      <c r="D4688" s="5">
        <f>IFERROR(__xludf.DUMMYFUNCTION("""COMPUTED_VALUE"""),0.393775454379673)</f>
        <v>0.3937754544</v>
      </c>
      <c r="E4688" s="5">
        <f>IFERROR(__xludf.DUMMYFUNCTION("""COMPUTED_VALUE"""),0.11604157801957328)</f>
        <v>0.116041578</v>
      </c>
      <c r="F4688" s="5">
        <f>IFERROR(__xludf.DUMMYFUNCTION("""COMPUTED_VALUE"""),0.21633943225335847)</f>
        <v>0.2163394323</v>
      </c>
      <c r="G4688" s="5">
        <f>IFERROR(__xludf.DUMMYFUNCTION("""COMPUTED_VALUE"""),0.1666767977630539)</f>
        <v>0.1666767978</v>
      </c>
      <c r="H4688" s="5">
        <f>IFERROR(__xludf.DUMMYFUNCTION("""COMPUTED_VALUE"""),0.6001685866816522)</f>
        <v>0.6001685867</v>
      </c>
      <c r="I4688" s="11">
        <f>IFERROR(__xludf.DUMMYFUNCTION("""COMPUTED_VALUE"""),5374.599606631076)</f>
        <v>5374.599607</v>
      </c>
      <c r="J4688" s="10">
        <f>IFERROR(__xludf.DUMMYFUNCTION("""COMPUTED_VALUE"""),3.0)</f>
        <v>3</v>
      </c>
      <c r="K4688" s="5">
        <f>IFERROR(__xludf.DUMMYFUNCTION("""COMPUTED_VALUE"""),0.001963350785340314)</f>
        <v>0.001963350785</v>
      </c>
      <c r="L4688" s="10">
        <f>IFERROR(__xludf.DUMMYFUNCTION("""COMPUTED_VALUE"""),1528.0)</f>
        <v>1528</v>
      </c>
      <c r="M4688" s="5">
        <f>IFERROR(__xludf.DUMMYFUNCTION("""COMPUTED_VALUE"""),1.0)</f>
        <v>1</v>
      </c>
    </row>
    <row r="4689">
      <c r="A4689" s="10" t="str">
        <f>IFERROR(__xludf.DUMMYFUNCTION("""COMPUTED_VALUE"""),"状態ゲージ解放中")</f>
        <v>状態ゲージ解放中</v>
      </c>
      <c r="B4689" s="10">
        <f>IFERROR(__xludf.DUMMYFUNCTION("""COMPUTED_VALUE"""),113.0)</f>
        <v>113</v>
      </c>
      <c r="C4689" s="10">
        <f>IFERROR(__xludf.DUMMYFUNCTION("""COMPUTED_VALUE"""),1354.0)</f>
        <v>1354</v>
      </c>
      <c r="D4689" s="5">
        <f>IFERROR(__xludf.DUMMYFUNCTION("""COMPUTED_VALUE"""),0.3182917002417405)</f>
        <v>0.3182917002</v>
      </c>
      <c r="E4689" s="5">
        <f>IFERROR(__xludf.DUMMYFUNCTION("""COMPUTED_VALUE"""),0.11603545527800162)</f>
        <v>0.1160354553</v>
      </c>
      <c r="F4689" s="5">
        <f>IFERROR(__xludf.DUMMYFUNCTION("""COMPUTED_VALUE"""),0.17647058823529413)</f>
        <v>0.1764705882</v>
      </c>
      <c r="G4689" s="5">
        <f>IFERROR(__xludf.DUMMYFUNCTION("""COMPUTED_VALUE"""),0.1716357775987107)</f>
        <v>0.1716357776</v>
      </c>
      <c r="H4689" s="5">
        <f>IFERROR(__xludf.DUMMYFUNCTION("""COMPUTED_VALUE"""),0.5799086757990868)</f>
        <v>0.5799086758</v>
      </c>
      <c r="I4689" s="11">
        <f>IFERROR(__xludf.DUMMYFUNCTION("""COMPUTED_VALUE"""),5951.598173515982)</f>
        <v>5951.598174</v>
      </c>
      <c r="J4689" s="10">
        <f>IFERROR(__xludf.DUMMYFUNCTION("""COMPUTED_VALUE"""),1.0)</f>
        <v>1</v>
      </c>
      <c r="K4689" s="5">
        <f>IFERROR(__xludf.DUMMYFUNCTION("""COMPUTED_VALUE"""),0.008849557522123894)</f>
        <v>0.008849557522</v>
      </c>
      <c r="L4689" s="10">
        <f>IFERROR(__xludf.DUMMYFUNCTION("""COMPUTED_VALUE"""),113.0)</f>
        <v>113</v>
      </c>
      <c r="M4689" s="5">
        <f>IFERROR(__xludf.DUMMYFUNCTION("""COMPUTED_VALUE"""),1.0)</f>
        <v>1</v>
      </c>
    </row>
    <row r="4690">
      <c r="A4690" s="10" t="str">
        <f>IFERROR(__xludf.DUMMYFUNCTION("""COMPUTED_VALUE"""),"弓音")</f>
        <v>弓音</v>
      </c>
      <c r="B4690" s="10">
        <f>IFERROR(__xludf.DUMMYFUNCTION("""COMPUTED_VALUE"""),176.0)</f>
        <v>176</v>
      </c>
      <c r="C4690" s="10">
        <f>IFERROR(__xludf.DUMMYFUNCTION("""COMPUTED_VALUE"""),2098.0)</f>
        <v>2098</v>
      </c>
      <c r="D4690" s="5">
        <f>IFERROR(__xludf.DUMMYFUNCTION("""COMPUTED_VALUE"""),0.1878251821019771)</f>
        <v>0.1878251821</v>
      </c>
      <c r="E4690" s="5">
        <f>IFERROR(__xludf.DUMMYFUNCTION("""COMPUTED_VALUE"""),0.11602497398543184)</f>
        <v>0.116024974</v>
      </c>
      <c r="F4690" s="5">
        <f>IFERROR(__xludf.DUMMYFUNCTION("""COMPUTED_VALUE"""),0.18314255983350677)</f>
        <v>0.1831425598</v>
      </c>
      <c r="G4690" s="5">
        <f>IFERROR(__xludf.DUMMYFUNCTION("""COMPUTED_VALUE"""),0.18314255983350677)</f>
        <v>0.1831425598</v>
      </c>
      <c r="H4690" s="5">
        <f>IFERROR(__xludf.DUMMYFUNCTION("""COMPUTED_VALUE"""),0.5767045454545454)</f>
        <v>0.5767045455</v>
      </c>
      <c r="I4690" s="11">
        <f>IFERROR(__xludf.DUMMYFUNCTION("""COMPUTED_VALUE"""),6596.590909090909)</f>
        <v>6596.590909</v>
      </c>
      <c r="J4690" s="10">
        <f>IFERROR(__xludf.DUMMYFUNCTION("""COMPUTED_VALUE"""),1.0)</f>
        <v>1</v>
      </c>
      <c r="K4690" s="5">
        <f>IFERROR(__xludf.DUMMYFUNCTION("""COMPUTED_VALUE"""),0.005681818181818182)</f>
        <v>0.005681818182</v>
      </c>
      <c r="L4690" s="10">
        <f>IFERROR(__xludf.DUMMYFUNCTION("""COMPUTED_VALUE"""),0.0)</f>
        <v>0</v>
      </c>
      <c r="M4690" s="5">
        <f>IFERROR(__xludf.DUMMYFUNCTION("""COMPUTED_VALUE"""),0.0)</f>
        <v>0</v>
      </c>
    </row>
    <row r="4691">
      <c r="A4691" s="10" t="str">
        <f>IFERROR(__xludf.DUMMYFUNCTION("""COMPUTED_VALUE"""),"隠止")</f>
        <v>隠止</v>
      </c>
      <c r="B4691" s="10">
        <f>IFERROR(__xludf.DUMMYFUNCTION("""COMPUTED_VALUE"""),1881.0)</f>
        <v>1881</v>
      </c>
      <c r="C4691" s="10">
        <f>IFERROR(__xludf.DUMMYFUNCTION("""COMPUTED_VALUE"""),22095.0)</f>
        <v>22095</v>
      </c>
      <c r="D4691" s="5">
        <f>IFERROR(__xludf.DUMMYFUNCTION("""COMPUTED_VALUE"""),0.3185910754922331)</f>
        <v>0.3185910755</v>
      </c>
      <c r="E4691" s="5">
        <f>IFERROR(__xludf.DUMMYFUNCTION("""COMPUTED_VALUE"""),0.11600870683684575)</f>
        <v>0.1160087068</v>
      </c>
      <c r="F4691" s="5">
        <f>IFERROR(__xludf.DUMMYFUNCTION("""COMPUTED_VALUE"""),0.2085683189868408)</f>
        <v>0.208568319</v>
      </c>
      <c r="G4691" s="5">
        <f>IFERROR(__xludf.DUMMYFUNCTION("""COMPUTED_VALUE"""),0.15810824181260513)</f>
        <v>0.1581082418</v>
      </c>
      <c r="H4691" s="5">
        <f>IFERROR(__xludf.DUMMYFUNCTION("""COMPUTED_VALUE"""),0.5989089184060721)</f>
        <v>0.5989089184</v>
      </c>
      <c r="I4691" s="11">
        <f>IFERROR(__xludf.DUMMYFUNCTION("""COMPUTED_VALUE"""),5578.937381404175)</f>
        <v>5578.937381</v>
      </c>
      <c r="J4691" s="10">
        <f>IFERROR(__xludf.DUMMYFUNCTION("""COMPUTED_VALUE"""),1.0)</f>
        <v>1</v>
      </c>
      <c r="K4691" s="5">
        <f>IFERROR(__xludf.DUMMYFUNCTION("""COMPUTED_VALUE"""),5.31632110579479E-4)</f>
        <v>0.0005316321106</v>
      </c>
      <c r="L4691" s="10">
        <f>IFERROR(__xludf.DUMMYFUNCTION("""COMPUTED_VALUE"""),1881.0)</f>
        <v>1881</v>
      </c>
      <c r="M4691" s="5">
        <f>IFERROR(__xludf.DUMMYFUNCTION("""COMPUTED_VALUE"""),1.0)</f>
        <v>1</v>
      </c>
    </row>
    <row r="4692">
      <c r="A4692" s="10" t="str">
        <f>IFERROR(__xludf.DUMMYFUNCTION("""COMPUTED_VALUE"""),"櫻井奏")</f>
        <v>櫻井奏</v>
      </c>
      <c r="B4692" s="10">
        <f>IFERROR(__xludf.DUMMYFUNCTION("""COMPUTED_VALUE"""),399.0)</f>
        <v>399</v>
      </c>
      <c r="C4692" s="10">
        <f>IFERROR(__xludf.DUMMYFUNCTION("""COMPUTED_VALUE"""),4761.0)</f>
        <v>4761</v>
      </c>
      <c r="D4692" s="5">
        <f>IFERROR(__xludf.DUMMYFUNCTION("""COMPUTED_VALUE"""),0.3271435121503897)</f>
        <v>0.3271435122</v>
      </c>
      <c r="E4692" s="5">
        <f>IFERROR(__xludf.DUMMYFUNCTION("""COMPUTED_VALUE"""),0.11600183402109124)</f>
        <v>0.116001834</v>
      </c>
      <c r="F4692" s="5">
        <f>IFERROR(__xludf.DUMMYFUNCTION("""COMPUTED_VALUE"""),0.21228794131132508)</f>
        <v>0.2122879413</v>
      </c>
      <c r="G4692" s="5">
        <f>IFERROR(__xludf.DUMMYFUNCTION("""COMPUTED_VALUE"""),0.18248509857863365)</f>
        <v>0.1824850986</v>
      </c>
      <c r="H4692" s="5">
        <f>IFERROR(__xludf.DUMMYFUNCTION("""COMPUTED_VALUE"""),0.6177105831533477)</f>
        <v>0.6177105832</v>
      </c>
      <c r="I4692" s="11">
        <f>IFERROR(__xludf.DUMMYFUNCTION("""COMPUTED_VALUE"""),5840.712742980561)</f>
        <v>5840.712743</v>
      </c>
      <c r="J4692" s="10">
        <f>IFERROR(__xludf.DUMMYFUNCTION("""COMPUTED_VALUE"""),0.0)</f>
        <v>0</v>
      </c>
      <c r="K4692" s="5">
        <f>IFERROR(__xludf.DUMMYFUNCTION("""COMPUTED_VALUE"""),0.0)</f>
        <v>0</v>
      </c>
      <c r="L4692" s="10">
        <f>IFERROR(__xludf.DUMMYFUNCTION("""COMPUTED_VALUE"""),392.0)</f>
        <v>392</v>
      </c>
      <c r="M4692" s="5">
        <f>IFERROR(__xludf.DUMMYFUNCTION("""COMPUTED_VALUE"""),0.9824561403508771)</f>
        <v>0.9824561404</v>
      </c>
    </row>
    <row r="4693">
      <c r="A4693" s="10" t="str">
        <f>IFERROR(__xludf.DUMMYFUNCTION("""COMPUTED_VALUE"""),"CFv杏杏")</f>
        <v>CFv杏杏</v>
      </c>
      <c r="B4693" s="10">
        <f>IFERROR(__xludf.DUMMYFUNCTION("""COMPUTED_VALUE"""),596.0)</f>
        <v>596</v>
      </c>
      <c r="C4693" s="10">
        <f>IFERROR(__xludf.DUMMYFUNCTION("""COMPUTED_VALUE"""),7045.0)</f>
        <v>7045</v>
      </c>
      <c r="D4693" s="5">
        <f>IFERROR(__xludf.DUMMYFUNCTION("""COMPUTED_VALUE"""),0.41246704915490773)</f>
        <v>0.4124670492</v>
      </c>
      <c r="E4693" s="5">
        <f>IFERROR(__xludf.DUMMYFUNCTION("""COMPUTED_VALUE"""),0.11598697472476353)</f>
        <v>0.1159869747</v>
      </c>
      <c r="F4693" s="5">
        <f>IFERROR(__xludf.DUMMYFUNCTION("""COMPUTED_VALUE"""),0.20964490618700574)</f>
        <v>0.2096449062</v>
      </c>
      <c r="G4693" s="5">
        <f>IFERROR(__xludf.DUMMYFUNCTION("""COMPUTED_VALUE"""),0.1533571096293999)</f>
        <v>0.1533571096</v>
      </c>
      <c r="H4693" s="5">
        <f>IFERROR(__xludf.DUMMYFUNCTION("""COMPUTED_VALUE"""),0.606508875739645)</f>
        <v>0.6065088757</v>
      </c>
      <c r="I4693" s="11">
        <f>IFERROR(__xludf.DUMMYFUNCTION("""COMPUTED_VALUE"""),5329.511834319526)</f>
        <v>5329.511834</v>
      </c>
      <c r="J4693" s="10">
        <f>IFERROR(__xludf.DUMMYFUNCTION("""COMPUTED_VALUE"""),0.0)</f>
        <v>0</v>
      </c>
      <c r="K4693" s="5">
        <f>IFERROR(__xludf.DUMMYFUNCTION("""COMPUTED_VALUE"""),0.0)</f>
        <v>0</v>
      </c>
      <c r="L4693" s="10">
        <f>IFERROR(__xludf.DUMMYFUNCTION("""COMPUTED_VALUE"""),0.0)</f>
        <v>0</v>
      </c>
      <c r="M4693" s="5">
        <f>IFERROR(__xludf.DUMMYFUNCTION("""COMPUTED_VALUE"""),0.0)</f>
        <v>0</v>
      </c>
    </row>
    <row r="4694">
      <c r="A4694" s="10" t="str">
        <f>IFERROR(__xludf.DUMMYFUNCTION("""COMPUTED_VALUE"""),"南地祐華")</f>
        <v>南地祐華</v>
      </c>
      <c r="B4694" s="10">
        <f>IFERROR(__xludf.DUMMYFUNCTION("""COMPUTED_VALUE"""),303.0)</f>
        <v>303</v>
      </c>
      <c r="C4694" s="10">
        <f>IFERROR(__xludf.DUMMYFUNCTION("""COMPUTED_VALUE"""),3562.0)</f>
        <v>3562</v>
      </c>
      <c r="D4694" s="5">
        <f>IFERROR(__xludf.DUMMYFUNCTION("""COMPUTED_VALUE"""),0.39153114452285975)</f>
        <v>0.3915311445</v>
      </c>
      <c r="E4694" s="5">
        <f>IFERROR(__xludf.DUMMYFUNCTION("""COMPUTED_VALUE"""),0.11598649892605094)</f>
        <v>0.1159864989</v>
      </c>
      <c r="F4694" s="5">
        <f>IFERROR(__xludf.DUMMYFUNCTION("""COMPUTED_VALUE"""),0.2172445535440319)</f>
        <v>0.2172445535</v>
      </c>
      <c r="G4694" s="5">
        <f>IFERROR(__xludf.DUMMYFUNCTION("""COMPUTED_VALUE"""),0.16999079472230746)</f>
        <v>0.1699907947</v>
      </c>
      <c r="H4694" s="5">
        <f>IFERROR(__xludf.DUMMYFUNCTION("""COMPUTED_VALUE"""),0.6087570621468926)</f>
        <v>0.6087570621</v>
      </c>
      <c r="I4694" s="11">
        <f>IFERROR(__xludf.DUMMYFUNCTION("""COMPUTED_VALUE"""),5550.141242937853)</f>
        <v>5550.141243</v>
      </c>
      <c r="J4694" s="10">
        <f>IFERROR(__xludf.DUMMYFUNCTION("""COMPUTED_VALUE"""),2.0)</f>
        <v>2</v>
      </c>
      <c r="K4694" s="5">
        <f>IFERROR(__xludf.DUMMYFUNCTION("""COMPUTED_VALUE"""),0.006600660066006601)</f>
        <v>0.006600660066</v>
      </c>
      <c r="L4694" s="10">
        <f>IFERROR(__xludf.DUMMYFUNCTION("""COMPUTED_VALUE"""),0.0)</f>
        <v>0</v>
      </c>
      <c r="M4694" s="5">
        <f>IFERROR(__xludf.DUMMYFUNCTION("""COMPUTED_VALUE"""),0.0)</f>
        <v>0</v>
      </c>
    </row>
    <row r="4695">
      <c r="A4695" s="10" t="str">
        <f>IFERROR(__xludf.DUMMYFUNCTION("""COMPUTED_VALUE"""),"Aimer")</f>
        <v>Aimer</v>
      </c>
      <c r="B4695" s="10">
        <f>IFERROR(__xludf.DUMMYFUNCTION("""COMPUTED_VALUE"""),158.0)</f>
        <v>158</v>
      </c>
      <c r="C4695" s="10">
        <f>IFERROR(__xludf.DUMMYFUNCTION("""COMPUTED_VALUE"""),1822.0)</f>
        <v>1822</v>
      </c>
      <c r="D4695" s="5">
        <f>IFERROR(__xludf.DUMMYFUNCTION("""COMPUTED_VALUE"""),0.31490384615384615)</f>
        <v>0.3149038462</v>
      </c>
      <c r="E4695" s="5">
        <f>IFERROR(__xludf.DUMMYFUNCTION("""COMPUTED_VALUE"""),0.11598557692307693)</f>
        <v>0.1159855769</v>
      </c>
      <c r="F4695" s="5">
        <f>IFERROR(__xludf.DUMMYFUNCTION("""COMPUTED_VALUE"""),0.20733173076923078)</f>
        <v>0.2073317308</v>
      </c>
      <c r="G4695" s="5">
        <f>IFERROR(__xludf.DUMMYFUNCTION("""COMPUTED_VALUE"""),0.17728365384615385)</f>
        <v>0.1772836538</v>
      </c>
      <c r="H4695" s="5">
        <f>IFERROR(__xludf.DUMMYFUNCTION("""COMPUTED_VALUE"""),0.5971014492753624)</f>
        <v>0.5971014493</v>
      </c>
      <c r="I4695" s="11">
        <f>IFERROR(__xludf.DUMMYFUNCTION("""COMPUTED_VALUE"""),6055.072463768116)</f>
        <v>6055.072464</v>
      </c>
      <c r="J4695" s="10">
        <f>IFERROR(__xludf.DUMMYFUNCTION("""COMPUTED_VALUE"""),1.0)</f>
        <v>1</v>
      </c>
      <c r="K4695" s="5">
        <f>IFERROR(__xludf.DUMMYFUNCTION("""COMPUTED_VALUE"""),0.006329113924050633)</f>
        <v>0.006329113924</v>
      </c>
      <c r="L4695" s="10">
        <f>IFERROR(__xludf.DUMMYFUNCTION("""COMPUTED_VALUE"""),0.0)</f>
        <v>0</v>
      </c>
      <c r="M4695" s="5">
        <f>IFERROR(__xludf.DUMMYFUNCTION("""COMPUTED_VALUE"""),0.0)</f>
        <v>0</v>
      </c>
    </row>
    <row r="4696">
      <c r="A4696" s="10" t="str">
        <f>IFERROR(__xludf.DUMMYFUNCTION("""COMPUTED_VALUE"""),"☆宮永照ちゃん☆")</f>
        <v>☆宮永照ちゃん☆</v>
      </c>
      <c r="B4696" s="10">
        <f>IFERROR(__xludf.DUMMYFUNCTION("""COMPUTED_VALUE"""),242.0)</f>
        <v>242</v>
      </c>
      <c r="C4696" s="10">
        <f>IFERROR(__xludf.DUMMYFUNCTION("""COMPUTED_VALUE"""),2872.0)</f>
        <v>2872</v>
      </c>
      <c r="D4696" s="5">
        <f>IFERROR(__xludf.DUMMYFUNCTION("""COMPUTED_VALUE"""),0.417490494296578)</f>
        <v>0.4174904943</v>
      </c>
      <c r="E4696" s="5">
        <f>IFERROR(__xludf.DUMMYFUNCTION("""COMPUTED_VALUE"""),0.11596958174904944)</f>
        <v>0.1159695817</v>
      </c>
      <c r="F4696" s="5">
        <f>IFERROR(__xludf.DUMMYFUNCTION("""COMPUTED_VALUE"""),0.1920152091254753)</f>
        <v>0.1920152091</v>
      </c>
      <c r="G4696" s="5">
        <f>IFERROR(__xludf.DUMMYFUNCTION("""COMPUTED_VALUE"""),0.16463878326996198)</f>
        <v>0.1646387833</v>
      </c>
      <c r="H4696" s="5">
        <f>IFERROR(__xludf.DUMMYFUNCTION("""COMPUTED_VALUE"""),0.5801980198019802)</f>
        <v>0.5801980198</v>
      </c>
      <c r="I4696" s="11">
        <f>IFERROR(__xludf.DUMMYFUNCTION("""COMPUTED_VALUE"""),5757.029702970297)</f>
        <v>5757.029703</v>
      </c>
      <c r="J4696" s="10">
        <f>IFERROR(__xludf.DUMMYFUNCTION("""COMPUTED_VALUE"""),0.0)</f>
        <v>0</v>
      </c>
      <c r="K4696" s="5">
        <f>IFERROR(__xludf.DUMMYFUNCTION("""COMPUTED_VALUE"""),0.0)</f>
        <v>0</v>
      </c>
      <c r="L4696" s="10">
        <f>IFERROR(__xludf.DUMMYFUNCTION("""COMPUTED_VALUE"""),242.0)</f>
        <v>242</v>
      </c>
      <c r="M4696" s="5">
        <f>IFERROR(__xludf.DUMMYFUNCTION("""COMPUTED_VALUE"""),1.0)</f>
        <v>1</v>
      </c>
    </row>
    <row r="4697">
      <c r="A4697" s="10" t="str">
        <f>IFERROR(__xludf.DUMMYFUNCTION("""COMPUTED_VALUE"""),"Luchs")</f>
        <v>Luchs</v>
      </c>
      <c r="B4697" s="10">
        <f>IFERROR(__xludf.DUMMYFUNCTION("""COMPUTED_VALUE"""),207.0)</f>
        <v>207</v>
      </c>
      <c r="C4697" s="10">
        <f>IFERROR(__xludf.DUMMYFUNCTION("""COMPUTED_VALUE"""),2475.0)</f>
        <v>2475</v>
      </c>
      <c r="D4697" s="5">
        <f>IFERROR(__xludf.DUMMYFUNCTION("""COMPUTED_VALUE"""),0.3443562610229277)</f>
        <v>0.344356261</v>
      </c>
      <c r="E4697" s="5">
        <f>IFERROR(__xludf.DUMMYFUNCTION("""COMPUTED_VALUE"""),0.11596119929453262)</f>
        <v>0.1159611993</v>
      </c>
      <c r="F4697" s="5">
        <f>IFERROR(__xludf.DUMMYFUNCTION("""COMPUTED_VALUE"""),0.1931216931216931)</f>
        <v>0.1931216931</v>
      </c>
      <c r="G4697" s="5">
        <f>IFERROR(__xludf.DUMMYFUNCTION("""COMPUTED_VALUE"""),0.1746031746031746)</f>
        <v>0.1746031746</v>
      </c>
      <c r="H4697" s="5">
        <f>IFERROR(__xludf.DUMMYFUNCTION("""COMPUTED_VALUE"""),0.6118721461187214)</f>
        <v>0.6118721461</v>
      </c>
      <c r="I4697" s="11">
        <f>IFERROR(__xludf.DUMMYFUNCTION("""COMPUTED_VALUE"""),5376.48401826484)</f>
        <v>5376.484018</v>
      </c>
      <c r="J4697" s="10">
        <f>IFERROR(__xludf.DUMMYFUNCTION("""COMPUTED_VALUE"""),0.0)</f>
        <v>0</v>
      </c>
      <c r="K4697" s="5">
        <f>IFERROR(__xludf.DUMMYFUNCTION("""COMPUTED_VALUE"""),0.0)</f>
        <v>0</v>
      </c>
      <c r="L4697" s="10">
        <f>IFERROR(__xludf.DUMMYFUNCTION("""COMPUTED_VALUE"""),207.0)</f>
        <v>207</v>
      </c>
      <c r="M4697" s="5">
        <f>IFERROR(__xludf.DUMMYFUNCTION("""COMPUTED_VALUE"""),1.0)</f>
        <v>1</v>
      </c>
    </row>
    <row r="4698">
      <c r="A4698" s="10" t="str">
        <f>IFERROR(__xludf.DUMMYFUNCTION("""COMPUTED_VALUE"""),"@りんご@")</f>
        <v>@りんご@</v>
      </c>
      <c r="B4698" s="10">
        <f>IFERROR(__xludf.DUMMYFUNCTION("""COMPUTED_VALUE"""),328.0)</f>
        <v>328</v>
      </c>
      <c r="C4698" s="10">
        <f>IFERROR(__xludf.DUMMYFUNCTION("""COMPUTED_VALUE"""),3950.0)</f>
        <v>3950</v>
      </c>
      <c r="D4698" s="5">
        <f>IFERROR(__xludf.DUMMYFUNCTION("""COMPUTED_VALUE"""),0.32882385422418553)</f>
        <v>0.3288238542</v>
      </c>
      <c r="E4698" s="5">
        <f>IFERROR(__xludf.DUMMYFUNCTION("""COMPUTED_VALUE"""),0.11595803423522916)</f>
        <v>0.1159580342</v>
      </c>
      <c r="F4698" s="5">
        <f>IFERROR(__xludf.DUMMYFUNCTION("""COMPUTED_VALUE"""),0.1932633903920486)</f>
        <v>0.1932633904</v>
      </c>
      <c r="G4698" s="5">
        <f>IFERROR(__xludf.DUMMYFUNCTION("""COMPUTED_VALUE"""),0.13335173937051353)</f>
        <v>0.1333517394</v>
      </c>
      <c r="H4698" s="5">
        <f>IFERROR(__xludf.DUMMYFUNCTION("""COMPUTED_VALUE"""),0.5728571428571428)</f>
        <v>0.5728571429</v>
      </c>
      <c r="I4698" s="11">
        <f>IFERROR(__xludf.DUMMYFUNCTION("""COMPUTED_VALUE"""),5488.857142857143)</f>
        <v>5488.857143</v>
      </c>
      <c r="J4698" s="10">
        <f>IFERROR(__xludf.DUMMYFUNCTION("""COMPUTED_VALUE"""),0.0)</f>
        <v>0</v>
      </c>
      <c r="K4698" s="5">
        <f>IFERROR(__xludf.DUMMYFUNCTION("""COMPUTED_VALUE"""),0.0)</f>
        <v>0</v>
      </c>
      <c r="L4698" s="10">
        <f>IFERROR(__xludf.DUMMYFUNCTION("""COMPUTED_VALUE"""),328.0)</f>
        <v>328</v>
      </c>
      <c r="M4698" s="5">
        <f>IFERROR(__xludf.DUMMYFUNCTION("""COMPUTED_VALUE"""),1.0)</f>
        <v>1</v>
      </c>
    </row>
    <row r="4699">
      <c r="A4699" s="10" t="str">
        <f>IFERROR(__xludf.DUMMYFUNCTION("""COMPUTED_VALUE"""),"180日対戦せず")</f>
        <v>180日対戦せず</v>
      </c>
      <c r="B4699" s="10">
        <f>IFERROR(__xludf.DUMMYFUNCTION("""COMPUTED_VALUE"""),1072.0)</f>
        <v>1072</v>
      </c>
      <c r="C4699" s="10">
        <f>IFERROR(__xludf.DUMMYFUNCTION("""COMPUTED_VALUE"""),12654.0)</f>
        <v>12654</v>
      </c>
      <c r="D4699" s="5">
        <f>IFERROR(__xludf.DUMMYFUNCTION("""COMPUTED_VALUE"""),0.3211880504230703)</f>
        <v>0.3211880504</v>
      </c>
      <c r="E4699" s="5">
        <f>IFERROR(__xludf.DUMMYFUNCTION("""COMPUTED_VALUE"""),0.11595579347262994)</f>
        <v>0.1159557935</v>
      </c>
      <c r="F4699" s="5">
        <f>IFERROR(__xludf.DUMMYFUNCTION("""COMPUTED_VALUE"""),0.19357623899153859)</f>
        <v>0.193576239</v>
      </c>
      <c r="G4699" s="5">
        <f>IFERROR(__xludf.DUMMYFUNCTION("""COMPUTED_VALUE"""),0.16404766016232084)</f>
        <v>0.1640476602</v>
      </c>
      <c r="H4699" s="5">
        <f>IFERROR(__xludf.DUMMYFUNCTION("""COMPUTED_VALUE"""),0.5981266726137378)</f>
        <v>0.5981266726</v>
      </c>
      <c r="I4699" s="11">
        <f>IFERROR(__xludf.DUMMYFUNCTION("""COMPUTED_VALUE"""),5876.71721677074)</f>
        <v>5876.717217</v>
      </c>
      <c r="J4699" s="10">
        <f>IFERROR(__xludf.DUMMYFUNCTION("""COMPUTED_VALUE"""),3.0)</f>
        <v>3</v>
      </c>
      <c r="K4699" s="5">
        <f>IFERROR(__xludf.DUMMYFUNCTION("""COMPUTED_VALUE"""),0.002798507462686567)</f>
        <v>0.002798507463</v>
      </c>
      <c r="L4699" s="10">
        <f>IFERROR(__xludf.DUMMYFUNCTION("""COMPUTED_VALUE"""),1072.0)</f>
        <v>1072</v>
      </c>
      <c r="M4699" s="5">
        <f>IFERROR(__xludf.DUMMYFUNCTION("""COMPUTED_VALUE"""),1.0)</f>
        <v>1</v>
      </c>
    </row>
    <row r="4700">
      <c r="A4700" s="10" t="str">
        <f>IFERROR(__xludf.DUMMYFUNCTION("""COMPUTED_VALUE"""),"me$o")</f>
        <v>me$o</v>
      </c>
      <c r="B4700" s="10">
        <f>IFERROR(__xludf.DUMMYFUNCTION("""COMPUTED_VALUE"""),4316.0)</f>
        <v>4316</v>
      </c>
      <c r="C4700" s="10">
        <f>IFERROR(__xludf.DUMMYFUNCTION("""COMPUTED_VALUE"""),50948.0)</f>
        <v>50948</v>
      </c>
      <c r="D4700" s="5">
        <f>IFERROR(__xludf.DUMMYFUNCTION("""COMPUTED_VALUE"""),0.33223966375021446)</f>
        <v>0.3322396638</v>
      </c>
      <c r="E4700" s="5">
        <f>IFERROR(__xludf.DUMMYFUNCTION("""COMPUTED_VALUE"""),0.11595042031223195)</f>
        <v>0.1159504203</v>
      </c>
      <c r="F4700" s="5">
        <f>IFERROR(__xludf.DUMMYFUNCTION("""COMPUTED_VALUE"""),0.2051381025904958)</f>
        <v>0.2051381026</v>
      </c>
      <c r="G4700" s="5">
        <f>IFERROR(__xludf.DUMMYFUNCTION("""COMPUTED_VALUE"""),0.16377165894664608)</f>
        <v>0.1637716589</v>
      </c>
      <c r="H4700" s="5">
        <f>IFERROR(__xludf.DUMMYFUNCTION("""COMPUTED_VALUE"""),0.5873928496759356)</f>
        <v>0.5873928497</v>
      </c>
      <c r="I4700" s="11">
        <f>IFERROR(__xludf.DUMMYFUNCTION("""COMPUTED_VALUE"""),5644.584988500941)</f>
        <v>5644.584989</v>
      </c>
      <c r="J4700" s="10">
        <f>IFERROR(__xludf.DUMMYFUNCTION("""COMPUTED_VALUE"""),9.0)</f>
        <v>9</v>
      </c>
      <c r="K4700" s="5">
        <f>IFERROR(__xludf.DUMMYFUNCTION("""COMPUTED_VALUE"""),0.0020852641334569047)</f>
        <v>0.002085264133</v>
      </c>
      <c r="L4700" s="10">
        <f>IFERROR(__xludf.DUMMYFUNCTION("""COMPUTED_VALUE"""),4298.0)</f>
        <v>4298</v>
      </c>
      <c r="M4700" s="5">
        <f>IFERROR(__xludf.DUMMYFUNCTION("""COMPUTED_VALUE"""),0.9958294717330862)</f>
        <v>0.9958294717</v>
      </c>
    </row>
    <row r="4701">
      <c r="A4701" s="10" t="str">
        <f>IFERROR(__xludf.DUMMYFUNCTION("""COMPUTED_VALUE"""),"しょぼんｎ")</f>
        <v>しょぼんｎ</v>
      </c>
      <c r="B4701" s="10">
        <f>IFERROR(__xludf.DUMMYFUNCTION("""COMPUTED_VALUE"""),3557.0)</f>
        <v>3557</v>
      </c>
      <c r="C4701" s="10">
        <f>IFERROR(__xludf.DUMMYFUNCTION("""COMPUTED_VALUE"""),41937.0)</f>
        <v>41937</v>
      </c>
      <c r="D4701" s="5">
        <f>IFERROR(__xludf.DUMMYFUNCTION("""COMPUTED_VALUE"""),0.36875977071391347)</f>
        <v>0.3687597707</v>
      </c>
      <c r="E4701" s="5">
        <f>IFERROR(__xludf.DUMMYFUNCTION("""COMPUTED_VALUE"""),0.11594580510682648)</f>
        <v>0.1159458051</v>
      </c>
      <c r="F4701" s="5">
        <f>IFERROR(__xludf.DUMMYFUNCTION("""COMPUTED_VALUE"""),0.21513809275664408)</f>
        <v>0.2151380928</v>
      </c>
      <c r="G4701" s="5">
        <f>IFERROR(__xludf.DUMMYFUNCTION("""COMPUTED_VALUE"""),0.16430432516935903)</f>
        <v>0.1643043252</v>
      </c>
      <c r="H4701" s="5">
        <f>IFERROR(__xludf.DUMMYFUNCTION("""COMPUTED_VALUE"""),0.5970691534455613)</f>
        <v>0.5970691534</v>
      </c>
      <c r="I4701" s="11">
        <f>IFERROR(__xludf.DUMMYFUNCTION("""COMPUTED_VALUE"""),5374.276371563522)</f>
        <v>5374.276372</v>
      </c>
      <c r="J4701" s="10">
        <f>IFERROR(__xludf.DUMMYFUNCTION("""COMPUTED_VALUE"""),4.0)</f>
        <v>4</v>
      </c>
      <c r="K4701" s="5">
        <f>IFERROR(__xludf.DUMMYFUNCTION("""COMPUTED_VALUE"""),0.001124543154343548)</f>
        <v>0.001124543154</v>
      </c>
      <c r="L4701" s="10">
        <f>IFERROR(__xludf.DUMMYFUNCTION("""COMPUTED_VALUE"""),2912.0)</f>
        <v>2912</v>
      </c>
      <c r="M4701" s="5">
        <f>IFERROR(__xludf.DUMMYFUNCTION("""COMPUTED_VALUE"""),0.8186674163621029)</f>
        <v>0.8186674164</v>
      </c>
    </row>
    <row r="4702">
      <c r="A4702" s="10" t="str">
        <f>IFERROR(__xludf.DUMMYFUNCTION("""COMPUTED_VALUE"""),"＝鷺森灼＝")</f>
        <v>＝鷺森灼＝</v>
      </c>
      <c r="B4702" s="10">
        <f>IFERROR(__xludf.DUMMYFUNCTION("""COMPUTED_VALUE"""),2286.0)</f>
        <v>2286</v>
      </c>
      <c r="C4702" s="10">
        <f>IFERROR(__xludf.DUMMYFUNCTION("""COMPUTED_VALUE"""),26842.0)</f>
        <v>26842</v>
      </c>
      <c r="D4702" s="5">
        <f>IFERROR(__xludf.DUMMYFUNCTION("""COMPUTED_VALUE"""),0.3363740022805017)</f>
        <v>0.3363740023</v>
      </c>
      <c r="E4702" s="5">
        <f>IFERROR(__xludf.DUMMYFUNCTION("""COMPUTED_VALUE"""),0.1159390780257371)</f>
        <v>0.115939078</v>
      </c>
      <c r="F4702" s="5">
        <f>IFERROR(__xludf.DUMMYFUNCTION("""COMPUTED_VALUE"""),0.21526307216158982)</f>
        <v>0.2152630722</v>
      </c>
      <c r="G4702" s="5">
        <f>IFERROR(__xludf.DUMMYFUNCTION("""COMPUTED_VALUE"""),0.16452190910571754)</f>
        <v>0.1645219091</v>
      </c>
      <c r="H4702" s="5">
        <f>IFERROR(__xludf.DUMMYFUNCTION("""COMPUTED_VALUE"""),0.606318577374196)</f>
        <v>0.6063185774</v>
      </c>
      <c r="I4702" s="11">
        <f>IFERROR(__xludf.DUMMYFUNCTION("""COMPUTED_VALUE"""),5573.004161937192)</f>
        <v>5573.004162</v>
      </c>
      <c r="J4702" s="10">
        <f>IFERROR(__xludf.DUMMYFUNCTION("""COMPUTED_VALUE"""),8.0)</f>
        <v>8</v>
      </c>
      <c r="K4702" s="5">
        <f>IFERROR(__xludf.DUMMYFUNCTION("""COMPUTED_VALUE"""),0.003499562554680665)</f>
        <v>0.003499562555</v>
      </c>
      <c r="L4702" s="10">
        <f>IFERROR(__xludf.DUMMYFUNCTION("""COMPUTED_VALUE"""),13.0)</f>
        <v>13</v>
      </c>
      <c r="M4702" s="5">
        <f>IFERROR(__xludf.DUMMYFUNCTION("""COMPUTED_VALUE"""),0.005686789151356081)</f>
        <v>0.005686789151</v>
      </c>
    </row>
    <row r="4703">
      <c r="A4703" s="10" t="str">
        <f>IFERROR(__xludf.DUMMYFUNCTION("""COMPUTED_VALUE"""),"sigenori")</f>
        <v>sigenori</v>
      </c>
      <c r="B4703" s="10">
        <f>IFERROR(__xludf.DUMMYFUNCTION("""COMPUTED_VALUE"""),132.0)</f>
        <v>132</v>
      </c>
      <c r="C4703" s="10">
        <f>IFERROR(__xludf.DUMMYFUNCTION("""COMPUTED_VALUE"""),1607.0)</f>
        <v>1607</v>
      </c>
      <c r="D4703" s="5">
        <f>IFERROR(__xludf.DUMMYFUNCTION("""COMPUTED_VALUE"""),0.4101694915254237)</f>
        <v>0.4101694915</v>
      </c>
      <c r="E4703" s="5">
        <f>IFERROR(__xludf.DUMMYFUNCTION("""COMPUTED_VALUE"""),0.11593220338983051)</f>
        <v>0.1159322034</v>
      </c>
      <c r="F4703" s="5">
        <f>IFERROR(__xludf.DUMMYFUNCTION("""COMPUTED_VALUE"""),0.2)</f>
        <v>0.2</v>
      </c>
      <c r="G4703" s="5">
        <f>IFERROR(__xludf.DUMMYFUNCTION("""COMPUTED_VALUE"""),0.16677966101694916)</f>
        <v>0.166779661</v>
      </c>
      <c r="H4703" s="5">
        <f>IFERROR(__xludf.DUMMYFUNCTION("""COMPUTED_VALUE"""),0.5898305084745763)</f>
        <v>0.5898305085</v>
      </c>
      <c r="I4703" s="11">
        <f>IFERROR(__xludf.DUMMYFUNCTION("""COMPUTED_VALUE"""),5253.559322033899)</f>
        <v>5253.559322</v>
      </c>
      <c r="J4703" s="10">
        <f>IFERROR(__xludf.DUMMYFUNCTION("""COMPUTED_VALUE"""),0.0)</f>
        <v>0</v>
      </c>
      <c r="K4703" s="5">
        <f>IFERROR(__xludf.DUMMYFUNCTION("""COMPUTED_VALUE"""),0.0)</f>
        <v>0</v>
      </c>
      <c r="L4703" s="10">
        <f>IFERROR(__xludf.DUMMYFUNCTION("""COMPUTED_VALUE"""),132.0)</f>
        <v>132</v>
      </c>
      <c r="M4703" s="5">
        <f>IFERROR(__xludf.DUMMYFUNCTION("""COMPUTED_VALUE"""),1.0)</f>
        <v>1</v>
      </c>
    </row>
    <row r="4704">
      <c r="A4704" s="10" t="str">
        <f>IFERROR(__xludf.DUMMYFUNCTION("""COMPUTED_VALUE"""),"だいさーん")</f>
        <v>だいさーん</v>
      </c>
      <c r="B4704" s="10">
        <f>IFERROR(__xludf.DUMMYFUNCTION("""COMPUTED_VALUE"""),1407.0)</f>
        <v>1407</v>
      </c>
      <c r="C4704" s="10">
        <f>IFERROR(__xludf.DUMMYFUNCTION("""COMPUTED_VALUE"""),16582.0)</f>
        <v>16582</v>
      </c>
      <c r="D4704" s="5">
        <f>IFERROR(__xludf.DUMMYFUNCTION("""COMPUTED_VALUE"""),0.36942339373970345)</f>
        <v>0.3694233937</v>
      </c>
      <c r="E4704" s="5">
        <f>IFERROR(__xludf.DUMMYFUNCTION("""COMPUTED_VALUE"""),0.11591433278418452)</f>
        <v>0.1159143328</v>
      </c>
      <c r="F4704" s="5">
        <f>IFERROR(__xludf.DUMMYFUNCTION("""COMPUTED_VALUE"""),0.2072487644151565)</f>
        <v>0.2072487644</v>
      </c>
      <c r="G4704" s="5">
        <f>IFERROR(__xludf.DUMMYFUNCTION("""COMPUTED_VALUE"""),0.16243822075782538)</f>
        <v>0.1624382208</v>
      </c>
      <c r="H4704" s="5">
        <f>IFERROR(__xludf.DUMMYFUNCTION("""COMPUTED_VALUE"""),0.5847376788553259)</f>
        <v>0.5847376789</v>
      </c>
      <c r="I4704" s="11">
        <f>IFERROR(__xludf.DUMMYFUNCTION("""COMPUTED_VALUE"""),5621.621621621622)</f>
        <v>5621.621622</v>
      </c>
      <c r="J4704" s="10">
        <f>IFERROR(__xludf.DUMMYFUNCTION("""COMPUTED_VALUE"""),5.0)</f>
        <v>5</v>
      </c>
      <c r="K4704" s="5">
        <f>IFERROR(__xludf.DUMMYFUNCTION("""COMPUTED_VALUE"""),0.0035536602700781805)</f>
        <v>0.00355366027</v>
      </c>
      <c r="L4704" s="10">
        <f>IFERROR(__xludf.DUMMYFUNCTION("""COMPUTED_VALUE"""),1407.0)</f>
        <v>1407</v>
      </c>
      <c r="M4704" s="5">
        <f>IFERROR(__xludf.DUMMYFUNCTION("""COMPUTED_VALUE"""),1.0)</f>
        <v>1</v>
      </c>
    </row>
    <row r="4705">
      <c r="A4705" s="10" t="str">
        <f>IFERROR(__xludf.DUMMYFUNCTION("""COMPUTED_VALUE"""),"macjr")</f>
        <v>macjr</v>
      </c>
      <c r="B4705" s="10">
        <f>IFERROR(__xludf.DUMMYFUNCTION("""COMPUTED_VALUE"""),4670.0)</f>
        <v>4670</v>
      </c>
      <c r="C4705" s="10">
        <f>IFERROR(__xludf.DUMMYFUNCTION("""COMPUTED_VALUE"""),54854.0)</f>
        <v>54854</v>
      </c>
      <c r="D4705" s="5">
        <f>IFERROR(__xludf.DUMMYFUNCTION("""COMPUTED_VALUE"""),0.36142993782879007)</f>
        <v>0.3614299378</v>
      </c>
      <c r="E4705" s="5">
        <f>IFERROR(__xludf.DUMMYFUNCTION("""COMPUTED_VALUE"""),0.11591343854615017)</f>
        <v>0.1159134385</v>
      </c>
      <c r="F4705" s="5">
        <f>IFERROR(__xludf.DUMMYFUNCTION("""COMPUTED_VALUE"""),0.2182568149210904)</f>
        <v>0.2182568149</v>
      </c>
      <c r="G4705" s="5">
        <f>IFERROR(__xludf.DUMMYFUNCTION("""COMPUTED_VALUE"""),0.1735812211063287)</f>
        <v>0.1735812211</v>
      </c>
      <c r="H4705" s="5">
        <f>IFERROR(__xludf.DUMMYFUNCTION("""COMPUTED_VALUE"""),0.6002921573997991)</f>
        <v>0.6002921574</v>
      </c>
      <c r="I4705" s="11">
        <f>IFERROR(__xludf.DUMMYFUNCTION("""COMPUTED_VALUE"""),5516.379074226239)</f>
        <v>5516.379074</v>
      </c>
      <c r="J4705" s="10">
        <f>IFERROR(__xludf.DUMMYFUNCTION("""COMPUTED_VALUE"""),5.0)</f>
        <v>5</v>
      </c>
      <c r="K4705" s="5">
        <f>IFERROR(__xludf.DUMMYFUNCTION("""COMPUTED_VALUE"""),0.0010706638115631692)</f>
        <v>0.001070663812</v>
      </c>
      <c r="L4705" s="10">
        <f>IFERROR(__xludf.DUMMYFUNCTION("""COMPUTED_VALUE"""),3345.0)</f>
        <v>3345</v>
      </c>
      <c r="M4705" s="5">
        <f>IFERROR(__xludf.DUMMYFUNCTION("""COMPUTED_VALUE"""),0.7162740899357601)</f>
        <v>0.7162740899</v>
      </c>
    </row>
    <row r="4706">
      <c r="A4706" s="10" t="str">
        <f>IFERROR(__xludf.DUMMYFUNCTION("""COMPUTED_VALUE"""),"@kkk")</f>
        <v>@kkk</v>
      </c>
      <c r="B4706" s="10">
        <f>IFERROR(__xludf.DUMMYFUNCTION("""COMPUTED_VALUE"""),784.0)</f>
        <v>784</v>
      </c>
      <c r="C4706" s="10">
        <f>IFERROR(__xludf.DUMMYFUNCTION("""COMPUTED_VALUE"""),9023.0)</f>
        <v>9023</v>
      </c>
      <c r="D4706" s="5">
        <f>IFERROR(__xludf.DUMMYFUNCTION("""COMPUTED_VALUE"""),0.3298944046607598)</f>
        <v>0.3298944047</v>
      </c>
      <c r="E4706" s="5">
        <f>IFERROR(__xludf.DUMMYFUNCTION("""COMPUTED_VALUE"""),0.11591212525791965)</f>
        <v>0.1159121253</v>
      </c>
      <c r="F4706" s="5">
        <f>IFERROR(__xludf.DUMMYFUNCTION("""COMPUTED_VALUE"""),0.20500060686976576)</f>
        <v>0.2050006069</v>
      </c>
      <c r="G4706" s="5">
        <f>IFERROR(__xludf.DUMMYFUNCTION("""COMPUTED_VALUE"""),0.18910061900716107)</f>
        <v>0.189100619</v>
      </c>
      <c r="H4706" s="5">
        <f>IFERROR(__xludf.DUMMYFUNCTION("""COMPUTED_VALUE"""),0.5802249851983422)</f>
        <v>0.5802249852</v>
      </c>
      <c r="I4706" s="11">
        <f>IFERROR(__xludf.DUMMYFUNCTION("""COMPUTED_VALUE"""),5789.283599763174)</f>
        <v>5789.2836</v>
      </c>
      <c r="J4706" s="10">
        <f>IFERROR(__xludf.DUMMYFUNCTION("""COMPUTED_VALUE"""),1.0)</f>
        <v>1</v>
      </c>
      <c r="K4706" s="5">
        <f>IFERROR(__xludf.DUMMYFUNCTION("""COMPUTED_VALUE"""),0.0012755102040816326)</f>
        <v>0.001275510204</v>
      </c>
      <c r="L4706" s="10">
        <f>IFERROR(__xludf.DUMMYFUNCTION("""COMPUTED_VALUE"""),784.0)</f>
        <v>784</v>
      </c>
      <c r="M4706" s="5">
        <f>IFERROR(__xludf.DUMMYFUNCTION("""COMPUTED_VALUE"""),1.0)</f>
        <v>1</v>
      </c>
    </row>
    <row r="4707">
      <c r="A4707" s="10" t="str">
        <f>IFERROR(__xludf.DUMMYFUNCTION("""COMPUTED_VALUE"""),"daisuke7")</f>
        <v>daisuke7</v>
      </c>
      <c r="B4707" s="10">
        <f>IFERROR(__xludf.DUMMYFUNCTION("""COMPUTED_VALUE"""),272.0)</f>
        <v>272</v>
      </c>
      <c r="C4707" s="10">
        <f>IFERROR(__xludf.DUMMYFUNCTION("""COMPUTED_VALUE"""),3283.0)</f>
        <v>3283</v>
      </c>
      <c r="D4707" s="5">
        <f>IFERROR(__xludf.DUMMYFUNCTION("""COMPUTED_VALUE"""),0.3125207572235138)</f>
        <v>0.3125207572</v>
      </c>
      <c r="E4707" s="5">
        <f>IFERROR(__xludf.DUMMYFUNCTION("""COMPUTED_VALUE"""),0.11590833610096314)</f>
        <v>0.1159083361</v>
      </c>
      <c r="F4707" s="5">
        <f>IFERROR(__xludf.DUMMYFUNCTION("""COMPUTED_VALUE"""),0.20192627034207905)</f>
        <v>0.2019262703</v>
      </c>
      <c r="G4707" s="5">
        <f>IFERROR(__xludf.DUMMYFUNCTION("""COMPUTED_VALUE"""),0.19096645632680173)</f>
        <v>0.1909664563</v>
      </c>
      <c r="H4707" s="5">
        <f>IFERROR(__xludf.DUMMYFUNCTION("""COMPUTED_VALUE"""),0.5723684210526315)</f>
        <v>0.5723684211</v>
      </c>
      <c r="I4707" s="11">
        <f>IFERROR(__xludf.DUMMYFUNCTION("""COMPUTED_VALUE"""),5693.0921052631575)</f>
        <v>5693.092105</v>
      </c>
      <c r="J4707" s="10">
        <f>IFERROR(__xludf.DUMMYFUNCTION("""COMPUTED_VALUE"""),0.0)</f>
        <v>0</v>
      </c>
      <c r="K4707" s="5">
        <f>IFERROR(__xludf.DUMMYFUNCTION("""COMPUTED_VALUE"""),0.0)</f>
        <v>0</v>
      </c>
      <c r="L4707" s="10">
        <f>IFERROR(__xludf.DUMMYFUNCTION("""COMPUTED_VALUE"""),272.0)</f>
        <v>272</v>
      </c>
      <c r="M4707" s="5">
        <f>IFERROR(__xludf.DUMMYFUNCTION("""COMPUTED_VALUE"""),1.0)</f>
        <v>1</v>
      </c>
    </row>
    <row r="4708">
      <c r="A4708" s="10" t="str">
        <f>IFERROR(__xludf.DUMMYFUNCTION("""COMPUTED_VALUE"""),"Arakan")</f>
        <v>Arakan</v>
      </c>
      <c r="B4708" s="10">
        <f>IFERROR(__xludf.DUMMYFUNCTION("""COMPUTED_VALUE"""),360.0)</f>
        <v>360</v>
      </c>
      <c r="C4708" s="10">
        <f>IFERROR(__xludf.DUMMYFUNCTION("""COMPUTED_VALUE"""),4208.0)</f>
        <v>4208</v>
      </c>
      <c r="D4708" s="5">
        <f>IFERROR(__xludf.DUMMYFUNCTION("""COMPUTED_VALUE"""),0.2908004158004158)</f>
        <v>0.2908004158</v>
      </c>
      <c r="E4708" s="5">
        <f>IFERROR(__xludf.DUMMYFUNCTION("""COMPUTED_VALUE"""),0.11590436590436591)</f>
        <v>0.1159043659</v>
      </c>
      <c r="F4708" s="5">
        <f>IFERROR(__xludf.DUMMYFUNCTION("""COMPUTED_VALUE"""),0.20816008316008316)</f>
        <v>0.2081600832</v>
      </c>
      <c r="G4708" s="5">
        <f>IFERROR(__xludf.DUMMYFUNCTION("""COMPUTED_VALUE"""),0.16554054054054054)</f>
        <v>0.1655405405</v>
      </c>
      <c r="H4708" s="5">
        <f>IFERROR(__xludf.DUMMYFUNCTION("""COMPUTED_VALUE"""),0.5980024968789014)</f>
        <v>0.5980024969</v>
      </c>
      <c r="I4708" s="11">
        <f>IFERROR(__xludf.DUMMYFUNCTION("""COMPUTED_VALUE"""),5881.2734082397)</f>
        <v>5881.273408</v>
      </c>
      <c r="J4708" s="10">
        <f>IFERROR(__xludf.DUMMYFUNCTION("""COMPUTED_VALUE"""),1.0)</f>
        <v>1</v>
      </c>
      <c r="K4708" s="5">
        <f>IFERROR(__xludf.DUMMYFUNCTION("""COMPUTED_VALUE"""),0.002777777777777778)</f>
        <v>0.002777777778</v>
      </c>
      <c r="L4708" s="10">
        <f>IFERROR(__xludf.DUMMYFUNCTION("""COMPUTED_VALUE"""),285.0)</f>
        <v>285</v>
      </c>
      <c r="M4708" s="5">
        <f>IFERROR(__xludf.DUMMYFUNCTION("""COMPUTED_VALUE"""),0.7916666666666666)</f>
        <v>0.7916666667</v>
      </c>
    </row>
    <row r="4709">
      <c r="A4709" s="10" t="str">
        <f>IFERROR(__xludf.DUMMYFUNCTION("""COMPUTED_VALUE"""),"無能社会のゴミ")</f>
        <v>無能社会のゴミ</v>
      </c>
      <c r="B4709" s="10">
        <f>IFERROR(__xludf.DUMMYFUNCTION("""COMPUTED_VALUE"""),3341.0)</f>
        <v>3341</v>
      </c>
      <c r="C4709" s="10">
        <f>IFERROR(__xludf.DUMMYFUNCTION("""COMPUTED_VALUE"""),39207.0)</f>
        <v>39207</v>
      </c>
      <c r="D4709" s="5">
        <f>IFERROR(__xludf.DUMMYFUNCTION("""COMPUTED_VALUE"""),0.30772876819271733)</f>
        <v>0.3077287682</v>
      </c>
      <c r="E4709" s="5">
        <f>IFERROR(__xludf.DUMMYFUNCTION("""COMPUTED_VALUE"""),0.11590364133162326)</f>
        <v>0.1159036413</v>
      </c>
      <c r="F4709" s="5">
        <f>IFERROR(__xludf.DUMMYFUNCTION("""COMPUTED_VALUE"""),0.20916745664417555)</f>
        <v>0.2091674566</v>
      </c>
      <c r="G4709" s="5">
        <f>IFERROR(__xludf.DUMMYFUNCTION("""COMPUTED_VALUE"""),0.19333073105448056)</f>
        <v>0.1933307311</v>
      </c>
      <c r="H4709" s="5">
        <f>IFERROR(__xludf.DUMMYFUNCTION("""COMPUTED_VALUE"""),0.5877099440149294)</f>
        <v>0.587709944</v>
      </c>
      <c r="I4709" s="11">
        <f>IFERROR(__xludf.DUMMYFUNCTION("""COMPUTED_VALUE"""),5857.0514529458815)</f>
        <v>5857.051453</v>
      </c>
      <c r="J4709" s="10">
        <f>IFERROR(__xludf.DUMMYFUNCTION("""COMPUTED_VALUE"""),4.0)</f>
        <v>4</v>
      </c>
      <c r="K4709" s="5">
        <f>IFERROR(__xludf.DUMMYFUNCTION("""COMPUTED_VALUE"""),0.001197246333433104)</f>
        <v>0.001197246333</v>
      </c>
      <c r="L4709" s="10">
        <f>IFERROR(__xludf.DUMMYFUNCTION("""COMPUTED_VALUE"""),3341.0)</f>
        <v>3341</v>
      </c>
      <c r="M4709" s="5">
        <f>IFERROR(__xludf.DUMMYFUNCTION("""COMPUTED_VALUE"""),1.0)</f>
        <v>1</v>
      </c>
    </row>
    <row r="4710">
      <c r="A4710" s="10" t="str">
        <f>IFERROR(__xludf.DUMMYFUNCTION("""COMPUTED_VALUE"""),"天才麻將加奈")</f>
        <v>天才麻將加奈</v>
      </c>
      <c r="B4710" s="10">
        <f>IFERROR(__xludf.DUMMYFUNCTION("""COMPUTED_VALUE"""),814.0)</f>
        <v>814</v>
      </c>
      <c r="C4710" s="10">
        <f>IFERROR(__xludf.DUMMYFUNCTION("""COMPUTED_VALUE"""),9589.0)</f>
        <v>9589</v>
      </c>
      <c r="D4710" s="5">
        <f>IFERROR(__xludf.DUMMYFUNCTION("""COMPUTED_VALUE"""),0.3513390313390313)</f>
        <v>0.3513390313</v>
      </c>
      <c r="E4710" s="5">
        <f>IFERROR(__xludf.DUMMYFUNCTION("""COMPUTED_VALUE"""),0.1158974358974359)</f>
        <v>0.1158974359</v>
      </c>
      <c r="F4710" s="5">
        <f>IFERROR(__xludf.DUMMYFUNCTION("""COMPUTED_VALUE"""),0.20478632478632477)</f>
        <v>0.2047863248</v>
      </c>
      <c r="G4710" s="5">
        <f>IFERROR(__xludf.DUMMYFUNCTION("""COMPUTED_VALUE"""),0.15407407407407409)</f>
        <v>0.1540740741</v>
      </c>
      <c r="H4710" s="5">
        <f>IFERROR(__xludf.DUMMYFUNCTION("""COMPUTED_VALUE"""),0.5993322203672788)</f>
        <v>0.5993322204</v>
      </c>
      <c r="I4710" s="11">
        <f>IFERROR(__xludf.DUMMYFUNCTION("""COMPUTED_VALUE"""),5501.947690595437)</f>
        <v>5501.947691</v>
      </c>
      <c r="J4710" s="10">
        <f>IFERROR(__xludf.DUMMYFUNCTION("""COMPUTED_VALUE"""),0.0)</f>
        <v>0</v>
      </c>
      <c r="K4710" s="5">
        <f>IFERROR(__xludf.DUMMYFUNCTION("""COMPUTED_VALUE"""),0.0)</f>
        <v>0</v>
      </c>
      <c r="L4710" s="10">
        <f>IFERROR(__xludf.DUMMYFUNCTION("""COMPUTED_VALUE"""),661.0)</f>
        <v>661</v>
      </c>
      <c r="M4710" s="5">
        <f>IFERROR(__xludf.DUMMYFUNCTION("""COMPUTED_VALUE"""),0.812039312039312)</f>
        <v>0.812039312</v>
      </c>
    </row>
    <row r="4711">
      <c r="A4711" s="10" t="str">
        <f>IFERROR(__xludf.DUMMYFUNCTION("""COMPUTED_VALUE"""),"Nomercy")</f>
        <v>Nomercy</v>
      </c>
      <c r="B4711" s="10">
        <f>IFERROR(__xludf.DUMMYFUNCTION("""COMPUTED_VALUE"""),2049.0)</f>
        <v>2049</v>
      </c>
      <c r="C4711" s="10">
        <f>IFERROR(__xludf.DUMMYFUNCTION("""COMPUTED_VALUE"""),24043.0)</f>
        <v>24043</v>
      </c>
      <c r="D4711" s="5">
        <f>IFERROR(__xludf.DUMMYFUNCTION("""COMPUTED_VALUE"""),0.25847958534145676)</f>
        <v>0.2584795853</v>
      </c>
      <c r="E4711" s="5">
        <f>IFERROR(__xludf.DUMMYFUNCTION("""COMPUTED_VALUE"""),0.1158952441574975)</f>
        <v>0.1158952442</v>
      </c>
      <c r="F4711" s="5">
        <f>IFERROR(__xludf.DUMMYFUNCTION("""COMPUTED_VALUE"""),0.2014185687005547)</f>
        <v>0.2014185687</v>
      </c>
      <c r="G4711" s="5">
        <f>IFERROR(__xludf.DUMMYFUNCTION("""COMPUTED_VALUE"""),0.2000090933891061)</f>
        <v>0.2000090934</v>
      </c>
      <c r="H4711" s="5">
        <f>IFERROR(__xludf.DUMMYFUNCTION("""COMPUTED_VALUE"""),0.5794582392776524)</f>
        <v>0.5794582393</v>
      </c>
      <c r="I4711" s="11">
        <f>IFERROR(__xludf.DUMMYFUNCTION("""COMPUTED_VALUE"""),5954.10835214447)</f>
        <v>5954.108352</v>
      </c>
      <c r="J4711" s="10">
        <f>IFERROR(__xludf.DUMMYFUNCTION("""COMPUTED_VALUE"""),3.0)</f>
        <v>3</v>
      </c>
      <c r="K4711" s="5">
        <f>IFERROR(__xludf.DUMMYFUNCTION("""COMPUTED_VALUE"""),0.0014641288433382138)</f>
        <v>0.001464128843</v>
      </c>
      <c r="L4711" s="10">
        <f>IFERROR(__xludf.DUMMYFUNCTION("""COMPUTED_VALUE"""),253.0)</f>
        <v>253</v>
      </c>
      <c r="M4711" s="5">
        <f>IFERROR(__xludf.DUMMYFUNCTION("""COMPUTED_VALUE"""),0.12347486578818936)</f>
        <v>0.1234748658</v>
      </c>
    </row>
    <row r="4712">
      <c r="A4712" s="10" t="str">
        <f>IFERROR(__xludf.DUMMYFUNCTION("""COMPUTED_VALUE"""),"時を刻む唄")</f>
        <v>時を刻む唄</v>
      </c>
      <c r="B4712" s="10">
        <f>IFERROR(__xludf.DUMMYFUNCTION("""COMPUTED_VALUE"""),3423.0)</f>
        <v>3423</v>
      </c>
      <c r="C4712" s="10">
        <f>IFERROR(__xludf.DUMMYFUNCTION("""COMPUTED_VALUE"""),39953.0)</f>
        <v>39953</v>
      </c>
      <c r="D4712" s="5">
        <f>IFERROR(__xludf.DUMMYFUNCTION("""COMPUTED_VALUE"""),0.3423761292088694)</f>
        <v>0.3423761292</v>
      </c>
      <c r="E4712" s="5">
        <f>IFERROR(__xludf.DUMMYFUNCTION("""COMPUTED_VALUE"""),0.11587736107309062)</f>
        <v>0.1158773611</v>
      </c>
      <c r="F4712" s="5">
        <f>IFERROR(__xludf.DUMMYFUNCTION("""COMPUTED_VALUE"""),0.21450862304954832)</f>
        <v>0.214508623</v>
      </c>
      <c r="G4712" s="5">
        <f>IFERROR(__xludf.DUMMYFUNCTION("""COMPUTED_VALUE"""),0.17330960854092528)</f>
        <v>0.1733096085</v>
      </c>
      <c r="H4712" s="5">
        <f>IFERROR(__xludf.DUMMYFUNCTION("""COMPUTED_VALUE"""),0.6011995916283819)</f>
        <v>0.6011995916</v>
      </c>
      <c r="I4712" s="11">
        <f>IFERROR(__xludf.DUMMYFUNCTION("""COMPUTED_VALUE"""),5549.655436447167)</f>
        <v>5549.655436</v>
      </c>
      <c r="J4712" s="10">
        <f>IFERROR(__xludf.DUMMYFUNCTION("""COMPUTED_VALUE"""),4.0)</f>
        <v>4</v>
      </c>
      <c r="K4712" s="5">
        <f>IFERROR(__xludf.DUMMYFUNCTION("""COMPUTED_VALUE"""),0.0011685655857434998)</f>
        <v>0.001168565586</v>
      </c>
      <c r="L4712" s="10">
        <f>IFERROR(__xludf.DUMMYFUNCTION("""COMPUTED_VALUE"""),1.0)</f>
        <v>1</v>
      </c>
      <c r="M4712" s="5">
        <f>IFERROR(__xludf.DUMMYFUNCTION("""COMPUTED_VALUE"""),2.9214139643587495E-4)</f>
        <v>0.0002921413964</v>
      </c>
    </row>
    <row r="4713">
      <c r="A4713" s="10" t="str">
        <f>IFERROR(__xludf.DUMMYFUNCTION("""COMPUTED_VALUE"""),"メンヘル侍")</f>
        <v>メンヘル侍</v>
      </c>
      <c r="B4713" s="10">
        <f>IFERROR(__xludf.DUMMYFUNCTION("""COMPUTED_VALUE"""),839.0)</f>
        <v>839</v>
      </c>
      <c r="C4713" s="10">
        <f>IFERROR(__xludf.DUMMYFUNCTION("""COMPUTED_VALUE"""),9987.0)</f>
        <v>9987</v>
      </c>
      <c r="D4713" s="5">
        <f>IFERROR(__xludf.DUMMYFUNCTION("""COMPUTED_VALUE"""),0.38642326191517273)</f>
        <v>0.3864232619</v>
      </c>
      <c r="E4713" s="5">
        <f>IFERROR(__xludf.DUMMYFUNCTION("""COMPUTED_VALUE"""),0.11587232181897683)</f>
        <v>0.1158723218</v>
      </c>
      <c r="F4713" s="5">
        <f>IFERROR(__xludf.DUMMYFUNCTION("""COMPUTED_VALUE"""),0.20878880629645824)</f>
        <v>0.2087888063</v>
      </c>
      <c r="G4713" s="5">
        <f>IFERROR(__xludf.DUMMYFUNCTION("""COMPUTED_VALUE"""),0.13587669435942282)</f>
        <v>0.1358766944</v>
      </c>
      <c r="H4713" s="5">
        <f>IFERROR(__xludf.DUMMYFUNCTION("""COMPUTED_VALUE"""),0.5921465968586388)</f>
        <v>0.5921465969</v>
      </c>
      <c r="I4713" s="11">
        <f>IFERROR(__xludf.DUMMYFUNCTION("""COMPUTED_VALUE"""),5368.90052356021)</f>
        <v>5368.900524</v>
      </c>
      <c r="J4713" s="10">
        <f>IFERROR(__xludf.DUMMYFUNCTION("""COMPUTED_VALUE"""),0.0)</f>
        <v>0</v>
      </c>
      <c r="K4713" s="5">
        <f>IFERROR(__xludf.DUMMYFUNCTION("""COMPUTED_VALUE"""),0.0)</f>
        <v>0</v>
      </c>
      <c r="L4713" s="10">
        <f>IFERROR(__xludf.DUMMYFUNCTION("""COMPUTED_VALUE"""),0.0)</f>
        <v>0</v>
      </c>
      <c r="M4713" s="5">
        <f>IFERROR(__xludf.DUMMYFUNCTION("""COMPUTED_VALUE"""),0.0)</f>
        <v>0</v>
      </c>
    </row>
    <row r="4714">
      <c r="A4714" s="10" t="str">
        <f>IFERROR(__xludf.DUMMYFUNCTION("""COMPUTED_VALUE"""),"漣夏")</f>
        <v>漣夏</v>
      </c>
      <c r="B4714" s="10">
        <f>IFERROR(__xludf.DUMMYFUNCTION("""COMPUTED_VALUE"""),2371.0)</f>
        <v>2371</v>
      </c>
      <c r="C4714" s="10">
        <f>IFERROR(__xludf.DUMMYFUNCTION("""COMPUTED_VALUE"""),27927.0)</f>
        <v>27927</v>
      </c>
      <c r="D4714" s="5">
        <f>IFERROR(__xludf.DUMMYFUNCTION("""COMPUTED_VALUE"""),0.3825324776960401)</f>
        <v>0.3825324777</v>
      </c>
      <c r="E4714" s="5">
        <f>IFERROR(__xludf.DUMMYFUNCTION("""COMPUTED_VALUE"""),0.11586320237908906)</f>
        <v>0.1158632024</v>
      </c>
      <c r="F4714" s="5">
        <f>IFERROR(__xludf.DUMMYFUNCTION("""COMPUTED_VALUE"""),0.2151353889497574)</f>
        <v>0.2151353889</v>
      </c>
      <c r="G4714" s="5">
        <f>IFERROR(__xludf.DUMMYFUNCTION("""COMPUTED_VALUE"""),0.1657927688214118)</f>
        <v>0.1657927688</v>
      </c>
      <c r="H4714" s="5">
        <f>IFERROR(__xludf.DUMMYFUNCTION("""COMPUTED_VALUE"""),0.593488541287741)</f>
        <v>0.5934885413</v>
      </c>
      <c r="I4714" s="11">
        <f>IFERROR(__xludf.DUMMYFUNCTION("""COMPUTED_VALUE"""),5426.937068024737)</f>
        <v>5426.937068</v>
      </c>
      <c r="J4714" s="10">
        <f>IFERROR(__xludf.DUMMYFUNCTION("""COMPUTED_VALUE"""),2.0)</f>
        <v>2</v>
      </c>
      <c r="K4714" s="5">
        <f>IFERROR(__xludf.DUMMYFUNCTION("""COMPUTED_VALUE"""),8.435259384226065E-4)</f>
        <v>0.0008435259384</v>
      </c>
      <c r="L4714" s="10">
        <f>IFERROR(__xludf.DUMMYFUNCTION("""COMPUTED_VALUE"""),2371.0)</f>
        <v>2371</v>
      </c>
      <c r="M4714" s="5">
        <f>IFERROR(__xludf.DUMMYFUNCTION("""COMPUTED_VALUE"""),1.0)</f>
        <v>1</v>
      </c>
    </row>
    <row r="4715">
      <c r="A4715" s="10" t="str">
        <f>IFERROR(__xludf.DUMMYFUNCTION("""COMPUTED_VALUE"""),"李小狼")</f>
        <v>李小狼</v>
      </c>
      <c r="B4715" s="10">
        <f>IFERROR(__xludf.DUMMYFUNCTION("""COMPUTED_VALUE"""),328.0)</f>
        <v>328</v>
      </c>
      <c r="C4715" s="10">
        <f>IFERROR(__xludf.DUMMYFUNCTION("""COMPUTED_VALUE"""),3789.0)</f>
        <v>3789</v>
      </c>
      <c r="D4715" s="5">
        <f>IFERROR(__xludf.DUMMYFUNCTION("""COMPUTED_VALUE"""),0.33545218145044786)</f>
        <v>0.3354521815</v>
      </c>
      <c r="E4715" s="5">
        <f>IFERROR(__xludf.DUMMYFUNCTION("""COMPUTED_VALUE"""),0.11586246749494365)</f>
        <v>0.1158624675</v>
      </c>
      <c r="F4715" s="5">
        <f>IFERROR(__xludf.DUMMYFUNCTION("""COMPUTED_VALUE"""),0.2126553019358567)</f>
        <v>0.2126553019</v>
      </c>
      <c r="G4715" s="5">
        <f>IFERROR(__xludf.DUMMYFUNCTION("""COMPUTED_VALUE"""),0.17133776365212366)</f>
        <v>0.1713377637</v>
      </c>
      <c r="H4715" s="5">
        <f>IFERROR(__xludf.DUMMYFUNCTION("""COMPUTED_VALUE"""),0.5625)</f>
        <v>0.5625</v>
      </c>
      <c r="I4715" s="11">
        <f>IFERROR(__xludf.DUMMYFUNCTION("""COMPUTED_VALUE"""),5587.635869565217)</f>
        <v>5587.63587</v>
      </c>
      <c r="J4715" s="10">
        <f>IFERROR(__xludf.DUMMYFUNCTION("""COMPUTED_VALUE"""),1.0)</f>
        <v>1</v>
      </c>
      <c r="K4715" s="5">
        <f>IFERROR(__xludf.DUMMYFUNCTION("""COMPUTED_VALUE"""),0.003048780487804878)</f>
        <v>0.003048780488</v>
      </c>
      <c r="L4715" s="10">
        <f>IFERROR(__xludf.DUMMYFUNCTION("""COMPUTED_VALUE"""),328.0)</f>
        <v>328</v>
      </c>
      <c r="M4715" s="5">
        <f>IFERROR(__xludf.DUMMYFUNCTION("""COMPUTED_VALUE"""),1.0)</f>
        <v>1</v>
      </c>
    </row>
    <row r="4716">
      <c r="A4716" s="10" t="str">
        <f>IFERROR(__xludf.DUMMYFUNCTION("""COMPUTED_VALUE"""),"鈴木健太")</f>
        <v>鈴木健太</v>
      </c>
      <c r="B4716" s="10">
        <f>IFERROR(__xludf.DUMMYFUNCTION("""COMPUTED_VALUE"""),159.0)</f>
        <v>159</v>
      </c>
      <c r="C4716" s="10">
        <f>IFERROR(__xludf.DUMMYFUNCTION("""COMPUTED_VALUE"""),1868.0)</f>
        <v>1868</v>
      </c>
      <c r="D4716" s="5">
        <f>IFERROR(__xludf.DUMMYFUNCTION("""COMPUTED_VALUE"""),0.3861907548273844)</f>
        <v>0.3861907548</v>
      </c>
      <c r="E4716" s="5">
        <f>IFERROR(__xludf.DUMMYFUNCTION("""COMPUTED_VALUE"""),0.11585722644821533)</f>
        <v>0.1158572264</v>
      </c>
      <c r="F4716" s="5">
        <f>IFERROR(__xludf.DUMMYFUNCTION("""COMPUTED_VALUE"""),0.21006436512580456)</f>
        <v>0.2100643651</v>
      </c>
      <c r="G4716" s="5">
        <f>IFERROR(__xludf.DUMMYFUNCTION("""COMPUTED_VALUE"""),0.13165593914569923)</f>
        <v>0.1316559391</v>
      </c>
      <c r="H4716" s="5">
        <f>IFERROR(__xludf.DUMMYFUNCTION("""COMPUTED_VALUE"""),0.6155988857938719)</f>
        <v>0.6155988858</v>
      </c>
      <c r="I4716" s="11">
        <f>IFERROR(__xludf.DUMMYFUNCTION("""COMPUTED_VALUE"""),5596.100278551532)</f>
        <v>5596.100279</v>
      </c>
      <c r="J4716" s="10">
        <f>IFERROR(__xludf.DUMMYFUNCTION("""COMPUTED_VALUE"""),0.0)</f>
        <v>0</v>
      </c>
      <c r="K4716" s="5">
        <f>IFERROR(__xludf.DUMMYFUNCTION("""COMPUTED_VALUE"""),0.0)</f>
        <v>0</v>
      </c>
      <c r="L4716" s="10">
        <f>IFERROR(__xludf.DUMMYFUNCTION("""COMPUTED_VALUE"""),159.0)</f>
        <v>159</v>
      </c>
      <c r="M4716" s="5">
        <f>IFERROR(__xludf.DUMMYFUNCTION("""COMPUTED_VALUE"""),1.0)</f>
        <v>1</v>
      </c>
    </row>
    <row r="4717">
      <c r="A4717" s="10" t="str">
        <f>IFERROR(__xludf.DUMMYFUNCTION("""COMPUTED_VALUE"""),"Halcyon")</f>
        <v>Halcyon</v>
      </c>
      <c r="B4717" s="10">
        <f>IFERROR(__xludf.DUMMYFUNCTION("""COMPUTED_VALUE"""),356.0)</f>
        <v>356</v>
      </c>
      <c r="C4717" s="10">
        <f>IFERROR(__xludf.DUMMYFUNCTION("""COMPUTED_VALUE"""),4275.0)</f>
        <v>4275</v>
      </c>
      <c r="D4717" s="5">
        <f>IFERROR(__xludf.DUMMYFUNCTION("""COMPUTED_VALUE"""),0.1987751977545292)</f>
        <v>0.1987751978</v>
      </c>
      <c r="E4717" s="5">
        <f>IFERROR(__xludf.DUMMYFUNCTION("""COMPUTED_VALUE"""),0.11584587905077826)</f>
        <v>0.1158458791</v>
      </c>
      <c r="F4717" s="5">
        <f>IFERROR(__xludf.DUMMYFUNCTION("""COMPUTED_VALUE"""),0.17708599132431743)</f>
        <v>0.1770859913</v>
      </c>
      <c r="G4717" s="5">
        <f>IFERROR(__xludf.DUMMYFUNCTION("""COMPUTED_VALUE"""),0.1798928298035213)</f>
        <v>0.1798928298</v>
      </c>
      <c r="H4717" s="5">
        <f>IFERROR(__xludf.DUMMYFUNCTION("""COMPUTED_VALUE"""),0.5951008645533141)</f>
        <v>0.5951008646</v>
      </c>
      <c r="I4717" s="11">
        <f>IFERROR(__xludf.DUMMYFUNCTION("""COMPUTED_VALUE"""),6085.446685878963)</f>
        <v>6085.446686</v>
      </c>
      <c r="J4717" s="10">
        <f>IFERROR(__xludf.DUMMYFUNCTION("""COMPUTED_VALUE"""),2.0)</f>
        <v>2</v>
      </c>
      <c r="K4717" s="5">
        <f>IFERROR(__xludf.DUMMYFUNCTION("""COMPUTED_VALUE"""),0.0056179775280898875)</f>
        <v>0.005617977528</v>
      </c>
      <c r="L4717" s="10">
        <f>IFERROR(__xludf.DUMMYFUNCTION("""COMPUTED_VALUE"""),356.0)</f>
        <v>356</v>
      </c>
      <c r="M4717" s="5">
        <f>IFERROR(__xludf.DUMMYFUNCTION("""COMPUTED_VALUE"""),1.0)</f>
        <v>1</v>
      </c>
    </row>
    <row r="4718">
      <c r="A4718" s="10" t="str">
        <f>IFERROR(__xludf.DUMMYFUNCTION("""COMPUTED_VALUE"""),"ミノり")</f>
        <v>ミノり</v>
      </c>
      <c r="B4718" s="10">
        <f>IFERROR(__xludf.DUMMYFUNCTION("""COMPUTED_VALUE"""),1241.0)</f>
        <v>1241</v>
      </c>
      <c r="C4718" s="10">
        <f>IFERROR(__xludf.DUMMYFUNCTION("""COMPUTED_VALUE"""),14648.0)</f>
        <v>14648</v>
      </c>
      <c r="D4718" s="5">
        <f>IFERROR(__xludf.DUMMYFUNCTION("""COMPUTED_VALUE"""),0.36816588349369733)</f>
        <v>0.3681658835</v>
      </c>
      <c r="E4718" s="5">
        <f>IFERROR(__xludf.DUMMYFUNCTION("""COMPUTED_VALUE"""),0.11583501156112479)</f>
        <v>0.1158350116</v>
      </c>
      <c r="F4718" s="5">
        <f>IFERROR(__xludf.DUMMYFUNCTION("""COMPUTED_VALUE"""),0.21719997016483927)</f>
        <v>0.2171999702</v>
      </c>
      <c r="G4718" s="5">
        <f>IFERROR(__xludf.DUMMYFUNCTION("""COMPUTED_VALUE"""),0.1884836279555456)</f>
        <v>0.188483628</v>
      </c>
      <c r="H4718" s="5">
        <f>IFERROR(__xludf.DUMMYFUNCTION("""COMPUTED_VALUE"""),0.5910027472527473)</f>
        <v>0.5910027473</v>
      </c>
      <c r="I4718" s="11">
        <f>IFERROR(__xludf.DUMMYFUNCTION("""COMPUTED_VALUE"""),5976.0989010989015)</f>
        <v>5976.098901</v>
      </c>
      <c r="J4718" s="10">
        <f>IFERROR(__xludf.DUMMYFUNCTION("""COMPUTED_VALUE"""),2.0)</f>
        <v>2</v>
      </c>
      <c r="K4718" s="5">
        <f>IFERROR(__xludf.DUMMYFUNCTION("""COMPUTED_VALUE"""),0.0016116035455278)</f>
        <v>0.001611603546</v>
      </c>
      <c r="L4718" s="10">
        <f>IFERROR(__xludf.DUMMYFUNCTION("""COMPUTED_VALUE"""),1241.0)</f>
        <v>1241</v>
      </c>
      <c r="M4718" s="5">
        <f>IFERROR(__xludf.DUMMYFUNCTION("""COMPUTED_VALUE"""),1.0)</f>
        <v>1</v>
      </c>
    </row>
    <row r="4719">
      <c r="A4719" s="10" t="str">
        <f>IFERROR(__xludf.DUMMYFUNCTION("""COMPUTED_VALUE"""),"やまがらー")</f>
        <v>やまがらー</v>
      </c>
      <c r="B4719" s="10">
        <f>IFERROR(__xludf.DUMMYFUNCTION("""COMPUTED_VALUE"""),1457.0)</f>
        <v>1457</v>
      </c>
      <c r="C4719" s="10">
        <f>IFERROR(__xludf.DUMMYFUNCTION("""COMPUTED_VALUE"""),16929.0)</f>
        <v>16929</v>
      </c>
      <c r="D4719" s="5">
        <f>IFERROR(__xludf.DUMMYFUNCTION("""COMPUTED_VALUE"""),0.3082988624612203)</f>
        <v>0.3082988625</v>
      </c>
      <c r="E4719" s="5">
        <f>IFERROR(__xludf.DUMMYFUNCTION("""COMPUTED_VALUE"""),0.11582213029989659)</f>
        <v>0.1158221303</v>
      </c>
      <c r="F4719" s="5">
        <f>IFERROR(__xludf.DUMMYFUNCTION("""COMPUTED_VALUE"""),0.20546794208893485)</f>
        <v>0.2054679421</v>
      </c>
      <c r="G4719" s="5">
        <f>IFERROR(__xludf.DUMMYFUNCTION("""COMPUTED_VALUE"""),0.17302223371251294)</f>
        <v>0.1730222337</v>
      </c>
      <c r="H4719" s="5">
        <f>IFERROR(__xludf.DUMMYFUNCTION("""COMPUTED_VALUE"""),0.6086819754639824)</f>
        <v>0.6086819755</v>
      </c>
      <c r="I4719" s="11">
        <f>IFERROR(__xludf.DUMMYFUNCTION("""COMPUTED_VALUE"""),5686.977036804026)</f>
        <v>5686.977037</v>
      </c>
      <c r="J4719" s="10">
        <f>IFERROR(__xludf.DUMMYFUNCTION("""COMPUTED_VALUE"""),3.0)</f>
        <v>3</v>
      </c>
      <c r="K4719" s="5">
        <f>IFERROR(__xludf.DUMMYFUNCTION("""COMPUTED_VALUE"""),0.002059025394646534)</f>
        <v>0.002059025395</v>
      </c>
      <c r="L4719" s="10">
        <f>IFERROR(__xludf.DUMMYFUNCTION("""COMPUTED_VALUE"""),1457.0)</f>
        <v>1457</v>
      </c>
      <c r="M4719" s="5">
        <f>IFERROR(__xludf.DUMMYFUNCTION("""COMPUTED_VALUE"""),1.0)</f>
        <v>1</v>
      </c>
    </row>
    <row r="4720">
      <c r="A4720" s="10" t="str">
        <f>IFERROR(__xludf.DUMMYFUNCTION("""COMPUTED_VALUE"""),"YoppY")</f>
        <v>YoppY</v>
      </c>
      <c r="B4720" s="10">
        <f>IFERROR(__xludf.DUMMYFUNCTION("""COMPUTED_VALUE"""),243.0)</f>
        <v>243</v>
      </c>
      <c r="C4720" s="10">
        <f>IFERROR(__xludf.DUMMYFUNCTION("""COMPUTED_VALUE"""),2808.0)</f>
        <v>2808</v>
      </c>
      <c r="D4720" s="5">
        <f>IFERROR(__xludf.DUMMYFUNCTION("""COMPUTED_VALUE"""),0.2916179337231969)</f>
        <v>0.2916179337</v>
      </c>
      <c r="E4720" s="5">
        <f>IFERROR(__xludf.DUMMYFUNCTION("""COMPUTED_VALUE"""),0.11578947368421053)</f>
        <v>0.1157894737</v>
      </c>
      <c r="F4720" s="5">
        <f>IFERROR(__xludf.DUMMYFUNCTION("""COMPUTED_VALUE"""),0.1875243664717349)</f>
        <v>0.1875243665</v>
      </c>
      <c r="G4720" s="5">
        <f>IFERROR(__xludf.DUMMYFUNCTION("""COMPUTED_VALUE"""),0.1594541910331384)</f>
        <v>0.159454191</v>
      </c>
      <c r="H4720" s="5">
        <f>IFERROR(__xludf.DUMMYFUNCTION("""COMPUTED_VALUE"""),0.5966735966735967)</f>
        <v>0.5966735967</v>
      </c>
      <c r="I4720" s="11">
        <f>IFERROR(__xludf.DUMMYFUNCTION("""COMPUTED_VALUE"""),5972.972972972973)</f>
        <v>5972.972973</v>
      </c>
      <c r="J4720" s="10">
        <f>IFERROR(__xludf.DUMMYFUNCTION("""COMPUTED_VALUE"""),0.0)</f>
        <v>0</v>
      </c>
      <c r="K4720" s="5">
        <f>IFERROR(__xludf.DUMMYFUNCTION("""COMPUTED_VALUE"""),0.0)</f>
        <v>0</v>
      </c>
      <c r="L4720" s="10">
        <f>IFERROR(__xludf.DUMMYFUNCTION("""COMPUTED_VALUE"""),0.0)</f>
        <v>0</v>
      </c>
      <c r="M4720" s="5">
        <f>IFERROR(__xludf.DUMMYFUNCTION("""COMPUTED_VALUE"""),0.0)</f>
        <v>0</v>
      </c>
    </row>
    <row r="4721">
      <c r="A4721" s="10" t="str">
        <f>IFERROR(__xludf.DUMMYFUNCTION("""COMPUTED_VALUE"""),"１２４８１６３２")</f>
        <v>１２４８１６３２</v>
      </c>
      <c r="B4721" s="10">
        <f>IFERROR(__xludf.DUMMYFUNCTION("""COMPUTED_VALUE"""),862.0)</f>
        <v>862</v>
      </c>
      <c r="C4721" s="10">
        <f>IFERROR(__xludf.DUMMYFUNCTION("""COMPUTED_VALUE"""),10242.0)</f>
        <v>10242</v>
      </c>
      <c r="D4721" s="5">
        <f>IFERROR(__xludf.DUMMYFUNCTION("""COMPUTED_VALUE"""),0.41823027718550104)</f>
        <v>0.4182302772</v>
      </c>
      <c r="E4721" s="5">
        <f>IFERROR(__xludf.DUMMYFUNCTION("""COMPUTED_VALUE"""),0.11577825159914712)</f>
        <v>0.1157782516</v>
      </c>
      <c r="F4721" s="5">
        <f>IFERROR(__xludf.DUMMYFUNCTION("""COMPUTED_VALUE"""),0.20373134328358208)</f>
        <v>0.2037313433</v>
      </c>
      <c r="G4721" s="5">
        <f>IFERROR(__xludf.DUMMYFUNCTION("""COMPUTED_VALUE"""),0.1662046908315565)</f>
        <v>0.1662046908</v>
      </c>
      <c r="H4721" s="5">
        <f>IFERROR(__xludf.DUMMYFUNCTION("""COMPUTED_VALUE"""),0.5803244374672946)</f>
        <v>0.5803244375</v>
      </c>
      <c r="I4721" s="11">
        <f>IFERROR(__xludf.DUMMYFUNCTION("""COMPUTED_VALUE"""),5548.194662480377)</f>
        <v>5548.194662</v>
      </c>
      <c r="J4721" s="10">
        <f>IFERROR(__xludf.DUMMYFUNCTION("""COMPUTED_VALUE"""),0.0)</f>
        <v>0</v>
      </c>
      <c r="K4721" s="5">
        <f>IFERROR(__xludf.DUMMYFUNCTION("""COMPUTED_VALUE"""),0.0)</f>
        <v>0</v>
      </c>
      <c r="L4721" s="10">
        <f>IFERROR(__xludf.DUMMYFUNCTION("""COMPUTED_VALUE"""),862.0)</f>
        <v>862</v>
      </c>
      <c r="M4721" s="5">
        <f>IFERROR(__xludf.DUMMYFUNCTION("""COMPUTED_VALUE"""),1.0)</f>
        <v>1</v>
      </c>
    </row>
    <row r="4722">
      <c r="A4722" s="10" t="str">
        <f>IFERROR(__xludf.DUMMYFUNCTION("""COMPUTED_VALUE"""),"しちかしゅく")</f>
        <v>しちかしゅく</v>
      </c>
      <c r="B4722" s="10">
        <f>IFERROR(__xludf.DUMMYFUNCTION("""COMPUTED_VALUE"""),1993.0)</f>
        <v>1993</v>
      </c>
      <c r="C4722" s="10">
        <f>IFERROR(__xludf.DUMMYFUNCTION("""COMPUTED_VALUE"""),23631.0)</f>
        <v>23631</v>
      </c>
      <c r="D4722" s="5">
        <f>IFERROR(__xludf.DUMMYFUNCTION("""COMPUTED_VALUE"""),0.3587669840096127)</f>
        <v>0.358766984</v>
      </c>
      <c r="E4722" s="5">
        <f>IFERROR(__xludf.DUMMYFUNCTION("""COMPUTED_VALUE"""),0.1157685553193456)</f>
        <v>0.1157685553</v>
      </c>
      <c r="F4722" s="5">
        <f>IFERROR(__xludf.DUMMYFUNCTION("""COMPUTED_VALUE"""),0.21845826786209446)</f>
        <v>0.2184582679</v>
      </c>
      <c r="G4722" s="5">
        <f>IFERROR(__xludf.DUMMYFUNCTION("""COMPUTED_VALUE"""),0.17233570570293003)</f>
        <v>0.1723357057</v>
      </c>
      <c r="H4722" s="5">
        <f>IFERROR(__xludf.DUMMYFUNCTION("""COMPUTED_VALUE"""),0.6056695578591073)</f>
        <v>0.6056695579</v>
      </c>
      <c r="I4722" s="11">
        <f>IFERROR(__xludf.DUMMYFUNCTION("""COMPUTED_VALUE"""),5384.979902686693)</f>
        <v>5384.979903</v>
      </c>
      <c r="J4722" s="10">
        <f>IFERROR(__xludf.DUMMYFUNCTION("""COMPUTED_VALUE"""),3.0)</f>
        <v>3</v>
      </c>
      <c r="K4722" s="5">
        <f>IFERROR(__xludf.DUMMYFUNCTION("""COMPUTED_VALUE"""),0.0015052684395383843)</f>
        <v>0.00150526844</v>
      </c>
      <c r="L4722" s="10">
        <f>IFERROR(__xludf.DUMMYFUNCTION("""COMPUTED_VALUE"""),1993.0)</f>
        <v>1993</v>
      </c>
      <c r="M4722" s="5">
        <f>IFERROR(__xludf.DUMMYFUNCTION("""COMPUTED_VALUE"""),1.0)</f>
        <v>1</v>
      </c>
    </row>
    <row r="4723">
      <c r="A4723" s="10" t="str">
        <f>IFERROR(__xludf.DUMMYFUNCTION("""COMPUTED_VALUE"""),"野獣先輩")</f>
        <v>野獣先輩</v>
      </c>
      <c r="B4723" s="10">
        <f>IFERROR(__xludf.DUMMYFUNCTION("""COMPUTED_VALUE"""),796.0)</f>
        <v>796</v>
      </c>
      <c r="C4723" s="10">
        <f>IFERROR(__xludf.DUMMYFUNCTION("""COMPUTED_VALUE"""),9305.0)</f>
        <v>9305</v>
      </c>
      <c r="D4723" s="5">
        <f>IFERROR(__xludf.DUMMYFUNCTION("""COMPUTED_VALUE"""),0.28393465742155366)</f>
        <v>0.2839346574</v>
      </c>
      <c r="E4723" s="5">
        <f>IFERROR(__xludf.DUMMYFUNCTION("""COMPUTED_VALUE"""),0.11575978375837348)</f>
        <v>0.1157597838</v>
      </c>
      <c r="F4723" s="5">
        <f>IFERROR(__xludf.DUMMYFUNCTION("""COMPUTED_VALUE"""),0.2109531084733811)</f>
        <v>0.2109531085</v>
      </c>
      <c r="G4723" s="5">
        <f>IFERROR(__xludf.DUMMYFUNCTION("""COMPUTED_VALUE"""),0.170760371371489)</f>
        <v>0.1707603714</v>
      </c>
      <c r="H4723" s="5">
        <f>IFERROR(__xludf.DUMMYFUNCTION("""COMPUTED_VALUE"""),0.6055710306406685)</f>
        <v>0.6055710306</v>
      </c>
      <c r="I4723" s="11">
        <f>IFERROR(__xludf.DUMMYFUNCTION("""COMPUTED_VALUE"""),5541.559888579387)</f>
        <v>5541.559889</v>
      </c>
      <c r="J4723" s="10">
        <f>IFERROR(__xludf.DUMMYFUNCTION("""COMPUTED_VALUE"""),1.0)</f>
        <v>1</v>
      </c>
      <c r="K4723" s="5">
        <f>IFERROR(__xludf.DUMMYFUNCTION("""COMPUTED_VALUE"""),0.001256281407035176)</f>
        <v>0.001256281407</v>
      </c>
      <c r="L4723" s="10">
        <f>IFERROR(__xludf.DUMMYFUNCTION("""COMPUTED_VALUE"""),0.0)</f>
        <v>0</v>
      </c>
      <c r="M4723" s="5">
        <f>IFERROR(__xludf.DUMMYFUNCTION("""COMPUTED_VALUE"""),0.0)</f>
        <v>0</v>
      </c>
    </row>
    <row r="4724">
      <c r="A4724" s="10" t="str">
        <f>IFERROR(__xludf.DUMMYFUNCTION("""COMPUTED_VALUE"""),"CoCoNan")</f>
        <v>CoCoNan</v>
      </c>
      <c r="B4724" s="10">
        <f>IFERROR(__xludf.DUMMYFUNCTION("""COMPUTED_VALUE"""),617.0)</f>
        <v>617</v>
      </c>
      <c r="C4724" s="10">
        <f>IFERROR(__xludf.DUMMYFUNCTION("""COMPUTED_VALUE"""),7347.0)</f>
        <v>7347</v>
      </c>
      <c r="D4724" s="5">
        <f>IFERROR(__xludf.DUMMYFUNCTION("""COMPUTED_VALUE"""),0.3664190193164933)</f>
        <v>0.3664190193</v>
      </c>
      <c r="E4724" s="5">
        <f>IFERROR(__xludf.DUMMYFUNCTION("""COMPUTED_VALUE"""),0.11575037147102527)</f>
        <v>0.1157503715</v>
      </c>
      <c r="F4724" s="5">
        <f>IFERROR(__xludf.DUMMYFUNCTION("""COMPUTED_VALUE"""),0.20713224368499258)</f>
        <v>0.2071322437</v>
      </c>
      <c r="G4724" s="5">
        <f>IFERROR(__xludf.DUMMYFUNCTION("""COMPUTED_VALUE"""),0.14947994056463595)</f>
        <v>0.1494799406</v>
      </c>
      <c r="H4724" s="5">
        <f>IFERROR(__xludf.DUMMYFUNCTION("""COMPUTED_VALUE"""),0.599713055954089)</f>
        <v>0.599713056</v>
      </c>
      <c r="I4724" s="11">
        <f>IFERROR(__xludf.DUMMYFUNCTION("""COMPUTED_VALUE"""),5366.499282639885)</f>
        <v>5366.499283</v>
      </c>
      <c r="J4724" s="10">
        <f>IFERROR(__xludf.DUMMYFUNCTION("""COMPUTED_VALUE"""),3.0)</f>
        <v>3</v>
      </c>
      <c r="K4724" s="5">
        <f>IFERROR(__xludf.DUMMYFUNCTION("""COMPUTED_VALUE"""),0.004862236628849271)</f>
        <v>0.004862236629</v>
      </c>
      <c r="L4724" s="10">
        <f>IFERROR(__xludf.DUMMYFUNCTION("""COMPUTED_VALUE"""),567.0)</f>
        <v>567</v>
      </c>
      <c r="M4724" s="5">
        <f>IFERROR(__xludf.DUMMYFUNCTION("""COMPUTED_VALUE"""),0.9189627228525121)</f>
        <v>0.9189627229</v>
      </c>
    </row>
    <row r="4725">
      <c r="A4725" s="10" t="str">
        <f>IFERROR(__xludf.DUMMYFUNCTION("""COMPUTED_VALUE"""),"tacos")</f>
        <v>tacos</v>
      </c>
      <c r="B4725" s="10">
        <f>IFERROR(__xludf.DUMMYFUNCTION("""COMPUTED_VALUE"""),4930.0)</f>
        <v>4930</v>
      </c>
      <c r="C4725" s="10">
        <f>IFERROR(__xludf.DUMMYFUNCTION("""COMPUTED_VALUE"""),57970.0)</f>
        <v>57970</v>
      </c>
      <c r="D4725" s="5">
        <f>IFERROR(__xludf.DUMMYFUNCTION("""COMPUTED_VALUE"""),0.3634049773755656)</f>
        <v>0.3634049774</v>
      </c>
      <c r="E4725" s="5">
        <f>IFERROR(__xludf.DUMMYFUNCTION("""COMPUTED_VALUE"""),0.11574283559577678)</f>
        <v>0.1157428356</v>
      </c>
      <c r="F4725" s="5">
        <f>IFERROR(__xludf.DUMMYFUNCTION("""COMPUTED_VALUE"""),0.21500754147812973)</f>
        <v>0.2150075415</v>
      </c>
      <c r="G4725" s="5">
        <f>IFERROR(__xludf.DUMMYFUNCTION("""COMPUTED_VALUE"""),0.17437782805429863)</f>
        <v>0.1743778281</v>
      </c>
      <c r="H4725" s="5">
        <f>IFERROR(__xludf.DUMMYFUNCTION("""COMPUTED_VALUE"""),0.5976850227990179)</f>
        <v>0.5976850228</v>
      </c>
      <c r="I4725" s="11">
        <f>IFERROR(__xludf.DUMMYFUNCTION("""COMPUTED_VALUE"""),5428.121711680113)</f>
        <v>5428.121712</v>
      </c>
      <c r="J4725" s="10">
        <f>IFERROR(__xludf.DUMMYFUNCTION("""COMPUTED_VALUE"""),7.0)</f>
        <v>7</v>
      </c>
      <c r="K4725" s="5">
        <f>IFERROR(__xludf.DUMMYFUNCTION("""COMPUTED_VALUE"""),0.0014198782961460446)</f>
        <v>0.001419878296</v>
      </c>
      <c r="L4725" s="10">
        <f>IFERROR(__xludf.DUMMYFUNCTION("""COMPUTED_VALUE"""),3432.0)</f>
        <v>3432</v>
      </c>
      <c r="M4725" s="5">
        <f>IFERROR(__xludf.DUMMYFUNCTION("""COMPUTED_VALUE"""),0.6961460446247465)</f>
        <v>0.6961460446</v>
      </c>
    </row>
    <row r="4726">
      <c r="A4726" s="10" t="str">
        <f>IFERROR(__xludf.DUMMYFUNCTION("""COMPUTED_VALUE"""),"其為右手")</f>
        <v>其為右手</v>
      </c>
      <c r="B4726" s="10">
        <f>IFERROR(__xludf.DUMMYFUNCTION("""COMPUTED_VALUE"""),159.0)</f>
        <v>159</v>
      </c>
      <c r="C4726" s="10">
        <f>IFERROR(__xludf.DUMMYFUNCTION("""COMPUTED_VALUE"""),1844.0)</f>
        <v>1844</v>
      </c>
      <c r="D4726" s="5">
        <f>IFERROR(__xludf.DUMMYFUNCTION("""COMPUTED_VALUE"""),0.4089020771513353)</f>
        <v>0.4089020772</v>
      </c>
      <c r="E4726" s="5">
        <f>IFERROR(__xludf.DUMMYFUNCTION("""COMPUTED_VALUE"""),0.11572700296735905)</f>
        <v>0.115727003</v>
      </c>
      <c r="F4726" s="5">
        <f>IFERROR(__xludf.DUMMYFUNCTION("""COMPUTED_VALUE"""),0.23738872403560832)</f>
        <v>0.237388724</v>
      </c>
      <c r="G4726" s="5">
        <f>IFERROR(__xludf.DUMMYFUNCTION("""COMPUTED_VALUE"""),0.14540059347181009)</f>
        <v>0.1454005935</v>
      </c>
      <c r="H4726" s="5">
        <f>IFERROR(__xludf.DUMMYFUNCTION("""COMPUTED_VALUE"""),0.58)</f>
        <v>0.58</v>
      </c>
      <c r="I4726" s="11">
        <f>IFERROR(__xludf.DUMMYFUNCTION("""COMPUTED_VALUE"""),5007.0)</f>
        <v>5007</v>
      </c>
      <c r="J4726" s="10">
        <f>IFERROR(__xludf.DUMMYFUNCTION("""COMPUTED_VALUE"""),0.0)</f>
        <v>0</v>
      </c>
      <c r="K4726" s="5">
        <f>IFERROR(__xludf.DUMMYFUNCTION("""COMPUTED_VALUE"""),0.0)</f>
        <v>0</v>
      </c>
      <c r="L4726" s="10">
        <f>IFERROR(__xludf.DUMMYFUNCTION("""COMPUTED_VALUE"""),159.0)</f>
        <v>159</v>
      </c>
      <c r="M4726" s="5">
        <f>IFERROR(__xludf.DUMMYFUNCTION("""COMPUTED_VALUE"""),1.0)</f>
        <v>1</v>
      </c>
    </row>
    <row r="4727">
      <c r="A4727" s="10" t="str">
        <f>IFERROR(__xludf.DUMMYFUNCTION("""COMPUTED_VALUE"""),"セントアリシア")</f>
        <v>セントアリシア</v>
      </c>
      <c r="B4727" s="10">
        <f>IFERROR(__xludf.DUMMYFUNCTION("""COMPUTED_VALUE"""),934.0)</f>
        <v>934</v>
      </c>
      <c r="C4727" s="10">
        <f>IFERROR(__xludf.DUMMYFUNCTION("""COMPUTED_VALUE"""),10996.0)</f>
        <v>10996</v>
      </c>
      <c r="D4727" s="5">
        <f>IFERROR(__xludf.DUMMYFUNCTION("""COMPUTED_VALUE"""),0.30331941959848935)</f>
        <v>0.3033194196</v>
      </c>
      <c r="E4727" s="5">
        <f>IFERROR(__xludf.DUMMYFUNCTION("""COMPUTED_VALUE"""),0.11568276684555755)</f>
        <v>0.1156827668</v>
      </c>
      <c r="F4727" s="5">
        <f>IFERROR(__xludf.DUMMYFUNCTION("""COMPUTED_VALUE"""),0.20065593321407274)</f>
        <v>0.2006559332</v>
      </c>
      <c r="G4727" s="5">
        <f>IFERROR(__xludf.DUMMYFUNCTION("""COMPUTED_VALUE"""),0.1806797853309481)</f>
        <v>0.1806797853</v>
      </c>
      <c r="H4727" s="5">
        <f>IFERROR(__xludf.DUMMYFUNCTION("""COMPUTED_VALUE"""),0.5780089153046062)</f>
        <v>0.5780089153</v>
      </c>
      <c r="I4727" s="11">
        <f>IFERROR(__xludf.DUMMYFUNCTION("""COMPUTED_VALUE"""),6037.493808816245)</f>
        <v>6037.493809</v>
      </c>
      <c r="J4727" s="10">
        <f>IFERROR(__xludf.DUMMYFUNCTION("""COMPUTED_VALUE"""),1.0)</f>
        <v>1</v>
      </c>
      <c r="K4727" s="5">
        <f>IFERROR(__xludf.DUMMYFUNCTION("""COMPUTED_VALUE"""),0.0010706638115631692)</f>
        <v>0.001070663812</v>
      </c>
      <c r="L4727" s="10">
        <f>IFERROR(__xludf.DUMMYFUNCTION("""COMPUTED_VALUE"""),803.0)</f>
        <v>803</v>
      </c>
      <c r="M4727" s="5">
        <f>IFERROR(__xludf.DUMMYFUNCTION("""COMPUTED_VALUE"""),0.8597430406852249)</f>
        <v>0.8597430407</v>
      </c>
    </row>
    <row r="4728">
      <c r="A4728" s="10" t="str">
        <f>IFERROR(__xludf.DUMMYFUNCTION("""COMPUTED_VALUE"""),"XXXG-01D")</f>
        <v>XXXG-01D</v>
      </c>
      <c r="B4728" s="10">
        <f>IFERROR(__xludf.DUMMYFUNCTION("""COMPUTED_VALUE"""),244.0)</f>
        <v>244</v>
      </c>
      <c r="C4728" s="10">
        <f>IFERROR(__xludf.DUMMYFUNCTION("""COMPUTED_VALUE"""),2846.0)</f>
        <v>2846</v>
      </c>
      <c r="D4728" s="5">
        <f>IFERROR(__xludf.DUMMYFUNCTION("""COMPUTED_VALUE"""),0.3789392774788624)</f>
        <v>0.3789392775</v>
      </c>
      <c r="E4728" s="5">
        <f>IFERROR(__xludf.DUMMYFUNCTION("""COMPUTED_VALUE"""),0.11568024596464259)</f>
        <v>0.115680246</v>
      </c>
      <c r="F4728" s="5">
        <f>IFERROR(__xludf.DUMMYFUNCTION("""COMPUTED_VALUE"""),0.19869331283627978)</f>
        <v>0.1986933128</v>
      </c>
      <c r="G4728" s="5">
        <f>IFERROR(__xludf.DUMMYFUNCTION("""COMPUTED_VALUE"""),0.1460415065334358)</f>
        <v>0.1460415065</v>
      </c>
      <c r="H4728" s="5">
        <f>IFERROR(__xludf.DUMMYFUNCTION("""COMPUTED_VALUE"""),0.6092843326885881)</f>
        <v>0.6092843327</v>
      </c>
      <c r="I4728" s="11">
        <f>IFERROR(__xludf.DUMMYFUNCTION("""COMPUTED_VALUE"""),5715.4738878143135)</f>
        <v>5715.473888</v>
      </c>
      <c r="J4728" s="10">
        <f>IFERROR(__xludf.DUMMYFUNCTION("""COMPUTED_VALUE"""),1.0)</f>
        <v>1</v>
      </c>
      <c r="K4728" s="5">
        <f>IFERROR(__xludf.DUMMYFUNCTION("""COMPUTED_VALUE"""),0.004098360655737705)</f>
        <v>0.004098360656</v>
      </c>
      <c r="L4728" s="10">
        <f>IFERROR(__xludf.DUMMYFUNCTION("""COMPUTED_VALUE"""),244.0)</f>
        <v>244</v>
      </c>
      <c r="M4728" s="5">
        <f>IFERROR(__xludf.DUMMYFUNCTION("""COMPUTED_VALUE"""),1.0)</f>
        <v>1</v>
      </c>
    </row>
    <row r="4729">
      <c r="A4729" s="10" t="str">
        <f>IFERROR(__xludf.DUMMYFUNCTION("""COMPUTED_VALUE"""),"pon-en")</f>
        <v>pon-en</v>
      </c>
      <c r="B4729" s="10">
        <f>IFERROR(__xludf.DUMMYFUNCTION("""COMPUTED_VALUE"""),1179.0)</f>
        <v>1179</v>
      </c>
      <c r="C4729" s="10">
        <f>IFERROR(__xludf.DUMMYFUNCTION("""COMPUTED_VALUE"""),13888.0)</f>
        <v>13888</v>
      </c>
      <c r="D4729" s="5">
        <f>IFERROR(__xludf.DUMMYFUNCTION("""COMPUTED_VALUE"""),0.3540797859784405)</f>
        <v>0.354079786</v>
      </c>
      <c r="E4729" s="5">
        <f>IFERROR(__xludf.DUMMYFUNCTION("""COMPUTED_VALUE"""),0.11566606341962389)</f>
        <v>0.1156660634</v>
      </c>
      <c r="F4729" s="5">
        <f>IFERROR(__xludf.DUMMYFUNCTION("""COMPUTED_VALUE"""),0.19938626170430404)</f>
        <v>0.1993862617</v>
      </c>
      <c r="G4729" s="5">
        <f>IFERROR(__xludf.DUMMYFUNCTION("""COMPUTED_VALUE"""),0.17703989298922024)</f>
        <v>0.177039893</v>
      </c>
      <c r="H4729" s="5">
        <f>IFERROR(__xludf.DUMMYFUNCTION("""COMPUTED_VALUE"""),0.5970797158642462)</f>
        <v>0.5970797159</v>
      </c>
      <c r="I4729" s="11">
        <f>IFERROR(__xludf.DUMMYFUNCTION("""COMPUTED_VALUE"""),5613.141278610892)</f>
        <v>5613.141279</v>
      </c>
      <c r="J4729" s="10">
        <f>IFERROR(__xludf.DUMMYFUNCTION("""COMPUTED_VALUE"""),1.0)</f>
        <v>1</v>
      </c>
      <c r="K4729" s="5">
        <f>IFERROR(__xludf.DUMMYFUNCTION("""COMPUTED_VALUE"""),8.481764206955047E-4)</f>
        <v>0.0008481764207</v>
      </c>
      <c r="L4729" s="10">
        <f>IFERROR(__xludf.DUMMYFUNCTION("""COMPUTED_VALUE"""),1179.0)</f>
        <v>1179</v>
      </c>
      <c r="M4729" s="5">
        <f>IFERROR(__xludf.DUMMYFUNCTION("""COMPUTED_VALUE"""),1.0)</f>
        <v>1</v>
      </c>
    </row>
    <row r="4730">
      <c r="A4730" s="10" t="str">
        <f>IFERROR(__xludf.DUMMYFUNCTION("""COMPUTED_VALUE"""),"弱虫")</f>
        <v>弱虫</v>
      </c>
      <c r="B4730" s="10">
        <f>IFERROR(__xludf.DUMMYFUNCTION("""COMPUTED_VALUE"""),2775.0)</f>
        <v>2775</v>
      </c>
      <c r="C4730" s="10">
        <f>IFERROR(__xludf.DUMMYFUNCTION("""COMPUTED_VALUE"""),32924.0)</f>
        <v>32924</v>
      </c>
      <c r="D4730" s="5">
        <f>IFERROR(__xludf.DUMMYFUNCTION("""COMPUTED_VALUE"""),0.336628080533351)</f>
        <v>0.3366280805</v>
      </c>
      <c r="E4730" s="5">
        <f>IFERROR(__xludf.DUMMYFUNCTION("""COMPUTED_VALUE"""),0.11565889415901025)</f>
        <v>0.1156588942</v>
      </c>
      <c r="F4730" s="5">
        <f>IFERROR(__xludf.DUMMYFUNCTION("""COMPUTED_VALUE"""),0.21015622408703438)</f>
        <v>0.2101562241</v>
      </c>
      <c r="G4730" s="5">
        <f>IFERROR(__xludf.DUMMYFUNCTION("""COMPUTED_VALUE"""),0.16342167236060898)</f>
        <v>0.1634216724</v>
      </c>
      <c r="H4730" s="5">
        <f>IFERROR(__xludf.DUMMYFUNCTION("""COMPUTED_VALUE"""),0.5967487373737373)</f>
        <v>0.5967487374</v>
      </c>
      <c r="I4730" s="11">
        <f>IFERROR(__xludf.DUMMYFUNCTION("""COMPUTED_VALUE"""),5427.493686868687)</f>
        <v>5427.493687</v>
      </c>
      <c r="J4730" s="10">
        <f>IFERROR(__xludf.DUMMYFUNCTION("""COMPUTED_VALUE"""),3.0)</f>
        <v>3</v>
      </c>
      <c r="K4730" s="5">
        <f>IFERROR(__xludf.DUMMYFUNCTION("""COMPUTED_VALUE"""),0.001081081081081081)</f>
        <v>0.001081081081</v>
      </c>
      <c r="L4730" s="10">
        <f>IFERROR(__xludf.DUMMYFUNCTION("""COMPUTED_VALUE"""),2775.0)</f>
        <v>2775</v>
      </c>
      <c r="M4730" s="5">
        <f>IFERROR(__xludf.DUMMYFUNCTION("""COMPUTED_VALUE"""),1.0)</f>
        <v>1</v>
      </c>
    </row>
    <row r="4731">
      <c r="A4731" s="10" t="str">
        <f>IFERROR(__xludf.DUMMYFUNCTION("""COMPUTED_VALUE"""),"610k")</f>
        <v>610k</v>
      </c>
      <c r="B4731" s="10">
        <f>IFERROR(__xludf.DUMMYFUNCTION("""COMPUTED_VALUE"""),345.0)</f>
        <v>345</v>
      </c>
      <c r="C4731" s="10">
        <f>IFERROR(__xludf.DUMMYFUNCTION("""COMPUTED_VALUE"""),4115.0)</f>
        <v>4115</v>
      </c>
      <c r="D4731" s="5">
        <f>IFERROR(__xludf.DUMMYFUNCTION("""COMPUTED_VALUE"""),0.3047745358090186)</f>
        <v>0.3047745358</v>
      </c>
      <c r="E4731" s="5">
        <f>IFERROR(__xludf.DUMMYFUNCTION("""COMPUTED_VALUE"""),0.1156498673740053)</f>
        <v>0.1156498674</v>
      </c>
      <c r="F4731" s="5">
        <f>IFERROR(__xludf.DUMMYFUNCTION("""COMPUTED_VALUE"""),0.20583554376657826)</f>
        <v>0.2058355438</v>
      </c>
      <c r="G4731" s="5">
        <f>IFERROR(__xludf.DUMMYFUNCTION("""COMPUTED_VALUE"""),0.153315649867374)</f>
        <v>0.1533156499</v>
      </c>
      <c r="H4731" s="5">
        <f>IFERROR(__xludf.DUMMYFUNCTION("""COMPUTED_VALUE"""),0.5811855670103093)</f>
        <v>0.581185567</v>
      </c>
      <c r="I4731" s="11">
        <f>IFERROR(__xludf.DUMMYFUNCTION("""COMPUTED_VALUE"""),5485.180412371134)</f>
        <v>5485.180412</v>
      </c>
      <c r="J4731" s="10">
        <f>IFERROR(__xludf.DUMMYFUNCTION("""COMPUTED_VALUE"""),2.0)</f>
        <v>2</v>
      </c>
      <c r="K4731" s="5">
        <f>IFERROR(__xludf.DUMMYFUNCTION("""COMPUTED_VALUE"""),0.005797101449275362)</f>
        <v>0.005797101449</v>
      </c>
      <c r="L4731" s="10">
        <f>IFERROR(__xludf.DUMMYFUNCTION("""COMPUTED_VALUE"""),345.0)</f>
        <v>345</v>
      </c>
      <c r="M4731" s="5">
        <f>IFERROR(__xludf.DUMMYFUNCTION("""COMPUTED_VALUE"""),1.0)</f>
        <v>1</v>
      </c>
    </row>
    <row r="4732">
      <c r="A4732" s="10" t="str">
        <f>IFERROR(__xludf.DUMMYFUNCTION("""COMPUTED_VALUE"""),"kouichi.")</f>
        <v>kouichi.</v>
      </c>
      <c r="B4732" s="10">
        <f>IFERROR(__xludf.DUMMYFUNCTION("""COMPUTED_VALUE"""),1586.0)</f>
        <v>1586</v>
      </c>
      <c r="C4732" s="10">
        <f>IFERROR(__xludf.DUMMYFUNCTION("""COMPUTED_VALUE"""),18615.0)</f>
        <v>18615</v>
      </c>
      <c r="D4732" s="5">
        <f>IFERROR(__xludf.DUMMYFUNCTION("""COMPUTED_VALUE"""),0.38716307475483)</f>
        <v>0.3871630748</v>
      </c>
      <c r="E4732" s="5">
        <f>IFERROR(__xludf.DUMMYFUNCTION("""COMPUTED_VALUE"""),0.11562628457337483)</f>
        <v>0.1156262846</v>
      </c>
      <c r="F4732" s="5">
        <f>IFERROR(__xludf.DUMMYFUNCTION("""COMPUTED_VALUE"""),0.2081155675612191)</f>
        <v>0.2081155676</v>
      </c>
      <c r="G4732" s="5">
        <f>IFERROR(__xludf.DUMMYFUNCTION("""COMPUTED_VALUE"""),0.15044923366022667)</f>
        <v>0.1504492337</v>
      </c>
      <c r="H4732" s="5">
        <f>IFERROR(__xludf.DUMMYFUNCTION("""COMPUTED_VALUE"""),0.5967832957110609)</f>
        <v>0.5967832957</v>
      </c>
      <c r="I4732" s="11">
        <f>IFERROR(__xludf.DUMMYFUNCTION("""COMPUTED_VALUE"""),5468.340857787811)</f>
        <v>5468.340858</v>
      </c>
      <c r="J4732" s="10">
        <f>IFERROR(__xludf.DUMMYFUNCTION("""COMPUTED_VALUE"""),1.0)</f>
        <v>1</v>
      </c>
      <c r="K4732" s="5">
        <f>IFERROR(__xludf.DUMMYFUNCTION("""COMPUTED_VALUE"""),6.305170239596469E-4)</f>
        <v>0.000630517024</v>
      </c>
      <c r="L4732" s="10">
        <f>IFERROR(__xludf.DUMMYFUNCTION("""COMPUTED_VALUE"""),1586.0)</f>
        <v>1586</v>
      </c>
      <c r="M4732" s="5">
        <f>IFERROR(__xludf.DUMMYFUNCTION("""COMPUTED_VALUE"""),1.0)</f>
        <v>1</v>
      </c>
    </row>
    <row r="4733">
      <c r="A4733" s="10" t="str">
        <f>IFERROR(__xludf.DUMMYFUNCTION("""COMPUTED_VALUE"""),"ぴよえもん")</f>
        <v>ぴよえもん</v>
      </c>
      <c r="B4733" s="10">
        <f>IFERROR(__xludf.DUMMYFUNCTION("""COMPUTED_VALUE"""),1178.0)</f>
        <v>1178</v>
      </c>
      <c r="C4733" s="10">
        <f>IFERROR(__xludf.DUMMYFUNCTION("""COMPUTED_VALUE"""),13926.0)</f>
        <v>13926</v>
      </c>
      <c r="D4733" s="5">
        <f>IFERROR(__xludf.DUMMYFUNCTION("""COMPUTED_VALUE"""),0.3806871666143709)</f>
        <v>0.3806871666</v>
      </c>
      <c r="E4733" s="5">
        <f>IFERROR(__xludf.DUMMYFUNCTION("""COMPUTED_VALUE"""),0.115625980545968)</f>
        <v>0.1156259805</v>
      </c>
      <c r="F4733" s="5">
        <f>IFERROR(__xludf.DUMMYFUNCTION("""COMPUTED_VALUE"""),0.20230624411672418)</f>
        <v>0.2023062441</v>
      </c>
      <c r="G4733" s="5">
        <f>IFERROR(__xludf.DUMMYFUNCTION("""COMPUTED_VALUE"""),0.15131785378098525)</f>
        <v>0.1513178538</v>
      </c>
      <c r="H4733" s="5">
        <f>IFERROR(__xludf.DUMMYFUNCTION("""COMPUTED_VALUE"""),0.6079875920899573)</f>
        <v>0.6079875921</v>
      </c>
      <c r="I4733" s="11">
        <f>IFERROR(__xludf.DUMMYFUNCTION("""COMPUTED_VALUE"""),5353.431562621171)</f>
        <v>5353.431563</v>
      </c>
      <c r="J4733" s="10">
        <f>IFERROR(__xludf.DUMMYFUNCTION("""COMPUTED_VALUE"""),1.0)</f>
        <v>1</v>
      </c>
      <c r="K4733" s="5">
        <f>IFERROR(__xludf.DUMMYFUNCTION("""COMPUTED_VALUE"""),8.488964346349745E-4)</f>
        <v>0.0008488964346</v>
      </c>
      <c r="L4733" s="10">
        <f>IFERROR(__xludf.DUMMYFUNCTION("""COMPUTED_VALUE"""),1178.0)</f>
        <v>1178</v>
      </c>
      <c r="M4733" s="5">
        <f>IFERROR(__xludf.DUMMYFUNCTION("""COMPUTED_VALUE"""),1.0)</f>
        <v>1</v>
      </c>
    </row>
    <row r="4734">
      <c r="A4734" s="10" t="str">
        <f>IFERROR(__xludf.DUMMYFUNCTION("""COMPUTED_VALUE"""),"NAO39")</f>
        <v>NAO39</v>
      </c>
      <c r="B4734" s="10">
        <f>IFERROR(__xludf.DUMMYFUNCTION("""COMPUTED_VALUE"""),154.0)</f>
        <v>154</v>
      </c>
      <c r="C4734" s="10">
        <f>IFERROR(__xludf.DUMMYFUNCTION("""COMPUTED_VALUE"""),1754.0)</f>
        <v>1754</v>
      </c>
      <c r="D4734" s="5">
        <f>IFERROR(__xludf.DUMMYFUNCTION("""COMPUTED_VALUE"""),0.344375)</f>
        <v>0.344375</v>
      </c>
      <c r="E4734" s="5">
        <f>IFERROR(__xludf.DUMMYFUNCTION("""COMPUTED_VALUE"""),0.115625)</f>
        <v>0.115625</v>
      </c>
      <c r="F4734" s="5">
        <f>IFERROR(__xludf.DUMMYFUNCTION("""COMPUTED_VALUE"""),0.235)</f>
        <v>0.235</v>
      </c>
      <c r="G4734" s="5">
        <f>IFERROR(__xludf.DUMMYFUNCTION("""COMPUTED_VALUE"""),0.17875)</f>
        <v>0.17875</v>
      </c>
      <c r="H4734" s="5">
        <f>IFERROR(__xludf.DUMMYFUNCTION("""COMPUTED_VALUE"""),0.5930851063829787)</f>
        <v>0.5930851064</v>
      </c>
      <c r="I4734" s="11">
        <f>IFERROR(__xludf.DUMMYFUNCTION("""COMPUTED_VALUE"""),5411.702127659574)</f>
        <v>5411.702128</v>
      </c>
      <c r="J4734" s="10">
        <f>IFERROR(__xludf.DUMMYFUNCTION("""COMPUTED_VALUE"""),0.0)</f>
        <v>0</v>
      </c>
      <c r="K4734" s="5">
        <f>IFERROR(__xludf.DUMMYFUNCTION("""COMPUTED_VALUE"""),0.0)</f>
        <v>0</v>
      </c>
      <c r="L4734" s="10">
        <f>IFERROR(__xludf.DUMMYFUNCTION("""COMPUTED_VALUE"""),154.0)</f>
        <v>154</v>
      </c>
      <c r="M4734" s="5">
        <f>IFERROR(__xludf.DUMMYFUNCTION("""COMPUTED_VALUE"""),1.0)</f>
        <v>1</v>
      </c>
    </row>
    <row r="4735">
      <c r="A4735" s="10" t="str">
        <f>IFERROR(__xludf.DUMMYFUNCTION("""COMPUTED_VALUE"""),"南国雀")</f>
        <v>南国雀</v>
      </c>
      <c r="B4735" s="10">
        <f>IFERROR(__xludf.DUMMYFUNCTION("""COMPUTED_VALUE"""),1930.0)</f>
        <v>1930</v>
      </c>
      <c r="C4735" s="10">
        <f>IFERROR(__xludf.DUMMYFUNCTION("""COMPUTED_VALUE"""),22801.0)</f>
        <v>22801</v>
      </c>
      <c r="D4735" s="5">
        <f>IFERROR(__xludf.DUMMYFUNCTION("""COMPUTED_VALUE"""),0.3729097791193522)</f>
        <v>0.3729097791</v>
      </c>
      <c r="E4735" s="5">
        <f>IFERROR(__xludf.DUMMYFUNCTION("""COMPUTED_VALUE"""),0.1156149681376072)</f>
        <v>0.1156149681</v>
      </c>
      <c r="F4735" s="5">
        <f>IFERROR(__xludf.DUMMYFUNCTION("""COMPUTED_VALUE"""),0.22006612045421878)</f>
        <v>0.2200661205</v>
      </c>
      <c r="G4735" s="5">
        <f>IFERROR(__xludf.DUMMYFUNCTION("""COMPUTED_VALUE"""),0.1462316132432562)</f>
        <v>0.1462316132</v>
      </c>
      <c r="H4735" s="5">
        <f>IFERROR(__xludf.DUMMYFUNCTION("""COMPUTED_VALUE"""),0.6100587851077727)</f>
        <v>0.6100587851</v>
      </c>
      <c r="I4735" s="11">
        <f>IFERROR(__xludf.DUMMYFUNCTION("""COMPUTED_VALUE"""),5278.401915959068)</f>
        <v>5278.401916</v>
      </c>
      <c r="J4735" s="10">
        <f>IFERROR(__xludf.DUMMYFUNCTION("""COMPUTED_VALUE"""),12.0)</f>
        <v>12</v>
      </c>
      <c r="K4735" s="5">
        <f>IFERROR(__xludf.DUMMYFUNCTION("""COMPUTED_VALUE"""),0.0062176165803108805)</f>
        <v>0.00621761658</v>
      </c>
      <c r="L4735" s="10">
        <f>IFERROR(__xludf.DUMMYFUNCTION("""COMPUTED_VALUE"""),1930.0)</f>
        <v>1930</v>
      </c>
      <c r="M4735" s="5">
        <f>IFERROR(__xludf.DUMMYFUNCTION("""COMPUTED_VALUE"""),1.0)</f>
        <v>1</v>
      </c>
    </row>
    <row r="4736">
      <c r="A4736" s="10" t="str">
        <f>IFERROR(__xludf.DUMMYFUNCTION("""COMPUTED_VALUE"""),"ひよこクラス")</f>
        <v>ひよこクラス</v>
      </c>
      <c r="B4736" s="10">
        <f>IFERROR(__xludf.DUMMYFUNCTION("""COMPUTED_VALUE"""),126.0)</f>
        <v>126</v>
      </c>
      <c r="C4736" s="10">
        <f>IFERROR(__xludf.DUMMYFUNCTION("""COMPUTED_VALUE"""),1510.0)</f>
        <v>1510</v>
      </c>
      <c r="D4736" s="5">
        <f>IFERROR(__xludf.DUMMYFUNCTION("""COMPUTED_VALUE"""),0.21893063583815028)</f>
        <v>0.2189306358</v>
      </c>
      <c r="E4736" s="5">
        <f>IFERROR(__xludf.DUMMYFUNCTION("""COMPUTED_VALUE"""),0.11560693641618497)</f>
        <v>0.1156069364</v>
      </c>
      <c r="F4736" s="5">
        <f>IFERROR(__xludf.DUMMYFUNCTION("""COMPUTED_VALUE"""),0.17341040462427745)</f>
        <v>0.1734104046</v>
      </c>
      <c r="G4736" s="5">
        <f>IFERROR(__xludf.DUMMYFUNCTION("""COMPUTED_VALUE"""),0.18280346820809248)</f>
        <v>0.1828034682</v>
      </c>
      <c r="H4736" s="5">
        <f>IFERROR(__xludf.DUMMYFUNCTION("""COMPUTED_VALUE"""),0.5958333333333333)</f>
        <v>0.5958333333</v>
      </c>
      <c r="I4736" s="11">
        <f>IFERROR(__xludf.DUMMYFUNCTION("""COMPUTED_VALUE"""),6226.666666666667)</f>
        <v>6226.666667</v>
      </c>
      <c r="J4736" s="10">
        <f>IFERROR(__xludf.DUMMYFUNCTION("""COMPUTED_VALUE"""),0.0)</f>
        <v>0</v>
      </c>
      <c r="K4736" s="5">
        <f>IFERROR(__xludf.DUMMYFUNCTION("""COMPUTED_VALUE"""),0.0)</f>
        <v>0</v>
      </c>
      <c r="L4736" s="10">
        <f>IFERROR(__xludf.DUMMYFUNCTION("""COMPUTED_VALUE"""),126.0)</f>
        <v>126</v>
      </c>
      <c r="M4736" s="5">
        <f>IFERROR(__xludf.DUMMYFUNCTION("""COMPUTED_VALUE"""),1.0)</f>
        <v>1</v>
      </c>
    </row>
    <row r="4737">
      <c r="A4737" s="10" t="str">
        <f>IFERROR(__xludf.DUMMYFUNCTION("""COMPUTED_VALUE"""),"渋谷のdove")</f>
        <v>渋谷のdove</v>
      </c>
      <c r="B4737" s="10">
        <f>IFERROR(__xludf.DUMMYFUNCTION("""COMPUTED_VALUE"""),721.0)</f>
        <v>721</v>
      </c>
      <c r="C4737" s="10">
        <f>IFERROR(__xludf.DUMMYFUNCTION("""COMPUTED_VALUE"""),8455.0)</f>
        <v>8455</v>
      </c>
      <c r="D4737" s="5">
        <f>IFERROR(__xludf.DUMMYFUNCTION("""COMPUTED_VALUE"""),0.3803982415309025)</f>
        <v>0.3803982415</v>
      </c>
      <c r="E4737" s="5">
        <f>IFERROR(__xludf.DUMMYFUNCTION("""COMPUTED_VALUE"""),0.11559348332040341)</f>
        <v>0.1155934833</v>
      </c>
      <c r="F4737" s="5">
        <f>IFERROR(__xludf.DUMMYFUNCTION("""COMPUTED_VALUE"""),0.21282648047582106)</f>
        <v>0.2128264805</v>
      </c>
      <c r="G4737" s="5">
        <f>IFERROR(__xludf.DUMMYFUNCTION("""COMPUTED_VALUE"""),0.15632273079906905)</f>
        <v>0.1563227308</v>
      </c>
      <c r="H4737" s="5">
        <f>IFERROR(__xludf.DUMMYFUNCTION("""COMPUTED_VALUE"""),0.5850546780072904)</f>
        <v>0.585054678</v>
      </c>
      <c r="I4737" s="11">
        <f>IFERROR(__xludf.DUMMYFUNCTION("""COMPUTED_VALUE"""),5437.545565006076)</f>
        <v>5437.545565</v>
      </c>
      <c r="J4737" s="10">
        <f>IFERROR(__xludf.DUMMYFUNCTION("""COMPUTED_VALUE"""),1.0)</f>
        <v>1</v>
      </c>
      <c r="K4737" s="5">
        <f>IFERROR(__xludf.DUMMYFUNCTION("""COMPUTED_VALUE"""),0.0013869625520110957)</f>
        <v>0.001386962552</v>
      </c>
      <c r="L4737" s="10">
        <f>IFERROR(__xludf.DUMMYFUNCTION("""COMPUTED_VALUE"""),632.0)</f>
        <v>632</v>
      </c>
      <c r="M4737" s="5">
        <f>IFERROR(__xludf.DUMMYFUNCTION("""COMPUTED_VALUE"""),0.8765603328710125)</f>
        <v>0.8765603329</v>
      </c>
    </row>
    <row r="4738">
      <c r="A4738" s="10" t="str">
        <f>IFERROR(__xludf.DUMMYFUNCTION("""COMPUTED_VALUE"""),"愛犬エリス")</f>
        <v>愛犬エリス</v>
      </c>
      <c r="B4738" s="10">
        <f>IFERROR(__xludf.DUMMYFUNCTION("""COMPUTED_VALUE"""),239.0)</f>
        <v>239</v>
      </c>
      <c r="C4738" s="10">
        <f>IFERROR(__xludf.DUMMYFUNCTION("""COMPUTED_VALUE"""),2826.0)</f>
        <v>2826</v>
      </c>
      <c r="D4738" s="5">
        <f>IFERROR(__xludf.DUMMYFUNCTION("""COMPUTED_VALUE"""),0.41747197526092)</f>
        <v>0.4174719753</v>
      </c>
      <c r="E4738" s="5">
        <f>IFERROR(__xludf.DUMMYFUNCTION("""COMPUTED_VALUE"""),0.11557788944723618)</f>
        <v>0.1155778894</v>
      </c>
      <c r="F4738" s="5">
        <f>IFERROR(__xludf.DUMMYFUNCTION("""COMPUTED_VALUE"""),0.21839969076149982)</f>
        <v>0.2183996908</v>
      </c>
      <c r="G4738" s="5">
        <f>IFERROR(__xludf.DUMMYFUNCTION("""COMPUTED_VALUE"""),0.15577889447236182)</f>
        <v>0.1557788945</v>
      </c>
      <c r="H4738" s="5">
        <f>IFERROR(__xludf.DUMMYFUNCTION("""COMPUTED_VALUE"""),0.6159292035398231)</f>
        <v>0.6159292035</v>
      </c>
      <c r="I4738" s="11">
        <f>IFERROR(__xludf.DUMMYFUNCTION("""COMPUTED_VALUE"""),5330.088495575221)</f>
        <v>5330.088496</v>
      </c>
      <c r="J4738" s="10">
        <f>IFERROR(__xludf.DUMMYFUNCTION("""COMPUTED_VALUE"""),0.0)</f>
        <v>0</v>
      </c>
      <c r="K4738" s="5">
        <f>IFERROR(__xludf.DUMMYFUNCTION("""COMPUTED_VALUE"""),0.0)</f>
        <v>0</v>
      </c>
      <c r="L4738" s="10">
        <f>IFERROR(__xludf.DUMMYFUNCTION("""COMPUTED_VALUE"""),239.0)</f>
        <v>239</v>
      </c>
      <c r="M4738" s="5">
        <f>IFERROR(__xludf.DUMMYFUNCTION("""COMPUTED_VALUE"""),1.0)</f>
        <v>1</v>
      </c>
    </row>
    <row r="4739">
      <c r="A4739" s="10" t="str">
        <f>IFERROR(__xludf.DUMMYFUNCTION("""COMPUTED_VALUE"""),"竜麻")</f>
        <v>竜麻</v>
      </c>
      <c r="B4739" s="10">
        <f>IFERROR(__xludf.DUMMYFUNCTION("""COMPUTED_VALUE"""),190.0)</f>
        <v>190</v>
      </c>
      <c r="C4739" s="10">
        <f>IFERROR(__xludf.DUMMYFUNCTION("""COMPUTED_VALUE"""),2258.0)</f>
        <v>2258</v>
      </c>
      <c r="D4739" s="5">
        <f>IFERROR(__xludf.DUMMYFUNCTION("""COMPUTED_VALUE"""),0.3167311411992263)</f>
        <v>0.3167311412</v>
      </c>
      <c r="E4739" s="5">
        <f>IFERROR(__xludf.DUMMYFUNCTION("""COMPUTED_VALUE"""),0.1155705996131528)</f>
        <v>0.1155705996</v>
      </c>
      <c r="F4739" s="5">
        <f>IFERROR(__xludf.DUMMYFUNCTION("""COMPUTED_VALUE"""),0.19729206963249515)</f>
        <v>0.1972920696</v>
      </c>
      <c r="G4739" s="5">
        <f>IFERROR(__xludf.DUMMYFUNCTION("""COMPUTED_VALUE"""),0.14990328820116053)</f>
        <v>0.1499032882</v>
      </c>
      <c r="H4739" s="5">
        <f>IFERROR(__xludf.DUMMYFUNCTION("""COMPUTED_VALUE"""),0.6053921568627451)</f>
        <v>0.6053921569</v>
      </c>
      <c r="I4739" s="11">
        <f>IFERROR(__xludf.DUMMYFUNCTION("""COMPUTED_VALUE"""),5645.343137254902)</f>
        <v>5645.343137</v>
      </c>
      <c r="J4739" s="10">
        <f>IFERROR(__xludf.DUMMYFUNCTION("""COMPUTED_VALUE"""),1.0)</f>
        <v>1</v>
      </c>
      <c r="K4739" s="5">
        <f>IFERROR(__xludf.DUMMYFUNCTION("""COMPUTED_VALUE"""),0.005263157894736842)</f>
        <v>0.005263157895</v>
      </c>
      <c r="L4739" s="10">
        <f>IFERROR(__xludf.DUMMYFUNCTION("""COMPUTED_VALUE"""),190.0)</f>
        <v>190</v>
      </c>
      <c r="M4739" s="5">
        <f>IFERROR(__xludf.DUMMYFUNCTION("""COMPUTED_VALUE"""),1.0)</f>
        <v>1</v>
      </c>
    </row>
    <row r="4740">
      <c r="A4740" s="10" t="str">
        <f>IFERROR(__xludf.DUMMYFUNCTION("""COMPUTED_VALUE"""),"恩田希")</f>
        <v>恩田希</v>
      </c>
      <c r="B4740" s="10">
        <f>IFERROR(__xludf.DUMMYFUNCTION("""COMPUTED_VALUE"""),1595.0)</f>
        <v>1595</v>
      </c>
      <c r="C4740" s="10">
        <f>IFERROR(__xludf.DUMMYFUNCTION("""COMPUTED_VALUE"""),18642.0)</f>
        <v>18642</v>
      </c>
      <c r="D4740" s="5">
        <f>IFERROR(__xludf.DUMMYFUNCTION("""COMPUTED_VALUE"""),0.34739250307972075)</f>
        <v>0.3473925031</v>
      </c>
      <c r="E4740" s="5">
        <f>IFERROR(__xludf.DUMMYFUNCTION("""COMPUTED_VALUE"""),0.11556285563442248)</f>
        <v>0.1155628556</v>
      </c>
      <c r="F4740" s="5">
        <f>IFERROR(__xludf.DUMMYFUNCTION("""COMPUTED_VALUE"""),0.21094620754384935)</f>
        <v>0.2109462075</v>
      </c>
      <c r="G4740" s="5">
        <f>IFERROR(__xludf.DUMMYFUNCTION("""COMPUTED_VALUE"""),0.1709978295301226)</f>
        <v>0.1709978295</v>
      </c>
      <c r="H4740" s="5">
        <f>IFERROR(__xludf.DUMMYFUNCTION("""COMPUTED_VALUE"""),0.6042825361512792)</f>
        <v>0.6042825362</v>
      </c>
      <c r="I4740" s="11">
        <f>IFERROR(__xludf.DUMMYFUNCTION("""COMPUTED_VALUE"""),5581.562847608454)</f>
        <v>5581.562848</v>
      </c>
      <c r="J4740" s="10">
        <f>IFERROR(__xludf.DUMMYFUNCTION("""COMPUTED_VALUE"""),2.0)</f>
        <v>2</v>
      </c>
      <c r="K4740" s="5">
        <f>IFERROR(__xludf.DUMMYFUNCTION("""COMPUTED_VALUE"""),0.0012539184952978057)</f>
        <v>0.001253918495</v>
      </c>
      <c r="L4740" s="10">
        <f>IFERROR(__xludf.DUMMYFUNCTION("""COMPUTED_VALUE"""),0.0)</f>
        <v>0</v>
      </c>
      <c r="M4740" s="5">
        <f>IFERROR(__xludf.DUMMYFUNCTION("""COMPUTED_VALUE"""),0.0)</f>
        <v>0</v>
      </c>
    </row>
    <row r="4741">
      <c r="A4741" s="10" t="str">
        <f>IFERROR(__xludf.DUMMYFUNCTION("""COMPUTED_VALUE"""),"トトリ先生19歳")</f>
        <v>トトリ先生19歳</v>
      </c>
      <c r="B4741" s="10">
        <f>IFERROR(__xludf.DUMMYFUNCTION("""COMPUTED_VALUE"""),2225.0)</f>
        <v>2225</v>
      </c>
      <c r="C4741" s="10">
        <f>IFERROR(__xludf.DUMMYFUNCTION("""COMPUTED_VALUE"""),26238.0)</f>
        <v>26238</v>
      </c>
      <c r="D4741" s="5">
        <f>IFERROR(__xludf.DUMMYFUNCTION("""COMPUTED_VALUE"""),0.3958689043434806)</f>
        <v>0.3958689043</v>
      </c>
      <c r="E4741" s="5">
        <f>IFERROR(__xludf.DUMMYFUNCTION("""COMPUTED_VALUE"""),0.11556240369799692)</f>
        <v>0.1155624037</v>
      </c>
      <c r="F4741" s="5">
        <f>IFERROR(__xludf.DUMMYFUNCTION("""COMPUTED_VALUE"""),0.22333735893057927)</f>
        <v>0.2233373589</v>
      </c>
      <c r="G4741" s="5">
        <f>IFERROR(__xludf.DUMMYFUNCTION("""COMPUTED_VALUE"""),0.1628701120226544)</f>
        <v>0.162870112</v>
      </c>
      <c r="H4741" s="5">
        <f>IFERROR(__xludf.DUMMYFUNCTION("""COMPUTED_VALUE"""),0.5959351109453664)</f>
        <v>0.5959351109</v>
      </c>
      <c r="I4741" s="11">
        <f>IFERROR(__xludf.DUMMYFUNCTION("""COMPUTED_VALUE"""),5492.821182174156)</f>
        <v>5492.821182</v>
      </c>
      <c r="J4741" s="10">
        <f>IFERROR(__xludf.DUMMYFUNCTION("""COMPUTED_VALUE"""),5.0)</f>
        <v>5</v>
      </c>
      <c r="K4741" s="5">
        <f>IFERROR(__xludf.DUMMYFUNCTION("""COMPUTED_VALUE"""),0.0022471910112359553)</f>
        <v>0.002247191011</v>
      </c>
      <c r="L4741" s="10">
        <f>IFERROR(__xludf.DUMMYFUNCTION("""COMPUTED_VALUE"""),0.0)</f>
        <v>0</v>
      </c>
      <c r="M4741" s="5">
        <f>IFERROR(__xludf.DUMMYFUNCTION("""COMPUTED_VALUE"""),0.0)</f>
        <v>0</v>
      </c>
    </row>
    <row r="4742">
      <c r="A4742" s="10" t="str">
        <f>IFERROR(__xludf.DUMMYFUNCTION("""COMPUTED_VALUE"""),"安藤椿")</f>
        <v>安藤椿</v>
      </c>
      <c r="B4742" s="10">
        <f>IFERROR(__xludf.DUMMYFUNCTION("""COMPUTED_VALUE"""),641.0)</f>
        <v>641</v>
      </c>
      <c r="C4742" s="10">
        <f>IFERROR(__xludf.DUMMYFUNCTION("""COMPUTED_VALUE"""),7607.0)</f>
        <v>7607</v>
      </c>
      <c r="D4742" s="5">
        <f>IFERROR(__xludf.DUMMYFUNCTION("""COMPUTED_VALUE"""),0.356732701693942)</f>
        <v>0.3567327017</v>
      </c>
      <c r="E4742" s="5">
        <f>IFERROR(__xludf.DUMMYFUNCTION("""COMPUTED_VALUE"""),0.11556129773184037)</f>
        <v>0.1155612977</v>
      </c>
      <c r="F4742" s="5">
        <f>IFERROR(__xludf.DUMMYFUNCTION("""COMPUTED_VALUE"""),0.20312948607522252)</f>
        <v>0.2031294861</v>
      </c>
      <c r="G4742" s="5">
        <f>IFERROR(__xludf.DUMMYFUNCTION("""COMPUTED_VALUE"""),0.13967843812805053)</f>
        <v>0.1396784381</v>
      </c>
      <c r="H4742" s="5">
        <f>IFERROR(__xludf.DUMMYFUNCTION("""COMPUTED_VALUE"""),0.6056537102473498)</f>
        <v>0.6056537102</v>
      </c>
      <c r="I4742" s="11">
        <f>IFERROR(__xludf.DUMMYFUNCTION("""COMPUTED_VALUE"""),5317.385159010601)</f>
        <v>5317.385159</v>
      </c>
      <c r="J4742" s="10">
        <f>IFERROR(__xludf.DUMMYFUNCTION("""COMPUTED_VALUE"""),0.0)</f>
        <v>0</v>
      </c>
      <c r="K4742" s="5">
        <f>IFERROR(__xludf.DUMMYFUNCTION("""COMPUTED_VALUE"""),0.0)</f>
        <v>0</v>
      </c>
      <c r="L4742" s="10">
        <f>IFERROR(__xludf.DUMMYFUNCTION("""COMPUTED_VALUE"""),641.0)</f>
        <v>641</v>
      </c>
      <c r="M4742" s="5">
        <f>IFERROR(__xludf.DUMMYFUNCTION("""COMPUTED_VALUE"""),1.0)</f>
        <v>1</v>
      </c>
    </row>
    <row r="4743">
      <c r="A4743" s="10" t="str">
        <f>IFERROR(__xludf.DUMMYFUNCTION("""COMPUTED_VALUE"""),"じゃがいも剣士")</f>
        <v>じゃがいも剣士</v>
      </c>
      <c r="B4743" s="10">
        <f>IFERROR(__xludf.DUMMYFUNCTION("""COMPUTED_VALUE"""),240.0)</f>
        <v>240</v>
      </c>
      <c r="C4743" s="10">
        <f>IFERROR(__xludf.DUMMYFUNCTION("""COMPUTED_VALUE"""),2862.0)</f>
        <v>2862</v>
      </c>
      <c r="D4743" s="5">
        <f>IFERROR(__xludf.DUMMYFUNCTION("""COMPUTED_VALUE"""),0.39282990083905417)</f>
        <v>0.3928299008</v>
      </c>
      <c r="E4743" s="5">
        <f>IFERROR(__xludf.DUMMYFUNCTION("""COMPUTED_VALUE"""),0.11556064073226545)</f>
        <v>0.1155606407</v>
      </c>
      <c r="F4743" s="5">
        <f>IFERROR(__xludf.DUMMYFUNCTION("""COMPUTED_VALUE"""),0.2124332570556827)</f>
        <v>0.2124332571</v>
      </c>
      <c r="G4743" s="5">
        <f>IFERROR(__xludf.DUMMYFUNCTION("""COMPUTED_VALUE"""),0.14378337147215867)</f>
        <v>0.1437833715</v>
      </c>
      <c r="H4743" s="5">
        <f>IFERROR(__xludf.DUMMYFUNCTION("""COMPUTED_VALUE"""),0.6337522441651705)</f>
        <v>0.6337522442</v>
      </c>
      <c r="I4743" s="11">
        <f>IFERROR(__xludf.DUMMYFUNCTION("""COMPUTED_VALUE"""),5521.903052064632)</f>
        <v>5521.903052</v>
      </c>
      <c r="J4743" s="10">
        <f>IFERROR(__xludf.DUMMYFUNCTION("""COMPUTED_VALUE"""),0.0)</f>
        <v>0</v>
      </c>
      <c r="K4743" s="5">
        <f>IFERROR(__xludf.DUMMYFUNCTION("""COMPUTED_VALUE"""),0.0)</f>
        <v>0</v>
      </c>
      <c r="L4743" s="10">
        <f>IFERROR(__xludf.DUMMYFUNCTION("""COMPUTED_VALUE"""),240.0)</f>
        <v>240</v>
      </c>
      <c r="M4743" s="5">
        <f>IFERROR(__xludf.DUMMYFUNCTION("""COMPUTED_VALUE"""),1.0)</f>
        <v>1</v>
      </c>
    </row>
    <row r="4744">
      <c r="A4744" s="10" t="str">
        <f>IFERROR(__xludf.DUMMYFUNCTION("""COMPUTED_VALUE"""),"st210")</f>
        <v>st210</v>
      </c>
      <c r="B4744" s="10">
        <f>IFERROR(__xludf.DUMMYFUNCTION("""COMPUTED_VALUE"""),122.0)</f>
        <v>122</v>
      </c>
      <c r="C4744" s="10">
        <f>IFERROR(__xludf.DUMMYFUNCTION("""COMPUTED_VALUE"""),1446.0)</f>
        <v>1446</v>
      </c>
      <c r="D4744" s="5">
        <f>IFERROR(__xludf.DUMMYFUNCTION("""COMPUTED_VALUE"""),0.3119335347432024)</f>
        <v>0.3119335347</v>
      </c>
      <c r="E4744" s="5">
        <f>IFERROR(__xludf.DUMMYFUNCTION("""COMPUTED_VALUE"""),0.11555891238670694)</f>
        <v>0.1155589124</v>
      </c>
      <c r="F4744" s="5">
        <f>IFERROR(__xludf.DUMMYFUNCTION("""COMPUTED_VALUE"""),0.20166163141993956)</f>
        <v>0.2016616314</v>
      </c>
      <c r="G4744" s="5">
        <f>IFERROR(__xludf.DUMMYFUNCTION("""COMPUTED_VALUE"""),0.18126888217522658)</f>
        <v>0.1812688822</v>
      </c>
      <c r="H4744" s="5">
        <f>IFERROR(__xludf.DUMMYFUNCTION("""COMPUTED_VALUE"""),0.5468164794007491)</f>
        <v>0.5468164794</v>
      </c>
      <c r="I4744" s="11">
        <f>IFERROR(__xludf.DUMMYFUNCTION("""COMPUTED_VALUE"""),5752.808988764045)</f>
        <v>5752.808989</v>
      </c>
      <c r="J4744" s="10">
        <f>IFERROR(__xludf.DUMMYFUNCTION("""COMPUTED_VALUE"""),0.0)</f>
        <v>0</v>
      </c>
      <c r="K4744" s="5">
        <f>IFERROR(__xludf.DUMMYFUNCTION("""COMPUTED_VALUE"""),0.0)</f>
        <v>0</v>
      </c>
      <c r="L4744" s="10">
        <f>IFERROR(__xludf.DUMMYFUNCTION("""COMPUTED_VALUE"""),122.0)</f>
        <v>122</v>
      </c>
      <c r="M4744" s="5">
        <f>IFERROR(__xludf.DUMMYFUNCTION("""COMPUTED_VALUE"""),1.0)</f>
        <v>1</v>
      </c>
    </row>
    <row r="4745">
      <c r="A4745" s="10" t="str">
        <f>IFERROR(__xludf.DUMMYFUNCTION("""COMPUTED_VALUE"""),".=藤虎=")</f>
        <v>.=藤虎=</v>
      </c>
      <c r="B4745" s="10">
        <f>IFERROR(__xludf.DUMMYFUNCTION("""COMPUTED_VALUE"""),1097.0)</f>
        <v>1097</v>
      </c>
      <c r="C4745" s="10">
        <f>IFERROR(__xludf.DUMMYFUNCTION("""COMPUTED_VALUE"""),12936.0)</f>
        <v>12936</v>
      </c>
      <c r="D4745" s="5">
        <f>IFERROR(__xludf.DUMMYFUNCTION("""COMPUTED_VALUE"""),0.3121040628431455)</f>
        <v>0.3121040628</v>
      </c>
      <c r="E4745" s="5">
        <f>IFERROR(__xludf.DUMMYFUNCTION("""COMPUTED_VALUE"""),0.11555029985640679)</f>
        <v>0.1155502999</v>
      </c>
      <c r="F4745" s="5">
        <f>IFERROR(__xludf.DUMMYFUNCTION("""COMPUTED_VALUE"""),0.1956246304586536)</f>
        <v>0.1956246305</v>
      </c>
      <c r="G4745" s="5">
        <f>IFERROR(__xludf.DUMMYFUNCTION("""COMPUTED_VALUE"""),0.1674127882422502)</f>
        <v>0.1674127882</v>
      </c>
      <c r="H4745" s="5">
        <f>IFERROR(__xludf.DUMMYFUNCTION("""COMPUTED_VALUE"""),0.603195164075993)</f>
        <v>0.6031951641</v>
      </c>
      <c r="I4745" s="11">
        <f>IFERROR(__xludf.DUMMYFUNCTION("""COMPUTED_VALUE"""),5601.079447322971)</f>
        <v>5601.079447</v>
      </c>
      <c r="J4745" s="10">
        <f>IFERROR(__xludf.DUMMYFUNCTION("""COMPUTED_VALUE"""),0.0)</f>
        <v>0</v>
      </c>
      <c r="K4745" s="5">
        <f>IFERROR(__xludf.DUMMYFUNCTION("""COMPUTED_VALUE"""),0.0)</f>
        <v>0</v>
      </c>
      <c r="L4745" s="10">
        <f>IFERROR(__xludf.DUMMYFUNCTION("""COMPUTED_VALUE"""),128.0)</f>
        <v>128</v>
      </c>
      <c r="M4745" s="5">
        <f>IFERROR(__xludf.DUMMYFUNCTION("""COMPUTED_VALUE"""),0.11668185961713765)</f>
        <v>0.1166818596</v>
      </c>
    </row>
    <row r="4746">
      <c r="A4746" s="10" t="str">
        <f>IFERROR(__xludf.DUMMYFUNCTION("""COMPUTED_VALUE"""),"ぴえ☆")</f>
        <v>ぴえ☆</v>
      </c>
      <c r="B4746" s="10">
        <f>IFERROR(__xludf.DUMMYFUNCTION("""COMPUTED_VALUE"""),997.0)</f>
        <v>997</v>
      </c>
      <c r="C4746" s="10">
        <f>IFERROR(__xludf.DUMMYFUNCTION("""COMPUTED_VALUE"""),11859.0)</f>
        <v>11859</v>
      </c>
      <c r="D4746" s="5">
        <f>IFERROR(__xludf.DUMMYFUNCTION("""COMPUTED_VALUE"""),0.3793039955809243)</f>
        <v>0.3793039956</v>
      </c>
      <c r="E4746" s="5">
        <f>IFERROR(__xludf.DUMMYFUNCTION("""COMPUTED_VALUE"""),0.11554041612962622)</f>
        <v>0.1155404161</v>
      </c>
      <c r="F4746" s="5">
        <f>IFERROR(__xludf.DUMMYFUNCTION("""COMPUTED_VALUE"""),0.20613146750138095)</f>
        <v>0.2061314675</v>
      </c>
      <c r="G4746" s="5">
        <f>IFERROR(__xludf.DUMMYFUNCTION("""COMPUTED_VALUE"""),0.15522003314306757)</f>
        <v>0.1552200331</v>
      </c>
      <c r="H4746" s="5">
        <f>IFERROR(__xludf.DUMMYFUNCTION("""COMPUTED_VALUE"""),0.6016078606520768)</f>
        <v>0.6016078607</v>
      </c>
      <c r="I4746" s="11">
        <f>IFERROR(__xludf.DUMMYFUNCTION("""COMPUTED_VALUE"""),5362.43858865565)</f>
        <v>5362.438589</v>
      </c>
      <c r="J4746" s="10">
        <f>IFERROR(__xludf.DUMMYFUNCTION("""COMPUTED_VALUE"""),1.0)</f>
        <v>1</v>
      </c>
      <c r="K4746" s="5">
        <f>IFERROR(__xludf.DUMMYFUNCTION("""COMPUTED_VALUE"""),0.0010030090270812437)</f>
        <v>0.001003009027</v>
      </c>
      <c r="L4746" s="10">
        <f>IFERROR(__xludf.DUMMYFUNCTION("""COMPUTED_VALUE"""),667.0)</f>
        <v>667</v>
      </c>
      <c r="M4746" s="5">
        <f>IFERROR(__xludf.DUMMYFUNCTION("""COMPUTED_VALUE"""),0.6690070210631895)</f>
        <v>0.6690070211</v>
      </c>
    </row>
    <row r="4747">
      <c r="A4747" s="10" t="str">
        <f>IFERROR(__xludf.DUMMYFUNCTION("""COMPUTED_VALUE"""),"鳳")</f>
        <v>鳳</v>
      </c>
      <c r="B4747" s="10">
        <f>IFERROR(__xludf.DUMMYFUNCTION("""COMPUTED_VALUE"""),161.0)</f>
        <v>161</v>
      </c>
      <c r="C4747" s="10">
        <f>IFERROR(__xludf.DUMMYFUNCTION("""COMPUTED_VALUE"""),1892.0)</f>
        <v>1892</v>
      </c>
      <c r="D4747" s="5">
        <f>IFERROR(__xludf.DUMMYFUNCTION("""COMPUTED_VALUE"""),0.341998844598498)</f>
        <v>0.3419988446</v>
      </c>
      <c r="E4747" s="5">
        <f>IFERROR(__xludf.DUMMYFUNCTION("""COMPUTED_VALUE"""),0.11554015020219527)</f>
        <v>0.1155401502</v>
      </c>
      <c r="F4747" s="5">
        <f>IFERROR(__xludf.DUMMYFUNCTION("""COMPUTED_VALUE"""),0.19468515309069903)</f>
        <v>0.1946851531</v>
      </c>
      <c r="G4747" s="5">
        <f>IFERROR(__xludf.DUMMYFUNCTION("""COMPUTED_VALUE"""),0.16926632004621606)</f>
        <v>0.16926632</v>
      </c>
      <c r="H4747" s="5">
        <f>IFERROR(__xludf.DUMMYFUNCTION("""COMPUTED_VALUE"""),0.6320474777448071)</f>
        <v>0.6320474777</v>
      </c>
      <c r="I4747" s="11">
        <f>IFERROR(__xludf.DUMMYFUNCTION("""COMPUTED_VALUE"""),5909.495548961424)</f>
        <v>5909.495549</v>
      </c>
      <c r="J4747" s="10">
        <f>IFERROR(__xludf.DUMMYFUNCTION("""COMPUTED_VALUE"""),1.0)</f>
        <v>1</v>
      </c>
      <c r="K4747" s="5">
        <f>IFERROR(__xludf.DUMMYFUNCTION("""COMPUTED_VALUE"""),0.006211180124223602)</f>
        <v>0.006211180124</v>
      </c>
      <c r="L4747" s="10">
        <f>IFERROR(__xludf.DUMMYFUNCTION("""COMPUTED_VALUE"""),161.0)</f>
        <v>161</v>
      </c>
      <c r="M4747" s="5">
        <f>IFERROR(__xludf.DUMMYFUNCTION("""COMPUTED_VALUE"""),1.0)</f>
        <v>1</v>
      </c>
    </row>
    <row r="4748">
      <c r="A4748" s="10" t="str">
        <f>IFERROR(__xludf.DUMMYFUNCTION("""COMPUTED_VALUE"""),"もっちょ")</f>
        <v>もっちょ</v>
      </c>
      <c r="B4748" s="10">
        <f>IFERROR(__xludf.DUMMYFUNCTION("""COMPUTED_VALUE"""),575.0)</f>
        <v>575</v>
      </c>
      <c r="C4748" s="10">
        <f>IFERROR(__xludf.DUMMYFUNCTION("""COMPUTED_VALUE"""),6850.0)</f>
        <v>6850</v>
      </c>
      <c r="D4748" s="5">
        <f>IFERROR(__xludf.DUMMYFUNCTION("""COMPUTED_VALUE"""),0.2855776892430279)</f>
        <v>0.2855776892</v>
      </c>
      <c r="E4748" s="5">
        <f>IFERROR(__xludf.DUMMYFUNCTION("""COMPUTED_VALUE"""),0.11553784860557768)</f>
        <v>0.1155378486</v>
      </c>
      <c r="F4748" s="5">
        <f>IFERROR(__xludf.DUMMYFUNCTION("""COMPUTED_VALUE"""),0.19027888446215138)</f>
        <v>0.1902788845</v>
      </c>
      <c r="G4748" s="5">
        <f>IFERROR(__xludf.DUMMYFUNCTION("""COMPUTED_VALUE"""),0.15713147410358566)</f>
        <v>0.1571314741</v>
      </c>
      <c r="H4748" s="5">
        <f>IFERROR(__xludf.DUMMYFUNCTION("""COMPUTED_VALUE"""),0.5745393634840871)</f>
        <v>0.5745393635</v>
      </c>
      <c r="I4748" s="11">
        <f>IFERROR(__xludf.DUMMYFUNCTION("""COMPUTED_VALUE"""),5730.485762144053)</f>
        <v>5730.485762</v>
      </c>
      <c r="J4748" s="10">
        <f>IFERROR(__xludf.DUMMYFUNCTION("""COMPUTED_VALUE"""),1.0)</f>
        <v>1</v>
      </c>
      <c r="K4748" s="5">
        <f>IFERROR(__xludf.DUMMYFUNCTION("""COMPUTED_VALUE"""),0.0017391304347826088)</f>
        <v>0.001739130435</v>
      </c>
      <c r="L4748" s="10">
        <f>IFERROR(__xludf.DUMMYFUNCTION("""COMPUTED_VALUE"""),143.0)</f>
        <v>143</v>
      </c>
      <c r="M4748" s="5">
        <f>IFERROR(__xludf.DUMMYFUNCTION("""COMPUTED_VALUE"""),0.24869565217391304)</f>
        <v>0.2486956522</v>
      </c>
    </row>
    <row r="4749">
      <c r="A4749" s="10" t="str">
        <f>IFERROR(__xludf.DUMMYFUNCTION("""COMPUTED_VALUE"""),"＠水没王子＠")</f>
        <v>＠水没王子＠</v>
      </c>
      <c r="B4749" s="10">
        <f>IFERROR(__xludf.DUMMYFUNCTION("""COMPUTED_VALUE"""),164.0)</f>
        <v>164</v>
      </c>
      <c r="C4749" s="10">
        <f>IFERROR(__xludf.DUMMYFUNCTION("""COMPUTED_VALUE"""),1921.0)</f>
        <v>1921</v>
      </c>
      <c r="D4749" s="5">
        <f>IFERROR(__xludf.DUMMYFUNCTION("""COMPUTED_VALUE"""),0.3187250996015936)</f>
        <v>0.3187250996</v>
      </c>
      <c r="E4749" s="5">
        <f>IFERROR(__xludf.DUMMYFUNCTION("""COMPUTED_VALUE"""),0.11553784860557768)</f>
        <v>0.1155378486</v>
      </c>
      <c r="F4749" s="5">
        <f>IFERROR(__xludf.DUMMYFUNCTION("""COMPUTED_VALUE"""),0.192942515651679)</f>
        <v>0.1929425157</v>
      </c>
      <c r="G4749" s="5">
        <f>IFERROR(__xludf.DUMMYFUNCTION("""COMPUTED_VALUE"""),0.14797951052931133)</f>
        <v>0.1479795105</v>
      </c>
      <c r="H4749" s="5">
        <f>IFERROR(__xludf.DUMMYFUNCTION("""COMPUTED_VALUE"""),0.5899705014749262)</f>
        <v>0.5899705015</v>
      </c>
      <c r="I4749" s="11">
        <f>IFERROR(__xludf.DUMMYFUNCTION("""COMPUTED_VALUE"""),5907.669616519174)</f>
        <v>5907.669617</v>
      </c>
      <c r="J4749" s="10">
        <f>IFERROR(__xludf.DUMMYFUNCTION("""COMPUTED_VALUE"""),0.0)</f>
        <v>0</v>
      </c>
      <c r="K4749" s="5">
        <f>IFERROR(__xludf.DUMMYFUNCTION("""COMPUTED_VALUE"""),0.0)</f>
        <v>0</v>
      </c>
      <c r="L4749" s="10">
        <f>IFERROR(__xludf.DUMMYFUNCTION("""COMPUTED_VALUE"""),164.0)</f>
        <v>164</v>
      </c>
      <c r="M4749" s="5">
        <f>IFERROR(__xludf.DUMMYFUNCTION("""COMPUTED_VALUE"""),1.0)</f>
        <v>1</v>
      </c>
    </row>
    <row r="4750">
      <c r="A4750" s="10" t="str">
        <f>IFERROR(__xludf.DUMMYFUNCTION("""COMPUTED_VALUE"""),"厚味")</f>
        <v>厚味</v>
      </c>
      <c r="B4750" s="10">
        <f>IFERROR(__xludf.DUMMYFUNCTION("""COMPUTED_VALUE"""),133.0)</f>
        <v>133</v>
      </c>
      <c r="C4750" s="10">
        <f>IFERROR(__xludf.DUMMYFUNCTION("""COMPUTED_VALUE"""),1596.0)</f>
        <v>1596</v>
      </c>
      <c r="D4750" s="5">
        <f>IFERROR(__xludf.DUMMYFUNCTION("""COMPUTED_VALUE"""),0.30758714969241285)</f>
        <v>0.3075871497</v>
      </c>
      <c r="E4750" s="5">
        <f>IFERROR(__xludf.DUMMYFUNCTION("""COMPUTED_VALUE"""),0.11551606288448393)</f>
        <v>0.1155160629</v>
      </c>
      <c r="F4750" s="5">
        <f>IFERROR(__xludf.DUMMYFUNCTION("""COMPUTED_VALUE"""),0.19138755980861244)</f>
        <v>0.1913875598</v>
      </c>
      <c r="G4750" s="5">
        <f>IFERROR(__xludf.DUMMYFUNCTION("""COMPUTED_VALUE"""),0.14490772385509226)</f>
        <v>0.1449077239</v>
      </c>
      <c r="H4750" s="5">
        <f>IFERROR(__xludf.DUMMYFUNCTION("""COMPUTED_VALUE"""),0.5928571428571429)</f>
        <v>0.5928571429</v>
      </c>
      <c r="I4750" s="11">
        <f>IFERROR(__xludf.DUMMYFUNCTION("""COMPUTED_VALUE"""),5787.142857142857)</f>
        <v>5787.142857</v>
      </c>
      <c r="J4750" s="10">
        <f>IFERROR(__xludf.DUMMYFUNCTION("""COMPUTED_VALUE"""),0.0)</f>
        <v>0</v>
      </c>
      <c r="K4750" s="5">
        <f>IFERROR(__xludf.DUMMYFUNCTION("""COMPUTED_VALUE"""),0.0)</f>
        <v>0</v>
      </c>
      <c r="L4750" s="10">
        <f>IFERROR(__xludf.DUMMYFUNCTION("""COMPUTED_VALUE"""),133.0)</f>
        <v>133</v>
      </c>
      <c r="M4750" s="5">
        <f>IFERROR(__xludf.DUMMYFUNCTION("""COMPUTED_VALUE"""),1.0)</f>
        <v>1</v>
      </c>
    </row>
    <row r="4751">
      <c r="A4751" s="10" t="str">
        <f>IFERROR(__xludf.DUMMYFUNCTION("""COMPUTED_VALUE"""),"(&gt;ω&lt;*)")</f>
        <v>(&gt;ω&lt;*)</v>
      </c>
      <c r="B4751" s="10">
        <f>IFERROR(__xludf.DUMMYFUNCTION("""COMPUTED_VALUE"""),532.0)</f>
        <v>532</v>
      </c>
      <c r="C4751" s="10">
        <f>IFERROR(__xludf.DUMMYFUNCTION("""COMPUTED_VALUE"""),6272.0)</f>
        <v>6272</v>
      </c>
      <c r="D4751" s="5">
        <f>IFERROR(__xludf.DUMMYFUNCTION("""COMPUTED_VALUE"""),0.42090592334494775)</f>
        <v>0.4209059233</v>
      </c>
      <c r="E4751" s="5">
        <f>IFERROR(__xludf.DUMMYFUNCTION("""COMPUTED_VALUE"""),0.11550522648083623)</f>
        <v>0.1155052265</v>
      </c>
      <c r="F4751" s="5">
        <f>IFERROR(__xludf.DUMMYFUNCTION("""COMPUTED_VALUE"""),0.19738675958188154)</f>
        <v>0.1973867596</v>
      </c>
      <c r="G4751" s="5">
        <f>IFERROR(__xludf.DUMMYFUNCTION("""COMPUTED_VALUE"""),0.1559233449477352)</f>
        <v>0.1559233449</v>
      </c>
      <c r="H4751" s="5">
        <f>IFERROR(__xludf.DUMMYFUNCTION("""COMPUTED_VALUE"""),0.6081200353045013)</f>
        <v>0.6081200353</v>
      </c>
      <c r="I4751" s="11">
        <f>IFERROR(__xludf.DUMMYFUNCTION("""COMPUTED_VALUE"""),5495.851721094439)</f>
        <v>5495.851721</v>
      </c>
      <c r="J4751" s="10">
        <f>IFERROR(__xludf.DUMMYFUNCTION("""COMPUTED_VALUE"""),0.0)</f>
        <v>0</v>
      </c>
      <c r="K4751" s="5">
        <f>IFERROR(__xludf.DUMMYFUNCTION("""COMPUTED_VALUE"""),0.0)</f>
        <v>0</v>
      </c>
      <c r="L4751" s="10">
        <f>IFERROR(__xludf.DUMMYFUNCTION("""COMPUTED_VALUE"""),0.0)</f>
        <v>0</v>
      </c>
      <c r="M4751" s="5">
        <f>IFERROR(__xludf.DUMMYFUNCTION("""COMPUTED_VALUE"""),0.0)</f>
        <v>0</v>
      </c>
    </row>
    <row r="4752">
      <c r="A4752" s="10" t="str">
        <f>IFERROR(__xludf.DUMMYFUNCTION("""COMPUTED_VALUE"""),"樋熊大将")</f>
        <v>樋熊大将</v>
      </c>
      <c r="B4752" s="10">
        <f>IFERROR(__xludf.DUMMYFUNCTION("""COMPUTED_VALUE"""),176.0)</f>
        <v>176</v>
      </c>
      <c r="C4752" s="10">
        <f>IFERROR(__xludf.DUMMYFUNCTION("""COMPUTED_VALUE"""),2124.0)</f>
        <v>2124</v>
      </c>
      <c r="D4752" s="5">
        <f>IFERROR(__xludf.DUMMYFUNCTION("""COMPUTED_VALUE"""),0.27258726899383984)</f>
        <v>0.272587269</v>
      </c>
      <c r="E4752" s="5">
        <f>IFERROR(__xludf.DUMMYFUNCTION("""COMPUTED_VALUE"""),0.11550308008213553)</f>
        <v>0.1155030801</v>
      </c>
      <c r="F4752" s="5">
        <f>IFERROR(__xludf.DUMMYFUNCTION("""COMPUTED_VALUE"""),0.17915811088295688)</f>
        <v>0.1791581109</v>
      </c>
      <c r="G4752" s="5">
        <f>IFERROR(__xludf.DUMMYFUNCTION("""COMPUTED_VALUE"""),0.16837782340862423)</f>
        <v>0.1683778234</v>
      </c>
      <c r="H4752" s="5">
        <f>IFERROR(__xludf.DUMMYFUNCTION("""COMPUTED_VALUE"""),0.6475644699140402)</f>
        <v>0.6475644699</v>
      </c>
      <c r="I4752" s="11">
        <f>IFERROR(__xludf.DUMMYFUNCTION("""COMPUTED_VALUE"""),5696.848137535817)</f>
        <v>5696.848138</v>
      </c>
      <c r="J4752" s="10">
        <f>IFERROR(__xludf.DUMMYFUNCTION("""COMPUTED_VALUE"""),2.0)</f>
        <v>2</v>
      </c>
      <c r="K4752" s="5">
        <f>IFERROR(__xludf.DUMMYFUNCTION("""COMPUTED_VALUE"""),0.011363636363636364)</f>
        <v>0.01136363636</v>
      </c>
      <c r="L4752" s="10">
        <f>IFERROR(__xludf.DUMMYFUNCTION("""COMPUTED_VALUE"""),176.0)</f>
        <v>176</v>
      </c>
      <c r="M4752" s="5">
        <f>IFERROR(__xludf.DUMMYFUNCTION("""COMPUTED_VALUE"""),1.0)</f>
        <v>1</v>
      </c>
    </row>
    <row r="4753">
      <c r="A4753" s="10" t="str">
        <f>IFERROR(__xludf.DUMMYFUNCTION("""COMPUTED_VALUE"""),"リップルラップル")</f>
        <v>リップルラップル</v>
      </c>
      <c r="B4753" s="10">
        <f>IFERROR(__xludf.DUMMYFUNCTION("""COMPUTED_VALUE"""),2638.0)</f>
        <v>2638</v>
      </c>
      <c r="C4753" s="10">
        <f>IFERROR(__xludf.DUMMYFUNCTION("""COMPUTED_VALUE"""),30694.0)</f>
        <v>30694</v>
      </c>
      <c r="D4753" s="5">
        <f>IFERROR(__xludf.DUMMYFUNCTION("""COMPUTED_VALUE"""),0.3867978329056173)</f>
        <v>0.3867978329</v>
      </c>
      <c r="E4753" s="5">
        <f>IFERROR(__xludf.DUMMYFUNCTION("""COMPUTED_VALUE"""),0.11548331907613345)</f>
        <v>0.1154833191</v>
      </c>
      <c r="F4753" s="5">
        <f>IFERROR(__xludf.DUMMYFUNCTION("""COMPUTED_VALUE"""),0.2041631023666952)</f>
        <v>0.2041631024</v>
      </c>
      <c r="G4753" s="5">
        <f>IFERROR(__xludf.DUMMYFUNCTION("""COMPUTED_VALUE"""),0.15130453378956374)</f>
        <v>0.1513045338</v>
      </c>
      <c r="H4753" s="5">
        <f>IFERROR(__xludf.DUMMYFUNCTION("""COMPUTED_VALUE"""),0.6113826815642458)</f>
        <v>0.6113826816</v>
      </c>
      <c r="I4753" s="11">
        <f>IFERROR(__xludf.DUMMYFUNCTION("""COMPUTED_VALUE"""),5775.925279329609)</f>
        <v>5775.925279</v>
      </c>
      <c r="J4753" s="10">
        <f>IFERROR(__xludf.DUMMYFUNCTION("""COMPUTED_VALUE"""),6.0)</f>
        <v>6</v>
      </c>
      <c r="K4753" s="5">
        <f>IFERROR(__xludf.DUMMYFUNCTION("""COMPUTED_VALUE"""),0.002274450341167551)</f>
        <v>0.002274450341</v>
      </c>
      <c r="L4753" s="10">
        <f>IFERROR(__xludf.DUMMYFUNCTION("""COMPUTED_VALUE"""),438.0)</f>
        <v>438</v>
      </c>
      <c r="M4753" s="5">
        <f>IFERROR(__xludf.DUMMYFUNCTION("""COMPUTED_VALUE"""),0.16603487490523122)</f>
        <v>0.1660348749</v>
      </c>
    </row>
    <row r="4754">
      <c r="A4754" s="10" t="str">
        <f>IFERROR(__xludf.DUMMYFUNCTION("""COMPUTED_VALUE"""),"ピカード")</f>
        <v>ピカード</v>
      </c>
      <c r="B4754" s="10">
        <f>IFERROR(__xludf.DUMMYFUNCTION("""COMPUTED_VALUE"""),142.0)</f>
        <v>142</v>
      </c>
      <c r="C4754" s="10">
        <f>IFERROR(__xludf.DUMMYFUNCTION("""COMPUTED_VALUE"""),1718.0)</f>
        <v>1718</v>
      </c>
      <c r="D4754" s="5">
        <f>IFERROR(__xludf.DUMMYFUNCTION("""COMPUTED_VALUE"""),0.3217005076142132)</f>
        <v>0.3217005076</v>
      </c>
      <c r="E4754" s="5">
        <f>IFERROR(__xludf.DUMMYFUNCTION("""COMPUTED_VALUE"""),0.11548223350253807)</f>
        <v>0.1154822335</v>
      </c>
      <c r="F4754" s="5">
        <f>IFERROR(__xludf.DUMMYFUNCTION("""COMPUTED_VALUE"""),0.19098984771573604)</f>
        <v>0.1909898477</v>
      </c>
      <c r="G4754" s="5">
        <f>IFERROR(__xludf.DUMMYFUNCTION("""COMPUTED_VALUE"""),0.13388324873096447)</f>
        <v>0.1338832487</v>
      </c>
      <c r="H4754" s="5">
        <f>IFERROR(__xludf.DUMMYFUNCTION("""COMPUTED_VALUE"""),0.6245847176079734)</f>
        <v>0.6245847176</v>
      </c>
      <c r="I4754" s="11">
        <f>IFERROR(__xludf.DUMMYFUNCTION("""COMPUTED_VALUE"""),5351.495016611296)</f>
        <v>5351.495017</v>
      </c>
      <c r="J4754" s="10">
        <f>IFERROR(__xludf.DUMMYFUNCTION("""COMPUTED_VALUE"""),0.0)</f>
        <v>0</v>
      </c>
      <c r="K4754" s="5">
        <f>IFERROR(__xludf.DUMMYFUNCTION("""COMPUTED_VALUE"""),0.0)</f>
        <v>0</v>
      </c>
      <c r="L4754" s="10">
        <f>IFERROR(__xludf.DUMMYFUNCTION("""COMPUTED_VALUE"""),142.0)</f>
        <v>142</v>
      </c>
      <c r="M4754" s="5">
        <f>IFERROR(__xludf.DUMMYFUNCTION("""COMPUTED_VALUE"""),1.0)</f>
        <v>1</v>
      </c>
    </row>
    <row r="4755">
      <c r="A4755" s="10" t="str">
        <f>IFERROR(__xludf.DUMMYFUNCTION("""COMPUTED_VALUE"""),"ローストチキン")</f>
        <v>ローストチキン</v>
      </c>
      <c r="B4755" s="10">
        <f>IFERROR(__xludf.DUMMYFUNCTION("""COMPUTED_VALUE"""),187.0)</f>
        <v>187</v>
      </c>
      <c r="C4755" s="10">
        <f>IFERROR(__xludf.DUMMYFUNCTION("""COMPUTED_VALUE"""),2179.0)</f>
        <v>2179</v>
      </c>
      <c r="D4755" s="5">
        <f>IFERROR(__xludf.DUMMYFUNCTION("""COMPUTED_VALUE"""),0.2916666666666667)</f>
        <v>0.2916666667</v>
      </c>
      <c r="E4755" s="5">
        <f>IFERROR(__xludf.DUMMYFUNCTION("""COMPUTED_VALUE"""),0.11546184738955824)</f>
        <v>0.1154618474</v>
      </c>
      <c r="F4755" s="5">
        <f>IFERROR(__xludf.DUMMYFUNCTION("""COMPUTED_VALUE"""),0.18323293172690763)</f>
        <v>0.1832329317</v>
      </c>
      <c r="G4755" s="5">
        <f>IFERROR(__xludf.DUMMYFUNCTION("""COMPUTED_VALUE"""),0.14708835341365462)</f>
        <v>0.1470883534</v>
      </c>
      <c r="H4755" s="5">
        <f>IFERROR(__xludf.DUMMYFUNCTION("""COMPUTED_VALUE"""),0.6109589041095891)</f>
        <v>0.6109589041</v>
      </c>
      <c r="I4755" s="11">
        <f>IFERROR(__xludf.DUMMYFUNCTION("""COMPUTED_VALUE"""),5641.917808219178)</f>
        <v>5641.917808</v>
      </c>
      <c r="J4755" s="10">
        <f>IFERROR(__xludf.DUMMYFUNCTION("""COMPUTED_VALUE"""),0.0)</f>
        <v>0</v>
      </c>
      <c r="K4755" s="5">
        <f>IFERROR(__xludf.DUMMYFUNCTION("""COMPUTED_VALUE"""),0.0)</f>
        <v>0</v>
      </c>
      <c r="L4755" s="10">
        <f>IFERROR(__xludf.DUMMYFUNCTION("""COMPUTED_VALUE"""),187.0)</f>
        <v>187</v>
      </c>
      <c r="M4755" s="5">
        <f>IFERROR(__xludf.DUMMYFUNCTION("""COMPUTED_VALUE"""),1.0)</f>
        <v>1</v>
      </c>
    </row>
    <row r="4756">
      <c r="A4756" s="10" t="str">
        <f>IFERROR(__xludf.DUMMYFUNCTION("""COMPUTED_VALUE"""),"1309")</f>
        <v>1309</v>
      </c>
      <c r="B4756" s="10">
        <f>IFERROR(__xludf.DUMMYFUNCTION("""COMPUTED_VALUE"""),316.0)</f>
        <v>316</v>
      </c>
      <c r="C4756" s="10">
        <f>IFERROR(__xludf.DUMMYFUNCTION("""COMPUTED_VALUE"""),3815.0)</f>
        <v>3815</v>
      </c>
      <c r="D4756" s="5">
        <f>IFERROR(__xludf.DUMMYFUNCTION("""COMPUTED_VALUE"""),0.3681051729065447)</f>
        <v>0.3681051729</v>
      </c>
      <c r="E4756" s="5">
        <f>IFERROR(__xludf.DUMMYFUNCTION("""COMPUTED_VALUE"""),0.11546156044584167)</f>
        <v>0.1154615604</v>
      </c>
      <c r="F4756" s="5">
        <f>IFERROR(__xludf.DUMMYFUNCTION("""COMPUTED_VALUE"""),0.2100600171477565)</f>
        <v>0.2100600171</v>
      </c>
      <c r="G4756" s="5">
        <f>IFERROR(__xludf.DUMMYFUNCTION("""COMPUTED_VALUE"""),0.15804515575878822)</f>
        <v>0.1580451558</v>
      </c>
      <c r="H4756" s="5">
        <f>IFERROR(__xludf.DUMMYFUNCTION("""COMPUTED_VALUE"""),0.5945578231292517)</f>
        <v>0.5945578231</v>
      </c>
      <c r="I4756" s="11">
        <f>IFERROR(__xludf.DUMMYFUNCTION("""COMPUTED_VALUE"""),5066.258503401361)</f>
        <v>5066.258503</v>
      </c>
      <c r="J4756" s="10">
        <f>IFERROR(__xludf.DUMMYFUNCTION("""COMPUTED_VALUE"""),0.0)</f>
        <v>0</v>
      </c>
      <c r="K4756" s="5">
        <f>IFERROR(__xludf.DUMMYFUNCTION("""COMPUTED_VALUE"""),0.0)</f>
        <v>0</v>
      </c>
      <c r="L4756" s="10">
        <f>IFERROR(__xludf.DUMMYFUNCTION("""COMPUTED_VALUE"""),290.0)</f>
        <v>290</v>
      </c>
      <c r="M4756" s="5">
        <f>IFERROR(__xludf.DUMMYFUNCTION("""COMPUTED_VALUE"""),0.9177215189873418)</f>
        <v>0.917721519</v>
      </c>
    </row>
    <row r="4757">
      <c r="A4757" s="10" t="str">
        <f>IFERROR(__xludf.DUMMYFUNCTION("""COMPUTED_VALUE"""),"Blau")</f>
        <v>Blau</v>
      </c>
      <c r="B4757" s="10">
        <f>IFERROR(__xludf.DUMMYFUNCTION("""COMPUTED_VALUE"""),299.0)</f>
        <v>299</v>
      </c>
      <c r="C4757" s="10">
        <f>IFERROR(__xludf.DUMMYFUNCTION("""COMPUTED_VALUE"""),3469.0)</f>
        <v>3469</v>
      </c>
      <c r="D4757" s="5">
        <f>IFERROR(__xludf.DUMMYFUNCTION("""COMPUTED_VALUE"""),0.36813880126182963)</f>
        <v>0.3681388013</v>
      </c>
      <c r="E4757" s="5">
        <f>IFERROR(__xludf.DUMMYFUNCTION("""COMPUTED_VALUE"""),0.11545741324921135)</f>
        <v>0.1154574132</v>
      </c>
      <c r="F4757" s="5">
        <f>IFERROR(__xludf.DUMMYFUNCTION("""COMPUTED_VALUE"""),0.2138801261829653)</f>
        <v>0.2138801262</v>
      </c>
      <c r="G4757" s="5">
        <f>IFERROR(__xludf.DUMMYFUNCTION("""COMPUTED_VALUE"""),0.19085173501577288)</f>
        <v>0.190851735</v>
      </c>
      <c r="H4757" s="5">
        <f>IFERROR(__xludf.DUMMYFUNCTION("""COMPUTED_VALUE"""),0.6150442477876106)</f>
        <v>0.6150442478</v>
      </c>
      <c r="I4757" s="11">
        <f>IFERROR(__xludf.DUMMYFUNCTION("""COMPUTED_VALUE"""),5472.713864306785)</f>
        <v>5472.713864</v>
      </c>
      <c r="J4757" s="10">
        <f>IFERROR(__xludf.DUMMYFUNCTION("""COMPUTED_VALUE"""),0.0)</f>
        <v>0</v>
      </c>
      <c r="K4757" s="5">
        <f>IFERROR(__xludf.DUMMYFUNCTION("""COMPUTED_VALUE"""),0.0)</f>
        <v>0</v>
      </c>
      <c r="L4757" s="10">
        <f>IFERROR(__xludf.DUMMYFUNCTION("""COMPUTED_VALUE"""),299.0)</f>
        <v>299</v>
      </c>
      <c r="M4757" s="5">
        <f>IFERROR(__xludf.DUMMYFUNCTION("""COMPUTED_VALUE"""),1.0)</f>
        <v>1</v>
      </c>
    </row>
    <row r="4758">
      <c r="A4758" s="10" t="str">
        <f>IFERROR(__xludf.DUMMYFUNCTION("""COMPUTED_VALUE"""),"もぶこば")</f>
        <v>もぶこば</v>
      </c>
      <c r="B4758" s="10">
        <f>IFERROR(__xludf.DUMMYFUNCTION("""COMPUTED_VALUE"""),147.0)</f>
        <v>147</v>
      </c>
      <c r="C4758" s="10">
        <f>IFERROR(__xludf.DUMMYFUNCTION("""COMPUTED_VALUE"""),1732.0)</f>
        <v>1732</v>
      </c>
      <c r="D4758" s="5">
        <f>IFERROR(__xludf.DUMMYFUNCTION("""COMPUTED_VALUE"""),0.3198738170347003)</f>
        <v>0.319873817</v>
      </c>
      <c r="E4758" s="5">
        <f>IFERROR(__xludf.DUMMYFUNCTION("""COMPUTED_VALUE"""),0.11545741324921135)</f>
        <v>0.1154574132</v>
      </c>
      <c r="F4758" s="5">
        <f>IFERROR(__xludf.DUMMYFUNCTION("""COMPUTED_VALUE"""),0.1886435331230284)</f>
        <v>0.1886435331</v>
      </c>
      <c r="G4758" s="5">
        <f>IFERROR(__xludf.DUMMYFUNCTION("""COMPUTED_VALUE"""),0.1444794952681388)</f>
        <v>0.1444794953</v>
      </c>
      <c r="H4758" s="5">
        <f>IFERROR(__xludf.DUMMYFUNCTION("""COMPUTED_VALUE"""),0.5919732441471572)</f>
        <v>0.5919732441</v>
      </c>
      <c r="I4758" s="11">
        <f>IFERROR(__xludf.DUMMYFUNCTION("""COMPUTED_VALUE"""),5509.030100334448)</f>
        <v>5509.0301</v>
      </c>
      <c r="J4758" s="10">
        <f>IFERROR(__xludf.DUMMYFUNCTION("""COMPUTED_VALUE"""),1.0)</f>
        <v>1</v>
      </c>
      <c r="K4758" s="5">
        <f>IFERROR(__xludf.DUMMYFUNCTION("""COMPUTED_VALUE"""),0.006802721088435374)</f>
        <v>0.006802721088</v>
      </c>
      <c r="L4758" s="10">
        <f>IFERROR(__xludf.DUMMYFUNCTION("""COMPUTED_VALUE"""),147.0)</f>
        <v>147</v>
      </c>
      <c r="M4758" s="5">
        <f>IFERROR(__xludf.DUMMYFUNCTION("""COMPUTED_VALUE"""),1.0)</f>
        <v>1</v>
      </c>
    </row>
    <row r="4759">
      <c r="A4759" s="10" t="str">
        <f>IFERROR(__xludf.DUMMYFUNCTION("""COMPUTED_VALUE"""),"しっぽちゃん")</f>
        <v>しっぽちゃん</v>
      </c>
      <c r="B4759" s="10">
        <f>IFERROR(__xludf.DUMMYFUNCTION("""COMPUTED_VALUE"""),764.0)</f>
        <v>764</v>
      </c>
      <c r="C4759" s="10">
        <f>IFERROR(__xludf.DUMMYFUNCTION("""COMPUTED_VALUE"""),9053.0)</f>
        <v>9053</v>
      </c>
      <c r="D4759" s="5">
        <f>IFERROR(__xludf.DUMMYFUNCTION("""COMPUTED_VALUE"""),0.2679454698998673)</f>
        <v>0.2679454699</v>
      </c>
      <c r="E4759" s="5">
        <f>IFERROR(__xludf.DUMMYFUNCTION("""COMPUTED_VALUE"""),0.11545421643141512)</f>
        <v>0.1154542164</v>
      </c>
      <c r="F4759" s="5">
        <f>IFERROR(__xludf.DUMMYFUNCTION("""COMPUTED_VALUE"""),0.19097599227892387)</f>
        <v>0.1909759923</v>
      </c>
      <c r="G4759" s="5">
        <f>IFERROR(__xludf.DUMMYFUNCTION("""COMPUTED_VALUE"""),0.1771021836168416)</f>
        <v>0.1771021836</v>
      </c>
      <c r="H4759" s="5">
        <f>IFERROR(__xludf.DUMMYFUNCTION("""COMPUTED_VALUE"""),0.5837018319646241)</f>
        <v>0.583701832</v>
      </c>
      <c r="I4759" s="11">
        <f>IFERROR(__xludf.DUMMYFUNCTION("""COMPUTED_VALUE"""),6071.762476310802)</f>
        <v>6071.762476</v>
      </c>
      <c r="J4759" s="10">
        <f>IFERROR(__xludf.DUMMYFUNCTION("""COMPUTED_VALUE"""),3.0)</f>
        <v>3</v>
      </c>
      <c r="K4759" s="5">
        <f>IFERROR(__xludf.DUMMYFUNCTION("""COMPUTED_VALUE"""),0.003926701570680628)</f>
        <v>0.003926701571</v>
      </c>
      <c r="L4759" s="10">
        <f>IFERROR(__xludf.DUMMYFUNCTION("""COMPUTED_VALUE"""),764.0)</f>
        <v>764</v>
      </c>
      <c r="M4759" s="5">
        <f>IFERROR(__xludf.DUMMYFUNCTION("""COMPUTED_VALUE"""),1.0)</f>
        <v>1</v>
      </c>
    </row>
    <row r="4760">
      <c r="A4760" s="10" t="str">
        <f>IFERROR(__xludf.DUMMYFUNCTION("""COMPUTED_VALUE"""),"姉属性。")</f>
        <v>姉属性。</v>
      </c>
      <c r="B4760" s="10">
        <f>IFERROR(__xludf.DUMMYFUNCTION("""COMPUTED_VALUE"""),524.0)</f>
        <v>524</v>
      </c>
      <c r="C4760" s="10">
        <f>IFERROR(__xludf.DUMMYFUNCTION("""COMPUTED_VALUE"""),6267.0)</f>
        <v>6267</v>
      </c>
      <c r="D4760" s="5">
        <f>IFERROR(__xludf.DUMMYFUNCTION("""COMPUTED_VALUE"""),0.39038829879853737)</f>
        <v>0.3903882988</v>
      </c>
      <c r="E4760" s="5">
        <f>IFERROR(__xludf.DUMMYFUNCTION("""COMPUTED_VALUE"""),0.11544488943061118)</f>
        <v>0.1154448894</v>
      </c>
      <c r="F4760" s="5">
        <f>IFERROR(__xludf.DUMMYFUNCTION("""COMPUTED_VALUE"""),0.19571652446456556)</f>
        <v>0.1957165245</v>
      </c>
      <c r="G4760" s="5">
        <f>IFERROR(__xludf.DUMMYFUNCTION("""COMPUTED_VALUE"""),0.13337976667247084)</f>
        <v>0.1333797667</v>
      </c>
      <c r="H4760" s="5">
        <f>IFERROR(__xludf.DUMMYFUNCTION("""COMPUTED_VALUE"""),0.6174377224199288)</f>
        <v>0.6174377224</v>
      </c>
      <c r="I4760" s="11">
        <f>IFERROR(__xludf.DUMMYFUNCTION("""COMPUTED_VALUE"""),5500.889679715303)</f>
        <v>5500.88968</v>
      </c>
      <c r="J4760" s="10">
        <f>IFERROR(__xludf.DUMMYFUNCTION("""COMPUTED_VALUE"""),0.0)</f>
        <v>0</v>
      </c>
      <c r="K4760" s="5">
        <f>IFERROR(__xludf.DUMMYFUNCTION("""COMPUTED_VALUE"""),0.0)</f>
        <v>0</v>
      </c>
      <c r="L4760" s="10">
        <f>IFERROR(__xludf.DUMMYFUNCTION("""COMPUTED_VALUE"""),0.0)</f>
        <v>0</v>
      </c>
      <c r="M4760" s="5">
        <f>IFERROR(__xludf.DUMMYFUNCTION("""COMPUTED_VALUE"""),0.0)</f>
        <v>0</v>
      </c>
    </row>
    <row r="4761">
      <c r="A4761" s="10" t="str">
        <f>IFERROR(__xludf.DUMMYFUNCTION("""COMPUTED_VALUE"""),"library")</f>
        <v>library</v>
      </c>
      <c r="B4761" s="10">
        <f>IFERROR(__xludf.DUMMYFUNCTION("""COMPUTED_VALUE"""),118.0)</f>
        <v>118</v>
      </c>
      <c r="C4761" s="10">
        <f>IFERROR(__xludf.DUMMYFUNCTION("""COMPUTED_VALUE"""),1400.0)</f>
        <v>1400</v>
      </c>
      <c r="D4761" s="5">
        <f>IFERROR(__xludf.DUMMYFUNCTION("""COMPUTED_VALUE"""),0.27223088923556943)</f>
        <v>0.2722308892</v>
      </c>
      <c r="E4761" s="5">
        <f>IFERROR(__xludf.DUMMYFUNCTION("""COMPUTED_VALUE"""),0.11544461778471139)</f>
        <v>0.1154446178</v>
      </c>
      <c r="F4761" s="5">
        <f>IFERROR(__xludf.DUMMYFUNCTION("""COMPUTED_VALUE"""),0.19032761310452417)</f>
        <v>0.1903276131</v>
      </c>
      <c r="G4761" s="5">
        <f>IFERROR(__xludf.DUMMYFUNCTION("""COMPUTED_VALUE"""),0.12480499219968799)</f>
        <v>0.1248049922</v>
      </c>
      <c r="H4761" s="5">
        <f>IFERROR(__xludf.DUMMYFUNCTION("""COMPUTED_VALUE"""),0.6352459016393442)</f>
        <v>0.6352459016</v>
      </c>
      <c r="I4761" s="11">
        <f>IFERROR(__xludf.DUMMYFUNCTION("""COMPUTED_VALUE"""),4818.0327868852455)</f>
        <v>4818.032787</v>
      </c>
      <c r="J4761" s="10">
        <f>IFERROR(__xludf.DUMMYFUNCTION("""COMPUTED_VALUE"""),0.0)</f>
        <v>0</v>
      </c>
      <c r="K4761" s="5">
        <f>IFERROR(__xludf.DUMMYFUNCTION("""COMPUTED_VALUE"""),0.0)</f>
        <v>0</v>
      </c>
      <c r="L4761" s="10">
        <f>IFERROR(__xludf.DUMMYFUNCTION("""COMPUTED_VALUE"""),118.0)</f>
        <v>118</v>
      </c>
      <c r="M4761" s="5">
        <f>IFERROR(__xludf.DUMMYFUNCTION("""COMPUTED_VALUE"""),1.0)</f>
        <v>1</v>
      </c>
    </row>
    <row r="4762">
      <c r="A4762" s="10" t="str">
        <f>IFERROR(__xludf.DUMMYFUNCTION("""COMPUTED_VALUE"""),"Ｓぞえ☆")</f>
        <v>Ｓぞえ☆</v>
      </c>
      <c r="B4762" s="10">
        <f>IFERROR(__xludf.DUMMYFUNCTION("""COMPUTED_VALUE"""),1578.0)</f>
        <v>1578</v>
      </c>
      <c r="C4762" s="10">
        <f>IFERROR(__xludf.DUMMYFUNCTION("""COMPUTED_VALUE"""),18498.0)</f>
        <v>18498</v>
      </c>
      <c r="D4762" s="5">
        <f>IFERROR(__xludf.DUMMYFUNCTION("""COMPUTED_VALUE"""),0.3339243498817967)</f>
        <v>0.3339243499</v>
      </c>
      <c r="E4762" s="5">
        <f>IFERROR(__xludf.DUMMYFUNCTION("""COMPUTED_VALUE"""),0.11542553191489362)</f>
        <v>0.1154255319</v>
      </c>
      <c r="F4762" s="5">
        <f>IFERROR(__xludf.DUMMYFUNCTION("""COMPUTED_VALUE"""),0.2024822695035461)</f>
        <v>0.2024822695</v>
      </c>
      <c r="G4762" s="5">
        <f>IFERROR(__xludf.DUMMYFUNCTION("""COMPUTED_VALUE"""),0.1652482269503546)</f>
        <v>0.165248227</v>
      </c>
      <c r="H4762" s="5">
        <f>IFERROR(__xludf.DUMMYFUNCTION("""COMPUTED_VALUE"""),0.5974897840046701)</f>
        <v>0.597489784</v>
      </c>
      <c r="I4762" s="11">
        <f>IFERROR(__xludf.DUMMYFUNCTION("""COMPUTED_VALUE"""),5625.744308231174)</f>
        <v>5625.744308</v>
      </c>
      <c r="J4762" s="10">
        <f>IFERROR(__xludf.DUMMYFUNCTION("""COMPUTED_VALUE"""),2.0)</f>
        <v>2</v>
      </c>
      <c r="K4762" s="5">
        <f>IFERROR(__xludf.DUMMYFUNCTION("""COMPUTED_VALUE"""),0.0012674271229404308)</f>
        <v>0.001267427123</v>
      </c>
      <c r="L4762" s="10">
        <f>IFERROR(__xludf.DUMMYFUNCTION("""COMPUTED_VALUE"""),1578.0)</f>
        <v>1578</v>
      </c>
      <c r="M4762" s="5">
        <f>IFERROR(__xludf.DUMMYFUNCTION("""COMPUTED_VALUE"""),1.0)</f>
        <v>1</v>
      </c>
    </row>
    <row r="4763">
      <c r="A4763" s="10" t="str">
        <f>IFERROR(__xludf.DUMMYFUNCTION("""COMPUTED_VALUE"""),"わじ☆彡")</f>
        <v>わじ☆彡</v>
      </c>
      <c r="B4763" s="10">
        <f>IFERROR(__xludf.DUMMYFUNCTION("""COMPUTED_VALUE"""),1351.0)</f>
        <v>1351</v>
      </c>
      <c r="C4763" s="10">
        <f>IFERROR(__xludf.DUMMYFUNCTION("""COMPUTED_VALUE"""),15675.0)</f>
        <v>15675</v>
      </c>
      <c r="D4763" s="5">
        <f>IFERROR(__xludf.DUMMYFUNCTION("""COMPUTED_VALUE"""),0.33817369449874335)</f>
        <v>0.3381736945</v>
      </c>
      <c r="E4763" s="5">
        <f>IFERROR(__xludf.DUMMYFUNCTION("""COMPUTED_VALUE"""),0.11540072605417481)</f>
        <v>0.1154007261</v>
      </c>
      <c r="F4763" s="5">
        <f>IFERROR(__xludf.DUMMYFUNCTION("""COMPUTED_VALUE"""),0.21746718793633063)</f>
        <v>0.2174671879</v>
      </c>
      <c r="G4763" s="5">
        <f>IFERROR(__xludf.DUMMYFUNCTION("""COMPUTED_VALUE"""),0.176836079307456)</f>
        <v>0.1768360793</v>
      </c>
      <c r="H4763" s="5">
        <f>IFERROR(__xludf.DUMMYFUNCTION("""COMPUTED_VALUE"""),0.5858747993579454)</f>
        <v>0.5858747994</v>
      </c>
      <c r="I4763" s="11">
        <f>IFERROR(__xludf.DUMMYFUNCTION("""COMPUTED_VALUE"""),5577.913322632424)</f>
        <v>5577.913323</v>
      </c>
      <c r="J4763" s="10">
        <f>IFERROR(__xludf.DUMMYFUNCTION("""COMPUTED_VALUE"""),3.0)</f>
        <v>3</v>
      </c>
      <c r="K4763" s="5">
        <f>IFERROR(__xludf.DUMMYFUNCTION("""COMPUTED_VALUE"""),0.0022205773501110288)</f>
        <v>0.00222057735</v>
      </c>
      <c r="L4763" s="10">
        <f>IFERROR(__xludf.DUMMYFUNCTION("""COMPUTED_VALUE"""),1351.0)</f>
        <v>1351</v>
      </c>
      <c r="M4763" s="5">
        <f>IFERROR(__xludf.DUMMYFUNCTION("""COMPUTED_VALUE"""),1.0)</f>
        <v>1</v>
      </c>
    </row>
    <row r="4764">
      <c r="A4764" s="10" t="str">
        <f>IFERROR(__xludf.DUMMYFUNCTION("""COMPUTED_VALUE"""),"kirsten")</f>
        <v>kirsten</v>
      </c>
      <c r="B4764" s="10">
        <f>IFERROR(__xludf.DUMMYFUNCTION("""COMPUTED_VALUE"""),901.0)</f>
        <v>901</v>
      </c>
      <c r="C4764" s="10">
        <f>IFERROR(__xludf.DUMMYFUNCTION("""COMPUTED_VALUE"""),10797.0)</f>
        <v>10797</v>
      </c>
      <c r="D4764" s="5">
        <f>IFERROR(__xludf.DUMMYFUNCTION("""COMPUTED_VALUE"""),0.35772029102667746)</f>
        <v>0.357720291</v>
      </c>
      <c r="E4764" s="5">
        <f>IFERROR(__xludf.DUMMYFUNCTION("""COMPUTED_VALUE"""),0.11540016168148746)</f>
        <v>0.1154001617</v>
      </c>
      <c r="F4764" s="5">
        <f>IFERROR(__xludf.DUMMYFUNCTION("""COMPUTED_VALUE"""),0.2072554567502021)</f>
        <v>0.2072554568</v>
      </c>
      <c r="G4764" s="5">
        <f>IFERROR(__xludf.DUMMYFUNCTION("""COMPUTED_VALUE"""),0.1677445432497979)</f>
        <v>0.1677445432</v>
      </c>
      <c r="H4764" s="5">
        <f>IFERROR(__xludf.DUMMYFUNCTION("""COMPUTED_VALUE"""),0.5836177474402731)</f>
        <v>0.5836177474</v>
      </c>
      <c r="I4764" s="11">
        <f>IFERROR(__xludf.DUMMYFUNCTION("""COMPUTED_VALUE"""),5529.497805948318)</f>
        <v>5529.497806</v>
      </c>
      <c r="J4764" s="10">
        <f>IFERROR(__xludf.DUMMYFUNCTION("""COMPUTED_VALUE"""),2.0)</f>
        <v>2</v>
      </c>
      <c r="K4764" s="5">
        <f>IFERROR(__xludf.DUMMYFUNCTION("""COMPUTED_VALUE"""),0.0022197558268590455)</f>
        <v>0.002219755827</v>
      </c>
      <c r="L4764" s="10">
        <f>IFERROR(__xludf.DUMMYFUNCTION("""COMPUTED_VALUE"""),11.0)</f>
        <v>11</v>
      </c>
      <c r="M4764" s="5">
        <f>IFERROR(__xludf.DUMMYFUNCTION("""COMPUTED_VALUE"""),0.01220865704772475)</f>
        <v>0.01220865705</v>
      </c>
    </row>
    <row r="4765">
      <c r="A4765" s="10" t="str">
        <f>IFERROR(__xludf.DUMMYFUNCTION("""COMPUTED_VALUE"""),"青山羊")</f>
        <v>青山羊</v>
      </c>
      <c r="B4765" s="10">
        <f>IFERROR(__xludf.DUMMYFUNCTION("""COMPUTED_VALUE"""),2568.0)</f>
        <v>2568</v>
      </c>
      <c r="C4765" s="10">
        <f>IFERROR(__xludf.DUMMYFUNCTION("""COMPUTED_VALUE"""),29934.0)</f>
        <v>29934</v>
      </c>
      <c r="D4765" s="5">
        <f>IFERROR(__xludf.DUMMYFUNCTION("""COMPUTED_VALUE"""),0.3680479427026237)</f>
        <v>0.3680479427</v>
      </c>
      <c r="E4765" s="5">
        <f>IFERROR(__xludf.DUMMYFUNCTION("""COMPUTED_VALUE"""),0.11539866988233574)</f>
        <v>0.1153986699</v>
      </c>
      <c r="F4765" s="5">
        <f>IFERROR(__xludf.DUMMYFUNCTION("""COMPUTED_VALUE"""),0.1929036030110356)</f>
        <v>0.192903603</v>
      </c>
      <c r="G4765" s="5">
        <f>IFERROR(__xludf.DUMMYFUNCTION("""COMPUTED_VALUE"""),0.14320689907184098)</f>
        <v>0.1432068991</v>
      </c>
      <c r="H4765" s="5">
        <f>IFERROR(__xludf.DUMMYFUNCTION("""COMPUTED_VALUE"""),0.5993559386247396)</f>
        <v>0.5993559386</v>
      </c>
      <c r="I4765" s="11">
        <f>IFERROR(__xludf.DUMMYFUNCTION("""COMPUTED_VALUE"""),6243.379427921955)</f>
        <v>6243.379428</v>
      </c>
      <c r="J4765" s="10">
        <f>IFERROR(__xludf.DUMMYFUNCTION("""COMPUTED_VALUE"""),13.0)</f>
        <v>13</v>
      </c>
      <c r="K4765" s="5">
        <f>IFERROR(__xludf.DUMMYFUNCTION("""COMPUTED_VALUE"""),0.0050623052959501555)</f>
        <v>0.005062305296</v>
      </c>
      <c r="L4765" s="10">
        <f>IFERROR(__xludf.DUMMYFUNCTION("""COMPUTED_VALUE"""),2533.0)</f>
        <v>2533</v>
      </c>
      <c r="M4765" s="5">
        <f>IFERROR(__xludf.DUMMYFUNCTION("""COMPUTED_VALUE"""),0.9863707165109035)</f>
        <v>0.9863707165</v>
      </c>
    </row>
    <row r="4766">
      <c r="A4766" s="10" t="str">
        <f>IFERROR(__xludf.DUMMYFUNCTION("""COMPUTED_VALUE"""),"jyanpei4")</f>
        <v>jyanpei4</v>
      </c>
      <c r="B4766" s="10">
        <f>IFERROR(__xludf.DUMMYFUNCTION("""COMPUTED_VALUE"""),1280.0)</f>
        <v>1280</v>
      </c>
      <c r="C4766" s="10">
        <f>IFERROR(__xludf.DUMMYFUNCTION("""COMPUTED_VALUE"""),15007.0)</f>
        <v>15007</v>
      </c>
      <c r="D4766" s="5">
        <f>IFERROR(__xludf.DUMMYFUNCTION("""COMPUTED_VALUE"""),0.3600932468856997)</f>
        <v>0.3600932469</v>
      </c>
      <c r="E4766" s="5">
        <f>IFERROR(__xludf.DUMMYFUNCTION("""COMPUTED_VALUE"""),0.11539302105339841)</f>
        <v>0.1153930211</v>
      </c>
      <c r="F4766" s="5">
        <f>IFERROR(__xludf.DUMMYFUNCTION("""COMPUTED_VALUE"""),0.20368616595031688)</f>
        <v>0.203686166</v>
      </c>
      <c r="G4766" s="5">
        <f>IFERROR(__xludf.DUMMYFUNCTION("""COMPUTED_VALUE"""),0.1612151234792744)</f>
        <v>0.1612151235</v>
      </c>
      <c r="H4766" s="5">
        <f>IFERROR(__xludf.DUMMYFUNCTION("""COMPUTED_VALUE"""),0.57689556509299)</f>
        <v>0.5768955651</v>
      </c>
      <c r="I4766" s="11">
        <f>IFERROR(__xludf.DUMMYFUNCTION("""COMPUTED_VALUE"""),5709.298998569385)</f>
        <v>5709.298999</v>
      </c>
      <c r="J4766" s="10">
        <f>IFERROR(__xludf.DUMMYFUNCTION("""COMPUTED_VALUE"""),3.0)</f>
        <v>3</v>
      </c>
      <c r="K4766" s="5">
        <f>IFERROR(__xludf.DUMMYFUNCTION("""COMPUTED_VALUE"""),0.00234375)</f>
        <v>0.00234375</v>
      </c>
      <c r="L4766" s="10">
        <f>IFERROR(__xludf.DUMMYFUNCTION("""COMPUTED_VALUE"""),1280.0)</f>
        <v>1280</v>
      </c>
      <c r="M4766" s="5">
        <f>IFERROR(__xludf.DUMMYFUNCTION("""COMPUTED_VALUE"""),1.0)</f>
        <v>1</v>
      </c>
    </row>
    <row r="4767">
      <c r="A4767" s="10" t="str">
        <f>IFERROR(__xludf.DUMMYFUNCTION("""COMPUTED_VALUE"""),"アル中@テンパ")</f>
        <v>アル中@テンパ</v>
      </c>
      <c r="B4767" s="10">
        <f>IFERROR(__xludf.DUMMYFUNCTION("""COMPUTED_VALUE"""),2534.0)</f>
        <v>2534</v>
      </c>
      <c r="C4767" s="10">
        <f>IFERROR(__xludf.DUMMYFUNCTION("""COMPUTED_VALUE"""),29729.0)</f>
        <v>29729</v>
      </c>
      <c r="D4767" s="5">
        <f>IFERROR(__xludf.DUMMYFUNCTION("""COMPUTED_VALUE"""),0.3098363669792241)</f>
        <v>0.309836367</v>
      </c>
      <c r="E4767" s="5">
        <f>IFERROR(__xludf.DUMMYFUNCTION("""COMPUTED_VALUE"""),0.1153888582460011)</f>
        <v>0.1153888582</v>
      </c>
      <c r="F4767" s="5">
        <f>IFERROR(__xludf.DUMMYFUNCTION("""COMPUTED_VALUE"""),0.21408347122632837)</f>
        <v>0.2140834712</v>
      </c>
      <c r="G4767" s="5">
        <f>IFERROR(__xludf.DUMMYFUNCTION("""COMPUTED_VALUE"""),0.18643132928847214)</f>
        <v>0.1864313293</v>
      </c>
      <c r="H4767" s="5">
        <f>IFERROR(__xludf.DUMMYFUNCTION("""COMPUTED_VALUE"""),0.5946410168327035)</f>
        <v>0.5946410168</v>
      </c>
      <c r="I4767" s="11">
        <f>IFERROR(__xludf.DUMMYFUNCTION("""COMPUTED_VALUE"""),5627.636551013397)</f>
        <v>5627.636551</v>
      </c>
      <c r="J4767" s="10">
        <f>IFERROR(__xludf.DUMMYFUNCTION("""COMPUTED_VALUE"""),8.0)</f>
        <v>8</v>
      </c>
      <c r="K4767" s="5">
        <f>IFERROR(__xludf.DUMMYFUNCTION("""COMPUTED_VALUE"""),0.0031570639305445935)</f>
        <v>0.003157063931</v>
      </c>
      <c r="L4767" s="10">
        <f>IFERROR(__xludf.DUMMYFUNCTION("""COMPUTED_VALUE"""),2534.0)</f>
        <v>2534</v>
      </c>
      <c r="M4767" s="5">
        <f>IFERROR(__xludf.DUMMYFUNCTION("""COMPUTED_VALUE"""),1.0)</f>
        <v>1</v>
      </c>
    </row>
    <row r="4768">
      <c r="A4768" s="10" t="str">
        <f>IFERROR(__xludf.DUMMYFUNCTION("""COMPUTED_VALUE"""),"右角")</f>
        <v>右角</v>
      </c>
      <c r="B4768" s="10">
        <f>IFERROR(__xludf.DUMMYFUNCTION("""COMPUTED_VALUE"""),240.0)</f>
        <v>240</v>
      </c>
      <c r="C4768" s="10">
        <f>IFERROR(__xludf.DUMMYFUNCTION("""COMPUTED_VALUE"""),2840.0)</f>
        <v>2840</v>
      </c>
      <c r="D4768" s="5">
        <f>IFERROR(__xludf.DUMMYFUNCTION("""COMPUTED_VALUE"""),0.40576923076923077)</f>
        <v>0.4057692308</v>
      </c>
      <c r="E4768" s="5">
        <f>IFERROR(__xludf.DUMMYFUNCTION("""COMPUTED_VALUE"""),0.11538461538461539)</f>
        <v>0.1153846154</v>
      </c>
      <c r="F4768" s="5">
        <f>IFERROR(__xludf.DUMMYFUNCTION("""COMPUTED_VALUE"""),0.19884615384615384)</f>
        <v>0.1988461538</v>
      </c>
      <c r="G4768" s="5">
        <f>IFERROR(__xludf.DUMMYFUNCTION("""COMPUTED_VALUE"""),0.1453846153846154)</f>
        <v>0.1453846154</v>
      </c>
      <c r="H4768" s="5">
        <f>IFERROR(__xludf.DUMMYFUNCTION("""COMPUTED_VALUE"""),0.5435203094777563)</f>
        <v>0.5435203095</v>
      </c>
      <c r="I4768" s="11">
        <f>IFERROR(__xludf.DUMMYFUNCTION("""COMPUTED_VALUE"""),5785.493230174081)</f>
        <v>5785.49323</v>
      </c>
      <c r="J4768" s="10">
        <f>IFERROR(__xludf.DUMMYFUNCTION("""COMPUTED_VALUE"""),1.0)</f>
        <v>1</v>
      </c>
      <c r="K4768" s="5">
        <f>IFERROR(__xludf.DUMMYFUNCTION("""COMPUTED_VALUE"""),0.004166666666666667)</f>
        <v>0.004166666667</v>
      </c>
      <c r="L4768" s="10">
        <f>IFERROR(__xludf.DUMMYFUNCTION("""COMPUTED_VALUE"""),240.0)</f>
        <v>240</v>
      </c>
      <c r="M4768" s="5">
        <f>IFERROR(__xludf.DUMMYFUNCTION("""COMPUTED_VALUE"""),1.0)</f>
        <v>1</v>
      </c>
    </row>
    <row r="4769">
      <c r="A4769" s="10" t="str">
        <f>IFERROR(__xludf.DUMMYFUNCTION("""COMPUTED_VALUE"""),"一本場")</f>
        <v>一本場</v>
      </c>
      <c r="B4769" s="10">
        <f>IFERROR(__xludf.DUMMYFUNCTION("""COMPUTED_VALUE"""),1089.0)</f>
        <v>1089</v>
      </c>
      <c r="C4769" s="10">
        <f>IFERROR(__xludf.DUMMYFUNCTION("""COMPUTED_VALUE"""),12859.0)</f>
        <v>12859</v>
      </c>
      <c r="D4769" s="5">
        <f>IFERROR(__xludf.DUMMYFUNCTION("""COMPUTED_VALUE"""),0.34001699235344096)</f>
        <v>0.3400169924</v>
      </c>
      <c r="E4769" s="5">
        <f>IFERROR(__xludf.DUMMYFUNCTION("""COMPUTED_VALUE"""),0.11537807986406118)</f>
        <v>0.1153780799</v>
      </c>
      <c r="F4769" s="5">
        <f>IFERROR(__xludf.DUMMYFUNCTION("""COMPUTED_VALUE"""),0.20237892948173322)</f>
        <v>0.2023789295</v>
      </c>
      <c r="G4769" s="5">
        <f>IFERROR(__xludf.DUMMYFUNCTION("""COMPUTED_VALUE"""),0.16159728122344943)</f>
        <v>0.1615972812</v>
      </c>
      <c r="H4769" s="5">
        <f>IFERROR(__xludf.DUMMYFUNCTION("""COMPUTED_VALUE"""),0.5982367758186398)</f>
        <v>0.5982367758</v>
      </c>
      <c r="I4769" s="11">
        <f>IFERROR(__xludf.DUMMYFUNCTION("""COMPUTED_VALUE"""),5520.403022670025)</f>
        <v>5520.403023</v>
      </c>
      <c r="J4769" s="10">
        <f>IFERROR(__xludf.DUMMYFUNCTION("""COMPUTED_VALUE"""),0.0)</f>
        <v>0</v>
      </c>
      <c r="K4769" s="5">
        <f>IFERROR(__xludf.DUMMYFUNCTION("""COMPUTED_VALUE"""),0.0)</f>
        <v>0</v>
      </c>
      <c r="L4769" s="10">
        <f>IFERROR(__xludf.DUMMYFUNCTION("""COMPUTED_VALUE"""),1089.0)</f>
        <v>1089</v>
      </c>
      <c r="M4769" s="5">
        <f>IFERROR(__xludf.DUMMYFUNCTION("""COMPUTED_VALUE"""),1.0)</f>
        <v>1</v>
      </c>
    </row>
    <row r="4770">
      <c r="A4770" s="10" t="str">
        <f>IFERROR(__xludf.DUMMYFUNCTION("""COMPUTED_VALUE"""),"shatiana")</f>
        <v>shatiana</v>
      </c>
      <c r="B4770" s="10">
        <f>IFERROR(__xludf.DUMMYFUNCTION("""COMPUTED_VALUE"""),793.0)</f>
        <v>793</v>
      </c>
      <c r="C4770" s="10">
        <f>IFERROR(__xludf.DUMMYFUNCTION("""COMPUTED_VALUE"""),9287.0)</f>
        <v>9287</v>
      </c>
      <c r="D4770" s="5">
        <f>IFERROR(__xludf.DUMMYFUNCTION("""COMPUTED_VALUE"""),0.38968683776783614)</f>
        <v>0.3896868378</v>
      </c>
      <c r="E4770" s="5">
        <f>IFERROR(__xludf.DUMMYFUNCTION("""COMPUTED_VALUE"""),0.11537555921827172)</f>
        <v>0.1153755592</v>
      </c>
      <c r="F4770" s="5">
        <f>IFERROR(__xludf.DUMMYFUNCTION("""COMPUTED_VALUE"""),0.21485754650341418)</f>
        <v>0.2148575465</v>
      </c>
      <c r="G4770" s="5">
        <f>IFERROR(__xludf.DUMMYFUNCTION("""COMPUTED_VALUE"""),0.15870025900635742)</f>
        <v>0.158700259</v>
      </c>
      <c r="H4770" s="5">
        <f>IFERROR(__xludf.DUMMYFUNCTION("""COMPUTED_VALUE"""),0.6147945205479453)</f>
        <v>0.6147945205</v>
      </c>
      <c r="I4770" s="11">
        <f>IFERROR(__xludf.DUMMYFUNCTION("""COMPUTED_VALUE"""),5372.876712328767)</f>
        <v>5372.876712</v>
      </c>
      <c r="J4770" s="10">
        <f>IFERROR(__xludf.DUMMYFUNCTION("""COMPUTED_VALUE"""),1.0)</f>
        <v>1</v>
      </c>
      <c r="K4770" s="5">
        <f>IFERROR(__xludf.DUMMYFUNCTION("""COMPUTED_VALUE"""),0.0012610340479192938)</f>
        <v>0.001261034048</v>
      </c>
      <c r="L4770" s="10">
        <f>IFERROR(__xludf.DUMMYFUNCTION("""COMPUTED_VALUE"""),0.0)</f>
        <v>0</v>
      </c>
      <c r="M4770" s="5">
        <f>IFERROR(__xludf.DUMMYFUNCTION("""COMPUTED_VALUE"""),0.0)</f>
        <v>0</v>
      </c>
    </row>
    <row r="4771">
      <c r="A4771" s="10" t="str">
        <f>IFERROR(__xludf.DUMMYFUNCTION("""COMPUTED_VALUE"""),"scarface")</f>
        <v>scarface</v>
      </c>
      <c r="B4771" s="10">
        <f>IFERROR(__xludf.DUMMYFUNCTION("""COMPUTED_VALUE"""),350.0)</f>
        <v>350</v>
      </c>
      <c r="C4771" s="10">
        <f>IFERROR(__xludf.DUMMYFUNCTION("""COMPUTED_VALUE"""),4181.0)</f>
        <v>4181</v>
      </c>
      <c r="D4771" s="5">
        <f>IFERROR(__xludf.DUMMYFUNCTION("""COMPUTED_VALUE"""),0.34064212999216914)</f>
        <v>0.34064213</v>
      </c>
      <c r="E4771" s="5">
        <f>IFERROR(__xludf.DUMMYFUNCTION("""COMPUTED_VALUE"""),0.11537457582876534)</f>
        <v>0.1153745758</v>
      </c>
      <c r="F4771" s="5">
        <f>IFERROR(__xludf.DUMMYFUNCTION("""COMPUTED_VALUE"""),0.20360219263899765)</f>
        <v>0.2036021926</v>
      </c>
      <c r="G4771" s="5">
        <f>IFERROR(__xludf.DUMMYFUNCTION("""COMPUTED_VALUE"""),0.16053249804228661)</f>
        <v>0.160532498</v>
      </c>
      <c r="H4771" s="5">
        <f>IFERROR(__xludf.DUMMYFUNCTION("""COMPUTED_VALUE"""),0.617948717948718)</f>
        <v>0.6179487179</v>
      </c>
      <c r="I4771" s="11">
        <f>IFERROR(__xludf.DUMMYFUNCTION("""COMPUTED_VALUE"""),5582.179487179487)</f>
        <v>5582.179487</v>
      </c>
      <c r="J4771" s="10">
        <f>IFERROR(__xludf.DUMMYFUNCTION("""COMPUTED_VALUE"""),0.0)</f>
        <v>0</v>
      </c>
      <c r="K4771" s="5">
        <f>IFERROR(__xludf.DUMMYFUNCTION("""COMPUTED_VALUE"""),0.0)</f>
        <v>0</v>
      </c>
      <c r="L4771" s="10">
        <f>IFERROR(__xludf.DUMMYFUNCTION("""COMPUTED_VALUE"""),350.0)</f>
        <v>350</v>
      </c>
      <c r="M4771" s="5">
        <f>IFERROR(__xludf.DUMMYFUNCTION("""COMPUTED_VALUE"""),1.0)</f>
        <v>1</v>
      </c>
    </row>
    <row r="4772">
      <c r="A4772" s="10" t="str">
        <f>IFERROR(__xludf.DUMMYFUNCTION("""COMPUTED_VALUE"""),"KOTA**")</f>
        <v>KOTA**</v>
      </c>
      <c r="B4772" s="10">
        <f>IFERROR(__xludf.DUMMYFUNCTION("""COMPUTED_VALUE"""),1027.0)</f>
        <v>1027</v>
      </c>
      <c r="C4772" s="10">
        <f>IFERROR(__xludf.DUMMYFUNCTION("""COMPUTED_VALUE"""),12026.0)</f>
        <v>12026</v>
      </c>
      <c r="D4772" s="5">
        <f>IFERROR(__xludf.DUMMYFUNCTION("""COMPUTED_VALUE"""),0.41685607782525685)</f>
        <v>0.4168560778</v>
      </c>
      <c r="E4772" s="5">
        <f>IFERROR(__xludf.DUMMYFUNCTION("""COMPUTED_VALUE"""),0.11537412492044731)</f>
        <v>0.1153741249</v>
      </c>
      <c r="F4772" s="5">
        <f>IFERROR(__xludf.DUMMYFUNCTION("""COMPUTED_VALUE"""),0.21074643149377217)</f>
        <v>0.2107464315</v>
      </c>
      <c r="G4772" s="5">
        <f>IFERROR(__xludf.DUMMYFUNCTION("""COMPUTED_VALUE"""),0.13901263751250115)</f>
        <v>0.1390126375</v>
      </c>
      <c r="H4772" s="5">
        <f>IFERROR(__xludf.DUMMYFUNCTION("""COMPUTED_VALUE"""),0.6026747195858498)</f>
        <v>0.6026747196</v>
      </c>
      <c r="I4772" s="11">
        <f>IFERROR(__xludf.DUMMYFUNCTION("""COMPUTED_VALUE"""),5518.636755823986)</f>
        <v>5518.636756</v>
      </c>
      <c r="J4772" s="10">
        <f>IFERROR(__xludf.DUMMYFUNCTION("""COMPUTED_VALUE"""),1.0)</f>
        <v>1</v>
      </c>
      <c r="K4772" s="5">
        <f>IFERROR(__xludf.DUMMYFUNCTION("""COMPUTED_VALUE"""),9.737098344693282E-4)</f>
        <v>0.0009737098345</v>
      </c>
      <c r="L4772" s="10">
        <f>IFERROR(__xludf.DUMMYFUNCTION("""COMPUTED_VALUE"""),0.0)</f>
        <v>0</v>
      </c>
      <c r="M4772" s="5">
        <f>IFERROR(__xludf.DUMMYFUNCTION("""COMPUTED_VALUE"""),0.0)</f>
        <v>0</v>
      </c>
    </row>
    <row r="4773">
      <c r="A4773" s="10" t="str">
        <f>IFERROR(__xludf.DUMMYFUNCTION("""COMPUTED_VALUE"""),"†間宮あかり†")</f>
        <v>†間宮あかり†</v>
      </c>
      <c r="B4773" s="10">
        <f>IFERROR(__xludf.DUMMYFUNCTION("""COMPUTED_VALUE"""),871.0)</f>
        <v>871</v>
      </c>
      <c r="C4773" s="10">
        <f>IFERROR(__xludf.DUMMYFUNCTION("""COMPUTED_VALUE"""),10163.0)</f>
        <v>10163</v>
      </c>
      <c r="D4773" s="5">
        <f>IFERROR(__xludf.DUMMYFUNCTION("""COMPUTED_VALUE"""),0.36041756349548)</f>
        <v>0.3604175635</v>
      </c>
      <c r="E4773" s="5">
        <f>IFERROR(__xludf.DUMMYFUNCTION("""COMPUTED_VALUE"""),0.11536805854498493)</f>
        <v>0.1153680585</v>
      </c>
      <c r="F4773" s="5">
        <f>IFERROR(__xludf.DUMMYFUNCTION("""COMPUTED_VALUE"""),0.21599225139905295)</f>
        <v>0.2159922514</v>
      </c>
      <c r="G4773" s="5">
        <f>IFERROR(__xludf.DUMMYFUNCTION("""COMPUTED_VALUE"""),0.17455876022384847)</f>
        <v>0.1745587602</v>
      </c>
      <c r="H4773" s="5">
        <f>IFERROR(__xludf.DUMMYFUNCTION("""COMPUTED_VALUE"""),0.5889387144992526)</f>
        <v>0.5889387145</v>
      </c>
      <c r="I4773" s="11">
        <f>IFERROR(__xludf.DUMMYFUNCTION("""COMPUTED_VALUE"""),5477.827603388141)</f>
        <v>5477.827603</v>
      </c>
      <c r="J4773" s="10">
        <f>IFERROR(__xludf.DUMMYFUNCTION("""COMPUTED_VALUE"""),3.0)</f>
        <v>3</v>
      </c>
      <c r="K4773" s="5">
        <f>IFERROR(__xludf.DUMMYFUNCTION("""COMPUTED_VALUE"""),0.003444316877152698)</f>
        <v>0.003444316877</v>
      </c>
      <c r="L4773" s="10">
        <f>IFERROR(__xludf.DUMMYFUNCTION("""COMPUTED_VALUE"""),0.0)</f>
        <v>0</v>
      </c>
      <c r="M4773" s="5">
        <f>IFERROR(__xludf.DUMMYFUNCTION("""COMPUTED_VALUE"""),0.0)</f>
        <v>0</v>
      </c>
    </row>
    <row r="4774">
      <c r="A4774" s="10" t="str">
        <f>IFERROR(__xludf.DUMMYFUNCTION("""COMPUTED_VALUE"""),"Powtra")</f>
        <v>Powtra</v>
      </c>
      <c r="B4774" s="10">
        <f>IFERROR(__xludf.DUMMYFUNCTION("""COMPUTED_VALUE"""),213.0)</f>
        <v>213</v>
      </c>
      <c r="C4774" s="10">
        <f>IFERROR(__xludf.DUMMYFUNCTION("""COMPUTED_VALUE"""),2432.0)</f>
        <v>2432</v>
      </c>
      <c r="D4774" s="5">
        <f>IFERROR(__xludf.DUMMYFUNCTION("""COMPUTED_VALUE"""),0.33753943217665616)</f>
        <v>0.3375394322</v>
      </c>
      <c r="E4774" s="5">
        <f>IFERROR(__xludf.DUMMYFUNCTION("""COMPUTED_VALUE"""),0.11536728255971158)</f>
        <v>0.1153672826</v>
      </c>
      <c r="F4774" s="5">
        <f>IFERROR(__xludf.DUMMYFUNCTION("""COMPUTED_VALUE"""),0.20594862550698512)</f>
        <v>0.2059486255</v>
      </c>
      <c r="G4774" s="5">
        <f>IFERROR(__xludf.DUMMYFUNCTION("""COMPUTED_VALUE"""),0.16358720144209105)</f>
        <v>0.1635872014</v>
      </c>
      <c r="H4774" s="5">
        <f>IFERROR(__xludf.DUMMYFUNCTION("""COMPUTED_VALUE"""),0.6148796498905909)</f>
        <v>0.6148796499</v>
      </c>
      <c r="I4774" s="11">
        <f>IFERROR(__xludf.DUMMYFUNCTION("""COMPUTED_VALUE"""),5657.330415754924)</f>
        <v>5657.330416</v>
      </c>
      <c r="J4774" s="10">
        <f>IFERROR(__xludf.DUMMYFUNCTION("""COMPUTED_VALUE"""),0.0)</f>
        <v>0</v>
      </c>
      <c r="K4774" s="5">
        <f>IFERROR(__xludf.DUMMYFUNCTION("""COMPUTED_VALUE"""),0.0)</f>
        <v>0</v>
      </c>
      <c r="L4774" s="10">
        <f>IFERROR(__xludf.DUMMYFUNCTION("""COMPUTED_VALUE"""),213.0)</f>
        <v>213</v>
      </c>
      <c r="M4774" s="5">
        <f>IFERROR(__xludf.DUMMYFUNCTION("""COMPUTED_VALUE"""),1.0)</f>
        <v>1</v>
      </c>
    </row>
    <row r="4775">
      <c r="A4775" s="10" t="str">
        <f>IFERROR(__xludf.DUMMYFUNCTION("""COMPUTED_VALUE"""),"愛媛県産みかん")</f>
        <v>愛媛県産みかん</v>
      </c>
      <c r="B4775" s="10">
        <f>IFERROR(__xludf.DUMMYFUNCTION("""COMPUTED_VALUE"""),655.0)</f>
        <v>655</v>
      </c>
      <c r="C4775" s="10">
        <f>IFERROR(__xludf.DUMMYFUNCTION("""COMPUTED_VALUE"""),7685.0)</f>
        <v>7685</v>
      </c>
      <c r="D4775" s="5">
        <f>IFERROR(__xludf.DUMMYFUNCTION("""COMPUTED_VALUE"""),0.3500711237553343)</f>
        <v>0.3500711238</v>
      </c>
      <c r="E4775" s="5">
        <f>IFERROR(__xludf.DUMMYFUNCTION("""COMPUTED_VALUE"""),0.11536273115220484)</f>
        <v>0.1153627312</v>
      </c>
      <c r="F4775" s="5">
        <f>IFERROR(__xludf.DUMMYFUNCTION("""COMPUTED_VALUE"""),0.21308677098150783)</f>
        <v>0.213086771</v>
      </c>
      <c r="G4775" s="5">
        <f>IFERROR(__xludf.DUMMYFUNCTION("""COMPUTED_VALUE"""),0.169701280227596)</f>
        <v>0.1697012802</v>
      </c>
      <c r="H4775" s="5">
        <f>IFERROR(__xludf.DUMMYFUNCTION("""COMPUTED_VALUE"""),0.5794392523364486)</f>
        <v>0.5794392523</v>
      </c>
      <c r="I4775" s="11">
        <f>IFERROR(__xludf.DUMMYFUNCTION("""COMPUTED_VALUE"""),5731.708945260347)</f>
        <v>5731.708945</v>
      </c>
      <c r="J4775" s="10">
        <f>IFERROR(__xludf.DUMMYFUNCTION("""COMPUTED_VALUE"""),5.0)</f>
        <v>5</v>
      </c>
      <c r="K4775" s="5">
        <f>IFERROR(__xludf.DUMMYFUNCTION("""COMPUTED_VALUE"""),0.007633587786259542)</f>
        <v>0.007633587786</v>
      </c>
      <c r="L4775" s="10">
        <f>IFERROR(__xludf.DUMMYFUNCTION("""COMPUTED_VALUE"""),412.0)</f>
        <v>412</v>
      </c>
      <c r="M4775" s="5">
        <f>IFERROR(__xludf.DUMMYFUNCTION("""COMPUTED_VALUE"""),0.6290076335877862)</f>
        <v>0.6290076336</v>
      </c>
    </row>
    <row r="4776">
      <c r="A4776" s="10" t="str">
        <f>IFERROR(__xludf.DUMMYFUNCTION("""COMPUTED_VALUE"""),"美遊")</f>
        <v>美遊</v>
      </c>
      <c r="B4776" s="10">
        <f>IFERROR(__xludf.DUMMYFUNCTION("""COMPUTED_VALUE"""),139.0)</f>
        <v>139</v>
      </c>
      <c r="C4776" s="10">
        <f>IFERROR(__xludf.DUMMYFUNCTION("""COMPUTED_VALUE"""),1604.0)</f>
        <v>1604</v>
      </c>
      <c r="D4776" s="5">
        <f>IFERROR(__xludf.DUMMYFUNCTION("""COMPUTED_VALUE"""),0.21160409556313994)</f>
        <v>0.2116040956</v>
      </c>
      <c r="E4776" s="5">
        <f>IFERROR(__xludf.DUMMYFUNCTION("""COMPUTED_VALUE"""),0.11535836177474403)</f>
        <v>0.1153583618</v>
      </c>
      <c r="F4776" s="5">
        <f>IFERROR(__xludf.DUMMYFUNCTION("""COMPUTED_VALUE"""),0.1849829351535836)</f>
        <v>0.1849829352</v>
      </c>
      <c r="G4776" s="5">
        <f>IFERROR(__xludf.DUMMYFUNCTION("""COMPUTED_VALUE"""),0.18839590443686008)</f>
        <v>0.1883959044</v>
      </c>
      <c r="H4776" s="5">
        <f>IFERROR(__xludf.DUMMYFUNCTION("""COMPUTED_VALUE"""),0.6088560885608856)</f>
        <v>0.6088560886</v>
      </c>
      <c r="I4776" s="11">
        <f>IFERROR(__xludf.DUMMYFUNCTION("""COMPUTED_VALUE"""),6597.4169741697415)</f>
        <v>6597.416974</v>
      </c>
      <c r="J4776" s="10">
        <f>IFERROR(__xludf.DUMMYFUNCTION("""COMPUTED_VALUE"""),0.0)</f>
        <v>0</v>
      </c>
      <c r="K4776" s="5">
        <f>IFERROR(__xludf.DUMMYFUNCTION("""COMPUTED_VALUE"""),0.0)</f>
        <v>0</v>
      </c>
      <c r="L4776" s="10">
        <f>IFERROR(__xludf.DUMMYFUNCTION("""COMPUTED_VALUE"""),139.0)</f>
        <v>139</v>
      </c>
      <c r="M4776" s="5">
        <f>IFERROR(__xludf.DUMMYFUNCTION("""COMPUTED_VALUE"""),1.0)</f>
        <v>1</v>
      </c>
    </row>
    <row r="4777">
      <c r="A4777" s="10" t="str">
        <f>IFERROR(__xludf.DUMMYFUNCTION("""COMPUTED_VALUE"""),"車車玩水")</f>
        <v>車車玩水</v>
      </c>
      <c r="B4777" s="10">
        <f>IFERROR(__xludf.DUMMYFUNCTION("""COMPUTED_VALUE"""),313.0)</f>
        <v>313</v>
      </c>
      <c r="C4777" s="10">
        <f>IFERROR(__xludf.DUMMYFUNCTION("""COMPUTED_VALUE"""),3642.0)</f>
        <v>3642</v>
      </c>
      <c r="D4777" s="5">
        <f>IFERROR(__xludf.DUMMYFUNCTION("""COMPUTED_VALUE"""),0.33313307299489336)</f>
        <v>0.333133073</v>
      </c>
      <c r="E4777" s="5">
        <f>IFERROR(__xludf.DUMMYFUNCTION("""COMPUTED_VALUE"""),0.11534995494142385)</f>
        <v>0.1153499549</v>
      </c>
      <c r="F4777" s="5">
        <f>IFERROR(__xludf.DUMMYFUNCTION("""COMPUTED_VALUE"""),0.20907179333133072)</f>
        <v>0.2090717933</v>
      </c>
      <c r="G4777" s="5">
        <f>IFERROR(__xludf.DUMMYFUNCTION("""COMPUTED_VALUE"""),0.1658155602282968)</f>
        <v>0.1658155602</v>
      </c>
      <c r="H4777" s="5">
        <f>IFERROR(__xludf.DUMMYFUNCTION("""COMPUTED_VALUE"""),0.5919540229885057)</f>
        <v>0.591954023</v>
      </c>
      <c r="I4777" s="11">
        <f>IFERROR(__xludf.DUMMYFUNCTION("""COMPUTED_VALUE"""),5582.471264367816)</f>
        <v>5582.471264</v>
      </c>
      <c r="J4777" s="10">
        <f>IFERROR(__xludf.DUMMYFUNCTION("""COMPUTED_VALUE"""),1.0)</f>
        <v>1</v>
      </c>
      <c r="K4777" s="5">
        <f>IFERROR(__xludf.DUMMYFUNCTION("""COMPUTED_VALUE"""),0.003194888178913738)</f>
        <v>0.003194888179</v>
      </c>
      <c r="L4777" s="10">
        <f>IFERROR(__xludf.DUMMYFUNCTION("""COMPUTED_VALUE"""),313.0)</f>
        <v>313</v>
      </c>
      <c r="M4777" s="5">
        <f>IFERROR(__xludf.DUMMYFUNCTION("""COMPUTED_VALUE"""),1.0)</f>
        <v>1</v>
      </c>
    </row>
    <row r="4778">
      <c r="A4778" s="10" t="str">
        <f>IFERROR(__xludf.DUMMYFUNCTION("""COMPUTED_VALUE"""),"footos")</f>
        <v>footos</v>
      </c>
      <c r="B4778" s="10">
        <f>IFERROR(__xludf.DUMMYFUNCTION("""COMPUTED_VALUE"""),419.0)</f>
        <v>419</v>
      </c>
      <c r="C4778" s="10">
        <f>IFERROR(__xludf.DUMMYFUNCTION("""COMPUTED_VALUE"""),4858.0)</f>
        <v>4858</v>
      </c>
      <c r="D4778" s="5">
        <f>IFERROR(__xludf.DUMMYFUNCTION("""COMPUTED_VALUE"""),0.3113313809416535)</f>
        <v>0.3113313809</v>
      </c>
      <c r="E4778" s="5">
        <f>IFERROR(__xludf.DUMMYFUNCTION("""COMPUTED_VALUE"""),0.11534129308402793)</f>
        <v>0.1153412931</v>
      </c>
      <c r="F4778" s="5">
        <f>IFERROR(__xludf.DUMMYFUNCTION("""COMPUTED_VALUE"""),0.18900653300292858)</f>
        <v>0.189006533</v>
      </c>
      <c r="G4778" s="5">
        <f>IFERROR(__xludf.DUMMYFUNCTION("""COMPUTED_VALUE"""),0.17346249155215138)</f>
        <v>0.1734624916</v>
      </c>
      <c r="H4778" s="5">
        <f>IFERROR(__xludf.DUMMYFUNCTION("""COMPUTED_VALUE"""),0.600715137067938)</f>
        <v>0.6007151371</v>
      </c>
      <c r="I4778" s="11">
        <f>IFERROR(__xludf.DUMMYFUNCTION("""COMPUTED_VALUE"""),5856.853396901072)</f>
        <v>5856.853397</v>
      </c>
      <c r="J4778" s="10">
        <f>IFERROR(__xludf.DUMMYFUNCTION("""COMPUTED_VALUE"""),1.0)</f>
        <v>1</v>
      </c>
      <c r="K4778" s="5">
        <f>IFERROR(__xludf.DUMMYFUNCTION("""COMPUTED_VALUE"""),0.002386634844868735)</f>
        <v>0.002386634845</v>
      </c>
      <c r="L4778" s="10">
        <f>IFERROR(__xludf.DUMMYFUNCTION("""COMPUTED_VALUE"""),419.0)</f>
        <v>419</v>
      </c>
      <c r="M4778" s="5">
        <f>IFERROR(__xludf.DUMMYFUNCTION("""COMPUTED_VALUE"""),1.0)</f>
        <v>1</v>
      </c>
    </row>
    <row r="4779">
      <c r="A4779" s="10" t="str">
        <f>IFERROR(__xludf.DUMMYFUNCTION("""COMPUTED_VALUE"""),"nishiki")</f>
        <v>nishiki</v>
      </c>
      <c r="B4779" s="10">
        <f>IFERROR(__xludf.DUMMYFUNCTION("""COMPUTED_VALUE"""),827.0)</f>
        <v>827</v>
      </c>
      <c r="C4779" s="10">
        <f>IFERROR(__xludf.DUMMYFUNCTION("""COMPUTED_VALUE"""),9870.0)</f>
        <v>9870</v>
      </c>
      <c r="D4779" s="5">
        <f>IFERROR(__xludf.DUMMYFUNCTION("""COMPUTED_VALUE"""),0.4000884662169634)</f>
        <v>0.4000884662</v>
      </c>
      <c r="E4779" s="5">
        <f>IFERROR(__xludf.DUMMYFUNCTION("""COMPUTED_VALUE"""),0.11533783036602897)</f>
        <v>0.1153378304</v>
      </c>
      <c r="F4779" s="5">
        <f>IFERROR(__xludf.DUMMYFUNCTION("""COMPUTED_VALUE"""),0.20546278889748978)</f>
        <v>0.2054627889</v>
      </c>
      <c r="G4779" s="5">
        <f>IFERROR(__xludf.DUMMYFUNCTION("""COMPUTED_VALUE"""),0.14873382726971138)</f>
        <v>0.1487338273</v>
      </c>
      <c r="H4779" s="5">
        <f>IFERROR(__xludf.DUMMYFUNCTION("""COMPUTED_VALUE"""),0.5855758880516685)</f>
        <v>0.5855758881</v>
      </c>
      <c r="I4779" s="11">
        <f>IFERROR(__xludf.DUMMYFUNCTION("""COMPUTED_VALUE"""),5441.7653390742735)</f>
        <v>5441.765339</v>
      </c>
      <c r="J4779" s="10">
        <f>IFERROR(__xludf.DUMMYFUNCTION("""COMPUTED_VALUE"""),2.0)</f>
        <v>2</v>
      </c>
      <c r="K4779" s="5">
        <f>IFERROR(__xludf.DUMMYFUNCTION("""COMPUTED_VALUE"""),0.0024183796856106408)</f>
        <v>0.002418379686</v>
      </c>
      <c r="L4779" s="10">
        <f>IFERROR(__xludf.DUMMYFUNCTION("""COMPUTED_VALUE"""),164.0)</f>
        <v>164</v>
      </c>
      <c r="M4779" s="5">
        <f>IFERROR(__xludf.DUMMYFUNCTION("""COMPUTED_VALUE"""),0.19830713422007254)</f>
        <v>0.1983071342</v>
      </c>
    </row>
    <row r="4780">
      <c r="A4780" s="10" t="str">
        <f>IFERROR(__xludf.DUMMYFUNCTION("""COMPUTED_VALUE"""),"もしラスで")</f>
        <v>もしラスで</v>
      </c>
      <c r="B4780" s="10">
        <f>IFERROR(__xludf.DUMMYFUNCTION("""COMPUTED_VALUE"""),579.0)</f>
        <v>579</v>
      </c>
      <c r="C4780" s="10">
        <f>IFERROR(__xludf.DUMMYFUNCTION("""COMPUTED_VALUE"""),6952.0)</f>
        <v>6952</v>
      </c>
      <c r="D4780" s="5">
        <f>IFERROR(__xludf.DUMMYFUNCTION("""COMPUTED_VALUE"""),0.3237093990271458)</f>
        <v>0.323709399</v>
      </c>
      <c r="E4780" s="5">
        <f>IFERROR(__xludf.DUMMYFUNCTION("""COMPUTED_VALUE"""),0.11533029970186726)</f>
        <v>0.1153302997</v>
      </c>
      <c r="F4780" s="5">
        <f>IFERROR(__xludf.DUMMYFUNCTION("""COMPUTED_VALUE"""),0.19488466970029814)</f>
        <v>0.1948846697</v>
      </c>
      <c r="G4780" s="5">
        <f>IFERROR(__xludf.DUMMYFUNCTION("""COMPUTED_VALUE"""),0.12474501804487682)</f>
        <v>0.124745018</v>
      </c>
      <c r="H4780" s="5">
        <f>IFERROR(__xludf.DUMMYFUNCTION("""COMPUTED_VALUE"""),0.5901771336553945)</f>
        <v>0.5901771337</v>
      </c>
      <c r="I4780" s="11">
        <f>IFERROR(__xludf.DUMMYFUNCTION("""COMPUTED_VALUE"""),5617.954911433172)</f>
        <v>5617.954911</v>
      </c>
      <c r="J4780" s="10">
        <f>IFERROR(__xludf.DUMMYFUNCTION("""COMPUTED_VALUE"""),0.0)</f>
        <v>0</v>
      </c>
      <c r="K4780" s="5">
        <f>IFERROR(__xludf.DUMMYFUNCTION("""COMPUTED_VALUE"""),0.0)</f>
        <v>0</v>
      </c>
      <c r="L4780" s="10">
        <f>IFERROR(__xludf.DUMMYFUNCTION("""COMPUTED_VALUE"""),579.0)</f>
        <v>579</v>
      </c>
      <c r="M4780" s="5">
        <f>IFERROR(__xludf.DUMMYFUNCTION("""COMPUTED_VALUE"""),1.0)</f>
        <v>1</v>
      </c>
    </row>
    <row r="4781">
      <c r="A4781" s="10" t="str">
        <f>IFERROR(__xludf.DUMMYFUNCTION("""COMPUTED_VALUE"""),"ポッポLv.2")</f>
        <v>ポッポLv.2</v>
      </c>
      <c r="B4781" s="10">
        <f>IFERROR(__xludf.DUMMYFUNCTION("""COMPUTED_VALUE"""),167.0)</f>
        <v>167</v>
      </c>
      <c r="C4781" s="10">
        <f>IFERROR(__xludf.DUMMYFUNCTION("""COMPUTED_VALUE"""),1910.0)</f>
        <v>1910</v>
      </c>
      <c r="D4781" s="5">
        <f>IFERROR(__xludf.DUMMYFUNCTION("""COMPUTED_VALUE"""),0.39357429718875503)</f>
        <v>0.3935742972</v>
      </c>
      <c r="E4781" s="5">
        <f>IFERROR(__xludf.DUMMYFUNCTION("""COMPUTED_VALUE"""),0.1153184165232358)</f>
        <v>0.1153184165</v>
      </c>
      <c r="F4781" s="5">
        <f>IFERROR(__xludf.DUMMYFUNCTION("""COMPUTED_VALUE"""),0.20137693631669534)</f>
        <v>0.2013769363</v>
      </c>
      <c r="G4781" s="5">
        <f>IFERROR(__xludf.DUMMYFUNCTION("""COMPUTED_VALUE"""),0.1514629948364888)</f>
        <v>0.1514629948</v>
      </c>
      <c r="H4781" s="5">
        <f>IFERROR(__xludf.DUMMYFUNCTION("""COMPUTED_VALUE"""),0.6182336182336182)</f>
        <v>0.6182336182</v>
      </c>
      <c r="I4781" s="11">
        <f>IFERROR(__xludf.DUMMYFUNCTION("""COMPUTED_VALUE"""),5508.262108262108)</f>
        <v>5508.262108</v>
      </c>
      <c r="J4781" s="10">
        <f>IFERROR(__xludf.DUMMYFUNCTION("""COMPUTED_VALUE"""),0.0)</f>
        <v>0</v>
      </c>
      <c r="K4781" s="5">
        <f>IFERROR(__xludf.DUMMYFUNCTION("""COMPUTED_VALUE"""),0.0)</f>
        <v>0</v>
      </c>
      <c r="L4781" s="10">
        <f>IFERROR(__xludf.DUMMYFUNCTION("""COMPUTED_VALUE"""),167.0)</f>
        <v>167</v>
      </c>
      <c r="M4781" s="5">
        <f>IFERROR(__xludf.DUMMYFUNCTION("""COMPUTED_VALUE"""),1.0)</f>
        <v>1</v>
      </c>
    </row>
    <row r="4782">
      <c r="A4782" s="10" t="str">
        <f>IFERROR(__xludf.DUMMYFUNCTION("""COMPUTED_VALUE"""),"NOTA")</f>
        <v>NOTA</v>
      </c>
      <c r="B4782" s="10">
        <f>IFERROR(__xludf.DUMMYFUNCTION("""COMPUTED_VALUE"""),1686.0)</f>
        <v>1686</v>
      </c>
      <c r="C4782" s="10">
        <f>IFERROR(__xludf.DUMMYFUNCTION("""COMPUTED_VALUE"""),19706.0)</f>
        <v>19706</v>
      </c>
      <c r="D4782" s="5">
        <f>IFERROR(__xludf.DUMMYFUNCTION("""COMPUTED_VALUE"""),0.3507769145394007)</f>
        <v>0.3507769145</v>
      </c>
      <c r="E4782" s="5">
        <f>IFERROR(__xludf.DUMMYFUNCTION("""COMPUTED_VALUE"""),0.11531631520532741)</f>
        <v>0.1153163152</v>
      </c>
      <c r="F4782" s="5">
        <f>IFERROR(__xludf.DUMMYFUNCTION("""COMPUTED_VALUE"""),0.21170921198668147)</f>
        <v>0.211709212</v>
      </c>
      <c r="G4782" s="5">
        <f>IFERROR(__xludf.DUMMYFUNCTION("""COMPUTED_VALUE"""),0.15749167591564928)</f>
        <v>0.1574916759</v>
      </c>
      <c r="H4782" s="5">
        <f>IFERROR(__xludf.DUMMYFUNCTION("""COMPUTED_VALUE"""),0.617300131061599)</f>
        <v>0.6173001311</v>
      </c>
      <c r="I4782" s="11">
        <f>IFERROR(__xludf.DUMMYFUNCTION("""COMPUTED_VALUE"""),5618.217562254259)</f>
        <v>5618.217562</v>
      </c>
      <c r="J4782" s="10">
        <f>IFERROR(__xludf.DUMMYFUNCTION("""COMPUTED_VALUE"""),3.0)</f>
        <v>3</v>
      </c>
      <c r="K4782" s="5">
        <f>IFERROR(__xludf.DUMMYFUNCTION("""COMPUTED_VALUE"""),0.0017793594306049821)</f>
        <v>0.001779359431</v>
      </c>
      <c r="L4782" s="10">
        <f>IFERROR(__xludf.DUMMYFUNCTION("""COMPUTED_VALUE"""),1686.0)</f>
        <v>1686</v>
      </c>
      <c r="M4782" s="5">
        <f>IFERROR(__xludf.DUMMYFUNCTION("""COMPUTED_VALUE"""),1.0)</f>
        <v>1</v>
      </c>
    </row>
    <row r="4783">
      <c r="A4783" s="10" t="str">
        <f>IFERROR(__xludf.DUMMYFUNCTION("""COMPUTED_VALUE"""),"子供会員")</f>
        <v>子供会員</v>
      </c>
      <c r="B4783" s="10">
        <f>IFERROR(__xludf.DUMMYFUNCTION("""COMPUTED_VALUE"""),1305.0)</f>
        <v>1305</v>
      </c>
      <c r="C4783" s="10">
        <f>IFERROR(__xludf.DUMMYFUNCTION("""COMPUTED_VALUE"""),15571.0)</f>
        <v>15571</v>
      </c>
      <c r="D4783" s="5">
        <f>IFERROR(__xludf.DUMMYFUNCTION("""COMPUTED_VALUE"""),0.4487592878171877)</f>
        <v>0.4487592878</v>
      </c>
      <c r="E4783" s="5">
        <f>IFERROR(__xludf.DUMMYFUNCTION("""COMPUTED_VALUE"""),0.11530912659470069)</f>
        <v>0.1153091266</v>
      </c>
      <c r="F4783" s="5">
        <f>IFERROR(__xludf.DUMMYFUNCTION("""COMPUTED_VALUE"""),0.21386513388476097)</f>
        <v>0.2138651339</v>
      </c>
      <c r="G4783" s="5">
        <f>IFERROR(__xludf.DUMMYFUNCTION("""COMPUTED_VALUE"""),0.16164306743305762)</f>
        <v>0.1616430674</v>
      </c>
      <c r="H4783" s="5">
        <f>IFERROR(__xludf.DUMMYFUNCTION("""COMPUTED_VALUE"""),0.5906260242543429)</f>
        <v>0.5906260243</v>
      </c>
      <c r="I4783" s="11">
        <f>IFERROR(__xludf.DUMMYFUNCTION("""COMPUTED_VALUE"""),5385.119632907244)</f>
        <v>5385.119633</v>
      </c>
      <c r="J4783" s="10">
        <f>IFERROR(__xludf.DUMMYFUNCTION("""COMPUTED_VALUE"""),1.0)</f>
        <v>1</v>
      </c>
      <c r="K4783" s="5">
        <f>IFERROR(__xludf.DUMMYFUNCTION("""COMPUTED_VALUE"""),7.662835249042146E-4)</f>
        <v>0.0007662835249</v>
      </c>
      <c r="L4783" s="10">
        <f>IFERROR(__xludf.DUMMYFUNCTION("""COMPUTED_VALUE"""),1269.0)</f>
        <v>1269</v>
      </c>
      <c r="M4783" s="5">
        <f>IFERROR(__xludf.DUMMYFUNCTION("""COMPUTED_VALUE"""),0.9724137931034482)</f>
        <v>0.9724137931</v>
      </c>
    </row>
    <row r="4784">
      <c r="A4784" s="10" t="str">
        <f>IFERROR(__xludf.DUMMYFUNCTION("""COMPUTED_VALUE"""),"umashii")</f>
        <v>umashii</v>
      </c>
      <c r="B4784" s="10">
        <f>IFERROR(__xludf.DUMMYFUNCTION("""COMPUTED_VALUE"""),319.0)</f>
        <v>319</v>
      </c>
      <c r="C4784" s="10">
        <f>IFERROR(__xludf.DUMMYFUNCTION("""COMPUTED_VALUE"""),3684.0)</f>
        <v>3684</v>
      </c>
      <c r="D4784" s="5">
        <f>IFERROR(__xludf.DUMMYFUNCTION("""COMPUTED_VALUE"""),0.30104011887072807)</f>
        <v>0.3010401189</v>
      </c>
      <c r="E4784" s="5">
        <f>IFERROR(__xludf.DUMMYFUNCTION("""COMPUTED_VALUE"""),0.11530460624071323)</f>
        <v>0.1153046062</v>
      </c>
      <c r="F4784" s="5">
        <f>IFERROR(__xludf.DUMMYFUNCTION("""COMPUTED_VALUE"""),0.19673105497771173)</f>
        <v>0.196731055</v>
      </c>
      <c r="G4784" s="5">
        <f>IFERROR(__xludf.DUMMYFUNCTION("""COMPUTED_VALUE"""),0.19583952451708767)</f>
        <v>0.1958395245</v>
      </c>
      <c r="H4784" s="5">
        <f>IFERROR(__xludf.DUMMYFUNCTION("""COMPUTED_VALUE"""),0.5770392749244713)</f>
        <v>0.5770392749</v>
      </c>
      <c r="I4784" s="11">
        <f>IFERROR(__xludf.DUMMYFUNCTION("""COMPUTED_VALUE"""),5979.607250755287)</f>
        <v>5979.607251</v>
      </c>
      <c r="J4784" s="10">
        <f>IFERROR(__xludf.DUMMYFUNCTION("""COMPUTED_VALUE"""),0.0)</f>
        <v>0</v>
      </c>
      <c r="K4784" s="5">
        <f>IFERROR(__xludf.DUMMYFUNCTION("""COMPUTED_VALUE"""),0.0)</f>
        <v>0</v>
      </c>
      <c r="L4784" s="10">
        <f>IFERROR(__xludf.DUMMYFUNCTION("""COMPUTED_VALUE"""),319.0)</f>
        <v>319</v>
      </c>
      <c r="M4784" s="5">
        <f>IFERROR(__xludf.DUMMYFUNCTION("""COMPUTED_VALUE"""),1.0)</f>
        <v>1</v>
      </c>
    </row>
    <row r="4785">
      <c r="A4785" s="10" t="str">
        <f>IFERROR(__xludf.DUMMYFUNCTION("""COMPUTED_VALUE"""),"プロシュ－ト兄貴")</f>
        <v>プロシュ－ト兄貴</v>
      </c>
      <c r="B4785" s="10">
        <f>IFERROR(__xludf.DUMMYFUNCTION("""COMPUTED_VALUE"""),662.0)</f>
        <v>662</v>
      </c>
      <c r="C4785" s="10">
        <f>IFERROR(__xludf.DUMMYFUNCTION("""COMPUTED_VALUE"""),7956.0)</f>
        <v>7956</v>
      </c>
      <c r="D4785" s="5">
        <f>IFERROR(__xludf.DUMMYFUNCTION("""COMPUTED_VALUE"""),0.3742802303262956)</f>
        <v>0.3742802303</v>
      </c>
      <c r="E4785" s="5">
        <f>IFERROR(__xludf.DUMMYFUNCTION("""COMPUTED_VALUE"""),0.11530024677817384)</f>
        <v>0.1153002468</v>
      </c>
      <c r="F4785" s="5">
        <f>IFERROR(__xludf.DUMMYFUNCTION("""COMPUTED_VALUE"""),0.21579380312585686)</f>
        <v>0.2157938031</v>
      </c>
      <c r="G4785" s="5">
        <f>IFERROR(__xludf.DUMMYFUNCTION("""COMPUTED_VALUE"""),0.16232519879352894)</f>
        <v>0.1623251988</v>
      </c>
      <c r="H4785" s="5">
        <f>IFERROR(__xludf.DUMMYFUNCTION("""COMPUTED_VALUE"""),0.6092757306226175)</f>
        <v>0.6092757306</v>
      </c>
      <c r="I4785" s="11">
        <f>IFERROR(__xludf.DUMMYFUNCTION("""COMPUTED_VALUE"""),5275.158831003812)</f>
        <v>5275.158831</v>
      </c>
      <c r="J4785" s="10">
        <f>IFERROR(__xludf.DUMMYFUNCTION("""COMPUTED_VALUE"""),0.0)</f>
        <v>0</v>
      </c>
      <c r="K4785" s="5">
        <f>IFERROR(__xludf.DUMMYFUNCTION("""COMPUTED_VALUE"""),0.0)</f>
        <v>0</v>
      </c>
      <c r="L4785" s="10">
        <f>IFERROR(__xludf.DUMMYFUNCTION("""COMPUTED_VALUE"""),662.0)</f>
        <v>662</v>
      </c>
      <c r="M4785" s="5">
        <f>IFERROR(__xludf.DUMMYFUNCTION("""COMPUTED_VALUE"""),1.0)</f>
        <v>1</v>
      </c>
    </row>
    <row r="4786">
      <c r="A4786" s="10" t="str">
        <f>IFERROR(__xludf.DUMMYFUNCTION("""COMPUTED_VALUE"""),"宮永照.")</f>
        <v>宮永照.</v>
      </c>
      <c r="B4786" s="10">
        <f>IFERROR(__xludf.DUMMYFUNCTION("""COMPUTED_VALUE"""),419.0)</f>
        <v>419</v>
      </c>
      <c r="C4786" s="10">
        <f>IFERROR(__xludf.DUMMYFUNCTION("""COMPUTED_VALUE"""),4955.0)</f>
        <v>4955</v>
      </c>
      <c r="D4786" s="5">
        <f>IFERROR(__xludf.DUMMYFUNCTION("""COMPUTED_VALUE"""),0.35383597883597884)</f>
        <v>0.3538359788</v>
      </c>
      <c r="E4786" s="5">
        <f>IFERROR(__xludf.DUMMYFUNCTION("""COMPUTED_VALUE"""),0.11529982363315697)</f>
        <v>0.1152998236</v>
      </c>
      <c r="F4786" s="5">
        <f>IFERROR(__xludf.DUMMYFUNCTION("""COMPUTED_VALUE"""),0.2105379188712522)</f>
        <v>0.2105379189</v>
      </c>
      <c r="G4786" s="5">
        <f>IFERROR(__xludf.DUMMYFUNCTION("""COMPUTED_VALUE"""),0.1884920634920635)</f>
        <v>0.1884920635</v>
      </c>
      <c r="H4786" s="5">
        <f>IFERROR(__xludf.DUMMYFUNCTION("""COMPUTED_VALUE"""),0.5664921465968586)</f>
        <v>0.5664921466</v>
      </c>
      <c r="I4786" s="11">
        <f>IFERROR(__xludf.DUMMYFUNCTION("""COMPUTED_VALUE"""),5608.691099476439)</f>
        <v>5608.691099</v>
      </c>
      <c r="J4786" s="10">
        <f>IFERROR(__xludf.DUMMYFUNCTION("""COMPUTED_VALUE"""),0.0)</f>
        <v>0</v>
      </c>
      <c r="K4786" s="5">
        <f>IFERROR(__xludf.DUMMYFUNCTION("""COMPUTED_VALUE"""),0.0)</f>
        <v>0</v>
      </c>
      <c r="L4786" s="10">
        <f>IFERROR(__xludf.DUMMYFUNCTION("""COMPUTED_VALUE"""),408.0)</f>
        <v>408</v>
      </c>
      <c r="M4786" s="5">
        <f>IFERROR(__xludf.DUMMYFUNCTION("""COMPUTED_VALUE"""),0.9737470167064439)</f>
        <v>0.9737470167</v>
      </c>
    </row>
    <row r="4787">
      <c r="A4787" s="10" t="str">
        <f>IFERROR(__xludf.DUMMYFUNCTION("""COMPUTED_VALUE"""),"メルカトルくん")</f>
        <v>メルカトルくん</v>
      </c>
      <c r="B4787" s="10">
        <f>IFERROR(__xludf.DUMMYFUNCTION("""COMPUTED_VALUE"""),579.0)</f>
        <v>579</v>
      </c>
      <c r="C4787" s="10">
        <f>IFERROR(__xludf.DUMMYFUNCTION("""COMPUTED_VALUE"""),6789.0)</f>
        <v>6789</v>
      </c>
      <c r="D4787" s="5">
        <f>IFERROR(__xludf.DUMMYFUNCTION("""COMPUTED_VALUE"""),0.3489533011272142)</f>
        <v>0.3489533011</v>
      </c>
      <c r="E4787" s="5">
        <f>IFERROR(__xludf.DUMMYFUNCTION("""COMPUTED_VALUE"""),0.11529790660225443)</f>
        <v>0.1152979066</v>
      </c>
      <c r="F4787" s="5">
        <f>IFERROR(__xludf.DUMMYFUNCTION("""COMPUTED_VALUE"""),0.2099838969404187)</f>
        <v>0.2099838969</v>
      </c>
      <c r="G4787" s="5">
        <f>IFERROR(__xludf.DUMMYFUNCTION("""COMPUTED_VALUE"""),0.17004830917874397)</f>
        <v>0.1700483092</v>
      </c>
      <c r="H4787" s="5">
        <f>IFERROR(__xludf.DUMMYFUNCTION("""COMPUTED_VALUE"""),0.5874233128834356)</f>
        <v>0.5874233129</v>
      </c>
      <c r="I4787" s="11">
        <f>IFERROR(__xludf.DUMMYFUNCTION("""COMPUTED_VALUE"""),5755.674846625767)</f>
        <v>5755.674847</v>
      </c>
      <c r="J4787" s="10">
        <f>IFERROR(__xludf.DUMMYFUNCTION("""COMPUTED_VALUE"""),2.0)</f>
        <v>2</v>
      </c>
      <c r="K4787" s="5">
        <f>IFERROR(__xludf.DUMMYFUNCTION("""COMPUTED_VALUE"""),0.0034542314335060447)</f>
        <v>0.003454231434</v>
      </c>
      <c r="L4787" s="10">
        <f>IFERROR(__xludf.DUMMYFUNCTION("""COMPUTED_VALUE"""),579.0)</f>
        <v>579</v>
      </c>
      <c r="M4787" s="5">
        <f>IFERROR(__xludf.DUMMYFUNCTION("""COMPUTED_VALUE"""),1.0)</f>
        <v>1</v>
      </c>
    </row>
    <row r="4788">
      <c r="A4788" s="10" t="str">
        <f>IFERROR(__xludf.DUMMYFUNCTION("""COMPUTED_VALUE"""),"lillammm")</f>
        <v>lillammm</v>
      </c>
      <c r="B4788" s="10">
        <f>IFERROR(__xludf.DUMMYFUNCTION("""COMPUTED_VALUE"""),666.0)</f>
        <v>666</v>
      </c>
      <c r="C4788" s="10">
        <f>IFERROR(__xludf.DUMMYFUNCTION("""COMPUTED_VALUE"""),7813.0)</f>
        <v>7813</v>
      </c>
      <c r="D4788" s="5">
        <f>IFERROR(__xludf.DUMMYFUNCTION("""COMPUTED_VALUE"""),0.40198684762837555)</f>
        <v>0.4019868476</v>
      </c>
      <c r="E4788" s="5">
        <f>IFERROR(__xludf.DUMMYFUNCTION("""COMPUTED_VALUE"""),0.11529312998460893)</f>
        <v>0.11529313</v>
      </c>
      <c r="F4788" s="5">
        <f>IFERROR(__xludf.DUMMYFUNCTION("""COMPUTED_VALUE"""),0.21449559255631734)</f>
        <v>0.2144955926</v>
      </c>
      <c r="G4788" s="5">
        <f>IFERROR(__xludf.DUMMYFUNCTION("""COMPUTED_VALUE"""),0.14859381558695955)</f>
        <v>0.1485938156</v>
      </c>
      <c r="H4788" s="5">
        <f>IFERROR(__xludf.DUMMYFUNCTION("""COMPUTED_VALUE"""),0.594259621656882)</f>
        <v>0.5942596217</v>
      </c>
      <c r="I4788" s="11">
        <f>IFERROR(__xludf.DUMMYFUNCTION("""COMPUTED_VALUE"""),5211.480756686236)</f>
        <v>5211.480757</v>
      </c>
      <c r="J4788" s="10">
        <f>IFERROR(__xludf.DUMMYFUNCTION("""COMPUTED_VALUE"""),1.0)</f>
        <v>1</v>
      </c>
      <c r="K4788" s="5">
        <f>IFERROR(__xludf.DUMMYFUNCTION("""COMPUTED_VALUE"""),0.0015015015015015015)</f>
        <v>0.001501501502</v>
      </c>
      <c r="L4788" s="10">
        <f>IFERROR(__xludf.DUMMYFUNCTION("""COMPUTED_VALUE"""),666.0)</f>
        <v>666</v>
      </c>
      <c r="M4788" s="5">
        <f>IFERROR(__xludf.DUMMYFUNCTION("""COMPUTED_VALUE"""),1.0)</f>
        <v>1</v>
      </c>
    </row>
    <row r="4789">
      <c r="A4789" s="10" t="str">
        <f>IFERROR(__xludf.DUMMYFUNCTION("""COMPUTED_VALUE"""),"麻雀は・・・")</f>
        <v>麻雀は・・・</v>
      </c>
      <c r="B4789" s="10">
        <f>IFERROR(__xludf.DUMMYFUNCTION("""COMPUTED_VALUE"""),268.0)</f>
        <v>268</v>
      </c>
      <c r="C4789" s="10">
        <f>IFERROR(__xludf.DUMMYFUNCTION("""COMPUTED_VALUE"""),3148.0)</f>
        <v>3148</v>
      </c>
      <c r="D4789" s="5">
        <f>IFERROR(__xludf.DUMMYFUNCTION("""COMPUTED_VALUE"""),0.33993055555555557)</f>
        <v>0.3399305556</v>
      </c>
      <c r="E4789" s="5">
        <f>IFERROR(__xludf.DUMMYFUNCTION("""COMPUTED_VALUE"""),0.11527777777777778)</f>
        <v>0.1152777778</v>
      </c>
      <c r="F4789" s="5">
        <f>IFERROR(__xludf.DUMMYFUNCTION("""COMPUTED_VALUE"""),0.20625)</f>
        <v>0.20625</v>
      </c>
      <c r="G4789" s="5">
        <f>IFERROR(__xludf.DUMMYFUNCTION("""COMPUTED_VALUE"""),0.14097222222222222)</f>
        <v>0.1409722222</v>
      </c>
      <c r="H4789" s="5">
        <f>IFERROR(__xludf.DUMMYFUNCTION("""COMPUTED_VALUE"""),0.6127946127946128)</f>
        <v>0.6127946128</v>
      </c>
      <c r="I4789" s="11">
        <f>IFERROR(__xludf.DUMMYFUNCTION("""COMPUTED_VALUE"""),5615.8249158249155)</f>
        <v>5615.824916</v>
      </c>
      <c r="J4789" s="10">
        <f>IFERROR(__xludf.DUMMYFUNCTION("""COMPUTED_VALUE"""),0.0)</f>
        <v>0</v>
      </c>
      <c r="K4789" s="5">
        <f>IFERROR(__xludf.DUMMYFUNCTION("""COMPUTED_VALUE"""),0.0)</f>
        <v>0</v>
      </c>
      <c r="L4789" s="10">
        <f>IFERROR(__xludf.DUMMYFUNCTION("""COMPUTED_VALUE"""),268.0)</f>
        <v>268</v>
      </c>
      <c r="M4789" s="5">
        <f>IFERROR(__xludf.DUMMYFUNCTION("""COMPUTED_VALUE"""),1.0)</f>
        <v>1</v>
      </c>
    </row>
    <row r="4790">
      <c r="A4790" s="10" t="str">
        <f>IFERROR(__xludf.DUMMYFUNCTION("""COMPUTED_VALUE"""),"カマキリ先輩")</f>
        <v>カマキリ先輩</v>
      </c>
      <c r="B4790" s="10">
        <f>IFERROR(__xludf.DUMMYFUNCTION("""COMPUTED_VALUE"""),192.0)</f>
        <v>192</v>
      </c>
      <c r="C4790" s="10">
        <f>IFERROR(__xludf.DUMMYFUNCTION("""COMPUTED_VALUE"""),2248.0)</f>
        <v>2248</v>
      </c>
      <c r="D4790" s="5">
        <f>IFERROR(__xludf.DUMMYFUNCTION("""COMPUTED_VALUE"""),0.3642996108949416)</f>
        <v>0.3642996109</v>
      </c>
      <c r="E4790" s="5">
        <f>IFERROR(__xludf.DUMMYFUNCTION("""COMPUTED_VALUE"""),0.11527237354085604)</f>
        <v>0.1152723735</v>
      </c>
      <c r="F4790" s="5">
        <f>IFERROR(__xludf.DUMMYFUNCTION("""COMPUTED_VALUE"""),0.20963035019455253)</f>
        <v>0.2096303502</v>
      </c>
      <c r="G4790" s="5">
        <f>IFERROR(__xludf.DUMMYFUNCTION("""COMPUTED_VALUE"""),0.17607003891050585)</f>
        <v>0.1760700389</v>
      </c>
      <c r="H4790" s="5">
        <f>IFERROR(__xludf.DUMMYFUNCTION("""COMPUTED_VALUE"""),0.5986078886310905)</f>
        <v>0.5986078886</v>
      </c>
      <c r="I4790" s="11">
        <f>IFERROR(__xludf.DUMMYFUNCTION("""COMPUTED_VALUE"""),5466.125290023202)</f>
        <v>5466.12529</v>
      </c>
      <c r="J4790" s="10">
        <f>IFERROR(__xludf.DUMMYFUNCTION("""COMPUTED_VALUE"""),0.0)</f>
        <v>0</v>
      </c>
      <c r="K4790" s="5">
        <f>IFERROR(__xludf.DUMMYFUNCTION("""COMPUTED_VALUE"""),0.0)</f>
        <v>0</v>
      </c>
      <c r="L4790" s="10">
        <f>IFERROR(__xludf.DUMMYFUNCTION("""COMPUTED_VALUE"""),192.0)</f>
        <v>192</v>
      </c>
      <c r="M4790" s="5">
        <f>IFERROR(__xludf.DUMMYFUNCTION("""COMPUTED_VALUE"""),1.0)</f>
        <v>1</v>
      </c>
    </row>
    <row r="4791">
      <c r="A4791" s="10" t="str">
        <f>IFERROR(__xludf.DUMMYFUNCTION("""COMPUTED_VALUE"""),"〓てんにょ〓")</f>
        <v>〓てんにょ〓</v>
      </c>
      <c r="B4791" s="10">
        <f>IFERROR(__xludf.DUMMYFUNCTION("""COMPUTED_VALUE"""),193.0)</f>
        <v>193</v>
      </c>
      <c r="C4791" s="10">
        <f>IFERROR(__xludf.DUMMYFUNCTION("""COMPUTED_VALUE"""),2249.0)</f>
        <v>2249</v>
      </c>
      <c r="D4791" s="5">
        <f>IFERROR(__xludf.DUMMYFUNCTION("""COMPUTED_VALUE"""),0.39931906614785995)</f>
        <v>0.3993190661</v>
      </c>
      <c r="E4791" s="5">
        <f>IFERROR(__xludf.DUMMYFUNCTION("""COMPUTED_VALUE"""),0.11527237354085604)</f>
        <v>0.1152723735</v>
      </c>
      <c r="F4791" s="5">
        <f>IFERROR(__xludf.DUMMYFUNCTION("""COMPUTED_VALUE"""),0.20184824902723736)</f>
        <v>0.201848249</v>
      </c>
      <c r="G4791" s="5">
        <f>IFERROR(__xludf.DUMMYFUNCTION("""COMPUTED_VALUE"""),0.17412451361867703)</f>
        <v>0.1741245136</v>
      </c>
      <c r="H4791" s="5">
        <f>IFERROR(__xludf.DUMMYFUNCTION("""COMPUTED_VALUE"""),0.5590361445783133)</f>
        <v>0.5590361446</v>
      </c>
      <c r="I4791" s="11">
        <f>IFERROR(__xludf.DUMMYFUNCTION("""COMPUTED_VALUE"""),5601.9277108433735)</f>
        <v>5601.927711</v>
      </c>
      <c r="J4791" s="10">
        <f>IFERROR(__xludf.DUMMYFUNCTION("""COMPUTED_VALUE"""),0.0)</f>
        <v>0</v>
      </c>
      <c r="K4791" s="5">
        <f>IFERROR(__xludf.DUMMYFUNCTION("""COMPUTED_VALUE"""),0.0)</f>
        <v>0</v>
      </c>
      <c r="L4791" s="10">
        <f>IFERROR(__xludf.DUMMYFUNCTION("""COMPUTED_VALUE"""),0.0)</f>
        <v>0</v>
      </c>
      <c r="M4791" s="5">
        <f>IFERROR(__xludf.DUMMYFUNCTION("""COMPUTED_VALUE"""),0.0)</f>
        <v>0</v>
      </c>
    </row>
    <row r="4792">
      <c r="A4792" s="10" t="str">
        <f>IFERROR(__xludf.DUMMYFUNCTION("""COMPUTED_VALUE"""),"まじかるくっきー")</f>
        <v>まじかるくっきー</v>
      </c>
      <c r="B4792" s="10">
        <f>IFERROR(__xludf.DUMMYFUNCTION("""COMPUTED_VALUE"""),158.0)</f>
        <v>158</v>
      </c>
      <c r="C4792" s="10">
        <f>IFERROR(__xludf.DUMMYFUNCTION("""COMPUTED_VALUE"""),1815.0)</f>
        <v>1815</v>
      </c>
      <c r="D4792" s="5">
        <f>IFERROR(__xludf.DUMMYFUNCTION("""COMPUTED_VALUE"""),0.3657211828605914)</f>
        <v>0.3657211829</v>
      </c>
      <c r="E4792" s="5">
        <f>IFERROR(__xludf.DUMMYFUNCTION("""COMPUTED_VALUE"""),0.11526855763427882)</f>
        <v>0.1152685576</v>
      </c>
      <c r="F4792" s="5">
        <f>IFERROR(__xludf.DUMMYFUNCTION("""COMPUTED_VALUE"""),0.2112251056125528)</f>
        <v>0.2112251056</v>
      </c>
      <c r="G4792" s="5">
        <f>IFERROR(__xludf.DUMMYFUNCTION("""COMPUTED_VALUE"""),0.17139408569704284)</f>
        <v>0.1713940857</v>
      </c>
      <c r="H4792" s="5">
        <f>IFERROR(__xludf.DUMMYFUNCTION("""COMPUTED_VALUE"""),0.5942857142857143)</f>
        <v>0.5942857143</v>
      </c>
      <c r="I4792" s="11">
        <f>IFERROR(__xludf.DUMMYFUNCTION("""COMPUTED_VALUE"""),5531.428571428572)</f>
        <v>5531.428571</v>
      </c>
      <c r="J4792" s="10">
        <f>IFERROR(__xludf.DUMMYFUNCTION("""COMPUTED_VALUE"""),0.0)</f>
        <v>0</v>
      </c>
      <c r="K4792" s="5">
        <f>IFERROR(__xludf.DUMMYFUNCTION("""COMPUTED_VALUE"""),0.0)</f>
        <v>0</v>
      </c>
      <c r="L4792" s="10">
        <f>IFERROR(__xludf.DUMMYFUNCTION("""COMPUTED_VALUE"""),0.0)</f>
        <v>0</v>
      </c>
      <c r="M4792" s="5">
        <f>IFERROR(__xludf.DUMMYFUNCTION("""COMPUTED_VALUE"""),0.0)</f>
        <v>0</v>
      </c>
    </row>
    <row r="4793">
      <c r="A4793" s="10" t="str">
        <f>IFERROR(__xludf.DUMMYFUNCTION("""COMPUTED_VALUE"""),"BIGBOSS")</f>
        <v>BIGBOSS</v>
      </c>
      <c r="B4793" s="10">
        <f>IFERROR(__xludf.DUMMYFUNCTION("""COMPUTED_VALUE"""),3660.0)</f>
        <v>3660</v>
      </c>
      <c r="C4793" s="10">
        <f>IFERROR(__xludf.DUMMYFUNCTION("""COMPUTED_VALUE"""),42934.0)</f>
        <v>42934</v>
      </c>
      <c r="D4793" s="5">
        <f>IFERROR(__xludf.DUMMYFUNCTION("""COMPUTED_VALUE"""),0.3398940775067475)</f>
        <v>0.3398940775</v>
      </c>
      <c r="E4793" s="5">
        <f>IFERROR(__xludf.DUMMYFUNCTION("""COMPUTED_VALUE"""),0.11526709782553343)</f>
        <v>0.1152670978</v>
      </c>
      <c r="F4793" s="5">
        <f>IFERROR(__xludf.DUMMYFUNCTION("""COMPUTED_VALUE"""),0.20654886184244028)</f>
        <v>0.2065488618</v>
      </c>
      <c r="G4793" s="5">
        <f>IFERROR(__xludf.DUMMYFUNCTION("""COMPUTED_VALUE"""),0.1636706217854051)</f>
        <v>0.1636706218</v>
      </c>
      <c r="H4793" s="5">
        <f>IFERROR(__xludf.DUMMYFUNCTION("""COMPUTED_VALUE"""),0.5936883629191322)</f>
        <v>0.5936883629</v>
      </c>
      <c r="I4793" s="11">
        <f>IFERROR(__xludf.DUMMYFUNCTION("""COMPUTED_VALUE"""),5480.017258382643)</f>
        <v>5480.017258</v>
      </c>
      <c r="J4793" s="10">
        <f>IFERROR(__xludf.DUMMYFUNCTION("""COMPUTED_VALUE"""),4.0)</f>
        <v>4</v>
      </c>
      <c r="K4793" s="5">
        <f>IFERROR(__xludf.DUMMYFUNCTION("""COMPUTED_VALUE"""),0.001092896174863388)</f>
        <v>0.001092896175</v>
      </c>
      <c r="L4793" s="10">
        <f>IFERROR(__xludf.DUMMYFUNCTION("""COMPUTED_VALUE"""),3619.0)</f>
        <v>3619</v>
      </c>
      <c r="M4793" s="5">
        <f>IFERROR(__xludf.DUMMYFUNCTION("""COMPUTED_VALUE"""),0.9887978142076502)</f>
        <v>0.9887978142</v>
      </c>
    </row>
    <row r="4794">
      <c r="A4794" s="10" t="str">
        <f>IFERROR(__xludf.DUMMYFUNCTION("""COMPUTED_VALUE"""),"ナンバー２")</f>
        <v>ナンバー２</v>
      </c>
      <c r="B4794" s="10">
        <f>IFERROR(__xludf.DUMMYFUNCTION("""COMPUTED_VALUE"""),176.0)</f>
        <v>176</v>
      </c>
      <c r="C4794" s="10">
        <f>IFERROR(__xludf.DUMMYFUNCTION("""COMPUTED_VALUE"""),2050.0)</f>
        <v>2050</v>
      </c>
      <c r="D4794" s="5">
        <f>IFERROR(__xludf.DUMMYFUNCTION("""COMPUTED_VALUE"""),0.31963713980789754)</f>
        <v>0.3196371398</v>
      </c>
      <c r="E4794" s="5">
        <f>IFERROR(__xludf.DUMMYFUNCTION("""COMPUTED_VALUE"""),0.1152614727854856)</f>
        <v>0.1152614728</v>
      </c>
      <c r="F4794" s="5">
        <f>IFERROR(__xludf.DUMMYFUNCTION("""COMPUTED_VALUE"""),0.19637139807897544)</f>
        <v>0.1963713981</v>
      </c>
      <c r="G4794" s="5">
        <f>IFERROR(__xludf.DUMMYFUNCTION("""COMPUTED_VALUE"""),0.15474919957310565)</f>
        <v>0.1547491996</v>
      </c>
      <c r="H4794" s="5">
        <f>IFERROR(__xludf.DUMMYFUNCTION("""COMPUTED_VALUE"""),0.5706521739130435)</f>
        <v>0.5706521739</v>
      </c>
      <c r="I4794" s="11">
        <f>IFERROR(__xludf.DUMMYFUNCTION("""COMPUTED_VALUE"""),6083.152173913043)</f>
        <v>6083.152174</v>
      </c>
      <c r="J4794" s="10">
        <f>IFERROR(__xludf.DUMMYFUNCTION("""COMPUTED_VALUE"""),1.0)</f>
        <v>1</v>
      </c>
      <c r="K4794" s="5">
        <f>IFERROR(__xludf.DUMMYFUNCTION("""COMPUTED_VALUE"""),0.005681818181818182)</f>
        <v>0.005681818182</v>
      </c>
      <c r="L4794" s="10">
        <f>IFERROR(__xludf.DUMMYFUNCTION("""COMPUTED_VALUE"""),45.0)</f>
        <v>45</v>
      </c>
      <c r="M4794" s="5">
        <f>IFERROR(__xludf.DUMMYFUNCTION("""COMPUTED_VALUE"""),0.2556818181818182)</f>
        <v>0.2556818182</v>
      </c>
    </row>
    <row r="4795">
      <c r="A4795" s="10" t="str">
        <f>IFERROR(__xludf.DUMMYFUNCTION("""COMPUTED_VALUE"""),"スタホ@トッシイ")</f>
        <v>スタホ@トッシイ</v>
      </c>
      <c r="B4795" s="10">
        <f>IFERROR(__xludf.DUMMYFUNCTION("""COMPUTED_VALUE"""),531.0)</f>
        <v>531</v>
      </c>
      <c r="C4795" s="10">
        <f>IFERROR(__xludf.DUMMYFUNCTION("""COMPUTED_VALUE"""),6293.0)</f>
        <v>6293</v>
      </c>
      <c r="D4795" s="5">
        <f>IFERROR(__xludf.DUMMYFUNCTION("""COMPUTED_VALUE"""),0.32020131898646303)</f>
        <v>0.320201319</v>
      </c>
      <c r="E4795" s="5">
        <f>IFERROR(__xludf.DUMMYFUNCTION("""COMPUTED_VALUE"""),0.11523776466504686)</f>
        <v>0.1152377647</v>
      </c>
      <c r="F4795" s="5">
        <f>IFERROR(__xludf.DUMMYFUNCTION("""COMPUTED_VALUE"""),0.20496355432141616)</f>
        <v>0.2049635543</v>
      </c>
      <c r="G4795" s="5">
        <f>IFERROR(__xludf.DUMMYFUNCTION("""COMPUTED_VALUE"""),0.17927802846233948)</f>
        <v>0.1792780285</v>
      </c>
      <c r="H4795" s="5">
        <f>IFERROR(__xludf.DUMMYFUNCTION("""COMPUTED_VALUE"""),0.5664690939881456)</f>
        <v>0.566469094</v>
      </c>
      <c r="I4795" s="11">
        <f>IFERROR(__xludf.DUMMYFUNCTION("""COMPUTED_VALUE"""),5326.502963590177)</f>
        <v>5326.502964</v>
      </c>
      <c r="J4795" s="10">
        <f>IFERROR(__xludf.DUMMYFUNCTION("""COMPUTED_VALUE"""),2.0)</f>
        <v>2</v>
      </c>
      <c r="K4795" s="5">
        <f>IFERROR(__xludf.DUMMYFUNCTION("""COMPUTED_VALUE"""),0.003766478342749529)</f>
        <v>0.003766478343</v>
      </c>
      <c r="L4795" s="10">
        <f>IFERROR(__xludf.DUMMYFUNCTION("""COMPUTED_VALUE"""),531.0)</f>
        <v>531</v>
      </c>
      <c r="M4795" s="5">
        <f>IFERROR(__xludf.DUMMYFUNCTION("""COMPUTED_VALUE"""),1.0)</f>
        <v>1</v>
      </c>
    </row>
    <row r="4796">
      <c r="A4796" s="10" t="str">
        <f>IFERROR(__xludf.DUMMYFUNCTION("""COMPUTED_VALUE"""),"LiSA")</f>
        <v>LiSA</v>
      </c>
      <c r="B4796" s="10">
        <f>IFERROR(__xludf.DUMMYFUNCTION("""COMPUTED_VALUE"""),317.0)</f>
        <v>317</v>
      </c>
      <c r="C4796" s="10">
        <f>IFERROR(__xludf.DUMMYFUNCTION("""COMPUTED_VALUE"""),3719.0)</f>
        <v>3719</v>
      </c>
      <c r="D4796" s="5">
        <f>IFERROR(__xludf.DUMMYFUNCTION("""COMPUTED_VALUE"""),0.3442092886537331)</f>
        <v>0.3442092887</v>
      </c>
      <c r="E4796" s="5">
        <f>IFERROR(__xludf.DUMMYFUNCTION("""COMPUTED_VALUE"""),0.11522633744855967)</f>
        <v>0.1152263374</v>
      </c>
      <c r="F4796" s="5">
        <f>IFERROR(__xludf.DUMMYFUNCTION("""COMPUTED_VALUE"""),0.21457965902410348)</f>
        <v>0.214579659</v>
      </c>
      <c r="G4796" s="5">
        <f>IFERROR(__xludf.DUMMYFUNCTION("""COMPUTED_VALUE"""),0.1813639035861258)</f>
        <v>0.1813639036</v>
      </c>
      <c r="H4796" s="5">
        <f>IFERROR(__xludf.DUMMYFUNCTION("""COMPUTED_VALUE"""),0.626027397260274)</f>
        <v>0.6260273973</v>
      </c>
      <c r="I4796" s="11">
        <f>IFERROR(__xludf.DUMMYFUNCTION("""COMPUTED_VALUE"""),5759.45205479452)</f>
        <v>5759.452055</v>
      </c>
      <c r="J4796" s="10">
        <f>IFERROR(__xludf.DUMMYFUNCTION("""COMPUTED_VALUE"""),0.0)</f>
        <v>0</v>
      </c>
      <c r="K4796" s="5">
        <f>IFERROR(__xludf.DUMMYFUNCTION("""COMPUTED_VALUE"""),0.0)</f>
        <v>0</v>
      </c>
      <c r="L4796" s="10">
        <f>IFERROR(__xludf.DUMMYFUNCTION("""COMPUTED_VALUE"""),0.0)</f>
        <v>0</v>
      </c>
      <c r="M4796" s="5">
        <f>IFERROR(__xludf.DUMMYFUNCTION("""COMPUTED_VALUE"""),0.0)</f>
        <v>0</v>
      </c>
    </row>
    <row r="4797">
      <c r="A4797" s="10" t="str">
        <f>IFERROR(__xludf.DUMMYFUNCTION("""COMPUTED_VALUE"""),"秋田のにんにく")</f>
        <v>秋田のにんにく</v>
      </c>
      <c r="B4797" s="10">
        <f>IFERROR(__xludf.DUMMYFUNCTION("""COMPUTED_VALUE"""),2497.0)</f>
        <v>2497</v>
      </c>
      <c r="C4797" s="10">
        <f>IFERROR(__xludf.DUMMYFUNCTION("""COMPUTED_VALUE"""),29141.0)</f>
        <v>29141</v>
      </c>
      <c r="D4797" s="5">
        <f>IFERROR(__xludf.DUMMYFUNCTION("""COMPUTED_VALUE"""),0.3426662663263774)</f>
        <v>0.3426662663</v>
      </c>
      <c r="E4797" s="5">
        <f>IFERROR(__xludf.DUMMYFUNCTION("""COMPUTED_VALUE"""),0.11522293949857379)</f>
        <v>0.1152229395</v>
      </c>
      <c r="F4797" s="5">
        <f>IFERROR(__xludf.DUMMYFUNCTION("""COMPUTED_VALUE"""),0.21505779912925987)</f>
        <v>0.2150577991</v>
      </c>
      <c r="G4797" s="5">
        <f>IFERROR(__xludf.DUMMYFUNCTION("""COMPUTED_VALUE"""),0.17842666266326376)</f>
        <v>0.1784266627</v>
      </c>
      <c r="H4797" s="5">
        <f>IFERROR(__xludf.DUMMYFUNCTION("""COMPUTED_VALUE"""),0.6048865619546248)</f>
        <v>0.604886562</v>
      </c>
      <c r="I4797" s="11">
        <f>IFERROR(__xludf.DUMMYFUNCTION("""COMPUTED_VALUE"""),5726.003490401396)</f>
        <v>5726.00349</v>
      </c>
      <c r="J4797" s="10">
        <f>IFERROR(__xludf.DUMMYFUNCTION("""COMPUTED_VALUE"""),2.0)</f>
        <v>2</v>
      </c>
      <c r="K4797" s="5">
        <f>IFERROR(__xludf.DUMMYFUNCTION("""COMPUTED_VALUE"""),8.009611533840609E-4)</f>
        <v>0.0008009611534</v>
      </c>
      <c r="L4797" s="10">
        <f>IFERROR(__xludf.DUMMYFUNCTION("""COMPUTED_VALUE"""),1654.0)</f>
        <v>1654</v>
      </c>
      <c r="M4797" s="5">
        <f>IFERROR(__xludf.DUMMYFUNCTION("""COMPUTED_VALUE"""),0.6623948738486184)</f>
        <v>0.6623948738</v>
      </c>
    </row>
    <row r="4798">
      <c r="A4798" s="10" t="str">
        <f>IFERROR(__xludf.DUMMYFUNCTION("""COMPUTED_VALUE"""),"BACKHARD")</f>
        <v>BACKHARD</v>
      </c>
      <c r="B4798" s="10">
        <f>IFERROR(__xludf.DUMMYFUNCTION("""COMPUTED_VALUE"""),443.0)</f>
        <v>443</v>
      </c>
      <c r="C4798" s="10">
        <f>IFERROR(__xludf.DUMMYFUNCTION("""COMPUTED_VALUE"""),5261.0)</f>
        <v>5261</v>
      </c>
      <c r="D4798" s="5">
        <f>IFERROR(__xludf.DUMMYFUNCTION("""COMPUTED_VALUE"""),0.3709007887090079)</f>
        <v>0.3709007887</v>
      </c>
      <c r="E4798" s="5">
        <f>IFERROR(__xludf.DUMMYFUNCTION("""COMPUTED_VALUE"""),0.11519302615193026)</f>
        <v>0.1151930262</v>
      </c>
      <c r="F4798" s="5">
        <f>IFERROR(__xludf.DUMMYFUNCTION("""COMPUTED_VALUE"""),0.1975923619759236)</f>
        <v>0.197592362</v>
      </c>
      <c r="G4798" s="5">
        <f>IFERROR(__xludf.DUMMYFUNCTION("""COMPUTED_VALUE"""),0.16293067662930677)</f>
        <v>0.1629306766</v>
      </c>
      <c r="H4798" s="5">
        <f>IFERROR(__xludf.DUMMYFUNCTION("""COMPUTED_VALUE"""),0.601890756302521)</f>
        <v>0.6018907563</v>
      </c>
      <c r="I4798" s="11">
        <f>IFERROR(__xludf.DUMMYFUNCTION("""COMPUTED_VALUE"""),5682.35294117647)</f>
        <v>5682.352941</v>
      </c>
      <c r="J4798" s="10">
        <f>IFERROR(__xludf.DUMMYFUNCTION("""COMPUTED_VALUE"""),0.0)</f>
        <v>0</v>
      </c>
      <c r="K4798" s="5">
        <f>IFERROR(__xludf.DUMMYFUNCTION("""COMPUTED_VALUE"""),0.0)</f>
        <v>0</v>
      </c>
      <c r="L4798" s="10">
        <f>IFERROR(__xludf.DUMMYFUNCTION("""COMPUTED_VALUE"""),443.0)</f>
        <v>443</v>
      </c>
      <c r="M4798" s="5">
        <f>IFERROR(__xludf.DUMMYFUNCTION("""COMPUTED_VALUE"""),1.0)</f>
        <v>1</v>
      </c>
    </row>
    <row r="4799">
      <c r="A4799" s="10" t="str">
        <f>IFERROR(__xludf.DUMMYFUNCTION("""COMPUTED_VALUE"""),"pon_kasu")</f>
        <v>pon_kasu</v>
      </c>
      <c r="B4799" s="10">
        <f>IFERROR(__xludf.DUMMYFUNCTION("""COMPUTED_VALUE"""),2232.0)</f>
        <v>2232</v>
      </c>
      <c r="C4799" s="10">
        <f>IFERROR(__xludf.DUMMYFUNCTION("""COMPUTED_VALUE"""),26312.0)</f>
        <v>26312</v>
      </c>
      <c r="D4799" s="5">
        <f>IFERROR(__xludf.DUMMYFUNCTION("""COMPUTED_VALUE"""),0.3289036544850498)</f>
        <v>0.3289036545</v>
      </c>
      <c r="E4799" s="5">
        <f>IFERROR(__xludf.DUMMYFUNCTION("""COMPUTED_VALUE"""),0.1151578073089701)</f>
        <v>0.1151578073</v>
      </c>
      <c r="F4799" s="5">
        <f>IFERROR(__xludf.DUMMYFUNCTION("""COMPUTED_VALUE"""),0.20514950166112958)</f>
        <v>0.2051495017</v>
      </c>
      <c r="G4799" s="5">
        <f>IFERROR(__xludf.DUMMYFUNCTION("""COMPUTED_VALUE"""),0.16150332225913622)</f>
        <v>0.1615033223</v>
      </c>
      <c r="H4799" s="5">
        <f>IFERROR(__xludf.DUMMYFUNCTION("""COMPUTED_VALUE"""),0.6026315789473684)</f>
        <v>0.6026315789</v>
      </c>
      <c r="I4799" s="11">
        <f>IFERROR(__xludf.DUMMYFUNCTION("""COMPUTED_VALUE"""),5536.781376518219)</f>
        <v>5536.781377</v>
      </c>
      <c r="J4799" s="10">
        <f>IFERROR(__xludf.DUMMYFUNCTION("""COMPUTED_VALUE"""),1.0)</f>
        <v>1</v>
      </c>
      <c r="K4799" s="5">
        <f>IFERROR(__xludf.DUMMYFUNCTION("""COMPUTED_VALUE"""),4.4802867383512545E-4)</f>
        <v>0.0004480286738</v>
      </c>
      <c r="L4799" s="10">
        <f>IFERROR(__xludf.DUMMYFUNCTION("""COMPUTED_VALUE"""),2232.0)</f>
        <v>2232</v>
      </c>
      <c r="M4799" s="5">
        <f>IFERROR(__xludf.DUMMYFUNCTION("""COMPUTED_VALUE"""),1.0)</f>
        <v>1</v>
      </c>
    </row>
    <row r="4800">
      <c r="A4800" s="10" t="str">
        <f>IFERROR(__xludf.DUMMYFUNCTION("""COMPUTED_VALUE"""),"juan")</f>
        <v>juan</v>
      </c>
      <c r="B4800" s="10">
        <f>IFERROR(__xludf.DUMMYFUNCTION("""COMPUTED_VALUE"""),353.0)</f>
        <v>353</v>
      </c>
      <c r="C4800" s="10">
        <f>IFERROR(__xludf.DUMMYFUNCTION("""COMPUTED_VALUE"""),4174.0)</f>
        <v>4174</v>
      </c>
      <c r="D4800" s="5">
        <f>IFERROR(__xludf.DUMMYFUNCTION("""COMPUTED_VALUE"""),0.3917822559539388)</f>
        <v>0.391782256</v>
      </c>
      <c r="E4800" s="5">
        <f>IFERROR(__xludf.DUMMYFUNCTION("""COMPUTED_VALUE"""),0.11515310128238682)</f>
        <v>0.1151531013</v>
      </c>
      <c r="F4800" s="5">
        <f>IFERROR(__xludf.DUMMYFUNCTION("""COMPUTED_VALUE"""),0.19890081130594087)</f>
        <v>0.1989008113</v>
      </c>
      <c r="G4800" s="5">
        <f>IFERROR(__xludf.DUMMYFUNCTION("""COMPUTED_VALUE"""),0.1353048940068045)</f>
        <v>0.135304894</v>
      </c>
      <c r="H4800" s="5">
        <f>IFERROR(__xludf.DUMMYFUNCTION("""COMPUTED_VALUE"""),0.6)</f>
        <v>0.6</v>
      </c>
      <c r="I4800" s="11">
        <f>IFERROR(__xludf.DUMMYFUNCTION("""COMPUTED_VALUE"""),5350.131578947368)</f>
        <v>5350.131579</v>
      </c>
      <c r="J4800" s="10">
        <f>IFERROR(__xludf.DUMMYFUNCTION("""COMPUTED_VALUE"""),1.0)</f>
        <v>1</v>
      </c>
      <c r="K4800" s="5">
        <f>IFERROR(__xludf.DUMMYFUNCTION("""COMPUTED_VALUE"""),0.0028328611898017)</f>
        <v>0.00283286119</v>
      </c>
      <c r="L4800" s="10">
        <f>IFERROR(__xludf.DUMMYFUNCTION("""COMPUTED_VALUE"""),353.0)</f>
        <v>353</v>
      </c>
      <c r="M4800" s="5">
        <f>IFERROR(__xludf.DUMMYFUNCTION("""COMPUTED_VALUE"""),1.0)</f>
        <v>1</v>
      </c>
    </row>
    <row r="4801">
      <c r="A4801" s="10" t="str">
        <f>IFERROR(__xludf.DUMMYFUNCTION("""COMPUTED_VALUE"""),"2_cool")</f>
        <v>2_cool</v>
      </c>
      <c r="B4801" s="10">
        <f>IFERROR(__xludf.DUMMYFUNCTION("""COMPUTED_VALUE"""),263.0)</f>
        <v>263</v>
      </c>
      <c r="C4801" s="10">
        <f>IFERROR(__xludf.DUMMYFUNCTION("""COMPUTED_VALUE"""),3068.0)</f>
        <v>3068</v>
      </c>
      <c r="D4801" s="5">
        <f>IFERROR(__xludf.DUMMYFUNCTION("""COMPUTED_VALUE"""),0.3429590017825312)</f>
        <v>0.3429590018</v>
      </c>
      <c r="E4801" s="5">
        <f>IFERROR(__xludf.DUMMYFUNCTION("""COMPUTED_VALUE"""),0.11515151515151516)</f>
        <v>0.1151515152</v>
      </c>
      <c r="F4801" s="5">
        <f>IFERROR(__xludf.DUMMYFUNCTION("""COMPUTED_VALUE"""),0.20855614973262032)</f>
        <v>0.2085561497</v>
      </c>
      <c r="G4801" s="5">
        <f>IFERROR(__xludf.DUMMYFUNCTION("""COMPUTED_VALUE"""),0.17040998217468806)</f>
        <v>0.1704099822</v>
      </c>
      <c r="H4801" s="5">
        <f>IFERROR(__xludf.DUMMYFUNCTION("""COMPUTED_VALUE"""),0.5982905982905983)</f>
        <v>0.5982905983</v>
      </c>
      <c r="I4801" s="11">
        <f>IFERROR(__xludf.DUMMYFUNCTION("""COMPUTED_VALUE"""),5440.34188034188)</f>
        <v>5440.34188</v>
      </c>
      <c r="J4801" s="10">
        <f>IFERROR(__xludf.DUMMYFUNCTION("""COMPUTED_VALUE"""),0.0)</f>
        <v>0</v>
      </c>
      <c r="K4801" s="5">
        <f>IFERROR(__xludf.DUMMYFUNCTION("""COMPUTED_VALUE"""),0.0)</f>
        <v>0</v>
      </c>
      <c r="L4801" s="10">
        <f>IFERROR(__xludf.DUMMYFUNCTION("""COMPUTED_VALUE"""),263.0)</f>
        <v>263</v>
      </c>
      <c r="M4801" s="5">
        <f>IFERROR(__xludf.DUMMYFUNCTION("""COMPUTED_VALUE"""),1.0)</f>
        <v>1</v>
      </c>
    </row>
    <row r="4802">
      <c r="A4802" s="10" t="str">
        <f>IFERROR(__xludf.DUMMYFUNCTION("""COMPUTED_VALUE"""),"湊ミサキ")</f>
        <v>湊ミサキ</v>
      </c>
      <c r="B4802" s="10">
        <f>IFERROR(__xludf.DUMMYFUNCTION("""COMPUTED_VALUE"""),159.0)</f>
        <v>159</v>
      </c>
      <c r="C4802" s="10">
        <f>IFERROR(__xludf.DUMMYFUNCTION("""COMPUTED_VALUE"""),1922.0)</f>
        <v>1922</v>
      </c>
      <c r="D4802" s="5">
        <f>IFERROR(__xludf.DUMMYFUNCTION("""COMPUTED_VALUE"""),0.3210436755530346)</f>
        <v>0.3210436756</v>
      </c>
      <c r="E4802" s="5">
        <f>IFERROR(__xludf.DUMMYFUNCTION("""COMPUTED_VALUE"""),0.11514463981849121)</f>
        <v>0.1151446398</v>
      </c>
      <c r="F4802" s="5">
        <f>IFERROR(__xludf.DUMMYFUNCTION("""COMPUTED_VALUE"""),0.2041973908111174)</f>
        <v>0.2041973908</v>
      </c>
      <c r="G4802" s="5">
        <f>IFERROR(__xludf.DUMMYFUNCTION("""COMPUTED_VALUE"""),0.14010209869540555)</f>
        <v>0.1401020987</v>
      </c>
      <c r="H4802" s="5">
        <f>IFERROR(__xludf.DUMMYFUNCTION("""COMPUTED_VALUE"""),0.5833333333333334)</f>
        <v>0.5833333333</v>
      </c>
      <c r="I4802" s="11">
        <f>IFERROR(__xludf.DUMMYFUNCTION("""COMPUTED_VALUE"""),5291.388888888889)</f>
        <v>5291.388889</v>
      </c>
      <c r="J4802" s="10">
        <f>IFERROR(__xludf.DUMMYFUNCTION("""COMPUTED_VALUE"""),0.0)</f>
        <v>0</v>
      </c>
      <c r="K4802" s="5">
        <f>IFERROR(__xludf.DUMMYFUNCTION("""COMPUTED_VALUE"""),0.0)</f>
        <v>0</v>
      </c>
      <c r="L4802" s="10">
        <f>IFERROR(__xludf.DUMMYFUNCTION("""COMPUTED_VALUE"""),0.0)</f>
        <v>0</v>
      </c>
      <c r="M4802" s="5">
        <f>IFERROR(__xludf.DUMMYFUNCTION("""COMPUTED_VALUE"""),0.0)</f>
        <v>0</v>
      </c>
    </row>
    <row r="4803">
      <c r="A4803" s="10" t="str">
        <f>IFERROR(__xludf.DUMMYFUNCTION("""COMPUTED_VALUE"""),"burmogyi")</f>
        <v>burmogyi</v>
      </c>
      <c r="B4803" s="10">
        <f>IFERROR(__xludf.DUMMYFUNCTION("""COMPUTED_VALUE"""),501.0)</f>
        <v>501</v>
      </c>
      <c r="C4803" s="10">
        <f>IFERROR(__xludf.DUMMYFUNCTION("""COMPUTED_VALUE"""),5877.0)</f>
        <v>5877</v>
      </c>
      <c r="D4803" s="5">
        <f>IFERROR(__xludf.DUMMYFUNCTION("""COMPUTED_VALUE"""),0.32124255952380953)</f>
        <v>0.3212425595</v>
      </c>
      <c r="E4803" s="5">
        <f>IFERROR(__xludf.DUMMYFUNCTION("""COMPUTED_VALUE"""),0.11514136904761904)</f>
        <v>0.115141369</v>
      </c>
      <c r="F4803" s="5">
        <f>IFERROR(__xludf.DUMMYFUNCTION("""COMPUTED_VALUE"""),0.21242559523809523)</f>
        <v>0.2124255952</v>
      </c>
      <c r="G4803" s="5">
        <f>IFERROR(__xludf.DUMMYFUNCTION("""COMPUTED_VALUE"""),0.16722470238095238)</f>
        <v>0.1672247024</v>
      </c>
      <c r="H4803" s="5">
        <f>IFERROR(__xludf.DUMMYFUNCTION("""COMPUTED_VALUE"""),0.6182136602451839)</f>
        <v>0.6182136602</v>
      </c>
      <c r="I4803" s="11">
        <f>IFERROR(__xludf.DUMMYFUNCTION("""COMPUTED_VALUE"""),5641.593695271454)</f>
        <v>5641.593695</v>
      </c>
      <c r="J4803" s="10">
        <f>IFERROR(__xludf.DUMMYFUNCTION("""COMPUTED_VALUE"""),2.0)</f>
        <v>2</v>
      </c>
      <c r="K4803" s="5">
        <f>IFERROR(__xludf.DUMMYFUNCTION("""COMPUTED_VALUE"""),0.003992015968063872)</f>
        <v>0.003992015968</v>
      </c>
      <c r="L4803" s="10">
        <f>IFERROR(__xludf.DUMMYFUNCTION("""COMPUTED_VALUE"""),501.0)</f>
        <v>501</v>
      </c>
      <c r="M4803" s="5">
        <f>IFERROR(__xludf.DUMMYFUNCTION("""COMPUTED_VALUE"""),1.0)</f>
        <v>1</v>
      </c>
    </row>
    <row r="4804">
      <c r="A4804" s="10" t="str">
        <f>IFERROR(__xludf.DUMMYFUNCTION("""COMPUTED_VALUE"""),"季違い俳人")</f>
        <v>季違い俳人</v>
      </c>
      <c r="B4804" s="10">
        <f>IFERROR(__xludf.DUMMYFUNCTION("""COMPUTED_VALUE"""),1523.0)</f>
        <v>1523</v>
      </c>
      <c r="C4804" s="10">
        <f>IFERROR(__xludf.DUMMYFUNCTION("""COMPUTED_VALUE"""),18164.0)</f>
        <v>18164</v>
      </c>
      <c r="D4804" s="5">
        <f>IFERROR(__xludf.DUMMYFUNCTION("""COMPUTED_VALUE"""),0.3924643951685596)</f>
        <v>0.3924643952</v>
      </c>
      <c r="E4804" s="5">
        <f>IFERROR(__xludf.DUMMYFUNCTION("""COMPUTED_VALUE"""),0.11513731145964785)</f>
        <v>0.1151373115</v>
      </c>
      <c r="F4804" s="5">
        <f>IFERROR(__xludf.DUMMYFUNCTION("""COMPUTED_VALUE"""),0.22108046391442823)</f>
        <v>0.2210804639</v>
      </c>
      <c r="G4804" s="5">
        <f>IFERROR(__xludf.DUMMYFUNCTION("""COMPUTED_VALUE"""),0.1685595817559041)</f>
        <v>0.1685595818</v>
      </c>
      <c r="H4804" s="5">
        <f>IFERROR(__xludf.DUMMYFUNCTION("""COMPUTED_VALUE"""),0.6028812177222072)</f>
        <v>0.6028812177</v>
      </c>
      <c r="I4804" s="11">
        <f>IFERROR(__xludf.DUMMYFUNCTION("""COMPUTED_VALUE"""),5377.031802120141)</f>
        <v>5377.031802</v>
      </c>
      <c r="J4804" s="10">
        <f>IFERROR(__xludf.DUMMYFUNCTION("""COMPUTED_VALUE"""),2.0)</f>
        <v>2</v>
      </c>
      <c r="K4804" s="5">
        <f>IFERROR(__xludf.DUMMYFUNCTION("""COMPUTED_VALUE"""),0.0013131976362442547)</f>
        <v>0.001313197636</v>
      </c>
      <c r="L4804" s="10">
        <f>IFERROR(__xludf.DUMMYFUNCTION("""COMPUTED_VALUE"""),1523.0)</f>
        <v>1523</v>
      </c>
      <c r="M4804" s="5">
        <f>IFERROR(__xludf.DUMMYFUNCTION("""COMPUTED_VALUE"""),1.0)</f>
        <v>1</v>
      </c>
    </row>
    <row r="4805">
      <c r="A4805" s="10" t="str">
        <f>IFERROR(__xludf.DUMMYFUNCTION("""COMPUTED_VALUE"""),"しなちく")</f>
        <v>しなちく</v>
      </c>
      <c r="B4805" s="10">
        <f>IFERROR(__xludf.DUMMYFUNCTION("""COMPUTED_VALUE"""),227.0)</f>
        <v>227</v>
      </c>
      <c r="C4805" s="10">
        <f>IFERROR(__xludf.DUMMYFUNCTION("""COMPUTED_VALUE"""),2685.0)</f>
        <v>2685</v>
      </c>
      <c r="D4805" s="5">
        <f>IFERROR(__xludf.DUMMYFUNCTION("""COMPUTED_VALUE"""),0.34458909682668837)</f>
        <v>0.3445890968</v>
      </c>
      <c r="E4805" s="5">
        <f>IFERROR(__xludf.DUMMYFUNCTION("""COMPUTED_VALUE"""),0.11513425549227013)</f>
        <v>0.1151342555</v>
      </c>
      <c r="F4805" s="5">
        <f>IFERROR(__xludf.DUMMYFUNCTION("""COMPUTED_VALUE"""),0.2115541090317331)</f>
        <v>0.211554109</v>
      </c>
      <c r="G4805" s="5">
        <f>IFERROR(__xludf.DUMMYFUNCTION("""COMPUTED_VALUE"""),0.18592351505288854)</f>
        <v>0.1859235151</v>
      </c>
      <c r="H4805" s="5">
        <f>IFERROR(__xludf.DUMMYFUNCTION("""COMPUTED_VALUE"""),0.6057692307692307)</f>
        <v>0.6057692308</v>
      </c>
      <c r="I4805" s="11">
        <f>IFERROR(__xludf.DUMMYFUNCTION("""COMPUTED_VALUE"""),5665.576923076923)</f>
        <v>5665.576923</v>
      </c>
      <c r="J4805" s="10">
        <f>IFERROR(__xludf.DUMMYFUNCTION("""COMPUTED_VALUE"""),0.0)</f>
        <v>0</v>
      </c>
      <c r="K4805" s="5">
        <f>IFERROR(__xludf.DUMMYFUNCTION("""COMPUTED_VALUE"""),0.0)</f>
        <v>0</v>
      </c>
      <c r="L4805" s="10">
        <f>IFERROR(__xludf.DUMMYFUNCTION("""COMPUTED_VALUE"""),40.0)</f>
        <v>40</v>
      </c>
      <c r="M4805" s="5">
        <f>IFERROR(__xludf.DUMMYFUNCTION("""COMPUTED_VALUE"""),0.1762114537444934)</f>
        <v>0.1762114537</v>
      </c>
    </row>
    <row r="4806">
      <c r="A4806" s="10" t="str">
        <f>IFERROR(__xludf.DUMMYFUNCTION("""COMPUTED_VALUE"""),"キラーマジンガ様")</f>
        <v>キラーマジンガ様</v>
      </c>
      <c r="B4806" s="10">
        <f>IFERROR(__xludf.DUMMYFUNCTION("""COMPUTED_VALUE"""),861.0)</f>
        <v>861</v>
      </c>
      <c r="C4806" s="10">
        <f>IFERROR(__xludf.DUMMYFUNCTION("""COMPUTED_VALUE"""),10251.0)</f>
        <v>10251</v>
      </c>
      <c r="D4806" s="5">
        <f>IFERROR(__xludf.DUMMYFUNCTION("""COMPUTED_VALUE"""),0.3600638977635783)</f>
        <v>0.3600638978</v>
      </c>
      <c r="E4806" s="5">
        <f>IFERROR(__xludf.DUMMYFUNCTION("""COMPUTED_VALUE"""),0.11512247071352502)</f>
        <v>0.1151224707</v>
      </c>
      <c r="F4806" s="5">
        <f>IFERROR(__xludf.DUMMYFUNCTION("""COMPUTED_VALUE"""),0.19829605963791266)</f>
        <v>0.1982960596</v>
      </c>
      <c r="G4806" s="5">
        <f>IFERROR(__xludf.DUMMYFUNCTION("""COMPUTED_VALUE"""),0.1630457933972311)</f>
        <v>0.1630457934</v>
      </c>
      <c r="H4806" s="5">
        <f>IFERROR(__xludf.DUMMYFUNCTION("""COMPUTED_VALUE"""),0.5880773361976369)</f>
        <v>0.5880773362</v>
      </c>
      <c r="I4806" s="11">
        <f>IFERROR(__xludf.DUMMYFUNCTION("""COMPUTED_VALUE"""),5428.464017185822)</f>
        <v>5428.464017</v>
      </c>
      <c r="J4806" s="10">
        <f>IFERROR(__xludf.DUMMYFUNCTION("""COMPUTED_VALUE"""),1.0)</f>
        <v>1</v>
      </c>
      <c r="K4806" s="5">
        <f>IFERROR(__xludf.DUMMYFUNCTION("""COMPUTED_VALUE"""),0.0011614401858304297)</f>
        <v>0.001161440186</v>
      </c>
      <c r="L4806" s="10">
        <f>IFERROR(__xludf.DUMMYFUNCTION("""COMPUTED_VALUE"""),345.0)</f>
        <v>345</v>
      </c>
      <c r="M4806" s="5">
        <f>IFERROR(__xludf.DUMMYFUNCTION("""COMPUTED_VALUE"""),0.40069686411149824)</f>
        <v>0.4006968641</v>
      </c>
    </row>
    <row r="4807">
      <c r="A4807" s="10" t="str">
        <f>IFERROR(__xludf.DUMMYFUNCTION("""COMPUTED_VALUE"""),"ブリティ")</f>
        <v>ブリティ</v>
      </c>
      <c r="B4807" s="10">
        <f>IFERROR(__xludf.DUMMYFUNCTION("""COMPUTED_VALUE"""),428.0)</f>
        <v>428</v>
      </c>
      <c r="C4807" s="10">
        <f>IFERROR(__xludf.DUMMYFUNCTION("""COMPUTED_VALUE"""),5084.0)</f>
        <v>5084</v>
      </c>
      <c r="D4807" s="5">
        <f>IFERROR(__xludf.DUMMYFUNCTION("""COMPUTED_VALUE"""),0.3024054982817869)</f>
        <v>0.3024054983</v>
      </c>
      <c r="E4807" s="5">
        <f>IFERROR(__xludf.DUMMYFUNCTION("""COMPUTED_VALUE"""),0.11512027491408934)</f>
        <v>0.1151202749</v>
      </c>
      <c r="F4807" s="5">
        <f>IFERROR(__xludf.DUMMYFUNCTION("""COMPUTED_VALUE"""),0.20468213058419243)</f>
        <v>0.2046821306</v>
      </c>
      <c r="G4807" s="5">
        <f>IFERROR(__xludf.DUMMYFUNCTION("""COMPUTED_VALUE"""),0.17053264604810997)</f>
        <v>0.170532646</v>
      </c>
      <c r="H4807" s="5">
        <f>IFERROR(__xludf.DUMMYFUNCTION("""COMPUTED_VALUE"""),0.5823714585519413)</f>
        <v>0.5823714586</v>
      </c>
      <c r="I4807" s="11">
        <f>IFERROR(__xludf.DUMMYFUNCTION("""COMPUTED_VALUE"""),5394.648478488982)</f>
        <v>5394.648478</v>
      </c>
      <c r="J4807" s="10">
        <f>IFERROR(__xludf.DUMMYFUNCTION("""COMPUTED_VALUE"""),0.0)</f>
        <v>0</v>
      </c>
      <c r="K4807" s="5">
        <f>IFERROR(__xludf.DUMMYFUNCTION("""COMPUTED_VALUE"""),0.0)</f>
        <v>0</v>
      </c>
      <c r="L4807" s="10">
        <f>IFERROR(__xludf.DUMMYFUNCTION("""COMPUTED_VALUE"""),428.0)</f>
        <v>428</v>
      </c>
      <c r="M4807" s="5">
        <f>IFERROR(__xludf.DUMMYFUNCTION("""COMPUTED_VALUE"""),1.0)</f>
        <v>1</v>
      </c>
    </row>
    <row r="4808">
      <c r="A4808" s="10" t="str">
        <f>IFERROR(__xludf.DUMMYFUNCTION("""COMPUTED_VALUE"""),"はぐりん＠")</f>
        <v>はぐりん＠</v>
      </c>
      <c r="B4808" s="10">
        <f>IFERROR(__xludf.DUMMYFUNCTION("""COMPUTED_VALUE"""),6633.0)</f>
        <v>6633</v>
      </c>
      <c r="C4808" s="10">
        <f>IFERROR(__xludf.DUMMYFUNCTION("""COMPUTED_VALUE"""),77597.0)</f>
        <v>77597</v>
      </c>
      <c r="D4808" s="5">
        <f>IFERROR(__xludf.DUMMYFUNCTION("""COMPUTED_VALUE"""),0.16467504650245196)</f>
        <v>0.1646750465</v>
      </c>
      <c r="E4808" s="5">
        <f>IFERROR(__xludf.DUMMYFUNCTION("""COMPUTED_VALUE"""),0.11511470604813709)</f>
        <v>0.115114706</v>
      </c>
      <c r="F4808" s="5">
        <f>IFERROR(__xludf.DUMMYFUNCTION("""COMPUTED_VALUE"""),0.19948142720252524)</f>
        <v>0.1994814272</v>
      </c>
      <c r="G4808" s="5">
        <f>IFERROR(__xludf.DUMMYFUNCTION("""COMPUTED_VALUE"""),0.19435206583619863)</f>
        <v>0.1943520658</v>
      </c>
      <c r="H4808" s="5">
        <f>IFERROR(__xludf.DUMMYFUNCTION("""COMPUTED_VALUE"""),0.5955778468493925)</f>
        <v>0.5955778468</v>
      </c>
      <c r="I4808" s="11">
        <f>IFERROR(__xludf.DUMMYFUNCTION("""COMPUTED_VALUE"""),6163.428934727324)</f>
        <v>6163.428935</v>
      </c>
      <c r="J4808" s="10">
        <f>IFERROR(__xludf.DUMMYFUNCTION("""COMPUTED_VALUE"""),17.0)</f>
        <v>17</v>
      </c>
      <c r="K4808" s="5">
        <f>IFERROR(__xludf.DUMMYFUNCTION("""COMPUTED_VALUE"""),0.002562942861450324)</f>
        <v>0.002562942861</v>
      </c>
      <c r="L4808" s="10">
        <f>IFERROR(__xludf.DUMMYFUNCTION("""COMPUTED_VALUE"""),6633.0)</f>
        <v>6633</v>
      </c>
      <c r="M4808" s="5">
        <f>IFERROR(__xludf.DUMMYFUNCTION("""COMPUTED_VALUE"""),1.0)</f>
        <v>1</v>
      </c>
    </row>
    <row r="4809">
      <c r="A4809" s="10" t="str">
        <f>IFERROR(__xludf.DUMMYFUNCTION("""COMPUTED_VALUE"""),"もずく。")</f>
        <v>もずく。</v>
      </c>
      <c r="B4809" s="10">
        <f>IFERROR(__xludf.DUMMYFUNCTION("""COMPUTED_VALUE"""),1591.0)</f>
        <v>1591</v>
      </c>
      <c r="C4809" s="10">
        <f>IFERROR(__xludf.DUMMYFUNCTION("""COMPUTED_VALUE"""),18835.0)</f>
        <v>18835</v>
      </c>
      <c r="D4809" s="5">
        <f>IFERROR(__xludf.DUMMYFUNCTION("""COMPUTED_VALUE"""),0.2711667826490373)</f>
        <v>0.2711667826</v>
      </c>
      <c r="E4809" s="5">
        <f>IFERROR(__xludf.DUMMYFUNCTION("""COMPUTED_VALUE"""),0.11511250289955927)</f>
        <v>0.1151125029</v>
      </c>
      <c r="F4809" s="5">
        <f>IFERROR(__xludf.DUMMYFUNCTION("""COMPUTED_VALUE"""),0.2025632103920204)</f>
        <v>0.2025632104</v>
      </c>
      <c r="G4809" s="5">
        <f>IFERROR(__xludf.DUMMYFUNCTION("""COMPUTED_VALUE"""),0.16191138946880074)</f>
        <v>0.1619113895</v>
      </c>
      <c r="H4809" s="5">
        <f>IFERROR(__xludf.DUMMYFUNCTION("""COMPUTED_VALUE"""),0.6106498711709133)</f>
        <v>0.6106498712</v>
      </c>
      <c r="I4809" s="11">
        <f>IFERROR(__xludf.DUMMYFUNCTION("""COMPUTED_VALUE"""),5508.703120526768)</f>
        <v>5508.703121</v>
      </c>
      <c r="J4809" s="10">
        <f>IFERROR(__xludf.DUMMYFUNCTION("""COMPUTED_VALUE"""),3.0)</f>
        <v>3</v>
      </c>
      <c r="K4809" s="5">
        <f>IFERROR(__xludf.DUMMYFUNCTION("""COMPUTED_VALUE"""),0.0018856065367693275)</f>
        <v>0.001885606537</v>
      </c>
      <c r="L4809" s="10">
        <f>IFERROR(__xludf.DUMMYFUNCTION("""COMPUTED_VALUE"""),1591.0)</f>
        <v>1591</v>
      </c>
      <c r="M4809" s="5">
        <f>IFERROR(__xludf.DUMMYFUNCTION("""COMPUTED_VALUE"""),1.0)</f>
        <v>1</v>
      </c>
    </row>
    <row r="4810">
      <c r="A4810" s="10" t="str">
        <f>IFERROR(__xludf.DUMMYFUNCTION("""COMPUTED_VALUE"""),"宍道町民")</f>
        <v>宍道町民</v>
      </c>
      <c r="B4810" s="10">
        <f>IFERROR(__xludf.DUMMYFUNCTION("""COMPUTED_VALUE"""),246.0)</f>
        <v>246</v>
      </c>
      <c r="C4810" s="10">
        <f>IFERROR(__xludf.DUMMYFUNCTION("""COMPUTED_VALUE"""),2861.0)</f>
        <v>2861</v>
      </c>
      <c r="D4810" s="5">
        <f>IFERROR(__xludf.DUMMYFUNCTION("""COMPUTED_VALUE"""),0.3388145315487572)</f>
        <v>0.3388145315</v>
      </c>
      <c r="E4810" s="5">
        <f>IFERROR(__xludf.DUMMYFUNCTION("""COMPUTED_VALUE"""),0.11510516252390057)</f>
        <v>0.1151051625</v>
      </c>
      <c r="F4810" s="5">
        <f>IFERROR(__xludf.DUMMYFUNCTION("""COMPUTED_VALUE"""),0.21567877629063098)</f>
        <v>0.2156787763</v>
      </c>
      <c r="G4810" s="5">
        <f>IFERROR(__xludf.DUMMYFUNCTION("""COMPUTED_VALUE"""),0.17934990439770554)</f>
        <v>0.1793499044</v>
      </c>
      <c r="H4810" s="5">
        <f>IFERROR(__xludf.DUMMYFUNCTION("""COMPUTED_VALUE"""),0.6117021276595744)</f>
        <v>0.6117021277</v>
      </c>
      <c r="I4810" s="11">
        <f>IFERROR(__xludf.DUMMYFUNCTION("""COMPUTED_VALUE"""),5252.482269503546)</f>
        <v>5252.48227</v>
      </c>
      <c r="J4810" s="10">
        <f>IFERROR(__xludf.DUMMYFUNCTION("""COMPUTED_VALUE"""),0.0)</f>
        <v>0</v>
      </c>
      <c r="K4810" s="5">
        <f>IFERROR(__xludf.DUMMYFUNCTION("""COMPUTED_VALUE"""),0.0)</f>
        <v>0</v>
      </c>
      <c r="L4810" s="10">
        <f>IFERROR(__xludf.DUMMYFUNCTION("""COMPUTED_VALUE"""),246.0)</f>
        <v>246</v>
      </c>
      <c r="M4810" s="5">
        <f>IFERROR(__xludf.DUMMYFUNCTION("""COMPUTED_VALUE"""),1.0)</f>
        <v>1</v>
      </c>
    </row>
    <row r="4811">
      <c r="A4811" s="10" t="str">
        <f>IFERROR(__xludf.DUMMYFUNCTION("""COMPUTED_VALUE"""),"確変は正義！")</f>
        <v>確変は正義！</v>
      </c>
      <c r="B4811" s="10">
        <f>IFERROR(__xludf.DUMMYFUNCTION("""COMPUTED_VALUE"""),1184.0)</f>
        <v>1184</v>
      </c>
      <c r="C4811" s="10">
        <f>IFERROR(__xludf.DUMMYFUNCTION("""COMPUTED_VALUE"""),13921.0)</f>
        <v>13921</v>
      </c>
      <c r="D4811" s="5">
        <f>IFERROR(__xludf.DUMMYFUNCTION("""COMPUTED_VALUE"""),0.38588364607050324)</f>
        <v>0.3858836461</v>
      </c>
      <c r="E4811" s="5">
        <f>IFERROR(__xludf.DUMMYFUNCTION("""COMPUTED_VALUE"""),0.11509774672214808)</f>
        <v>0.1150977467</v>
      </c>
      <c r="F4811" s="5">
        <f>IFERROR(__xludf.DUMMYFUNCTION("""COMPUTED_VALUE"""),0.21567088011305646)</f>
        <v>0.2156708801</v>
      </c>
      <c r="G4811" s="5">
        <f>IFERROR(__xludf.DUMMYFUNCTION("""COMPUTED_VALUE"""),0.17170448300227684)</f>
        <v>0.171704483</v>
      </c>
      <c r="H4811" s="5">
        <f>IFERROR(__xludf.DUMMYFUNCTION("""COMPUTED_VALUE"""),0.5995631598107026)</f>
        <v>0.5995631598</v>
      </c>
      <c r="I4811" s="11">
        <f>IFERROR(__xludf.DUMMYFUNCTION("""COMPUTED_VALUE"""),5521.150345831817)</f>
        <v>5521.150346</v>
      </c>
      <c r="J4811" s="10">
        <f>IFERROR(__xludf.DUMMYFUNCTION("""COMPUTED_VALUE"""),1.0)</f>
        <v>1</v>
      </c>
      <c r="K4811" s="5">
        <f>IFERROR(__xludf.DUMMYFUNCTION("""COMPUTED_VALUE"""),8.445945945945946E-4)</f>
        <v>0.0008445945946</v>
      </c>
      <c r="L4811" s="10">
        <f>IFERROR(__xludf.DUMMYFUNCTION("""COMPUTED_VALUE"""),1184.0)</f>
        <v>1184</v>
      </c>
      <c r="M4811" s="5">
        <f>IFERROR(__xludf.DUMMYFUNCTION("""COMPUTED_VALUE"""),1.0)</f>
        <v>1</v>
      </c>
    </row>
    <row r="4812">
      <c r="A4812" s="10" t="str">
        <f>IFERROR(__xludf.DUMMYFUNCTION("""COMPUTED_VALUE"""),"透明階段")</f>
        <v>透明階段</v>
      </c>
      <c r="B4812" s="10">
        <f>IFERROR(__xludf.DUMMYFUNCTION("""COMPUTED_VALUE"""),807.0)</f>
        <v>807</v>
      </c>
      <c r="C4812" s="10">
        <f>IFERROR(__xludf.DUMMYFUNCTION("""COMPUTED_VALUE"""),9565.0)</f>
        <v>9565</v>
      </c>
      <c r="D4812" s="5">
        <f>IFERROR(__xludf.DUMMYFUNCTION("""COMPUTED_VALUE"""),0.32142041562000456)</f>
        <v>0.3214204156</v>
      </c>
      <c r="E4812" s="5">
        <f>IFERROR(__xludf.DUMMYFUNCTION("""COMPUTED_VALUE"""),0.11509477049554692)</f>
        <v>0.1150947705</v>
      </c>
      <c r="F4812" s="5">
        <f>IFERROR(__xludf.DUMMYFUNCTION("""COMPUTED_VALUE"""),0.18794245261475223)</f>
        <v>0.1879424526</v>
      </c>
      <c r="G4812" s="5">
        <f>IFERROR(__xludf.DUMMYFUNCTION("""COMPUTED_VALUE"""),0.17618177666133822)</f>
        <v>0.1761817767</v>
      </c>
      <c r="H4812" s="5">
        <f>IFERROR(__xludf.DUMMYFUNCTION("""COMPUTED_VALUE"""),0.5765492102065614)</f>
        <v>0.5765492102</v>
      </c>
      <c r="I4812" s="11">
        <f>IFERROR(__xludf.DUMMYFUNCTION("""COMPUTED_VALUE"""),5862.879708383961)</f>
        <v>5862.879708</v>
      </c>
      <c r="J4812" s="10">
        <f>IFERROR(__xludf.DUMMYFUNCTION("""COMPUTED_VALUE"""),1.0)</f>
        <v>1</v>
      </c>
      <c r="K4812" s="5">
        <f>IFERROR(__xludf.DUMMYFUNCTION("""COMPUTED_VALUE"""),0.0012391573729863693)</f>
        <v>0.001239157373</v>
      </c>
      <c r="L4812" s="10">
        <f>IFERROR(__xludf.DUMMYFUNCTION("""COMPUTED_VALUE"""),807.0)</f>
        <v>807</v>
      </c>
      <c r="M4812" s="5">
        <f>IFERROR(__xludf.DUMMYFUNCTION("""COMPUTED_VALUE"""),1.0)</f>
        <v>1</v>
      </c>
    </row>
    <row r="4813">
      <c r="A4813" s="10" t="str">
        <f>IFERROR(__xludf.DUMMYFUNCTION("""COMPUTED_VALUE"""),"ユースレス")</f>
        <v>ユースレス</v>
      </c>
      <c r="B4813" s="10">
        <f>IFERROR(__xludf.DUMMYFUNCTION("""COMPUTED_VALUE"""),631.0)</f>
        <v>631</v>
      </c>
      <c r="C4813" s="10">
        <f>IFERROR(__xludf.DUMMYFUNCTION("""COMPUTED_VALUE"""),7496.0)</f>
        <v>7496</v>
      </c>
      <c r="D4813" s="5">
        <f>IFERROR(__xludf.DUMMYFUNCTION("""COMPUTED_VALUE"""),0.34246176256372907)</f>
        <v>0.3424617626</v>
      </c>
      <c r="E4813" s="5">
        <f>IFERROR(__xludf.DUMMYFUNCTION("""COMPUTED_VALUE"""),0.11507647487254188)</f>
        <v>0.1150764749</v>
      </c>
      <c r="F4813" s="5">
        <f>IFERROR(__xludf.DUMMYFUNCTION("""COMPUTED_VALUE"""),0.20873998543335762)</f>
        <v>0.2087399854</v>
      </c>
      <c r="G4813" s="5">
        <f>IFERROR(__xludf.DUMMYFUNCTION("""COMPUTED_VALUE"""),0.1395484340859432)</f>
        <v>0.1395484341</v>
      </c>
      <c r="H4813" s="5">
        <f>IFERROR(__xludf.DUMMYFUNCTION("""COMPUTED_VALUE"""),0.6099092812281927)</f>
        <v>0.6099092812</v>
      </c>
      <c r="I4813" s="11">
        <f>IFERROR(__xludf.DUMMYFUNCTION("""COMPUTED_VALUE"""),5437.404047452896)</f>
        <v>5437.404047</v>
      </c>
      <c r="J4813" s="10">
        <f>IFERROR(__xludf.DUMMYFUNCTION("""COMPUTED_VALUE"""),0.0)</f>
        <v>0</v>
      </c>
      <c r="K4813" s="5">
        <f>IFERROR(__xludf.DUMMYFUNCTION("""COMPUTED_VALUE"""),0.0)</f>
        <v>0</v>
      </c>
      <c r="L4813" s="10">
        <f>IFERROR(__xludf.DUMMYFUNCTION("""COMPUTED_VALUE"""),631.0)</f>
        <v>631</v>
      </c>
      <c r="M4813" s="5">
        <f>IFERROR(__xludf.DUMMYFUNCTION("""COMPUTED_VALUE"""),1.0)</f>
        <v>1</v>
      </c>
    </row>
    <row r="4814">
      <c r="A4814" s="10" t="str">
        <f>IFERROR(__xludf.DUMMYFUNCTION("""COMPUTED_VALUE"""),"ハンプｔ")</f>
        <v>ハンプｔ</v>
      </c>
      <c r="B4814" s="10">
        <f>IFERROR(__xludf.DUMMYFUNCTION("""COMPUTED_VALUE"""),333.0)</f>
        <v>333</v>
      </c>
      <c r="C4814" s="10">
        <f>IFERROR(__xludf.DUMMYFUNCTION("""COMPUTED_VALUE"""),3992.0)</f>
        <v>3992</v>
      </c>
      <c r="D4814" s="5">
        <f>IFERROR(__xludf.DUMMYFUNCTION("""COMPUTED_VALUE"""),0.40612189122711123)</f>
        <v>0.4061218912</v>
      </c>
      <c r="E4814" s="5">
        <f>IFERROR(__xludf.DUMMYFUNCTION("""COMPUTED_VALUE"""),0.11505875922383164)</f>
        <v>0.1150587592</v>
      </c>
      <c r="F4814" s="5">
        <f>IFERROR(__xludf.DUMMYFUNCTION("""COMPUTED_VALUE"""),0.2139928942333971)</f>
        <v>0.2139928942</v>
      </c>
      <c r="G4814" s="5">
        <f>IFERROR(__xludf.DUMMYFUNCTION("""COMPUTED_VALUE"""),0.17190489204700737)</f>
        <v>0.171904892</v>
      </c>
      <c r="H4814" s="5">
        <f>IFERROR(__xludf.DUMMYFUNCTION("""COMPUTED_VALUE"""),0.6079182630906769)</f>
        <v>0.6079182631</v>
      </c>
      <c r="I4814" s="11">
        <f>IFERROR(__xludf.DUMMYFUNCTION("""COMPUTED_VALUE"""),5425.031928480204)</f>
        <v>5425.031928</v>
      </c>
      <c r="J4814" s="10">
        <f>IFERROR(__xludf.DUMMYFUNCTION("""COMPUTED_VALUE"""),0.0)</f>
        <v>0</v>
      </c>
      <c r="K4814" s="5">
        <f>IFERROR(__xludf.DUMMYFUNCTION("""COMPUTED_VALUE"""),0.0)</f>
        <v>0</v>
      </c>
      <c r="L4814" s="10">
        <f>IFERROR(__xludf.DUMMYFUNCTION("""COMPUTED_VALUE"""),333.0)</f>
        <v>333</v>
      </c>
      <c r="M4814" s="5">
        <f>IFERROR(__xludf.DUMMYFUNCTION("""COMPUTED_VALUE"""),1.0)</f>
        <v>1</v>
      </c>
    </row>
    <row r="4815">
      <c r="A4815" s="10" t="str">
        <f>IFERROR(__xludf.DUMMYFUNCTION("""COMPUTED_VALUE"""),"たの＠")</f>
        <v>たの＠</v>
      </c>
      <c r="B4815" s="10">
        <f>IFERROR(__xludf.DUMMYFUNCTION("""COMPUTED_VALUE"""),448.0)</f>
        <v>448</v>
      </c>
      <c r="C4815" s="10">
        <f>IFERROR(__xludf.DUMMYFUNCTION("""COMPUTED_VALUE"""),5098.0)</f>
        <v>5098</v>
      </c>
      <c r="D4815" s="5">
        <f>IFERROR(__xludf.DUMMYFUNCTION("""COMPUTED_VALUE"""),0.3060215053763441)</f>
        <v>0.3060215054</v>
      </c>
      <c r="E4815" s="5">
        <f>IFERROR(__xludf.DUMMYFUNCTION("""COMPUTED_VALUE"""),0.11505376344086021)</f>
        <v>0.1150537634</v>
      </c>
      <c r="F4815" s="5">
        <f>IFERROR(__xludf.DUMMYFUNCTION("""COMPUTED_VALUE"""),0.21333333333333335)</f>
        <v>0.2133333333</v>
      </c>
      <c r="G4815" s="5">
        <f>IFERROR(__xludf.DUMMYFUNCTION("""COMPUTED_VALUE"""),0.18924731182795698)</f>
        <v>0.1892473118</v>
      </c>
      <c r="H4815" s="5">
        <f>IFERROR(__xludf.DUMMYFUNCTION("""COMPUTED_VALUE"""),0.5574596774193549)</f>
        <v>0.5574596774</v>
      </c>
      <c r="I4815" s="11">
        <f>IFERROR(__xludf.DUMMYFUNCTION("""COMPUTED_VALUE"""),6145.4637096774195)</f>
        <v>6145.46371</v>
      </c>
      <c r="J4815" s="10">
        <f>IFERROR(__xludf.DUMMYFUNCTION("""COMPUTED_VALUE"""),1.0)</f>
        <v>1</v>
      </c>
      <c r="K4815" s="5">
        <f>IFERROR(__xludf.DUMMYFUNCTION("""COMPUTED_VALUE"""),0.002232142857142857)</f>
        <v>0.002232142857</v>
      </c>
      <c r="L4815" s="10">
        <f>IFERROR(__xludf.DUMMYFUNCTION("""COMPUTED_VALUE"""),448.0)</f>
        <v>448</v>
      </c>
      <c r="M4815" s="5">
        <f>IFERROR(__xludf.DUMMYFUNCTION("""COMPUTED_VALUE"""),1.0)</f>
        <v>1</v>
      </c>
    </row>
    <row r="4816">
      <c r="A4816" s="10" t="str">
        <f>IFERROR(__xludf.DUMMYFUNCTION("""COMPUTED_VALUE"""),"無い！！")</f>
        <v>無い！！</v>
      </c>
      <c r="B4816" s="10">
        <f>IFERROR(__xludf.DUMMYFUNCTION("""COMPUTED_VALUE"""),283.0)</f>
        <v>283</v>
      </c>
      <c r="C4816" s="10">
        <f>IFERROR(__xludf.DUMMYFUNCTION("""COMPUTED_VALUE"""),3299.0)</f>
        <v>3299</v>
      </c>
      <c r="D4816" s="5">
        <f>IFERROR(__xludf.DUMMYFUNCTION("""COMPUTED_VALUE"""),0.3706896551724138)</f>
        <v>0.3706896552</v>
      </c>
      <c r="E4816" s="5">
        <f>IFERROR(__xludf.DUMMYFUNCTION("""COMPUTED_VALUE"""),0.11505305039787798)</f>
        <v>0.1150530504</v>
      </c>
      <c r="F4816" s="5">
        <f>IFERROR(__xludf.DUMMYFUNCTION("""COMPUTED_VALUE"""),0.20192307692307693)</f>
        <v>0.2019230769</v>
      </c>
      <c r="G4816" s="5">
        <f>IFERROR(__xludf.DUMMYFUNCTION("""COMPUTED_VALUE"""),0.16312997347480107)</f>
        <v>0.1631299735</v>
      </c>
      <c r="H4816" s="5">
        <f>IFERROR(__xludf.DUMMYFUNCTION("""COMPUTED_VALUE"""),0.5878489326765188)</f>
        <v>0.5878489327</v>
      </c>
      <c r="I4816" s="11">
        <f>IFERROR(__xludf.DUMMYFUNCTION("""COMPUTED_VALUE"""),5369.786535303777)</f>
        <v>5369.786535</v>
      </c>
      <c r="J4816" s="10">
        <f>IFERROR(__xludf.DUMMYFUNCTION("""COMPUTED_VALUE"""),0.0)</f>
        <v>0</v>
      </c>
      <c r="K4816" s="5">
        <f>IFERROR(__xludf.DUMMYFUNCTION("""COMPUTED_VALUE"""),0.0)</f>
        <v>0</v>
      </c>
      <c r="L4816" s="10">
        <f>IFERROR(__xludf.DUMMYFUNCTION("""COMPUTED_VALUE"""),283.0)</f>
        <v>283</v>
      </c>
      <c r="M4816" s="5">
        <f>IFERROR(__xludf.DUMMYFUNCTION("""COMPUTED_VALUE"""),1.0)</f>
        <v>1</v>
      </c>
    </row>
    <row r="4817">
      <c r="A4817" s="10" t="str">
        <f>IFERROR(__xludf.DUMMYFUNCTION("""COMPUTED_VALUE"""),"丙午")</f>
        <v>丙午</v>
      </c>
      <c r="B4817" s="10">
        <f>IFERROR(__xludf.DUMMYFUNCTION("""COMPUTED_VALUE"""),819.0)</f>
        <v>819</v>
      </c>
      <c r="C4817" s="10">
        <f>IFERROR(__xludf.DUMMYFUNCTION("""COMPUTED_VALUE"""),9737.0)</f>
        <v>9737</v>
      </c>
      <c r="D4817" s="5">
        <f>IFERROR(__xludf.DUMMYFUNCTION("""COMPUTED_VALUE"""),0.3165507961426329)</f>
        <v>0.3165507961</v>
      </c>
      <c r="E4817" s="5">
        <f>IFERROR(__xludf.DUMMYFUNCTION("""COMPUTED_VALUE"""),0.11504821708903341)</f>
        <v>0.1150482171</v>
      </c>
      <c r="F4817" s="5">
        <f>IFERROR(__xludf.DUMMYFUNCTION("""COMPUTED_VALUE"""),0.20161471181879345)</f>
        <v>0.2016147118</v>
      </c>
      <c r="G4817" s="5">
        <f>IFERROR(__xludf.DUMMYFUNCTION("""COMPUTED_VALUE"""),0.12469163489571652)</f>
        <v>0.1246916349</v>
      </c>
      <c r="H4817" s="5">
        <f>IFERROR(__xludf.DUMMYFUNCTION("""COMPUTED_VALUE"""),0.6117908787541713)</f>
        <v>0.6117908788</v>
      </c>
      <c r="I4817" s="11">
        <f>IFERROR(__xludf.DUMMYFUNCTION("""COMPUTED_VALUE"""),5445.550611790879)</f>
        <v>5445.550612</v>
      </c>
      <c r="J4817" s="10">
        <f>IFERROR(__xludf.DUMMYFUNCTION("""COMPUTED_VALUE"""),0.0)</f>
        <v>0</v>
      </c>
      <c r="K4817" s="5">
        <f>IFERROR(__xludf.DUMMYFUNCTION("""COMPUTED_VALUE"""),0.0)</f>
        <v>0</v>
      </c>
      <c r="L4817" s="10">
        <f>IFERROR(__xludf.DUMMYFUNCTION("""COMPUTED_VALUE"""),819.0)</f>
        <v>819</v>
      </c>
      <c r="M4817" s="5">
        <f>IFERROR(__xludf.DUMMYFUNCTION("""COMPUTED_VALUE"""),1.0)</f>
        <v>1</v>
      </c>
    </row>
    <row r="4818">
      <c r="A4818" s="10" t="str">
        <f>IFERROR(__xludf.DUMMYFUNCTION("""COMPUTED_VALUE"""),"loouvis")</f>
        <v>loouvis</v>
      </c>
      <c r="B4818" s="10">
        <f>IFERROR(__xludf.DUMMYFUNCTION("""COMPUTED_VALUE"""),773.0)</f>
        <v>773</v>
      </c>
      <c r="C4818" s="10">
        <f>IFERROR(__xludf.DUMMYFUNCTION("""COMPUTED_VALUE"""),9196.0)</f>
        <v>9196</v>
      </c>
      <c r="D4818" s="5">
        <f>IFERROR(__xludf.DUMMYFUNCTION("""COMPUTED_VALUE"""),0.34120859551228777)</f>
        <v>0.3412085955</v>
      </c>
      <c r="E4818" s="5">
        <f>IFERROR(__xludf.DUMMYFUNCTION("""COMPUTED_VALUE"""),0.11504214650362103)</f>
        <v>0.1150421465</v>
      </c>
      <c r="F4818" s="5">
        <f>IFERROR(__xludf.DUMMYFUNCTION("""COMPUTED_VALUE"""),0.20004748901816455)</f>
        <v>0.200047489</v>
      </c>
      <c r="G4818" s="5">
        <f>IFERROR(__xludf.DUMMYFUNCTION("""COMPUTED_VALUE"""),0.17487830939095333)</f>
        <v>0.1748783094</v>
      </c>
      <c r="H4818" s="5">
        <f>IFERROR(__xludf.DUMMYFUNCTION("""COMPUTED_VALUE"""),0.6)</f>
        <v>0.6</v>
      </c>
      <c r="I4818" s="11">
        <f>IFERROR(__xludf.DUMMYFUNCTION("""COMPUTED_VALUE"""),5757.566765578635)</f>
        <v>5757.566766</v>
      </c>
      <c r="J4818" s="10">
        <f>IFERROR(__xludf.DUMMYFUNCTION("""COMPUTED_VALUE"""),1.0)</f>
        <v>1</v>
      </c>
      <c r="K4818" s="5">
        <f>IFERROR(__xludf.DUMMYFUNCTION("""COMPUTED_VALUE"""),0.00129366106080207)</f>
        <v>0.001293661061</v>
      </c>
      <c r="L4818" s="10">
        <f>IFERROR(__xludf.DUMMYFUNCTION("""COMPUTED_VALUE"""),746.0)</f>
        <v>746</v>
      </c>
      <c r="M4818" s="5">
        <f>IFERROR(__xludf.DUMMYFUNCTION("""COMPUTED_VALUE"""),0.9650711513583441)</f>
        <v>0.9650711514</v>
      </c>
    </row>
    <row r="4819">
      <c r="A4819" s="10" t="str">
        <f>IFERROR(__xludf.DUMMYFUNCTION("""COMPUTED_VALUE"""),"うぃーちゃん")</f>
        <v>うぃーちゃん</v>
      </c>
      <c r="B4819" s="10">
        <f>IFERROR(__xludf.DUMMYFUNCTION("""COMPUTED_VALUE"""),4898.0)</f>
        <v>4898</v>
      </c>
      <c r="C4819" s="10">
        <f>IFERROR(__xludf.DUMMYFUNCTION("""COMPUTED_VALUE"""),57244.0)</f>
        <v>57244</v>
      </c>
      <c r="D4819" s="5">
        <f>IFERROR(__xludf.DUMMYFUNCTION("""COMPUTED_VALUE"""),0.23583463874985672)</f>
        <v>0.2358346387</v>
      </c>
      <c r="E4819" s="5">
        <f>IFERROR(__xludf.DUMMYFUNCTION("""COMPUTED_VALUE"""),0.11500401176785237)</f>
        <v>0.1150040118</v>
      </c>
      <c r="F4819" s="5">
        <f>IFERROR(__xludf.DUMMYFUNCTION("""COMPUTED_VALUE"""),0.19776105146525044)</f>
        <v>0.1977610515</v>
      </c>
      <c r="G4819" s="5">
        <f>IFERROR(__xludf.DUMMYFUNCTION("""COMPUTED_VALUE"""),0.19997707561227218)</f>
        <v>0.1999770756</v>
      </c>
      <c r="H4819" s="5">
        <f>IFERROR(__xludf.DUMMYFUNCTION("""COMPUTED_VALUE"""),0.5768933539412674)</f>
        <v>0.5768933539</v>
      </c>
      <c r="I4819" s="11">
        <f>IFERROR(__xludf.DUMMYFUNCTION("""COMPUTED_VALUE"""),6167.610123647604)</f>
        <v>6167.610124</v>
      </c>
      <c r="J4819" s="10">
        <f>IFERROR(__xludf.DUMMYFUNCTION("""COMPUTED_VALUE"""),9.0)</f>
        <v>9</v>
      </c>
      <c r="K4819" s="5">
        <f>IFERROR(__xludf.DUMMYFUNCTION("""COMPUTED_VALUE"""),0.0018374846876276032)</f>
        <v>0.001837484688</v>
      </c>
      <c r="L4819" s="10">
        <f>IFERROR(__xludf.DUMMYFUNCTION("""COMPUTED_VALUE"""),4898.0)</f>
        <v>4898</v>
      </c>
      <c r="M4819" s="5">
        <f>IFERROR(__xludf.DUMMYFUNCTION("""COMPUTED_VALUE"""),1.0)</f>
        <v>1</v>
      </c>
    </row>
    <row r="4820">
      <c r="A4820" s="10" t="str">
        <f>IFERROR(__xludf.DUMMYFUNCTION("""COMPUTED_VALUE"""),"広島の種馬")</f>
        <v>広島の種馬</v>
      </c>
      <c r="B4820" s="10">
        <f>IFERROR(__xludf.DUMMYFUNCTION("""COMPUTED_VALUE"""),2004.0)</f>
        <v>2004</v>
      </c>
      <c r="C4820" s="10">
        <f>IFERROR(__xludf.DUMMYFUNCTION("""COMPUTED_VALUE"""),23475.0)</f>
        <v>23475</v>
      </c>
      <c r="D4820" s="5">
        <f>IFERROR(__xludf.DUMMYFUNCTION("""COMPUTED_VALUE"""),0.33161007871081927)</f>
        <v>0.3316100787</v>
      </c>
      <c r="E4820" s="5">
        <f>IFERROR(__xludf.DUMMYFUNCTION("""COMPUTED_VALUE"""),0.11499231521587257)</f>
        <v>0.1149923152</v>
      </c>
      <c r="F4820" s="5">
        <f>IFERROR(__xludf.DUMMYFUNCTION("""COMPUTED_VALUE"""),0.19975781286386288)</f>
        <v>0.1997578129</v>
      </c>
      <c r="G4820" s="5">
        <f>IFERROR(__xludf.DUMMYFUNCTION("""COMPUTED_VALUE"""),0.172372036700666)</f>
        <v>0.1723720367</v>
      </c>
      <c r="H4820" s="5">
        <f>IFERROR(__xludf.DUMMYFUNCTION("""COMPUTED_VALUE"""),0.5985078106784798)</f>
        <v>0.5985078107</v>
      </c>
      <c r="I4820" s="11">
        <f>IFERROR(__xludf.DUMMYFUNCTION("""COMPUTED_VALUE"""),5861.063184891583)</f>
        <v>5861.063185</v>
      </c>
      <c r="J4820" s="10">
        <f>IFERROR(__xludf.DUMMYFUNCTION("""COMPUTED_VALUE"""),7.0)</f>
        <v>7</v>
      </c>
      <c r="K4820" s="5">
        <f>IFERROR(__xludf.DUMMYFUNCTION("""COMPUTED_VALUE"""),0.003493013972055888)</f>
        <v>0.003493013972</v>
      </c>
      <c r="L4820" s="10">
        <f>IFERROR(__xludf.DUMMYFUNCTION("""COMPUTED_VALUE"""),2004.0)</f>
        <v>2004</v>
      </c>
      <c r="M4820" s="5">
        <f>IFERROR(__xludf.DUMMYFUNCTION("""COMPUTED_VALUE"""),1.0)</f>
        <v>1</v>
      </c>
    </row>
    <row r="4821">
      <c r="A4821" s="10" t="str">
        <f>IFERROR(__xludf.DUMMYFUNCTION("""COMPUTED_VALUE"""),"amatou")</f>
        <v>amatou</v>
      </c>
      <c r="B4821" s="10">
        <f>IFERROR(__xludf.DUMMYFUNCTION("""COMPUTED_VALUE"""),337.0)</f>
        <v>337</v>
      </c>
      <c r="C4821" s="10">
        <f>IFERROR(__xludf.DUMMYFUNCTION("""COMPUTED_VALUE"""),3981.0)</f>
        <v>3981</v>
      </c>
      <c r="D4821" s="5">
        <f>IFERROR(__xludf.DUMMYFUNCTION("""COMPUTED_VALUE"""),0.41739846322722285)</f>
        <v>0.4173984632</v>
      </c>
      <c r="E4821" s="5">
        <f>IFERROR(__xludf.DUMMYFUNCTION("""COMPUTED_VALUE"""),0.11498353457738748)</f>
        <v>0.1149835346</v>
      </c>
      <c r="F4821" s="5">
        <f>IFERROR(__xludf.DUMMYFUNCTION("""COMPUTED_VALUE"""),0.21514818880351264)</f>
        <v>0.2151481888</v>
      </c>
      <c r="G4821" s="5">
        <f>IFERROR(__xludf.DUMMYFUNCTION("""COMPUTED_VALUE"""),0.14187705817782656)</f>
        <v>0.1418770582</v>
      </c>
      <c r="H4821" s="5">
        <f>IFERROR(__xludf.DUMMYFUNCTION("""COMPUTED_VALUE"""),0.6441326530612245)</f>
        <v>0.6441326531</v>
      </c>
      <c r="I4821" s="11">
        <f>IFERROR(__xludf.DUMMYFUNCTION("""COMPUTED_VALUE"""),4754.081632653061)</f>
        <v>4754.081633</v>
      </c>
      <c r="J4821" s="10">
        <f>IFERROR(__xludf.DUMMYFUNCTION("""COMPUTED_VALUE"""),0.0)</f>
        <v>0</v>
      </c>
      <c r="K4821" s="5">
        <f>IFERROR(__xludf.DUMMYFUNCTION("""COMPUTED_VALUE"""),0.0)</f>
        <v>0</v>
      </c>
      <c r="L4821" s="10">
        <f>IFERROR(__xludf.DUMMYFUNCTION("""COMPUTED_VALUE"""),337.0)</f>
        <v>337</v>
      </c>
      <c r="M4821" s="5">
        <f>IFERROR(__xludf.DUMMYFUNCTION("""COMPUTED_VALUE"""),1.0)</f>
        <v>1</v>
      </c>
    </row>
    <row r="4822">
      <c r="A4822" s="10" t="str">
        <f>IFERROR(__xludf.DUMMYFUNCTION("""COMPUTED_VALUE"""),"うつわ")</f>
        <v>うつわ</v>
      </c>
      <c r="B4822" s="10">
        <f>IFERROR(__xludf.DUMMYFUNCTION("""COMPUTED_VALUE"""),249.0)</f>
        <v>249</v>
      </c>
      <c r="C4822" s="10">
        <f>IFERROR(__xludf.DUMMYFUNCTION("""COMPUTED_VALUE"""),2902.0)</f>
        <v>2902</v>
      </c>
      <c r="D4822" s="5">
        <f>IFERROR(__xludf.DUMMYFUNCTION("""COMPUTED_VALUE"""),0.34866189219751226)</f>
        <v>0.3486618922</v>
      </c>
      <c r="E4822" s="5">
        <f>IFERROR(__xludf.DUMMYFUNCTION("""COMPUTED_VALUE"""),0.11496419148134188)</f>
        <v>0.1149641915</v>
      </c>
      <c r="F4822" s="5">
        <f>IFERROR(__xludf.DUMMYFUNCTION("""COMPUTED_VALUE"""),0.20655861289106672)</f>
        <v>0.2065586129</v>
      </c>
      <c r="G4822" s="5">
        <f>IFERROR(__xludf.DUMMYFUNCTION("""COMPUTED_VALUE"""),0.1858273652468903)</f>
        <v>0.1858273652</v>
      </c>
      <c r="H4822" s="5">
        <f>IFERROR(__xludf.DUMMYFUNCTION("""COMPUTED_VALUE"""),0.572992700729927)</f>
        <v>0.5729927007</v>
      </c>
      <c r="I4822" s="11">
        <f>IFERROR(__xludf.DUMMYFUNCTION("""COMPUTED_VALUE"""),5744.708029197081)</f>
        <v>5744.708029</v>
      </c>
      <c r="J4822" s="10">
        <f>IFERROR(__xludf.DUMMYFUNCTION("""COMPUTED_VALUE"""),0.0)</f>
        <v>0</v>
      </c>
      <c r="K4822" s="5">
        <f>IFERROR(__xludf.DUMMYFUNCTION("""COMPUTED_VALUE"""),0.0)</f>
        <v>0</v>
      </c>
      <c r="L4822" s="10">
        <f>IFERROR(__xludf.DUMMYFUNCTION("""COMPUTED_VALUE"""),249.0)</f>
        <v>249</v>
      </c>
      <c r="M4822" s="5">
        <f>IFERROR(__xludf.DUMMYFUNCTION("""COMPUTED_VALUE"""),1.0)</f>
        <v>1</v>
      </c>
    </row>
    <row r="4823">
      <c r="A4823" s="10" t="str">
        <f>IFERROR(__xludf.DUMMYFUNCTION("""COMPUTED_VALUE"""),"ババアの日傘")</f>
        <v>ババアの日傘</v>
      </c>
      <c r="B4823" s="10">
        <f>IFERROR(__xludf.DUMMYFUNCTION("""COMPUTED_VALUE"""),2794.0)</f>
        <v>2794</v>
      </c>
      <c r="C4823" s="10">
        <f>IFERROR(__xludf.DUMMYFUNCTION("""COMPUTED_VALUE"""),33109.0)</f>
        <v>33109</v>
      </c>
      <c r="D4823" s="5">
        <f>IFERROR(__xludf.DUMMYFUNCTION("""COMPUTED_VALUE"""),0.3798449612403101)</f>
        <v>0.3798449612</v>
      </c>
      <c r="E4823" s="5">
        <f>IFERROR(__xludf.DUMMYFUNCTION("""COMPUTED_VALUE"""),0.11495959096157018)</f>
        <v>0.114959591</v>
      </c>
      <c r="F4823" s="5">
        <f>IFERROR(__xludf.DUMMYFUNCTION("""COMPUTED_VALUE"""),0.20686128979053273)</f>
        <v>0.2068612898</v>
      </c>
      <c r="G4823" s="5">
        <f>IFERROR(__xludf.DUMMYFUNCTION("""COMPUTED_VALUE"""),0.1566881081972621)</f>
        <v>0.1566881082</v>
      </c>
      <c r="H4823" s="5">
        <f>IFERROR(__xludf.DUMMYFUNCTION("""COMPUTED_VALUE"""),0.6042098548875777)</f>
        <v>0.6042098549</v>
      </c>
      <c r="I4823" s="11">
        <f>IFERROR(__xludf.DUMMYFUNCTION("""COMPUTED_VALUE"""),5571.918354329453)</f>
        <v>5571.918354</v>
      </c>
      <c r="J4823" s="10">
        <f>IFERROR(__xludf.DUMMYFUNCTION("""COMPUTED_VALUE"""),2.0)</f>
        <v>2</v>
      </c>
      <c r="K4823" s="5">
        <f>IFERROR(__xludf.DUMMYFUNCTION("""COMPUTED_VALUE"""),7.158196134574087E-4)</f>
        <v>0.0007158196135</v>
      </c>
      <c r="L4823" s="10">
        <f>IFERROR(__xludf.DUMMYFUNCTION("""COMPUTED_VALUE"""),1.0)</f>
        <v>1</v>
      </c>
      <c r="M4823" s="5">
        <f>IFERROR(__xludf.DUMMYFUNCTION("""COMPUTED_VALUE"""),3.5790980672870435E-4)</f>
        <v>0.0003579098067</v>
      </c>
    </row>
    <row r="4824">
      <c r="A4824" s="10" t="str">
        <f>IFERROR(__xludf.DUMMYFUNCTION("""COMPUTED_VALUE"""),"mugby")</f>
        <v>mugby</v>
      </c>
      <c r="B4824" s="10">
        <f>IFERROR(__xludf.DUMMYFUNCTION("""COMPUTED_VALUE"""),144.0)</f>
        <v>144</v>
      </c>
      <c r="C4824" s="10">
        <f>IFERROR(__xludf.DUMMYFUNCTION("""COMPUTED_VALUE"""),1710.0)</f>
        <v>1710</v>
      </c>
      <c r="D4824" s="5">
        <f>IFERROR(__xludf.DUMMYFUNCTION("""COMPUTED_VALUE"""),0.37292464878671777)</f>
        <v>0.3729246488</v>
      </c>
      <c r="E4824" s="5">
        <f>IFERROR(__xludf.DUMMYFUNCTION("""COMPUTED_VALUE"""),0.11494252873563218)</f>
        <v>0.1149425287</v>
      </c>
      <c r="F4824" s="5">
        <f>IFERROR(__xludf.DUMMYFUNCTION("""COMPUTED_VALUE"""),0.2037037037037037)</f>
        <v>0.2037037037</v>
      </c>
      <c r="G4824" s="5">
        <f>IFERROR(__xludf.DUMMYFUNCTION("""COMPUTED_VALUE"""),0.16538952745849297)</f>
        <v>0.1653895275</v>
      </c>
      <c r="H4824" s="5">
        <f>IFERROR(__xludf.DUMMYFUNCTION("""COMPUTED_VALUE"""),0.6081504702194357)</f>
        <v>0.6081504702</v>
      </c>
      <c r="I4824" s="11">
        <f>IFERROR(__xludf.DUMMYFUNCTION("""COMPUTED_VALUE"""),5307.210031347962)</f>
        <v>5307.210031</v>
      </c>
      <c r="J4824" s="10">
        <f>IFERROR(__xludf.DUMMYFUNCTION("""COMPUTED_VALUE"""),0.0)</f>
        <v>0</v>
      </c>
      <c r="K4824" s="5">
        <f>IFERROR(__xludf.DUMMYFUNCTION("""COMPUTED_VALUE"""),0.0)</f>
        <v>0</v>
      </c>
      <c r="L4824" s="10">
        <f>IFERROR(__xludf.DUMMYFUNCTION("""COMPUTED_VALUE"""),144.0)</f>
        <v>144</v>
      </c>
      <c r="M4824" s="5">
        <f>IFERROR(__xludf.DUMMYFUNCTION("""COMPUTED_VALUE"""),1.0)</f>
        <v>1</v>
      </c>
    </row>
    <row r="4825">
      <c r="A4825" s="10" t="str">
        <f>IFERROR(__xludf.DUMMYFUNCTION("""COMPUTED_VALUE"""),"ラル少佐")</f>
        <v>ラル少佐</v>
      </c>
      <c r="B4825" s="10">
        <f>IFERROR(__xludf.DUMMYFUNCTION("""COMPUTED_VALUE"""),222.0)</f>
        <v>222</v>
      </c>
      <c r="C4825" s="10">
        <f>IFERROR(__xludf.DUMMYFUNCTION("""COMPUTED_VALUE"""),2615.0)</f>
        <v>2615</v>
      </c>
      <c r="D4825" s="5">
        <f>IFERROR(__xludf.DUMMYFUNCTION("""COMPUTED_VALUE"""),0.37358963643961557)</f>
        <v>0.3735896364</v>
      </c>
      <c r="E4825" s="5">
        <f>IFERROR(__xludf.DUMMYFUNCTION("""COMPUTED_VALUE"""),0.11491851232762224)</f>
        <v>0.1149185123</v>
      </c>
      <c r="F4825" s="5">
        <f>IFERROR(__xludf.DUMMYFUNCTION("""COMPUTED_VALUE"""),0.19306310071040536)</f>
        <v>0.1930631007</v>
      </c>
      <c r="G4825" s="5">
        <f>IFERROR(__xludf.DUMMYFUNCTION("""COMPUTED_VALUE"""),0.17342248223986628)</f>
        <v>0.1734224822</v>
      </c>
      <c r="H4825" s="5">
        <f>IFERROR(__xludf.DUMMYFUNCTION("""COMPUTED_VALUE"""),0.5735930735930735)</f>
        <v>0.5735930736</v>
      </c>
      <c r="I4825" s="11">
        <f>IFERROR(__xludf.DUMMYFUNCTION("""COMPUTED_VALUE"""),5939.82683982684)</f>
        <v>5939.82684</v>
      </c>
      <c r="J4825" s="10">
        <f>IFERROR(__xludf.DUMMYFUNCTION("""COMPUTED_VALUE"""),0.0)</f>
        <v>0</v>
      </c>
      <c r="K4825" s="5">
        <f>IFERROR(__xludf.DUMMYFUNCTION("""COMPUTED_VALUE"""),0.0)</f>
        <v>0</v>
      </c>
      <c r="L4825" s="10">
        <f>IFERROR(__xludf.DUMMYFUNCTION("""COMPUTED_VALUE"""),222.0)</f>
        <v>222</v>
      </c>
      <c r="M4825" s="5">
        <f>IFERROR(__xludf.DUMMYFUNCTION("""COMPUTED_VALUE"""),1.0)</f>
        <v>1</v>
      </c>
    </row>
    <row r="4826">
      <c r="A4826" s="10" t="str">
        <f>IFERROR(__xludf.DUMMYFUNCTION("""COMPUTED_VALUE"""),"一蓮峻潤")</f>
        <v>一蓮峻潤</v>
      </c>
      <c r="B4826" s="10">
        <f>IFERROR(__xludf.DUMMYFUNCTION("""COMPUTED_VALUE"""),5059.0)</f>
        <v>5059</v>
      </c>
      <c r="C4826" s="10">
        <f>IFERROR(__xludf.DUMMYFUNCTION("""COMPUTED_VALUE"""),59042.0)</f>
        <v>59042</v>
      </c>
      <c r="D4826" s="5">
        <f>IFERROR(__xludf.DUMMYFUNCTION("""COMPUTED_VALUE"""),0.30465146434988793)</f>
        <v>0.3046514643</v>
      </c>
      <c r="E4826" s="5">
        <f>IFERROR(__xludf.DUMMYFUNCTION("""COMPUTED_VALUE"""),0.1149065446529463)</f>
        <v>0.1149065447</v>
      </c>
      <c r="F4826" s="5">
        <f>IFERROR(__xludf.DUMMYFUNCTION("""COMPUTED_VALUE"""),0.21132578774799474)</f>
        <v>0.2113257877</v>
      </c>
      <c r="G4826" s="5">
        <f>IFERROR(__xludf.DUMMYFUNCTION("""COMPUTED_VALUE"""),0.17012763277328047)</f>
        <v>0.1701276328</v>
      </c>
      <c r="H4826" s="5">
        <f>IFERROR(__xludf.DUMMYFUNCTION("""COMPUTED_VALUE"""),0.5994039270687237)</f>
        <v>0.5994039271</v>
      </c>
      <c r="I4826" s="11">
        <f>IFERROR(__xludf.DUMMYFUNCTION("""COMPUTED_VALUE"""),5897.975105189341)</f>
        <v>5897.975105</v>
      </c>
      <c r="J4826" s="10">
        <f>IFERROR(__xludf.DUMMYFUNCTION("""COMPUTED_VALUE"""),9.0)</f>
        <v>9</v>
      </c>
      <c r="K4826" s="5">
        <f>IFERROR(__xludf.DUMMYFUNCTION("""COMPUTED_VALUE"""),0.0017790077090334058)</f>
        <v>0.001779007709</v>
      </c>
      <c r="L4826" s="10">
        <f>IFERROR(__xludf.DUMMYFUNCTION("""COMPUTED_VALUE"""),5059.0)</f>
        <v>5059</v>
      </c>
      <c r="M4826" s="5">
        <f>IFERROR(__xludf.DUMMYFUNCTION("""COMPUTED_VALUE"""),1.0)</f>
        <v>1</v>
      </c>
    </row>
    <row r="4827">
      <c r="A4827" s="10" t="str">
        <f>IFERROR(__xludf.DUMMYFUNCTION("""COMPUTED_VALUE"""),"ハルギ")</f>
        <v>ハルギ</v>
      </c>
      <c r="B4827" s="10">
        <f>IFERROR(__xludf.DUMMYFUNCTION("""COMPUTED_VALUE"""),214.0)</f>
        <v>214</v>
      </c>
      <c r="C4827" s="10">
        <f>IFERROR(__xludf.DUMMYFUNCTION("""COMPUTED_VALUE"""),2564.0)</f>
        <v>2564</v>
      </c>
      <c r="D4827" s="5">
        <f>IFERROR(__xludf.DUMMYFUNCTION("""COMPUTED_VALUE"""),0.3485106382978723)</f>
        <v>0.3485106383</v>
      </c>
      <c r="E4827" s="5">
        <f>IFERROR(__xludf.DUMMYFUNCTION("""COMPUTED_VALUE"""),0.1148936170212766)</f>
        <v>0.114893617</v>
      </c>
      <c r="F4827" s="5">
        <f>IFERROR(__xludf.DUMMYFUNCTION("""COMPUTED_VALUE"""),0.2119148936170213)</f>
        <v>0.2119148936</v>
      </c>
      <c r="G4827" s="5">
        <f>IFERROR(__xludf.DUMMYFUNCTION("""COMPUTED_VALUE"""),0.14042553191489363)</f>
        <v>0.1404255319</v>
      </c>
      <c r="H4827" s="5">
        <f>IFERROR(__xludf.DUMMYFUNCTION("""COMPUTED_VALUE"""),0.6024096385542169)</f>
        <v>0.6024096386</v>
      </c>
      <c r="I4827" s="11">
        <f>IFERROR(__xludf.DUMMYFUNCTION("""COMPUTED_VALUE"""),5577.710843373494)</f>
        <v>5577.710843</v>
      </c>
      <c r="J4827" s="10">
        <f>IFERROR(__xludf.DUMMYFUNCTION("""COMPUTED_VALUE"""),1.0)</f>
        <v>1</v>
      </c>
      <c r="K4827" s="5">
        <f>IFERROR(__xludf.DUMMYFUNCTION("""COMPUTED_VALUE"""),0.004672897196261682)</f>
        <v>0.004672897196</v>
      </c>
      <c r="L4827" s="10">
        <f>IFERROR(__xludf.DUMMYFUNCTION("""COMPUTED_VALUE"""),214.0)</f>
        <v>214</v>
      </c>
      <c r="M4827" s="5">
        <f>IFERROR(__xludf.DUMMYFUNCTION("""COMPUTED_VALUE"""),1.0)</f>
        <v>1</v>
      </c>
    </row>
    <row r="4828">
      <c r="A4828" s="10" t="str">
        <f>IFERROR(__xludf.DUMMYFUNCTION("""COMPUTED_VALUE"""),"arafai")</f>
        <v>arafai</v>
      </c>
      <c r="B4828" s="10">
        <f>IFERROR(__xludf.DUMMYFUNCTION("""COMPUTED_VALUE"""),1417.0)</f>
        <v>1417</v>
      </c>
      <c r="C4828" s="10">
        <f>IFERROR(__xludf.DUMMYFUNCTION("""COMPUTED_VALUE"""),16527.0)</f>
        <v>16527</v>
      </c>
      <c r="D4828" s="5">
        <f>IFERROR(__xludf.DUMMYFUNCTION("""COMPUTED_VALUE"""),0.3397088021178028)</f>
        <v>0.3397088021</v>
      </c>
      <c r="E4828" s="5">
        <f>IFERROR(__xludf.DUMMYFUNCTION("""COMPUTED_VALUE"""),0.11489080079417605)</f>
        <v>0.1148908008</v>
      </c>
      <c r="F4828" s="5">
        <f>IFERROR(__xludf.DUMMYFUNCTION("""COMPUTED_VALUE"""),0.21204500330906684)</f>
        <v>0.2120450033</v>
      </c>
      <c r="G4828" s="5">
        <f>IFERROR(__xludf.DUMMYFUNCTION("""COMPUTED_VALUE"""),0.1702845797485109)</f>
        <v>0.1702845797</v>
      </c>
      <c r="H4828" s="5">
        <f>IFERROR(__xludf.DUMMYFUNCTION("""COMPUTED_VALUE"""),0.6045568039950062)</f>
        <v>0.604556804</v>
      </c>
      <c r="I4828" s="11">
        <f>IFERROR(__xludf.DUMMYFUNCTION("""COMPUTED_VALUE"""),5820.755305867666)</f>
        <v>5820.755306</v>
      </c>
      <c r="J4828" s="10">
        <f>IFERROR(__xludf.DUMMYFUNCTION("""COMPUTED_VALUE"""),1.0)</f>
        <v>1</v>
      </c>
      <c r="K4828" s="5">
        <f>IFERROR(__xludf.DUMMYFUNCTION("""COMPUTED_VALUE"""),7.057163020465773E-4)</f>
        <v>0.000705716302</v>
      </c>
      <c r="L4828" s="10">
        <f>IFERROR(__xludf.DUMMYFUNCTION("""COMPUTED_VALUE"""),1128.0)</f>
        <v>1128</v>
      </c>
      <c r="M4828" s="5">
        <f>IFERROR(__xludf.DUMMYFUNCTION("""COMPUTED_VALUE"""),0.7960479887085392)</f>
        <v>0.7960479887</v>
      </c>
    </row>
    <row r="4829">
      <c r="A4829" s="10" t="str">
        <f>IFERROR(__xludf.DUMMYFUNCTION("""COMPUTED_VALUE"""),"tsudaken")</f>
        <v>tsudaken</v>
      </c>
      <c r="B4829" s="10">
        <f>IFERROR(__xludf.DUMMYFUNCTION("""COMPUTED_VALUE"""),473.0)</f>
        <v>473</v>
      </c>
      <c r="C4829" s="10">
        <f>IFERROR(__xludf.DUMMYFUNCTION("""COMPUTED_VALUE"""),5530.0)</f>
        <v>5530</v>
      </c>
      <c r="D4829" s="5">
        <f>IFERROR(__xludf.DUMMYFUNCTION("""COMPUTED_VALUE"""),0.33834289104211984)</f>
        <v>0.338342891</v>
      </c>
      <c r="E4829" s="5">
        <f>IFERROR(__xludf.DUMMYFUNCTION("""COMPUTED_VALUE"""),0.11489025113703777)</f>
        <v>0.1148902511</v>
      </c>
      <c r="F4829" s="5">
        <f>IFERROR(__xludf.DUMMYFUNCTION("""COMPUTED_VALUE"""),0.2240458770021752)</f>
        <v>0.224045877</v>
      </c>
      <c r="G4829" s="5">
        <f>IFERROR(__xludf.DUMMYFUNCTION("""COMPUTED_VALUE"""),0.18785841407949377)</f>
        <v>0.1878584141</v>
      </c>
      <c r="H4829" s="5">
        <f>IFERROR(__xludf.DUMMYFUNCTION("""COMPUTED_VALUE"""),0.6257722859664607)</f>
        <v>0.625772286</v>
      </c>
      <c r="I4829" s="11">
        <f>IFERROR(__xludf.DUMMYFUNCTION("""COMPUTED_VALUE"""),5727.537511032657)</f>
        <v>5727.537511</v>
      </c>
      <c r="J4829" s="10">
        <f>IFERROR(__xludf.DUMMYFUNCTION("""COMPUTED_VALUE"""),0.0)</f>
        <v>0</v>
      </c>
      <c r="K4829" s="5">
        <f>IFERROR(__xludf.DUMMYFUNCTION("""COMPUTED_VALUE"""),0.0)</f>
        <v>0</v>
      </c>
      <c r="L4829" s="10">
        <f>IFERROR(__xludf.DUMMYFUNCTION("""COMPUTED_VALUE"""),473.0)</f>
        <v>473</v>
      </c>
      <c r="M4829" s="5">
        <f>IFERROR(__xludf.DUMMYFUNCTION("""COMPUTED_VALUE"""),1.0)</f>
        <v>1</v>
      </c>
    </row>
    <row r="4830">
      <c r="A4830" s="10" t="str">
        <f>IFERROR(__xludf.DUMMYFUNCTION("""COMPUTED_VALUE"""),"〓鳩麦玄米〓")</f>
        <v>〓鳩麦玄米〓</v>
      </c>
      <c r="B4830" s="10">
        <f>IFERROR(__xludf.DUMMYFUNCTION("""COMPUTED_VALUE"""),578.0)</f>
        <v>578</v>
      </c>
      <c r="C4830" s="10">
        <f>IFERROR(__xludf.DUMMYFUNCTION("""COMPUTED_VALUE"""),6758.0)</f>
        <v>6758</v>
      </c>
      <c r="D4830" s="5">
        <f>IFERROR(__xludf.DUMMYFUNCTION("""COMPUTED_VALUE"""),0.37912621359223303)</f>
        <v>0.3791262136</v>
      </c>
      <c r="E4830" s="5">
        <f>IFERROR(__xludf.DUMMYFUNCTION("""COMPUTED_VALUE"""),0.11488673139158576)</f>
        <v>0.1148867314</v>
      </c>
      <c r="F4830" s="5">
        <f>IFERROR(__xludf.DUMMYFUNCTION("""COMPUTED_VALUE"""),0.2134304207119741)</f>
        <v>0.2134304207</v>
      </c>
      <c r="G4830" s="5">
        <f>IFERROR(__xludf.DUMMYFUNCTION("""COMPUTED_VALUE"""),0.15970873786407766)</f>
        <v>0.1597087379</v>
      </c>
      <c r="H4830" s="5">
        <f>IFERROR(__xludf.DUMMYFUNCTION("""COMPUTED_VALUE"""),0.5837755875663382)</f>
        <v>0.5837755876</v>
      </c>
      <c r="I4830" s="11">
        <f>IFERROR(__xludf.DUMMYFUNCTION("""COMPUTED_VALUE"""),5509.78013646702)</f>
        <v>5509.780136</v>
      </c>
      <c r="J4830" s="10">
        <f>IFERROR(__xludf.DUMMYFUNCTION("""COMPUTED_VALUE"""),0.0)</f>
        <v>0</v>
      </c>
      <c r="K4830" s="5">
        <f>IFERROR(__xludf.DUMMYFUNCTION("""COMPUTED_VALUE"""),0.0)</f>
        <v>0</v>
      </c>
      <c r="L4830" s="10">
        <f>IFERROR(__xludf.DUMMYFUNCTION("""COMPUTED_VALUE"""),578.0)</f>
        <v>578</v>
      </c>
      <c r="M4830" s="5">
        <f>IFERROR(__xludf.DUMMYFUNCTION("""COMPUTED_VALUE"""),1.0)</f>
        <v>1</v>
      </c>
    </row>
    <row r="4831">
      <c r="A4831" s="10" t="str">
        <f>IFERROR(__xludf.DUMMYFUNCTION("""COMPUTED_VALUE"""),"Kidam")</f>
        <v>Kidam</v>
      </c>
      <c r="B4831" s="10">
        <f>IFERROR(__xludf.DUMMYFUNCTION("""COMPUTED_VALUE"""),849.0)</f>
        <v>849</v>
      </c>
      <c r="C4831" s="10">
        <f>IFERROR(__xludf.DUMMYFUNCTION("""COMPUTED_VALUE"""),9981.0)</f>
        <v>9981</v>
      </c>
      <c r="D4831" s="5">
        <f>IFERROR(__xludf.DUMMYFUNCTION("""COMPUTED_VALUE"""),0.3288436268068331)</f>
        <v>0.3288436268</v>
      </c>
      <c r="E4831" s="5">
        <f>IFERROR(__xludf.DUMMYFUNCTION("""COMPUTED_VALUE"""),0.11487078405606659)</f>
        <v>0.1148707841</v>
      </c>
      <c r="F4831" s="5">
        <f>IFERROR(__xludf.DUMMYFUNCTION("""COMPUTED_VALUE"""),0.2040078843626807)</f>
        <v>0.2040078844</v>
      </c>
      <c r="G4831" s="5">
        <f>IFERROR(__xludf.DUMMYFUNCTION("""COMPUTED_VALUE"""),0.15878230398598336)</f>
        <v>0.158782304</v>
      </c>
      <c r="H4831" s="5">
        <f>IFERROR(__xludf.DUMMYFUNCTION("""COMPUTED_VALUE"""),0.6049382716049383)</f>
        <v>0.6049382716</v>
      </c>
      <c r="I4831" s="11">
        <f>IFERROR(__xludf.DUMMYFUNCTION("""COMPUTED_VALUE"""),5667.84755770263)</f>
        <v>5667.847558</v>
      </c>
      <c r="J4831" s="10">
        <f>IFERROR(__xludf.DUMMYFUNCTION("""COMPUTED_VALUE"""),3.0)</f>
        <v>3</v>
      </c>
      <c r="K4831" s="5">
        <f>IFERROR(__xludf.DUMMYFUNCTION("""COMPUTED_VALUE"""),0.0035335689045936395)</f>
        <v>0.003533568905</v>
      </c>
      <c r="L4831" s="10">
        <f>IFERROR(__xludf.DUMMYFUNCTION("""COMPUTED_VALUE"""),849.0)</f>
        <v>849</v>
      </c>
      <c r="M4831" s="5">
        <f>IFERROR(__xludf.DUMMYFUNCTION("""COMPUTED_VALUE"""),1.0)</f>
        <v>1</v>
      </c>
    </row>
    <row r="4832">
      <c r="A4832" s="10" t="str">
        <f>IFERROR(__xludf.DUMMYFUNCTION("""COMPUTED_VALUE"""),"Redbull")</f>
        <v>Redbull</v>
      </c>
      <c r="B4832" s="10">
        <f>IFERROR(__xludf.DUMMYFUNCTION("""COMPUTED_VALUE"""),2680.0)</f>
        <v>2680</v>
      </c>
      <c r="C4832" s="10">
        <f>IFERROR(__xludf.DUMMYFUNCTION("""COMPUTED_VALUE"""),31391.0)</f>
        <v>31391</v>
      </c>
      <c r="D4832" s="5">
        <f>IFERROR(__xludf.DUMMYFUNCTION("""COMPUTED_VALUE"""),0.35456793563442585)</f>
        <v>0.3545679356</v>
      </c>
      <c r="E4832" s="5">
        <f>IFERROR(__xludf.DUMMYFUNCTION("""COMPUTED_VALUE"""),0.1148688655915851)</f>
        <v>0.1148688656</v>
      </c>
      <c r="F4832" s="5">
        <f>IFERROR(__xludf.DUMMYFUNCTION("""COMPUTED_VALUE"""),0.21058131029918847)</f>
        <v>0.2105813103</v>
      </c>
      <c r="G4832" s="5">
        <f>IFERROR(__xludf.DUMMYFUNCTION("""COMPUTED_VALUE"""),0.16359583434920413)</f>
        <v>0.1635958343</v>
      </c>
      <c r="H4832" s="5">
        <f>IFERROR(__xludf.DUMMYFUNCTION("""COMPUTED_VALUE"""),0.6091630830301026)</f>
        <v>0.609163083</v>
      </c>
      <c r="I4832" s="11">
        <f>IFERROR(__xludf.DUMMYFUNCTION("""COMPUTED_VALUE"""),5602.232881243797)</f>
        <v>5602.232881</v>
      </c>
      <c r="J4832" s="10">
        <f>IFERROR(__xludf.DUMMYFUNCTION("""COMPUTED_VALUE"""),3.0)</f>
        <v>3</v>
      </c>
      <c r="K4832" s="5">
        <f>IFERROR(__xludf.DUMMYFUNCTION("""COMPUTED_VALUE"""),0.001119402985074627)</f>
        <v>0.001119402985</v>
      </c>
      <c r="L4832" s="10">
        <f>IFERROR(__xludf.DUMMYFUNCTION("""COMPUTED_VALUE"""),782.0)</f>
        <v>782</v>
      </c>
      <c r="M4832" s="5">
        <f>IFERROR(__xludf.DUMMYFUNCTION("""COMPUTED_VALUE"""),0.2917910447761194)</f>
        <v>0.2917910448</v>
      </c>
    </row>
    <row r="4833">
      <c r="A4833" s="10" t="str">
        <f>IFERROR(__xludf.DUMMYFUNCTION("""COMPUTED_VALUE"""),"Gエピオン")</f>
        <v>Gエピオン</v>
      </c>
      <c r="B4833" s="10">
        <f>IFERROR(__xludf.DUMMYFUNCTION("""COMPUTED_VALUE"""),145.0)</f>
        <v>145</v>
      </c>
      <c r="C4833" s="10">
        <f>IFERROR(__xludf.DUMMYFUNCTION("""COMPUTED_VALUE"""),1721.0)</f>
        <v>1721</v>
      </c>
      <c r="D4833" s="5">
        <f>IFERROR(__xludf.DUMMYFUNCTION("""COMPUTED_VALUE"""),0.3483502538071066)</f>
        <v>0.3483502538</v>
      </c>
      <c r="E4833" s="5">
        <f>IFERROR(__xludf.DUMMYFUNCTION("""COMPUTED_VALUE"""),0.1148477157360406)</f>
        <v>0.1148477157</v>
      </c>
      <c r="F4833" s="5">
        <f>IFERROR(__xludf.DUMMYFUNCTION("""COMPUTED_VALUE"""),0.19289340101522842)</f>
        <v>0.192893401</v>
      </c>
      <c r="G4833" s="5">
        <f>IFERROR(__xludf.DUMMYFUNCTION("""COMPUTED_VALUE"""),0.16116751269035534)</f>
        <v>0.1611675127</v>
      </c>
      <c r="H4833" s="5">
        <f>IFERROR(__xludf.DUMMYFUNCTION("""COMPUTED_VALUE"""),0.6217105263157895)</f>
        <v>0.6217105263</v>
      </c>
      <c r="I4833" s="11">
        <f>IFERROR(__xludf.DUMMYFUNCTION("""COMPUTED_VALUE"""),4841.118421052632)</f>
        <v>4841.118421</v>
      </c>
      <c r="J4833" s="10">
        <f>IFERROR(__xludf.DUMMYFUNCTION("""COMPUTED_VALUE"""),0.0)</f>
        <v>0</v>
      </c>
      <c r="K4833" s="5">
        <f>IFERROR(__xludf.DUMMYFUNCTION("""COMPUTED_VALUE"""),0.0)</f>
        <v>0</v>
      </c>
      <c r="L4833" s="10">
        <f>IFERROR(__xludf.DUMMYFUNCTION("""COMPUTED_VALUE"""),145.0)</f>
        <v>145</v>
      </c>
      <c r="M4833" s="5">
        <f>IFERROR(__xludf.DUMMYFUNCTION("""COMPUTED_VALUE"""),1.0)</f>
        <v>1</v>
      </c>
    </row>
    <row r="4834">
      <c r="A4834" s="10" t="str">
        <f>IFERROR(__xludf.DUMMYFUNCTION("""COMPUTED_VALUE"""),"みどり牧場")</f>
        <v>みどり牧場</v>
      </c>
      <c r="B4834" s="10">
        <f>IFERROR(__xludf.DUMMYFUNCTION("""COMPUTED_VALUE"""),853.0)</f>
        <v>853</v>
      </c>
      <c r="C4834" s="10">
        <f>IFERROR(__xludf.DUMMYFUNCTION("""COMPUTED_VALUE"""),9996.0)</f>
        <v>9996</v>
      </c>
      <c r="D4834" s="5">
        <f>IFERROR(__xludf.DUMMYFUNCTION("""COMPUTED_VALUE"""),0.31630755769441105)</f>
        <v>0.3163075577</v>
      </c>
      <c r="E4834" s="5">
        <f>IFERROR(__xludf.DUMMYFUNCTION("""COMPUTED_VALUE"""),0.11484195559444384)</f>
        <v>0.1148419556</v>
      </c>
      <c r="F4834" s="5">
        <f>IFERROR(__xludf.DUMMYFUNCTION("""COMPUTED_VALUE"""),0.20649677348791426)</f>
        <v>0.2064967735</v>
      </c>
      <c r="G4834" s="5">
        <f>IFERROR(__xludf.DUMMYFUNCTION("""COMPUTED_VALUE"""),0.17729410477961283)</f>
        <v>0.1772941048</v>
      </c>
      <c r="H4834" s="5">
        <f>IFERROR(__xludf.DUMMYFUNCTION("""COMPUTED_VALUE"""),0.6048728813559322)</f>
        <v>0.6048728814</v>
      </c>
      <c r="I4834" s="11">
        <f>IFERROR(__xludf.DUMMYFUNCTION("""COMPUTED_VALUE"""),5700.10593220339)</f>
        <v>5700.105932</v>
      </c>
      <c r="J4834" s="10">
        <f>IFERROR(__xludf.DUMMYFUNCTION("""COMPUTED_VALUE"""),0.0)</f>
        <v>0</v>
      </c>
      <c r="K4834" s="5">
        <f>IFERROR(__xludf.DUMMYFUNCTION("""COMPUTED_VALUE"""),0.0)</f>
        <v>0</v>
      </c>
      <c r="L4834" s="10">
        <f>IFERROR(__xludf.DUMMYFUNCTION("""COMPUTED_VALUE"""),853.0)</f>
        <v>853</v>
      </c>
      <c r="M4834" s="5">
        <f>IFERROR(__xludf.DUMMYFUNCTION("""COMPUTED_VALUE"""),1.0)</f>
        <v>1</v>
      </c>
    </row>
    <row r="4835">
      <c r="A4835" s="10" t="str">
        <f>IFERROR(__xludf.DUMMYFUNCTION("""COMPUTED_VALUE"""),"玖瑛")</f>
        <v>玖瑛</v>
      </c>
      <c r="B4835" s="10">
        <f>IFERROR(__xludf.DUMMYFUNCTION("""COMPUTED_VALUE"""),1192.0)</f>
        <v>1192</v>
      </c>
      <c r="C4835" s="10">
        <f>IFERROR(__xludf.DUMMYFUNCTION("""COMPUTED_VALUE"""),13914.0)</f>
        <v>13914</v>
      </c>
      <c r="D4835" s="5">
        <f>IFERROR(__xludf.DUMMYFUNCTION("""COMPUTED_VALUE"""),0.29625844992925643)</f>
        <v>0.2962584499</v>
      </c>
      <c r="E4835" s="5">
        <f>IFERROR(__xludf.DUMMYFUNCTION("""COMPUTED_VALUE"""),0.11484043389404182)</f>
        <v>0.1148404339</v>
      </c>
      <c r="F4835" s="5">
        <f>IFERROR(__xludf.DUMMYFUNCTION("""COMPUTED_VALUE"""),0.20303411413299796)</f>
        <v>0.2030341141</v>
      </c>
      <c r="G4835" s="5">
        <f>IFERROR(__xludf.DUMMYFUNCTION("""COMPUTED_VALUE"""),0.1445527432793586)</f>
        <v>0.1445527433</v>
      </c>
      <c r="H4835" s="5">
        <f>IFERROR(__xludf.DUMMYFUNCTION("""COMPUTED_VALUE"""),0.5965931087882307)</f>
        <v>0.5965931088</v>
      </c>
      <c r="I4835" s="11">
        <f>IFERROR(__xludf.DUMMYFUNCTION("""COMPUTED_VALUE"""),5621.951219512195)</f>
        <v>5621.95122</v>
      </c>
      <c r="J4835" s="10">
        <f>IFERROR(__xludf.DUMMYFUNCTION("""COMPUTED_VALUE"""),2.0)</f>
        <v>2</v>
      </c>
      <c r="K4835" s="5">
        <f>IFERROR(__xludf.DUMMYFUNCTION("""COMPUTED_VALUE"""),0.0016778523489932886)</f>
        <v>0.001677852349</v>
      </c>
      <c r="L4835" s="10">
        <f>IFERROR(__xludf.DUMMYFUNCTION("""COMPUTED_VALUE"""),1169.0)</f>
        <v>1169</v>
      </c>
      <c r="M4835" s="5">
        <f>IFERROR(__xludf.DUMMYFUNCTION("""COMPUTED_VALUE"""),0.9807046979865772)</f>
        <v>0.980704698</v>
      </c>
    </row>
    <row r="4836">
      <c r="A4836" s="10" t="str">
        <f>IFERROR(__xludf.DUMMYFUNCTION("""COMPUTED_VALUE"""),"えモン")</f>
        <v>えモン</v>
      </c>
      <c r="B4836" s="10">
        <f>IFERROR(__xludf.DUMMYFUNCTION("""COMPUTED_VALUE"""),704.0)</f>
        <v>704</v>
      </c>
      <c r="C4836" s="10">
        <f>IFERROR(__xludf.DUMMYFUNCTION("""COMPUTED_VALUE"""),8263.0)</f>
        <v>8263</v>
      </c>
      <c r="D4836" s="5">
        <f>IFERROR(__xludf.DUMMYFUNCTION("""COMPUTED_VALUE"""),0.333642016139701)</f>
        <v>0.3336420161</v>
      </c>
      <c r="E4836" s="5">
        <f>IFERROR(__xludf.DUMMYFUNCTION("""COMPUTED_VALUE"""),0.11483000396877895)</f>
        <v>0.114830004</v>
      </c>
      <c r="F4836" s="5">
        <f>IFERROR(__xludf.DUMMYFUNCTION("""COMPUTED_VALUE"""),0.21934118269612382)</f>
        <v>0.2193411827</v>
      </c>
      <c r="G4836" s="5">
        <f>IFERROR(__xludf.DUMMYFUNCTION("""COMPUTED_VALUE"""),0.11588834501918244)</f>
        <v>0.115888345</v>
      </c>
      <c r="H4836" s="5">
        <f>IFERROR(__xludf.DUMMYFUNCTION("""COMPUTED_VALUE"""),0.6139927623642943)</f>
        <v>0.6139927624</v>
      </c>
      <c r="I4836" s="11">
        <f>IFERROR(__xludf.DUMMYFUNCTION("""COMPUTED_VALUE"""),5115.199034981906)</f>
        <v>5115.199035</v>
      </c>
      <c r="J4836" s="10">
        <f>IFERROR(__xludf.DUMMYFUNCTION("""COMPUTED_VALUE"""),1.0)</f>
        <v>1</v>
      </c>
      <c r="K4836" s="5">
        <f>IFERROR(__xludf.DUMMYFUNCTION("""COMPUTED_VALUE"""),0.0014204545454545455)</f>
        <v>0.001420454545</v>
      </c>
      <c r="L4836" s="10">
        <f>IFERROR(__xludf.DUMMYFUNCTION("""COMPUTED_VALUE"""),486.0)</f>
        <v>486</v>
      </c>
      <c r="M4836" s="5">
        <f>IFERROR(__xludf.DUMMYFUNCTION("""COMPUTED_VALUE"""),0.6903409090909091)</f>
        <v>0.6903409091</v>
      </c>
    </row>
    <row r="4837">
      <c r="A4837" s="10" t="str">
        <f>IFERROR(__xludf.DUMMYFUNCTION("""COMPUTED_VALUE"""),"釘／ゆかえり")</f>
        <v>釘／ゆかえり</v>
      </c>
      <c r="B4837" s="10">
        <f>IFERROR(__xludf.DUMMYFUNCTION("""COMPUTED_VALUE"""),540.0)</f>
        <v>540</v>
      </c>
      <c r="C4837" s="10">
        <f>IFERROR(__xludf.DUMMYFUNCTION("""COMPUTED_VALUE"""),6314.0)</f>
        <v>6314</v>
      </c>
      <c r="D4837" s="5">
        <f>IFERROR(__xludf.DUMMYFUNCTION("""COMPUTED_VALUE"""),0.3463803255975061)</f>
        <v>0.3463803256</v>
      </c>
      <c r="E4837" s="5">
        <f>IFERROR(__xludf.DUMMYFUNCTION("""COMPUTED_VALUE"""),0.11482507793557326)</f>
        <v>0.1148250779</v>
      </c>
      <c r="F4837" s="5">
        <f>IFERROR(__xludf.DUMMYFUNCTION("""COMPUTED_VALUE"""),0.213197090405265)</f>
        <v>0.2131970904</v>
      </c>
      <c r="G4837" s="5">
        <f>IFERROR(__xludf.DUMMYFUNCTION("""COMPUTED_VALUE"""),0.15084863179771388)</f>
        <v>0.1508486318</v>
      </c>
      <c r="H4837" s="5">
        <f>IFERROR(__xludf.DUMMYFUNCTION("""COMPUTED_VALUE"""),0.6157595450852965)</f>
        <v>0.6157595451</v>
      </c>
      <c r="I4837" s="11">
        <f>IFERROR(__xludf.DUMMYFUNCTION("""COMPUTED_VALUE"""),5554.995938261576)</f>
        <v>5554.995938</v>
      </c>
      <c r="J4837" s="10">
        <f>IFERROR(__xludf.DUMMYFUNCTION("""COMPUTED_VALUE"""),1.0)</f>
        <v>1</v>
      </c>
      <c r="K4837" s="5">
        <f>IFERROR(__xludf.DUMMYFUNCTION("""COMPUTED_VALUE"""),0.001851851851851852)</f>
        <v>0.001851851852</v>
      </c>
      <c r="L4837" s="10">
        <f>IFERROR(__xludf.DUMMYFUNCTION("""COMPUTED_VALUE"""),540.0)</f>
        <v>540</v>
      </c>
      <c r="M4837" s="5">
        <f>IFERROR(__xludf.DUMMYFUNCTION("""COMPUTED_VALUE"""),1.0)</f>
        <v>1</v>
      </c>
    </row>
    <row r="4838">
      <c r="A4838" s="10" t="str">
        <f>IFERROR(__xludf.DUMMYFUNCTION("""COMPUTED_VALUE"""),"imoimo")</f>
        <v>imoimo</v>
      </c>
      <c r="B4838" s="10">
        <f>IFERROR(__xludf.DUMMYFUNCTION("""COMPUTED_VALUE"""),388.0)</f>
        <v>388</v>
      </c>
      <c r="C4838" s="10">
        <f>IFERROR(__xludf.DUMMYFUNCTION("""COMPUTED_VALUE"""),4543.0)</f>
        <v>4543</v>
      </c>
      <c r="D4838" s="5">
        <f>IFERROR(__xludf.DUMMYFUNCTION("""COMPUTED_VALUE"""),0.32996389891696754)</f>
        <v>0.3299638989</v>
      </c>
      <c r="E4838" s="5">
        <f>IFERROR(__xludf.DUMMYFUNCTION("""COMPUTED_VALUE"""),0.1148014440433213)</f>
        <v>0.114801444</v>
      </c>
      <c r="F4838" s="5">
        <f>IFERROR(__xludf.DUMMYFUNCTION("""COMPUTED_VALUE"""),0.20216606498194944)</f>
        <v>0.202166065</v>
      </c>
      <c r="G4838" s="5">
        <f>IFERROR(__xludf.DUMMYFUNCTION("""COMPUTED_VALUE"""),0.18965102286401925)</f>
        <v>0.1896510229</v>
      </c>
      <c r="H4838" s="5">
        <f>IFERROR(__xludf.DUMMYFUNCTION("""COMPUTED_VALUE"""),0.5642857142857143)</f>
        <v>0.5642857143</v>
      </c>
      <c r="I4838" s="11">
        <f>IFERROR(__xludf.DUMMYFUNCTION("""COMPUTED_VALUE"""),5651.785714285715)</f>
        <v>5651.785714</v>
      </c>
      <c r="J4838" s="10">
        <f>IFERROR(__xludf.DUMMYFUNCTION("""COMPUTED_VALUE"""),0.0)</f>
        <v>0</v>
      </c>
      <c r="K4838" s="5">
        <f>IFERROR(__xludf.DUMMYFUNCTION("""COMPUTED_VALUE"""),0.0)</f>
        <v>0</v>
      </c>
      <c r="L4838" s="10">
        <f>IFERROR(__xludf.DUMMYFUNCTION("""COMPUTED_VALUE"""),388.0)</f>
        <v>388</v>
      </c>
      <c r="M4838" s="5">
        <f>IFERROR(__xludf.DUMMYFUNCTION("""COMPUTED_VALUE"""),1.0)</f>
        <v>1</v>
      </c>
    </row>
    <row r="4839">
      <c r="A4839" s="10" t="str">
        <f>IFERROR(__xludf.DUMMYFUNCTION("""COMPUTED_VALUE"""),"素晴らしき日々")</f>
        <v>素晴らしき日々</v>
      </c>
      <c r="B4839" s="10">
        <f>IFERROR(__xludf.DUMMYFUNCTION("""COMPUTED_VALUE"""),545.0)</f>
        <v>545</v>
      </c>
      <c r="C4839" s="10">
        <f>IFERROR(__xludf.DUMMYFUNCTION("""COMPUTED_VALUE"""),6391.0)</f>
        <v>6391</v>
      </c>
      <c r="D4839" s="5">
        <f>IFERROR(__xludf.DUMMYFUNCTION("""COMPUTED_VALUE"""),0.25915155661991107)</f>
        <v>0.2591515566</v>
      </c>
      <c r="E4839" s="5">
        <f>IFERROR(__xludf.DUMMYFUNCTION("""COMPUTED_VALUE"""),0.11477933629832364)</f>
        <v>0.1147793363</v>
      </c>
      <c r="F4839" s="5">
        <f>IFERROR(__xludf.DUMMYFUNCTION("""COMPUTED_VALUE"""),0.19055764625384877)</f>
        <v>0.1905576463</v>
      </c>
      <c r="G4839" s="5">
        <f>IFERROR(__xludf.DUMMYFUNCTION("""COMPUTED_VALUE"""),0.16660964762230585)</f>
        <v>0.1666096476</v>
      </c>
      <c r="H4839" s="5">
        <f>IFERROR(__xludf.DUMMYFUNCTION("""COMPUTED_VALUE"""),0.6014362657091562)</f>
        <v>0.6014362657</v>
      </c>
      <c r="I4839" s="11">
        <f>IFERROR(__xludf.DUMMYFUNCTION("""COMPUTED_VALUE"""),6090.843806104129)</f>
        <v>6090.843806</v>
      </c>
      <c r="J4839" s="10">
        <f>IFERROR(__xludf.DUMMYFUNCTION("""COMPUTED_VALUE"""),1.0)</f>
        <v>1</v>
      </c>
      <c r="K4839" s="5">
        <f>IFERROR(__xludf.DUMMYFUNCTION("""COMPUTED_VALUE"""),0.001834862385321101)</f>
        <v>0.001834862385</v>
      </c>
      <c r="L4839" s="10">
        <f>IFERROR(__xludf.DUMMYFUNCTION("""COMPUTED_VALUE"""),545.0)</f>
        <v>545</v>
      </c>
      <c r="M4839" s="5">
        <f>IFERROR(__xludf.DUMMYFUNCTION("""COMPUTED_VALUE"""),1.0)</f>
        <v>1</v>
      </c>
    </row>
    <row r="4840">
      <c r="A4840" s="10" t="str">
        <f>IFERROR(__xludf.DUMMYFUNCTION("""COMPUTED_VALUE"""),"darter")</f>
        <v>darter</v>
      </c>
      <c r="B4840" s="10">
        <f>IFERROR(__xludf.DUMMYFUNCTION("""COMPUTED_VALUE"""),1240.0)</f>
        <v>1240</v>
      </c>
      <c r="C4840" s="10">
        <f>IFERROR(__xludf.DUMMYFUNCTION("""COMPUTED_VALUE"""),14483.0)</f>
        <v>14483</v>
      </c>
      <c r="D4840" s="5">
        <f>IFERROR(__xludf.DUMMYFUNCTION("""COMPUTED_VALUE"""),0.33889602053915274)</f>
        <v>0.3388960205</v>
      </c>
      <c r="E4840" s="5">
        <f>IFERROR(__xludf.DUMMYFUNCTION("""COMPUTED_VALUE"""),0.11477761836441894)</f>
        <v>0.1147776184</v>
      </c>
      <c r="F4840" s="5">
        <f>IFERROR(__xludf.DUMMYFUNCTION("""COMPUTED_VALUE"""),0.20810994487653856)</f>
        <v>0.2081099449</v>
      </c>
      <c r="G4840" s="5">
        <f>IFERROR(__xludf.DUMMYFUNCTION("""COMPUTED_VALUE"""),0.16378464094238465)</f>
        <v>0.1637846409</v>
      </c>
      <c r="H4840" s="5">
        <f>IFERROR(__xludf.DUMMYFUNCTION("""COMPUTED_VALUE"""),0.5878084179970973)</f>
        <v>0.587808418</v>
      </c>
      <c r="I4840" s="11">
        <f>IFERROR(__xludf.DUMMYFUNCTION("""COMPUTED_VALUE"""),5503.229317851959)</f>
        <v>5503.229318</v>
      </c>
      <c r="J4840" s="10">
        <f>IFERROR(__xludf.DUMMYFUNCTION("""COMPUTED_VALUE"""),3.0)</f>
        <v>3</v>
      </c>
      <c r="K4840" s="5">
        <f>IFERROR(__xludf.DUMMYFUNCTION("""COMPUTED_VALUE"""),0.0024193548387096775)</f>
        <v>0.002419354839</v>
      </c>
      <c r="L4840" s="10">
        <f>IFERROR(__xludf.DUMMYFUNCTION("""COMPUTED_VALUE"""),1240.0)</f>
        <v>1240</v>
      </c>
      <c r="M4840" s="5">
        <f>IFERROR(__xludf.DUMMYFUNCTION("""COMPUTED_VALUE"""),1.0)</f>
        <v>1</v>
      </c>
    </row>
    <row r="4841">
      <c r="A4841" s="10" t="str">
        <f>IFERROR(__xludf.DUMMYFUNCTION("""COMPUTED_VALUE"""),"ねきせ@")</f>
        <v>ねきせ@</v>
      </c>
      <c r="B4841" s="10">
        <f>IFERROR(__xludf.DUMMYFUNCTION("""COMPUTED_VALUE"""),3251.0)</f>
        <v>3251</v>
      </c>
      <c r="C4841" s="10">
        <f>IFERROR(__xludf.DUMMYFUNCTION("""COMPUTED_VALUE"""),37946.0)</f>
        <v>37946</v>
      </c>
      <c r="D4841" s="5">
        <f>IFERROR(__xludf.DUMMYFUNCTION("""COMPUTED_VALUE"""),0.3648364317625018)</f>
        <v>0.3648364318</v>
      </c>
      <c r="E4841" s="5">
        <f>IFERROR(__xludf.DUMMYFUNCTION("""COMPUTED_VALUE"""),0.11477158091944084)</f>
        <v>0.1147715809</v>
      </c>
      <c r="F4841" s="5">
        <f>IFERROR(__xludf.DUMMYFUNCTION("""COMPUTED_VALUE"""),0.20930969880386222)</f>
        <v>0.2093096988</v>
      </c>
      <c r="G4841" s="5">
        <f>IFERROR(__xludf.DUMMYFUNCTION("""COMPUTED_VALUE"""),0.17319498486813661)</f>
        <v>0.1731949849</v>
      </c>
      <c r="H4841" s="5">
        <f>IFERROR(__xludf.DUMMYFUNCTION("""COMPUTED_VALUE"""),0.5901955384191683)</f>
        <v>0.5901955384</v>
      </c>
      <c r="I4841" s="11">
        <f>IFERROR(__xludf.DUMMYFUNCTION("""COMPUTED_VALUE"""),5693.927292756816)</f>
        <v>5693.927293</v>
      </c>
      <c r="J4841" s="10">
        <f>IFERROR(__xludf.DUMMYFUNCTION("""COMPUTED_VALUE"""),2.0)</f>
        <v>2</v>
      </c>
      <c r="K4841" s="5">
        <f>IFERROR(__xludf.DUMMYFUNCTION("""COMPUTED_VALUE"""),6.151953245155337E-4)</f>
        <v>0.0006151953245</v>
      </c>
      <c r="L4841" s="10">
        <f>IFERROR(__xludf.DUMMYFUNCTION("""COMPUTED_VALUE"""),2329.0)</f>
        <v>2329</v>
      </c>
      <c r="M4841" s="5">
        <f>IFERROR(__xludf.DUMMYFUNCTION("""COMPUTED_VALUE"""),0.716394955398339)</f>
        <v>0.7163949554</v>
      </c>
    </row>
    <row r="4842">
      <c r="A4842" s="10" t="str">
        <f>IFERROR(__xludf.DUMMYFUNCTION("""COMPUTED_VALUE"""),"イサキ")</f>
        <v>イサキ</v>
      </c>
      <c r="B4842" s="10">
        <f>IFERROR(__xludf.DUMMYFUNCTION("""COMPUTED_VALUE"""),1030.0)</f>
        <v>1030</v>
      </c>
      <c r="C4842" s="10">
        <f>IFERROR(__xludf.DUMMYFUNCTION("""COMPUTED_VALUE"""),12253.0)</f>
        <v>12253</v>
      </c>
      <c r="D4842" s="5">
        <f>IFERROR(__xludf.DUMMYFUNCTION("""COMPUTED_VALUE"""),0.3333333333333333)</f>
        <v>0.3333333333</v>
      </c>
      <c r="E4842" s="5">
        <f>IFERROR(__xludf.DUMMYFUNCTION("""COMPUTED_VALUE"""),0.11476432326472423)</f>
        <v>0.1147643233</v>
      </c>
      <c r="F4842" s="5">
        <f>IFERROR(__xludf.DUMMYFUNCTION("""COMPUTED_VALUE"""),0.20155038759689922)</f>
        <v>0.2015503876</v>
      </c>
      <c r="G4842" s="5">
        <f>IFERROR(__xludf.DUMMYFUNCTION("""COMPUTED_VALUE"""),0.14817784905996614)</f>
        <v>0.1481778491</v>
      </c>
      <c r="H4842" s="5">
        <f>IFERROR(__xludf.DUMMYFUNCTION("""COMPUTED_VALUE"""),0.5950486295313882)</f>
        <v>0.5950486295</v>
      </c>
      <c r="I4842" s="11">
        <f>IFERROR(__xludf.DUMMYFUNCTION("""COMPUTED_VALUE"""),5480.061892130858)</f>
        <v>5480.061892</v>
      </c>
      <c r="J4842" s="10">
        <f>IFERROR(__xludf.DUMMYFUNCTION("""COMPUTED_VALUE"""),1.0)</f>
        <v>1</v>
      </c>
      <c r="K4842" s="5">
        <f>IFERROR(__xludf.DUMMYFUNCTION("""COMPUTED_VALUE"""),9.70873786407767E-4)</f>
        <v>0.0009708737864</v>
      </c>
      <c r="L4842" s="10">
        <f>IFERROR(__xludf.DUMMYFUNCTION("""COMPUTED_VALUE"""),858.0)</f>
        <v>858</v>
      </c>
      <c r="M4842" s="5">
        <f>IFERROR(__xludf.DUMMYFUNCTION("""COMPUTED_VALUE"""),0.8330097087378641)</f>
        <v>0.8330097087</v>
      </c>
    </row>
    <row r="4843">
      <c r="A4843" s="10" t="str">
        <f>IFERROR(__xludf.DUMMYFUNCTION("""COMPUTED_VALUE"""),"基礎論")</f>
        <v>基礎論</v>
      </c>
      <c r="B4843" s="10">
        <f>IFERROR(__xludf.DUMMYFUNCTION("""COMPUTED_VALUE"""),2413.0)</f>
        <v>2413</v>
      </c>
      <c r="C4843" s="10">
        <f>IFERROR(__xludf.DUMMYFUNCTION("""COMPUTED_VALUE"""),28330.0)</f>
        <v>28330</v>
      </c>
      <c r="D4843" s="5">
        <f>IFERROR(__xludf.DUMMYFUNCTION("""COMPUTED_VALUE"""),0.31674190685650344)</f>
        <v>0.3167419069</v>
      </c>
      <c r="E4843" s="5">
        <f>IFERROR(__xludf.DUMMYFUNCTION("""COMPUTED_VALUE"""),0.11475093567928386)</f>
        <v>0.1147509357</v>
      </c>
      <c r="F4843" s="5">
        <f>IFERROR(__xludf.DUMMYFUNCTION("""COMPUTED_VALUE"""),0.20523208704711193)</f>
        <v>0.205232087</v>
      </c>
      <c r="G4843" s="5">
        <f>IFERROR(__xludf.DUMMYFUNCTION("""COMPUTED_VALUE"""),0.1517536751938882)</f>
        <v>0.1517536752</v>
      </c>
      <c r="H4843" s="5">
        <f>IFERROR(__xludf.DUMMYFUNCTION("""COMPUTED_VALUE"""),0.5939086294416244)</f>
        <v>0.5939086294</v>
      </c>
      <c r="I4843" s="11">
        <f>IFERROR(__xludf.DUMMYFUNCTION("""COMPUTED_VALUE"""),5699.454784733973)</f>
        <v>5699.454785</v>
      </c>
      <c r="J4843" s="10">
        <f>IFERROR(__xludf.DUMMYFUNCTION("""COMPUTED_VALUE"""),2.0)</f>
        <v>2</v>
      </c>
      <c r="K4843" s="5">
        <f>IFERROR(__xludf.DUMMYFUNCTION("""COMPUTED_VALUE"""),8.288437629506838E-4)</f>
        <v>0.000828843763</v>
      </c>
      <c r="L4843" s="10">
        <f>IFERROR(__xludf.DUMMYFUNCTION("""COMPUTED_VALUE"""),2413.0)</f>
        <v>2413</v>
      </c>
      <c r="M4843" s="5">
        <f>IFERROR(__xludf.DUMMYFUNCTION("""COMPUTED_VALUE"""),1.0)</f>
        <v>1</v>
      </c>
    </row>
    <row r="4844">
      <c r="A4844" s="10" t="str">
        <f>IFERROR(__xludf.DUMMYFUNCTION("""COMPUTED_VALUE"""),"かるびす")</f>
        <v>かるびす</v>
      </c>
      <c r="B4844" s="10">
        <f>IFERROR(__xludf.DUMMYFUNCTION("""COMPUTED_VALUE"""),172.0)</f>
        <v>172</v>
      </c>
      <c r="C4844" s="10">
        <f>IFERROR(__xludf.DUMMYFUNCTION("""COMPUTED_VALUE"""),2037.0)</f>
        <v>2037</v>
      </c>
      <c r="D4844" s="5">
        <f>IFERROR(__xludf.DUMMYFUNCTION("""COMPUTED_VALUE"""),0.32654155495978554)</f>
        <v>0.326541555</v>
      </c>
      <c r="E4844" s="5">
        <f>IFERROR(__xludf.DUMMYFUNCTION("""COMPUTED_VALUE"""),0.11474530831099196)</f>
        <v>0.1147453083</v>
      </c>
      <c r="F4844" s="5">
        <f>IFERROR(__xludf.DUMMYFUNCTION("""COMPUTED_VALUE"""),0.20428954423592494)</f>
        <v>0.2042895442</v>
      </c>
      <c r="G4844" s="5">
        <f>IFERROR(__xludf.DUMMYFUNCTION("""COMPUTED_VALUE"""),0.1908847184986595)</f>
        <v>0.1908847185</v>
      </c>
      <c r="H4844" s="5">
        <f>IFERROR(__xludf.DUMMYFUNCTION("""COMPUTED_VALUE"""),0.6115485564304461)</f>
        <v>0.6115485564</v>
      </c>
      <c r="I4844" s="11">
        <f>IFERROR(__xludf.DUMMYFUNCTION("""COMPUTED_VALUE"""),5215.748031496063)</f>
        <v>5215.748031</v>
      </c>
      <c r="J4844" s="10">
        <f>IFERROR(__xludf.DUMMYFUNCTION("""COMPUTED_VALUE"""),0.0)</f>
        <v>0</v>
      </c>
      <c r="K4844" s="5">
        <f>IFERROR(__xludf.DUMMYFUNCTION("""COMPUTED_VALUE"""),0.0)</f>
        <v>0</v>
      </c>
      <c r="L4844" s="10">
        <f>IFERROR(__xludf.DUMMYFUNCTION("""COMPUTED_VALUE"""),172.0)</f>
        <v>172</v>
      </c>
      <c r="M4844" s="5">
        <f>IFERROR(__xludf.DUMMYFUNCTION("""COMPUTED_VALUE"""),1.0)</f>
        <v>1</v>
      </c>
    </row>
    <row r="4845">
      <c r="A4845" s="10" t="str">
        <f>IFERROR(__xludf.DUMMYFUNCTION("""COMPUTED_VALUE"""),"まーさ＠２１")</f>
        <v>まーさ＠２１</v>
      </c>
      <c r="B4845" s="10">
        <f>IFERROR(__xludf.DUMMYFUNCTION("""COMPUTED_VALUE"""),3127.0)</f>
        <v>3127</v>
      </c>
      <c r="C4845" s="10">
        <f>IFERROR(__xludf.DUMMYFUNCTION("""COMPUTED_VALUE"""),37005.0)</f>
        <v>37005</v>
      </c>
      <c r="D4845" s="5">
        <f>IFERROR(__xludf.DUMMYFUNCTION("""COMPUTED_VALUE"""),0.34804297774366844)</f>
        <v>0.3480429777</v>
      </c>
      <c r="E4845" s="5">
        <f>IFERROR(__xludf.DUMMYFUNCTION("""COMPUTED_VALUE"""),0.11473522640061397)</f>
        <v>0.1147352264</v>
      </c>
      <c r="F4845" s="5">
        <f>IFERROR(__xludf.DUMMYFUNCTION("""COMPUTED_VALUE"""),0.20618100242044984)</f>
        <v>0.2061810024</v>
      </c>
      <c r="G4845" s="5">
        <f>IFERROR(__xludf.DUMMYFUNCTION("""COMPUTED_VALUE"""),0.16217013991380838)</f>
        <v>0.1621701399</v>
      </c>
      <c r="H4845" s="5">
        <f>IFERROR(__xludf.DUMMYFUNCTION("""COMPUTED_VALUE"""),0.6085898353614889)</f>
        <v>0.6085898354</v>
      </c>
      <c r="I4845" s="11">
        <f>IFERROR(__xludf.DUMMYFUNCTION("""COMPUTED_VALUE"""),5671.5103793843955)</f>
        <v>5671.510379</v>
      </c>
      <c r="J4845" s="10">
        <f>IFERROR(__xludf.DUMMYFUNCTION("""COMPUTED_VALUE"""),5.0)</f>
        <v>5</v>
      </c>
      <c r="K4845" s="5">
        <f>IFERROR(__xludf.DUMMYFUNCTION("""COMPUTED_VALUE"""),0.0015989766549408379)</f>
        <v>0.001598976655</v>
      </c>
      <c r="L4845" s="10">
        <f>IFERROR(__xludf.DUMMYFUNCTION("""COMPUTED_VALUE"""),3127.0)</f>
        <v>3127</v>
      </c>
      <c r="M4845" s="5">
        <f>IFERROR(__xludf.DUMMYFUNCTION("""COMPUTED_VALUE"""),1.0)</f>
        <v>1</v>
      </c>
    </row>
    <row r="4846">
      <c r="A4846" s="10" t="str">
        <f>IFERROR(__xludf.DUMMYFUNCTION("""COMPUTED_VALUE"""),"園田海未")</f>
        <v>園田海未</v>
      </c>
      <c r="B4846" s="10">
        <f>IFERROR(__xludf.DUMMYFUNCTION("""COMPUTED_VALUE"""),401.0)</f>
        <v>401</v>
      </c>
      <c r="C4846" s="10">
        <f>IFERROR(__xludf.DUMMYFUNCTION("""COMPUTED_VALUE"""),4681.0)</f>
        <v>4681</v>
      </c>
      <c r="D4846" s="5">
        <f>IFERROR(__xludf.DUMMYFUNCTION("""COMPUTED_VALUE"""),0.3172897196261682)</f>
        <v>0.3172897196</v>
      </c>
      <c r="E4846" s="5">
        <f>IFERROR(__xludf.DUMMYFUNCTION("""COMPUTED_VALUE"""),0.1147196261682243)</f>
        <v>0.1147196262</v>
      </c>
      <c r="F4846" s="5">
        <f>IFERROR(__xludf.DUMMYFUNCTION("""COMPUTED_VALUE"""),0.2046728971962617)</f>
        <v>0.2046728972</v>
      </c>
      <c r="G4846" s="5">
        <f>IFERROR(__xludf.DUMMYFUNCTION("""COMPUTED_VALUE"""),0.18317757009345795)</f>
        <v>0.1831775701</v>
      </c>
      <c r="H4846" s="5">
        <f>IFERROR(__xludf.DUMMYFUNCTION("""COMPUTED_VALUE"""),0.5753424657534246)</f>
        <v>0.5753424658</v>
      </c>
      <c r="I4846" s="11">
        <f>IFERROR(__xludf.DUMMYFUNCTION("""COMPUTED_VALUE"""),5757.762557077625)</f>
        <v>5757.762557</v>
      </c>
      <c r="J4846" s="10">
        <f>IFERROR(__xludf.DUMMYFUNCTION("""COMPUTED_VALUE"""),0.0)</f>
        <v>0</v>
      </c>
      <c r="K4846" s="5">
        <f>IFERROR(__xludf.DUMMYFUNCTION("""COMPUTED_VALUE"""),0.0)</f>
        <v>0</v>
      </c>
      <c r="L4846" s="10">
        <f>IFERROR(__xludf.DUMMYFUNCTION("""COMPUTED_VALUE"""),0.0)</f>
        <v>0</v>
      </c>
      <c r="M4846" s="5">
        <f>IFERROR(__xludf.DUMMYFUNCTION("""COMPUTED_VALUE"""),0.0)</f>
        <v>0</v>
      </c>
    </row>
    <row r="4847">
      <c r="A4847" s="10" t="str">
        <f>IFERROR(__xludf.DUMMYFUNCTION("""COMPUTED_VALUE"""),"心滅")</f>
        <v>心滅</v>
      </c>
      <c r="B4847" s="10">
        <f>IFERROR(__xludf.DUMMYFUNCTION("""COMPUTED_VALUE"""),550.0)</f>
        <v>550</v>
      </c>
      <c r="C4847" s="10">
        <f>IFERROR(__xludf.DUMMYFUNCTION("""COMPUTED_VALUE"""),6408.0)</f>
        <v>6408</v>
      </c>
      <c r="D4847" s="5">
        <f>IFERROR(__xludf.DUMMYFUNCTION("""COMPUTED_VALUE"""),0.32724479344486174)</f>
        <v>0.3272447934</v>
      </c>
      <c r="E4847" s="5">
        <f>IFERROR(__xludf.DUMMYFUNCTION("""COMPUTED_VALUE"""),0.11471491976783885)</f>
        <v>0.1147149198</v>
      </c>
      <c r="F4847" s="5">
        <f>IFERROR(__xludf.DUMMYFUNCTION("""COMPUTED_VALUE"""),0.2191874359849778)</f>
        <v>0.219187436</v>
      </c>
      <c r="G4847" s="5">
        <f>IFERROR(__xludf.DUMMYFUNCTION("""COMPUTED_VALUE"""),0.16592693752133833)</f>
        <v>0.1659269375</v>
      </c>
      <c r="H4847" s="5">
        <f>IFERROR(__xludf.DUMMYFUNCTION("""COMPUTED_VALUE"""),0.6160436137071651)</f>
        <v>0.6160436137</v>
      </c>
      <c r="I4847" s="11">
        <f>IFERROR(__xludf.DUMMYFUNCTION("""COMPUTED_VALUE"""),5677.414330218068)</f>
        <v>5677.41433</v>
      </c>
      <c r="J4847" s="10">
        <f>IFERROR(__xludf.DUMMYFUNCTION("""COMPUTED_VALUE"""),2.0)</f>
        <v>2</v>
      </c>
      <c r="K4847" s="5">
        <f>IFERROR(__xludf.DUMMYFUNCTION("""COMPUTED_VALUE"""),0.0036363636363636364)</f>
        <v>0.003636363636</v>
      </c>
      <c r="L4847" s="10">
        <f>IFERROR(__xludf.DUMMYFUNCTION("""COMPUTED_VALUE"""),550.0)</f>
        <v>550</v>
      </c>
      <c r="M4847" s="5">
        <f>IFERROR(__xludf.DUMMYFUNCTION("""COMPUTED_VALUE"""),1.0)</f>
        <v>1</v>
      </c>
    </row>
    <row r="4848">
      <c r="A4848" s="10" t="str">
        <f>IFERROR(__xludf.DUMMYFUNCTION("""COMPUTED_VALUE"""),"ちゃんたった")</f>
        <v>ちゃんたった</v>
      </c>
      <c r="B4848" s="10">
        <f>IFERROR(__xludf.DUMMYFUNCTION("""COMPUTED_VALUE"""),130.0)</f>
        <v>130</v>
      </c>
      <c r="C4848" s="10">
        <f>IFERROR(__xludf.DUMMYFUNCTION("""COMPUTED_VALUE"""),1551.0)</f>
        <v>1551</v>
      </c>
      <c r="D4848" s="5">
        <f>IFERROR(__xludf.DUMMYFUNCTION("""COMPUTED_VALUE"""),0.3483462350457424)</f>
        <v>0.348346235</v>
      </c>
      <c r="E4848" s="5">
        <f>IFERROR(__xludf.DUMMYFUNCTION("""COMPUTED_VALUE"""),0.11470795214637579)</f>
        <v>0.1147079521</v>
      </c>
      <c r="F4848" s="5">
        <f>IFERROR(__xludf.DUMMYFUNCTION("""COMPUTED_VALUE"""),0.18789584799437017)</f>
        <v>0.187895848</v>
      </c>
      <c r="G4848" s="5">
        <f>IFERROR(__xludf.DUMMYFUNCTION("""COMPUTED_VALUE"""),0.15270935960591134)</f>
        <v>0.1527093596</v>
      </c>
      <c r="H4848" s="5">
        <f>IFERROR(__xludf.DUMMYFUNCTION("""COMPUTED_VALUE"""),0.5842696629213483)</f>
        <v>0.5842696629</v>
      </c>
      <c r="I4848" s="11">
        <f>IFERROR(__xludf.DUMMYFUNCTION("""COMPUTED_VALUE"""),5315.3558052434455)</f>
        <v>5315.355805</v>
      </c>
      <c r="J4848" s="10">
        <f>IFERROR(__xludf.DUMMYFUNCTION("""COMPUTED_VALUE"""),0.0)</f>
        <v>0</v>
      </c>
      <c r="K4848" s="5">
        <f>IFERROR(__xludf.DUMMYFUNCTION("""COMPUTED_VALUE"""),0.0)</f>
        <v>0</v>
      </c>
      <c r="L4848" s="10">
        <f>IFERROR(__xludf.DUMMYFUNCTION("""COMPUTED_VALUE"""),81.0)</f>
        <v>81</v>
      </c>
      <c r="M4848" s="5">
        <f>IFERROR(__xludf.DUMMYFUNCTION("""COMPUTED_VALUE"""),0.6230769230769231)</f>
        <v>0.6230769231</v>
      </c>
    </row>
    <row r="4849">
      <c r="A4849" s="10" t="str">
        <f>IFERROR(__xludf.DUMMYFUNCTION("""COMPUTED_VALUE"""),"UR秋山裕邦")</f>
        <v>UR秋山裕邦</v>
      </c>
      <c r="B4849" s="10">
        <f>IFERROR(__xludf.DUMMYFUNCTION("""COMPUTED_VALUE"""),324.0)</f>
        <v>324</v>
      </c>
      <c r="C4849" s="10">
        <f>IFERROR(__xludf.DUMMYFUNCTION("""COMPUTED_VALUE"""),3785.0)</f>
        <v>3785</v>
      </c>
      <c r="D4849" s="5">
        <f>IFERROR(__xludf.DUMMYFUNCTION("""COMPUTED_VALUE"""),0.3392083212944236)</f>
        <v>0.3392083213</v>
      </c>
      <c r="E4849" s="5">
        <f>IFERROR(__xludf.DUMMYFUNCTION("""COMPUTED_VALUE"""),0.11470673215833574)</f>
        <v>0.1147067322</v>
      </c>
      <c r="F4849" s="5">
        <f>IFERROR(__xludf.DUMMYFUNCTION("""COMPUTED_VALUE"""),0.21178850043340075)</f>
        <v>0.2117885004</v>
      </c>
      <c r="G4849" s="5">
        <f>IFERROR(__xludf.DUMMYFUNCTION("""COMPUTED_VALUE"""),0.15342386593470095)</f>
        <v>0.1534238659</v>
      </c>
      <c r="H4849" s="5">
        <f>IFERROR(__xludf.DUMMYFUNCTION("""COMPUTED_VALUE"""),0.6289222373806276)</f>
        <v>0.6289222374</v>
      </c>
      <c r="I4849" s="11">
        <f>IFERROR(__xludf.DUMMYFUNCTION("""COMPUTED_VALUE"""),5969.031377899045)</f>
        <v>5969.031378</v>
      </c>
      <c r="J4849" s="10">
        <f>IFERROR(__xludf.DUMMYFUNCTION("""COMPUTED_VALUE"""),1.0)</f>
        <v>1</v>
      </c>
      <c r="K4849" s="5">
        <f>IFERROR(__xludf.DUMMYFUNCTION("""COMPUTED_VALUE"""),0.0030864197530864196)</f>
        <v>0.003086419753</v>
      </c>
      <c r="L4849" s="10">
        <f>IFERROR(__xludf.DUMMYFUNCTION("""COMPUTED_VALUE"""),324.0)</f>
        <v>324</v>
      </c>
      <c r="M4849" s="5">
        <f>IFERROR(__xludf.DUMMYFUNCTION("""COMPUTED_VALUE"""),1.0)</f>
        <v>1</v>
      </c>
    </row>
    <row r="4850">
      <c r="A4850" s="10" t="str">
        <f>IFERROR(__xludf.DUMMYFUNCTION("""COMPUTED_VALUE"""),"miya13")</f>
        <v>miya13</v>
      </c>
      <c r="B4850" s="10">
        <f>IFERROR(__xludf.DUMMYFUNCTION("""COMPUTED_VALUE"""),904.0)</f>
        <v>904</v>
      </c>
      <c r="C4850" s="10">
        <f>IFERROR(__xludf.DUMMYFUNCTION("""COMPUTED_VALUE"""),10459.0)</f>
        <v>10459</v>
      </c>
      <c r="D4850" s="5">
        <f>IFERROR(__xludf.DUMMYFUNCTION("""COMPUTED_VALUE"""),0.3520669806384092)</f>
        <v>0.3520669806</v>
      </c>
      <c r="E4850" s="5">
        <f>IFERROR(__xludf.DUMMYFUNCTION("""COMPUTED_VALUE"""),0.11470434327577185)</f>
        <v>0.1147043433</v>
      </c>
      <c r="F4850" s="5">
        <f>IFERROR(__xludf.DUMMYFUNCTION("""COMPUTED_VALUE"""),0.2218733647305076)</f>
        <v>0.2218733647</v>
      </c>
      <c r="G4850" s="5">
        <f>IFERROR(__xludf.DUMMYFUNCTION("""COMPUTED_VALUE"""),0.17006802721088435)</f>
        <v>0.1700680272</v>
      </c>
      <c r="H4850" s="5">
        <f>IFERROR(__xludf.DUMMYFUNCTION("""COMPUTED_VALUE"""),0.6004716981132076)</f>
        <v>0.6004716981</v>
      </c>
      <c r="I4850" s="11">
        <f>IFERROR(__xludf.DUMMYFUNCTION("""COMPUTED_VALUE"""),5676.415094339623)</f>
        <v>5676.415094</v>
      </c>
      <c r="J4850" s="10">
        <f>IFERROR(__xludf.DUMMYFUNCTION("""COMPUTED_VALUE"""),4.0)</f>
        <v>4</v>
      </c>
      <c r="K4850" s="5">
        <f>IFERROR(__xludf.DUMMYFUNCTION("""COMPUTED_VALUE"""),0.004424778761061947)</f>
        <v>0.004424778761</v>
      </c>
      <c r="L4850" s="10">
        <f>IFERROR(__xludf.DUMMYFUNCTION("""COMPUTED_VALUE"""),614.0)</f>
        <v>614</v>
      </c>
      <c r="M4850" s="5">
        <f>IFERROR(__xludf.DUMMYFUNCTION("""COMPUTED_VALUE"""),0.6792035398230089)</f>
        <v>0.6792035398</v>
      </c>
    </row>
    <row r="4851">
      <c r="A4851" s="10" t="str">
        <f>IFERROR(__xludf.DUMMYFUNCTION("""COMPUTED_VALUE"""),"ひっく")</f>
        <v>ひっく</v>
      </c>
      <c r="B4851" s="10">
        <f>IFERROR(__xludf.DUMMYFUNCTION("""COMPUTED_VALUE"""),140.0)</f>
        <v>140</v>
      </c>
      <c r="C4851" s="10">
        <f>IFERROR(__xludf.DUMMYFUNCTION("""COMPUTED_VALUE"""),1657.0)</f>
        <v>1657</v>
      </c>
      <c r="D4851" s="5">
        <f>IFERROR(__xludf.DUMMYFUNCTION("""COMPUTED_VALUE"""),0.39156229400131837)</f>
        <v>0.391562294</v>
      </c>
      <c r="E4851" s="5">
        <f>IFERROR(__xludf.DUMMYFUNCTION("""COMPUTED_VALUE"""),0.11470006591957811)</f>
        <v>0.1147000659</v>
      </c>
      <c r="F4851" s="5">
        <f>IFERROR(__xludf.DUMMYFUNCTION("""COMPUTED_VALUE"""),0.21555702043506922)</f>
        <v>0.2155570204</v>
      </c>
      <c r="G4851" s="5">
        <f>IFERROR(__xludf.DUMMYFUNCTION("""COMPUTED_VALUE"""),0.15754779169413316)</f>
        <v>0.1575477917</v>
      </c>
      <c r="H4851" s="5">
        <f>IFERROR(__xludf.DUMMYFUNCTION("""COMPUTED_VALUE"""),0.5596330275229358)</f>
        <v>0.5596330275</v>
      </c>
      <c r="I4851" s="11">
        <f>IFERROR(__xludf.DUMMYFUNCTION("""COMPUTED_VALUE"""),5203.975535168196)</f>
        <v>5203.975535</v>
      </c>
      <c r="J4851" s="10">
        <f>IFERROR(__xludf.DUMMYFUNCTION("""COMPUTED_VALUE"""),0.0)</f>
        <v>0</v>
      </c>
      <c r="K4851" s="5">
        <f>IFERROR(__xludf.DUMMYFUNCTION("""COMPUTED_VALUE"""),0.0)</f>
        <v>0</v>
      </c>
      <c r="L4851" s="10">
        <f>IFERROR(__xludf.DUMMYFUNCTION("""COMPUTED_VALUE"""),119.0)</f>
        <v>119</v>
      </c>
      <c r="M4851" s="5">
        <f>IFERROR(__xludf.DUMMYFUNCTION("""COMPUTED_VALUE"""),0.85)</f>
        <v>0.85</v>
      </c>
    </row>
    <row r="4852">
      <c r="A4852" s="10" t="str">
        <f>IFERROR(__xludf.DUMMYFUNCTION("""COMPUTED_VALUE"""),"旅に出たリー棒")</f>
        <v>旅に出たリー棒</v>
      </c>
      <c r="B4852" s="10">
        <f>IFERROR(__xludf.DUMMYFUNCTION("""COMPUTED_VALUE"""),345.0)</f>
        <v>345</v>
      </c>
      <c r="C4852" s="10">
        <f>IFERROR(__xludf.DUMMYFUNCTION("""COMPUTED_VALUE"""),4094.0)</f>
        <v>4094</v>
      </c>
      <c r="D4852" s="5">
        <f>IFERROR(__xludf.DUMMYFUNCTION("""COMPUTED_VALUE"""),0.40144038410242733)</f>
        <v>0.4014403841</v>
      </c>
      <c r="E4852" s="5">
        <f>IFERROR(__xludf.DUMMYFUNCTION("""COMPUTED_VALUE"""),0.11469725260069352)</f>
        <v>0.1146972526</v>
      </c>
      <c r="F4852" s="5">
        <f>IFERROR(__xludf.DUMMYFUNCTION("""COMPUTED_VALUE"""),0.19391837823419578)</f>
        <v>0.1939183782</v>
      </c>
      <c r="G4852" s="5">
        <f>IFERROR(__xludf.DUMMYFUNCTION("""COMPUTED_VALUE"""),0.16911176313683648)</f>
        <v>0.1691117631</v>
      </c>
      <c r="H4852" s="5">
        <f>IFERROR(__xludf.DUMMYFUNCTION("""COMPUTED_VALUE"""),0.594222833562586)</f>
        <v>0.5942228336</v>
      </c>
      <c r="I4852" s="11">
        <f>IFERROR(__xludf.DUMMYFUNCTION("""COMPUTED_VALUE"""),5239.339752407152)</f>
        <v>5239.339752</v>
      </c>
      <c r="J4852" s="10">
        <f>IFERROR(__xludf.DUMMYFUNCTION("""COMPUTED_VALUE"""),0.0)</f>
        <v>0</v>
      </c>
      <c r="K4852" s="5">
        <f>IFERROR(__xludf.DUMMYFUNCTION("""COMPUTED_VALUE"""),0.0)</f>
        <v>0</v>
      </c>
      <c r="L4852" s="10">
        <f>IFERROR(__xludf.DUMMYFUNCTION("""COMPUTED_VALUE"""),345.0)</f>
        <v>345</v>
      </c>
      <c r="M4852" s="5">
        <f>IFERROR(__xludf.DUMMYFUNCTION("""COMPUTED_VALUE"""),1.0)</f>
        <v>1</v>
      </c>
    </row>
    <row r="4853">
      <c r="A4853" s="10" t="str">
        <f>IFERROR(__xludf.DUMMYFUNCTION("""COMPUTED_VALUE"""),"チョコロボ君")</f>
        <v>チョコロボ君</v>
      </c>
      <c r="B4853" s="10">
        <f>IFERROR(__xludf.DUMMYFUNCTION("""COMPUTED_VALUE"""),467.0)</f>
        <v>467</v>
      </c>
      <c r="C4853" s="10">
        <f>IFERROR(__xludf.DUMMYFUNCTION("""COMPUTED_VALUE"""),5437.0)</f>
        <v>5437</v>
      </c>
      <c r="D4853" s="5">
        <f>IFERROR(__xludf.DUMMYFUNCTION("""COMPUTED_VALUE"""),0.21790744466800804)</f>
        <v>0.2179074447</v>
      </c>
      <c r="E4853" s="5">
        <f>IFERROR(__xludf.DUMMYFUNCTION("""COMPUTED_VALUE"""),0.11468812877263582)</f>
        <v>0.1146881288</v>
      </c>
      <c r="F4853" s="5">
        <f>IFERROR(__xludf.DUMMYFUNCTION("""COMPUTED_VALUE"""),0.1949698189134809)</f>
        <v>0.1949698189</v>
      </c>
      <c r="G4853" s="5">
        <f>IFERROR(__xludf.DUMMYFUNCTION("""COMPUTED_VALUE"""),0.18571428571428572)</f>
        <v>0.1857142857</v>
      </c>
      <c r="H4853" s="5">
        <f>IFERROR(__xludf.DUMMYFUNCTION("""COMPUTED_VALUE"""),0.5603715170278638)</f>
        <v>0.560371517</v>
      </c>
      <c r="I4853" s="11">
        <f>IFERROR(__xludf.DUMMYFUNCTION("""COMPUTED_VALUE"""),6409.081527347781)</f>
        <v>6409.081527</v>
      </c>
      <c r="J4853" s="10">
        <f>IFERROR(__xludf.DUMMYFUNCTION("""COMPUTED_VALUE"""),4.0)</f>
        <v>4</v>
      </c>
      <c r="K4853" s="5">
        <f>IFERROR(__xludf.DUMMYFUNCTION("""COMPUTED_VALUE"""),0.008565310492505354)</f>
        <v>0.008565310493</v>
      </c>
      <c r="L4853" s="10">
        <f>IFERROR(__xludf.DUMMYFUNCTION("""COMPUTED_VALUE"""),467.0)</f>
        <v>467</v>
      </c>
      <c r="M4853" s="5">
        <f>IFERROR(__xludf.DUMMYFUNCTION("""COMPUTED_VALUE"""),1.0)</f>
        <v>1</v>
      </c>
    </row>
    <row r="4854">
      <c r="A4854" s="10" t="str">
        <f>IFERROR(__xludf.DUMMYFUNCTION("""COMPUTED_VALUE"""),"リツミサン")</f>
        <v>リツミサン</v>
      </c>
      <c r="B4854" s="10">
        <f>IFERROR(__xludf.DUMMYFUNCTION("""COMPUTED_VALUE"""),1054.0)</f>
        <v>1054</v>
      </c>
      <c r="C4854" s="10">
        <f>IFERROR(__xludf.DUMMYFUNCTION("""COMPUTED_VALUE"""),12313.0)</f>
        <v>12313</v>
      </c>
      <c r="D4854" s="5">
        <f>IFERROR(__xludf.DUMMYFUNCTION("""COMPUTED_VALUE"""),0.23181454836131096)</f>
        <v>0.2318145484</v>
      </c>
      <c r="E4854" s="5">
        <f>IFERROR(__xludf.DUMMYFUNCTION("""COMPUTED_VALUE"""),0.11466382449595879)</f>
        <v>0.1146638245</v>
      </c>
      <c r="F4854" s="5">
        <f>IFERROR(__xludf.DUMMYFUNCTION("""COMPUTED_VALUE"""),0.19442223998578914)</f>
        <v>0.19442224</v>
      </c>
      <c r="G4854" s="5">
        <f>IFERROR(__xludf.DUMMYFUNCTION("""COMPUTED_VALUE"""),0.17568167688071765)</f>
        <v>0.1756816769</v>
      </c>
      <c r="H4854" s="5">
        <f>IFERROR(__xludf.DUMMYFUNCTION("""COMPUTED_VALUE"""),0.5998172681589767)</f>
        <v>0.5998172682</v>
      </c>
      <c r="I4854" s="11">
        <f>IFERROR(__xludf.DUMMYFUNCTION("""COMPUTED_VALUE"""),6224.531749657378)</f>
        <v>6224.53175</v>
      </c>
      <c r="J4854" s="10">
        <f>IFERROR(__xludf.DUMMYFUNCTION("""COMPUTED_VALUE"""),2.0)</f>
        <v>2</v>
      </c>
      <c r="K4854" s="5">
        <f>IFERROR(__xludf.DUMMYFUNCTION("""COMPUTED_VALUE"""),0.0018975332068311196)</f>
        <v>0.001897533207</v>
      </c>
      <c r="L4854" s="10">
        <f>IFERROR(__xludf.DUMMYFUNCTION("""COMPUTED_VALUE"""),1054.0)</f>
        <v>1054</v>
      </c>
      <c r="M4854" s="5">
        <f>IFERROR(__xludf.DUMMYFUNCTION("""COMPUTED_VALUE"""),1.0)</f>
        <v>1</v>
      </c>
    </row>
    <row r="4855">
      <c r="A4855" s="10" t="str">
        <f>IFERROR(__xludf.DUMMYFUNCTION("""COMPUTED_VALUE"""),"キングあつし")</f>
        <v>キングあつし</v>
      </c>
      <c r="B4855" s="10">
        <f>IFERROR(__xludf.DUMMYFUNCTION("""COMPUTED_VALUE"""),1180.0)</f>
        <v>1180</v>
      </c>
      <c r="C4855" s="10">
        <f>IFERROR(__xludf.DUMMYFUNCTION("""COMPUTED_VALUE"""),13713.0)</f>
        <v>13713</v>
      </c>
      <c r="D4855" s="5">
        <f>IFERROR(__xludf.DUMMYFUNCTION("""COMPUTED_VALUE"""),0.32593951966807627)</f>
        <v>0.3259395197</v>
      </c>
      <c r="E4855" s="5">
        <f>IFERROR(__xludf.DUMMYFUNCTION("""COMPUTED_VALUE"""),0.11465730471555094)</f>
        <v>0.1146573047</v>
      </c>
      <c r="F4855" s="5">
        <f>IFERROR(__xludf.DUMMYFUNCTION("""COMPUTED_VALUE"""),0.21295779143062316)</f>
        <v>0.2129577914</v>
      </c>
      <c r="G4855" s="5">
        <f>IFERROR(__xludf.DUMMYFUNCTION("""COMPUTED_VALUE"""),0.18503151679565946)</f>
        <v>0.1850315168</v>
      </c>
      <c r="H4855" s="5">
        <f>IFERROR(__xludf.DUMMYFUNCTION("""COMPUTED_VALUE"""),0.5991007868115399)</f>
        <v>0.5991007868</v>
      </c>
      <c r="I4855" s="11">
        <f>IFERROR(__xludf.DUMMYFUNCTION("""COMPUTED_VALUE"""),5763.99400524541)</f>
        <v>5763.994005</v>
      </c>
      <c r="J4855" s="10">
        <f>IFERROR(__xludf.DUMMYFUNCTION("""COMPUTED_VALUE"""),1.0)</f>
        <v>1</v>
      </c>
      <c r="K4855" s="5">
        <f>IFERROR(__xludf.DUMMYFUNCTION("""COMPUTED_VALUE"""),8.47457627118644E-4)</f>
        <v>0.0008474576271</v>
      </c>
      <c r="L4855" s="10">
        <f>IFERROR(__xludf.DUMMYFUNCTION("""COMPUTED_VALUE"""),1180.0)</f>
        <v>1180</v>
      </c>
      <c r="M4855" s="5">
        <f>IFERROR(__xludf.DUMMYFUNCTION("""COMPUTED_VALUE"""),1.0)</f>
        <v>1</v>
      </c>
    </row>
    <row r="4856">
      <c r="A4856" s="10" t="str">
        <f>IFERROR(__xludf.DUMMYFUNCTION("""COMPUTED_VALUE"""),"きます")</f>
        <v>きます</v>
      </c>
      <c r="B4856" s="10">
        <f>IFERROR(__xludf.DUMMYFUNCTION("""COMPUTED_VALUE"""),2723.0)</f>
        <v>2723</v>
      </c>
      <c r="C4856" s="10">
        <f>IFERROR(__xludf.DUMMYFUNCTION("""COMPUTED_VALUE"""),31977.0)</f>
        <v>31977</v>
      </c>
      <c r="D4856" s="5">
        <f>IFERROR(__xludf.DUMMYFUNCTION("""COMPUTED_VALUE"""),0.31732412661516374)</f>
        <v>0.3173241266</v>
      </c>
      <c r="E4856" s="5">
        <f>IFERROR(__xludf.DUMMYFUNCTION("""COMPUTED_VALUE"""),0.11465098789909073)</f>
        <v>0.1146509879</v>
      </c>
      <c r="F4856" s="5">
        <f>IFERROR(__xludf.DUMMYFUNCTION("""COMPUTED_VALUE"""),0.20010938675052983)</f>
        <v>0.2001093868</v>
      </c>
      <c r="G4856" s="5">
        <f>IFERROR(__xludf.DUMMYFUNCTION("""COMPUTED_VALUE"""),0.16329390852532988)</f>
        <v>0.1632939085</v>
      </c>
      <c r="H4856" s="5">
        <f>IFERROR(__xludf.DUMMYFUNCTION("""COMPUTED_VALUE"""),0.6110351896139392)</f>
        <v>0.6110351896</v>
      </c>
      <c r="I4856" s="11">
        <f>IFERROR(__xludf.DUMMYFUNCTION("""COMPUTED_VALUE"""),5678.15169115135)</f>
        <v>5678.151691</v>
      </c>
      <c r="J4856" s="10">
        <f>IFERROR(__xludf.DUMMYFUNCTION("""COMPUTED_VALUE"""),1.0)</f>
        <v>1</v>
      </c>
      <c r="K4856" s="5">
        <f>IFERROR(__xludf.DUMMYFUNCTION("""COMPUTED_VALUE"""),3.672420124862284E-4)</f>
        <v>0.0003672420125</v>
      </c>
      <c r="L4856" s="10">
        <f>IFERROR(__xludf.DUMMYFUNCTION("""COMPUTED_VALUE"""),2723.0)</f>
        <v>2723</v>
      </c>
      <c r="M4856" s="5">
        <f>IFERROR(__xludf.DUMMYFUNCTION("""COMPUTED_VALUE"""),1.0)</f>
        <v>1</v>
      </c>
    </row>
    <row r="4857">
      <c r="A4857" s="10" t="str">
        <f>IFERROR(__xludf.DUMMYFUNCTION("""COMPUTED_VALUE"""),"RENEGE")</f>
        <v>RENEGE</v>
      </c>
      <c r="B4857" s="10">
        <f>IFERROR(__xludf.DUMMYFUNCTION("""COMPUTED_VALUE"""),574.0)</f>
        <v>574</v>
      </c>
      <c r="C4857" s="10">
        <f>IFERROR(__xludf.DUMMYFUNCTION("""COMPUTED_VALUE"""),6785.0)</f>
        <v>6785</v>
      </c>
      <c r="D4857" s="5">
        <f>IFERROR(__xludf.DUMMYFUNCTION("""COMPUTED_VALUE"""),0.3323136370954758)</f>
        <v>0.3323136371</v>
      </c>
      <c r="E4857" s="5">
        <f>IFERROR(__xludf.DUMMYFUNCTION("""COMPUTED_VALUE"""),0.11463532442440831)</f>
        <v>0.1146353244</v>
      </c>
      <c r="F4857" s="5">
        <f>IFERROR(__xludf.DUMMYFUNCTION("""COMPUTED_VALUE"""),0.19288359362421512)</f>
        <v>0.1928835936</v>
      </c>
      <c r="G4857" s="5">
        <f>IFERROR(__xludf.DUMMYFUNCTION("""COMPUTED_VALUE"""),0.19079053292545484)</f>
        <v>0.1907905329</v>
      </c>
      <c r="H4857" s="5">
        <f>IFERROR(__xludf.DUMMYFUNCTION("""COMPUTED_VALUE"""),0.5984974958263773)</f>
        <v>0.5984974958</v>
      </c>
      <c r="I4857" s="11">
        <f>IFERROR(__xludf.DUMMYFUNCTION("""COMPUTED_VALUE"""),5836.227045075125)</f>
        <v>5836.227045</v>
      </c>
      <c r="J4857" s="10">
        <f>IFERROR(__xludf.DUMMYFUNCTION("""COMPUTED_VALUE"""),2.0)</f>
        <v>2</v>
      </c>
      <c r="K4857" s="5">
        <f>IFERROR(__xludf.DUMMYFUNCTION("""COMPUTED_VALUE"""),0.003484320557491289)</f>
        <v>0.003484320557</v>
      </c>
      <c r="L4857" s="10">
        <f>IFERROR(__xludf.DUMMYFUNCTION("""COMPUTED_VALUE"""),77.0)</f>
        <v>77</v>
      </c>
      <c r="M4857" s="5">
        <f>IFERROR(__xludf.DUMMYFUNCTION("""COMPUTED_VALUE"""),0.13414634146341464)</f>
        <v>0.1341463415</v>
      </c>
    </row>
    <row r="4858">
      <c r="A4858" s="10" t="str">
        <f>IFERROR(__xludf.DUMMYFUNCTION("""COMPUTED_VALUE"""),"夜桜システム")</f>
        <v>夜桜システム</v>
      </c>
      <c r="B4858" s="10">
        <f>IFERROR(__xludf.DUMMYFUNCTION("""COMPUTED_VALUE"""),427.0)</f>
        <v>427</v>
      </c>
      <c r="C4858" s="10">
        <f>IFERROR(__xludf.DUMMYFUNCTION("""COMPUTED_VALUE"""),5033.0)</f>
        <v>5033</v>
      </c>
      <c r="D4858" s="5">
        <f>IFERROR(__xludf.DUMMYFUNCTION("""COMPUTED_VALUE"""),0.3501953973078593)</f>
        <v>0.3501953973</v>
      </c>
      <c r="E4858" s="5">
        <f>IFERROR(__xludf.DUMMYFUNCTION("""COMPUTED_VALUE"""),0.11463308727746417)</f>
        <v>0.1146330873</v>
      </c>
      <c r="F4858" s="5">
        <f>IFERROR(__xludf.DUMMYFUNCTION("""COMPUTED_VALUE"""),0.20256187581415544)</f>
        <v>0.2025618758</v>
      </c>
      <c r="G4858" s="5">
        <f>IFERROR(__xludf.DUMMYFUNCTION("""COMPUTED_VALUE"""),0.1704298740772905)</f>
        <v>0.1704298741</v>
      </c>
      <c r="H4858" s="5">
        <f>IFERROR(__xludf.DUMMYFUNCTION("""COMPUTED_VALUE"""),0.5894962486602358)</f>
        <v>0.5894962487</v>
      </c>
      <c r="I4858" s="11">
        <f>IFERROR(__xludf.DUMMYFUNCTION("""COMPUTED_VALUE"""),5445.980707395498)</f>
        <v>5445.980707</v>
      </c>
      <c r="J4858" s="10">
        <f>IFERROR(__xludf.DUMMYFUNCTION("""COMPUTED_VALUE"""),0.0)</f>
        <v>0</v>
      </c>
      <c r="K4858" s="5">
        <f>IFERROR(__xludf.DUMMYFUNCTION("""COMPUTED_VALUE"""),0.0)</f>
        <v>0</v>
      </c>
      <c r="L4858" s="10">
        <f>IFERROR(__xludf.DUMMYFUNCTION("""COMPUTED_VALUE"""),0.0)</f>
        <v>0</v>
      </c>
      <c r="M4858" s="5">
        <f>IFERROR(__xludf.DUMMYFUNCTION("""COMPUTED_VALUE"""),0.0)</f>
        <v>0</v>
      </c>
    </row>
    <row r="4859">
      <c r="A4859" s="10" t="str">
        <f>IFERROR(__xludf.DUMMYFUNCTION("""COMPUTED_VALUE"""),"ハイザラ")</f>
        <v>ハイザラ</v>
      </c>
      <c r="B4859" s="10">
        <f>IFERROR(__xludf.DUMMYFUNCTION("""COMPUTED_VALUE"""),710.0)</f>
        <v>710</v>
      </c>
      <c r="C4859" s="10">
        <f>IFERROR(__xludf.DUMMYFUNCTION("""COMPUTED_VALUE"""),8256.0)</f>
        <v>8256</v>
      </c>
      <c r="D4859" s="5">
        <f>IFERROR(__xludf.DUMMYFUNCTION("""COMPUTED_VALUE"""),0.3628412403922608)</f>
        <v>0.3628412404</v>
      </c>
      <c r="E4859" s="5">
        <f>IFERROR(__xludf.DUMMYFUNCTION("""COMPUTED_VALUE"""),0.11463026769149218)</f>
        <v>0.1146302677</v>
      </c>
      <c r="F4859" s="5">
        <f>IFERROR(__xludf.DUMMYFUNCTION("""COMPUTED_VALUE"""),0.21070765968725153)</f>
        <v>0.2107076597</v>
      </c>
      <c r="G4859" s="5">
        <f>IFERROR(__xludf.DUMMYFUNCTION("""COMPUTED_VALUE"""),0.16061489530877285)</f>
        <v>0.1606148953</v>
      </c>
      <c r="H4859" s="5">
        <f>IFERROR(__xludf.DUMMYFUNCTION("""COMPUTED_VALUE"""),0.6232704402515723)</f>
        <v>0.6232704403</v>
      </c>
      <c r="I4859" s="11">
        <f>IFERROR(__xludf.DUMMYFUNCTION("""COMPUTED_VALUE"""),5484.025157232704)</f>
        <v>5484.025157</v>
      </c>
      <c r="J4859" s="10">
        <f>IFERROR(__xludf.DUMMYFUNCTION("""COMPUTED_VALUE"""),1.0)</f>
        <v>1</v>
      </c>
      <c r="K4859" s="5">
        <f>IFERROR(__xludf.DUMMYFUNCTION("""COMPUTED_VALUE"""),0.0014084507042253522)</f>
        <v>0.001408450704</v>
      </c>
      <c r="L4859" s="10">
        <f>IFERROR(__xludf.DUMMYFUNCTION("""COMPUTED_VALUE"""),710.0)</f>
        <v>710</v>
      </c>
      <c r="M4859" s="5">
        <f>IFERROR(__xludf.DUMMYFUNCTION("""COMPUTED_VALUE"""),1.0)</f>
        <v>1</v>
      </c>
    </row>
    <row r="4860">
      <c r="A4860" s="10" t="str">
        <f>IFERROR(__xludf.DUMMYFUNCTION("""COMPUTED_VALUE"""),"東京電力")</f>
        <v>東京電力</v>
      </c>
      <c r="B4860" s="10">
        <f>IFERROR(__xludf.DUMMYFUNCTION("""COMPUTED_VALUE"""),716.0)</f>
        <v>716</v>
      </c>
      <c r="C4860" s="10">
        <f>IFERROR(__xludf.DUMMYFUNCTION("""COMPUTED_VALUE"""),8350.0)</f>
        <v>8350</v>
      </c>
      <c r="D4860" s="5">
        <f>IFERROR(__xludf.DUMMYFUNCTION("""COMPUTED_VALUE"""),0.31189415771548334)</f>
        <v>0.3118941577</v>
      </c>
      <c r="E4860" s="5">
        <f>IFERROR(__xludf.DUMMYFUNCTION("""COMPUTED_VALUE"""),0.11461881058422844)</f>
        <v>0.1146188106</v>
      </c>
      <c r="F4860" s="5">
        <f>IFERROR(__xludf.DUMMYFUNCTION("""COMPUTED_VALUE"""),0.2132564841498559)</f>
        <v>0.2132564841</v>
      </c>
      <c r="G4860" s="5">
        <f>IFERROR(__xludf.DUMMYFUNCTION("""COMPUTED_VALUE"""),0.17029080429656798)</f>
        <v>0.1702908043</v>
      </c>
      <c r="H4860" s="5">
        <f>IFERROR(__xludf.DUMMYFUNCTION("""COMPUTED_VALUE"""),0.5896805896805897)</f>
        <v>0.5896805897</v>
      </c>
      <c r="I4860" s="11">
        <f>IFERROR(__xludf.DUMMYFUNCTION("""COMPUTED_VALUE"""),5719.226044226044)</f>
        <v>5719.226044</v>
      </c>
      <c r="J4860" s="10">
        <f>IFERROR(__xludf.DUMMYFUNCTION("""COMPUTED_VALUE"""),2.0)</f>
        <v>2</v>
      </c>
      <c r="K4860" s="5">
        <f>IFERROR(__xludf.DUMMYFUNCTION("""COMPUTED_VALUE"""),0.002793296089385475)</f>
        <v>0.002793296089</v>
      </c>
      <c r="L4860" s="10">
        <f>IFERROR(__xludf.DUMMYFUNCTION("""COMPUTED_VALUE"""),716.0)</f>
        <v>716</v>
      </c>
      <c r="M4860" s="5">
        <f>IFERROR(__xludf.DUMMYFUNCTION("""COMPUTED_VALUE"""),1.0)</f>
        <v>1</v>
      </c>
    </row>
    <row r="4861">
      <c r="A4861" s="10" t="str">
        <f>IFERROR(__xludf.DUMMYFUNCTION("""COMPUTED_VALUE"""),"アイエッ！？")</f>
        <v>アイエッ！？</v>
      </c>
      <c r="B4861" s="10">
        <f>IFERROR(__xludf.DUMMYFUNCTION("""COMPUTED_VALUE"""),1282.0)</f>
        <v>1282</v>
      </c>
      <c r="C4861" s="10">
        <f>IFERROR(__xludf.DUMMYFUNCTION("""COMPUTED_VALUE"""),14840.0)</f>
        <v>14840</v>
      </c>
      <c r="D4861" s="5">
        <f>IFERROR(__xludf.DUMMYFUNCTION("""COMPUTED_VALUE"""),0.27282785071544474)</f>
        <v>0.2728278507</v>
      </c>
      <c r="E4861" s="5">
        <f>IFERROR(__xludf.DUMMYFUNCTION("""COMPUTED_VALUE"""),0.11461867532084379)</f>
        <v>0.1146186753</v>
      </c>
      <c r="F4861" s="5">
        <f>IFERROR(__xludf.DUMMYFUNCTION("""COMPUTED_VALUE"""),0.19619412892757043)</f>
        <v>0.1961941289</v>
      </c>
      <c r="G4861" s="5">
        <f>IFERROR(__xludf.DUMMYFUNCTION("""COMPUTED_VALUE"""),0.17532084378226878)</f>
        <v>0.1753208438</v>
      </c>
      <c r="H4861" s="5">
        <f>IFERROR(__xludf.DUMMYFUNCTION("""COMPUTED_VALUE"""),0.5943609022556391)</f>
        <v>0.5943609023</v>
      </c>
      <c r="I4861" s="11">
        <f>IFERROR(__xludf.DUMMYFUNCTION("""COMPUTED_VALUE"""),5987.744360902256)</f>
        <v>5987.744361</v>
      </c>
      <c r="J4861" s="10">
        <f>IFERROR(__xludf.DUMMYFUNCTION("""COMPUTED_VALUE"""),3.0)</f>
        <v>3</v>
      </c>
      <c r="K4861" s="5">
        <f>IFERROR(__xludf.DUMMYFUNCTION("""COMPUTED_VALUE"""),0.00234009360374415)</f>
        <v>0.002340093604</v>
      </c>
      <c r="L4861" s="10">
        <f>IFERROR(__xludf.DUMMYFUNCTION("""COMPUTED_VALUE"""),1282.0)</f>
        <v>1282</v>
      </c>
      <c r="M4861" s="5">
        <f>IFERROR(__xludf.DUMMYFUNCTION("""COMPUTED_VALUE"""),1.0)</f>
        <v>1</v>
      </c>
    </row>
    <row r="4862">
      <c r="A4862" s="10" t="str">
        <f>IFERROR(__xludf.DUMMYFUNCTION("""COMPUTED_VALUE"""),"ファク眼のファナ")</f>
        <v>ファク眼のファナ</v>
      </c>
      <c r="B4862" s="10">
        <f>IFERROR(__xludf.DUMMYFUNCTION("""COMPUTED_VALUE"""),186.0)</f>
        <v>186</v>
      </c>
      <c r="C4862" s="10">
        <f>IFERROR(__xludf.DUMMYFUNCTION("""COMPUTED_VALUE"""),2219.0)</f>
        <v>2219</v>
      </c>
      <c r="D4862" s="5">
        <f>IFERROR(__xludf.DUMMYFUNCTION("""COMPUTED_VALUE"""),0.31382193802262665)</f>
        <v>0.313821938</v>
      </c>
      <c r="E4862" s="5">
        <f>IFERROR(__xludf.DUMMYFUNCTION("""COMPUTED_VALUE"""),0.1146089522872602)</f>
        <v>0.1146089523</v>
      </c>
      <c r="F4862" s="5">
        <f>IFERROR(__xludf.DUMMYFUNCTION("""COMPUTED_VALUE"""),0.19478603049680276)</f>
        <v>0.1947860305</v>
      </c>
      <c r="G4862" s="5">
        <f>IFERROR(__xludf.DUMMYFUNCTION("""COMPUTED_VALUE"""),0.15789473684210525)</f>
        <v>0.1578947368</v>
      </c>
      <c r="H4862" s="5">
        <f>IFERROR(__xludf.DUMMYFUNCTION("""COMPUTED_VALUE"""),0.5782828282828283)</f>
        <v>0.5782828283</v>
      </c>
      <c r="I4862" s="11">
        <f>IFERROR(__xludf.DUMMYFUNCTION("""COMPUTED_VALUE"""),5463.636363636364)</f>
        <v>5463.636364</v>
      </c>
      <c r="J4862" s="10">
        <f>IFERROR(__xludf.DUMMYFUNCTION("""COMPUTED_VALUE"""),0.0)</f>
        <v>0</v>
      </c>
      <c r="K4862" s="5">
        <f>IFERROR(__xludf.DUMMYFUNCTION("""COMPUTED_VALUE"""),0.0)</f>
        <v>0</v>
      </c>
      <c r="L4862" s="10">
        <f>IFERROR(__xludf.DUMMYFUNCTION("""COMPUTED_VALUE"""),186.0)</f>
        <v>186</v>
      </c>
      <c r="M4862" s="5">
        <f>IFERROR(__xludf.DUMMYFUNCTION("""COMPUTED_VALUE"""),1.0)</f>
        <v>1</v>
      </c>
    </row>
    <row r="4863">
      <c r="A4863" s="10" t="str">
        <f>IFERROR(__xludf.DUMMYFUNCTION("""COMPUTED_VALUE"""),"寿栄広中華そば")</f>
        <v>寿栄広中華そば</v>
      </c>
      <c r="B4863" s="10">
        <f>IFERROR(__xludf.DUMMYFUNCTION("""COMPUTED_VALUE"""),195.0)</f>
        <v>195</v>
      </c>
      <c r="C4863" s="10">
        <f>IFERROR(__xludf.DUMMYFUNCTION("""COMPUTED_VALUE"""),2324.0)</f>
        <v>2324</v>
      </c>
      <c r="D4863" s="5">
        <f>IFERROR(__xludf.DUMMYFUNCTION("""COMPUTED_VALUE"""),0.15782057303898545)</f>
        <v>0.157820573</v>
      </c>
      <c r="E4863" s="5">
        <f>IFERROR(__xludf.DUMMYFUNCTION("""COMPUTED_VALUE"""),0.11460779708783467)</f>
        <v>0.1146077971</v>
      </c>
      <c r="F4863" s="5">
        <f>IFERROR(__xludf.DUMMYFUNCTION("""COMPUTED_VALUE"""),0.17989666510098637)</f>
        <v>0.1798966651</v>
      </c>
      <c r="G4863" s="5">
        <f>IFERROR(__xludf.DUMMYFUNCTION("""COMPUTED_VALUE"""),0.217003287928605)</f>
        <v>0.2170032879</v>
      </c>
      <c r="H4863" s="5">
        <f>IFERROR(__xludf.DUMMYFUNCTION("""COMPUTED_VALUE"""),0.5613577023498695)</f>
        <v>0.5613577023</v>
      </c>
      <c r="I4863" s="11">
        <f>IFERROR(__xludf.DUMMYFUNCTION("""COMPUTED_VALUE"""),6211.488250652742)</f>
        <v>6211.488251</v>
      </c>
      <c r="J4863" s="10">
        <f>IFERROR(__xludf.DUMMYFUNCTION("""COMPUTED_VALUE"""),0.0)</f>
        <v>0</v>
      </c>
      <c r="K4863" s="5">
        <f>IFERROR(__xludf.DUMMYFUNCTION("""COMPUTED_VALUE"""),0.0)</f>
        <v>0</v>
      </c>
      <c r="L4863" s="10">
        <f>IFERROR(__xludf.DUMMYFUNCTION("""COMPUTED_VALUE"""),195.0)</f>
        <v>195</v>
      </c>
      <c r="M4863" s="5">
        <f>IFERROR(__xludf.DUMMYFUNCTION("""COMPUTED_VALUE"""),1.0)</f>
        <v>1</v>
      </c>
    </row>
    <row r="4864">
      <c r="A4864" s="10" t="str">
        <f>IFERROR(__xludf.DUMMYFUNCTION("""COMPUTED_VALUE"""),"ハイブリッド打法")</f>
        <v>ハイブリッド打法</v>
      </c>
      <c r="B4864" s="10">
        <f>IFERROR(__xludf.DUMMYFUNCTION("""COMPUTED_VALUE"""),1524.0)</f>
        <v>1524</v>
      </c>
      <c r="C4864" s="10">
        <f>IFERROR(__xludf.DUMMYFUNCTION("""COMPUTED_VALUE"""),17675.0)</f>
        <v>17675</v>
      </c>
      <c r="D4864" s="5">
        <f>IFERROR(__xludf.DUMMYFUNCTION("""COMPUTED_VALUE"""),0.2913751470497183)</f>
        <v>0.291375147</v>
      </c>
      <c r="E4864" s="5">
        <f>IFERROR(__xludf.DUMMYFUNCTION("""COMPUTED_VALUE"""),0.1146059067549997)</f>
        <v>0.1146059068</v>
      </c>
      <c r="F4864" s="5">
        <f>IFERROR(__xludf.DUMMYFUNCTION("""COMPUTED_VALUE"""),0.2142901368336326)</f>
        <v>0.2142901368</v>
      </c>
      <c r="G4864" s="5">
        <f>IFERROR(__xludf.DUMMYFUNCTION("""COMPUTED_VALUE"""),0.20184508699151754)</f>
        <v>0.201845087</v>
      </c>
      <c r="H4864" s="5">
        <f>IFERROR(__xludf.DUMMYFUNCTION("""COMPUTED_VALUE"""),0.5908696908407974)</f>
        <v>0.5908696908</v>
      </c>
      <c r="I4864" s="11">
        <f>IFERROR(__xludf.DUMMYFUNCTION("""COMPUTED_VALUE"""),5973.158046807281)</f>
        <v>5973.158047</v>
      </c>
      <c r="J4864" s="10">
        <f>IFERROR(__xludf.DUMMYFUNCTION("""COMPUTED_VALUE"""),2.0)</f>
        <v>2</v>
      </c>
      <c r="K4864" s="5">
        <f>IFERROR(__xludf.DUMMYFUNCTION("""COMPUTED_VALUE"""),0.0013123359580052493)</f>
        <v>0.001312335958</v>
      </c>
      <c r="L4864" s="10">
        <f>IFERROR(__xludf.DUMMYFUNCTION("""COMPUTED_VALUE"""),1524.0)</f>
        <v>1524</v>
      </c>
      <c r="M4864" s="5">
        <f>IFERROR(__xludf.DUMMYFUNCTION("""COMPUTED_VALUE"""),1.0)</f>
        <v>1</v>
      </c>
    </row>
    <row r="4865">
      <c r="A4865" s="10" t="str">
        <f>IFERROR(__xludf.DUMMYFUNCTION("""COMPUTED_VALUE"""),"筑恵")</f>
        <v>筑恵</v>
      </c>
      <c r="B4865" s="10">
        <f>IFERROR(__xludf.DUMMYFUNCTION("""COMPUTED_VALUE"""),831.0)</f>
        <v>831</v>
      </c>
      <c r="C4865" s="10">
        <f>IFERROR(__xludf.DUMMYFUNCTION("""COMPUTED_VALUE"""),9906.0)</f>
        <v>9906</v>
      </c>
      <c r="D4865" s="5">
        <f>IFERROR(__xludf.DUMMYFUNCTION("""COMPUTED_VALUE"""),0.3850137741046832)</f>
        <v>0.3850137741</v>
      </c>
      <c r="E4865" s="5">
        <f>IFERROR(__xludf.DUMMYFUNCTION("""COMPUTED_VALUE"""),0.11460055096418732)</f>
        <v>0.114600551</v>
      </c>
      <c r="F4865" s="5">
        <f>IFERROR(__xludf.DUMMYFUNCTION("""COMPUTED_VALUE"""),0.2190633608815427)</f>
        <v>0.2190633609</v>
      </c>
      <c r="G4865" s="5">
        <f>IFERROR(__xludf.DUMMYFUNCTION("""COMPUTED_VALUE"""),0.15944903581267217)</f>
        <v>0.1594490358</v>
      </c>
      <c r="H4865" s="5">
        <f>IFERROR(__xludf.DUMMYFUNCTION("""COMPUTED_VALUE"""),0.5910462776659959)</f>
        <v>0.5910462777</v>
      </c>
      <c r="I4865" s="11">
        <f>IFERROR(__xludf.DUMMYFUNCTION("""COMPUTED_VALUE"""),5243.259557344064)</f>
        <v>5243.259557</v>
      </c>
      <c r="J4865" s="10">
        <f>IFERROR(__xludf.DUMMYFUNCTION("""COMPUTED_VALUE"""),0.0)</f>
        <v>0</v>
      </c>
      <c r="K4865" s="5">
        <f>IFERROR(__xludf.DUMMYFUNCTION("""COMPUTED_VALUE"""),0.0)</f>
        <v>0</v>
      </c>
      <c r="L4865" s="10">
        <f>IFERROR(__xludf.DUMMYFUNCTION("""COMPUTED_VALUE"""),608.0)</f>
        <v>608</v>
      </c>
      <c r="M4865" s="5">
        <f>IFERROR(__xludf.DUMMYFUNCTION("""COMPUTED_VALUE"""),0.7316486161251504)</f>
        <v>0.7316486161</v>
      </c>
    </row>
    <row r="4866">
      <c r="A4866" s="10" t="str">
        <f>IFERROR(__xludf.DUMMYFUNCTION("""COMPUTED_VALUE"""),"沖ヒカル（偽者）")</f>
        <v>沖ヒカル（偽者）</v>
      </c>
      <c r="B4866" s="10">
        <f>IFERROR(__xludf.DUMMYFUNCTION("""COMPUTED_VALUE"""),260.0)</f>
        <v>260</v>
      </c>
      <c r="C4866" s="10">
        <f>IFERROR(__xludf.DUMMYFUNCTION("""COMPUTED_VALUE"""),3131.0)</f>
        <v>3131</v>
      </c>
      <c r="D4866" s="5">
        <f>IFERROR(__xludf.DUMMYFUNCTION("""COMPUTED_VALUE"""),0.35318704284221525)</f>
        <v>0.3531870428</v>
      </c>
      <c r="E4866" s="5">
        <f>IFERROR(__xludf.DUMMYFUNCTION("""COMPUTED_VALUE"""),0.11459421804249391)</f>
        <v>0.114594218</v>
      </c>
      <c r="F4866" s="5">
        <f>IFERROR(__xludf.DUMMYFUNCTION("""COMPUTED_VALUE"""),0.19435736677115986)</f>
        <v>0.1943573668</v>
      </c>
      <c r="G4866" s="5">
        <f>IFERROR(__xludf.DUMMYFUNCTION("""COMPUTED_VALUE"""),0.17345872518286312)</f>
        <v>0.1734587252</v>
      </c>
      <c r="H4866" s="5">
        <f>IFERROR(__xludf.DUMMYFUNCTION("""COMPUTED_VALUE"""),0.5663082437275986)</f>
        <v>0.5663082437</v>
      </c>
      <c r="I4866" s="11">
        <f>IFERROR(__xludf.DUMMYFUNCTION("""COMPUTED_VALUE"""),5993.548387096775)</f>
        <v>5993.548387</v>
      </c>
      <c r="J4866" s="10">
        <f>IFERROR(__xludf.DUMMYFUNCTION("""COMPUTED_VALUE"""),3.0)</f>
        <v>3</v>
      </c>
      <c r="K4866" s="5">
        <f>IFERROR(__xludf.DUMMYFUNCTION("""COMPUTED_VALUE"""),0.011538461538461539)</f>
        <v>0.01153846154</v>
      </c>
      <c r="L4866" s="10">
        <f>IFERROR(__xludf.DUMMYFUNCTION("""COMPUTED_VALUE"""),0.0)</f>
        <v>0</v>
      </c>
      <c r="M4866" s="5">
        <f>IFERROR(__xludf.DUMMYFUNCTION("""COMPUTED_VALUE"""),0.0)</f>
        <v>0</v>
      </c>
    </row>
    <row r="4867">
      <c r="A4867" s="10" t="str">
        <f>IFERROR(__xludf.DUMMYFUNCTION("""COMPUTED_VALUE"""),"UM")</f>
        <v>UM</v>
      </c>
      <c r="B4867" s="10">
        <f>IFERROR(__xludf.DUMMYFUNCTION("""COMPUTED_VALUE"""),589.0)</f>
        <v>589</v>
      </c>
      <c r="C4867" s="10">
        <f>IFERROR(__xludf.DUMMYFUNCTION("""COMPUTED_VALUE"""),6926.0)</f>
        <v>6926</v>
      </c>
      <c r="D4867" s="5">
        <f>IFERROR(__xludf.DUMMYFUNCTION("""COMPUTED_VALUE"""),0.3782546946504655)</f>
        <v>0.3782546947</v>
      </c>
      <c r="E4867" s="5">
        <f>IFERROR(__xludf.DUMMYFUNCTION("""COMPUTED_VALUE"""),0.1145652516963863)</f>
        <v>0.1145652517</v>
      </c>
      <c r="F4867" s="5">
        <f>IFERROR(__xludf.DUMMYFUNCTION("""COMPUTED_VALUE"""),0.21129872179264636)</f>
        <v>0.2112987218</v>
      </c>
      <c r="G4867" s="5">
        <f>IFERROR(__xludf.DUMMYFUNCTION("""COMPUTED_VALUE"""),0.15890800063121352)</f>
        <v>0.1589080006</v>
      </c>
      <c r="H4867" s="5">
        <f>IFERROR(__xludf.DUMMYFUNCTION("""COMPUTED_VALUE"""),0.6094100074682599)</f>
        <v>0.6094100075</v>
      </c>
      <c r="I4867" s="11">
        <f>IFERROR(__xludf.DUMMYFUNCTION("""COMPUTED_VALUE"""),5182.449589245706)</f>
        <v>5182.449589</v>
      </c>
      <c r="J4867" s="10">
        <f>IFERROR(__xludf.DUMMYFUNCTION("""COMPUTED_VALUE"""),0.0)</f>
        <v>0</v>
      </c>
      <c r="K4867" s="5">
        <f>IFERROR(__xludf.DUMMYFUNCTION("""COMPUTED_VALUE"""),0.0)</f>
        <v>0</v>
      </c>
      <c r="L4867" s="10">
        <f>IFERROR(__xludf.DUMMYFUNCTION("""COMPUTED_VALUE"""),589.0)</f>
        <v>589</v>
      </c>
      <c r="M4867" s="5">
        <f>IFERROR(__xludf.DUMMYFUNCTION("""COMPUTED_VALUE"""),1.0)</f>
        <v>1</v>
      </c>
    </row>
    <row r="4868">
      <c r="A4868" s="10" t="str">
        <f>IFERROR(__xludf.DUMMYFUNCTION("""COMPUTED_VALUE"""),"受け師")</f>
        <v>受け師</v>
      </c>
      <c r="B4868" s="10">
        <f>IFERROR(__xludf.DUMMYFUNCTION("""COMPUTED_VALUE"""),912.0)</f>
        <v>912</v>
      </c>
      <c r="C4868" s="10">
        <f>IFERROR(__xludf.DUMMYFUNCTION("""COMPUTED_VALUE"""),10741.0)</f>
        <v>10741</v>
      </c>
      <c r="D4868" s="5">
        <f>IFERROR(__xludf.DUMMYFUNCTION("""COMPUTED_VALUE"""),0.3845762539424153)</f>
        <v>0.3845762539</v>
      </c>
      <c r="E4868" s="5">
        <f>IFERROR(__xludf.DUMMYFUNCTION("""COMPUTED_VALUE"""),0.11455895818496287)</f>
        <v>0.1145589582</v>
      </c>
      <c r="F4868" s="5">
        <f>IFERROR(__xludf.DUMMYFUNCTION("""COMPUTED_VALUE"""),0.22189439413979042)</f>
        <v>0.2218943941</v>
      </c>
      <c r="G4868" s="5">
        <f>IFERROR(__xludf.DUMMYFUNCTION("""COMPUTED_VALUE"""),0.19951164920134296)</f>
        <v>0.1995116492</v>
      </c>
      <c r="H4868" s="5">
        <f>IFERROR(__xludf.DUMMYFUNCTION("""COMPUTED_VALUE"""),0.5878037597432371)</f>
        <v>0.5878037597</v>
      </c>
      <c r="I4868" s="11">
        <f>IFERROR(__xludf.DUMMYFUNCTION("""COMPUTED_VALUE"""),5558.826226501605)</f>
        <v>5558.826227</v>
      </c>
      <c r="J4868" s="10">
        <f>IFERROR(__xludf.DUMMYFUNCTION("""COMPUTED_VALUE"""),3.0)</f>
        <v>3</v>
      </c>
      <c r="K4868" s="5">
        <f>IFERROR(__xludf.DUMMYFUNCTION("""COMPUTED_VALUE"""),0.003289473684210526)</f>
        <v>0.003289473684</v>
      </c>
      <c r="L4868" s="10">
        <f>IFERROR(__xludf.DUMMYFUNCTION("""COMPUTED_VALUE"""),912.0)</f>
        <v>912</v>
      </c>
      <c r="M4868" s="5">
        <f>IFERROR(__xludf.DUMMYFUNCTION("""COMPUTED_VALUE"""),1.0)</f>
        <v>1</v>
      </c>
    </row>
    <row r="4869">
      <c r="A4869" s="10" t="str">
        <f>IFERROR(__xludf.DUMMYFUNCTION("""COMPUTED_VALUE"""),"ゲスの極みマ.ン")</f>
        <v>ゲスの極みマ.ン</v>
      </c>
      <c r="B4869" s="10">
        <f>IFERROR(__xludf.DUMMYFUNCTION("""COMPUTED_VALUE"""),116.0)</f>
        <v>116</v>
      </c>
      <c r="C4869" s="10">
        <f>IFERROR(__xludf.DUMMYFUNCTION("""COMPUTED_VALUE"""),1373.0)</f>
        <v>1373</v>
      </c>
      <c r="D4869" s="5">
        <f>IFERROR(__xludf.DUMMYFUNCTION("""COMPUTED_VALUE"""),0.33731105807478123)</f>
        <v>0.3373110581</v>
      </c>
      <c r="E4869" s="5">
        <f>IFERROR(__xludf.DUMMYFUNCTION("""COMPUTED_VALUE"""),0.11455847255369929)</f>
        <v>0.1145584726</v>
      </c>
      <c r="F4869" s="5">
        <f>IFERROR(__xludf.DUMMYFUNCTION("""COMPUTED_VALUE"""),0.19252187748607796)</f>
        <v>0.1925218775</v>
      </c>
      <c r="G4869" s="5">
        <f>IFERROR(__xludf.DUMMYFUNCTION("""COMPUTED_VALUE"""),0.13842482100238662)</f>
        <v>0.138424821</v>
      </c>
      <c r="H4869" s="5">
        <f>IFERROR(__xludf.DUMMYFUNCTION("""COMPUTED_VALUE"""),0.5619834710743802)</f>
        <v>0.5619834711</v>
      </c>
      <c r="I4869" s="11">
        <f>IFERROR(__xludf.DUMMYFUNCTION("""COMPUTED_VALUE"""),5798.760330578512)</f>
        <v>5798.760331</v>
      </c>
      <c r="J4869" s="10">
        <f>IFERROR(__xludf.DUMMYFUNCTION("""COMPUTED_VALUE"""),1.0)</f>
        <v>1</v>
      </c>
      <c r="K4869" s="5">
        <f>IFERROR(__xludf.DUMMYFUNCTION("""COMPUTED_VALUE"""),0.008620689655172414)</f>
        <v>0.008620689655</v>
      </c>
      <c r="L4869" s="10">
        <f>IFERROR(__xludf.DUMMYFUNCTION("""COMPUTED_VALUE"""),0.0)</f>
        <v>0</v>
      </c>
      <c r="M4869" s="5">
        <f>IFERROR(__xludf.DUMMYFUNCTION("""COMPUTED_VALUE"""),0.0)</f>
        <v>0</v>
      </c>
    </row>
    <row r="4870">
      <c r="A4870" s="10" t="str">
        <f>IFERROR(__xludf.DUMMYFUNCTION("""COMPUTED_VALUE"""),"Анастаси")</f>
        <v>Анастаси</v>
      </c>
      <c r="B4870" s="10">
        <f>IFERROR(__xludf.DUMMYFUNCTION("""COMPUTED_VALUE"""),110.0)</f>
        <v>110</v>
      </c>
      <c r="C4870" s="10">
        <f>IFERROR(__xludf.DUMMYFUNCTION("""COMPUTED_VALUE"""),1306.0)</f>
        <v>1306</v>
      </c>
      <c r="D4870" s="5">
        <f>IFERROR(__xludf.DUMMYFUNCTION("""COMPUTED_VALUE"""),0.34782608695652173)</f>
        <v>0.347826087</v>
      </c>
      <c r="E4870" s="5">
        <f>IFERROR(__xludf.DUMMYFUNCTION("""COMPUTED_VALUE"""),0.11454849498327759)</f>
        <v>0.114548495</v>
      </c>
      <c r="F4870" s="5">
        <f>IFERROR(__xludf.DUMMYFUNCTION("""COMPUTED_VALUE"""),0.2140468227424749)</f>
        <v>0.2140468227</v>
      </c>
      <c r="G4870" s="5">
        <f>IFERROR(__xludf.DUMMYFUNCTION("""COMPUTED_VALUE"""),0.18645484949832775)</f>
        <v>0.1864548495</v>
      </c>
      <c r="H4870" s="5">
        <f>IFERROR(__xludf.DUMMYFUNCTION("""COMPUTED_VALUE"""),0.64453125)</f>
        <v>0.64453125</v>
      </c>
      <c r="I4870" s="11">
        <f>IFERROR(__xludf.DUMMYFUNCTION("""COMPUTED_VALUE"""),5993.75)</f>
        <v>5993.75</v>
      </c>
      <c r="J4870" s="10">
        <f>IFERROR(__xludf.DUMMYFUNCTION("""COMPUTED_VALUE"""),0.0)</f>
        <v>0</v>
      </c>
      <c r="K4870" s="5">
        <f>IFERROR(__xludf.DUMMYFUNCTION("""COMPUTED_VALUE"""),0.0)</f>
        <v>0</v>
      </c>
      <c r="L4870" s="10">
        <f>IFERROR(__xludf.DUMMYFUNCTION("""COMPUTED_VALUE"""),0.0)</f>
        <v>0</v>
      </c>
      <c r="M4870" s="5">
        <f>IFERROR(__xludf.DUMMYFUNCTION("""COMPUTED_VALUE"""),0.0)</f>
        <v>0</v>
      </c>
    </row>
    <row r="4871">
      <c r="A4871" s="10" t="str">
        <f>IFERROR(__xludf.DUMMYFUNCTION("""COMPUTED_VALUE"""),"長岡")</f>
        <v>長岡</v>
      </c>
      <c r="B4871" s="10">
        <f>IFERROR(__xludf.DUMMYFUNCTION("""COMPUTED_VALUE"""),4237.0)</f>
        <v>4237</v>
      </c>
      <c r="C4871" s="10">
        <f>IFERROR(__xludf.DUMMYFUNCTION("""COMPUTED_VALUE"""),49910.0)</f>
        <v>49910</v>
      </c>
      <c r="D4871" s="5">
        <f>IFERROR(__xludf.DUMMYFUNCTION("""COMPUTED_VALUE"""),0.39382129485691764)</f>
        <v>0.3938212949</v>
      </c>
      <c r="E4871" s="5">
        <f>IFERROR(__xludf.DUMMYFUNCTION("""COMPUTED_VALUE"""),0.1145315613163138)</f>
        <v>0.1145315613</v>
      </c>
      <c r="F4871" s="5">
        <f>IFERROR(__xludf.DUMMYFUNCTION("""COMPUTED_VALUE"""),0.20837256146957722)</f>
        <v>0.2083725615</v>
      </c>
      <c r="G4871" s="5">
        <f>IFERROR(__xludf.DUMMYFUNCTION("""COMPUTED_VALUE"""),0.1723775534779848)</f>
        <v>0.1723775535</v>
      </c>
      <c r="H4871" s="5">
        <f>IFERROR(__xludf.DUMMYFUNCTION("""COMPUTED_VALUE"""),0.5960912052117264)</f>
        <v>0.5960912052</v>
      </c>
      <c r="I4871" s="11">
        <f>IFERROR(__xludf.DUMMYFUNCTION("""COMPUTED_VALUE"""),5580.4245035200165)</f>
        <v>5580.424504</v>
      </c>
      <c r="J4871" s="10">
        <f>IFERROR(__xludf.DUMMYFUNCTION("""COMPUTED_VALUE"""),7.0)</f>
        <v>7</v>
      </c>
      <c r="K4871" s="5">
        <f>IFERROR(__xludf.DUMMYFUNCTION("""COMPUTED_VALUE"""),0.0016521123436393675)</f>
        <v>0.001652112344</v>
      </c>
      <c r="L4871" s="10">
        <f>IFERROR(__xludf.DUMMYFUNCTION("""COMPUTED_VALUE"""),4237.0)</f>
        <v>4237</v>
      </c>
      <c r="M4871" s="5">
        <f>IFERROR(__xludf.DUMMYFUNCTION("""COMPUTED_VALUE"""),1.0)</f>
        <v>1</v>
      </c>
    </row>
    <row r="4872">
      <c r="A4872" s="10" t="str">
        <f>IFERROR(__xludf.DUMMYFUNCTION("""COMPUTED_VALUE"""),"ギタルマ")</f>
        <v>ギタルマ</v>
      </c>
      <c r="B4872" s="10">
        <f>IFERROR(__xludf.DUMMYFUNCTION("""COMPUTED_VALUE"""),714.0)</f>
        <v>714</v>
      </c>
      <c r="C4872" s="10">
        <f>IFERROR(__xludf.DUMMYFUNCTION("""COMPUTED_VALUE"""),8390.0)</f>
        <v>8390</v>
      </c>
      <c r="D4872" s="5">
        <f>IFERROR(__xludf.DUMMYFUNCTION("""COMPUTED_VALUE"""),0.27918186555497654)</f>
        <v>0.2791818656</v>
      </c>
      <c r="E4872" s="5">
        <f>IFERROR(__xludf.DUMMYFUNCTION("""COMPUTED_VALUE"""),0.1145127670661803)</f>
        <v>0.1145127671</v>
      </c>
      <c r="F4872" s="5">
        <f>IFERROR(__xludf.DUMMYFUNCTION("""COMPUTED_VALUE"""),0.1905940594059406)</f>
        <v>0.1905940594</v>
      </c>
      <c r="G4872" s="5">
        <f>IFERROR(__xludf.DUMMYFUNCTION("""COMPUTED_VALUE"""),0.19124544033350704)</f>
        <v>0.1912454403</v>
      </c>
      <c r="H4872" s="5">
        <f>IFERROR(__xludf.DUMMYFUNCTION("""COMPUTED_VALUE"""),0.570745044429255)</f>
        <v>0.5707450444</v>
      </c>
      <c r="I4872" s="11">
        <f>IFERROR(__xludf.DUMMYFUNCTION("""COMPUTED_VALUE"""),5950.375939849624)</f>
        <v>5950.37594</v>
      </c>
      <c r="J4872" s="10">
        <f>IFERROR(__xludf.DUMMYFUNCTION("""COMPUTED_VALUE"""),1.0)</f>
        <v>1</v>
      </c>
      <c r="K4872" s="5">
        <f>IFERROR(__xludf.DUMMYFUNCTION("""COMPUTED_VALUE"""),0.0014005602240896359)</f>
        <v>0.001400560224</v>
      </c>
      <c r="L4872" s="10">
        <f>IFERROR(__xludf.DUMMYFUNCTION("""COMPUTED_VALUE"""),714.0)</f>
        <v>714</v>
      </c>
      <c r="M4872" s="5">
        <f>IFERROR(__xludf.DUMMYFUNCTION("""COMPUTED_VALUE"""),1.0)</f>
        <v>1</v>
      </c>
    </row>
    <row r="4873">
      <c r="A4873" s="10" t="str">
        <f>IFERROR(__xludf.DUMMYFUNCTION("""COMPUTED_VALUE"""),"ささかま")</f>
        <v>ささかま</v>
      </c>
      <c r="B4873" s="10">
        <f>IFERROR(__xludf.DUMMYFUNCTION("""COMPUTED_VALUE"""),140.0)</f>
        <v>140</v>
      </c>
      <c r="C4873" s="10">
        <f>IFERROR(__xludf.DUMMYFUNCTION("""COMPUTED_VALUE"""),1677.0)</f>
        <v>1677</v>
      </c>
      <c r="D4873" s="5">
        <f>IFERROR(__xludf.DUMMYFUNCTION("""COMPUTED_VALUE"""),0.32075471698113206)</f>
        <v>0.320754717</v>
      </c>
      <c r="E4873" s="5">
        <f>IFERROR(__xludf.DUMMYFUNCTION("""COMPUTED_VALUE"""),0.11450878334417697)</f>
        <v>0.1145087833</v>
      </c>
      <c r="F4873" s="5">
        <f>IFERROR(__xludf.DUMMYFUNCTION("""COMPUTED_VALUE"""),0.20494469746258945)</f>
        <v>0.2049446975</v>
      </c>
      <c r="G4873" s="5">
        <f>IFERROR(__xludf.DUMMYFUNCTION("""COMPUTED_VALUE"""),0.17111255692908262)</f>
        <v>0.1711125569</v>
      </c>
      <c r="H4873" s="5">
        <f>IFERROR(__xludf.DUMMYFUNCTION("""COMPUTED_VALUE"""),0.5492063492063493)</f>
        <v>0.5492063492</v>
      </c>
      <c r="I4873" s="11">
        <f>IFERROR(__xludf.DUMMYFUNCTION("""COMPUTED_VALUE"""),5716.190476190476)</f>
        <v>5716.190476</v>
      </c>
      <c r="J4873" s="10">
        <f>IFERROR(__xludf.DUMMYFUNCTION("""COMPUTED_VALUE"""),1.0)</f>
        <v>1</v>
      </c>
      <c r="K4873" s="5">
        <f>IFERROR(__xludf.DUMMYFUNCTION("""COMPUTED_VALUE"""),0.007142857142857143)</f>
        <v>0.007142857143</v>
      </c>
      <c r="L4873" s="10">
        <f>IFERROR(__xludf.DUMMYFUNCTION("""COMPUTED_VALUE"""),61.0)</f>
        <v>61</v>
      </c>
      <c r="M4873" s="5">
        <f>IFERROR(__xludf.DUMMYFUNCTION("""COMPUTED_VALUE"""),0.4357142857142857)</f>
        <v>0.4357142857</v>
      </c>
    </row>
    <row r="4874">
      <c r="A4874" s="10" t="str">
        <f>IFERROR(__xludf.DUMMYFUNCTION("""COMPUTED_VALUE"""),"ビオレート")</f>
        <v>ビオレート</v>
      </c>
      <c r="B4874" s="10">
        <f>IFERROR(__xludf.DUMMYFUNCTION("""COMPUTED_VALUE"""),155.0)</f>
        <v>155</v>
      </c>
      <c r="C4874" s="10">
        <f>IFERROR(__xludf.DUMMYFUNCTION("""COMPUTED_VALUE"""),1832.0)</f>
        <v>1832</v>
      </c>
      <c r="D4874" s="5">
        <f>IFERROR(__xludf.DUMMYFUNCTION("""COMPUTED_VALUE"""),0.26118067978533094)</f>
        <v>0.2611806798</v>
      </c>
      <c r="E4874" s="5">
        <f>IFERROR(__xludf.DUMMYFUNCTION("""COMPUTED_VALUE"""),0.11449016100178891)</f>
        <v>0.114490161</v>
      </c>
      <c r="F4874" s="5">
        <f>IFERROR(__xludf.DUMMYFUNCTION("""COMPUTED_VALUE"""),0.1937984496124031)</f>
        <v>0.1937984496</v>
      </c>
      <c r="G4874" s="5">
        <f>IFERROR(__xludf.DUMMYFUNCTION("""COMPUTED_VALUE"""),0.1413237924865832)</f>
        <v>0.1413237925</v>
      </c>
      <c r="H4874" s="5">
        <f>IFERROR(__xludf.DUMMYFUNCTION("""COMPUTED_VALUE"""),0.556923076923077)</f>
        <v>0.5569230769</v>
      </c>
      <c r="I4874" s="11">
        <f>IFERROR(__xludf.DUMMYFUNCTION("""COMPUTED_VALUE"""),6010.153846153846)</f>
        <v>6010.153846</v>
      </c>
      <c r="J4874" s="10">
        <f>IFERROR(__xludf.DUMMYFUNCTION("""COMPUTED_VALUE"""),0.0)</f>
        <v>0</v>
      </c>
      <c r="K4874" s="5">
        <f>IFERROR(__xludf.DUMMYFUNCTION("""COMPUTED_VALUE"""),0.0)</f>
        <v>0</v>
      </c>
      <c r="L4874" s="10">
        <f>IFERROR(__xludf.DUMMYFUNCTION("""COMPUTED_VALUE"""),155.0)</f>
        <v>155</v>
      </c>
      <c r="M4874" s="5">
        <f>IFERROR(__xludf.DUMMYFUNCTION("""COMPUTED_VALUE"""),1.0)</f>
        <v>1</v>
      </c>
    </row>
    <row r="4875">
      <c r="A4875" s="10" t="str">
        <f>IFERROR(__xludf.DUMMYFUNCTION("""COMPUTED_VALUE"""),"くるる")</f>
        <v>くるる</v>
      </c>
      <c r="B4875" s="10">
        <f>IFERROR(__xludf.DUMMYFUNCTION("""COMPUTED_VALUE"""),766.0)</f>
        <v>766</v>
      </c>
      <c r="C4875" s="10">
        <f>IFERROR(__xludf.DUMMYFUNCTION("""COMPUTED_VALUE"""),9038.0)</f>
        <v>9038</v>
      </c>
      <c r="D4875" s="5">
        <f>IFERROR(__xludf.DUMMYFUNCTION("""COMPUTED_VALUE"""),0.3380077369439072)</f>
        <v>0.3380077369</v>
      </c>
      <c r="E4875" s="5">
        <f>IFERROR(__xludf.DUMMYFUNCTION("""COMPUTED_VALUE"""),0.11448259187620889)</f>
        <v>0.1144825919</v>
      </c>
      <c r="F4875" s="5">
        <f>IFERROR(__xludf.DUMMYFUNCTION("""COMPUTED_VALUE"""),0.20224854932301742)</f>
        <v>0.2022485493</v>
      </c>
      <c r="G4875" s="5">
        <f>IFERROR(__xludf.DUMMYFUNCTION("""COMPUTED_VALUE"""),0.1638056092843327)</f>
        <v>0.1638056093</v>
      </c>
      <c r="H4875" s="5">
        <f>IFERROR(__xludf.DUMMYFUNCTION("""COMPUTED_VALUE"""),0.5977286312014346)</f>
        <v>0.5977286312</v>
      </c>
      <c r="I4875" s="11">
        <f>IFERROR(__xludf.DUMMYFUNCTION("""COMPUTED_VALUE"""),5509.862522414824)</f>
        <v>5509.862522</v>
      </c>
      <c r="J4875" s="10">
        <f>IFERROR(__xludf.DUMMYFUNCTION("""COMPUTED_VALUE"""),1.0)</f>
        <v>1</v>
      </c>
      <c r="K4875" s="5">
        <f>IFERROR(__xludf.DUMMYFUNCTION("""COMPUTED_VALUE"""),0.0013054830287206266)</f>
        <v>0.001305483029</v>
      </c>
      <c r="L4875" s="10">
        <f>IFERROR(__xludf.DUMMYFUNCTION("""COMPUTED_VALUE"""),766.0)</f>
        <v>766</v>
      </c>
      <c r="M4875" s="5">
        <f>IFERROR(__xludf.DUMMYFUNCTION("""COMPUTED_VALUE"""),1.0)</f>
        <v>1</v>
      </c>
    </row>
    <row r="4876">
      <c r="A4876" s="10" t="str">
        <f>IFERROR(__xludf.DUMMYFUNCTION("""COMPUTED_VALUE"""),"いばらぎ")</f>
        <v>いばらぎ</v>
      </c>
      <c r="B4876" s="10">
        <f>IFERROR(__xludf.DUMMYFUNCTION("""COMPUTED_VALUE"""),1715.0)</f>
        <v>1715</v>
      </c>
      <c r="C4876" s="10">
        <f>IFERROR(__xludf.DUMMYFUNCTION("""COMPUTED_VALUE"""),20269.0)</f>
        <v>20269</v>
      </c>
      <c r="D4876" s="5">
        <f>IFERROR(__xludf.DUMMYFUNCTION("""COMPUTED_VALUE"""),0.3189069742373612)</f>
        <v>0.3189069742</v>
      </c>
      <c r="E4876" s="5">
        <f>IFERROR(__xludf.DUMMYFUNCTION("""COMPUTED_VALUE"""),0.11447666271423952)</f>
        <v>0.1144766627</v>
      </c>
      <c r="F4876" s="5">
        <f>IFERROR(__xludf.DUMMYFUNCTION("""COMPUTED_VALUE"""),0.22227013043009594)</f>
        <v>0.2222701304</v>
      </c>
      <c r="G4876" s="5">
        <f>IFERROR(__xludf.DUMMYFUNCTION("""COMPUTED_VALUE"""),0.1861054220114261)</f>
        <v>0.186105422</v>
      </c>
      <c r="H4876" s="5">
        <f>IFERROR(__xludf.DUMMYFUNCTION("""COMPUTED_VALUE"""),0.6025703200775946)</f>
        <v>0.6025703201</v>
      </c>
      <c r="I4876" s="11">
        <f>IFERROR(__xludf.DUMMYFUNCTION("""COMPUTED_VALUE"""),5583.19592628516)</f>
        <v>5583.195926</v>
      </c>
      <c r="J4876" s="10">
        <f>IFERROR(__xludf.DUMMYFUNCTION("""COMPUTED_VALUE"""),7.0)</f>
        <v>7</v>
      </c>
      <c r="K4876" s="5">
        <f>IFERROR(__xludf.DUMMYFUNCTION("""COMPUTED_VALUE"""),0.004081632653061225)</f>
        <v>0.004081632653</v>
      </c>
      <c r="L4876" s="10">
        <f>IFERROR(__xludf.DUMMYFUNCTION("""COMPUTED_VALUE"""),1715.0)</f>
        <v>1715</v>
      </c>
      <c r="M4876" s="5">
        <f>IFERROR(__xludf.DUMMYFUNCTION("""COMPUTED_VALUE"""),1.0)</f>
        <v>1</v>
      </c>
    </row>
    <row r="4877">
      <c r="A4877" s="10" t="str">
        <f>IFERROR(__xludf.DUMMYFUNCTION("""COMPUTED_VALUE"""),"takacup")</f>
        <v>takacup</v>
      </c>
      <c r="B4877" s="10">
        <f>IFERROR(__xludf.DUMMYFUNCTION("""COMPUTED_VALUE"""),278.0)</f>
        <v>278</v>
      </c>
      <c r="C4877" s="10">
        <f>IFERROR(__xludf.DUMMYFUNCTION("""COMPUTED_VALUE"""),3257.0)</f>
        <v>3257</v>
      </c>
      <c r="D4877" s="5">
        <f>IFERROR(__xludf.DUMMYFUNCTION("""COMPUTED_VALUE"""),0.20308828465928164)</f>
        <v>0.2030882847</v>
      </c>
      <c r="E4877" s="5">
        <f>IFERROR(__xludf.DUMMYFUNCTION("""COMPUTED_VALUE"""),0.1144679422625042)</f>
        <v>0.1144679423</v>
      </c>
      <c r="F4877" s="5">
        <f>IFERROR(__xludf.DUMMYFUNCTION("""COMPUTED_VALUE"""),0.20040281973816718)</f>
        <v>0.2004028197</v>
      </c>
      <c r="G4877" s="5">
        <f>IFERROR(__xludf.DUMMYFUNCTION("""COMPUTED_VALUE"""),0.21517287680429675)</f>
        <v>0.2151728768</v>
      </c>
      <c r="H4877" s="5">
        <f>IFERROR(__xludf.DUMMYFUNCTION("""COMPUTED_VALUE"""),0.6147403685092128)</f>
        <v>0.6147403685</v>
      </c>
      <c r="I4877" s="11">
        <f>IFERROR(__xludf.DUMMYFUNCTION("""COMPUTED_VALUE"""),6302.84757118928)</f>
        <v>6302.847571</v>
      </c>
      <c r="J4877" s="10">
        <f>IFERROR(__xludf.DUMMYFUNCTION("""COMPUTED_VALUE"""),0.0)</f>
        <v>0</v>
      </c>
      <c r="K4877" s="5">
        <f>IFERROR(__xludf.DUMMYFUNCTION("""COMPUTED_VALUE"""),0.0)</f>
        <v>0</v>
      </c>
      <c r="L4877" s="10">
        <f>IFERROR(__xludf.DUMMYFUNCTION("""COMPUTED_VALUE"""),278.0)</f>
        <v>278</v>
      </c>
      <c r="M4877" s="5">
        <f>IFERROR(__xludf.DUMMYFUNCTION("""COMPUTED_VALUE"""),1.0)</f>
        <v>1</v>
      </c>
    </row>
    <row r="4878">
      <c r="A4878" s="10" t="str">
        <f>IFERROR(__xludf.DUMMYFUNCTION("""COMPUTED_VALUE"""),"じーさー")</f>
        <v>じーさー</v>
      </c>
      <c r="B4878" s="10">
        <f>IFERROR(__xludf.DUMMYFUNCTION("""COMPUTED_VALUE"""),1227.0)</f>
        <v>1227</v>
      </c>
      <c r="C4878" s="10">
        <f>IFERROR(__xludf.DUMMYFUNCTION("""COMPUTED_VALUE"""),14340.0)</f>
        <v>14340</v>
      </c>
      <c r="D4878" s="5">
        <f>IFERROR(__xludf.DUMMYFUNCTION("""COMPUTED_VALUE"""),0.29955006482116986)</f>
        <v>0.2995500648</v>
      </c>
      <c r="E4878" s="5">
        <f>IFERROR(__xludf.DUMMYFUNCTION("""COMPUTED_VALUE"""),0.11446655990238694)</f>
        <v>0.1144665599</v>
      </c>
      <c r="F4878" s="5">
        <f>IFERROR(__xludf.DUMMYFUNCTION("""COMPUTED_VALUE"""),0.21307099824601541)</f>
        <v>0.2130709982</v>
      </c>
      <c r="G4878" s="5">
        <f>IFERROR(__xludf.DUMMYFUNCTION("""COMPUTED_VALUE"""),0.15099519560741248)</f>
        <v>0.1509951956</v>
      </c>
      <c r="H4878" s="5">
        <f>IFERROR(__xludf.DUMMYFUNCTION("""COMPUTED_VALUE"""),0.6238367931281317)</f>
        <v>0.6238367931</v>
      </c>
      <c r="I4878" s="11">
        <f>IFERROR(__xludf.DUMMYFUNCTION("""COMPUTED_VALUE"""),5504.080171796707)</f>
        <v>5504.080172</v>
      </c>
      <c r="J4878" s="10">
        <f>IFERROR(__xludf.DUMMYFUNCTION("""COMPUTED_VALUE"""),2.0)</f>
        <v>2</v>
      </c>
      <c r="K4878" s="5">
        <f>IFERROR(__xludf.DUMMYFUNCTION("""COMPUTED_VALUE"""),0.0016299918500407497)</f>
        <v>0.00162999185</v>
      </c>
      <c r="L4878" s="10">
        <f>IFERROR(__xludf.DUMMYFUNCTION("""COMPUTED_VALUE"""),1227.0)</f>
        <v>1227</v>
      </c>
      <c r="M4878" s="5">
        <f>IFERROR(__xludf.DUMMYFUNCTION("""COMPUTED_VALUE"""),1.0)</f>
        <v>1</v>
      </c>
    </row>
    <row r="4879">
      <c r="A4879" s="10" t="str">
        <f>IFERROR(__xludf.DUMMYFUNCTION("""COMPUTED_VALUE"""),"祥哥@水貨軍團")</f>
        <v>祥哥@水貨軍團</v>
      </c>
      <c r="B4879" s="10">
        <f>IFERROR(__xludf.DUMMYFUNCTION("""COMPUTED_VALUE"""),130.0)</f>
        <v>130</v>
      </c>
      <c r="C4879" s="10">
        <f>IFERROR(__xludf.DUMMYFUNCTION("""COMPUTED_VALUE"""),1458.0)</f>
        <v>1458</v>
      </c>
      <c r="D4879" s="5">
        <f>IFERROR(__xludf.DUMMYFUNCTION("""COMPUTED_VALUE"""),0.36521084337349397)</f>
        <v>0.3652108434</v>
      </c>
      <c r="E4879" s="5">
        <f>IFERROR(__xludf.DUMMYFUNCTION("""COMPUTED_VALUE"""),0.1144578313253012)</f>
        <v>0.1144578313</v>
      </c>
      <c r="F4879" s="5">
        <f>IFERROR(__xludf.DUMMYFUNCTION("""COMPUTED_VALUE"""),0.19653614457831325)</f>
        <v>0.1965361446</v>
      </c>
      <c r="G4879" s="5">
        <f>IFERROR(__xludf.DUMMYFUNCTION("""COMPUTED_VALUE"""),0.14006024096385541)</f>
        <v>0.140060241</v>
      </c>
      <c r="H4879" s="5">
        <f>IFERROR(__xludf.DUMMYFUNCTION("""COMPUTED_VALUE"""),0.5670498084291188)</f>
        <v>0.5670498084</v>
      </c>
      <c r="I4879" s="11">
        <f>IFERROR(__xludf.DUMMYFUNCTION("""COMPUTED_VALUE"""),5765.517241379311)</f>
        <v>5765.517241</v>
      </c>
      <c r="J4879" s="10">
        <f>IFERROR(__xludf.DUMMYFUNCTION("""COMPUTED_VALUE"""),0.0)</f>
        <v>0</v>
      </c>
      <c r="K4879" s="5">
        <f>IFERROR(__xludf.DUMMYFUNCTION("""COMPUTED_VALUE"""),0.0)</f>
        <v>0</v>
      </c>
      <c r="L4879" s="10">
        <f>IFERROR(__xludf.DUMMYFUNCTION("""COMPUTED_VALUE"""),19.0)</f>
        <v>19</v>
      </c>
      <c r="M4879" s="5">
        <f>IFERROR(__xludf.DUMMYFUNCTION("""COMPUTED_VALUE"""),0.14615384615384616)</f>
        <v>0.1461538462</v>
      </c>
    </row>
    <row r="4880">
      <c r="A4880" s="10" t="str">
        <f>IFERROR(__xludf.DUMMYFUNCTION("""COMPUTED_VALUE"""),"ジャッキ～")</f>
        <v>ジャッキ～</v>
      </c>
      <c r="B4880" s="10">
        <f>IFERROR(__xludf.DUMMYFUNCTION("""COMPUTED_VALUE"""),2319.0)</f>
        <v>2319</v>
      </c>
      <c r="C4880" s="10">
        <f>IFERROR(__xludf.DUMMYFUNCTION("""COMPUTED_VALUE"""),26967.0)</f>
        <v>26967</v>
      </c>
      <c r="D4880" s="5">
        <f>IFERROR(__xludf.DUMMYFUNCTION("""COMPUTED_VALUE"""),0.2635913664394677)</f>
        <v>0.2635913664</v>
      </c>
      <c r="E4880" s="5">
        <f>IFERROR(__xludf.DUMMYFUNCTION("""COMPUTED_VALUE"""),0.11445147679324895)</f>
        <v>0.1144514768</v>
      </c>
      <c r="F4880" s="5">
        <f>IFERROR(__xludf.DUMMYFUNCTION("""COMPUTED_VALUE"""),0.19928594612138917)</f>
        <v>0.1992859461</v>
      </c>
      <c r="G4880" s="5">
        <f>IFERROR(__xludf.DUMMYFUNCTION("""COMPUTED_VALUE"""),0.17717461863031483)</f>
        <v>0.1771746186</v>
      </c>
      <c r="H4880" s="5">
        <f>IFERROR(__xludf.DUMMYFUNCTION("""COMPUTED_VALUE"""),0.5958876221498371)</f>
        <v>0.5958876221</v>
      </c>
      <c r="I4880" s="11">
        <f>IFERROR(__xludf.DUMMYFUNCTION("""COMPUTED_VALUE"""),6191.368078175896)</f>
        <v>6191.368078</v>
      </c>
      <c r="J4880" s="10">
        <f>IFERROR(__xludf.DUMMYFUNCTION("""COMPUTED_VALUE"""),3.0)</f>
        <v>3</v>
      </c>
      <c r="K4880" s="5">
        <f>IFERROR(__xludf.DUMMYFUNCTION("""COMPUTED_VALUE"""),0.00129366106080207)</f>
        <v>0.001293661061</v>
      </c>
      <c r="L4880" s="10">
        <f>IFERROR(__xludf.DUMMYFUNCTION("""COMPUTED_VALUE"""),2312.0)</f>
        <v>2312</v>
      </c>
      <c r="M4880" s="5">
        <f>IFERROR(__xludf.DUMMYFUNCTION("""COMPUTED_VALUE"""),0.9969814575247952)</f>
        <v>0.9969814575</v>
      </c>
    </row>
    <row r="4881">
      <c r="A4881" s="10" t="str">
        <f>IFERROR(__xludf.DUMMYFUNCTION("""COMPUTED_VALUE"""),"いふいむ")</f>
        <v>いふいむ</v>
      </c>
      <c r="B4881" s="10">
        <f>IFERROR(__xludf.DUMMYFUNCTION("""COMPUTED_VALUE"""),875.0)</f>
        <v>875</v>
      </c>
      <c r="C4881" s="10">
        <f>IFERROR(__xludf.DUMMYFUNCTION("""COMPUTED_VALUE"""),10321.0)</f>
        <v>10321</v>
      </c>
      <c r="D4881" s="5">
        <f>IFERROR(__xludf.DUMMYFUNCTION("""COMPUTED_VALUE"""),0.26857929282235865)</f>
        <v>0.2685792928</v>
      </c>
      <c r="E4881" s="5">
        <f>IFERROR(__xludf.DUMMYFUNCTION("""COMPUTED_VALUE"""),0.11443997459242007)</f>
        <v>0.1144399746</v>
      </c>
      <c r="F4881" s="5">
        <f>IFERROR(__xludf.DUMMYFUNCTION("""COMPUTED_VALUE"""),0.19585009527842473)</f>
        <v>0.1958500953</v>
      </c>
      <c r="G4881" s="5">
        <f>IFERROR(__xludf.DUMMYFUNCTION("""COMPUTED_VALUE"""),0.16123226762650858)</f>
        <v>0.1612322676</v>
      </c>
      <c r="H4881" s="5">
        <f>IFERROR(__xludf.DUMMYFUNCTION("""COMPUTED_VALUE"""),0.6037837837837838)</f>
        <v>0.6037837838</v>
      </c>
      <c r="I4881" s="11">
        <f>IFERROR(__xludf.DUMMYFUNCTION("""COMPUTED_VALUE"""),5642.810810810811)</f>
        <v>5642.810811</v>
      </c>
      <c r="J4881" s="10">
        <f>IFERROR(__xludf.DUMMYFUNCTION("""COMPUTED_VALUE"""),0.0)</f>
        <v>0</v>
      </c>
      <c r="K4881" s="5">
        <f>IFERROR(__xludf.DUMMYFUNCTION("""COMPUTED_VALUE"""),0.0)</f>
        <v>0</v>
      </c>
      <c r="L4881" s="10">
        <f>IFERROR(__xludf.DUMMYFUNCTION("""COMPUTED_VALUE"""),875.0)</f>
        <v>875</v>
      </c>
      <c r="M4881" s="5">
        <f>IFERROR(__xludf.DUMMYFUNCTION("""COMPUTED_VALUE"""),1.0)</f>
        <v>1</v>
      </c>
    </row>
    <row r="4882">
      <c r="A4882" s="10" t="str">
        <f>IFERROR(__xludf.DUMMYFUNCTION("""COMPUTED_VALUE"""),"パッション鹿")</f>
        <v>パッション鹿</v>
      </c>
      <c r="B4882" s="10">
        <f>IFERROR(__xludf.DUMMYFUNCTION("""COMPUTED_VALUE"""),123.0)</f>
        <v>123</v>
      </c>
      <c r="C4882" s="10">
        <f>IFERROR(__xludf.DUMMYFUNCTION("""COMPUTED_VALUE"""),1425.0)</f>
        <v>1425</v>
      </c>
      <c r="D4882" s="5">
        <f>IFERROR(__xludf.DUMMYFUNCTION("""COMPUTED_VALUE"""),0.33640552995391704)</f>
        <v>0.33640553</v>
      </c>
      <c r="E4882" s="5">
        <f>IFERROR(__xludf.DUMMYFUNCTION("""COMPUTED_VALUE"""),0.11443932411674347)</f>
        <v>0.1144393241</v>
      </c>
      <c r="F4882" s="5">
        <f>IFERROR(__xludf.DUMMYFUNCTION("""COMPUTED_VALUE"""),0.21582181259600614)</f>
        <v>0.2158218126</v>
      </c>
      <c r="G4882" s="5">
        <f>IFERROR(__xludf.DUMMYFUNCTION("""COMPUTED_VALUE"""),0.1597542242703533)</f>
        <v>0.1597542243</v>
      </c>
      <c r="H4882" s="5">
        <f>IFERROR(__xludf.DUMMYFUNCTION("""COMPUTED_VALUE"""),0.6120996441281139)</f>
        <v>0.6120996441</v>
      </c>
      <c r="I4882" s="11">
        <f>IFERROR(__xludf.DUMMYFUNCTION("""COMPUTED_VALUE"""),5591.814946619217)</f>
        <v>5591.814947</v>
      </c>
      <c r="J4882" s="10">
        <f>IFERROR(__xludf.DUMMYFUNCTION("""COMPUTED_VALUE"""),0.0)</f>
        <v>0</v>
      </c>
      <c r="K4882" s="5">
        <f>IFERROR(__xludf.DUMMYFUNCTION("""COMPUTED_VALUE"""),0.0)</f>
        <v>0</v>
      </c>
      <c r="L4882" s="10">
        <f>IFERROR(__xludf.DUMMYFUNCTION("""COMPUTED_VALUE"""),123.0)</f>
        <v>123</v>
      </c>
      <c r="M4882" s="5">
        <f>IFERROR(__xludf.DUMMYFUNCTION("""COMPUTED_VALUE"""),1.0)</f>
        <v>1</v>
      </c>
    </row>
    <row r="4883">
      <c r="A4883" s="10" t="str">
        <f>IFERROR(__xludf.DUMMYFUNCTION("""COMPUTED_VALUE"""),"seil")</f>
        <v>seil</v>
      </c>
      <c r="B4883" s="10">
        <f>IFERROR(__xludf.DUMMYFUNCTION("""COMPUTED_VALUE"""),2342.0)</f>
        <v>2342</v>
      </c>
      <c r="C4883" s="10">
        <f>IFERROR(__xludf.DUMMYFUNCTION("""COMPUTED_VALUE"""),27833.0)</f>
        <v>27833</v>
      </c>
      <c r="D4883" s="5">
        <f>IFERROR(__xludf.DUMMYFUNCTION("""COMPUTED_VALUE"""),0.38590090620218903)</f>
        <v>0.3859009062</v>
      </c>
      <c r="E4883" s="5">
        <f>IFERROR(__xludf.DUMMYFUNCTION("""COMPUTED_VALUE"""),0.1144325448197403)</f>
        <v>0.1144325448</v>
      </c>
      <c r="F4883" s="5">
        <f>IFERROR(__xludf.DUMMYFUNCTION("""COMPUTED_VALUE"""),0.21132948883919814)</f>
        <v>0.2113294888</v>
      </c>
      <c r="G4883" s="5">
        <f>IFERROR(__xludf.DUMMYFUNCTION("""COMPUTED_VALUE"""),0.16362637793731122)</f>
        <v>0.1636263779</v>
      </c>
      <c r="H4883" s="5">
        <f>IFERROR(__xludf.DUMMYFUNCTION("""COMPUTED_VALUE"""),0.6027473547428995)</f>
        <v>0.6027473547</v>
      </c>
      <c r="I4883" s="11">
        <f>IFERROR(__xludf.DUMMYFUNCTION("""COMPUTED_VALUE"""),5334.360497493967)</f>
        <v>5334.360497</v>
      </c>
      <c r="J4883" s="10">
        <f>IFERROR(__xludf.DUMMYFUNCTION("""COMPUTED_VALUE"""),8.0)</f>
        <v>8</v>
      </c>
      <c r="K4883" s="5">
        <f>IFERROR(__xludf.DUMMYFUNCTION("""COMPUTED_VALUE"""),0.0034158838599487617)</f>
        <v>0.00341588386</v>
      </c>
      <c r="L4883" s="10">
        <f>IFERROR(__xludf.DUMMYFUNCTION("""COMPUTED_VALUE"""),2342.0)</f>
        <v>2342</v>
      </c>
      <c r="M4883" s="5">
        <f>IFERROR(__xludf.DUMMYFUNCTION("""COMPUTED_VALUE"""),1.0)</f>
        <v>1</v>
      </c>
    </row>
    <row r="4884">
      <c r="A4884" s="10" t="str">
        <f>IFERROR(__xludf.DUMMYFUNCTION("""COMPUTED_VALUE"""),"レミリアは俺の嫁")</f>
        <v>レミリアは俺の嫁</v>
      </c>
      <c r="B4884" s="10">
        <f>IFERROR(__xludf.DUMMYFUNCTION("""COMPUTED_VALUE"""),710.0)</f>
        <v>710</v>
      </c>
      <c r="C4884" s="10">
        <f>IFERROR(__xludf.DUMMYFUNCTION("""COMPUTED_VALUE"""),8446.0)</f>
        <v>8446</v>
      </c>
      <c r="D4884" s="5">
        <f>IFERROR(__xludf.DUMMYFUNCTION("""COMPUTED_VALUE"""),0.3894777662874871)</f>
        <v>0.3894777663</v>
      </c>
      <c r="E4884" s="5">
        <f>IFERROR(__xludf.DUMMYFUNCTION("""COMPUTED_VALUE"""),0.11440020682523268)</f>
        <v>0.1144002068</v>
      </c>
      <c r="F4884" s="5">
        <f>IFERROR(__xludf.DUMMYFUNCTION("""COMPUTED_VALUE"""),0.1984229576008273)</f>
        <v>0.1984229576</v>
      </c>
      <c r="G4884" s="5">
        <f>IFERROR(__xludf.DUMMYFUNCTION("""COMPUTED_VALUE"""),0.1657187176835574)</f>
        <v>0.1657187177</v>
      </c>
      <c r="H4884" s="5">
        <f>IFERROR(__xludf.DUMMYFUNCTION("""COMPUTED_VALUE"""),0.6078175895765472)</f>
        <v>0.6078175896</v>
      </c>
      <c r="I4884" s="11">
        <f>IFERROR(__xludf.DUMMYFUNCTION("""COMPUTED_VALUE"""),5353.550488599349)</f>
        <v>5353.550489</v>
      </c>
      <c r="J4884" s="10">
        <f>IFERROR(__xludf.DUMMYFUNCTION("""COMPUTED_VALUE"""),0.0)</f>
        <v>0</v>
      </c>
      <c r="K4884" s="5">
        <f>IFERROR(__xludf.DUMMYFUNCTION("""COMPUTED_VALUE"""),0.0)</f>
        <v>0</v>
      </c>
      <c r="L4884" s="10">
        <f>IFERROR(__xludf.DUMMYFUNCTION("""COMPUTED_VALUE"""),710.0)</f>
        <v>710</v>
      </c>
      <c r="M4884" s="5">
        <f>IFERROR(__xludf.DUMMYFUNCTION("""COMPUTED_VALUE"""),1.0)</f>
        <v>1</v>
      </c>
    </row>
    <row r="4885">
      <c r="A4885" s="10" t="str">
        <f>IFERROR(__xludf.DUMMYFUNCTION("""COMPUTED_VALUE"""),"じたっく")</f>
        <v>じたっく</v>
      </c>
      <c r="B4885" s="10">
        <f>IFERROR(__xludf.DUMMYFUNCTION("""COMPUTED_VALUE"""),152.0)</f>
        <v>152</v>
      </c>
      <c r="C4885" s="10">
        <f>IFERROR(__xludf.DUMMYFUNCTION("""COMPUTED_VALUE"""),1778.0)</f>
        <v>1778</v>
      </c>
      <c r="D4885" s="5">
        <f>IFERROR(__xludf.DUMMYFUNCTION("""COMPUTED_VALUE"""),0.31857318573185733)</f>
        <v>0.3185731857</v>
      </c>
      <c r="E4885" s="5">
        <f>IFERROR(__xludf.DUMMYFUNCTION("""COMPUTED_VALUE"""),0.11439114391143912)</f>
        <v>0.1143911439</v>
      </c>
      <c r="F4885" s="5">
        <f>IFERROR(__xludf.DUMMYFUNCTION("""COMPUTED_VALUE"""),0.21525215252152521)</f>
        <v>0.2152521525</v>
      </c>
      <c r="G4885" s="5">
        <f>IFERROR(__xludf.DUMMYFUNCTION("""COMPUTED_VALUE"""),0.1875768757687577)</f>
        <v>0.1875768758</v>
      </c>
      <c r="H4885" s="5">
        <f>IFERROR(__xludf.DUMMYFUNCTION("""COMPUTED_VALUE"""),0.5571428571428572)</f>
        <v>0.5571428571</v>
      </c>
      <c r="I4885" s="11">
        <f>IFERROR(__xludf.DUMMYFUNCTION("""COMPUTED_VALUE"""),5478.0)</f>
        <v>5478</v>
      </c>
      <c r="J4885" s="10">
        <f>IFERROR(__xludf.DUMMYFUNCTION("""COMPUTED_VALUE"""),1.0)</f>
        <v>1</v>
      </c>
      <c r="K4885" s="5">
        <f>IFERROR(__xludf.DUMMYFUNCTION("""COMPUTED_VALUE"""),0.006578947368421052)</f>
        <v>0.006578947368</v>
      </c>
      <c r="L4885" s="10">
        <f>IFERROR(__xludf.DUMMYFUNCTION("""COMPUTED_VALUE"""),152.0)</f>
        <v>152</v>
      </c>
      <c r="M4885" s="5">
        <f>IFERROR(__xludf.DUMMYFUNCTION("""COMPUTED_VALUE"""),1.0)</f>
        <v>1</v>
      </c>
    </row>
    <row r="4886">
      <c r="A4886" s="10" t="str">
        <f>IFERROR(__xludf.DUMMYFUNCTION("""COMPUTED_VALUE"""),"チートイちゃん")</f>
        <v>チートイちゃん</v>
      </c>
      <c r="B4886" s="10">
        <f>IFERROR(__xludf.DUMMYFUNCTION("""COMPUTED_VALUE"""),670.0)</f>
        <v>670</v>
      </c>
      <c r="C4886" s="10">
        <f>IFERROR(__xludf.DUMMYFUNCTION("""COMPUTED_VALUE"""),7883.0)</f>
        <v>7883</v>
      </c>
      <c r="D4886" s="5">
        <f>IFERROR(__xludf.DUMMYFUNCTION("""COMPUTED_VALUE"""),0.3180368778594205)</f>
        <v>0.3180368779</v>
      </c>
      <c r="E4886" s="5">
        <f>IFERROR(__xludf.DUMMYFUNCTION("""COMPUTED_VALUE"""),0.1143768196312214)</f>
        <v>0.1143768196</v>
      </c>
      <c r="F4886" s="5">
        <f>IFERROR(__xludf.DUMMYFUNCTION("""COMPUTED_VALUE"""),0.2011645639816997)</f>
        <v>0.201164564</v>
      </c>
      <c r="G4886" s="5">
        <f>IFERROR(__xludf.DUMMYFUNCTION("""COMPUTED_VALUE"""),0.168029945930958)</f>
        <v>0.1680299459</v>
      </c>
      <c r="H4886" s="5">
        <f>IFERROR(__xludf.DUMMYFUNCTION("""COMPUTED_VALUE"""),0.6092350103376981)</f>
        <v>0.6092350103</v>
      </c>
      <c r="I4886" s="11">
        <f>IFERROR(__xludf.DUMMYFUNCTION("""COMPUTED_VALUE"""),5955.478980013783)</f>
        <v>5955.47898</v>
      </c>
      <c r="J4886" s="10">
        <f>IFERROR(__xludf.DUMMYFUNCTION("""COMPUTED_VALUE"""),0.0)</f>
        <v>0</v>
      </c>
      <c r="K4886" s="5">
        <f>IFERROR(__xludf.DUMMYFUNCTION("""COMPUTED_VALUE"""),0.0)</f>
        <v>0</v>
      </c>
      <c r="L4886" s="10">
        <f>IFERROR(__xludf.DUMMYFUNCTION("""COMPUTED_VALUE"""),4.0)</f>
        <v>4</v>
      </c>
      <c r="M4886" s="5">
        <f>IFERROR(__xludf.DUMMYFUNCTION("""COMPUTED_VALUE"""),0.005970149253731343)</f>
        <v>0.005970149254</v>
      </c>
    </row>
    <row r="4887">
      <c r="A4887" s="10" t="str">
        <f>IFERROR(__xludf.DUMMYFUNCTION("""COMPUTED_VALUE"""),"wild_wil")</f>
        <v>wild_wil</v>
      </c>
      <c r="B4887" s="10">
        <f>IFERROR(__xludf.DUMMYFUNCTION("""COMPUTED_VALUE"""),142.0)</f>
        <v>142</v>
      </c>
      <c r="C4887" s="10">
        <f>IFERROR(__xludf.DUMMYFUNCTION("""COMPUTED_VALUE"""),1742.0)</f>
        <v>1742</v>
      </c>
      <c r="D4887" s="5">
        <f>IFERROR(__xludf.DUMMYFUNCTION("""COMPUTED_VALUE"""),0.385)</f>
        <v>0.385</v>
      </c>
      <c r="E4887" s="5">
        <f>IFERROR(__xludf.DUMMYFUNCTION("""COMPUTED_VALUE"""),0.114375)</f>
        <v>0.114375</v>
      </c>
      <c r="F4887" s="5">
        <f>IFERROR(__xludf.DUMMYFUNCTION("""COMPUTED_VALUE"""),0.190625)</f>
        <v>0.190625</v>
      </c>
      <c r="G4887" s="5">
        <f>IFERROR(__xludf.DUMMYFUNCTION("""COMPUTED_VALUE"""),0.145625)</f>
        <v>0.145625</v>
      </c>
      <c r="H4887" s="5">
        <f>IFERROR(__xludf.DUMMYFUNCTION("""COMPUTED_VALUE"""),0.5868852459016394)</f>
        <v>0.5868852459</v>
      </c>
      <c r="I4887" s="11">
        <f>IFERROR(__xludf.DUMMYFUNCTION("""COMPUTED_VALUE"""),4994.754098360656)</f>
        <v>4994.754098</v>
      </c>
      <c r="J4887" s="10">
        <f>IFERROR(__xludf.DUMMYFUNCTION("""COMPUTED_VALUE"""),0.0)</f>
        <v>0</v>
      </c>
      <c r="K4887" s="5">
        <f>IFERROR(__xludf.DUMMYFUNCTION("""COMPUTED_VALUE"""),0.0)</f>
        <v>0</v>
      </c>
      <c r="L4887" s="10">
        <f>IFERROR(__xludf.DUMMYFUNCTION("""COMPUTED_VALUE"""),142.0)</f>
        <v>142</v>
      </c>
      <c r="M4887" s="5">
        <f>IFERROR(__xludf.DUMMYFUNCTION("""COMPUTED_VALUE"""),1.0)</f>
        <v>1</v>
      </c>
    </row>
    <row r="4888">
      <c r="A4888" s="10" t="str">
        <f>IFERROR(__xludf.DUMMYFUNCTION("""COMPUTED_VALUE"""),"内田貴大")</f>
        <v>内田貴大</v>
      </c>
      <c r="B4888" s="10">
        <f>IFERROR(__xludf.DUMMYFUNCTION("""COMPUTED_VALUE"""),2488.0)</f>
        <v>2488</v>
      </c>
      <c r="C4888" s="10">
        <f>IFERROR(__xludf.DUMMYFUNCTION("""COMPUTED_VALUE"""),29208.0)</f>
        <v>29208</v>
      </c>
      <c r="D4888" s="5">
        <f>IFERROR(__xludf.DUMMYFUNCTION("""COMPUTED_VALUE"""),0.33652694610778444)</f>
        <v>0.3365269461</v>
      </c>
      <c r="E4888" s="5">
        <f>IFERROR(__xludf.DUMMYFUNCTION("""COMPUTED_VALUE"""),0.11437125748502994)</f>
        <v>0.1143712575</v>
      </c>
      <c r="F4888" s="5">
        <f>IFERROR(__xludf.DUMMYFUNCTION("""COMPUTED_VALUE"""),0.2028817365269461)</f>
        <v>0.2028817365</v>
      </c>
      <c r="G4888" s="5">
        <f>IFERROR(__xludf.DUMMYFUNCTION("""COMPUTED_VALUE"""),0.17320359281437125)</f>
        <v>0.1732035928</v>
      </c>
      <c r="H4888" s="5">
        <f>IFERROR(__xludf.DUMMYFUNCTION("""COMPUTED_VALUE"""),0.6094816454528684)</f>
        <v>0.6094816455</v>
      </c>
      <c r="I4888" s="11">
        <f>IFERROR(__xludf.DUMMYFUNCTION("""COMPUTED_VALUE"""),5712.433130418742)</f>
        <v>5712.43313</v>
      </c>
      <c r="J4888" s="10">
        <f>IFERROR(__xludf.DUMMYFUNCTION("""COMPUTED_VALUE"""),1.0)</f>
        <v>1</v>
      </c>
      <c r="K4888" s="5">
        <f>IFERROR(__xludf.DUMMYFUNCTION("""COMPUTED_VALUE"""),4.0192926045016077E-4)</f>
        <v>0.0004019292605</v>
      </c>
      <c r="L4888" s="10">
        <f>IFERROR(__xludf.DUMMYFUNCTION("""COMPUTED_VALUE"""),2488.0)</f>
        <v>2488</v>
      </c>
      <c r="M4888" s="5">
        <f>IFERROR(__xludf.DUMMYFUNCTION("""COMPUTED_VALUE"""),1.0)</f>
        <v>1</v>
      </c>
    </row>
    <row r="4889">
      <c r="A4889" s="10" t="str">
        <f>IFERROR(__xludf.DUMMYFUNCTION("""COMPUTED_VALUE"""),"沢登")</f>
        <v>沢登</v>
      </c>
      <c r="B4889" s="10">
        <f>IFERROR(__xludf.DUMMYFUNCTION("""COMPUTED_VALUE"""),305.0)</f>
        <v>305</v>
      </c>
      <c r="C4889" s="10">
        <f>IFERROR(__xludf.DUMMYFUNCTION("""COMPUTED_VALUE"""),3645.0)</f>
        <v>3645</v>
      </c>
      <c r="D4889" s="5">
        <f>IFERROR(__xludf.DUMMYFUNCTION("""COMPUTED_VALUE"""),0.3326347305389222)</f>
        <v>0.3326347305</v>
      </c>
      <c r="E4889" s="5">
        <f>IFERROR(__xludf.DUMMYFUNCTION("""COMPUTED_VALUE"""),0.11437125748502994)</f>
        <v>0.1143712575</v>
      </c>
      <c r="F4889" s="5">
        <f>IFERROR(__xludf.DUMMYFUNCTION("""COMPUTED_VALUE"""),0.21736526946107784)</f>
        <v>0.2173652695</v>
      </c>
      <c r="G4889" s="5">
        <f>IFERROR(__xludf.DUMMYFUNCTION("""COMPUTED_VALUE"""),0.16437125748502995)</f>
        <v>0.1643712575</v>
      </c>
      <c r="H4889" s="5">
        <f>IFERROR(__xludf.DUMMYFUNCTION("""COMPUTED_VALUE"""),0.5840220385674931)</f>
        <v>0.5840220386</v>
      </c>
      <c r="I4889" s="11">
        <f>IFERROR(__xludf.DUMMYFUNCTION("""COMPUTED_VALUE"""),5252.479338842975)</f>
        <v>5252.479339</v>
      </c>
      <c r="J4889" s="10">
        <f>IFERROR(__xludf.DUMMYFUNCTION("""COMPUTED_VALUE"""),1.0)</f>
        <v>1</v>
      </c>
      <c r="K4889" s="5">
        <f>IFERROR(__xludf.DUMMYFUNCTION("""COMPUTED_VALUE"""),0.003278688524590164)</f>
        <v>0.003278688525</v>
      </c>
      <c r="L4889" s="10">
        <f>IFERROR(__xludf.DUMMYFUNCTION("""COMPUTED_VALUE"""),305.0)</f>
        <v>305</v>
      </c>
      <c r="M4889" s="5">
        <f>IFERROR(__xludf.DUMMYFUNCTION("""COMPUTED_VALUE"""),1.0)</f>
        <v>1</v>
      </c>
    </row>
    <row r="4890">
      <c r="A4890" s="10" t="str">
        <f>IFERROR(__xludf.DUMMYFUNCTION("""COMPUTED_VALUE"""),"みっくろーん")</f>
        <v>みっくろーん</v>
      </c>
      <c r="B4890" s="10">
        <f>IFERROR(__xludf.DUMMYFUNCTION("""COMPUTED_VALUE"""),253.0)</f>
        <v>253</v>
      </c>
      <c r="C4890" s="10">
        <f>IFERROR(__xludf.DUMMYFUNCTION("""COMPUTED_VALUE"""),3016.0)</f>
        <v>3016</v>
      </c>
      <c r="D4890" s="5">
        <f>IFERROR(__xludf.DUMMYFUNCTION("""COMPUTED_VALUE"""),0.3586681143684401)</f>
        <v>0.3586681144</v>
      </c>
      <c r="E4890" s="5">
        <f>IFERROR(__xludf.DUMMYFUNCTION("""COMPUTED_VALUE"""),0.11436844010133912)</f>
        <v>0.1143684401</v>
      </c>
      <c r="F4890" s="5">
        <f>IFERROR(__xludf.DUMMYFUNCTION("""COMPUTED_VALUE"""),0.19001085776330076)</f>
        <v>0.1900108578</v>
      </c>
      <c r="G4890" s="5">
        <f>IFERROR(__xludf.DUMMYFUNCTION("""COMPUTED_VALUE"""),0.16178067318132464)</f>
        <v>0.1617806732</v>
      </c>
      <c r="H4890" s="5">
        <f>IFERROR(__xludf.DUMMYFUNCTION("""COMPUTED_VALUE"""),0.5828571428571429)</f>
        <v>0.5828571429</v>
      </c>
      <c r="I4890" s="11">
        <f>IFERROR(__xludf.DUMMYFUNCTION("""COMPUTED_VALUE"""),5703.619047619048)</f>
        <v>5703.619048</v>
      </c>
      <c r="J4890" s="10">
        <f>IFERROR(__xludf.DUMMYFUNCTION("""COMPUTED_VALUE"""),2.0)</f>
        <v>2</v>
      </c>
      <c r="K4890" s="5">
        <f>IFERROR(__xludf.DUMMYFUNCTION("""COMPUTED_VALUE"""),0.007905138339920948)</f>
        <v>0.00790513834</v>
      </c>
      <c r="L4890" s="10">
        <f>IFERROR(__xludf.DUMMYFUNCTION("""COMPUTED_VALUE"""),253.0)</f>
        <v>253</v>
      </c>
      <c r="M4890" s="5">
        <f>IFERROR(__xludf.DUMMYFUNCTION("""COMPUTED_VALUE"""),1.0)</f>
        <v>1</v>
      </c>
    </row>
    <row r="4891">
      <c r="A4891" s="10" t="str">
        <f>IFERROR(__xludf.DUMMYFUNCTION("""COMPUTED_VALUE"""),"イージスの盾")</f>
        <v>イージスの盾</v>
      </c>
      <c r="B4891" s="10">
        <f>IFERROR(__xludf.DUMMYFUNCTION("""COMPUTED_VALUE"""),358.0)</f>
        <v>358</v>
      </c>
      <c r="C4891" s="10">
        <f>IFERROR(__xludf.DUMMYFUNCTION("""COMPUTED_VALUE"""),4258.0)</f>
        <v>4258</v>
      </c>
      <c r="D4891" s="5">
        <f>IFERROR(__xludf.DUMMYFUNCTION("""COMPUTED_VALUE"""),0.32256410256410256)</f>
        <v>0.3225641026</v>
      </c>
      <c r="E4891" s="5">
        <f>IFERROR(__xludf.DUMMYFUNCTION("""COMPUTED_VALUE"""),0.11435897435897435)</f>
        <v>0.1143589744</v>
      </c>
      <c r="F4891" s="5">
        <f>IFERROR(__xludf.DUMMYFUNCTION("""COMPUTED_VALUE"""),0.19538461538461538)</f>
        <v>0.1953846154</v>
      </c>
      <c r="G4891" s="5">
        <f>IFERROR(__xludf.DUMMYFUNCTION("""COMPUTED_VALUE"""),0.16153846153846155)</f>
        <v>0.1615384615</v>
      </c>
      <c r="H4891" s="5">
        <f>IFERROR(__xludf.DUMMYFUNCTION("""COMPUTED_VALUE"""),0.6010498687664042)</f>
        <v>0.6010498688</v>
      </c>
      <c r="I4891" s="11">
        <f>IFERROR(__xludf.DUMMYFUNCTION("""COMPUTED_VALUE"""),5812.59842519685)</f>
        <v>5812.598425</v>
      </c>
      <c r="J4891" s="10">
        <f>IFERROR(__xludf.DUMMYFUNCTION("""COMPUTED_VALUE"""),0.0)</f>
        <v>0</v>
      </c>
      <c r="K4891" s="5">
        <f>IFERROR(__xludf.DUMMYFUNCTION("""COMPUTED_VALUE"""),0.0)</f>
        <v>0</v>
      </c>
      <c r="L4891" s="10">
        <f>IFERROR(__xludf.DUMMYFUNCTION("""COMPUTED_VALUE"""),358.0)</f>
        <v>358</v>
      </c>
      <c r="M4891" s="5">
        <f>IFERROR(__xludf.DUMMYFUNCTION("""COMPUTED_VALUE"""),1.0)</f>
        <v>1</v>
      </c>
    </row>
    <row r="4892">
      <c r="A4892" s="10" t="str">
        <f>IFERROR(__xludf.DUMMYFUNCTION("""COMPUTED_VALUE"""),"古清水凛")</f>
        <v>古清水凛</v>
      </c>
      <c r="B4892" s="10">
        <f>IFERROR(__xludf.DUMMYFUNCTION("""COMPUTED_VALUE"""),610.0)</f>
        <v>610</v>
      </c>
      <c r="C4892" s="10">
        <f>IFERROR(__xludf.DUMMYFUNCTION("""COMPUTED_VALUE"""),7169.0)</f>
        <v>7169</v>
      </c>
      <c r="D4892" s="5">
        <f>IFERROR(__xludf.DUMMYFUNCTION("""COMPUTED_VALUE"""),0.32078060679981707)</f>
        <v>0.3207806068</v>
      </c>
      <c r="E4892" s="5">
        <f>IFERROR(__xludf.DUMMYFUNCTION("""COMPUTED_VALUE"""),0.11434669919195)</f>
        <v>0.1143466992</v>
      </c>
      <c r="F4892" s="5">
        <f>IFERROR(__xludf.DUMMYFUNCTION("""COMPUTED_VALUE"""),0.19926818112517153)</f>
        <v>0.1992681811</v>
      </c>
      <c r="G4892" s="5">
        <f>IFERROR(__xludf.DUMMYFUNCTION("""COMPUTED_VALUE"""),0.1637444732428724)</f>
        <v>0.1637444732</v>
      </c>
      <c r="H4892" s="5">
        <f>IFERROR(__xludf.DUMMYFUNCTION("""COMPUTED_VALUE"""),0.5822494261667942)</f>
        <v>0.5822494262</v>
      </c>
      <c r="I4892" s="11">
        <f>IFERROR(__xludf.DUMMYFUNCTION("""COMPUTED_VALUE"""),5790.818668706963)</f>
        <v>5790.818669</v>
      </c>
      <c r="J4892" s="10">
        <f>IFERROR(__xludf.DUMMYFUNCTION("""COMPUTED_VALUE"""),3.0)</f>
        <v>3</v>
      </c>
      <c r="K4892" s="5">
        <f>IFERROR(__xludf.DUMMYFUNCTION("""COMPUTED_VALUE"""),0.004918032786885246)</f>
        <v>0.004918032787</v>
      </c>
      <c r="L4892" s="10">
        <f>IFERROR(__xludf.DUMMYFUNCTION("""COMPUTED_VALUE"""),0.0)</f>
        <v>0</v>
      </c>
      <c r="M4892" s="5">
        <f>IFERROR(__xludf.DUMMYFUNCTION("""COMPUTED_VALUE"""),0.0)</f>
        <v>0</v>
      </c>
    </row>
    <row r="4893">
      <c r="A4893" s="10" t="str">
        <f>IFERROR(__xludf.DUMMYFUNCTION("""COMPUTED_VALUE"""),"Mr.コバチ")</f>
        <v>Mr.コバチ</v>
      </c>
      <c r="B4893" s="10">
        <f>IFERROR(__xludf.DUMMYFUNCTION("""COMPUTED_VALUE"""),255.0)</f>
        <v>255</v>
      </c>
      <c r="C4893" s="10">
        <f>IFERROR(__xludf.DUMMYFUNCTION("""COMPUTED_VALUE"""),3010.0)</f>
        <v>3010</v>
      </c>
      <c r="D4893" s="5">
        <f>IFERROR(__xludf.DUMMYFUNCTION("""COMPUTED_VALUE"""),0.397459165154265)</f>
        <v>0.3974591652</v>
      </c>
      <c r="E4893" s="5">
        <f>IFERROR(__xludf.DUMMYFUNCTION("""COMPUTED_VALUE"""),0.11433756805807622)</f>
        <v>0.1143375681</v>
      </c>
      <c r="F4893" s="5">
        <f>IFERROR(__xludf.DUMMYFUNCTION("""COMPUTED_VALUE"""),0.2279491833030853)</f>
        <v>0.2279491833</v>
      </c>
      <c r="G4893" s="5">
        <f>IFERROR(__xludf.DUMMYFUNCTION("""COMPUTED_VALUE"""),0.1499092558983666)</f>
        <v>0.1499092559</v>
      </c>
      <c r="H4893" s="5">
        <f>IFERROR(__xludf.DUMMYFUNCTION("""COMPUTED_VALUE"""),0.5923566878980892)</f>
        <v>0.5923566879</v>
      </c>
      <c r="I4893" s="11">
        <f>IFERROR(__xludf.DUMMYFUNCTION("""COMPUTED_VALUE"""),5186.9426751592355)</f>
        <v>5186.942675</v>
      </c>
      <c r="J4893" s="10">
        <f>IFERROR(__xludf.DUMMYFUNCTION("""COMPUTED_VALUE"""),1.0)</f>
        <v>1</v>
      </c>
      <c r="K4893" s="5">
        <f>IFERROR(__xludf.DUMMYFUNCTION("""COMPUTED_VALUE"""),0.00392156862745098)</f>
        <v>0.003921568627</v>
      </c>
      <c r="L4893" s="10">
        <f>IFERROR(__xludf.DUMMYFUNCTION("""COMPUTED_VALUE"""),251.0)</f>
        <v>251</v>
      </c>
      <c r="M4893" s="5">
        <f>IFERROR(__xludf.DUMMYFUNCTION("""COMPUTED_VALUE"""),0.984313725490196)</f>
        <v>0.9843137255</v>
      </c>
    </row>
    <row r="4894">
      <c r="A4894" s="10" t="str">
        <f>IFERROR(__xludf.DUMMYFUNCTION("""COMPUTED_VALUE"""),"chcmabo")</f>
        <v>chcmabo</v>
      </c>
      <c r="B4894" s="10">
        <f>IFERROR(__xludf.DUMMYFUNCTION("""COMPUTED_VALUE"""),179.0)</f>
        <v>179</v>
      </c>
      <c r="C4894" s="10">
        <f>IFERROR(__xludf.DUMMYFUNCTION("""COMPUTED_VALUE"""),2077.0)</f>
        <v>2077</v>
      </c>
      <c r="D4894" s="5">
        <f>IFERROR(__xludf.DUMMYFUNCTION("""COMPUTED_VALUE"""),0.45152792413066384)</f>
        <v>0.4515279241</v>
      </c>
      <c r="E4894" s="5">
        <f>IFERROR(__xludf.DUMMYFUNCTION("""COMPUTED_VALUE"""),0.11433087460484721)</f>
        <v>0.1143308746</v>
      </c>
      <c r="F4894" s="5">
        <f>IFERROR(__xludf.DUMMYFUNCTION("""COMPUTED_VALUE"""),0.20337197049525815)</f>
        <v>0.2033719705</v>
      </c>
      <c r="G4894" s="5">
        <f>IFERROR(__xludf.DUMMYFUNCTION("""COMPUTED_VALUE"""),0.11169652265542676)</f>
        <v>0.1116965227</v>
      </c>
      <c r="H4894" s="5">
        <f>IFERROR(__xludf.DUMMYFUNCTION("""COMPUTED_VALUE"""),0.6217616580310881)</f>
        <v>0.621761658</v>
      </c>
      <c r="I4894" s="11">
        <f>IFERROR(__xludf.DUMMYFUNCTION("""COMPUTED_VALUE"""),5147.668393782384)</f>
        <v>5147.668394</v>
      </c>
      <c r="J4894" s="10">
        <f>IFERROR(__xludf.DUMMYFUNCTION("""COMPUTED_VALUE"""),0.0)</f>
        <v>0</v>
      </c>
      <c r="K4894" s="5">
        <f>IFERROR(__xludf.DUMMYFUNCTION("""COMPUTED_VALUE"""),0.0)</f>
        <v>0</v>
      </c>
      <c r="L4894" s="10">
        <f>IFERROR(__xludf.DUMMYFUNCTION("""COMPUTED_VALUE"""),179.0)</f>
        <v>179</v>
      </c>
      <c r="M4894" s="5">
        <f>IFERROR(__xludf.DUMMYFUNCTION("""COMPUTED_VALUE"""),1.0)</f>
        <v>1</v>
      </c>
    </row>
    <row r="4895">
      <c r="A4895" s="10" t="str">
        <f>IFERROR(__xludf.DUMMYFUNCTION("""COMPUTED_VALUE"""),"プッシュ押す僧")</f>
        <v>プッシュ押す僧</v>
      </c>
      <c r="B4895" s="10">
        <f>IFERROR(__xludf.DUMMYFUNCTION("""COMPUTED_VALUE"""),1499.0)</f>
        <v>1499</v>
      </c>
      <c r="C4895" s="10">
        <f>IFERROR(__xludf.DUMMYFUNCTION("""COMPUTED_VALUE"""),17506.0)</f>
        <v>17506</v>
      </c>
      <c r="D4895" s="5">
        <f>IFERROR(__xludf.DUMMYFUNCTION("""COMPUTED_VALUE"""),0.3310426688323858)</f>
        <v>0.3310426688</v>
      </c>
      <c r="E4895" s="5">
        <f>IFERROR(__xludf.DUMMYFUNCTION("""COMPUTED_VALUE"""),0.11432498282001624)</f>
        <v>0.1143249828</v>
      </c>
      <c r="F4895" s="5">
        <f>IFERROR(__xludf.DUMMYFUNCTION("""COMPUTED_VALUE"""),0.20922096582745048)</f>
        <v>0.2092209658</v>
      </c>
      <c r="G4895" s="5">
        <f>IFERROR(__xludf.DUMMYFUNCTION("""COMPUTED_VALUE"""),0.17086274754794778)</f>
        <v>0.1708627475</v>
      </c>
      <c r="H4895" s="5">
        <f>IFERROR(__xludf.DUMMYFUNCTION("""COMPUTED_VALUE"""),0.6034637205135861)</f>
        <v>0.6034637205</v>
      </c>
      <c r="I4895" s="11">
        <f>IFERROR(__xludf.DUMMYFUNCTION("""COMPUTED_VALUE"""),5625.261272021499)</f>
        <v>5625.261272</v>
      </c>
      <c r="J4895" s="10">
        <f>IFERROR(__xludf.DUMMYFUNCTION("""COMPUTED_VALUE"""),1.0)</f>
        <v>1</v>
      </c>
      <c r="K4895" s="5">
        <f>IFERROR(__xludf.DUMMYFUNCTION("""COMPUTED_VALUE"""),6.6711140760507E-4)</f>
        <v>0.0006671114076</v>
      </c>
      <c r="L4895" s="10">
        <f>IFERROR(__xludf.DUMMYFUNCTION("""COMPUTED_VALUE"""),1497.0)</f>
        <v>1497</v>
      </c>
      <c r="M4895" s="5">
        <f>IFERROR(__xludf.DUMMYFUNCTION("""COMPUTED_VALUE"""),0.9986657771847899)</f>
        <v>0.9986657772</v>
      </c>
    </row>
    <row r="4896">
      <c r="A4896" s="10" t="str">
        <f>IFERROR(__xludf.DUMMYFUNCTION("""COMPUTED_VALUE"""),"としぞぅ@")</f>
        <v>としぞぅ@</v>
      </c>
      <c r="B4896" s="10">
        <f>IFERROR(__xludf.DUMMYFUNCTION("""COMPUTED_VALUE"""),566.0)</f>
        <v>566</v>
      </c>
      <c r="C4896" s="10">
        <f>IFERROR(__xludf.DUMMYFUNCTION("""COMPUTED_VALUE"""),6724.0)</f>
        <v>6724</v>
      </c>
      <c r="D4896" s="5">
        <f>IFERROR(__xludf.DUMMYFUNCTION("""COMPUTED_VALUE"""),0.3393959077622605)</f>
        <v>0.3393959078</v>
      </c>
      <c r="E4896" s="5">
        <f>IFERROR(__xludf.DUMMYFUNCTION("""COMPUTED_VALUE"""),0.11432283208834038)</f>
        <v>0.1143228321</v>
      </c>
      <c r="F4896" s="5">
        <f>IFERROR(__xludf.DUMMYFUNCTION("""COMPUTED_VALUE"""),0.2078596947060734)</f>
        <v>0.2078596947</v>
      </c>
      <c r="G4896" s="5">
        <f>IFERROR(__xludf.DUMMYFUNCTION("""COMPUTED_VALUE"""),0.14533939590776226)</f>
        <v>0.1453393959</v>
      </c>
      <c r="H4896" s="5">
        <f>IFERROR(__xludf.DUMMYFUNCTION("""COMPUTED_VALUE"""),0.5796875)</f>
        <v>0.5796875</v>
      </c>
      <c r="I4896" s="11">
        <f>IFERROR(__xludf.DUMMYFUNCTION("""COMPUTED_VALUE"""),5274.921875)</f>
        <v>5274.921875</v>
      </c>
      <c r="J4896" s="10">
        <f>IFERROR(__xludf.DUMMYFUNCTION("""COMPUTED_VALUE"""),4.0)</f>
        <v>4</v>
      </c>
      <c r="K4896" s="5">
        <f>IFERROR(__xludf.DUMMYFUNCTION("""COMPUTED_VALUE"""),0.007067137809187279)</f>
        <v>0.007067137809</v>
      </c>
      <c r="L4896" s="10">
        <f>IFERROR(__xludf.DUMMYFUNCTION("""COMPUTED_VALUE"""),323.0)</f>
        <v>323</v>
      </c>
      <c r="M4896" s="5">
        <f>IFERROR(__xludf.DUMMYFUNCTION("""COMPUTED_VALUE"""),0.5706713780918727)</f>
        <v>0.5706713781</v>
      </c>
    </row>
    <row r="4897">
      <c r="A4897" s="10" t="str">
        <f>IFERROR(__xludf.DUMMYFUNCTION("""COMPUTED_VALUE"""),"ma-bo35")</f>
        <v>ma-bo35</v>
      </c>
      <c r="B4897" s="10">
        <f>IFERROR(__xludf.DUMMYFUNCTION("""COMPUTED_VALUE"""),1220.0)</f>
        <v>1220</v>
      </c>
      <c r="C4897" s="10">
        <f>IFERROR(__xludf.DUMMYFUNCTION("""COMPUTED_VALUE"""),14534.0)</f>
        <v>14534</v>
      </c>
      <c r="D4897" s="5">
        <f>IFERROR(__xludf.DUMMYFUNCTION("""COMPUTED_VALUE"""),0.3873366381252817)</f>
        <v>0.3873366381</v>
      </c>
      <c r="E4897" s="5">
        <f>IFERROR(__xludf.DUMMYFUNCTION("""COMPUTED_VALUE"""),0.11431575784888087)</f>
        <v>0.1143157578</v>
      </c>
      <c r="F4897" s="5">
        <f>IFERROR(__xludf.DUMMYFUNCTION("""COMPUTED_VALUE"""),0.20016523959741625)</f>
        <v>0.2001652396</v>
      </c>
      <c r="G4897" s="5">
        <f>IFERROR(__xludf.DUMMYFUNCTION("""COMPUTED_VALUE"""),0.16854438936457863)</f>
        <v>0.1685443894</v>
      </c>
      <c r="H4897" s="5">
        <f>IFERROR(__xludf.DUMMYFUNCTION("""COMPUTED_VALUE"""),0.5861163227016886)</f>
        <v>0.5861163227</v>
      </c>
      <c r="I4897" s="11">
        <f>IFERROR(__xludf.DUMMYFUNCTION("""COMPUTED_VALUE"""),5614.2589118198875)</f>
        <v>5614.258912</v>
      </c>
      <c r="J4897" s="10">
        <f>IFERROR(__xludf.DUMMYFUNCTION("""COMPUTED_VALUE"""),0.0)</f>
        <v>0</v>
      </c>
      <c r="K4897" s="5">
        <f>IFERROR(__xludf.DUMMYFUNCTION("""COMPUTED_VALUE"""),0.0)</f>
        <v>0</v>
      </c>
      <c r="L4897" s="10">
        <f>IFERROR(__xludf.DUMMYFUNCTION("""COMPUTED_VALUE"""),1210.0)</f>
        <v>1210</v>
      </c>
      <c r="M4897" s="5">
        <f>IFERROR(__xludf.DUMMYFUNCTION("""COMPUTED_VALUE"""),0.9918032786885246)</f>
        <v>0.9918032787</v>
      </c>
    </row>
    <row r="4898">
      <c r="A4898" s="10" t="str">
        <f>IFERROR(__xludf.DUMMYFUNCTION("""COMPUTED_VALUE"""),"科学の嶺上ロンＸ")</f>
        <v>科学の嶺上ロンＸ</v>
      </c>
      <c r="B4898" s="10">
        <f>IFERROR(__xludf.DUMMYFUNCTION("""COMPUTED_VALUE"""),271.0)</f>
        <v>271</v>
      </c>
      <c r="C4898" s="10">
        <f>IFERROR(__xludf.DUMMYFUNCTION("""COMPUTED_VALUE"""),3263.0)</f>
        <v>3263</v>
      </c>
      <c r="D4898" s="5">
        <f>IFERROR(__xludf.DUMMYFUNCTION("""COMPUTED_VALUE"""),0.3719919786096257)</f>
        <v>0.3719919786</v>
      </c>
      <c r="E4898" s="5">
        <f>IFERROR(__xludf.DUMMYFUNCTION("""COMPUTED_VALUE"""),0.1143048128342246)</f>
        <v>0.1143048128</v>
      </c>
      <c r="F4898" s="5">
        <f>IFERROR(__xludf.DUMMYFUNCTION("""COMPUTED_VALUE"""),0.19786096256684493)</f>
        <v>0.1978609626</v>
      </c>
      <c r="G4898" s="5">
        <f>IFERROR(__xludf.DUMMYFUNCTION("""COMPUTED_VALUE"""),0.14304812834224598)</f>
        <v>0.1430481283</v>
      </c>
      <c r="H4898" s="5">
        <f>IFERROR(__xludf.DUMMYFUNCTION("""COMPUTED_VALUE"""),0.6148648648648649)</f>
        <v>0.6148648649</v>
      </c>
      <c r="I4898" s="11">
        <f>IFERROR(__xludf.DUMMYFUNCTION("""COMPUTED_VALUE"""),5325.844594594595)</f>
        <v>5325.844595</v>
      </c>
      <c r="J4898" s="10">
        <f>IFERROR(__xludf.DUMMYFUNCTION("""COMPUTED_VALUE"""),0.0)</f>
        <v>0</v>
      </c>
      <c r="K4898" s="5">
        <f>IFERROR(__xludf.DUMMYFUNCTION("""COMPUTED_VALUE"""),0.0)</f>
        <v>0</v>
      </c>
      <c r="L4898" s="10">
        <f>IFERROR(__xludf.DUMMYFUNCTION("""COMPUTED_VALUE"""),0.0)</f>
        <v>0</v>
      </c>
      <c r="M4898" s="5">
        <f>IFERROR(__xludf.DUMMYFUNCTION("""COMPUTED_VALUE"""),0.0)</f>
        <v>0</v>
      </c>
    </row>
    <row r="4899">
      <c r="A4899" s="10" t="str">
        <f>IFERROR(__xludf.DUMMYFUNCTION("""COMPUTED_VALUE"""),"宮本來夏")</f>
        <v>宮本來夏</v>
      </c>
      <c r="B4899" s="10">
        <f>IFERROR(__xludf.DUMMYFUNCTION("""COMPUTED_VALUE"""),2013.0)</f>
        <v>2013</v>
      </c>
      <c r="C4899" s="10">
        <f>IFERROR(__xludf.DUMMYFUNCTION("""COMPUTED_VALUE"""),23789.0)</f>
        <v>23789</v>
      </c>
      <c r="D4899" s="5">
        <f>IFERROR(__xludf.DUMMYFUNCTION("""COMPUTED_VALUE"""),0.35630969875091845)</f>
        <v>0.3563096988</v>
      </c>
      <c r="E4899" s="5">
        <f>IFERROR(__xludf.DUMMYFUNCTION("""COMPUTED_VALUE"""),0.1143001469507715)</f>
        <v>0.114300147</v>
      </c>
      <c r="F4899" s="5">
        <f>IFERROR(__xludf.DUMMYFUNCTION("""COMPUTED_VALUE"""),0.20912931667891257)</f>
        <v>0.2091293167</v>
      </c>
      <c r="G4899" s="5">
        <f>IFERROR(__xludf.DUMMYFUNCTION("""COMPUTED_VALUE"""),0.15994673034533433)</f>
        <v>0.1599467303</v>
      </c>
      <c r="H4899" s="5">
        <f>IFERROR(__xludf.DUMMYFUNCTION("""COMPUTED_VALUE"""),0.5871761089152393)</f>
        <v>0.5871761089</v>
      </c>
      <c r="I4899" s="11">
        <f>IFERROR(__xludf.DUMMYFUNCTION("""COMPUTED_VALUE"""),5508.84936319719)</f>
        <v>5508.849363</v>
      </c>
      <c r="J4899" s="10">
        <f>IFERROR(__xludf.DUMMYFUNCTION("""COMPUTED_VALUE"""),2.0)</f>
        <v>2</v>
      </c>
      <c r="K4899" s="5">
        <f>IFERROR(__xludf.DUMMYFUNCTION("""COMPUTED_VALUE"""),9.935419771485345E-4)</f>
        <v>0.0009935419771</v>
      </c>
      <c r="L4899" s="10">
        <f>IFERROR(__xludf.DUMMYFUNCTION("""COMPUTED_VALUE"""),79.0)</f>
        <v>79</v>
      </c>
      <c r="M4899" s="5">
        <f>IFERROR(__xludf.DUMMYFUNCTION("""COMPUTED_VALUE"""),0.039244908097367116)</f>
        <v>0.0392449081</v>
      </c>
    </row>
    <row r="4900">
      <c r="A4900" s="10" t="str">
        <f>IFERROR(__xludf.DUMMYFUNCTION("""COMPUTED_VALUE"""),"gamo3")</f>
        <v>gamo3</v>
      </c>
      <c r="B4900" s="10">
        <f>IFERROR(__xludf.DUMMYFUNCTION("""COMPUTED_VALUE"""),1381.0)</f>
        <v>1381</v>
      </c>
      <c r="C4900" s="10">
        <f>IFERROR(__xludf.DUMMYFUNCTION("""COMPUTED_VALUE"""),16343.0)</f>
        <v>16343</v>
      </c>
      <c r="D4900" s="5">
        <f>IFERROR(__xludf.DUMMYFUNCTION("""COMPUTED_VALUE"""),0.28425344205320147)</f>
        <v>0.2842534421</v>
      </c>
      <c r="E4900" s="5">
        <f>IFERROR(__xludf.DUMMYFUNCTION("""COMPUTED_VALUE"""),0.11428953348482823)</f>
        <v>0.1142895335</v>
      </c>
      <c r="F4900" s="5">
        <f>IFERROR(__xludf.DUMMYFUNCTION("""COMPUTED_VALUE"""),0.2024461970324823)</f>
        <v>0.202446197</v>
      </c>
      <c r="G4900" s="5">
        <f>IFERROR(__xludf.DUMMYFUNCTION("""COMPUTED_VALUE"""),0.15719823553000936)</f>
        <v>0.1571982355</v>
      </c>
      <c r="H4900" s="5">
        <f>IFERROR(__xludf.DUMMYFUNCTION("""COMPUTED_VALUE"""),0.6104324859689667)</f>
        <v>0.610432486</v>
      </c>
      <c r="I4900" s="11">
        <f>IFERROR(__xludf.DUMMYFUNCTION("""COMPUTED_VALUE"""),5575.305381313965)</f>
        <v>5575.305381</v>
      </c>
      <c r="J4900" s="10">
        <f>IFERROR(__xludf.DUMMYFUNCTION("""COMPUTED_VALUE"""),1.0)</f>
        <v>1</v>
      </c>
      <c r="K4900" s="5">
        <f>IFERROR(__xludf.DUMMYFUNCTION("""COMPUTED_VALUE"""),7.24112961622013E-4)</f>
        <v>0.0007241129616</v>
      </c>
      <c r="L4900" s="10">
        <f>IFERROR(__xludf.DUMMYFUNCTION("""COMPUTED_VALUE"""),1373.0)</f>
        <v>1373</v>
      </c>
      <c r="M4900" s="5">
        <f>IFERROR(__xludf.DUMMYFUNCTION("""COMPUTED_VALUE"""),0.9942070963070239)</f>
        <v>0.9942070963</v>
      </c>
    </row>
    <row r="4901">
      <c r="A4901" s="10" t="str">
        <f>IFERROR(__xludf.DUMMYFUNCTION("""COMPUTED_VALUE"""),"kiyopin")</f>
        <v>kiyopin</v>
      </c>
      <c r="B4901" s="10">
        <f>IFERROR(__xludf.DUMMYFUNCTION("""COMPUTED_VALUE"""),1267.0)</f>
        <v>1267</v>
      </c>
      <c r="C4901" s="10">
        <f>IFERROR(__xludf.DUMMYFUNCTION("""COMPUTED_VALUE"""),14935.0)</f>
        <v>14935</v>
      </c>
      <c r="D4901" s="5">
        <f>IFERROR(__xludf.DUMMYFUNCTION("""COMPUTED_VALUE"""),0.35623353819139597)</f>
        <v>0.3562335382</v>
      </c>
      <c r="E4901" s="5">
        <f>IFERROR(__xludf.DUMMYFUNCTION("""COMPUTED_VALUE"""),0.11428153350892596)</f>
        <v>0.1142815335</v>
      </c>
      <c r="F4901" s="5">
        <f>IFERROR(__xludf.DUMMYFUNCTION("""COMPUTED_VALUE"""),0.20083406496927128)</f>
        <v>0.200834065</v>
      </c>
      <c r="G4901" s="5">
        <f>IFERROR(__xludf.DUMMYFUNCTION("""COMPUTED_VALUE"""),0.16425226807140766)</f>
        <v>0.1642522681</v>
      </c>
      <c r="H4901" s="5">
        <f>IFERROR(__xludf.DUMMYFUNCTION("""COMPUTED_VALUE"""),0.5996357012750455)</f>
        <v>0.5996357013</v>
      </c>
      <c r="I4901" s="11">
        <f>IFERROR(__xludf.DUMMYFUNCTION("""COMPUTED_VALUE"""),5681.092896174863)</f>
        <v>5681.092896</v>
      </c>
      <c r="J4901" s="10">
        <f>IFERROR(__xludf.DUMMYFUNCTION("""COMPUTED_VALUE"""),2.0)</f>
        <v>2</v>
      </c>
      <c r="K4901" s="5">
        <f>IFERROR(__xludf.DUMMYFUNCTION("""COMPUTED_VALUE"""),0.0015785319652722968)</f>
        <v>0.001578531965</v>
      </c>
      <c r="L4901" s="10">
        <f>IFERROR(__xludf.DUMMYFUNCTION("""COMPUTED_VALUE"""),1267.0)</f>
        <v>1267</v>
      </c>
      <c r="M4901" s="5">
        <f>IFERROR(__xludf.DUMMYFUNCTION("""COMPUTED_VALUE"""),1.0)</f>
        <v>1</v>
      </c>
    </row>
    <row r="4902">
      <c r="A4902" s="10" t="str">
        <f>IFERROR(__xludf.DUMMYFUNCTION("""COMPUTED_VALUE"""),"関七海")</f>
        <v>関七海</v>
      </c>
      <c r="B4902" s="10">
        <f>IFERROR(__xludf.DUMMYFUNCTION("""COMPUTED_VALUE"""),1105.0)</f>
        <v>1105</v>
      </c>
      <c r="C4902" s="10">
        <f>IFERROR(__xludf.DUMMYFUNCTION("""COMPUTED_VALUE"""),13181.0)</f>
        <v>13181</v>
      </c>
      <c r="D4902" s="5">
        <f>IFERROR(__xludf.DUMMYFUNCTION("""COMPUTED_VALUE"""),0.3552500828088771)</f>
        <v>0.3552500828</v>
      </c>
      <c r="E4902" s="5">
        <f>IFERROR(__xludf.DUMMYFUNCTION("""COMPUTED_VALUE"""),0.11427625041404439)</f>
        <v>0.1142762504</v>
      </c>
      <c r="F4902" s="5">
        <f>IFERROR(__xludf.DUMMYFUNCTION("""COMPUTED_VALUE"""),0.2098376946008612)</f>
        <v>0.2098376946</v>
      </c>
      <c r="G4902" s="5">
        <f>IFERROR(__xludf.DUMMYFUNCTION("""COMPUTED_VALUE"""),0.15526664458429942)</f>
        <v>0.1552666446</v>
      </c>
      <c r="H4902" s="5">
        <f>IFERROR(__xludf.DUMMYFUNCTION("""COMPUTED_VALUE"""),0.5943172849250198)</f>
        <v>0.5943172849</v>
      </c>
      <c r="I4902" s="11">
        <f>IFERROR(__xludf.DUMMYFUNCTION("""COMPUTED_VALUE"""),5569.810576164167)</f>
        <v>5569.810576</v>
      </c>
      <c r="J4902" s="10">
        <f>IFERROR(__xludf.DUMMYFUNCTION("""COMPUTED_VALUE"""),5.0)</f>
        <v>5</v>
      </c>
      <c r="K4902" s="5">
        <f>IFERROR(__xludf.DUMMYFUNCTION("""COMPUTED_VALUE"""),0.004524886877828055)</f>
        <v>0.004524886878</v>
      </c>
      <c r="L4902" s="10">
        <f>IFERROR(__xludf.DUMMYFUNCTION("""COMPUTED_VALUE"""),1105.0)</f>
        <v>1105</v>
      </c>
      <c r="M4902" s="5">
        <f>IFERROR(__xludf.DUMMYFUNCTION("""COMPUTED_VALUE"""),1.0)</f>
        <v>1</v>
      </c>
    </row>
    <row r="4903">
      <c r="A4903" s="10" t="str">
        <f>IFERROR(__xludf.DUMMYFUNCTION("""COMPUTED_VALUE"""),"りせきち")</f>
        <v>りせきち</v>
      </c>
      <c r="B4903" s="10">
        <f>IFERROR(__xludf.DUMMYFUNCTION("""COMPUTED_VALUE"""),103.0)</f>
        <v>103</v>
      </c>
      <c r="C4903" s="10">
        <f>IFERROR(__xludf.DUMMYFUNCTION("""COMPUTED_VALUE"""),1232.0)</f>
        <v>1232</v>
      </c>
      <c r="D4903" s="5">
        <f>IFERROR(__xludf.DUMMYFUNCTION("""COMPUTED_VALUE"""),0.3259521700620018)</f>
        <v>0.3259521701</v>
      </c>
      <c r="E4903" s="5">
        <f>IFERROR(__xludf.DUMMYFUNCTION("""COMPUTED_VALUE"""),0.11426040744021258)</f>
        <v>0.1142604074</v>
      </c>
      <c r="F4903" s="5">
        <f>IFERROR(__xludf.DUMMYFUNCTION("""COMPUTED_VALUE"""),0.19397697077059345)</f>
        <v>0.1939769708</v>
      </c>
      <c r="G4903" s="5">
        <f>IFERROR(__xludf.DUMMYFUNCTION("""COMPUTED_VALUE"""),0.16031886625332153)</f>
        <v>0.1603188663</v>
      </c>
      <c r="H4903" s="5">
        <f>IFERROR(__xludf.DUMMYFUNCTION("""COMPUTED_VALUE"""),0.6301369863013698)</f>
        <v>0.6301369863</v>
      </c>
      <c r="I4903" s="11">
        <f>IFERROR(__xludf.DUMMYFUNCTION("""COMPUTED_VALUE"""),5151.141552511415)</f>
        <v>5151.141553</v>
      </c>
      <c r="J4903" s="10">
        <f>IFERROR(__xludf.DUMMYFUNCTION("""COMPUTED_VALUE"""),0.0)</f>
        <v>0</v>
      </c>
      <c r="K4903" s="5">
        <f>IFERROR(__xludf.DUMMYFUNCTION("""COMPUTED_VALUE"""),0.0)</f>
        <v>0</v>
      </c>
      <c r="L4903" s="10">
        <f>IFERROR(__xludf.DUMMYFUNCTION("""COMPUTED_VALUE"""),103.0)</f>
        <v>103</v>
      </c>
      <c r="M4903" s="5">
        <f>IFERROR(__xludf.DUMMYFUNCTION("""COMPUTED_VALUE"""),1.0)</f>
        <v>1</v>
      </c>
    </row>
    <row r="4904">
      <c r="A4904" s="10" t="str">
        <f>IFERROR(__xludf.DUMMYFUNCTION("""COMPUTED_VALUE"""),"やぷー")</f>
        <v>やぷー</v>
      </c>
      <c r="B4904" s="10">
        <f>IFERROR(__xludf.DUMMYFUNCTION("""COMPUTED_VALUE"""),200.0)</f>
        <v>200</v>
      </c>
      <c r="C4904" s="10">
        <f>IFERROR(__xludf.DUMMYFUNCTION("""COMPUTED_VALUE"""),2318.0)</f>
        <v>2318</v>
      </c>
      <c r="D4904" s="5">
        <f>IFERROR(__xludf.DUMMYFUNCTION("""COMPUTED_VALUE"""),0.3559962228517469)</f>
        <v>0.3559962229</v>
      </c>
      <c r="E4904" s="5">
        <f>IFERROR(__xludf.DUMMYFUNCTION("""COMPUTED_VALUE"""),0.11425873465533522)</f>
        <v>0.1142587347</v>
      </c>
      <c r="F4904" s="5">
        <f>IFERROR(__xludf.DUMMYFUNCTION("""COMPUTED_VALUE"""),0.20113314447592068)</f>
        <v>0.2011331445</v>
      </c>
      <c r="G4904" s="5">
        <f>IFERROR(__xludf.DUMMYFUNCTION("""COMPUTED_VALUE"""),0.16666666666666666)</f>
        <v>0.1666666667</v>
      </c>
      <c r="H4904" s="5">
        <f>IFERROR(__xludf.DUMMYFUNCTION("""COMPUTED_VALUE"""),0.6244131455399061)</f>
        <v>0.6244131455</v>
      </c>
      <c r="I4904" s="11">
        <f>IFERROR(__xludf.DUMMYFUNCTION("""COMPUTED_VALUE"""),5438.262910798122)</f>
        <v>5438.262911</v>
      </c>
      <c r="J4904" s="10">
        <f>IFERROR(__xludf.DUMMYFUNCTION("""COMPUTED_VALUE"""),0.0)</f>
        <v>0</v>
      </c>
      <c r="K4904" s="5">
        <f>IFERROR(__xludf.DUMMYFUNCTION("""COMPUTED_VALUE"""),0.0)</f>
        <v>0</v>
      </c>
      <c r="L4904" s="10">
        <f>IFERROR(__xludf.DUMMYFUNCTION("""COMPUTED_VALUE"""),200.0)</f>
        <v>200</v>
      </c>
      <c r="M4904" s="5">
        <f>IFERROR(__xludf.DUMMYFUNCTION("""COMPUTED_VALUE"""),1.0)</f>
        <v>1</v>
      </c>
    </row>
    <row r="4905">
      <c r="A4905" s="10" t="str">
        <f>IFERROR(__xludf.DUMMYFUNCTION("""COMPUTED_VALUE"""),"大入道くん")</f>
        <v>大入道くん</v>
      </c>
      <c r="B4905" s="10">
        <f>IFERROR(__xludf.DUMMYFUNCTION("""COMPUTED_VALUE"""),727.0)</f>
        <v>727</v>
      </c>
      <c r="C4905" s="10">
        <f>IFERROR(__xludf.DUMMYFUNCTION("""COMPUTED_VALUE"""),8500.0)</f>
        <v>8500</v>
      </c>
      <c r="D4905" s="5">
        <f>IFERROR(__xludf.DUMMYFUNCTION("""COMPUTED_VALUE"""),0.21021484626270423)</f>
        <v>0.2102148463</v>
      </c>
      <c r="E4905" s="5">
        <f>IFERROR(__xludf.DUMMYFUNCTION("""COMPUTED_VALUE"""),0.11424160555769973)</f>
        <v>0.1142416056</v>
      </c>
      <c r="F4905" s="5">
        <f>IFERROR(__xludf.DUMMYFUNCTION("""COMPUTED_VALUE"""),0.2028817702302843)</f>
        <v>0.2028817702</v>
      </c>
      <c r="G4905" s="5">
        <f>IFERROR(__xludf.DUMMYFUNCTION("""COMPUTED_VALUE"""),0.19657789785153737)</f>
        <v>0.1965778979</v>
      </c>
      <c r="H4905" s="5">
        <f>IFERROR(__xludf.DUMMYFUNCTION("""COMPUTED_VALUE"""),0.6081166772352569)</f>
        <v>0.6081166772</v>
      </c>
      <c r="I4905" s="11">
        <f>IFERROR(__xludf.DUMMYFUNCTION("""COMPUTED_VALUE"""),6264.426125554851)</f>
        <v>6264.426126</v>
      </c>
      <c r="J4905" s="10">
        <f>IFERROR(__xludf.DUMMYFUNCTION("""COMPUTED_VALUE"""),3.0)</f>
        <v>3</v>
      </c>
      <c r="K4905" s="5">
        <f>IFERROR(__xludf.DUMMYFUNCTION("""COMPUTED_VALUE"""),0.0041265474552957355)</f>
        <v>0.004126547455</v>
      </c>
      <c r="L4905" s="10">
        <f>IFERROR(__xludf.DUMMYFUNCTION("""COMPUTED_VALUE"""),727.0)</f>
        <v>727</v>
      </c>
      <c r="M4905" s="5">
        <f>IFERROR(__xludf.DUMMYFUNCTION("""COMPUTED_VALUE"""),1.0)</f>
        <v>1</v>
      </c>
    </row>
    <row r="4906">
      <c r="A4906" s="10" t="str">
        <f>IFERROR(__xludf.DUMMYFUNCTION("""COMPUTED_VALUE"""),"虹魔導士")</f>
        <v>虹魔導士</v>
      </c>
      <c r="B4906" s="10">
        <f>IFERROR(__xludf.DUMMYFUNCTION("""COMPUTED_VALUE"""),680.0)</f>
        <v>680</v>
      </c>
      <c r="C4906" s="10">
        <f>IFERROR(__xludf.DUMMYFUNCTION("""COMPUTED_VALUE"""),8173.0)</f>
        <v>8173</v>
      </c>
      <c r="D4906" s="5">
        <f>IFERROR(__xludf.DUMMYFUNCTION("""COMPUTED_VALUE"""),0.29454157213399174)</f>
        <v>0.2945415721</v>
      </c>
      <c r="E4906" s="5">
        <f>IFERROR(__xludf.DUMMYFUNCTION("""COMPUTED_VALUE"""),0.11423995729347391)</f>
        <v>0.1142399573</v>
      </c>
      <c r="F4906" s="5">
        <f>IFERROR(__xludf.DUMMYFUNCTION("""COMPUTED_VALUE"""),0.18964366742292807)</f>
        <v>0.1896436674</v>
      </c>
      <c r="G4906" s="5">
        <f>IFERROR(__xludf.DUMMYFUNCTION("""COMPUTED_VALUE"""),0.14693714133190977)</f>
        <v>0.1469371413</v>
      </c>
      <c r="H4906" s="5">
        <f>IFERROR(__xludf.DUMMYFUNCTION("""COMPUTED_VALUE"""),0.5840957072484166)</f>
        <v>0.5840957072</v>
      </c>
      <c r="I4906" s="11">
        <f>IFERROR(__xludf.DUMMYFUNCTION("""COMPUTED_VALUE"""),5859.1133004926105)</f>
        <v>5859.1133</v>
      </c>
      <c r="J4906" s="10">
        <f>IFERROR(__xludf.DUMMYFUNCTION("""COMPUTED_VALUE"""),2.0)</f>
        <v>2</v>
      </c>
      <c r="K4906" s="5">
        <f>IFERROR(__xludf.DUMMYFUNCTION("""COMPUTED_VALUE"""),0.0029411764705882353)</f>
        <v>0.002941176471</v>
      </c>
      <c r="L4906" s="10">
        <f>IFERROR(__xludf.DUMMYFUNCTION("""COMPUTED_VALUE"""),680.0)</f>
        <v>680</v>
      </c>
      <c r="M4906" s="5">
        <f>IFERROR(__xludf.DUMMYFUNCTION("""COMPUTED_VALUE"""),1.0)</f>
        <v>1</v>
      </c>
    </row>
    <row r="4907">
      <c r="A4907" s="10" t="str">
        <f>IFERROR(__xludf.DUMMYFUNCTION("""COMPUTED_VALUE"""),"民芸")</f>
        <v>民芸</v>
      </c>
      <c r="B4907" s="10">
        <f>IFERROR(__xludf.DUMMYFUNCTION("""COMPUTED_VALUE"""),4848.0)</f>
        <v>4848</v>
      </c>
      <c r="C4907" s="10">
        <f>IFERROR(__xludf.DUMMYFUNCTION("""COMPUTED_VALUE"""),57137.0)</f>
        <v>57137</v>
      </c>
      <c r="D4907" s="5">
        <f>IFERROR(__xludf.DUMMYFUNCTION("""COMPUTED_VALUE"""),0.3426150815659125)</f>
        <v>0.3426150816</v>
      </c>
      <c r="E4907" s="5">
        <f>IFERROR(__xludf.DUMMYFUNCTION("""COMPUTED_VALUE"""),0.11423052649696877)</f>
        <v>0.1142305265</v>
      </c>
      <c r="F4907" s="5">
        <f>IFERROR(__xludf.DUMMYFUNCTION("""COMPUTED_VALUE"""),0.21407944309510604)</f>
        <v>0.2140794431</v>
      </c>
      <c r="G4907" s="5">
        <f>IFERROR(__xludf.DUMMYFUNCTION("""COMPUTED_VALUE"""),0.18489548470997724)</f>
        <v>0.1848954847</v>
      </c>
      <c r="H4907" s="5">
        <f>IFERROR(__xludf.DUMMYFUNCTION("""COMPUTED_VALUE"""),0.596926925138467)</f>
        <v>0.5969269251</v>
      </c>
      <c r="I4907" s="11">
        <f>IFERROR(__xludf.DUMMYFUNCTION("""COMPUTED_VALUE"""),5643.8270502054675)</f>
        <v>5643.82705</v>
      </c>
      <c r="J4907" s="10">
        <f>IFERROR(__xludf.DUMMYFUNCTION("""COMPUTED_VALUE"""),7.0)</f>
        <v>7</v>
      </c>
      <c r="K4907" s="5">
        <f>IFERROR(__xludf.DUMMYFUNCTION("""COMPUTED_VALUE"""),0.0014438943894389438)</f>
        <v>0.001443894389</v>
      </c>
      <c r="L4907" s="10">
        <f>IFERROR(__xludf.DUMMYFUNCTION("""COMPUTED_VALUE"""),4848.0)</f>
        <v>4848</v>
      </c>
      <c r="M4907" s="5">
        <f>IFERROR(__xludf.DUMMYFUNCTION("""COMPUTED_VALUE"""),1.0)</f>
        <v>1</v>
      </c>
    </row>
    <row r="4908">
      <c r="A4908" s="10" t="str">
        <f>IFERROR(__xludf.DUMMYFUNCTION("""COMPUTED_VALUE"""),"K-mask")</f>
        <v>K-mask</v>
      </c>
      <c r="B4908" s="10">
        <f>IFERROR(__xludf.DUMMYFUNCTION("""COMPUTED_VALUE"""),183.0)</f>
        <v>183</v>
      </c>
      <c r="C4908" s="10">
        <f>IFERROR(__xludf.DUMMYFUNCTION("""COMPUTED_VALUE"""),2188.0)</f>
        <v>2188</v>
      </c>
      <c r="D4908" s="5">
        <f>IFERROR(__xludf.DUMMYFUNCTION("""COMPUTED_VALUE"""),0.33216957605985037)</f>
        <v>0.3321695761</v>
      </c>
      <c r="E4908" s="5">
        <f>IFERROR(__xludf.DUMMYFUNCTION("""COMPUTED_VALUE"""),0.114214463840399)</f>
        <v>0.1142144638</v>
      </c>
      <c r="F4908" s="5">
        <f>IFERROR(__xludf.DUMMYFUNCTION("""COMPUTED_VALUE"""),0.20149625935162094)</f>
        <v>0.2014962594</v>
      </c>
      <c r="G4908" s="5">
        <f>IFERROR(__xludf.DUMMYFUNCTION("""COMPUTED_VALUE"""),0.14812967581047382)</f>
        <v>0.1481296758</v>
      </c>
      <c r="H4908" s="5">
        <f>IFERROR(__xludf.DUMMYFUNCTION("""COMPUTED_VALUE"""),0.5891089108910891)</f>
        <v>0.5891089109</v>
      </c>
      <c r="I4908" s="11">
        <f>IFERROR(__xludf.DUMMYFUNCTION("""COMPUTED_VALUE"""),5728.960396039604)</f>
        <v>5728.960396</v>
      </c>
      <c r="J4908" s="10">
        <f>IFERROR(__xludf.DUMMYFUNCTION("""COMPUTED_VALUE"""),0.0)</f>
        <v>0</v>
      </c>
      <c r="K4908" s="5">
        <f>IFERROR(__xludf.DUMMYFUNCTION("""COMPUTED_VALUE"""),0.0)</f>
        <v>0</v>
      </c>
      <c r="L4908" s="10">
        <f>IFERROR(__xludf.DUMMYFUNCTION("""COMPUTED_VALUE"""),183.0)</f>
        <v>183</v>
      </c>
      <c r="M4908" s="5">
        <f>IFERROR(__xludf.DUMMYFUNCTION("""COMPUTED_VALUE"""),1.0)</f>
        <v>1</v>
      </c>
    </row>
    <row r="4909">
      <c r="A4909" s="10" t="str">
        <f>IFERROR(__xludf.DUMMYFUNCTION("""COMPUTED_VALUE"""),"黒猫sin")</f>
        <v>黒猫sin</v>
      </c>
      <c r="B4909" s="10">
        <f>IFERROR(__xludf.DUMMYFUNCTION("""COMPUTED_VALUE"""),1590.0)</f>
        <v>1590</v>
      </c>
      <c r="C4909" s="10">
        <f>IFERROR(__xludf.DUMMYFUNCTION("""COMPUTED_VALUE"""),18568.0)</f>
        <v>18568</v>
      </c>
      <c r="D4909" s="5">
        <f>IFERROR(__xludf.DUMMYFUNCTION("""COMPUTED_VALUE"""),0.34497585110142537)</f>
        <v>0.3449758511</v>
      </c>
      <c r="E4909" s="5">
        <f>IFERROR(__xludf.DUMMYFUNCTION("""COMPUTED_VALUE"""),0.1142066203321946)</f>
        <v>0.1142066203</v>
      </c>
      <c r="F4909" s="5">
        <f>IFERROR(__xludf.DUMMYFUNCTION("""COMPUTED_VALUE"""),0.2045588408528684)</f>
        <v>0.2045588409</v>
      </c>
      <c r="G4909" s="5">
        <f>IFERROR(__xludf.DUMMYFUNCTION("""COMPUTED_VALUE"""),0.1578513370243845)</f>
        <v>0.157851337</v>
      </c>
      <c r="H4909" s="5">
        <f>IFERROR(__xludf.DUMMYFUNCTION("""COMPUTED_VALUE"""),0.5997696515980421)</f>
        <v>0.5997696516</v>
      </c>
      <c r="I4909" s="11">
        <f>IFERROR(__xludf.DUMMYFUNCTION("""COMPUTED_VALUE"""),5695.076302908148)</f>
        <v>5695.076303</v>
      </c>
      <c r="J4909" s="10">
        <f>IFERROR(__xludf.DUMMYFUNCTION("""COMPUTED_VALUE"""),1.0)</f>
        <v>1</v>
      </c>
      <c r="K4909" s="5">
        <f>IFERROR(__xludf.DUMMYFUNCTION("""COMPUTED_VALUE"""),6.289308176100629E-4)</f>
        <v>0.0006289308176</v>
      </c>
      <c r="L4909" s="10">
        <f>IFERROR(__xludf.DUMMYFUNCTION("""COMPUTED_VALUE"""),1127.0)</f>
        <v>1127</v>
      </c>
      <c r="M4909" s="5">
        <f>IFERROR(__xludf.DUMMYFUNCTION("""COMPUTED_VALUE"""),0.7088050314465408)</f>
        <v>0.7088050314</v>
      </c>
    </row>
    <row r="4910">
      <c r="A4910" s="10" t="str">
        <f>IFERROR(__xludf.DUMMYFUNCTION("""COMPUTED_VALUE"""),"sarieru-")</f>
        <v>sarieru-</v>
      </c>
      <c r="B4910" s="10">
        <f>IFERROR(__xludf.DUMMYFUNCTION("""COMPUTED_VALUE"""),110.0)</f>
        <v>110</v>
      </c>
      <c r="C4910" s="10">
        <f>IFERROR(__xludf.DUMMYFUNCTION("""COMPUTED_VALUE"""),1336.0)</f>
        <v>1336</v>
      </c>
      <c r="D4910" s="5">
        <f>IFERROR(__xludf.DUMMYFUNCTION("""COMPUTED_VALUE"""),0.2928221859706362)</f>
        <v>0.292822186</v>
      </c>
      <c r="E4910" s="5">
        <f>IFERROR(__xludf.DUMMYFUNCTION("""COMPUTED_VALUE"""),0.11419249592169657)</f>
        <v>0.1141924959</v>
      </c>
      <c r="F4910" s="5">
        <f>IFERROR(__xludf.DUMMYFUNCTION("""COMPUTED_VALUE"""),0.20799347471451876)</f>
        <v>0.2079934747</v>
      </c>
      <c r="G4910" s="5">
        <f>IFERROR(__xludf.DUMMYFUNCTION("""COMPUTED_VALUE"""),0.14518760195758565)</f>
        <v>0.145187602</v>
      </c>
      <c r="H4910" s="5">
        <f>IFERROR(__xludf.DUMMYFUNCTION("""COMPUTED_VALUE"""),0.6039215686274509)</f>
        <v>0.6039215686</v>
      </c>
      <c r="I4910" s="11">
        <f>IFERROR(__xludf.DUMMYFUNCTION("""COMPUTED_VALUE"""),5906.274509803921)</f>
        <v>5906.27451</v>
      </c>
      <c r="J4910" s="10">
        <f>IFERROR(__xludf.DUMMYFUNCTION("""COMPUTED_VALUE"""),0.0)</f>
        <v>0</v>
      </c>
      <c r="K4910" s="5">
        <f>IFERROR(__xludf.DUMMYFUNCTION("""COMPUTED_VALUE"""),0.0)</f>
        <v>0</v>
      </c>
      <c r="L4910" s="10">
        <f>IFERROR(__xludf.DUMMYFUNCTION("""COMPUTED_VALUE"""),110.0)</f>
        <v>110</v>
      </c>
      <c r="M4910" s="5">
        <f>IFERROR(__xludf.DUMMYFUNCTION("""COMPUTED_VALUE"""),1.0)</f>
        <v>1</v>
      </c>
    </row>
    <row r="4911">
      <c r="A4911" s="10" t="str">
        <f>IFERROR(__xludf.DUMMYFUNCTION("""COMPUTED_VALUE"""),"如月烏有")</f>
        <v>如月烏有</v>
      </c>
      <c r="B4911" s="10">
        <f>IFERROR(__xludf.DUMMYFUNCTION("""COMPUTED_VALUE"""),335.0)</f>
        <v>335</v>
      </c>
      <c r="C4911" s="10">
        <f>IFERROR(__xludf.DUMMYFUNCTION("""COMPUTED_VALUE"""),3908.0)</f>
        <v>3908</v>
      </c>
      <c r="D4911" s="5">
        <f>IFERROR(__xludf.DUMMYFUNCTION("""COMPUTED_VALUE"""),0.31206269241533724)</f>
        <v>0.3120626924</v>
      </c>
      <c r="E4911" s="5">
        <f>IFERROR(__xludf.DUMMYFUNCTION("""COMPUTED_VALUE"""),0.11418975650713686)</f>
        <v>0.1141897565</v>
      </c>
      <c r="F4911" s="5">
        <f>IFERROR(__xludf.DUMMYFUNCTION("""COMPUTED_VALUE"""),0.20235096557514692)</f>
        <v>0.2023509656</v>
      </c>
      <c r="G4911" s="5">
        <f>IFERROR(__xludf.DUMMYFUNCTION("""COMPUTED_VALUE"""),0.15253288553036665)</f>
        <v>0.1525328855</v>
      </c>
      <c r="H4911" s="5">
        <f>IFERROR(__xludf.DUMMYFUNCTION("""COMPUTED_VALUE"""),0.627939142461964)</f>
        <v>0.6279391425</v>
      </c>
      <c r="I4911" s="11">
        <f>IFERROR(__xludf.DUMMYFUNCTION("""COMPUTED_VALUE"""),5553.112033195021)</f>
        <v>5553.112033</v>
      </c>
      <c r="J4911" s="10">
        <f>IFERROR(__xludf.DUMMYFUNCTION("""COMPUTED_VALUE"""),0.0)</f>
        <v>0</v>
      </c>
      <c r="K4911" s="5">
        <f>IFERROR(__xludf.DUMMYFUNCTION("""COMPUTED_VALUE"""),0.0)</f>
        <v>0</v>
      </c>
      <c r="L4911" s="10">
        <f>IFERROR(__xludf.DUMMYFUNCTION("""COMPUTED_VALUE"""),335.0)</f>
        <v>335</v>
      </c>
      <c r="M4911" s="5">
        <f>IFERROR(__xludf.DUMMYFUNCTION("""COMPUTED_VALUE"""),1.0)</f>
        <v>1</v>
      </c>
    </row>
    <row r="4912">
      <c r="A4912" s="10" t="str">
        <f>IFERROR(__xludf.DUMMYFUNCTION("""COMPUTED_VALUE"""),"たちバナナ@")</f>
        <v>たちバナナ@</v>
      </c>
      <c r="B4912" s="10">
        <f>IFERROR(__xludf.DUMMYFUNCTION("""COMPUTED_VALUE"""),1923.0)</f>
        <v>1923</v>
      </c>
      <c r="C4912" s="10">
        <f>IFERROR(__xludf.DUMMYFUNCTION("""COMPUTED_VALUE"""),22398.0)</f>
        <v>22398</v>
      </c>
      <c r="D4912" s="5">
        <f>IFERROR(__xludf.DUMMYFUNCTION("""COMPUTED_VALUE"""),0.35863247863247866)</f>
        <v>0.3586324786</v>
      </c>
      <c r="E4912" s="5">
        <f>IFERROR(__xludf.DUMMYFUNCTION("""COMPUTED_VALUE"""),0.1141880341880342)</f>
        <v>0.1141880342</v>
      </c>
      <c r="F4912" s="5">
        <f>IFERROR(__xludf.DUMMYFUNCTION("""COMPUTED_VALUE"""),0.20224664224664224)</f>
        <v>0.2022466422</v>
      </c>
      <c r="G4912" s="5">
        <f>IFERROR(__xludf.DUMMYFUNCTION("""COMPUTED_VALUE"""),0.1730891330891331)</f>
        <v>0.1730891331</v>
      </c>
      <c r="H4912" s="5">
        <f>IFERROR(__xludf.DUMMYFUNCTION("""COMPUTED_VALUE"""),0.5897126297995653)</f>
        <v>0.5897126298</v>
      </c>
      <c r="I4912" s="11">
        <f>IFERROR(__xludf.DUMMYFUNCTION("""COMPUTED_VALUE"""),5801.6904129437335)</f>
        <v>5801.690413</v>
      </c>
      <c r="J4912" s="10">
        <f>IFERROR(__xludf.DUMMYFUNCTION("""COMPUTED_VALUE"""),4.0)</f>
        <v>4</v>
      </c>
      <c r="K4912" s="5">
        <f>IFERROR(__xludf.DUMMYFUNCTION("""COMPUTED_VALUE"""),0.0020800832033281333)</f>
        <v>0.002080083203</v>
      </c>
      <c r="L4912" s="10">
        <f>IFERROR(__xludf.DUMMYFUNCTION("""COMPUTED_VALUE"""),1923.0)</f>
        <v>1923</v>
      </c>
      <c r="M4912" s="5">
        <f>IFERROR(__xludf.DUMMYFUNCTION("""COMPUTED_VALUE"""),1.0)</f>
        <v>1</v>
      </c>
    </row>
    <row r="4913">
      <c r="A4913" s="10" t="str">
        <f>IFERROR(__xludf.DUMMYFUNCTION("""COMPUTED_VALUE"""),"Karauma")</f>
        <v>Karauma</v>
      </c>
      <c r="B4913" s="10">
        <f>IFERROR(__xludf.DUMMYFUNCTION("""COMPUTED_VALUE"""),855.0)</f>
        <v>855</v>
      </c>
      <c r="C4913" s="10">
        <f>IFERROR(__xludf.DUMMYFUNCTION("""COMPUTED_VALUE"""),10114.0)</f>
        <v>10114</v>
      </c>
      <c r="D4913" s="5">
        <f>IFERROR(__xludf.DUMMYFUNCTION("""COMPUTED_VALUE"""),0.3506858192029377)</f>
        <v>0.3506858192</v>
      </c>
      <c r="E4913" s="5">
        <f>IFERROR(__xludf.DUMMYFUNCTION("""COMPUTED_VALUE"""),0.1141591964575008)</f>
        <v>0.1141591965</v>
      </c>
      <c r="F4913" s="5">
        <f>IFERROR(__xludf.DUMMYFUNCTION("""COMPUTED_VALUE"""),0.2018576520142564)</f>
        <v>0.201857652</v>
      </c>
      <c r="G4913" s="5">
        <f>IFERROR(__xludf.DUMMYFUNCTION("""COMPUTED_VALUE"""),0.1521762609353062)</f>
        <v>0.1521762609</v>
      </c>
      <c r="H4913" s="5">
        <f>IFERROR(__xludf.DUMMYFUNCTION("""COMPUTED_VALUE"""),0.593900481540931)</f>
        <v>0.5939004815</v>
      </c>
      <c r="I4913" s="11">
        <f>IFERROR(__xludf.DUMMYFUNCTION("""COMPUTED_VALUE"""),5520.224719101124)</f>
        <v>5520.224719</v>
      </c>
      <c r="J4913" s="10">
        <f>IFERROR(__xludf.DUMMYFUNCTION("""COMPUTED_VALUE"""),1.0)</f>
        <v>1</v>
      </c>
      <c r="K4913" s="5">
        <f>IFERROR(__xludf.DUMMYFUNCTION("""COMPUTED_VALUE"""),0.0011695906432748538)</f>
        <v>0.001169590643</v>
      </c>
      <c r="L4913" s="10">
        <f>IFERROR(__xludf.DUMMYFUNCTION("""COMPUTED_VALUE"""),855.0)</f>
        <v>855</v>
      </c>
      <c r="M4913" s="5">
        <f>IFERROR(__xludf.DUMMYFUNCTION("""COMPUTED_VALUE"""),1.0)</f>
        <v>1</v>
      </c>
    </row>
    <row r="4914">
      <c r="A4914" s="10" t="str">
        <f>IFERROR(__xludf.DUMMYFUNCTION("""COMPUTED_VALUE"""),"イレギュラー")</f>
        <v>イレギュラー</v>
      </c>
      <c r="B4914" s="10">
        <f>IFERROR(__xludf.DUMMYFUNCTION("""COMPUTED_VALUE"""),202.0)</f>
        <v>202</v>
      </c>
      <c r="C4914" s="10">
        <f>IFERROR(__xludf.DUMMYFUNCTION("""COMPUTED_VALUE"""),2410.0)</f>
        <v>2410</v>
      </c>
      <c r="D4914" s="5">
        <f>IFERROR(__xludf.DUMMYFUNCTION("""COMPUTED_VALUE"""),0.35778985507246375)</f>
        <v>0.3577898551</v>
      </c>
      <c r="E4914" s="5">
        <f>IFERROR(__xludf.DUMMYFUNCTION("""COMPUTED_VALUE"""),0.11413043478260869)</f>
        <v>0.1141304348</v>
      </c>
      <c r="F4914" s="5">
        <f>IFERROR(__xludf.DUMMYFUNCTION("""COMPUTED_VALUE"""),0.20516304347826086)</f>
        <v>0.2051630435</v>
      </c>
      <c r="G4914" s="5">
        <f>IFERROR(__xludf.DUMMYFUNCTION("""COMPUTED_VALUE"""),0.1793478260869565)</f>
        <v>0.1793478261</v>
      </c>
      <c r="H4914" s="5">
        <f>IFERROR(__xludf.DUMMYFUNCTION("""COMPUTED_VALUE"""),0.6048565121412803)</f>
        <v>0.6048565121</v>
      </c>
      <c r="I4914" s="11">
        <f>IFERROR(__xludf.DUMMYFUNCTION("""COMPUTED_VALUE"""),5539.955849889625)</f>
        <v>5539.95585</v>
      </c>
      <c r="J4914" s="10">
        <f>IFERROR(__xludf.DUMMYFUNCTION("""COMPUTED_VALUE"""),0.0)</f>
        <v>0</v>
      </c>
      <c r="K4914" s="5">
        <f>IFERROR(__xludf.DUMMYFUNCTION("""COMPUTED_VALUE"""),0.0)</f>
        <v>0</v>
      </c>
      <c r="L4914" s="10">
        <f>IFERROR(__xludf.DUMMYFUNCTION("""COMPUTED_VALUE"""),202.0)</f>
        <v>202</v>
      </c>
      <c r="M4914" s="5">
        <f>IFERROR(__xludf.DUMMYFUNCTION("""COMPUTED_VALUE"""),1.0)</f>
        <v>1</v>
      </c>
    </row>
    <row r="4915">
      <c r="A4915" s="10" t="str">
        <f>IFERROR(__xludf.DUMMYFUNCTION("""COMPUTED_VALUE"""),"エアティ")</f>
        <v>エアティ</v>
      </c>
      <c r="B4915" s="10">
        <f>IFERROR(__xludf.DUMMYFUNCTION("""COMPUTED_VALUE"""),100.0)</f>
        <v>100</v>
      </c>
      <c r="C4915" s="10">
        <f>IFERROR(__xludf.DUMMYFUNCTION("""COMPUTED_VALUE"""),1204.0)</f>
        <v>1204</v>
      </c>
      <c r="D4915" s="5">
        <f>IFERROR(__xludf.DUMMYFUNCTION("""COMPUTED_VALUE"""),0.29438405797101447)</f>
        <v>0.294384058</v>
      </c>
      <c r="E4915" s="5">
        <f>IFERROR(__xludf.DUMMYFUNCTION("""COMPUTED_VALUE"""),0.11413043478260869)</f>
        <v>0.1141304348</v>
      </c>
      <c r="F4915" s="5">
        <f>IFERROR(__xludf.DUMMYFUNCTION("""COMPUTED_VALUE"""),0.20742753623188406)</f>
        <v>0.2074275362</v>
      </c>
      <c r="G4915" s="5">
        <f>IFERROR(__xludf.DUMMYFUNCTION("""COMPUTED_VALUE"""),0.17300724637681159)</f>
        <v>0.1730072464</v>
      </c>
      <c r="H4915" s="5">
        <f>IFERROR(__xludf.DUMMYFUNCTION("""COMPUTED_VALUE"""),0.5458515283842795)</f>
        <v>0.5458515284</v>
      </c>
      <c r="I4915" s="11">
        <f>IFERROR(__xludf.DUMMYFUNCTION("""COMPUTED_VALUE"""),6001.3100436681225)</f>
        <v>6001.310044</v>
      </c>
      <c r="J4915" s="10">
        <f>IFERROR(__xludf.DUMMYFUNCTION("""COMPUTED_VALUE"""),1.0)</f>
        <v>1</v>
      </c>
      <c r="K4915" s="5">
        <f>IFERROR(__xludf.DUMMYFUNCTION("""COMPUTED_VALUE"""),0.01)</f>
        <v>0.01</v>
      </c>
      <c r="L4915" s="10">
        <f>IFERROR(__xludf.DUMMYFUNCTION("""COMPUTED_VALUE"""),100.0)</f>
        <v>100</v>
      </c>
      <c r="M4915" s="5">
        <f>IFERROR(__xludf.DUMMYFUNCTION("""COMPUTED_VALUE"""),1.0)</f>
        <v>1</v>
      </c>
    </row>
    <row r="4916">
      <c r="A4916" s="10" t="str">
        <f>IFERROR(__xludf.DUMMYFUNCTION("""COMPUTED_VALUE"""),"俺TUEEEEE")</f>
        <v>俺TUEEEEE</v>
      </c>
      <c r="B4916" s="10">
        <f>IFERROR(__xludf.DUMMYFUNCTION("""COMPUTED_VALUE"""),3800.0)</f>
        <v>3800</v>
      </c>
      <c r="C4916" s="10">
        <f>IFERROR(__xludf.DUMMYFUNCTION("""COMPUTED_VALUE"""),44407.0)</f>
        <v>44407</v>
      </c>
      <c r="D4916" s="5">
        <f>IFERROR(__xludf.DUMMYFUNCTION("""COMPUTED_VALUE"""),0.32841628290688796)</f>
        <v>0.3284162829</v>
      </c>
      <c r="E4916" s="5">
        <f>IFERROR(__xludf.DUMMYFUNCTION("""COMPUTED_VALUE"""),0.11411825547319428)</f>
        <v>0.1141182555</v>
      </c>
      <c r="F4916" s="5">
        <f>IFERROR(__xludf.DUMMYFUNCTION("""COMPUTED_VALUE"""),0.2117368926539759)</f>
        <v>0.2117368927</v>
      </c>
      <c r="G4916" s="5">
        <f>IFERROR(__xludf.DUMMYFUNCTION("""COMPUTED_VALUE"""),0.1838599256285862)</f>
        <v>0.1838599256</v>
      </c>
      <c r="H4916" s="5">
        <f>IFERROR(__xludf.DUMMYFUNCTION("""COMPUTED_VALUE"""),0.5854849965108164)</f>
        <v>0.5854849965</v>
      </c>
      <c r="I4916" s="11">
        <f>IFERROR(__xludf.DUMMYFUNCTION("""COMPUTED_VALUE"""),5668.527564549895)</f>
        <v>5668.527565</v>
      </c>
      <c r="J4916" s="10">
        <f>IFERROR(__xludf.DUMMYFUNCTION("""COMPUTED_VALUE"""),5.0)</f>
        <v>5</v>
      </c>
      <c r="K4916" s="5">
        <f>IFERROR(__xludf.DUMMYFUNCTION("""COMPUTED_VALUE"""),0.0013157894736842105)</f>
        <v>0.001315789474</v>
      </c>
      <c r="L4916" s="10">
        <f>IFERROR(__xludf.DUMMYFUNCTION("""COMPUTED_VALUE"""),1273.0)</f>
        <v>1273</v>
      </c>
      <c r="M4916" s="5">
        <f>IFERROR(__xludf.DUMMYFUNCTION("""COMPUTED_VALUE"""),0.335)</f>
        <v>0.335</v>
      </c>
    </row>
    <row r="4917">
      <c r="A4917" s="10" t="str">
        <f>IFERROR(__xludf.DUMMYFUNCTION("""COMPUTED_VALUE"""),"sarak")</f>
        <v>sarak</v>
      </c>
      <c r="B4917" s="10">
        <f>IFERROR(__xludf.DUMMYFUNCTION("""COMPUTED_VALUE"""),297.0)</f>
        <v>297</v>
      </c>
      <c r="C4917" s="10">
        <f>IFERROR(__xludf.DUMMYFUNCTION("""COMPUTED_VALUE"""),3513.0)</f>
        <v>3513</v>
      </c>
      <c r="D4917" s="5">
        <f>IFERROR(__xludf.DUMMYFUNCTION("""COMPUTED_VALUE"""),0.41044776119402987)</f>
        <v>0.4104477612</v>
      </c>
      <c r="E4917" s="5">
        <f>IFERROR(__xludf.DUMMYFUNCTION("""COMPUTED_VALUE"""),0.11411691542288557)</f>
        <v>0.1141169154</v>
      </c>
      <c r="F4917" s="5">
        <f>IFERROR(__xludf.DUMMYFUNCTION("""COMPUTED_VALUE"""),0.20988805970149255)</f>
        <v>0.2098880597</v>
      </c>
      <c r="G4917" s="5">
        <f>IFERROR(__xludf.DUMMYFUNCTION("""COMPUTED_VALUE"""),0.14303482587064675)</f>
        <v>0.1430348259</v>
      </c>
      <c r="H4917" s="5">
        <f>IFERROR(__xludf.DUMMYFUNCTION("""COMPUTED_VALUE"""),0.6133333333333333)</f>
        <v>0.6133333333</v>
      </c>
      <c r="I4917" s="11">
        <f>IFERROR(__xludf.DUMMYFUNCTION("""COMPUTED_VALUE"""),5164.888888888889)</f>
        <v>5164.888889</v>
      </c>
      <c r="J4917" s="10">
        <f>IFERROR(__xludf.DUMMYFUNCTION("""COMPUTED_VALUE"""),1.0)</f>
        <v>1</v>
      </c>
      <c r="K4917" s="5">
        <f>IFERROR(__xludf.DUMMYFUNCTION("""COMPUTED_VALUE"""),0.003367003367003367)</f>
        <v>0.003367003367</v>
      </c>
      <c r="L4917" s="10">
        <f>IFERROR(__xludf.DUMMYFUNCTION("""COMPUTED_VALUE"""),297.0)</f>
        <v>297</v>
      </c>
      <c r="M4917" s="5">
        <f>IFERROR(__xludf.DUMMYFUNCTION("""COMPUTED_VALUE"""),1.0)</f>
        <v>1</v>
      </c>
    </row>
    <row r="4918">
      <c r="A4918" s="10" t="str">
        <f>IFERROR(__xludf.DUMMYFUNCTION("""COMPUTED_VALUE"""),"やんわり")</f>
        <v>やんわり</v>
      </c>
      <c r="B4918" s="10">
        <f>IFERROR(__xludf.DUMMYFUNCTION("""COMPUTED_VALUE"""),1003.0)</f>
        <v>1003</v>
      </c>
      <c r="C4918" s="10">
        <f>IFERROR(__xludf.DUMMYFUNCTION("""COMPUTED_VALUE"""),12027.0)</f>
        <v>12027</v>
      </c>
      <c r="D4918" s="5">
        <f>IFERROR(__xludf.DUMMYFUNCTION("""COMPUTED_VALUE"""),0.25671262699564584)</f>
        <v>0.256712627</v>
      </c>
      <c r="E4918" s="5">
        <f>IFERROR(__xludf.DUMMYFUNCTION("""COMPUTED_VALUE"""),0.11411465892597968)</f>
        <v>0.1141146589</v>
      </c>
      <c r="F4918" s="5">
        <f>IFERROR(__xludf.DUMMYFUNCTION("""COMPUTED_VALUE"""),0.17398403483309144)</f>
        <v>0.1739840348</v>
      </c>
      <c r="G4918" s="5">
        <f>IFERROR(__xludf.DUMMYFUNCTION("""COMPUTED_VALUE"""),0.14559143686502177)</f>
        <v>0.1455914369</v>
      </c>
      <c r="H4918" s="5">
        <f>IFERROR(__xludf.DUMMYFUNCTION("""COMPUTED_VALUE"""),0.5808133472367049)</f>
        <v>0.5808133472</v>
      </c>
      <c r="I4918" s="11">
        <f>IFERROR(__xludf.DUMMYFUNCTION("""COMPUTED_VALUE"""),6189.520333680917)</f>
        <v>6189.520334</v>
      </c>
      <c r="J4918" s="10">
        <f>IFERROR(__xludf.DUMMYFUNCTION("""COMPUTED_VALUE"""),0.0)</f>
        <v>0</v>
      </c>
      <c r="K4918" s="5">
        <f>IFERROR(__xludf.DUMMYFUNCTION("""COMPUTED_VALUE"""),0.0)</f>
        <v>0</v>
      </c>
      <c r="L4918" s="10">
        <f>IFERROR(__xludf.DUMMYFUNCTION("""COMPUTED_VALUE"""),1003.0)</f>
        <v>1003</v>
      </c>
      <c r="M4918" s="5">
        <f>IFERROR(__xludf.DUMMYFUNCTION("""COMPUTED_VALUE"""),1.0)</f>
        <v>1</v>
      </c>
    </row>
    <row r="4919">
      <c r="A4919" s="10" t="str">
        <f>IFERROR(__xludf.DUMMYFUNCTION("""COMPUTED_VALUE"""),"くまこの使い手")</f>
        <v>くまこの使い手</v>
      </c>
      <c r="B4919" s="10">
        <f>IFERROR(__xludf.DUMMYFUNCTION("""COMPUTED_VALUE"""),102.0)</f>
        <v>102</v>
      </c>
      <c r="C4919" s="10">
        <f>IFERROR(__xludf.DUMMYFUNCTION("""COMPUTED_VALUE"""),1215.0)</f>
        <v>1215</v>
      </c>
      <c r="D4919" s="5">
        <f>IFERROR(__xludf.DUMMYFUNCTION("""COMPUTED_VALUE"""),0.31716082659478884)</f>
        <v>0.3171608266</v>
      </c>
      <c r="E4919" s="5">
        <f>IFERROR(__xludf.DUMMYFUNCTION("""COMPUTED_VALUE"""),0.11410601976639713)</f>
        <v>0.1141060198</v>
      </c>
      <c r="F4919" s="5">
        <f>IFERROR(__xludf.DUMMYFUNCTION("""COMPUTED_VALUE"""),0.18238993710691823)</f>
        <v>0.1823899371</v>
      </c>
      <c r="G4919" s="5">
        <f>IFERROR(__xludf.DUMMYFUNCTION("""COMPUTED_VALUE"""),0.14016172506738545)</f>
        <v>0.1401617251</v>
      </c>
      <c r="H4919" s="5">
        <f>IFERROR(__xludf.DUMMYFUNCTION("""COMPUTED_VALUE"""),0.6305418719211823)</f>
        <v>0.6305418719</v>
      </c>
      <c r="I4919" s="11">
        <f>IFERROR(__xludf.DUMMYFUNCTION("""COMPUTED_VALUE"""),5755.665024630542)</f>
        <v>5755.665025</v>
      </c>
      <c r="J4919" s="10">
        <f>IFERROR(__xludf.DUMMYFUNCTION("""COMPUTED_VALUE"""),0.0)</f>
        <v>0</v>
      </c>
      <c r="K4919" s="5">
        <f>IFERROR(__xludf.DUMMYFUNCTION("""COMPUTED_VALUE"""),0.0)</f>
        <v>0</v>
      </c>
      <c r="L4919" s="10">
        <f>IFERROR(__xludf.DUMMYFUNCTION("""COMPUTED_VALUE"""),0.0)</f>
        <v>0</v>
      </c>
      <c r="M4919" s="5">
        <f>IFERROR(__xludf.DUMMYFUNCTION("""COMPUTED_VALUE"""),0.0)</f>
        <v>0</v>
      </c>
    </row>
    <row r="4920">
      <c r="A4920" s="10" t="str">
        <f>IFERROR(__xludf.DUMMYFUNCTION("""COMPUTED_VALUE"""),"からあげレモン")</f>
        <v>からあげレモン</v>
      </c>
      <c r="B4920" s="10">
        <f>IFERROR(__xludf.DUMMYFUNCTION("""COMPUTED_VALUE"""),114.0)</f>
        <v>114</v>
      </c>
      <c r="C4920" s="10">
        <f>IFERROR(__xludf.DUMMYFUNCTION("""COMPUTED_VALUE"""),1376.0)</f>
        <v>1376</v>
      </c>
      <c r="D4920" s="5">
        <f>IFERROR(__xludf.DUMMYFUNCTION("""COMPUTED_VALUE"""),0.3185419968304279)</f>
        <v>0.3185419968</v>
      </c>
      <c r="E4920" s="5">
        <f>IFERROR(__xludf.DUMMYFUNCTION("""COMPUTED_VALUE"""),0.11410459587955626)</f>
        <v>0.1141045959</v>
      </c>
      <c r="F4920" s="5">
        <f>IFERROR(__xludf.DUMMYFUNCTION("""COMPUTED_VALUE"""),0.19096671949286848)</f>
        <v>0.1909667195</v>
      </c>
      <c r="G4920" s="5">
        <f>IFERROR(__xludf.DUMMYFUNCTION("""COMPUTED_VALUE"""),0.1259904912836767)</f>
        <v>0.1259904913</v>
      </c>
      <c r="H4920" s="5">
        <f>IFERROR(__xludf.DUMMYFUNCTION("""COMPUTED_VALUE"""),0.5518672199170125)</f>
        <v>0.5518672199</v>
      </c>
      <c r="I4920" s="11">
        <f>IFERROR(__xludf.DUMMYFUNCTION("""COMPUTED_VALUE"""),5290.041493775933)</f>
        <v>5290.041494</v>
      </c>
      <c r="J4920" s="10">
        <f>IFERROR(__xludf.DUMMYFUNCTION("""COMPUTED_VALUE"""),0.0)</f>
        <v>0</v>
      </c>
      <c r="K4920" s="5">
        <f>IFERROR(__xludf.DUMMYFUNCTION("""COMPUTED_VALUE"""),0.0)</f>
        <v>0</v>
      </c>
      <c r="L4920" s="10">
        <f>IFERROR(__xludf.DUMMYFUNCTION("""COMPUTED_VALUE"""),114.0)</f>
        <v>114</v>
      </c>
      <c r="M4920" s="5">
        <f>IFERROR(__xludf.DUMMYFUNCTION("""COMPUTED_VALUE"""),1.0)</f>
        <v>1</v>
      </c>
    </row>
    <row r="4921">
      <c r="A4921" s="10" t="str">
        <f>IFERROR(__xludf.DUMMYFUNCTION("""COMPUTED_VALUE"""),"日陰さん")</f>
        <v>日陰さん</v>
      </c>
      <c r="B4921" s="10">
        <f>IFERROR(__xludf.DUMMYFUNCTION("""COMPUTED_VALUE"""),149.0)</f>
        <v>149</v>
      </c>
      <c r="C4921" s="10">
        <f>IFERROR(__xludf.DUMMYFUNCTION("""COMPUTED_VALUE"""),1788.0)</f>
        <v>1788</v>
      </c>
      <c r="D4921" s="5">
        <f>IFERROR(__xludf.DUMMYFUNCTION("""COMPUTED_VALUE"""),0.32397803538743136)</f>
        <v>0.3239780354</v>
      </c>
      <c r="E4921" s="5">
        <f>IFERROR(__xludf.DUMMYFUNCTION("""COMPUTED_VALUE"""),0.11409395973154363)</f>
        <v>0.1140939597</v>
      </c>
      <c r="F4921" s="5">
        <f>IFERROR(__xludf.DUMMYFUNCTION("""COMPUTED_VALUE"""),0.20561317876754118)</f>
        <v>0.2056131788</v>
      </c>
      <c r="G4921" s="5">
        <f>IFERROR(__xludf.DUMMYFUNCTION("""COMPUTED_VALUE"""),0.174496644295302)</f>
        <v>0.1744966443</v>
      </c>
      <c r="H4921" s="5">
        <f>IFERROR(__xludf.DUMMYFUNCTION("""COMPUTED_VALUE"""),0.6201780415430267)</f>
        <v>0.6201780415</v>
      </c>
      <c r="I4921" s="11">
        <f>IFERROR(__xludf.DUMMYFUNCTION("""COMPUTED_VALUE"""),5634.421364985164)</f>
        <v>5634.421365</v>
      </c>
      <c r="J4921" s="10">
        <f>IFERROR(__xludf.DUMMYFUNCTION("""COMPUTED_VALUE"""),0.0)</f>
        <v>0</v>
      </c>
      <c r="K4921" s="5">
        <f>IFERROR(__xludf.DUMMYFUNCTION("""COMPUTED_VALUE"""),0.0)</f>
        <v>0</v>
      </c>
      <c r="L4921" s="10">
        <f>IFERROR(__xludf.DUMMYFUNCTION("""COMPUTED_VALUE"""),0.0)</f>
        <v>0</v>
      </c>
      <c r="M4921" s="5">
        <f>IFERROR(__xludf.DUMMYFUNCTION("""COMPUTED_VALUE"""),0.0)</f>
        <v>0</v>
      </c>
    </row>
    <row r="4922">
      <c r="A4922" s="10" t="str">
        <f>IFERROR(__xludf.DUMMYFUNCTION("""COMPUTED_VALUE"""),"as31848")</f>
        <v>as31848</v>
      </c>
      <c r="B4922" s="10">
        <f>IFERROR(__xludf.DUMMYFUNCTION("""COMPUTED_VALUE"""),659.0)</f>
        <v>659</v>
      </c>
      <c r="C4922" s="10">
        <f>IFERROR(__xludf.DUMMYFUNCTION("""COMPUTED_VALUE"""),7820.0)</f>
        <v>7820</v>
      </c>
      <c r="D4922" s="5">
        <f>IFERROR(__xludf.DUMMYFUNCTION("""COMPUTED_VALUE"""),0.37732160312805474)</f>
        <v>0.3773216031</v>
      </c>
      <c r="E4922" s="5">
        <f>IFERROR(__xludf.DUMMYFUNCTION("""COMPUTED_VALUE"""),0.1140902108644044)</f>
        <v>0.1140902109</v>
      </c>
      <c r="F4922" s="5">
        <f>IFERROR(__xludf.DUMMYFUNCTION("""COMPUTED_VALUE"""),0.21700879765395895)</f>
        <v>0.2170087977</v>
      </c>
      <c r="G4922" s="5">
        <f>IFERROR(__xludf.DUMMYFUNCTION("""COMPUTED_VALUE"""),0.16352464739561515)</f>
        <v>0.1635246474</v>
      </c>
      <c r="H4922" s="5">
        <f>IFERROR(__xludf.DUMMYFUNCTION("""COMPUTED_VALUE"""),0.6029601029601029)</f>
        <v>0.602960103</v>
      </c>
      <c r="I4922" s="11">
        <f>IFERROR(__xludf.DUMMYFUNCTION("""COMPUTED_VALUE"""),5095.752895752896)</f>
        <v>5095.752896</v>
      </c>
      <c r="J4922" s="10">
        <f>IFERROR(__xludf.DUMMYFUNCTION("""COMPUTED_VALUE"""),0.0)</f>
        <v>0</v>
      </c>
      <c r="K4922" s="5">
        <f>IFERROR(__xludf.DUMMYFUNCTION("""COMPUTED_VALUE"""),0.0)</f>
        <v>0</v>
      </c>
      <c r="L4922" s="10">
        <f>IFERROR(__xludf.DUMMYFUNCTION("""COMPUTED_VALUE"""),510.0)</f>
        <v>510</v>
      </c>
      <c r="M4922" s="5">
        <f>IFERROR(__xludf.DUMMYFUNCTION("""COMPUTED_VALUE"""),0.7738998482549317)</f>
        <v>0.7738998483</v>
      </c>
    </row>
    <row r="4923">
      <c r="A4923" s="10" t="str">
        <f>IFERROR(__xludf.DUMMYFUNCTION("""COMPUTED_VALUE"""),"Yたろ")</f>
        <v>Yたろ</v>
      </c>
      <c r="B4923" s="10">
        <f>IFERROR(__xludf.DUMMYFUNCTION("""COMPUTED_VALUE"""),195.0)</f>
        <v>195</v>
      </c>
      <c r="C4923" s="10">
        <f>IFERROR(__xludf.DUMMYFUNCTION("""COMPUTED_VALUE"""),2264.0)</f>
        <v>2264</v>
      </c>
      <c r="D4923" s="5">
        <f>IFERROR(__xludf.DUMMYFUNCTION("""COMPUTED_VALUE"""),0.28274528757854034)</f>
        <v>0.2827452876</v>
      </c>
      <c r="E4923" s="5">
        <f>IFERROR(__xludf.DUMMYFUNCTION("""COMPUTED_VALUE"""),0.11406476558724021)</f>
        <v>0.1140647656</v>
      </c>
      <c r="F4923" s="5">
        <f>IFERROR(__xludf.DUMMYFUNCTION("""COMPUTED_VALUE"""),0.2112131464475592)</f>
        <v>0.2112131464</v>
      </c>
      <c r="G4923" s="5">
        <f>IFERROR(__xludf.DUMMYFUNCTION("""COMPUTED_VALUE"""),0.18704688255195748)</f>
        <v>0.1870468826</v>
      </c>
      <c r="H4923" s="5">
        <f>IFERROR(__xludf.DUMMYFUNCTION("""COMPUTED_VALUE"""),0.5766590389016019)</f>
        <v>0.5766590389</v>
      </c>
      <c r="I4923" s="11">
        <f>IFERROR(__xludf.DUMMYFUNCTION("""COMPUTED_VALUE"""),6050.800915331808)</f>
        <v>6050.800915</v>
      </c>
      <c r="J4923" s="10">
        <f>IFERROR(__xludf.DUMMYFUNCTION("""COMPUTED_VALUE"""),0.0)</f>
        <v>0</v>
      </c>
      <c r="K4923" s="5">
        <f>IFERROR(__xludf.DUMMYFUNCTION("""COMPUTED_VALUE"""),0.0)</f>
        <v>0</v>
      </c>
      <c r="L4923" s="10">
        <f>IFERROR(__xludf.DUMMYFUNCTION("""COMPUTED_VALUE"""),195.0)</f>
        <v>195</v>
      </c>
      <c r="M4923" s="5">
        <f>IFERROR(__xludf.DUMMYFUNCTION("""COMPUTED_VALUE"""),1.0)</f>
        <v>1</v>
      </c>
    </row>
    <row r="4924">
      <c r="A4924" s="10" t="str">
        <f>IFERROR(__xludf.DUMMYFUNCTION("""COMPUTED_VALUE"""),"cujo")</f>
        <v>cujo</v>
      </c>
      <c r="B4924" s="10">
        <f>IFERROR(__xludf.DUMMYFUNCTION("""COMPUTED_VALUE"""),860.0)</f>
        <v>860</v>
      </c>
      <c r="C4924" s="10">
        <f>IFERROR(__xludf.DUMMYFUNCTION("""COMPUTED_VALUE"""),10122.0)</f>
        <v>10122</v>
      </c>
      <c r="D4924" s="5">
        <f>IFERROR(__xludf.DUMMYFUNCTION("""COMPUTED_VALUE"""),0.333729216152019)</f>
        <v>0.3337292162</v>
      </c>
      <c r="E4924" s="5">
        <f>IFERROR(__xludf.DUMMYFUNCTION("""COMPUTED_VALUE"""),0.11401425178147269)</f>
        <v>0.1140142518</v>
      </c>
      <c r="F4924" s="5">
        <f>IFERROR(__xludf.DUMMYFUNCTION("""COMPUTED_VALUE"""),0.21258907363420426)</f>
        <v>0.2125890736</v>
      </c>
      <c r="G4924" s="5">
        <f>IFERROR(__xludf.DUMMYFUNCTION("""COMPUTED_VALUE"""),0.1346361477002807)</f>
        <v>0.1346361477</v>
      </c>
      <c r="H4924" s="5">
        <f>IFERROR(__xludf.DUMMYFUNCTION("""COMPUTED_VALUE"""),0.6023362112747588)</f>
        <v>0.6023362113</v>
      </c>
      <c r="I4924" s="11">
        <f>IFERROR(__xludf.DUMMYFUNCTION("""COMPUTED_VALUE"""),5630.62468257999)</f>
        <v>5630.624683</v>
      </c>
      <c r="J4924" s="10">
        <f>IFERROR(__xludf.DUMMYFUNCTION("""COMPUTED_VALUE"""),1.0)</f>
        <v>1</v>
      </c>
      <c r="K4924" s="5">
        <f>IFERROR(__xludf.DUMMYFUNCTION("""COMPUTED_VALUE"""),0.0011627906976744186)</f>
        <v>0.001162790698</v>
      </c>
      <c r="L4924" s="10">
        <f>IFERROR(__xludf.DUMMYFUNCTION("""COMPUTED_VALUE"""),860.0)</f>
        <v>860</v>
      </c>
      <c r="M4924" s="5">
        <f>IFERROR(__xludf.DUMMYFUNCTION("""COMPUTED_VALUE"""),1.0)</f>
        <v>1</v>
      </c>
    </row>
    <row r="4925">
      <c r="A4925" s="10" t="str">
        <f>IFERROR(__xludf.DUMMYFUNCTION("""COMPUTED_VALUE"""),"Z民")</f>
        <v>Z民</v>
      </c>
      <c r="B4925" s="10">
        <f>IFERROR(__xludf.DUMMYFUNCTION("""COMPUTED_VALUE"""),1350.0)</f>
        <v>1350</v>
      </c>
      <c r="C4925" s="10">
        <f>IFERROR(__xludf.DUMMYFUNCTION("""COMPUTED_VALUE"""),15673.0)</f>
        <v>15673</v>
      </c>
      <c r="D4925" s="5">
        <f>IFERROR(__xludf.DUMMYFUNCTION("""COMPUTED_VALUE"""),0.3688473085247504)</f>
        <v>0.3688473085</v>
      </c>
      <c r="E4925" s="5">
        <f>IFERROR(__xludf.DUMMYFUNCTION("""COMPUTED_VALUE"""),0.11401242756405781)</f>
        <v>0.1140124276</v>
      </c>
      <c r="F4925" s="5">
        <f>IFERROR(__xludf.DUMMYFUNCTION("""COMPUTED_VALUE"""),0.22160161977239407)</f>
        <v>0.2216016198</v>
      </c>
      <c r="G4925" s="5">
        <f>IFERROR(__xludf.DUMMYFUNCTION("""COMPUTED_VALUE"""),0.16826083920966278)</f>
        <v>0.1682608392</v>
      </c>
      <c r="H4925" s="5">
        <f>IFERROR(__xludf.DUMMYFUNCTION("""COMPUTED_VALUE"""),0.5891619407687461)</f>
        <v>0.5891619408</v>
      </c>
      <c r="I4925" s="11">
        <f>IFERROR(__xludf.DUMMYFUNCTION("""COMPUTED_VALUE"""),5445.998739760555)</f>
        <v>5445.99874</v>
      </c>
      <c r="J4925" s="10">
        <f>IFERROR(__xludf.DUMMYFUNCTION("""COMPUTED_VALUE"""),1.0)</f>
        <v>1</v>
      </c>
      <c r="K4925" s="5">
        <f>IFERROR(__xludf.DUMMYFUNCTION("""COMPUTED_VALUE"""),7.407407407407407E-4)</f>
        <v>0.0007407407407</v>
      </c>
      <c r="L4925" s="10">
        <f>IFERROR(__xludf.DUMMYFUNCTION("""COMPUTED_VALUE"""),1350.0)</f>
        <v>1350</v>
      </c>
      <c r="M4925" s="5">
        <f>IFERROR(__xludf.DUMMYFUNCTION("""COMPUTED_VALUE"""),1.0)</f>
        <v>1</v>
      </c>
    </row>
    <row r="4926">
      <c r="A4926" s="10" t="str">
        <f>IFERROR(__xludf.DUMMYFUNCTION("""COMPUTED_VALUE"""),"トッド")</f>
        <v>トッド</v>
      </c>
      <c r="B4926" s="10">
        <f>IFERROR(__xludf.DUMMYFUNCTION("""COMPUTED_VALUE"""),971.0)</f>
        <v>971</v>
      </c>
      <c r="C4926" s="10">
        <f>IFERROR(__xludf.DUMMYFUNCTION("""COMPUTED_VALUE"""),11288.0)</f>
        <v>11288</v>
      </c>
      <c r="D4926" s="5">
        <f>IFERROR(__xludf.DUMMYFUNCTION("""COMPUTED_VALUE"""),0.3171464573034797)</f>
        <v>0.3171464573</v>
      </c>
      <c r="E4926" s="5">
        <f>IFERROR(__xludf.DUMMYFUNCTION("""COMPUTED_VALUE"""),0.11398662401861007)</f>
        <v>0.113986624</v>
      </c>
      <c r="F4926" s="5">
        <f>IFERROR(__xludf.DUMMYFUNCTION("""COMPUTED_VALUE"""),0.20655229233304256)</f>
        <v>0.2065522923</v>
      </c>
      <c r="G4926" s="5">
        <f>IFERROR(__xludf.DUMMYFUNCTION("""COMPUTED_VALUE"""),0.17398468547058255)</f>
        <v>0.1739846855</v>
      </c>
      <c r="H4926" s="5">
        <f>IFERROR(__xludf.DUMMYFUNCTION("""COMPUTED_VALUE"""),0.5973721257625528)</f>
        <v>0.5973721258</v>
      </c>
      <c r="I4926" s="11">
        <f>IFERROR(__xludf.DUMMYFUNCTION("""COMPUTED_VALUE"""),5360.018770530268)</f>
        <v>5360.018771</v>
      </c>
      <c r="J4926" s="10">
        <f>IFERROR(__xludf.DUMMYFUNCTION("""COMPUTED_VALUE"""),2.0)</f>
        <v>2</v>
      </c>
      <c r="K4926" s="5">
        <f>IFERROR(__xludf.DUMMYFUNCTION("""COMPUTED_VALUE"""),0.0020597322348094747)</f>
        <v>0.002059732235</v>
      </c>
      <c r="L4926" s="10">
        <f>IFERROR(__xludf.DUMMYFUNCTION("""COMPUTED_VALUE"""),971.0)</f>
        <v>971</v>
      </c>
      <c r="M4926" s="5">
        <f>IFERROR(__xludf.DUMMYFUNCTION("""COMPUTED_VALUE"""),1.0)</f>
        <v>1</v>
      </c>
    </row>
    <row r="4927">
      <c r="A4927" s="10" t="str">
        <f>IFERROR(__xludf.DUMMYFUNCTION("""COMPUTED_VALUE"""),"野々宮悠太")</f>
        <v>野々宮悠太</v>
      </c>
      <c r="B4927" s="10">
        <f>IFERROR(__xludf.DUMMYFUNCTION("""COMPUTED_VALUE"""),331.0)</f>
        <v>331</v>
      </c>
      <c r="C4927" s="10">
        <f>IFERROR(__xludf.DUMMYFUNCTION("""COMPUTED_VALUE"""),3928.0)</f>
        <v>3928</v>
      </c>
      <c r="D4927" s="5">
        <f>IFERROR(__xludf.DUMMYFUNCTION("""COMPUTED_VALUE"""),0.3416736169029747)</f>
        <v>0.3416736169</v>
      </c>
      <c r="E4927" s="5">
        <f>IFERROR(__xludf.DUMMYFUNCTION("""COMPUTED_VALUE"""),0.11398387545176536)</f>
        <v>0.1139838755</v>
      </c>
      <c r="F4927" s="5">
        <f>IFERROR(__xludf.DUMMYFUNCTION("""COMPUTED_VALUE"""),0.21212121212121213)</f>
        <v>0.2121212121</v>
      </c>
      <c r="G4927" s="5">
        <f>IFERROR(__xludf.DUMMYFUNCTION("""COMPUTED_VALUE"""),0.17347789824854046)</f>
        <v>0.1734778982</v>
      </c>
      <c r="H4927" s="5">
        <f>IFERROR(__xludf.DUMMYFUNCTION("""COMPUTED_VALUE"""),0.6238532110091743)</f>
        <v>0.623853211</v>
      </c>
      <c r="I4927" s="11">
        <f>IFERROR(__xludf.DUMMYFUNCTION("""COMPUTED_VALUE"""),5566.710353866317)</f>
        <v>5566.710354</v>
      </c>
      <c r="J4927" s="10">
        <f>IFERROR(__xludf.DUMMYFUNCTION("""COMPUTED_VALUE"""),0.0)</f>
        <v>0</v>
      </c>
      <c r="K4927" s="5">
        <f>IFERROR(__xludf.DUMMYFUNCTION("""COMPUTED_VALUE"""),0.0)</f>
        <v>0</v>
      </c>
      <c r="L4927" s="10">
        <f>IFERROR(__xludf.DUMMYFUNCTION("""COMPUTED_VALUE"""),331.0)</f>
        <v>331</v>
      </c>
      <c r="M4927" s="5">
        <f>IFERROR(__xludf.DUMMYFUNCTION("""COMPUTED_VALUE"""),1.0)</f>
        <v>1</v>
      </c>
    </row>
    <row r="4928">
      <c r="A4928" s="10" t="str">
        <f>IFERROR(__xludf.DUMMYFUNCTION("""COMPUTED_VALUE"""),"martie")</f>
        <v>martie</v>
      </c>
      <c r="B4928" s="10">
        <f>IFERROR(__xludf.DUMMYFUNCTION("""COMPUTED_VALUE"""),144.0)</f>
        <v>144</v>
      </c>
      <c r="C4928" s="10">
        <f>IFERROR(__xludf.DUMMYFUNCTION("""COMPUTED_VALUE"""),1653.0)</f>
        <v>1653</v>
      </c>
      <c r="D4928" s="5">
        <f>IFERROR(__xludf.DUMMYFUNCTION("""COMPUTED_VALUE"""),0.28561961563949634)</f>
        <v>0.2856196156</v>
      </c>
      <c r="E4928" s="5">
        <f>IFERROR(__xludf.DUMMYFUNCTION("""COMPUTED_VALUE"""),0.11398277004638833)</f>
        <v>0.11398277</v>
      </c>
      <c r="F4928" s="5">
        <f>IFERROR(__xludf.DUMMYFUNCTION("""COMPUTED_VALUE"""),0.20874751491053678)</f>
        <v>0.2087475149</v>
      </c>
      <c r="G4928" s="5">
        <f>IFERROR(__xludf.DUMMYFUNCTION("""COMPUTED_VALUE"""),0.17760106030483763)</f>
        <v>0.1776010603</v>
      </c>
      <c r="H4928" s="5">
        <f>IFERROR(__xludf.DUMMYFUNCTION("""COMPUTED_VALUE"""),0.5841269841269842)</f>
        <v>0.5841269841</v>
      </c>
      <c r="I4928" s="11">
        <f>IFERROR(__xludf.DUMMYFUNCTION("""COMPUTED_VALUE"""),5764.761904761905)</f>
        <v>5764.761905</v>
      </c>
      <c r="J4928" s="10">
        <f>IFERROR(__xludf.DUMMYFUNCTION("""COMPUTED_VALUE"""),0.0)</f>
        <v>0</v>
      </c>
      <c r="K4928" s="5">
        <f>IFERROR(__xludf.DUMMYFUNCTION("""COMPUTED_VALUE"""),0.0)</f>
        <v>0</v>
      </c>
      <c r="L4928" s="10">
        <f>IFERROR(__xludf.DUMMYFUNCTION("""COMPUTED_VALUE"""),144.0)</f>
        <v>144</v>
      </c>
      <c r="M4928" s="5">
        <f>IFERROR(__xludf.DUMMYFUNCTION("""COMPUTED_VALUE"""),1.0)</f>
        <v>1</v>
      </c>
    </row>
    <row r="4929">
      <c r="A4929" s="10" t="str">
        <f>IFERROR(__xludf.DUMMYFUNCTION("""COMPUTED_VALUE"""),"松実玄じゃない")</f>
        <v>松実玄じゃない</v>
      </c>
      <c r="B4929" s="10">
        <f>IFERROR(__xludf.DUMMYFUNCTION("""COMPUTED_VALUE"""),489.0)</f>
        <v>489</v>
      </c>
      <c r="C4929" s="10">
        <f>IFERROR(__xludf.DUMMYFUNCTION("""COMPUTED_VALUE"""),5833.0)</f>
        <v>5833</v>
      </c>
      <c r="D4929" s="5">
        <f>IFERROR(__xludf.DUMMYFUNCTION("""COMPUTED_VALUE"""),0.3714446107784431)</f>
        <v>0.3714446108</v>
      </c>
      <c r="E4929" s="5">
        <f>IFERROR(__xludf.DUMMYFUNCTION("""COMPUTED_VALUE"""),0.11395958083832336)</f>
        <v>0.1139595808</v>
      </c>
      <c r="F4929" s="5">
        <f>IFERROR(__xludf.DUMMYFUNCTION("""COMPUTED_VALUE"""),0.21332335329341318)</f>
        <v>0.2133233533</v>
      </c>
      <c r="G4929" s="5">
        <f>IFERROR(__xludf.DUMMYFUNCTION("""COMPUTED_VALUE"""),0.17084580838323354)</f>
        <v>0.1708458084</v>
      </c>
      <c r="H4929" s="5">
        <f>IFERROR(__xludf.DUMMYFUNCTION("""COMPUTED_VALUE"""),0.6157894736842106)</f>
        <v>0.6157894737</v>
      </c>
      <c r="I4929" s="11">
        <f>IFERROR(__xludf.DUMMYFUNCTION("""COMPUTED_VALUE"""),5296.403508771929)</f>
        <v>5296.403509</v>
      </c>
      <c r="J4929" s="10">
        <f>IFERROR(__xludf.DUMMYFUNCTION("""COMPUTED_VALUE"""),0.0)</f>
        <v>0</v>
      </c>
      <c r="K4929" s="5">
        <f>IFERROR(__xludf.DUMMYFUNCTION("""COMPUTED_VALUE"""),0.0)</f>
        <v>0</v>
      </c>
      <c r="L4929" s="10">
        <f>IFERROR(__xludf.DUMMYFUNCTION("""COMPUTED_VALUE"""),0.0)</f>
        <v>0</v>
      </c>
      <c r="M4929" s="5">
        <f>IFERROR(__xludf.DUMMYFUNCTION("""COMPUTED_VALUE"""),0.0)</f>
        <v>0</v>
      </c>
    </row>
    <row r="4930">
      <c r="A4930" s="10" t="str">
        <f>IFERROR(__xludf.DUMMYFUNCTION("""COMPUTED_VALUE"""),"いぬじゃら４")</f>
        <v>いぬじゃら４</v>
      </c>
      <c r="B4930" s="10">
        <f>IFERROR(__xludf.DUMMYFUNCTION("""COMPUTED_VALUE"""),2147.0)</f>
        <v>2147</v>
      </c>
      <c r="C4930" s="10">
        <f>IFERROR(__xludf.DUMMYFUNCTION("""COMPUTED_VALUE"""),25256.0)</f>
        <v>25256</v>
      </c>
      <c r="D4930" s="5">
        <f>IFERROR(__xludf.DUMMYFUNCTION("""COMPUTED_VALUE"""),0.34947423081916135)</f>
        <v>0.3494742308</v>
      </c>
      <c r="E4930" s="5">
        <f>IFERROR(__xludf.DUMMYFUNCTION("""COMPUTED_VALUE"""),0.11393829244017482)</f>
        <v>0.1139382924</v>
      </c>
      <c r="F4930" s="5">
        <f>IFERROR(__xludf.DUMMYFUNCTION("""COMPUTED_VALUE"""),0.2171881085291445)</f>
        <v>0.2171881085</v>
      </c>
      <c r="G4930" s="5">
        <f>IFERROR(__xludf.DUMMYFUNCTION("""COMPUTED_VALUE"""),0.1905751006101519)</f>
        <v>0.1905751006</v>
      </c>
      <c r="H4930" s="5">
        <f>IFERROR(__xludf.DUMMYFUNCTION("""COMPUTED_VALUE"""),0.5993225742179717)</f>
        <v>0.5993225742</v>
      </c>
      <c r="I4930" s="11">
        <f>IFERROR(__xludf.DUMMYFUNCTION("""COMPUTED_VALUE"""),5604.662283323371)</f>
        <v>5604.662283</v>
      </c>
      <c r="J4930" s="10">
        <f>IFERROR(__xludf.DUMMYFUNCTION("""COMPUTED_VALUE"""),3.0)</f>
        <v>3</v>
      </c>
      <c r="K4930" s="5">
        <f>IFERROR(__xludf.DUMMYFUNCTION("""COMPUTED_VALUE"""),0.0013972985561248254)</f>
        <v>0.001397298556</v>
      </c>
      <c r="L4930" s="10">
        <f>IFERROR(__xludf.DUMMYFUNCTION("""COMPUTED_VALUE"""),2147.0)</f>
        <v>2147</v>
      </c>
      <c r="M4930" s="5">
        <f>IFERROR(__xludf.DUMMYFUNCTION("""COMPUTED_VALUE"""),1.0)</f>
        <v>1</v>
      </c>
    </row>
    <row r="4931">
      <c r="A4931" s="10" t="str">
        <f>IFERROR(__xludf.DUMMYFUNCTION("""COMPUTED_VALUE"""),"TR0LL")</f>
        <v>TR0LL</v>
      </c>
      <c r="B4931" s="10">
        <f>IFERROR(__xludf.DUMMYFUNCTION("""COMPUTED_VALUE"""),156.0)</f>
        <v>156</v>
      </c>
      <c r="C4931" s="10">
        <f>IFERROR(__xludf.DUMMYFUNCTION("""COMPUTED_VALUE"""),1815.0)</f>
        <v>1815</v>
      </c>
      <c r="D4931" s="5">
        <f>IFERROR(__xludf.DUMMYFUNCTION("""COMPUTED_VALUE"""),0.3562386980108499)</f>
        <v>0.356238698</v>
      </c>
      <c r="E4931" s="5">
        <f>IFERROR(__xludf.DUMMYFUNCTION("""COMPUTED_VALUE"""),0.11392405063291139)</f>
        <v>0.1139240506</v>
      </c>
      <c r="F4931" s="5">
        <f>IFERROR(__xludf.DUMMYFUNCTION("""COMPUTED_VALUE"""),0.21518987341772153)</f>
        <v>0.2151898734</v>
      </c>
      <c r="G4931" s="5">
        <f>IFERROR(__xludf.DUMMYFUNCTION("""COMPUTED_VALUE"""),0.20132610006027726)</f>
        <v>0.2013261001</v>
      </c>
      <c r="H4931" s="5">
        <f>IFERROR(__xludf.DUMMYFUNCTION("""COMPUTED_VALUE"""),0.6106442577030813)</f>
        <v>0.6106442577</v>
      </c>
      <c r="I4931" s="11">
        <f>IFERROR(__xludf.DUMMYFUNCTION("""COMPUTED_VALUE"""),5760.504201680672)</f>
        <v>5760.504202</v>
      </c>
      <c r="J4931" s="10">
        <f>IFERROR(__xludf.DUMMYFUNCTION("""COMPUTED_VALUE"""),0.0)</f>
        <v>0</v>
      </c>
      <c r="K4931" s="5">
        <f>IFERROR(__xludf.DUMMYFUNCTION("""COMPUTED_VALUE"""),0.0)</f>
        <v>0</v>
      </c>
      <c r="L4931" s="10">
        <f>IFERROR(__xludf.DUMMYFUNCTION("""COMPUTED_VALUE"""),103.0)</f>
        <v>103</v>
      </c>
      <c r="M4931" s="5">
        <f>IFERROR(__xludf.DUMMYFUNCTION("""COMPUTED_VALUE"""),0.6602564102564102)</f>
        <v>0.6602564103</v>
      </c>
    </row>
    <row r="4932">
      <c r="A4932" s="10" t="str">
        <f>IFERROR(__xludf.DUMMYFUNCTION("""COMPUTED_VALUE"""),"Garuda")</f>
        <v>Garuda</v>
      </c>
      <c r="B4932" s="10">
        <f>IFERROR(__xludf.DUMMYFUNCTION("""COMPUTED_VALUE"""),289.0)</f>
        <v>289</v>
      </c>
      <c r="C4932" s="10">
        <f>IFERROR(__xludf.DUMMYFUNCTION("""COMPUTED_VALUE"""),3414.0)</f>
        <v>3414</v>
      </c>
      <c r="D4932" s="5">
        <f>IFERROR(__xludf.DUMMYFUNCTION("""COMPUTED_VALUE"""),0.3952)</f>
        <v>0.3952</v>
      </c>
      <c r="E4932" s="5">
        <f>IFERROR(__xludf.DUMMYFUNCTION("""COMPUTED_VALUE"""),0.11392)</f>
        <v>0.11392</v>
      </c>
      <c r="F4932" s="5">
        <f>IFERROR(__xludf.DUMMYFUNCTION("""COMPUTED_VALUE"""),0.21024)</f>
        <v>0.21024</v>
      </c>
      <c r="G4932" s="5">
        <f>IFERROR(__xludf.DUMMYFUNCTION("""COMPUTED_VALUE"""),0.15808)</f>
        <v>0.15808</v>
      </c>
      <c r="H4932" s="5">
        <f>IFERROR(__xludf.DUMMYFUNCTION("""COMPUTED_VALUE"""),0.5768645357686454)</f>
        <v>0.5768645358</v>
      </c>
      <c r="I4932" s="11">
        <f>IFERROR(__xludf.DUMMYFUNCTION("""COMPUTED_VALUE"""),5147.03196347032)</f>
        <v>5147.031963</v>
      </c>
      <c r="J4932" s="10">
        <f>IFERROR(__xludf.DUMMYFUNCTION("""COMPUTED_VALUE"""),0.0)</f>
        <v>0</v>
      </c>
      <c r="K4932" s="5">
        <f>IFERROR(__xludf.DUMMYFUNCTION("""COMPUTED_VALUE"""),0.0)</f>
        <v>0</v>
      </c>
      <c r="L4932" s="10">
        <f>IFERROR(__xludf.DUMMYFUNCTION("""COMPUTED_VALUE"""),289.0)</f>
        <v>289</v>
      </c>
      <c r="M4932" s="5">
        <f>IFERROR(__xludf.DUMMYFUNCTION("""COMPUTED_VALUE"""),1.0)</f>
        <v>1</v>
      </c>
    </row>
    <row r="4933">
      <c r="A4933" s="10" t="str">
        <f>IFERROR(__xludf.DUMMYFUNCTION("""COMPUTED_VALUE"""),"竹田誠志")</f>
        <v>竹田誠志</v>
      </c>
      <c r="B4933" s="10">
        <f>IFERROR(__xludf.DUMMYFUNCTION("""COMPUTED_VALUE"""),944.0)</f>
        <v>944</v>
      </c>
      <c r="C4933" s="10">
        <f>IFERROR(__xludf.DUMMYFUNCTION("""COMPUTED_VALUE"""),11294.0)</f>
        <v>11294</v>
      </c>
      <c r="D4933" s="5">
        <f>IFERROR(__xludf.DUMMYFUNCTION("""COMPUTED_VALUE"""),0.3909178743961353)</f>
        <v>0.3909178744</v>
      </c>
      <c r="E4933" s="5">
        <f>IFERROR(__xludf.DUMMYFUNCTION("""COMPUTED_VALUE"""),0.11391304347826087)</f>
        <v>0.1139130435</v>
      </c>
      <c r="F4933" s="5">
        <f>IFERROR(__xludf.DUMMYFUNCTION("""COMPUTED_VALUE"""),0.20405797101449274)</f>
        <v>0.204057971</v>
      </c>
      <c r="G4933" s="5">
        <f>IFERROR(__xludf.DUMMYFUNCTION("""COMPUTED_VALUE"""),0.1451207729468599)</f>
        <v>0.1451207729</v>
      </c>
      <c r="H4933" s="5">
        <f>IFERROR(__xludf.DUMMYFUNCTION("""COMPUTED_VALUE"""),0.5975378787878788)</f>
        <v>0.5975378788</v>
      </c>
      <c r="I4933" s="11">
        <f>IFERROR(__xludf.DUMMYFUNCTION("""COMPUTED_VALUE"""),5327.888257575758)</f>
        <v>5327.888258</v>
      </c>
      <c r="J4933" s="10">
        <f>IFERROR(__xludf.DUMMYFUNCTION("""COMPUTED_VALUE"""),2.0)</f>
        <v>2</v>
      </c>
      <c r="K4933" s="5">
        <f>IFERROR(__xludf.DUMMYFUNCTION("""COMPUTED_VALUE"""),0.00211864406779661)</f>
        <v>0.002118644068</v>
      </c>
      <c r="L4933" s="10">
        <f>IFERROR(__xludf.DUMMYFUNCTION("""COMPUTED_VALUE"""),944.0)</f>
        <v>944</v>
      </c>
      <c r="M4933" s="5">
        <f>IFERROR(__xludf.DUMMYFUNCTION("""COMPUTED_VALUE"""),1.0)</f>
        <v>1</v>
      </c>
    </row>
    <row r="4934">
      <c r="A4934" s="10" t="str">
        <f>IFERROR(__xludf.DUMMYFUNCTION("""COMPUTED_VALUE"""),"今日一")</f>
        <v>今日一</v>
      </c>
      <c r="B4934" s="10">
        <f>IFERROR(__xludf.DUMMYFUNCTION("""COMPUTED_VALUE"""),1029.0)</f>
        <v>1029</v>
      </c>
      <c r="C4934" s="10">
        <f>IFERROR(__xludf.DUMMYFUNCTION("""COMPUTED_VALUE"""),12178.0)</f>
        <v>12178</v>
      </c>
      <c r="D4934" s="5">
        <f>IFERROR(__xludf.DUMMYFUNCTION("""COMPUTED_VALUE"""),0.3055879451071845)</f>
        <v>0.3055879451</v>
      </c>
      <c r="E4934" s="5">
        <f>IFERROR(__xludf.DUMMYFUNCTION("""COMPUTED_VALUE"""),0.11391156157502914)</f>
        <v>0.1139115616</v>
      </c>
      <c r="F4934" s="5">
        <f>IFERROR(__xludf.DUMMYFUNCTION("""COMPUTED_VALUE"""),0.20674499955152928)</f>
        <v>0.2067449996</v>
      </c>
      <c r="G4934" s="5">
        <f>IFERROR(__xludf.DUMMYFUNCTION("""COMPUTED_VALUE"""),0.15409453762669298)</f>
        <v>0.1540945376</v>
      </c>
      <c r="H4934" s="5">
        <f>IFERROR(__xludf.DUMMYFUNCTION("""COMPUTED_VALUE"""),0.6091106290672451)</f>
        <v>0.6091106291</v>
      </c>
      <c r="I4934" s="11">
        <f>IFERROR(__xludf.DUMMYFUNCTION("""COMPUTED_VALUE"""),5535.965292841649)</f>
        <v>5535.965293</v>
      </c>
      <c r="J4934" s="10">
        <f>IFERROR(__xludf.DUMMYFUNCTION("""COMPUTED_VALUE"""),1.0)</f>
        <v>1</v>
      </c>
      <c r="K4934" s="5">
        <f>IFERROR(__xludf.DUMMYFUNCTION("""COMPUTED_VALUE"""),9.718172983479105E-4)</f>
        <v>0.0009718172983</v>
      </c>
      <c r="L4934" s="10">
        <f>IFERROR(__xludf.DUMMYFUNCTION("""COMPUTED_VALUE"""),758.0)</f>
        <v>758</v>
      </c>
      <c r="M4934" s="5">
        <f>IFERROR(__xludf.DUMMYFUNCTION("""COMPUTED_VALUE"""),0.7366375121477162)</f>
        <v>0.7366375121</v>
      </c>
    </row>
    <row r="4935">
      <c r="A4935" s="10" t="str">
        <f>IFERROR(__xludf.DUMMYFUNCTION("""COMPUTED_VALUE"""),"haku07")</f>
        <v>haku07</v>
      </c>
      <c r="B4935" s="10">
        <f>IFERROR(__xludf.DUMMYFUNCTION("""COMPUTED_VALUE"""),884.0)</f>
        <v>884</v>
      </c>
      <c r="C4935" s="10">
        <f>IFERROR(__xludf.DUMMYFUNCTION("""COMPUTED_VALUE"""),10270.0)</f>
        <v>10270</v>
      </c>
      <c r="D4935" s="5">
        <f>IFERROR(__xludf.DUMMYFUNCTION("""COMPUTED_VALUE"""),0.3556360536969955)</f>
        <v>0.3556360537</v>
      </c>
      <c r="E4935" s="5">
        <f>IFERROR(__xludf.DUMMYFUNCTION("""COMPUTED_VALUE"""),0.11389303217558065)</f>
        <v>0.1138930322</v>
      </c>
      <c r="F4935" s="5">
        <f>IFERROR(__xludf.DUMMYFUNCTION("""COMPUTED_VALUE"""),0.20924781589601535)</f>
        <v>0.2092478159</v>
      </c>
      <c r="G4935" s="5">
        <f>IFERROR(__xludf.DUMMYFUNCTION("""COMPUTED_VALUE"""),0.16833581930534838)</f>
        <v>0.1683358193</v>
      </c>
      <c r="H4935" s="5">
        <f>IFERROR(__xludf.DUMMYFUNCTION("""COMPUTED_VALUE"""),0.5906313645621182)</f>
        <v>0.5906313646</v>
      </c>
      <c r="I4935" s="11">
        <f>IFERROR(__xludf.DUMMYFUNCTION("""COMPUTED_VALUE"""),5595.519348268839)</f>
        <v>5595.519348</v>
      </c>
      <c r="J4935" s="10">
        <f>IFERROR(__xludf.DUMMYFUNCTION("""COMPUTED_VALUE"""),1.0)</f>
        <v>1</v>
      </c>
      <c r="K4935" s="5">
        <f>IFERROR(__xludf.DUMMYFUNCTION("""COMPUTED_VALUE"""),0.0011312217194570137)</f>
        <v>0.001131221719</v>
      </c>
      <c r="L4935" s="10">
        <f>IFERROR(__xludf.DUMMYFUNCTION("""COMPUTED_VALUE"""),880.0)</f>
        <v>880</v>
      </c>
      <c r="M4935" s="5">
        <f>IFERROR(__xludf.DUMMYFUNCTION("""COMPUTED_VALUE"""),0.995475113122172)</f>
        <v>0.9954751131</v>
      </c>
    </row>
    <row r="4936">
      <c r="A4936" s="10" t="str">
        <f>IFERROR(__xludf.DUMMYFUNCTION("""COMPUTED_VALUE"""),"～隼～")</f>
        <v>～隼～</v>
      </c>
      <c r="B4936" s="10">
        <f>IFERROR(__xludf.DUMMYFUNCTION("""COMPUTED_VALUE"""),1632.0)</f>
        <v>1632</v>
      </c>
      <c r="C4936" s="10">
        <f>IFERROR(__xludf.DUMMYFUNCTION("""COMPUTED_VALUE"""),19440.0)</f>
        <v>19440</v>
      </c>
      <c r="D4936" s="5">
        <f>IFERROR(__xludf.DUMMYFUNCTION("""COMPUTED_VALUE"""),0.3575359389038634)</f>
        <v>0.3575359389</v>
      </c>
      <c r="E4936" s="5">
        <f>IFERROR(__xludf.DUMMYFUNCTION("""COMPUTED_VALUE"""),0.11388140161725067)</f>
        <v>0.1138814016</v>
      </c>
      <c r="F4936" s="5">
        <f>IFERROR(__xludf.DUMMYFUNCTION("""COMPUTED_VALUE"""),0.20648023360287512)</f>
        <v>0.2064802336</v>
      </c>
      <c r="G4936" s="5">
        <f>IFERROR(__xludf.DUMMYFUNCTION("""COMPUTED_VALUE"""),0.17407906558849956)</f>
        <v>0.1740790656</v>
      </c>
      <c r="H4936" s="5">
        <f>IFERROR(__xludf.DUMMYFUNCTION("""COMPUTED_VALUE"""),0.5966820777807995)</f>
        <v>0.5966820778</v>
      </c>
      <c r="I4936" s="11">
        <f>IFERROR(__xludf.DUMMYFUNCTION("""COMPUTED_VALUE"""),5419.581180310035)</f>
        <v>5419.58118</v>
      </c>
      <c r="J4936" s="10">
        <f>IFERROR(__xludf.DUMMYFUNCTION("""COMPUTED_VALUE"""),4.0)</f>
        <v>4</v>
      </c>
      <c r="K4936" s="5">
        <f>IFERROR(__xludf.DUMMYFUNCTION("""COMPUTED_VALUE"""),0.0024509803921568627)</f>
        <v>0.002450980392</v>
      </c>
      <c r="L4936" s="10">
        <f>IFERROR(__xludf.DUMMYFUNCTION("""COMPUTED_VALUE"""),1632.0)</f>
        <v>1632</v>
      </c>
      <c r="M4936" s="5">
        <f>IFERROR(__xludf.DUMMYFUNCTION("""COMPUTED_VALUE"""),1.0)</f>
        <v>1</v>
      </c>
    </row>
    <row r="4937">
      <c r="A4937" s="10" t="str">
        <f>IFERROR(__xludf.DUMMYFUNCTION("""COMPUTED_VALUE"""),"ふれ/んだ")</f>
        <v>ふれ/んだ</v>
      </c>
      <c r="B4937" s="10">
        <f>IFERROR(__xludf.DUMMYFUNCTION("""COMPUTED_VALUE"""),329.0)</f>
        <v>329</v>
      </c>
      <c r="C4937" s="10">
        <f>IFERROR(__xludf.DUMMYFUNCTION("""COMPUTED_VALUE"""),3833.0)</f>
        <v>3833</v>
      </c>
      <c r="D4937" s="5">
        <f>IFERROR(__xludf.DUMMYFUNCTION("""COMPUTED_VALUE"""),0.3210616438356164)</f>
        <v>0.3210616438</v>
      </c>
      <c r="E4937" s="5">
        <f>IFERROR(__xludf.DUMMYFUNCTION("""COMPUTED_VALUE"""),0.11386986301369863)</f>
        <v>0.113869863</v>
      </c>
      <c r="F4937" s="5">
        <f>IFERROR(__xludf.DUMMYFUNCTION("""COMPUTED_VALUE"""),0.19463470319634704)</f>
        <v>0.1946347032</v>
      </c>
      <c r="G4937" s="5">
        <f>IFERROR(__xludf.DUMMYFUNCTION("""COMPUTED_VALUE"""),0.1752283105022831)</f>
        <v>0.1752283105</v>
      </c>
      <c r="H4937" s="5">
        <f>IFERROR(__xludf.DUMMYFUNCTION("""COMPUTED_VALUE"""),0.5865102639296188)</f>
        <v>0.5865102639</v>
      </c>
      <c r="I4937" s="11">
        <f>IFERROR(__xludf.DUMMYFUNCTION("""COMPUTED_VALUE"""),5933.431085043988)</f>
        <v>5933.431085</v>
      </c>
      <c r="J4937" s="10">
        <f>IFERROR(__xludf.DUMMYFUNCTION("""COMPUTED_VALUE"""),2.0)</f>
        <v>2</v>
      </c>
      <c r="K4937" s="5">
        <f>IFERROR(__xludf.DUMMYFUNCTION("""COMPUTED_VALUE"""),0.0060790273556231)</f>
        <v>0.006079027356</v>
      </c>
      <c r="L4937" s="10">
        <f>IFERROR(__xludf.DUMMYFUNCTION("""COMPUTED_VALUE"""),329.0)</f>
        <v>329</v>
      </c>
      <c r="M4937" s="5">
        <f>IFERROR(__xludf.DUMMYFUNCTION("""COMPUTED_VALUE"""),1.0)</f>
        <v>1</v>
      </c>
    </row>
    <row r="4938">
      <c r="A4938" s="10" t="str">
        <f>IFERROR(__xludf.DUMMYFUNCTION("""COMPUTED_VALUE"""),"２７３７")</f>
        <v>２７３７</v>
      </c>
      <c r="B4938" s="10">
        <f>IFERROR(__xludf.DUMMYFUNCTION("""COMPUTED_VALUE"""),261.0)</f>
        <v>261</v>
      </c>
      <c r="C4938" s="10">
        <f>IFERROR(__xludf.DUMMYFUNCTION("""COMPUTED_VALUE"""),3054.0)</f>
        <v>3054</v>
      </c>
      <c r="D4938" s="5">
        <f>IFERROR(__xludf.DUMMYFUNCTION("""COMPUTED_VALUE"""),0.3594701038310061)</f>
        <v>0.3594701038</v>
      </c>
      <c r="E4938" s="5">
        <f>IFERROR(__xludf.DUMMYFUNCTION("""COMPUTED_VALUE"""),0.11385606874328678)</f>
        <v>0.1138560687</v>
      </c>
      <c r="F4938" s="5">
        <f>IFERROR(__xludf.DUMMYFUNCTION("""COMPUTED_VALUE"""),0.20694593626924454)</f>
        <v>0.2069459363</v>
      </c>
      <c r="G4938" s="5">
        <f>IFERROR(__xludf.DUMMYFUNCTION("""COMPUTED_VALUE"""),0.15288220551378445)</f>
        <v>0.1528822055</v>
      </c>
      <c r="H4938" s="5">
        <f>IFERROR(__xludf.DUMMYFUNCTION("""COMPUTED_VALUE"""),0.615916955017301)</f>
        <v>0.615916955</v>
      </c>
      <c r="I4938" s="11">
        <f>IFERROR(__xludf.DUMMYFUNCTION("""COMPUTED_VALUE"""),5005.190311418685)</f>
        <v>5005.190311</v>
      </c>
      <c r="J4938" s="10">
        <f>IFERROR(__xludf.DUMMYFUNCTION("""COMPUTED_VALUE"""),0.0)</f>
        <v>0</v>
      </c>
      <c r="K4938" s="5">
        <f>IFERROR(__xludf.DUMMYFUNCTION("""COMPUTED_VALUE"""),0.0)</f>
        <v>0</v>
      </c>
      <c r="L4938" s="10">
        <f>IFERROR(__xludf.DUMMYFUNCTION("""COMPUTED_VALUE"""),0.0)</f>
        <v>0</v>
      </c>
      <c r="M4938" s="5">
        <f>IFERROR(__xludf.DUMMYFUNCTION("""COMPUTED_VALUE"""),0.0)</f>
        <v>0</v>
      </c>
    </row>
    <row r="4939">
      <c r="A4939" s="10" t="str">
        <f>IFERROR(__xludf.DUMMYFUNCTION("""COMPUTED_VALUE"""),"普通の運力で充分")</f>
        <v>普通の運力で充分</v>
      </c>
      <c r="B4939" s="10">
        <f>IFERROR(__xludf.DUMMYFUNCTION("""COMPUTED_VALUE"""),1543.0)</f>
        <v>1543</v>
      </c>
      <c r="C4939" s="10">
        <f>IFERROR(__xludf.DUMMYFUNCTION("""COMPUTED_VALUE"""),18136.0)</f>
        <v>18136</v>
      </c>
      <c r="D4939" s="5">
        <f>IFERROR(__xludf.DUMMYFUNCTION("""COMPUTED_VALUE"""),0.31567528475863316)</f>
        <v>0.3156752848</v>
      </c>
      <c r="E4939" s="5">
        <f>IFERROR(__xludf.DUMMYFUNCTION("""COMPUTED_VALUE"""),0.11384318688603628)</f>
        <v>0.1138431869</v>
      </c>
      <c r="F4939" s="5">
        <f>IFERROR(__xludf.DUMMYFUNCTION("""COMPUTED_VALUE"""),0.21111311999035737)</f>
        <v>0.21111312</v>
      </c>
      <c r="G4939" s="5">
        <f>IFERROR(__xludf.DUMMYFUNCTION("""COMPUTED_VALUE"""),0.15524618815163022)</f>
        <v>0.1552461882</v>
      </c>
      <c r="H4939" s="5">
        <f>IFERROR(__xludf.DUMMYFUNCTION("""COMPUTED_VALUE"""),0.5886383100199829)</f>
        <v>0.58863831</v>
      </c>
      <c r="I4939" s="11">
        <f>IFERROR(__xludf.DUMMYFUNCTION("""COMPUTED_VALUE"""),5801.113331430202)</f>
        <v>5801.113331</v>
      </c>
      <c r="J4939" s="10">
        <f>IFERROR(__xludf.DUMMYFUNCTION("""COMPUTED_VALUE"""),0.0)</f>
        <v>0</v>
      </c>
      <c r="K4939" s="5">
        <f>IFERROR(__xludf.DUMMYFUNCTION("""COMPUTED_VALUE"""),0.0)</f>
        <v>0</v>
      </c>
      <c r="L4939" s="10">
        <f>IFERROR(__xludf.DUMMYFUNCTION("""COMPUTED_VALUE"""),1543.0)</f>
        <v>1543</v>
      </c>
      <c r="M4939" s="5">
        <f>IFERROR(__xludf.DUMMYFUNCTION("""COMPUTED_VALUE"""),1.0)</f>
        <v>1</v>
      </c>
    </row>
    <row r="4940">
      <c r="A4940" s="10" t="str">
        <f>IFERROR(__xludf.DUMMYFUNCTION("""COMPUTED_VALUE"""),"ちくき")</f>
        <v>ちくき</v>
      </c>
      <c r="B4940" s="10">
        <f>IFERROR(__xludf.DUMMYFUNCTION("""COMPUTED_VALUE"""),1899.0)</f>
        <v>1899</v>
      </c>
      <c r="C4940" s="10">
        <f>IFERROR(__xludf.DUMMYFUNCTION("""COMPUTED_VALUE"""),22709.0)</f>
        <v>22709</v>
      </c>
      <c r="D4940" s="5">
        <f>IFERROR(__xludf.DUMMYFUNCTION("""COMPUTED_VALUE"""),0.37174435367611725)</f>
        <v>0.3717443537</v>
      </c>
      <c r="E4940" s="5">
        <f>IFERROR(__xludf.DUMMYFUNCTION("""COMPUTED_VALUE"""),0.1138395002402691)</f>
        <v>0.1138395002</v>
      </c>
      <c r="F4940" s="5">
        <f>IFERROR(__xludf.DUMMYFUNCTION("""COMPUTED_VALUE"""),0.22008649687650167)</f>
        <v>0.2200864969</v>
      </c>
      <c r="G4940" s="5">
        <f>IFERROR(__xludf.DUMMYFUNCTION("""COMPUTED_VALUE"""),0.1529072561268621)</f>
        <v>0.1529072561</v>
      </c>
      <c r="H4940" s="5">
        <f>IFERROR(__xludf.DUMMYFUNCTION("""COMPUTED_VALUE"""),0.6096069868995633)</f>
        <v>0.6096069869</v>
      </c>
      <c r="I4940" s="11">
        <f>IFERROR(__xludf.DUMMYFUNCTION("""COMPUTED_VALUE"""),5174.803493449782)</f>
        <v>5174.803493</v>
      </c>
      <c r="J4940" s="10">
        <f>IFERROR(__xludf.DUMMYFUNCTION("""COMPUTED_VALUE"""),5.0)</f>
        <v>5</v>
      </c>
      <c r="K4940" s="5">
        <f>IFERROR(__xludf.DUMMYFUNCTION("""COMPUTED_VALUE"""),0.0026329647182727752)</f>
        <v>0.002632964718</v>
      </c>
      <c r="L4940" s="10">
        <f>IFERROR(__xludf.DUMMYFUNCTION("""COMPUTED_VALUE"""),1899.0)</f>
        <v>1899</v>
      </c>
      <c r="M4940" s="5">
        <f>IFERROR(__xludf.DUMMYFUNCTION("""COMPUTED_VALUE"""),1.0)</f>
        <v>1</v>
      </c>
    </row>
    <row r="4941">
      <c r="A4941" s="10" t="str">
        <f>IFERROR(__xludf.DUMMYFUNCTION("""COMPUTED_VALUE"""),"むりくぼ")</f>
        <v>むりくぼ</v>
      </c>
      <c r="B4941" s="10">
        <f>IFERROR(__xludf.DUMMYFUNCTION("""COMPUTED_VALUE"""),635.0)</f>
        <v>635</v>
      </c>
      <c r="C4941" s="10">
        <f>IFERROR(__xludf.DUMMYFUNCTION("""COMPUTED_VALUE"""),7399.0)</f>
        <v>7399</v>
      </c>
      <c r="D4941" s="5">
        <f>IFERROR(__xludf.DUMMYFUNCTION("""COMPUTED_VALUE"""),0.29109994086339447)</f>
        <v>0.2910999409</v>
      </c>
      <c r="E4941" s="5">
        <f>IFERROR(__xludf.DUMMYFUNCTION("""COMPUTED_VALUE"""),0.11383796570076878)</f>
        <v>0.1138379657</v>
      </c>
      <c r="F4941" s="5">
        <f>IFERROR(__xludf.DUMMYFUNCTION("""COMPUTED_VALUE"""),0.19766410408042578)</f>
        <v>0.1976641041</v>
      </c>
      <c r="G4941" s="5">
        <f>IFERROR(__xludf.DUMMYFUNCTION("""COMPUTED_VALUE"""),0.1731224127735068)</f>
        <v>0.1731224128</v>
      </c>
      <c r="H4941" s="5">
        <f>IFERROR(__xludf.DUMMYFUNCTION("""COMPUTED_VALUE"""),0.5841436050860135)</f>
        <v>0.5841436051</v>
      </c>
      <c r="I4941" s="11">
        <f>IFERROR(__xludf.DUMMYFUNCTION("""COMPUTED_VALUE"""),5685.564697083022)</f>
        <v>5685.564697</v>
      </c>
      <c r="J4941" s="10">
        <f>IFERROR(__xludf.DUMMYFUNCTION("""COMPUTED_VALUE"""),1.0)</f>
        <v>1</v>
      </c>
      <c r="K4941" s="5">
        <f>IFERROR(__xludf.DUMMYFUNCTION("""COMPUTED_VALUE"""),0.0015748031496062992)</f>
        <v>0.00157480315</v>
      </c>
      <c r="L4941" s="10">
        <f>IFERROR(__xludf.DUMMYFUNCTION("""COMPUTED_VALUE"""),0.0)</f>
        <v>0</v>
      </c>
      <c r="M4941" s="5">
        <f>IFERROR(__xludf.DUMMYFUNCTION("""COMPUTED_VALUE"""),0.0)</f>
        <v>0</v>
      </c>
    </row>
    <row r="4942">
      <c r="A4942" s="10" t="str">
        <f>IFERROR(__xludf.DUMMYFUNCTION("""COMPUTED_VALUE"""),"七ツ目玉")</f>
        <v>七ツ目玉</v>
      </c>
      <c r="B4942" s="10">
        <f>IFERROR(__xludf.DUMMYFUNCTION("""COMPUTED_VALUE"""),657.0)</f>
        <v>657</v>
      </c>
      <c r="C4942" s="10">
        <f>IFERROR(__xludf.DUMMYFUNCTION("""COMPUTED_VALUE"""),7712.0)</f>
        <v>7712</v>
      </c>
      <c r="D4942" s="5">
        <f>IFERROR(__xludf.DUMMYFUNCTION("""COMPUTED_VALUE"""),0.35152374202693126)</f>
        <v>0.351523742</v>
      </c>
      <c r="E4942" s="5">
        <f>IFERROR(__xludf.DUMMYFUNCTION("""COMPUTED_VALUE"""),0.11381998582565557)</f>
        <v>0.1138199858</v>
      </c>
      <c r="F4942" s="5">
        <f>IFERROR(__xludf.DUMMYFUNCTION("""COMPUTED_VALUE"""),0.21261516654854712)</f>
        <v>0.2126151665</v>
      </c>
      <c r="G4942" s="5">
        <f>IFERROR(__xludf.DUMMYFUNCTION("""COMPUTED_VALUE"""),0.16881644223954642)</f>
        <v>0.1688164422</v>
      </c>
      <c r="H4942" s="5">
        <f>IFERROR(__xludf.DUMMYFUNCTION("""COMPUTED_VALUE"""),0.6006666666666667)</f>
        <v>0.6006666667</v>
      </c>
      <c r="I4942" s="11">
        <f>IFERROR(__xludf.DUMMYFUNCTION("""COMPUTED_VALUE"""),5623.266666666666)</f>
        <v>5623.266667</v>
      </c>
      <c r="J4942" s="10">
        <f>IFERROR(__xludf.DUMMYFUNCTION("""COMPUTED_VALUE"""),0.0)</f>
        <v>0</v>
      </c>
      <c r="K4942" s="5">
        <f>IFERROR(__xludf.DUMMYFUNCTION("""COMPUTED_VALUE"""),0.0)</f>
        <v>0</v>
      </c>
      <c r="L4942" s="10">
        <f>IFERROR(__xludf.DUMMYFUNCTION("""COMPUTED_VALUE"""),657.0)</f>
        <v>657</v>
      </c>
      <c r="M4942" s="5">
        <f>IFERROR(__xludf.DUMMYFUNCTION("""COMPUTED_VALUE"""),1.0)</f>
        <v>1</v>
      </c>
    </row>
    <row r="4943">
      <c r="A4943" s="10" t="str">
        <f>IFERROR(__xludf.DUMMYFUNCTION("""COMPUTED_VALUE"""),"ウルトラ立直")</f>
        <v>ウルトラ立直</v>
      </c>
      <c r="B4943" s="10">
        <f>IFERROR(__xludf.DUMMYFUNCTION("""COMPUTED_VALUE"""),6850.0)</f>
        <v>6850</v>
      </c>
      <c r="C4943" s="10">
        <f>IFERROR(__xludf.DUMMYFUNCTION("""COMPUTED_VALUE"""),80793.0)</f>
        <v>80793</v>
      </c>
      <c r="D4943" s="5">
        <f>IFERROR(__xludf.DUMMYFUNCTION("""COMPUTED_VALUE"""),0.34897150507823593)</f>
        <v>0.3489715051</v>
      </c>
      <c r="E4943" s="5">
        <f>IFERROR(__xludf.DUMMYFUNCTION("""COMPUTED_VALUE"""),0.11380387595850858)</f>
        <v>0.113803876</v>
      </c>
      <c r="F4943" s="5">
        <f>IFERROR(__xludf.DUMMYFUNCTION("""COMPUTED_VALUE"""),0.20379211013889076)</f>
        <v>0.2037921101</v>
      </c>
      <c r="G4943" s="5">
        <f>IFERROR(__xludf.DUMMYFUNCTION("""COMPUTED_VALUE"""),0.15171145341682107)</f>
        <v>0.1517114534</v>
      </c>
      <c r="H4943" s="5">
        <f>IFERROR(__xludf.DUMMYFUNCTION("""COMPUTED_VALUE"""),0.5963235782069148)</f>
        <v>0.5963235782</v>
      </c>
      <c r="I4943" s="11">
        <f>IFERROR(__xludf.DUMMYFUNCTION("""COMPUTED_VALUE"""),5683.064569646293)</f>
        <v>5683.06457</v>
      </c>
      <c r="J4943" s="10">
        <f>IFERROR(__xludf.DUMMYFUNCTION("""COMPUTED_VALUE"""),13.0)</f>
        <v>13</v>
      </c>
      <c r="K4943" s="5">
        <f>IFERROR(__xludf.DUMMYFUNCTION("""COMPUTED_VALUE"""),0.0018978102189781021)</f>
        <v>0.001897810219</v>
      </c>
      <c r="L4943" s="10">
        <f>IFERROR(__xludf.DUMMYFUNCTION("""COMPUTED_VALUE"""),6849.0)</f>
        <v>6849</v>
      </c>
      <c r="M4943" s="5">
        <f>IFERROR(__xludf.DUMMYFUNCTION("""COMPUTED_VALUE"""),0.9998540145985402)</f>
        <v>0.9998540146</v>
      </c>
    </row>
    <row r="4944">
      <c r="A4944" s="10" t="str">
        <f>IFERROR(__xludf.DUMMYFUNCTION("""COMPUTED_VALUE"""),"るいずぅうあぁあ")</f>
        <v>るいずぅうあぁあ</v>
      </c>
      <c r="B4944" s="10">
        <f>IFERROR(__xludf.DUMMYFUNCTION("""COMPUTED_VALUE"""),620.0)</f>
        <v>620</v>
      </c>
      <c r="C4944" s="10">
        <f>IFERROR(__xludf.DUMMYFUNCTION("""COMPUTED_VALUE"""),7360.0)</f>
        <v>7360</v>
      </c>
      <c r="D4944" s="5">
        <f>IFERROR(__xludf.DUMMYFUNCTION("""COMPUTED_VALUE"""),0.38827893175074185)</f>
        <v>0.3882789318</v>
      </c>
      <c r="E4944" s="5">
        <f>IFERROR(__xludf.DUMMYFUNCTION("""COMPUTED_VALUE"""),0.11379821958456973)</f>
        <v>0.1137982196</v>
      </c>
      <c r="F4944" s="5">
        <f>IFERROR(__xludf.DUMMYFUNCTION("""COMPUTED_VALUE"""),0.2175074183976261)</f>
        <v>0.2175074184</v>
      </c>
      <c r="G4944" s="5">
        <f>IFERROR(__xludf.DUMMYFUNCTION("""COMPUTED_VALUE"""),0.15801186943620177)</f>
        <v>0.1580118694</v>
      </c>
      <c r="H4944" s="5">
        <f>IFERROR(__xludf.DUMMYFUNCTION("""COMPUTED_VALUE"""),0.602319236016371)</f>
        <v>0.602319236</v>
      </c>
      <c r="I4944" s="11">
        <f>IFERROR(__xludf.DUMMYFUNCTION("""COMPUTED_VALUE"""),5128.649386084584)</f>
        <v>5128.649386</v>
      </c>
      <c r="J4944" s="10">
        <f>IFERROR(__xludf.DUMMYFUNCTION("""COMPUTED_VALUE"""),1.0)</f>
        <v>1</v>
      </c>
      <c r="K4944" s="5">
        <f>IFERROR(__xludf.DUMMYFUNCTION("""COMPUTED_VALUE"""),0.0016129032258064516)</f>
        <v>0.001612903226</v>
      </c>
      <c r="L4944" s="10">
        <f>IFERROR(__xludf.DUMMYFUNCTION("""COMPUTED_VALUE"""),101.0)</f>
        <v>101</v>
      </c>
      <c r="M4944" s="5">
        <f>IFERROR(__xludf.DUMMYFUNCTION("""COMPUTED_VALUE"""),0.1629032258064516)</f>
        <v>0.1629032258</v>
      </c>
    </row>
    <row r="4945">
      <c r="A4945" s="10" t="str">
        <f>IFERROR(__xludf.DUMMYFUNCTION("""COMPUTED_VALUE"""),"藍川絆")</f>
        <v>藍川絆</v>
      </c>
      <c r="B4945" s="10">
        <f>IFERROR(__xludf.DUMMYFUNCTION("""COMPUTED_VALUE"""),382.0)</f>
        <v>382</v>
      </c>
      <c r="C4945" s="10">
        <f>IFERROR(__xludf.DUMMYFUNCTION("""COMPUTED_VALUE"""),4460.0)</f>
        <v>4460</v>
      </c>
      <c r="D4945" s="5">
        <f>IFERROR(__xludf.DUMMYFUNCTION("""COMPUTED_VALUE"""),0.36978911230995587)</f>
        <v>0.3697891123</v>
      </c>
      <c r="E4945" s="5">
        <f>IFERROR(__xludf.DUMMYFUNCTION("""COMPUTED_VALUE"""),0.11378126532614026)</f>
        <v>0.1137812653</v>
      </c>
      <c r="F4945" s="5">
        <f>IFERROR(__xludf.DUMMYFUNCTION("""COMPUTED_VALUE"""),0.2013241785188818)</f>
        <v>0.2013241785</v>
      </c>
      <c r="G4945" s="5">
        <f>IFERROR(__xludf.DUMMYFUNCTION("""COMPUTED_VALUE"""),0.1510544384502207)</f>
        <v>0.1510544385</v>
      </c>
      <c r="H4945" s="5">
        <f>IFERROR(__xludf.DUMMYFUNCTION("""COMPUTED_VALUE"""),0.6090133982947625)</f>
        <v>0.6090133983</v>
      </c>
      <c r="I4945" s="11">
        <f>IFERROR(__xludf.DUMMYFUNCTION("""COMPUTED_VALUE"""),5321.315468940316)</f>
        <v>5321.315469</v>
      </c>
      <c r="J4945" s="10">
        <f>IFERROR(__xludf.DUMMYFUNCTION("""COMPUTED_VALUE"""),0.0)</f>
        <v>0</v>
      </c>
      <c r="K4945" s="5">
        <f>IFERROR(__xludf.DUMMYFUNCTION("""COMPUTED_VALUE"""),0.0)</f>
        <v>0</v>
      </c>
      <c r="L4945" s="10">
        <f>IFERROR(__xludf.DUMMYFUNCTION("""COMPUTED_VALUE"""),16.0)</f>
        <v>16</v>
      </c>
      <c r="M4945" s="5">
        <f>IFERROR(__xludf.DUMMYFUNCTION("""COMPUTED_VALUE"""),0.041884816753926704)</f>
        <v>0.04188481675</v>
      </c>
    </row>
    <row r="4946">
      <c r="A4946" s="10" t="str">
        <f>IFERROR(__xludf.DUMMYFUNCTION("""COMPUTED_VALUE"""),"似非ますたー３")</f>
        <v>似非ますたー３</v>
      </c>
      <c r="B4946" s="10">
        <f>IFERROR(__xludf.DUMMYFUNCTION("""COMPUTED_VALUE"""),366.0)</f>
        <v>366</v>
      </c>
      <c r="C4946" s="10">
        <f>IFERROR(__xludf.DUMMYFUNCTION("""COMPUTED_VALUE"""),4286.0)</f>
        <v>4286</v>
      </c>
      <c r="D4946" s="5">
        <f>IFERROR(__xludf.DUMMYFUNCTION("""COMPUTED_VALUE"""),0.3788265306122449)</f>
        <v>0.3788265306</v>
      </c>
      <c r="E4946" s="5">
        <f>IFERROR(__xludf.DUMMYFUNCTION("""COMPUTED_VALUE"""),0.11377551020408164)</f>
        <v>0.1137755102</v>
      </c>
      <c r="F4946" s="5">
        <f>IFERROR(__xludf.DUMMYFUNCTION("""COMPUTED_VALUE"""),0.2038265306122449)</f>
        <v>0.2038265306</v>
      </c>
      <c r="G4946" s="5">
        <f>IFERROR(__xludf.DUMMYFUNCTION("""COMPUTED_VALUE"""),0.1895408163265306)</f>
        <v>0.1895408163</v>
      </c>
      <c r="H4946" s="5">
        <f>IFERROR(__xludf.DUMMYFUNCTION("""COMPUTED_VALUE"""),0.5894868585732165)</f>
        <v>0.5894868586</v>
      </c>
      <c r="I4946" s="11">
        <f>IFERROR(__xludf.DUMMYFUNCTION("""COMPUTED_VALUE"""),5515.14392991239)</f>
        <v>5515.14393</v>
      </c>
      <c r="J4946" s="10">
        <f>IFERROR(__xludf.DUMMYFUNCTION("""COMPUTED_VALUE"""),1.0)</f>
        <v>1</v>
      </c>
      <c r="K4946" s="5">
        <f>IFERROR(__xludf.DUMMYFUNCTION("""COMPUTED_VALUE"""),0.00273224043715847)</f>
        <v>0.002732240437</v>
      </c>
      <c r="L4946" s="10">
        <f>IFERROR(__xludf.DUMMYFUNCTION("""COMPUTED_VALUE"""),366.0)</f>
        <v>366</v>
      </c>
      <c r="M4946" s="5">
        <f>IFERROR(__xludf.DUMMYFUNCTION("""COMPUTED_VALUE"""),1.0)</f>
        <v>1</v>
      </c>
    </row>
    <row r="4947">
      <c r="A4947" s="10" t="str">
        <f>IFERROR(__xludf.DUMMYFUNCTION("""COMPUTED_VALUE"""),"C.C.サバシア")</f>
        <v>C.C.サバシア</v>
      </c>
      <c r="B4947" s="10">
        <f>IFERROR(__xludf.DUMMYFUNCTION("""COMPUTED_VALUE"""),1276.0)</f>
        <v>1276</v>
      </c>
      <c r="C4947" s="10">
        <f>IFERROR(__xludf.DUMMYFUNCTION("""COMPUTED_VALUE"""),15058.0)</f>
        <v>15058</v>
      </c>
      <c r="D4947" s="5">
        <f>IFERROR(__xludf.DUMMYFUNCTION("""COMPUTED_VALUE"""),0.4001596285009433)</f>
        <v>0.4001596285</v>
      </c>
      <c r="E4947" s="5">
        <f>IFERROR(__xludf.DUMMYFUNCTION("""COMPUTED_VALUE"""),0.1137715861268321)</f>
        <v>0.1137715861</v>
      </c>
      <c r="F4947" s="5">
        <f>IFERROR(__xludf.DUMMYFUNCTION("""COMPUTED_VALUE"""),0.21738499492091135)</f>
        <v>0.2173849949</v>
      </c>
      <c r="G4947" s="5">
        <f>IFERROR(__xludf.DUMMYFUNCTION("""COMPUTED_VALUE"""),0.16115222754317227)</f>
        <v>0.1611522275</v>
      </c>
      <c r="H4947" s="5">
        <f>IFERROR(__xludf.DUMMYFUNCTION("""COMPUTED_VALUE"""),0.5984646194926568)</f>
        <v>0.5984646195</v>
      </c>
      <c r="I4947" s="11">
        <f>IFERROR(__xludf.DUMMYFUNCTION("""COMPUTED_VALUE"""),5137.817089452604)</f>
        <v>5137.817089</v>
      </c>
      <c r="J4947" s="10">
        <f>IFERROR(__xludf.DUMMYFUNCTION("""COMPUTED_VALUE"""),1.0)</f>
        <v>1</v>
      </c>
      <c r="K4947" s="5">
        <f>IFERROR(__xludf.DUMMYFUNCTION("""COMPUTED_VALUE"""),7.836990595611285E-4)</f>
        <v>0.0007836990596</v>
      </c>
      <c r="L4947" s="10">
        <f>IFERROR(__xludf.DUMMYFUNCTION("""COMPUTED_VALUE"""),0.0)</f>
        <v>0</v>
      </c>
      <c r="M4947" s="5">
        <f>IFERROR(__xludf.DUMMYFUNCTION("""COMPUTED_VALUE"""),0.0)</f>
        <v>0</v>
      </c>
    </row>
    <row r="4948">
      <c r="A4948" s="10" t="str">
        <f>IFERROR(__xludf.DUMMYFUNCTION("""COMPUTED_VALUE"""),"ヤマツカミ")</f>
        <v>ヤマツカミ</v>
      </c>
      <c r="B4948" s="10">
        <f>IFERROR(__xludf.DUMMYFUNCTION("""COMPUTED_VALUE"""),162.0)</f>
        <v>162</v>
      </c>
      <c r="C4948" s="10">
        <f>IFERROR(__xludf.DUMMYFUNCTION("""COMPUTED_VALUE"""),1920.0)</f>
        <v>1920</v>
      </c>
      <c r="D4948" s="5">
        <f>IFERROR(__xludf.DUMMYFUNCTION("""COMPUTED_VALUE"""),0.27360637087599543)</f>
        <v>0.2736063709</v>
      </c>
      <c r="E4948" s="5">
        <f>IFERROR(__xludf.DUMMYFUNCTION("""COMPUTED_VALUE"""),0.11376564277588168)</f>
        <v>0.1137656428</v>
      </c>
      <c r="F4948" s="5">
        <f>IFERROR(__xludf.DUMMYFUNCTION("""COMPUTED_VALUE"""),0.19965870307167236)</f>
        <v>0.1996587031</v>
      </c>
      <c r="G4948" s="5">
        <f>IFERROR(__xludf.DUMMYFUNCTION("""COMPUTED_VALUE"""),0.15073947667804324)</f>
        <v>0.1507394767</v>
      </c>
      <c r="H4948" s="5">
        <f>IFERROR(__xludf.DUMMYFUNCTION("""COMPUTED_VALUE"""),0.6324786324786325)</f>
        <v>0.6324786325</v>
      </c>
      <c r="I4948" s="11">
        <f>IFERROR(__xludf.DUMMYFUNCTION("""COMPUTED_VALUE"""),5684.615384615385)</f>
        <v>5684.615385</v>
      </c>
      <c r="J4948" s="10">
        <f>IFERROR(__xludf.DUMMYFUNCTION("""COMPUTED_VALUE"""),0.0)</f>
        <v>0</v>
      </c>
      <c r="K4948" s="5">
        <f>IFERROR(__xludf.DUMMYFUNCTION("""COMPUTED_VALUE"""),0.0)</f>
        <v>0</v>
      </c>
      <c r="L4948" s="10">
        <f>IFERROR(__xludf.DUMMYFUNCTION("""COMPUTED_VALUE"""),162.0)</f>
        <v>162</v>
      </c>
      <c r="M4948" s="5">
        <f>IFERROR(__xludf.DUMMYFUNCTION("""COMPUTED_VALUE"""),1.0)</f>
        <v>1</v>
      </c>
    </row>
    <row r="4949">
      <c r="A4949" s="10" t="str">
        <f>IFERROR(__xludf.DUMMYFUNCTION("""COMPUTED_VALUE"""),"harukas")</f>
        <v>harukas</v>
      </c>
      <c r="B4949" s="10">
        <f>IFERROR(__xludf.DUMMYFUNCTION("""COMPUTED_VALUE"""),1040.0)</f>
        <v>1040</v>
      </c>
      <c r="C4949" s="10">
        <f>IFERROR(__xludf.DUMMYFUNCTION("""COMPUTED_VALUE"""),12186.0)</f>
        <v>12186</v>
      </c>
      <c r="D4949" s="5">
        <f>IFERROR(__xludf.DUMMYFUNCTION("""COMPUTED_VALUE"""),0.3106944195226987)</f>
        <v>0.3106944195</v>
      </c>
      <c r="E4949" s="5">
        <f>IFERROR(__xludf.DUMMYFUNCTION("""COMPUTED_VALUE"""),0.11376278485555356)</f>
        <v>0.1137627849</v>
      </c>
      <c r="F4949" s="5">
        <f>IFERROR(__xludf.DUMMYFUNCTION("""COMPUTED_VALUE"""),0.2153238830073569)</f>
        <v>0.215323883</v>
      </c>
      <c r="G4949" s="5">
        <f>IFERROR(__xludf.DUMMYFUNCTION("""COMPUTED_VALUE"""),0.1608648842634129)</f>
        <v>0.1608648843</v>
      </c>
      <c r="H4949" s="5">
        <f>IFERROR(__xludf.DUMMYFUNCTION("""COMPUTED_VALUE"""),0.6116666666666667)</f>
        <v>0.6116666667</v>
      </c>
      <c r="I4949" s="11">
        <f>IFERROR(__xludf.DUMMYFUNCTION("""COMPUTED_VALUE"""),5619.666666666667)</f>
        <v>5619.666667</v>
      </c>
      <c r="J4949" s="10">
        <f>IFERROR(__xludf.DUMMYFUNCTION("""COMPUTED_VALUE"""),3.0)</f>
        <v>3</v>
      </c>
      <c r="K4949" s="5">
        <f>IFERROR(__xludf.DUMMYFUNCTION("""COMPUTED_VALUE"""),0.0028846153846153848)</f>
        <v>0.002884615385</v>
      </c>
      <c r="L4949" s="10">
        <f>IFERROR(__xludf.DUMMYFUNCTION("""COMPUTED_VALUE"""),1040.0)</f>
        <v>1040</v>
      </c>
      <c r="M4949" s="5">
        <f>IFERROR(__xludf.DUMMYFUNCTION("""COMPUTED_VALUE"""),1.0)</f>
        <v>1</v>
      </c>
    </row>
    <row r="4950">
      <c r="A4950" s="10" t="str">
        <f>IFERROR(__xludf.DUMMYFUNCTION("""COMPUTED_VALUE"""),"（＾Д＾）")</f>
        <v>（＾Д＾）</v>
      </c>
      <c r="B4950" s="10">
        <f>IFERROR(__xludf.DUMMYFUNCTION("""COMPUTED_VALUE"""),2500.0)</f>
        <v>2500</v>
      </c>
      <c r="C4950" s="10">
        <f>IFERROR(__xludf.DUMMYFUNCTION("""COMPUTED_VALUE"""),29668.0)</f>
        <v>29668</v>
      </c>
      <c r="D4950" s="5">
        <f>IFERROR(__xludf.DUMMYFUNCTION("""COMPUTED_VALUE"""),0.37378533568904593)</f>
        <v>0.3737853357</v>
      </c>
      <c r="E4950" s="5">
        <f>IFERROR(__xludf.DUMMYFUNCTION("""COMPUTED_VALUE"""),0.11373674911660778)</f>
        <v>0.1137367491</v>
      </c>
      <c r="F4950" s="5">
        <f>IFERROR(__xludf.DUMMYFUNCTION("""COMPUTED_VALUE"""),0.20719228504122497)</f>
        <v>0.207192285</v>
      </c>
      <c r="G4950" s="5">
        <f>IFERROR(__xludf.DUMMYFUNCTION("""COMPUTED_VALUE"""),0.1653783863368669)</f>
        <v>0.1653783863</v>
      </c>
      <c r="H4950" s="5">
        <f>IFERROR(__xludf.DUMMYFUNCTION("""COMPUTED_VALUE"""),0.5894475039971576)</f>
        <v>0.589447504</v>
      </c>
      <c r="I4950" s="11">
        <f>IFERROR(__xludf.DUMMYFUNCTION("""COMPUTED_VALUE"""),5566.725883815953)</f>
        <v>5566.725884</v>
      </c>
      <c r="J4950" s="10">
        <f>IFERROR(__xludf.DUMMYFUNCTION("""COMPUTED_VALUE"""),2.0)</f>
        <v>2</v>
      </c>
      <c r="K4950" s="5">
        <f>IFERROR(__xludf.DUMMYFUNCTION("""COMPUTED_VALUE"""),8.0E-4)</f>
        <v>0.0008</v>
      </c>
      <c r="L4950" s="10">
        <f>IFERROR(__xludf.DUMMYFUNCTION("""COMPUTED_VALUE"""),2500.0)</f>
        <v>2500</v>
      </c>
      <c r="M4950" s="5">
        <f>IFERROR(__xludf.DUMMYFUNCTION("""COMPUTED_VALUE"""),1.0)</f>
        <v>1</v>
      </c>
    </row>
    <row r="4951">
      <c r="A4951" s="10" t="str">
        <f>IFERROR(__xludf.DUMMYFUNCTION("""COMPUTED_VALUE"""),"Detch'")</f>
        <v>Detch'</v>
      </c>
      <c r="B4951" s="10">
        <f>IFERROR(__xludf.DUMMYFUNCTION("""COMPUTED_VALUE"""),457.0)</f>
        <v>457</v>
      </c>
      <c r="C4951" s="10">
        <f>IFERROR(__xludf.DUMMYFUNCTION("""COMPUTED_VALUE"""),5495.0)</f>
        <v>5495</v>
      </c>
      <c r="D4951" s="5">
        <f>IFERROR(__xludf.DUMMYFUNCTION("""COMPUTED_VALUE"""),0.3503374354902739)</f>
        <v>0.3503374355</v>
      </c>
      <c r="E4951" s="5">
        <f>IFERROR(__xludf.DUMMYFUNCTION("""COMPUTED_VALUE"""),0.11373560936879715)</f>
        <v>0.1137356094</v>
      </c>
      <c r="F4951" s="5">
        <f>IFERROR(__xludf.DUMMYFUNCTION("""COMPUTED_VALUE"""),0.19908693926161175)</f>
        <v>0.1990869393</v>
      </c>
      <c r="G4951" s="5">
        <f>IFERROR(__xludf.DUMMYFUNCTION("""COMPUTED_VALUE"""),0.15700674870980547)</f>
        <v>0.1570067487</v>
      </c>
      <c r="H4951" s="5">
        <f>IFERROR(__xludf.DUMMYFUNCTION("""COMPUTED_VALUE"""),0.5792622133599202)</f>
        <v>0.5792622134</v>
      </c>
      <c r="I4951" s="11">
        <f>IFERROR(__xludf.DUMMYFUNCTION("""COMPUTED_VALUE"""),5407.27816550349)</f>
        <v>5407.278166</v>
      </c>
      <c r="J4951" s="10">
        <f>IFERROR(__xludf.DUMMYFUNCTION("""COMPUTED_VALUE"""),0.0)</f>
        <v>0</v>
      </c>
      <c r="K4951" s="5">
        <f>IFERROR(__xludf.DUMMYFUNCTION("""COMPUTED_VALUE"""),0.0)</f>
        <v>0</v>
      </c>
      <c r="L4951" s="10">
        <f>IFERROR(__xludf.DUMMYFUNCTION("""COMPUTED_VALUE"""),457.0)</f>
        <v>457</v>
      </c>
      <c r="M4951" s="5">
        <f>IFERROR(__xludf.DUMMYFUNCTION("""COMPUTED_VALUE"""),1.0)</f>
        <v>1</v>
      </c>
    </row>
    <row r="4952">
      <c r="A4952" s="10" t="str">
        <f>IFERROR(__xludf.DUMMYFUNCTION("""COMPUTED_VALUE"""),"時崎狂三")</f>
        <v>時崎狂三</v>
      </c>
      <c r="B4952" s="10">
        <f>IFERROR(__xludf.DUMMYFUNCTION("""COMPUTED_VALUE"""),512.0)</f>
        <v>512</v>
      </c>
      <c r="C4952" s="10">
        <f>IFERROR(__xludf.DUMMYFUNCTION("""COMPUTED_VALUE"""),6018.0)</f>
        <v>6018</v>
      </c>
      <c r="D4952" s="5">
        <f>IFERROR(__xludf.DUMMYFUNCTION("""COMPUTED_VALUE"""),0.3067562658917545)</f>
        <v>0.3067562659</v>
      </c>
      <c r="E4952" s="5">
        <f>IFERROR(__xludf.DUMMYFUNCTION("""COMPUTED_VALUE"""),0.11369415183436252)</f>
        <v>0.1136941518</v>
      </c>
      <c r="F4952" s="5">
        <f>IFERROR(__xludf.DUMMYFUNCTION("""COMPUTED_VALUE"""),0.20214311660007264)</f>
        <v>0.2021431166</v>
      </c>
      <c r="G4952" s="5">
        <f>IFERROR(__xludf.DUMMYFUNCTION("""COMPUTED_VALUE"""),0.18416273156556484)</f>
        <v>0.1841627316</v>
      </c>
      <c r="H4952" s="5">
        <f>IFERROR(__xludf.DUMMYFUNCTION("""COMPUTED_VALUE"""),0.5831087151841868)</f>
        <v>0.5831087152</v>
      </c>
      <c r="I4952" s="11">
        <f>IFERROR(__xludf.DUMMYFUNCTION("""COMPUTED_VALUE"""),5651.212938005391)</f>
        <v>5651.212938</v>
      </c>
      <c r="J4952" s="10">
        <f>IFERROR(__xludf.DUMMYFUNCTION("""COMPUTED_VALUE"""),0.0)</f>
        <v>0</v>
      </c>
      <c r="K4952" s="5">
        <f>IFERROR(__xludf.DUMMYFUNCTION("""COMPUTED_VALUE"""),0.0)</f>
        <v>0</v>
      </c>
      <c r="L4952" s="10">
        <f>IFERROR(__xludf.DUMMYFUNCTION("""COMPUTED_VALUE"""),0.0)</f>
        <v>0</v>
      </c>
      <c r="M4952" s="5">
        <f>IFERROR(__xludf.DUMMYFUNCTION("""COMPUTED_VALUE"""),0.0)</f>
        <v>0</v>
      </c>
    </row>
    <row r="4953">
      <c r="A4953" s="10" t="str">
        <f>IFERROR(__xludf.DUMMYFUNCTION("""COMPUTED_VALUE"""),"00sai")</f>
        <v>00sai</v>
      </c>
      <c r="B4953" s="10">
        <f>IFERROR(__xludf.DUMMYFUNCTION("""COMPUTED_VALUE"""),5918.0)</f>
        <v>5918</v>
      </c>
      <c r="C4953" s="10">
        <f>IFERROR(__xludf.DUMMYFUNCTION("""COMPUTED_VALUE"""),69938.0)</f>
        <v>69938</v>
      </c>
      <c r="D4953" s="5">
        <f>IFERROR(__xludf.DUMMYFUNCTION("""COMPUTED_VALUE"""),0.39128397375820057)</f>
        <v>0.3912839738</v>
      </c>
      <c r="E4953" s="5">
        <f>IFERROR(__xludf.DUMMYFUNCTION("""COMPUTED_VALUE"""),0.11368322399250234)</f>
        <v>0.113683224</v>
      </c>
      <c r="F4953" s="5">
        <f>IFERROR(__xludf.DUMMYFUNCTION("""COMPUTED_VALUE"""),0.21293345829428303)</f>
        <v>0.2129334583</v>
      </c>
      <c r="G4953" s="5">
        <f>IFERROR(__xludf.DUMMYFUNCTION("""COMPUTED_VALUE"""),0.15606060606060607)</f>
        <v>0.1560606061</v>
      </c>
      <c r="H4953" s="5">
        <f>IFERROR(__xludf.DUMMYFUNCTION("""COMPUTED_VALUE"""),0.599618544600939)</f>
        <v>0.5996185446</v>
      </c>
      <c r="I4953" s="11">
        <f>IFERROR(__xludf.DUMMYFUNCTION("""COMPUTED_VALUE"""),5413.453638497653)</f>
        <v>5413.453638</v>
      </c>
      <c r="J4953" s="10">
        <f>IFERROR(__xludf.DUMMYFUNCTION("""COMPUTED_VALUE"""),15.0)</f>
        <v>15</v>
      </c>
      <c r="K4953" s="5">
        <f>IFERROR(__xludf.DUMMYFUNCTION("""COMPUTED_VALUE"""),0.0025346400811084827)</f>
        <v>0.002534640081</v>
      </c>
      <c r="L4953" s="10">
        <f>IFERROR(__xludf.DUMMYFUNCTION("""COMPUTED_VALUE"""),5323.0)</f>
        <v>5323</v>
      </c>
      <c r="M4953" s="5">
        <f>IFERROR(__xludf.DUMMYFUNCTION("""COMPUTED_VALUE"""),0.8994592767826969)</f>
        <v>0.8994592768</v>
      </c>
    </row>
    <row r="4954">
      <c r="A4954" s="10" t="str">
        <f>IFERROR(__xludf.DUMMYFUNCTION("""COMPUTED_VALUE"""),"†まー坊†")</f>
        <v>†まー坊†</v>
      </c>
      <c r="B4954" s="10">
        <f>IFERROR(__xludf.DUMMYFUNCTION("""COMPUTED_VALUE"""),4716.0)</f>
        <v>4716</v>
      </c>
      <c r="C4954" s="10">
        <f>IFERROR(__xludf.DUMMYFUNCTION("""COMPUTED_VALUE"""),55563.0)</f>
        <v>55563</v>
      </c>
      <c r="D4954" s="5">
        <f>IFERROR(__xludf.DUMMYFUNCTION("""COMPUTED_VALUE"""),0.33000963675339745)</f>
        <v>0.3300096368</v>
      </c>
      <c r="E4954" s="5">
        <f>IFERROR(__xludf.DUMMYFUNCTION("""COMPUTED_VALUE"""),0.11367435640254096)</f>
        <v>0.1136743564</v>
      </c>
      <c r="F4954" s="5">
        <f>IFERROR(__xludf.DUMMYFUNCTION("""COMPUTED_VALUE"""),0.208193207072197)</f>
        <v>0.2081932071</v>
      </c>
      <c r="G4954" s="5">
        <f>IFERROR(__xludf.DUMMYFUNCTION("""COMPUTED_VALUE"""),0.18787735756288473)</f>
        <v>0.1878773576</v>
      </c>
      <c r="H4954" s="5">
        <f>IFERROR(__xludf.DUMMYFUNCTION("""COMPUTED_VALUE"""),0.5838843755904024)</f>
        <v>0.5838843756</v>
      </c>
      <c r="I4954" s="11">
        <f>IFERROR(__xludf.DUMMYFUNCTION("""COMPUTED_VALUE"""),5839.98677498583)</f>
        <v>5839.986775</v>
      </c>
      <c r="J4954" s="10">
        <f>IFERROR(__xludf.DUMMYFUNCTION("""COMPUTED_VALUE"""),6.0)</f>
        <v>6</v>
      </c>
      <c r="K4954" s="5">
        <f>IFERROR(__xludf.DUMMYFUNCTION("""COMPUTED_VALUE"""),0.001272264631043257)</f>
        <v>0.001272264631</v>
      </c>
      <c r="L4954" s="10">
        <f>IFERROR(__xludf.DUMMYFUNCTION("""COMPUTED_VALUE"""),4522.0)</f>
        <v>4522</v>
      </c>
      <c r="M4954" s="5">
        <f>IFERROR(__xludf.DUMMYFUNCTION("""COMPUTED_VALUE"""),0.9588634435962681)</f>
        <v>0.9588634436</v>
      </c>
    </row>
    <row r="4955">
      <c r="A4955" s="10" t="str">
        <f>IFERROR(__xludf.DUMMYFUNCTION("""COMPUTED_VALUE"""),"みずよしの作り方")</f>
        <v>みずよしの作り方</v>
      </c>
      <c r="B4955" s="10">
        <f>IFERROR(__xludf.DUMMYFUNCTION("""COMPUTED_VALUE"""),112.0)</f>
        <v>112</v>
      </c>
      <c r="C4955" s="10">
        <f>IFERROR(__xludf.DUMMYFUNCTION("""COMPUTED_VALUE"""),1335.0)</f>
        <v>1335</v>
      </c>
      <c r="D4955" s="5">
        <f>IFERROR(__xludf.DUMMYFUNCTION("""COMPUTED_VALUE"""),0.3883892068683565)</f>
        <v>0.3883892069</v>
      </c>
      <c r="E4955" s="5">
        <f>IFERROR(__xludf.DUMMYFUNCTION("""COMPUTED_VALUE"""),0.11365494685200327)</f>
        <v>0.1136549469</v>
      </c>
      <c r="F4955" s="5">
        <f>IFERROR(__xludf.DUMMYFUNCTION("""COMPUTED_VALUE"""),0.18233851185609157)</f>
        <v>0.1823385119</v>
      </c>
      <c r="G4955" s="5">
        <f>IFERROR(__xludf.DUMMYFUNCTION("""COMPUTED_VALUE"""),0.12837285363859363)</f>
        <v>0.1283728536</v>
      </c>
      <c r="H4955" s="5">
        <f>IFERROR(__xludf.DUMMYFUNCTION("""COMPUTED_VALUE"""),0.6502242152466368)</f>
        <v>0.6502242152</v>
      </c>
      <c r="I4955" s="11">
        <f>IFERROR(__xludf.DUMMYFUNCTION("""COMPUTED_VALUE"""),5108.071748878924)</f>
        <v>5108.071749</v>
      </c>
      <c r="J4955" s="10">
        <f>IFERROR(__xludf.DUMMYFUNCTION("""COMPUTED_VALUE"""),0.0)</f>
        <v>0</v>
      </c>
      <c r="K4955" s="5">
        <f>IFERROR(__xludf.DUMMYFUNCTION("""COMPUTED_VALUE"""),0.0)</f>
        <v>0</v>
      </c>
      <c r="L4955" s="10">
        <f>IFERROR(__xludf.DUMMYFUNCTION("""COMPUTED_VALUE"""),112.0)</f>
        <v>112</v>
      </c>
      <c r="M4955" s="5">
        <f>IFERROR(__xludf.DUMMYFUNCTION("""COMPUTED_VALUE"""),1.0)</f>
        <v>1</v>
      </c>
    </row>
    <row r="4956">
      <c r="A4956" s="10" t="str">
        <f>IFERROR(__xludf.DUMMYFUNCTION("""COMPUTED_VALUE"""),"凜田莉子")</f>
        <v>凜田莉子</v>
      </c>
      <c r="B4956" s="10">
        <f>IFERROR(__xludf.DUMMYFUNCTION("""COMPUTED_VALUE"""),1586.0)</f>
        <v>1586</v>
      </c>
      <c r="C4956" s="10">
        <f>IFERROR(__xludf.DUMMYFUNCTION("""COMPUTED_VALUE"""),18409.0)</f>
        <v>18409</v>
      </c>
      <c r="D4956" s="5">
        <f>IFERROR(__xludf.DUMMYFUNCTION("""COMPUTED_VALUE"""),0.3554657314391012)</f>
        <v>0.3554657314</v>
      </c>
      <c r="E4956" s="5">
        <f>IFERROR(__xludf.DUMMYFUNCTION("""COMPUTED_VALUE"""),0.11365392617250193)</f>
        <v>0.1136539262</v>
      </c>
      <c r="F4956" s="5">
        <f>IFERROR(__xludf.DUMMYFUNCTION("""COMPUTED_VALUE"""),0.21423051774356536)</f>
        <v>0.2142305177</v>
      </c>
      <c r="G4956" s="5">
        <f>IFERROR(__xludf.DUMMYFUNCTION("""COMPUTED_VALUE"""),0.17594959281935446)</f>
        <v>0.1759495928</v>
      </c>
      <c r="H4956" s="5">
        <f>IFERROR(__xludf.DUMMYFUNCTION("""COMPUTED_VALUE"""),0.5910099889012209)</f>
        <v>0.5910099889</v>
      </c>
      <c r="I4956" s="11">
        <f>IFERROR(__xludf.DUMMYFUNCTION("""COMPUTED_VALUE"""),5416.093229744728)</f>
        <v>5416.09323</v>
      </c>
      <c r="J4956" s="10">
        <f>IFERROR(__xludf.DUMMYFUNCTION("""COMPUTED_VALUE"""),2.0)</f>
        <v>2</v>
      </c>
      <c r="K4956" s="5">
        <f>IFERROR(__xludf.DUMMYFUNCTION("""COMPUTED_VALUE"""),0.0012610340479192938)</f>
        <v>0.001261034048</v>
      </c>
      <c r="L4956" s="10">
        <f>IFERROR(__xludf.DUMMYFUNCTION("""COMPUTED_VALUE"""),1452.0)</f>
        <v>1452</v>
      </c>
      <c r="M4956" s="5">
        <f>IFERROR(__xludf.DUMMYFUNCTION("""COMPUTED_VALUE"""),0.9155107187894073)</f>
        <v>0.9155107188</v>
      </c>
    </row>
    <row r="4957">
      <c r="A4957" s="10" t="str">
        <f>IFERROR(__xludf.DUMMYFUNCTION("""COMPUTED_VALUE"""),"カニマヨ")</f>
        <v>カニマヨ</v>
      </c>
      <c r="B4957" s="10">
        <f>IFERROR(__xludf.DUMMYFUNCTION("""COMPUTED_VALUE"""),1325.0)</f>
        <v>1325</v>
      </c>
      <c r="C4957" s="10">
        <f>IFERROR(__xludf.DUMMYFUNCTION("""COMPUTED_VALUE"""),15639.0)</f>
        <v>15639</v>
      </c>
      <c r="D4957" s="5">
        <f>IFERROR(__xludf.DUMMYFUNCTION("""COMPUTED_VALUE"""),0.31339946905127847)</f>
        <v>0.3133994691</v>
      </c>
      <c r="E4957" s="5">
        <f>IFERROR(__xludf.DUMMYFUNCTION("""COMPUTED_VALUE"""),0.11359508173815845)</f>
        <v>0.1135950817</v>
      </c>
      <c r="F4957" s="5">
        <f>IFERROR(__xludf.DUMMYFUNCTION("""COMPUTED_VALUE"""),0.19889618555260585)</f>
        <v>0.1988961856</v>
      </c>
      <c r="G4957" s="5">
        <f>IFERROR(__xludf.DUMMYFUNCTION("""COMPUTED_VALUE"""),0.1363699874248987)</f>
        <v>0.1363699874</v>
      </c>
      <c r="H4957" s="5">
        <f>IFERROR(__xludf.DUMMYFUNCTION("""COMPUTED_VALUE"""),0.5995785036880927)</f>
        <v>0.5995785037</v>
      </c>
      <c r="I4957" s="11">
        <f>IFERROR(__xludf.DUMMYFUNCTION("""COMPUTED_VALUE"""),5467.053038285915)</f>
        <v>5467.053038</v>
      </c>
      <c r="J4957" s="10">
        <f>IFERROR(__xludf.DUMMYFUNCTION("""COMPUTED_VALUE"""),2.0)</f>
        <v>2</v>
      </c>
      <c r="K4957" s="5">
        <f>IFERROR(__xludf.DUMMYFUNCTION("""COMPUTED_VALUE"""),0.0015094339622641509)</f>
        <v>0.001509433962</v>
      </c>
      <c r="L4957" s="10">
        <f>IFERROR(__xludf.DUMMYFUNCTION("""COMPUTED_VALUE"""),1325.0)</f>
        <v>1325</v>
      </c>
      <c r="M4957" s="5">
        <f>IFERROR(__xludf.DUMMYFUNCTION("""COMPUTED_VALUE"""),1.0)</f>
        <v>1</v>
      </c>
    </row>
    <row r="4958">
      <c r="A4958" s="10" t="str">
        <f>IFERROR(__xludf.DUMMYFUNCTION("""COMPUTED_VALUE"""),"Yug")</f>
        <v>Yug</v>
      </c>
      <c r="B4958" s="10">
        <f>IFERROR(__xludf.DUMMYFUNCTION("""COMPUTED_VALUE"""),134.0)</f>
        <v>134</v>
      </c>
      <c r="C4958" s="10">
        <f>IFERROR(__xludf.DUMMYFUNCTION("""COMPUTED_VALUE"""),1613.0)</f>
        <v>1613</v>
      </c>
      <c r="D4958" s="5">
        <f>IFERROR(__xludf.DUMMYFUNCTION("""COMPUTED_VALUE"""),0.36578769438810005)</f>
        <v>0.3657876944</v>
      </c>
      <c r="E4958" s="5">
        <f>IFERROR(__xludf.DUMMYFUNCTION("""COMPUTED_VALUE"""),0.11359026369168357)</f>
        <v>0.1135902637</v>
      </c>
      <c r="F4958" s="5">
        <f>IFERROR(__xludf.DUMMYFUNCTION("""COMPUTED_VALUE"""),0.20757268424611225)</f>
        <v>0.2075726842</v>
      </c>
      <c r="G4958" s="5">
        <f>IFERROR(__xludf.DUMMYFUNCTION("""COMPUTED_VALUE"""),0.15077755240027046)</f>
        <v>0.1507775524</v>
      </c>
      <c r="H4958" s="5">
        <f>IFERROR(__xludf.DUMMYFUNCTION("""COMPUTED_VALUE"""),0.5765472312703583)</f>
        <v>0.5765472313</v>
      </c>
      <c r="I4958" s="11">
        <f>IFERROR(__xludf.DUMMYFUNCTION("""COMPUTED_VALUE"""),5554.397394136808)</f>
        <v>5554.397394</v>
      </c>
      <c r="J4958" s="10">
        <f>IFERROR(__xludf.DUMMYFUNCTION("""COMPUTED_VALUE"""),0.0)</f>
        <v>0</v>
      </c>
      <c r="K4958" s="5">
        <f>IFERROR(__xludf.DUMMYFUNCTION("""COMPUTED_VALUE"""),0.0)</f>
        <v>0</v>
      </c>
      <c r="L4958" s="10">
        <f>IFERROR(__xludf.DUMMYFUNCTION("""COMPUTED_VALUE"""),134.0)</f>
        <v>134</v>
      </c>
      <c r="M4958" s="5">
        <f>IFERROR(__xludf.DUMMYFUNCTION("""COMPUTED_VALUE"""),1.0)</f>
        <v>1</v>
      </c>
    </row>
    <row r="4959">
      <c r="A4959" s="10" t="str">
        <f>IFERROR(__xludf.DUMMYFUNCTION("""COMPUTED_VALUE"""),"わるぶっくくん")</f>
        <v>わるぶっくくん</v>
      </c>
      <c r="B4959" s="10">
        <f>IFERROR(__xludf.DUMMYFUNCTION("""COMPUTED_VALUE"""),142.0)</f>
        <v>142</v>
      </c>
      <c r="C4959" s="10">
        <f>IFERROR(__xludf.DUMMYFUNCTION("""COMPUTED_VALUE"""),1718.0)</f>
        <v>1718</v>
      </c>
      <c r="D4959" s="5">
        <f>IFERROR(__xludf.DUMMYFUNCTION("""COMPUTED_VALUE"""),0.38451776649746194)</f>
        <v>0.3845177665</v>
      </c>
      <c r="E4959" s="5">
        <f>IFERROR(__xludf.DUMMYFUNCTION("""COMPUTED_VALUE"""),0.11357868020304568)</f>
        <v>0.1135786802</v>
      </c>
      <c r="F4959" s="5">
        <f>IFERROR(__xludf.DUMMYFUNCTION("""COMPUTED_VALUE"""),0.20621827411167512)</f>
        <v>0.2062182741</v>
      </c>
      <c r="G4959" s="5">
        <f>IFERROR(__xludf.DUMMYFUNCTION("""COMPUTED_VALUE"""),0.1516497461928934)</f>
        <v>0.1516497462</v>
      </c>
      <c r="H4959" s="5">
        <f>IFERROR(__xludf.DUMMYFUNCTION("""COMPUTED_VALUE"""),0.5692307692307692)</f>
        <v>0.5692307692</v>
      </c>
      <c r="I4959" s="11">
        <f>IFERROR(__xludf.DUMMYFUNCTION("""COMPUTED_VALUE"""),5326.7692307692305)</f>
        <v>5326.769231</v>
      </c>
      <c r="J4959" s="10">
        <f>IFERROR(__xludf.DUMMYFUNCTION("""COMPUTED_VALUE"""),0.0)</f>
        <v>0</v>
      </c>
      <c r="K4959" s="5">
        <f>IFERROR(__xludf.DUMMYFUNCTION("""COMPUTED_VALUE"""),0.0)</f>
        <v>0</v>
      </c>
      <c r="L4959" s="10">
        <f>IFERROR(__xludf.DUMMYFUNCTION("""COMPUTED_VALUE"""),142.0)</f>
        <v>142</v>
      </c>
      <c r="M4959" s="5">
        <f>IFERROR(__xludf.DUMMYFUNCTION("""COMPUTED_VALUE"""),1.0)</f>
        <v>1</v>
      </c>
    </row>
    <row r="4960">
      <c r="A4960" s="10" t="str">
        <f>IFERROR(__xludf.DUMMYFUNCTION("""COMPUTED_VALUE"""),"追憶のヴィヴィ")</f>
        <v>追憶のヴィヴィ</v>
      </c>
      <c r="B4960" s="10">
        <f>IFERROR(__xludf.DUMMYFUNCTION("""COMPUTED_VALUE"""),1013.0)</f>
        <v>1013</v>
      </c>
      <c r="C4960" s="10">
        <f>IFERROR(__xludf.DUMMYFUNCTION("""COMPUTED_VALUE"""),12019.0)</f>
        <v>12019</v>
      </c>
      <c r="D4960" s="5">
        <f>IFERROR(__xludf.DUMMYFUNCTION("""COMPUTED_VALUE"""),0.2975649645647828)</f>
        <v>0.2975649646</v>
      </c>
      <c r="E4960" s="5">
        <f>IFERROR(__xludf.DUMMYFUNCTION("""COMPUTED_VALUE"""),0.11357441395602398)</f>
        <v>0.113574414</v>
      </c>
      <c r="F4960" s="5">
        <f>IFERROR(__xludf.DUMMYFUNCTION("""COMPUTED_VALUE"""),0.20043612574959113)</f>
        <v>0.2004361257</v>
      </c>
      <c r="G4960" s="5">
        <f>IFERROR(__xludf.DUMMYFUNCTION("""COMPUTED_VALUE"""),0.17354170452480466)</f>
        <v>0.1735417045</v>
      </c>
      <c r="H4960" s="5">
        <f>IFERROR(__xludf.DUMMYFUNCTION("""COMPUTED_VALUE"""),0.5847688123300091)</f>
        <v>0.5847688123</v>
      </c>
      <c r="I4960" s="11">
        <f>IFERROR(__xludf.DUMMYFUNCTION("""COMPUTED_VALUE"""),5804.8504079782415)</f>
        <v>5804.850408</v>
      </c>
      <c r="J4960" s="10">
        <f>IFERROR(__xludf.DUMMYFUNCTION("""COMPUTED_VALUE"""),2.0)</f>
        <v>2</v>
      </c>
      <c r="K4960" s="5">
        <f>IFERROR(__xludf.DUMMYFUNCTION("""COMPUTED_VALUE"""),0.0019743336623889436)</f>
        <v>0.001974333662</v>
      </c>
      <c r="L4960" s="10">
        <f>IFERROR(__xludf.DUMMYFUNCTION("""COMPUTED_VALUE"""),570.0)</f>
        <v>570</v>
      </c>
      <c r="M4960" s="5">
        <f>IFERROR(__xludf.DUMMYFUNCTION("""COMPUTED_VALUE"""),0.562685093780849)</f>
        <v>0.5626850938</v>
      </c>
    </row>
    <row r="4961">
      <c r="A4961" s="10" t="str">
        <f>IFERROR(__xludf.DUMMYFUNCTION("""COMPUTED_VALUE"""),"elmo♪")</f>
        <v>elmo♪</v>
      </c>
      <c r="B4961" s="10">
        <f>IFERROR(__xludf.DUMMYFUNCTION("""COMPUTED_VALUE"""),206.0)</f>
        <v>206</v>
      </c>
      <c r="C4961" s="10">
        <f>IFERROR(__xludf.DUMMYFUNCTION("""COMPUTED_VALUE"""),2443.0)</f>
        <v>2443</v>
      </c>
      <c r="D4961" s="5">
        <f>IFERROR(__xludf.DUMMYFUNCTION("""COMPUTED_VALUE"""),0.3366115333035315)</f>
        <v>0.3366115333</v>
      </c>
      <c r="E4961" s="5">
        <f>IFERROR(__xludf.DUMMYFUNCTION("""COMPUTED_VALUE"""),0.11354492624050067)</f>
        <v>0.1135449262</v>
      </c>
      <c r="F4961" s="5">
        <f>IFERROR(__xludf.DUMMYFUNCTION("""COMPUTED_VALUE"""),0.19445686186857397)</f>
        <v>0.1944568619</v>
      </c>
      <c r="G4961" s="5">
        <f>IFERROR(__xludf.DUMMYFUNCTION("""COMPUTED_VALUE"""),0.14751899865891818)</f>
        <v>0.1475189987</v>
      </c>
      <c r="H4961" s="5">
        <f>IFERROR(__xludf.DUMMYFUNCTION("""COMPUTED_VALUE"""),0.6045977011494252)</f>
        <v>0.6045977011</v>
      </c>
      <c r="I4961" s="11">
        <f>IFERROR(__xludf.DUMMYFUNCTION("""COMPUTED_VALUE"""),5701.149425287356)</f>
        <v>5701.149425</v>
      </c>
      <c r="J4961" s="10">
        <f>IFERROR(__xludf.DUMMYFUNCTION("""COMPUTED_VALUE"""),0.0)</f>
        <v>0</v>
      </c>
      <c r="K4961" s="5">
        <f>IFERROR(__xludf.DUMMYFUNCTION("""COMPUTED_VALUE"""),0.0)</f>
        <v>0</v>
      </c>
      <c r="L4961" s="10">
        <f>IFERROR(__xludf.DUMMYFUNCTION("""COMPUTED_VALUE"""),206.0)</f>
        <v>206</v>
      </c>
      <c r="M4961" s="5">
        <f>IFERROR(__xludf.DUMMYFUNCTION("""COMPUTED_VALUE"""),1.0)</f>
        <v>1</v>
      </c>
    </row>
    <row r="4962">
      <c r="A4962" s="10" t="str">
        <f>IFERROR(__xludf.DUMMYFUNCTION("""COMPUTED_VALUE"""),"似非益田あ")</f>
        <v>似非益田あ</v>
      </c>
      <c r="B4962" s="10">
        <f>IFERROR(__xludf.DUMMYFUNCTION("""COMPUTED_VALUE"""),154.0)</f>
        <v>154</v>
      </c>
      <c r="C4962" s="10">
        <f>IFERROR(__xludf.DUMMYFUNCTION("""COMPUTED_VALUE"""),1801.0)</f>
        <v>1801</v>
      </c>
      <c r="D4962" s="5">
        <f>IFERROR(__xludf.DUMMYFUNCTION("""COMPUTED_VALUE"""),0.41105039465695203)</f>
        <v>0.4110503947</v>
      </c>
      <c r="E4962" s="5">
        <f>IFERROR(__xludf.DUMMYFUNCTION("""COMPUTED_VALUE"""),0.1135397692774742)</f>
        <v>0.1135397693</v>
      </c>
      <c r="F4962" s="5">
        <f>IFERROR(__xludf.DUMMYFUNCTION("""COMPUTED_VALUE"""),0.19429265330904674)</f>
        <v>0.1942926533</v>
      </c>
      <c r="G4962" s="5">
        <f>IFERROR(__xludf.DUMMYFUNCTION("""COMPUTED_VALUE"""),0.14268366727383122)</f>
        <v>0.1426836673</v>
      </c>
      <c r="H4962" s="5">
        <f>IFERROR(__xludf.DUMMYFUNCTION("""COMPUTED_VALUE"""),0.615625)</f>
        <v>0.615625</v>
      </c>
      <c r="I4962" s="11">
        <f>IFERROR(__xludf.DUMMYFUNCTION("""COMPUTED_VALUE"""),5195.0)</f>
        <v>5195</v>
      </c>
      <c r="J4962" s="10">
        <f>IFERROR(__xludf.DUMMYFUNCTION("""COMPUTED_VALUE"""),0.0)</f>
        <v>0</v>
      </c>
      <c r="K4962" s="5">
        <f>IFERROR(__xludf.DUMMYFUNCTION("""COMPUTED_VALUE"""),0.0)</f>
        <v>0</v>
      </c>
      <c r="L4962" s="10">
        <f>IFERROR(__xludf.DUMMYFUNCTION("""COMPUTED_VALUE"""),154.0)</f>
        <v>154</v>
      </c>
      <c r="M4962" s="5">
        <f>IFERROR(__xludf.DUMMYFUNCTION("""COMPUTED_VALUE"""),1.0)</f>
        <v>1</v>
      </c>
    </row>
    <row r="4963">
      <c r="A4963" s="10" t="str">
        <f>IFERROR(__xludf.DUMMYFUNCTION("""COMPUTED_VALUE"""),"min2daha")</f>
        <v>min2daha</v>
      </c>
      <c r="B4963" s="10">
        <f>IFERROR(__xludf.DUMMYFUNCTION("""COMPUTED_VALUE"""),315.0)</f>
        <v>315</v>
      </c>
      <c r="C4963" s="10">
        <f>IFERROR(__xludf.DUMMYFUNCTION("""COMPUTED_VALUE"""),3838.0)</f>
        <v>3838</v>
      </c>
      <c r="D4963" s="5">
        <f>IFERROR(__xludf.DUMMYFUNCTION("""COMPUTED_VALUE"""),0.3684359920522282)</f>
        <v>0.3684359921</v>
      </c>
      <c r="E4963" s="5">
        <f>IFERROR(__xludf.DUMMYFUNCTION("""COMPUTED_VALUE"""),0.11353959693443089)</f>
        <v>0.1135395969</v>
      </c>
      <c r="F4963" s="5">
        <f>IFERROR(__xludf.DUMMYFUNCTION("""COMPUTED_VALUE"""),0.19017882486517174)</f>
        <v>0.1901788249</v>
      </c>
      <c r="G4963" s="5">
        <f>IFERROR(__xludf.DUMMYFUNCTION("""COMPUTED_VALUE"""),0.15157536190746523)</f>
        <v>0.1515753619</v>
      </c>
      <c r="H4963" s="5">
        <f>IFERROR(__xludf.DUMMYFUNCTION("""COMPUTED_VALUE"""),0.5791044776119403)</f>
        <v>0.5791044776</v>
      </c>
      <c r="I4963" s="11">
        <f>IFERROR(__xludf.DUMMYFUNCTION("""COMPUTED_VALUE"""),5907.462686567164)</f>
        <v>5907.462687</v>
      </c>
      <c r="J4963" s="10">
        <f>IFERROR(__xludf.DUMMYFUNCTION("""COMPUTED_VALUE"""),2.0)</f>
        <v>2</v>
      </c>
      <c r="K4963" s="5">
        <f>IFERROR(__xludf.DUMMYFUNCTION("""COMPUTED_VALUE"""),0.006349206349206349)</f>
        <v>0.006349206349</v>
      </c>
      <c r="L4963" s="10">
        <f>IFERROR(__xludf.DUMMYFUNCTION("""COMPUTED_VALUE"""),315.0)</f>
        <v>315</v>
      </c>
      <c r="M4963" s="5">
        <f>IFERROR(__xludf.DUMMYFUNCTION("""COMPUTED_VALUE"""),1.0)</f>
        <v>1</v>
      </c>
    </row>
    <row r="4964">
      <c r="A4964" s="10" t="str">
        <f>IFERROR(__xludf.DUMMYFUNCTION("""COMPUTED_VALUE"""),"ねこにゃん")</f>
        <v>ねこにゃん</v>
      </c>
      <c r="B4964" s="10">
        <f>IFERROR(__xludf.DUMMYFUNCTION("""COMPUTED_VALUE"""),1658.0)</f>
        <v>1658</v>
      </c>
      <c r="C4964" s="10">
        <f>IFERROR(__xludf.DUMMYFUNCTION("""COMPUTED_VALUE"""),19443.0)</f>
        <v>19443</v>
      </c>
      <c r="D4964" s="5">
        <f>IFERROR(__xludf.DUMMYFUNCTION("""COMPUTED_VALUE"""),0.273207759347765)</f>
        <v>0.2732077593</v>
      </c>
      <c r="E4964" s="5">
        <f>IFERROR(__xludf.DUMMYFUNCTION("""COMPUTED_VALUE"""),0.11352263143098117)</f>
        <v>0.1135226314</v>
      </c>
      <c r="F4964" s="5">
        <f>IFERROR(__xludf.DUMMYFUNCTION("""COMPUTED_VALUE"""),0.19493955580545402)</f>
        <v>0.1949395558</v>
      </c>
      <c r="G4964" s="5">
        <f>IFERROR(__xludf.DUMMYFUNCTION("""COMPUTED_VALUE"""),0.15861681192015745)</f>
        <v>0.1586168119</v>
      </c>
      <c r="H4964" s="5">
        <f>IFERROR(__xludf.DUMMYFUNCTION("""COMPUTED_VALUE"""),0.5846553216036919)</f>
        <v>0.5846553216</v>
      </c>
      <c r="I4964" s="11">
        <f>IFERROR(__xludf.DUMMYFUNCTION("""COMPUTED_VALUE"""),6194.923565041823)</f>
        <v>6194.923565</v>
      </c>
      <c r="J4964" s="10">
        <f>IFERROR(__xludf.DUMMYFUNCTION("""COMPUTED_VALUE"""),5.0)</f>
        <v>5</v>
      </c>
      <c r="K4964" s="5">
        <f>IFERROR(__xludf.DUMMYFUNCTION("""COMPUTED_VALUE"""),0.0030156815440289505)</f>
        <v>0.003015681544</v>
      </c>
      <c r="L4964" s="10">
        <f>IFERROR(__xludf.DUMMYFUNCTION("""COMPUTED_VALUE"""),4.0)</f>
        <v>4</v>
      </c>
      <c r="M4964" s="5">
        <f>IFERROR(__xludf.DUMMYFUNCTION("""COMPUTED_VALUE"""),0.0024125452352231603)</f>
        <v>0.002412545235</v>
      </c>
    </row>
    <row r="4965">
      <c r="A4965" s="10" t="str">
        <f>IFERROR(__xludf.DUMMYFUNCTION("""COMPUTED_VALUE"""),"ぼっち党員")</f>
        <v>ぼっち党員</v>
      </c>
      <c r="B4965" s="10">
        <f>IFERROR(__xludf.DUMMYFUNCTION("""COMPUTED_VALUE"""),119.0)</f>
        <v>119</v>
      </c>
      <c r="C4965" s="10">
        <f>IFERROR(__xludf.DUMMYFUNCTION("""COMPUTED_VALUE"""),1458.0)</f>
        <v>1458</v>
      </c>
      <c r="D4965" s="5">
        <f>IFERROR(__xludf.DUMMYFUNCTION("""COMPUTED_VALUE"""),0.35847647498132934)</f>
        <v>0.358476475</v>
      </c>
      <c r="E4965" s="5">
        <f>IFERROR(__xludf.DUMMYFUNCTION("""COMPUTED_VALUE"""),0.1135175504107543)</f>
        <v>0.1135175504</v>
      </c>
      <c r="F4965" s="5">
        <f>IFERROR(__xludf.DUMMYFUNCTION("""COMPUTED_VALUE"""),0.1941747572815534)</f>
        <v>0.1941747573</v>
      </c>
      <c r="G4965" s="5">
        <f>IFERROR(__xludf.DUMMYFUNCTION("""COMPUTED_VALUE"""),0.169529499626587)</f>
        <v>0.1695294996</v>
      </c>
      <c r="H4965" s="5">
        <f>IFERROR(__xludf.DUMMYFUNCTION("""COMPUTED_VALUE"""),0.5923076923076923)</f>
        <v>0.5923076923</v>
      </c>
      <c r="I4965" s="11">
        <f>IFERROR(__xludf.DUMMYFUNCTION("""COMPUTED_VALUE"""),5188.076923076923)</f>
        <v>5188.076923</v>
      </c>
      <c r="J4965" s="10">
        <f>IFERROR(__xludf.DUMMYFUNCTION("""COMPUTED_VALUE"""),0.0)</f>
        <v>0</v>
      </c>
      <c r="K4965" s="5">
        <f>IFERROR(__xludf.DUMMYFUNCTION("""COMPUTED_VALUE"""),0.0)</f>
        <v>0</v>
      </c>
      <c r="L4965" s="10">
        <f>IFERROR(__xludf.DUMMYFUNCTION("""COMPUTED_VALUE"""),0.0)</f>
        <v>0</v>
      </c>
      <c r="M4965" s="5">
        <f>IFERROR(__xludf.DUMMYFUNCTION("""COMPUTED_VALUE"""),0.0)</f>
        <v>0</v>
      </c>
    </row>
    <row r="4966">
      <c r="A4966" s="10" t="str">
        <f>IFERROR(__xludf.DUMMYFUNCTION("""COMPUTED_VALUE"""),"ちゃる子")</f>
        <v>ちゃる子</v>
      </c>
      <c r="B4966" s="10">
        <f>IFERROR(__xludf.DUMMYFUNCTION("""COMPUTED_VALUE"""),906.0)</f>
        <v>906</v>
      </c>
      <c r="C4966" s="10">
        <f>IFERROR(__xludf.DUMMYFUNCTION("""COMPUTED_VALUE"""),10686.0)</f>
        <v>10686</v>
      </c>
      <c r="D4966" s="5">
        <f>IFERROR(__xludf.DUMMYFUNCTION("""COMPUTED_VALUE"""),0.3295501022494888)</f>
        <v>0.3295501022</v>
      </c>
      <c r="E4966" s="5">
        <f>IFERROR(__xludf.DUMMYFUNCTION("""COMPUTED_VALUE"""),0.11349693251533742)</f>
        <v>0.1134969325</v>
      </c>
      <c r="F4966" s="5">
        <f>IFERROR(__xludf.DUMMYFUNCTION("""COMPUTED_VALUE"""),0.2142126789366053)</f>
        <v>0.2142126789</v>
      </c>
      <c r="G4966" s="5">
        <f>IFERROR(__xludf.DUMMYFUNCTION("""COMPUTED_VALUE"""),0.1659509202453988)</f>
        <v>0.1659509202</v>
      </c>
      <c r="H4966" s="5">
        <f>IFERROR(__xludf.DUMMYFUNCTION("""COMPUTED_VALUE"""),0.5928400954653938)</f>
        <v>0.5928400955</v>
      </c>
      <c r="I4966" s="11">
        <f>IFERROR(__xludf.DUMMYFUNCTION("""COMPUTED_VALUE"""),5751.45584725537)</f>
        <v>5751.455847</v>
      </c>
      <c r="J4966" s="10">
        <f>IFERROR(__xludf.DUMMYFUNCTION("""COMPUTED_VALUE"""),3.0)</f>
        <v>3</v>
      </c>
      <c r="K4966" s="5">
        <f>IFERROR(__xludf.DUMMYFUNCTION("""COMPUTED_VALUE"""),0.0033112582781456954)</f>
        <v>0.003311258278</v>
      </c>
      <c r="L4966" s="10">
        <f>IFERROR(__xludf.DUMMYFUNCTION("""COMPUTED_VALUE"""),906.0)</f>
        <v>906</v>
      </c>
      <c r="M4966" s="5">
        <f>IFERROR(__xludf.DUMMYFUNCTION("""COMPUTED_VALUE"""),1.0)</f>
        <v>1</v>
      </c>
    </row>
    <row r="4967">
      <c r="A4967" s="10" t="str">
        <f>IFERROR(__xludf.DUMMYFUNCTION("""COMPUTED_VALUE"""),"よしつよし")</f>
        <v>よしつよし</v>
      </c>
      <c r="B4967" s="10">
        <f>IFERROR(__xludf.DUMMYFUNCTION("""COMPUTED_VALUE"""),450.0)</f>
        <v>450</v>
      </c>
      <c r="C4967" s="10">
        <f>IFERROR(__xludf.DUMMYFUNCTION("""COMPUTED_VALUE"""),5305.0)</f>
        <v>5305</v>
      </c>
      <c r="D4967" s="5">
        <f>IFERROR(__xludf.DUMMYFUNCTION("""COMPUTED_VALUE"""),0.3081359423274974)</f>
        <v>0.3081359423</v>
      </c>
      <c r="E4967" s="5">
        <f>IFERROR(__xludf.DUMMYFUNCTION("""COMPUTED_VALUE"""),0.11349124613800206)</f>
        <v>0.1134912461</v>
      </c>
      <c r="F4967" s="5">
        <f>IFERROR(__xludf.DUMMYFUNCTION("""COMPUTED_VALUE"""),0.1886714727085479)</f>
        <v>0.1886714727</v>
      </c>
      <c r="G4967" s="5">
        <f>IFERROR(__xludf.DUMMYFUNCTION("""COMPUTED_VALUE"""),0.17610710607621008)</f>
        <v>0.1761071061</v>
      </c>
      <c r="H4967" s="5">
        <f>IFERROR(__xludf.DUMMYFUNCTION("""COMPUTED_VALUE"""),0.5906113537117904)</f>
        <v>0.5906113537</v>
      </c>
      <c r="I4967" s="11">
        <f>IFERROR(__xludf.DUMMYFUNCTION("""COMPUTED_VALUE"""),5944.978165938865)</f>
        <v>5944.978166</v>
      </c>
      <c r="J4967" s="10">
        <f>IFERROR(__xludf.DUMMYFUNCTION("""COMPUTED_VALUE"""),1.0)</f>
        <v>1</v>
      </c>
      <c r="K4967" s="5">
        <f>IFERROR(__xludf.DUMMYFUNCTION("""COMPUTED_VALUE"""),0.0022222222222222222)</f>
        <v>0.002222222222</v>
      </c>
      <c r="L4967" s="10">
        <f>IFERROR(__xludf.DUMMYFUNCTION("""COMPUTED_VALUE"""),450.0)</f>
        <v>450</v>
      </c>
      <c r="M4967" s="5">
        <f>IFERROR(__xludf.DUMMYFUNCTION("""COMPUTED_VALUE"""),1.0)</f>
        <v>1</v>
      </c>
    </row>
    <row r="4968">
      <c r="A4968" s="10" t="str">
        <f>IFERROR(__xludf.DUMMYFUNCTION("""COMPUTED_VALUE"""),"yoteru")</f>
        <v>yoteru</v>
      </c>
      <c r="B4968" s="10">
        <f>IFERROR(__xludf.DUMMYFUNCTION("""COMPUTED_VALUE"""),1904.0)</f>
        <v>1904</v>
      </c>
      <c r="C4968" s="10">
        <f>IFERROR(__xludf.DUMMYFUNCTION("""COMPUTED_VALUE"""),22419.0)</f>
        <v>22419</v>
      </c>
      <c r="D4968" s="5">
        <f>IFERROR(__xludf.DUMMYFUNCTION("""COMPUTED_VALUE"""),0.38264684377284913)</f>
        <v>0.3826468438</v>
      </c>
      <c r="E4968" s="5">
        <f>IFERROR(__xludf.DUMMYFUNCTION("""COMPUTED_VALUE"""),0.11347794296855959)</f>
        <v>0.113477943</v>
      </c>
      <c r="F4968" s="5">
        <f>IFERROR(__xludf.DUMMYFUNCTION("""COMPUTED_VALUE"""),0.21862052156958323)</f>
        <v>0.2186205216</v>
      </c>
      <c r="G4968" s="5">
        <f>IFERROR(__xludf.DUMMYFUNCTION("""COMPUTED_VALUE"""),0.177723616865708)</f>
        <v>0.1777236169</v>
      </c>
      <c r="H4968" s="5">
        <f>IFERROR(__xludf.DUMMYFUNCTION("""COMPUTED_VALUE"""),0.5948717948717949)</f>
        <v>0.5948717949</v>
      </c>
      <c r="I4968" s="11">
        <f>IFERROR(__xludf.DUMMYFUNCTION("""COMPUTED_VALUE"""),5396.811594202899)</f>
        <v>5396.811594</v>
      </c>
      <c r="J4968" s="10">
        <f>IFERROR(__xludf.DUMMYFUNCTION("""COMPUTED_VALUE"""),2.0)</f>
        <v>2</v>
      </c>
      <c r="K4968" s="5">
        <f>IFERROR(__xludf.DUMMYFUNCTION("""COMPUTED_VALUE"""),0.0010504201680672268)</f>
        <v>0.001050420168</v>
      </c>
      <c r="L4968" s="10">
        <f>IFERROR(__xludf.DUMMYFUNCTION("""COMPUTED_VALUE"""),1413.0)</f>
        <v>1413</v>
      </c>
      <c r="M4968" s="5">
        <f>IFERROR(__xludf.DUMMYFUNCTION("""COMPUTED_VALUE"""),0.7421218487394958)</f>
        <v>0.7421218487</v>
      </c>
    </row>
    <row r="4969">
      <c r="A4969" s="10" t="str">
        <f>IFERROR(__xludf.DUMMYFUNCTION("""COMPUTED_VALUE"""),"しんやっち")</f>
        <v>しんやっち</v>
      </c>
      <c r="B4969" s="10">
        <f>IFERROR(__xludf.DUMMYFUNCTION("""COMPUTED_VALUE"""),1268.0)</f>
        <v>1268</v>
      </c>
      <c r="C4969" s="10">
        <f>IFERROR(__xludf.DUMMYFUNCTION("""COMPUTED_VALUE"""),15245.0)</f>
        <v>15245</v>
      </c>
      <c r="D4969" s="5">
        <f>IFERROR(__xludf.DUMMYFUNCTION("""COMPUTED_VALUE"""),0.3222436860556629)</f>
        <v>0.3222436861</v>
      </c>
      <c r="E4969" s="5">
        <f>IFERROR(__xludf.DUMMYFUNCTION("""COMPUTED_VALUE"""),0.11347213278958289)</f>
        <v>0.1134721328</v>
      </c>
      <c r="F4969" s="5">
        <f>IFERROR(__xludf.DUMMYFUNCTION("""COMPUTED_VALUE"""),0.20068684267010087)</f>
        <v>0.2006868427</v>
      </c>
      <c r="G4969" s="5">
        <f>IFERROR(__xludf.DUMMYFUNCTION("""COMPUTED_VALUE"""),0.1383701795807398)</f>
        <v>0.1383701796</v>
      </c>
      <c r="H4969" s="5">
        <f>IFERROR(__xludf.DUMMYFUNCTION("""COMPUTED_VALUE"""),0.5857397504456328)</f>
        <v>0.5857397504</v>
      </c>
      <c r="I4969" s="11">
        <f>IFERROR(__xludf.DUMMYFUNCTION("""COMPUTED_VALUE"""),5524.598930481284)</f>
        <v>5524.59893</v>
      </c>
      <c r="J4969" s="10">
        <f>IFERROR(__xludf.DUMMYFUNCTION("""COMPUTED_VALUE"""),2.0)</f>
        <v>2</v>
      </c>
      <c r="K4969" s="5">
        <f>IFERROR(__xludf.DUMMYFUNCTION("""COMPUTED_VALUE"""),0.0015772870662460567)</f>
        <v>0.001577287066</v>
      </c>
      <c r="L4969" s="10">
        <f>IFERROR(__xludf.DUMMYFUNCTION("""COMPUTED_VALUE"""),1268.0)</f>
        <v>1268</v>
      </c>
      <c r="M4969" s="5">
        <f>IFERROR(__xludf.DUMMYFUNCTION("""COMPUTED_VALUE"""),1.0)</f>
        <v>1</v>
      </c>
    </row>
    <row r="4970">
      <c r="A4970" s="10" t="str">
        <f>IFERROR(__xludf.DUMMYFUNCTION("""COMPUTED_VALUE"""),"しめじん")</f>
        <v>しめじん</v>
      </c>
      <c r="B4970" s="10">
        <f>IFERROR(__xludf.DUMMYFUNCTION("""COMPUTED_VALUE"""),496.0)</f>
        <v>496</v>
      </c>
      <c r="C4970" s="10">
        <f>IFERROR(__xludf.DUMMYFUNCTION("""COMPUTED_VALUE"""),5819.0)</f>
        <v>5819</v>
      </c>
      <c r="D4970" s="5">
        <f>IFERROR(__xludf.DUMMYFUNCTION("""COMPUTED_VALUE"""),0.36408040578621076)</f>
        <v>0.3640804058</v>
      </c>
      <c r="E4970" s="5">
        <f>IFERROR(__xludf.DUMMYFUNCTION("""COMPUTED_VALUE"""),0.11346984783017096)</f>
        <v>0.1134698478</v>
      </c>
      <c r="F4970" s="5">
        <f>IFERROR(__xludf.DUMMYFUNCTION("""COMPUTED_VALUE"""),0.2058989291752771)</f>
        <v>0.2058989292</v>
      </c>
      <c r="G4970" s="5">
        <f>IFERROR(__xludf.DUMMYFUNCTION("""COMPUTED_VALUE"""),0.15442419688145784)</f>
        <v>0.1544241969</v>
      </c>
      <c r="H4970" s="5">
        <f>IFERROR(__xludf.DUMMYFUNCTION("""COMPUTED_VALUE"""),0.6094890510948905)</f>
        <v>0.6094890511</v>
      </c>
      <c r="I4970" s="11">
        <f>IFERROR(__xludf.DUMMYFUNCTION("""COMPUTED_VALUE"""),5585.8576642335765)</f>
        <v>5585.857664</v>
      </c>
      <c r="J4970" s="10">
        <f>IFERROR(__xludf.DUMMYFUNCTION("""COMPUTED_VALUE"""),1.0)</f>
        <v>1</v>
      </c>
      <c r="K4970" s="5">
        <f>IFERROR(__xludf.DUMMYFUNCTION("""COMPUTED_VALUE"""),0.0020161290322580645)</f>
        <v>0.002016129032</v>
      </c>
      <c r="L4970" s="10">
        <f>IFERROR(__xludf.DUMMYFUNCTION("""COMPUTED_VALUE"""),461.0)</f>
        <v>461</v>
      </c>
      <c r="M4970" s="5">
        <f>IFERROR(__xludf.DUMMYFUNCTION("""COMPUTED_VALUE"""),0.9294354838709677)</f>
        <v>0.9294354839</v>
      </c>
    </row>
    <row r="4971">
      <c r="A4971" s="10" t="str">
        <f>IFERROR(__xludf.DUMMYFUNCTION("""COMPUTED_VALUE"""),"戦うパン屋")</f>
        <v>戦うパン屋</v>
      </c>
      <c r="B4971" s="10">
        <f>IFERROR(__xludf.DUMMYFUNCTION("""COMPUTED_VALUE"""),492.0)</f>
        <v>492</v>
      </c>
      <c r="C4971" s="10">
        <f>IFERROR(__xludf.DUMMYFUNCTION("""COMPUTED_VALUE"""),5965.0)</f>
        <v>5965</v>
      </c>
      <c r="D4971" s="5">
        <f>IFERROR(__xludf.DUMMYFUNCTION("""COMPUTED_VALUE"""),0.3139046226932213)</f>
        <v>0.3139046227</v>
      </c>
      <c r="E4971" s="5">
        <f>IFERROR(__xludf.DUMMYFUNCTION("""COMPUTED_VALUE"""),0.1134661063402156)</f>
        <v>0.1134661063</v>
      </c>
      <c r="F4971" s="5">
        <f>IFERROR(__xludf.DUMMYFUNCTION("""COMPUTED_VALUE"""),0.19587063767586332)</f>
        <v>0.1958706377</v>
      </c>
      <c r="G4971" s="5">
        <f>IFERROR(__xludf.DUMMYFUNCTION("""COMPUTED_VALUE"""),0.15585602046409647)</f>
        <v>0.1558560205</v>
      </c>
      <c r="H4971" s="5">
        <f>IFERROR(__xludf.DUMMYFUNCTION("""COMPUTED_VALUE"""),0.6063432835820896)</f>
        <v>0.6063432836</v>
      </c>
      <c r="I4971" s="11">
        <f>IFERROR(__xludf.DUMMYFUNCTION("""COMPUTED_VALUE"""),5486.007462686567)</f>
        <v>5486.007463</v>
      </c>
      <c r="J4971" s="10">
        <f>IFERROR(__xludf.DUMMYFUNCTION("""COMPUTED_VALUE"""),1.0)</f>
        <v>1</v>
      </c>
      <c r="K4971" s="5">
        <f>IFERROR(__xludf.DUMMYFUNCTION("""COMPUTED_VALUE"""),0.0020325203252032522)</f>
        <v>0.002032520325</v>
      </c>
      <c r="L4971" s="10">
        <f>IFERROR(__xludf.DUMMYFUNCTION("""COMPUTED_VALUE"""),492.0)</f>
        <v>492</v>
      </c>
      <c r="M4971" s="5">
        <f>IFERROR(__xludf.DUMMYFUNCTION("""COMPUTED_VALUE"""),1.0)</f>
        <v>1</v>
      </c>
    </row>
    <row r="4972">
      <c r="A4972" s="10" t="str">
        <f>IFERROR(__xludf.DUMMYFUNCTION("""COMPUTED_VALUE"""),"武威")</f>
        <v>武威</v>
      </c>
      <c r="B4972" s="10">
        <f>IFERROR(__xludf.DUMMYFUNCTION("""COMPUTED_VALUE"""),3590.0)</f>
        <v>3590</v>
      </c>
      <c r="C4972" s="10">
        <f>IFERROR(__xludf.DUMMYFUNCTION("""COMPUTED_VALUE"""),41893.0)</f>
        <v>41893</v>
      </c>
      <c r="D4972" s="5">
        <f>IFERROR(__xludf.DUMMYFUNCTION("""COMPUTED_VALUE"""),0.33407304910842495)</f>
        <v>0.3340730491</v>
      </c>
      <c r="E4972" s="5">
        <f>IFERROR(__xludf.DUMMYFUNCTION("""COMPUTED_VALUE"""),0.1134375897449286)</f>
        <v>0.1134375897</v>
      </c>
      <c r="F4972" s="5">
        <f>IFERROR(__xludf.DUMMYFUNCTION("""COMPUTED_VALUE"""),0.21058402736078113)</f>
        <v>0.2105840274</v>
      </c>
      <c r="G4972" s="5">
        <f>IFERROR(__xludf.DUMMYFUNCTION("""COMPUTED_VALUE"""),0.16915124141712137)</f>
        <v>0.1691512414</v>
      </c>
      <c r="H4972" s="5">
        <f>IFERROR(__xludf.DUMMYFUNCTION("""COMPUTED_VALUE"""),0.5929828911480287)</f>
        <v>0.5929828911</v>
      </c>
      <c r="I4972" s="11">
        <f>IFERROR(__xludf.DUMMYFUNCTION("""COMPUTED_VALUE"""),5625.7376642697745)</f>
        <v>5625.737664</v>
      </c>
      <c r="J4972" s="10">
        <f>IFERROR(__xludf.DUMMYFUNCTION("""COMPUTED_VALUE"""),2.0)</f>
        <v>2</v>
      </c>
      <c r="K4972" s="5">
        <f>IFERROR(__xludf.DUMMYFUNCTION("""COMPUTED_VALUE"""),5.571030640668524E-4)</f>
        <v>0.0005571030641</v>
      </c>
      <c r="L4972" s="10">
        <f>IFERROR(__xludf.DUMMYFUNCTION("""COMPUTED_VALUE"""),3590.0)</f>
        <v>3590</v>
      </c>
      <c r="M4972" s="5">
        <f>IFERROR(__xludf.DUMMYFUNCTION("""COMPUTED_VALUE"""),1.0)</f>
        <v>1</v>
      </c>
    </row>
    <row r="4973">
      <c r="A4973" s="10" t="str">
        <f>IFERROR(__xludf.DUMMYFUNCTION("""COMPUTED_VALUE"""),"ふかじ")</f>
        <v>ふかじ</v>
      </c>
      <c r="B4973" s="10">
        <f>IFERROR(__xludf.DUMMYFUNCTION("""COMPUTED_VALUE"""),3256.0)</f>
        <v>3256</v>
      </c>
      <c r="C4973" s="10">
        <f>IFERROR(__xludf.DUMMYFUNCTION("""COMPUTED_VALUE"""),38457.0)</f>
        <v>38457</v>
      </c>
      <c r="D4973" s="5">
        <f>IFERROR(__xludf.DUMMYFUNCTION("""COMPUTED_VALUE"""),0.3417516547825346)</f>
        <v>0.3417516548</v>
      </c>
      <c r="E4973" s="5">
        <f>IFERROR(__xludf.DUMMYFUNCTION("""COMPUTED_VALUE"""),0.11343427743530013)</f>
        <v>0.1134342774</v>
      </c>
      <c r="F4973" s="5">
        <f>IFERROR(__xludf.DUMMYFUNCTION("""COMPUTED_VALUE"""),0.2067554899008551)</f>
        <v>0.2067554899</v>
      </c>
      <c r="G4973" s="5">
        <f>IFERROR(__xludf.DUMMYFUNCTION("""COMPUTED_VALUE"""),0.16417147240135224)</f>
        <v>0.1641714724</v>
      </c>
      <c r="H4973" s="5">
        <f>IFERROR(__xludf.DUMMYFUNCTION("""COMPUTED_VALUE"""),0.5971420719978016)</f>
        <v>0.597142072</v>
      </c>
      <c r="I4973" s="11">
        <f>IFERROR(__xludf.DUMMYFUNCTION("""COMPUTED_VALUE"""),5411.01951085463)</f>
        <v>5411.019511</v>
      </c>
      <c r="J4973" s="10">
        <f>IFERROR(__xludf.DUMMYFUNCTION("""COMPUTED_VALUE"""),10.0)</f>
        <v>10</v>
      </c>
      <c r="K4973" s="5">
        <f>IFERROR(__xludf.DUMMYFUNCTION("""COMPUTED_VALUE"""),0.003071253071253071)</f>
        <v>0.003071253071</v>
      </c>
      <c r="L4973" s="10">
        <f>IFERROR(__xludf.DUMMYFUNCTION("""COMPUTED_VALUE"""),3256.0)</f>
        <v>3256</v>
      </c>
      <c r="M4973" s="5">
        <f>IFERROR(__xludf.DUMMYFUNCTION("""COMPUTED_VALUE"""),1.0)</f>
        <v>1</v>
      </c>
    </row>
    <row r="4974">
      <c r="A4974" s="10" t="str">
        <f>IFERROR(__xludf.DUMMYFUNCTION("""COMPUTED_VALUE"""),"ヤマダさん")</f>
        <v>ヤマダさん</v>
      </c>
      <c r="B4974" s="10">
        <f>IFERROR(__xludf.DUMMYFUNCTION("""COMPUTED_VALUE"""),853.0)</f>
        <v>853</v>
      </c>
      <c r="C4974" s="10">
        <f>IFERROR(__xludf.DUMMYFUNCTION("""COMPUTED_VALUE"""),9925.0)</f>
        <v>9925</v>
      </c>
      <c r="D4974" s="5">
        <f>IFERROR(__xludf.DUMMYFUNCTION("""COMPUTED_VALUE"""),0.31801146384479717)</f>
        <v>0.3180114638</v>
      </c>
      <c r="E4974" s="5">
        <f>IFERROR(__xludf.DUMMYFUNCTION("""COMPUTED_VALUE"""),0.11342592592592593)</f>
        <v>0.1134259259</v>
      </c>
      <c r="F4974" s="5">
        <f>IFERROR(__xludf.DUMMYFUNCTION("""COMPUTED_VALUE"""),0.2034832451499118)</f>
        <v>0.2034832451</v>
      </c>
      <c r="G4974" s="5">
        <f>IFERROR(__xludf.DUMMYFUNCTION("""COMPUTED_VALUE"""),0.18805114638447973)</f>
        <v>0.1880511464</v>
      </c>
      <c r="H4974" s="5">
        <f>IFERROR(__xludf.DUMMYFUNCTION("""COMPUTED_VALUE"""),0.6105092091007583)</f>
        <v>0.6105092091</v>
      </c>
      <c r="I4974" s="11">
        <f>IFERROR(__xludf.DUMMYFUNCTION("""COMPUTED_VALUE"""),5911.809317443121)</f>
        <v>5911.809317</v>
      </c>
      <c r="J4974" s="10">
        <f>IFERROR(__xludf.DUMMYFUNCTION("""COMPUTED_VALUE"""),0.0)</f>
        <v>0</v>
      </c>
      <c r="K4974" s="5">
        <f>IFERROR(__xludf.DUMMYFUNCTION("""COMPUTED_VALUE"""),0.0)</f>
        <v>0</v>
      </c>
      <c r="L4974" s="10">
        <f>IFERROR(__xludf.DUMMYFUNCTION("""COMPUTED_VALUE"""),853.0)</f>
        <v>853</v>
      </c>
      <c r="M4974" s="5">
        <f>IFERROR(__xludf.DUMMYFUNCTION("""COMPUTED_VALUE"""),1.0)</f>
        <v>1</v>
      </c>
    </row>
    <row r="4975">
      <c r="A4975" s="10" t="str">
        <f>IFERROR(__xludf.DUMMYFUNCTION("""COMPUTED_VALUE"""),"Holden")</f>
        <v>Holden</v>
      </c>
      <c r="B4975" s="10">
        <f>IFERROR(__xludf.DUMMYFUNCTION("""COMPUTED_VALUE"""),1064.0)</f>
        <v>1064</v>
      </c>
      <c r="C4975" s="10">
        <f>IFERROR(__xludf.DUMMYFUNCTION("""COMPUTED_VALUE"""),12729.0)</f>
        <v>12729</v>
      </c>
      <c r="D4975" s="5">
        <f>IFERROR(__xludf.DUMMYFUNCTION("""COMPUTED_VALUE"""),0.305872267466781)</f>
        <v>0.3058722675</v>
      </c>
      <c r="E4975" s="5">
        <f>IFERROR(__xludf.DUMMYFUNCTION("""COMPUTED_VALUE"""),0.11341620231461637)</f>
        <v>0.1134162023</v>
      </c>
      <c r="F4975" s="5">
        <f>IFERROR(__xludf.DUMMYFUNCTION("""COMPUTED_VALUE"""),0.2009429918559794)</f>
        <v>0.2009429919</v>
      </c>
      <c r="G4975" s="5">
        <f>IFERROR(__xludf.DUMMYFUNCTION("""COMPUTED_VALUE"""),0.1576510930132876)</f>
        <v>0.157651093</v>
      </c>
      <c r="H4975" s="5">
        <f>IFERROR(__xludf.DUMMYFUNCTION("""COMPUTED_VALUE"""),0.5972696245733788)</f>
        <v>0.5972696246</v>
      </c>
      <c r="I4975" s="11">
        <f>IFERROR(__xludf.DUMMYFUNCTION("""COMPUTED_VALUE"""),5530.290102389078)</f>
        <v>5530.290102</v>
      </c>
      <c r="J4975" s="10">
        <f>IFERROR(__xludf.DUMMYFUNCTION("""COMPUTED_VALUE"""),1.0)</f>
        <v>1</v>
      </c>
      <c r="K4975" s="5">
        <f>IFERROR(__xludf.DUMMYFUNCTION("""COMPUTED_VALUE"""),9.398496240601503E-4)</f>
        <v>0.0009398496241</v>
      </c>
      <c r="L4975" s="10">
        <f>IFERROR(__xludf.DUMMYFUNCTION("""COMPUTED_VALUE"""),1062.0)</f>
        <v>1062</v>
      </c>
      <c r="M4975" s="5">
        <f>IFERROR(__xludf.DUMMYFUNCTION("""COMPUTED_VALUE"""),0.9981203007518797)</f>
        <v>0.9981203008</v>
      </c>
    </row>
    <row r="4976">
      <c r="A4976" s="10" t="str">
        <f>IFERROR(__xludf.DUMMYFUNCTION("""COMPUTED_VALUE"""),"61.8％")</f>
        <v>61.8％</v>
      </c>
      <c r="B4976" s="10">
        <f>IFERROR(__xludf.DUMMYFUNCTION("""COMPUTED_VALUE"""),1841.0)</f>
        <v>1841</v>
      </c>
      <c r="C4976" s="10">
        <f>IFERROR(__xludf.DUMMYFUNCTION("""COMPUTED_VALUE"""),21716.0)</f>
        <v>21716</v>
      </c>
      <c r="D4976" s="5">
        <f>IFERROR(__xludf.DUMMYFUNCTION("""COMPUTED_VALUE"""),0.33846540880503145)</f>
        <v>0.3384654088</v>
      </c>
      <c r="E4976" s="5">
        <f>IFERROR(__xludf.DUMMYFUNCTION("""COMPUTED_VALUE"""),0.11340880503144654)</f>
        <v>0.113408805</v>
      </c>
      <c r="F4976" s="5">
        <f>IFERROR(__xludf.DUMMYFUNCTION("""COMPUTED_VALUE"""),0.20095597484276728)</f>
        <v>0.2009559748</v>
      </c>
      <c r="G4976" s="5">
        <f>IFERROR(__xludf.DUMMYFUNCTION("""COMPUTED_VALUE"""),0.15552201257861636)</f>
        <v>0.1555220126</v>
      </c>
      <c r="H4976" s="5">
        <f>IFERROR(__xludf.DUMMYFUNCTION("""COMPUTED_VALUE"""),0.600150225338007)</f>
        <v>0.6001502253</v>
      </c>
      <c r="I4976" s="11">
        <f>IFERROR(__xludf.DUMMYFUNCTION("""COMPUTED_VALUE"""),5710.741111667501)</f>
        <v>5710.741112</v>
      </c>
      <c r="J4976" s="10">
        <f>IFERROR(__xludf.DUMMYFUNCTION("""COMPUTED_VALUE"""),8.0)</f>
        <v>8</v>
      </c>
      <c r="K4976" s="5">
        <f>IFERROR(__xludf.DUMMYFUNCTION("""COMPUTED_VALUE"""),0.0043454644215100485)</f>
        <v>0.004345464422</v>
      </c>
      <c r="L4976" s="10">
        <f>IFERROR(__xludf.DUMMYFUNCTION("""COMPUTED_VALUE"""),1841.0)</f>
        <v>1841</v>
      </c>
      <c r="M4976" s="5">
        <f>IFERROR(__xludf.DUMMYFUNCTION("""COMPUTED_VALUE"""),1.0)</f>
        <v>1</v>
      </c>
    </row>
    <row r="4977">
      <c r="A4977" s="10" t="str">
        <f>IFERROR(__xludf.DUMMYFUNCTION("""COMPUTED_VALUE"""),"ふたしお")</f>
        <v>ふたしお</v>
      </c>
      <c r="B4977" s="10">
        <f>IFERROR(__xludf.DUMMYFUNCTION("""COMPUTED_VALUE"""),294.0)</f>
        <v>294</v>
      </c>
      <c r="C4977" s="10">
        <f>IFERROR(__xludf.DUMMYFUNCTION("""COMPUTED_VALUE"""),3486.0)</f>
        <v>3486</v>
      </c>
      <c r="D4977" s="5">
        <f>IFERROR(__xludf.DUMMYFUNCTION("""COMPUTED_VALUE"""),0.3840852130325815)</f>
        <v>0.384085213</v>
      </c>
      <c r="E4977" s="5">
        <f>IFERROR(__xludf.DUMMYFUNCTION("""COMPUTED_VALUE"""),0.11340852130325814)</f>
        <v>0.1134085213</v>
      </c>
      <c r="F4977" s="5">
        <f>IFERROR(__xludf.DUMMYFUNCTION("""COMPUTED_VALUE"""),0.19486215538847118)</f>
        <v>0.1948621554</v>
      </c>
      <c r="G4977" s="5">
        <f>IFERROR(__xludf.DUMMYFUNCTION("""COMPUTED_VALUE"""),0.15946115288220553)</f>
        <v>0.1594611529</v>
      </c>
      <c r="H4977" s="5">
        <f>IFERROR(__xludf.DUMMYFUNCTION("""COMPUTED_VALUE"""),0.6157556270096463)</f>
        <v>0.615755627</v>
      </c>
      <c r="I4977" s="11">
        <f>IFERROR(__xludf.DUMMYFUNCTION("""COMPUTED_VALUE"""),5760.128617363344)</f>
        <v>5760.128617</v>
      </c>
      <c r="J4977" s="10">
        <f>IFERROR(__xludf.DUMMYFUNCTION("""COMPUTED_VALUE"""),0.0)</f>
        <v>0</v>
      </c>
      <c r="K4977" s="5">
        <f>IFERROR(__xludf.DUMMYFUNCTION("""COMPUTED_VALUE"""),0.0)</f>
        <v>0</v>
      </c>
      <c r="L4977" s="10">
        <f>IFERROR(__xludf.DUMMYFUNCTION("""COMPUTED_VALUE"""),294.0)</f>
        <v>294</v>
      </c>
      <c r="M4977" s="5">
        <f>IFERROR(__xludf.DUMMYFUNCTION("""COMPUTED_VALUE"""),1.0)</f>
        <v>1</v>
      </c>
    </row>
    <row r="4978">
      <c r="A4978" s="10" t="str">
        <f>IFERROR(__xludf.DUMMYFUNCTION("""COMPUTED_VALUE"""),"呪いの塊")</f>
        <v>呪いの塊</v>
      </c>
      <c r="B4978" s="10">
        <f>IFERROR(__xludf.DUMMYFUNCTION("""COMPUTED_VALUE"""),591.0)</f>
        <v>591</v>
      </c>
      <c r="C4978" s="10">
        <f>IFERROR(__xludf.DUMMYFUNCTION("""COMPUTED_VALUE"""),6931.0)</f>
        <v>6931</v>
      </c>
      <c r="D4978" s="5">
        <f>IFERROR(__xludf.DUMMYFUNCTION("""COMPUTED_VALUE"""),0.42397476340694007)</f>
        <v>0.4239747634</v>
      </c>
      <c r="E4978" s="5">
        <f>IFERROR(__xludf.DUMMYFUNCTION("""COMPUTED_VALUE"""),0.11340694006309149)</f>
        <v>0.1134069401</v>
      </c>
      <c r="F4978" s="5">
        <f>IFERROR(__xludf.DUMMYFUNCTION("""COMPUTED_VALUE"""),0.22318611987381703)</f>
        <v>0.2231861199</v>
      </c>
      <c r="G4978" s="5">
        <f>IFERROR(__xludf.DUMMYFUNCTION("""COMPUTED_VALUE"""),0.19558359621451105)</f>
        <v>0.1955835962</v>
      </c>
      <c r="H4978" s="5">
        <f>IFERROR(__xludf.DUMMYFUNCTION("""COMPUTED_VALUE"""),0.5964664310954063)</f>
        <v>0.5964664311</v>
      </c>
      <c r="I4978" s="11">
        <f>IFERROR(__xludf.DUMMYFUNCTION("""COMPUTED_VALUE"""),5710.671378091873)</f>
        <v>5710.671378</v>
      </c>
      <c r="J4978" s="10">
        <f>IFERROR(__xludf.DUMMYFUNCTION("""COMPUTED_VALUE"""),3.0)</f>
        <v>3</v>
      </c>
      <c r="K4978" s="5">
        <f>IFERROR(__xludf.DUMMYFUNCTION("""COMPUTED_VALUE"""),0.005076142131979695)</f>
        <v>0.005076142132</v>
      </c>
      <c r="L4978" s="10">
        <f>IFERROR(__xludf.DUMMYFUNCTION("""COMPUTED_VALUE"""),591.0)</f>
        <v>591</v>
      </c>
      <c r="M4978" s="5">
        <f>IFERROR(__xludf.DUMMYFUNCTION("""COMPUTED_VALUE"""),1.0)</f>
        <v>1</v>
      </c>
    </row>
    <row r="4979">
      <c r="A4979" s="10" t="str">
        <f>IFERROR(__xludf.DUMMYFUNCTION("""COMPUTED_VALUE"""),"ふくやん")</f>
        <v>ふくやん</v>
      </c>
      <c r="B4979" s="10">
        <f>IFERROR(__xludf.DUMMYFUNCTION("""COMPUTED_VALUE"""),1286.0)</f>
        <v>1286</v>
      </c>
      <c r="C4979" s="10">
        <f>IFERROR(__xludf.DUMMYFUNCTION("""COMPUTED_VALUE"""),15096.0)</f>
        <v>15096</v>
      </c>
      <c r="D4979" s="5">
        <f>IFERROR(__xludf.DUMMYFUNCTION("""COMPUTED_VALUE"""),0.38522809558291093)</f>
        <v>0.3852280956</v>
      </c>
      <c r="E4979" s="5">
        <f>IFERROR(__xludf.DUMMYFUNCTION("""COMPUTED_VALUE"""),0.11339608979000725)</f>
        <v>0.1133960898</v>
      </c>
      <c r="F4979" s="5">
        <f>IFERROR(__xludf.DUMMYFUNCTION("""COMPUTED_VALUE"""),0.20680666183924692)</f>
        <v>0.2068066618</v>
      </c>
      <c r="G4979" s="5">
        <f>IFERROR(__xludf.DUMMYFUNCTION("""COMPUTED_VALUE"""),0.15401882693700217)</f>
        <v>0.1540188269</v>
      </c>
      <c r="H4979" s="5">
        <f>IFERROR(__xludf.DUMMYFUNCTION("""COMPUTED_VALUE"""),0.6106442577030813)</f>
        <v>0.6106442577</v>
      </c>
      <c r="I4979" s="11">
        <f>IFERROR(__xludf.DUMMYFUNCTION("""COMPUTED_VALUE"""),5470.93837535014)</f>
        <v>5470.938375</v>
      </c>
      <c r="J4979" s="10">
        <f>IFERROR(__xludf.DUMMYFUNCTION("""COMPUTED_VALUE"""),2.0)</f>
        <v>2</v>
      </c>
      <c r="K4979" s="5">
        <f>IFERROR(__xludf.DUMMYFUNCTION("""COMPUTED_VALUE"""),0.0015552099533437014)</f>
        <v>0.001555209953</v>
      </c>
      <c r="L4979" s="10">
        <f>IFERROR(__xludf.DUMMYFUNCTION("""COMPUTED_VALUE"""),666.0)</f>
        <v>666</v>
      </c>
      <c r="M4979" s="5">
        <f>IFERROR(__xludf.DUMMYFUNCTION("""COMPUTED_VALUE"""),0.5178849144634525)</f>
        <v>0.5178849145</v>
      </c>
    </row>
    <row r="4980">
      <c r="A4980" s="10" t="str">
        <f>IFERROR(__xludf.DUMMYFUNCTION("""COMPUTED_VALUE"""),"kuzun")</f>
        <v>kuzun</v>
      </c>
      <c r="B4980" s="10">
        <f>IFERROR(__xludf.DUMMYFUNCTION("""COMPUTED_VALUE"""),2885.0)</f>
        <v>2885</v>
      </c>
      <c r="C4980" s="10">
        <f>IFERROR(__xludf.DUMMYFUNCTION("""COMPUTED_VALUE"""),33655.0)</f>
        <v>33655</v>
      </c>
      <c r="D4980" s="5">
        <f>IFERROR(__xludf.DUMMYFUNCTION("""COMPUTED_VALUE"""),0.3328566785830354)</f>
        <v>0.3328566786</v>
      </c>
      <c r="E4980" s="5">
        <f>IFERROR(__xludf.DUMMYFUNCTION("""COMPUTED_VALUE"""),0.11338966525836854)</f>
        <v>0.1133896653</v>
      </c>
      <c r="F4980" s="5">
        <f>IFERROR(__xludf.DUMMYFUNCTION("""COMPUTED_VALUE"""),0.20441988950276244)</f>
        <v>0.2044198895</v>
      </c>
      <c r="G4980" s="5">
        <f>IFERROR(__xludf.DUMMYFUNCTION("""COMPUTED_VALUE"""),0.17461813454663633)</f>
        <v>0.1746181345</v>
      </c>
      <c r="H4980" s="5">
        <f>IFERROR(__xludf.DUMMYFUNCTION("""COMPUTED_VALUE"""),0.6023847376788554)</f>
        <v>0.6023847377</v>
      </c>
      <c r="I4980" s="11">
        <f>IFERROR(__xludf.DUMMYFUNCTION("""COMPUTED_VALUE"""),5882.368839427663)</f>
        <v>5882.368839</v>
      </c>
      <c r="J4980" s="10">
        <f>IFERROR(__xludf.DUMMYFUNCTION("""COMPUTED_VALUE"""),8.0)</f>
        <v>8</v>
      </c>
      <c r="K4980" s="5">
        <f>IFERROR(__xludf.DUMMYFUNCTION("""COMPUTED_VALUE"""),0.0027729636048526864)</f>
        <v>0.002772963605</v>
      </c>
      <c r="L4980" s="10">
        <f>IFERROR(__xludf.DUMMYFUNCTION("""COMPUTED_VALUE"""),2885.0)</f>
        <v>2885</v>
      </c>
      <c r="M4980" s="5">
        <f>IFERROR(__xludf.DUMMYFUNCTION("""COMPUTED_VALUE"""),1.0)</f>
        <v>1</v>
      </c>
    </row>
    <row r="4981">
      <c r="A4981" s="10" t="str">
        <f>IFERROR(__xludf.DUMMYFUNCTION("""COMPUTED_VALUE"""),"ヒツルスペルガー")</f>
        <v>ヒツルスペルガー</v>
      </c>
      <c r="B4981" s="10">
        <f>IFERROR(__xludf.DUMMYFUNCTION("""COMPUTED_VALUE"""),1745.0)</f>
        <v>1745</v>
      </c>
      <c r="C4981" s="10">
        <f>IFERROR(__xludf.DUMMYFUNCTION("""COMPUTED_VALUE"""),20648.0)</f>
        <v>20648</v>
      </c>
      <c r="D4981" s="5">
        <f>IFERROR(__xludf.DUMMYFUNCTION("""COMPUTED_VALUE"""),0.25636142411257473)</f>
        <v>0.2563614241</v>
      </c>
      <c r="E4981" s="5">
        <f>IFERROR(__xludf.DUMMYFUNCTION("""COMPUTED_VALUE"""),0.11336824842617574)</f>
        <v>0.1133682484</v>
      </c>
      <c r="F4981" s="5">
        <f>IFERROR(__xludf.DUMMYFUNCTION("""COMPUTED_VALUE"""),0.20621065439348252)</f>
        <v>0.2062106544</v>
      </c>
      <c r="G4981" s="5">
        <f>IFERROR(__xludf.DUMMYFUNCTION("""COMPUTED_VALUE"""),0.21398719779929112)</f>
        <v>0.2139871978</v>
      </c>
      <c r="H4981" s="5">
        <f>IFERROR(__xludf.DUMMYFUNCTION("""COMPUTED_VALUE"""),0.5782452539763981)</f>
        <v>0.578245254</v>
      </c>
      <c r="I4981" s="11">
        <f>IFERROR(__xludf.DUMMYFUNCTION("""COMPUTED_VALUE"""),5914.263724987173)</f>
        <v>5914.263725</v>
      </c>
      <c r="J4981" s="10">
        <f>IFERROR(__xludf.DUMMYFUNCTION("""COMPUTED_VALUE"""),4.0)</f>
        <v>4</v>
      </c>
      <c r="K4981" s="5">
        <f>IFERROR(__xludf.DUMMYFUNCTION("""COMPUTED_VALUE"""),0.002292263610315186)</f>
        <v>0.00229226361</v>
      </c>
      <c r="L4981" s="10">
        <f>IFERROR(__xludf.DUMMYFUNCTION("""COMPUTED_VALUE"""),1745.0)</f>
        <v>1745</v>
      </c>
      <c r="M4981" s="5">
        <f>IFERROR(__xludf.DUMMYFUNCTION("""COMPUTED_VALUE"""),1.0)</f>
        <v>1</v>
      </c>
    </row>
    <row r="4982">
      <c r="A4982" s="10" t="str">
        <f>IFERROR(__xludf.DUMMYFUNCTION("""COMPUTED_VALUE"""),"kin123")</f>
        <v>kin123</v>
      </c>
      <c r="B4982" s="10">
        <f>IFERROR(__xludf.DUMMYFUNCTION("""COMPUTED_VALUE"""),1382.0)</f>
        <v>1382</v>
      </c>
      <c r="C4982" s="10">
        <f>IFERROR(__xludf.DUMMYFUNCTION("""COMPUTED_VALUE"""),16184.0)</f>
        <v>16184</v>
      </c>
      <c r="D4982" s="5">
        <f>IFERROR(__xludf.DUMMYFUNCTION("""COMPUTED_VALUE"""),0.34110255370895826)</f>
        <v>0.3411025537</v>
      </c>
      <c r="E4982" s="5">
        <f>IFERROR(__xludf.DUMMYFUNCTION("""COMPUTED_VALUE"""),0.11336305904607485)</f>
        <v>0.113363059</v>
      </c>
      <c r="F4982" s="5">
        <f>IFERROR(__xludf.DUMMYFUNCTION("""COMPUTED_VALUE"""),0.20693149574381842)</f>
        <v>0.2069314957</v>
      </c>
      <c r="G4982" s="5">
        <f>IFERROR(__xludf.DUMMYFUNCTION("""COMPUTED_VALUE"""),0.15268206999054182)</f>
        <v>0.15268207</v>
      </c>
      <c r="H4982" s="5">
        <f>IFERROR(__xludf.DUMMYFUNCTION("""COMPUTED_VALUE"""),0.5968005223636957)</f>
        <v>0.5968005224</v>
      </c>
      <c r="I4982" s="11">
        <f>IFERROR(__xludf.DUMMYFUNCTION("""COMPUTED_VALUE"""),5573.522690173033)</f>
        <v>5573.52269</v>
      </c>
      <c r="J4982" s="10">
        <f>IFERROR(__xludf.DUMMYFUNCTION("""COMPUTED_VALUE"""),5.0)</f>
        <v>5</v>
      </c>
      <c r="K4982" s="5">
        <f>IFERROR(__xludf.DUMMYFUNCTION("""COMPUTED_VALUE"""),0.00361794500723589)</f>
        <v>0.003617945007</v>
      </c>
      <c r="L4982" s="10">
        <f>IFERROR(__xludf.DUMMYFUNCTION("""COMPUTED_VALUE"""),1382.0)</f>
        <v>1382</v>
      </c>
      <c r="M4982" s="5">
        <f>IFERROR(__xludf.DUMMYFUNCTION("""COMPUTED_VALUE"""),1.0)</f>
        <v>1</v>
      </c>
    </row>
    <row r="4983">
      <c r="A4983" s="10" t="str">
        <f>IFERROR(__xludf.DUMMYFUNCTION("""COMPUTED_VALUE"""),"しゅばるつ")</f>
        <v>しゅばるつ</v>
      </c>
      <c r="B4983" s="10">
        <f>IFERROR(__xludf.DUMMYFUNCTION("""COMPUTED_VALUE"""),2308.0)</f>
        <v>2308</v>
      </c>
      <c r="C4983" s="10">
        <f>IFERROR(__xludf.DUMMYFUNCTION("""COMPUTED_VALUE"""),27256.0)</f>
        <v>27256</v>
      </c>
      <c r="D4983" s="5">
        <f>IFERROR(__xludf.DUMMYFUNCTION("""COMPUTED_VALUE"""),0.3492865159531826)</f>
        <v>0.349286516</v>
      </c>
      <c r="E4983" s="5">
        <f>IFERROR(__xludf.DUMMYFUNCTION("""COMPUTED_VALUE"""),0.11335578002244669)</f>
        <v>0.11335578</v>
      </c>
      <c r="F4983" s="5">
        <f>IFERROR(__xludf.DUMMYFUNCTION("""COMPUTED_VALUE"""),0.20675004008337342)</f>
        <v>0.2067500401</v>
      </c>
      <c r="G4983" s="5">
        <f>IFERROR(__xludf.DUMMYFUNCTION("""COMPUTED_VALUE"""),0.16526374859708193)</f>
        <v>0.1652637486</v>
      </c>
      <c r="H4983" s="5">
        <f>IFERROR(__xludf.DUMMYFUNCTION("""COMPUTED_VALUE"""),0.5975184179914695)</f>
        <v>0.597518418</v>
      </c>
      <c r="I4983" s="11">
        <f>IFERROR(__xludf.DUMMYFUNCTION("""COMPUTED_VALUE"""),5472.3342380767735)</f>
        <v>5472.334238</v>
      </c>
      <c r="J4983" s="10">
        <f>IFERROR(__xludf.DUMMYFUNCTION("""COMPUTED_VALUE"""),4.0)</f>
        <v>4</v>
      </c>
      <c r="K4983" s="5">
        <f>IFERROR(__xludf.DUMMYFUNCTION("""COMPUTED_VALUE"""),0.0017331022530329288)</f>
        <v>0.001733102253</v>
      </c>
      <c r="L4983" s="10">
        <f>IFERROR(__xludf.DUMMYFUNCTION("""COMPUTED_VALUE"""),2308.0)</f>
        <v>2308</v>
      </c>
      <c r="M4983" s="5">
        <f>IFERROR(__xludf.DUMMYFUNCTION("""COMPUTED_VALUE"""),1.0)</f>
        <v>1</v>
      </c>
    </row>
    <row r="4984">
      <c r="A4984" s="10" t="str">
        <f>IFERROR(__xludf.DUMMYFUNCTION("""COMPUTED_VALUE"""),"フルゼンツ")</f>
        <v>フルゼンツ</v>
      </c>
      <c r="B4984" s="10">
        <f>IFERROR(__xludf.DUMMYFUNCTION("""COMPUTED_VALUE"""),1412.0)</f>
        <v>1412</v>
      </c>
      <c r="C4984" s="10">
        <f>IFERROR(__xludf.DUMMYFUNCTION("""COMPUTED_VALUE"""),16701.0)</f>
        <v>16701</v>
      </c>
      <c r="D4984" s="5">
        <f>IFERROR(__xludf.DUMMYFUNCTION("""COMPUTED_VALUE"""),0.2837988096016744)</f>
        <v>0.2837988096</v>
      </c>
      <c r="E4984" s="5">
        <f>IFERROR(__xludf.DUMMYFUNCTION("""COMPUTED_VALUE"""),0.11334946693701355)</f>
        <v>0.1133494669</v>
      </c>
      <c r="F4984" s="5">
        <f>IFERROR(__xludf.DUMMYFUNCTION("""COMPUTED_VALUE"""),0.2033488128719995)</f>
        <v>0.2033488129</v>
      </c>
      <c r="G4984" s="5">
        <f>IFERROR(__xludf.DUMMYFUNCTION("""COMPUTED_VALUE"""),0.20884295899012362)</f>
        <v>0.208842959</v>
      </c>
      <c r="H4984" s="5">
        <f>IFERROR(__xludf.DUMMYFUNCTION("""COMPUTED_VALUE"""),0.57960759086523)</f>
        <v>0.5796075909</v>
      </c>
      <c r="I4984" s="11">
        <f>IFERROR(__xludf.DUMMYFUNCTION("""COMPUTED_VALUE"""),5988.742360887745)</f>
        <v>5988.742361</v>
      </c>
      <c r="J4984" s="10">
        <f>IFERROR(__xludf.DUMMYFUNCTION("""COMPUTED_VALUE"""),5.0)</f>
        <v>5</v>
      </c>
      <c r="K4984" s="5">
        <f>IFERROR(__xludf.DUMMYFUNCTION("""COMPUTED_VALUE"""),0.0035410764872521247)</f>
        <v>0.003541076487</v>
      </c>
      <c r="L4984" s="10">
        <f>IFERROR(__xludf.DUMMYFUNCTION("""COMPUTED_VALUE"""),1412.0)</f>
        <v>1412</v>
      </c>
      <c r="M4984" s="5">
        <f>IFERROR(__xludf.DUMMYFUNCTION("""COMPUTED_VALUE"""),1.0)</f>
        <v>1</v>
      </c>
    </row>
    <row r="4985">
      <c r="A4985" s="10" t="str">
        <f>IFERROR(__xludf.DUMMYFUNCTION("""COMPUTED_VALUE"""),"taroo")</f>
        <v>taroo</v>
      </c>
      <c r="B4985" s="10">
        <f>IFERROR(__xludf.DUMMYFUNCTION("""COMPUTED_VALUE"""),3197.0)</f>
        <v>3197</v>
      </c>
      <c r="C4985" s="10">
        <f>IFERROR(__xludf.DUMMYFUNCTION("""COMPUTED_VALUE"""),37588.0)</f>
        <v>37588</v>
      </c>
      <c r="D4985" s="5">
        <f>IFERROR(__xludf.DUMMYFUNCTION("""COMPUTED_VALUE"""),0.3599779011950801)</f>
        <v>0.3599779012</v>
      </c>
      <c r="E4985" s="5">
        <f>IFERROR(__xludf.DUMMYFUNCTION("""COMPUTED_VALUE"""),0.11334360733912942)</f>
        <v>0.1133436073</v>
      </c>
      <c r="F4985" s="5">
        <f>IFERROR(__xludf.DUMMYFUNCTION("""COMPUTED_VALUE"""),0.2131371579773778)</f>
        <v>0.213137158</v>
      </c>
      <c r="G4985" s="5">
        <f>IFERROR(__xludf.DUMMYFUNCTION("""COMPUTED_VALUE"""),0.15064987932889418)</f>
        <v>0.1506498793</v>
      </c>
      <c r="H4985" s="5">
        <f>IFERROR(__xludf.DUMMYFUNCTION("""COMPUTED_VALUE"""),0.6080491132332878)</f>
        <v>0.6080491132</v>
      </c>
      <c r="I4985" s="11">
        <f>IFERROR(__xludf.DUMMYFUNCTION("""COMPUTED_VALUE"""),5480.709413369714)</f>
        <v>5480.709413</v>
      </c>
      <c r="J4985" s="10">
        <f>IFERROR(__xludf.DUMMYFUNCTION("""COMPUTED_VALUE"""),2.0)</f>
        <v>2</v>
      </c>
      <c r="K4985" s="5">
        <f>IFERROR(__xludf.DUMMYFUNCTION("""COMPUTED_VALUE"""),6.255864873318737E-4)</f>
        <v>0.0006255864873</v>
      </c>
      <c r="L4985" s="10">
        <f>IFERROR(__xludf.DUMMYFUNCTION("""COMPUTED_VALUE"""),3197.0)</f>
        <v>3197</v>
      </c>
      <c r="M4985" s="5">
        <f>IFERROR(__xludf.DUMMYFUNCTION("""COMPUTED_VALUE"""),1.0)</f>
        <v>1</v>
      </c>
    </row>
    <row r="4986">
      <c r="A4986" s="10" t="str">
        <f>IFERROR(__xludf.DUMMYFUNCTION("""COMPUTED_VALUE"""),"Eumenes")</f>
        <v>Eumenes</v>
      </c>
      <c r="B4986" s="10">
        <f>IFERROR(__xludf.DUMMYFUNCTION("""COMPUTED_VALUE"""),3867.0)</f>
        <v>3867</v>
      </c>
      <c r="C4986" s="10">
        <f>IFERROR(__xludf.DUMMYFUNCTION("""COMPUTED_VALUE"""),45241.0)</f>
        <v>45241</v>
      </c>
      <c r="D4986" s="5">
        <f>IFERROR(__xludf.DUMMYFUNCTION("""COMPUTED_VALUE"""),0.3217721274230193)</f>
        <v>0.3217721274</v>
      </c>
      <c r="E4986" s="5">
        <f>IFERROR(__xludf.DUMMYFUNCTION("""COMPUTED_VALUE"""),0.1133320442790158)</f>
        <v>0.1133320443</v>
      </c>
      <c r="F4986" s="5">
        <f>IFERROR(__xludf.DUMMYFUNCTION("""COMPUTED_VALUE"""),0.20271184802049597)</f>
        <v>0.202711848</v>
      </c>
      <c r="G4986" s="5">
        <f>IFERROR(__xludf.DUMMYFUNCTION("""COMPUTED_VALUE"""),0.1788804563252284)</f>
        <v>0.1788804563</v>
      </c>
      <c r="H4986" s="5">
        <f>IFERROR(__xludf.DUMMYFUNCTION("""COMPUTED_VALUE"""),0.5868606176225111)</f>
        <v>0.5868606176</v>
      </c>
      <c r="I4986" s="11">
        <f>IFERROR(__xludf.DUMMYFUNCTION("""COMPUTED_VALUE"""),6017.980207463932)</f>
        <v>6017.980207</v>
      </c>
      <c r="J4986" s="10">
        <f>IFERROR(__xludf.DUMMYFUNCTION("""COMPUTED_VALUE"""),12.0)</f>
        <v>12</v>
      </c>
      <c r="K4986" s="5">
        <f>IFERROR(__xludf.DUMMYFUNCTION("""COMPUTED_VALUE"""),0.0031031807602792862)</f>
        <v>0.00310318076</v>
      </c>
      <c r="L4986" s="10">
        <f>IFERROR(__xludf.DUMMYFUNCTION("""COMPUTED_VALUE"""),3867.0)</f>
        <v>3867</v>
      </c>
      <c r="M4986" s="5">
        <f>IFERROR(__xludf.DUMMYFUNCTION("""COMPUTED_VALUE"""),1.0)</f>
        <v>1</v>
      </c>
    </row>
    <row r="4987">
      <c r="A4987" s="10" t="str">
        <f>IFERROR(__xludf.DUMMYFUNCTION("""COMPUTED_VALUE"""),"さんどり")</f>
        <v>さんどり</v>
      </c>
      <c r="B4987" s="10">
        <f>IFERROR(__xludf.DUMMYFUNCTION("""COMPUTED_VALUE"""),197.0)</f>
        <v>197</v>
      </c>
      <c r="C4987" s="10">
        <f>IFERROR(__xludf.DUMMYFUNCTION("""COMPUTED_VALUE"""),2350.0)</f>
        <v>2350</v>
      </c>
      <c r="D4987" s="5">
        <f>IFERROR(__xludf.DUMMYFUNCTION("""COMPUTED_VALUE"""),0.2810032512772875)</f>
        <v>0.2810032513</v>
      </c>
      <c r="E4987" s="5">
        <f>IFERROR(__xludf.DUMMYFUNCTION("""COMPUTED_VALUE"""),0.1133302368787738)</f>
        <v>0.1133302369</v>
      </c>
      <c r="F4987" s="5">
        <f>IFERROR(__xludf.DUMMYFUNCTION("""COMPUTED_VALUE"""),0.17882025081281933)</f>
        <v>0.1788202508</v>
      </c>
      <c r="G4987" s="5">
        <f>IFERROR(__xludf.DUMMYFUNCTION("""COMPUTED_VALUE"""),0.21040408732001858)</f>
        <v>0.2104040873</v>
      </c>
      <c r="H4987" s="5">
        <f>IFERROR(__xludf.DUMMYFUNCTION("""COMPUTED_VALUE"""),0.5558441558441558)</f>
        <v>0.5558441558</v>
      </c>
      <c r="I4987" s="11">
        <f>IFERROR(__xludf.DUMMYFUNCTION("""COMPUTED_VALUE"""),6214.545454545455)</f>
        <v>6214.545455</v>
      </c>
      <c r="J4987" s="10">
        <f>IFERROR(__xludf.DUMMYFUNCTION("""COMPUTED_VALUE"""),0.0)</f>
        <v>0</v>
      </c>
      <c r="K4987" s="5">
        <f>IFERROR(__xludf.DUMMYFUNCTION("""COMPUTED_VALUE"""),0.0)</f>
        <v>0</v>
      </c>
      <c r="L4987" s="10">
        <f>IFERROR(__xludf.DUMMYFUNCTION("""COMPUTED_VALUE"""),197.0)</f>
        <v>197</v>
      </c>
      <c r="M4987" s="5">
        <f>IFERROR(__xludf.DUMMYFUNCTION("""COMPUTED_VALUE"""),1.0)</f>
        <v>1</v>
      </c>
    </row>
    <row r="4988">
      <c r="A4988" s="10" t="str">
        <f>IFERROR(__xludf.DUMMYFUNCTION("""COMPUTED_VALUE"""),"gasqueet")</f>
        <v>gasqueet</v>
      </c>
      <c r="B4988" s="10">
        <f>IFERROR(__xludf.DUMMYFUNCTION("""COMPUTED_VALUE"""),800.0)</f>
        <v>800</v>
      </c>
      <c r="C4988" s="10">
        <f>IFERROR(__xludf.DUMMYFUNCTION("""COMPUTED_VALUE"""),9474.0)</f>
        <v>9474</v>
      </c>
      <c r="D4988" s="5">
        <f>IFERROR(__xludf.DUMMYFUNCTION("""COMPUTED_VALUE"""),0.3133502421028361)</f>
        <v>0.3133502421</v>
      </c>
      <c r="E4988" s="5">
        <f>IFERROR(__xludf.DUMMYFUNCTION("""COMPUTED_VALUE"""),0.11332718468987779)</f>
        <v>0.1133271847</v>
      </c>
      <c r="F4988" s="5">
        <f>IFERROR(__xludf.DUMMYFUNCTION("""COMPUTED_VALUE"""),0.20117592806087156)</f>
        <v>0.2011759281</v>
      </c>
      <c r="G4988" s="5">
        <f>IFERROR(__xludf.DUMMYFUNCTION("""COMPUTED_VALUE"""),0.18146183998155407)</f>
        <v>0.18146184</v>
      </c>
      <c r="H4988" s="5">
        <f>IFERROR(__xludf.DUMMYFUNCTION("""COMPUTED_VALUE"""),0.5575931232091691)</f>
        <v>0.5575931232</v>
      </c>
      <c r="I4988" s="11">
        <f>IFERROR(__xludf.DUMMYFUNCTION("""COMPUTED_VALUE"""),6211.289398280803)</f>
        <v>6211.289398</v>
      </c>
      <c r="J4988" s="10">
        <f>IFERROR(__xludf.DUMMYFUNCTION("""COMPUTED_VALUE"""),6.0)</f>
        <v>6</v>
      </c>
      <c r="K4988" s="5">
        <f>IFERROR(__xludf.DUMMYFUNCTION("""COMPUTED_VALUE"""),0.0075)</f>
        <v>0.0075</v>
      </c>
      <c r="L4988" s="10">
        <f>IFERROR(__xludf.DUMMYFUNCTION("""COMPUTED_VALUE"""),800.0)</f>
        <v>800</v>
      </c>
      <c r="M4988" s="5">
        <f>IFERROR(__xludf.DUMMYFUNCTION("""COMPUTED_VALUE"""),1.0)</f>
        <v>1</v>
      </c>
    </row>
    <row r="4989">
      <c r="A4989" s="10" t="str">
        <f>IFERROR(__xludf.DUMMYFUNCTION("""COMPUTED_VALUE"""),"ほとばしるかさご")</f>
        <v>ほとばしるかさご</v>
      </c>
      <c r="B4989" s="10">
        <f>IFERROR(__xludf.DUMMYFUNCTION("""COMPUTED_VALUE"""),1064.0)</f>
        <v>1064</v>
      </c>
      <c r="C4989" s="10">
        <f>IFERROR(__xludf.DUMMYFUNCTION("""COMPUTED_VALUE"""),12458.0)</f>
        <v>12458</v>
      </c>
      <c r="D4989" s="5">
        <f>IFERROR(__xludf.DUMMYFUNCTION("""COMPUTED_VALUE"""),0.3442162541688608)</f>
        <v>0.3442162542</v>
      </c>
      <c r="E4989" s="5">
        <f>IFERROR(__xludf.DUMMYFUNCTION("""COMPUTED_VALUE"""),0.11330524837633843)</f>
        <v>0.1133052484</v>
      </c>
      <c r="F4989" s="5">
        <f>IFERROR(__xludf.DUMMYFUNCTION("""COMPUTED_VALUE"""),0.2083552747059856)</f>
        <v>0.2083552747</v>
      </c>
      <c r="G4989" s="5">
        <f>IFERROR(__xludf.DUMMYFUNCTION("""COMPUTED_VALUE"""),0.154642794453221)</f>
        <v>0.1546427945</v>
      </c>
      <c r="H4989" s="5">
        <f>IFERROR(__xludf.DUMMYFUNCTION("""COMPUTED_VALUE"""),0.6010951979780961)</f>
        <v>0.601095198</v>
      </c>
      <c r="I4989" s="11">
        <f>IFERROR(__xludf.DUMMYFUNCTION("""COMPUTED_VALUE"""),5470.977253580455)</f>
        <v>5470.977254</v>
      </c>
      <c r="J4989" s="10">
        <f>IFERROR(__xludf.DUMMYFUNCTION("""COMPUTED_VALUE"""),1.0)</f>
        <v>1</v>
      </c>
      <c r="K4989" s="5">
        <f>IFERROR(__xludf.DUMMYFUNCTION("""COMPUTED_VALUE"""),9.398496240601503E-4)</f>
        <v>0.0009398496241</v>
      </c>
      <c r="L4989" s="10">
        <f>IFERROR(__xludf.DUMMYFUNCTION("""COMPUTED_VALUE"""),1064.0)</f>
        <v>1064</v>
      </c>
      <c r="M4989" s="5">
        <f>IFERROR(__xludf.DUMMYFUNCTION("""COMPUTED_VALUE"""),1.0)</f>
        <v>1</v>
      </c>
    </row>
    <row r="4990">
      <c r="A4990" s="10" t="str">
        <f>IFERROR(__xludf.DUMMYFUNCTION("""COMPUTED_VALUE"""),"１３１０")</f>
        <v>１３１０</v>
      </c>
      <c r="B4990" s="10">
        <f>IFERROR(__xludf.DUMMYFUNCTION("""COMPUTED_VALUE"""),288.0)</f>
        <v>288</v>
      </c>
      <c r="C4990" s="10">
        <f>IFERROR(__xludf.DUMMYFUNCTION("""COMPUTED_VALUE"""),3430.0)</f>
        <v>3430</v>
      </c>
      <c r="D4990" s="5">
        <f>IFERROR(__xludf.DUMMYFUNCTION("""COMPUTED_VALUE"""),0.3637810311903246)</f>
        <v>0.3637810312</v>
      </c>
      <c r="E4990" s="5">
        <f>IFERROR(__xludf.DUMMYFUNCTION("""COMPUTED_VALUE"""),0.11330362826225335)</f>
        <v>0.1133036283</v>
      </c>
      <c r="F4990" s="5">
        <f>IFERROR(__xludf.DUMMYFUNCTION("""COMPUTED_VALUE"""),0.20401018459579887)</f>
        <v>0.2040101846</v>
      </c>
      <c r="G4990" s="5">
        <f>IFERROR(__xludf.DUMMYFUNCTION("""COMPUTED_VALUE"""),0.1763208147676639)</f>
        <v>0.1763208148</v>
      </c>
      <c r="H4990" s="5">
        <f>IFERROR(__xludf.DUMMYFUNCTION("""COMPUTED_VALUE"""),0.5990639625585024)</f>
        <v>0.5990639626</v>
      </c>
      <c r="I4990" s="11">
        <f>IFERROR(__xludf.DUMMYFUNCTION("""COMPUTED_VALUE"""),5163.6505460218405)</f>
        <v>5163.650546</v>
      </c>
      <c r="J4990" s="10">
        <f>IFERROR(__xludf.DUMMYFUNCTION("""COMPUTED_VALUE"""),1.0)</f>
        <v>1</v>
      </c>
      <c r="K4990" s="5">
        <f>IFERROR(__xludf.DUMMYFUNCTION("""COMPUTED_VALUE"""),0.003472222222222222)</f>
        <v>0.003472222222</v>
      </c>
      <c r="L4990" s="10">
        <f>IFERROR(__xludf.DUMMYFUNCTION("""COMPUTED_VALUE"""),10.0)</f>
        <v>10</v>
      </c>
      <c r="M4990" s="5">
        <f>IFERROR(__xludf.DUMMYFUNCTION("""COMPUTED_VALUE"""),0.034722222222222224)</f>
        <v>0.03472222222</v>
      </c>
    </row>
    <row r="4991">
      <c r="A4991" s="10" t="str">
        <f>IFERROR(__xludf.DUMMYFUNCTION("""COMPUTED_VALUE"""),"ひらたいらさん")</f>
        <v>ひらたいらさん</v>
      </c>
      <c r="B4991" s="10">
        <f>IFERROR(__xludf.DUMMYFUNCTION("""COMPUTED_VALUE"""),103.0)</f>
        <v>103</v>
      </c>
      <c r="C4991" s="10">
        <f>IFERROR(__xludf.DUMMYFUNCTION("""COMPUTED_VALUE"""),1224.0)</f>
        <v>1224</v>
      </c>
      <c r="D4991" s="5">
        <f>IFERROR(__xludf.DUMMYFUNCTION("""COMPUTED_VALUE"""),0.31489741302408564)</f>
        <v>0.314897413</v>
      </c>
      <c r="E4991" s="5">
        <f>IFERROR(__xludf.DUMMYFUNCTION("""COMPUTED_VALUE"""),0.11329170383586083)</f>
        <v>0.1132917038</v>
      </c>
      <c r="F4991" s="5">
        <f>IFERROR(__xludf.DUMMYFUNCTION("""COMPUTED_VALUE"""),0.22123104371097235)</f>
        <v>0.2212310437</v>
      </c>
      <c r="G4991" s="5">
        <f>IFERROR(__xludf.DUMMYFUNCTION("""COMPUTED_VALUE"""),0.15521855486173058)</f>
        <v>0.1552185549</v>
      </c>
      <c r="H4991" s="5">
        <f>IFERROR(__xludf.DUMMYFUNCTION("""COMPUTED_VALUE"""),0.6169354838709677)</f>
        <v>0.6169354839</v>
      </c>
      <c r="I4991" s="11">
        <f>IFERROR(__xludf.DUMMYFUNCTION("""COMPUTED_VALUE"""),5456.854838709677)</f>
        <v>5456.854839</v>
      </c>
      <c r="J4991" s="10">
        <f>IFERROR(__xludf.DUMMYFUNCTION("""COMPUTED_VALUE"""),0.0)</f>
        <v>0</v>
      </c>
      <c r="K4991" s="5">
        <f>IFERROR(__xludf.DUMMYFUNCTION("""COMPUTED_VALUE"""),0.0)</f>
        <v>0</v>
      </c>
      <c r="L4991" s="10">
        <f>IFERROR(__xludf.DUMMYFUNCTION("""COMPUTED_VALUE"""),6.0)</f>
        <v>6</v>
      </c>
      <c r="M4991" s="5">
        <f>IFERROR(__xludf.DUMMYFUNCTION("""COMPUTED_VALUE"""),0.05825242718446602)</f>
        <v>0.05825242718</v>
      </c>
    </row>
    <row r="4992">
      <c r="A4992" s="10" t="str">
        <f>IFERROR(__xludf.DUMMYFUNCTION("""COMPUTED_VALUE"""),"すなふきん。")</f>
        <v>すなふきん。</v>
      </c>
      <c r="B4992" s="10">
        <f>IFERROR(__xludf.DUMMYFUNCTION("""COMPUTED_VALUE"""),131.0)</f>
        <v>131</v>
      </c>
      <c r="C4992" s="10">
        <f>IFERROR(__xludf.DUMMYFUNCTION("""COMPUTED_VALUE"""),1517.0)</f>
        <v>1517</v>
      </c>
      <c r="D4992" s="5">
        <f>IFERROR(__xludf.DUMMYFUNCTION("""COMPUTED_VALUE"""),0.3694083694083694)</f>
        <v>0.3694083694</v>
      </c>
      <c r="E4992" s="5">
        <f>IFERROR(__xludf.DUMMYFUNCTION("""COMPUTED_VALUE"""),0.11327561327561328)</f>
        <v>0.1132756133</v>
      </c>
      <c r="F4992" s="5">
        <f>IFERROR(__xludf.DUMMYFUNCTION("""COMPUTED_VALUE"""),0.20923520923520925)</f>
        <v>0.2092352092</v>
      </c>
      <c r="G4992" s="5">
        <f>IFERROR(__xludf.DUMMYFUNCTION("""COMPUTED_VALUE"""),0.16955266955266957)</f>
        <v>0.1695526696</v>
      </c>
      <c r="H4992" s="5">
        <f>IFERROR(__xludf.DUMMYFUNCTION("""COMPUTED_VALUE"""),0.5689655172413793)</f>
        <v>0.5689655172</v>
      </c>
      <c r="I4992" s="11">
        <f>IFERROR(__xludf.DUMMYFUNCTION("""COMPUTED_VALUE"""),5088.9655172413795)</f>
        <v>5088.965517</v>
      </c>
      <c r="J4992" s="10">
        <f>IFERROR(__xludf.DUMMYFUNCTION("""COMPUTED_VALUE"""),1.0)</f>
        <v>1</v>
      </c>
      <c r="K4992" s="5">
        <f>IFERROR(__xludf.DUMMYFUNCTION("""COMPUTED_VALUE"""),0.007633587786259542)</f>
        <v>0.007633587786</v>
      </c>
      <c r="L4992" s="10">
        <f>IFERROR(__xludf.DUMMYFUNCTION("""COMPUTED_VALUE"""),131.0)</f>
        <v>131</v>
      </c>
      <c r="M4992" s="5">
        <f>IFERROR(__xludf.DUMMYFUNCTION("""COMPUTED_VALUE"""),1.0)</f>
        <v>1</v>
      </c>
    </row>
    <row r="4993">
      <c r="A4993" s="10" t="str">
        <f>IFERROR(__xludf.DUMMYFUNCTION("""COMPUTED_VALUE"""),"molts")</f>
        <v>molts</v>
      </c>
      <c r="B4993" s="10">
        <f>IFERROR(__xludf.DUMMYFUNCTION("""COMPUTED_VALUE"""),1084.0)</f>
        <v>1084</v>
      </c>
      <c r="C4993" s="10">
        <f>IFERROR(__xludf.DUMMYFUNCTION("""COMPUTED_VALUE"""),12667.0)</f>
        <v>12667</v>
      </c>
      <c r="D4993" s="5">
        <f>IFERROR(__xludf.DUMMYFUNCTION("""COMPUTED_VALUE"""),0.31157731157731156)</f>
        <v>0.3115773116</v>
      </c>
      <c r="E4993" s="5">
        <f>IFERROR(__xludf.DUMMYFUNCTION("""COMPUTED_VALUE"""),0.11326944660277993)</f>
        <v>0.1132694466</v>
      </c>
      <c r="F4993" s="5">
        <f>IFERROR(__xludf.DUMMYFUNCTION("""COMPUTED_VALUE"""),0.19778986445653113)</f>
        <v>0.1977898645</v>
      </c>
      <c r="G4993" s="5">
        <f>IFERROR(__xludf.DUMMYFUNCTION("""COMPUTED_VALUE"""),0.15988949322282656)</f>
        <v>0.1598894932</v>
      </c>
      <c r="H4993" s="5">
        <f>IFERROR(__xludf.DUMMYFUNCTION("""COMPUTED_VALUE"""),0.6132693147097338)</f>
        <v>0.6132693147</v>
      </c>
      <c r="I4993" s="11">
        <f>IFERROR(__xludf.DUMMYFUNCTION("""COMPUTED_VALUE"""),5887.210824967263)</f>
        <v>5887.210825</v>
      </c>
      <c r="J4993" s="10">
        <f>IFERROR(__xludf.DUMMYFUNCTION("""COMPUTED_VALUE"""),4.0)</f>
        <v>4</v>
      </c>
      <c r="K4993" s="5">
        <f>IFERROR(__xludf.DUMMYFUNCTION("""COMPUTED_VALUE"""),0.0036900369003690036)</f>
        <v>0.0036900369</v>
      </c>
      <c r="L4993" s="10">
        <f>IFERROR(__xludf.DUMMYFUNCTION("""COMPUTED_VALUE"""),1084.0)</f>
        <v>1084</v>
      </c>
      <c r="M4993" s="5">
        <f>IFERROR(__xludf.DUMMYFUNCTION("""COMPUTED_VALUE"""),1.0)</f>
        <v>1</v>
      </c>
    </row>
    <row r="4994">
      <c r="A4994" s="10" t="str">
        <f>IFERROR(__xludf.DUMMYFUNCTION("""COMPUTED_VALUE"""),"jany")</f>
        <v>jany</v>
      </c>
      <c r="B4994" s="10">
        <f>IFERROR(__xludf.DUMMYFUNCTION("""COMPUTED_VALUE"""),846.0)</f>
        <v>846</v>
      </c>
      <c r="C4994" s="10">
        <f>IFERROR(__xludf.DUMMYFUNCTION("""COMPUTED_VALUE"""),9966.0)</f>
        <v>9966</v>
      </c>
      <c r="D4994" s="5">
        <f>IFERROR(__xludf.DUMMYFUNCTION("""COMPUTED_VALUE"""),0.37236842105263157)</f>
        <v>0.3723684211</v>
      </c>
      <c r="E4994" s="5">
        <f>IFERROR(__xludf.DUMMYFUNCTION("""COMPUTED_VALUE"""),0.11326754385964913)</f>
        <v>0.1132675439</v>
      </c>
      <c r="F4994" s="5">
        <f>IFERROR(__xludf.DUMMYFUNCTION("""COMPUTED_VALUE"""),0.20537280701754385)</f>
        <v>0.205372807</v>
      </c>
      <c r="G4994" s="5">
        <f>IFERROR(__xludf.DUMMYFUNCTION("""COMPUTED_VALUE"""),0.16951754385964912)</f>
        <v>0.1695175439</v>
      </c>
      <c r="H4994" s="5">
        <f>IFERROR(__xludf.DUMMYFUNCTION("""COMPUTED_VALUE"""),0.5712760277629472)</f>
        <v>0.5712760278</v>
      </c>
      <c r="I4994" s="11">
        <f>IFERROR(__xludf.DUMMYFUNCTION("""COMPUTED_VALUE"""),5446.609717031501)</f>
        <v>5446.609717</v>
      </c>
      <c r="J4994" s="10">
        <f>IFERROR(__xludf.DUMMYFUNCTION("""COMPUTED_VALUE"""),3.0)</f>
        <v>3</v>
      </c>
      <c r="K4994" s="5">
        <f>IFERROR(__xludf.DUMMYFUNCTION("""COMPUTED_VALUE"""),0.0035460992907801418)</f>
        <v>0.003546099291</v>
      </c>
      <c r="L4994" s="10">
        <f>IFERROR(__xludf.DUMMYFUNCTION("""COMPUTED_VALUE"""),846.0)</f>
        <v>846</v>
      </c>
      <c r="M4994" s="5">
        <f>IFERROR(__xludf.DUMMYFUNCTION("""COMPUTED_VALUE"""),1.0)</f>
        <v>1</v>
      </c>
    </row>
    <row r="4995">
      <c r="A4995" s="10" t="str">
        <f>IFERROR(__xludf.DUMMYFUNCTION("""COMPUTED_VALUE"""),"環刹那")</f>
        <v>環刹那</v>
      </c>
      <c r="B4995" s="10">
        <f>IFERROR(__xludf.DUMMYFUNCTION("""COMPUTED_VALUE"""),185.0)</f>
        <v>185</v>
      </c>
      <c r="C4995" s="10">
        <f>IFERROR(__xludf.DUMMYFUNCTION("""COMPUTED_VALUE"""),2198.0)</f>
        <v>2198</v>
      </c>
      <c r="D4995" s="5">
        <f>IFERROR(__xludf.DUMMYFUNCTION("""COMPUTED_VALUE"""),0.39940387481371087)</f>
        <v>0.3994038748</v>
      </c>
      <c r="E4995" s="5">
        <f>IFERROR(__xludf.DUMMYFUNCTION("""COMPUTED_VALUE"""),0.11326378539493294)</f>
        <v>0.1132637854</v>
      </c>
      <c r="F4995" s="5">
        <f>IFERROR(__xludf.DUMMYFUNCTION("""COMPUTED_VALUE"""),0.20218579234972678)</f>
        <v>0.2021857923</v>
      </c>
      <c r="G4995" s="5">
        <f>IFERROR(__xludf.DUMMYFUNCTION("""COMPUTED_VALUE"""),0.12369597615499255)</f>
        <v>0.1236959762</v>
      </c>
      <c r="H4995" s="5">
        <f>IFERROR(__xludf.DUMMYFUNCTION("""COMPUTED_VALUE"""),0.6044226044226044)</f>
        <v>0.6044226044</v>
      </c>
      <c r="I4995" s="11">
        <f>IFERROR(__xludf.DUMMYFUNCTION("""COMPUTED_VALUE"""),5588.943488943489)</f>
        <v>5588.943489</v>
      </c>
      <c r="J4995" s="10">
        <f>IFERROR(__xludf.DUMMYFUNCTION("""COMPUTED_VALUE"""),1.0)</f>
        <v>1</v>
      </c>
      <c r="K4995" s="5">
        <f>IFERROR(__xludf.DUMMYFUNCTION("""COMPUTED_VALUE"""),0.005405405405405406)</f>
        <v>0.005405405405</v>
      </c>
      <c r="L4995" s="10">
        <f>IFERROR(__xludf.DUMMYFUNCTION("""COMPUTED_VALUE"""),185.0)</f>
        <v>185</v>
      </c>
      <c r="M4995" s="5">
        <f>IFERROR(__xludf.DUMMYFUNCTION("""COMPUTED_VALUE"""),1.0)</f>
        <v>1</v>
      </c>
    </row>
    <row r="4996">
      <c r="A4996" s="10" t="str">
        <f>IFERROR(__xludf.DUMMYFUNCTION("""COMPUTED_VALUE"""),"ノーマーク")</f>
        <v>ノーマーク</v>
      </c>
      <c r="B4996" s="10">
        <f>IFERROR(__xludf.DUMMYFUNCTION("""COMPUTED_VALUE"""),698.0)</f>
        <v>698</v>
      </c>
      <c r="C4996" s="10">
        <f>IFERROR(__xludf.DUMMYFUNCTION("""COMPUTED_VALUE"""),8168.0)</f>
        <v>8168</v>
      </c>
      <c r="D4996" s="5">
        <f>IFERROR(__xludf.DUMMYFUNCTION("""COMPUTED_VALUE"""),0.36586345381526103)</f>
        <v>0.3658634538</v>
      </c>
      <c r="E4996" s="5">
        <f>IFERROR(__xludf.DUMMYFUNCTION("""COMPUTED_VALUE"""),0.11325301204819277)</f>
        <v>0.113253012</v>
      </c>
      <c r="F4996" s="5">
        <f>IFERROR(__xludf.DUMMYFUNCTION("""COMPUTED_VALUE"""),0.2216867469879518)</f>
        <v>0.221686747</v>
      </c>
      <c r="G4996" s="5">
        <f>IFERROR(__xludf.DUMMYFUNCTION("""COMPUTED_VALUE"""),0.14538152610441768)</f>
        <v>0.1453815261</v>
      </c>
      <c r="H4996" s="5">
        <f>IFERROR(__xludf.DUMMYFUNCTION("""COMPUTED_VALUE"""),0.6038647342995169)</f>
        <v>0.6038647343</v>
      </c>
      <c r="I4996" s="11">
        <f>IFERROR(__xludf.DUMMYFUNCTION("""COMPUTED_VALUE"""),5388.285024154589)</f>
        <v>5388.285024</v>
      </c>
      <c r="J4996" s="10">
        <f>IFERROR(__xludf.DUMMYFUNCTION("""COMPUTED_VALUE"""),0.0)</f>
        <v>0</v>
      </c>
      <c r="K4996" s="5">
        <f>IFERROR(__xludf.DUMMYFUNCTION("""COMPUTED_VALUE"""),0.0)</f>
        <v>0</v>
      </c>
      <c r="L4996" s="10">
        <f>IFERROR(__xludf.DUMMYFUNCTION("""COMPUTED_VALUE"""),698.0)</f>
        <v>698</v>
      </c>
      <c r="M4996" s="5">
        <f>IFERROR(__xludf.DUMMYFUNCTION("""COMPUTED_VALUE"""),1.0)</f>
        <v>1</v>
      </c>
    </row>
    <row r="4997">
      <c r="A4997" s="10" t="str">
        <f>IFERROR(__xludf.DUMMYFUNCTION("""COMPUTED_VALUE"""),"くろうめ")</f>
        <v>くろうめ</v>
      </c>
      <c r="B4997" s="10">
        <f>IFERROR(__xludf.DUMMYFUNCTION("""COMPUTED_VALUE"""),201.0)</f>
        <v>201</v>
      </c>
      <c r="C4997" s="10">
        <f>IFERROR(__xludf.DUMMYFUNCTION("""COMPUTED_VALUE"""),2382.0)</f>
        <v>2382</v>
      </c>
      <c r="D4997" s="5">
        <f>IFERROR(__xludf.DUMMYFUNCTION("""COMPUTED_VALUE"""),0.37780834479596515)</f>
        <v>0.3778083448</v>
      </c>
      <c r="E4997" s="5">
        <f>IFERROR(__xludf.DUMMYFUNCTION("""COMPUTED_VALUE"""),0.11325080238422743)</f>
        <v>0.1132508024</v>
      </c>
      <c r="F4997" s="5">
        <f>IFERROR(__xludf.DUMMYFUNCTION("""COMPUTED_VALUE"""),0.19440623567171023)</f>
        <v>0.1944062357</v>
      </c>
      <c r="G4997" s="5">
        <f>IFERROR(__xludf.DUMMYFUNCTION("""COMPUTED_VALUE"""),0.11875286565795506)</f>
        <v>0.1187528657</v>
      </c>
      <c r="H4997" s="5">
        <f>IFERROR(__xludf.DUMMYFUNCTION("""COMPUTED_VALUE"""),0.5919811320754716)</f>
        <v>0.5919811321</v>
      </c>
      <c r="I4997" s="11">
        <f>IFERROR(__xludf.DUMMYFUNCTION("""COMPUTED_VALUE"""),5358.490566037736)</f>
        <v>5358.490566</v>
      </c>
      <c r="J4997" s="10">
        <f>IFERROR(__xludf.DUMMYFUNCTION("""COMPUTED_VALUE"""),0.0)</f>
        <v>0</v>
      </c>
      <c r="K4997" s="5">
        <f>IFERROR(__xludf.DUMMYFUNCTION("""COMPUTED_VALUE"""),0.0)</f>
        <v>0</v>
      </c>
      <c r="L4997" s="10">
        <f>IFERROR(__xludf.DUMMYFUNCTION("""COMPUTED_VALUE"""),201.0)</f>
        <v>201</v>
      </c>
      <c r="M4997" s="5">
        <f>IFERROR(__xludf.DUMMYFUNCTION("""COMPUTED_VALUE"""),1.0)</f>
        <v>1</v>
      </c>
    </row>
    <row r="4998">
      <c r="A4998" s="10" t="str">
        <f>IFERROR(__xludf.DUMMYFUNCTION("""COMPUTED_VALUE"""),"萌えは世界を救う")</f>
        <v>萌えは世界を救う</v>
      </c>
      <c r="B4998" s="10">
        <f>IFERROR(__xludf.DUMMYFUNCTION("""COMPUTED_VALUE"""),351.0)</f>
        <v>351</v>
      </c>
      <c r="C4998" s="10">
        <f>IFERROR(__xludf.DUMMYFUNCTION("""COMPUTED_VALUE"""),4095.0)</f>
        <v>4095</v>
      </c>
      <c r="D4998" s="5">
        <f>IFERROR(__xludf.DUMMYFUNCTION("""COMPUTED_VALUE"""),0.28525641025641024)</f>
        <v>0.2852564103</v>
      </c>
      <c r="E4998" s="5">
        <f>IFERROR(__xludf.DUMMYFUNCTION("""COMPUTED_VALUE"""),0.11324786324786325)</f>
        <v>0.1132478632</v>
      </c>
      <c r="F4998" s="5">
        <f>IFERROR(__xludf.DUMMYFUNCTION("""COMPUTED_VALUE"""),0.18856837606837606)</f>
        <v>0.1885683761</v>
      </c>
      <c r="G4998" s="5">
        <f>IFERROR(__xludf.DUMMYFUNCTION("""COMPUTED_VALUE"""),0.15224358974358973)</f>
        <v>0.1522435897</v>
      </c>
      <c r="H4998" s="5">
        <f>IFERROR(__xludf.DUMMYFUNCTION("""COMPUTED_VALUE"""),0.6048158640226629)</f>
        <v>0.604815864</v>
      </c>
      <c r="I4998" s="11">
        <f>IFERROR(__xludf.DUMMYFUNCTION("""COMPUTED_VALUE"""),5939.660056657224)</f>
        <v>5939.660057</v>
      </c>
      <c r="J4998" s="10">
        <f>IFERROR(__xludf.DUMMYFUNCTION("""COMPUTED_VALUE"""),3.0)</f>
        <v>3</v>
      </c>
      <c r="K4998" s="5">
        <f>IFERROR(__xludf.DUMMYFUNCTION("""COMPUTED_VALUE"""),0.008547008547008548)</f>
        <v>0.008547008547</v>
      </c>
      <c r="L4998" s="10">
        <f>IFERROR(__xludf.DUMMYFUNCTION("""COMPUTED_VALUE"""),351.0)</f>
        <v>351</v>
      </c>
      <c r="M4998" s="5">
        <f>IFERROR(__xludf.DUMMYFUNCTION("""COMPUTED_VALUE"""),1.0)</f>
        <v>1</v>
      </c>
    </row>
    <row r="4999">
      <c r="A4999" s="10" t="str">
        <f>IFERROR(__xludf.DUMMYFUNCTION("""COMPUTED_VALUE"""),"かぶきもの")</f>
        <v>かぶきもの</v>
      </c>
      <c r="B4999" s="10">
        <f>IFERROR(__xludf.DUMMYFUNCTION("""COMPUTED_VALUE"""),1029.0)</f>
        <v>1029</v>
      </c>
      <c r="C4999" s="10">
        <f>IFERROR(__xludf.DUMMYFUNCTION("""COMPUTED_VALUE"""),12024.0)</f>
        <v>12024</v>
      </c>
      <c r="D4999" s="5">
        <f>IFERROR(__xludf.DUMMYFUNCTION("""COMPUTED_VALUE"""),0.348431105047749)</f>
        <v>0.348431105</v>
      </c>
      <c r="E4999" s="5">
        <f>IFERROR(__xludf.DUMMYFUNCTION("""COMPUTED_VALUE"""),0.11323328785811733)</f>
        <v>0.1132332879</v>
      </c>
      <c r="F4999" s="5">
        <f>IFERROR(__xludf.DUMMYFUNCTION("""COMPUTED_VALUE"""),0.21837198726693952)</f>
        <v>0.2183719873</v>
      </c>
      <c r="G4999" s="5">
        <f>IFERROR(__xludf.DUMMYFUNCTION("""COMPUTED_VALUE"""),0.16971350613915417)</f>
        <v>0.1697135061</v>
      </c>
      <c r="H4999" s="5">
        <f>IFERROR(__xludf.DUMMYFUNCTION("""COMPUTED_VALUE"""),0.6193252811328613)</f>
        <v>0.6193252811</v>
      </c>
      <c r="I4999" s="11">
        <f>IFERROR(__xludf.DUMMYFUNCTION("""COMPUTED_VALUE"""),5353.01957517701)</f>
        <v>5353.019575</v>
      </c>
      <c r="J4999" s="10">
        <f>IFERROR(__xludf.DUMMYFUNCTION("""COMPUTED_VALUE"""),0.0)</f>
        <v>0</v>
      </c>
      <c r="K4999" s="5">
        <f>IFERROR(__xludf.DUMMYFUNCTION("""COMPUTED_VALUE"""),0.0)</f>
        <v>0</v>
      </c>
      <c r="L4999" s="10">
        <f>IFERROR(__xludf.DUMMYFUNCTION("""COMPUTED_VALUE"""),1029.0)</f>
        <v>1029</v>
      </c>
      <c r="M4999" s="5">
        <f>IFERROR(__xludf.DUMMYFUNCTION("""COMPUTED_VALUE"""),1.0)</f>
        <v>1</v>
      </c>
    </row>
    <row r="5000">
      <c r="A5000" s="10" t="str">
        <f>IFERROR(__xludf.DUMMYFUNCTION("""COMPUTED_VALUE"""),"ヘルス姫屋")</f>
        <v>ヘルス姫屋</v>
      </c>
      <c r="B5000" s="10">
        <f>IFERROR(__xludf.DUMMYFUNCTION("""COMPUTED_VALUE"""),368.0)</f>
        <v>368</v>
      </c>
      <c r="C5000" s="10">
        <f>IFERROR(__xludf.DUMMYFUNCTION("""COMPUTED_VALUE"""),4254.0)</f>
        <v>4254</v>
      </c>
      <c r="D5000" s="5">
        <f>IFERROR(__xludf.DUMMYFUNCTION("""COMPUTED_VALUE"""),0.31960885229027275)</f>
        <v>0.3196088523</v>
      </c>
      <c r="E5000" s="5">
        <f>IFERROR(__xludf.DUMMYFUNCTION("""COMPUTED_VALUE"""),0.11322696860524961)</f>
        <v>0.1132269686</v>
      </c>
      <c r="F5000" s="5">
        <f>IFERROR(__xludf.DUMMYFUNCTION("""COMPUTED_VALUE"""),0.20663921770458055)</f>
        <v>0.2066392177</v>
      </c>
      <c r="G5000" s="5">
        <f>IFERROR(__xludf.DUMMYFUNCTION("""COMPUTED_VALUE"""),0.2002058672156459)</f>
        <v>0.2002058672</v>
      </c>
      <c r="H5000" s="5">
        <f>IFERROR(__xludf.DUMMYFUNCTION("""COMPUTED_VALUE"""),0.5915317559153176)</f>
        <v>0.5915317559</v>
      </c>
      <c r="I5000" s="11">
        <f>IFERROR(__xludf.DUMMYFUNCTION("""COMPUTED_VALUE"""),5971.108343711084)</f>
        <v>5971.108344</v>
      </c>
      <c r="J5000" s="10">
        <f>IFERROR(__xludf.DUMMYFUNCTION("""COMPUTED_VALUE"""),2.0)</f>
        <v>2</v>
      </c>
      <c r="K5000" s="5">
        <f>IFERROR(__xludf.DUMMYFUNCTION("""COMPUTED_VALUE"""),0.005434782608695652)</f>
        <v>0.005434782609</v>
      </c>
      <c r="L5000" s="10">
        <f>IFERROR(__xludf.DUMMYFUNCTION("""COMPUTED_VALUE"""),114.0)</f>
        <v>114</v>
      </c>
      <c r="M5000" s="5">
        <f>IFERROR(__xludf.DUMMYFUNCTION("""COMPUTED_VALUE"""),0.30978260869565216)</f>
        <v>0.3097826087</v>
      </c>
    </row>
    <row r="5001">
      <c r="A5001" s="10" t="str">
        <f>IFERROR(__xludf.DUMMYFUNCTION("""COMPUTED_VALUE"""),"憧憬")</f>
        <v>憧憬</v>
      </c>
      <c r="B5001" s="10">
        <f>IFERROR(__xludf.DUMMYFUNCTION("""COMPUTED_VALUE"""),1408.0)</f>
        <v>1408</v>
      </c>
      <c r="C5001" s="10">
        <f>IFERROR(__xludf.DUMMYFUNCTION("""COMPUTED_VALUE"""),16326.0)</f>
        <v>16326</v>
      </c>
      <c r="D5001" s="5">
        <f>IFERROR(__xludf.DUMMYFUNCTION("""COMPUTED_VALUE"""),0.31699959780131387)</f>
        <v>0.3169995978</v>
      </c>
      <c r="E5001" s="5">
        <f>IFERROR(__xludf.DUMMYFUNCTION("""COMPUTED_VALUE"""),0.11321893015149484)</f>
        <v>0.1132189302</v>
      </c>
      <c r="F5001" s="5">
        <f>IFERROR(__xludf.DUMMYFUNCTION("""COMPUTED_VALUE"""),0.19439603163962998)</f>
        <v>0.1943960316</v>
      </c>
      <c r="G5001" s="5">
        <f>IFERROR(__xludf.DUMMYFUNCTION("""COMPUTED_VALUE"""),0.16617509049470439)</f>
        <v>0.1661750905</v>
      </c>
      <c r="H5001" s="5">
        <f>IFERROR(__xludf.DUMMYFUNCTION("""COMPUTED_VALUE"""),0.5724137931034483)</f>
        <v>0.5724137931</v>
      </c>
      <c r="I5001" s="11">
        <f>IFERROR(__xludf.DUMMYFUNCTION("""COMPUTED_VALUE"""),5917.758620689655)</f>
        <v>5917.758621</v>
      </c>
      <c r="J5001" s="10">
        <f>IFERROR(__xludf.DUMMYFUNCTION("""COMPUTED_VALUE"""),2.0)</f>
        <v>2</v>
      </c>
      <c r="K5001" s="5">
        <f>IFERROR(__xludf.DUMMYFUNCTION("""COMPUTED_VALUE"""),0.0014204545454545455)</f>
        <v>0.001420454545</v>
      </c>
      <c r="L5001" s="10">
        <f>IFERROR(__xludf.DUMMYFUNCTION("""COMPUTED_VALUE"""),0.0)</f>
        <v>0</v>
      </c>
      <c r="M5001" s="5">
        <f>IFERROR(__xludf.DUMMYFUNCTION("""COMPUTED_VALUE"""),0.0)</f>
        <v>0</v>
      </c>
    </row>
    <row r="5002">
      <c r="A5002" s="10" t="str">
        <f>IFERROR(__xludf.DUMMYFUNCTION("""COMPUTED_VALUE"""),"ウルフ")</f>
        <v>ウルフ</v>
      </c>
      <c r="B5002" s="10">
        <f>IFERROR(__xludf.DUMMYFUNCTION("""COMPUTED_VALUE"""),188.0)</f>
        <v>188</v>
      </c>
      <c r="C5002" s="10">
        <f>IFERROR(__xludf.DUMMYFUNCTION("""COMPUTED_VALUE"""),2202.0)</f>
        <v>2202</v>
      </c>
      <c r="D5002" s="5">
        <f>IFERROR(__xludf.DUMMYFUNCTION("""COMPUTED_VALUE"""),0.27209533267130087)</f>
        <v>0.2720953327</v>
      </c>
      <c r="E5002" s="5">
        <f>IFERROR(__xludf.DUMMYFUNCTION("""COMPUTED_VALUE"""),0.11320754716981132)</f>
        <v>0.1132075472</v>
      </c>
      <c r="F5002" s="5">
        <f>IFERROR(__xludf.DUMMYFUNCTION("""COMPUTED_VALUE"""),0.18570009930486595)</f>
        <v>0.1857000993</v>
      </c>
      <c r="G5002" s="5">
        <f>IFERROR(__xludf.DUMMYFUNCTION("""COMPUTED_VALUE"""),0.19662363455809334)</f>
        <v>0.1966236346</v>
      </c>
      <c r="H5002" s="5">
        <f>IFERROR(__xludf.DUMMYFUNCTION("""COMPUTED_VALUE"""),0.5454545454545454)</f>
        <v>0.5454545455</v>
      </c>
      <c r="I5002" s="11">
        <f>IFERROR(__xludf.DUMMYFUNCTION("""COMPUTED_VALUE"""),5733.689839572193)</f>
        <v>5733.68984</v>
      </c>
      <c r="J5002" s="10">
        <f>IFERROR(__xludf.DUMMYFUNCTION("""COMPUTED_VALUE"""),0.0)</f>
        <v>0</v>
      </c>
      <c r="K5002" s="5">
        <f>IFERROR(__xludf.DUMMYFUNCTION("""COMPUTED_VALUE"""),0.0)</f>
        <v>0</v>
      </c>
      <c r="L5002" s="10">
        <f>IFERROR(__xludf.DUMMYFUNCTION("""COMPUTED_VALUE"""),0.0)</f>
        <v>0</v>
      </c>
      <c r="M5002" s="5">
        <f>IFERROR(__xludf.DUMMYFUNCTION("""COMPUTED_VALUE"""),0.0)</f>
        <v>0</v>
      </c>
    </row>
    <row r="5003">
      <c r="A5003" s="10" t="str">
        <f>IFERROR(__xludf.DUMMYFUNCTION("""COMPUTED_VALUE"""),"Winston")</f>
        <v>Winston</v>
      </c>
      <c r="B5003" s="10">
        <f>IFERROR(__xludf.DUMMYFUNCTION("""COMPUTED_VALUE"""),1006.0)</f>
        <v>1006</v>
      </c>
      <c r="C5003" s="10">
        <f>IFERROR(__xludf.DUMMYFUNCTION("""COMPUTED_VALUE"""),11935.0)</f>
        <v>11935</v>
      </c>
      <c r="D5003" s="5">
        <f>IFERROR(__xludf.DUMMYFUNCTION("""COMPUTED_VALUE"""),0.39125263061579285)</f>
        <v>0.3912526306</v>
      </c>
      <c r="E5003" s="5">
        <f>IFERROR(__xludf.DUMMYFUNCTION("""COMPUTED_VALUE"""),0.11318510385213652)</f>
        <v>0.1131851039</v>
      </c>
      <c r="F5003" s="5">
        <f>IFERROR(__xludf.DUMMYFUNCTION("""COMPUTED_VALUE"""),0.20834477079330221)</f>
        <v>0.2083447708</v>
      </c>
      <c r="G5003" s="5">
        <f>IFERROR(__xludf.DUMMYFUNCTION("""COMPUTED_VALUE"""),0.16378442675450636)</f>
        <v>0.1637844268</v>
      </c>
      <c r="H5003" s="5">
        <f>IFERROR(__xludf.DUMMYFUNCTION("""COMPUTED_VALUE"""),0.582784365393061)</f>
        <v>0.5827843654</v>
      </c>
      <c r="I5003" s="11">
        <f>IFERROR(__xludf.DUMMYFUNCTION("""COMPUTED_VALUE"""),5565.920070267896)</f>
        <v>5565.92007</v>
      </c>
      <c r="J5003" s="10">
        <f>IFERROR(__xludf.DUMMYFUNCTION("""COMPUTED_VALUE"""),0.0)</f>
        <v>0</v>
      </c>
      <c r="K5003" s="5">
        <f>IFERROR(__xludf.DUMMYFUNCTION("""COMPUTED_VALUE"""),0.0)</f>
        <v>0</v>
      </c>
      <c r="L5003" s="10">
        <f>IFERROR(__xludf.DUMMYFUNCTION("""COMPUTED_VALUE"""),309.0)</f>
        <v>309</v>
      </c>
      <c r="M5003" s="5">
        <f>IFERROR(__xludf.DUMMYFUNCTION("""COMPUTED_VALUE"""),0.3071570576540755)</f>
        <v>0.3071570577</v>
      </c>
    </row>
    <row r="5004">
      <c r="A5004" s="10" t="str">
        <f>IFERROR(__xludf.DUMMYFUNCTION("""COMPUTED_VALUE"""),"SB遊戲")</f>
        <v>SB遊戲</v>
      </c>
      <c r="B5004" s="10">
        <f>IFERROR(__xludf.DUMMYFUNCTION("""COMPUTED_VALUE"""),299.0)</f>
        <v>299</v>
      </c>
      <c r="C5004" s="10">
        <f>IFERROR(__xludf.DUMMYFUNCTION("""COMPUTED_VALUE"""),3462.0)</f>
        <v>3462</v>
      </c>
      <c r="D5004" s="5">
        <f>IFERROR(__xludf.DUMMYFUNCTION("""COMPUTED_VALUE"""),0.3610496364211192)</f>
        <v>0.3610496364</v>
      </c>
      <c r="E5004" s="5">
        <f>IFERROR(__xludf.DUMMYFUNCTION("""COMPUTED_VALUE"""),0.11318368637369586)</f>
        <v>0.1131836864</v>
      </c>
      <c r="F5004" s="5">
        <f>IFERROR(__xludf.DUMMYFUNCTION("""COMPUTED_VALUE"""),0.19032564021498577)</f>
        <v>0.1903256402</v>
      </c>
      <c r="G5004" s="5">
        <f>IFERROR(__xludf.DUMMYFUNCTION("""COMPUTED_VALUE"""),0.13910844135314573)</f>
        <v>0.1391084414</v>
      </c>
      <c r="H5004" s="5">
        <f>IFERROR(__xludf.DUMMYFUNCTION("""COMPUTED_VALUE"""),0.5897009966777409)</f>
        <v>0.5897009967</v>
      </c>
      <c r="I5004" s="11">
        <f>IFERROR(__xludf.DUMMYFUNCTION("""COMPUTED_VALUE"""),5460.46511627907)</f>
        <v>5460.465116</v>
      </c>
      <c r="J5004" s="10">
        <f>IFERROR(__xludf.DUMMYFUNCTION("""COMPUTED_VALUE"""),0.0)</f>
        <v>0</v>
      </c>
      <c r="K5004" s="5">
        <f>IFERROR(__xludf.DUMMYFUNCTION("""COMPUTED_VALUE"""),0.0)</f>
        <v>0</v>
      </c>
      <c r="L5004" s="10">
        <f>IFERROR(__xludf.DUMMYFUNCTION("""COMPUTED_VALUE"""),299.0)</f>
        <v>299</v>
      </c>
      <c r="M5004" s="5">
        <f>IFERROR(__xludf.DUMMYFUNCTION("""COMPUTED_VALUE"""),1.0)</f>
        <v>1</v>
      </c>
    </row>
    <row r="5005">
      <c r="A5005" s="10" t="str">
        <f>IFERROR(__xludf.DUMMYFUNCTION("""COMPUTED_VALUE"""),"Krilele")</f>
        <v>Krilele</v>
      </c>
      <c r="B5005" s="10">
        <f>IFERROR(__xludf.DUMMYFUNCTION("""COMPUTED_VALUE"""),282.0)</f>
        <v>282</v>
      </c>
      <c r="C5005" s="10">
        <f>IFERROR(__xludf.DUMMYFUNCTION("""COMPUTED_VALUE"""),3339.0)</f>
        <v>3339</v>
      </c>
      <c r="D5005" s="5">
        <f>IFERROR(__xludf.DUMMYFUNCTION("""COMPUTED_VALUE"""),0.2996401701014066)</f>
        <v>0.2996401701</v>
      </c>
      <c r="E5005" s="5">
        <f>IFERROR(__xludf.DUMMYFUNCTION("""COMPUTED_VALUE"""),0.11318285901210337)</f>
        <v>0.113182859</v>
      </c>
      <c r="F5005" s="5">
        <f>IFERROR(__xludf.DUMMYFUNCTION("""COMPUTED_VALUE"""),0.2070657507360157)</f>
        <v>0.2070657507</v>
      </c>
      <c r="G5005" s="5">
        <f>IFERROR(__xludf.DUMMYFUNCTION("""COMPUTED_VALUE"""),0.16290480863591755)</f>
        <v>0.1629048086</v>
      </c>
      <c r="H5005" s="5">
        <f>IFERROR(__xludf.DUMMYFUNCTION("""COMPUTED_VALUE"""),0.6303317535545023)</f>
        <v>0.6303317536</v>
      </c>
      <c r="I5005" s="11">
        <f>IFERROR(__xludf.DUMMYFUNCTION("""COMPUTED_VALUE"""),5801.421800947867)</f>
        <v>5801.421801</v>
      </c>
      <c r="J5005" s="10">
        <f>IFERROR(__xludf.DUMMYFUNCTION("""COMPUTED_VALUE"""),1.0)</f>
        <v>1</v>
      </c>
      <c r="K5005" s="5">
        <f>IFERROR(__xludf.DUMMYFUNCTION("""COMPUTED_VALUE"""),0.0035460992907801418)</f>
        <v>0.003546099291</v>
      </c>
      <c r="L5005" s="10">
        <f>IFERROR(__xludf.DUMMYFUNCTION("""COMPUTED_VALUE"""),0.0)</f>
        <v>0</v>
      </c>
      <c r="M5005" s="5">
        <f>IFERROR(__xludf.DUMMYFUNCTION("""COMPUTED_VALUE"""),0.0)</f>
        <v>0</v>
      </c>
    </row>
    <row r="5006">
      <c r="A5006" s="10" t="str">
        <f>IFERROR(__xludf.DUMMYFUNCTION("""COMPUTED_VALUE"""),"アカギ＠川村軍団")</f>
        <v>アカギ＠川村軍団</v>
      </c>
      <c r="B5006" s="10">
        <f>IFERROR(__xludf.DUMMYFUNCTION("""COMPUTED_VALUE"""),1225.0)</f>
        <v>1225</v>
      </c>
      <c r="C5006" s="10">
        <f>IFERROR(__xludf.DUMMYFUNCTION("""COMPUTED_VALUE"""),14523.0)</f>
        <v>14523</v>
      </c>
      <c r="D5006" s="5">
        <f>IFERROR(__xludf.DUMMYFUNCTION("""COMPUTED_VALUE"""),0.3634381109941345)</f>
        <v>0.363438111</v>
      </c>
      <c r="E5006" s="5">
        <f>IFERROR(__xludf.DUMMYFUNCTION("""COMPUTED_VALUE"""),0.1131749135208302)</f>
        <v>0.1131749135</v>
      </c>
      <c r="F5006" s="5">
        <f>IFERROR(__xludf.DUMMYFUNCTION("""COMPUTED_VALUE"""),0.20416604000601593)</f>
        <v>0.20416604</v>
      </c>
      <c r="G5006" s="5">
        <f>IFERROR(__xludf.DUMMYFUNCTION("""COMPUTED_VALUE"""),0.16558881034742068)</f>
        <v>0.1655888103</v>
      </c>
      <c r="H5006" s="5">
        <f>IFERROR(__xludf.DUMMYFUNCTION("""COMPUTED_VALUE"""),0.611049723756906)</f>
        <v>0.6110497238</v>
      </c>
      <c r="I5006" s="11">
        <f>IFERROR(__xludf.DUMMYFUNCTION("""COMPUTED_VALUE"""),5575.138121546961)</f>
        <v>5575.138122</v>
      </c>
      <c r="J5006" s="10">
        <f>IFERROR(__xludf.DUMMYFUNCTION("""COMPUTED_VALUE"""),1.0)</f>
        <v>1</v>
      </c>
      <c r="K5006" s="5">
        <f>IFERROR(__xludf.DUMMYFUNCTION("""COMPUTED_VALUE"""),8.163265306122449E-4)</f>
        <v>0.0008163265306</v>
      </c>
      <c r="L5006" s="10">
        <f>IFERROR(__xludf.DUMMYFUNCTION("""COMPUTED_VALUE"""),1225.0)</f>
        <v>1225</v>
      </c>
      <c r="M5006" s="5">
        <f>IFERROR(__xludf.DUMMYFUNCTION("""COMPUTED_VALUE"""),1.0)</f>
        <v>1</v>
      </c>
    </row>
    <row r="5007">
      <c r="A5007" s="10" t="str">
        <f>IFERROR(__xludf.DUMMYFUNCTION("""COMPUTED_VALUE"""),"腐生豚コツボー")</f>
        <v>腐生豚コツボー</v>
      </c>
      <c r="B5007" s="10">
        <f>IFERROR(__xludf.DUMMYFUNCTION("""COMPUTED_VALUE"""),1155.0)</f>
        <v>1155</v>
      </c>
      <c r="C5007" s="10">
        <f>IFERROR(__xludf.DUMMYFUNCTION("""COMPUTED_VALUE"""),13698.0)</f>
        <v>13698</v>
      </c>
      <c r="D5007" s="5">
        <f>IFERROR(__xludf.DUMMYFUNCTION("""COMPUTED_VALUE"""),0.3386749581439847)</f>
        <v>0.3386749581</v>
      </c>
      <c r="E5007" s="5">
        <f>IFERROR(__xludf.DUMMYFUNCTION("""COMPUTED_VALUE"""),0.11313082994498924)</f>
        <v>0.1131308299</v>
      </c>
      <c r="F5007" s="5">
        <f>IFERROR(__xludf.DUMMYFUNCTION("""COMPUTED_VALUE"""),0.20896117356294347)</f>
        <v>0.2089611736</v>
      </c>
      <c r="G5007" s="5">
        <f>IFERROR(__xludf.DUMMYFUNCTION("""COMPUTED_VALUE"""),0.13641074703021605)</f>
        <v>0.136410747</v>
      </c>
      <c r="H5007" s="5">
        <f>IFERROR(__xludf.DUMMYFUNCTION("""COMPUTED_VALUE"""),0.6222815719191148)</f>
        <v>0.6222815719</v>
      </c>
      <c r="I5007" s="11">
        <f>IFERROR(__xludf.DUMMYFUNCTION("""COMPUTED_VALUE"""),5297.367417016406)</f>
        <v>5297.367417</v>
      </c>
      <c r="J5007" s="10">
        <f>IFERROR(__xludf.DUMMYFUNCTION("""COMPUTED_VALUE"""),3.0)</f>
        <v>3</v>
      </c>
      <c r="K5007" s="5">
        <f>IFERROR(__xludf.DUMMYFUNCTION("""COMPUTED_VALUE"""),0.0025974025974025974)</f>
        <v>0.002597402597</v>
      </c>
      <c r="L5007" s="10">
        <f>IFERROR(__xludf.DUMMYFUNCTION("""COMPUTED_VALUE"""),1155.0)</f>
        <v>1155</v>
      </c>
      <c r="M5007" s="5">
        <f>IFERROR(__xludf.DUMMYFUNCTION("""COMPUTED_VALUE"""),1.0)</f>
        <v>1</v>
      </c>
    </row>
    <row r="5008">
      <c r="A5008" s="10" t="str">
        <f>IFERROR(__xludf.DUMMYFUNCTION("""COMPUTED_VALUE"""),"asmeias")</f>
        <v>asmeias</v>
      </c>
      <c r="B5008" s="10">
        <f>IFERROR(__xludf.DUMMYFUNCTION("""COMPUTED_VALUE"""),198.0)</f>
        <v>198</v>
      </c>
      <c r="C5008" s="10">
        <f>IFERROR(__xludf.DUMMYFUNCTION("""COMPUTED_VALUE"""),2346.0)</f>
        <v>2346</v>
      </c>
      <c r="D5008" s="5">
        <f>IFERROR(__xludf.DUMMYFUNCTION("""COMPUTED_VALUE"""),0.29283054003724396)</f>
        <v>0.29283054</v>
      </c>
      <c r="E5008" s="5">
        <f>IFERROR(__xludf.DUMMYFUNCTION("""COMPUTED_VALUE"""),0.11312849162011174)</f>
        <v>0.1131284916</v>
      </c>
      <c r="F5008" s="5">
        <f>IFERROR(__xludf.DUMMYFUNCTION("""COMPUTED_VALUE"""),0.186219739292365)</f>
        <v>0.1862197393</v>
      </c>
      <c r="G5008" s="5">
        <f>IFERROR(__xludf.DUMMYFUNCTION("""COMPUTED_VALUE"""),0.14478584729981378)</f>
        <v>0.1447858473</v>
      </c>
      <c r="H5008" s="5">
        <f>IFERROR(__xludf.DUMMYFUNCTION("""COMPUTED_VALUE"""),0.6075)</f>
        <v>0.6075</v>
      </c>
      <c r="I5008" s="11">
        <f>IFERROR(__xludf.DUMMYFUNCTION("""COMPUTED_VALUE"""),5662.75)</f>
        <v>5662.75</v>
      </c>
      <c r="J5008" s="10">
        <f>IFERROR(__xludf.DUMMYFUNCTION("""COMPUTED_VALUE"""),1.0)</f>
        <v>1</v>
      </c>
      <c r="K5008" s="5">
        <f>IFERROR(__xludf.DUMMYFUNCTION("""COMPUTED_VALUE"""),0.005050505050505051)</f>
        <v>0.005050505051</v>
      </c>
      <c r="L5008" s="10">
        <f>IFERROR(__xludf.DUMMYFUNCTION("""COMPUTED_VALUE"""),198.0)</f>
        <v>198</v>
      </c>
      <c r="M5008" s="5">
        <f>IFERROR(__xludf.DUMMYFUNCTION("""COMPUTED_VALUE"""),1.0)</f>
        <v>1</v>
      </c>
    </row>
    <row r="5009">
      <c r="A5009" s="10" t="str">
        <f>IFERROR(__xludf.DUMMYFUNCTION("""COMPUTED_VALUE"""),"三冠王・山田哲人")</f>
        <v>三冠王・山田哲人</v>
      </c>
      <c r="B5009" s="10">
        <f>IFERROR(__xludf.DUMMYFUNCTION("""COMPUTED_VALUE"""),2154.0)</f>
        <v>2154</v>
      </c>
      <c r="C5009" s="10">
        <f>IFERROR(__xludf.DUMMYFUNCTION("""COMPUTED_VALUE"""),25252.0)</f>
        <v>25252</v>
      </c>
      <c r="D5009" s="5">
        <f>IFERROR(__xludf.DUMMYFUNCTION("""COMPUTED_VALUE"""),0.3400294397783358)</f>
        <v>0.3400294398</v>
      </c>
      <c r="E5009" s="5">
        <f>IFERROR(__xludf.DUMMYFUNCTION("""COMPUTED_VALUE"""),0.11312667763442723)</f>
        <v>0.1131266776</v>
      </c>
      <c r="F5009" s="5">
        <f>IFERROR(__xludf.DUMMYFUNCTION("""COMPUTED_VALUE"""),0.2059485669754957)</f>
        <v>0.205948567</v>
      </c>
      <c r="G5009" s="5">
        <f>IFERROR(__xludf.DUMMYFUNCTION("""COMPUTED_VALUE"""),0.17971252922330938)</f>
        <v>0.1797125292</v>
      </c>
      <c r="H5009" s="5">
        <f>IFERROR(__xludf.DUMMYFUNCTION("""COMPUTED_VALUE"""),0.5949127601429473)</f>
        <v>0.5949127601</v>
      </c>
      <c r="I5009" s="11">
        <f>IFERROR(__xludf.DUMMYFUNCTION("""COMPUTED_VALUE"""),5611.12045406769)</f>
        <v>5611.120454</v>
      </c>
      <c r="J5009" s="10">
        <f>IFERROR(__xludf.DUMMYFUNCTION("""COMPUTED_VALUE"""),5.0)</f>
        <v>5</v>
      </c>
      <c r="K5009" s="5">
        <f>IFERROR(__xludf.DUMMYFUNCTION("""COMPUTED_VALUE"""),0.002321262766945218)</f>
        <v>0.002321262767</v>
      </c>
      <c r="L5009" s="10">
        <f>IFERROR(__xludf.DUMMYFUNCTION("""COMPUTED_VALUE"""),2154.0)</f>
        <v>2154</v>
      </c>
      <c r="M5009" s="5">
        <f>IFERROR(__xludf.DUMMYFUNCTION("""COMPUTED_VALUE"""),1.0)</f>
        <v>1</v>
      </c>
    </row>
    <row r="5010">
      <c r="A5010" s="10" t="str">
        <f>IFERROR(__xludf.DUMMYFUNCTION("""COMPUTED_VALUE"""),"がちゃ＠川村軍団")</f>
        <v>がちゃ＠川村軍団</v>
      </c>
      <c r="B5010" s="10">
        <f>IFERROR(__xludf.DUMMYFUNCTION("""COMPUTED_VALUE"""),506.0)</f>
        <v>506</v>
      </c>
      <c r="C5010" s="10">
        <f>IFERROR(__xludf.DUMMYFUNCTION("""COMPUTED_VALUE"""),5934.0)</f>
        <v>5934</v>
      </c>
      <c r="D5010" s="5">
        <f>IFERROR(__xludf.DUMMYFUNCTION("""COMPUTED_VALUE"""),0.34948415622697127)</f>
        <v>0.3494841562</v>
      </c>
      <c r="E5010" s="5">
        <f>IFERROR(__xludf.DUMMYFUNCTION("""COMPUTED_VALUE"""),0.1131171702284451)</f>
        <v>0.1131171702</v>
      </c>
      <c r="F5010" s="5">
        <f>IFERROR(__xludf.DUMMYFUNCTION("""COMPUTED_VALUE"""),0.21407516580692704)</f>
        <v>0.2140751658</v>
      </c>
      <c r="G5010" s="5">
        <f>IFERROR(__xludf.DUMMYFUNCTION("""COMPUTED_VALUE"""),0.1575165806927045)</f>
        <v>0.1575165807</v>
      </c>
      <c r="H5010" s="5">
        <f>IFERROR(__xludf.DUMMYFUNCTION("""COMPUTED_VALUE"""),0.5938037865748709)</f>
        <v>0.5938037866</v>
      </c>
      <c r="I5010" s="11">
        <f>IFERROR(__xludf.DUMMYFUNCTION("""COMPUTED_VALUE"""),5400.0)</f>
        <v>5400</v>
      </c>
      <c r="J5010" s="10">
        <f>IFERROR(__xludf.DUMMYFUNCTION("""COMPUTED_VALUE"""),1.0)</f>
        <v>1</v>
      </c>
      <c r="K5010" s="5">
        <f>IFERROR(__xludf.DUMMYFUNCTION("""COMPUTED_VALUE"""),0.001976284584980237)</f>
        <v>0.001976284585</v>
      </c>
      <c r="L5010" s="10">
        <f>IFERROR(__xludf.DUMMYFUNCTION("""COMPUTED_VALUE"""),506.0)</f>
        <v>506</v>
      </c>
      <c r="M5010" s="5">
        <f>IFERROR(__xludf.DUMMYFUNCTION("""COMPUTED_VALUE"""),1.0)</f>
        <v>1</v>
      </c>
    </row>
    <row r="5011">
      <c r="A5011" s="10" t="str">
        <f>IFERROR(__xludf.DUMMYFUNCTION("""COMPUTED_VALUE"""),"tkmiki")</f>
        <v>tkmiki</v>
      </c>
      <c r="B5011" s="10">
        <f>IFERROR(__xludf.DUMMYFUNCTION("""COMPUTED_VALUE"""),148.0)</f>
        <v>148</v>
      </c>
      <c r="C5011" s="10">
        <f>IFERROR(__xludf.DUMMYFUNCTION("""COMPUTED_VALUE"""),1757.0)</f>
        <v>1757</v>
      </c>
      <c r="D5011" s="5">
        <f>IFERROR(__xludf.DUMMYFUNCTION("""COMPUTED_VALUE"""),0.33809819763828464)</f>
        <v>0.3380981976</v>
      </c>
      <c r="E5011" s="5">
        <f>IFERROR(__xludf.DUMMYFUNCTION("""COMPUTED_VALUE"""),0.11311373523927906)</f>
        <v>0.1131137352</v>
      </c>
      <c r="F5011" s="5">
        <f>IFERROR(__xludf.DUMMYFUNCTION("""COMPUTED_VALUE"""),0.19142324425108764)</f>
        <v>0.1914232443</v>
      </c>
      <c r="G5011" s="5">
        <f>IFERROR(__xludf.DUMMYFUNCTION("""COMPUTED_VALUE"""),0.11435674331883157)</f>
        <v>0.1143567433</v>
      </c>
      <c r="H5011" s="5">
        <f>IFERROR(__xludf.DUMMYFUNCTION("""COMPUTED_VALUE"""),0.6006493506493507)</f>
        <v>0.6006493506</v>
      </c>
      <c r="I5011" s="11">
        <f>IFERROR(__xludf.DUMMYFUNCTION("""COMPUTED_VALUE"""),5203.571428571428)</f>
        <v>5203.571429</v>
      </c>
      <c r="J5011" s="10">
        <f>IFERROR(__xludf.DUMMYFUNCTION("""COMPUTED_VALUE"""),0.0)</f>
        <v>0</v>
      </c>
      <c r="K5011" s="5">
        <f>IFERROR(__xludf.DUMMYFUNCTION("""COMPUTED_VALUE"""),0.0)</f>
        <v>0</v>
      </c>
      <c r="L5011" s="10">
        <f>IFERROR(__xludf.DUMMYFUNCTION("""COMPUTED_VALUE"""),0.0)</f>
        <v>0</v>
      </c>
      <c r="M5011" s="5">
        <f>IFERROR(__xludf.DUMMYFUNCTION("""COMPUTED_VALUE"""),0.0)</f>
        <v>0</v>
      </c>
    </row>
    <row r="5012">
      <c r="A5012" s="10" t="str">
        <f>IFERROR(__xludf.DUMMYFUNCTION("""COMPUTED_VALUE"""),"Sekuta")</f>
        <v>Sekuta</v>
      </c>
      <c r="B5012" s="10">
        <f>IFERROR(__xludf.DUMMYFUNCTION("""COMPUTED_VALUE"""),103.0)</f>
        <v>103</v>
      </c>
      <c r="C5012" s="10">
        <f>IFERROR(__xludf.DUMMYFUNCTION("""COMPUTED_VALUE"""),1226.0)</f>
        <v>1226</v>
      </c>
      <c r="D5012" s="5">
        <f>IFERROR(__xludf.DUMMYFUNCTION("""COMPUTED_VALUE"""),0.28138913624220835)</f>
        <v>0.2813891362</v>
      </c>
      <c r="E5012" s="5">
        <f>IFERROR(__xludf.DUMMYFUNCTION("""COMPUTED_VALUE"""),0.11308993766696349)</f>
        <v>0.1130899377</v>
      </c>
      <c r="F5012" s="5">
        <f>IFERROR(__xludf.DUMMYFUNCTION("""COMPUTED_VALUE"""),0.20035618878005343)</f>
        <v>0.2003561888</v>
      </c>
      <c r="G5012" s="5">
        <f>IFERROR(__xludf.DUMMYFUNCTION("""COMPUTED_VALUE"""),0.1709706144256456)</f>
        <v>0.1709706144</v>
      </c>
      <c r="H5012" s="5">
        <f>IFERROR(__xludf.DUMMYFUNCTION("""COMPUTED_VALUE"""),0.6088888888888889)</f>
        <v>0.6088888889</v>
      </c>
      <c r="I5012" s="11">
        <f>IFERROR(__xludf.DUMMYFUNCTION("""COMPUTED_VALUE"""),5671.111111111111)</f>
        <v>5671.111111</v>
      </c>
      <c r="J5012" s="10">
        <f>IFERROR(__xludf.DUMMYFUNCTION("""COMPUTED_VALUE"""),0.0)</f>
        <v>0</v>
      </c>
      <c r="K5012" s="5">
        <f>IFERROR(__xludf.DUMMYFUNCTION("""COMPUTED_VALUE"""),0.0)</f>
        <v>0</v>
      </c>
      <c r="L5012" s="10">
        <f>IFERROR(__xludf.DUMMYFUNCTION("""COMPUTED_VALUE"""),103.0)</f>
        <v>103</v>
      </c>
      <c r="M5012" s="5">
        <f>IFERROR(__xludf.DUMMYFUNCTION("""COMPUTED_VALUE"""),1.0)</f>
        <v>1</v>
      </c>
    </row>
    <row r="5013">
      <c r="A5013" s="10" t="str">
        <f>IFERROR(__xludf.DUMMYFUNCTION("""COMPUTED_VALUE"""),"みどり茶")</f>
        <v>みどり茶</v>
      </c>
      <c r="B5013" s="10">
        <f>IFERROR(__xludf.DUMMYFUNCTION("""COMPUTED_VALUE"""),651.0)</f>
        <v>651</v>
      </c>
      <c r="C5013" s="10">
        <f>IFERROR(__xludf.DUMMYFUNCTION("""COMPUTED_VALUE"""),7672.0)</f>
        <v>7672</v>
      </c>
      <c r="D5013" s="5">
        <f>IFERROR(__xludf.DUMMYFUNCTION("""COMPUTED_VALUE"""),0.25523429710867396)</f>
        <v>0.2552342971</v>
      </c>
      <c r="E5013" s="5">
        <f>IFERROR(__xludf.DUMMYFUNCTION("""COMPUTED_VALUE"""),0.11308930351801738)</f>
        <v>0.1130893035</v>
      </c>
      <c r="F5013" s="5">
        <f>IFERROR(__xludf.DUMMYFUNCTION("""COMPUTED_VALUE"""),0.1875801167924797)</f>
        <v>0.1875801168</v>
      </c>
      <c r="G5013" s="5">
        <f>IFERROR(__xludf.DUMMYFUNCTION("""COMPUTED_VALUE"""),0.16407919099843327)</f>
        <v>0.164079191</v>
      </c>
      <c r="H5013" s="5">
        <f>IFERROR(__xludf.DUMMYFUNCTION("""COMPUTED_VALUE"""),0.5892179195140471)</f>
        <v>0.5892179195</v>
      </c>
      <c r="I5013" s="11">
        <f>IFERROR(__xludf.DUMMYFUNCTION("""COMPUTED_VALUE"""),5803.720577069096)</f>
        <v>5803.720577</v>
      </c>
      <c r="J5013" s="10">
        <f>IFERROR(__xludf.DUMMYFUNCTION("""COMPUTED_VALUE"""),2.0)</f>
        <v>2</v>
      </c>
      <c r="K5013" s="5">
        <f>IFERROR(__xludf.DUMMYFUNCTION("""COMPUTED_VALUE"""),0.0030721966205837174)</f>
        <v>0.003072196621</v>
      </c>
      <c r="L5013" s="10">
        <f>IFERROR(__xludf.DUMMYFUNCTION("""COMPUTED_VALUE"""),651.0)</f>
        <v>651</v>
      </c>
      <c r="M5013" s="5">
        <f>IFERROR(__xludf.DUMMYFUNCTION("""COMPUTED_VALUE"""),1.0)</f>
        <v>1</v>
      </c>
    </row>
    <row r="5014">
      <c r="A5014" s="10" t="str">
        <f>IFERROR(__xludf.DUMMYFUNCTION("""COMPUTED_VALUE"""),"にゅぁ～☆")</f>
        <v>にゅぁ～☆</v>
      </c>
      <c r="B5014" s="10">
        <f>IFERROR(__xludf.DUMMYFUNCTION("""COMPUTED_VALUE"""),788.0)</f>
        <v>788</v>
      </c>
      <c r="C5014" s="10">
        <f>IFERROR(__xludf.DUMMYFUNCTION("""COMPUTED_VALUE"""),9324.0)</f>
        <v>9324</v>
      </c>
      <c r="D5014" s="5">
        <f>IFERROR(__xludf.DUMMYFUNCTION("""COMPUTED_VALUE"""),0.38038894095595127)</f>
        <v>0.380388941</v>
      </c>
      <c r="E5014" s="5">
        <f>IFERROR(__xludf.DUMMYFUNCTION("""COMPUTED_VALUE"""),0.11305060918462981)</f>
        <v>0.1130506092</v>
      </c>
      <c r="F5014" s="5">
        <f>IFERROR(__xludf.DUMMYFUNCTION("""COMPUTED_VALUE"""),0.2114573570759138)</f>
        <v>0.2114573571</v>
      </c>
      <c r="G5014" s="5">
        <f>IFERROR(__xludf.DUMMYFUNCTION("""COMPUTED_VALUE"""),0.16893158388003748)</f>
        <v>0.1689315839</v>
      </c>
      <c r="H5014" s="5">
        <f>IFERROR(__xludf.DUMMYFUNCTION("""COMPUTED_VALUE"""),0.6022160664819944)</f>
        <v>0.6022160665</v>
      </c>
      <c r="I5014" s="11">
        <f>IFERROR(__xludf.DUMMYFUNCTION("""COMPUTED_VALUE"""),5518.393351800554)</f>
        <v>5518.393352</v>
      </c>
      <c r="J5014" s="10">
        <f>IFERROR(__xludf.DUMMYFUNCTION("""COMPUTED_VALUE"""),4.0)</f>
        <v>4</v>
      </c>
      <c r="K5014" s="5">
        <f>IFERROR(__xludf.DUMMYFUNCTION("""COMPUTED_VALUE"""),0.005076142131979695)</f>
        <v>0.005076142132</v>
      </c>
      <c r="L5014" s="10">
        <f>IFERROR(__xludf.DUMMYFUNCTION("""COMPUTED_VALUE"""),788.0)</f>
        <v>788</v>
      </c>
      <c r="M5014" s="5">
        <f>IFERROR(__xludf.DUMMYFUNCTION("""COMPUTED_VALUE"""),1.0)</f>
        <v>1</v>
      </c>
    </row>
    <row r="5015">
      <c r="A5015" s="10" t="str">
        <f>IFERROR(__xludf.DUMMYFUNCTION("""COMPUTED_VALUE"""),"七｀・ω・)ノ！")</f>
        <v>七｀・ω・)ノ！</v>
      </c>
      <c r="B5015" s="10">
        <f>IFERROR(__xludf.DUMMYFUNCTION("""COMPUTED_VALUE"""),563.0)</f>
        <v>563</v>
      </c>
      <c r="C5015" s="10">
        <f>IFERROR(__xludf.DUMMYFUNCTION("""COMPUTED_VALUE"""),6702.0)</f>
        <v>6702</v>
      </c>
      <c r="D5015" s="5">
        <f>IFERROR(__xludf.DUMMYFUNCTION("""COMPUTED_VALUE"""),0.37644567519139926)</f>
        <v>0.3764456752</v>
      </c>
      <c r="E5015" s="5">
        <f>IFERROR(__xludf.DUMMYFUNCTION("""COMPUTED_VALUE"""),0.11304772764293859)</f>
        <v>0.1130477276</v>
      </c>
      <c r="F5015" s="5">
        <f>IFERROR(__xludf.DUMMYFUNCTION("""COMPUTED_VALUE"""),0.21306401694086985)</f>
        <v>0.2130640169</v>
      </c>
      <c r="G5015" s="5">
        <f>IFERROR(__xludf.DUMMYFUNCTION("""COMPUTED_VALUE"""),0.14904707607102133)</f>
        <v>0.1490470761</v>
      </c>
      <c r="H5015" s="5">
        <f>IFERROR(__xludf.DUMMYFUNCTION("""COMPUTED_VALUE"""),0.6100917431192661)</f>
        <v>0.6100917431</v>
      </c>
      <c r="I5015" s="11">
        <f>IFERROR(__xludf.DUMMYFUNCTION("""COMPUTED_VALUE"""),5485.932721712538)</f>
        <v>5485.932722</v>
      </c>
      <c r="J5015" s="10">
        <f>IFERROR(__xludf.DUMMYFUNCTION("""COMPUTED_VALUE"""),0.0)</f>
        <v>0</v>
      </c>
      <c r="K5015" s="5">
        <f>IFERROR(__xludf.DUMMYFUNCTION("""COMPUTED_VALUE"""),0.0)</f>
        <v>0</v>
      </c>
      <c r="L5015" s="10">
        <f>IFERROR(__xludf.DUMMYFUNCTION("""COMPUTED_VALUE"""),563.0)</f>
        <v>563</v>
      </c>
      <c r="M5015" s="5">
        <f>IFERROR(__xludf.DUMMYFUNCTION("""COMPUTED_VALUE"""),1.0)</f>
        <v>1</v>
      </c>
    </row>
    <row r="5016">
      <c r="A5016" s="10" t="str">
        <f>IFERROR(__xludf.DUMMYFUNCTION("""COMPUTED_VALUE"""),"mosa")</f>
        <v>mosa</v>
      </c>
      <c r="B5016" s="10">
        <f>IFERROR(__xludf.DUMMYFUNCTION("""COMPUTED_VALUE"""),400.0)</f>
        <v>400</v>
      </c>
      <c r="C5016" s="10">
        <f>IFERROR(__xludf.DUMMYFUNCTION("""COMPUTED_VALUE"""),4691.0)</f>
        <v>4691</v>
      </c>
      <c r="D5016" s="5">
        <f>IFERROR(__xludf.DUMMYFUNCTION("""COMPUTED_VALUE"""),0.34560708459566536)</f>
        <v>0.3456070846</v>
      </c>
      <c r="E5016" s="5">
        <f>IFERROR(__xludf.DUMMYFUNCTION("""COMPUTED_VALUE"""),0.11302726637147519)</f>
        <v>0.1130272664</v>
      </c>
      <c r="F5016" s="5">
        <f>IFERROR(__xludf.DUMMYFUNCTION("""COMPUTED_VALUE"""),0.1980890235376369)</f>
        <v>0.1980890235</v>
      </c>
      <c r="G5016" s="5">
        <f>IFERROR(__xludf.DUMMYFUNCTION("""COMPUTED_VALUE"""),0.18573759030529013)</f>
        <v>0.1857375903</v>
      </c>
      <c r="H5016" s="5">
        <f>IFERROR(__xludf.DUMMYFUNCTION("""COMPUTED_VALUE"""),0.591764705882353)</f>
        <v>0.5917647059</v>
      </c>
      <c r="I5016" s="11">
        <f>IFERROR(__xludf.DUMMYFUNCTION("""COMPUTED_VALUE"""),5905.294117647059)</f>
        <v>5905.294118</v>
      </c>
      <c r="J5016" s="10">
        <f>IFERROR(__xludf.DUMMYFUNCTION("""COMPUTED_VALUE"""),0.0)</f>
        <v>0</v>
      </c>
      <c r="K5016" s="5">
        <f>IFERROR(__xludf.DUMMYFUNCTION("""COMPUTED_VALUE"""),0.0)</f>
        <v>0</v>
      </c>
      <c r="L5016" s="10">
        <f>IFERROR(__xludf.DUMMYFUNCTION("""COMPUTED_VALUE"""),400.0)</f>
        <v>400</v>
      </c>
      <c r="M5016" s="5">
        <f>IFERROR(__xludf.DUMMYFUNCTION("""COMPUTED_VALUE"""),1.0)</f>
        <v>1</v>
      </c>
    </row>
    <row r="5017">
      <c r="A5017" s="10" t="str">
        <f>IFERROR(__xludf.DUMMYFUNCTION("""COMPUTED_VALUE"""),"天鼓")</f>
        <v>天鼓</v>
      </c>
      <c r="B5017" s="10">
        <f>IFERROR(__xludf.DUMMYFUNCTION("""COMPUTED_VALUE"""),4406.0)</f>
        <v>4406</v>
      </c>
      <c r="C5017" s="10">
        <f>IFERROR(__xludf.DUMMYFUNCTION("""COMPUTED_VALUE"""),52148.0)</f>
        <v>52148</v>
      </c>
      <c r="D5017" s="5">
        <f>IFERROR(__xludf.DUMMYFUNCTION("""COMPUTED_VALUE"""),0.35352519793892173)</f>
        <v>0.3535251979</v>
      </c>
      <c r="E5017" s="5">
        <f>IFERROR(__xludf.DUMMYFUNCTION("""COMPUTED_VALUE"""),0.1130241715889573)</f>
        <v>0.1130241716</v>
      </c>
      <c r="F5017" s="5">
        <f>IFERROR(__xludf.DUMMYFUNCTION("""COMPUTED_VALUE"""),0.2131037660759918)</f>
        <v>0.2131037661</v>
      </c>
      <c r="G5017" s="5">
        <f>IFERROR(__xludf.DUMMYFUNCTION("""COMPUTED_VALUE"""),0.15594235683465293)</f>
        <v>0.1559423568</v>
      </c>
      <c r="H5017" s="5">
        <f>IFERROR(__xludf.DUMMYFUNCTION("""COMPUTED_VALUE"""),0.602909376842933)</f>
        <v>0.6029093768</v>
      </c>
      <c r="I5017" s="11">
        <f>IFERROR(__xludf.DUMMYFUNCTION("""COMPUTED_VALUE"""),5475.4079024965595)</f>
        <v>5475.407902</v>
      </c>
      <c r="J5017" s="10">
        <f>IFERROR(__xludf.DUMMYFUNCTION("""COMPUTED_VALUE"""),8.0)</f>
        <v>8</v>
      </c>
      <c r="K5017" s="5">
        <f>IFERROR(__xludf.DUMMYFUNCTION("""COMPUTED_VALUE"""),0.0018157058556513845)</f>
        <v>0.001815705856</v>
      </c>
      <c r="L5017" s="10">
        <f>IFERROR(__xludf.DUMMYFUNCTION("""COMPUTED_VALUE"""),4344.0)</f>
        <v>4344</v>
      </c>
      <c r="M5017" s="5">
        <f>IFERROR(__xludf.DUMMYFUNCTION("""COMPUTED_VALUE"""),0.9859282796187018)</f>
        <v>0.9859282796</v>
      </c>
    </row>
    <row r="5018">
      <c r="A5018" s="10" t="str">
        <f>IFERROR(__xludf.DUMMYFUNCTION("""COMPUTED_VALUE"""),"ちゃんひきぞう")</f>
        <v>ちゃんひきぞう</v>
      </c>
      <c r="B5018" s="10">
        <f>IFERROR(__xludf.DUMMYFUNCTION("""COMPUTED_VALUE"""),662.0)</f>
        <v>662</v>
      </c>
      <c r="C5018" s="10">
        <f>IFERROR(__xludf.DUMMYFUNCTION("""COMPUTED_VALUE"""),7696.0)</f>
        <v>7696</v>
      </c>
      <c r="D5018" s="5">
        <f>IFERROR(__xludf.DUMMYFUNCTION("""COMPUTED_VALUE"""),0.3518623827125391)</f>
        <v>0.3518623827</v>
      </c>
      <c r="E5018" s="5">
        <f>IFERROR(__xludf.DUMMYFUNCTION("""COMPUTED_VALUE"""),0.1130224623258459)</f>
        <v>0.1130224623</v>
      </c>
      <c r="F5018" s="5">
        <f>IFERROR(__xludf.DUMMYFUNCTION("""COMPUTED_VALUE"""),0.20827409724196758)</f>
        <v>0.2082740972</v>
      </c>
      <c r="G5018" s="5">
        <f>IFERROR(__xludf.DUMMYFUNCTION("""COMPUTED_VALUE"""),0.1744384418538527)</f>
        <v>0.1744384419</v>
      </c>
      <c r="H5018" s="5">
        <f>IFERROR(__xludf.DUMMYFUNCTION("""COMPUTED_VALUE"""),0.5924914675767918)</f>
        <v>0.5924914676</v>
      </c>
      <c r="I5018" s="11">
        <f>IFERROR(__xludf.DUMMYFUNCTION("""COMPUTED_VALUE"""),5602.320819112628)</f>
        <v>5602.320819</v>
      </c>
      <c r="J5018" s="10">
        <f>IFERROR(__xludf.DUMMYFUNCTION("""COMPUTED_VALUE"""),1.0)</f>
        <v>1</v>
      </c>
      <c r="K5018" s="5">
        <f>IFERROR(__xludf.DUMMYFUNCTION("""COMPUTED_VALUE"""),0.0015105740181268882)</f>
        <v>0.001510574018</v>
      </c>
      <c r="L5018" s="10">
        <f>IFERROR(__xludf.DUMMYFUNCTION("""COMPUTED_VALUE"""),662.0)</f>
        <v>662</v>
      </c>
      <c r="M5018" s="5">
        <f>IFERROR(__xludf.DUMMYFUNCTION("""COMPUTED_VALUE"""),1.0)</f>
        <v>1</v>
      </c>
    </row>
    <row r="5019">
      <c r="A5019" s="10" t="str">
        <f>IFERROR(__xludf.DUMMYFUNCTION("""COMPUTED_VALUE"""),"◇ハク◇")</f>
        <v>◇ハク◇</v>
      </c>
      <c r="B5019" s="10">
        <f>IFERROR(__xludf.DUMMYFUNCTION("""COMPUTED_VALUE"""),530.0)</f>
        <v>530</v>
      </c>
      <c r="C5019" s="10">
        <f>IFERROR(__xludf.DUMMYFUNCTION("""COMPUTED_VALUE"""),6140.0)</f>
        <v>6140</v>
      </c>
      <c r="D5019" s="5">
        <f>IFERROR(__xludf.DUMMYFUNCTION("""COMPUTED_VALUE"""),0.3595365418894831)</f>
        <v>0.3595365419</v>
      </c>
      <c r="E5019" s="5">
        <f>IFERROR(__xludf.DUMMYFUNCTION("""COMPUTED_VALUE"""),0.11301247771836007)</f>
        <v>0.1130124777</v>
      </c>
      <c r="F5019" s="5">
        <f>IFERROR(__xludf.DUMMYFUNCTION("""COMPUTED_VALUE"""),0.210873440285205)</f>
        <v>0.2108734403</v>
      </c>
      <c r="G5019" s="5">
        <f>IFERROR(__xludf.DUMMYFUNCTION("""COMPUTED_VALUE"""),0.17985739750445634)</f>
        <v>0.1798573975</v>
      </c>
      <c r="H5019" s="5">
        <f>IFERROR(__xludf.DUMMYFUNCTION("""COMPUTED_VALUE"""),0.569737954353339)</f>
        <v>0.5697379544</v>
      </c>
      <c r="I5019" s="11">
        <f>IFERROR(__xludf.DUMMYFUNCTION("""COMPUTED_VALUE"""),5658.32628909552)</f>
        <v>5658.326289</v>
      </c>
      <c r="J5019" s="10">
        <f>IFERROR(__xludf.DUMMYFUNCTION("""COMPUTED_VALUE"""),1.0)</f>
        <v>1</v>
      </c>
      <c r="K5019" s="5">
        <f>IFERROR(__xludf.DUMMYFUNCTION("""COMPUTED_VALUE"""),0.0018867924528301887)</f>
        <v>0.001886792453</v>
      </c>
      <c r="L5019" s="10">
        <f>IFERROR(__xludf.DUMMYFUNCTION("""COMPUTED_VALUE"""),530.0)</f>
        <v>530</v>
      </c>
      <c r="M5019" s="5">
        <f>IFERROR(__xludf.DUMMYFUNCTION("""COMPUTED_VALUE"""),1.0)</f>
        <v>1</v>
      </c>
    </row>
    <row r="5020">
      <c r="A5020" s="10" t="str">
        <f>IFERROR(__xludf.DUMMYFUNCTION("""COMPUTED_VALUE"""),"Hermann")</f>
        <v>Hermann</v>
      </c>
      <c r="B5020" s="10">
        <f>IFERROR(__xludf.DUMMYFUNCTION("""COMPUTED_VALUE"""),319.0)</f>
        <v>319</v>
      </c>
      <c r="C5020" s="10">
        <f>IFERROR(__xludf.DUMMYFUNCTION("""COMPUTED_VALUE"""),3717.0)</f>
        <v>3717</v>
      </c>
      <c r="D5020" s="5">
        <f>IFERROR(__xludf.DUMMYFUNCTION("""COMPUTED_VALUE"""),0.3905238375515009)</f>
        <v>0.3905238376</v>
      </c>
      <c r="E5020" s="5">
        <f>IFERROR(__xludf.DUMMYFUNCTION("""COMPUTED_VALUE"""),0.11300765155974102)</f>
        <v>0.1130076516</v>
      </c>
      <c r="F5020" s="5">
        <f>IFERROR(__xludf.DUMMYFUNCTION("""COMPUTED_VALUE"""),0.21453796350794585)</f>
        <v>0.2145379635</v>
      </c>
      <c r="G5020" s="5">
        <f>IFERROR(__xludf.DUMMYFUNCTION("""COMPUTED_VALUE"""),0.15685697469099472)</f>
        <v>0.1568569747</v>
      </c>
      <c r="H5020" s="5">
        <f>IFERROR(__xludf.DUMMYFUNCTION("""COMPUTED_VALUE"""),0.6172839506172839)</f>
        <v>0.6172839506</v>
      </c>
      <c r="I5020" s="11">
        <f>IFERROR(__xludf.DUMMYFUNCTION("""COMPUTED_VALUE"""),5067.078189300411)</f>
        <v>5067.078189</v>
      </c>
      <c r="J5020" s="10">
        <f>IFERROR(__xludf.DUMMYFUNCTION("""COMPUTED_VALUE"""),1.0)</f>
        <v>1</v>
      </c>
      <c r="K5020" s="5">
        <f>IFERROR(__xludf.DUMMYFUNCTION("""COMPUTED_VALUE"""),0.003134796238244514)</f>
        <v>0.003134796238</v>
      </c>
      <c r="L5020" s="10">
        <f>IFERROR(__xludf.DUMMYFUNCTION("""COMPUTED_VALUE"""),319.0)</f>
        <v>319</v>
      </c>
      <c r="M5020" s="5">
        <f>IFERROR(__xludf.DUMMYFUNCTION("""COMPUTED_VALUE"""),1.0)</f>
        <v>1</v>
      </c>
    </row>
    <row r="5021">
      <c r="A5021" s="10" t="str">
        <f>IFERROR(__xludf.DUMMYFUNCTION("""COMPUTED_VALUE"""),"ごじゃる")</f>
        <v>ごじゃる</v>
      </c>
      <c r="B5021" s="10">
        <f>IFERROR(__xludf.DUMMYFUNCTION("""COMPUTED_VALUE"""),1195.0)</f>
        <v>1195</v>
      </c>
      <c r="C5021" s="10">
        <f>IFERROR(__xludf.DUMMYFUNCTION("""COMPUTED_VALUE"""),14018.0)</f>
        <v>14018</v>
      </c>
      <c r="D5021" s="5">
        <f>IFERROR(__xludf.DUMMYFUNCTION("""COMPUTED_VALUE"""),0.3518677376588942)</f>
        <v>0.3518677377</v>
      </c>
      <c r="E5021" s="5">
        <f>IFERROR(__xludf.DUMMYFUNCTION("""COMPUTED_VALUE"""),0.11300007798487094)</f>
        <v>0.113000078</v>
      </c>
      <c r="F5021" s="5">
        <f>IFERROR(__xludf.DUMMYFUNCTION("""COMPUTED_VALUE"""),0.21500428916790143)</f>
        <v>0.2150042892</v>
      </c>
      <c r="G5021" s="5">
        <f>IFERROR(__xludf.DUMMYFUNCTION("""COMPUTED_VALUE"""),0.16064883412617953)</f>
        <v>0.1606488341</v>
      </c>
      <c r="H5021" s="5">
        <f>IFERROR(__xludf.DUMMYFUNCTION("""COMPUTED_VALUE"""),0.5937613347841857)</f>
        <v>0.5937613348</v>
      </c>
      <c r="I5021" s="11">
        <f>IFERROR(__xludf.DUMMYFUNCTION("""COMPUTED_VALUE"""),5576.169749727966)</f>
        <v>5576.16975</v>
      </c>
      <c r="J5021" s="10">
        <f>IFERROR(__xludf.DUMMYFUNCTION("""COMPUTED_VALUE"""),4.0)</f>
        <v>4</v>
      </c>
      <c r="K5021" s="5">
        <f>IFERROR(__xludf.DUMMYFUNCTION("""COMPUTED_VALUE"""),0.0033472803347280333)</f>
        <v>0.003347280335</v>
      </c>
      <c r="L5021" s="10">
        <f>IFERROR(__xludf.DUMMYFUNCTION("""COMPUTED_VALUE"""),1195.0)</f>
        <v>1195</v>
      </c>
      <c r="M5021" s="5">
        <f>IFERROR(__xludf.DUMMYFUNCTION("""COMPUTED_VALUE"""),1.0)</f>
        <v>1</v>
      </c>
    </row>
    <row r="5022">
      <c r="A5022" s="10" t="str">
        <f>IFERROR(__xludf.DUMMYFUNCTION("""COMPUTED_VALUE"""),"sarada")</f>
        <v>sarada</v>
      </c>
      <c r="B5022" s="10">
        <f>IFERROR(__xludf.DUMMYFUNCTION("""COMPUTED_VALUE"""),135.0)</f>
        <v>135</v>
      </c>
      <c r="C5022" s="10">
        <f>IFERROR(__xludf.DUMMYFUNCTION("""COMPUTED_VALUE"""),1613.0)</f>
        <v>1613</v>
      </c>
      <c r="D5022" s="5">
        <f>IFERROR(__xludf.DUMMYFUNCTION("""COMPUTED_VALUE"""),0.38294993234100133)</f>
        <v>0.3829499323</v>
      </c>
      <c r="E5022" s="5">
        <f>IFERROR(__xludf.DUMMYFUNCTION("""COMPUTED_VALUE"""),0.11299052774018944)</f>
        <v>0.1129905277</v>
      </c>
      <c r="F5022" s="5">
        <f>IFERROR(__xludf.DUMMYFUNCTION("""COMPUTED_VALUE"""),0.21312584573748308)</f>
        <v>0.2131258457</v>
      </c>
      <c r="G5022" s="5">
        <f>IFERROR(__xludf.DUMMYFUNCTION("""COMPUTED_VALUE"""),0.15967523680649526)</f>
        <v>0.1596752368</v>
      </c>
      <c r="H5022" s="5">
        <f>IFERROR(__xludf.DUMMYFUNCTION("""COMPUTED_VALUE"""),0.6349206349206349)</f>
        <v>0.6349206349</v>
      </c>
      <c r="I5022" s="11">
        <f>IFERROR(__xludf.DUMMYFUNCTION("""COMPUTED_VALUE"""),5092.063492063492)</f>
        <v>5092.063492</v>
      </c>
      <c r="J5022" s="10">
        <f>IFERROR(__xludf.DUMMYFUNCTION("""COMPUTED_VALUE"""),0.0)</f>
        <v>0</v>
      </c>
      <c r="K5022" s="5">
        <f>IFERROR(__xludf.DUMMYFUNCTION("""COMPUTED_VALUE"""),0.0)</f>
        <v>0</v>
      </c>
      <c r="L5022" s="10">
        <f>IFERROR(__xludf.DUMMYFUNCTION("""COMPUTED_VALUE"""),111.0)</f>
        <v>111</v>
      </c>
      <c r="M5022" s="5">
        <f>IFERROR(__xludf.DUMMYFUNCTION("""COMPUTED_VALUE"""),0.8222222222222222)</f>
        <v>0.8222222222</v>
      </c>
    </row>
    <row r="5023">
      <c r="A5023" s="10" t="str">
        <f>IFERROR(__xludf.DUMMYFUNCTION("""COMPUTED_VALUE"""),"ふがい")</f>
        <v>ふがい</v>
      </c>
      <c r="B5023" s="10">
        <f>IFERROR(__xludf.DUMMYFUNCTION("""COMPUTED_VALUE"""),123.0)</f>
        <v>123</v>
      </c>
      <c r="C5023" s="10">
        <f>IFERROR(__xludf.DUMMYFUNCTION("""COMPUTED_VALUE"""),1433.0)</f>
        <v>1433</v>
      </c>
      <c r="D5023" s="5">
        <f>IFERROR(__xludf.DUMMYFUNCTION("""COMPUTED_VALUE"""),0.3)</f>
        <v>0.3</v>
      </c>
      <c r="E5023" s="5">
        <f>IFERROR(__xludf.DUMMYFUNCTION("""COMPUTED_VALUE"""),0.11297709923664122)</f>
        <v>0.1129770992</v>
      </c>
      <c r="F5023" s="5">
        <f>IFERROR(__xludf.DUMMYFUNCTION("""COMPUTED_VALUE"""),0.20610687022900764)</f>
        <v>0.2061068702</v>
      </c>
      <c r="G5023" s="5">
        <f>IFERROR(__xludf.DUMMYFUNCTION("""COMPUTED_VALUE"""),0.14961832061068703)</f>
        <v>0.1496183206</v>
      </c>
      <c r="H5023" s="5">
        <f>IFERROR(__xludf.DUMMYFUNCTION("""COMPUTED_VALUE"""),0.6111111111111112)</f>
        <v>0.6111111111</v>
      </c>
      <c r="I5023" s="11">
        <f>IFERROR(__xludf.DUMMYFUNCTION("""COMPUTED_VALUE"""),5693.333333333333)</f>
        <v>5693.333333</v>
      </c>
      <c r="J5023" s="10">
        <f>IFERROR(__xludf.DUMMYFUNCTION("""COMPUTED_VALUE"""),0.0)</f>
        <v>0</v>
      </c>
      <c r="K5023" s="5">
        <f>IFERROR(__xludf.DUMMYFUNCTION("""COMPUTED_VALUE"""),0.0)</f>
        <v>0</v>
      </c>
      <c r="L5023" s="10">
        <f>IFERROR(__xludf.DUMMYFUNCTION("""COMPUTED_VALUE"""),9.0)</f>
        <v>9</v>
      </c>
      <c r="M5023" s="5">
        <f>IFERROR(__xludf.DUMMYFUNCTION("""COMPUTED_VALUE"""),0.07317073170731707)</f>
        <v>0.07317073171</v>
      </c>
    </row>
    <row r="5024">
      <c r="A5024" s="10" t="str">
        <f>IFERROR(__xludf.DUMMYFUNCTION("""COMPUTED_VALUE"""),"氷無七")</f>
        <v>氷無七</v>
      </c>
      <c r="B5024" s="10">
        <f>IFERROR(__xludf.DUMMYFUNCTION("""COMPUTED_VALUE"""),821.0)</f>
        <v>821</v>
      </c>
      <c r="C5024" s="10">
        <f>IFERROR(__xludf.DUMMYFUNCTION("""COMPUTED_VALUE"""),9629.0)</f>
        <v>9629</v>
      </c>
      <c r="D5024" s="5">
        <f>IFERROR(__xludf.DUMMYFUNCTION("""COMPUTED_VALUE"""),0.2997275204359673)</f>
        <v>0.2997275204</v>
      </c>
      <c r="E5024" s="5">
        <f>IFERROR(__xludf.DUMMYFUNCTION("""COMPUTED_VALUE"""),0.1129654859218892)</f>
        <v>0.1129654859</v>
      </c>
      <c r="F5024" s="5">
        <f>IFERROR(__xludf.DUMMYFUNCTION("""COMPUTED_VALUE"""),0.1967529518619437)</f>
        <v>0.1967529519</v>
      </c>
      <c r="G5024" s="5">
        <f>IFERROR(__xludf.DUMMYFUNCTION("""COMPUTED_VALUE"""),0.15701634877384196)</f>
        <v>0.1570163488</v>
      </c>
      <c r="H5024" s="5">
        <f>IFERROR(__xludf.DUMMYFUNCTION("""COMPUTED_VALUE"""),0.6139642238892095)</f>
        <v>0.6139642239</v>
      </c>
      <c r="I5024" s="11">
        <f>IFERROR(__xludf.DUMMYFUNCTION("""COMPUTED_VALUE"""),5576.110790536642)</f>
        <v>5576.110791</v>
      </c>
      <c r="J5024" s="10">
        <f>IFERROR(__xludf.DUMMYFUNCTION("""COMPUTED_VALUE"""),0.0)</f>
        <v>0</v>
      </c>
      <c r="K5024" s="5">
        <f>IFERROR(__xludf.DUMMYFUNCTION("""COMPUTED_VALUE"""),0.0)</f>
        <v>0</v>
      </c>
      <c r="L5024" s="10">
        <f>IFERROR(__xludf.DUMMYFUNCTION("""COMPUTED_VALUE"""),729.0)</f>
        <v>729</v>
      </c>
      <c r="M5024" s="5">
        <f>IFERROR(__xludf.DUMMYFUNCTION("""COMPUTED_VALUE"""),0.8879415347137637)</f>
        <v>0.8879415347</v>
      </c>
    </row>
    <row r="5025">
      <c r="A5025" s="10" t="str">
        <f>IFERROR(__xludf.DUMMYFUNCTION("""COMPUTED_VALUE"""),"＿ゆゆゆ")</f>
        <v>＿ゆゆゆ</v>
      </c>
      <c r="B5025" s="10">
        <f>IFERROR(__xludf.DUMMYFUNCTION("""COMPUTED_VALUE"""),356.0)</f>
        <v>356</v>
      </c>
      <c r="C5025" s="10">
        <f>IFERROR(__xludf.DUMMYFUNCTION("""COMPUTED_VALUE"""),4198.0)</f>
        <v>4198</v>
      </c>
      <c r="D5025" s="5">
        <f>IFERROR(__xludf.DUMMYFUNCTION("""COMPUTED_VALUE"""),0.3740239458615304)</f>
        <v>0.3740239459</v>
      </c>
      <c r="E5025" s="5">
        <f>IFERROR(__xludf.DUMMYFUNCTION("""COMPUTED_VALUE"""),0.11296199895887558)</f>
        <v>0.112961999</v>
      </c>
      <c r="F5025" s="5">
        <f>IFERROR(__xludf.DUMMYFUNCTION("""COMPUTED_VALUE"""),0.20458094742321709)</f>
        <v>0.2045809474</v>
      </c>
      <c r="G5025" s="5">
        <f>IFERROR(__xludf.DUMMYFUNCTION("""COMPUTED_VALUE"""),0.16631962519521082)</f>
        <v>0.1663196252</v>
      </c>
      <c r="H5025" s="5">
        <f>IFERROR(__xludf.DUMMYFUNCTION("""COMPUTED_VALUE"""),0.6145038167938931)</f>
        <v>0.6145038168</v>
      </c>
      <c r="I5025" s="11">
        <f>IFERROR(__xludf.DUMMYFUNCTION("""COMPUTED_VALUE"""),5311.0687022900765)</f>
        <v>5311.068702</v>
      </c>
      <c r="J5025" s="10">
        <f>IFERROR(__xludf.DUMMYFUNCTION("""COMPUTED_VALUE"""),0.0)</f>
        <v>0</v>
      </c>
      <c r="K5025" s="5">
        <f>IFERROR(__xludf.DUMMYFUNCTION("""COMPUTED_VALUE"""),0.0)</f>
        <v>0</v>
      </c>
      <c r="L5025" s="10">
        <f>IFERROR(__xludf.DUMMYFUNCTION("""COMPUTED_VALUE"""),0.0)</f>
        <v>0</v>
      </c>
      <c r="M5025" s="5">
        <f>IFERROR(__xludf.DUMMYFUNCTION("""COMPUTED_VALUE"""),0.0)</f>
        <v>0</v>
      </c>
    </row>
    <row r="5026">
      <c r="A5026" s="10" t="str">
        <f>IFERROR(__xludf.DUMMYFUNCTION("""COMPUTED_VALUE"""),"ハワイアン")</f>
        <v>ハワイアン</v>
      </c>
      <c r="B5026" s="10">
        <f>IFERROR(__xludf.DUMMYFUNCTION("""COMPUTED_VALUE"""),237.0)</f>
        <v>237</v>
      </c>
      <c r="C5026" s="10">
        <f>IFERROR(__xludf.DUMMYFUNCTION("""COMPUTED_VALUE"""),2822.0)</f>
        <v>2822</v>
      </c>
      <c r="D5026" s="5">
        <f>IFERROR(__xludf.DUMMYFUNCTION("""COMPUTED_VALUE"""),0.19574468085106383)</f>
        <v>0.1957446809</v>
      </c>
      <c r="E5026" s="5">
        <f>IFERROR(__xludf.DUMMYFUNCTION("""COMPUTED_VALUE"""),0.11295938104448743)</f>
        <v>0.112959381</v>
      </c>
      <c r="F5026" s="5">
        <f>IFERROR(__xludf.DUMMYFUNCTION("""COMPUTED_VALUE"""),0.181431334622824)</f>
        <v>0.1814313346</v>
      </c>
      <c r="G5026" s="5">
        <f>IFERROR(__xludf.DUMMYFUNCTION("""COMPUTED_VALUE"""),0.16595744680851063)</f>
        <v>0.1659574468</v>
      </c>
      <c r="H5026" s="5">
        <f>IFERROR(__xludf.DUMMYFUNCTION("""COMPUTED_VALUE"""),0.5884861407249466)</f>
        <v>0.5884861407</v>
      </c>
      <c r="I5026" s="11">
        <f>IFERROR(__xludf.DUMMYFUNCTION("""COMPUTED_VALUE"""),5839.232409381663)</f>
        <v>5839.232409</v>
      </c>
      <c r="J5026" s="10">
        <f>IFERROR(__xludf.DUMMYFUNCTION("""COMPUTED_VALUE"""),1.0)</f>
        <v>1</v>
      </c>
      <c r="K5026" s="5">
        <f>IFERROR(__xludf.DUMMYFUNCTION("""COMPUTED_VALUE"""),0.004219409282700422)</f>
        <v>0.004219409283</v>
      </c>
      <c r="L5026" s="10">
        <f>IFERROR(__xludf.DUMMYFUNCTION("""COMPUTED_VALUE"""),237.0)</f>
        <v>237</v>
      </c>
      <c r="M5026" s="5">
        <f>IFERROR(__xludf.DUMMYFUNCTION("""COMPUTED_VALUE"""),1.0)</f>
        <v>1</v>
      </c>
    </row>
    <row r="5027">
      <c r="A5027" s="10" t="str">
        <f>IFERROR(__xludf.DUMMYFUNCTION("""COMPUTED_VALUE"""),"遠刈田温泉・激熱")</f>
        <v>遠刈田温泉・激熱</v>
      </c>
      <c r="B5027" s="10">
        <f>IFERROR(__xludf.DUMMYFUNCTION("""COMPUTED_VALUE"""),174.0)</f>
        <v>174</v>
      </c>
      <c r="C5027" s="10">
        <f>IFERROR(__xludf.DUMMYFUNCTION("""COMPUTED_VALUE"""),2042.0)</f>
        <v>2042</v>
      </c>
      <c r="D5027" s="5">
        <f>IFERROR(__xludf.DUMMYFUNCTION("""COMPUTED_VALUE"""),0.31798715203426126)</f>
        <v>0.317987152</v>
      </c>
      <c r="E5027" s="5">
        <f>IFERROR(__xludf.DUMMYFUNCTION("""COMPUTED_VALUE"""),0.11295503211991435)</f>
        <v>0.1129550321</v>
      </c>
      <c r="F5027" s="5">
        <f>IFERROR(__xludf.DUMMYFUNCTION("""COMPUTED_VALUE"""),0.2082441113490364)</f>
        <v>0.2082441113</v>
      </c>
      <c r="G5027" s="5">
        <f>IFERROR(__xludf.DUMMYFUNCTION("""COMPUTED_VALUE"""),0.17291220556745182)</f>
        <v>0.1729122056</v>
      </c>
      <c r="H5027" s="5">
        <f>IFERROR(__xludf.DUMMYFUNCTION("""COMPUTED_VALUE"""),0.5758354755784062)</f>
        <v>0.5758354756</v>
      </c>
      <c r="I5027" s="11">
        <f>IFERROR(__xludf.DUMMYFUNCTION("""COMPUTED_VALUE"""),5814.13881748072)</f>
        <v>5814.138817</v>
      </c>
      <c r="J5027" s="10">
        <f>IFERROR(__xludf.DUMMYFUNCTION("""COMPUTED_VALUE"""),0.0)</f>
        <v>0</v>
      </c>
      <c r="K5027" s="5">
        <f>IFERROR(__xludf.DUMMYFUNCTION("""COMPUTED_VALUE"""),0.0)</f>
        <v>0</v>
      </c>
      <c r="L5027" s="10">
        <f>IFERROR(__xludf.DUMMYFUNCTION("""COMPUTED_VALUE"""),174.0)</f>
        <v>174</v>
      </c>
      <c r="M5027" s="5">
        <f>IFERROR(__xludf.DUMMYFUNCTION("""COMPUTED_VALUE"""),1.0)</f>
        <v>1</v>
      </c>
    </row>
    <row r="5028">
      <c r="A5028" s="10" t="str">
        <f>IFERROR(__xludf.DUMMYFUNCTION("""COMPUTED_VALUE"""),"名前")</f>
        <v>名前</v>
      </c>
      <c r="B5028" s="10">
        <f>IFERROR(__xludf.DUMMYFUNCTION("""COMPUTED_VALUE"""),329.0)</f>
        <v>329</v>
      </c>
      <c r="C5028" s="10">
        <f>IFERROR(__xludf.DUMMYFUNCTION("""COMPUTED_VALUE"""),3826.0)</f>
        <v>3826</v>
      </c>
      <c r="D5028" s="5">
        <f>IFERROR(__xludf.DUMMYFUNCTION("""COMPUTED_VALUE"""),0.3128395767800972)</f>
        <v>0.3128395768</v>
      </c>
      <c r="E5028" s="5">
        <f>IFERROR(__xludf.DUMMYFUNCTION("""COMPUTED_VALUE"""),0.11295396053760366)</f>
        <v>0.1129539605</v>
      </c>
      <c r="F5028" s="5">
        <f>IFERROR(__xludf.DUMMYFUNCTION("""COMPUTED_VALUE"""),0.21189591078066913)</f>
        <v>0.2118959108</v>
      </c>
      <c r="G5028" s="5">
        <f>IFERROR(__xludf.DUMMYFUNCTION("""COMPUTED_VALUE"""),0.16385473262796682)</f>
        <v>0.1638547326</v>
      </c>
      <c r="H5028" s="5">
        <f>IFERROR(__xludf.DUMMYFUNCTION("""COMPUTED_VALUE"""),0.5937921727395412)</f>
        <v>0.5937921727</v>
      </c>
      <c r="I5028" s="11">
        <f>IFERROR(__xludf.DUMMYFUNCTION("""COMPUTED_VALUE"""),5483.130904183536)</f>
        <v>5483.130904</v>
      </c>
      <c r="J5028" s="10">
        <f>IFERROR(__xludf.DUMMYFUNCTION("""COMPUTED_VALUE"""),1.0)</f>
        <v>1</v>
      </c>
      <c r="K5028" s="5">
        <f>IFERROR(__xludf.DUMMYFUNCTION("""COMPUTED_VALUE"""),0.00303951367781155)</f>
        <v>0.003039513678</v>
      </c>
      <c r="L5028" s="10">
        <f>IFERROR(__xludf.DUMMYFUNCTION("""COMPUTED_VALUE"""),329.0)</f>
        <v>329</v>
      </c>
      <c r="M5028" s="5">
        <f>IFERROR(__xludf.DUMMYFUNCTION("""COMPUTED_VALUE"""),1.0)</f>
        <v>1</v>
      </c>
    </row>
    <row r="5029">
      <c r="A5029" s="10" t="str">
        <f>IFERROR(__xludf.DUMMYFUNCTION("""COMPUTED_VALUE"""),"えむ蔵")</f>
        <v>えむ蔵</v>
      </c>
      <c r="B5029" s="10">
        <f>IFERROR(__xludf.DUMMYFUNCTION("""COMPUTED_VALUE"""),563.0)</f>
        <v>563</v>
      </c>
      <c r="C5029" s="10">
        <f>IFERROR(__xludf.DUMMYFUNCTION("""COMPUTED_VALUE"""),6806.0)</f>
        <v>6806</v>
      </c>
      <c r="D5029" s="5">
        <f>IFERROR(__xludf.DUMMYFUNCTION("""COMPUTED_VALUE"""),0.3680922633349351)</f>
        <v>0.3680922633</v>
      </c>
      <c r="E5029" s="5">
        <f>IFERROR(__xludf.DUMMYFUNCTION("""COMPUTED_VALUE"""),0.11292647765497357)</f>
        <v>0.1129264777</v>
      </c>
      <c r="F5029" s="5">
        <f>IFERROR(__xludf.DUMMYFUNCTION("""COMPUTED_VALUE"""),0.20951465641518502)</f>
        <v>0.2095146564</v>
      </c>
      <c r="G5029" s="5">
        <f>IFERROR(__xludf.DUMMYFUNCTION("""COMPUTED_VALUE"""),0.1821239788563191)</f>
        <v>0.1821239789</v>
      </c>
      <c r="H5029" s="5">
        <f>IFERROR(__xludf.DUMMYFUNCTION("""COMPUTED_VALUE"""),0.5649847094801224)</f>
        <v>0.5649847095</v>
      </c>
      <c r="I5029" s="11">
        <f>IFERROR(__xludf.DUMMYFUNCTION("""COMPUTED_VALUE"""),5706.269113149847)</f>
        <v>5706.269113</v>
      </c>
      <c r="J5029" s="10">
        <f>IFERROR(__xludf.DUMMYFUNCTION("""COMPUTED_VALUE"""),0.0)</f>
        <v>0</v>
      </c>
      <c r="K5029" s="5">
        <f>IFERROR(__xludf.DUMMYFUNCTION("""COMPUTED_VALUE"""),0.0)</f>
        <v>0</v>
      </c>
      <c r="L5029" s="10">
        <f>IFERROR(__xludf.DUMMYFUNCTION("""COMPUTED_VALUE"""),386.0)</f>
        <v>386</v>
      </c>
      <c r="M5029" s="5">
        <f>IFERROR(__xludf.DUMMYFUNCTION("""COMPUTED_VALUE"""),0.6856127886323268)</f>
        <v>0.6856127886</v>
      </c>
    </row>
    <row r="5030">
      <c r="A5030" s="10" t="str">
        <f>IFERROR(__xludf.DUMMYFUNCTION("""COMPUTED_VALUE"""),"MillReef")</f>
        <v>MillReef</v>
      </c>
      <c r="B5030" s="10">
        <f>IFERROR(__xludf.DUMMYFUNCTION("""COMPUTED_VALUE"""),206.0)</f>
        <v>206</v>
      </c>
      <c r="C5030" s="10">
        <f>IFERROR(__xludf.DUMMYFUNCTION("""COMPUTED_VALUE"""),2411.0)</f>
        <v>2411</v>
      </c>
      <c r="D5030" s="5">
        <f>IFERROR(__xludf.DUMMYFUNCTION("""COMPUTED_VALUE"""),0.3287981859410431)</f>
        <v>0.3287981859</v>
      </c>
      <c r="E5030" s="5">
        <f>IFERROR(__xludf.DUMMYFUNCTION("""COMPUTED_VALUE"""),0.11292517006802721)</f>
        <v>0.1129251701</v>
      </c>
      <c r="F5030" s="5">
        <f>IFERROR(__xludf.DUMMYFUNCTION("""COMPUTED_VALUE"""),0.1891156462585034)</f>
        <v>0.1891156463</v>
      </c>
      <c r="G5030" s="5">
        <f>IFERROR(__xludf.DUMMYFUNCTION("""COMPUTED_VALUE"""),0.15963718820861678)</f>
        <v>0.1596371882</v>
      </c>
      <c r="H5030" s="5">
        <f>IFERROR(__xludf.DUMMYFUNCTION("""COMPUTED_VALUE"""),0.6019184652278178)</f>
        <v>0.6019184652</v>
      </c>
      <c r="I5030" s="11">
        <f>IFERROR(__xludf.DUMMYFUNCTION("""COMPUTED_VALUE"""),5970.503597122302)</f>
        <v>5970.503597</v>
      </c>
      <c r="J5030" s="10">
        <f>IFERROR(__xludf.DUMMYFUNCTION("""COMPUTED_VALUE"""),0.0)</f>
        <v>0</v>
      </c>
      <c r="K5030" s="5">
        <f>IFERROR(__xludf.DUMMYFUNCTION("""COMPUTED_VALUE"""),0.0)</f>
        <v>0</v>
      </c>
      <c r="L5030" s="10">
        <f>IFERROR(__xludf.DUMMYFUNCTION("""COMPUTED_VALUE"""),206.0)</f>
        <v>206</v>
      </c>
      <c r="M5030" s="5">
        <f>IFERROR(__xludf.DUMMYFUNCTION("""COMPUTED_VALUE"""),1.0)</f>
        <v>1</v>
      </c>
    </row>
    <row r="5031">
      <c r="A5031" s="10" t="str">
        <f>IFERROR(__xludf.DUMMYFUNCTION("""COMPUTED_VALUE"""),"大正麻雀娘。")</f>
        <v>大正麻雀娘。</v>
      </c>
      <c r="B5031" s="10">
        <f>IFERROR(__xludf.DUMMYFUNCTION("""COMPUTED_VALUE"""),760.0)</f>
        <v>760</v>
      </c>
      <c r="C5031" s="10">
        <f>IFERROR(__xludf.DUMMYFUNCTION("""COMPUTED_VALUE"""),9014.0)</f>
        <v>9014</v>
      </c>
      <c r="D5031" s="5">
        <f>IFERROR(__xludf.DUMMYFUNCTION("""COMPUTED_VALUE"""),0.38890235037557547)</f>
        <v>0.3889023504</v>
      </c>
      <c r="E5031" s="5">
        <f>IFERROR(__xludf.DUMMYFUNCTION("""COMPUTED_VALUE"""),0.11291495032711413)</f>
        <v>0.1129149503</v>
      </c>
      <c r="F5031" s="5">
        <f>IFERROR(__xludf.DUMMYFUNCTION("""COMPUTED_VALUE"""),0.20705112672643566)</f>
        <v>0.2070511267</v>
      </c>
      <c r="G5031" s="5">
        <f>IFERROR(__xludf.DUMMYFUNCTION("""COMPUTED_VALUE"""),0.13290525805669978)</f>
        <v>0.1329052581</v>
      </c>
      <c r="H5031" s="5">
        <f>IFERROR(__xludf.DUMMYFUNCTION("""COMPUTED_VALUE"""),0.5874780573434757)</f>
        <v>0.5874780573</v>
      </c>
      <c r="I5031" s="11">
        <f>IFERROR(__xludf.DUMMYFUNCTION("""COMPUTED_VALUE"""),5477.823288472791)</f>
        <v>5477.823288</v>
      </c>
      <c r="J5031" s="10">
        <f>IFERROR(__xludf.DUMMYFUNCTION("""COMPUTED_VALUE"""),1.0)</f>
        <v>1</v>
      </c>
      <c r="K5031" s="5">
        <f>IFERROR(__xludf.DUMMYFUNCTION("""COMPUTED_VALUE"""),0.0013157894736842105)</f>
        <v>0.001315789474</v>
      </c>
      <c r="L5031" s="10">
        <f>IFERROR(__xludf.DUMMYFUNCTION("""COMPUTED_VALUE"""),0.0)</f>
        <v>0</v>
      </c>
      <c r="M5031" s="5">
        <f>IFERROR(__xludf.DUMMYFUNCTION("""COMPUTED_VALUE"""),0.0)</f>
        <v>0</v>
      </c>
    </row>
    <row r="5032">
      <c r="A5032" s="10" t="str">
        <f>IFERROR(__xludf.DUMMYFUNCTION("""COMPUTED_VALUE"""),"D-Learn")</f>
        <v>D-Learn</v>
      </c>
      <c r="B5032" s="10">
        <f>IFERROR(__xludf.DUMMYFUNCTION("""COMPUTED_VALUE"""),470.0)</f>
        <v>470</v>
      </c>
      <c r="C5032" s="10">
        <f>IFERROR(__xludf.DUMMYFUNCTION("""COMPUTED_VALUE"""),5545.0)</f>
        <v>5545</v>
      </c>
      <c r="D5032" s="5">
        <f>IFERROR(__xludf.DUMMYFUNCTION("""COMPUTED_VALUE"""),0.31724137931034485)</f>
        <v>0.3172413793</v>
      </c>
      <c r="E5032" s="5">
        <f>IFERROR(__xludf.DUMMYFUNCTION("""COMPUTED_VALUE"""),0.1129064039408867)</f>
        <v>0.1129064039</v>
      </c>
      <c r="F5032" s="5">
        <f>IFERROR(__xludf.DUMMYFUNCTION("""COMPUTED_VALUE"""),0.190935960591133)</f>
        <v>0.1909359606</v>
      </c>
      <c r="G5032" s="5">
        <f>IFERROR(__xludf.DUMMYFUNCTION("""COMPUTED_VALUE"""),0.1534975369458128)</f>
        <v>0.1534975369</v>
      </c>
      <c r="H5032" s="5">
        <f>IFERROR(__xludf.DUMMYFUNCTION("""COMPUTED_VALUE"""),0.6078431372549019)</f>
        <v>0.6078431373</v>
      </c>
      <c r="I5032" s="11">
        <f>IFERROR(__xludf.DUMMYFUNCTION("""COMPUTED_VALUE"""),5805.77915376677)</f>
        <v>5805.779154</v>
      </c>
      <c r="J5032" s="10">
        <f>IFERROR(__xludf.DUMMYFUNCTION("""COMPUTED_VALUE"""),1.0)</f>
        <v>1</v>
      </c>
      <c r="K5032" s="5">
        <f>IFERROR(__xludf.DUMMYFUNCTION("""COMPUTED_VALUE"""),0.002127659574468085)</f>
        <v>0.002127659574</v>
      </c>
      <c r="L5032" s="10">
        <f>IFERROR(__xludf.DUMMYFUNCTION("""COMPUTED_VALUE"""),470.0)</f>
        <v>470</v>
      </c>
      <c r="M5032" s="5">
        <f>IFERROR(__xludf.DUMMYFUNCTION("""COMPUTED_VALUE"""),1.0)</f>
        <v>1</v>
      </c>
    </row>
    <row r="5033">
      <c r="A5033" s="10" t="str">
        <f>IFERROR(__xludf.DUMMYFUNCTION("""COMPUTED_VALUE"""),"神一打")</f>
        <v>神一打</v>
      </c>
      <c r="B5033" s="10">
        <f>IFERROR(__xludf.DUMMYFUNCTION("""COMPUTED_VALUE"""),1156.0)</f>
        <v>1156</v>
      </c>
      <c r="C5033" s="10">
        <f>IFERROR(__xludf.DUMMYFUNCTION("""COMPUTED_VALUE"""),13452.0)</f>
        <v>13452</v>
      </c>
      <c r="D5033" s="5">
        <f>IFERROR(__xludf.DUMMYFUNCTION("""COMPUTED_VALUE"""),0.2961938841899805)</f>
        <v>0.2961938842</v>
      </c>
      <c r="E5033" s="5">
        <f>IFERROR(__xludf.DUMMYFUNCTION("""COMPUTED_VALUE"""),0.1128822381262199)</f>
        <v>0.1128822381</v>
      </c>
      <c r="F5033" s="5">
        <f>IFERROR(__xludf.DUMMYFUNCTION("""COMPUTED_VALUE"""),0.21226415094339623)</f>
        <v>0.2122641509</v>
      </c>
      <c r="G5033" s="5">
        <f>IFERROR(__xludf.DUMMYFUNCTION("""COMPUTED_VALUE"""),0.1573682498373455)</f>
        <v>0.1573682498</v>
      </c>
      <c r="H5033" s="5">
        <f>IFERROR(__xludf.DUMMYFUNCTION("""COMPUTED_VALUE"""),0.6011494252873564)</f>
        <v>0.6011494253</v>
      </c>
      <c r="I5033" s="11">
        <f>IFERROR(__xludf.DUMMYFUNCTION("""COMPUTED_VALUE"""),5881.992337164751)</f>
        <v>5881.992337</v>
      </c>
      <c r="J5033" s="10">
        <f>IFERROR(__xludf.DUMMYFUNCTION("""COMPUTED_VALUE"""),1.0)</f>
        <v>1</v>
      </c>
      <c r="K5033" s="5">
        <f>IFERROR(__xludf.DUMMYFUNCTION("""COMPUTED_VALUE"""),8.650519031141869E-4)</f>
        <v>0.0008650519031</v>
      </c>
      <c r="L5033" s="10">
        <f>IFERROR(__xludf.DUMMYFUNCTION("""COMPUTED_VALUE"""),1156.0)</f>
        <v>1156</v>
      </c>
      <c r="M5033" s="5">
        <f>IFERROR(__xludf.DUMMYFUNCTION("""COMPUTED_VALUE"""),1.0)</f>
        <v>1</v>
      </c>
    </row>
    <row r="5034">
      <c r="A5034" s="10" t="str">
        <f>IFERROR(__xludf.DUMMYFUNCTION("""COMPUTED_VALUE"""),"jacobi35")</f>
        <v>jacobi35</v>
      </c>
      <c r="B5034" s="10">
        <f>IFERROR(__xludf.DUMMYFUNCTION("""COMPUTED_VALUE"""),894.0)</f>
        <v>894</v>
      </c>
      <c r="C5034" s="10">
        <f>IFERROR(__xludf.DUMMYFUNCTION("""COMPUTED_VALUE"""),10454.0)</f>
        <v>10454</v>
      </c>
      <c r="D5034" s="5">
        <f>IFERROR(__xludf.DUMMYFUNCTION("""COMPUTED_VALUE"""),0.37813807531380755)</f>
        <v>0.3781380753</v>
      </c>
      <c r="E5034" s="5">
        <f>IFERROR(__xludf.DUMMYFUNCTION("""COMPUTED_VALUE"""),0.11286610878661088)</f>
        <v>0.1128661088</v>
      </c>
      <c r="F5034" s="5">
        <f>IFERROR(__xludf.DUMMYFUNCTION("""COMPUTED_VALUE"""),0.20899581589958158)</f>
        <v>0.2089958159</v>
      </c>
      <c r="G5034" s="5">
        <f>IFERROR(__xludf.DUMMYFUNCTION("""COMPUTED_VALUE"""),0.1606694560669456)</f>
        <v>0.1606694561</v>
      </c>
      <c r="H5034" s="5">
        <f>IFERROR(__xludf.DUMMYFUNCTION("""COMPUTED_VALUE"""),0.6036036036036037)</f>
        <v>0.6036036036</v>
      </c>
      <c r="I5034" s="11">
        <f>IFERROR(__xludf.DUMMYFUNCTION("""COMPUTED_VALUE"""),5577.127127127127)</f>
        <v>5577.127127</v>
      </c>
      <c r="J5034" s="10">
        <f>IFERROR(__xludf.DUMMYFUNCTION("""COMPUTED_VALUE"""),4.0)</f>
        <v>4</v>
      </c>
      <c r="K5034" s="5">
        <f>IFERROR(__xludf.DUMMYFUNCTION("""COMPUTED_VALUE"""),0.0044742729306487695)</f>
        <v>0.004474272931</v>
      </c>
      <c r="L5034" s="10">
        <f>IFERROR(__xludf.DUMMYFUNCTION("""COMPUTED_VALUE"""),894.0)</f>
        <v>894</v>
      </c>
      <c r="M5034" s="5">
        <f>IFERROR(__xludf.DUMMYFUNCTION("""COMPUTED_VALUE"""),1.0)</f>
        <v>1</v>
      </c>
    </row>
    <row r="5035">
      <c r="A5035" s="10" t="str">
        <f>IFERROR(__xludf.DUMMYFUNCTION("""COMPUTED_VALUE"""),"副露率４５％")</f>
        <v>副露率４５％</v>
      </c>
      <c r="B5035" s="10">
        <f>IFERROR(__xludf.DUMMYFUNCTION("""COMPUTED_VALUE"""),348.0)</f>
        <v>348</v>
      </c>
      <c r="C5035" s="10">
        <f>IFERROR(__xludf.DUMMYFUNCTION("""COMPUTED_VALUE"""),4176.0)</f>
        <v>4176</v>
      </c>
      <c r="D5035" s="5">
        <f>IFERROR(__xludf.DUMMYFUNCTION("""COMPUTED_VALUE"""),0.3443051201671891)</f>
        <v>0.3443051202</v>
      </c>
      <c r="E5035" s="5">
        <f>IFERROR(__xludf.DUMMYFUNCTION("""COMPUTED_VALUE"""),0.11285266457680251)</f>
        <v>0.1128526646</v>
      </c>
      <c r="F5035" s="5">
        <f>IFERROR(__xludf.DUMMYFUNCTION("""COMPUTED_VALUE"""),0.20950888192267503)</f>
        <v>0.2095088819</v>
      </c>
      <c r="G5035" s="5">
        <f>IFERROR(__xludf.DUMMYFUNCTION("""COMPUTED_VALUE"""),0.17737722048066876)</f>
        <v>0.1773772205</v>
      </c>
      <c r="H5035" s="5">
        <f>IFERROR(__xludf.DUMMYFUNCTION("""COMPUTED_VALUE"""),0.6296758104738155)</f>
        <v>0.6296758105</v>
      </c>
      <c r="I5035" s="11">
        <f>IFERROR(__xludf.DUMMYFUNCTION("""COMPUTED_VALUE"""),5456.857855361596)</f>
        <v>5456.857855</v>
      </c>
      <c r="J5035" s="10">
        <f>IFERROR(__xludf.DUMMYFUNCTION("""COMPUTED_VALUE"""),0.0)</f>
        <v>0</v>
      </c>
      <c r="K5035" s="5">
        <f>IFERROR(__xludf.DUMMYFUNCTION("""COMPUTED_VALUE"""),0.0)</f>
        <v>0</v>
      </c>
      <c r="L5035" s="10">
        <f>IFERROR(__xludf.DUMMYFUNCTION("""COMPUTED_VALUE"""),348.0)</f>
        <v>348</v>
      </c>
      <c r="M5035" s="5">
        <f>IFERROR(__xludf.DUMMYFUNCTION("""COMPUTED_VALUE"""),1.0)</f>
        <v>1</v>
      </c>
    </row>
    <row r="5036">
      <c r="A5036" s="10" t="str">
        <f>IFERROR(__xludf.DUMMYFUNCTION("""COMPUTED_VALUE"""),"黄龍兄貴")</f>
        <v>黄龍兄貴</v>
      </c>
      <c r="B5036" s="10">
        <f>IFERROR(__xludf.DUMMYFUNCTION("""COMPUTED_VALUE"""),2847.0)</f>
        <v>2847</v>
      </c>
      <c r="C5036" s="10">
        <f>IFERROR(__xludf.DUMMYFUNCTION("""COMPUTED_VALUE"""),33527.0)</f>
        <v>33527</v>
      </c>
      <c r="D5036" s="5">
        <f>IFERROR(__xludf.DUMMYFUNCTION("""COMPUTED_VALUE"""),0.3027379400260756)</f>
        <v>0.30273794</v>
      </c>
      <c r="E5036" s="5">
        <f>IFERROR(__xludf.DUMMYFUNCTION("""COMPUTED_VALUE"""),0.11284224250325946)</f>
        <v>0.1128422425</v>
      </c>
      <c r="F5036" s="5">
        <f>IFERROR(__xludf.DUMMYFUNCTION("""COMPUTED_VALUE"""),0.1970013037809648)</f>
        <v>0.1970013038</v>
      </c>
      <c r="G5036" s="5">
        <f>IFERROR(__xludf.DUMMYFUNCTION("""COMPUTED_VALUE"""),0.14846805736636245)</f>
        <v>0.1484680574</v>
      </c>
      <c r="H5036" s="5">
        <f>IFERROR(__xludf.DUMMYFUNCTION("""COMPUTED_VALUE"""),0.5977829252150894)</f>
        <v>0.5977829252</v>
      </c>
      <c r="I5036" s="11">
        <f>IFERROR(__xludf.DUMMYFUNCTION("""COMPUTED_VALUE"""),5732.4123097286565)</f>
        <v>5732.41231</v>
      </c>
      <c r="J5036" s="10">
        <f>IFERROR(__xludf.DUMMYFUNCTION("""COMPUTED_VALUE"""),6.0)</f>
        <v>6</v>
      </c>
      <c r="K5036" s="5">
        <f>IFERROR(__xludf.DUMMYFUNCTION("""COMPUTED_VALUE"""),0.002107481559536354)</f>
        <v>0.00210748156</v>
      </c>
      <c r="L5036" s="10">
        <f>IFERROR(__xludf.DUMMYFUNCTION("""COMPUTED_VALUE"""),2847.0)</f>
        <v>2847</v>
      </c>
      <c r="M5036" s="5">
        <f>IFERROR(__xludf.DUMMYFUNCTION("""COMPUTED_VALUE"""),1.0)</f>
        <v>1</v>
      </c>
    </row>
    <row r="5037">
      <c r="A5037" s="10" t="str">
        <f>IFERROR(__xludf.DUMMYFUNCTION("""COMPUTED_VALUE"""),"かっ飛ばせ全部")</f>
        <v>かっ飛ばせ全部</v>
      </c>
      <c r="B5037" s="10">
        <f>IFERROR(__xludf.DUMMYFUNCTION("""COMPUTED_VALUE"""),4748.0)</f>
        <v>4748</v>
      </c>
      <c r="C5037" s="10">
        <f>IFERROR(__xludf.DUMMYFUNCTION("""COMPUTED_VALUE"""),55728.0)</f>
        <v>55728</v>
      </c>
      <c r="D5037" s="5">
        <f>IFERROR(__xludf.DUMMYFUNCTION("""COMPUTED_VALUE"""),0.3217536288740683)</f>
        <v>0.3217536289</v>
      </c>
      <c r="E5037" s="5">
        <f>IFERROR(__xludf.DUMMYFUNCTION("""COMPUTED_VALUE"""),0.112828560219694)</f>
        <v>0.1128285602</v>
      </c>
      <c r="F5037" s="5">
        <f>IFERROR(__xludf.DUMMYFUNCTION("""COMPUTED_VALUE"""),0.20941545704197725)</f>
        <v>0.209415457</v>
      </c>
      <c r="G5037" s="5">
        <f>IFERROR(__xludf.DUMMYFUNCTION("""COMPUTED_VALUE"""),0.18383679874460573)</f>
        <v>0.1838367987</v>
      </c>
      <c r="H5037" s="5">
        <f>IFERROR(__xludf.DUMMYFUNCTION("""COMPUTED_VALUE"""),0.6005058074185088)</f>
        <v>0.6005058074</v>
      </c>
      <c r="I5037" s="11">
        <f>IFERROR(__xludf.DUMMYFUNCTION("""COMPUTED_VALUE"""),5591.925814911952)</f>
        <v>5591.925815</v>
      </c>
      <c r="J5037" s="10">
        <f>IFERROR(__xludf.DUMMYFUNCTION("""COMPUTED_VALUE"""),8.0)</f>
        <v>8</v>
      </c>
      <c r="K5037" s="5">
        <f>IFERROR(__xludf.DUMMYFUNCTION("""COMPUTED_VALUE"""),0.0016849199663016006)</f>
        <v>0.001684919966</v>
      </c>
      <c r="L5037" s="10">
        <f>IFERROR(__xludf.DUMMYFUNCTION("""COMPUTED_VALUE"""),4743.0)</f>
        <v>4743</v>
      </c>
      <c r="M5037" s="5">
        <f>IFERROR(__xludf.DUMMYFUNCTION("""COMPUTED_VALUE"""),0.9989469250210615)</f>
        <v>0.998946925</v>
      </c>
    </row>
    <row r="5038">
      <c r="A5038" s="10" t="str">
        <f>IFERROR(__xludf.DUMMYFUNCTION("""COMPUTED_VALUE"""),"前戯30分")</f>
        <v>前戯30分</v>
      </c>
      <c r="B5038" s="10">
        <f>IFERROR(__xludf.DUMMYFUNCTION("""COMPUTED_VALUE"""),2468.0)</f>
        <v>2468</v>
      </c>
      <c r="C5038" s="10">
        <f>IFERROR(__xludf.DUMMYFUNCTION("""COMPUTED_VALUE"""),29192.0)</f>
        <v>29192</v>
      </c>
      <c r="D5038" s="5">
        <f>IFERROR(__xludf.DUMMYFUNCTION("""COMPUTED_VALUE"""),0.3550740907049843)</f>
        <v>0.3550740907</v>
      </c>
      <c r="E5038" s="5">
        <f>IFERROR(__xludf.DUMMYFUNCTION("""COMPUTED_VALUE"""),0.1128199371351594)</f>
        <v>0.1128199371</v>
      </c>
      <c r="F5038" s="5">
        <f>IFERROR(__xludf.DUMMYFUNCTION("""COMPUTED_VALUE"""),0.20591977248914833)</f>
        <v>0.2059197725</v>
      </c>
      <c r="G5038" s="5">
        <f>IFERROR(__xludf.DUMMYFUNCTION("""COMPUTED_VALUE"""),0.13725490196078433)</f>
        <v>0.137254902</v>
      </c>
      <c r="H5038" s="5">
        <f>IFERROR(__xludf.DUMMYFUNCTION("""COMPUTED_VALUE"""),0.5967654006905324)</f>
        <v>0.5967654007</v>
      </c>
      <c r="I5038" s="11">
        <f>IFERROR(__xludf.DUMMYFUNCTION("""COMPUTED_VALUE"""),5704.343085589679)</f>
        <v>5704.343086</v>
      </c>
      <c r="J5038" s="10">
        <f>IFERROR(__xludf.DUMMYFUNCTION("""COMPUTED_VALUE"""),14.0)</f>
        <v>14</v>
      </c>
      <c r="K5038" s="5">
        <f>IFERROR(__xludf.DUMMYFUNCTION("""COMPUTED_VALUE"""),0.005672609400324149)</f>
        <v>0.0056726094</v>
      </c>
      <c r="L5038" s="10">
        <f>IFERROR(__xludf.DUMMYFUNCTION("""COMPUTED_VALUE"""),1778.0)</f>
        <v>1778</v>
      </c>
      <c r="M5038" s="5">
        <f>IFERROR(__xludf.DUMMYFUNCTION("""COMPUTED_VALUE"""),0.720421393841167)</f>
        <v>0.7204213938</v>
      </c>
    </row>
    <row r="5039">
      <c r="A5039" s="10" t="str">
        <f>IFERROR(__xludf.DUMMYFUNCTION("""COMPUTED_VALUE"""),"gijgmks")</f>
        <v>gijgmks</v>
      </c>
      <c r="B5039" s="10">
        <f>IFERROR(__xludf.DUMMYFUNCTION("""COMPUTED_VALUE"""),152.0)</f>
        <v>152</v>
      </c>
      <c r="C5039" s="10">
        <f>IFERROR(__xludf.DUMMYFUNCTION("""COMPUTED_VALUE"""),1739.0)</f>
        <v>1739</v>
      </c>
      <c r="D5039" s="5">
        <f>IFERROR(__xludf.DUMMYFUNCTION("""COMPUTED_VALUE"""),0.34152488972904854)</f>
        <v>0.3415248897</v>
      </c>
      <c r="E5039" s="5">
        <f>IFERROR(__xludf.DUMMYFUNCTION("""COMPUTED_VALUE"""),0.11279143037177064)</f>
        <v>0.1127914304</v>
      </c>
      <c r="F5039" s="5">
        <f>IFERROR(__xludf.DUMMYFUNCTION("""COMPUTED_VALUE"""),0.22117202268431002)</f>
        <v>0.2211720227</v>
      </c>
      <c r="G5039" s="5">
        <f>IFERROR(__xludf.DUMMYFUNCTION("""COMPUTED_VALUE"""),0.16509136735979837)</f>
        <v>0.1650913674</v>
      </c>
      <c r="H5039" s="5">
        <f>IFERROR(__xludf.DUMMYFUNCTION("""COMPUTED_VALUE"""),0.5612535612535613)</f>
        <v>0.5612535613</v>
      </c>
      <c r="I5039" s="11">
        <f>IFERROR(__xludf.DUMMYFUNCTION("""COMPUTED_VALUE"""),5951.5669515669515)</f>
        <v>5951.566952</v>
      </c>
      <c r="J5039" s="10">
        <f>IFERROR(__xludf.DUMMYFUNCTION("""COMPUTED_VALUE"""),0.0)</f>
        <v>0</v>
      </c>
      <c r="K5039" s="5">
        <f>IFERROR(__xludf.DUMMYFUNCTION("""COMPUTED_VALUE"""),0.0)</f>
        <v>0</v>
      </c>
      <c r="L5039" s="10">
        <f>IFERROR(__xludf.DUMMYFUNCTION("""COMPUTED_VALUE"""),152.0)</f>
        <v>152</v>
      </c>
      <c r="M5039" s="5">
        <f>IFERROR(__xludf.DUMMYFUNCTION("""COMPUTED_VALUE"""),1.0)</f>
        <v>1</v>
      </c>
    </row>
    <row r="5040">
      <c r="A5040" s="10" t="str">
        <f>IFERROR(__xludf.DUMMYFUNCTION("""COMPUTED_VALUE"""),"園城寺たく")</f>
        <v>園城寺たく</v>
      </c>
      <c r="B5040" s="10">
        <f>IFERROR(__xludf.DUMMYFUNCTION("""COMPUTED_VALUE"""),358.0)</f>
        <v>358</v>
      </c>
      <c r="C5040" s="10">
        <f>IFERROR(__xludf.DUMMYFUNCTION("""COMPUTED_VALUE"""),4144.0)</f>
        <v>4144</v>
      </c>
      <c r="D5040" s="5">
        <f>IFERROR(__xludf.DUMMYFUNCTION("""COMPUTED_VALUE"""),0.3058637083993661)</f>
        <v>0.3058637084</v>
      </c>
      <c r="E5040" s="5">
        <f>IFERROR(__xludf.DUMMYFUNCTION("""COMPUTED_VALUE"""),0.11278394083465398)</f>
        <v>0.1127839408</v>
      </c>
      <c r="F5040" s="5">
        <f>IFERROR(__xludf.DUMMYFUNCTION("""COMPUTED_VALUE"""),0.20126782884310618)</f>
        <v>0.2012678288</v>
      </c>
      <c r="G5040" s="5">
        <f>IFERROR(__xludf.DUMMYFUNCTION("""COMPUTED_VALUE"""),0.14844162704701533)</f>
        <v>0.148441627</v>
      </c>
      <c r="H5040" s="5">
        <f>IFERROR(__xludf.DUMMYFUNCTION("""COMPUTED_VALUE"""),0.5853018372703412)</f>
        <v>0.5853018373</v>
      </c>
      <c r="I5040" s="11">
        <f>IFERROR(__xludf.DUMMYFUNCTION("""COMPUTED_VALUE"""),5634.251968503937)</f>
        <v>5634.251969</v>
      </c>
      <c r="J5040" s="10">
        <f>IFERROR(__xludf.DUMMYFUNCTION("""COMPUTED_VALUE"""),0.0)</f>
        <v>0</v>
      </c>
      <c r="K5040" s="5">
        <f>IFERROR(__xludf.DUMMYFUNCTION("""COMPUTED_VALUE"""),0.0)</f>
        <v>0</v>
      </c>
      <c r="L5040" s="10">
        <f>IFERROR(__xludf.DUMMYFUNCTION("""COMPUTED_VALUE"""),1.0)</f>
        <v>1</v>
      </c>
      <c r="M5040" s="5">
        <f>IFERROR(__xludf.DUMMYFUNCTION("""COMPUTED_VALUE"""),0.002793296089385475)</f>
        <v>0.002793296089</v>
      </c>
    </row>
    <row r="5041">
      <c r="A5041" s="10" t="str">
        <f>IFERROR(__xludf.DUMMYFUNCTION("""COMPUTED_VALUE"""),"おりべやすな")</f>
        <v>おりべやすな</v>
      </c>
      <c r="B5041" s="10">
        <f>IFERROR(__xludf.DUMMYFUNCTION("""COMPUTED_VALUE"""),512.0)</f>
        <v>512</v>
      </c>
      <c r="C5041" s="10">
        <f>IFERROR(__xludf.DUMMYFUNCTION("""COMPUTED_VALUE"""),5993.0)</f>
        <v>5993</v>
      </c>
      <c r="D5041" s="5">
        <f>IFERROR(__xludf.DUMMYFUNCTION("""COMPUTED_VALUE"""),0.3269476372924649)</f>
        <v>0.3269476373</v>
      </c>
      <c r="E5041" s="5">
        <f>IFERROR(__xludf.DUMMYFUNCTION("""COMPUTED_VALUE"""),0.11275314723590586)</f>
        <v>0.1127531472</v>
      </c>
      <c r="F5041" s="5">
        <f>IFERROR(__xludf.DUMMYFUNCTION("""COMPUTED_VALUE"""),0.19978106185002736)</f>
        <v>0.1997810619</v>
      </c>
      <c r="G5041" s="5">
        <f>IFERROR(__xludf.DUMMYFUNCTION("""COMPUTED_VALUE"""),0.1592775041050903)</f>
        <v>0.1592775041</v>
      </c>
      <c r="H5041" s="5">
        <f>IFERROR(__xludf.DUMMYFUNCTION("""COMPUTED_VALUE"""),0.6036529680365297)</f>
        <v>0.603652968</v>
      </c>
      <c r="I5041" s="11">
        <f>IFERROR(__xludf.DUMMYFUNCTION("""COMPUTED_VALUE"""),5744.109589041096)</f>
        <v>5744.109589</v>
      </c>
      <c r="J5041" s="10">
        <f>IFERROR(__xludf.DUMMYFUNCTION("""COMPUTED_VALUE"""),0.0)</f>
        <v>0</v>
      </c>
      <c r="K5041" s="5">
        <f>IFERROR(__xludf.DUMMYFUNCTION("""COMPUTED_VALUE"""),0.0)</f>
        <v>0</v>
      </c>
      <c r="L5041" s="10">
        <f>IFERROR(__xludf.DUMMYFUNCTION("""COMPUTED_VALUE"""),512.0)</f>
        <v>512</v>
      </c>
      <c r="M5041" s="5">
        <f>IFERROR(__xludf.DUMMYFUNCTION("""COMPUTED_VALUE"""),1.0)</f>
        <v>1</v>
      </c>
    </row>
    <row r="5042">
      <c r="A5042" s="10" t="str">
        <f>IFERROR(__xludf.DUMMYFUNCTION("""COMPUTED_VALUE"""),"かつどん")</f>
        <v>かつどん</v>
      </c>
      <c r="B5042" s="10">
        <f>IFERROR(__xludf.DUMMYFUNCTION("""COMPUTED_VALUE"""),2223.0)</f>
        <v>2223</v>
      </c>
      <c r="C5042" s="10">
        <f>IFERROR(__xludf.DUMMYFUNCTION("""COMPUTED_VALUE"""),26045.0)</f>
        <v>26045</v>
      </c>
      <c r="D5042" s="5">
        <f>IFERROR(__xludf.DUMMYFUNCTION("""COMPUTED_VALUE"""),0.3833011501972966)</f>
        <v>0.3833011502</v>
      </c>
      <c r="E5042" s="5">
        <f>IFERROR(__xludf.DUMMYFUNCTION("""COMPUTED_VALUE"""),0.11275291747124506)</f>
        <v>0.1127529175</v>
      </c>
      <c r="F5042" s="5">
        <f>IFERROR(__xludf.DUMMYFUNCTION("""COMPUTED_VALUE"""),0.21517924607505667)</f>
        <v>0.2151792461</v>
      </c>
      <c r="G5042" s="5">
        <f>IFERROR(__xludf.DUMMYFUNCTION("""COMPUTED_VALUE"""),0.17912014104609184)</f>
        <v>0.179120141</v>
      </c>
      <c r="H5042" s="5">
        <f>IFERROR(__xludf.DUMMYFUNCTION("""COMPUTED_VALUE"""),0.5827155676941085)</f>
        <v>0.5827155677</v>
      </c>
      <c r="I5042" s="11">
        <f>IFERROR(__xludf.DUMMYFUNCTION("""COMPUTED_VALUE"""),5553.940694498634)</f>
        <v>5553.940694</v>
      </c>
      <c r="J5042" s="10">
        <f>IFERROR(__xludf.DUMMYFUNCTION("""COMPUTED_VALUE"""),4.0)</f>
        <v>4</v>
      </c>
      <c r="K5042" s="5">
        <f>IFERROR(__xludf.DUMMYFUNCTION("""COMPUTED_VALUE"""),0.001799370220422852)</f>
        <v>0.00179937022</v>
      </c>
      <c r="L5042" s="10">
        <f>IFERROR(__xludf.DUMMYFUNCTION("""COMPUTED_VALUE"""),434.0)</f>
        <v>434</v>
      </c>
      <c r="M5042" s="5">
        <f>IFERROR(__xludf.DUMMYFUNCTION("""COMPUTED_VALUE"""),0.19523166891587945)</f>
        <v>0.1952316689</v>
      </c>
    </row>
    <row r="5043">
      <c r="A5043" s="10" t="str">
        <f>IFERROR(__xludf.DUMMYFUNCTION("""COMPUTED_VALUE"""),"まさるさん。。")</f>
        <v>まさるさん。。</v>
      </c>
      <c r="B5043" s="10">
        <f>IFERROR(__xludf.DUMMYFUNCTION("""COMPUTED_VALUE"""),570.0)</f>
        <v>570</v>
      </c>
      <c r="C5043" s="10">
        <f>IFERROR(__xludf.DUMMYFUNCTION("""COMPUTED_VALUE"""),6823.0)</f>
        <v>6823</v>
      </c>
      <c r="D5043" s="5">
        <f>IFERROR(__xludf.DUMMYFUNCTION("""COMPUTED_VALUE"""),0.41452102990564527)</f>
        <v>0.4145210299</v>
      </c>
      <c r="E5043" s="5">
        <f>IFERROR(__xludf.DUMMYFUNCTION("""COMPUTED_VALUE"""),0.11274588197665121)</f>
        <v>0.112745882</v>
      </c>
      <c r="F5043" s="5">
        <f>IFERROR(__xludf.DUMMYFUNCTION("""COMPUTED_VALUE"""),0.20518151287382055)</f>
        <v>0.2051815129</v>
      </c>
      <c r="G5043" s="5">
        <f>IFERROR(__xludf.DUMMYFUNCTION("""COMPUTED_VALUE"""),0.12601951063489525)</f>
        <v>0.1260195106</v>
      </c>
      <c r="H5043" s="5">
        <f>IFERROR(__xludf.DUMMYFUNCTION("""COMPUTED_VALUE"""),0.5861262665627436)</f>
        <v>0.5861262666</v>
      </c>
      <c r="I5043" s="11">
        <f>IFERROR(__xludf.DUMMYFUNCTION("""COMPUTED_VALUE"""),5011.53546375682)</f>
        <v>5011.535464</v>
      </c>
      <c r="J5043" s="10">
        <f>IFERROR(__xludf.DUMMYFUNCTION("""COMPUTED_VALUE"""),0.0)</f>
        <v>0</v>
      </c>
      <c r="K5043" s="5">
        <f>IFERROR(__xludf.DUMMYFUNCTION("""COMPUTED_VALUE"""),0.0)</f>
        <v>0</v>
      </c>
      <c r="L5043" s="10">
        <f>IFERROR(__xludf.DUMMYFUNCTION("""COMPUTED_VALUE"""),465.0)</f>
        <v>465</v>
      </c>
      <c r="M5043" s="5">
        <f>IFERROR(__xludf.DUMMYFUNCTION("""COMPUTED_VALUE"""),0.8157894736842105)</f>
        <v>0.8157894737</v>
      </c>
    </row>
    <row r="5044">
      <c r="A5044" s="10" t="str">
        <f>IFERROR(__xludf.DUMMYFUNCTION("""COMPUTED_VALUE"""),"タンプク")</f>
        <v>タンプク</v>
      </c>
      <c r="B5044" s="10">
        <f>IFERROR(__xludf.DUMMYFUNCTION("""COMPUTED_VALUE"""),122.0)</f>
        <v>122</v>
      </c>
      <c r="C5044" s="10">
        <f>IFERROR(__xludf.DUMMYFUNCTION("""COMPUTED_VALUE"""),1417.0)</f>
        <v>1417</v>
      </c>
      <c r="D5044" s="5">
        <f>IFERROR(__xludf.DUMMYFUNCTION("""COMPUTED_VALUE"""),0.30115830115830117)</f>
        <v>0.3011583012</v>
      </c>
      <c r="E5044" s="5">
        <f>IFERROR(__xludf.DUMMYFUNCTION("""COMPUTED_VALUE"""),0.11274131274131274)</f>
        <v>0.1127413127</v>
      </c>
      <c r="F5044" s="5">
        <f>IFERROR(__xludf.DUMMYFUNCTION("""COMPUTED_VALUE"""),0.23706563706563707)</f>
        <v>0.2370656371</v>
      </c>
      <c r="G5044" s="5">
        <f>IFERROR(__xludf.DUMMYFUNCTION("""COMPUTED_VALUE"""),0.17683397683397684)</f>
        <v>0.1768339768</v>
      </c>
      <c r="H5044" s="5">
        <f>IFERROR(__xludf.DUMMYFUNCTION("""COMPUTED_VALUE"""),0.5960912052117264)</f>
        <v>0.5960912052</v>
      </c>
      <c r="I5044" s="11">
        <f>IFERROR(__xludf.DUMMYFUNCTION("""COMPUTED_VALUE"""),5430.618892508143)</f>
        <v>5430.618893</v>
      </c>
      <c r="J5044" s="10">
        <f>IFERROR(__xludf.DUMMYFUNCTION("""COMPUTED_VALUE"""),1.0)</f>
        <v>1</v>
      </c>
      <c r="K5044" s="5">
        <f>IFERROR(__xludf.DUMMYFUNCTION("""COMPUTED_VALUE"""),0.00819672131147541)</f>
        <v>0.008196721311</v>
      </c>
      <c r="L5044" s="10">
        <f>IFERROR(__xludf.DUMMYFUNCTION("""COMPUTED_VALUE"""),122.0)</f>
        <v>122</v>
      </c>
      <c r="M5044" s="5">
        <f>IFERROR(__xludf.DUMMYFUNCTION("""COMPUTED_VALUE"""),1.0)</f>
        <v>1</v>
      </c>
    </row>
    <row r="5045">
      <c r="A5045" s="10" t="str">
        <f>IFERROR(__xludf.DUMMYFUNCTION("""COMPUTED_VALUE"""),"松屋おじさん")</f>
        <v>松屋おじさん</v>
      </c>
      <c r="B5045" s="10">
        <f>IFERROR(__xludf.DUMMYFUNCTION("""COMPUTED_VALUE"""),6301.0)</f>
        <v>6301</v>
      </c>
      <c r="C5045" s="10">
        <f>IFERROR(__xludf.DUMMYFUNCTION("""COMPUTED_VALUE"""),74317.0)</f>
        <v>74317</v>
      </c>
      <c r="D5045" s="5">
        <f>IFERROR(__xludf.DUMMYFUNCTION("""COMPUTED_VALUE"""),0.36923665019995294)</f>
        <v>0.3692366502</v>
      </c>
      <c r="E5045" s="5">
        <f>IFERROR(__xludf.DUMMYFUNCTION("""COMPUTED_VALUE"""),0.11272347682898141)</f>
        <v>0.1127234768</v>
      </c>
      <c r="F5045" s="5">
        <f>IFERROR(__xludf.DUMMYFUNCTION("""COMPUTED_VALUE"""),0.2121706657257116)</f>
        <v>0.2121706657</v>
      </c>
      <c r="G5045" s="5">
        <f>IFERROR(__xludf.DUMMYFUNCTION("""COMPUTED_VALUE"""),0.15847741707833451)</f>
        <v>0.1584774171</v>
      </c>
      <c r="H5045" s="5">
        <f>IFERROR(__xludf.DUMMYFUNCTION("""COMPUTED_VALUE"""),0.5952463446746588)</f>
        <v>0.5952463447</v>
      </c>
      <c r="I5045" s="11">
        <f>IFERROR(__xludf.DUMMYFUNCTION("""COMPUTED_VALUE"""),5422.548679925161)</f>
        <v>5422.54868</v>
      </c>
      <c r="J5045" s="10">
        <f>IFERROR(__xludf.DUMMYFUNCTION("""COMPUTED_VALUE"""),9.0)</f>
        <v>9</v>
      </c>
      <c r="K5045" s="5">
        <f>IFERROR(__xludf.DUMMYFUNCTION("""COMPUTED_VALUE"""),0.001428344707189335)</f>
        <v>0.001428344707</v>
      </c>
      <c r="L5045" s="10">
        <f>IFERROR(__xludf.DUMMYFUNCTION("""COMPUTED_VALUE"""),6297.0)</f>
        <v>6297</v>
      </c>
      <c r="M5045" s="5">
        <f>IFERROR(__xludf.DUMMYFUNCTION("""COMPUTED_VALUE"""),0.9993651801301381)</f>
        <v>0.9993651801</v>
      </c>
    </row>
    <row r="5046">
      <c r="A5046" s="10" t="str">
        <f>IFERROR(__xludf.DUMMYFUNCTION("""COMPUTED_VALUE"""),"花澤香菜ちゃん")</f>
        <v>花澤香菜ちゃん</v>
      </c>
      <c r="B5046" s="10">
        <f>IFERROR(__xludf.DUMMYFUNCTION("""COMPUTED_VALUE"""),173.0)</f>
        <v>173</v>
      </c>
      <c r="C5046" s="10">
        <f>IFERROR(__xludf.DUMMYFUNCTION("""COMPUTED_VALUE"""),2036.0)</f>
        <v>2036</v>
      </c>
      <c r="D5046" s="5">
        <f>IFERROR(__xludf.DUMMYFUNCTION("""COMPUTED_VALUE"""),0.35319377348362857)</f>
        <v>0.3531937735</v>
      </c>
      <c r="E5046" s="5">
        <f>IFERROR(__xludf.DUMMYFUNCTION("""COMPUTED_VALUE"""),0.11272141706924316)</f>
        <v>0.1127214171</v>
      </c>
      <c r="F5046" s="5">
        <f>IFERROR(__xludf.DUMMYFUNCTION("""COMPUTED_VALUE"""),0.19108964036500267)</f>
        <v>0.1910896404</v>
      </c>
      <c r="G5046" s="5">
        <f>IFERROR(__xludf.DUMMYFUNCTION("""COMPUTED_VALUE"""),0.14439076757917338)</f>
        <v>0.1443907676</v>
      </c>
      <c r="H5046" s="5">
        <f>IFERROR(__xludf.DUMMYFUNCTION("""COMPUTED_VALUE"""),0.5449438202247191)</f>
        <v>0.5449438202</v>
      </c>
      <c r="I5046" s="11">
        <f>IFERROR(__xludf.DUMMYFUNCTION("""COMPUTED_VALUE"""),5115.449438202248)</f>
        <v>5115.449438</v>
      </c>
      <c r="J5046" s="10">
        <f>IFERROR(__xludf.DUMMYFUNCTION("""COMPUTED_VALUE"""),0.0)</f>
        <v>0</v>
      </c>
      <c r="K5046" s="5">
        <f>IFERROR(__xludf.DUMMYFUNCTION("""COMPUTED_VALUE"""),0.0)</f>
        <v>0</v>
      </c>
      <c r="L5046" s="10">
        <f>IFERROR(__xludf.DUMMYFUNCTION("""COMPUTED_VALUE"""),0.0)</f>
        <v>0</v>
      </c>
      <c r="M5046" s="5">
        <f>IFERROR(__xludf.DUMMYFUNCTION("""COMPUTED_VALUE"""),0.0)</f>
        <v>0</v>
      </c>
    </row>
    <row r="5047">
      <c r="A5047" s="10" t="str">
        <f>IFERROR(__xludf.DUMMYFUNCTION("""COMPUTED_VALUE"""),"@kkkk")</f>
        <v>@kkkk</v>
      </c>
      <c r="B5047" s="10">
        <f>IFERROR(__xludf.DUMMYFUNCTION("""COMPUTED_VALUE"""),341.0)</f>
        <v>341</v>
      </c>
      <c r="C5047" s="10">
        <f>IFERROR(__xludf.DUMMYFUNCTION("""COMPUTED_VALUE"""),3952.0)</f>
        <v>3952</v>
      </c>
      <c r="D5047" s="5">
        <f>IFERROR(__xludf.DUMMYFUNCTION("""COMPUTED_VALUE"""),0.2691775131542509)</f>
        <v>0.2691775132</v>
      </c>
      <c r="E5047" s="5">
        <f>IFERROR(__xludf.DUMMYFUNCTION("""COMPUTED_VALUE"""),0.11271116034339518)</f>
        <v>0.1127111603</v>
      </c>
      <c r="F5047" s="5">
        <f>IFERROR(__xludf.DUMMYFUNCTION("""COMPUTED_VALUE"""),0.18582110218775963)</f>
        <v>0.1858211022</v>
      </c>
      <c r="G5047" s="5">
        <f>IFERROR(__xludf.DUMMYFUNCTION("""COMPUTED_VALUE"""),0.18166712821932982)</f>
        <v>0.1816671282</v>
      </c>
      <c r="H5047" s="5">
        <f>IFERROR(__xludf.DUMMYFUNCTION("""COMPUTED_VALUE"""),0.6333830104321908)</f>
        <v>0.6333830104</v>
      </c>
      <c r="I5047" s="11">
        <f>IFERROR(__xludf.DUMMYFUNCTION("""COMPUTED_VALUE"""),6032.04172876304)</f>
        <v>6032.041729</v>
      </c>
      <c r="J5047" s="10">
        <f>IFERROR(__xludf.DUMMYFUNCTION("""COMPUTED_VALUE"""),1.0)</f>
        <v>1</v>
      </c>
      <c r="K5047" s="5">
        <f>IFERROR(__xludf.DUMMYFUNCTION("""COMPUTED_VALUE"""),0.002932551319648094)</f>
        <v>0.00293255132</v>
      </c>
      <c r="L5047" s="10">
        <f>IFERROR(__xludf.DUMMYFUNCTION("""COMPUTED_VALUE"""),341.0)</f>
        <v>341</v>
      </c>
      <c r="M5047" s="5">
        <f>IFERROR(__xludf.DUMMYFUNCTION("""COMPUTED_VALUE"""),1.0)</f>
        <v>1</v>
      </c>
    </row>
    <row r="5048">
      <c r="A5048" s="10" t="str">
        <f>IFERROR(__xludf.DUMMYFUNCTION("""COMPUTED_VALUE"""),"★玉響★")</f>
        <v>★玉響★</v>
      </c>
      <c r="B5048" s="10">
        <f>IFERROR(__xludf.DUMMYFUNCTION("""COMPUTED_VALUE"""),640.0)</f>
        <v>640</v>
      </c>
      <c r="C5048" s="10">
        <f>IFERROR(__xludf.DUMMYFUNCTION("""COMPUTED_VALUE"""),7659.0)</f>
        <v>7659</v>
      </c>
      <c r="D5048" s="5">
        <f>IFERROR(__xludf.DUMMYFUNCTION("""COMPUTED_VALUE"""),0.33067388516882745)</f>
        <v>0.3306738852</v>
      </c>
      <c r="E5048" s="5">
        <f>IFERROR(__xludf.DUMMYFUNCTION("""COMPUTED_VALUE"""),0.11269411597093604)</f>
        <v>0.112694116</v>
      </c>
      <c r="F5048" s="5">
        <f>IFERROR(__xludf.DUMMYFUNCTION("""COMPUTED_VALUE"""),0.19589685140333382)</f>
        <v>0.1958968514</v>
      </c>
      <c r="G5048" s="5">
        <f>IFERROR(__xludf.DUMMYFUNCTION("""COMPUTED_VALUE"""),0.15429548368713492)</f>
        <v>0.1542954837</v>
      </c>
      <c r="H5048" s="5">
        <f>IFERROR(__xludf.DUMMYFUNCTION("""COMPUTED_VALUE"""),0.584)</f>
        <v>0.584</v>
      </c>
      <c r="I5048" s="11">
        <f>IFERROR(__xludf.DUMMYFUNCTION("""COMPUTED_VALUE"""),5237.163636363636)</f>
        <v>5237.163636</v>
      </c>
      <c r="J5048" s="10">
        <f>IFERROR(__xludf.DUMMYFUNCTION("""COMPUTED_VALUE"""),1.0)</f>
        <v>1</v>
      </c>
      <c r="K5048" s="5">
        <f>IFERROR(__xludf.DUMMYFUNCTION("""COMPUTED_VALUE"""),0.0015625)</f>
        <v>0.0015625</v>
      </c>
      <c r="L5048" s="10">
        <f>IFERROR(__xludf.DUMMYFUNCTION("""COMPUTED_VALUE"""),251.0)</f>
        <v>251</v>
      </c>
      <c r="M5048" s="5">
        <f>IFERROR(__xludf.DUMMYFUNCTION("""COMPUTED_VALUE"""),0.3921875)</f>
        <v>0.3921875</v>
      </c>
    </row>
    <row r="5049">
      <c r="A5049" s="10" t="str">
        <f>IFERROR(__xludf.DUMMYFUNCTION("""COMPUTED_VALUE"""),"練習巡洋艦")</f>
        <v>練習巡洋艦</v>
      </c>
      <c r="B5049" s="10">
        <f>IFERROR(__xludf.DUMMYFUNCTION("""COMPUTED_VALUE"""),173.0)</f>
        <v>173</v>
      </c>
      <c r="C5049" s="10">
        <f>IFERROR(__xludf.DUMMYFUNCTION("""COMPUTED_VALUE"""),2072.0)</f>
        <v>2072</v>
      </c>
      <c r="D5049" s="5">
        <f>IFERROR(__xludf.DUMMYFUNCTION("""COMPUTED_VALUE"""),0.3464981569246972)</f>
        <v>0.3464981569</v>
      </c>
      <c r="E5049" s="5">
        <f>IFERROR(__xludf.DUMMYFUNCTION("""COMPUTED_VALUE"""),0.11269088994207478)</f>
        <v>0.1126908899</v>
      </c>
      <c r="F5049" s="5">
        <f>IFERROR(__xludf.DUMMYFUNCTION("""COMPUTED_VALUE"""),0.1922064244339126)</f>
        <v>0.1922064244</v>
      </c>
      <c r="G5049" s="5">
        <f>IFERROR(__xludf.DUMMYFUNCTION("""COMPUTED_VALUE"""),0.12585571353343866)</f>
        <v>0.1258557135</v>
      </c>
      <c r="H5049" s="5">
        <f>IFERROR(__xludf.DUMMYFUNCTION("""COMPUTED_VALUE"""),0.6)</f>
        <v>0.6</v>
      </c>
      <c r="I5049" s="11">
        <f>IFERROR(__xludf.DUMMYFUNCTION("""COMPUTED_VALUE"""),5353.698630136986)</f>
        <v>5353.69863</v>
      </c>
      <c r="J5049" s="10">
        <f>IFERROR(__xludf.DUMMYFUNCTION("""COMPUTED_VALUE"""),0.0)</f>
        <v>0</v>
      </c>
      <c r="K5049" s="5">
        <f>IFERROR(__xludf.DUMMYFUNCTION("""COMPUTED_VALUE"""),0.0)</f>
        <v>0</v>
      </c>
      <c r="L5049" s="10">
        <f>IFERROR(__xludf.DUMMYFUNCTION("""COMPUTED_VALUE"""),173.0)</f>
        <v>173</v>
      </c>
      <c r="M5049" s="5">
        <f>IFERROR(__xludf.DUMMYFUNCTION("""COMPUTED_VALUE"""),1.0)</f>
        <v>1</v>
      </c>
    </row>
    <row r="5050">
      <c r="A5050" s="10" t="str">
        <f>IFERROR(__xludf.DUMMYFUNCTION("""COMPUTED_VALUE"""),"★雀娘クレア★")</f>
        <v>★雀娘クレア★</v>
      </c>
      <c r="B5050" s="10">
        <f>IFERROR(__xludf.DUMMYFUNCTION("""COMPUTED_VALUE"""),205.0)</f>
        <v>205</v>
      </c>
      <c r="C5050" s="10">
        <f>IFERROR(__xludf.DUMMYFUNCTION("""COMPUTED_VALUE"""),2468.0)</f>
        <v>2468</v>
      </c>
      <c r="D5050" s="5">
        <f>IFERROR(__xludf.DUMMYFUNCTION("""COMPUTED_VALUE"""),0.37516570923552806)</f>
        <v>0.3751657092</v>
      </c>
      <c r="E5050" s="5">
        <f>IFERROR(__xludf.DUMMYFUNCTION("""COMPUTED_VALUE"""),0.11268228015908087)</f>
        <v>0.1126822802</v>
      </c>
      <c r="F5050" s="5">
        <f>IFERROR(__xludf.DUMMYFUNCTION("""COMPUTED_VALUE"""),0.18250110472823686)</f>
        <v>0.1825011047</v>
      </c>
      <c r="G5050" s="5">
        <f>IFERROR(__xludf.DUMMYFUNCTION("""COMPUTED_VALUE"""),0.14714980114891738)</f>
        <v>0.1471498011</v>
      </c>
      <c r="H5050" s="5">
        <f>IFERROR(__xludf.DUMMYFUNCTION("""COMPUTED_VALUE"""),0.5932203389830508)</f>
        <v>0.593220339</v>
      </c>
      <c r="I5050" s="11">
        <f>IFERROR(__xludf.DUMMYFUNCTION("""COMPUTED_VALUE"""),5701.452784503632)</f>
        <v>5701.452785</v>
      </c>
      <c r="J5050" s="10">
        <f>IFERROR(__xludf.DUMMYFUNCTION("""COMPUTED_VALUE"""),1.0)</f>
        <v>1</v>
      </c>
      <c r="K5050" s="5">
        <f>IFERROR(__xludf.DUMMYFUNCTION("""COMPUTED_VALUE"""),0.004878048780487805)</f>
        <v>0.00487804878</v>
      </c>
      <c r="L5050" s="10">
        <f>IFERROR(__xludf.DUMMYFUNCTION("""COMPUTED_VALUE"""),98.0)</f>
        <v>98</v>
      </c>
      <c r="M5050" s="5">
        <f>IFERROR(__xludf.DUMMYFUNCTION("""COMPUTED_VALUE"""),0.47804878048780486)</f>
        <v>0.4780487805</v>
      </c>
    </row>
    <row r="5051">
      <c r="A5051" s="10" t="str">
        <f>IFERROR(__xludf.DUMMYFUNCTION("""COMPUTED_VALUE"""),"gousi")</f>
        <v>gousi</v>
      </c>
      <c r="B5051" s="10">
        <f>IFERROR(__xludf.DUMMYFUNCTION("""COMPUTED_VALUE"""),7238.0)</f>
        <v>7238</v>
      </c>
      <c r="C5051" s="10">
        <f>IFERROR(__xludf.DUMMYFUNCTION("""COMPUTED_VALUE"""),85265.0)</f>
        <v>85265</v>
      </c>
      <c r="D5051" s="5">
        <f>IFERROR(__xludf.DUMMYFUNCTION("""COMPUTED_VALUE"""),0.30618888333525573)</f>
        <v>0.3061888833</v>
      </c>
      <c r="E5051" s="5">
        <f>IFERROR(__xludf.DUMMYFUNCTION("""COMPUTED_VALUE"""),0.11267894446794058)</f>
        <v>0.1126789445</v>
      </c>
      <c r="F5051" s="5">
        <f>IFERROR(__xludf.DUMMYFUNCTION("""COMPUTED_VALUE"""),0.2076460712317531)</f>
        <v>0.2076460712</v>
      </c>
      <c r="G5051" s="5">
        <f>IFERROR(__xludf.DUMMYFUNCTION("""COMPUTED_VALUE"""),0.16304612505927435)</f>
        <v>0.1630461251</v>
      </c>
      <c r="H5051" s="5">
        <f>IFERROR(__xludf.DUMMYFUNCTION("""COMPUTED_VALUE"""),0.5976422663868658)</f>
        <v>0.5976422664</v>
      </c>
      <c r="I5051" s="11">
        <f>IFERROR(__xludf.DUMMYFUNCTION("""COMPUTED_VALUE"""),5745.94494506851)</f>
        <v>5745.944945</v>
      </c>
      <c r="J5051" s="10">
        <f>IFERROR(__xludf.DUMMYFUNCTION("""COMPUTED_VALUE"""),14.0)</f>
        <v>14</v>
      </c>
      <c r="K5051" s="5">
        <f>IFERROR(__xludf.DUMMYFUNCTION("""COMPUTED_VALUE"""),0.0019342359767891683)</f>
        <v>0.001934235977</v>
      </c>
      <c r="L5051" s="10">
        <f>IFERROR(__xludf.DUMMYFUNCTION("""COMPUTED_VALUE"""),7238.0)</f>
        <v>7238</v>
      </c>
      <c r="M5051" s="5">
        <f>IFERROR(__xludf.DUMMYFUNCTION("""COMPUTED_VALUE"""),1.0)</f>
        <v>1</v>
      </c>
    </row>
    <row r="5052">
      <c r="A5052" s="10" t="str">
        <f>IFERROR(__xludf.DUMMYFUNCTION("""COMPUTED_VALUE"""),"世夢")</f>
        <v>世夢</v>
      </c>
      <c r="B5052" s="10">
        <f>IFERROR(__xludf.DUMMYFUNCTION("""COMPUTED_VALUE"""),449.0)</f>
        <v>449</v>
      </c>
      <c r="C5052" s="10">
        <f>IFERROR(__xludf.DUMMYFUNCTION("""COMPUTED_VALUE"""),5323.0)</f>
        <v>5323</v>
      </c>
      <c r="D5052" s="5">
        <f>IFERROR(__xludf.DUMMYFUNCTION("""COMPUTED_VALUE"""),0.39433729995896594)</f>
        <v>0.3943373</v>
      </c>
      <c r="E5052" s="5">
        <f>IFERROR(__xludf.DUMMYFUNCTION("""COMPUTED_VALUE"""),0.11263848994665572)</f>
        <v>0.1126384899</v>
      </c>
      <c r="F5052" s="5">
        <f>IFERROR(__xludf.DUMMYFUNCTION("""COMPUTED_VALUE"""),0.20927369716865)</f>
        <v>0.2092736972</v>
      </c>
      <c r="G5052" s="5">
        <f>IFERROR(__xludf.DUMMYFUNCTION("""COMPUTED_VALUE"""),0.15469839967172752)</f>
        <v>0.1546983997</v>
      </c>
      <c r="H5052" s="5">
        <f>IFERROR(__xludf.DUMMYFUNCTION("""COMPUTED_VALUE"""),0.5941176470588235)</f>
        <v>0.5941176471</v>
      </c>
      <c r="I5052" s="11">
        <f>IFERROR(__xludf.DUMMYFUNCTION("""COMPUTED_VALUE"""),5368.235294117647)</f>
        <v>5368.235294</v>
      </c>
      <c r="J5052" s="10">
        <f>IFERROR(__xludf.DUMMYFUNCTION("""COMPUTED_VALUE"""),1.0)</f>
        <v>1</v>
      </c>
      <c r="K5052" s="5">
        <f>IFERROR(__xludf.DUMMYFUNCTION("""COMPUTED_VALUE"""),0.0022271714922048997)</f>
        <v>0.002227171492</v>
      </c>
      <c r="L5052" s="10">
        <f>IFERROR(__xludf.DUMMYFUNCTION("""COMPUTED_VALUE"""),36.0)</f>
        <v>36</v>
      </c>
      <c r="M5052" s="5">
        <f>IFERROR(__xludf.DUMMYFUNCTION("""COMPUTED_VALUE"""),0.0801781737193764)</f>
        <v>0.08017817372</v>
      </c>
    </row>
    <row r="5053">
      <c r="A5053" s="10" t="str">
        <f>IFERROR(__xludf.DUMMYFUNCTION("""COMPUTED_VALUE"""),"はるにゃむ")</f>
        <v>はるにゃむ</v>
      </c>
      <c r="B5053" s="10">
        <f>IFERROR(__xludf.DUMMYFUNCTION("""COMPUTED_VALUE"""),623.0)</f>
        <v>623</v>
      </c>
      <c r="C5053" s="10">
        <f>IFERROR(__xludf.DUMMYFUNCTION("""COMPUTED_VALUE"""),7140.0)</f>
        <v>7140</v>
      </c>
      <c r="D5053" s="5">
        <f>IFERROR(__xludf.DUMMYFUNCTION("""COMPUTED_VALUE"""),0.36872794230474143)</f>
        <v>0.3687279423</v>
      </c>
      <c r="E5053" s="5">
        <f>IFERROR(__xludf.DUMMYFUNCTION("""COMPUTED_VALUE"""),0.1126285100506368)</f>
        <v>0.1126285101</v>
      </c>
      <c r="F5053" s="5">
        <f>IFERROR(__xludf.DUMMYFUNCTION("""COMPUTED_VALUE"""),0.22356912689887987)</f>
        <v>0.2235691269</v>
      </c>
      <c r="G5053" s="5">
        <f>IFERROR(__xludf.DUMMYFUNCTION("""COMPUTED_VALUE"""),0.1878164799754488)</f>
        <v>0.18781648</v>
      </c>
      <c r="H5053" s="5">
        <f>IFERROR(__xludf.DUMMYFUNCTION("""COMPUTED_VALUE"""),0.6032944406314344)</f>
        <v>0.6032944406</v>
      </c>
      <c r="I5053" s="11">
        <f>IFERROR(__xludf.DUMMYFUNCTION("""COMPUTED_VALUE"""),5742.415923129719)</f>
        <v>5742.415923</v>
      </c>
      <c r="J5053" s="10">
        <f>IFERROR(__xludf.DUMMYFUNCTION("""COMPUTED_VALUE"""),2.0)</f>
        <v>2</v>
      </c>
      <c r="K5053" s="5">
        <f>IFERROR(__xludf.DUMMYFUNCTION("""COMPUTED_VALUE"""),0.0032102728731942215)</f>
        <v>0.003210272873</v>
      </c>
      <c r="L5053" s="10">
        <f>IFERROR(__xludf.DUMMYFUNCTION("""COMPUTED_VALUE"""),145.0)</f>
        <v>145</v>
      </c>
      <c r="M5053" s="5">
        <f>IFERROR(__xludf.DUMMYFUNCTION("""COMPUTED_VALUE"""),0.23274478330658105)</f>
        <v>0.2327447833</v>
      </c>
    </row>
    <row r="5054">
      <c r="A5054" s="10" t="str">
        <f>IFERROR(__xludf.DUMMYFUNCTION("""COMPUTED_VALUE"""),"たじまなみ")</f>
        <v>たじまなみ</v>
      </c>
      <c r="B5054" s="10">
        <f>IFERROR(__xludf.DUMMYFUNCTION("""COMPUTED_VALUE"""),823.0)</f>
        <v>823</v>
      </c>
      <c r="C5054" s="10">
        <f>IFERROR(__xludf.DUMMYFUNCTION("""COMPUTED_VALUE"""),9827.0)</f>
        <v>9827</v>
      </c>
      <c r="D5054" s="5">
        <f>IFERROR(__xludf.DUMMYFUNCTION("""COMPUTED_VALUE"""),0.24966681474900043)</f>
        <v>0.2496668147</v>
      </c>
      <c r="E5054" s="5">
        <f>IFERROR(__xludf.DUMMYFUNCTION("""COMPUTED_VALUE"""),0.11261661483784985)</f>
        <v>0.1126166148</v>
      </c>
      <c r="F5054" s="5">
        <f>IFERROR(__xludf.DUMMYFUNCTION("""COMPUTED_VALUE"""),0.18869391381608175)</f>
        <v>0.1886939138</v>
      </c>
      <c r="G5054" s="5">
        <f>IFERROR(__xludf.DUMMYFUNCTION("""COMPUTED_VALUE"""),0.185250999555753)</f>
        <v>0.1852509996</v>
      </c>
      <c r="H5054" s="5">
        <f>IFERROR(__xludf.DUMMYFUNCTION("""COMPUTED_VALUE"""),0.5821071218363744)</f>
        <v>0.5821071218</v>
      </c>
      <c r="I5054" s="11">
        <f>IFERROR(__xludf.DUMMYFUNCTION("""COMPUTED_VALUE"""),5758.210712183637)</f>
        <v>5758.210712</v>
      </c>
      <c r="J5054" s="10">
        <f>IFERROR(__xludf.DUMMYFUNCTION("""COMPUTED_VALUE"""),2.0)</f>
        <v>2</v>
      </c>
      <c r="K5054" s="5">
        <f>IFERROR(__xludf.DUMMYFUNCTION("""COMPUTED_VALUE"""),0.002430133657351154)</f>
        <v>0.002430133657</v>
      </c>
      <c r="L5054" s="10">
        <f>IFERROR(__xludf.DUMMYFUNCTION("""COMPUTED_VALUE"""),0.0)</f>
        <v>0</v>
      </c>
      <c r="M5054" s="5">
        <f>IFERROR(__xludf.DUMMYFUNCTION("""COMPUTED_VALUE"""),0.0)</f>
        <v>0</v>
      </c>
    </row>
    <row r="5055">
      <c r="A5055" s="10" t="str">
        <f>IFERROR(__xludf.DUMMYFUNCTION("""COMPUTED_VALUE"""),"ahoda9")</f>
        <v>ahoda9</v>
      </c>
      <c r="B5055" s="10">
        <f>IFERROR(__xludf.DUMMYFUNCTION("""COMPUTED_VALUE"""),155.0)</f>
        <v>155</v>
      </c>
      <c r="C5055" s="10">
        <f>IFERROR(__xludf.DUMMYFUNCTION("""COMPUTED_VALUE"""),1860.0)</f>
        <v>1860</v>
      </c>
      <c r="D5055" s="5">
        <f>IFERROR(__xludf.DUMMYFUNCTION("""COMPUTED_VALUE"""),0.3343108504398827)</f>
        <v>0.3343108504</v>
      </c>
      <c r="E5055" s="5">
        <f>IFERROR(__xludf.DUMMYFUNCTION("""COMPUTED_VALUE"""),0.1126099706744868)</f>
        <v>0.1126099707</v>
      </c>
      <c r="F5055" s="5">
        <f>IFERROR(__xludf.DUMMYFUNCTION("""COMPUTED_VALUE"""),0.18240469208211144)</f>
        <v>0.1824046921</v>
      </c>
      <c r="G5055" s="5">
        <f>IFERROR(__xludf.DUMMYFUNCTION("""COMPUTED_VALUE"""),0.14017595307917888)</f>
        <v>0.1401759531</v>
      </c>
      <c r="H5055" s="5">
        <f>IFERROR(__xludf.DUMMYFUNCTION("""COMPUTED_VALUE"""),0.6270096463022508)</f>
        <v>0.6270096463</v>
      </c>
      <c r="I5055" s="11">
        <f>IFERROR(__xludf.DUMMYFUNCTION("""COMPUTED_VALUE"""),5318.971061093248)</f>
        <v>5318.971061</v>
      </c>
      <c r="J5055" s="10">
        <f>IFERROR(__xludf.DUMMYFUNCTION("""COMPUTED_VALUE"""),0.0)</f>
        <v>0</v>
      </c>
      <c r="K5055" s="5">
        <f>IFERROR(__xludf.DUMMYFUNCTION("""COMPUTED_VALUE"""),0.0)</f>
        <v>0</v>
      </c>
      <c r="L5055" s="10">
        <f>IFERROR(__xludf.DUMMYFUNCTION("""COMPUTED_VALUE"""),155.0)</f>
        <v>155</v>
      </c>
      <c r="M5055" s="5">
        <f>IFERROR(__xludf.DUMMYFUNCTION("""COMPUTED_VALUE"""),1.0)</f>
        <v>1</v>
      </c>
    </row>
    <row r="5056">
      <c r="A5056" s="10" t="str">
        <f>IFERROR(__xludf.DUMMYFUNCTION("""COMPUTED_VALUE"""),"マララー♂")</f>
        <v>マララー♂</v>
      </c>
      <c r="B5056" s="10">
        <f>IFERROR(__xludf.DUMMYFUNCTION("""COMPUTED_VALUE"""),458.0)</f>
        <v>458</v>
      </c>
      <c r="C5056" s="10">
        <f>IFERROR(__xludf.DUMMYFUNCTION("""COMPUTED_VALUE"""),5378.0)</f>
        <v>5378</v>
      </c>
      <c r="D5056" s="5">
        <f>IFERROR(__xludf.DUMMYFUNCTION("""COMPUTED_VALUE"""),0.4140243902439024)</f>
        <v>0.4140243902</v>
      </c>
      <c r="E5056" s="5">
        <f>IFERROR(__xludf.DUMMYFUNCTION("""COMPUTED_VALUE"""),0.11260162601626016)</f>
        <v>0.112601626</v>
      </c>
      <c r="F5056" s="5">
        <f>IFERROR(__xludf.DUMMYFUNCTION("""COMPUTED_VALUE"""),0.200609756097561)</f>
        <v>0.2006097561</v>
      </c>
      <c r="G5056" s="5">
        <f>IFERROR(__xludf.DUMMYFUNCTION("""COMPUTED_VALUE"""),0.14857723577235774)</f>
        <v>0.1485772358</v>
      </c>
      <c r="H5056" s="5">
        <f>IFERROR(__xludf.DUMMYFUNCTION("""COMPUTED_VALUE"""),0.5896656534954408)</f>
        <v>0.5896656535</v>
      </c>
      <c r="I5056" s="11">
        <f>IFERROR(__xludf.DUMMYFUNCTION("""COMPUTED_VALUE"""),5364.336372847011)</f>
        <v>5364.336373</v>
      </c>
      <c r="J5056" s="10">
        <f>IFERROR(__xludf.DUMMYFUNCTION("""COMPUTED_VALUE"""),1.0)</f>
        <v>1</v>
      </c>
      <c r="K5056" s="5">
        <f>IFERROR(__xludf.DUMMYFUNCTION("""COMPUTED_VALUE"""),0.002183406113537118)</f>
        <v>0.002183406114</v>
      </c>
      <c r="L5056" s="10">
        <f>IFERROR(__xludf.DUMMYFUNCTION("""COMPUTED_VALUE"""),458.0)</f>
        <v>458</v>
      </c>
      <c r="M5056" s="5">
        <f>IFERROR(__xludf.DUMMYFUNCTION("""COMPUTED_VALUE"""),1.0)</f>
        <v>1</v>
      </c>
    </row>
    <row r="5057">
      <c r="A5057" s="10" t="str">
        <f>IFERROR(__xludf.DUMMYFUNCTION("""COMPUTED_VALUE"""),"あひるさん")</f>
        <v>あひるさん</v>
      </c>
      <c r="B5057" s="10">
        <f>IFERROR(__xludf.DUMMYFUNCTION("""COMPUTED_VALUE"""),7836.0)</f>
        <v>7836</v>
      </c>
      <c r="C5057" s="10">
        <f>IFERROR(__xludf.DUMMYFUNCTION("""COMPUTED_VALUE"""),92712.0)</f>
        <v>92712</v>
      </c>
      <c r="D5057" s="5">
        <f>IFERROR(__xludf.DUMMYFUNCTION("""COMPUTED_VALUE"""),0.27718082850275694)</f>
        <v>0.2771808285</v>
      </c>
      <c r="E5057" s="5">
        <f>IFERROR(__xludf.DUMMYFUNCTION("""COMPUTED_VALUE"""),0.11258777510721524)</f>
        <v>0.1125877751</v>
      </c>
      <c r="F5057" s="5">
        <f>IFERROR(__xludf.DUMMYFUNCTION("""COMPUTED_VALUE"""),0.1874970545266035)</f>
        <v>0.1874970545</v>
      </c>
      <c r="G5057" s="5">
        <f>IFERROR(__xludf.DUMMYFUNCTION("""COMPUTED_VALUE"""),0.17595079881238512)</f>
        <v>0.1759507988</v>
      </c>
      <c r="H5057" s="5">
        <f>IFERROR(__xludf.DUMMYFUNCTION("""COMPUTED_VALUE"""),0.5830086716099032)</f>
        <v>0.5830086716</v>
      </c>
      <c r="I5057" s="11">
        <f>IFERROR(__xludf.DUMMYFUNCTION("""COMPUTED_VALUE"""),6123.306522558753)</f>
        <v>6123.306523</v>
      </c>
      <c r="J5057" s="10">
        <f>IFERROR(__xludf.DUMMYFUNCTION("""COMPUTED_VALUE"""),20.0)</f>
        <v>20</v>
      </c>
      <c r="K5057" s="5">
        <f>IFERROR(__xludf.DUMMYFUNCTION("""COMPUTED_VALUE"""),0.002552322613578356)</f>
        <v>0.002552322614</v>
      </c>
      <c r="L5057" s="10">
        <f>IFERROR(__xludf.DUMMYFUNCTION("""COMPUTED_VALUE"""),7836.0)</f>
        <v>7836</v>
      </c>
      <c r="M5057" s="5">
        <f>IFERROR(__xludf.DUMMYFUNCTION("""COMPUTED_VALUE"""),1.0)</f>
        <v>1</v>
      </c>
    </row>
    <row r="5058">
      <c r="A5058" s="10" t="str">
        <f>IFERROR(__xludf.DUMMYFUNCTION("""COMPUTED_VALUE"""),"松江市民")</f>
        <v>松江市民</v>
      </c>
      <c r="B5058" s="10">
        <f>IFERROR(__xludf.DUMMYFUNCTION("""COMPUTED_VALUE"""),2118.0)</f>
        <v>2118</v>
      </c>
      <c r="C5058" s="10">
        <f>IFERROR(__xludf.DUMMYFUNCTION("""COMPUTED_VALUE"""),24629.0)</f>
        <v>24629</v>
      </c>
      <c r="D5058" s="5">
        <f>IFERROR(__xludf.DUMMYFUNCTION("""COMPUTED_VALUE"""),0.317800186575452)</f>
        <v>0.3178001866</v>
      </c>
      <c r="E5058" s="5">
        <f>IFERROR(__xludf.DUMMYFUNCTION("""COMPUTED_VALUE"""),0.11256718937408378)</f>
        <v>0.1125671894</v>
      </c>
      <c r="F5058" s="5">
        <f>IFERROR(__xludf.DUMMYFUNCTION("""COMPUTED_VALUE"""),0.20278974723468526)</f>
        <v>0.2027897472</v>
      </c>
      <c r="G5058" s="5">
        <f>IFERROR(__xludf.DUMMYFUNCTION("""COMPUTED_VALUE"""),0.17418151126116121)</f>
        <v>0.1741815113</v>
      </c>
      <c r="H5058" s="5">
        <f>IFERROR(__xludf.DUMMYFUNCTION("""COMPUTED_VALUE"""),0.5973713033953998)</f>
        <v>0.5973713034</v>
      </c>
      <c r="I5058" s="11">
        <f>IFERROR(__xludf.DUMMYFUNCTION("""COMPUTED_VALUE"""),5783.066812705367)</f>
        <v>5783.066813</v>
      </c>
      <c r="J5058" s="10">
        <f>IFERROR(__xludf.DUMMYFUNCTION("""COMPUTED_VALUE"""),5.0)</f>
        <v>5</v>
      </c>
      <c r="K5058" s="5">
        <f>IFERROR(__xludf.DUMMYFUNCTION("""COMPUTED_VALUE"""),0.002360717658168083)</f>
        <v>0.002360717658</v>
      </c>
      <c r="L5058" s="10">
        <f>IFERROR(__xludf.DUMMYFUNCTION("""COMPUTED_VALUE"""),1915.0)</f>
        <v>1915</v>
      </c>
      <c r="M5058" s="5">
        <f>IFERROR(__xludf.DUMMYFUNCTION("""COMPUTED_VALUE"""),0.9041548630783758)</f>
        <v>0.9041548631</v>
      </c>
    </row>
    <row r="5059">
      <c r="A5059" s="10" t="str">
        <f>IFERROR(__xludf.DUMMYFUNCTION("""COMPUTED_VALUE"""),"あーりんです。☆")</f>
        <v>あーりんです。☆</v>
      </c>
      <c r="B5059" s="10">
        <f>IFERROR(__xludf.DUMMYFUNCTION("""COMPUTED_VALUE"""),123.0)</f>
        <v>123</v>
      </c>
      <c r="C5059" s="10">
        <f>IFERROR(__xludf.DUMMYFUNCTION("""COMPUTED_VALUE"""),1429.0)</f>
        <v>1429</v>
      </c>
      <c r="D5059" s="5">
        <f>IFERROR(__xludf.DUMMYFUNCTION("""COMPUTED_VALUE"""),0.34762633996937214)</f>
        <v>0.34762634</v>
      </c>
      <c r="E5059" s="5">
        <f>IFERROR(__xludf.DUMMYFUNCTION("""COMPUTED_VALUE"""),0.1125574272588055)</f>
        <v>0.1125574273</v>
      </c>
      <c r="F5059" s="5">
        <f>IFERROR(__xludf.DUMMYFUNCTION("""COMPUTED_VALUE"""),0.1998468606431853)</f>
        <v>0.1998468606</v>
      </c>
      <c r="G5059" s="5">
        <f>IFERROR(__xludf.DUMMYFUNCTION("""COMPUTED_VALUE"""),0.1554364471669219)</f>
        <v>0.1554364472</v>
      </c>
      <c r="H5059" s="5">
        <f>IFERROR(__xludf.DUMMYFUNCTION("""COMPUTED_VALUE"""),0.6283524904214559)</f>
        <v>0.6283524904</v>
      </c>
      <c r="I5059" s="11">
        <f>IFERROR(__xludf.DUMMYFUNCTION("""COMPUTED_VALUE"""),4854.789272030652)</f>
        <v>4854.789272</v>
      </c>
      <c r="J5059" s="10">
        <f>IFERROR(__xludf.DUMMYFUNCTION("""COMPUTED_VALUE"""),0.0)</f>
        <v>0</v>
      </c>
      <c r="K5059" s="5">
        <f>IFERROR(__xludf.DUMMYFUNCTION("""COMPUTED_VALUE"""),0.0)</f>
        <v>0</v>
      </c>
      <c r="L5059" s="10">
        <f>IFERROR(__xludf.DUMMYFUNCTION("""COMPUTED_VALUE"""),0.0)</f>
        <v>0</v>
      </c>
      <c r="M5059" s="5">
        <f>IFERROR(__xludf.DUMMYFUNCTION("""COMPUTED_VALUE"""),0.0)</f>
        <v>0</v>
      </c>
    </row>
    <row r="5060">
      <c r="A5060" s="10" t="str">
        <f>IFERROR(__xludf.DUMMYFUNCTION("""COMPUTED_VALUE"""),"E回路")</f>
        <v>E回路</v>
      </c>
      <c r="B5060" s="10">
        <f>IFERROR(__xludf.DUMMYFUNCTION("""COMPUTED_VALUE"""),311.0)</f>
        <v>311</v>
      </c>
      <c r="C5060" s="10">
        <f>IFERROR(__xludf.DUMMYFUNCTION("""COMPUTED_VALUE"""),3625.0)</f>
        <v>3625</v>
      </c>
      <c r="D5060" s="5">
        <f>IFERROR(__xludf.DUMMYFUNCTION("""COMPUTED_VALUE"""),0.3696439348219674)</f>
        <v>0.3696439348</v>
      </c>
      <c r="E5060" s="5">
        <f>IFERROR(__xludf.DUMMYFUNCTION("""COMPUTED_VALUE"""),0.11255280627640314)</f>
        <v>0.1125528063</v>
      </c>
      <c r="F5060" s="5">
        <f>IFERROR(__xludf.DUMMYFUNCTION("""COMPUTED_VALUE"""),0.20488835244417622)</f>
        <v>0.2048883524</v>
      </c>
      <c r="G5060" s="5">
        <f>IFERROR(__xludf.DUMMYFUNCTION("""COMPUTED_VALUE"""),0.14846107423053712)</f>
        <v>0.1484610742</v>
      </c>
      <c r="H5060" s="5">
        <f>IFERROR(__xludf.DUMMYFUNCTION("""COMPUTED_VALUE"""),0.6244477172312224)</f>
        <v>0.6244477172</v>
      </c>
      <c r="I5060" s="11">
        <f>IFERROR(__xludf.DUMMYFUNCTION("""COMPUTED_VALUE"""),5510.162002945508)</f>
        <v>5510.162003</v>
      </c>
      <c r="J5060" s="10">
        <f>IFERROR(__xludf.DUMMYFUNCTION("""COMPUTED_VALUE"""),1.0)</f>
        <v>1</v>
      </c>
      <c r="K5060" s="5">
        <f>IFERROR(__xludf.DUMMYFUNCTION("""COMPUTED_VALUE"""),0.003215434083601286)</f>
        <v>0.003215434084</v>
      </c>
      <c r="L5060" s="10">
        <f>IFERROR(__xludf.DUMMYFUNCTION("""COMPUTED_VALUE"""),117.0)</f>
        <v>117</v>
      </c>
      <c r="M5060" s="5">
        <f>IFERROR(__xludf.DUMMYFUNCTION("""COMPUTED_VALUE"""),0.3762057877813505)</f>
        <v>0.3762057878</v>
      </c>
    </row>
    <row r="5061">
      <c r="A5061" s="10" t="str">
        <f>IFERROR(__xludf.DUMMYFUNCTION("""COMPUTED_VALUE"""),"みかか♪")</f>
        <v>みかか♪</v>
      </c>
      <c r="B5061" s="10">
        <f>IFERROR(__xludf.DUMMYFUNCTION("""COMPUTED_VALUE"""),1896.0)</f>
        <v>1896</v>
      </c>
      <c r="C5061" s="10">
        <f>IFERROR(__xludf.DUMMYFUNCTION("""COMPUTED_VALUE"""),22174.0)</f>
        <v>22174</v>
      </c>
      <c r="D5061" s="5">
        <f>IFERROR(__xludf.DUMMYFUNCTION("""COMPUTED_VALUE"""),0.3114705592267482)</f>
        <v>0.3114705592</v>
      </c>
      <c r="E5061" s="5">
        <f>IFERROR(__xludf.DUMMYFUNCTION("""COMPUTED_VALUE"""),0.11253575303284348)</f>
        <v>0.112535753</v>
      </c>
      <c r="F5061" s="5">
        <f>IFERROR(__xludf.DUMMYFUNCTION("""COMPUTED_VALUE"""),0.20588815465036)</f>
        <v>0.2058881547</v>
      </c>
      <c r="G5061" s="5">
        <f>IFERROR(__xludf.DUMMYFUNCTION("""COMPUTED_VALUE"""),0.16766939540388598)</f>
        <v>0.1676693954</v>
      </c>
      <c r="H5061" s="5">
        <f>IFERROR(__xludf.DUMMYFUNCTION("""COMPUTED_VALUE"""),0.6026347305389221)</f>
        <v>0.6026347305</v>
      </c>
      <c r="I5061" s="11">
        <f>IFERROR(__xludf.DUMMYFUNCTION("""COMPUTED_VALUE"""),5591.25748502994)</f>
        <v>5591.257485</v>
      </c>
      <c r="J5061" s="10">
        <f>IFERROR(__xludf.DUMMYFUNCTION("""COMPUTED_VALUE"""),2.0)</f>
        <v>2</v>
      </c>
      <c r="K5061" s="5">
        <f>IFERROR(__xludf.DUMMYFUNCTION("""COMPUTED_VALUE"""),0.0010548523206751054)</f>
        <v>0.001054852321</v>
      </c>
      <c r="L5061" s="10">
        <f>IFERROR(__xludf.DUMMYFUNCTION("""COMPUTED_VALUE"""),1759.0)</f>
        <v>1759</v>
      </c>
      <c r="M5061" s="5">
        <f>IFERROR(__xludf.DUMMYFUNCTION("""COMPUTED_VALUE"""),0.9277426160337553)</f>
        <v>0.927742616</v>
      </c>
    </row>
    <row r="5062">
      <c r="A5062" s="10" t="str">
        <f>IFERROR(__xludf.DUMMYFUNCTION("""COMPUTED_VALUE"""),"tj-micro")</f>
        <v>tj-micro</v>
      </c>
      <c r="B5062" s="10">
        <f>IFERROR(__xludf.DUMMYFUNCTION("""COMPUTED_VALUE"""),1612.0)</f>
        <v>1612</v>
      </c>
      <c r="C5062" s="10">
        <f>IFERROR(__xludf.DUMMYFUNCTION("""COMPUTED_VALUE"""),19065.0)</f>
        <v>19065</v>
      </c>
      <c r="D5062" s="5">
        <f>IFERROR(__xludf.DUMMYFUNCTION("""COMPUTED_VALUE"""),0.3047613590786684)</f>
        <v>0.3047613591</v>
      </c>
      <c r="E5062" s="5">
        <f>IFERROR(__xludf.DUMMYFUNCTION("""COMPUTED_VALUE"""),0.11253079699765084)</f>
        <v>0.112530797</v>
      </c>
      <c r="F5062" s="5">
        <f>IFERROR(__xludf.DUMMYFUNCTION("""COMPUTED_VALUE"""),0.2063828568154472)</f>
        <v>0.2063828568</v>
      </c>
      <c r="G5062" s="5">
        <f>IFERROR(__xludf.DUMMYFUNCTION("""COMPUTED_VALUE"""),0.16759296396035064)</f>
        <v>0.167592964</v>
      </c>
      <c r="H5062" s="5">
        <f>IFERROR(__xludf.DUMMYFUNCTION("""COMPUTED_VALUE"""),0.6057745696835092)</f>
        <v>0.6057745697</v>
      </c>
      <c r="I5062" s="11">
        <f>IFERROR(__xludf.DUMMYFUNCTION("""COMPUTED_VALUE"""),5743.753470294281)</f>
        <v>5743.75347</v>
      </c>
      <c r="J5062" s="10">
        <f>IFERROR(__xludf.DUMMYFUNCTION("""COMPUTED_VALUE"""),2.0)</f>
        <v>2</v>
      </c>
      <c r="K5062" s="5">
        <f>IFERROR(__xludf.DUMMYFUNCTION("""COMPUTED_VALUE"""),0.0012406947890818859)</f>
        <v>0.001240694789</v>
      </c>
      <c r="L5062" s="10">
        <f>IFERROR(__xludf.DUMMYFUNCTION("""COMPUTED_VALUE"""),1594.0)</f>
        <v>1594</v>
      </c>
      <c r="M5062" s="5">
        <f>IFERROR(__xludf.DUMMYFUNCTION("""COMPUTED_VALUE"""),0.988833746898263)</f>
        <v>0.9888337469</v>
      </c>
    </row>
    <row r="5063">
      <c r="A5063" s="10" t="str">
        <f>IFERROR(__xludf.DUMMYFUNCTION("""COMPUTED_VALUE"""),"電気犬('ω')")</f>
        <v>電気犬('ω')</v>
      </c>
      <c r="B5063" s="10">
        <f>IFERROR(__xludf.DUMMYFUNCTION("""COMPUTED_VALUE"""),196.0)</f>
        <v>196</v>
      </c>
      <c r="C5063" s="10">
        <f>IFERROR(__xludf.DUMMYFUNCTION("""COMPUTED_VALUE"""),2391.0)</f>
        <v>2391</v>
      </c>
      <c r="D5063" s="5">
        <f>IFERROR(__xludf.DUMMYFUNCTION("""COMPUTED_VALUE"""),0.32437357630979496)</f>
        <v>0.3243735763</v>
      </c>
      <c r="E5063" s="5">
        <f>IFERROR(__xludf.DUMMYFUNCTION("""COMPUTED_VALUE"""),0.11252847380410023)</f>
        <v>0.1125284738</v>
      </c>
      <c r="F5063" s="5">
        <f>IFERROR(__xludf.DUMMYFUNCTION("""COMPUTED_VALUE"""),0.1867881548974943)</f>
        <v>0.1867881549</v>
      </c>
      <c r="G5063" s="5">
        <f>IFERROR(__xludf.DUMMYFUNCTION("""COMPUTED_VALUE"""),0.15034168564920272)</f>
        <v>0.1503416856</v>
      </c>
      <c r="H5063" s="5">
        <f>IFERROR(__xludf.DUMMYFUNCTION("""COMPUTED_VALUE"""),0.5780487804878048)</f>
        <v>0.5780487805</v>
      </c>
      <c r="I5063" s="11">
        <f>IFERROR(__xludf.DUMMYFUNCTION("""COMPUTED_VALUE"""),5000.0)</f>
        <v>5000</v>
      </c>
      <c r="J5063" s="10">
        <f>IFERROR(__xludf.DUMMYFUNCTION("""COMPUTED_VALUE"""),0.0)</f>
        <v>0</v>
      </c>
      <c r="K5063" s="5">
        <f>IFERROR(__xludf.DUMMYFUNCTION("""COMPUTED_VALUE"""),0.0)</f>
        <v>0</v>
      </c>
      <c r="L5063" s="10">
        <f>IFERROR(__xludf.DUMMYFUNCTION("""COMPUTED_VALUE"""),196.0)</f>
        <v>196</v>
      </c>
      <c r="M5063" s="5">
        <f>IFERROR(__xludf.DUMMYFUNCTION("""COMPUTED_VALUE"""),1.0)</f>
        <v>1</v>
      </c>
    </row>
    <row r="5064">
      <c r="A5064" s="10" t="str">
        <f>IFERROR(__xludf.DUMMYFUNCTION("""COMPUTED_VALUE"""),"綾弥一条")</f>
        <v>綾弥一条</v>
      </c>
      <c r="B5064" s="10">
        <f>IFERROR(__xludf.DUMMYFUNCTION("""COMPUTED_VALUE"""),487.0)</f>
        <v>487</v>
      </c>
      <c r="C5064" s="10">
        <f>IFERROR(__xludf.DUMMYFUNCTION("""COMPUTED_VALUE"""),5819.0)</f>
        <v>5819</v>
      </c>
      <c r="D5064" s="5">
        <f>IFERROR(__xludf.DUMMYFUNCTION("""COMPUTED_VALUE"""),0.3524006001500375)</f>
        <v>0.3524006002</v>
      </c>
      <c r="E5064" s="5">
        <f>IFERROR(__xludf.DUMMYFUNCTION("""COMPUTED_VALUE"""),0.11252813203300825)</f>
        <v>0.112528132</v>
      </c>
      <c r="F5064" s="5">
        <f>IFERROR(__xludf.DUMMYFUNCTION("""COMPUTED_VALUE"""),0.20255063765941486)</f>
        <v>0.2025506377</v>
      </c>
      <c r="G5064" s="5">
        <f>IFERROR(__xludf.DUMMYFUNCTION("""COMPUTED_VALUE"""),0.1562265566391598)</f>
        <v>0.1562265566</v>
      </c>
      <c r="H5064" s="5">
        <f>IFERROR(__xludf.DUMMYFUNCTION("""COMPUTED_VALUE"""),0.5768518518518518)</f>
        <v>0.5768518519</v>
      </c>
      <c r="I5064" s="11">
        <f>IFERROR(__xludf.DUMMYFUNCTION("""COMPUTED_VALUE"""),5342.592592592592)</f>
        <v>5342.592593</v>
      </c>
      <c r="J5064" s="10">
        <f>IFERROR(__xludf.DUMMYFUNCTION("""COMPUTED_VALUE"""),1.0)</f>
        <v>1</v>
      </c>
      <c r="K5064" s="5">
        <f>IFERROR(__xludf.DUMMYFUNCTION("""COMPUTED_VALUE"""),0.002053388090349076)</f>
        <v>0.00205338809</v>
      </c>
      <c r="L5064" s="10">
        <f>IFERROR(__xludf.DUMMYFUNCTION("""COMPUTED_VALUE"""),484.0)</f>
        <v>484</v>
      </c>
      <c r="M5064" s="5">
        <f>IFERROR(__xludf.DUMMYFUNCTION("""COMPUTED_VALUE"""),0.9938398357289527)</f>
        <v>0.9938398357</v>
      </c>
    </row>
    <row r="5065">
      <c r="A5065" s="10" t="str">
        <f>IFERROR(__xludf.DUMMYFUNCTION("""COMPUTED_VALUE"""),"naoki39")</f>
        <v>naoki39</v>
      </c>
      <c r="B5065" s="10">
        <f>IFERROR(__xludf.DUMMYFUNCTION("""COMPUTED_VALUE"""),778.0)</f>
        <v>778</v>
      </c>
      <c r="C5065" s="10">
        <f>IFERROR(__xludf.DUMMYFUNCTION("""COMPUTED_VALUE"""),9114.0)</f>
        <v>9114</v>
      </c>
      <c r="D5065" s="5">
        <f>IFERROR(__xludf.DUMMYFUNCTION("""COMPUTED_VALUE"""),0.3059021113243762)</f>
        <v>0.3059021113</v>
      </c>
      <c r="E5065" s="5">
        <f>IFERROR(__xludf.DUMMYFUNCTION("""COMPUTED_VALUE"""),0.11252399232245681)</f>
        <v>0.1125239923</v>
      </c>
      <c r="F5065" s="5">
        <f>IFERROR(__xludf.DUMMYFUNCTION("""COMPUTED_VALUE"""),0.21221209213051823)</f>
        <v>0.2122120921</v>
      </c>
      <c r="G5065" s="5">
        <f>IFERROR(__xludf.DUMMYFUNCTION("""COMPUTED_VALUE"""),0.15666986564299423)</f>
        <v>0.1566698656</v>
      </c>
      <c r="H5065" s="5">
        <f>IFERROR(__xludf.DUMMYFUNCTION("""COMPUTED_VALUE"""),0.58111927642736)</f>
        <v>0.5811192764</v>
      </c>
      <c r="I5065" s="11">
        <f>IFERROR(__xludf.DUMMYFUNCTION("""COMPUTED_VALUE"""),5860.0339174674955)</f>
        <v>5860.033917</v>
      </c>
      <c r="J5065" s="10">
        <f>IFERROR(__xludf.DUMMYFUNCTION("""COMPUTED_VALUE"""),1.0)</f>
        <v>1</v>
      </c>
      <c r="K5065" s="5">
        <f>IFERROR(__xludf.DUMMYFUNCTION("""COMPUTED_VALUE"""),0.0012853470437017994)</f>
        <v>0.001285347044</v>
      </c>
      <c r="L5065" s="10">
        <f>IFERROR(__xludf.DUMMYFUNCTION("""COMPUTED_VALUE"""),778.0)</f>
        <v>778</v>
      </c>
      <c r="M5065" s="5">
        <f>IFERROR(__xludf.DUMMYFUNCTION("""COMPUTED_VALUE"""),1.0)</f>
        <v>1</v>
      </c>
    </row>
    <row r="5066">
      <c r="A5066" s="10" t="str">
        <f>IFERROR(__xludf.DUMMYFUNCTION("""COMPUTED_VALUE"""),"rairu@TK")</f>
        <v>rairu@TK</v>
      </c>
      <c r="B5066" s="10">
        <f>IFERROR(__xludf.DUMMYFUNCTION("""COMPUTED_VALUE"""),1635.0)</f>
        <v>1635</v>
      </c>
      <c r="C5066" s="10">
        <f>IFERROR(__xludf.DUMMYFUNCTION("""COMPUTED_VALUE"""),19224.0)</f>
        <v>19224</v>
      </c>
      <c r="D5066" s="5">
        <f>IFERROR(__xludf.DUMMYFUNCTION("""COMPUTED_VALUE"""),0.3293535732560123)</f>
        <v>0.3293535733</v>
      </c>
      <c r="E5066" s="5">
        <f>IFERROR(__xludf.DUMMYFUNCTION("""COMPUTED_VALUE"""),0.1125135027574052)</f>
        <v>0.1125135028</v>
      </c>
      <c r="F5066" s="5">
        <f>IFERROR(__xludf.DUMMYFUNCTION("""COMPUTED_VALUE"""),0.20780032975154927)</f>
        <v>0.2078003298</v>
      </c>
      <c r="G5066" s="5">
        <f>IFERROR(__xludf.DUMMYFUNCTION("""COMPUTED_VALUE"""),0.17755415316390927)</f>
        <v>0.1775541532</v>
      </c>
      <c r="H5066" s="5">
        <f>IFERROR(__xludf.DUMMYFUNCTION("""COMPUTED_VALUE"""),0.5885088919288646)</f>
        <v>0.5885088919</v>
      </c>
      <c r="I5066" s="11">
        <f>IFERROR(__xludf.DUMMYFUNCTION("""COMPUTED_VALUE"""),5713.324213406293)</f>
        <v>5713.324213</v>
      </c>
      <c r="J5066" s="10">
        <f>IFERROR(__xludf.DUMMYFUNCTION("""COMPUTED_VALUE"""),6.0)</f>
        <v>6</v>
      </c>
      <c r="K5066" s="5">
        <f>IFERROR(__xludf.DUMMYFUNCTION("""COMPUTED_VALUE"""),0.003669724770642202)</f>
        <v>0.003669724771</v>
      </c>
      <c r="L5066" s="10">
        <f>IFERROR(__xludf.DUMMYFUNCTION("""COMPUTED_VALUE"""),1635.0)</f>
        <v>1635</v>
      </c>
      <c r="M5066" s="5">
        <f>IFERROR(__xludf.DUMMYFUNCTION("""COMPUTED_VALUE"""),1.0)</f>
        <v>1</v>
      </c>
    </row>
    <row r="5067">
      <c r="A5067" s="10" t="str">
        <f>IFERROR(__xludf.DUMMYFUNCTION("""COMPUTED_VALUE"""),"北の対子落とし")</f>
        <v>北の対子落とし</v>
      </c>
      <c r="B5067" s="10">
        <f>IFERROR(__xludf.DUMMYFUNCTION("""COMPUTED_VALUE"""),3879.0)</f>
        <v>3879</v>
      </c>
      <c r="C5067" s="10">
        <f>IFERROR(__xludf.DUMMYFUNCTION("""COMPUTED_VALUE"""),45858.0)</f>
        <v>45858</v>
      </c>
      <c r="D5067" s="5">
        <f>IFERROR(__xludf.DUMMYFUNCTION("""COMPUTED_VALUE"""),0.3506991591033612)</f>
        <v>0.3506991591</v>
      </c>
      <c r="E5067" s="5">
        <f>IFERROR(__xludf.DUMMYFUNCTION("""COMPUTED_VALUE"""),0.11250863527001596)</f>
        <v>0.1125086353</v>
      </c>
      <c r="F5067" s="5">
        <f>IFERROR(__xludf.DUMMYFUNCTION("""COMPUTED_VALUE"""),0.22065794802162986)</f>
        <v>0.220657948</v>
      </c>
      <c r="G5067" s="5">
        <f>IFERROR(__xludf.DUMMYFUNCTION("""COMPUTED_VALUE"""),0.14943185878653611)</f>
        <v>0.1494318588</v>
      </c>
      <c r="H5067" s="5">
        <f>IFERROR(__xludf.DUMMYFUNCTION("""COMPUTED_VALUE"""),0.6069307999568174)</f>
        <v>0.6069308</v>
      </c>
      <c r="I5067" s="11">
        <f>IFERROR(__xludf.DUMMYFUNCTION("""COMPUTED_VALUE"""),5298.143150167332)</f>
        <v>5298.14315</v>
      </c>
      <c r="J5067" s="10">
        <f>IFERROR(__xludf.DUMMYFUNCTION("""COMPUTED_VALUE"""),12.0)</f>
        <v>12</v>
      </c>
      <c r="K5067" s="5">
        <f>IFERROR(__xludf.DUMMYFUNCTION("""COMPUTED_VALUE"""),0.0030935808197989174)</f>
        <v>0.00309358082</v>
      </c>
      <c r="L5067" s="10">
        <f>IFERROR(__xludf.DUMMYFUNCTION("""COMPUTED_VALUE"""),3456.0)</f>
        <v>3456</v>
      </c>
      <c r="M5067" s="5">
        <f>IFERROR(__xludf.DUMMYFUNCTION("""COMPUTED_VALUE"""),0.8909512761020881)</f>
        <v>0.8909512761</v>
      </c>
    </row>
    <row r="5068">
      <c r="A5068" s="10" t="str">
        <f>IFERROR(__xludf.DUMMYFUNCTION("""COMPUTED_VALUE"""),"竹井久＠部長")</f>
        <v>竹井久＠部長</v>
      </c>
      <c r="B5068" s="10">
        <f>IFERROR(__xludf.DUMMYFUNCTION("""COMPUTED_VALUE"""),2275.0)</f>
        <v>2275</v>
      </c>
      <c r="C5068" s="10">
        <f>IFERROR(__xludf.DUMMYFUNCTION("""COMPUTED_VALUE"""),26755.0)</f>
        <v>26755</v>
      </c>
      <c r="D5068" s="5">
        <f>IFERROR(__xludf.DUMMYFUNCTION("""COMPUTED_VALUE"""),0.24701797385620916)</f>
        <v>0.2470179739</v>
      </c>
      <c r="E5068" s="5">
        <f>IFERROR(__xludf.DUMMYFUNCTION("""COMPUTED_VALUE"""),0.1125)</f>
        <v>0.1125</v>
      </c>
      <c r="F5068" s="5">
        <f>IFERROR(__xludf.DUMMYFUNCTION("""COMPUTED_VALUE"""),0.2152777777777778)</f>
        <v>0.2152777778</v>
      </c>
      <c r="G5068" s="5">
        <f>IFERROR(__xludf.DUMMYFUNCTION("""COMPUTED_VALUE"""),0.20473856209150326)</f>
        <v>0.2047385621</v>
      </c>
      <c r="H5068" s="5">
        <f>IFERROR(__xludf.DUMMYFUNCTION("""COMPUTED_VALUE"""),0.5743833017077798)</f>
        <v>0.5743833017</v>
      </c>
      <c r="I5068" s="11">
        <f>IFERROR(__xludf.DUMMYFUNCTION("""COMPUTED_VALUE"""),5639.165085388994)</f>
        <v>5639.165085</v>
      </c>
      <c r="J5068" s="10">
        <f>IFERROR(__xludf.DUMMYFUNCTION("""COMPUTED_VALUE"""),7.0)</f>
        <v>7</v>
      </c>
      <c r="K5068" s="5">
        <f>IFERROR(__xludf.DUMMYFUNCTION("""COMPUTED_VALUE"""),0.003076923076923077)</f>
        <v>0.003076923077</v>
      </c>
      <c r="L5068" s="10">
        <f>IFERROR(__xludf.DUMMYFUNCTION("""COMPUTED_VALUE"""),3.0)</f>
        <v>3</v>
      </c>
      <c r="M5068" s="5">
        <f>IFERROR(__xludf.DUMMYFUNCTION("""COMPUTED_VALUE"""),0.0013186813186813187)</f>
        <v>0.001318681319</v>
      </c>
    </row>
    <row r="5069">
      <c r="A5069" s="10" t="str">
        <f>IFERROR(__xludf.DUMMYFUNCTION("""COMPUTED_VALUE"""),"黒鬼")</f>
        <v>黒鬼</v>
      </c>
      <c r="B5069" s="10">
        <f>IFERROR(__xludf.DUMMYFUNCTION("""COMPUTED_VALUE"""),908.0)</f>
        <v>908</v>
      </c>
      <c r="C5069" s="10">
        <f>IFERROR(__xludf.DUMMYFUNCTION("""COMPUTED_VALUE"""),10837.0)</f>
        <v>10837</v>
      </c>
      <c r="D5069" s="5">
        <f>IFERROR(__xludf.DUMMYFUNCTION("""COMPUTED_VALUE"""),0.35089132843186627)</f>
        <v>0.3508913284</v>
      </c>
      <c r="E5069" s="5">
        <f>IFERROR(__xludf.DUMMYFUNCTION("""COMPUTED_VALUE"""),0.11249874106153691)</f>
        <v>0.1124987411</v>
      </c>
      <c r="F5069" s="5">
        <f>IFERROR(__xludf.DUMMYFUNCTION("""COMPUTED_VALUE"""),0.2100916507201128)</f>
        <v>0.2100916507</v>
      </c>
      <c r="G5069" s="5">
        <f>IFERROR(__xludf.DUMMYFUNCTION("""COMPUTED_VALUE"""),0.16074126296706617)</f>
        <v>0.160741263</v>
      </c>
      <c r="H5069" s="5">
        <f>IFERROR(__xludf.DUMMYFUNCTION("""COMPUTED_VALUE"""),0.5992329817833174)</f>
        <v>0.5992329818</v>
      </c>
      <c r="I5069" s="11">
        <f>IFERROR(__xludf.DUMMYFUNCTION("""COMPUTED_VALUE"""),5581.879194630873)</f>
        <v>5581.879195</v>
      </c>
      <c r="J5069" s="10">
        <f>IFERROR(__xludf.DUMMYFUNCTION("""COMPUTED_VALUE"""),0.0)</f>
        <v>0</v>
      </c>
      <c r="K5069" s="5">
        <f>IFERROR(__xludf.DUMMYFUNCTION("""COMPUTED_VALUE"""),0.0)</f>
        <v>0</v>
      </c>
      <c r="L5069" s="10">
        <f>IFERROR(__xludf.DUMMYFUNCTION("""COMPUTED_VALUE"""),908.0)</f>
        <v>908</v>
      </c>
      <c r="M5069" s="5">
        <f>IFERROR(__xludf.DUMMYFUNCTION("""COMPUTED_VALUE"""),1.0)</f>
        <v>1</v>
      </c>
    </row>
    <row r="5070">
      <c r="A5070" s="10" t="str">
        <f>IFERROR(__xludf.DUMMYFUNCTION("""COMPUTED_VALUE"""),"macpac")</f>
        <v>macpac</v>
      </c>
      <c r="B5070" s="10">
        <f>IFERROR(__xludf.DUMMYFUNCTION("""COMPUTED_VALUE"""),2561.0)</f>
        <v>2561</v>
      </c>
      <c r="C5070" s="10">
        <f>IFERROR(__xludf.DUMMYFUNCTION("""COMPUTED_VALUE"""),30317.0)</f>
        <v>30317</v>
      </c>
      <c r="D5070" s="5">
        <f>IFERROR(__xludf.DUMMYFUNCTION("""COMPUTED_VALUE"""),0.35264447326704135)</f>
        <v>0.3526444733</v>
      </c>
      <c r="E5070" s="5">
        <f>IFERROR(__xludf.DUMMYFUNCTION("""COMPUTED_VALUE"""),0.11248018446462026)</f>
        <v>0.1124801845</v>
      </c>
      <c r="F5070" s="5">
        <f>IFERROR(__xludf.DUMMYFUNCTION("""COMPUTED_VALUE"""),0.2075587260412163)</f>
        <v>0.207558726</v>
      </c>
      <c r="G5070" s="5">
        <f>IFERROR(__xludf.DUMMYFUNCTION("""COMPUTED_VALUE"""),0.17448479608012682)</f>
        <v>0.1744847961</v>
      </c>
      <c r="H5070" s="5">
        <f>IFERROR(__xludf.DUMMYFUNCTION("""COMPUTED_VALUE"""),0.5931261933692067)</f>
        <v>0.5931261934</v>
      </c>
      <c r="I5070" s="11">
        <f>IFERROR(__xludf.DUMMYFUNCTION("""COMPUTED_VALUE"""),5842.388474223225)</f>
        <v>5842.388474</v>
      </c>
      <c r="J5070" s="10">
        <f>IFERROR(__xludf.DUMMYFUNCTION("""COMPUTED_VALUE"""),6.0)</f>
        <v>6</v>
      </c>
      <c r="K5070" s="5">
        <f>IFERROR(__xludf.DUMMYFUNCTION("""COMPUTED_VALUE"""),0.0023428348301444747)</f>
        <v>0.00234283483</v>
      </c>
      <c r="L5070" s="10">
        <f>IFERROR(__xludf.DUMMYFUNCTION("""COMPUTED_VALUE"""),2561.0)</f>
        <v>2561</v>
      </c>
      <c r="M5070" s="5">
        <f>IFERROR(__xludf.DUMMYFUNCTION("""COMPUTED_VALUE"""),1.0)</f>
        <v>1</v>
      </c>
    </row>
    <row r="5071">
      <c r="A5071" s="10" t="str">
        <f>IFERROR(__xludf.DUMMYFUNCTION("""COMPUTED_VALUE"""),"Arcade")</f>
        <v>Arcade</v>
      </c>
      <c r="B5071" s="10">
        <f>IFERROR(__xludf.DUMMYFUNCTION("""COMPUTED_VALUE"""),1075.0)</f>
        <v>1075</v>
      </c>
      <c r="C5071" s="10">
        <f>IFERROR(__xludf.DUMMYFUNCTION("""COMPUTED_VALUE"""),12786.0)</f>
        <v>12786</v>
      </c>
      <c r="D5071" s="5">
        <f>IFERROR(__xludf.DUMMYFUNCTION("""COMPUTED_VALUE"""),0.3747758517632995)</f>
        <v>0.3747758518</v>
      </c>
      <c r="E5071" s="5">
        <f>IFERROR(__xludf.DUMMYFUNCTION("""COMPUTED_VALUE"""),0.11245837247032704)</f>
        <v>0.1124583725</v>
      </c>
      <c r="F5071" s="5">
        <f>IFERROR(__xludf.DUMMYFUNCTION("""COMPUTED_VALUE"""),0.2052770899154641)</f>
        <v>0.2052770899</v>
      </c>
      <c r="G5071" s="5">
        <f>IFERROR(__xludf.DUMMYFUNCTION("""COMPUTED_VALUE"""),0.1622406284689608)</f>
        <v>0.1622406285</v>
      </c>
      <c r="H5071" s="5">
        <f>IFERROR(__xludf.DUMMYFUNCTION("""COMPUTED_VALUE"""),0.6027454242928453)</f>
        <v>0.6027454243</v>
      </c>
      <c r="I5071" s="11">
        <f>IFERROR(__xludf.DUMMYFUNCTION("""COMPUTED_VALUE"""),5486.148086522462)</f>
        <v>5486.148087</v>
      </c>
      <c r="J5071" s="10">
        <f>IFERROR(__xludf.DUMMYFUNCTION("""COMPUTED_VALUE"""),1.0)</f>
        <v>1</v>
      </c>
      <c r="K5071" s="5">
        <f>IFERROR(__xludf.DUMMYFUNCTION("""COMPUTED_VALUE"""),9.302325581395349E-4)</f>
        <v>0.0009302325581</v>
      </c>
      <c r="L5071" s="10">
        <f>IFERROR(__xludf.DUMMYFUNCTION("""COMPUTED_VALUE"""),1016.0)</f>
        <v>1016</v>
      </c>
      <c r="M5071" s="5">
        <f>IFERROR(__xludf.DUMMYFUNCTION("""COMPUTED_VALUE"""),0.9451162790697675)</f>
        <v>0.9451162791</v>
      </c>
    </row>
    <row r="5072">
      <c r="A5072" s="10" t="str">
        <f>IFERROR(__xludf.DUMMYFUNCTION("""COMPUTED_VALUE"""),"hosigami")</f>
        <v>hosigami</v>
      </c>
      <c r="B5072" s="10">
        <f>IFERROR(__xludf.DUMMYFUNCTION("""COMPUTED_VALUE"""),1606.0)</f>
        <v>1606</v>
      </c>
      <c r="C5072" s="10">
        <f>IFERROR(__xludf.DUMMYFUNCTION("""COMPUTED_VALUE"""),18956.0)</f>
        <v>18956</v>
      </c>
      <c r="D5072" s="5">
        <f>IFERROR(__xludf.DUMMYFUNCTION("""COMPUTED_VALUE"""),0.24564841498559079)</f>
        <v>0.245648415</v>
      </c>
      <c r="E5072" s="5">
        <f>IFERROR(__xludf.DUMMYFUNCTION("""COMPUTED_VALUE"""),0.11244956772334294)</f>
        <v>0.1124495677</v>
      </c>
      <c r="F5072" s="5">
        <f>IFERROR(__xludf.DUMMYFUNCTION("""COMPUTED_VALUE"""),0.1882420749279539)</f>
        <v>0.1882420749</v>
      </c>
      <c r="G5072" s="5">
        <f>IFERROR(__xludf.DUMMYFUNCTION("""COMPUTED_VALUE"""),0.205821325648415)</f>
        <v>0.2058213256</v>
      </c>
      <c r="H5072" s="5">
        <f>IFERROR(__xludf.DUMMYFUNCTION("""COMPUTED_VALUE"""),0.5652173913043478)</f>
        <v>0.5652173913</v>
      </c>
      <c r="I5072" s="11">
        <f>IFERROR(__xludf.DUMMYFUNCTION("""COMPUTED_VALUE"""),6244.88671157379)</f>
        <v>6244.886712</v>
      </c>
      <c r="J5072" s="10">
        <f>IFERROR(__xludf.DUMMYFUNCTION("""COMPUTED_VALUE"""),4.0)</f>
        <v>4</v>
      </c>
      <c r="K5072" s="5">
        <f>IFERROR(__xludf.DUMMYFUNCTION("""COMPUTED_VALUE"""),0.0024906600249066002)</f>
        <v>0.002490660025</v>
      </c>
      <c r="L5072" s="10">
        <f>IFERROR(__xludf.DUMMYFUNCTION("""COMPUTED_VALUE"""),1606.0)</f>
        <v>1606</v>
      </c>
      <c r="M5072" s="5">
        <f>IFERROR(__xludf.DUMMYFUNCTION("""COMPUTED_VALUE"""),1.0)</f>
        <v>1</v>
      </c>
    </row>
    <row r="5073">
      <c r="A5073" s="10" t="str">
        <f>IFERROR(__xludf.DUMMYFUNCTION("""COMPUTED_VALUE"""),"秋山優花里")</f>
        <v>秋山優花里</v>
      </c>
      <c r="B5073" s="10">
        <f>IFERROR(__xludf.DUMMYFUNCTION("""COMPUTED_VALUE"""),137.0)</f>
        <v>137</v>
      </c>
      <c r="C5073" s="10">
        <f>IFERROR(__xludf.DUMMYFUNCTION("""COMPUTED_VALUE"""),1640.0)</f>
        <v>1640</v>
      </c>
      <c r="D5073" s="5">
        <f>IFERROR(__xludf.DUMMYFUNCTION("""COMPUTED_VALUE"""),0.3093812375249501)</f>
        <v>0.3093812375</v>
      </c>
      <c r="E5073" s="5">
        <f>IFERROR(__xludf.DUMMYFUNCTION("""COMPUTED_VALUE"""),0.11244178310046574)</f>
        <v>0.1124417831</v>
      </c>
      <c r="F5073" s="5">
        <f>IFERROR(__xludf.DUMMYFUNCTION("""COMPUTED_VALUE"""),0.2042581503659348)</f>
        <v>0.2042581504</v>
      </c>
      <c r="G5073" s="5">
        <f>IFERROR(__xludf.DUMMYFUNCTION("""COMPUTED_VALUE"""),0.17232202262142382)</f>
        <v>0.1723220226</v>
      </c>
      <c r="H5073" s="5">
        <f>IFERROR(__xludf.DUMMYFUNCTION("""COMPUTED_VALUE"""),0.50814332247557)</f>
        <v>0.5081433225</v>
      </c>
      <c r="I5073" s="11">
        <f>IFERROR(__xludf.DUMMYFUNCTION("""COMPUTED_VALUE"""),5699.348534201954)</f>
        <v>5699.348534</v>
      </c>
      <c r="J5073" s="10">
        <f>IFERROR(__xludf.DUMMYFUNCTION("""COMPUTED_VALUE"""),0.0)</f>
        <v>0</v>
      </c>
      <c r="K5073" s="5">
        <f>IFERROR(__xludf.DUMMYFUNCTION("""COMPUTED_VALUE"""),0.0)</f>
        <v>0</v>
      </c>
      <c r="L5073" s="10">
        <f>IFERROR(__xludf.DUMMYFUNCTION("""COMPUTED_VALUE"""),0.0)</f>
        <v>0</v>
      </c>
      <c r="M5073" s="5">
        <f>IFERROR(__xludf.DUMMYFUNCTION("""COMPUTED_VALUE"""),0.0)</f>
        <v>0</v>
      </c>
    </row>
    <row r="5074">
      <c r="A5074" s="10" t="str">
        <f>IFERROR(__xludf.DUMMYFUNCTION("""COMPUTED_VALUE"""),"tosiyuki")</f>
        <v>tosiyuki</v>
      </c>
      <c r="B5074" s="10">
        <f>IFERROR(__xludf.DUMMYFUNCTION("""COMPUTED_VALUE"""),347.0)</f>
        <v>347</v>
      </c>
      <c r="C5074" s="10">
        <f>IFERROR(__xludf.DUMMYFUNCTION("""COMPUTED_VALUE"""),4083.0)</f>
        <v>4083</v>
      </c>
      <c r="D5074" s="5">
        <f>IFERROR(__xludf.DUMMYFUNCTION("""COMPUTED_VALUE"""),0.36964668094218417)</f>
        <v>0.3696466809</v>
      </c>
      <c r="E5074" s="5">
        <f>IFERROR(__xludf.DUMMYFUNCTION("""COMPUTED_VALUE"""),0.11241970021413276)</f>
        <v>0.1124197002</v>
      </c>
      <c r="F5074" s="5">
        <f>IFERROR(__xludf.DUMMYFUNCTION("""COMPUTED_VALUE"""),0.20369379014989294)</f>
        <v>0.2036937901</v>
      </c>
      <c r="G5074" s="5">
        <f>IFERROR(__xludf.DUMMYFUNCTION("""COMPUTED_VALUE"""),0.16755888650963596)</f>
        <v>0.1675588865</v>
      </c>
      <c r="H5074" s="5">
        <f>IFERROR(__xludf.DUMMYFUNCTION("""COMPUTED_VALUE"""),0.6110381077529566)</f>
        <v>0.6110381078</v>
      </c>
      <c r="I5074" s="11">
        <f>IFERROR(__xludf.DUMMYFUNCTION("""COMPUTED_VALUE"""),5964.388961892247)</f>
        <v>5964.388962</v>
      </c>
      <c r="J5074" s="10">
        <f>IFERROR(__xludf.DUMMYFUNCTION("""COMPUTED_VALUE"""),1.0)</f>
        <v>1</v>
      </c>
      <c r="K5074" s="5">
        <f>IFERROR(__xludf.DUMMYFUNCTION("""COMPUTED_VALUE"""),0.002881844380403458)</f>
        <v>0.00288184438</v>
      </c>
      <c r="L5074" s="10">
        <f>IFERROR(__xludf.DUMMYFUNCTION("""COMPUTED_VALUE"""),347.0)</f>
        <v>347</v>
      </c>
      <c r="M5074" s="5">
        <f>IFERROR(__xludf.DUMMYFUNCTION("""COMPUTED_VALUE"""),1.0)</f>
        <v>1</v>
      </c>
    </row>
    <row r="5075">
      <c r="A5075" s="10" t="str">
        <f>IFERROR(__xludf.DUMMYFUNCTION("""COMPUTED_VALUE"""),"小池徹平")</f>
        <v>小池徹平</v>
      </c>
      <c r="B5075" s="10">
        <f>IFERROR(__xludf.DUMMYFUNCTION("""COMPUTED_VALUE"""),1655.0)</f>
        <v>1655</v>
      </c>
      <c r="C5075" s="10">
        <f>IFERROR(__xludf.DUMMYFUNCTION("""COMPUTED_VALUE"""),19465.0)</f>
        <v>19465</v>
      </c>
      <c r="D5075" s="5">
        <f>IFERROR(__xludf.DUMMYFUNCTION("""COMPUTED_VALUE"""),0.39258843346434585)</f>
        <v>0.3925884335</v>
      </c>
      <c r="E5075" s="5">
        <f>IFERROR(__xludf.DUMMYFUNCTION("""COMPUTED_VALUE"""),0.11240875912408758)</f>
        <v>0.1124087591</v>
      </c>
      <c r="F5075" s="5">
        <f>IFERROR(__xludf.DUMMYFUNCTION("""COMPUTED_VALUE"""),0.21880965749578887)</f>
        <v>0.2188096575</v>
      </c>
      <c r="G5075" s="5">
        <f>IFERROR(__xludf.DUMMYFUNCTION("""COMPUTED_VALUE"""),0.17142055025266703)</f>
        <v>0.1714205503</v>
      </c>
      <c r="H5075" s="5">
        <f>IFERROR(__xludf.DUMMYFUNCTION("""COMPUTED_VALUE"""),0.6058506543494996)</f>
        <v>0.6058506543</v>
      </c>
      <c r="I5075" s="11">
        <f>IFERROR(__xludf.DUMMYFUNCTION("""COMPUTED_VALUE"""),5486.194508596356)</f>
        <v>5486.194509</v>
      </c>
      <c r="J5075" s="10">
        <f>IFERROR(__xludf.DUMMYFUNCTION("""COMPUTED_VALUE"""),0.0)</f>
        <v>0</v>
      </c>
      <c r="K5075" s="5">
        <f>IFERROR(__xludf.DUMMYFUNCTION("""COMPUTED_VALUE"""),0.0)</f>
        <v>0</v>
      </c>
      <c r="L5075" s="10">
        <f>IFERROR(__xludf.DUMMYFUNCTION("""COMPUTED_VALUE"""),1639.0)</f>
        <v>1639</v>
      </c>
      <c r="M5075" s="5">
        <f>IFERROR(__xludf.DUMMYFUNCTION("""COMPUTED_VALUE"""),0.9903323262839879)</f>
        <v>0.9903323263</v>
      </c>
    </row>
    <row r="5076">
      <c r="A5076" s="10" t="str">
        <f>IFERROR(__xludf.DUMMYFUNCTION("""COMPUTED_VALUE"""),"サウナ小僧")</f>
        <v>サウナ小僧</v>
      </c>
      <c r="B5076" s="10">
        <f>IFERROR(__xludf.DUMMYFUNCTION("""COMPUTED_VALUE"""),3219.0)</f>
        <v>3219</v>
      </c>
      <c r="C5076" s="10">
        <f>IFERROR(__xludf.DUMMYFUNCTION("""COMPUTED_VALUE"""),37683.0)</f>
        <v>37683</v>
      </c>
      <c r="D5076" s="5">
        <f>IFERROR(__xludf.DUMMYFUNCTION("""COMPUTED_VALUE"""),0.32059540389972147)</f>
        <v>0.3205954039</v>
      </c>
      <c r="E5076" s="5">
        <f>IFERROR(__xludf.DUMMYFUNCTION("""COMPUTED_VALUE"""),0.11240714948932219)</f>
        <v>0.1124071495</v>
      </c>
      <c r="F5076" s="5">
        <f>IFERROR(__xludf.DUMMYFUNCTION("""COMPUTED_VALUE"""),0.20833333333333334)</f>
        <v>0.2083333333</v>
      </c>
      <c r="G5076" s="5">
        <f>IFERROR(__xludf.DUMMYFUNCTION("""COMPUTED_VALUE"""),0.18018802228412256)</f>
        <v>0.1801880223</v>
      </c>
      <c r="H5076" s="5">
        <f>IFERROR(__xludf.DUMMYFUNCTION("""COMPUTED_VALUE"""),0.5938718662952647)</f>
        <v>0.5938718663</v>
      </c>
      <c r="I5076" s="11">
        <f>IFERROR(__xludf.DUMMYFUNCTION("""COMPUTED_VALUE"""),5826.657381615599)</f>
        <v>5826.657382</v>
      </c>
      <c r="J5076" s="10">
        <f>IFERROR(__xludf.DUMMYFUNCTION("""COMPUTED_VALUE"""),9.0)</f>
        <v>9</v>
      </c>
      <c r="K5076" s="5">
        <f>IFERROR(__xludf.DUMMYFUNCTION("""COMPUTED_VALUE"""),0.0027958993476234857)</f>
        <v>0.002795899348</v>
      </c>
      <c r="L5076" s="10">
        <f>IFERROR(__xludf.DUMMYFUNCTION("""COMPUTED_VALUE"""),3219.0)</f>
        <v>3219</v>
      </c>
      <c r="M5076" s="5">
        <f>IFERROR(__xludf.DUMMYFUNCTION("""COMPUTED_VALUE"""),1.0)</f>
        <v>1</v>
      </c>
    </row>
    <row r="5077">
      <c r="A5077" s="10" t="str">
        <f>IFERROR(__xludf.DUMMYFUNCTION("""COMPUTED_VALUE"""),"hurryy")</f>
        <v>hurryy</v>
      </c>
      <c r="B5077" s="10">
        <f>IFERROR(__xludf.DUMMYFUNCTION("""COMPUTED_VALUE"""),258.0)</f>
        <v>258</v>
      </c>
      <c r="C5077" s="10">
        <f>IFERROR(__xludf.DUMMYFUNCTION("""COMPUTED_VALUE"""),3061.0)</f>
        <v>3061</v>
      </c>
      <c r="D5077" s="5">
        <f>IFERROR(__xludf.DUMMYFUNCTION("""COMPUTED_VALUE"""),0.28469496967534785)</f>
        <v>0.2846949697</v>
      </c>
      <c r="E5077" s="5">
        <f>IFERROR(__xludf.DUMMYFUNCTION("""COMPUTED_VALUE"""),0.11237959329290047)</f>
        <v>0.1123795933</v>
      </c>
      <c r="F5077" s="5">
        <f>IFERROR(__xludf.DUMMYFUNCTION("""COMPUTED_VALUE"""),0.1937210132001427)</f>
        <v>0.1937210132</v>
      </c>
      <c r="G5077" s="5">
        <f>IFERROR(__xludf.DUMMYFUNCTION("""COMPUTED_VALUE"""),0.14341776667855868)</f>
        <v>0.1434177667</v>
      </c>
      <c r="H5077" s="5">
        <f>IFERROR(__xludf.DUMMYFUNCTION("""COMPUTED_VALUE"""),0.5985267034990792)</f>
        <v>0.5985267035</v>
      </c>
      <c r="I5077" s="11">
        <f>IFERROR(__xludf.DUMMYFUNCTION("""COMPUTED_VALUE"""),5581.399631675875)</f>
        <v>5581.399632</v>
      </c>
      <c r="J5077" s="10">
        <f>IFERROR(__xludf.DUMMYFUNCTION("""COMPUTED_VALUE"""),2.0)</f>
        <v>2</v>
      </c>
      <c r="K5077" s="5">
        <f>IFERROR(__xludf.DUMMYFUNCTION("""COMPUTED_VALUE"""),0.007751937984496124)</f>
        <v>0.007751937984</v>
      </c>
      <c r="L5077" s="10">
        <f>IFERROR(__xludf.DUMMYFUNCTION("""COMPUTED_VALUE"""),258.0)</f>
        <v>258</v>
      </c>
      <c r="M5077" s="5">
        <f>IFERROR(__xludf.DUMMYFUNCTION("""COMPUTED_VALUE"""),1.0)</f>
        <v>1</v>
      </c>
    </row>
    <row r="5078">
      <c r="A5078" s="10" t="str">
        <f>IFERROR(__xludf.DUMMYFUNCTION("""COMPUTED_VALUE"""),"Sイーグル")</f>
        <v>Sイーグル</v>
      </c>
      <c r="B5078" s="10">
        <f>IFERROR(__xludf.DUMMYFUNCTION("""COMPUTED_VALUE"""),257.0)</f>
        <v>257</v>
      </c>
      <c r="C5078" s="10">
        <f>IFERROR(__xludf.DUMMYFUNCTION("""COMPUTED_VALUE"""),3069.0)</f>
        <v>3069</v>
      </c>
      <c r="D5078" s="5">
        <f>IFERROR(__xludf.DUMMYFUNCTION("""COMPUTED_VALUE"""),0.16927453769559034)</f>
        <v>0.1692745377</v>
      </c>
      <c r="E5078" s="5">
        <f>IFERROR(__xludf.DUMMYFUNCTION("""COMPUTED_VALUE"""),0.112375533428165)</f>
        <v>0.1123755334</v>
      </c>
      <c r="F5078" s="5">
        <f>IFERROR(__xludf.DUMMYFUNCTION("""COMPUTED_VALUE"""),0.16891891891891891)</f>
        <v>0.1689189189</v>
      </c>
      <c r="G5078" s="5">
        <f>IFERROR(__xludf.DUMMYFUNCTION("""COMPUTED_VALUE"""),0.12197724039829302)</f>
        <v>0.1219772404</v>
      </c>
      <c r="H5078" s="5">
        <f>IFERROR(__xludf.DUMMYFUNCTION("""COMPUTED_VALUE"""),0.5810526315789474)</f>
        <v>0.5810526316</v>
      </c>
      <c r="I5078" s="11">
        <f>IFERROR(__xludf.DUMMYFUNCTION("""COMPUTED_VALUE"""),6284.8421052631575)</f>
        <v>6284.842105</v>
      </c>
      <c r="J5078" s="10">
        <f>IFERROR(__xludf.DUMMYFUNCTION("""COMPUTED_VALUE"""),1.0)</f>
        <v>1</v>
      </c>
      <c r="K5078" s="5">
        <f>IFERROR(__xludf.DUMMYFUNCTION("""COMPUTED_VALUE"""),0.0038910505836575876)</f>
        <v>0.003891050584</v>
      </c>
      <c r="L5078" s="10">
        <f>IFERROR(__xludf.DUMMYFUNCTION("""COMPUTED_VALUE"""),257.0)</f>
        <v>257</v>
      </c>
      <c r="M5078" s="5">
        <f>IFERROR(__xludf.DUMMYFUNCTION("""COMPUTED_VALUE"""),1.0)</f>
        <v>1</v>
      </c>
    </row>
    <row r="5079">
      <c r="A5079" s="10" t="str">
        <f>IFERROR(__xludf.DUMMYFUNCTION("""COMPUTED_VALUE"""),"古沢小鈴")</f>
        <v>古沢小鈴</v>
      </c>
      <c r="B5079" s="10">
        <f>IFERROR(__xludf.DUMMYFUNCTION("""COMPUTED_VALUE"""),286.0)</f>
        <v>286</v>
      </c>
      <c r="C5079" s="10">
        <f>IFERROR(__xludf.DUMMYFUNCTION("""COMPUTED_VALUE"""),3410.0)</f>
        <v>3410</v>
      </c>
      <c r="D5079" s="5">
        <f>IFERROR(__xludf.DUMMYFUNCTION("""COMPUTED_VALUE"""),0.29769526248399486)</f>
        <v>0.2976952625</v>
      </c>
      <c r="E5079" s="5">
        <f>IFERROR(__xludf.DUMMYFUNCTION("""COMPUTED_VALUE"""),0.11235595390524968)</f>
        <v>0.1123559539</v>
      </c>
      <c r="F5079" s="5">
        <f>IFERROR(__xludf.DUMMYFUNCTION("""COMPUTED_VALUE"""),0.2007042253521127)</f>
        <v>0.2007042254</v>
      </c>
      <c r="G5079" s="5">
        <f>IFERROR(__xludf.DUMMYFUNCTION("""COMPUTED_VALUE"""),0.1587708066581306)</f>
        <v>0.1587708067</v>
      </c>
      <c r="H5079" s="5">
        <f>IFERROR(__xludf.DUMMYFUNCTION("""COMPUTED_VALUE"""),0.5917065390749602)</f>
        <v>0.5917065391</v>
      </c>
      <c r="I5079" s="11">
        <f>IFERROR(__xludf.DUMMYFUNCTION("""COMPUTED_VALUE"""),5493.460925039873)</f>
        <v>5493.460925</v>
      </c>
      <c r="J5079" s="10">
        <f>IFERROR(__xludf.DUMMYFUNCTION("""COMPUTED_VALUE"""),1.0)</f>
        <v>1</v>
      </c>
      <c r="K5079" s="5">
        <f>IFERROR(__xludf.DUMMYFUNCTION("""COMPUTED_VALUE"""),0.0034965034965034965)</f>
        <v>0.003496503497</v>
      </c>
      <c r="L5079" s="10">
        <f>IFERROR(__xludf.DUMMYFUNCTION("""COMPUTED_VALUE"""),0.0)</f>
        <v>0</v>
      </c>
      <c r="M5079" s="5">
        <f>IFERROR(__xludf.DUMMYFUNCTION("""COMPUTED_VALUE"""),0.0)</f>
        <v>0</v>
      </c>
    </row>
    <row r="5080">
      <c r="A5080" s="10" t="str">
        <f>IFERROR(__xludf.DUMMYFUNCTION("""COMPUTED_VALUE"""),"れじP")</f>
        <v>れじP</v>
      </c>
      <c r="B5080" s="10">
        <f>IFERROR(__xludf.DUMMYFUNCTION("""COMPUTED_VALUE"""),645.0)</f>
        <v>645</v>
      </c>
      <c r="C5080" s="10">
        <f>IFERROR(__xludf.DUMMYFUNCTION("""COMPUTED_VALUE"""),7561.0)</f>
        <v>7561</v>
      </c>
      <c r="D5080" s="5">
        <f>IFERROR(__xludf.DUMMYFUNCTION("""COMPUTED_VALUE"""),0.3263447079236553)</f>
        <v>0.3263447079</v>
      </c>
      <c r="E5080" s="5">
        <f>IFERROR(__xludf.DUMMYFUNCTION("""COMPUTED_VALUE"""),0.11234817813765183)</f>
        <v>0.1123481781</v>
      </c>
      <c r="F5080" s="5">
        <f>IFERROR(__xludf.DUMMYFUNCTION("""COMPUTED_VALUE"""),0.19852515905147483)</f>
        <v>0.1985251591</v>
      </c>
      <c r="G5080" s="5">
        <f>IFERROR(__xludf.DUMMYFUNCTION("""COMPUTED_VALUE"""),0.17090803932909196)</f>
        <v>0.1709080393</v>
      </c>
      <c r="H5080" s="5">
        <f>IFERROR(__xludf.DUMMYFUNCTION("""COMPUTED_VALUE"""),0.5848506919155134)</f>
        <v>0.5848506919</v>
      </c>
      <c r="I5080" s="11">
        <f>IFERROR(__xludf.DUMMYFUNCTION("""COMPUTED_VALUE"""),5637.363437727604)</f>
        <v>5637.363438</v>
      </c>
      <c r="J5080" s="10">
        <f>IFERROR(__xludf.DUMMYFUNCTION("""COMPUTED_VALUE"""),4.0)</f>
        <v>4</v>
      </c>
      <c r="K5080" s="5">
        <f>IFERROR(__xludf.DUMMYFUNCTION("""COMPUTED_VALUE"""),0.006201550387596899)</f>
        <v>0.006201550388</v>
      </c>
      <c r="L5080" s="10">
        <f>IFERROR(__xludf.DUMMYFUNCTION("""COMPUTED_VALUE"""),645.0)</f>
        <v>645</v>
      </c>
      <c r="M5080" s="5">
        <f>IFERROR(__xludf.DUMMYFUNCTION("""COMPUTED_VALUE"""),1.0)</f>
        <v>1</v>
      </c>
    </row>
    <row r="5081">
      <c r="A5081" s="10" t="str">
        <f>IFERROR(__xludf.DUMMYFUNCTION("""COMPUTED_VALUE"""),"時雨庵")</f>
        <v>時雨庵</v>
      </c>
      <c r="B5081" s="10">
        <f>IFERROR(__xludf.DUMMYFUNCTION("""COMPUTED_VALUE"""),287.0)</f>
        <v>287</v>
      </c>
      <c r="C5081" s="10">
        <f>IFERROR(__xludf.DUMMYFUNCTION("""COMPUTED_VALUE"""),3421.0)</f>
        <v>3421</v>
      </c>
      <c r="D5081" s="5">
        <f>IFERROR(__xludf.DUMMYFUNCTION("""COMPUTED_VALUE"""),0.3844926611359285)</f>
        <v>0.3844926611</v>
      </c>
      <c r="E5081" s="5">
        <f>IFERROR(__xludf.DUMMYFUNCTION("""COMPUTED_VALUE"""),0.11231652839821314)</f>
        <v>0.1123165284</v>
      </c>
      <c r="F5081" s="5">
        <f>IFERROR(__xludf.DUMMYFUNCTION("""COMPUTED_VALUE"""),0.20867900446713467)</f>
        <v>0.2086790045</v>
      </c>
      <c r="G5081" s="5">
        <f>IFERROR(__xludf.DUMMYFUNCTION("""COMPUTED_VALUE"""),0.15347798340778557)</f>
        <v>0.1534779834</v>
      </c>
      <c r="H5081" s="5">
        <f>IFERROR(__xludf.DUMMYFUNCTION("""COMPUTED_VALUE"""),0.5672782874617737)</f>
        <v>0.5672782875</v>
      </c>
      <c r="I5081" s="11">
        <f>IFERROR(__xludf.DUMMYFUNCTION("""COMPUTED_VALUE"""),5644.495412844037)</f>
        <v>5644.495413</v>
      </c>
      <c r="J5081" s="10">
        <f>IFERROR(__xludf.DUMMYFUNCTION("""COMPUTED_VALUE"""),0.0)</f>
        <v>0</v>
      </c>
      <c r="K5081" s="5">
        <f>IFERROR(__xludf.DUMMYFUNCTION("""COMPUTED_VALUE"""),0.0)</f>
        <v>0</v>
      </c>
      <c r="L5081" s="10">
        <f>IFERROR(__xludf.DUMMYFUNCTION("""COMPUTED_VALUE"""),278.0)</f>
        <v>278</v>
      </c>
      <c r="M5081" s="5">
        <f>IFERROR(__xludf.DUMMYFUNCTION("""COMPUTED_VALUE"""),0.9686411149825784)</f>
        <v>0.968641115</v>
      </c>
    </row>
    <row r="5082">
      <c r="A5082" s="10" t="str">
        <f>IFERROR(__xludf.DUMMYFUNCTION("""COMPUTED_VALUE"""),"池田ァ！！！")</f>
        <v>池田ァ！！！</v>
      </c>
      <c r="B5082" s="10">
        <f>IFERROR(__xludf.DUMMYFUNCTION("""COMPUTED_VALUE"""),209.0)</f>
        <v>209</v>
      </c>
      <c r="C5082" s="10">
        <f>IFERROR(__xludf.DUMMYFUNCTION("""COMPUTED_VALUE"""),2489.0)</f>
        <v>2489</v>
      </c>
      <c r="D5082" s="5">
        <f>IFERROR(__xludf.DUMMYFUNCTION("""COMPUTED_VALUE"""),0.3320175438596491)</f>
        <v>0.3320175439</v>
      </c>
      <c r="E5082" s="5">
        <f>IFERROR(__xludf.DUMMYFUNCTION("""COMPUTED_VALUE"""),0.11228070175438597)</f>
        <v>0.1122807018</v>
      </c>
      <c r="F5082" s="5">
        <f>IFERROR(__xludf.DUMMYFUNCTION("""COMPUTED_VALUE"""),0.19912280701754387)</f>
        <v>0.199122807</v>
      </c>
      <c r="G5082" s="5">
        <f>IFERROR(__xludf.DUMMYFUNCTION("""COMPUTED_VALUE"""),0.16359649122807018)</f>
        <v>0.1635964912</v>
      </c>
      <c r="H5082" s="5">
        <f>IFERROR(__xludf.DUMMYFUNCTION("""COMPUTED_VALUE"""),0.5550660792951542)</f>
        <v>0.5550660793</v>
      </c>
      <c r="I5082" s="11">
        <f>IFERROR(__xludf.DUMMYFUNCTION("""COMPUTED_VALUE"""),6068.942731277533)</f>
        <v>6068.942731</v>
      </c>
      <c r="J5082" s="10">
        <f>IFERROR(__xludf.DUMMYFUNCTION("""COMPUTED_VALUE"""),0.0)</f>
        <v>0</v>
      </c>
      <c r="K5082" s="5">
        <f>IFERROR(__xludf.DUMMYFUNCTION("""COMPUTED_VALUE"""),0.0)</f>
        <v>0</v>
      </c>
      <c r="L5082" s="10">
        <f>IFERROR(__xludf.DUMMYFUNCTION("""COMPUTED_VALUE"""),45.0)</f>
        <v>45</v>
      </c>
      <c r="M5082" s="5">
        <f>IFERROR(__xludf.DUMMYFUNCTION("""COMPUTED_VALUE"""),0.215311004784689)</f>
        <v>0.2153110048</v>
      </c>
    </row>
    <row r="5083">
      <c r="A5083" s="10" t="str">
        <f>IFERROR(__xludf.DUMMYFUNCTION("""COMPUTED_VALUE"""),"フツウの恋の結末")</f>
        <v>フツウの恋の結末</v>
      </c>
      <c r="B5083" s="10">
        <f>IFERROR(__xludf.DUMMYFUNCTION("""COMPUTED_VALUE"""),764.0)</f>
        <v>764</v>
      </c>
      <c r="C5083" s="10">
        <f>IFERROR(__xludf.DUMMYFUNCTION("""COMPUTED_VALUE"""),8949.0)</f>
        <v>8949</v>
      </c>
      <c r="D5083" s="5">
        <f>IFERROR(__xludf.DUMMYFUNCTION("""COMPUTED_VALUE"""),0.354306658521686)</f>
        <v>0.3543066585</v>
      </c>
      <c r="E5083" s="5">
        <f>IFERROR(__xludf.DUMMYFUNCTION("""COMPUTED_VALUE"""),0.11227855833842394)</f>
        <v>0.1122785583</v>
      </c>
      <c r="F5083" s="5">
        <f>IFERROR(__xludf.DUMMYFUNCTION("""COMPUTED_VALUE"""),0.209529627367135)</f>
        <v>0.2095296274</v>
      </c>
      <c r="G5083" s="5">
        <f>IFERROR(__xludf.DUMMYFUNCTION("""COMPUTED_VALUE"""),0.1704337202199145)</f>
        <v>0.1704337202</v>
      </c>
      <c r="H5083" s="5">
        <f>IFERROR(__xludf.DUMMYFUNCTION("""COMPUTED_VALUE"""),0.602332361516035)</f>
        <v>0.6023323615</v>
      </c>
      <c r="I5083" s="11">
        <f>IFERROR(__xludf.DUMMYFUNCTION("""COMPUTED_VALUE"""),5400.174927113702)</f>
        <v>5400.174927</v>
      </c>
      <c r="J5083" s="10">
        <f>IFERROR(__xludf.DUMMYFUNCTION("""COMPUTED_VALUE"""),2.0)</f>
        <v>2</v>
      </c>
      <c r="K5083" s="5">
        <f>IFERROR(__xludf.DUMMYFUNCTION("""COMPUTED_VALUE"""),0.002617801047120419)</f>
        <v>0.002617801047</v>
      </c>
      <c r="L5083" s="10">
        <f>IFERROR(__xludf.DUMMYFUNCTION("""COMPUTED_VALUE"""),764.0)</f>
        <v>764</v>
      </c>
      <c r="M5083" s="5">
        <f>IFERROR(__xludf.DUMMYFUNCTION("""COMPUTED_VALUE"""),1.0)</f>
        <v>1</v>
      </c>
    </row>
    <row r="5084">
      <c r="A5084" s="10" t="str">
        <f>IFERROR(__xludf.DUMMYFUNCTION("""COMPUTED_VALUE"""),"Ｊのテーマ")</f>
        <v>Ｊのテーマ</v>
      </c>
      <c r="B5084" s="10">
        <f>IFERROR(__xludf.DUMMYFUNCTION("""COMPUTED_VALUE"""),139.0)</f>
        <v>139</v>
      </c>
      <c r="C5084" s="10">
        <f>IFERROR(__xludf.DUMMYFUNCTION("""COMPUTED_VALUE"""),1600.0)</f>
        <v>1600</v>
      </c>
      <c r="D5084" s="5">
        <f>IFERROR(__xludf.DUMMYFUNCTION("""COMPUTED_VALUE"""),0.24435318275154005)</f>
        <v>0.2443531828</v>
      </c>
      <c r="E5084" s="5">
        <f>IFERROR(__xludf.DUMMYFUNCTION("""COMPUTED_VALUE"""),0.11225188227241616)</f>
        <v>0.1122518823</v>
      </c>
      <c r="F5084" s="5">
        <f>IFERROR(__xludf.DUMMYFUNCTION("""COMPUTED_VALUE"""),0.18275154004106775)</f>
        <v>0.18275154</v>
      </c>
      <c r="G5084" s="5">
        <f>IFERROR(__xludf.DUMMYFUNCTION("""COMPUTED_VALUE"""),0.15537303216974674)</f>
        <v>0.1553730322</v>
      </c>
      <c r="H5084" s="5">
        <f>IFERROR(__xludf.DUMMYFUNCTION("""COMPUTED_VALUE"""),0.6254681647940075)</f>
        <v>0.6254681648</v>
      </c>
      <c r="I5084" s="11">
        <f>IFERROR(__xludf.DUMMYFUNCTION("""COMPUTED_VALUE"""),5919.101123595506)</f>
        <v>5919.101124</v>
      </c>
      <c r="J5084" s="10">
        <f>IFERROR(__xludf.DUMMYFUNCTION("""COMPUTED_VALUE"""),0.0)</f>
        <v>0</v>
      </c>
      <c r="K5084" s="5">
        <f>IFERROR(__xludf.DUMMYFUNCTION("""COMPUTED_VALUE"""),0.0)</f>
        <v>0</v>
      </c>
      <c r="L5084" s="10">
        <f>IFERROR(__xludf.DUMMYFUNCTION("""COMPUTED_VALUE"""),139.0)</f>
        <v>139</v>
      </c>
      <c r="M5084" s="5">
        <f>IFERROR(__xludf.DUMMYFUNCTION("""COMPUTED_VALUE"""),1.0)</f>
        <v>1</v>
      </c>
    </row>
    <row r="5085">
      <c r="A5085" s="10" t="str">
        <f>IFERROR(__xludf.DUMMYFUNCTION("""COMPUTED_VALUE"""),"きりやあおい")</f>
        <v>きりやあおい</v>
      </c>
      <c r="B5085" s="10">
        <f>IFERROR(__xludf.DUMMYFUNCTION("""COMPUTED_VALUE"""),525.0)</f>
        <v>525</v>
      </c>
      <c r="C5085" s="10">
        <f>IFERROR(__xludf.DUMMYFUNCTION("""COMPUTED_VALUE"""),6289.0)</f>
        <v>6289</v>
      </c>
      <c r="D5085" s="5">
        <f>IFERROR(__xludf.DUMMYFUNCTION("""COMPUTED_VALUE"""),0.37751561415683554)</f>
        <v>0.3775156142</v>
      </c>
      <c r="E5085" s="5">
        <f>IFERROR(__xludf.DUMMYFUNCTION("""COMPUTED_VALUE"""),0.11224843858431645)</f>
        <v>0.1122484386</v>
      </c>
      <c r="F5085" s="5">
        <f>IFERROR(__xludf.DUMMYFUNCTION("""COMPUTED_VALUE"""),0.20437196391394866)</f>
        <v>0.2043719639</v>
      </c>
      <c r="G5085" s="5">
        <f>IFERROR(__xludf.DUMMYFUNCTION("""COMPUTED_VALUE"""),0.16603053435114504)</f>
        <v>0.1660305344</v>
      </c>
      <c r="H5085" s="5">
        <f>IFERROR(__xludf.DUMMYFUNCTION("""COMPUTED_VALUE"""),0.5984719864176571)</f>
        <v>0.5984719864</v>
      </c>
      <c r="I5085" s="11">
        <f>IFERROR(__xludf.DUMMYFUNCTION("""COMPUTED_VALUE"""),5373.599320882852)</f>
        <v>5373.599321</v>
      </c>
      <c r="J5085" s="10">
        <f>IFERROR(__xludf.DUMMYFUNCTION("""COMPUTED_VALUE"""),0.0)</f>
        <v>0</v>
      </c>
      <c r="K5085" s="5">
        <f>IFERROR(__xludf.DUMMYFUNCTION("""COMPUTED_VALUE"""),0.0)</f>
        <v>0</v>
      </c>
      <c r="L5085" s="10">
        <f>IFERROR(__xludf.DUMMYFUNCTION("""COMPUTED_VALUE"""),0.0)</f>
        <v>0</v>
      </c>
      <c r="M5085" s="5">
        <f>IFERROR(__xludf.DUMMYFUNCTION("""COMPUTED_VALUE"""),0.0)</f>
        <v>0</v>
      </c>
    </row>
    <row r="5086">
      <c r="A5086" s="10" t="str">
        <f>IFERROR(__xludf.DUMMYFUNCTION("""COMPUTED_VALUE"""),"光の旋律")</f>
        <v>光の旋律</v>
      </c>
      <c r="B5086" s="10">
        <f>IFERROR(__xludf.DUMMYFUNCTION("""COMPUTED_VALUE"""),130.0)</f>
        <v>130</v>
      </c>
      <c r="C5086" s="10">
        <f>IFERROR(__xludf.DUMMYFUNCTION("""COMPUTED_VALUE"""),1502.0)</f>
        <v>1502</v>
      </c>
      <c r="D5086" s="5">
        <f>IFERROR(__xludf.DUMMYFUNCTION("""COMPUTED_VALUE"""),0.26166180758017493)</f>
        <v>0.2616618076</v>
      </c>
      <c r="E5086" s="5">
        <f>IFERROR(__xludf.DUMMYFUNCTION("""COMPUTED_VALUE"""),0.11224489795918367)</f>
        <v>0.112244898</v>
      </c>
      <c r="F5086" s="5">
        <f>IFERROR(__xludf.DUMMYFUNCTION("""COMPUTED_VALUE"""),0.1946064139941691)</f>
        <v>0.194606414</v>
      </c>
      <c r="G5086" s="5">
        <f>IFERROR(__xludf.DUMMYFUNCTION("""COMPUTED_VALUE"""),0.1683673469387755)</f>
        <v>0.1683673469</v>
      </c>
      <c r="H5086" s="5">
        <f>IFERROR(__xludf.DUMMYFUNCTION("""COMPUTED_VALUE"""),0.5468164794007491)</f>
        <v>0.5468164794</v>
      </c>
      <c r="I5086" s="11">
        <f>IFERROR(__xludf.DUMMYFUNCTION("""COMPUTED_VALUE"""),6314.232209737827)</f>
        <v>6314.23221</v>
      </c>
      <c r="J5086" s="10">
        <f>IFERROR(__xludf.DUMMYFUNCTION("""COMPUTED_VALUE"""),1.0)</f>
        <v>1</v>
      </c>
      <c r="K5086" s="5">
        <f>IFERROR(__xludf.DUMMYFUNCTION("""COMPUTED_VALUE"""),0.007692307692307693)</f>
        <v>0.007692307692</v>
      </c>
      <c r="L5086" s="10">
        <f>IFERROR(__xludf.DUMMYFUNCTION("""COMPUTED_VALUE"""),0.0)</f>
        <v>0</v>
      </c>
      <c r="M5086" s="5">
        <f>IFERROR(__xludf.DUMMYFUNCTION("""COMPUTED_VALUE"""),0.0)</f>
        <v>0</v>
      </c>
    </row>
    <row r="5087">
      <c r="A5087" s="10" t="str">
        <f>IFERROR(__xludf.DUMMYFUNCTION("""COMPUTED_VALUE"""),"苦い待つ")</f>
        <v>苦い待つ</v>
      </c>
      <c r="B5087" s="10">
        <f>IFERROR(__xludf.DUMMYFUNCTION("""COMPUTED_VALUE"""),471.0)</f>
        <v>471</v>
      </c>
      <c r="C5087" s="10">
        <f>IFERROR(__xludf.DUMMYFUNCTION("""COMPUTED_VALUE"""),5487.0)</f>
        <v>5487</v>
      </c>
      <c r="D5087" s="5">
        <f>IFERROR(__xludf.DUMMYFUNCTION("""COMPUTED_VALUE"""),0.361244019138756)</f>
        <v>0.3612440191</v>
      </c>
      <c r="E5087" s="5">
        <f>IFERROR(__xludf.DUMMYFUNCTION("""COMPUTED_VALUE"""),0.1122408293460925)</f>
        <v>0.1122408293</v>
      </c>
      <c r="F5087" s="5">
        <f>IFERROR(__xludf.DUMMYFUNCTION("""COMPUTED_VALUE"""),0.22009569377990432)</f>
        <v>0.2200956938</v>
      </c>
      <c r="G5087" s="5">
        <f>IFERROR(__xludf.DUMMYFUNCTION("""COMPUTED_VALUE"""),0.15610047846889952)</f>
        <v>0.1561004785</v>
      </c>
      <c r="H5087" s="5">
        <f>IFERROR(__xludf.DUMMYFUNCTION("""COMPUTED_VALUE"""),0.5625)</f>
        <v>0.5625</v>
      </c>
      <c r="I5087" s="11">
        <f>IFERROR(__xludf.DUMMYFUNCTION("""COMPUTED_VALUE"""),5384.873188405797)</f>
        <v>5384.873188</v>
      </c>
      <c r="J5087" s="10">
        <f>IFERROR(__xludf.DUMMYFUNCTION("""COMPUTED_VALUE"""),1.0)</f>
        <v>1</v>
      </c>
      <c r="K5087" s="5">
        <f>IFERROR(__xludf.DUMMYFUNCTION("""COMPUTED_VALUE"""),0.0021231422505307855)</f>
        <v>0.002123142251</v>
      </c>
      <c r="L5087" s="10">
        <f>IFERROR(__xludf.DUMMYFUNCTION("""COMPUTED_VALUE"""),268.0)</f>
        <v>268</v>
      </c>
      <c r="M5087" s="5">
        <f>IFERROR(__xludf.DUMMYFUNCTION("""COMPUTED_VALUE"""),0.5690021231422505)</f>
        <v>0.5690021231</v>
      </c>
    </row>
    <row r="5088">
      <c r="A5088" s="10" t="str">
        <f>IFERROR(__xludf.DUMMYFUNCTION("""COMPUTED_VALUE"""),"ピヨっす")</f>
        <v>ピヨっす</v>
      </c>
      <c r="B5088" s="10">
        <f>IFERROR(__xludf.DUMMYFUNCTION("""COMPUTED_VALUE"""),2919.0)</f>
        <v>2919</v>
      </c>
      <c r="C5088" s="10">
        <f>IFERROR(__xludf.DUMMYFUNCTION("""COMPUTED_VALUE"""),34353.0)</f>
        <v>34353</v>
      </c>
      <c r="D5088" s="5">
        <f>IFERROR(__xludf.DUMMYFUNCTION("""COMPUTED_VALUE"""),0.3426862632817968)</f>
        <v>0.3426862633</v>
      </c>
      <c r="E5088" s="5">
        <f>IFERROR(__xludf.DUMMYFUNCTION("""COMPUTED_VALUE"""),0.11223515938156137)</f>
        <v>0.1122351594</v>
      </c>
      <c r="F5088" s="5">
        <f>IFERROR(__xludf.DUMMYFUNCTION("""COMPUTED_VALUE"""),0.21180886937710758)</f>
        <v>0.2118088694</v>
      </c>
      <c r="G5088" s="5">
        <f>IFERROR(__xludf.DUMMYFUNCTION("""COMPUTED_VALUE"""),0.1731564547941719)</f>
        <v>0.1731564548</v>
      </c>
      <c r="H5088" s="5">
        <f>IFERROR(__xludf.DUMMYFUNCTION("""COMPUTED_VALUE"""),0.5992790627816161)</f>
        <v>0.5992790628</v>
      </c>
      <c r="I5088" s="11">
        <f>IFERROR(__xludf.DUMMYFUNCTION("""COMPUTED_VALUE"""),5410.078101531992)</f>
        <v>5410.078102</v>
      </c>
      <c r="J5088" s="10">
        <f>IFERROR(__xludf.DUMMYFUNCTION("""COMPUTED_VALUE"""),2.0)</f>
        <v>2</v>
      </c>
      <c r="K5088" s="5">
        <f>IFERROR(__xludf.DUMMYFUNCTION("""COMPUTED_VALUE"""),6.851661527920521E-4)</f>
        <v>0.0006851661528</v>
      </c>
      <c r="L5088" s="10">
        <f>IFERROR(__xludf.DUMMYFUNCTION("""COMPUTED_VALUE"""),2919.0)</f>
        <v>2919</v>
      </c>
      <c r="M5088" s="5">
        <f>IFERROR(__xludf.DUMMYFUNCTION("""COMPUTED_VALUE"""),1.0)</f>
        <v>1</v>
      </c>
    </row>
    <row r="5089">
      <c r="A5089" s="10" t="str">
        <f>IFERROR(__xludf.DUMMYFUNCTION("""COMPUTED_VALUE"""),"麻雀商人くん♪")</f>
        <v>麻雀商人くん♪</v>
      </c>
      <c r="B5089" s="10">
        <f>IFERROR(__xludf.DUMMYFUNCTION("""COMPUTED_VALUE"""),1187.0)</f>
        <v>1187</v>
      </c>
      <c r="C5089" s="10">
        <f>IFERROR(__xludf.DUMMYFUNCTION("""COMPUTED_VALUE"""),14053.0)</f>
        <v>14053</v>
      </c>
      <c r="D5089" s="5">
        <f>IFERROR(__xludf.DUMMYFUNCTION("""COMPUTED_VALUE"""),0.2995491994403855)</f>
        <v>0.2995491994</v>
      </c>
      <c r="E5089" s="5">
        <f>IFERROR(__xludf.DUMMYFUNCTION("""COMPUTED_VALUE"""),0.1122337944971242)</f>
        <v>0.1122337945</v>
      </c>
      <c r="F5089" s="5">
        <f>IFERROR(__xludf.DUMMYFUNCTION("""COMPUTED_VALUE"""),0.2030934245297684)</f>
        <v>0.2030934245</v>
      </c>
      <c r="G5089" s="5">
        <f>IFERROR(__xludf.DUMMYFUNCTION("""COMPUTED_VALUE"""),0.16555261930669982)</f>
        <v>0.1655526193</v>
      </c>
      <c r="H5089" s="5">
        <f>IFERROR(__xludf.DUMMYFUNCTION("""COMPUTED_VALUE"""),0.6119402985074627)</f>
        <v>0.6119402985</v>
      </c>
      <c r="I5089" s="11">
        <f>IFERROR(__xludf.DUMMYFUNCTION("""COMPUTED_VALUE"""),5940.107156525067)</f>
        <v>5940.107157</v>
      </c>
      <c r="J5089" s="10">
        <f>IFERROR(__xludf.DUMMYFUNCTION("""COMPUTED_VALUE"""),2.0)</f>
        <v>2</v>
      </c>
      <c r="K5089" s="5">
        <f>IFERROR(__xludf.DUMMYFUNCTION("""COMPUTED_VALUE"""),0.0016849199663016006)</f>
        <v>0.001684919966</v>
      </c>
      <c r="L5089" s="10">
        <f>IFERROR(__xludf.DUMMYFUNCTION("""COMPUTED_VALUE"""),1187.0)</f>
        <v>1187</v>
      </c>
      <c r="M5089" s="5">
        <f>IFERROR(__xludf.DUMMYFUNCTION("""COMPUTED_VALUE"""),1.0)</f>
        <v>1</v>
      </c>
    </row>
    <row r="5090">
      <c r="A5090" s="10" t="str">
        <f>IFERROR(__xludf.DUMMYFUNCTION("""COMPUTED_VALUE"""),"３番ＤＨ井端")</f>
        <v>３番ＤＨ井端</v>
      </c>
      <c r="B5090" s="10">
        <f>IFERROR(__xludf.DUMMYFUNCTION("""COMPUTED_VALUE"""),219.0)</f>
        <v>219</v>
      </c>
      <c r="C5090" s="10">
        <f>IFERROR(__xludf.DUMMYFUNCTION("""COMPUTED_VALUE"""),2509.0)</f>
        <v>2509</v>
      </c>
      <c r="D5090" s="5">
        <f>IFERROR(__xludf.DUMMYFUNCTION("""COMPUTED_VALUE"""),0.31877729257641924)</f>
        <v>0.3187772926</v>
      </c>
      <c r="E5090" s="5">
        <f>IFERROR(__xludf.DUMMYFUNCTION("""COMPUTED_VALUE"""),0.11222707423580786)</f>
        <v>0.1122270742</v>
      </c>
      <c r="F5090" s="5">
        <f>IFERROR(__xludf.DUMMYFUNCTION("""COMPUTED_VALUE"""),0.2004366812227074)</f>
        <v>0.2004366812</v>
      </c>
      <c r="G5090" s="5">
        <f>IFERROR(__xludf.DUMMYFUNCTION("""COMPUTED_VALUE"""),0.16812227074235808)</f>
        <v>0.1681222707</v>
      </c>
      <c r="H5090" s="5">
        <f>IFERROR(__xludf.DUMMYFUNCTION("""COMPUTED_VALUE"""),0.5904139433551199)</f>
        <v>0.5904139434</v>
      </c>
      <c r="I5090" s="11">
        <f>IFERROR(__xludf.DUMMYFUNCTION("""COMPUTED_VALUE"""),5545.098039215686)</f>
        <v>5545.098039</v>
      </c>
      <c r="J5090" s="10">
        <f>IFERROR(__xludf.DUMMYFUNCTION("""COMPUTED_VALUE"""),0.0)</f>
        <v>0</v>
      </c>
      <c r="K5090" s="5">
        <f>IFERROR(__xludf.DUMMYFUNCTION("""COMPUTED_VALUE"""),0.0)</f>
        <v>0</v>
      </c>
      <c r="L5090" s="10">
        <f>IFERROR(__xludf.DUMMYFUNCTION("""COMPUTED_VALUE"""),219.0)</f>
        <v>219</v>
      </c>
      <c r="M5090" s="5">
        <f>IFERROR(__xludf.DUMMYFUNCTION("""COMPUTED_VALUE"""),1.0)</f>
        <v>1</v>
      </c>
    </row>
    <row r="5091">
      <c r="A5091" s="10" t="str">
        <f>IFERROR(__xludf.DUMMYFUNCTION("""COMPUTED_VALUE"""),"杏仁豆腐屋さん")</f>
        <v>杏仁豆腐屋さん</v>
      </c>
      <c r="B5091" s="10">
        <f>IFERROR(__xludf.DUMMYFUNCTION("""COMPUTED_VALUE"""),1116.0)</f>
        <v>1116</v>
      </c>
      <c r="C5091" s="10">
        <f>IFERROR(__xludf.DUMMYFUNCTION("""COMPUTED_VALUE"""),13093.0)</f>
        <v>13093</v>
      </c>
      <c r="D5091" s="5">
        <f>IFERROR(__xludf.DUMMYFUNCTION("""COMPUTED_VALUE"""),0.41454454370877514)</f>
        <v>0.4145445437</v>
      </c>
      <c r="E5091" s="5">
        <f>IFERROR(__xludf.DUMMYFUNCTION("""COMPUTED_VALUE"""),0.11221507890122735)</f>
        <v>0.1122150789</v>
      </c>
      <c r="F5091" s="5">
        <f>IFERROR(__xludf.DUMMYFUNCTION("""COMPUTED_VALUE"""),0.19746180178675796)</f>
        <v>0.1974618018</v>
      </c>
      <c r="G5091" s="5">
        <f>IFERROR(__xludf.DUMMYFUNCTION("""COMPUTED_VALUE"""),0.15721800116890708)</f>
        <v>0.1572180012</v>
      </c>
      <c r="H5091" s="5">
        <f>IFERROR(__xludf.DUMMYFUNCTION("""COMPUTED_VALUE"""),0.5932346723044397)</f>
        <v>0.5932346723</v>
      </c>
      <c r="I5091" s="11">
        <f>IFERROR(__xludf.DUMMYFUNCTION("""COMPUTED_VALUE"""),5767.949260042284)</f>
        <v>5767.94926</v>
      </c>
      <c r="J5091" s="10">
        <f>IFERROR(__xludf.DUMMYFUNCTION("""COMPUTED_VALUE"""),2.0)</f>
        <v>2</v>
      </c>
      <c r="K5091" s="5">
        <f>IFERROR(__xludf.DUMMYFUNCTION("""COMPUTED_VALUE"""),0.0017921146953405018)</f>
        <v>0.001792114695</v>
      </c>
      <c r="L5091" s="10">
        <f>IFERROR(__xludf.DUMMYFUNCTION("""COMPUTED_VALUE"""),1116.0)</f>
        <v>1116</v>
      </c>
      <c r="M5091" s="5">
        <f>IFERROR(__xludf.DUMMYFUNCTION("""COMPUTED_VALUE"""),1.0)</f>
        <v>1</v>
      </c>
    </row>
    <row r="5092">
      <c r="A5092" s="10" t="str">
        <f>IFERROR(__xludf.DUMMYFUNCTION("""COMPUTED_VALUE"""),"自惚れリーチ")</f>
        <v>自惚れリーチ</v>
      </c>
      <c r="B5092" s="10">
        <f>IFERROR(__xludf.DUMMYFUNCTION("""COMPUTED_VALUE"""),291.0)</f>
        <v>291</v>
      </c>
      <c r="C5092" s="10">
        <f>IFERROR(__xludf.DUMMYFUNCTION("""COMPUTED_VALUE"""),3437.0)</f>
        <v>3437</v>
      </c>
      <c r="D5092" s="5">
        <f>IFERROR(__xludf.DUMMYFUNCTION("""COMPUTED_VALUE"""),0.37984742530197074)</f>
        <v>0.3798474253</v>
      </c>
      <c r="E5092" s="5">
        <f>IFERROR(__xludf.DUMMYFUNCTION("""COMPUTED_VALUE"""),0.11220597584233948)</f>
        <v>0.1122059758</v>
      </c>
      <c r="F5092" s="5">
        <f>IFERROR(__xludf.DUMMYFUNCTION("""COMPUTED_VALUE"""),0.2094723458359822)</f>
        <v>0.2094723458</v>
      </c>
      <c r="G5092" s="5">
        <f>IFERROR(__xludf.DUMMYFUNCTION("""COMPUTED_VALUE"""),0.14621741894469167)</f>
        <v>0.1462174189</v>
      </c>
      <c r="H5092" s="5">
        <f>IFERROR(__xludf.DUMMYFUNCTION("""COMPUTED_VALUE"""),0.622154779969651)</f>
        <v>0.62215478</v>
      </c>
      <c r="I5092" s="11">
        <f>IFERROR(__xludf.DUMMYFUNCTION("""COMPUTED_VALUE"""),5422.306525037936)</f>
        <v>5422.306525</v>
      </c>
      <c r="J5092" s="10">
        <f>IFERROR(__xludf.DUMMYFUNCTION("""COMPUTED_VALUE"""),0.0)</f>
        <v>0</v>
      </c>
      <c r="K5092" s="5">
        <f>IFERROR(__xludf.DUMMYFUNCTION("""COMPUTED_VALUE"""),0.0)</f>
        <v>0</v>
      </c>
      <c r="L5092" s="10">
        <f>IFERROR(__xludf.DUMMYFUNCTION("""COMPUTED_VALUE"""),291.0)</f>
        <v>291</v>
      </c>
      <c r="M5092" s="5">
        <f>IFERROR(__xludf.DUMMYFUNCTION("""COMPUTED_VALUE"""),1.0)</f>
        <v>1</v>
      </c>
    </row>
    <row r="5093">
      <c r="A5093" s="10" t="str">
        <f>IFERROR(__xludf.DUMMYFUNCTION("""COMPUTED_VALUE"""),"Neuf")</f>
        <v>Neuf</v>
      </c>
      <c r="B5093" s="10">
        <f>IFERROR(__xludf.DUMMYFUNCTION("""COMPUTED_VALUE"""),265.0)</f>
        <v>265</v>
      </c>
      <c r="C5093" s="10">
        <f>IFERROR(__xludf.DUMMYFUNCTION("""COMPUTED_VALUE"""),3108.0)</f>
        <v>3108</v>
      </c>
      <c r="D5093" s="5">
        <f>IFERROR(__xludf.DUMMYFUNCTION("""COMPUTED_VALUE"""),0.38761871262750613)</f>
        <v>0.3876187126</v>
      </c>
      <c r="E5093" s="5">
        <f>IFERROR(__xludf.DUMMYFUNCTION("""COMPUTED_VALUE"""),0.11220541681322546)</f>
        <v>0.1122054168</v>
      </c>
      <c r="F5093" s="5">
        <f>IFERROR(__xludf.DUMMYFUNCTION("""COMPUTED_VALUE"""),0.19064368624692227)</f>
        <v>0.1906436862</v>
      </c>
      <c r="G5093" s="5">
        <f>IFERROR(__xludf.DUMMYFUNCTION("""COMPUTED_VALUE"""),0.12029546253957088)</f>
        <v>0.1202954625</v>
      </c>
      <c r="H5093" s="5">
        <f>IFERROR(__xludf.DUMMYFUNCTION("""COMPUTED_VALUE"""),0.6789667896678967)</f>
        <v>0.6789667897</v>
      </c>
      <c r="I5093" s="11">
        <f>IFERROR(__xludf.DUMMYFUNCTION("""COMPUTED_VALUE"""),5781.918819188192)</f>
        <v>5781.918819</v>
      </c>
      <c r="J5093" s="10">
        <f>IFERROR(__xludf.DUMMYFUNCTION("""COMPUTED_VALUE"""),2.0)</f>
        <v>2</v>
      </c>
      <c r="K5093" s="5">
        <f>IFERROR(__xludf.DUMMYFUNCTION("""COMPUTED_VALUE"""),0.007547169811320755)</f>
        <v>0.007547169811</v>
      </c>
      <c r="L5093" s="10">
        <f>IFERROR(__xludf.DUMMYFUNCTION("""COMPUTED_VALUE"""),265.0)</f>
        <v>265</v>
      </c>
      <c r="M5093" s="5">
        <f>IFERROR(__xludf.DUMMYFUNCTION("""COMPUTED_VALUE"""),1.0)</f>
        <v>1</v>
      </c>
    </row>
    <row r="5094">
      <c r="A5094" s="10" t="str">
        <f>IFERROR(__xludf.DUMMYFUNCTION("""COMPUTED_VALUE"""),"うしくん")</f>
        <v>うしくん</v>
      </c>
      <c r="B5094" s="10">
        <f>IFERROR(__xludf.DUMMYFUNCTION("""COMPUTED_VALUE"""),616.0)</f>
        <v>616</v>
      </c>
      <c r="C5094" s="10">
        <f>IFERROR(__xludf.DUMMYFUNCTION("""COMPUTED_VALUE"""),7327.0)</f>
        <v>7327</v>
      </c>
      <c r="D5094" s="5">
        <f>IFERROR(__xludf.DUMMYFUNCTION("""COMPUTED_VALUE"""),0.3242437788705111)</f>
        <v>0.3242437789</v>
      </c>
      <c r="E5094" s="5">
        <f>IFERROR(__xludf.DUMMYFUNCTION("""COMPUTED_VALUE"""),0.11220384443451051)</f>
        <v>0.1122038444</v>
      </c>
      <c r="F5094" s="5">
        <f>IFERROR(__xludf.DUMMYFUNCTION("""COMPUTED_VALUE"""),0.20697362539114886)</f>
        <v>0.2069736254</v>
      </c>
      <c r="G5094" s="5">
        <f>IFERROR(__xludf.DUMMYFUNCTION("""COMPUTED_VALUE"""),0.16823126210698852)</f>
        <v>0.1682312621</v>
      </c>
      <c r="H5094" s="5">
        <f>IFERROR(__xludf.DUMMYFUNCTION("""COMPUTED_VALUE"""),0.597552195824334)</f>
        <v>0.5975521958</v>
      </c>
      <c r="I5094" s="11">
        <f>IFERROR(__xludf.DUMMYFUNCTION("""COMPUTED_VALUE"""),5668.82649388049)</f>
        <v>5668.826494</v>
      </c>
      <c r="J5094" s="10">
        <f>IFERROR(__xludf.DUMMYFUNCTION("""COMPUTED_VALUE"""),2.0)</f>
        <v>2</v>
      </c>
      <c r="K5094" s="5">
        <f>IFERROR(__xludf.DUMMYFUNCTION("""COMPUTED_VALUE"""),0.003246753246753247)</f>
        <v>0.003246753247</v>
      </c>
      <c r="L5094" s="10">
        <f>IFERROR(__xludf.DUMMYFUNCTION("""COMPUTED_VALUE"""),616.0)</f>
        <v>616</v>
      </c>
      <c r="M5094" s="5">
        <f>IFERROR(__xludf.DUMMYFUNCTION("""COMPUTED_VALUE"""),1.0)</f>
        <v>1</v>
      </c>
    </row>
    <row r="5095">
      <c r="A5095" s="10" t="str">
        <f>IFERROR(__xludf.DUMMYFUNCTION("""COMPUTED_VALUE"""),"レイトン准教授")</f>
        <v>レイトン准教授</v>
      </c>
      <c r="B5095" s="10">
        <f>IFERROR(__xludf.DUMMYFUNCTION("""COMPUTED_VALUE"""),2024.0)</f>
        <v>2024</v>
      </c>
      <c r="C5095" s="10">
        <f>IFERROR(__xludf.DUMMYFUNCTION("""COMPUTED_VALUE"""),23614.0)</f>
        <v>23614</v>
      </c>
      <c r="D5095" s="5">
        <f>IFERROR(__xludf.DUMMYFUNCTION("""COMPUTED_VALUE"""),0.3685502547475683)</f>
        <v>0.3685502547</v>
      </c>
      <c r="E5095" s="5">
        <f>IFERROR(__xludf.DUMMYFUNCTION("""COMPUTED_VALUE"""),0.11218156553960167)</f>
        <v>0.1121815655</v>
      </c>
      <c r="F5095" s="5">
        <f>IFERROR(__xludf.DUMMYFUNCTION("""COMPUTED_VALUE"""),0.20069476609541453)</f>
        <v>0.2006947661</v>
      </c>
      <c r="G5095" s="5">
        <f>IFERROR(__xludf.DUMMYFUNCTION("""COMPUTED_VALUE"""),0.14895785085687818)</f>
        <v>0.1489578509</v>
      </c>
      <c r="H5095" s="5">
        <f>IFERROR(__xludf.DUMMYFUNCTION("""COMPUTED_VALUE"""),0.598661435495038)</f>
        <v>0.5986614355</v>
      </c>
      <c r="I5095" s="11">
        <f>IFERROR(__xludf.DUMMYFUNCTION("""COMPUTED_VALUE"""),5601.592430186937)</f>
        <v>5601.59243</v>
      </c>
      <c r="J5095" s="10">
        <f>IFERROR(__xludf.DUMMYFUNCTION("""COMPUTED_VALUE"""),4.0)</f>
        <v>4</v>
      </c>
      <c r="K5095" s="5">
        <f>IFERROR(__xludf.DUMMYFUNCTION("""COMPUTED_VALUE"""),0.001976284584980237)</f>
        <v>0.001976284585</v>
      </c>
      <c r="L5095" s="10">
        <f>IFERROR(__xludf.DUMMYFUNCTION("""COMPUTED_VALUE"""),2024.0)</f>
        <v>2024</v>
      </c>
      <c r="M5095" s="5">
        <f>IFERROR(__xludf.DUMMYFUNCTION("""COMPUTED_VALUE"""),1.0)</f>
        <v>1</v>
      </c>
    </row>
    <row r="5096">
      <c r="A5096" s="10" t="str">
        <f>IFERROR(__xludf.DUMMYFUNCTION("""COMPUTED_VALUE"""),"チルノ")</f>
        <v>チルノ</v>
      </c>
      <c r="B5096" s="10">
        <f>IFERROR(__xludf.DUMMYFUNCTION("""COMPUTED_VALUE"""),469.0)</f>
        <v>469</v>
      </c>
      <c r="C5096" s="10">
        <f>IFERROR(__xludf.DUMMYFUNCTION("""COMPUTED_VALUE"""),5515.0)</f>
        <v>5515</v>
      </c>
      <c r="D5096" s="5">
        <f>IFERROR(__xludf.DUMMYFUNCTION("""COMPUTED_VALUE"""),0.3808957590170432)</f>
        <v>0.380895759</v>
      </c>
      <c r="E5096" s="5">
        <f>IFERROR(__xludf.DUMMYFUNCTION("""COMPUTED_VALUE"""),0.11216805390408244)</f>
        <v>0.1121680539</v>
      </c>
      <c r="F5096" s="5">
        <f>IFERROR(__xludf.DUMMYFUNCTION("""COMPUTED_VALUE"""),0.20352754657154182)</f>
        <v>0.2035275466</v>
      </c>
      <c r="G5096" s="5">
        <f>IFERROR(__xludf.DUMMYFUNCTION("""COMPUTED_VALUE"""),0.15774871185097106)</f>
        <v>0.1577487119</v>
      </c>
      <c r="H5096" s="5">
        <f>IFERROR(__xludf.DUMMYFUNCTION("""COMPUTED_VALUE"""),0.5676728334956183)</f>
        <v>0.5676728335</v>
      </c>
      <c r="I5096" s="11">
        <f>IFERROR(__xludf.DUMMYFUNCTION("""COMPUTED_VALUE"""),5552.775073028238)</f>
        <v>5552.775073</v>
      </c>
      <c r="J5096" s="10">
        <f>IFERROR(__xludf.DUMMYFUNCTION("""COMPUTED_VALUE"""),1.0)</f>
        <v>1</v>
      </c>
      <c r="K5096" s="5">
        <f>IFERROR(__xludf.DUMMYFUNCTION("""COMPUTED_VALUE"""),0.0021321961620469083)</f>
        <v>0.002132196162</v>
      </c>
      <c r="L5096" s="10">
        <f>IFERROR(__xludf.DUMMYFUNCTION("""COMPUTED_VALUE"""),0.0)</f>
        <v>0</v>
      </c>
      <c r="M5096" s="5">
        <f>IFERROR(__xludf.DUMMYFUNCTION("""COMPUTED_VALUE"""),0.0)</f>
        <v>0</v>
      </c>
    </row>
    <row r="5097">
      <c r="A5097" s="10" t="str">
        <f>IFERROR(__xludf.DUMMYFUNCTION("""COMPUTED_VALUE"""),"としR")</f>
        <v>としR</v>
      </c>
      <c r="B5097" s="10">
        <f>IFERROR(__xludf.DUMMYFUNCTION("""COMPUTED_VALUE"""),281.0)</f>
        <v>281</v>
      </c>
      <c r="C5097" s="10">
        <f>IFERROR(__xludf.DUMMYFUNCTION("""COMPUTED_VALUE"""),3339.0)</f>
        <v>3339</v>
      </c>
      <c r="D5097" s="5">
        <f>IFERROR(__xludf.DUMMYFUNCTION("""COMPUTED_VALUE"""),0.39045127534336166)</f>
        <v>0.3904512753</v>
      </c>
      <c r="E5097" s="5">
        <f>IFERROR(__xludf.DUMMYFUNCTION("""COMPUTED_VALUE"""),0.11216481360366252)</f>
        <v>0.1121648136</v>
      </c>
      <c r="F5097" s="5">
        <f>IFERROR(__xludf.DUMMYFUNCTION("""COMPUTED_VALUE"""),0.2079790712884238)</f>
        <v>0.2079790713</v>
      </c>
      <c r="G5097" s="5">
        <f>IFERROR(__xludf.DUMMYFUNCTION("""COMPUTED_VALUE"""),0.15827338129496402)</f>
        <v>0.1582733813</v>
      </c>
      <c r="H5097" s="5">
        <f>IFERROR(__xludf.DUMMYFUNCTION("""COMPUTED_VALUE"""),0.5943396226415094)</f>
        <v>0.5943396226</v>
      </c>
      <c r="I5097" s="11">
        <f>IFERROR(__xludf.DUMMYFUNCTION("""COMPUTED_VALUE"""),5102.044025157233)</f>
        <v>5102.044025</v>
      </c>
      <c r="J5097" s="10">
        <f>IFERROR(__xludf.DUMMYFUNCTION("""COMPUTED_VALUE"""),0.0)</f>
        <v>0</v>
      </c>
      <c r="K5097" s="5">
        <f>IFERROR(__xludf.DUMMYFUNCTION("""COMPUTED_VALUE"""),0.0)</f>
        <v>0</v>
      </c>
      <c r="L5097" s="10">
        <f>IFERROR(__xludf.DUMMYFUNCTION("""COMPUTED_VALUE"""),281.0)</f>
        <v>281</v>
      </c>
      <c r="M5097" s="5">
        <f>IFERROR(__xludf.DUMMYFUNCTION("""COMPUTED_VALUE"""),1.0)</f>
        <v>1</v>
      </c>
    </row>
    <row r="5098">
      <c r="A5098" s="10" t="str">
        <f>IFERROR(__xludf.DUMMYFUNCTION("""COMPUTED_VALUE"""),"神算鬼謀の極み")</f>
        <v>神算鬼謀の極み</v>
      </c>
      <c r="B5098" s="10">
        <f>IFERROR(__xludf.DUMMYFUNCTION("""COMPUTED_VALUE"""),1122.0)</f>
        <v>1122</v>
      </c>
      <c r="C5098" s="10">
        <f>IFERROR(__xludf.DUMMYFUNCTION("""COMPUTED_VALUE"""),13125.0)</f>
        <v>13125</v>
      </c>
      <c r="D5098" s="5">
        <f>IFERROR(__xludf.DUMMYFUNCTION("""COMPUTED_VALUE"""),0.3417478963592435)</f>
        <v>0.3417478964</v>
      </c>
      <c r="E5098" s="5">
        <f>IFERROR(__xludf.DUMMYFUNCTION("""COMPUTED_VALUE"""),0.1121386320086645)</f>
        <v>0.112138632</v>
      </c>
      <c r="F5098" s="5">
        <f>IFERROR(__xludf.DUMMYFUNCTION("""COMPUTED_VALUE"""),0.1968674498042156)</f>
        <v>0.1968674498</v>
      </c>
      <c r="G5098" s="5">
        <f>IFERROR(__xludf.DUMMYFUNCTION("""COMPUTED_VALUE"""),0.15187869699241857)</f>
        <v>0.151878697</v>
      </c>
      <c r="H5098" s="5">
        <f>IFERROR(__xludf.DUMMYFUNCTION("""COMPUTED_VALUE"""),0.6022005924672027)</f>
        <v>0.6022005925</v>
      </c>
      <c r="I5098" s="11">
        <f>IFERROR(__xludf.DUMMYFUNCTION("""COMPUTED_VALUE"""),5821.159542953872)</f>
        <v>5821.159543</v>
      </c>
      <c r="J5098" s="10">
        <f>IFERROR(__xludf.DUMMYFUNCTION("""COMPUTED_VALUE"""),0.0)</f>
        <v>0</v>
      </c>
      <c r="K5098" s="5">
        <f>IFERROR(__xludf.DUMMYFUNCTION("""COMPUTED_VALUE"""),0.0)</f>
        <v>0</v>
      </c>
      <c r="L5098" s="10">
        <f>IFERROR(__xludf.DUMMYFUNCTION("""COMPUTED_VALUE"""),453.0)</f>
        <v>453</v>
      </c>
      <c r="M5098" s="5">
        <f>IFERROR(__xludf.DUMMYFUNCTION("""COMPUTED_VALUE"""),0.4037433155080214)</f>
        <v>0.4037433155</v>
      </c>
    </row>
    <row r="5099">
      <c r="A5099" s="10" t="str">
        <f>IFERROR(__xludf.DUMMYFUNCTION("""COMPUTED_VALUE"""),"Aゆっこんぐ")</f>
        <v>Aゆっこんぐ</v>
      </c>
      <c r="B5099" s="10">
        <f>IFERROR(__xludf.DUMMYFUNCTION("""COMPUTED_VALUE"""),1524.0)</f>
        <v>1524</v>
      </c>
      <c r="C5099" s="10">
        <f>IFERROR(__xludf.DUMMYFUNCTION("""COMPUTED_VALUE"""),17968.0)</f>
        <v>17968</v>
      </c>
      <c r="D5099" s="5">
        <f>IFERROR(__xludf.DUMMYFUNCTION("""COMPUTED_VALUE"""),0.35034054974458767)</f>
        <v>0.3503405497</v>
      </c>
      <c r="E5099" s="5">
        <f>IFERROR(__xludf.DUMMYFUNCTION("""COMPUTED_VALUE"""),0.11213816589637558)</f>
        <v>0.1121381659</v>
      </c>
      <c r="F5099" s="5">
        <f>IFERROR(__xludf.DUMMYFUNCTION("""COMPUTED_VALUE"""),0.20700559474580393)</f>
        <v>0.2070055947</v>
      </c>
      <c r="G5099" s="5">
        <f>IFERROR(__xludf.DUMMYFUNCTION("""COMPUTED_VALUE"""),0.18371442471418145)</f>
        <v>0.1837144247</v>
      </c>
      <c r="H5099" s="5">
        <f>IFERROR(__xludf.DUMMYFUNCTION("""COMPUTED_VALUE"""),0.5966509988249119)</f>
        <v>0.5966509988</v>
      </c>
      <c r="I5099" s="11">
        <f>IFERROR(__xludf.DUMMYFUNCTION("""COMPUTED_VALUE"""),5623.031727379554)</f>
        <v>5623.031727</v>
      </c>
      <c r="J5099" s="10">
        <f>IFERROR(__xludf.DUMMYFUNCTION("""COMPUTED_VALUE"""),3.0)</f>
        <v>3</v>
      </c>
      <c r="K5099" s="5">
        <f>IFERROR(__xludf.DUMMYFUNCTION("""COMPUTED_VALUE"""),0.001968503937007874)</f>
        <v>0.001968503937</v>
      </c>
      <c r="L5099" s="10">
        <f>IFERROR(__xludf.DUMMYFUNCTION("""COMPUTED_VALUE"""),1201.0)</f>
        <v>1201</v>
      </c>
      <c r="M5099" s="5">
        <f>IFERROR(__xludf.DUMMYFUNCTION("""COMPUTED_VALUE"""),0.7880577427821522)</f>
        <v>0.7880577428</v>
      </c>
    </row>
    <row r="5100">
      <c r="A5100" s="10" t="str">
        <f>IFERROR(__xludf.DUMMYFUNCTION("""COMPUTED_VALUE"""),"四槓子風ダンス")</f>
        <v>四槓子風ダンス</v>
      </c>
      <c r="B5100" s="10">
        <f>IFERROR(__xludf.DUMMYFUNCTION("""COMPUTED_VALUE"""),242.0)</f>
        <v>242</v>
      </c>
      <c r="C5100" s="10">
        <f>IFERROR(__xludf.DUMMYFUNCTION("""COMPUTED_VALUE"""),2864.0)</f>
        <v>2864</v>
      </c>
      <c r="D5100" s="5">
        <f>IFERROR(__xludf.DUMMYFUNCTION("""COMPUTED_VALUE"""),0.36384439359267734)</f>
        <v>0.3638443936</v>
      </c>
      <c r="E5100" s="5">
        <f>IFERROR(__xludf.DUMMYFUNCTION("""COMPUTED_VALUE"""),0.11212814645308924)</f>
        <v>0.1121281465</v>
      </c>
      <c r="F5100" s="5">
        <f>IFERROR(__xludf.DUMMYFUNCTION("""COMPUTED_VALUE"""),0.19755911517925248)</f>
        <v>0.1975591152</v>
      </c>
      <c r="G5100" s="5">
        <f>IFERROR(__xludf.DUMMYFUNCTION("""COMPUTED_VALUE"""),0.17810831426392068)</f>
        <v>0.1781083143</v>
      </c>
      <c r="H5100" s="5">
        <f>IFERROR(__xludf.DUMMYFUNCTION("""COMPUTED_VALUE"""),0.555984555984556)</f>
        <v>0.555984556</v>
      </c>
      <c r="I5100" s="11">
        <f>IFERROR(__xludf.DUMMYFUNCTION("""COMPUTED_VALUE"""),5575.0965250965255)</f>
        <v>5575.096525</v>
      </c>
      <c r="J5100" s="10">
        <f>IFERROR(__xludf.DUMMYFUNCTION("""COMPUTED_VALUE"""),0.0)</f>
        <v>0</v>
      </c>
      <c r="K5100" s="5">
        <f>IFERROR(__xludf.DUMMYFUNCTION("""COMPUTED_VALUE"""),0.0)</f>
        <v>0</v>
      </c>
      <c r="L5100" s="10">
        <f>IFERROR(__xludf.DUMMYFUNCTION("""COMPUTED_VALUE"""),242.0)</f>
        <v>242</v>
      </c>
      <c r="M5100" s="5">
        <f>IFERROR(__xludf.DUMMYFUNCTION("""COMPUTED_VALUE"""),1.0)</f>
        <v>1</v>
      </c>
    </row>
    <row r="5101">
      <c r="A5101" s="10" t="str">
        <f>IFERROR(__xludf.DUMMYFUNCTION("""COMPUTED_VALUE"""),"桜花閃々")</f>
        <v>桜花閃々</v>
      </c>
      <c r="B5101" s="10">
        <f>IFERROR(__xludf.DUMMYFUNCTION("""COMPUTED_VALUE"""),410.0)</f>
        <v>410</v>
      </c>
      <c r="C5101" s="10">
        <f>IFERROR(__xludf.DUMMYFUNCTION("""COMPUTED_VALUE"""),4897.0)</f>
        <v>4897</v>
      </c>
      <c r="D5101" s="5">
        <f>IFERROR(__xludf.DUMMYFUNCTION("""COMPUTED_VALUE"""),0.41230220637396925)</f>
        <v>0.4123022064</v>
      </c>
      <c r="E5101" s="5">
        <f>IFERROR(__xludf.DUMMYFUNCTION("""COMPUTED_VALUE"""),0.11210162692221974)</f>
        <v>0.1121016269</v>
      </c>
      <c r="F5101" s="5">
        <f>IFERROR(__xludf.DUMMYFUNCTION("""COMPUTED_VALUE"""),0.22286605749944283)</f>
        <v>0.2228660575</v>
      </c>
      <c r="G5101" s="5">
        <f>IFERROR(__xludf.DUMMYFUNCTION("""COMPUTED_VALUE"""),0.15221751727211946)</f>
        <v>0.1522175173</v>
      </c>
      <c r="H5101" s="5">
        <f>IFERROR(__xludf.DUMMYFUNCTION("""COMPUTED_VALUE"""),0.581)</f>
        <v>0.581</v>
      </c>
      <c r="I5101" s="11">
        <f>IFERROR(__xludf.DUMMYFUNCTION("""COMPUTED_VALUE"""),5214.1)</f>
        <v>5214.1</v>
      </c>
      <c r="J5101" s="10">
        <f>IFERROR(__xludf.DUMMYFUNCTION("""COMPUTED_VALUE"""),1.0)</f>
        <v>1</v>
      </c>
      <c r="K5101" s="5">
        <f>IFERROR(__xludf.DUMMYFUNCTION("""COMPUTED_VALUE"""),0.0024390243902439024)</f>
        <v>0.00243902439</v>
      </c>
      <c r="L5101" s="10">
        <f>IFERROR(__xludf.DUMMYFUNCTION("""COMPUTED_VALUE"""),410.0)</f>
        <v>410</v>
      </c>
      <c r="M5101" s="5">
        <f>IFERROR(__xludf.DUMMYFUNCTION("""COMPUTED_VALUE"""),1.0)</f>
        <v>1</v>
      </c>
    </row>
    <row r="5102">
      <c r="A5102" s="10" t="str">
        <f>IFERROR(__xludf.DUMMYFUNCTION("""COMPUTED_VALUE"""),"Blue-Jam")</f>
        <v>Blue-Jam</v>
      </c>
      <c r="B5102" s="10">
        <f>IFERROR(__xludf.DUMMYFUNCTION("""COMPUTED_VALUE"""),457.0)</f>
        <v>457</v>
      </c>
      <c r="C5102" s="10">
        <f>IFERROR(__xludf.DUMMYFUNCTION("""COMPUTED_VALUE"""),5399.0)</f>
        <v>5399</v>
      </c>
      <c r="D5102" s="5">
        <f>IFERROR(__xludf.DUMMYFUNCTION("""COMPUTED_VALUE"""),0.2800485633346823)</f>
        <v>0.2800485633</v>
      </c>
      <c r="E5102" s="5">
        <f>IFERROR(__xludf.DUMMYFUNCTION("""COMPUTED_VALUE"""),0.11210036422501012)</f>
        <v>0.1121003642</v>
      </c>
      <c r="F5102" s="5">
        <f>IFERROR(__xludf.DUMMYFUNCTION("""COMPUTED_VALUE"""),0.18899231080534196)</f>
        <v>0.1889923108</v>
      </c>
      <c r="G5102" s="5">
        <f>IFERROR(__xludf.DUMMYFUNCTION("""COMPUTED_VALUE"""),0.1641036017806556)</f>
        <v>0.1641036018</v>
      </c>
      <c r="H5102" s="5">
        <f>IFERROR(__xludf.DUMMYFUNCTION("""COMPUTED_VALUE"""),0.6017130620985011)</f>
        <v>0.6017130621</v>
      </c>
      <c r="I5102" s="11">
        <f>IFERROR(__xludf.DUMMYFUNCTION("""COMPUTED_VALUE"""),5733.6188436830835)</f>
        <v>5733.618844</v>
      </c>
      <c r="J5102" s="10">
        <f>IFERROR(__xludf.DUMMYFUNCTION("""COMPUTED_VALUE"""),2.0)</f>
        <v>2</v>
      </c>
      <c r="K5102" s="5">
        <f>IFERROR(__xludf.DUMMYFUNCTION("""COMPUTED_VALUE"""),0.00437636761487965)</f>
        <v>0.004376367615</v>
      </c>
      <c r="L5102" s="10">
        <f>IFERROR(__xludf.DUMMYFUNCTION("""COMPUTED_VALUE"""),457.0)</f>
        <v>457</v>
      </c>
      <c r="M5102" s="5">
        <f>IFERROR(__xludf.DUMMYFUNCTION("""COMPUTED_VALUE"""),1.0)</f>
        <v>1</v>
      </c>
    </row>
    <row r="5103">
      <c r="A5103" s="10" t="str">
        <f>IFERROR(__xludf.DUMMYFUNCTION("""COMPUTED_VALUE"""),"朝長美桜♪")</f>
        <v>朝長美桜♪</v>
      </c>
      <c r="B5103" s="10">
        <f>IFERROR(__xludf.DUMMYFUNCTION("""COMPUTED_VALUE"""),119.0)</f>
        <v>119</v>
      </c>
      <c r="C5103" s="10">
        <f>IFERROR(__xludf.DUMMYFUNCTION("""COMPUTED_VALUE"""),1386.0)</f>
        <v>1386</v>
      </c>
      <c r="D5103" s="5">
        <f>IFERROR(__xludf.DUMMYFUNCTION("""COMPUTED_VALUE"""),0.3228097868981847)</f>
        <v>0.3228097869</v>
      </c>
      <c r="E5103" s="5">
        <f>IFERROR(__xludf.DUMMYFUNCTION("""COMPUTED_VALUE"""),0.11207576953433307)</f>
        <v>0.1120757695</v>
      </c>
      <c r="F5103" s="5">
        <f>IFERROR(__xludf.DUMMYFUNCTION("""COMPUTED_VALUE"""),0.19731649565903708)</f>
        <v>0.1973164957</v>
      </c>
      <c r="G5103" s="5">
        <f>IFERROR(__xludf.DUMMYFUNCTION("""COMPUTED_VALUE"""),0.17679558011049723)</f>
        <v>0.1767955801</v>
      </c>
      <c r="H5103" s="5">
        <f>IFERROR(__xludf.DUMMYFUNCTION("""COMPUTED_VALUE"""),0.576)</f>
        <v>0.576</v>
      </c>
      <c r="I5103" s="11">
        <f>IFERROR(__xludf.DUMMYFUNCTION("""COMPUTED_VALUE"""),5886.4)</f>
        <v>5886.4</v>
      </c>
      <c r="J5103" s="10">
        <f>IFERROR(__xludf.DUMMYFUNCTION("""COMPUTED_VALUE"""),0.0)</f>
        <v>0</v>
      </c>
      <c r="K5103" s="5">
        <f>IFERROR(__xludf.DUMMYFUNCTION("""COMPUTED_VALUE"""),0.0)</f>
        <v>0</v>
      </c>
      <c r="L5103" s="10">
        <f>IFERROR(__xludf.DUMMYFUNCTION("""COMPUTED_VALUE"""),119.0)</f>
        <v>119</v>
      </c>
      <c r="M5103" s="5">
        <f>IFERROR(__xludf.DUMMYFUNCTION("""COMPUTED_VALUE"""),1.0)</f>
        <v>1</v>
      </c>
    </row>
    <row r="5104">
      <c r="A5104" s="10" t="str">
        <f>IFERROR(__xludf.DUMMYFUNCTION("""COMPUTED_VALUE"""),"ばぎたそ")</f>
        <v>ばぎたそ</v>
      </c>
      <c r="B5104" s="10">
        <f>IFERROR(__xludf.DUMMYFUNCTION("""COMPUTED_VALUE"""),812.0)</f>
        <v>812</v>
      </c>
      <c r="C5104" s="10">
        <f>IFERROR(__xludf.DUMMYFUNCTION("""COMPUTED_VALUE"""),9682.0)</f>
        <v>9682</v>
      </c>
      <c r="D5104" s="5">
        <f>IFERROR(__xludf.DUMMYFUNCTION("""COMPUTED_VALUE"""),0.3239007891770011)</f>
        <v>0.3239007892</v>
      </c>
      <c r="E5104" s="5">
        <f>IFERROR(__xludf.DUMMYFUNCTION("""COMPUTED_VALUE"""),0.11206313416009019)</f>
        <v>0.1120631342</v>
      </c>
      <c r="F5104" s="5">
        <f>IFERROR(__xludf.DUMMYFUNCTION("""COMPUTED_VALUE"""),0.21544532130777902)</f>
        <v>0.2154453213</v>
      </c>
      <c r="G5104" s="5">
        <f>IFERROR(__xludf.DUMMYFUNCTION("""COMPUTED_VALUE"""),0.15738444193912063)</f>
        <v>0.1573844419</v>
      </c>
      <c r="H5104" s="5">
        <f>IFERROR(__xludf.DUMMYFUNCTION("""COMPUTED_VALUE"""),0.5803244374672946)</f>
        <v>0.5803244375</v>
      </c>
      <c r="I5104" s="11">
        <f>IFERROR(__xludf.DUMMYFUNCTION("""COMPUTED_VALUE"""),5458.817373103087)</f>
        <v>5458.817373</v>
      </c>
      <c r="J5104" s="10">
        <f>IFERROR(__xludf.DUMMYFUNCTION("""COMPUTED_VALUE"""),1.0)</f>
        <v>1</v>
      </c>
      <c r="K5104" s="5">
        <f>IFERROR(__xludf.DUMMYFUNCTION("""COMPUTED_VALUE"""),0.0012315270935960591)</f>
        <v>0.001231527094</v>
      </c>
      <c r="L5104" s="10">
        <f>IFERROR(__xludf.DUMMYFUNCTION("""COMPUTED_VALUE"""),812.0)</f>
        <v>812</v>
      </c>
      <c r="M5104" s="5">
        <f>IFERROR(__xludf.DUMMYFUNCTION("""COMPUTED_VALUE"""),1.0)</f>
        <v>1</v>
      </c>
    </row>
    <row r="5105">
      <c r="A5105" s="10" t="str">
        <f>IFERROR(__xludf.DUMMYFUNCTION("""COMPUTED_VALUE"""),"鳴いたら風水が")</f>
        <v>鳴いたら風水が</v>
      </c>
      <c r="B5105" s="10">
        <f>IFERROR(__xludf.DUMMYFUNCTION("""COMPUTED_VALUE"""),429.0)</f>
        <v>429</v>
      </c>
      <c r="C5105" s="10">
        <f>IFERROR(__xludf.DUMMYFUNCTION("""COMPUTED_VALUE"""),4963.0)</f>
        <v>4963</v>
      </c>
      <c r="D5105" s="5">
        <f>IFERROR(__xludf.DUMMYFUNCTION("""COMPUTED_VALUE"""),0.29355977062196736)</f>
        <v>0.2935597706</v>
      </c>
      <c r="E5105" s="5">
        <f>IFERROR(__xludf.DUMMYFUNCTION("""COMPUTED_VALUE"""),0.11204234671371857)</f>
        <v>0.1120423467</v>
      </c>
      <c r="F5105" s="5">
        <f>IFERROR(__xludf.DUMMYFUNCTION("""COMPUTED_VALUE"""),0.21283634759594178)</f>
        <v>0.2128363476</v>
      </c>
      <c r="G5105" s="5">
        <f>IFERROR(__xludf.DUMMYFUNCTION("""COMPUTED_VALUE"""),0.19761799735333038)</f>
        <v>0.1976179974</v>
      </c>
      <c r="H5105" s="5">
        <f>IFERROR(__xludf.DUMMYFUNCTION("""COMPUTED_VALUE"""),0.6020725388601036)</f>
        <v>0.6020725389</v>
      </c>
      <c r="I5105" s="11">
        <f>IFERROR(__xludf.DUMMYFUNCTION("""COMPUTED_VALUE"""),5823.108808290155)</f>
        <v>5823.108808</v>
      </c>
      <c r="J5105" s="10">
        <f>IFERROR(__xludf.DUMMYFUNCTION("""COMPUTED_VALUE"""),4.0)</f>
        <v>4</v>
      </c>
      <c r="K5105" s="5">
        <f>IFERROR(__xludf.DUMMYFUNCTION("""COMPUTED_VALUE"""),0.009324009324009324)</f>
        <v>0.009324009324</v>
      </c>
      <c r="L5105" s="10">
        <f>IFERROR(__xludf.DUMMYFUNCTION("""COMPUTED_VALUE"""),429.0)</f>
        <v>429</v>
      </c>
      <c r="M5105" s="5">
        <f>IFERROR(__xludf.DUMMYFUNCTION("""COMPUTED_VALUE"""),1.0)</f>
        <v>1</v>
      </c>
    </row>
    <row r="5106">
      <c r="A5106" s="10" t="str">
        <f>IFERROR(__xludf.DUMMYFUNCTION("""COMPUTED_VALUE"""),"kodama/")</f>
        <v>kodama/</v>
      </c>
      <c r="B5106" s="10">
        <f>IFERROR(__xludf.DUMMYFUNCTION("""COMPUTED_VALUE"""),531.0)</f>
        <v>531</v>
      </c>
      <c r="C5106" s="10">
        <f>IFERROR(__xludf.DUMMYFUNCTION("""COMPUTED_VALUE"""),6244.0)</f>
        <v>6244</v>
      </c>
      <c r="D5106" s="5">
        <f>IFERROR(__xludf.DUMMYFUNCTION("""COMPUTED_VALUE"""),0.24277962541571854)</f>
        <v>0.2427796254</v>
      </c>
      <c r="E5106" s="5">
        <f>IFERROR(__xludf.DUMMYFUNCTION("""COMPUTED_VALUE"""),0.11202520567127604)</f>
        <v>0.1120252057</v>
      </c>
      <c r="F5106" s="5">
        <f>IFERROR(__xludf.DUMMYFUNCTION("""COMPUTED_VALUE"""),0.1857167862769123)</f>
        <v>0.1857167863</v>
      </c>
      <c r="G5106" s="5">
        <f>IFERROR(__xludf.DUMMYFUNCTION("""COMPUTED_VALUE"""),0.17031332049711184)</f>
        <v>0.1703133205</v>
      </c>
      <c r="H5106" s="5">
        <f>IFERROR(__xludf.DUMMYFUNCTION("""COMPUTED_VALUE"""),0.5758718190386428)</f>
        <v>0.575871819</v>
      </c>
      <c r="I5106" s="11">
        <f>IFERROR(__xludf.DUMMYFUNCTION("""COMPUTED_VALUE"""),6038.1715362865225)</f>
        <v>6038.171536</v>
      </c>
      <c r="J5106" s="10">
        <f>IFERROR(__xludf.DUMMYFUNCTION("""COMPUTED_VALUE"""),1.0)</f>
        <v>1</v>
      </c>
      <c r="K5106" s="5">
        <f>IFERROR(__xludf.DUMMYFUNCTION("""COMPUTED_VALUE"""),0.0018832391713747645)</f>
        <v>0.001883239171</v>
      </c>
      <c r="L5106" s="10">
        <f>IFERROR(__xludf.DUMMYFUNCTION("""COMPUTED_VALUE"""),531.0)</f>
        <v>531</v>
      </c>
      <c r="M5106" s="5">
        <f>IFERROR(__xludf.DUMMYFUNCTION("""COMPUTED_VALUE"""),1.0)</f>
        <v>1</v>
      </c>
    </row>
    <row r="5107">
      <c r="A5107" s="10" t="str">
        <f>IFERROR(__xludf.DUMMYFUNCTION("""COMPUTED_VALUE"""),"S")</f>
        <v>S</v>
      </c>
      <c r="B5107" s="10">
        <f>IFERROR(__xludf.DUMMYFUNCTION("""COMPUTED_VALUE"""),170.0)</f>
        <v>170</v>
      </c>
      <c r="C5107" s="10">
        <f>IFERROR(__xludf.DUMMYFUNCTION("""COMPUTED_VALUE"""),2009.0)</f>
        <v>2009</v>
      </c>
      <c r="D5107" s="5">
        <f>IFERROR(__xludf.DUMMYFUNCTION("""COMPUTED_VALUE"""),0.41000543773790105)</f>
        <v>0.4100054377</v>
      </c>
      <c r="E5107" s="5">
        <f>IFERROR(__xludf.DUMMYFUNCTION("""COMPUTED_VALUE"""),0.1120174007612833)</f>
        <v>0.1120174008</v>
      </c>
      <c r="F5107" s="5">
        <f>IFERROR(__xludf.DUMMYFUNCTION("""COMPUTED_VALUE"""),0.19032082653616095)</f>
        <v>0.1903208265</v>
      </c>
      <c r="G5107" s="5">
        <f>IFERROR(__xludf.DUMMYFUNCTION("""COMPUTED_VALUE"""),0.11963023382272975)</f>
        <v>0.1196302338</v>
      </c>
      <c r="H5107" s="5">
        <f>IFERROR(__xludf.DUMMYFUNCTION("""COMPUTED_VALUE"""),0.62)</f>
        <v>0.62</v>
      </c>
      <c r="I5107" s="11">
        <f>IFERROR(__xludf.DUMMYFUNCTION("""COMPUTED_VALUE"""),5809.428571428572)</f>
        <v>5809.428571</v>
      </c>
      <c r="J5107" s="10">
        <f>IFERROR(__xludf.DUMMYFUNCTION("""COMPUTED_VALUE"""),0.0)</f>
        <v>0</v>
      </c>
      <c r="K5107" s="5">
        <f>IFERROR(__xludf.DUMMYFUNCTION("""COMPUTED_VALUE"""),0.0)</f>
        <v>0</v>
      </c>
      <c r="L5107" s="10">
        <f>IFERROR(__xludf.DUMMYFUNCTION("""COMPUTED_VALUE"""),170.0)</f>
        <v>170</v>
      </c>
      <c r="M5107" s="5">
        <f>IFERROR(__xludf.DUMMYFUNCTION("""COMPUTED_VALUE"""),1.0)</f>
        <v>1</v>
      </c>
    </row>
    <row r="5108">
      <c r="A5108" s="10" t="str">
        <f>IFERROR(__xludf.DUMMYFUNCTION("""COMPUTED_VALUE"""),"〓アナスタシア〓")</f>
        <v>〓アナスタシア〓</v>
      </c>
      <c r="B5108" s="10">
        <f>IFERROR(__xludf.DUMMYFUNCTION("""COMPUTED_VALUE"""),184.0)</f>
        <v>184</v>
      </c>
      <c r="C5108" s="10">
        <f>IFERROR(__xludf.DUMMYFUNCTION("""COMPUTED_VALUE"""),2148.0)</f>
        <v>2148</v>
      </c>
      <c r="D5108" s="5">
        <f>IFERROR(__xludf.DUMMYFUNCTION("""COMPUTED_VALUE"""),0.33553971486761713)</f>
        <v>0.3355397149</v>
      </c>
      <c r="E5108" s="5">
        <f>IFERROR(__xludf.DUMMYFUNCTION("""COMPUTED_VALUE"""),0.1120162932790224)</f>
        <v>0.1120162933</v>
      </c>
      <c r="F5108" s="5">
        <f>IFERROR(__xludf.DUMMYFUNCTION("""COMPUTED_VALUE"""),0.1985743380855397)</f>
        <v>0.1985743381</v>
      </c>
      <c r="G5108" s="5">
        <f>IFERROR(__xludf.DUMMYFUNCTION("""COMPUTED_VALUE"""),0.17006109979633402)</f>
        <v>0.1700610998</v>
      </c>
      <c r="H5108" s="5">
        <f>IFERROR(__xludf.DUMMYFUNCTION("""COMPUTED_VALUE"""),0.5538461538461539)</f>
        <v>0.5538461538</v>
      </c>
      <c r="I5108" s="11">
        <f>IFERROR(__xludf.DUMMYFUNCTION("""COMPUTED_VALUE"""),5667.179487179487)</f>
        <v>5667.179487</v>
      </c>
      <c r="J5108" s="10">
        <f>IFERROR(__xludf.DUMMYFUNCTION("""COMPUTED_VALUE"""),0.0)</f>
        <v>0</v>
      </c>
      <c r="K5108" s="5">
        <f>IFERROR(__xludf.DUMMYFUNCTION("""COMPUTED_VALUE"""),0.0)</f>
        <v>0</v>
      </c>
      <c r="L5108" s="10">
        <f>IFERROR(__xludf.DUMMYFUNCTION("""COMPUTED_VALUE"""),0.0)</f>
        <v>0</v>
      </c>
      <c r="M5108" s="5">
        <f>IFERROR(__xludf.DUMMYFUNCTION("""COMPUTED_VALUE"""),0.0)</f>
        <v>0</v>
      </c>
    </row>
    <row r="5109">
      <c r="A5109" s="10" t="str">
        <f>IFERROR(__xludf.DUMMYFUNCTION("""COMPUTED_VALUE"""),"ジョルト")</f>
        <v>ジョルト</v>
      </c>
      <c r="B5109" s="10">
        <f>IFERROR(__xludf.DUMMYFUNCTION("""COMPUTED_VALUE"""),165.0)</f>
        <v>165</v>
      </c>
      <c r="C5109" s="10">
        <f>IFERROR(__xludf.DUMMYFUNCTION("""COMPUTED_VALUE"""),1915.0)</f>
        <v>1915</v>
      </c>
      <c r="D5109" s="5">
        <f>IFERROR(__xludf.DUMMYFUNCTION("""COMPUTED_VALUE"""),0.312)</f>
        <v>0.312</v>
      </c>
      <c r="E5109" s="5">
        <f>IFERROR(__xludf.DUMMYFUNCTION("""COMPUTED_VALUE"""),0.112)</f>
        <v>0.112</v>
      </c>
      <c r="F5109" s="5">
        <f>IFERROR(__xludf.DUMMYFUNCTION("""COMPUTED_VALUE"""),0.21828571428571428)</f>
        <v>0.2182857143</v>
      </c>
      <c r="G5109" s="5">
        <f>IFERROR(__xludf.DUMMYFUNCTION("""COMPUTED_VALUE"""),0.15428571428571428)</f>
        <v>0.1542857143</v>
      </c>
      <c r="H5109" s="5">
        <f>IFERROR(__xludf.DUMMYFUNCTION("""COMPUTED_VALUE"""),0.5863874345549738)</f>
        <v>0.5863874346</v>
      </c>
      <c r="I5109" s="11">
        <f>IFERROR(__xludf.DUMMYFUNCTION("""COMPUTED_VALUE"""),5470.157068062827)</f>
        <v>5470.157068</v>
      </c>
      <c r="J5109" s="10">
        <f>IFERROR(__xludf.DUMMYFUNCTION("""COMPUTED_VALUE"""),0.0)</f>
        <v>0</v>
      </c>
      <c r="K5109" s="5">
        <f>IFERROR(__xludf.DUMMYFUNCTION("""COMPUTED_VALUE"""),0.0)</f>
        <v>0</v>
      </c>
      <c r="L5109" s="10">
        <f>IFERROR(__xludf.DUMMYFUNCTION("""COMPUTED_VALUE"""),165.0)</f>
        <v>165</v>
      </c>
      <c r="M5109" s="5">
        <f>IFERROR(__xludf.DUMMYFUNCTION("""COMPUTED_VALUE"""),1.0)</f>
        <v>1</v>
      </c>
    </row>
    <row r="5110">
      <c r="A5110" s="10" t="str">
        <f>IFERROR(__xludf.DUMMYFUNCTION("""COMPUTED_VALUE"""),"爽海")</f>
        <v>爽海</v>
      </c>
      <c r="B5110" s="10">
        <f>IFERROR(__xludf.DUMMYFUNCTION("""COMPUTED_VALUE"""),997.0)</f>
        <v>997</v>
      </c>
      <c r="C5110" s="10">
        <f>IFERROR(__xludf.DUMMYFUNCTION("""COMPUTED_VALUE"""),11855.0)</f>
        <v>11855</v>
      </c>
      <c r="D5110" s="5">
        <f>IFERROR(__xludf.DUMMYFUNCTION("""COMPUTED_VALUE"""),0.3804568060416283)</f>
        <v>0.380456806</v>
      </c>
      <c r="E5110" s="5">
        <f>IFERROR(__xludf.DUMMYFUNCTION("""COMPUTED_VALUE"""),0.11199115859274268)</f>
        <v>0.1119911586</v>
      </c>
      <c r="F5110" s="5">
        <f>IFERROR(__xludf.DUMMYFUNCTION("""COMPUTED_VALUE"""),0.21403573402099835)</f>
        <v>0.214035734</v>
      </c>
      <c r="G5110" s="5">
        <f>IFERROR(__xludf.DUMMYFUNCTION("""COMPUTED_VALUE"""),0.1577638607478357)</f>
        <v>0.1577638607</v>
      </c>
      <c r="H5110" s="5">
        <f>IFERROR(__xludf.DUMMYFUNCTION("""COMPUTED_VALUE"""),0.5972461273666093)</f>
        <v>0.5972461274</v>
      </c>
      <c r="I5110" s="11">
        <f>IFERROR(__xludf.DUMMYFUNCTION("""COMPUTED_VALUE"""),5154.044750430293)</f>
        <v>5154.04475</v>
      </c>
      <c r="J5110" s="10">
        <f>IFERROR(__xludf.DUMMYFUNCTION("""COMPUTED_VALUE"""),0.0)</f>
        <v>0</v>
      </c>
      <c r="K5110" s="5">
        <f>IFERROR(__xludf.DUMMYFUNCTION("""COMPUTED_VALUE"""),0.0)</f>
        <v>0</v>
      </c>
      <c r="L5110" s="10">
        <f>IFERROR(__xludf.DUMMYFUNCTION("""COMPUTED_VALUE"""),0.0)</f>
        <v>0</v>
      </c>
      <c r="M5110" s="5">
        <f>IFERROR(__xludf.DUMMYFUNCTION("""COMPUTED_VALUE"""),0.0)</f>
        <v>0</v>
      </c>
    </row>
    <row r="5111">
      <c r="A5111" s="10" t="str">
        <f>IFERROR(__xludf.DUMMYFUNCTION("""COMPUTED_VALUE"""),"藤やん")</f>
        <v>藤やん</v>
      </c>
      <c r="B5111" s="10">
        <f>IFERROR(__xludf.DUMMYFUNCTION("""COMPUTED_VALUE"""),394.0)</f>
        <v>394</v>
      </c>
      <c r="C5111" s="10">
        <f>IFERROR(__xludf.DUMMYFUNCTION("""COMPUTED_VALUE"""),4698.0)</f>
        <v>4698</v>
      </c>
      <c r="D5111" s="5">
        <f>IFERROR(__xludf.DUMMYFUNCTION("""COMPUTED_VALUE"""),0.3378252788104089)</f>
        <v>0.3378252788</v>
      </c>
      <c r="E5111" s="5">
        <f>IFERROR(__xludf.DUMMYFUNCTION("""COMPUTED_VALUE"""),0.11198884758364312)</f>
        <v>0.1119888476</v>
      </c>
      <c r="F5111" s="5">
        <f>IFERROR(__xludf.DUMMYFUNCTION("""COMPUTED_VALUE"""),0.21770446096654275)</f>
        <v>0.217704461</v>
      </c>
      <c r="G5111" s="5">
        <f>IFERROR(__xludf.DUMMYFUNCTION("""COMPUTED_VALUE"""),0.1712360594795539)</f>
        <v>0.1712360595</v>
      </c>
      <c r="H5111" s="5">
        <f>IFERROR(__xludf.DUMMYFUNCTION("""COMPUTED_VALUE"""),0.576307363927428)</f>
        <v>0.5763073639</v>
      </c>
      <c r="I5111" s="11">
        <f>IFERROR(__xludf.DUMMYFUNCTION("""COMPUTED_VALUE"""),5536.499466382071)</f>
        <v>5536.499466</v>
      </c>
      <c r="J5111" s="10">
        <f>IFERROR(__xludf.DUMMYFUNCTION("""COMPUTED_VALUE"""),1.0)</f>
        <v>1</v>
      </c>
      <c r="K5111" s="5">
        <f>IFERROR(__xludf.DUMMYFUNCTION("""COMPUTED_VALUE"""),0.0025380710659898475)</f>
        <v>0.002538071066</v>
      </c>
      <c r="L5111" s="10">
        <f>IFERROR(__xludf.DUMMYFUNCTION("""COMPUTED_VALUE"""),394.0)</f>
        <v>394</v>
      </c>
      <c r="M5111" s="5">
        <f>IFERROR(__xludf.DUMMYFUNCTION("""COMPUTED_VALUE"""),1.0)</f>
        <v>1</v>
      </c>
    </row>
    <row r="5112">
      <c r="A5112" s="10" t="str">
        <f>IFERROR(__xludf.DUMMYFUNCTION("""COMPUTED_VALUE"""),"かき醤油")</f>
        <v>かき醤油</v>
      </c>
      <c r="B5112" s="10">
        <f>IFERROR(__xludf.DUMMYFUNCTION("""COMPUTED_VALUE"""),1771.0)</f>
        <v>1771</v>
      </c>
      <c r="C5112" s="10">
        <f>IFERROR(__xludf.DUMMYFUNCTION("""COMPUTED_VALUE"""),20759.0)</f>
        <v>20759</v>
      </c>
      <c r="D5112" s="5">
        <f>IFERROR(__xludf.DUMMYFUNCTION("""COMPUTED_VALUE"""),0.3150410785759427)</f>
        <v>0.3150410786</v>
      </c>
      <c r="E5112" s="5">
        <f>IFERROR(__xludf.DUMMYFUNCTION("""COMPUTED_VALUE"""),0.11196545186433537)</f>
        <v>0.1119654519</v>
      </c>
      <c r="F5112" s="5">
        <f>IFERROR(__xludf.DUMMYFUNCTION("""COMPUTED_VALUE"""),0.19575521381925426)</f>
        <v>0.1957552138</v>
      </c>
      <c r="G5112" s="5">
        <f>IFERROR(__xludf.DUMMYFUNCTION("""COMPUTED_VALUE"""),0.15936380872129766)</f>
        <v>0.1593638087</v>
      </c>
      <c r="H5112" s="5">
        <f>IFERROR(__xludf.DUMMYFUNCTION("""COMPUTED_VALUE"""),0.6029055690072639)</f>
        <v>0.602905569</v>
      </c>
      <c r="I5112" s="11">
        <f>IFERROR(__xludf.DUMMYFUNCTION("""COMPUTED_VALUE"""),5808.071025020177)</f>
        <v>5808.071025</v>
      </c>
      <c r="J5112" s="10">
        <f>IFERROR(__xludf.DUMMYFUNCTION("""COMPUTED_VALUE"""),10.0)</f>
        <v>10</v>
      </c>
      <c r="K5112" s="5">
        <f>IFERROR(__xludf.DUMMYFUNCTION("""COMPUTED_VALUE"""),0.00564652738565782)</f>
        <v>0.005646527386</v>
      </c>
      <c r="L5112" s="10">
        <f>IFERROR(__xludf.DUMMYFUNCTION("""COMPUTED_VALUE"""),1771.0)</f>
        <v>1771</v>
      </c>
      <c r="M5112" s="5">
        <f>IFERROR(__xludf.DUMMYFUNCTION("""COMPUTED_VALUE"""),1.0)</f>
        <v>1</v>
      </c>
    </row>
    <row r="5113">
      <c r="A5113" s="10" t="str">
        <f>IFERROR(__xludf.DUMMYFUNCTION("""COMPUTED_VALUE"""),"超インターネット")</f>
        <v>超インターネット</v>
      </c>
      <c r="B5113" s="10">
        <f>IFERROR(__xludf.DUMMYFUNCTION("""COMPUTED_VALUE"""),3056.0)</f>
        <v>3056</v>
      </c>
      <c r="C5113" s="10">
        <f>IFERROR(__xludf.DUMMYFUNCTION("""COMPUTED_VALUE"""),35774.0)</f>
        <v>35774</v>
      </c>
      <c r="D5113" s="5">
        <f>IFERROR(__xludf.DUMMYFUNCTION("""COMPUTED_VALUE"""),0.32942111376000976)</f>
        <v>0.3294211138</v>
      </c>
      <c r="E5113" s="5">
        <f>IFERROR(__xludf.DUMMYFUNCTION("""COMPUTED_VALUE"""),0.11195672107097011)</f>
        <v>0.1119567211</v>
      </c>
      <c r="F5113" s="5">
        <f>IFERROR(__xludf.DUMMYFUNCTION("""COMPUTED_VALUE"""),0.21132098539030503)</f>
        <v>0.2113209854</v>
      </c>
      <c r="G5113" s="5">
        <f>IFERROR(__xludf.DUMMYFUNCTION("""COMPUTED_VALUE"""),0.16263219023167674)</f>
        <v>0.1626321902</v>
      </c>
      <c r="H5113" s="5">
        <f>IFERROR(__xludf.DUMMYFUNCTION("""COMPUTED_VALUE"""),0.6002314145212612)</f>
        <v>0.6002314145</v>
      </c>
      <c r="I5113" s="11">
        <f>IFERROR(__xludf.DUMMYFUNCTION("""COMPUTED_VALUE"""),5563.7257737923055)</f>
        <v>5563.725774</v>
      </c>
      <c r="J5113" s="10">
        <f>IFERROR(__xludf.DUMMYFUNCTION("""COMPUTED_VALUE"""),5.0)</f>
        <v>5</v>
      </c>
      <c r="K5113" s="5">
        <f>IFERROR(__xludf.DUMMYFUNCTION("""COMPUTED_VALUE"""),0.0016361256544502618)</f>
        <v>0.001636125654</v>
      </c>
      <c r="L5113" s="10">
        <f>IFERROR(__xludf.DUMMYFUNCTION("""COMPUTED_VALUE"""),3056.0)</f>
        <v>3056</v>
      </c>
      <c r="M5113" s="5">
        <f>IFERROR(__xludf.DUMMYFUNCTION("""COMPUTED_VALUE"""),1.0)</f>
        <v>1</v>
      </c>
    </row>
    <row r="5114">
      <c r="A5114" s="10" t="str">
        <f>IFERROR(__xludf.DUMMYFUNCTION("""COMPUTED_VALUE"""),"基本功")</f>
        <v>基本功</v>
      </c>
      <c r="B5114" s="10">
        <f>IFERROR(__xludf.DUMMYFUNCTION("""COMPUTED_VALUE"""),1126.0)</f>
        <v>1126</v>
      </c>
      <c r="C5114" s="10">
        <f>IFERROR(__xludf.DUMMYFUNCTION("""COMPUTED_VALUE"""),13220.0)</f>
        <v>13220</v>
      </c>
      <c r="D5114" s="5">
        <f>IFERROR(__xludf.DUMMYFUNCTION("""COMPUTED_VALUE"""),0.2858442202745163)</f>
        <v>0.2858442203</v>
      </c>
      <c r="E5114" s="5">
        <f>IFERROR(__xludf.DUMMYFUNCTION("""COMPUTED_VALUE"""),0.11195634198776253)</f>
        <v>0.111956342</v>
      </c>
      <c r="F5114" s="5">
        <f>IFERROR(__xludf.DUMMYFUNCTION("""COMPUTED_VALUE"""),0.19489002811311393)</f>
        <v>0.1948900281</v>
      </c>
      <c r="G5114" s="5">
        <f>IFERROR(__xludf.DUMMYFUNCTION("""COMPUTED_VALUE"""),0.15900446502397883)</f>
        <v>0.159004465</v>
      </c>
      <c r="H5114" s="5">
        <f>IFERROR(__xludf.DUMMYFUNCTION("""COMPUTED_VALUE"""),0.5714891811624947)</f>
        <v>0.5714891812</v>
      </c>
      <c r="I5114" s="11">
        <f>IFERROR(__xludf.DUMMYFUNCTION("""COMPUTED_VALUE"""),5750.74246924056)</f>
        <v>5750.742469</v>
      </c>
      <c r="J5114" s="10">
        <f>IFERROR(__xludf.DUMMYFUNCTION("""COMPUTED_VALUE"""),0.0)</f>
        <v>0</v>
      </c>
      <c r="K5114" s="5">
        <f>IFERROR(__xludf.DUMMYFUNCTION("""COMPUTED_VALUE"""),0.0)</f>
        <v>0</v>
      </c>
      <c r="L5114" s="10">
        <f>IFERROR(__xludf.DUMMYFUNCTION("""COMPUTED_VALUE"""),1126.0)</f>
        <v>1126</v>
      </c>
      <c r="M5114" s="5">
        <f>IFERROR(__xludf.DUMMYFUNCTION("""COMPUTED_VALUE"""),1.0)</f>
        <v>1</v>
      </c>
    </row>
    <row r="5115">
      <c r="A5115" s="10" t="str">
        <f>IFERROR(__xludf.DUMMYFUNCTION("""COMPUTED_VALUE"""),"niji")</f>
        <v>niji</v>
      </c>
      <c r="B5115" s="10">
        <f>IFERROR(__xludf.DUMMYFUNCTION("""COMPUTED_VALUE"""),2647.0)</f>
        <v>2647</v>
      </c>
      <c r="C5115" s="10">
        <f>IFERROR(__xludf.DUMMYFUNCTION("""COMPUTED_VALUE"""),31249.0)</f>
        <v>31249</v>
      </c>
      <c r="D5115" s="5">
        <f>IFERROR(__xludf.DUMMYFUNCTION("""COMPUTED_VALUE"""),0.35312215928956014)</f>
        <v>0.3531221593</v>
      </c>
      <c r="E5115" s="5">
        <f>IFERROR(__xludf.DUMMYFUNCTION("""COMPUTED_VALUE"""),0.11195021327179917)</f>
        <v>0.1119502133</v>
      </c>
      <c r="F5115" s="5">
        <f>IFERROR(__xludf.DUMMYFUNCTION("""COMPUTED_VALUE"""),0.2045661142577442)</f>
        <v>0.2045661143</v>
      </c>
      <c r="G5115" s="5">
        <f>IFERROR(__xludf.DUMMYFUNCTION("""COMPUTED_VALUE"""),0.1325431787986854)</f>
        <v>0.1325431788</v>
      </c>
      <c r="H5115" s="5">
        <f>IFERROR(__xludf.DUMMYFUNCTION("""COMPUTED_VALUE"""),0.6062211587762776)</f>
        <v>0.6062211588</v>
      </c>
      <c r="I5115" s="11">
        <f>IFERROR(__xludf.DUMMYFUNCTION("""COMPUTED_VALUE"""),5415.467441462998)</f>
        <v>5415.467441</v>
      </c>
      <c r="J5115" s="10">
        <f>IFERROR(__xludf.DUMMYFUNCTION("""COMPUTED_VALUE"""),3.0)</f>
        <v>3</v>
      </c>
      <c r="K5115" s="5">
        <f>IFERROR(__xludf.DUMMYFUNCTION("""COMPUTED_VALUE"""),0.0011333585190782018)</f>
        <v>0.001133358519</v>
      </c>
      <c r="L5115" s="10">
        <f>IFERROR(__xludf.DUMMYFUNCTION("""COMPUTED_VALUE"""),2522.0)</f>
        <v>2522</v>
      </c>
      <c r="M5115" s="5">
        <f>IFERROR(__xludf.DUMMYFUNCTION("""COMPUTED_VALUE"""),0.9527767283717415)</f>
        <v>0.9527767284</v>
      </c>
    </row>
    <row r="5116">
      <c r="A5116" s="10" t="str">
        <f>IFERROR(__xludf.DUMMYFUNCTION("""COMPUTED_VALUE"""),"落葉子之歌")</f>
        <v>落葉子之歌</v>
      </c>
      <c r="B5116" s="10">
        <f>IFERROR(__xludf.DUMMYFUNCTION("""COMPUTED_VALUE"""),377.0)</f>
        <v>377</v>
      </c>
      <c r="C5116" s="10">
        <f>IFERROR(__xludf.DUMMYFUNCTION("""COMPUTED_VALUE"""),4496.0)</f>
        <v>4496</v>
      </c>
      <c r="D5116" s="5">
        <f>IFERROR(__xludf.DUMMYFUNCTION("""COMPUTED_VALUE"""),0.34401553775188154)</f>
        <v>0.3440155378</v>
      </c>
      <c r="E5116" s="5">
        <f>IFERROR(__xludf.DUMMYFUNCTION("""COMPUTED_VALUE"""),0.11192036902160718)</f>
        <v>0.111920369</v>
      </c>
      <c r="F5116" s="5">
        <f>IFERROR(__xludf.DUMMYFUNCTION("""COMPUTED_VALUE"""),0.19543578538480214)</f>
        <v>0.1954357854</v>
      </c>
      <c r="G5116" s="5">
        <f>IFERROR(__xludf.DUMMYFUNCTION("""COMPUTED_VALUE"""),0.15853362466618112)</f>
        <v>0.1585336247</v>
      </c>
      <c r="H5116" s="5">
        <f>IFERROR(__xludf.DUMMYFUNCTION("""COMPUTED_VALUE"""),0.5664596273291925)</f>
        <v>0.5664596273</v>
      </c>
      <c r="I5116" s="11">
        <f>IFERROR(__xludf.DUMMYFUNCTION("""COMPUTED_VALUE"""),5455.776397515528)</f>
        <v>5455.776398</v>
      </c>
      <c r="J5116" s="10">
        <f>IFERROR(__xludf.DUMMYFUNCTION("""COMPUTED_VALUE"""),0.0)</f>
        <v>0</v>
      </c>
      <c r="K5116" s="5">
        <f>IFERROR(__xludf.DUMMYFUNCTION("""COMPUTED_VALUE"""),0.0)</f>
        <v>0</v>
      </c>
      <c r="L5116" s="10">
        <f>IFERROR(__xludf.DUMMYFUNCTION("""COMPUTED_VALUE"""),1.0)</f>
        <v>1</v>
      </c>
      <c r="M5116" s="5">
        <f>IFERROR(__xludf.DUMMYFUNCTION("""COMPUTED_VALUE"""),0.002652519893899204)</f>
        <v>0.002652519894</v>
      </c>
    </row>
    <row r="5117">
      <c r="A5117" s="10" t="str">
        <f>IFERROR(__xludf.DUMMYFUNCTION("""COMPUTED_VALUE"""),"８００８")</f>
        <v>８００８</v>
      </c>
      <c r="B5117" s="10">
        <f>IFERROR(__xludf.DUMMYFUNCTION("""COMPUTED_VALUE"""),1305.0)</f>
        <v>1305</v>
      </c>
      <c r="C5117" s="10">
        <f>IFERROR(__xludf.DUMMYFUNCTION("""COMPUTED_VALUE"""),15262.0)</f>
        <v>15262</v>
      </c>
      <c r="D5117" s="5">
        <f>IFERROR(__xludf.DUMMYFUNCTION("""COMPUTED_VALUE"""),0.3475675288385756)</f>
        <v>0.3475675288</v>
      </c>
      <c r="E5117" s="5">
        <f>IFERROR(__xludf.DUMMYFUNCTION("""COMPUTED_VALUE"""),0.1119151680160493)</f>
        <v>0.111915168</v>
      </c>
      <c r="F5117" s="5">
        <f>IFERROR(__xludf.DUMMYFUNCTION("""COMPUTED_VALUE"""),0.22010460700723652)</f>
        <v>0.220104607</v>
      </c>
      <c r="G5117" s="5">
        <f>IFERROR(__xludf.DUMMYFUNCTION("""COMPUTED_VALUE"""),0.169592319266318)</f>
        <v>0.1695923193</v>
      </c>
      <c r="H5117" s="5">
        <f>IFERROR(__xludf.DUMMYFUNCTION("""COMPUTED_VALUE"""),0.587890625)</f>
        <v>0.587890625</v>
      </c>
      <c r="I5117" s="11">
        <f>IFERROR(__xludf.DUMMYFUNCTION("""COMPUTED_VALUE"""),5587.923177083333)</f>
        <v>5587.923177</v>
      </c>
      <c r="J5117" s="10">
        <f>IFERROR(__xludf.DUMMYFUNCTION("""COMPUTED_VALUE"""),0.0)</f>
        <v>0</v>
      </c>
      <c r="K5117" s="5">
        <f>IFERROR(__xludf.DUMMYFUNCTION("""COMPUTED_VALUE"""),0.0)</f>
        <v>0</v>
      </c>
      <c r="L5117" s="10">
        <f>IFERROR(__xludf.DUMMYFUNCTION("""COMPUTED_VALUE"""),0.0)</f>
        <v>0</v>
      </c>
      <c r="M5117" s="5">
        <f>IFERROR(__xludf.DUMMYFUNCTION("""COMPUTED_VALUE"""),0.0)</f>
        <v>0</v>
      </c>
    </row>
    <row r="5118">
      <c r="A5118" s="10" t="str">
        <f>IFERROR(__xludf.DUMMYFUNCTION("""COMPUTED_VALUE"""),"まないたようじょ")</f>
        <v>まないたようじょ</v>
      </c>
      <c r="B5118" s="10">
        <f>IFERROR(__xludf.DUMMYFUNCTION("""COMPUTED_VALUE"""),2901.0)</f>
        <v>2901</v>
      </c>
      <c r="C5118" s="10">
        <f>IFERROR(__xludf.DUMMYFUNCTION("""COMPUTED_VALUE"""),34245.0)</f>
        <v>34245</v>
      </c>
      <c r="D5118" s="5">
        <f>IFERROR(__xludf.DUMMYFUNCTION("""COMPUTED_VALUE"""),0.36498213374170496)</f>
        <v>0.3649821337</v>
      </c>
      <c r="E5118" s="5">
        <f>IFERROR(__xludf.DUMMYFUNCTION("""COMPUTED_VALUE"""),0.11188744257274119)</f>
        <v>0.1118874426</v>
      </c>
      <c r="F5118" s="5">
        <f>IFERROR(__xludf.DUMMYFUNCTION("""COMPUTED_VALUE"""),0.19544410413476263)</f>
        <v>0.1954441041</v>
      </c>
      <c r="G5118" s="5">
        <f>IFERROR(__xludf.DUMMYFUNCTION("""COMPUTED_VALUE"""),0.1623596222562532)</f>
        <v>0.1623596223</v>
      </c>
      <c r="H5118" s="5">
        <f>IFERROR(__xludf.DUMMYFUNCTION("""COMPUTED_VALUE"""),0.593862226575253)</f>
        <v>0.5938622266</v>
      </c>
      <c r="I5118" s="11">
        <f>IFERROR(__xludf.DUMMYFUNCTION("""COMPUTED_VALUE"""),5580.50930460333)</f>
        <v>5580.509305</v>
      </c>
      <c r="J5118" s="10">
        <f>IFERROR(__xludf.DUMMYFUNCTION("""COMPUTED_VALUE"""),4.0)</f>
        <v>4</v>
      </c>
      <c r="K5118" s="5">
        <f>IFERROR(__xludf.DUMMYFUNCTION("""COMPUTED_VALUE"""),0.0013788348845225785)</f>
        <v>0.001378834885</v>
      </c>
      <c r="L5118" s="10">
        <f>IFERROR(__xludf.DUMMYFUNCTION("""COMPUTED_VALUE"""),2901.0)</f>
        <v>2901</v>
      </c>
      <c r="M5118" s="5">
        <f>IFERROR(__xludf.DUMMYFUNCTION("""COMPUTED_VALUE"""),1.0)</f>
        <v>1</v>
      </c>
    </row>
    <row r="5119">
      <c r="A5119" s="10" t="str">
        <f>IFERROR(__xludf.DUMMYFUNCTION("""COMPUTED_VALUE"""),"タンコン")</f>
        <v>タンコン</v>
      </c>
      <c r="B5119" s="10">
        <f>IFERROR(__xludf.DUMMYFUNCTION("""COMPUTED_VALUE"""),283.0)</f>
        <v>283</v>
      </c>
      <c r="C5119" s="10">
        <f>IFERROR(__xludf.DUMMYFUNCTION("""COMPUTED_VALUE"""),3295.0)</f>
        <v>3295</v>
      </c>
      <c r="D5119" s="5">
        <f>IFERROR(__xludf.DUMMYFUNCTION("""COMPUTED_VALUE"""),0.31341301460823373)</f>
        <v>0.3134130146</v>
      </c>
      <c r="E5119" s="5">
        <f>IFERROR(__xludf.DUMMYFUNCTION("""COMPUTED_VALUE"""),0.11188579017264276)</f>
        <v>0.1118857902</v>
      </c>
      <c r="F5119" s="5">
        <f>IFERROR(__xludf.DUMMYFUNCTION("""COMPUTED_VALUE"""),0.21347941567065074)</f>
        <v>0.2134794157</v>
      </c>
      <c r="G5119" s="5">
        <f>IFERROR(__xludf.DUMMYFUNCTION("""COMPUTED_VALUE"""),0.150066401062417)</f>
        <v>0.1500664011</v>
      </c>
      <c r="H5119" s="5">
        <f>IFERROR(__xludf.DUMMYFUNCTION("""COMPUTED_VALUE"""),0.5909797822706065)</f>
        <v>0.5909797823</v>
      </c>
      <c r="I5119" s="11">
        <f>IFERROR(__xludf.DUMMYFUNCTION("""COMPUTED_VALUE"""),5353.499222395023)</f>
        <v>5353.499222</v>
      </c>
      <c r="J5119" s="10">
        <f>IFERROR(__xludf.DUMMYFUNCTION("""COMPUTED_VALUE"""),0.0)</f>
        <v>0</v>
      </c>
      <c r="K5119" s="5">
        <f>IFERROR(__xludf.DUMMYFUNCTION("""COMPUTED_VALUE"""),0.0)</f>
        <v>0</v>
      </c>
      <c r="L5119" s="10">
        <f>IFERROR(__xludf.DUMMYFUNCTION("""COMPUTED_VALUE"""),283.0)</f>
        <v>283</v>
      </c>
      <c r="M5119" s="5">
        <f>IFERROR(__xludf.DUMMYFUNCTION("""COMPUTED_VALUE"""),1.0)</f>
        <v>1</v>
      </c>
    </row>
    <row r="5120">
      <c r="A5120" s="10" t="str">
        <f>IFERROR(__xludf.DUMMYFUNCTION("""COMPUTED_VALUE"""),"黒猫@ぺろぺろ☆")</f>
        <v>黒猫@ぺろぺろ☆</v>
      </c>
      <c r="B5120" s="10">
        <f>IFERROR(__xludf.DUMMYFUNCTION("""COMPUTED_VALUE"""),1988.0)</f>
        <v>1988</v>
      </c>
      <c r="C5120" s="10">
        <f>IFERROR(__xludf.DUMMYFUNCTION("""COMPUTED_VALUE"""),23504.0)</f>
        <v>23504</v>
      </c>
      <c r="D5120" s="5">
        <f>IFERROR(__xludf.DUMMYFUNCTION("""COMPUTED_VALUE"""),0.3484383714445064)</f>
        <v>0.3484383714</v>
      </c>
      <c r="E5120" s="5">
        <f>IFERROR(__xludf.DUMMYFUNCTION("""COMPUTED_VALUE"""),0.11187023610336494)</f>
        <v>0.1118702361</v>
      </c>
      <c r="F5120" s="5">
        <f>IFERROR(__xludf.DUMMYFUNCTION("""COMPUTED_VALUE"""),0.20993679122513478)</f>
        <v>0.2099367912</v>
      </c>
      <c r="G5120" s="5">
        <f>IFERROR(__xludf.DUMMYFUNCTION("""COMPUTED_VALUE"""),0.1598810187767243)</f>
        <v>0.1598810188</v>
      </c>
      <c r="H5120" s="5">
        <f>IFERROR(__xludf.DUMMYFUNCTION("""COMPUTED_VALUE"""),0.600398494576046)</f>
        <v>0.6003984946</v>
      </c>
      <c r="I5120" s="11">
        <f>IFERROR(__xludf.DUMMYFUNCTION("""COMPUTED_VALUE"""),5578.547708656188)</f>
        <v>5578.547709</v>
      </c>
      <c r="J5120" s="10">
        <f>IFERROR(__xludf.DUMMYFUNCTION("""COMPUTED_VALUE"""),5.0)</f>
        <v>5</v>
      </c>
      <c r="K5120" s="5">
        <f>IFERROR(__xludf.DUMMYFUNCTION("""COMPUTED_VALUE"""),0.0025150905432595573)</f>
        <v>0.002515090543</v>
      </c>
      <c r="L5120" s="10">
        <f>IFERROR(__xludf.DUMMYFUNCTION("""COMPUTED_VALUE"""),38.0)</f>
        <v>38</v>
      </c>
      <c r="M5120" s="5">
        <f>IFERROR(__xludf.DUMMYFUNCTION("""COMPUTED_VALUE"""),0.019114688128772636)</f>
        <v>0.01911468813</v>
      </c>
    </row>
    <row r="5121">
      <c r="A5121" s="10" t="str">
        <f>IFERROR(__xludf.DUMMYFUNCTION("""COMPUTED_VALUE"""),"easy")</f>
        <v>easy</v>
      </c>
      <c r="B5121" s="10">
        <f>IFERROR(__xludf.DUMMYFUNCTION("""COMPUTED_VALUE"""),1262.0)</f>
        <v>1262</v>
      </c>
      <c r="C5121" s="10">
        <f>IFERROR(__xludf.DUMMYFUNCTION("""COMPUTED_VALUE"""),14877.0)</f>
        <v>14877</v>
      </c>
      <c r="D5121" s="5">
        <f>IFERROR(__xludf.DUMMYFUNCTION("""COMPUTED_VALUE"""),0.408079324274697)</f>
        <v>0.4080793243</v>
      </c>
      <c r="E5121" s="5">
        <f>IFERROR(__xludf.DUMMYFUNCTION("""COMPUTED_VALUE"""),0.11186191700330518)</f>
        <v>0.111861917</v>
      </c>
      <c r="F5121" s="5">
        <f>IFERROR(__xludf.DUMMYFUNCTION("""COMPUTED_VALUE"""),0.21344105765699595)</f>
        <v>0.2134410577</v>
      </c>
      <c r="G5121" s="5">
        <f>IFERROR(__xludf.DUMMYFUNCTION("""COMPUTED_VALUE"""),0.14175541681968418)</f>
        <v>0.1417554168</v>
      </c>
      <c r="H5121" s="5">
        <f>IFERROR(__xludf.DUMMYFUNCTION("""COMPUTED_VALUE"""),0.6063317274604267)</f>
        <v>0.6063317275</v>
      </c>
      <c r="I5121" s="11">
        <f>IFERROR(__xludf.DUMMYFUNCTION("""COMPUTED_VALUE"""),5149.139710942877)</f>
        <v>5149.139711</v>
      </c>
      <c r="J5121" s="10">
        <f>IFERROR(__xludf.DUMMYFUNCTION("""COMPUTED_VALUE"""),4.0)</f>
        <v>4</v>
      </c>
      <c r="K5121" s="5">
        <f>IFERROR(__xludf.DUMMYFUNCTION("""COMPUTED_VALUE"""),0.003169572107765452)</f>
        <v>0.003169572108</v>
      </c>
      <c r="L5121" s="10">
        <f>IFERROR(__xludf.DUMMYFUNCTION("""COMPUTED_VALUE"""),1262.0)</f>
        <v>1262</v>
      </c>
      <c r="M5121" s="5">
        <f>IFERROR(__xludf.DUMMYFUNCTION("""COMPUTED_VALUE"""),1.0)</f>
        <v>1</v>
      </c>
    </row>
    <row r="5122">
      <c r="A5122" s="10" t="str">
        <f>IFERROR(__xludf.DUMMYFUNCTION("""COMPUTED_VALUE"""),"`・ω・)y-~")</f>
        <v>`・ω・)y-~</v>
      </c>
      <c r="B5122" s="10">
        <f>IFERROR(__xludf.DUMMYFUNCTION("""COMPUTED_VALUE"""),991.0)</f>
        <v>991</v>
      </c>
      <c r="C5122" s="10">
        <f>IFERROR(__xludf.DUMMYFUNCTION("""COMPUTED_VALUE"""),11755.0)</f>
        <v>11755</v>
      </c>
      <c r="D5122" s="5">
        <f>IFERROR(__xludf.DUMMYFUNCTION("""COMPUTED_VALUE"""),0.3555369751021925)</f>
        <v>0.3555369751</v>
      </c>
      <c r="E5122" s="5">
        <f>IFERROR(__xludf.DUMMYFUNCTION("""COMPUTED_VALUE"""),0.1118543292456336)</f>
        <v>0.1118543292</v>
      </c>
      <c r="F5122" s="5">
        <f>IFERROR(__xludf.DUMMYFUNCTION("""COMPUTED_VALUE"""),0.20986622073578595)</f>
        <v>0.2098662207</v>
      </c>
      <c r="G5122" s="5">
        <f>IFERROR(__xludf.DUMMYFUNCTION("""COMPUTED_VALUE"""),0.1624860646599777)</f>
        <v>0.1624860647</v>
      </c>
      <c r="H5122" s="5">
        <f>IFERROR(__xludf.DUMMYFUNCTION("""COMPUTED_VALUE"""),0.600265604249668)</f>
        <v>0.6002656042</v>
      </c>
      <c r="I5122" s="11">
        <f>IFERROR(__xludf.DUMMYFUNCTION("""COMPUTED_VALUE"""),5319.654714475431)</f>
        <v>5319.654714</v>
      </c>
      <c r="J5122" s="10">
        <f>IFERROR(__xludf.DUMMYFUNCTION("""COMPUTED_VALUE"""),0.0)</f>
        <v>0</v>
      </c>
      <c r="K5122" s="5">
        <f>IFERROR(__xludf.DUMMYFUNCTION("""COMPUTED_VALUE"""),0.0)</f>
        <v>0</v>
      </c>
      <c r="L5122" s="10">
        <f>IFERROR(__xludf.DUMMYFUNCTION("""COMPUTED_VALUE"""),991.0)</f>
        <v>991</v>
      </c>
      <c r="M5122" s="5">
        <f>IFERROR(__xludf.DUMMYFUNCTION("""COMPUTED_VALUE"""),1.0)</f>
        <v>1</v>
      </c>
    </row>
    <row r="5123">
      <c r="A5123" s="10" t="str">
        <f>IFERROR(__xludf.DUMMYFUNCTION("""COMPUTED_VALUE"""),"No_Rate")</f>
        <v>No_Rate</v>
      </c>
      <c r="B5123" s="10">
        <f>IFERROR(__xludf.DUMMYFUNCTION("""COMPUTED_VALUE"""),448.0)</f>
        <v>448</v>
      </c>
      <c r="C5123" s="10">
        <f>IFERROR(__xludf.DUMMYFUNCTION("""COMPUTED_VALUE"""),5205.0)</f>
        <v>5205</v>
      </c>
      <c r="D5123" s="5">
        <f>IFERROR(__xludf.DUMMYFUNCTION("""COMPUTED_VALUE"""),0.24763506411603953)</f>
        <v>0.2476350641</v>
      </c>
      <c r="E5123" s="5">
        <f>IFERROR(__xludf.DUMMYFUNCTION("""COMPUTED_VALUE"""),0.11183519024595333)</f>
        <v>0.1118351902</v>
      </c>
      <c r="F5123" s="5">
        <f>IFERROR(__xludf.DUMMYFUNCTION("""COMPUTED_VALUE"""),0.19297876813117512)</f>
        <v>0.1929787681</v>
      </c>
      <c r="G5123" s="5">
        <f>IFERROR(__xludf.DUMMYFUNCTION("""COMPUTED_VALUE"""),0.16838343493798613)</f>
        <v>0.1683834349</v>
      </c>
      <c r="H5123" s="5">
        <f>IFERROR(__xludf.DUMMYFUNCTION("""COMPUTED_VALUE"""),0.5915032679738562)</f>
        <v>0.591503268</v>
      </c>
      <c r="I5123" s="11">
        <f>IFERROR(__xludf.DUMMYFUNCTION("""COMPUTED_VALUE"""),5832.570806100218)</f>
        <v>5832.570806</v>
      </c>
      <c r="J5123" s="10">
        <f>IFERROR(__xludf.DUMMYFUNCTION("""COMPUTED_VALUE"""),2.0)</f>
        <v>2</v>
      </c>
      <c r="K5123" s="5">
        <f>IFERROR(__xludf.DUMMYFUNCTION("""COMPUTED_VALUE"""),0.004464285714285714)</f>
        <v>0.004464285714</v>
      </c>
      <c r="L5123" s="10">
        <f>IFERROR(__xludf.DUMMYFUNCTION("""COMPUTED_VALUE"""),285.0)</f>
        <v>285</v>
      </c>
      <c r="M5123" s="5">
        <f>IFERROR(__xludf.DUMMYFUNCTION("""COMPUTED_VALUE"""),0.6361607142857143)</f>
        <v>0.6361607143</v>
      </c>
    </row>
    <row r="5124">
      <c r="A5124" s="10" t="str">
        <f>IFERROR(__xludf.DUMMYFUNCTION("""COMPUTED_VALUE"""),"バイアラン")</f>
        <v>バイアラン</v>
      </c>
      <c r="B5124" s="10">
        <f>IFERROR(__xludf.DUMMYFUNCTION("""COMPUTED_VALUE"""),3756.0)</f>
        <v>3756</v>
      </c>
      <c r="C5124" s="10">
        <f>IFERROR(__xludf.DUMMYFUNCTION("""COMPUTED_VALUE"""),44509.0)</f>
        <v>44509</v>
      </c>
      <c r="D5124" s="5">
        <f>IFERROR(__xludf.DUMMYFUNCTION("""COMPUTED_VALUE"""),0.36969057492699925)</f>
        <v>0.3696905749</v>
      </c>
      <c r="E5124" s="5">
        <f>IFERROR(__xludf.DUMMYFUNCTION("""COMPUTED_VALUE"""),0.11181998871248743)</f>
        <v>0.1118199887</v>
      </c>
      <c r="F5124" s="5">
        <f>IFERROR(__xludf.DUMMYFUNCTION("""COMPUTED_VALUE"""),0.1948322822859667)</f>
        <v>0.1948322823</v>
      </c>
      <c r="G5124" s="5">
        <f>IFERROR(__xludf.DUMMYFUNCTION("""COMPUTED_VALUE"""),0.13979338944372194)</f>
        <v>0.1397933894</v>
      </c>
      <c r="H5124" s="5">
        <f>IFERROR(__xludf.DUMMYFUNCTION("""COMPUTED_VALUE"""),0.6066750629722922)</f>
        <v>0.606675063</v>
      </c>
      <c r="I5124" s="11">
        <f>IFERROR(__xludf.DUMMYFUNCTION("""COMPUTED_VALUE"""),5772.241813602015)</f>
        <v>5772.241814</v>
      </c>
      <c r="J5124" s="10">
        <f>IFERROR(__xludf.DUMMYFUNCTION("""COMPUTED_VALUE"""),13.0)</f>
        <v>13</v>
      </c>
      <c r="K5124" s="5">
        <f>IFERROR(__xludf.DUMMYFUNCTION("""COMPUTED_VALUE"""),0.003461128860489883)</f>
        <v>0.00346112886</v>
      </c>
      <c r="L5124" s="10">
        <f>IFERROR(__xludf.DUMMYFUNCTION("""COMPUTED_VALUE"""),3756.0)</f>
        <v>3756</v>
      </c>
      <c r="M5124" s="5">
        <f>IFERROR(__xludf.DUMMYFUNCTION("""COMPUTED_VALUE"""),1.0)</f>
        <v>1</v>
      </c>
    </row>
    <row r="5125">
      <c r="A5125" s="10" t="str">
        <f>IFERROR(__xludf.DUMMYFUNCTION("""COMPUTED_VALUE"""),"イニエスタ")</f>
        <v>イニエスタ</v>
      </c>
      <c r="B5125" s="10">
        <f>IFERROR(__xludf.DUMMYFUNCTION("""COMPUTED_VALUE"""),3852.0)</f>
        <v>3852</v>
      </c>
      <c r="C5125" s="10">
        <f>IFERROR(__xludf.DUMMYFUNCTION("""COMPUTED_VALUE"""),45279.0)</f>
        <v>45279</v>
      </c>
      <c r="D5125" s="5">
        <f>IFERROR(__xludf.DUMMYFUNCTION("""COMPUTED_VALUE"""),0.3525719941101214)</f>
        <v>0.3525719941</v>
      </c>
      <c r="E5125" s="5">
        <f>IFERROR(__xludf.DUMMYFUNCTION("""COMPUTED_VALUE"""),0.11181113766384242)</f>
        <v>0.1118111377</v>
      </c>
      <c r="F5125" s="5">
        <f>IFERROR(__xludf.DUMMYFUNCTION("""COMPUTED_VALUE"""),0.2064354165157989)</f>
        <v>0.2064354165</v>
      </c>
      <c r="G5125" s="5">
        <f>IFERROR(__xludf.DUMMYFUNCTION("""COMPUTED_VALUE"""),0.1493470441982282)</f>
        <v>0.1493470442</v>
      </c>
      <c r="H5125" s="5">
        <f>IFERROR(__xludf.DUMMYFUNCTION("""COMPUTED_VALUE"""),0.6007951356407858)</f>
        <v>0.6007951356</v>
      </c>
      <c r="I5125" s="11">
        <f>IFERROR(__xludf.DUMMYFUNCTION("""COMPUTED_VALUE"""),5639.289055191768)</f>
        <v>5639.289055</v>
      </c>
      <c r="J5125" s="10">
        <f>IFERROR(__xludf.DUMMYFUNCTION("""COMPUTED_VALUE"""),10.0)</f>
        <v>10</v>
      </c>
      <c r="K5125" s="5">
        <f>IFERROR(__xludf.DUMMYFUNCTION("""COMPUTED_VALUE"""),0.002596053997923157)</f>
        <v>0.002596053998</v>
      </c>
      <c r="L5125" s="10">
        <f>IFERROR(__xludf.DUMMYFUNCTION("""COMPUTED_VALUE"""),3844.0)</f>
        <v>3844</v>
      </c>
      <c r="M5125" s="5">
        <f>IFERROR(__xludf.DUMMYFUNCTION("""COMPUTED_VALUE"""),0.9979231568016614)</f>
        <v>0.9979231568</v>
      </c>
    </row>
    <row r="5126">
      <c r="A5126" s="10" t="str">
        <f>IFERROR(__xludf.DUMMYFUNCTION("""COMPUTED_VALUE"""),"ライジングサン!")</f>
        <v>ライジングサン!</v>
      </c>
      <c r="B5126" s="10">
        <f>IFERROR(__xludf.DUMMYFUNCTION("""COMPUTED_VALUE"""),178.0)</f>
        <v>178</v>
      </c>
      <c r="C5126" s="10">
        <f>IFERROR(__xludf.DUMMYFUNCTION("""COMPUTED_VALUE"""),2128.0)</f>
        <v>2128</v>
      </c>
      <c r="D5126" s="5">
        <f>IFERROR(__xludf.DUMMYFUNCTION("""COMPUTED_VALUE"""),0.3671794871794872)</f>
        <v>0.3671794872</v>
      </c>
      <c r="E5126" s="5">
        <f>IFERROR(__xludf.DUMMYFUNCTION("""COMPUTED_VALUE"""),0.1117948717948718)</f>
        <v>0.1117948718</v>
      </c>
      <c r="F5126" s="5">
        <f>IFERROR(__xludf.DUMMYFUNCTION("""COMPUTED_VALUE"""),0.19076923076923077)</f>
        <v>0.1907692308</v>
      </c>
      <c r="G5126" s="5">
        <f>IFERROR(__xludf.DUMMYFUNCTION("""COMPUTED_VALUE"""),0.18717948717948718)</f>
        <v>0.1871794872</v>
      </c>
      <c r="H5126" s="5">
        <f>IFERROR(__xludf.DUMMYFUNCTION("""COMPUTED_VALUE"""),0.5779569892473119)</f>
        <v>0.5779569892</v>
      </c>
      <c r="I5126" s="11">
        <f>IFERROR(__xludf.DUMMYFUNCTION("""COMPUTED_VALUE"""),5044.89247311828)</f>
        <v>5044.892473</v>
      </c>
      <c r="J5126" s="10">
        <f>IFERROR(__xludf.DUMMYFUNCTION("""COMPUTED_VALUE"""),0.0)</f>
        <v>0</v>
      </c>
      <c r="K5126" s="5">
        <f>IFERROR(__xludf.DUMMYFUNCTION("""COMPUTED_VALUE"""),0.0)</f>
        <v>0</v>
      </c>
      <c r="L5126" s="10">
        <f>IFERROR(__xludf.DUMMYFUNCTION("""COMPUTED_VALUE"""),178.0)</f>
        <v>178</v>
      </c>
      <c r="M5126" s="5">
        <f>IFERROR(__xludf.DUMMYFUNCTION("""COMPUTED_VALUE"""),1.0)</f>
        <v>1</v>
      </c>
    </row>
    <row r="5127">
      <c r="A5127" s="10" t="str">
        <f>IFERROR(__xludf.DUMMYFUNCTION("""COMPUTED_VALUE"""),"hiRo")</f>
        <v>hiRo</v>
      </c>
      <c r="B5127" s="10">
        <f>IFERROR(__xludf.DUMMYFUNCTION("""COMPUTED_VALUE"""),444.0)</f>
        <v>444</v>
      </c>
      <c r="C5127" s="10">
        <f>IFERROR(__xludf.DUMMYFUNCTION("""COMPUTED_VALUE"""),5266.0)</f>
        <v>5266</v>
      </c>
      <c r="D5127" s="5">
        <f>IFERROR(__xludf.DUMMYFUNCTION("""COMPUTED_VALUE"""),0.3164661965989216)</f>
        <v>0.3164661966</v>
      </c>
      <c r="E5127" s="5">
        <f>IFERROR(__xludf.DUMMYFUNCTION("""COMPUTED_VALUE"""),0.11177934467026131)</f>
        <v>0.1117793447</v>
      </c>
      <c r="F5127" s="5">
        <f>IFERROR(__xludf.DUMMYFUNCTION("""COMPUTED_VALUE"""),0.20904189133139775)</f>
        <v>0.2090418913</v>
      </c>
      <c r="G5127" s="5">
        <f>IFERROR(__xludf.DUMMYFUNCTION("""COMPUTED_VALUE"""),0.17731231854002488)</f>
        <v>0.1773123185</v>
      </c>
      <c r="H5127" s="5">
        <f>IFERROR(__xludf.DUMMYFUNCTION("""COMPUTED_VALUE"""),0.5833333333333334)</f>
        <v>0.5833333333</v>
      </c>
      <c r="I5127" s="11">
        <f>IFERROR(__xludf.DUMMYFUNCTION("""COMPUTED_VALUE"""),5633.5317460317465)</f>
        <v>5633.531746</v>
      </c>
      <c r="J5127" s="10">
        <f>IFERROR(__xludf.DUMMYFUNCTION("""COMPUTED_VALUE"""),0.0)</f>
        <v>0</v>
      </c>
      <c r="K5127" s="5">
        <f>IFERROR(__xludf.DUMMYFUNCTION("""COMPUTED_VALUE"""),0.0)</f>
        <v>0</v>
      </c>
      <c r="L5127" s="10">
        <f>IFERROR(__xludf.DUMMYFUNCTION("""COMPUTED_VALUE"""),444.0)</f>
        <v>444</v>
      </c>
      <c r="M5127" s="5">
        <f>IFERROR(__xludf.DUMMYFUNCTION("""COMPUTED_VALUE"""),1.0)</f>
        <v>1</v>
      </c>
    </row>
    <row r="5128">
      <c r="A5128" s="10" t="str">
        <f>IFERROR(__xludf.DUMMYFUNCTION("""COMPUTED_VALUE"""),"KentKent")</f>
        <v>KentKent</v>
      </c>
      <c r="B5128" s="10">
        <f>IFERROR(__xludf.DUMMYFUNCTION("""COMPUTED_VALUE"""),199.0)</f>
        <v>199</v>
      </c>
      <c r="C5128" s="10">
        <f>IFERROR(__xludf.DUMMYFUNCTION("""COMPUTED_VALUE"""),2374.0)</f>
        <v>2374</v>
      </c>
      <c r="D5128" s="5">
        <f>IFERROR(__xludf.DUMMYFUNCTION("""COMPUTED_VALUE"""),0.3429885057471264)</f>
        <v>0.3429885057</v>
      </c>
      <c r="E5128" s="5">
        <f>IFERROR(__xludf.DUMMYFUNCTION("""COMPUTED_VALUE"""),0.11172413793103449)</f>
        <v>0.1117241379</v>
      </c>
      <c r="F5128" s="5">
        <f>IFERROR(__xludf.DUMMYFUNCTION("""COMPUTED_VALUE"""),0.20091954022988506)</f>
        <v>0.2009195402</v>
      </c>
      <c r="G5128" s="5">
        <f>IFERROR(__xludf.DUMMYFUNCTION("""COMPUTED_VALUE"""),0.17057471264367816)</f>
        <v>0.1705747126</v>
      </c>
      <c r="H5128" s="5">
        <f>IFERROR(__xludf.DUMMYFUNCTION("""COMPUTED_VALUE"""),0.5789473684210527)</f>
        <v>0.5789473684</v>
      </c>
      <c r="I5128" s="11">
        <f>IFERROR(__xludf.DUMMYFUNCTION("""COMPUTED_VALUE"""),5929.7482837528605)</f>
        <v>5929.748284</v>
      </c>
      <c r="J5128" s="10">
        <f>IFERROR(__xludf.DUMMYFUNCTION("""COMPUTED_VALUE"""),1.0)</f>
        <v>1</v>
      </c>
      <c r="K5128" s="5">
        <f>IFERROR(__xludf.DUMMYFUNCTION("""COMPUTED_VALUE"""),0.005025125628140704)</f>
        <v>0.005025125628</v>
      </c>
      <c r="L5128" s="10">
        <f>IFERROR(__xludf.DUMMYFUNCTION("""COMPUTED_VALUE"""),157.0)</f>
        <v>157</v>
      </c>
      <c r="M5128" s="5">
        <f>IFERROR(__xludf.DUMMYFUNCTION("""COMPUTED_VALUE"""),0.7889447236180904)</f>
        <v>0.7889447236</v>
      </c>
    </row>
    <row r="5129">
      <c r="A5129" s="10" t="str">
        <f>IFERROR(__xludf.DUMMYFUNCTION("""COMPUTED_VALUE"""),"sirouuu")</f>
        <v>sirouuu</v>
      </c>
      <c r="B5129" s="10">
        <f>IFERROR(__xludf.DUMMYFUNCTION("""COMPUTED_VALUE"""),1604.0)</f>
        <v>1604</v>
      </c>
      <c r="C5129" s="10">
        <f>IFERROR(__xludf.DUMMYFUNCTION("""COMPUTED_VALUE"""),18899.0)</f>
        <v>18899</v>
      </c>
      <c r="D5129" s="5">
        <f>IFERROR(__xludf.DUMMYFUNCTION("""COMPUTED_VALUE"""),0.3943914426134721)</f>
        <v>0.3943914426</v>
      </c>
      <c r="E5129" s="5">
        <f>IFERROR(__xludf.DUMMYFUNCTION("""COMPUTED_VALUE"""),0.11170858629661752)</f>
        <v>0.1117085863</v>
      </c>
      <c r="F5129" s="5">
        <f>IFERROR(__xludf.DUMMYFUNCTION("""COMPUTED_VALUE"""),0.19577912691529345)</f>
        <v>0.1957791269</v>
      </c>
      <c r="G5129" s="5">
        <f>IFERROR(__xludf.DUMMYFUNCTION("""COMPUTED_VALUE"""),0.15362821624747036)</f>
        <v>0.1536282162</v>
      </c>
      <c r="H5129" s="5">
        <f>IFERROR(__xludf.DUMMYFUNCTION("""COMPUTED_VALUE"""),0.6113408151210868)</f>
        <v>0.6113408151</v>
      </c>
      <c r="I5129" s="11">
        <f>IFERROR(__xludf.DUMMYFUNCTION("""COMPUTED_VALUE"""),5630.1535735380985)</f>
        <v>5630.153574</v>
      </c>
      <c r="J5129" s="10">
        <f>IFERROR(__xludf.DUMMYFUNCTION("""COMPUTED_VALUE"""),0.0)</f>
        <v>0</v>
      </c>
      <c r="K5129" s="5">
        <f>IFERROR(__xludf.DUMMYFUNCTION("""COMPUTED_VALUE"""),0.0)</f>
        <v>0</v>
      </c>
      <c r="L5129" s="10">
        <f>IFERROR(__xludf.DUMMYFUNCTION("""COMPUTED_VALUE"""),1604.0)</f>
        <v>1604</v>
      </c>
      <c r="M5129" s="5">
        <f>IFERROR(__xludf.DUMMYFUNCTION("""COMPUTED_VALUE"""),1.0)</f>
        <v>1</v>
      </c>
    </row>
    <row r="5130">
      <c r="A5130" s="10" t="str">
        <f>IFERROR(__xludf.DUMMYFUNCTION("""COMPUTED_VALUE"""),"舞茸")</f>
        <v>舞茸</v>
      </c>
      <c r="B5130" s="10">
        <f>IFERROR(__xludf.DUMMYFUNCTION("""COMPUTED_VALUE"""),1070.0)</f>
        <v>1070</v>
      </c>
      <c r="C5130" s="10">
        <f>IFERROR(__xludf.DUMMYFUNCTION("""COMPUTED_VALUE"""),12484.0)</f>
        <v>12484</v>
      </c>
      <c r="D5130" s="5">
        <f>IFERROR(__xludf.DUMMYFUNCTION("""COMPUTED_VALUE"""),0.2508323111967759)</f>
        <v>0.2508323112</v>
      </c>
      <c r="E5130" s="5">
        <f>IFERROR(__xludf.DUMMYFUNCTION("""COMPUTED_VALUE"""),0.11170492377781671)</f>
        <v>0.1117049238</v>
      </c>
      <c r="F5130" s="5">
        <f>IFERROR(__xludf.DUMMYFUNCTION("""COMPUTED_VALUE"""),0.19441037322586296)</f>
        <v>0.1944103732</v>
      </c>
      <c r="G5130" s="5">
        <f>IFERROR(__xludf.DUMMYFUNCTION("""COMPUTED_VALUE"""),0.1757490800770983)</f>
        <v>0.1757490801</v>
      </c>
      <c r="H5130" s="5">
        <f>IFERROR(__xludf.DUMMYFUNCTION("""COMPUTED_VALUE"""),0.5831455610635421)</f>
        <v>0.5831455611</v>
      </c>
      <c r="I5130" s="11">
        <f>IFERROR(__xludf.DUMMYFUNCTION("""COMPUTED_VALUE"""),6187.697160883281)</f>
        <v>6187.697161</v>
      </c>
      <c r="J5130" s="10">
        <f>IFERROR(__xludf.DUMMYFUNCTION("""COMPUTED_VALUE"""),2.0)</f>
        <v>2</v>
      </c>
      <c r="K5130" s="5">
        <f>IFERROR(__xludf.DUMMYFUNCTION("""COMPUTED_VALUE"""),0.001869158878504673)</f>
        <v>0.001869158879</v>
      </c>
      <c r="L5130" s="10">
        <f>IFERROR(__xludf.DUMMYFUNCTION("""COMPUTED_VALUE"""),1070.0)</f>
        <v>1070</v>
      </c>
      <c r="M5130" s="5">
        <f>IFERROR(__xludf.DUMMYFUNCTION("""COMPUTED_VALUE"""),1.0)</f>
        <v>1</v>
      </c>
    </row>
    <row r="5131">
      <c r="A5131" s="10" t="str">
        <f>IFERROR(__xludf.DUMMYFUNCTION("""COMPUTED_VALUE"""),"おんたん")</f>
        <v>おんたん</v>
      </c>
      <c r="B5131" s="10">
        <f>IFERROR(__xludf.DUMMYFUNCTION("""COMPUTED_VALUE"""),157.0)</f>
        <v>157</v>
      </c>
      <c r="C5131" s="10">
        <f>IFERROR(__xludf.DUMMYFUNCTION("""COMPUTED_VALUE"""),1849.0)</f>
        <v>1849</v>
      </c>
      <c r="D5131" s="5">
        <f>IFERROR(__xludf.DUMMYFUNCTION("""COMPUTED_VALUE"""),0.31501182033096925)</f>
        <v>0.3150118203</v>
      </c>
      <c r="E5131" s="5">
        <f>IFERROR(__xludf.DUMMYFUNCTION("""COMPUTED_VALUE"""),0.11170212765957446)</f>
        <v>0.1117021277</v>
      </c>
      <c r="F5131" s="5">
        <f>IFERROR(__xludf.DUMMYFUNCTION("""COMPUTED_VALUE"""),0.1879432624113475)</f>
        <v>0.1879432624</v>
      </c>
      <c r="G5131" s="5">
        <f>IFERROR(__xludf.DUMMYFUNCTION("""COMPUTED_VALUE"""),0.14184397163120568)</f>
        <v>0.1418439716</v>
      </c>
      <c r="H5131" s="5">
        <f>IFERROR(__xludf.DUMMYFUNCTION("""COMPUTED_VALUE"""),0.6163522012578616)</f>
        <v>0.6163522013</v>
      </c>
      <c r="I5131" s="11">
        <f>IFERROR(__xludf.DUMMYFUNCTION("""COMPUTED_VALUE"""),5159.433962264151)</f>
        <v>5159.433962</v>
      </c>
      <c r="J5131" s="10">
        <f>IFERROR(__xludf.DUMMYFUNCTION("""COMPUTED_VALUE"""),0.0)</f>
        <v>0</v>
      </c>
      <c r="K5131" s="5">
        <f>IFERROR(__xludf.DUMMYFUNCTION("""COMPUTED_VALUE"""),0.0)</f>
        <v>0</v>
      </c>
      <c r="L5131" s="10">
        <f>IFERROR(__xludf.DUMMYFUNCTION("""COMPUTED_VALUE"""),157.0)</f>
        <v>157</v>
      </c>
      <c r="M5131" s="5">
        <f>IFERROR(__xludf.DUMMYFUNCTION("""COMPUTED_VALUE"""),1.0)</f>
        <v>1</v>
      </c>
    </row>
    <row r="5132">
      <c r="A5132" s="10" t="str">
        <f>IFERROR(__xludf.DUMMYFUNCTION("""COMPUTED_VALUE"""),"neilly")</f>
        <v>neilly</v>
      </c>
      <c r="B5132" s="10">
        <f>IFERROR(__xludf.DUMMYFUNCTION("""COMPUTED_VALUE"""),544.0)</f>
        <v>544</v>
      </c>
      <c r="C5132" s="10">
        <f>IFERROR(__xludf.DUMMYFUNCTION("""COMPUTED_VALUE"""),6417.0)</f>
        <v>6417</v>
      </c>
      <c r="D5132" s="5">
        <f>IFERROR(__xludf.DUMMYFUNCTION("""COMPUTED_VALUE"""),0.3446279584539418)</f>
        <v>0.3446279585</v>
      </c>
      <c r="E5132" s="5">
        <f>IFERROR(__xludf.DUMMYFUNCTION("""COMPUTED_VALUE"""),0.11169759918270049)</f>
        <v>0.1116975992</v>
      </c>
      <c r="F5132" s="5">
        <f>IFERROR(__xludf.DUMMYFUNCTION("""COMPUTED_VALUE"""),0.21147624723310063)</f>
        <v>0.2114762472</v>
      </c>
      <c r="G5132" s="5">
        <f>IFERROR(__xludf.DUMMYFUNCTION("""COMPUTED_VALUE"""),0.13877064532606845)</f>
        <v>0.1387706453</v>
      </c>
      <c r="H5132" s="5">
        <f>IFERROR(__xludf.DUMMYFUNCTION("""COMPUTED_VALUE"""),0.6175523349436393)</f>
        <v>0.6175523349</v>
      </c>
      <c r="I5132" s="11">
        <f>IFERROR(__xludf.DUMMYFUNCTION("""COMPUTED_VALUE"""),5543.639291465379)</f>
        <v>5543.639291</v>
      </c>
      <c r="J5132" s="10">
        <f>IFERROR(__xludf.DUMMYFUNCTION("""COMPUTED_VALUE"""),2.0)</f>
        <v>2</v>
      </c>
      <c r="K5132" s="5">
        <f>IFERROR(__xludf.DUMMYFUNCTION("""COMPUTED_VALUE"""),0.003676470588235294)</f>
        <v>0.003676470588</v>
      </c>
      <c r="L5132" s="10">
        <f>IFERROR(__xludf.DUMMYFUNCTION("""COMPUTED_VALUE"""),0.0)</f>
        <v>0</v>
      </c>
      <c r="M5132" s="5">
        <f>IFERROR(__xludf.DUMMYFUNCTION("""COMPUTED_VALUE"""),0.0)</f>
        <v>0</v>
      </c>
    </row>
    <row r="5133">
      <c r="A5133" s="10" t="str">
        <f>IFERROR(__xludf.DUMMYFUNCTION("""COMPUTED_VALUE"""),"Dude")</f>
        <v>Dude</v>
      </c>
      <c r="B5133" s="10">
        <f>IFERROR(__xludf.DUMMYFUNCTION("""COMPUTED_VALUE"""),830.0)</f>
        <v>830</v>
      </c>
      <c r="C5133" s="10">
        <f>IFERROR(__xludf.DUMMYFUNCTION("""COMPUTED_VALUE"""),9747.0)</f>
        <v>9747</v>
      </c>
      <c r="D5133" s="5">
        <f>IFERROR(__xludf.DUMMYFUNCTION("""COMPUTED_VALUE"""),0.32185712683637996)</f>
        <v>0.3218571268</v>
      </c>
      <c r="E5133" s="5">
        <f>IFERROR(__xludf.DUMMYFUNCTION("""COMPUTED_VALUE"""),0.11169675899966357)</f>
        <v>0.111696759</v>
      </c>
      <c r="F5133" s="5">
        <f>IFERROR(__xludf.DUMMYFUNCTION("""COMPUTED_VALUE"""),0.20130088594818885)</f>
        <v>0.2013008859</v>
      </c>
      <c r="G5133" s="5">
        <f>IFERROR(__xludf.DUMMYFUNCTION("""COMPUTED_VALUE"""),0.1739374229000785)</f>
        <v>0.1739374229</v>
      </c>
      <c r="H5133" s="5">
        <f>IFERROR(__xludf.DUMMYFUNCTION("""COMPUTED_VALUE"""),0.6005571030640668)</f>
        <v>0.6005571031</v>
      </c>
      <c r="I5133" s="11">
        <f>IFERROR(__xludf.DUMMYFUNCTION("""COMPUTED_VALUE"""),5455.6545961002785)</f>
        <v>5455.654596</v>
      </c>
      <c r="J5133" s="10">
        <f>IFERROR(__xludf.DUMMYFUNCTION("""COMPUTED_VALUE"""),1.0)</f>
        <v>1</v>
      </c>
      <c r="K5133" s="5">
        <f>IFERROR(__xludf.DUMMYFUNCTION("""COMPUTED_VALUE"""),0.0012048192771084338)</f>
        <v>0.001204819277</v>
      </c>
      <c r="L5133" s="10">
        <f>IFERROR(__xludf.DUMMYFUNCTION("""COMPUTED_VALUE"""),830.0)</f>
        <v>830</v>
      </c>
      <c r="M5133" s="5">
        <f>IFERROR(__xludf.DUMMYFUNCTION("""COMPUTED_VALUE"""),1.0)</f>
        <v>1</v>
      </c>
    </row>
    <row r="5134">
      <c r="A5134" s="10" t="str">
        <f>IFERROR(__xludf.DUMMYFUNCTION("""COMPUTED_VALUE"""),"Cap")</f>
        <v>Cap</v>
      </c>
      <c r="B5134" s="10">
        <f>IFERROR(__xludf.DUMMYFUNCTION("""COMPUTED_VALUE"""),606.0)</f>
        <v>606</v>
      </c>
      <c r="C5134" s="10">
        <f>IFERROR(__xludf.DUMMYFUNCTION("""COMPUTED_VALUE"""),7241.0)</f>
        <v>7241</v>
      </c>
      <c r="D5134" s="5">
        <f>IFERROR(__xludf.DUMMYFUNCTION("""COMPUTED_VALUE"""),0.31876412961567446)</f>
        <v>0.3187641296</v>
      </c>
      <c r="E5134" s="5">
        <f>IFERROR(__xludf.DUMMYFUNCTION("""COMPUTED_VALUE"""),0.11168048229088169)</f>
        <v>0.1116804823</v>
      </c>
      <c r="F5134" s="5">
        <f>IFERROR(__xludf.DUMMYFUNCTION("""COMPUTED_VALUE"""),0.19216277317256972)</f>
        <v>0.1921627732</v>
      </c>
      <c r="G5134" s="5">
        <f>IFERROR(__xludf.DUMMYFUNCTION("""COMPUTED_VALUE"""),0.16382818387339865)</f>
        <v>0.1638281839</v>
      </c>
      <c r="H5134" s="5">
        <f>IFERROR(__xludf.DUMMYFUNCTION("""COMPUTED_VALUE"""),0.5858823529411765)</f>
        <v>0.5858823529</v>
      </c>
      <c r="I5134" s="11">
        <f>IFERROR(__xludf.DUMMYFUNCTION("""COMPUTED_VALUE"""),6015.137254901961)</f>
        <v>6015.137255</v>
      </c>
      <c r="J5134" s="10">
        <f>IFERROR(__xludf.DUMMYFUNCTION("""COMPUTED_VALUE"""),1.0)</f>
        <v>1</v>
      </c>
      <c r="K5134" s="5">
        <f>IFERROR(__xludf.DUMMYFUNCTION("""COMPUTED_VALUE"""),0.0016501650165016502)</f>
        <v>0.001650165017</v>
      </c>
      <c r="L5134" s="10">
        <f>IFERROR(__xludf.DUMMYFUNCTION("""COMPUTED_VALUE"""),606.0)</f>
        <v>606</v>
      </c>
      <c r="M5134" s="5">
        <f>IFERROR(__xludf.DUMMYFUNCTION("""COMPUTED_VALUE"""),1.0)</f>
        <v>1</v>
      </c>
    </row>
    <row r="5135">
      <c r="A5135" s="10" t="str">
        <f>IFERROR(__xludf.DUMMYFUNCTION("""COMPUTED_VALUE"""),"＊＊荒川憩＊＊")</f>
        <v>＊＊荒川憩＊＊</v>
      </c>
      <c r="B5135" s="10">
        <f>IFERROR(__xludf.DUMMYFUNCTION("""COMPUTED_VALUE"""),1160.0)</f>
        <v>1160</v>
      </c>
      <c r="C5135" s="10">
        <f>IFERROR(__xludf.DUMMYFUNCTION("""COMPUTED_VALUE"""),13584.0)</f>
        <v>13584</v>
      </c>
      <c r="D5135" s="5">
        <f>IFERROR(__xludf.DUMMYFUNCTION("""COMPUTED_VALUE"""),0.3308113329040567)</f>
        <v>0.3308113329</v>
      </c>
      <c r="E5135" s="5">
        <f>IFERROR(__xludf.DUMMYFUNCTION("""COMPUTED_VALUE"""),0.11163876368319382)</f>
        <v>0.1116387637</v>
      </c>
      <c r="F5135" s="5">
        <f>IFERROR(__xludf.DUMMYFUNCTION("""COMPUTED_VALUE"""),0.2125724404378622)</f>
        <v>0.2125724404</v>
      </c>
      <c r="G5135" s="5">
        <f>IFERROR(__xludf.DUMMYFUNCTION("""COMPUTED_VALUE"""),0.20170637475853187)</f>
        <v>0.2017063748</v>
      </c>
      <c r="H5135" s="5">
        <f>IFERROR(__xludf.DUMMYFUNCTION("""COMPUTED_VALUE"""),0.5789473684210527)</f>
        <v>0.5789473684</v>
      </c>
      <c r="I5135" s="11">
        <f>IFERROR(__xludf.DUMMYFUNCTION("""COMPUTED_VALUE"""),5656.1908368042405)</f>
        <v>5656.190837</v>
      </c>
      <c r="J5135" s="10">
        <f>IFERROR(__xludf.DUMMYFUNCTION("""COMPUTED_VALUE"""),1.0)</f>
        <v>1</v>
      </c>
      <c r="K5135" s="5">
        <f>IFERROR(__xludf.DUMMYFUNCTION("""COMPUTED_VALUE"""),8.620689655172414E-4)</f>
        <v>0.0008620689655</v>
      </c>
      <c r="L5135" s="10">
        <f>IFERROR(__xludf.DUMMYFUNCTION("""COMPUTED_VALUE"""),1159.0)</f>
        <v>1159</v>
      </c>
      <c r="M5135" s="5">
        <f>IFERROR(__xludf.DUMMYFUNCTION("""COMPUTED_VALUE"""),0.9991379310344828)</f>
        <v>0.999137931</v>
      </c>
    </row>
    <row r="5136">
      <c r="A5136" s="10" t="str">
        <f>IFERROR(__xludf.DUMMYFUNCTION("""COMPUTED_VALUE"""),"牌廃人")</f>
        <v>牌廃人</v>
      </c>
      <c r="B5136" s="10">
        <f>IFERROR(__xludf.DUMMYFUNCTION("""COMPUTED_VALUE"""),1588.0)</f>
        <v>1588</v>
      </c>
      <c r="C5136" s="10">
        <f>IFERROR(__xludf.DUMMYFUNCTION("""COMPUTED_VALUE"""),18841.0)</f>
        <v>18841</v>
      </c>
      <c r="D5136" s="5">
        <f>IFERROR(__xludf.DUMMYFUNCTION("""COMPUTED_VALUE"""),0.376282385672057)</f>
        <v>0.3762823857</v>
      </c>
      <c r="E5136" s="5">
        <f>IFERROR(__xludf.DUMMYFUNCTION("""COMPUTED_VALUE"""),0.11163275952008346)</f>
        <v>0.1116327595</v>
      </c>
      <c r="F5136" s="5">
        <f>IFERROR(__xludf.DUMMYFUNCTION("""COMPUTED_VALUE"""),0.21028226975018838)</f>
        <v>0.2102822698</v>
      </c>
      <c r="G5136" s="5">
        <f>IFERROR(__xludf.DUMMYFUNCTION("""COMPUTED_VALUE"""),0.16768098301744624)</f>
        <v>0.167680983</v>
      </c>
      <c r="H5136" s="5">
        <f>IFERROR(__xludf.DUMMYFUNCTION("""COMPUTED_VALUE"""),0.5989525909592062)</f>
        <v>0.598952591</v>
      </c>
      <c r="I5136" s="11">
        <f>IFERROR(__xludf.DUMMYFUNCTION("""COMPUTED_VALUE"""),5692.42006615215)</f>
        <v>5692.420066</v>
      </c>
      <c r="J5136" s="10">
        <f>IFERROR(__xludf.DUMMYFUNCTION("""COMPUTED_VALUE"""),6.0)</f>
        <v>6</v>
      </c>
      <c r="K5136" s="5">
        <f>IFERROR(__xludf.DUMMYFUNCTION("""COMPUTED_VALUE"""),0.003778337531486146)</f>
        <v>0.003778337531</v>
      </c>
      <c r="L5136" s="10">
        <f>IFERROR(__xludf.DUMMYFUNCTION("""COMPUTED_VALUE"""),1588.0)</f>
        <v>1588</v>
      </c>
      <c r="M5136" s="5">
        <f>IFERROR(__xludf.DUMMYFUNCTION("""COMPUTED_VALUE"""),1.0)</f>
        <v>1</v>
      </c>
    </row>
    <row r="5137">
      <c r="A5137" s="10" t="str">
        <f>IFERROR(__xludf.DUMMYFUNCTION("""COMPUTED_VALUE"""),"夏樹みくる")</f>
        <v>夏樹みくる</v>
      </c>
      <c r="B5137" s="10">
        <f>IFERROR(__xludf.DUMMYFUNCTION("""COMPUTED_VALUE"""),523.0)</f>
        <v>523</v>
      </c>
      <c r="C5137" s="10">
        <f>IFERROR(__xludf.DUMMYFUNCTION("""COMPUTED_VALUE"""),6077.0)</f>
        <v>6077</v>
      </c>
      <c r="D5137" s="5">
        <f>IFERROR(__xludf.DUMMYFUNCTION("""COMPUTED_VALUE"""),0.33057256031688875)</f>
        <v>0.3305725603</v>
      </c>
      <c r="E5137" s="5">
        <f>IFERROR(__xludf.DUMMYFUNCTION("""COMPUTED_VALUE"""),0.11163125675189053)</f>
        <v>0.1116312568</v>
      </c>
      <c r="F5137" s="5">
        <f>IFERROR(__xludf.DUMMYFUNCTION("""COMPUTED_VALUE"""),0.215880446525027)</f>
        <v>0.2158804465</v>
      </c>
      <c r="G5137" s="5">
        <f>IFERROR(__xludf.DUMMYFUNCTION("""COMPUTED_VALUE"""),0.18797263233705439)</f>
        <v>0.1879726323</v>
      </c>
      <c r="H5137" s="5">
        <f>IFERROR(__xludf.DUMMYFUNCTION("""COMPUTED_VALUE"""),0.5863219349457881)</f>
        <v>0.5863219349</v>
      </c>
      <c r="I5137" s="11">
        <f>IFERROR(__xludf.DUMMYFUNCTION("""COMPUTED_VALUE"""),5853.96163469558)</f>
        <v>5853.961635</v>
      </c>
      <c r="J5137" s="10">
        <f>IFERROR(__xludf.DUMMYFUNCTION("""COMPUTED_VALUE"""),0.0)</f>
        <v>0</v>
      </c>
      <c r="K5137" s="5">
        <f>IFERROR(__xludf.DUMMYFUNCTION("""COMPUTED_VALUE"""),0.0)</f>
        <v>0</v>
      </c>
      <c r="L5137" s="10">
        <f>IFERROR(__xludf.DUMMYFUNCTION("""COMPUTED_VALUE"""),523.0)</f>
        <v>523</v>
      </c>
      <c r="M5137" s="5">
        <f>IFERROR(__xludf.DUMMYFUNCTION("""COMPUTED_VALUE"""),1.0)</f>
        <v>1</v>
      </c>
    </row>
    <row r="5138">
      <c r="A5138" s="10" t="str">
        <f>IFERROR(__xludf.DUMMYFUNCTION("""COMPUTED_VALUE"""),"みたらしぷぅー太")</f>
        <v>みたらしぷぅー太</v>
      </c>
      <c r="B5138" s="10">
        <f>IFERROR(__xludf.DUMMYFUNCTION("""COMPUTED_VALUE"""),354.0)</f>
        <v>354</v>
      </c>
      <c r="C5138" s="10">
        <f>IFERROR(__xludf.DUMMYFUNCTION("""COMPUTED_VALUE"""),4099.0)</f>
        <v>4099</v>
      </c>
      <c r="D5138" s="5">
        <f>IFERROR(__xludf.DUMMYFUNCTION("""COMPUTED_VALUE"""),0.2616822429906542)</f>
        <v>0.261682243</v>
      </c>
      <c r="E5138" s="5">
        <f>IFERROR(__xludf.DUMMYFUNCTION("""COMPUTED_VALUE"""),0.1116154873164219)</f>
        <v>0.1116154873</v>
      </c>
      <c r="F5138" s="5">
        <f>IFERROR(__xludf.DUMMYFUNCTION("""COMPUTED_VALUE"""),0.18718291054739652)</f>
        <v>0.1871829105</v>
      </c>
      <c r="G5138" s="5">
        <f>IFERROR(__xludf.DUMMYFUNCTION("""COMPUTED_VALUE"""),0.193324432576769)</f>
        <v>0.1933244326</v>
      </c>
      <c r="H5138" s="5">
        <f>IFERROR(__xludf.DUMMYFUNCTION("""COMPUTED_VALUE"""),0.5620542082738944)</f>
        <v>0.5620542083</v>
      </c>
      <c r="I5138" s="11">
        <f>IFERROR(__xludf.DUMMYFUNCTION("""COMPUTED_VALUE"""),6337.945791726105)</f>
        <v>6337.945792</v>
      </c>
      <c r="J5138" s="10">
        <f>IFERROR(__xludf.DUMMYFUNCTION("""COMPUTED_VALUE"""),2.0)</f>
        <v>2</v>
      </c>
      <c r="K5138" s="5">
        <f>IFERROR(__xludf.DUMMYFUNCTION("""COMPUTED_VALUE"""),0.005649717514124294)</f>
        <v>0.005649717514</v>
      </c>
      <c r="L5138" s="10">
        <f>IFERROR(__xludf.DUMMYFUNCTION("""COMPUTED_VALUE"""),354.0)</f>
        <v>354</v>
      </c>
      <c r="M5138" s="5">
        <f>IFERROR(__xludf.DUMMYFUNCTION("""COMPUTED_VALUE"""),1.0)</f>
        <v>1</v>
      </c>
    </row>
    <row r="5139">
      <c r="A5139" s="10" t="str">
        <f>IFERROR(__xludf.DUMMYFUNCTION("""COMPUTED_VALUE"""),"futarou")</f>
        <v>futarou</v>
      </c>
      <c r="B5139" s="10">
        <f>IFERROR(__xludf.DUMMYFUNCTION("""COMPUTED_VALUE"""),436.0)</f>
        <v>436</v>
      </c>
      <c r="C5139" s="10">
        <f>IFERROR(__xludf.DUMMYFUNCTION("""COMPUTED_VALUE"""),5149.0)</f>
        <v>5149</v>
      </c>
      <c r="D5139" s="5">
        <f>IFERROR(__xludf.DUMMYFUNCTION("""COMPUTED_VALUE"""),0.2936558455336304)</f>
        <v>0.2936558455</v>
      </c>
      <c r="E5139" s="5">
        <f>IFERROR(__xludf.DUMMYFUNCTION("""COMPUTED_VALUE"""),0.11160619562911096)</f>
        <v>0.1116061956</v>
      </c>
      <c r="F5139" s="5">
        <f>IFERROR(__xludf.DUMMYFUNCTION("""COMPUTED_VALUE"""),0.21239125822193933)</f>
        <v>0.2123912582</v>
      </c>
      <c r="G5139" s="5">
        <f>IFERROR(__xludf.DUMMYFUNCTION("""COMPUTED_VALUE"""),0.14449395289624442)</f>
        <v>0.1444939529</v>
      </c>
      <c r="H5139" s="5">
        <f>IFERROR(__xludf.DUMMYFUNCTION("""COMPUTED_VALUE"""),0.5894105894105894)</f>
        <v>0.5894105894</v>
      </c>
      <c r="I5139" s="11">
        <f>IFERROR(__xludf.DUMMYFUNCTION("""COMPUTED_VALUE"""),5506.793206793207)</f>
        <v>5506.793207</v>
      </c>
      <c r="J5139" s="10">
        <f>IFERROR(__xludf.DUMMYFUNCTION("""COMPUTED_VALUE"""),1.0)</f>
        <v>1</v>
      </c>
      <c r="K5139" s="5">
        <f>IFERROR(__xludf.DUMMYFUNCTION("""COMPUTED_VALUE"""),0.0022935779816513763)</f>
        <v>0.002293577982</v>
      </c>
      <c r="L5139" s="10">
        <f>IFERROR(__xludf.DUMMYFUNCTION("""COMPUTED_VALUE"""),436.0)</f>
        <v>436</v>
      </c>
      <c r="M5139" s="5">
        <f>IFERROR(__xludf.DUMMYFUNCTION("""COMPUTED_VALUE"""),1.0)</f>
        <v>1</v>
      </c>
    </row>
    <row r="5140">
      <c r="A5140" s="10" t="str">
        <f>IFERROR(__xludf.DUMMYFUNCTION("""COMPUTED_VALUE"""),"ゆいちゃんのパパ")</f>
        <v>ゆいちゃんのパパ</v>
      </c>
      <c r="B5140" s="10">
        <f>IFERROR(__xludf.DUMMYFUNCTION("""COMPUTED_VALUE"""),4530.0)</f>
        <v>4530</v>
      </c>
      <c r="C5140" s="10">
        <f>IFERROR(__xludf.DUMMYFUNCTION("""COMPUTED_VALUE"""),53189.0)</f>
        <v>53189</v>
      </c>
      <c r="D5140" s="5">
        <f>IFERROR(__xludf.DUMMYFUNCTION("""COMPUTED_VALUE"""),0.33923837316837585)</f>
        <v>0.3392383732</v>
      </c>
      <c r="E5140" s="5">
        <f>IFERROR(__xludf.DUMMYFUNCTION("""COMPUTED_VALUE"""),0.11159292217267104)</f>
        <v>0.1115929222</v>
      </c>
      <c r="F5140" s="5">
        <f>IFERROR(__xludf.DUMMYFUNCTION("""COMPUTED_VALUE"""),0.2087794652582256)</f>
        <v>0.2087794653</v>
      </c>
      <c r="G5140" s="5">
        <f>IFERROR(__xludf.DUMMYFUNCTION("""COMPUTED_VALUE"""),0.16960891099282763)</f>
        <v>0.169608911</v>
      </c>
      <c r="H5140" s="5">
        <f>IFERROR(__xludf.DUMMYFUNCTION("""COMPUTED_VALUE"""),0.6046855005413919)</f>
        <v>0.6046855005</v>
      </c>
      <c r="I5140" s="11">
        <f>IFERROR(__xludf.DUMMYFUNCTION("""COMPUTED_VALUE"""),5662.122256127572)</f>
        <v>5662.122256</v>
      </c>
      <c r="J5140" s="10">
        <f>IFERROR(__xludf.DUMMYFUNCTION("""COMPUTED_VALUE"""),7.0)</f>
        <v>7</v>
      </c>
      <c r="K5140" s="5">
        <f>IFERROR(__xludf.DUMMYFUNCTION("""COMPUTED_VALUE"""),0.0015452538631346578)</f>
        <v>0.001545253863</v>
      </c>
      <c r="L5140" s="10">
        <f>IFERROR(__xludf.DUMMYFUNCTION("""COMPUTED_VALUE"""),4530.0)</f>
        <v>4530</v>
      </c>
      <c r="M5140" s="5">
        <f>IFERROR(__xludf.DUMMYFUNCTION("""COMPUTED_VALUE"""),1.0)</f>
        <v>1</v>
      </c>
    </row>
    <row r="5141">
      <c r="A5141" s="10" t="str">
        <f>IFERROR(__xludf.DUMMYFUNCTION("""COMPUTED_VALUE"""),"宮永‐照")</f>
        <v>宮永‐照</v>
      </c>
      <c r="B5141" s="10">
        <f>IFERROR(__xludf.DUMMYFUNCTION("""COMPUTED_VALUE"""),358.0)</f>
        <v>358</v>
      </c>
      <c r="C5141" s="10">
        <f>IFERROR(__xludf.DUMMYFUNCTION("""COMPUTED_VALUE"""),4283.0)</f>
        <v>4283</v>
      </c>
      <c r="D5141" s="5">
        <f>IFERROR(__xludf.DUMMYFUNCTION("""COMPUTED_VALUE"""),0.3610191082802548)</f>
        <v>0.3610191083</v>
      </c>
      <c r="E5141" s="5">
        <f>IFERROR(__xludf.DUMMYFUNCTION("""COMPUTED_VALUE"""),0.11159235668789809)</f>
        <v>0.1115923567</v>
      </c>
      <c r="F5141" s="5">
        <f>IFERROR(__xludf.DUMMYFUNCTION("""COMPUTED_VALUE"""),0.21019108280254778)</f>
        <v>0.2101910828</v>
      </c>
      <c r="G5141" s="5">
        <f>IFERROR(__xludf.DUMMYFUNCTION("""COMPUTED_VALUE"""),0.16840764331210192)</f>
        <v>0.1684076433</v>
      </c>
      <c r="H5141" s="5">
        <f>IFERROR(__xludf.DUMMYFUNCTION("""COMPUTED_VALUE"""),0.6472727272727272)</f>
        <v>0.6472727273</v>
      </c>
      <c r="I5141" s="11">
        <f>IFERROR(__xludf.DUMMYFUNCTION("""COMPUTED_VALUE"""),5530.545454545455)</f>
        <v>5530.545455</v>
      </c>
      <c r="J5141" s="10">
        <f>IFERROR(__xludf.DUMMYFUNCTION("""COMPUTED_VALUE"""),0.0)</f>
        <v>0</v>
      </c>
      <c r="K5141" s="5">
        <f>IFERROR(__xludf.DUMMYFUNCTION("""COMPUTED_VALUE"""),0.0)</f>
        <v>0</v>
      </c>
      <c r="L5141" s="10">
        <f>IFERROR(__xludf.DUMMYFUNCTION("""COMPUTED_VALUE"""),177.0)</f>
        <v>177</v>
      </c>
      <c r="M5141" s="5">
        <f>IFERROR(__xludf.DUMMYFUNCTION("""COMPUTED_VALUE"""),0.49441340782122906)</f>
        <v>0.4944134078</v>
      </c>
    </row>
    <row r="5142">
      <c r="A5142" s="10" t="str">
        <f>IFERROR(__xludf.DUMMYFUNCTION("""COMPUTED_VALUE"""),"shibutan")</f>
        <v>shibutan</v>
      </c>
      <c r="B5142" s="10">
        <f>IFERROR(__xludf.DUMMYFUNCTION("""COMPUTED_VALUE"""),1216.0)</f>
        <v>1216</v>
      </c>
      <c r="C5142" s="10">
        <f>IFERROR(__xludf.DUMMYFUNCTION("""COMPUTED_VALUE"""),14088.0)</f>
        <v>14088</v>
      </c>
      <c r="D5142" s="5">
        <f>IFERROR(__xludf.DUMMYFUNCTION("""COMPUTED_VALUE"""),0.33165009322560596)</f>
        <v>0.3316500932</v>
      </c>
      <c r="E5142" s="5">
        <f>IFERROR(__xludf.DUMMYFUNCTION("""COMPUTED_VALUE"""),0.11155997513983841)</f>
        <v>0.1115599751</v>
      </c>
      <c r="F5142" s="5">
        <f>IFERROR(__xludf.DUMMYFUNCTION("""COMPUTED_VALUE"""),0.21061218147917962)</f>
        <v>0.2106121815</v>
      </c>
      <c r="G5142" s="5">
        <f>IFERROR(__xludf.DUMMYFUNCTION("""COMPUTED_VALUE"""),0.1639216904909882)</f>
        <v>0.1639216905</v>
      </c>
      <c r="H5142" s="5">
        <f>IFERROR(__xludf.DUMMYFUNCTION("""COMPUTED_VALUE"""),0.6023607524898561)</f>
        <v>0.6023607525</v>
      </c>
      <c r="I5142" s="11">
        <f>IFERROR(__xludf.DUMMYFUNCTION("""COMPUTED_VALUE"""),5467.170785687938)</f>
        <v>5467.170786</v>
      </c>
      <c r="J5142" s="10">
        <f>IFERROR(__xludf.DUMMYFUNCTION("""COMPUTED_VALUE"""),1.0)</f>
        <v>1</v>
      </c>
      <c r="K5142" s="5">
        <f>IFERROR(__xludf.DUMMYFUNCTION("""COMPUTED_VALUE"""),8.223684210526315E-4)</f>
        <v>0.0008223684211</v>
      </c>
      <c r="L5142" s="10">
        <f>IFERROR(__xludf.DUMMYFUNCTION("""COMPUTED_VALUE"""),1216.0)</f>
        <v>1216</v>
      </c>
      <c r="M5142" s="5">
        <f>IFERROR(__xludf.DUMMYFUNCTION("""COMPUTED_VALUE"""),1.0)</f>
        <v>1</v>
      </c>
    </row>
    <row r="5143">
      <c r="A5143" s="10" t="str">
        <f>IFERROR(__xludf.DUMMYFUNCTION("""COMPUTED_VALUE"""),"◆Pico")</f>
        <v>◆Pico</v>
      </c>
      <c r="B5143" s="10">
        <f>IFERROR(__xludf.DUMMYFUNCTION("""COMPUTED_VALUE"""),333.0)</f>
        <v>333</v>
      </c>
      <c r="C5143" s="10">
        <f>IFERROR(__xludf.DUMMYFUNCTION("""COMPUTED_VALUE"""),3856.0)</f>
        <v>3856</v>
      </c>
      <c r="D5143" s="5">
        <f>IFERROR(__xludf.DUMMYFUNCTION("""COMPUTED_VALUE"""),0.3599205222821459)</f>
        <v>0.3599205223</v>
      </c>
      <c r="E5143" s="5">
        <f>IFERROR(__xludf.DUMMYFUNCTION("""COMPUTED_VALUE"""),0.11155265398807834)</f>
        <v>0.111552654</v>
      </c>
      <c r="F5143" s="5">
        <f>IFERROR(__xludf.DUMMYFUNCTION("""COMPUTED_VALUE"""),0.20351972750496736)</f>
        <v>0.2035197275</v>
      </c>
      <c r="G5143" s="5">
        <f>IFERROR(__xludf.DUMMYFUNCTION("""COMPUTED_VALUE"""),0.1657678115242691)</f>
        <v>0.1657678115</v>
      </c>
      <c r="H5143" s="5">
        <f>IFERROR(__xludf.DUMMYFUNCTION("""COMPUTED_VALUE"""),0.5983263598326359)</f>
        <v>0.5983263598</v>
      </c>
      <c r="I5143" s="11">
        <f>IFERROR(__xludf.DUMMYFUNCTION("""COMPUTED_VALUE"""),5738.0753138075315)</f>
        <v>5738.075314</v>
      </c>
      <c r="J5143" s="10">
        <f>IFERROR(__xludf.DUMMYFUNCTION("""COMPUTED_VALUE"""),0.0)</f>
        <v>0</v>
      </c>
      <c r="K5143" s="5">
        <f>IFERROR(__xludf.DUMMYFUNCTION("""COMPUTED_VALUE"""),0.0)</f>
        <v>0</v>
      </c>
      <c r="L5143" s="10">
        <f>IFERROR(__xludf.DUMMYFUNCTION("""COMPUTED_VALUE"""),329.0)</f>
        <v>329</v>
      </c>
      <c r="M5143" s="5">
        <f>IFERROR(__xludf.DUMMYFUNCTION("""COMPUTED_VALUE"""),0.987987987987988)</f>
        <v>0.987987988</v>
      </c>
    </row>
    <row r="5144">
      <c r="A5144" s="10" t="str">
        <f>IFERROR(__xludf.DUMMYFUNCTION("""COMPUTED_VALUE"""),"わっこー・Ａ・ノ")</f>
        <v>わっこー・Ａ・ノ</v>
      </c>
      <c r="B5144" s="10">
        <f>IFERROR(__xludf.DUMMYFUNCTION("""COMPUTED_VALUE"""),471.0)</f>
        <v>471</v>
      </c>
      <c r="C5144" s="10">
        <f>IFERROR(__xludf.DUMMYFUNCTION("""COMPUTED_VALUE"""),5509.0)</f>
        <v>5509</v>
      </c>
      <c r="D5144" s="5">
        <f>IFERROR(__xludf.DUMMYFUNCTION("""COMPUTED_VALUE"""),0.38487495037713376)</f>
        <v>0.3848749504</v>
      </c>
      <c r="E5144" s="5">
        <f>IFERROR(__xludf.DUMMYFUNCTION("""COMPUTED_VALUE"""),0.11155220325526002)</f>
        <v>0.1115522033</v>
      </c>
      <c r="F5144" s="5">
        <f>IFERROR(__xludf.DUMMYFUNCTION("""COMPUTED_VALUE"""),0.22489082969432314)</f>
        <v>0.2248908297</v>
      </c>
      <c r="G5144" s="5">
        <f>IFERROR(__xludf.DUMMYFUNCTION("""COMPUTED_VALUE"""),0.1500595474394601)</f>
        <v>0.1500595474</v>
      </c>
      <c r="H5144" s="5">
        <f>IFERROR(__xludf.DUMMYFUNCTION("""COMPUTED_VALUE"""),0.6081200353045013)</f>
        <v>0.6081200353</v>
      </c>
      <c r="I5144" s="11">
        <f>IFERROR(__xludf.DUMMYFUNCTION("""COMPUTED_VALUE"""),5351.103265666373)</f>
        <v>5351.103266</v>
      </c>
      <c r="J5144" s="10">
        <f>IFERROR(__xludf.DUMMYFUNCTION("""COMPUTED_VALUE"""),1.0)</f>
        <v>1</v>
      </c>
      <c r="K5144" s="5">
        <f>IFERROR(__xludf.DUMMYFUNCTION("""COMPUTED_VALUE"""),0.0021231422505307855)</f>
        <v>0.002123142251</v>
      </c>
      <c r="L5144" s="10">
        <f>IFERROR(__xludf.DUMMYFUNCTION("""COMPUTED_VALUE"""),471.0)</f>
        <v>471</v>
      </c>
      <c r="M5144" s="5">
        <f>IFERROR(__xludf.DUMMYFUNCTION("""COMPUTED_VALUE"""),1.0)</f>
        <v>1</v>
      </c>
    </row>
    <row r="5145">
      <c r="A5145" s="10" t="str">
        <f>IFERROR(__xludf.DUMMYFUNCTION("""COMPUTED_VALUE"""),"らん斗")</f>
        <v>らん斗</v>
      </c>
      <c r="B5145" s="10">
        <f>IFERROR(__xludf.DUMMYFUNCTION("""COMPUTED_VALUE"""),1160.0)</f>
        <v>1160</v>
      </c>
      <c r="C5145" s="10">
        <f>IFERROR(__xludf.DUMMYFUNCTION("""COMPUTED_VALUE"""),13607.0)</f>
        <v>13607</v>
      </c>
      <c r="D5145" s="5">
        <f>IFERROR(__xludf.DUMMYFUNCTION("""COMPUTED_VALUE"""),0.31541736964730455)</f>
        <v>0.3154173696</v>
      </c>
      <c r="E5145" s="5">
        <f>IFERROR(__xludf.DUMMYFUNCTION("""COMPUTED_VALUE"""),0.11151281433277095)</f>
        <v>0.1115128143</v>
      </c>
      <c r="F5145" s="5">
        <f>IFERROR(__xludf.DUMMYFUNCTION("""COMPUTED_VALUE"""),0.2047079617578533)</f>
        <v>0.2047079618</v>
      </c>
      <c r="G5145" s="5">
        <f>IFERROR(__xludf.DUMMYFUNCTION("""COMPUTED_VALUE"""),0.14123885273559894)</f>
        <v>0.1412388527</v>
      </c>
      <c r="H5145" s="5">
        <f>IFERROR(__xludf.DUMMYFUNCTION("""COMPUTED_VALUE"""),0.6004709576138147)</f>
        <v>0.6004709576</v>
      </c>
      <c r="I5145" s="11">
        <f>IFERROR(__xludf.DUMMYFUNCTION("""COMPUTED_VALUE"""),5824.05808477237)</f>
        <v>5824.058085</v>
      </c>
      <c r="J5145" s="10">
        <f>IFERROR(__xludf.DUMMYFUNCTION("""COMPUTED_VALUE"""),1.0)</f>
        <v>1</v>
      </c>
      <c r="K5145" s="5">
        <f>IFERROR(__xludf.DUMMYFUNCTION("""COMPUTED_VALUE"""),8.620689655172414E-4)</f>
        <v>0.0008620689655</v>
      </c>
      <c r="L5145" s="10">
        <f>IFERROR(__xludf.DUMMYFUNCTION("""COMPUTED_VALUE"""),1160.0)</f>
        <v>1160</v>
      </c>
      <c r="M5145" s="5">
        <f>IFERROR(__xludf.DUMMYFUNCTION("""COMPUTED_VALUE"""),1.0)</f>
        <v>1</v>
      </c>
    </row>
    <row r="5146">
      <c r="A5146" s="10" t="str">
        <f>IFERROR(__xludf.DUMMYFUNCTION("""COMPUTED_VALUE"""),"霍青娥")</f>
        <v>霍青娥</v>
      </c>
      <c r="B5146" s="10">
        <f>IFERROR(__xludf.DUMMYFUNCTION("""COMPUTED_VALUE"""),323.0)</f>
        <v>323</v>
      </c>
      <c r="C5146" s="10">
        <f>IFERROR(__xludf.DUMMYFUNCTION("""COMPUTED_VALUE"""),3821.0)</f>
        <v>3821</v>
      </c>
      <c r="D5146" s="5">
        <f>IFERROR(__xludf.DUMMYFUNCTION("""COMPUTED_VALUE"""),0.3230417381360778)</f>
        <v>0.3230417381</v>
      </c>
      <c r="E5146" s="5">
        <f>IFERROR(__xludf.DUMMYFUNCTION("""COMPUTED_VALUE"""),0.11149228130360206)</f>
        <v>0.1114922813</v>
      </c>
      <c r="F5146" s="5">
        <f>IFERROR(__xludf.DUMMYFUNCTION("""COMPUTED_VALUE"""),0.19639794168096056)</f>
        <v>0.1963979417</v>
      </c>
      <c r="G5146" s="5">
        <f>IFERROR(__xludf.DUMMYFUNCTION("""COMPUTED_VALUE"""),0.15465980560320183)</f>
        <v>0.1546598056</v>
      </c>
      <c r="H5146" s="5">
        <f>IFERROR(__xludf.DUMMYFUNCTION("""COMPUTED_VALUE"""),0.5982532751091703)</f>
        <v>0.5982532751</v>
      </c>
      <c r="I5146" s="11">
        <f>IFERROR(__xludf.DUMMYFUNCTION("""COMPUTED_VALUE"""),5450.80058224163)</f>
        <v>5450.800582</v>
      </c>
      <c r="J5146" s="10">
        <f>IFERROR(__xludf.DUMMYFUNCTION("""COMPUTED_VALUE"""),0.0)</f>
        <v>0</v>
      </c>
      <c r="K5146" s="5">
        <f>IFERROR(__xludf.DUMMYFUNCTION("""COMPUTED_VALUE"""),0.0)</f>
        <v>0</v>
      </c>
      <c r="L5146" s="10">
        <f>IFERROR(__xludf.DUMMYFUNCTION("""COMPUTED_VALUE"""),0.0)</f>
        <v>0</v>
      </c>
      <c r="M5146" s="5">
        <f>IFERROR(__xludf.DUMMYFUNCTION("""COMPUTED_VALUE"""),0.0)</f>
        <v>0</v>
      </c>
    </row>
    <row r="5147">
      <c r="A5147" s="10" t="str">
        <f>IFERROR(__xludf.DUMMYFUNCTION("""COMPUTED_VALUE"""),"ぴーおか")</f>
        <v>ぴーおか</v>
      </c>
      <c r="B5147" s="10">
        <f>IFERROR(__xludf.DUMMYFUNCTION("""COMPUTED_VALUE"""),5001.0)</f>
        <v>5001</v>
      </c>
      <c r="C5147" s="10">
        <f>IFERROR(__xludf.DUMMYFUNCTION("""COMPUTED_VALUE"""),59230.0)</f>
        <v>59230</v>
      </c>
      <c r="D5147" s="5">
        <f>IFERROR(__xludf.DUMMYFUNCTION("""COMPUTED_VALUE"""),0.3081008316583378)</f>
        <v>0.3081008317</v>
      </c>
      <c r="E5147" s="5">
        <f>IFERROR(__xludf.DUMMYFUNCTION("""COMPUTED_VALUE"""),0.11147172177248335)</f>
        <v>0.1114717218</v>
      </c>
      <c r="F5147" s="5">
        <f>IFERROR(__xludf.DUMMYFUNCTION("""COMPUTED_VALUE"""),0.20682660569068212)</f>
        <v>0.2068266057</v>
      </c>
      <c r="G5147" s="5">
        <f>IFERROR(__xludf.DUMMYFUNCTION("""COMPUTED_VALUE"""),0.16146342362942337)</f>
        <v>0.1614634236</v>
      </c>
      <c r="H5147" s="5">
        <f>IFERROR(__xludf.DUMMYFUNCTION("""COMPUTED_VALUE"""),0.5978067047075606)</f>
        <v>0.5978067047</v>
      </c>
      <c r="I5147" s="11">
        <f>IFERROR(__xludf.DUMMYFUNCTION("""COMPUTED_VALUE"""),5468.009985734665)</f>
        <v>5468.009986</v>
      </c>
      <c r="J5147" s="10">
        <f>IFERROR(__xludf.DUMMYFUNCTION("""COMPUTED_VALUE"""),9.0)</f>
        <v>9</v>
      </c>
      <c r="K5147" s="5">
        <f>IFERROR(__xludf.DUMMYFUNCTION("""COMPUTED_VALUE"""),0.001799640071985603)</f>
        <v>0.001799640072</v>
      </c>
      <c r="L5147" s="10">
        <f>IFERROR(__xludf.DUMMYFUNCTION("""COMPUTED_VALUE"""),5001.0)</f>
        <v>5001</v>
      </c>
      <c r="M5147" s="5">
        <f>IFERROR(__xludf.DUMMYFUNCTION("""COMPUTED_VALUE"""),1.0)</f>
        <v>1</v>
      </c>
    </row>
    <row r="5148">
      <c r="A5148" s="10" t="str">
        <f>IFERROR(__xludf.DUMMYFUNCTION("""COMPUTED_VALUE"""),"紅顔の美少年")</f>
        <v>紅顔の美少年</v>
      </c>
      <c r="B5148" s="10">
        <f>IFERROR(__xludf.DUMMYFUNCTION("""COMPUTED_VALUE"""),115.0)</f>
        <v>115</v>
      </c>
      <c r="C5148" s="10">
        <f>IFERROR(__xludf.DUMMYFUNCTION("""COMPUTED_VALUE"""),1362.0)</f>
        <v>1362</v>
      </c>
      <c r="D5148" s="5">
        <f>IFERROR(__xludf.DUMMYFUNCTION("""COMPUTED_VALUE"""),0.3279871692060946)</f>
        <v>0.3279871692</v>
      </c>
      <c r="E5148" s="5">
        <f>IFERROR(__xludf.DUMMYFUNCTION("""COMPUTED_VALUE"""),0.11146752205292702)</f>
        <v>0.1114675221</v>
      </c>
      <c r="F5148" s="5">
        <f>IFERROR(__xludf.DUMMYFUNCTION("""COMPUTED_VALUE"""),0.18283881315156375)</f>
        <v>0.1828388132</v>
      </c>
      <c r="G5148" s="5">
        <f>IFERROR(__xludf.DUMMYFUNCTION("""COMPUTED_VALUE"""),0.16599839615076184)</f>
        <v>0.1659983962</v>
      </c>
      <c r="H5148" s="5">
        <f>IFERROR(__xludf.DUMMYFUNCTION("""COMPUTED_VALUE"""),0.5526315789473685)</f>
        <v>0.5526315789</v>
      </c>
      <c r="I5148" s="11">
        <f>IFERROR(__xludf.DUMMYFUNCTION("""COMPUTED_VALUE"""),5845.175438596491)</f>
        <v>5845.175439</v>
      </c>
      <c r="J5148" s="10">
        <f>IFERROR(__xludf.DUMMYFUNCTION("""COMPUTED_VALUE"""),0.0)</f>
        <v>0</v>
      </c>
      <c r="K5148" s="5">
        <f>IFERROR(__xludf.DUMMYFUNCTION("""COMPUTED_VALUE"""),0.0)</f>
        <v>0</v>
      </c>
      <c r="L5148" s="10">
        <f>IFERROR(__xludf.DUMMYFUNCTION("""COMPUTED_VALUE"""),115.0)</f>
        <v>115</v>
      </c>
      <c r="M5148" s="5">
        <f>IFERROR(__xludf.DUMMYFUNCTION("""COMPUTED_VALUE"""),1.0)</f>
        <v>1</v>
      </c>
    </row>
    <row r="5149">
      <c r="A5149" s="10" t="str">
        <f>IFERROR(__xludf.DUMMYFUNCTION("""COMPUTED_VALUE"""),"羽月莉音")</f>
        <v>羽月莉音</v>
      </c>
      <c r="B5149" s="10">
        <f>IFERROR(__xludf.DUMMYFUNCTION("""COMPUTED_VALUE"""),1296.0)</f>
        <v>1296</v>
      </c>
      <c r="C5149" s="10">
        <f>IFERROR(__xludf.DUMMYFUNCTION("""COMPUTED_VALUE"""),15121.0)</f>
        <v>15121</v>
      </c>
      <c r="D5149" s="5">
        <f>IFERROR(__xludf.DUMMYFUNCTION("""COMPUTED_VALUE"""),0.3643399638336347)</f>
        <v>0.3643399638</v>
      </c>
      <c r="E5149" s="5">
        <f>IFERROR(__xludf.DUMMYFUNCTION("""COMPUTED_VALUE"""),0.11146473779385171)</f>
        <v>0.1114647378</v>
      </c>
      <c r="F5149" s="5">
        <f>IFERROR(__xludf.DUMMYFUNCTION("""COMPUTED_VALUE"""),0.20831826401446654)</f>
        <v>0.208318264</v>
      </c>
      <c r="G5149" s="5">
        <f>IFERROR(__xludf.DUMMYFUNCTION("""COMPUTED_VALUE"""),0.14849909584086798)</f>
        <v>0.1484990958</v>
      </c>
      <c r="H5149" s="5">
        <f>IFERROR(__xludf.DUMMYFUNCTION("""COMPUTED_VALUE"""),0.5864583333333333)</f>
        <v>0.5864583333</v>
      </c>
      <c r="I5149" s="11">
        <f>IFERROR(__xludf.DUMMYFUNCTION("""COMPUTED_VALUE"""),5523.4375)</f>
        <v>5523.4375</v>
      </c>
      <c r="J5149" s="10">
        <f>IFERROR(__xludf.DUMMYFUNCTION("""COMPUTED_VALUE"""),1.0)</f>
        <v>1</v>
      </c>
      <c r="K5149" s="5">
        <f>IFERROR(__xludf.DUMMYFUNCTION("""COMPUTED_VALUE"""),7.716049382716049E-4)</f>
        <v>0.0007716049383</v>
      </c>
      <c r="L5149" s="10">
        <f>IFERROR(__xludf.DUMMYFUNCTION("""COMPUTED_VALUE"""),853.0)</f>
        <v>853</v>
      </c>
      <c r="M5149" s="5">
        <f>IFERROR(__xludf.DUMMYFUNCTION("""COMPUTED_VALUE"""),0.658179012345679)</f>
        <v>0.6581790123</v>
      </c>
    </row>
    <row r="5150">
      <c r="A5150" s="10" t="str">
        <f>IFERROR(__xludf.DUMMYFUNCTION("""COMPUTED_VALUE"""),"ふぁに～にょ")</f>
        <v>ふぁに～にょ</v>
      </c>
      <c r="B5150" s="10">
        <f>IFERROR(__xludf.DUMMYFUNCTION("""COMPUTED_VALUE"""),177.0)</f>
        <v>177</v>
      </c>
      <c r="C5150" s="10">
        <f>IFERROR(__xludf.DUMMYFUNCTION("""COMPUTED_VALUE"""),2070.0)</f>
        <v>2070</v>
      </c>
      <c r="D5150" s="5">
        <f>IFERROR(__xludf.DUMMYFUNCTION("""COMPUTED_VALUE"""),0.3676703645007924)</f>
        <v>0.3676703645</v>
      </c>
      <c r="E5150" s="5">
        <f>IFERROR(__xludf.DUMMYFUNCTION("""COMPUTED_VALUE"""),0.11146328578975172)</f>
        <v>0.1114632858</v>
      </c>
      <c r="F5150" s="5">
        <f>IFERROR(__xludf.DUMMYFUNCTION("""COMPUTED_VALUE"""),0.1970417326994189)</f>
        <v>0.1970417327</v>
      </c>
      <c r="G5150" s="5">
        <f>IFERROR(__xludf.DUMMYFUNCTION("""COMPUTED_VALUE"""),0.1722134178552562)</f>
        <v>0.1722134179</v>
      </c>
      <c r="H5150" s="5">
        <f>IFERROR(__xludf.DUMMYFUNCTION("""COMPUTED_VALUE"""),0.5898123324396782)</f>
        <v>0.5898123324</v>
      </c>
      <c r="I5150" s="11">
        <f>IFERROR(__xludf.DUMMYFUNCTION("""COMPUTED_VALUE"""),5489.812332439678)</f>
        <v>5489.812332</v>
      </c>
      <c r="J5150" s="10">
        <f>IFERROR(__xludf.DUMMYFUNCTION("""COMPUTED_VALUE"""),1.0)</f>
        <v>1</v>
      </c>
      <c r="K5150" s="5">
        <f>IFERROR(__xludf.DUMMYFUNCTION("""COMPUTED_VALUE"""),0.005649717514124294)</f>
        <v>0.005649717514</v>
      </c>
      <c r="L5150" s="10">
        <f>IFERROR(__xludf.DUMMYFUNCTION("""COMPUTED_VALUE"""),177.0)</f>
        <v>177</v>
      </c>
      <c r="M5150" s="5">
        <f>IFERROR(__xludf.DUMMYFUNCTION("""COMPUTED_VALUE"""),1.0)</f>
        <v>1</v>
      </c>
    </row>
    <row r="5151">
      <c r="A5151" s="10" t="str">
        <f>IFERROR(__xludf.DUMMYFUNCTION("""COMPUTED_VALUE"""),"鞘師里保")</f>
        <v>鞘師里保</v>
      </c>
      <c r="B5151" s="10">
        <f>IFERROR(__xludf.DUMMYFUNCTION("""COMPUTED_VALUE"""),102.0)</f>
        <v>102</v>
      </c>
      <c r="C5151" s="10">
        <f>IFERROR(__xludf.DUMMYFUNCTION("""COMPUTED_VALUE"""),1170.0)</f>
        <v>1170</v>
      </c>
      <c r="D5151" s="5">
        <f>IFERROR(__xludf.DUMMYFUNCTION("""COMPUTED_VALUE"""),0.36329588014981273)</f>
        <v>0.3632958801</v>
      </c>
      <c r="E5151" s="5">
        <f>IFERROR(__xludf.DUMMYFUNCTION("""COMPUTED_VALUE"""),0.11142322097378277)</f>
        <v>0.111423221</v>
      </c>
      <c r="F5151" s="5">
        <f>IFERROR(__xludf.DUMMYFUNCTION("""COMPUTED_VALUE"""),0.23127340823970038)</f>
        <v>0.2312734082</v>
      </c>
      <c r="G5151" s="5">
        <f>IFERROR(__xludf.DUMMYFUNCTION("""COMPUTED_VALUE"""),0.19288389513108614)</f>
        <v>0.1928838951</v>
      </c>
      <c r="H5151" s="5">
        <f>IFERROR(__xludf.DUMMYFUNCTION("""COMPUTED_VALUE"""),0.5870445344129555)</f>
        <v>0.5870445344</v>
      </c>
      <c r="I5151" s="11">
        <f>IFERROR(__xludf.DUMMYFUNCTION("""COMPUTED_VALUE"""),5682.186234817814)</f>
        <v>5682.186235</v>
      </c>
      <c r="J5151" s="10">
        <f>IFERROR(__xludf.DUMMYFUNCTION("""COMPUTED_VALUE"""),0.0)</f>
        <v>0</v>
      </c>
      <c r="K5151" s="5">
        <f>IFERROR(__xludf.DUMMYFUNCTION("""COMPUTED_VALUE"""),0.0)</f>
        <v>0</v>
      </c>
      <c r="L5151" s="10">
        <f>IFERROR(__xludf.DUMMYFUNCTION("""COMPUTED_VALUE"""),19.0)</f>
        <v>19</v>
      </c>
      <c r="M5151" s="5">
        <f>IFERROR(__xludf.DUMMYFUNCTION("""COMPUTED_VALUE"""),0.18627450980392157)</f>
        <v>0.1862745098</v>
      </c>
    </row>
    <row r="5152">
      <c r="A5152" s="10" t="str">
        <f>IFERROR(__xludf.DUMMYFUNCTION("""COMPUTED_VALUE"""),"種ちゃんのファン")</f>
        <v>種ちゃんのファン</v>
      </c>
      <c r="B5152" s="10">
        <f>IFERROR(__xludf.DUMMYFUNCTION("""COMPUTED_VALUE"""),104.0)</f>
        <v>104</v>
      </c>
      <c r="C5152" s="10">
        <f>IFERROR(__xludf.DUMMYFUNCTION("""COMPUTED_VALUE"""),1199.0)</f>
        <v>1199</v>
      </c>
      <c r="D5152" s="5">
        <f>IFERROR(__xludf.DUMMYFUNCTION("""COMPUTED_VALUE"""),0.34429223744292237)</f>
        <v>0.3442922374</v>
      </c>
      <c r="E5152" s="5">
        <f>IFERROR(__xludf.DUMMYFUNCTION("""COMPUTED_VALUE"""),0.11141552511415526)</f>
        <v>0.1114155251</v>
      </c>
      <c r="F5152" s="5">
        <f>IFERROR(__xludf.DUMMYFUNCTION("""COMPUTED_VALUE"""),0.1954337899543379)</f>
        <v>0.19543379</v>
      </c>
      <c r="G5152" s="5">
        <f>IFERROR(__xludf.DUMMYFUNCTION("""COMPUTED_VALUE"""),0.16529680365296803)</f>
        <v>0.1652968037</v>
      </c>
      <c r="H5152" s="5">
        <f>IFERROR(__xludf.DUMMYFUNCTION("""COMPUTED_VALUE"""),0.6261682242990654)</f>
        <v>0.6261682243</v>
      </c>
      <c r="I5152" s="11">
        <f>IFERROR(__xludf.DUMMYFUNCTION("""COMPUTED_VALUE"""),5860.747663551402)</f>
        <v>5860.747664</v>
      </c>
      <c r="J5152" s="10">
        <f>IFERROR(__xludf.DUMMYFUNCTION("""COMPUTED_VALUE"""),0.0)</f>
        <v>0</v>
      </c>
      <c r="K5152" s="5">
        <f>IFERROR(__xludf.DUMMYFUNCTION("""COMPUTED_VALUE"""),0.0)</f>
        <v>0</v>
      </c>
      <c r="L5152" s="10">
        <f>IFERROR(__xludf.DUMMYFUNCTION("""COMPUTED_VALUE"""),81.0)</f>
        <v>81</v>
      </c>
      <c r="M5152" s="5">
        <f>IFERROR(__xludf.DUMMYFUNCTION("""COMPUTED_VALUE"""),0.7788461538461539)</f>
        <v>0.7788461538</v>
      </c>
    </row>
    <row r="5153">
      <c r="A5153" s="10" t="str">
        <f>IFERROR(__xludf.DUMMYFUNCTION("""COMPUTED_VALUE"""),"Ichikawa")</f>
        <v>Ichikawa</v>
      </c>
      <c r="B5153" s="10">
        <f>IFERROR(__xludf.DUMMYFUNCTION("""COMPUTED_VALUE"""),136.0)</f>
        <v>136</v>
      </c>
      <c r="C5153" s="10">
        <f>IFERROR(__xludf.DUMMYFUNCTION("""COMPUTED_VALUE"""),1582.0)</f>
        <v>1582</v>
      </c>
      <c r="D5153" s="5">
        <f>IFERROR(__xludf.DUMMYFUNCTION("""COMPUTED_VALUE"""),0.38589211618257263)</f>
        <v>0.3858921162</v>
      </c>
      <c r="E5153" s="5">
        <f>IFERROR(__xludf.DUMMYFUNCTION("""COMPUTED_VALUE"""),0.11134163208852006)</f>
        <v>0.1113416321</v>
      </c>
      <c r="F5153" s="5">
        <f>IFERROR(__xludf.DUMMYFUNCTION("""COMPUTED_VALUE"""),0.17012448132780084)</f>
        <v>0.1701244813</v>
      </c>
      <c r="G5153" s="5">
        <f>IFERROR(__xludf.DUMMYFUNCTION("""COMPUTED_VALUE"""),0.08160442600276625)</f>
        <v>0.081604426</v>
      </c>
      <c r="H5153" s="5">
        <f>IFERROR(__xludf.DUMMYFUNCTION("""COMPUTED_VALUE"""),0.6178861788617886)</f>
        <v>0.6178861789</v>
      </c>
      <c r="I5153" s="11">
        <f>IFERROR(__xludf.DUMMYFUNCTION("""COMPUTED_VALUE"""),5160.569105691057)</f>
        <v>5160.569106</v>
      </c>
      <c r="J5153" s="10">
        <f>IFERROR(__xludf.DUMMYFUNCTION("""COMPUTED_VALUE"""),0.0)</f>
        <v>0</v>
      </c>
      <c r="K5153" s="5">
        <f>IFERROR(__xludf.DUMMYFUNCTION("""COMPUTED_VALUE"""),0.0)</f>
        <v>0</v>
      </c>
      <c r="L5153" s="10">
        <f>IFERROR(__xludf.DUMMYFUNCTION("""COMPUTED_VALUE"""),136.0)</f>
        <v>136</v>
      </c>
      <c r="M5153" s="5">
        <f>IFERROR(__xludf.DUMMYFUNCTION("""COMPUTED_VALUE"""),1.0)</f>
        <v>1</v>
      </c>
    </row>
    <row r="5154">
      <c r="A5154" s="10" t="str">
        <f>IFERROR(__xludf.DUMMYFUNCTION("""COMPUTED_VALUE"""),"leonleon")</f>
        <v>leonleon</v>
      </c>
      <c r="B5154" s="10">
        <f>IFERROR(__xludf.DUMMYFUNCTION("""COMPUTED_VALUE"""),898.0)</f>
        <v>898</v>
      </c>
      <c r="C5154" s="10">
        <f>IFERROR(__xludf.DUMMYFUNCTION("""COMPUTED_VALUE"""),10562.0)</f>
        <v>10562</v>
      </c>
      <c r="D5154" s="5">
        <f>IFERROR(__xludf.DUMMYFUNCTION("""COMPUTED_VALUE"""),0.34695778145695366)</f>
        <v>0.3469577815</v>
      </c>
      <c r="E5154" s="5">
        <f>IFERROR(__xludf.DUMMYFUNCTION("""COMPUTED_VALUE"""),0.111341059602649)</f>
        <v>0.1113410596</v>
      </c>
      <c r="F5154" s="5">
        <f>IFERROR(__xludf.DUMMYFUNCTION("""COMPUTED_VALUE"""),0.2101614238410596)</f>
        <v>0.2101614238</v>
      </c>
      <c r="G5154" s="5">
        <f>IFERROR(__xludf.DUMMYFUNCTION("""COMPUTED_VALUE"""),0.1896730132450331)</f>
        <v>0.1896730132</v>
      </c>
      <c r="H5154" s="5">
        <f>IFERROR(__xludf.DUMMYFUNCTION("""COMPUTED_VALUE"""),0.5962580009847366)</f>
        <v>0.596258001</v>
      </c>
      <c r="I5154" s="11">
        <f>IFERROR(__xludf.DUMMYFUNCTION("""COMPUTED_VALUE"""),5723.387493845396)</f>
        <v>5723.387494</v>
      </c>
      <c r="J5154" s="10">
        <f>IFERROR(__xludf.DUMMYFUNCTION("""COMPUTED_VALUE"""),1.0)</f>
        <v>1</v>
      </c>
      <c r="K5154" s="5">
        <f>IFERROR(__xludf.DUMMYFUNCTION("""COMPUTED_VALUE"""),0.0011135857461024498)</f>
        <v>0.001113585746</v>
      </c>
      <c r="L5154" s="10">
        <f>IFERROR(__xludf.DUMMYFUNCTION("""COMPUTED_VALUE"""),898.0)</f>
        <v>898</v>
      </c>
      <c r="M5154" s="5">
        <f>IFERROR(__xludf.DUMMYFUNCTION("""COMPUTED_VALUE"""),1.0)</f>
        <v>1</v>
      </c>
    </row>
    <row r="5155">
      <c r="A5155" s="10" t="str">
        <f>IFERROR(__xludf.DUMMYFUNCTION("""COMPUTED_VALUE"""),"水希♪")</f>
        <v>水希♪</v>
      </c>
      <c r="B5155" s="10">
        <f>IFERROR(__xludf.DUMMYFUNCTION("""COMPUTED_VALUE"""),1516.0)</f>
        <v>1516</v>
      </c>
      <c r="C5155" s="10">
        <f>IFERROR(__xludf.DUMMYFUNCTION("""COMPUTED_VALUE"""),17883.0)</f>
        <v>17883</v>
      </c>
      <c r="D5155" s="5">
        <f>IFERROR(__xludf.DUMMYFUNCTION("""COMPUTED_VALUE"""),0.3716013930469848)</f>
        <v>0.371601393</v>
      </c>
      <c r="E5155" s="5">
        <f>IFERROR(__xludf.DUMMYFUNCTION("""COMPUTED_VALUE"""),0.11132156167898821)</f>
        <v>0.1113215617</v>
      </c>
      <c r="F5155" s="5">
        <f>IFERROR(__xludf.DUMMYFUNCTION("""COMPUTED_VALUE"""),0.21433372029082912)</f>
        <v>0.2143337203</v>
      </c>
      <c r="G5155" s="5">
        <f>IFERROR(__xludf.DUMMYFUNCTION("""COMPUTED_VALUE"""),0.18531190810777784)</f>
        <v>0.1853119081</v>
      </c>
      <c r="H5155" s="5">
        <f>IFERROR(__xludf.DUMMYFUNCTION("""COMPUTED_VALUE"""),0.5829532497149373)</f>
        <v>0.5829532497</v>
      </c>
      <c r="I5155" s="11">
        <f>IFERROR(__xludf.DUMMYFUNCTION("""COMPUTED_VALUE"""),5850.541619156214)</f>
        <v>5850.541619</v>
      </c>
      <c r="J5155" s="10">
        <f>IFERROR(__xludf.DUMMYFUNCTION("""COMPUTED_VALUE"""),1.0)</f>
        <v>1</v>
      </c>
      <c r="K5155" s="5">
        <f>IFERROR(__xludf.DUMMYFUNCTION("""COMPUTED_VALUE"""),6.596306068601583E-4)</f>
        <v>0.0006596306069</v>
      </c>
      <c r="L5155" s="10">
        <f>IFERROR(__xludf.DUMMYFUNCTION("""COMPUTED_VALUE"""),1516.0)</f>
        <v>1516</v>
      </c>
      <c r="M5155" s="5">
        <f>IFERROR(__xludf.DUMMYFUNCTION("""COMPUTED_VALUE"""),1.0)</f>
        <v>1</v>
      </c>
    </row>
    <row r="5156">
      <c r="A5156" s="10" t="str">
        <f>IFERROR(__xludf.DUMMYFUNCTION("""COMPUTED_VALUE"""),"小川.com")</f>
        <v>小川.com</v>
      </c>
      <c r="B5156" s="10">
        <f>IFERROR(__xludf.DUMMYFUNCTION("""COMPUTED_VALUE"""),157.0)</f>
        <v>157</v>
      </c>
      <c r="C5156" s="10">
        <f>IFERROR(__xludf.DUMMYFUNCTION("""COMPUTED_VALUE"""),1801.0)</f>
        <v>1801</v>
      </c>
      <c r="D5156" s="5">
        <f>IFERROR(__xludf.DUMMYFUNCTION("""COMPUTED_VALUE"""),0.28527980535279807)</f>
        <v>0.2852798054</v>
      </c>
      <c r="E5156" s="5">
        <f>IFERROR(__xludf.DUMMYFUNCTION("""COMPUTED_VALUE"""),0.11131386861313869)</f>
        <v>0.1113138686</v>
      </c>
      <c r="F5156" s="5">
        <f>IFERROR(__xludf.DUMMYFUNCTION("""COMPUTED_VALUE"""),0.19951338199513383)</f>
        <v>0.199513382</v>
      </c>
      <c r="G5156" s="5">
        <f>IFERROR(__xludf.DUMMYFUNCTION("""COMPUTED_VALUE"""),0.18491484184914841)</f>
        <v>0.1849148418</v>
      </c>
      <c r="H5156" s="5">
        <f>IFERROR(__xludf.DUMMYFUNCTION("""COMPUTED_VALUE"""),0.6310975609756098)</f>
        <v>0.631097561</v>
      </c>
      <c r="I5156" s="11">
        <f>IFERROR(__xludf.DUMMYFUNCTION("""COMPUTED_VALUE"""),5898.780487804878)</f>
        <v>5898.780488</v>
      </c>
      <c r="J5156" s="10">
        <f>IFERROR(__xludf.DUMMYFUNCTION("""COMPUTED_VALUE"""),0.0)</f>
        <v>0</v>
      </c>
      <c r="K5156" s="5">
        <f>IFERROR(__xludf.DUMMYFUNCTION("""COMPUTED_VALUE"""),0.0)</f>
        <v>0</v>
      </c>
      <c r="L5156" s="10">
        <f>IFERROR(__xludf.DUMMYFUNCTION("""COMPUTED_VALUE"""),157.0)</f>
        <v>157</v>
      </c>
      <c r="M5156" s="5">
        <f>IFERROR(__xludf.DUMMYFUNCTION("""COMPUTED_VALUE"""),1.0)</f>
        <v>1</v>
      </c>
    </row>
    <row r="5157">
      <c r="A5157" s="10" t="str">
        <f>IFERROR(__xludf.DUMMYFUNCTION("""COMPUTED_VALUE"""),"喫煙者")</f>
        <v>喫煙者</v>
      </c>
      <c r="B5157" s="10">
        <f>IFERROR(__xludf.DUMMYFUNCTION("""COMPUTED_VALUE"""),455.0)</f>
        <v>455</v>
      </c>
      <c r="C5157" s="10">
        <f>IFERROR(__xludf.DUMMYFUNCTION("""COMPUTED_VALUE"""),5432.0)</f>
        <v>5432</v>
      </c>
      <c r="D5157" s="5">
        <f>IFERROR(__xludf.DUMMYFUNCTION("""COMPUTED_VALUE"""),0.3620655013060076)</f>
        <v>0.3620655013</v>
      </c>
      <c r="E5157" s="5">
        <f>IFERROR(__xludf.DUMMYFUNCTION("""COMPUTED_VALUE"""),0.11131203536266827)</f>
        <v>0.1113120354</v>
      </c>
      <c r="F5157" s="5">
        <f>IFERROR(__xludf.DUMMYFUNCTION("""COMPUTED_VALUE"""),0.2218203737191079)</f>
        <v>0.2218203737</v>
      </c>
      <c r="G5157" s="5">
        <f>IFERROR(__xludf.DUMMYFUNCTION("""COMPUTED_VALUE"""),0.17741611412497488)</f>
        <v>0.1774161141</v>
      </c>
      <c r="H5157" s="5">
        <f>IFERROR(__xludf.DUMMYFUNCTION("""COMPUTED_VALUE"""),0.5851449275362319)</f>
        <v>0.5851449275</v>
      </c>
      <c r="I5157" s="11">
        <f>IFERROR(__xludf.DUMMYFUNCTION("""COMPUTED_VALUE"""),5468.297101449275)</f>
        <v>5468.297101</v>
      </c>
      <c r="J5157" s="10">
        <f>IFERROR(__xludf.DUMMYFUNCTION("""COMPUTED_VALUE"""),1.0)</f>
        <v>1</v>
      </c>
      <c r="K5157" s="5">
        <f>IFERROR(__xludf.DUMMYFUNCTION("""COMPUTED_VALUE"""),0.002197802197802198)</f>
        <v>0.002197802198</v>
      </c>
      <c r="L5157" s="10">
        <f>IFERROR(__xludf.DUMMYFUNCTION("""COMPUTED_VALUE"""),1.0)</f>
        <v>1</v>
      </c>
      <c r="M5157" s="5">
        <f>IFERROR(__xludf.DUMMYFUNCTION("""COMPUTED_VALUE"""),0.002197802197802198)</f>
        <v>0.002197802198</v>
      </c>
    </row>
    <row r="5158">
      <c r="A5158" s="10" t="str">
        <f>IFERROR(__xludf.DUMMYFUNCTION("""COMPUTED_VALUE"""),"okke")</f>
        <v>okke</v>
      </c>
      <c r="B5158" s="10">
        <f>IFERROR(__xludf.DUMMYFUNCTION("""COMPUTED_VALUE"""),155.0)</f>
        <v>155</v>
      </c>
      <c r="C5158" s="10">
        <f>IFERROR(__xludf.DUMMYFUNCTION("""COMPUTED_VALUE"""),1862.0)</f>
        <v>1862</v>
      </c>
      <c r="D5158" s="5">
        <f>IFERROR(__xludf.DUMMYFUNCTION("""COMPUTED_VALUE"""),0.38957234915055655)</f>
        <v>0.3895723492</v>
      </c>
      <c r="E5158" s="5">
        <f>IFERROR(__xludf.DUMMYFUNCTION("""COMPUTED_VALUE"""),0.11130638547158758)</f>
        <v>0.1113063855</v>
      </c>
      <c r="F5158" s="5">
        <f>IFERROR(__xludf.DUMMYFUNCTION("""COMPUTED_VALUE"""),0.21968365553602812)</f>
        <v>0.2196836555</v>
      </c>
      <c r="G5158" s="5">
        <f>IFERROR(__xludf.DUMMYFUNCTION("""COMPUTED_VALUE"""),0.18160515524311657)</f>
        <v>0.1816051552</v>
      </c>
      <c r="H5158" s="5">
        <f>IFERROR(__xludf.DUMMYFUNCTION("""COMPUTED_VALUE"""),0.5413333333333333)</f>
        <v>0.5413333333</v>
      </c>
      <c r="I5158" s="11">
        <f>IFERROR(__xludf.DUMMYFUNCTION("""COMPUTED_VALUE"""),5983.733333333334)</f>
        <v>5983.733333</v>
      </c>
      <c r="J5158" s="10">
        <f>IFERROR(__xludf.DUMMYFUNCTION("""COMPUTED_VALUE"""),0.0)</f>
        <v>0</v>
      </c>
      <c r="K5158" s="5">
        <f>IFERROR(__xludf.DUMMYFUNCTION("""COMPUTED_VALUE"""),0.0)</f>
        <v>0</v>
      </c>
      <c r="L5158" s="10">
        <f>IFERROR(__xludf.DUMMYFUNCTION("""COMPUTED_VALUE"""),155.0)</f>
        <v>155</v>
      </c>
      <c r="M5158" s="5">
        <f>IFERROR(__xludf.DUMMYFUNCTION("""COMPUTED_VALUE"""),1.0)</f>
        <v>1</v>
      </c>
    </row>
    <row r="5159">
      <c r="A5159" s="10" t="str">
        <f>IFERROR(__xludf.DUMMYFUNCTION("""COMPUTED_VALUE"""),"その１ｐ当たりだ")</f>
        <v>その１ｐ当たりだ</v>
      </c>
      <c r="B5159" s="10">
        <f>IFERROR(__xludf.DUMMYFUNCTION("""COMPUTED_VALUE"""),164.0)</f>
        <v>164</v>
      </c>
      <c r="C5159" s="10">
        <f>IFERROR(__xludf.DUMMYFUNCTION("""COMPUTED_VALUE"""),1988.0)</f>
        <v>1988</v>
      </c>
      <c r="D5159" s="5">
        <f>IFERROR(__xludf.DUMMYFUNCTION("""COMPUTED_VALUE"""),0.34923245614035087)</f>
        <v>0.3492324561</v>
      </c>
      <c r="E5159" s="5">
        <f>IFERROR(__xludf.DUMMYFUNCTION("""COMPUTED_VALUE"""),0.1112938596491228)</f>
        <v>0.1112938596</v>
      </c>
      <c r="F5159" s="5">
        <f>IFERROR(__xludf.DUMMYFUNCTION("""COMPUTED_VALUE"""),0.18804824561403508)</f>
        <v>0.1880482456</v>
      </c>
      <c r="G5159" s="5">
        <f>IFERROR(__xludf.DUMMYFUNCTION("""COMPUTED_VALUE"""),0.18037280701754385)</f>
        <v>0.180372807</v>
      </c>
      <c r="H5159" s="5">
        <f>IFERROR(__xludf.DUMMYFUNCTION("""COMPUTED_VALUE"""),0.6034985422740525)</f>
        <v>0.6034985423</v>
      </c>
      <c r="I5159" s="11">
        <f>IFERROR(__xludf.DUMMYFUNCTION("""COMPUTED_VALUE"""),5843.4402332361515)</f>
        <v>5843.440233</v>
      </c>
      <c r="J5159" s="10">
        <f>IFERROR(__xludf.DUMMYFUNCTION("""COMPUTED_VALUE"""),0.0)</f>
        <v>0</v>
      </c>
      <c r="K5159" s="5">
        <f>IFERROR(__xludf.DUMMYFUNCTION("""COMPUTED_VALUE"""),0.0)</f>
        <v>0</v>
      </c>
      <c r="L5159" s="10">
        <f>IFERROR(__xludf.DUMMYFUNCTION("""COMPUTED_VALUE"""),164.0)</f>
        <v>164</v>
      </c>
      <c r="M5159" s="5">
        <f>IFERROR(__xludf.DUMMYFUNCTION("""COMPUTED_VALUE"""),1.0)</f>
        <v>1</v>
      </c>
    </row>
    <row r="5160">
      <c r="A5160" s="10" t="str">
        <f>IFERROR(__xludf.DUMMYFUNCTION("""COMPUTED_VALUE"""),"激ねこぷんぷん丸")</f>
        <v>激ねこぷんぷん丸</v>
      </c>
      <c r="B5160" s="10">
        <f>IFERROR(__xludf.DUMMYFUNCTION("""COMPUTED_VALUE"""),354.0)</f>
        <v>354</v>
      </c>
      <c r="C5160" s="10">
        <f>IFERROR(__xludf.DUMMYFUNCTION("""COMPUTED_VALUE"""),4146.0)</f>
        <v>4146</v>
      </c>
      <c r="D5160" s="5">
        <f>IFERROR(__xludf.DUMMYFUNCTION("""COMPUTED_VALUE"""),0.30116033755274263)</f>
        <v>0.3011603376</v>
      </c>
      <c r="E5160" s="5">
        <f>IFERROR(__xludf.DUMMYFUNCTION("""COMPUTED_VALUE"""),0.11128691983122363)</f>
        <v>0.1112869198</v>
      </c>
      <c r="F5160" s="5">
        <f>IFERROR(__xludf.DUMMYFUNCTION("""COMPUTED_VALUE"""),0.19145569620253164)</f>
        <v>0.1914556962</v>
      </c>
      <c r="G5160" s="5">
        <f>IFERROR(__xludf.DUMMYFUNCTION("""COMPUTED_VALUE"""),0.14767932489451477)</f>
        <v>0.1476793249</v>
      </c>
      <c r="H5160" s="5">
        <f>IFERROR(__xludf.DUMMYFUNCTION("""COMPUTED_VALUE"""),0.5964187327823691)</f>
        <v>0.5964187328</v>
      </c>
      <c r="I5160" s="11">
        <f>IFERROR(__xludf.DUMMYFUNCTION("""COMPUTED_VALUE"""),5555.234159779614)</f>
        <v>5555.23416</v>
      </c>
      <c r="J5160" s="10">
        <f>IFERROR(__xludf.DUMMYFUNCTION("""COMPUTED_VALUE"""),0.0)</f>
        <v>0</v>
      </c>
      <c r="K5160" s="5">
        <f>IFERROR(__xludf.DUMMYFUNCTION("""COMPUTED_VALUE"""),0.0)</f>
        <v>0</v>
      </c>
      <c r="L5160" s="10">
        <f>IFERROR(__xludf.DUMMYFUNCTION("""COMPUTED_VALUE"""),354.0)</f>
        <v>354</v>
      </c>
      <c r="M5160" s="5">
        <f>IFERROR(__xludf.DUMMYFUNCTION("""COMPUTED_VALUE"""),1.0)</f>
        <v>1</v>
      </c>
    </row>
    <row r="5161">
      <c r="A5161" s="10" t="str">
        <f>IFERROR(__xludf.DUMMYFUNCTION("""COMPUTED_VALUE"""),"レデスマ")</f>
        <v>レデスマ</v>
      </c>
      <c r="B5161" s="10">
        <f>IFERROR(__xludf.DUMMYFUNCTION("""COMPUTED_VALUE"""),3421.0)</f>
        <v>3421</v>
      </c>
      <c r="C5161" s="10">
        <f>IFERROR(__xludf.DUMMYFUNCTION("""COMPUTED_VALUE"""),40301.0)</f>
        <v>40301</v>
      </c>
      <c r="D5161" s="5">
        <f>IFERROR(__xludf.DUMMYFUNCTION("""COMPUTED_VALUE"""),0.2630965292841649)</f>
        <v>0.2630965293</v>
      </c>
      <c r="E5161" s="5">
        <f>IFERROR(__xludf.DUMMYFUNCTION("""COMPUTED_VALUE"""),0.11127982646420824)</f>
        <v>0.1112798265</v>
      </c>
      <c r="F5161" s="5">
        <f>IFERROR(__xludf.DUMMYFUNCTION("""COMPUTED_VALUE"""),0.2022234273318872)</f>
        <v>0.2022234273</v>
      </c>
      <c r="G5161" s="5">
        <f>IFERROR(__xludf.DUMMYFUNCTION("""COMPUTED_VALUE"""),0.1963123644251627)</f>
        <v>0.1963123644</v>
      </c>
      <c r="H5161" s="5">
        <f>IFERROR(__xludf.DUMMYFUNCTION("""COMPUTED_VALUE"""),0.5927862697774202)</f>
        <v>0.5927862698</v>
      </c>
      <c r="I5161" s="11">
        <f>IFERROR(__xludf.DUMMYFUNCTION("""COMPUTED_VALUE"""),5648.994368463395)</f>
        <v>5648.994368</v>
      </c>
      <c r="J5161" s="10">
        <f>IFERROR(__xludf.DUMMYFUNCTION("""COMPUTED_VALUE"""),5.0)</f>
        <v>5</v>
      </c>
      <c r="K5161" s="5">
        <f>IFERROR(__xludf.DUMMYFUNCTION("""COMPUTED_VALUE"""),0.0014615609470914938)</f>
        <v>0.001461560947</v>
      </c>
      <c r="L5161" s="10">
        <f>IFERROR(__xludf.DUMMYFUNCTION("""COMPUTED_VALUE"""),3421.0)</f>
        <v>3421</v>
      </c>
      <c r="M5161" s="5">
        <f>IFERROR(__xludf.DUMMYFUNCTION("""COMPUTED_VALUE"""),1.0)</f>
        <v>1</v>
      </c>
    </row>
    <row r="5162">
      <c r="A5162" s="10" t="str">
        <f>IFERROR(__xludf.DUMMYFUNCTION("""COMPUTED_VALUE"""),"aisyo")</f>
        <v>aisyo</v>
      </c>
      <c r="B5162" s="10">
        <f>IFERROR(__xludf.DUMMYFUNCTION("""COMPUTED_VALUE"""),1598.0)</f>
        <v>1598</v>
      </c>
      <c r="C5162" s="10">
        <f>IFERROR(__xludf.DUMMYFUNCTION("""COMPUTED_VALUE"""),18762.0)</f>
        <v>18762</v>
      </c>
      <c r="D5162" s="5">
        <f>IFERROR(__xludf.DUMMYFUNCTION("""COMPUTED_VALUE"""),0.32568165928687953)</f>
        <v>0.3256816593</v>
      </c>
      <c r="E5162" s="5">
        <f>IFERROR(__xludf.DUMMYFUNCTION("""COMPUTED_VALUE"""),0.11127942204614309)</f>
        <v>0.111279422</v>
      </c>
      <c r="F5162" s="5">
        <f>IFERROR(__xludf.DUMMYFUNCTION("""COMPUTED_VALUE"""),0.2060125844791424)</f>
        <v>0.2060125845</v>
      </c>
      <c r="G5162" s="5">
        <f>IFERROR(__xludf.DUMMYFUNCTION("""COMPUTED_VALUE"""),0.1581216499650431)</f>
        <v>0.15812165</v>
      </c>
      <c r="H5162" s="5">
        <f>IFERROR(__xludf.DUMMYFUNCTION("""COMPUTED_VALUE"""),0.5902149321266968)</f>
        <v>0.5902149321</v>
      </c>
      <c r="I5162" s="11">
        <f>IFERROR(__xludf.DUMMYFUNCTION("""COMPUTED_VALUE"""),5596.945701357466)</f>
        <v>5596.945701</v>
      </c>
      <c r="J5162" s="10">
        <f>IFERROR(__xludf.DUMMYFUNCTION("""COMPUTED_VALUE"""),5.0)</f>
        <v>5</v>
      </c>
      <c r="K5162" s="5">
        <f>IFERROR(__xludf.DUMMYFUNCTION("""COMPUTED_VALUE"""),0.0031289111389236545)</f>
        <v>0.003128911139</v>
      </c>
      <c r="L5162" s="10">
        <f>IFERROR(__xludf.DUMMYFUNCTION("""COMPUTED_VALUE"""),1598.0)</f>
        <v>1598</v>
      </c>
      <c r="M5162" s="5">
        <f>IFERROR(__xludf.DUMMYFUNCTION("""COMPUTED_VALUE"""),1.0)</f>
        <v>1</v>
      </c>
    </row>
    <row r="5163">
      <c r="A5163" s="10" t="str">
        <f>IFERROR(__xludf.DUMMYFUNCTION("""COMPUTED_VALUE"""),"麻雀九級")</f>
        <v>麻雀九級</v>
      </c>
      <c r="B5163" s="10">
        <f>IFERROR(__xludf.DUMMYFUNCTION("""COMPUTED_VALUE"""),1619.0)</f>
        <v>1619</v>
      </c>
      <c r="C5163" s="10">
        <f>IFERROR(__xludf.DUMMYFUNCTION("""COMPUTED_VALUE"""),18990.0)</f>
        <v>18990</v>
      </c>
      <c r="D5163" s="5">
        <f>IFERROR(__xludf.DUMMYFUNCTION("""COMPUTED_VALUE"""),0.36722123078694374)</f>
        <v>0.3672212308</v>
      </c>
      <c r="E5163" s="5">
        <f>IFERROR(__xludf.DUMMYFUNCTION("""COMPUTED_VALUE"""),0.11127741638362788)</f>
        <v>0.1112774164</v>
      </c>
      <c r="F5163" s="5">
        <f>IFERROR(__xludf.DUMMYFUNCTION("""COMPUTED_VALUE"""),0.19998848655805654)</f>
        <v>0.1999884866</v>
      </c>
      <c r="G5163" s="5">
        <f>IFERROR(__xludf.DUMMYFUNCTION("""COMPUTED_VALUE"""),0.15358931552587646)</f>
        <v>0.1535893155</v>
      </c>
      <c r="H5163" s="5">
        <f>IFERROR(__xludf.DUMMYFUNCTION("""COMPUTED_VALUE"""),0.5947035118019574)</f>
        <v>0.5947035118</v>
      </c>
      <c r="I5163" s="11">
        <f>IFERROR(__xludf.DUMMYFUNCTION("""COMPUTED_VALUE"""),5657.82959124928)</f>
        <v>5657.829591</v>
      </c>
      <c r="J5163" s="10">
        <f>IFERROR(__xludf.DUMMYFUNCTION("""COMPUTED_VALUE"""),1.0)</f>
        <v>1</v>
      </c>
      <c r="K5163" s="5">
        <f>IFERROR(__xludf.DUMMYFUNCTION("""COMPUTED_VALUE"""),6.176652254478073E-4)</f>
        <v>0.0006176652254</v>
      </c>
      <c r="L5163" s="10">
        <f>IFERROR(__xludf.DUMMYFUNCTION("""COMPUTED_VALUE"""),1619.0)</f>
        <v>1619</v>
      </c>
      <c r="M5163" s="5">
        <f>IFERROR(__xludf.DUMMYFUNCTION("""COMPUTED_VALUE"""),1.0)</f>
        <v>1</v>
      </c>
    </row>
    <row r="5164">
      <c r="A5164" s="10" t="str">
        <f>IFERROR(__xludf.DUMMYFUNCTION("""COMPUTED_VALUE"""),"cien")</f>
        <v>cien</v>
      </c>
      <c r="B5164" s="10">
        <f>IFERROR(__xludf.DUMMYFUNCTION("""COMPUTED_VALUE"""),141.0)</f>
        <v>141</v>
      </c>
      <c r="C5164" s="10">
        <f>IFERROR(__xludf.DUMMYFUNCTION("""COMPUTED_VALUE"""),1660.0)</f>
        <v>1660</v>
      </c>
      <c r="D5164" s="5">
        <f>IFERROR(__xludf.DUMMYFUNCTION("""COMPUTED_VALUE"""),0.1468071099407505)</f>
        <v>0.1468071099</v>
      </c>
      <c r="E5164" s="5">
        <f>IFERROR(__xludf.DUMMYFUNCTION("""COMPUTED_VALUE"""),0.11125740618828177)</f>
        <v>0.1112574062</v>
      </c>
      <c r="F5164" s="5">
        <f>IFERROR(__xludf.DUMMYFUNCTION("""COMPUTED_VALUE"""),0.16787360105332455)</f>
        <v>0.1678736011</v>
      </c>
      <c r="G5164" s="5">
        <f>IFERROR(__xludf.DUMMYFUNCTION("""COMPUTED_VALUE"""),0.16392363396971693)</f>
        <v>0.163923634</v>
      </c>
      <c r="H5164" s="5">
        <f>IFERROR(__xludf.DUMMYFUNCTION("""COMPUTED_VALUE"""),0.5647058823529412)</f>
        <v>0.5647058824</v>
      </c>
      <c r="I5164" s="11">
        <f>IFERROR(__xludf.DUMMYFUNCTION("""COMPUTED_VALUE"""),6229.803921568628)</f>
        <v>6229.803922</v>
      </c>
      <c r="J5164" s="10">
        <f>IFERROR(__xludf.DUMMYFUNCTION("""COMPUTED_VALUE"""),0.0)</f>
        <v>0</v>
      </c>
      <c r="K5164" s="5">
        <f>IFERROR(__xludf.DUMMYFUNCTION("""COMPUTED_VALUE"""),0.0)</f>
        <v>0</v>
      </c>
      <c r="L5164" s="10">
        <f>IFERROR(__xludf.DUMMYFUNCTION("""COMPUTED_VALUE"""),141.0)</f>
        <v>141</v>
      </c>
      <c r="M5164" s="5">
        <f>IFERROR(__xludf.DUMMYFUNCTION("""COMPUTED_VALUE"""),1.0)</f>
        <v>1</v>
      </c>
    </row>
    <row r="5165">
      <c r="A5165" s="10" t="str">
        <f>IFERROR(__xludf.DUMMYFUNCTION("""COMPUTED_VALUE"""),"彼方")</f>
        <v>彼方</v>
      </c>
      <c r="B5165" s="10">
        <f>IFERROR(__xludf.DUMMYFUNCTION("""COMPUTED_VALUE"""),155.0)</f>
        <v>155</v>
      </c>
      <c r="C5165" s="10">
        <f>IFERROR(__xludf.DUMMYFUNCTION("""COMPUTED_VALUE"""),1881.0)</f>
        <v>1881</v>
      </c>
      <c r="D5165" s="5">
        <f>IFERROR(__xludf.DUMMYFUNCTION("""COMPUTED_VALUE"""),0.2885283893395133)</f>
        <v>0.2885283893</v>
      </c>
      <c r="E5165" s="5">
        <f>IFERROR(__xludf.DUMMYFUNCTION("""COMPUTED_VALUE"""),0.11123986095017381)</f>
        <v>0.111239861</v>
      </c>
      <c r="F5165" s="5">
        <f>IFERROR(__xludf.DUMMYFUNCTION("""COMPUTED_VALUE"""),0.20973348783314022)</f>
        <v>0.2097334878</v>
      </c>
      <c r="G5165" s="5">
        <f>IFERROR(__xludf.DUMMYFUNCTION("""COMPUTED_VALUE"""),0.15179606025492468)</f>
        <v>0.1517960603</v>
      </c>
      <c r="H5165" s="5">
        <f>IFERROR(__xludf.DUMMYFUNCTION("""COMPUTED_VALUE"""),0.6215469613259669)</f>
        <v>0.6215469613</v>
      </c>
      <c r="I5165" s="11">
        <f>IFERROR(__xludf.DUMMYFUNCTION("""COMPUTED_VALUE"""),5029.834254143647)</f>
        <v>5029.834254</v>
      </c>
      <c r="J5165" s="10">
        <f>IFERROR(__xludf.DUMMYFUNCTION("""COMPUTED_VALUE"""),0.0)</f>
        <v>0</v>
      </c>
      <c r="K5165" s="5">
        <f>IFERROR(__xludf.DUMMYFUNCTION("""COMPUTED_VALUE"""),0.0)</f>
        <v>0</v>
      </c>
      <c r="L5165" s="10">
        <f>IFERROR(__xludf.DUMMYFUNCTION("""COMPUTED_VALUE"""),155.0)</f>
        <v>155</v>
      </c>
      <c r="M5165" s="5">
        <f>IFERROR(__xludf.DUMMYFUNCTION("""COMPUTED_VALUE"""),1.0)</f>
        <v>1</v>
      </c>
    </row>
    <row r="5166">
      <c r="A5166" s="10" t="str">
        <f>IFERROR(__xludf.DUMMYFUNCTION("""COMPUTED_VALUE"""),"シラ.")</f>
        <v>シラ.</v>
      </c>
      <c r="B5166" s="10">
        <f>IFERROR(__xludf.DUMMYFUNCTION("""COMPUTED_VALUE"""),167.0)</f>
        <v>167</v>
      </c>
      <c r="C5166" s="10">
        <f>IFERROR(__xludf.DUMMYFUNCTION("""COMPUTED_VALUE"""),1994.0)</f>
        <v>1994</v>
      </c>
      <c r="D5166" s="5">
        <f>IFERROR(__xludf.DUMMYFUNCTION("""COMPUTED_VALUE"""),0.3366174055829228)</f>
        <v>0.3366174056</v>
      </c>
      <c r="E5166" s="5">
        <f>IFERROR(__xludf.DUMMYFUNCTION("""COMPUTED_VALUE"""),0.1111111111111111)</f>
        <v>0.1111111111</v>
      </c>
      <c r="F5166" s="5">
        <f>IFERROR(__xludf.DUMMYFUNCTION("""COMPUTED_VALUE"""),0.21674876847290642)</f>
        <v>0.2167487685</v>
      </c>
      <c r="G5166" s="5">
        <f>IFERROR(__xludf.DUMMYFUNCTION("""COMPUTED_VALUE"""),0.1893814997263273)</f>
        <v>0.1893814997</v>
      </c>
      <c r="H5166" s="5">
        <f>IFERROR(__xludf.DUMMYFUNCTION("""COMPUTED_VALUE"""),0.5858585858585859)</f>
        <v>0.5858585859</v>
      </c>
      <c r="I5166" s="11">
        <f>IFERROR(__xludf.DUMMYFUNCTION("""COMPUTED_VALUE"""),5976.515151515152)</f>
        <v>5976.515152</v>
      </c>
      <c r="J5166" s="10">
        <f>IFERROR(__xludf.DUMMYFUNCTION("""COMPUTED_VALUE"""),0.0)</f>
        <v>0</v>
      </c>
      <c r="K5166" s="5">
        <f>IFERROR(__xludf.DUMMYFUNCTION("""COMPUTED_VALUE"""),0.0)</f>
        <v>0</v>
      </c>
      <c r="L5166" s="10">
        <f>IFERROR(__xludf.DUMMYFUNCTION("""COMPUTED_VALUE"""),167.0)</f>
        <v>167</v>
      </c>
      <c r="M5166" s="5">
        <f>IFERROR(__xludf.DUMMYFUNCTION("""COMPUTED_VALUE"""),1.0)</f>
        <v>1</v>
      </c>
    </row>
    <row r="5167">
      <c r="A5167" s="10" t="str">
        <f>IFERROR(__xludf.DUMMYFUNCTION("""COMPUTED_VALUE"""),"ネクタイの結び方")</f>
        <v>ネクタイの結び方</v>
      </c>
      <c r="B5167" s="10">
        <f>IFERROR(__xludf.DUMMYFUNCTION("""COMPUTED_VALUE"""),328.0)</f>
        <v>328</v>
      </c>
      <c r="C5167" s="10">
        <f>IFERROR(__xludf.DUMMYFUNCTION("""COMPUTED_VALUE"""),3847.0)</f>
        <v>3847</v>
      </c>
      <c r="D5167" s="5">
        <f>IFERROR(__xludf.DUMMYFUNCTION("""COMPUTED_VALUE"""),0.32082978118783745)</f>
        <v>0.3208297812</v>
      </c>
      <c r="E5167" s="5">
        <f>IFERROR(__xludf.DUMMYFUNCTION("""COMPUTED_VALUE"""),0.1111111111111111)</f>
        <v>0.1111111111</v>
      </c>
      <c r="F5167" s="5">
        <f>IFERROR(__xludf.DUMMYFUNCTION("""COMPUTED_VALUE"""),0.2006251776072748)</f>
        <v>0.2006251776</v>
      </c>
      <c r="G5167" s="5">
        <f>IFERROR(__xludf.DUMMYFUNCTION("""COMPUTED_VALUE"""),0.17391304347826086)</f>
        <v>0.1739130435</v>
      </c>
      <c r="H5167" s="5">
        <f>IFERROR(__xludf.DUMMYFUNCTION("""COMPUTED_VALUE"""),0.6048158640226629)</f>
        <v>0.604815864</v>
      </c>
      <c r="I5167" s="11">
        <f>IFERROR(__xludf.DUMMYFUNCTION("""COMPUTED_VALUE"""),5495.609065155807)</f>
        <v>5495.609065</v>
      </c>
      <c r="J5167" s="10">
        <f>IFERROR(__xludf.DUMMYFUNCTION("""COMPUTED_VALUE"""),0.0)</f>
        <v>0</v>
      </c>
      <c r="K5167" s="5">
        <f>IFERROR(__xludf.DUMMYFUNCTION("""COMPUTED_VALUE"""),0.0)</f>
        <v>0</v>
      </c>
      <c r="L5167" s="10">
        <f>IFERROR(__xludf.DUMMYFUNCTION("""COMPUTED_VALUE"""),328.0)</f>
        <v>328</v>
      </c>
      <c r="M5167" s="5">
        <f>IFERROR(__xludf.DUMMYFUNCTION("""COMPUTED_VALUE"""),1.0)</f>
        <v>1</v>
      </c>
    </row>
    <row r="5168">
      <c r="A5168" s="10" t="str">
        <f>IFERROR(__xludf.DUMMYFUNCTION("""COMPUTED_VALUE"""),"~≧▽≦~")</f>
        <v>~≧▽≦~</v>
      </c>
      <c r="B5168" s="10">
        <f>IFERROR(__xludf.DUMMYFUNCTION("""COMPUTED_VALUE"""),184.0)</f>
        <v>184</v>
      </c>
      <c r="C5168" s="10">
        <f>IFERROR(__xludf.DUMMYFUNCTION("""COMPUTED_VALUE"""),2173.0)</f>
        <v>2173</v>
      </c>
      <c r="D5168" s="5">
        <f>IFERROR(__xludf.DUMMYFUNCTION("""COMPUTED_VALUE"""),0.35193564605329314)</f>
        <v>0.3519356461</v>
      </c>
      <c r="E5168" s="5">
        <f>IFERROR(__xludf.DUMMYFUNCTION("""COMPUTED_VALUE"""),0.1111111111111111)</f>
        <v>0.1111111111</v>
      </c>
      <c r="F5168" s="5">
        <f>IFERROR(__xludf.DUMMYFUNCTION("""COMPUTED_VALUE"""),0.20211161387631976)</f>
        <v>0.2021116139</v>
      </c>
      <c r="G5168" s="5">
        <f>IFERROR(__xludf.DUMMYFUNCTION("""COMPUTED_VALUE"""),0.14831573655103067)</f>
        <v>0.1483157366</v>
      </c>
      <c r="H5168" s="5">
        <f>IFERROR(__xludf.DUMMYFUNCTION("""COMPUTED_VALUE"""),0.6268656716417911)</f>
        <v>0.6268656716</v>
      </c>
      <c r="I5168" s="11">
        <f>IFERROR(__xludf.DUMMYFUNCTION("""COMPUTED_VALUE"""),5657.71144278607)</f>
        <v>5657.711443</v>
      </c>
      <c r="J5168" s="10">
        <f>IFERROR(__xludf.DUMMYFUNCTION("""COMPUTED_VALUE"""),0.0)</f>
        <v>0</v>
      </c>
      <c r="K5168" s="5">
        <f>IFERROR(__xludf.DUMMYFUNCTION("""COMPUTED_VALUE"""),0.0)</f>
        <v>0</v>
      </c>
      <c r="L5168" s="10">
        <f>IFERROR(__xludf.DUMMYFUNCTION("""COMPUTED_VALUE"""),184.0)</f>
        <v>184</v>
      </c>
      <c r="M5168" s="5">
        <f>IFERROR(__xludf.DUMMYFUNCTION("""COMPUTED_VALUE"""),1.0)</f>
        <v>1</v>
      </c>
    </row>
    <row r="5169">
      <c r="A5169" s="10" t="str">
        <f>IFERROR(__xludf.DUMMYFUNCTION("""COMPUTED_VALUE"""),"関大生")</f>
        <v>関大生</v>
      </c>
      <c r="B5169" s="10">
        <f>IFERROR(__xludf.DUMMYFUNCTION("""COMPUTED_VALUE"""),476.0)</f>
        <v>476</v>
      </c>
      <c r="C5169" s="10">
        <f>IFERROR(__xludf.DUMMYFUNCTION("""COMPUTED_VALUE"""),5643.0)</f>
        <v>5643</v>
      </c>
      <c r="D5169" s="5">
        <f>IFERROR(__xludf.DUMMYFUNCTION("""COMPUTED_VALUE"""),0.35359009096187344)</f>
        <v>0.353590091</v>
      </c>
      <c r="E5169" s="5">
        <f>IFERROR(__xludf.DUMMYFUNCTION("""COMPUTED_VALUE"""),0.11108960712212115)</f>
        <v>0.1110896071</v>
      </c>
      <c r="F5169" s="5">
        <f>IFERROR(__xludf.DUMMYFUNCTION("""COMPUTED_VALUE"""),0.20534159086510548)</f>
        <v>0.2053415909</v>
      </c>
      <c r="G5169" s="5">
        <f>IFERROR(__xludf.DUMMYFUNCTION("""COMPUTED_VALUE"""),0.1662473388813625)</f>
        <v>0.1662473389</v>
      </c>
      <c r="H5169" s="5">
        <f>IFERROR(__xludf.DUMMYFUNCTION("""COMPUTED_VALUE"""),0.5786993402450519)</f>
        <v>0.5786993402</v>
      </c>
      <c r="I5169" s="11">
        <f>IFERROR(__xludf.DUMMYFUNCTION("""COMPUTED_VALUE"""),5539.962299717248)</f>
        <v>5539.9623</v>
      </c>
      <c r="J5169" s="10">
        <f>IFERROR(__xludf.DUMMYFUNCTION("""COMPUTED_VALUE"""),0.0)</f>
        <v>0</v>
      </c>
      <c r="K5169" s="5">
        <f>IFERROR(__xludf.DUMMYFUNCTION("""COMPUTED_VALUE"""),0.0)</f>
        <v>0</v>
      </c>
      <c r="L5169" s="10">
        <f>IFERROR(__xludf.DUMMYFUNCTION("""COMPUTED_VALUE"""),476.0)</f>
        <v>476</v>
      </c>
      <c r="M5169" s="5">
        <f>IFERROR(__xludf.DUMMYFUNCTION("""COMPUTED_VALUE"""),1.0)</f>
        <v>1</v>
      </c>
    </row>
    <row r="5170">
      <c r="A5170" s="10" t="str">
        <f>IFERROR(__xludf.DUMMYFUNCTION("""COMPUTED_VALUE"""),"みっきー")</f>
        <v>みっきー</v>
      </c>
      <c r="B5170" s="10">
        <f>IFERROR(__xludf.DUMMYFUNCTION("""COMPUTED_VALUE"""),2057.0)</f>
        <v>2057</v>
      </c>
      <c r="C5170" s="10">
        <f>IFERROR(__xludf.DUMMYFUNCTION("""COMPUTED_VALUE"""),24009.0)</f>
        <v>24009</v>
      </c>
      <c r="D5170" s="5">
        <f>IFERROR(__xludf.DUMMYFUNCTION("""COMPUTED_VALUE"""),0.3960003644314869)</f>
        <v>0.3960003644</v>
      </c>
      <c r="E5170" s="5">
        <f>IFERROR(__xludf.DUMMYFUNCTION("""COMPUTED_VALUE"""),0.11106049562682216)</f>
        <v>0.1110604956</v>
      </c>
      <c r="F5170" s="5">
        <f>IFERROR(__xludf.DUMMYFUNCTION("""COMPUTED_VALUE"""),0.20458272594752186)</f>
        <v>0.2045827259</v>
      </c>
      <c r="G5170" s="5">
        <f>IFERROR(__xludf.DUMMYFUNCTION("""COMPUTED_VALUE"""),0.1518768221574344)</f>
        <v>0.1518768222</v>
      </c>
      <c r="H5170" s="5">
        <f>IFERROR(__xludf.DUMMYFUNCTION("""COMPUTED_VALUE"""),0.6121131151191271)</f>
        <v>0.6121131151</v>
      </c>
      <c r="I5170" s="11">
        <f>IFERROR(__xludf.DUMMYFUNCTION("""COMPUTED_VALUE"""),5427.543976842574)</f>
        <v>5427.543977</v>
      </c>
      <c r="J5170" s="10">
        <f>IFERROR(__xludf.DUMMYFUNCTION("""COMPUTED_VALUE"""),1.0)</f>
        <v>1</v>
      </c>
      <c r="K5170" s="5">
        <f>IFERROR(__xludf.DUMMYFUNCTION("""COMPUTED_VALUE"""),4.861448711716091E-4)</f>
        <v>0.0004861448712</v>
      </c>
      <c r="L5170" s="10">
        <f>IFERROR(__xludf.DUMMYFUNCTION("""COMPUTED_VALUE"""),2057.0)</f>
        <v>2057</v>
      </c>
      <c r="M5170" s="5">
        <f>IFERROR(__xludf.DUMMYFUNCTION("""COMPUTED_VALUE"""),1.0)</f>
        <v>1</v>
      </c>
    </row>
    <row r="5171">
      <c r="A5171" s="10" t="str">
        <f>IFERROR(__xludf.DUMMYFUNCTION("""COMPUTED_VALUE"""),"麻雀IQ120")</f>
        <v>麻雀IQ120</v>
      </c>
      <c r="B5171" s="10">
        <f>IFERROR(__xludf.DUMMYFUNCTION("""COMPUTED_VALUE"""),1732.0)</f>
        <v>1732</v>
      </c>
      <c r="C5171" s="10">
        <f>IFERROR(__xludf.DUMMYFUNCTION("""COMPUTED_VALUE"""),20235.0)</f>
        <v>20235</v>
      </c>
      <c r="D5171" s="5">
        <f>IFERROR(__xludf.DUMMYFUNCTION("""COMPUTED_VALUE"""),0.19683294600875534)</f>
        <v>0.196832946</v>
      </c>
      <c r="E5171" s="5">
        <f>IFERROR(__xludf.DUMMYFUNCTION("""COMPUTED_VALUE"""),0.11100902556342215)</f>
        <v>0.1110090256</v>
      </c>
      <c r="F5171" s="5">
        <f>IFERROR(__xludf.DUMMYFUNCTION("""COMPUTED_VALUE"""),0.18888828838566718)</f>
        <v>0.1888882884</v>
      </c>
      <c r="G5171" s="5">
        <f>IFERROR(__xludf.DUMMYFUNCTION("""COMPUTED_VALUE"""),0.1515429930281576)</f>
        <v>0.151542993</v>
      </c>
      <c r="H5171" s="5">
        <f>IFERROR(__xludf.DUMMYFUNCTION("""COMPUTED_VALUE"""),0.5985693848354793)</f>
        <v>0.5985693848</v>
      </c>
      <c r="I5171" s="11">
        <f>IFERROR(__xludf.DUMMYFUNCTION("""COMPUTED_VALUE"""),6103.032904148784)</f>
        <v>6103.032904</v>
      </c>
      <c r="J5171" s="10">
        <f>IFERROR(__xludf.DUMMYFUNCTION("""COMPUTED_VALUE"""),6.0)</f>
        <v>6</v>
      </c>
      <c r="K5171" s="5">
        <f>IFERROR(__xludf.DUMMYFUNCTION("""COMPUTED_VALUE"""),0.003464203233256351)</f>
        <v>0.003464203233</v>
      </c>
      <c r="L5171" s="10">
        <f>IFERROR(__xludf.DUMMYFUNCTION("""COMPUTED_VALUE"""),1732.0)</f>
        <v>1732</v>
      </c>
      <c r="M5171" s="5">
        <f>IFERROR(__xludf.DUMMYFUNCTION("""COMPUTED_VALUE"""),1.0)</f>
        <v>1</v>
      </c>
    </row>
    <row r="5172">
      <c r="A5172" s="10" t="str">
        <f>IFERROR(__xludf.DUMMYFUNCTION("""COMPUTED_VALUE"""),"burea6")</f>
        <v>burea6</v>
      </c>
      <c r="B5172" s="10">
        <f>IFERROR(__xludf.DUMMYFUNCTION("""COMPUTED_VALUE"""),1859.0)</f>
        <v>1859</v>
      </c>
      <c r="C5172" s="10">
        <f>IFERROR(__xludf.DUMMYFUNCTION("""COMPUTED_VALUE"""),21714.0)</f>
        <v>21714</v>
      </c>
      <c r="D5172" s="5">
        <f>IFERROR(__xludf.DUMMYFUNCTION("""COMPUTED_VALUE"""),0.32087635356333416)</f>
        <v>0.3208763536</v>
      </c>
      <c r="E5172" s="5">
        <f>IFERROR(__xludf.DUMMYFUNCTION("""COMPUTED_VALUE"""),0.11100478468899522)</f>
        <v>0.1110047847</v>
      </c>
      <c r="F5172" s="5">
        <f>IFERROR(__xludf.DUMMYFUNCTION("""COMPUTED_VALUE"""),0.20327373457567363)</f>
        <v>0.2032737346</v>
      </c>
      <c r="G5172" s="5">
        <f>IFERROR(__xludf.DUMMYFUNCTION("""COMPUTED_VALUE"""),0.16257869554268448)</f>
        <v>0.1625786955</v>
      </c>
      <c r="H5172" s="5">
        <f>IFERROR(__xludf.DUMMYFUNCTION("""COMPUTED_VALUE"""),0.6105054509415263)</f>
        <v>0.6105054509</v>
      </c>
      <c r="I5172" s="11">
        <f>IFERROR(__xludf.DUMMYFUNCTION("""COMPUTED_VALUE"""),5635.3567888999005)</f>
        <v>5635.356789</v>
      </c>
      <c r="J5172" s="10">
        <f>IFERROR(__xludf.DUMMYFUNCTION("""COMPUTED_VALUE"""),3.0)</f>
        <v>3</v>
      </c>
      <c r="K5172" s="5">
        <f>IFERROR(__xludf.DUMMYFUNCTION("""COMPUTED_VALUE"""),0.0016137708445400753)</f>
        <v>0.001613770845</v>
      </c>
      <c r="L5172" s="10">
        <f>IFERROR(__xludf.DUMMYFUNCTION("""COMPUTED_VALUE"""),1859.0)</f>
        <v>1859</v>
      </c>
      <c r="M5172" s="5">
        <f>IFERROR(__xludf.DUMMYFUNCTION("""COMPUTED_VALUE"""),1.0)</f>
        <v>1</v>
      </c>
    </row>
    <row r="5173">
      <c r="A5173" s="10" t="str">
        <f>IFERROR(__xludf.DUMMYFUNCTION("""COMPUTED_VALUE"""),"だいだい")</f>
        <v>だいだい</v>
      </c>
      <c r="B5173" s="10">
        <f>IFERROR(__xludf.DUMMYFUNCTION("""COMPUTED_VALUE"""),777.0)</f>
        <v>777</v>
      </c>
      <c r="C5173" s="10">
        <f>IFERROR(__xludf.DUMMYFUNCTION("""COMPUTED_VALUE"""),9201.0)</f>
        <v>9201</v>
      </c>
      <c r="D5173" s="5">
        <f>IFERROR(__xludf.DUMMYFUNCTION("""COMPUTED_VALUE"""),0.315289648622982)</f>
        <v>0.3152896486</v>
      </c>
      <c r="E5173" s="5">
        <f>IFERROR(__xludf.DUMMYFUNCTION("""COMPUTED_VALUE"""),0.11099240265906933)</f>
        <v>0.1109924027</v>
      </c>
      <c r="F5173" s="5">
        <f>IFERROR(__xludf.DUMMYFUNCTION("""COMPUTED_VALUE"""),0.2021604938271605)</f>
        <v>0.2021604938</v>
      </c>
      <c r="G5173" s="5">
        <f>IFERROR(__xludf.DUMMYFUNCTION("""COMPUTED_VALUE"""),0.1551519468186135)</f>
        <v>0.1551519468</v>
      </c>
      <c r="H5173" s="5">
        <f>IFERROR(__xludf.DUMMYFUNCTION("""COMPUTED_VALUE"""),0.5936582501467997)</f>
        <v>0.5936582501</v>
      </c>
      <c r="I5173" s="11">
        <f>IFERROR(__xludf.DUMMYFUNCTION("""COMPUTED_VALUE"""),5567.410452143276)</f>
        <v>5567.410452</v>
      </c>
      <c r="J5173" s="10">
        <f>IFERROR(__xludf.DUMMYFUNCTION("""COMPUTED_VALUE"""),1.0)</f>
        <v>1</v>
      </c>
      <c r="K5173" s="5">
        <f>IFERROR(__xludf.DUMMYFUNCTION("""COMPUTED_VALUE"""),0.001287001287001287)</f>
        <v>0.001287001287</v>
      </c>
      <c r="L5173" s="10">
        <f>IFERROR(__xludf.DUMMYFUNCTION("""COMPUTED_VALUE"""),777.0)</f>
        <v>777</v>
      </c>
      <c r="M5173" s="5">
        <f>IFERROR(__xludf.DUMMYFUNCTION("""COMPUTED_VALUE"""),1.0)</f>
        <v>1</v>
      </c>
    </row>
    <row r="5174">
      <c r="A5174" s="10" t="str">
        <f>IFERROR(__xludf.DUMMYFUNCTION("""COMPUTED_VALUE"""),"小走やえ大先輩")</f>
        <v>小走やえ大先輩</v>
      </c>
      <c r="B5174" s="10">
        <f>IFERROR(__xludf.DUMMYFUNCTION("""COMPUTED_VALUE"""),124.0)</f>
        <v>124</v>
      </c>
      <c r="C5174" s="10">
        <f>IFERROR(__xludf.DUMMYFUNCTION("""COMPUTED_VALUE"""),1485.0)</f>
        <v>1485</v>
      </c>
      <c r="D5174" s="5">
        <f>IFERROR(__xludf.DUMMYFUNCTION("""COMPUTED_VALUE"""),0.426157237325496)</f>
        <v>0.4261572373</v>
      </c>
      <c r="E5174" s="5">
        <f>IFERROR(__xludf.DUMMYFUNCTION("""COMPUTED_VALUE"""),0.1109478324761205)</f>
        <v>0.1109478325</v>
      </c>
      <c r="F5174" s="5">
        <f>IFERROR(__xludf.DUMMYFUNCTION("""COMPUTED_VALUE"""),0.21087435709037472)</f>
        <v>0.2108743571</v>
      </c>
      <c r="G5174" s="5">
        <f>IFERROR(__xludf.DUMMYFUNCTION("""COMPUTED_VALUE"""),0.14988978692138133)</f>
        <v>0.1498897869</v>
      </c>
      <c r="H5174" s="5">
        <f>IFERROR(__xludf.DUMMYFUNCTION("""COMPUTED_VALUE"""),0.5853658536585366)</f>
        <v>0.5853658537</v>
      </c>
      <c r="I5174" s="11">
        <f>IFERROR(__xludf.DUMMYFUNCTION("""COMPUTED_VALUE"""),4668.641114982578)</f>
        <v>4668.641115</v>
      </c>
      <c r="J5174" s="10">
        <f>IFERROR(__xludf.DUMMYFUNCTION("""COMPUTED_VALUE"""),0.0)</f>
        <v>0</v>
      </c>
      <c r="K5174" s="5">
        <f>IFERROR(__xludf.DUMMYFUNCTION("""COMPUTED_VALUE"""),0.0)</f>
        <v>0</v>
      </c>
      <c r="L5174" s="10">
        <f>IFERROR(__xludf.DUMMYFUNCTION("""COMPUTED_VALUE"""),0.0)</f>
        <v>0</v>
      </c>
      <c r="M5174" s="5">
        <f>IFERROR(__xludf.DUMMYFUNCTION("""COMPUTED_VALUE"""),0.0)</f>
        <v>0</v>
      </c>
    </row>
    <row r="5175">
      <c r="A5175" s="10" t="str">
        <f>IFERROR(__xludf.DUMMYFUNCTION("""COMPUTED_VALUE"""),"もりもりおにぎり")</f>
        <v>もりもりおにぎり</v>
      </c>
      <c r="B5175" s="10">
        <f>IFERROR(__xludf.DUMMYFUNCTION("""COMPUTED_VALUE"""),1668.0)</f>
        <v>1668</v>
      </c>
      <c r="C5175" s="10">
        <f>IFERROR(__xludf.DUMMYFUNCTION("""COMPUTED_VALUE"""),19330.0)</f>
        <v>19330</v>
      </c>
      <c r="D5175" s="5">
        <f>IFERROR(__xludf.DUMMYFUNCTION("""COMPUTED_VALUE"""),0.31219567432906803)</f>
        <v>0.3121956743</v>
      </c>
      <c r="E5175" s="5">
        <f>IFERROR(__xludf.DUMMYFUNCTION("""COMPUTED_VALUE"""),0.110916091042917)</f>
        <v>0.110916091</v>
      </c>
      <c r="F5175" s="5">
        <f>IFERROR(__xludf.DUMMYFUNCTION("""COMPUTED_VALUE"""),0.2051862756199751)</f>
        <v>0.2051862756</v>
      </c>
      <c r="G5175" s="5">
        <f>IFERROR(__xludf.DUMMYFUNCTION("""COMPUTED_VALUE"""),0.16878043256709319)</f>
        <v>0.1687804326</v>
      </c>
      <c r="H5175" s="5">
        <f>IFERROR(__xludf.DUMMYFUNCTION("""COMPUTED_VALUE"""),0.5905077262693157)</f>
        <v>0.5905077263</v>
      </c>
      <c r="I5175" s="11">
        <f>IFERROR(__xludf.DUMMYFUNCTION("""COMPUTED_VALUE"""),5771.550772626932)</f>
        <v>5771.550773</v>
      </c>
      <c r="J5175" s="10">
        <f>IFERROR(__xludf.DUMMYFUNCTION("""COMPUTED_VALUE"""),4.0)</f>
        <v>4</v>
      </c>
      <c r="K5175" s="5">
        <f>IFERROR(__xludf.DUMMYFUNCTION("""COMPUTED_VALUE"""),0.002398081534772182)</f>
        <v>0.002398081535</v>
      </c>
      <c r="L5175" s="10">
        <f>IFERROR(__xludf.DUMMYFUNCTION("""COMPUTED_VALUE"""),1668.0)</f>
        <v>1668</v>
      </c>
      <c r="M5175" s="5">
        <f>IFERROR(__xludf.DUMMYFUNCTION("""COMPUTED_VALUE"""),1.0)</f>
        <v>1</v>
      </c>
    </row>
    <row r="5176">
      <c r="A5176" s="10" t="str">
        <f>IFERROR(__xludf.DUMMYFUNCTION("""COMPUTED_VALUE"""),"ランブラー")</f>
        <v>ランブラー</v>
      </c>
      <c r="B5176" s="10">
        <f>IFERROR(__xludf.DUMMYFUNCTION("""COMPUTED_VALUE"""),203.0)</f>
        <v>203</v>
      </c>
      <c r="C5176" s="10">
        <f>IFERROR(__xludf.DUMMYFUNCTION("""COMPUTED_VALUE"""),2439.0)</f>
        <v>2439</v>
      </c>
      <c r="D5176" s="5">
        <f>IFERROR(__xludf.DUMMYFUNCTION("""COMPUTED_VALUE"""),0.3354203935599284)</f>
        <v>0.3354203936</v>
      </c>
      <c r="E5176" s="5">
        <f>IFERROR(__xludf.DUMMYFUNCTION("""COMPUTED_VALUE"""),0.11091234347048301)</f>
        <v>0.1109123435</v>
      </c>
      <c r="F5176" s="5">
        <f>IFERROR(__xludf.DUMMYFUNCTION("""COMPUTED_VALUE"""),0.20259391771019677)</f>
        <v>0.2025939177</v>
      </c>
      <c r="G5176" s="5">
        <f>IFERROR(__xludf.DUMMYFUNCTION("""COMPUTED_VALUE"""),0.15161001788908765)</f>
        <v>0.1516100179</v>
      </c>
      <c r="H5176" s="5">
        <f>IFERROR(__xludf.DUMMYFUNCTION("""COMPUTED_VALUE"""),0.5849889624724062)</f>
        <v>0.5849889625</v>
      </c>
      <c r="I5176" s="11">
        <f>IFERROR(__xludf.DUMMYFUNCTION("""COMPUTED_VALUE"""),5467.549668874172)</f>
        <v>5467.549669</v>
      </c>
      <c r="J5176" s="10">
        <f>IFERROR(__xludf.DUMMYFUNCTION("""COMPUTED_VALUE"""),0.0)</f>
        <v>0</v>
      </c>
      <c r="K5176" s="5">
        <f>IFERROR(__xludf.DUMMYFUNCTION("""COMPUTED_VALUE"""),0.0)</f>
        <v>0</v>
      </c>
      <c r="L5176" s="10">
        <f>IFERROR(__xludf.DUMMYFUNCTION("""COMPUTED_VALUE"""),203.0)</f>
        <v>203</v>
      </c>
      <c r="M5176" s="5">
        <f>IFERROR(__xludf.DUMMYFUNCTION("""COMPUTED_VALUE"""),1.0)</f>
        <v>1</v>
      </c>
    </row>
    <row r="5177">
      <c r="A5177" s="10" t="str">
        <f>IFERROR(__xludf.DUMMYFUNCTION("""COMPUTED_VALUE"""),"chapao")</f>
        <v>chapao</v>
      </c>
      <c r="B5177" s="10">
        <f>IFERROR(__xludf.DUMMYFUNCTION("""COMPUTED_VALUE"""),1396.0)</f>
        <v>1396</v>
      </c>
      <c r="C5177" s="10">
        <f>IFERROR(__xludf.DUMMYFUNCTION("""COMPUTED_VALUE"""),16355.0)</f>
        <v>16355</v>
      </c>
      <c r="D5177" s="5">
        <f>IFERROR(__xludf.DUMMYFUNCTION("""COMPUTED_VALUE"""),0.37482452035563874)</f>
        <v>0.3748245204</v>
      </c>
      <c r="E5177" s="5">
        <f>IFERROR(__xludf.DUMMYFUNCTION("""COMPUTED_VALUE"""),0.1109031352363126)</f>
        <v>0.1109031352</v>
      </c>
      <c r="F5177" s="5">
        <f>IFERROR(__xludf.DUMMYFUNCTION("""COMPUTED_VALUE"""),0.21398489203823784)</f>
        <v>0.213984892</v>
      </c>
      <c r="G5177" s="5">
        <f>IFERROR(__xludf.DUMMYFUNCTION("""COMPUTED_VALUE"""),0.16184236914232233)</f>
        <v>0.1618423691</v>
      </c>
      <c r="H5177" s="5">
        <f>IFERROR(__xludf.DUMMYFUNCTION("""COMPUTED_VALUE"""),0.612933458294283)</f>
        <v>0.6129334583</v>
      </c>
      <c r="I5177" s="11">
        <f>IFERROR(__xludf.DUMMYFUNCTION("""COMPUTED_VALUE"""),5225.585754451734)</f>
        <v>5225.585754</v>
      </c>
      <c r="J5177" s="10">
        <f>IFERROR(__xludf.DUMMYFUNCTION("""COMPUTED_VALUE"""),4.0)</f>
        <v>4</v>
      </c>
      <c r="K5177" s="5">
        <f>IFERROR(__xludf.DUMMYFUNCTION("""COMPUTED_VALUE"""),0.0028653295128939827)</f>
        <v>0.002865329513</v>
      </c>
      <c r="L5177" s="10">
        <f>IFERROR(__xludf.DUMMYFUNCTION("""COMPUTED_VALUE"""),1396.0)</f>
        <v>1396</v>
      </c>
      <c r="M5177" s="5">
        <f>IFERROR(__xludf.DUMMYFUNCTION("""COMPUTED_VALUE"""),1.0)</f>
        <v>1</v>
      </c>
    </row>
    <row r="5178">
      <c r="A5178" s="10" t="str">
        <f>IFERROR(__xludf.DUMMYFUNCTION("""COMPUTED_VALUE"""),"わかめudn")</f>
        <v>わかめudn</v>
      </c>
      <c r="B5178" s="10">
        <f>IFERROR(__xludf.DUMMYFUNCTION("""COMPUTED_VALUE"""),194.0)</f>
        <v>194</v>
      </c>
      <c r="C5178" s="10">
        <f>IFERROR(__xludf.DUMMYFUNCTION("""COMPUTED_VALUE"""),2223.0)</f>
        <v>2223</v>
      </c>
      <c r="D5178" s="5">
        <f>IFERROR(__xludf.DUMMYFUNCTION("""COMPUTED_VALUE"""),0.3233119763430261)</f>
        <v>0.3233119763</v>
      </c>
      <c r="E5178" s="5">
        <f>IFERROR(__xludf.DUMMYFUNCTION("""COMPUTED_VALUE"""),0.11089206505667816)</f>
        <v>0.1108920651</v>
      </c>
      <c r="F5178" s="5">
        <f>IFERROR(__xludf.DUMMYFUNCTION("""COMPUTED_VALUE"""),0.22178413011335632)</f>
        <v>0.2217841301</v>
      </c>
      <c r="G5178" s="5">
        <f>IFERROR(__xludf.DUMMYFUNCTION("""COMPUTED_VALUE"""),0.18679152291769344)</f>
        <v>0.1867915229</v>
      </c>
      <c r="H5178" s="5">
        <f>IFERROR(__xludf.DUMMYFUNCTION("""COMPUTED_VALUE"""),0.5688888888888889)</f>
        <v>0.5688888889</v>
      </c>
      <c r="I5178" s="11">
        <f>IFERROR(__xludf.DUMMYFUNCTION("""COMPUTED_VALUE"""),5875.111111111111)</f>
        <v>5875.111111</v>
      </c>
      <c r="J5178" s="10">
        <f>IFERROR(__xludf.DUMMYFUNCTION("""COMPUTED_VALUE"""),0.0)</f>
        <v>0</v>
      </c>
      <c r="K5178" s="5">
        <f>IFERROR(__xludf.DUMMYFUNCTION("""COMPUTED_VALUE"""),0.0)</f>
        <v>0</v>
      </c>
      <c r="L5178" s="10">
        <f>IFERROR(__xludf.DUMMYFUNCTION("""COMPUTED_VALUE"""),194.0)</f>
        <v>194</v>
      </c>
      <c r="M5178" s="5">
        <f>IFERROR(__xludf.DUMMYFUNCTION("""COMPUTED_VALUE"""),1.0)</f>
        <v>1</v>
      </c>
    </row>
    <row r="5179">
      <c r="A5179" s="10" t="str">
        <f>IFERROR(__xludf.DUMMYFUNCTION("""COMPUTED_VALUE"""),"誠也")</f>
        <v>誠也</v>
      </c>
      <c r="B5179" s="10">
        <f>IFERROR(__xludf.DUMMYFUNCTION("""COMPUTED_VALUE"""),173.0)</f>
        <v>173</v>
      </c>
      <c r="C5179" s="10">
        <f>IFERROR(__xludf.DUMMYFUNCTION("""COMPUTED_VALUE"""),1995.0)</f>
        <v>1995</v>
      </c>
      <c r="D5179" s="5">
        <f>IFERROR(__xludf.DUMMYFUNCTION("""COMPUTED_VALUE"""),0.2826564215148189)</f>
        <v>0.2826564215</v>
      </c>
      <c r="E5179" s="5">
        <f>IFERROR(__xludf.DUMMYFUNCTION("""COMPUTED_VALUE"""),0.11086717892425905)</f>
        <v>0.1108671789</v>
      </c>
      <c r="F5179" s="5">
        <f>IFERROR(__xludf.DUMMYFUNCTION("""COMPUTED_VALUE"""),0.1712403951701427)</f>
        <v>0.1712403952</v>
      </c>
      <c r="G5179" s="5">
        <f>IFERROR(__xludf.DUMMYFUNCTION("""COMPUTED_VALUE"""),0.13721185510428102)</f>
        <v>0.1372118551</v>
      </c>
      <c r="H5179" s="5">
        <f>IFERROR(__xludf.DUMMYFUNCTION("""COMPUTED_VALUE"""),0.5576923076923077)</f>
        <v>0.5576923077</v>
      </c>
      <c r="I5179" s="11">
        <f>IFERROR(__xludf.DUMMYFUNCTION("""COMPUTED_VALUE"""),6398.397435897436)</f>
        <v>6398.397436</v>
      </c>
      <c r="J5179" s="10">
        <f>IFERROR(__xludf.DUMMYFUNCTION("""COMPUTED_VALUE"""),1.0)</f>
        <v>1</v>
      </c>
      <c r="K5179" s="5">
        <f>IFERROR(__xludf.DUMMYFUNCTION("""COMPUTED_VALUE"""),0.005780346820809248)</f>
        <v>0.005780346821</v>
      </c>
      <c r="L5179" s="10">
        <f>IFERROR(__xludf.DUMMYFUNCTION("""COMPUTED_VALUE"""),173.0)</f>
        <v>173</v>
      </c>
      <c r="M5179" s="5">
        <f>IFERROR(__xludf.DUMMYFUNCTION("""COMPUTED_VALUE"""),1.0)</f>
        <v>1</v>
      </c>
    </row>
    <row r="5180">
      <c r="A5180" s="10" t="str">
        <f>IFERROR(__xludf.DUMMYFUNCTION("""COMPUTED_VALUE"""),"ふか")</f>
        <v>ふか</v>
      </c>
      <c r="B5180" s="10">
        <f>IFERROR(__xludf.DUMMYFUNCTION("""COMPUTED_VALUE"""),4032.0)</f>
        <v>4032</v>
      </c>
      <c r="C5180" s="10">
        <f>IFERROR(__xludf.DUMMYFUNCTION("""COMPUTED_VALUE"""),47566.0)</f>
        <v>47566</v>
      </c>
      <c r="D5180" s="5">
        <f>IFERROR(__xludf.DUMMYFUNCTION("""COMPUTED_VALUE"""),0.3376441402122479)</f>
        <v>0.3376441402</v>
      </c>
      <c r="E5180" s="5">
        <f>IFERROR(__xludf.DUMMYFUNCTION("""COMPUTED_VALUE"""),0.11085588275830385)</f>
        <v>0.1108558828</v>
      </c>
      <c r="F5180" s="5">
        <f>IFERROR(__xludf.DUMMYFUNCTION("""COMPUTED_VALUE"""),0.21121422336564524)</f>
        <v>0.2112142234</v>
      </c>
      <c r="G5180" s="5">
        <f>IFERROR(__xludf.DUMMYFUNCTION("""COMPUTED_VALUE"""),0.16727155786281986)</f>
        <v>0.1672715579</v>
      </c>
      <c r="H5180" s="5">
        <f>IFERROR(__xludf.DUMMYFUNCTION("""COMPUTED_VALUE"""),0.5906470908102229)</f>
        <v>0.5906470908</v>
      </c>
      <c r="I5180" s="11">
        <f>IFERROR(__xludf.DUMMYFUNCTION("""COMPUTED_VALUE"""),5473.322457857531)</f>
        <v>5473.322458</v>
      </c>
      <c r="J5180" s="10">
        <f>IFERROR(__xludf.DUMMYFUNCTION("""COMPUTED_VALUE"""),10.0)</f>
        <v>10</v>
      </c>
      <c r="K5180" s="5">
        <f>IFERROR(__xludf.DUMMYFUNCTION("""COMPUTED_VALUE"""),0.00248015873015873)</f>
        <v>0.00248015873</v>
      </c>
      <c r="L5180" s="10">
        <f>IFERROR(__xludf.DUMMYFUNCTION("""COMPUTED_VALUE"""),4032.0)</f>
        <v>4032</v>
      </c>
      <c r="M5180" s="5">
        <f>IFERROR(__xludf.DUMMYFUNCTION("""COMPUTED_VALUE"""),1.0)</f>
        <v>1</v>
      </c>
    </row>
    <row r="5181">
      <c r="A5181" s="10" t="str">
        <f>IFERROR(__xludf.DUMMYFUNCTION("""COMPUTED_VALUE"""),"ブルブルハーツ")</f>
        <v>ブルブルハーツ</v>
      </c>
      <c r="B5181" s="10">
        <f>IFERROR(__xludf.DUMMYFUNCTION("""COMPUTED_VALUE"""),6695.0)</f>
        <v>6695</v>
      </c>
      <c r="C5181" s="10">
        <f>IFERROR(__xludf.DUMMYFUNCTION("""COMPUTED_VALUE"""),79381.0)</f>
        <v>79381</v>
      </c>
      <c r="D5181" s="5">
        <f>IFERROR(__xludf.DUMMYFUNCTION("""COMPUTED_VALUE"""),0.3528602481908483)</f>
        <v>0.3528602482</v>
      </c>
      <c r="E5181" s="5">
        <f>IFERROR(__xludf.DUMMYFUNCTION("""COMPUTED_VALUE"""),0.11084665547698319)</f>
        <v>0.1108466555</v>
      </c>
      <c r="F5181" s="5">
        <f>IFERROR(__xludf.DUMMYFUNCTION("""COMPUTED_VALUE"""),0.20376688770877474)</f>
        <v>0.2037668877</v>
      </c>
      <c r="G5181" s="5">
        <f>IFERROR(__xludf.DUMMYFUNCTION("""COMPUTED_VALUE"""),0.1349778499298352)</f>
        <v>0.1349778499</v>
      </c>
      <c r="H5181" s="5">
        <f>IFERROR(__xludf.DUMMYFUNCTION("""COMPUTED_VALUE"""),0.5990142461683884)</f>
        <v>0.5990142462</v>
      </c>
      <c r="I5181" s="11">
        <f>IFERROR(__xludf.DUMMYFUNCTION("""COMPUTED_VALUE"""),5597.765174532442)</f>
        <v>5597.765175</v>
      </c>
      <c r="J5181" s="10">
        <f>IFERROR(__xludf.DUMMYFUNCTION("""COMPUTED_VALUE"""),7.0)</f>
        <v>7</v>
      </c>
      <c r="K5181" s="5">
        <f>IFERROR(__xludf.DUMMYFUNCTION("""COMPUTED_VALUE"""),0.0010455563853622107)</f>
        <v>0.001045556385</v>
      </c>
      <c r="L5181" s="10">
        <f>IFERROR(__xludf.DUMMYFUNCTION("""COMPUTED_VALUE"""),6350.0)</f>
        <v>6350</v>
      </c>
      <c r="M5181" s="5">
        <f>IFERROR(__xludf.DUMMYFUNCTION("""COMPUTED_VALUE"""),0.9484690067214339)</f>
        <v>0.9484690067</v>
      </c>
    </row>
    <row r="5182">
      <c r="A5182" s="10" t="str">
        <f>IFERROR(__xludf.DUMMYFUNCTION("""COMPUTED_VALUE"""),"tomoyu")</f>
        <v>tomoyu</v>
      </c>
      <c r="B5182" s="10">
        <f>IFERROR(__xludf.DUMMYFUNCTION("""COMPUTED_VALUE"""),103.0)</f>
        <v>103</v>
      </c>
      <c r="C5182" s="10">
        <f>IFERROR(__xludf.DUMMYFUNCTION("""COMPUTED_VALUE"""),1222.0)</f>
        <v>1222</v>
      </c>
      <c r="D5182" s="5">
        <f>IFERROR(__xludf.DUMMYFUNCTION("""COMPUTED_VALUE"""),0.30563002680965146)</f>
        <v>0.3056300268</v>
      </c>
      <c r="E5182" s="5">
        <f>IFERROR(__xludf.DUMMYFUNCTION("""COMPUTED_VALUE"""),0.11081322609472744)</f>
        <v>0.1108132261</v>
      </c>
      <c r="F5182" s="5">
        <f>IFERROR(__xludf.DUMMYFUNCTION("""COMPUTED_VALUE"""),0.18498659517426275)</f>
        <v>0.1849865952</v>
      </c>
      <c r="G5182" s="5">
        <f>IFERROR(__xludf.DUMMYFUNCTION("""COMPUTED_VALUE"""),0.16085790884718498)</f>
        <v>0.1608579088</v>
      </c>
      <c r="H5182" s="5">
        <f>IFERROR(__xludf.DUMMYFUNCTION("""COMPUTED_VALUE"""),0.5120772946859904)</f>
        <v>0.5120772947</v>
      </c>
      <c r="I5182" s="11">
        <f>IFERROR(__xludf.DUMMYFUNCTION("""COMPUTED_VALUE"""),5422.705314009662)</f>
        <v>5422.705314</v>
      </c>
      <c r="J5182" s="10">
        <f>IFERROR(__xludf.DUMMYFUNCTION("""COMPUTED_VALUE"""),0.0)</f>
        <v>0</v>
      </c>
      <c r="K5182" s="5">
        <f>IFERROR(__xludf.DUMMYFUNCTION("""COMPUTED_VALUE"""),0.0)</f>
        <v>0</v>
      </c>
      <c r="L5182" s="10">
        <f>IFERROR(__xludf.DUMMYFUNCTION("""COMPUTED_VALUE"""),101.0)</f>
        <v>101</v>
      </c>
      <c r="M5182" s="5">
        <f>IFERROR(__xludf.DUMMYFUNCTION("""COMPUTED_VALUE"""),0.9805825242718447)</f>
        <v>0.9805825243</v>
      </c>
    </row>
    <row r="5183">
      <c r="A5183" s="10" t="str">
        <f>IFERROR(__xludf.DUMMYFUNCTION("""COMPUTED_VALUE"""),"moti72..")</f>
        <v>moti72..</v>
      </c>
      <c r="B5183" s="10">
        <f>IFERROR(__xludf.DUMMYFUNCTION("""COMPUTED_VALUE"""),1574.0)</f>
        <v>1574</v>
      </c>
      <c r="C5183" s="10">
        <f>IFERROR(__xludf.DUMMYFUNCTION("""COMPUTED_VALUE"""),18802.0)</f>
        <v>18802</v>
      </c>
      <c r="D5183" s="5">
        <f>IFERROR(__xludf.DUMMYFUNCTION("""COMPUTED_VALUE"""),0.3677733921523102)</f>
        <v>0.3677733922</v>
      </c>
      <c r="E5183" s="5">
        <f>IFERROR(__xludf.DUMMYFUNCTION("""COMPUTED_VALUE"""),0.11080798699791038)</f>
        <v>0.110807987</v>
      </c>
      <c r="F5183" s="5">
        <f>IFERROR(__xludf.DUMMYFUNCTION("""COMPUTED_VALUE"""),0.1928256326909682)</f>
        <v>0.1928256327</v>
      </c>
      <c r="G5183" s="5">
        <f>IFERROR(__xludf.DUMMYFUNCTION("""COMPUTED_VALUE"""),0.1535871836545159)</f>
        <v>0.1535871837</v>
      </c>
      <c r="H5183" s="5">
        <f>IFERROR(__xludf.DUMMYFUNCTION("""COMPUTED_VALUE"""),0.5963275135460566)</f>
        <v>0.5963275135</v>
      </c>
      <c r="I5183" s="11">
        <f>IFERROR(__xludf.DUMMYFUNCTION("""COMPUTED_VALUE"""),5325.888019265502)</f>
        <v>5325.888019</v>
      </c>
      <c r="J5183" s="10">
        <f>IFERROR(__xludf.DUMMYFUNCTION("""COMPUTED_VALUE"""),1.0)</f>
        <v>1</v>
      </c>
      <c r="K5183" s="5">
        <f>IFERROR(__xludf.DUMMYFUNCTION("""COMPUTED_VALUE"""),6.353240152477764E-4)</f>
        <v>0.0006353240152</v>
      </c>
      <c r="L5183" s="10">
        <f>IFERROR(__xludf.DUMMYFUNCTION("""COMPUTED_VALUE"""),1574.0)</f>
        <v>1574</v>
      </c>
      <c r="M5183" s="5">
        <f>IFERROR(__xludf.DUMMYFUNCTION("""COMPUTED_VALUE"""),1.0)</f>
        <v>1</v>
      </c>
    </row>
    <row r="5184">
      <c r="A5184" s="10" t="str">
        <f>IFERROR(__xludf.DUMMYFUNCTION("""COMPUTED_VALUE"""),"zxrlha")</f>
        <v>zxrlha</v>
      </c>
      <c r="B5184" s="10">
        <f>IFERROR(__xludf.DUMMYFUNCTION("""COMPUTED_VALUE"""),169.0)</f>
        <v>169</v>
      </c>
      <c r="C5184" s="10">
        <f>IFERROR(__xludf.DUMMYFUNCTION("""COMPUTED_VALUE"""),1974.0)</f>
        <v>1974</v>
      </c>
      <c r="D5184" s="5">
        <f>IFERROR(__xludf.DUMMYFUNCTION("""COMPUTED_VALUE"""),0.3268698060941828)</f>
        <v>0.3268698061</v>
      </c>
      <c r="E5184" s="5">
        <f>IFERROR(__xludf.DUMMYFUNCTION("""COMPUTED_VALUE"""),0.11080332409972299)</f>
        <v>0.1108033241</v>
      </c>
      <c r="F5184" s="5">
        <f>IFERROR(__xludf.DUMMYFUNCTION("""COMPUTED_VALUE"""),0.2083102493074792)</f>
        <v>0.2083102493</v>
      </c>
      <c r="G5184" s="5">
        <f>IFERROR(__xludf.DUMMYFUNCTION("""COMPUTED_VALUE"""),0.16232686980609418)</f>
        <v>0.1623268698</v>
      </c>
      <c r="H5184" s="5">
        <f>IFERROR(__xludf.DUMMYFUNCTION("""COMPUTED_VALUE"""),0.574468085106383)</f>
        <v>0.5744680851</v>
      </c>
      <c r="I5184" s="11">
        <f>IFERROR(__xludf.DUMMYFUNCTION("""COMPUTED_VALUE"""),5233.510638297872)</f>
        <v>5233.510638</v>
      </c>
      <c r="J5184" s="10">
        <f>IFERROR(__xludf.DUMMYFUNCTION("""COMPUTED_VALUE"""),1.0)</f>
        <v>1</v>
      </c>
      <c r="K5184" s="5">
        <f>IFERROR(__xludf.DUMMYFUNCTION("""COMPUTED_VALUE"""),0.005917159763313609)</f>
        <v>0.005917159763</v>
      </c>
      <c r="L5184" s="10">
        <f>IFERROR(__xludf.DUMMYFUNCTION("""COMPUTED_VALUE"""),169.0)</f>
        <v>169</v>
      </c>
      <c r="M5184" s="5">
        <f>IFERROR(__xludf.DUMMYFUNCTION("""COMPUTED_VALUE"""),1.0)</f>
        <v>1</v>
      </c>
    </row>
    <row r="5185">
      <c r="A5185" s="10" t="str">
        <f>IFERROR(__xludf.DUMMYFUNCTION("""COMPUTED_VALUE"""),"haRurun")</f>
        <v>haRurun</v>
      </c>
      <c r="B5185" s="10">
        <f>IFERROR(__xludf.DUMMYFUNCTION("""COMPUTED_VALUE"""),448.0)</f>
        <v>448</v>
      </c>
      <c r="C5185" s="10">
        <f>IFERROR(__xludf.DUMMYFUNCTION("""COMPUTED_VALUE"""),5259.0)</f>
        <v>5259</v>
      </c>
      <c r="D5185" s="5">
        <f>IFERROR(__xludf.DUMMYFUNCTION("""COMPUTED_VALUE"""),0.3504468925379339)</f>
        <v>0.3504468925</v>
      </c>
      <c r="E5185" s="5">
        <f>IFERROR(__xludf.DUMMYFUNCTION("""COMPUTED_VALUE"""),0.11078777800872999)</f>
        <v>0.110787778</v>
      </c>
      <c r="F5185" s="5">
        <f>IFERROR(__xludf.DUMMYFUNCTION("""COMPUTED_VALUE"""),0.2028684265225525)</f>
        <v>0.2028684265</v>
      </c>
      <c r="G5185" s="5">
        <f>IFERROR(__xludf.DUMMYFUNCTION("""COMPUTED_VALUE"""),0.1523591768863022)</f>
        <v>0.1523591769</v>
      </c>
      <c r="H5185" s="5">
        <f>IFERROR(__xludf.DUMMYFUNCTION("""COMPUTED_VALUE"""),0.5922131147540983)</f>
        <v>0.5922131148</v>
      </c>
      <c r="I5185" s="11">
        <f>IFERROR(__xludf.DUMMYFUNCTION("""COMPUTED_VALUE"""),5636.577868852459)</f>
        <v>5636.577869</v>
      </c>
      <c r="J5185" s="10">
        <f>IFERROR(__xludf.DUMMYFUNCTION("""COMPUTED_VALUE"""),0.0)</f>
        <v>0</v>
      </c>
      <c r="K5185" s="5">
        <f>IFERROR(__xludf.DUMMYFUNCTION("""COMPUTED_VALUE"""),0.0)</f>
        <v>0</v>
      </c>
      <c r="L5185" s="10">
        <f>IFERROR(__xludf.DUMMYFUNCTION("""COMPUTED_VALUE"""),448.0)</f>
        <v>448</v>
      </c>
      <c r="M5185" s="5">
        <f>IFERROR(__xludf.DUMMYFUNCTION("""COMPUTED_VALUE"""),1.0)</f>
        <v>1</v>
      </c>
    </row>
    <row r="5186">
      <c r="A5186" s="10" t="str">
        <f>IFERROR(__xludf.DUMMYFUNCTION("""COMPUTED_VALUE"""),"宮路真春")</f>
        <v>宮路真春</v>
      </c>
      <c r="B5186" s="10">
        <f>IFERROR(__xludf.DUMMYFUNCTION("""COMPUTED_VALUE"""),252.0)</f>
        <v>252</v>
      </c>
      <c r="C5186" s="10">
        <f>IFERROR(__xludf.DUMMYFUNCTION("""COMPUTED_VALUE"""),2915.0)</f>
        <v>2915</v>
      </c>
      <c r="D5186" s="5">
        <f>IFERROR(__xludf.DUMMYFUNCTION("""COMPUTED_VALUE"""),0.3304543747653023)</f>
        <v>0.3304543748</v>
      </c>
      <c r="E5186" s="5">
        <f>IFERROR(__xludf.DUMMYFUNCTION("""COMPUTED_VALUE"""),0.11077731881336839)</f>
        <v>0.1107773188</v>
      </c>
      <c r="F5186" s="5">
        <f>IFERROR(__xludf.DUMMYFUNCTION("""COMPUTED_VALUE"""),0.20540743522343222)</f>
        <v>0.2054074352</v>
      </c>
      <c r="G5186" s="5">
        <f>IFERROR(__xludf.DUMMYFUNCTION("""COMPUTED_VALUE"""),0.19977469019902366)</f>
        <v>0.1997746902</v>
      </c>
      <c r="H5186" s="5">
        <f>IFERROR(__xludf.DUMMYFUNCTION("""COMPUTED_VALUE"""),0.623400365630713)</f>
        <v>0.6234003656</v>
      </c>
      <c r="I5186" s="11">
        <f>IFERROR(__xludf.DUMMYFUNCTION("""COMPUTED_VALUE"""),5580.438756855576)</f>
        <v>5580.438757</v>
      </c>
      <c r="J5186" s="10">
        <f>IFERROR(__xludf.DUMMYFUNCTION("""COMPUTED_VALUE"""),0.0)</f>
        <v>0</v>
      </c>
      <c r="K5186" s="5">
        <f>IFERROR(__xludf.DUMMYFUNCTION("""COMPUTED_VALUE"""),0.0)</f>
        <v>0</v>
      </c>
      <c r="L5186" s="10">
        <f>IFERROR(__xludf.DUMMYFUNCTION("""COMPUTED_VALUE"""),13.0)</f>
        <v>13</v>
      </c>
      <c r="M5186" s="5">
        <f>IFERROR(__xludf.DUMMYFUNCTION("""COMPUTED_VALUE"""),0.051587301587301584)</f>
        <v>0.05158730159</v>
      </c>
    </row>
    <row r="5187">
      <c r="A5187" s="10" t="str">
        <f>IFERROR(__xludf.DUMMYFUNCTION("""COMPUTED_VALUE"""),"くまざわ")</f>
        <v>くまざわ</v>
      </c>
      <c r="B5187" s="10">
        <f>IFERROR(__xludf.DUMMYFUNCTION("""COMPUTED_VALUE"""),1402.0)</f>
        <v>1402</v>
      </c>
      <c r="C5187" s="10">
        <f>IFERROR(__xludf.DUMMYFUNCTION("""COMPUTED_VALUE"""),16297.0)</f>
        <v>16297</v>
      </c>
      <c r="D5187" s="5">
        <f>IFERROR(__xludf.DUMMYFUNCTION("""COMPUTED_VALUE"""),0.3356831151393085)</f>
        <v>0.3356831151</v>
      </c>
      <c r="E5187" s="5">
        <f>IFERROR(__xludf.DUMMYFUNCTION("""COMPUTED_VALUE"""),0.1107754279959718)</f>
        <v>0.110775428</v>
      </c>
      <c r="F5187" s="5">
        <f>IFERROR(__xludf.DUMMYFUNCTION("""COMPUTED_VALUE"""),0.20154414232964082)</f>
        <v>0.2015441423</v>
      </c>
      <c r="G5187" s="5">
        <f>IFERROR(__xludf.DUMMYFUNCTION("""COMPUTED_VALUE"""),0.17274253105068815)</f>
        <v>0.1727425311</v>
      </c>
      <c r="H5187" s="5">
        <f>IFERROR(__xludf.DUMMYFUNCTION("""COMPUTED_VALUE"""),0.59526982011992)</f>
        <v>0.5952698201</v>
      </c>
      <c r="I5187" s="11">
        <f>IFERROR(__xludf.DUMMYFUNCTION("""COMPUTED_VALUE"""),5625.283144570287)</f>
        <v>5625.283145</v>
      </c>
      <c r="J5187" s="10">
        <f>IFERROR(__xludf.DUMMYFUNCTION("""COMPUTED_VALUE"""),3.0)</f>
        <v>3</v>
      </c>
      <c r="K5187" s="5">
        <f>IFERROR(__xludf.DUMMYFUNCTION("""COMPUTED_VALUE"""),0.0021398002853067048)</f>
        <v>0.002139800285</v>
      </c>
      <c r="L5187" s="10">
        <f>IFERROR(__xludf.DUMMYFUNCTION("""COMPUTED_VALUE"""),1389.0)</f>
        <v>1389</v>
      </c>
      <c r="M5187" s="5">
        <f>IFERROR(__xludf.DUMMYFUNCTION("""COMPUTED_VALUE"""),0.9907275320970043)</f>
        <v>0.9907275321</v>
      </c>
    </row>
    <row r="5188">
      <c r="A5188" s="10" t="str">
        <f>IFERROR(__xludf.DUMMYFUNCTION("""COMPUTED_VALUE"""),"at東山奈央")</f>
        <v>at東山奈央</v>
      </c>
      <c r="B5188" s="10">
        <f>IFERROR(__xludf.DUMMYFUNCTION("""COMPUTED_VALUE"""),668.0)</f>
        <v>668</v>
      </c>
      <c r="C5188" s="10">
        <f>IFERROR(__xludf.DUMMYFUNCTION("""COMPUTED_VALUE"""),7908.0)</f>
        <v>7908</v>
      </c>
      <c r="D5188" s="5">
        <f>IFERROR(__xludf.DUMMYFUNCTION("""COMPUTED_VALUE"""),0.34930939226519336)</f>
        <v>0.3493093923</v>
      </c>
      <c r="E5188" s="5">
        <f>IFERROR(__xludf.DUMMYFUNCTION("""COMPUTED_VALUE"""),0.11077348066298343)</f>
        <v>0.1107734807</v>
      </c>
      <c r="F5188" s="5">
        <f>IFERROR(__xludf.DUMMYFUNCTION("""COMPUTED_VALUE"""),0.19848066298342543)</f>
        <v>0.198480663</v>
      </c>
      <c r="G5188" s="5">
        <f>IFERROR(__xludf.DUMMYFUNCTION("""COMPUTED_VALUE"""),0.1632596685082873)</f>
        <v>0.1632596685</v>
      </c>
      <c r="H5188" s="5">
        <f>IFERROR(__xludf.DUMMYFUNCTION("""COMPUTED_VALUE"""),0.592901878914405)</f>
        <v>0.5929018789</v>
      </c>
      <c r="I5188" s="11">
        <f>IFERROR(__xludf.DUMMYFUNCTION("""COMPUTED_VALUE"""),5524.425887265135)</f>
        <v>5524.425887</v>
      </c>
      <c r="J5188" s="10">
        <f>IFERROR(__xludf.DUMMYFUNCTION("""COMPUTED_VALUE"""),0.0)</f>
        <v>0</v>
      </c>
      <c r="K5188" s="5">
        <f>IFERROR(__xludf.DUMMYFUNCTION("""COMPUTED_VALUE"""),0.0)</f>
        <v>0</v>
      </c>
      <c r="L5188" s="10">
        <f>IFERROR(__xludf.DUMMYFUNCTION("""COMPUTED_VALUE"""),642.0)</f>
        <v>642</v>
      </c>
      <c r="M5188" s="5">
        <f>IFERROR(__xludf.DUMMYFUNCTION("""COMPUTED_VALUE"""),0.9610778443113772)</f>
        <v>0.9610778443</v>
      </c>
    </row>
    <row r="5189">
      <c r="A5189" s="10" t="str">
        <f>IFERROR(__xludf.DUMMYFUNCTION("""COMPUTED_VALUE"""),"守村桜弥")</f>
        <v>守村桜弥</v>
      </c>
      <c r="B5189" s="10">
        <f>IFERROR(__xludf.DUMMYFUNCTION("""COMPUTED_VALUE"""),3649.0)</f>
        <v>3649</v>
      </c>
      <c r="C5189" s="10">
        <f>IFERROR(__xludf.DUMMYFUNCTION("""COMPUTED_VALUE"""),42738.0)</f>
        <v>42738</v>
      </c>
      <c r="D5189" s="5">
        <f>IFERROR(__xludf.DUMMYFUNCTION("""COMPUTED_VALUE"""),0.35209393947146256)</f>
        <v>0.3520939395</v>
      </c>
      <c r="E5189" s="5">
        <f>IFERROR(__xludf.DUMMYFUNCTION("""COMPUTED_VALUE"""),0.11077285169740848)</f>
        <v>0.1107728517</v>
      </c>
      <c r="F5189" s="5">
        <f>IFERROR(__xludf.DUMMYFUNCTION("""COMPUTED_VALUE"""),0.20448207935736396)</f>
        <v>0.2044820794</v>
      </c>
      <c r="G5189" s="5">
        <f>IFERROR(__xludf.DUMMYFUNCTION("""COMPUTED_VALUE"""),0.15321445931080355)</f>
        <v>0.1532144593</v>
      </c>
      <c r="H5189" s="5">
        <f>IFERROR(__xludf.DUMMYFUNCTION("""COMPUTED_VALUE"""),0.6075315901413737)</f>
        <v>0.6075315901</v>
      </c>
      <c r="I5189" s="11">
        <f>IFERROR(__xludf.DUMMYFUNCTION("""COMPUTED_VALUE"""),5597.285124483923)</f>
        <v>5597.285124</v>
      </c>
      <c r="J5189" s="10">
        <f>IFERROR(__xludf.DUMMYFUNCTION("""COMPUTED_VALUE"""),8.0)</f>
        <v>8</v>
      </c>
      <c r="K5189" s="5">
        <f>IFERROR(__xludf.DUMMYFUNCTION("""COMPUTED_VALUE"""),0.0021923814743765417)</f>
        <v>0.002192381474</v>
      </c>
      <c r="L5189" s="10">
        <f>IFERROR(__xludf.DUMMYFUNCTION("""COMPUTED_VALUE"""),3521.0)</f>
        <v>3521</v>
      </c>
      <c r="M5189" s="5">
        <f>IFERROR(__xludf.DUMMYFUNCTION("""COMPUTED_VALUE"""),0.9649218964099754)</f>
        <v>0.9649218964</v>
      </c>
    </row>
    <row r="5190">
      <c r="A5190" s="10" t="str">
        <f>IFERROR(__xludf.DUMMYFUNCTION("""COMPUTED_VALUE"""),"〓宮森あおい〓")</f>
        <v>〓宮森あおい〓</v>
      </c>
      <c r="B5190" s="10">
        <f>IFERROR(__xludf.DUMMYFUNCTION("""COMPUTED_VALUE"""),2535.0)</f>
        <v>2535</v>
      </c>
      <c r="C5190" s="10">
        <f>IFERROR(__xludf.DUMMYFUNCTION("""COMPUTED_VALUE"""),29652.0)</f>
        <v>29652</v>
      </c>
      <c r="D5190" s="5">
        <f>IFERROR(__xludf.DUMMYFUNCTION("""COMPUTED_VALUE"""),0.32927683740826785)</f>
        <v>0.3292768374</v>
      </c>
      <c r="E5190" s="5">
        <f>IFERROR(__xludf.DUMMYFUNCTION("""COMPUTED_VALUE"""),0.11074233875428698)</f>
        <v>0.1107423388</v>
      </c>
      <c r="F5190" s="5">
        <f>IFERROR(__xludf.DUMMYFUNCTION("""COMPUTED_VALUE"""),0.20806136372017553)</f>
        <v>0.2080613637</v>
      </c>
      <c r="G5190" s="5">
        <f>IFERROR(__xludf.DUMMYFUNCTION("""COMPUTED_VALUE"""),0.18257919386362798)</f>
        <v>0.1825791939</v>
      </c>
      <c r="H5190" s="5">
        <f>IFERROR(__xludf.DUMMYFUNCTION("""COMPUTED_VALUE"""),0.5891527827011698)</f>
        <v>0.5891527827</v>
      </c>
      <c r="I5190" s="11">
        <f>IFERROR(__xludf.DUMMYFUNCTION("""COMPUTED_VALUE"""),5809.730591988657)</f>
        <v>5809.730592</v>
      </c>
      <c r="J5190" s="10">
        <f>IFERROR(__xludf.DUMMYFUNCTION("""COMPUTED_VALUE"""),5.0)</f>
        <v>5</v>
      </c>
      <c r="K5190" s="5">
        <f>IFERROR(__xludf.DUMMYFUNCTION("""COMPUTED_VALUE"""),0.0019723865877712033)</f>
        <v>0.001972386588</v>
      </c>
      <c r="L5190" s="10">
        <f>IFERROR(__xludf.DUMMYFUNCTION("""COMPUTED_VALUE"""),307.0)</f>
        <v>307</v>
      </c>
      <c r="M5190" s="5">
        <f>IFERROR(__xludf.DUMMYFUNCTION("""COMPUTED_VALUE"""),0.12110453648915187)</f>
        <v>0.1211045365</v>
      </c>
    </row>
    <row r="5191">
      <c r="A5191" s="10" t="str">
        <f>IFERROR(__xludf.DUMMYFUNCTION("""COMPUTED_VALUE"""),"とれもろ")</f>
        <v>とれもろ</v>
      </c>
      <c r="B5191" s="10">
        <f>IFERROR(__xludf.DUMMYFUNCTION("""COMPUTED_VALUE"""),627.0)</f>
        <v>627</v>
      </c>
      <c r="C5191" s="10">
        <f>IFERROR(__xludf.DUMMYFUNCTION("""COMPUTED_VALUE"""),7383.0)</f>
        <v>7383</v>
      </c>
      <c r="D5191" s="5">
        <f>IFERROR(__xludf.DUMMYFUNCTION("""COMPUTED_VALUE"""),0.3613084665482534)</f>
        <v>0.3613084665</v>
      </c>
      <c r="E5191" s="5">
        <f>IFERROR(__xludf.DUMMYFUNCTION("""COMPUTED_VALUE"""),0.11071640023682652)</f>
        <v>0.1107164002</v>
      </c>
      <c r="F5191" s="5">
        <f>IFERROR(__xludf.DUMMYFUNCTION("""COMPUTED_VALUE"""),0.2070751924215512)</f>
        <v>0.2070751924</v>
      </c>
      <c r="G5191" s="5">
        <f>IFERROR(__xludf.DUMMYFUNCTION("""COMPUTED_VALUE"""),0.15852575488454707)</f>
        <v>0.1585257549</v>
      </c>
      <c r="H5191" s="5">
        <f>IFERROR(__xludf.DUMMYFUNCTION("""COMPUTED_VALUE"""),0.5732666190135811)</f>
        <v>0.573266619</v>
      </c>
      <c r="I5191" s="11">
        <f>IFERROR(__xludf.DUMMYFUNCTION("""COMPUTED_VALUE"""),5678.91350964975)</f>
        <v>5678.91351</v>
      </c>
      <c r="J5191" s="10">
        <f>IFERROR(__xludf.DUMMYFUNCTION("""COMPUTED_VALUE"""),1.0)</f>
        <v>1</v>
      </c>
      <c r="K5191" s="5">
        <f>IFERROR(__xludf.DUMMYFUNCTION("""COMPUTED_VALUE"""),0.001594896331738437)</f>
        <v>0.001594896332</v>
      </c>
      <c r="L5191" s="10">
        <f>IFERROR(__xludf.DUMMYFUNCTION("""COMPUTED_VALUE"""),627.0)</f>
        <v>627</v>
      </c>
      <c r="M5191" s="5">
        <f>IFERROR(__xludf.DUMMYFUNCTION("""COMPUTED_VALUE"""),1.0)</f>
        <v>1</v>
      </c>
    </row>
    <row r="5192">
      <c r="A5192" s="10" t="str">
        <f>IFERROR(__xludf.DUMMYFUNCTION("""COMPUTED_VALUE"""),"kuro0244")</f>
        <v>kuro0244</v>
      </c>
      <c r="B5192" s="10">
        <f>IFERROR(__xludf.DUMMYFUNCTION("""COMPUTED_VALUE"""),179.0)</f>
        <v>179</v>
      </c>
      <c r="C5192" s="10">
        <f>IFERROR(__xludf.DUMMYFUNCTION("""COMPUTED_VALUE"""),2112.0)</f>
        <v>2112</v>
      </c>
      <c r="D5192" s="5">
        <f>IFERROR(__xludf.DUMMYFUNCTION("""COMPUTED_VALUE"""),0.413347128815313)</f>
        <v>0.4133471288</v>
      </c>
      <c r="E5192" s="5">
        <f>IFERROR(__xludf.DUMMYFUNCTION("""COMPUTED_VALUE"""),0.1107087428867046)</f>
        <v>0.1107087429</v>
      </c>
      <c r="F5192" s="5">
        <f>IFERROR(__xludf.DUMMYFUNCTION("""COMPUTED_VALUE"""),0.21883083290222452)</f>
        <v>0.2188308329</v>
      </c>
      <c r="G5192" s="5">
        <f>IFERROR(__xludf.DUMMYFUNCTION("""COMPUTED_VALUE"""),0.1453698913605794)</f>
        <v>0.1453698914</v>
      </c>
      <c r="H5192" s="5">
        <f>IFERROR(__xludf.DUMMYFUNCTION("""COMPUTED_VALUE"""),0.5981087470449172)</f>
        <v>0.598108747</v>
      </c>
      <c r="I5192" s="11">
        <f>IFERROR(__xludf.DUMMYFUNCTION("""COMPUTED_VALUE"""),5132.860520094563)</f>
        <v>5132.86052</v>
      </c>
      <c r="J5192" s="10">
        <f>IFERROR(__xludf.DUMMYFUNCTION("""COMPUTED_VALUE"""),0.0)</f>
        <v>0</v>
      </c>
      <c r="K5192" s="5">
        <f>IFERROR(__xludf.DUMMYFUNCTION("""COMPUTED_VALUE"""),0.0)</f>
        <v>0</v>
      </c>
      <c r="L5192" s="10">
        <f>IFERROR(__xludf.DUMMYFUNCTION("""COMPUTED_VALUE"""),179.0)</f>
        <v>179</v>
      </c>
      <c r="M5192" s="5">
        <f>IFERROR(__xludf.DUMMYFUNCTION("""COMPUTED_VALUE"""),1.0)</f>
        <v>1</v>
      </c>
    </row>
    <row r="5193">
      <c r="A5193" s="10" t="str">
        <f>IFERROR(__xludf.DUMMYFUNCTION("""COMPUTED_VALUE"""),"消火器")</f>
        <v>消火器</v>
      </c>
      <c r="B5193" s="10">
        <f>IFERROR(__xludf.DUMMYFUNCTION("""COMPUTED_VALUE"""),126.0)</f>
        <v>126</v>
      </c>
      <c r="C5193" s="10">
        <f>IFERROR(__xludf.DUMMYFUNCTION("""COMPUTED_VALUE"""),1490.0)</f>
        <v>1490</v>
      </c>
      <c r="D5193" s="5">
        <f>IFERROR(__xludf.DUMMYFUNCTION("""COMPUTED_VALUE"""),0.42008797653958946)</f>
        <v>0.4200879765</v>
      </c>
      <c r="E5193" s="5">
        <f>IFERROR(__xludf.DUMMYFUNCTION("""COMPUTED_VALUE"""),0.11070381231671554)</f>
        <v>0.1107038123</v>
      </c>
      <c r="F5193" s="5">
        <f>IFERROR(__xludf.DUMMYFUNCTION("""COMPUTED_VALUE"""),0.20381231671554254)</f>
        <v>0.2038123167</v>
      </c>
      <c r="G5193" s="5">
        <f>IFERROR(__xludf.DUMMYFUNCTION("""COMPUTED_VALUE"""),0.14589442815249268)</f>
        <v>0.1458944282</v>
      </c>
      <c r="H5193" s="5">
        <f>IFERROR(__xludf.DUMMYFUNCTION("""COMPUTED_VALUE"""),0.5863309352517986)</f>
        <v>0.5863309353</v>
      </c>
      <c r="I5193" s="11">
        <f>IFERROR(__xludf.DUMMYFUNCTION("""COMPUTED_VALUE"""),4845.6834532374105)</f>
        <v>4845.683453</v>
      </c>
      <c r="J5193" s="10">
        <f>IFERROR(__xludf.DUMMYFUNCTION("""COMPUTED_VALUE"""),0.0)</f>
        <v>0</v>
      </c>
      <c r="K5193" s="5">
        <f>IFERROR(__xludf.DUMMYFUNCTION("""COMPUTED_VALUE"""),0.0)</f>
        <v>0</v>
      </c>
      <c r="L5193" s="10">
        <f>IFERROR(__xludf.DUMMYFUNCTION("""COMPUTED_VALUE"""),126.0)</f>
        <v>126</v>
      </c>
      <c r="M5193" s="5">
        <f>IFERROR(__xludf.DUMMYFUNCTION("""COMPUTED_VALUE"""),1.0)</f>
        <v>1</v>
      </c>
    </row>
    <row r="5194">
      <c r="A5194" s="10" t="str">
        <f>IFERROR(__xludf.DUMMYFUNCTION("""COMPUTED_VALUE"""),"ダチア・サンデロ")</f>
        <v>ダチア・サンデロ</v>
      </c>
      <c r="B5194" s="10">
        <f>IFERROR(__xludf.DUMMYFUNCTION("""COMPUTED_VALUE"""),565.0)</f>
        <v>565</v>
      </c>
      <c r="C5194" s="10">
        <f>IFERROR(__xludf.DUMMYFUNCTION("""COMPUTED_VALUE"""),6701.0)</f>
        <v>6701</v>
      </c>
      <c r="D5194" s="5">
        <f>IFERROR(__xludf.DUMMYFUNCTION("""COMPUTED_VALUE"""),0.3430573663624511)</f>
        <v>0.3430573664</v>
      </c>
      <c r="E5194" s="5">
        <f>IFERROR(__xludf.DUMMYFUNCTION("""COMPUTED_VALUE"""),0.11065840938722295)</f>
        <v>0.1106584094</v>
      </c>
      <c r="F5194" s="5">
        <f>IFERROR(__xludf.DUMMYFUNCTION("""COMPUTED_VALUE"""),0.20697522816166883)</f>
        <v>0.2069752282</v>
      </c>
      <c r="G5194" s="5">
        <f>IFERROR(__xludf.DUMMYFUNCTION("""COMPUTED_VALUE"""),0.14716427640156454)</f>
        <v>0.1471642764</v>
      </c>
      <c r="H5194" s="5">
        <f>IFERROR(__xludf.DUMMYFUNCTION("""COMPUTED_VALUE"""),0.594488188976378)</f>
        <v>0.594488189</v>
      </c>
      <c r="I5194" s="11">
        <f>IFERROR(__xludf.DUMMYFUNCTION("""COMPUTED_VALUE"""),5501.259842519685)</f>
        <v>5501.259843</v>
      </c>
      <c r="J5194" s="10">
        <f>IFERROR(__xludf.DUMMYFUNCTION("""COMPUTED_VALUE"""),3.0)</f>
        <v>3</v>
      </c>
      <c r="K5194" s="5">
        <f>IFERROR(__xludf.DUMMYFUNCTION("""COMPUTED_VALUE"""),0.005309734513274336)</f>
        <v>0.005309734513</v>
      </c>
      <c r="L5194" s="10">
        <f>IFERROR(__xludf.DUMMYFUNCTION("""COMPUTED_VALUE"""),565.0)</f>
        <v>565</v>
      </c>
      <c r="M5194" s="5">
        <f>IFERROR(__xludf.DUMMYFUNCTION("""COMPUTED_VALUE"""),1.0)</f>
        <v>1</v>
      </c>
    </row>
    <row r="5195">
      <c r="A5195" s="10" t="str">
        <f>IFERROR(__xludf.DUMMYFUNCTION("""COMPUTED_VALUE"""),"como4622")</f>
        <v>como4622</v>
      </c>
      <c r="B5195" s="10">
        <f>IFERROR(__xludf.DUMMYFUNCTION("""COMPUTED_VALUE"""),220.0)</f>
        <v>220</v>
      </c>
      <c r="C5195" s="10">
        <f>IFERROR(__xludf.DUMMYFUNCTION("""COMPUTED_VALUE"""),2669.0)</f>
        <v>2669</v>
      </c>
      <c r="D5195" s="5">
        <f>IFERROR(__xludf.DUMMYFUNCTION("""COMPUTED_VALUE"""),0.38913842384646796)</f>
        <v>0.3891384238</v>
      </c>
      <c r="E5195" s="5">
        <f>IFERROR(__xludf.DUMMYFUNCTION("""COMPUTED_VALUE"""),0.1106574111882401)</f>
        <v>0.1106574112</v>
      </c>
      <c r="F5195" s="5">
        <f>IFERROR(__xludf.DUMMYFUNCTION("""COMPUTED_VALUE"""),0.217639853001225)</f>
        <v>0.217639853</v>
      </c>
      <c r="G5195" s="5">
        <f>IFERROR(__xludf.DUMMYFUNCTION("""COMPUTED_VALUE"""),0.1727235606369947)</f>
        <v>0.1727235606</v>
      </c>
      <c r="H5195" s="5">
        <f>IFERROR(__xludf.DUMMYFUNCTION("""COMPUTED_VALUE"""),0.5872420262664165)</f>
        <v>0.5872420263</v>
      </c>
      <c r="I5195" s="11">
        <f>IFERROR(__xludf.DUMMYFUNCTION("""COMPUTED_VALUE"""),5259.84990619137)</f>
        <v>5259.849906</v>
      </c>
      <c r="J5195" s="10">
        <f>IFERROR(__xludf.DUMMYFUNCTION("""COMPUTED_VALUE"""),0.0)</f>
        <v>0</v>
      </c>
      <c r="K5195" s="5">
        <f>IFERROR(__xludf.DUMMYFUNCTION("""COMPUTED_VALUE"""),0.0)</f>
        <v>0</v>
      </c>
      <c r="L5195" s="10">
        <f>IFERROR(__xludf.DUMMYFUNCTION("""COMPUTED_VALUE"""),220.0)</f>
        <v>220</v>
      </c>
      <c r="M5195" s="5">
        <f>IFERROR(__xludf.DUMMYFUNCTION("""COMPUTED_VALUE"""),1.0)</f>
        <v>1</v>
      </c>
    </row>
    <row r="5196">
      <c r="A5196" s="10" t="str">
        <f>IFERROR(__xludf.DUMMYFUNCTION("""COMPUTED_VALUE"""),"木漏れ日")</f>
        <v>木漏れ日</v>
      </c>
      <c r="B5196" s="10">
        <f>IFERROR(__xludf.DUMMYFUNCTION("""COMPUTED_VALUE"""),2064.0)</f>
        <v>2064</v>
      </c>
      <c r="C5196" s="10">
        <f>IFERROR(__xludf.DUMMYFUNCTION("""COMPUTED_VALUE"""),24033.0)</f>
        <v>24033</v>
      </c>
      <c r="D5196" s="5">
        <f>IFERROR(__xludf.DUMMYFUNCTION("""COMPUTED_VALUE"""),0.3368837907961218)</f>
        <v>0.3368837908</v>
      </c>
      <c r="E5196" s="5">
        <f>IFERROR(__xludf.DUMMYFUNCTION("""COMPUTED_VALUE"""),0.11065592425690746)</f>
        <v>0.1106559243</v>
      </c>
      <c r="F5196" s="5">
        <f>IFERROR(__xludf.DUMMYFUNCTION("""COMPUTED_VALUE"""),0.21867176475943376)</f>
        <v>0.2186717648</v>
      </c>
      <c r="G5196" s="5">
        <f>IFERROR(__xludf.DUMMYFUNCTION("""COMPUTED_VALUE"""),0.16445901042377897)</f>
        <v>0.1644590104</v>
      </c>
      <c r="H5196" s="5">
        <f>IFERROR(__xludf.DUMMYFUNCTION("""COMPUTED_VALUE"""),0.5982514571190675)</f>
        <v>0.5982514571</v>
      </c>
      <c r="I5196" s="11">
        <f>IFERROR(__xludf.DUMMYFUNCTION("""COMPUTED_VALUE"""),5567.25645295587)</f>
        <v>5567.256453</v>
      </c>
      <c r="J5196" s="10">
        <f>IFERROR(__xludf.DUMMYFUNCTION("""COMPUTED_VALUE"""),1.0)</f>
        <v>1</v>
      </c>
      <c r="K5196" s="5">
        <f>IFERROR(__xludf.DUMMYFUNCTION("""COMPUTED_VALUE"""),4.8449612403100775E-4)</f>
        <v>0.000484496124</v>
      </c>
      <c r="L5196" s="10">
        <f>IFERROR(__xludf.DUMMYFUNCTION("""COMPUTED_VALUE"""),2064.0)</f>
        <v>2064</v>
      </c>
      <c r="M5196" s="5">
        <f>IFERROR(__xludf.DUMMYFUNCTION("""COMPUTED_VALUE"""),1.0)</f>
        <v>1</v>
      </c>
    </row>
    <row r="5197">
      <c r="A5197" s="10" t="str">
        <f>IFERROR(__xludf.DUMMYFUNCTION("""COMPUTED_VALUE"""),"波瑠")</f>
        <v>波瑠</v>
      </c>
      <c r="B5197" s="10">
        <f>IFERROR(__xludf.DUMMYFUNCTION("""COMPUTED_VALUE"""),260.0)</f>
        <v>260</v>
      </c>
      <c r="C5197" s="10">
        <f>IFERROR(__xludf.DUMMYFUNCTION("""COMPUTED_VALUE"""),3071.0)</f>
        <v>3071</v>
      </c>
      <c r="D5197" s="5">
        <f>IFERROR(__xludf.DUMMYFUNCTION("""COMPUTED_VALUE"""),0.24439701173959444)</f>
        <v>0.2443970117</v>
      </c>
      <c r="E5197" s="5">
        <f>IFERROR(__xludf.DUMMYFUNCTION("""COMPUTED_VALUE"""),0.11063678406261117)</f>
        <v>0.1106367841</v>
      </c>
      <c r="F5197" s="5">
        <f>IFERROR(__xludf.DUMMYFUNCTION("""COMPUTED_VALUE"""),0.20917822838847386)</f>
        <v>0.2091782284</v>
      </c>
      <c r="G5197" s="5">
        <f>IFERROR(__xludf.DUMMYFUNCTION("""COMPUTED_VALUE"""),0.1871220206332266)</f>
        <v>0.1871220206</v>
      </c>
      <c r="H5197" s="5">
        <f>IFERROR(__xludf.DUMMYFUNCTION("""COMPUTED_VALUE"""),0.5493197278911565)</f>
        <v>0.5493197279</v>
      </c>
      <c r="I5197" s="11">
        <f>IFERROR(__xludf.DUMMYFUNCTION("""COMPUTED_VALUE"""),5757.8231292517)</f>
        <v>5757.823129</v>
      </c>
      <c r="J5197" s="10">
        <f>IFERROR(__xludf.DUMMYFUNCTION("""COMPUTED_VALUE"""),0.0)</f>
        <v>0</v>
      </c>
      <c r="K5197" s="5">
        <f>IFERROR(__xludf.DUMMYFUNCTION("""COMPUTED_VALUE"""),0.0)</f>
        <v>0</v>
      </c>
      <c r="L5197" s="10">
        <f>IFERROR(__xludf.DUMMYFUNCTION("""COMPUTED_VALUE"""),0.0)</f>
        <v>0</v>
      </c>
      <c r="M5197" s="5">
        <f>IFERROR(__xludf.DUMMYFUNCTION("""COMPUTED_VALUE"""),0.0)</f>
        <v>0</v>
      </c>
    </row>
    <row r="5198">
      <c r="A5198" s="10" t="str">
        <f>IFERROR(__xludf.DUMMYFUNCTION("""COMPUTED_VALUE"""),"K@水貨軍團")</f>
        <v>K@水貨軍團</v>
      </c>
      <c r="B5198" s="10">
        <f>IFERROR(__xludf.DUMMYFUNCTION("""COMPUTED_VALUE"""),117.0)</f>
        <v>117</v>
      </c>
      <c r="C5198" s="10">
        <f>IFERROR(__xludf.DUMMYFUNCTION("""COMPUTED_VALUE"""),1464.0)</f>
        <v>1464</v>
      </c>
      <c r="D5198" s="5">
        <f>IFERROR(__xludf.DUMMYFUNCTION("""COMPUTED_VALUE"""),0.3526354862657758)</f>
        <v>0.3526354863</v>
      </c>
      <c r="E5198" s="5">
        <f>IFERROR(__xludf.DUMMYFUNCTION("""COMPUTED_VALUE"""),0.11061618411284335)</f>
        <v>0.1106161841</v>
      </c>
      <c r="F5198" s="5">
        <f>IFERROR(__xludf.DUMMYFUNCTION("""COMPUTED_VALUE"""),0.21232368225686712)</f>
        <v>0.2123236823</v>
      </c>
      <c r="G5198" s="5">
        <f>IFERROR(__xludf.DUMMYFUNCTION("""COMPUTED_VALUE"""),0.17074981440237566)</f>
        <v>0.1707498144</v>
      </c>
      <c r="H5198" s="5">
        <f>IFERROR(__xludf.DUMMYFUNCTION("""COMPUTED_VALUE"""),0.6643356643356644)</f>
        <v>0.6643356643</v>
      </c>
      <c r="I5198" s="11">
        <f>IFERROR(__xludf.DUMMYFUNCTION("""COMPUTED_VALUE"""),5440.55944055944)</f>
        <v>5440.559441</v>
      </c>
      <c r="J5198" s="10">
        <f>IFERROR(__xludf.DUMMYFUNCTION("""COMPUTED_VALUE"""),0.0)</f>
        <v>0</v>
      </c>
      <c r="K5198" s="5">
        <f>IFERROR(__xludf.DUMMYFUNCTION("""COMPUTED_VALUE"""),0.0)</f>
        <v>0</v>
      </c>
      <c r="L5198" s="10">
        <f>IFERROR(__xludf.DUMMYFUNCTION("""COMPUTED_VALUE"""),30.0)</f>
        <v>30</v>
      </c>
      <c r="M5198" s="5">
        <f>IFERROR(__xludf.DUMMYFUNCTION("""COMPUTED_VALUE"""),0.2564102564102564)</f>
        <v>0.2564102564</v>
      </c>
    </row>
    <row r="5199">
      <c r="A5199" s="10" t="str">
        <f>IFERROR(__xludf.DUMMYFUNCTION("""COMPUTED_VALUE"""),"ハンサム過ぎて")</f>
        <v>ハンサム過ぎて</v>
      </c>
      <c r="B5199" s="10">
        <f>IFERROR(__xludf.DUMMYFUNCTION("""COMPUTED_VALUE"""),245.0)</f>
        <v>245</v>
      </c>
      <c r="C5199" s="10">
        <f>IFERROR(__xludf.DUMMYFUNCTION("""COMPUTED_VALUE"""),2876.0)</f>
        <v>2876</v>
      </c>
      <c r="D5199" s="5">
        <f>IFERROR(__xludf.DUMMYFUNCTION("""COMPUTED_VALUE"""),0.3774230330672748)</f>
        <v>0.3774230331</v>
      </c>
      <c r="E5199" s="5">
        <f>IFERROR(__xludf.DUMMYFUNCTION("""COMPUTED_VALUE"""),0.11060433295324971)</f>
        <v>0.110604333</v>
      </c>
      <c r="F5199" s="5">
        <f>IFERROR(__xludf.DUMMYFUNCTION("""COMPUTED_VALUE"""),0.21246674268339036)</f>
        <v>0.2124667427</v>
      </c>
      <c r="G5199" s="5">
        <f>IFERROR(__xludf.DUMMYFUNCTION("""COMPUTED_VALUE"""),0.1782592170277461)</f>
        <v>0.178259217</v>
      </c>
      <c r="H5199" s="5">
        <f>IFERROR(__xludf.DUMMYFUNCTION("""COMPUTED_VALUE"""),0.5635062611806798)</f>
        <v>0.5635062612</v>
      </c>
      <c r="I5199" s="11">
        <f>IFERROR(__xludf.DUMMYFUNCTION("""COMPUTED_VALUE"""),5888.550983899821)</f>
        <v>5888.550984</v>
      </c>
      <c r="J5199" s="10">
        <f>IFERROR(__xludf.DUMMYFUNCTION("""COMPUTED_VALUE"""),1.0)</f>
        <v>1</v>
      </c>
      <c r="K5199" s="5">
        <f>IFERROR(__xludf.DUMMYFUNCTION("""COMPUTED_VALUE"""),0.004081632653061225)</f>
        <v>0.004081632653</v>
      </c>
      <c r="L5199" s="10">
        <f>IFERROR(__xludf.DUMMYFUNCTION("""COMPUTED_VALUE"""),0.0)</f>
        <v>0</v>
      </c>
      <c r="M5199" s="5">
        <f>IFERROR(__xludf.DUMMYFUNCTION("""COMPUTED_VALUE"""),0.0)</f>
        <v>0</v>
      </c>
    </row>
    <row r="5200">
      <c r="A5200" s="10" t="str">
        <f>IFERROR(__xludf.DUMMYFUNCTION("""COMPUTED_VALUE"""),"左を押して下さい")</f>
        <v>左を押して下さい</v>
      </c>
      <c r="B5200" s="10">
        <f>IFERROR(__xludf.DUMMYFUNCTION("""COMPUTED_VALUE"""),127.0)</f>
        <v>127</v>
      </c>
      <c r="C5200" s="10">
        <f>IFERROR(__xludf.DUMMYFUNCTION("""COMPUTED_VALUE"""),1520.0)</f>
        <v>1520</v>
      </c>
      <c r="D5200" s="5">
        <f>IFERROR(__xludf.DUMMYFUNCTION("""COMPUTED_VALUE"""),0.176597272074659)</f>
        <v>0.1765972721</v>
      </c>
      <c r="E5200" s="5">
        <f>IFERROR(__xludf.DUMMYFUNCTION("""COMPUTED_VALUE"""),0.11055276381909548)</f>
        <v>0.1105527638</v>
      </c>
      <c r="F5200" s="5">
        <f>IFERROR(__xludf.DUMMYFUNCTION("""COMPUTED_VALUE"""),0.16439339554917445)</f>
        <v>0.1643933955</v>
      </c>
      <c r="G5200" s="5">
        <f>IFERROR(__xludf.DUMMYFUNCTION("""COMPUTED_VALUE"""),0.17013639626704954)</f>
        <v>0.1701363963</v>
      </c>
      <c r="H5200" s="5">
        <f>IFERROR(__xludf.DUMMYFUNCTION("""COMPUTED_VALUE"""),0.6069868995633187)</f>
        <v>0.6069868996</v>
      </c>
      <c r="I5200" s="11">
        <f>IFERROR(__xludf.DUMMYFUNCTION("""COMPUTED_VALUE"""),6377.292576419214)</f>
        <v>6377.292576</v>
      </c>
      <c r="J5200" s="10">
        <f>IFERROR(__xludf.DUMMYFUNCTION("""COMPUTED_VALUE"""),0.0)</f>
        <v>0</v>
      </c>
      <c r="K5200" s="5">
        <f>IFERROR(__xludf.DUMMYFUNCTION("""COMPUTED_VALUE"""),0.0)</f>
        <v>0</v>
      </c>
      <c r="L5200" s="10">
        <f>IFERROR(__xludf.DUMMYFUNCTION("""COMPUTED_VALUE"""),127.0)</f>
        <v>127</v>
      </c>
      <c r="M5200" s="5">
        <f>IFERROR(__xludf.DUMMYFUNCTION("""COMPUTED_VALUE"""),1.0)</f>
        <v>1</v>
      </c>
    </row>
    <row r="5201">
      <c r="A5201" s="10" t="str">
        <f>IFERROR(__xludf.DUMMYFUNCTION("""COMPUTED_VALUE"""),"緑の五本指")</f>
        <v>緑の五本指</v>
      </c>
      <c r="B5201" s="10">
        <f>IFERROR(__xludf.DUMMYFUNCTION("""COMPUTED_VALUE"""),244.0)</f>
        <v>244</v>
      </c>
      <c r="C5201" s="10">
        <f>IFERROR(__xludf.DUMMYFUNCTION("""COMPUTED_VALUE"""),2822.0)</f>
        <v>2822</v>
      </c>
      <c r="D5201" s="5">
        <f>IFERROR(__xludf.DUMMYFUNCTION("""COMPUTED_VALUE"""),0.28471683475562454)</f>
        <v>0.2847168348</v>
      </c>
      <c r="E5201" s="5">
        <f>IFERROR(__xludf.DUMMYFUNCTION("""COMPUTED_VALUE"""),0.11055081458494957)</f>
        <v>0.1105508146</v>
      </c>
      <c r="F5201" s="5">
        <f>IFERROR(__xludf.DUMMYFUNCTION("""COMPUTED_VALUE"""),0.19356089992242048)</f>
        <v>0.1935608999</v>
      </c>
      <c r="G5201" s="5">
        <f>IFERROR(__xludf.DUMMYFUNCTION("""COMPUTED_VALUE"""),0.1943366951124903)</f>
        <v>0.1943366951</v>
      </c>
      <c r="H5201" s="5">
        <f>IFERROR(__xludf.DUMMYFUNCTION("""COMPUTED_VALUE"""),0.56312625250501)</f>
        <v>0.5631262525</v>
      </c>
      <c r="I5201" s="11">
        <f>IFERROR(__xludf.DUMMYFUNCTION("""COMPUTED_VALUE"""),6246.89378757515)</f>
        <v>6246.893788</v>
      </c>
      <c r="J5201" s="10">
        <f>IFERROR(__xludf.DUMMYFUNCTION("""COMPUTED_VALUE"""),0.0)</f>
        <v>0</v>
      </c>
      <c r="K5201" s="5">
        <f>IFERROR(__xludf.DUMMYFUNCTION("""COMPUTED_VALUE"""),0.0)</f>
        <v>0</v>
      </c>
      <c r="L5201" s="10">
        <f>IFERROR(__xludf.DUMMYFUNCTION("""COMPUTED_VALUE"""),244.0)</f>
        <v>244</v>
      </c>
      <c r="M5201" s="5">
        <f>IFERROR(__xludf.DUMMYFUNCTION("""COMPUTED_VALUE"""),1.0)</f>
        <v>1</v>
      </c>
    </row>
    <row r="5202">
      <c r="A5202" s="10" t="str">
        <f>IFERROR(__xludf.DUMMYFUNCTION("""COMPUTED_VALUE"""),"LostCat")</f>
        <v>LostCat</v>
      </c>
      <c r="B5202" s="10">
        <f>IFERROR(__xludf.DUMMYFUNCTION("""COMPUTED_VALUE"""),289.0)</f>
        <v>289</v>
      </c>
      <c r="C5202" s="10">
        <f>IFERROR(__xludf.DUMMYFUNCTION("""COMPUTED_VALUE"""),3419.0)</f>
        <v>3419</v>
      </c>
      <c r="D5202" s="5">
        <f>IFERROR(__xludf.DUMMYFUNCTION("""COMPUTED_VALUE"""),0.32236421725239617)</f>
        <v>0.3223642173</v>
      </c>
      <c r="E5202" s="5">
        <f>IFERROR(__xludf.DUMMYFUNCTION("""COMPUTED_VALUE"""),0.11054313099041534)</f>
        <v>0.110543131</v>
      </c>
      <c r="F5202" s="5">
        <f>IFERROR(__xludf.DUMMYFUNCTION("""COMPUTED_VALUE"""),0.197444089456869)</f>
        <v>0.1974440895</v>
      </c>
      <c r="G5202" s="5">
        <f>IFERROR(__xludf.DUMMYFUNCTION("""COMPUTED_VALUE"""),0.17827476038338658)</f>
        <v>0.1782747604</v>
      </c>
      <c r="H5202" s="5">
        <f>IFERROR(__xludf.DUMMYFUNCTION("""COMPUTED_VALUE"""),0.6051779935275081)</f>
        <v>0.6051779935</v>
      </c>
      <c r="I5202" s="11">
        <f>IFERROR(__xludf.DUMMYFUNCTION("""COMPUTED_VALUE"""),5372.491909385113)</f>
        <v>5372.491909</v>
      </c>
      <c r="J5202" s="10">
        <f>IFERROR(__xludf.DUMMYFUNCTION("""COMPUTED_VALUE"""),0.0)</f>
        <v>0</v>
      </c>
      <c r="K5202" s="5">
        <f>IFERROR(__xludf.DUMMYFUNCTION("""COMPUTED_VALUE"""),0.0)</f>
        <v>0</v>
      </c>
      <c r="L5202" s="10">
        <f>IFERROR(__xludf.DUMMYFUNCTION("""COMPUTED_VALUE"""),289.0)</f>
        <v>289</v>
      </c>
      <c r="M5202" s="5">
        <f>IFERROR(__xludf.DUMMYFUNCTION("""COMPUTED_VALUE"""),1.0)</f>
        <v>1</v>
      </c>
    </row>
    <row r="5203">
      <c r="A5203" s="10" t="str">
        <f>IFERROR(__xludf.DUMMYFUNCTION("""COMPUTED_VALUE"""),"もみさげ")</f>
        <v>もみさげ</v>
      </c>
      <c r="B5203" s="10">
        <f>IFERROR(__xludf.DUMMYFUNCTION("""COMPUTED_VALUE"""),1802.0)</f>
        <v>1802</v>
      </c>
      <c r="C5203" s="10">
        <f>IFERROR(__xludf.DUMMYFUNCTION("""COMPUTED_VALUE"""),21209.0)</f>
        <v>21209</v>
      </c>
      <c r="D5203" s="5">
        <f>IFERROR(__xludf.DUMMYFUNCTION("""COMPUTED_VALUE"""),0.3416293090122121)</f>
        <v>0.341629309</v>
      </c>
      <c r="E5203" s="5">
        <f>IFERROR(__xludf.DUMMYFUNCTION("""COMPUTED_VALUE"""),0.11052712938630391)</f>
        <v>0.1105271294</v>
      </c>
      <c r="F5203" s="5">
        <f>IFERROR(__xludf.DUMMYFUNCTION("""COMPUTED_VALUE"""),0.2037409182253826)</f>
        <v>0.2037409182</v>
      </c>
      <c r="G5203" s="5">
        <f>IFERROR(__xludf.DUMMYFUNCTION("""COMPUTED_VALUE"""),0.13850672437780182)</f>
        <v>0.1385067244</v>
      </c>
      <c r="H5203" s="5">
        <f>IFERROR(__xludf.DUMMYFUNCTION("""COMPUTED_VALUE"""),0.6170966110268084)</f>
        <v>0.617096611</v>
      </c>
      <c r="I5203" s="11">
        <f>IFERROR(__xludf.DUMMYFUNCTION("""COMPUTED_VALUE"""),5489.428426909459)</f>
        <v>5489.428427</v>
      </c>
      <c r="J5203" s="10">
        <f>IFERROR(__xludf.DUMMYFUNCTION("""COMPUTED_VALUE"""),3.0)</f>
        <v>3</v>
      </c>
      <c r="K5203" s="5">
        <f>IFERROR(__xludf.DUMMYFUNCTION("""COMPUTED_VALUE"""),0.001664816870144284)</f>
        <v>0.00166481687</v>
      </c>
      <c r="L5203" s="10">
        <f>IFERROR(__xludf.DUMMYFUNCTION("""COMPUTED_VALUE"""),1802.0)</f>
        <v>1802</v>
      </c>
      <c r="M5203" s="5">
        <f>IFERROR(__xludf.DUMMYFUNCTION("""COMPUTED_VALUE"""),1.0)</f>
        <v>1</v>
      </c>
    </row>
    <row r="5204">
      <c r="A5204" s="10" t="str">
        <f>IFERROR(__xludf.DUMMYFUNCTION("""COMPUTED_VALUE"""),"フンヌ")</f>
        <v>フンヌ</v>
      </c>
      <c r="B5204" s="10">
        <f>IFERROR(__xludf.DUMMYFUNCTION("""COMPUTED_VALUE"""),1296.0)</f>
        <v>1296</v>
      </c>
      <c r="C5204" s="10">
        <f>IFERROR(__xludf.DUMMYFUNCTION("""COMPUTED_VALUE"""),15275.0)</f>
        <v>15275</v>
      </c>
      <c r="D5204" s="5">
        <f>IFERROR(__xludf.DUMMYFUNCTION("""COMPUTED_VALUE"""),0.34730667429716)</f>
        <v>0.3473066743</v>
      </c>
      <c r="E5204" s="5">
        <f>IFERROR(__xludf.DUMMYFUNCTION("""COMPUTED_VALUE"""),0.11052292724801488)</f>
        <v>0.1105229272</v>
      </c>
      <c r="F5204" s="5">
        <f>IFERROR(__xludf.DUMMYFUNCTION("""COMPUTED_VALUE"""),0.19758208741683955)</f>
        <v>0.1975820874</v>
      </c>
      <c r="G5204" s="5">
        <f>IFERROR(__xludf.DUMMYFUNCTION("""COMPUTED_VALUE"""),0.12039487803133271)</f>
        <v>0.120394878</v>
      </c>
      <c r="H5204" s="5">
        <f>IFERROR(__xludf.DUMMYFUNCTION("""COMPUTED_VALUE"""),0.6104272266473569)</f>
        <v>0.6104272266</v>
      </c>
      <c r="I5204" s="11">
        <f>IFERROR(__xludf.DUMMYFUNCTION("""COMPUTED_VALUE"""),5333.091962346126)</f>
        <v>5333.091962</v>
      </c>
      <c r="J5204" s="10">
        <f>IFERROR(__xludf.DUMMYFUNCTION("""COMPUTED_VALUE"""),3.0)</f>
        <v>3</v>
      </c>
      <c r="K5204" s="5">
        <f>IFERROR(__xludf.DUMMYFUNCTION("""COMPUTED_VALUE"""),0.0023148148148148147)</f>
        <v>0.002314814815</v>
      </c>
      <c r="L5204" s="10">
        <f>IFERROR(__xludf.DUMMYFUNCTION("""COMPUTED_VALUE"""),1296.0)</f>
        <v>1296</v>
      </c>
      <c r="M5204" s="5">
        <f>IFERROR(__xludf.DUMMYFUNCTION("""COMPUTED_VALUE"""),1.0)</f>
        <v>1</v>
      </c>
    </row>
    <row r="5205">
      <c r="A5205" s="10" t="str">
        <f>IFERROR(__xludf.DUMMYFUNCTION("""COMPUTED_VALUE"""),"うめぴ子")</f>
        <v>うめぴ子</v>
      </c>
      <c r="B5205" s="10">
        <f>IFERROR(__xludf.DUMMYFUNCTION("""COMPUTED_VALUE"""),428.0)</f>
        <v>428</v>
      </c>
      <c r="C5205" s="10">
        <f>IFERROR(__xludf.DUMMYFUNCTION("""COMPUTED_VALUE"""),4935.0)</f>
        <v>4935</v>
      </c>
      <c r="D5205" s="5">
        <f>IFERROR(__xludf.DUMMYFUNCTION("""COMPUTED_VALUE"""),0.24961171510982916)</f>
        <v>0.2496117151</v>
      </c>
      <c r="E5205" s="5">
        <f>IFERROR(__xludf.DUMMYFUNCTION("""COMPUTED_VALUE"""),0.1104947858886177)</f>
        <v>0.1104947859</v>
      </c>
      <c r="F5205" s="5">
        <f>IFERROR(__xludf.DUMMYFUNCTION("""COMPUTED_VALUE"""),0.1883736410028844)</f>
        <v>0.188373641</v>
      </c>
      <c r="G5205" s="5">
        <f>IFERROR(__xludf.DUMMYFUNCTION("""COMPUTED_VALUE"""),0.19658309296649656)</f>
        <v>0.196583093</v>
      </c>
      <c r="H5205" s="5">
        <f>IFERROR(__xludf.DUMMYFUNCTION("""COMPUTED_VALUE"""),0.5959952885747939)</f>
        <v>0.5959952886</v>
      </c>
      <c r="I5205" s="11">
        <f>IFERROR(__xludf.DUMMYFUNCTION("""COMPUTED_VALUE"""),6227.915194346289)</f>
        <v>6227.915194</v>
      </c>
      <c r="J5205" s="10">
        <f>IFERROR(__xludf.DUMMYFUNCTION("""COMPUTED_VALUE"""),3.0)</f>
        <v>3</v>
      </c>
      <c r="K5205" s="5">
        <f>IFERROR(__xludf.DUMMYFUNCTION("""COMPUTED_VALUE"""),0.007009345794392523)</f>
        <v>0.007009345794</v>
      </c>
      <c r="L5205" s="10">
        <f>IFERROR(__xludf.DUMMYFUNCTION("""COMPUTED_VALUE"""),128.0)</f>
        <v>128</v>
      </c>
      <c r="M5205" s="5">
        <f>IFERROR(__xludf.DUMMYFUNCTION("""COMPUTED_VALUE"""),0.29906542056074764)</f>
        <v>0.2990654206</v>
      </c>
    </row>
    <row r="5206">
      <c r="A5206" s="10" t="str">
        <f>IFERROR(__xludf.DUMMYFUNCTION("""COMPUTED_VALUE"""),"右折するひつじ")</f>
        <v>右折するひつじ</v>
      </c>
      <c r="B5206" s="10">
        <f>IFERROR(__xludf.DUMMYFUNCTION("""COMPUTED_VALUE"""),1575.0)</f>
        <v>1575</v>
      </c>
      <c r="C5206" s="10">
        <f>IFERROR(__xludf.DUMMYFUNCTION("""COMPUTED_VALUE"""),18394.0)</f>
        <v>18394</v>
      </c>
      <c r="D5206" s="5">
        <f>IFERROR(__xludf.DUMMYFUNCTION("""COMPUTED_VALUE"""),0.3603662524525834)</f>
        <v>0.3603662525</v>
      </c>
      <c r="E5206" s="5">
        <f>IFERROR(__xludf.DUMMYFUNCTION("""COMPUTED_VALUE"""),0.11047030144479458)</f>
        <v>0.1104703014</v>
      </c>
      <c r="F5206" s="5">
        <f>IFERROR(__xludf.DUMMYFUNCTION("""COMPUTED_VALUE"""),0.21440038052202867)</f>
        <v>0.2144003805</v>
      </c>
      <c r="G5206" s="5">
        <f>IFERROR(__xludf.DUMMYFUNCTION("""COMPUTED_VALUE"""),0.1631488197871455)</f>
        <v>0.1631488198</v>
      </c>
      <c r="H5206" s="5">
        <f>IFERROR(__xludf.DUMMYFUNCTION("""COMPUTED_VALUE"""),0.6134220743205768)</f>
        <v>0.6134220743</v>
      </c>
      <c r="I5206" s="11">
        <f>IFERROR(__xludf.DUMMYFUNCTION("""COMPUTED_VALUE"""),5732.69550748752)</f>
        <v>5732.695507</v>
      </c>
      <c r="J5206" s="10">
        <f>IFERROR(__xludf.DUMMYFUNCTION("""COMPUTED_VALUE"""),2.0)</f>
        <v>2</v>
      </c>
      <c r="K5206" s="5">
        <f>IFERROR(__xludf.DUMMYFUNCTION("""COMPUTED_VALUE"""),0.0012698412698412698)</f>
        <v>0.00126984127</v>
      </c>
      <c r="L5206" s="10">
        <f>IFERROR(__xludf.DUMMYFUNCTION("""COMPUTED_VALUE"""),1575.0)</f>
        <v>1575</v>
      </c>
      <c r="M5206" s="5">
        <f>IFERROR(__xludf.DUMMYFUNCTION("""COMPUTED_VALUE"""),1.0)</f>
        <v>1</v>
      </c>
    </row>
    <row r="5207">
      <c r="A5207" s="10" t="str">
        <f>IFERROR(__xludf.DUMMYFUNCTION("""COMPUTED_VALUE"""),"天音さん")</f>
        <v>天音さん</v>
      </c>
      <c r="B5207" s="10">
        <f>IFERROR(__xludf.DUMMYFUNCTION("""COMPUTED_VALUE"""),572.0)</f>
        <v>572</v>
      </c>
      <c r="C5207" s="10">
        <f>IFERROR(__xludf.DUMMYFUNCTION("""COMPUTED_VALUE"""),6737.0)</f>
        <v>6737</v>
      </c>
      <c r="D5207" s="5">
        <f>IFERROR(__xludf.DUMMYFUNCTION("""COMPUTED_VALUE"""),0.3167883211678832)</f>
        <v>0.3167883212</v>
      </c>
      <c r="E5207" s="5">
        <f>IFERROR(__xludf.DUMMYFUNCTION("""COMPUTED_VALUE"""),0.11046228710462287)</f>
        <v>0.1104622871</v>
      </c>
      <c r="F5207" s="5">
        <f>IFERROR(__xludf.DUMMYFUNCTION("""COMPUTED_VALUE"""),0.1991889699918897)</f>
        <v>0.19918897</v>
      </c>
      <c r="G5207" s="5">
        <f>IFERROR(__xludf.DUMMYFUNCTION("""COMPUTED_VALUE"""),0.1672343876723439)</f>
        <v>0.1672343877</v>
      </c>
      <c r="H5207" s="5">
        <f>IFERROR(__xludf.DUMMYFUNCTION("""COMPUTED_VALUE"""),0.5765472312703583)</f>
        <v>0.5765472313</v>
      </c>
      <c r="I5207" s="11">
        <f>IFERROR(__xludf.DUMMYFUNCTION("""COMPUTED_VALUE"""),5612.866449511401)</f>
        <v>5612.86645</v>
      </c>
      <c r="J5207" s="10">
        <f>IFERROR(__xludf.DUMMYFUNCTION("""COMPUTED_VALUE"""),1.0)</f>
        <v>1</v>
      </c>
      <c r="K5207" s="5">
        <f>IFERROR(__xludf.DUMMYFUNCTION("""COMPUTED_VALUE"""),0.0017482517482517483)</f>
        <v>0.001748251748</v>
      </c>
      <c r="L5207" s="10">
        <f>IFERROR(__xludf.DUMMYFUNCTION("""COMPUTED_VALUE"""),0.0)</f>
        <v>0</v>
      </c>
      <c r="M5207" s="5">
        <f>IFERROR(__xludf.DUMMYFUNCTION("""COMPUTED_VALUE"""),0.0)</f>
        <v>0</v>
      </c>
    </row>
    <row r="5208">
      <c r="A5208" s="10" t="str">
        <f>IFERROR(__xludf.DUMMYFUNCTION("""COMPUTED_VALUE"""),"鉄稚魚カモ養分")</f>
        <v>鉄稚魚カモ養分</v>
      </c>
      <c r="B5208" s="10">
        <f>IFERROR(__xludf.DUMMYFUNCTION("""COMPUTED_VALUE"""),2010.0)</f>
        <v>2010</v>
      </c>
      <c r="C5208" s="10">
        <f>IFERROR(__xludf.DUMMYFUNCTION("""COMPUTED_VALUE"""),23384.0)</f>
        <v>23384</v>
      </c>
      <c r="D5208" s="5">
        <f>IFERROR(__xludf.DUMMYFUNCTION("""COMPUTED_VALUE"""),0.3319453541686161)</f>
        <v>0.3319453542</v>
      </c>
      <c r="E5208" s="5">
        <f>IFERROR(__xludf.DUMMYFUNCTION("""COMPUTED_VALUE"""),0.11046130813137457)</f>
        <v>0.1104613081</v>
      </c>
      <c r="F5208" s="5">
        <f>IFERROR(__xludf.DUMMYFUNCTION("""COMPUTED_VALUE"""),0.2030036492935342)</f>
        <v>0.2030036493</v>
      </c>
      <c r="G5208" s="5">
        <f>IFERROR(__xludf.DUMMYFUNCTION("""COMPUTED_VALUE"""),0.16880321886404043)</f>
        <v>0.1688032189</v>
      </c>
      <c r="H5208" s="5">
        <f>IFERROR(__xludf.DUMMYFUNCTION("""COMPUTED_VALUE"""),0.5886148882230928)</f>
        <v>0.5886148882</v>
      </c>
      <c r="I5208" s="11">
        <f>IFERROR(__xludf.DUMMYFUNCTION("""COMPUTED_VALUE"""),5922.424521779212)</f>
        <v>5922.424522</v>
      </c>
      <c r="J5208" s="10">
        <f>IFERROR(__xludf.DUMMYFUNCTION("""COMPUTED_VALUE"""),6.0)</f>
        <v>6</v>
      </c>
      <c r="K5208" s="5">
        <f>IFERROR(__xludf.DUMMYFUNCTION("""COMPUTED_VALUE"""),0.0029850746268656717)</f>
        <v>0.002985074627</v>
      </c>
      <c r="L5208" s="10">
        <f>IFERROR(__xludf.DUMMYFUNCTION("""COMPUTED_VALUE"""),0.0)</f>
        <v>0</v>
      </c>
      <c r="M5208" s="5">
        <f>IFERROR(__xludf.DUMMYFUNCTION("""COMPUTED_VALUE"""),0.0)</f>
        <v>0</v>
      </c>
    </row>
    <row r="5209">
      <c r="A5209" s="10" t="str">
        <f>IFERROR(__xludf.DUMMYFUNCTION("""COMPUTED_VALUE"""),"atyan")</f>
        <v>atyan</v>
      </c>
      <c r="B5209" s="10">
        <f>IFERROR(__xludf.DUMMYFUNCTION("""COMPUTED_VALUE"""),2170.0)</f>
        <v>2170</v>
      </c>
      <c r="C5209" s="10">
        <f>IFERROR(__xludf.DUMMYFUNCTION("""COMPUTED_VALUE"""),25639.0)</f>
        <v>25639</v>
      </c>
      <c r="D5209" s="5">
        <f>IFERROR(__xludf.DUMMYFUNCTION("""COMPUTED_VALUE"""),0.3972048233840385)</f>
        <v>0.3972048234</v>
      </c>
      <c r="E5209" s="5">
        <f>IFERROR(__xludf.DUMMYFUNCTION("""COMPUTED_VALUE"""),0.11044356385018535)</f>
        <v>0.1104435639</v>
      </c>
      <c r="F5209" s="5">
        <f>IFERROR(__xludf.DUMMYFUNCTION("""COMPUTED_VALUE"""),0.21858622012015852)</f>
        <v>0.2185862201</v>
      </c>
      <c r="G5209" s="5">
        <f>IFERROR(__xludf.DUMMYFUNCTION("""COMPUTED_VALUE"""),0.15752695044526824)</f>
        <v>0.1575269504</v>
      </c>
      <c r="H5209" s="5">
        <f>IFERROR(__xludf.DUMMYFUNCTION("""COMPUTED_VALUE"""),0.5980506822612086)</f>
        <v>0.5980506823</v>
      </c>
      <c r="I5209" s="11">
        <f>IFERROR(__xludf.DUMMYFUNCTION("""COMPUTED_VALUE"""),5332.651072124756)</f>
        <v>5332.651072</v>
      </c>
      <c r="J5209" s="10">
        <f>IFERROR(__xludf.DUMMYFUNCTION("""COMPUTED_VALUE"""),3.0)</f>
        <v>3</v>
      </c>
      <c r="K5209" s="5">
        <f>IFERROR(__xludf.DUMMYFUNCTION("""COMPUTED_VALUE"""),0.0013824884792626728)</f>
        <v>0.001382488479</v>
      </c>
      <c r="L5209" s="10">
        <f>IFERROR(__xludf.DUMMYFUNCTION("""COMPUTED_VALUE"""),2170.0)</f>
        <v>2170</v>
      </c>
      <c r="M5209" s="5">
        <f>IFERROR(__xludf.DUMMYFUNCTION("""COMPUTED_VALUE"""),1.0)</f>
        <v>1</v>
      </c>
    </row>
    <row r="5210">
      <c r="A5210" s="10" t="str">
        <f>IFERROR(__xludf.DUMMYFUNCTION("""COMPUTED_VALUE"""),"うだっぷ")</f>
        <v>うだっぷ</v>
      </c>
      <c r="B5210" s="10">
        <f>IFERROR(__xludf.DUMMYFUNCTION("""COMPUTED_VALUE"""),2662.0)</f>
        <v>2662</v>
      </c>
      <c r="C5210" s="10">
        <f>IFERROR(__xludf.DUMMYFUNCTION("""COMPUTED_VALUE"""),31556.0)</f>
        <v>31556</v>
      </c>
      <c r="D5210" s="5">
        <f>IFERROR(__xludf.DUMMYFUNCTION("""COMPUTED_VALUE"""),0.3494151034816917)</f>
        <v>0.3494151035</v>
      </c>
      <c r="E5210" s="5">
        <f>IFERROR(__xludf.DUMMYFUNCTION("""COMPUTED_VALUE"""),0.11043815324980964)</f>
        <v>0.1104381532</v>
      </c>
      <c r="F5210" s="5">
        <f>IFERROR(__xludf.DUMMYFUNCTION("""COMPUTED_VALUE"""),0.20177199418564407)</f>
        <v>0.2017719942</v>
      </c>
      <c r="G5210" s="5">
        <f>IFERROR(__xludf.DUMMYFUNCTION("""COMPUTED_VALUE"""),0.16588219007406382)</f>
        <v>0.1658821901</v>
      </c>
      <c r="H5210" s="5">
        <f>IFERROR(__xludf.DUMMYFUNCTION("""COMPUTED_VALUE"""),0.5902229845626072)</f>
        <v>0.5902229846</v>
      </c>
      <c r="I5210" s="11">
        <f>IFERROR(__xludf.DUMMYFUNCTION("""COMPUTED_VALUE"""),5530.6174957118355)</f>
        <v>5530.617496</v>
      </c>
      <c r="J5210" s="10">
        <f>IFERROR(__xludf.DUMMYFUNCTION("""COMPUTED_VALUE"""),2.0)</f>
        <v>2</v>
      </c>
      <c r="K5210" s="5">
        <f>IFERROR(__xludf.DUMMYFUNCTION("""COMPUTED_VALUE"""),7.513148009015778E-4)</f>
        <v>0.0007513148009</v>
      </c>
      <c r="L5210" s="10">
        <f>IFERROR(__xludf.DUMMYFUNCTION("""COMPUTED_VALUE"""),2662.0)</f>
        <v>2662</v>
      </c>
      <c r="M5210" s="5">
        <f>IFERROR(__xludf.DUMMYFUNCTION("""COMPUTED_VALUE"""),1.0)</f>
        <v>1</v>
      </c>
    </row>
    <row r="5211">
      <c r="A5211" s="10" t="str">
        <f>IFERROR(__xludf.DUMMYFUNCTION("""COMPUTED_VALUE"""),"アリョーシャ")</f>
        <v>アリョーシャ</v>
      </c>
      <c r="B5211" s="10">
        <f>IFERROR(__xludf.DUMMYFUNCTION("""COMPUTED_VALUE"""),120.0)</f>
        <v>120</v>
      </c>
      <c r="C5211" s="10">
        <f>IFERROR(__xludf.DUMMYFUNCTION("""COMPUTED_VALUE"""),1415.0)</f>
        <v>1415</v>
      </c>
      <c r="D5211" s="5">
        <f>IFERROR(__xludf.DUMMYFUNCTION("""COMPUTED_VALUE"""),0.33976833976833976)</f>
        <v>0.3397683398</v>
      </c>
      <c r="E5211" s="5">
        <f>IFERROR(__xludf.DUMMYFUNCTION("""COMPUTED_VALUE"""),0.11042471042471043)</f>
        <v>0.1104247104</v>
      </c>
      <c r="F5211" s="5">
        <f>IFERROR(__xludf.DUMMYFUNCTION("""COMPUTED_VALUE"""),0.2023166023166023)</f>
        <v>0.2023166023</v>
      </c>
      <c r="G5211" s="5">
        <f>IFERROR(__xludf.DUMMYFUNCTION("""COMPUTED_VALUE"""),0.17065637065637065)</f>
        <v>0.1706563707</v>
      </c>
      <c r="H5211" s="5">
        <f>IFERROR(__xludf.DUMMYFUNCTION("""COMPUTED_VALUE"""),0.5648854961832062)</f>
        <v>0.5648854962</v>
      </c>
      <c r="I5211" s="11">
        <f>IFERROR(__xludf.DUMMYFUNCTION("""COMPUTED_VALUE"""),5687.022900763359)</f>
        <v>5687.022901</v>
      </c>
      <c r="J5211" s="10">
        <f>IFERROR(__xludf.DUMMYFUNCTION("""COMPUTED_VALUE"""),0.0)</f>
        <v>0</v>
      </c>
      <c r="K5211" s="5">
        <f>IFERROR(__xludf.DUMMYFUNCTION("""COMPUTED_VALUE"""),0.0)</f>
        <v>0</v>
      </c>
      <c r="L5211" s="10">
        <f>IFERROR(__xludf.DUMMYFUNCTION("""COMPUTED_VALUE"""),120.0)</f>
        <v>120</v>
      </c>
      <c r="M5211" s="5">
        <f>IFERROR(__xludf.DUMMYFUNCTION("""COMPUTED_VALUE"""),1.0)</f>
        <v>1</v>
      </c>
    </row>
    <row r="5212">
      <c r="A5212" s="10" t="str">
        <f>IFERROR(__xludf.DUMMYFUNCTION("""COMPUTED_VALUE"""),"カンムル")</f>
        <v>カンムル</v>
      </c>
      <c r="B5212" s="10">
        <f>IFERROR(__xludf.DUMMYFUNCTION("""COMPUTED_VALUE"""),232.0)</f>
        <v>232</v>
      </c>
      <c r="C5212" s="10">
        <f>IFERROR(__xludf.DUMMYFUNCTION("""COMPUTED_VALUE"""),2659.0)</f>
        <v>2659</v>
      </c>
      <c r="D5212" s="5">
        <f>IFERROR(__xludf.DUMMYFUNCTION("""COMPUTED_VALUE"""),0.3329213020189534)</f>
        <v>0.332921302</v>
      </c>
      <c r="E5212" s="5">
        <f>IFERROR(__xludf.DUMMYFUNCTION("""COMPUTED_VALUE"""),0.11042439225381129)</f>
        <v>0.1104243923</v>
      </c>
      <c r="F5212" s="5">
        <f>IFERROR(__xludf.DUMMYFUNCTION("""COMPUTED_VALUE"""),0.21096003296250515)</f>
        <v>0.210960033</v>
      </c>
      <c r="G5212" s="5">
        <f>IFERROR(__xludf.DUMMYFUNCTION("""COMPUTED_VALUE"""),0.18665018541409148)</f>
        <v>0.1866501854</v>
      </c>
      <c r="H5212" s="5">
        <f>IFERROR(__xludf.DUMMYFUNCTION("""COMPUTED_VALUE"""),0.625)</f>
        <v>0.625</v>
      </c>
      <c r="I5212" s="11">
        <f>IFERROR(__xludf.DUMMYFUNCTION("""COMPUTED_VALUE"""),5702.734375)</f>
        <v>5702.734375</v>
      </c>
      <c r="J5212" s="10">
        <f>IFERROR(__xludf.DUMMYFUNCTION("""COMPUTED_VALUE"""),0.0)</f>
        <v>0</v>
      </c>
      <c r="K5212" s="5">
        <f>IFERROR(__xludf.DUMMYFUNCTION("""COMPUTED_VALUE"""),0.0)</f>
        <v>0</v>
      </c>
      <c r="L5212" s="10">
        <f>IFERROR(__xludf.DUMMYFUNCTION("""COMPUTED_VALUE"""),0.0)</f>
        <v>0</v>
      </c>
      <c r="M5212" s="5">
        <f>IFERROR(__xludf.DUMMYFUNCTION("""COMPUTED_VALUE"""),0.0)</f>
        <v>0</v>
      </c>
    </row>
    <row r="5213">
      <c r="A5213" s="10" t="str">
        <f>IFERROR(__xludf.DUMMYFUNCTION("""COMPUTED_VALUE"""),"gc@激辛")</f>
        <v>gc@激辛</v>
      </c>
      <c r="B5213" s="10">
        <f>IFERROR(__xludf.DUMMYFUNCTION("""COMPUTED_VALUE"""),2353.0)</f>
        <v>2353</v>
      </c>
      <c r="C5213" s="10">
        <f>IFERROR(__xludf.DUMMYFUNCTION("""COMPUTED_VALUE"""),27547.0)</f>
        <v>27547</v>
      </c>
      <c r="D5213" s="5">
        <f>IFERROR(__xludf.DUMMYFUNCTION("""COMPUTED_VALUE"""),0.3393268238469477)</f>
        <v>0.3393268238</v>
      </c>
      <c r="E5213" s="5">
        <f>IFERROR(__xludf.DUMMYFUNCTION("""COMPUTED_VALUE"""),0.11042311661506708)</f>
        <v>0.1104231166</v>
      </c>
      <c r="F5213" s="5">
        <f>IFERROR(__xludf.DUMMYFUNCTION("""COMPUTED_VALUE"""),0.20889894419306185)</f>
        <v>0.2088989442</v>
      </c>
      <c r="G5213" s="5">
        <f>IFERROR(__xludf.DUMMYFUNCTION("""COMPUTED_VALUE"""),0.18083670715249664)</f>
        <v>0.1808367072</v>
      </c>
      <c r="H5213" s="5">
        <f>IFERROR(__xludf.DUMMYFUNCTION("""COMPUTED_VALUE"""),0.5793273798213946)</f>
        <v>0.5793273798</v>
      </c>
      <c r="I5213" s="11">
        <f>IFERROR(__xludf.DUMMYFUNCTION("""COMPUTED_VALUE"""),5899.847995439864)</f>
        <v>5899.847995</v>
      </c>
      <c r="J5213" s="10">
        <f>IFERROR(__xludf.DUMMYFUNCTION("""COMPUTED_VALUE"""),3.0)</f>
        <v>3</v>
      </c>
      <c r="K5213" s="5">
        <f>IFERROR(__xludf.DUMMYFUNCTION("""COMPUTED_VALUE"""),0.0012749681257968552)</f>
        <v>0.001274968126</v>
      </c>
      <c r="L5213" s="10">
        <f>IFERROR(__xludf.DUMMYFUNCTION("""COMPUTED_VALUE"""),2353.0)</f>
        <v>2353</v>
      </c>
      <c r="M5213" s="5">
        <f>IFERROR(__xludf.DUMMYFUNCTION("""COMPUTED_VALUE"""),1.0)</f>
        <v>1</v>
      </c>
    </row>
    <row r="5214">
      <c r="A5214" s="10" t="str">
        <f>IFERROR(__xludf.DUMMYFUNCTION("""COMPUTED_VALUE"""),"sin46")</f>
        <v>sin46</v>
      </c>
      <c r="B5214" s="10">
        <f>IFERROR(__xludf.DUMMYFUNCTION("""COMPUTED_VALUE"""),950.0)</f>
        <v>950</v>
      </c>
      <c r="C5214" s="10">
        <f>IFERROR(__xludf.DUMMYFUNCTION("""COMPUTED_VALUE"""),11067.0)</f>
        <v>11067</v>
      </c>
      <c r="D5214" s="5">
        <f>IFERROR(__xludf.DUMMYFUNCTION("""COMPUTED_VALUE"""),0.3640407235346447)</f>
        <v>0.3640407235</v>
      </c>
      <c r="E5214" s="5">
        <f>IFERROR(__xludf.DUMMYFUNCTION("""COMPUTED_VALUE"""),0.11040822378175348)</f>
        <v>0.1104082238</v>
      </c>
      <c r="F5214" s="5">
        <f>IFERROR(__xludf.DUMMYFUNCTION("""COMPUTED_VALUE"""),0.20500148265296037)</f>
        <v>0.2050014827</v>
      </c>
      <c r="G5214" s="5">
        <f>IFERROR(__xludf.DUMMYFUNCTION("""COMPUTED_VALUE"""),0.16012651971928438)</f>
        <v>0.1601265197</v>
      </c>
      <c r="H5214" s="5">
        <f>IFERROR(__xludf.DUMMYFUNCTION("""COMPUTED_VALUE"""),0.585824493731919)</f>
        <v>0.5858244937</v>
      </c>
      <c r="I5214" s="11">
        <f>IFERROR(__xludf.DUMMYFUNCTION("""COMPUTED_VALUE"""),5962.1022179363545)</f>
        <v>5962.102218</v>
      </c>
      <c r="J5214" s="10">
        <f>IFERROR(__xludf.DUMMYFUNCTION("""COMPUTED_VALUE"""),4.0)</f>
        <v>4</v>
      </c>
      <c r="K5214" s="5">
        <f>IFERROR(__xludf.DUMMYFUNCTION("""COMPUTED_VALUE"""),0.004210526315789474)</f>
        <v>0.004210526316</v>
      </c>
      <c r="L5214" s="10">
        <f>IFERROR(__xludf.DUMMYFUNCTION("""COMPUTED_VALUE"""),950.0)</f>
        <v>950</v>
      </c>
      <c r="M5214" s="5">
        <f>IFERROR(__xludf.DUMMYFUNCTION("""COMPUTED_VALUE"""),1.0)</f>
        <v>1</v>
      </c>
    </row>
    <row r="5215">
      <c r="A5215" s="10" t="str">
        <f>IFERROR(__xludf.DUMMYFUNCTION("""COMPUTED_VALUE"""),"ゴゥ")</f>
        <v>ゴゥ</v>
      </c>
      <c r="B5215" s="10">
        <f>IFERROR(__xludf.DUMMYFUNCTION("""COMPUTED_VALUE"""),129.0)</f>
        <v>129</v>
      </c>
      <c r="C5215" s="10">
        <f>IFERROR(__xludf.DUMMYFUNCTION("""COMPUTED_VALUE"""),1551.0)</f>
        <v>1551</v>
      </c>
      <c r="D5215" s="5">
        <f>IFERROR(__xludf.DUMMYFUNCTION("""COMPUTED_VALUE"""),0.3691983122362869)</f>
        <v>0.3691983122</v>
      </c>
      <c r="E5215" s="5">
        <f>IFERROR(__xludf.DUMMYFUNCTION("""COMPUTED_VALUE"""),0.11040787623066103)</f>
        <v>0.1104078762</v>
      </c>
      <c r="F5215" s="5">
        <f>IFERROR(__xludf.DUMMYFUNCTION("""COMPUTED_VALUE"""),0.20745428973277075)</f>
        <v>0.2074542897</v>
      </c>
      <c r="G5215" s="5">
        <f>IFERROR(__xludf.DUMMYFUNCTION("""COMPUTED_VALUE"""),0.1589310829817159)</f>
        <v>0.158931083</v>
      </c>
      <c r="H5215" s="5">
        <f>IFERROR(__xludf.DUMMYFUNCTION("""COMPUTED_VALUE"""),0.6406779661016949)</f>
        <v>0.6406779661</v>
      </c>
      <c r="I5215" s="11">
        <f>IFERROR(__xludf.DUMMYFUNCTION("""COMPUTED_VALUE"""),5408.135593220339)</f>
        <v>5408.135593</v>
      </c>
      <c r="J5215" s="10">
        <f>IFERROR(__xludf.DUMMYFUNCTION("""COMPUTED_VALUE"""),0.0)</f>
        <v>0</v>
      </c>
      <c r="K5215" s="5">
        <f>IFERROR(__xludf.DUMMYFUNCTION("""COMPUTED_VALUE"""),0.0)</f>
        <v>0</v>
      </c>
      <c r="L5215" s="10">
        <f>IFERROR(__xludf.DUMMYFUNCTION("""COMPUTED_VALUE"""),0.0)</f>
        <v>0</v>
      </c>
      <c r="M5215" s="5">
        <f>IFERROR(__xludf.DUMMYFUNCTION("""COMPUTED_VALUE"""),0.0)</f>
        <v>0</v>
      </c>
    </row>
    <row r="5216">
      <c r="A5216" s="10" t="str">
        <f>IFERROR(__xludf.DUMMYFUNCTION("""COMPUTED_VALUE"""),"（≧▽≦）")</f>
        <v>（≧▽≦）</v>
      </c>
      <c r="B5216" s="10">
        <f>IFERROR(__xludf.DUMMYFUNCTION("""COMPUTED_VALUE"""),1187.0)</f>
        <v>1187</v>
      </c>
      <c r="C5216" s="10">
        <f>IFERROR(__xludf.DUMMYFUNCTION("""COMPUTED_VALUE"""),14257.0)</f>
        <v>14257</v>
      </c>
      <c r="D5216" s="5">
        <f>IFERROR(__xludf.DUMMYFUNCTION("""COMPUTED_VALUE"""),0.38018362662586075)</f>
        <v>0.3801836266</v>
      </c>
      <c r="E5216" s="5">
        <f>IFERROR(__xludf.DUMMYFUNCTION("""COMPUTED_VALUE"""),0.11040550879877582)</f>
        <v>0.1104055088</v>
      </c>
      <c r="F5216" s="5">
        <f>IFERROR(__xludf.DUMMYFUNCTION("""COMPUTED_VALUE"""),0.21224177505738331)</f>
        <v>0.2122417751</v>
      </c>
      <c r="G5216" s="5">
        <f>IFERROR(__xludf.DUMMYFUNCTION("""COMPUTED_VALUE"""),0.16893649579188982)</f>
        <v>0.1689364958</v>
      </c>
      <c r="H5216" s="5">
        <f>IFERROR(__xludf.DUMMYFUNCTION("""COMPUTED_VALUE"""),0.5749819754866619)</f>
        <v>0.5749819755</v>
      </c>
      <c r="I5216" s="11">
        <f>IFERROR(__xludf.DUMMYFUNCTION("""COMPUTED_VALUE"""),5448.774333093006)</f>
        <v>5448.774333</v>
      </c>
      <c r="J5216" s="10">
        <f>IFERROR(__xludf.DUMMYFUNCTION("""COMPUTED_VALUE"""),1.0)</f>
        <v>1</v>
      </c>
      <c r="K5216" s="5">
        <f>IFERROR(__xludf.DUMMYFUNCTION("""COMPUTED_VALUE"""),8.424599831508003E-4)</f>
        <v>0.0008424599832</v>
      </c>
      <c r="L5216" s="10">
        <f>IFERROR(__xludf.DUMMYFUNCTION("""COMPUTED_VALUE"""),1187.0)</f>
        <v>1187</v>
      </c>
      <c r="M5216" s="5">
        <f>IFERROR(__xludf.DUMMYFUNCTION("""COMPUTED_VALUE"""),1.0)</f>
        <v>1</v>
      </c>
    </row>
    <row r="5217">
      <c r="A5217" s="10" t="str">
        <f>IFERROR(__xludf.DUMMYFUNCTION("""COMPUTED_VALUE"""),"sho55555")</f>
        <v>sho55555</v>
      </c>
      <c r="B5217" s="10">
        <f>IFERROR(__xludf.DUMMYFUNCTION("""COMPUTED_VALUE"""),1076.0)</f>
        <v>1076</v>
      </c>
      <c r="C5217" s="10">
        <f>IFERROR(__xludf.DUMMYFUNCTION("""COMPUTED_VALUE"""),12626.0)</f>
        <v>12626</v>
      </c>
      <c r="D5217" s="5">
        <f>IFERROR(__xludf.DUMMYFUNCTION("""COMPUTED_VALUE"""),0.29774891774891776)</f>
        <v>0.2977489177</v>
      </c>
      <c r="E5217" s="5">
        <f>IFERROR(__xludf.DUMMYFUNCTION("""COMPUTED_VALUE"""),0.11038961038961038)</f>
        <v>0.1103896104</v>
      </c>
      <c r="F5217" s="5">
        <f>IFERROR(__xludf.DUMMYFUNCTION("""COMPUTED_VALUE"""),0.18727272727272729)</f>
        <v>0.1872727273</v>
      </c>
      <c r="G5217" s="5">
        <f>IFERROR(__xludf.DUMMYFUNCTION("""COMPUTED_VALUE"""),0.16666666666666666)</f>
        <v>0.1666666667</v>
      </c>
      <c r="H5217" s="5">
        <f>IFERROR(__xludf.DUMMYFUNCTION("""COMPUTED_VALUE"""),0.5991678224687933)</f>
        <v>0.5991678225</v>
      </c>
      <c r="I5217" s="11">
        <f>IFERROR(__xludf.DUMMYFUNCTION("""COMPUTED_VALUE"""),6082.940360610263)</f>
        <v>6082.940361</v>
      </c>
      <c r="J5217" s="10">
        <f>IFERROR(__xludf.DUMMYFUNCTION("""COMPUTED_VALUE"""),2.0)</f>
        <v>2</v>
      </c>
      <c r="K5217" s="5">
        <f>IFERROR(__xludf.DUMMYFUNCTION("""COMPUTED_VALUE"""),0.0018587360594795538)</f>
        <v>0.001858736059</v>
      </c>
      <c r="L5217" s="10">
        <f>IFERROR(__xludf.DUMMYFUNCTION("""COMPUTED_VALUE"""),1076.0)</f>
        <v>1076</v>
      </c>
      <c r="M5217" s="5">
        <f>IFERROR(__xludf.DUMMYFUNCTION("""COMPUTED_VALUE"""),1.0)</f>
        <v>1</v>
      </c>
    </row>
    <row r="5218">
      <c r="A5218" s="10" t="str">
        <f>IFERROR(__xludf.DUMMYFUNCTION("""COMPUTED_VALUE"""),"とここ")</f>
        <v>とここ</v>
      </c>
      <c r="B5218" s="10">
        <f>IFERROR(__xludf.DUMMYFUNCTION("""COMPUTED_VALUE"""),212.0)</f>
        <v>212</v>
      </c>
      <c r="C5218" s="10">
        <f>IFERROR(__xludf.DUMMYFUNCTION("""COMPUTED_VALUE"""),2504.0)</f>
        <v>2504</v>
      </c>
      <c r="D5218" s="5">
        <f>IFERROR(__xludf.DUMMYFUNCTION("""COMPUTED_VALUE"""),0.3843804537521815)</f>
        <v>0.3843804538</v>
      </c>
      <c r="E5218" s="5">
        <f>IFERROR(__xludf.DUMMYFUNCTION("""COMPUTED_VALUE"""),0.11038394415357766)</f>
        <v>0.1103839442</v>
      </c>
      <c r="F5218" s="5">
        <f>IFERROR(__xludf.DUMMYFUNCTION("""COMPUTED_VALUE"""),0.20986038394415357)</f>
        <v>0.2098603839</v>
      </c>
      <c r="G5218" s="5">
        <f>IFERROR(__xludf.DUMMYFUNCTION("""COMPUTED_VALUE"""),0.16143106457242584)</f>
        <v>0.1614310646</v>
      </c>
      <c r="H5218" s="5">
        <f>IFERROR(__xludf.DUMMYFUNCTION("""COMPUTED_VALUE"""),0.5862785862785863)</f>
        <v>0.5862785863</v>
      </c>
      <c r="I5218" s="11">
        <f>IFERROR(__xludf.DUMMYFUNCTION("""COMPUTED_VALUE"""),5480.04158004158)</f>
        <v>5480.04158</v>
      </c>
      <c r="J5218" s="10">
        <f>IFERROR(__xludf.DUMMYFUNCTION("""COMPUTED_VALUE"""),0.0)</f>
        <v>0</v>
      </c>
      <c r="K5218" s="5">
        <f>IFERROR(__xludf.DUMMYFUNCTION("""COMPUTED_VALUE"""),0.0)</f>
        <v>0</v>
      </c>
      <c r="L5218" s="10">
        <f>IFERROR(__xludf.DUMMYFUNCTION("""COMPUTED_VALUE"""),0.0)</f>
        <v>0</v>
      </c>
      <c r="M5218" s="5">
        <f>IFERROR(__xludf.DUMMYFUNCTION("""COMPUTED_VALUE"""),0.0)</f>
        <v>0</v>
      </c>
    </row>
    <row r="5219">
      <c r="A5219" s="10" t="str">
        <f>IFERROR(__xludf.DUMMYFUNCTION("""COMPUTED_VALUE"""),"yoyuu77")</f>
        <v>yoyuu77</v>
      </c>
      <c r="B5219" s="10">
        <f>IFERROR(__xludf.DUMMYFUNCTION("""COMPUTED_VALUE"""),601.0)</f>
        <v>601</v>
      </c>
      <c r="C5219" s="10">
        <f>IFERROR(__xludf.DUMMYFUNCTION("""COMPUTED_VALUE"""),7061.0)</f>
        <v>7061</v>
      </c>
      <c r="D5219" s="5">
        <f>IFERROR(__xludf.DUMMYFUNCTION("""COMPUTED_VALUE"""),0.35356037151702785)</f>
        <v>0.3535603715</v>
      </c>
      <c r="E5219" s="5">
        <f>IFERROR(__xludf.DUMMYFUNCTION("""COMPUTED_VALUE"""),0.11037151702786378)</f>
        <v>0.110371517</v>
      </c>
      <c r="F5219" s="5">
        <f>IFERROR(__xludf.DUMMYFUNCTION("""COMPUTED_VALUE"""),0.2060371517027864)</f>
        <v>0.2060371517</v>
      </c>
      <c r="G5219" s="5">
        <f>IFERROR(__xludf.DUMMYFUNCTION("""COMPUTED_VALUE"""),0.14891640866873065)</f>
        <v>0.1489164087</v>
      </c>
      <c r="H5219" s="5">
        <f>IFERROR(__xludf.DUMMYFUNCTION("""COMPUTED_VALUE"""),0.6108189331329827)</f>
        <v>0.6108189331</v>
      </c>
      <c r="I5219" s="11">
        <f>IFERROR(__xludf.DUMMYFUNCTION("""COMPUTED_VALUE"""),5377.6859504132235)</f>
        <v>5377.68595</v>
      </c>
      <c r="J5219" s="10">
        <f>IFERROR(__xludf.DUMMYFUNCTION("""COMPUTED_VALUE"""),0.0)</f>
        <v>0</v>
      </c>
      <c r="K5219" s="5">
        <f>IFERROR(__xludf.DUMMYFUNCTION("""COMPUTED_VALUE"""),0.0)</f>
        <v>0</v>
      </c>
      <c r="L5219" s="10">
        <f>IFERROR(__xludf.DUMMYFUNCTION("""COMPUTED_VALUE"""),600.0)</f>
        <v>600</v>
      </c>
      <c r="M5219" s="5">
        <f>IFERROR(__xludf.DUMMYFUNCTION("""COMPUTED_VALUE"""),0.9983361064891847)</f>
        <v>0.9983361065</v>
      </c>
    </row>
    <row r="5220">
      <c r="A5220" s="10" t="str">
        <f>IFERROR(__xludf.DUMMYFUNCTION("""COMPUTED_VALUE"""),"どぐされうなぎ")</f>
        <v>どぐされうなぎ</v>
      </c>
      <c r="B5220" s="10">
        <f>IFERROR(__xludf.DUMMYFUNCTION("""COMPUTED_VALUE"""),733.0)</f>
        <v>733</v>
      </c>
      <c r="C5220" s="10">
        <f>IFERROR(__xludf.DUMMYFUNCTION("""COMPUTED_VALUE"""),8625.0)</f>
        <v>8625</v>
      </c>
      <c r="D5220" s="5">
        <f>IFERROR(__xludf.DUMMYFUNCTION("""COMPUTED_VALUE"""),0.3345159655347187)</f>
        <v>0.3345159655</v>
      </c>
      <c r="E5220" s="5">
        <f>IFERROR(__xludf.DUMMYFUNCTION("""COMPUTED_VALUE"""),0.11036492650785605)</f>
        <v>0.1103649265</v>
      </c>
      <c r="F5220" s="5">
        <f>IFERROR(__xludf.DUMMYFUNCTION("""COMPUTED_VALUE"""),0.19766852508869742)</f>
        <v>0.1976685251</v>
      </c>
      <c r="G5220" s="5">
        <f>IFERROR(__xludf.DUMMYFUNCTION("""COMPUTED_VALUE"""),0.14432336543335023)</f>
        <v>0.1443233654</v>
      </c>
      <c r="H5220" s="5">
        <f>IFERROR(__xludf.DUMMYFUNCTION("""COMPUTED_VALUE"""),0.610897435897436)</f>
        <v>0.6108974359</v>
      </c>
      <c r="I5220" s="11">
        <f>IFERROR(__xludf.DUMMYFUNCTION("""COMPUTED_VALUE"""),5267.371794871795)</f>
        <v>5267.371795</v>
      </c>
      <c r="J5220" s="10">
        <f>IFERROR(__xludf.DUMMYFUNCTION("""COMPUTED_VALUE"""),2.0)</f>
        <v>2</v>
      </c>
      <c r="K5220" s="5">
        <f>IFERROR(__xludf.DUMMYFUNCTION("""COMPUTED_VALUE"""),0.002728512960436562)</f>
        <v>0.00272851296</v>
      </c>
      <c r="L5220" s="10">
        <f>IFERROR(__xludf.DUMMYFUNCTION("""COMPUTED_VALUE"""),733.0)</f>
        <v>733</v>
      </c>
      <c r="M5220" s="5">
        <f>IFERROR(__xludf.DUMMYFUNCTION("""COMPUTED_VALUE"""),1.0)</f>
        <v>1</v>
      </c>
    </row>
    <row r="5221">
      <c r="A5221" s="10" t="str">
        <f>IFERROR(__xludf.DUMMYFUNCTION("""COMPUTED_VALUE"""),"戸山香澄")</f>
        <v>戸山香澄</v>
      </c>
      <c r="B5221" s="10">
        <f>IFERROR(__xludf.DUMMYFUNCTION("""COMPUTED_VALUE"""),209.0)</f>
        <v>209</v>
      </c>
      <c r="C5221" s="10">
        <f>IFERROR(__xludf.DUMMYFUNCTION("""COMPUTED_VALUE"""),2402.0)</f>
        <v>2402</v>
      </c>
      <c r="D5221" s="5">
        <f>IFERROR(__xludf.DUMMYFUNCTION("""COMPUTED_VALUE"""),0.2959416324669403)</f>
        <v>0.2959416325</v>
      </c>
      <c r="E5221" s="5">
        <f>IFERROR(__xludf.DUMMYFUNCTION("""COMPUTED_VALUE"""),0.11035111719106247)</f>
        <v>0.1103511172</v>
      </c>
      <c r="F5221" s="5">
        <f>IFERROR(__xludf.DUMMYFUNCTION("""COMPUTED_VALUE"""),0.18969448244414044)</f>
        <v>0.1896944824</v>
      </c>
      <c r="G5221" s="5">
        <f>IFERROR(__xludf.DUMMYFUNCTION("""COMPUTED_VALUE"""),0.20200638394892842)</f>
        <v>0.2020063839</v>
      </c>
      <c r="H5221" s="5">
        <f>IFERROR(__xludf.DUMMYFUNCTION("""COMPUTED_VALUE"""),0.5240384615384616)</f>
        <v>0.5240384615</v>
      </c>
      <c r="I5221" s="11">
        <f>IFERROR(__xludf.DUMMYFUNCTION("""COMPUTED_VALUE"""),6124.759615384615)</f>
        <v>6124.759615</v>
      </c>
      <c r="J5221" s="10">
        <f>IFERROR(__xludf.DUMMYFUNCTION("""COMPUTED_VALUE"""),0.0)</f>
        <v>0</v>
      </c>
      <c r="K5221" s="5">
        <f>IFERROR(__xludf.DUMMYFUNCTION("""COMPUTED_VALUE"""),0.0)</f>
        <v>0</v>
      </c>
      <c r="L5221" s="10">
        <f>IFERROR(__xludf.DUMMYFUNCTION("""COMPUTED_VALUE"""),0.0)</f>
        <v>0</v>
      </c>
      <c r="M5221" s="5">
        <f>IFERROR(__xludf.DUMMYFUNCTION("""COMPUTED_VALUE"""),0.0)</f>
        <v>0</v>
      </c>
    </row>
    <row r="5222">
      <c r="A5222" s="10" t="str">
        <f>IFERROR(__xludf.DUMMYFUNCTION("""COMPUTED_VALUE"""),"kukekeke")</f>
        <v>kukekeke</v>
      </c>
      <c r="B5222" s="10">
        <f>IFERROR(__xludf.DUMMYFUNCTION("""COMPUTED_VALUE"""),731.0)</f>
        <v>731</v>
      </c>
      <c r="C5222" s="10">
        <f>IFERROR(__xludf.DUMMYFUNCTION("""COMPUTED_VALUE"""),8643.0)</f>
        <v>8643</v>
      </c>
      <c r="D5222" s="5">
        <f>IFERROR(__xludf.DUMMYFUNCTION("""COMPUTED_VALUE"""),0.35035389282103135)</f>
        <v>0.3503538928</v>
      </c>
      <c r="E5222" s="5">
        <f>IFERROR(__xludf.DUMMYFUNCTION("""COMPUTED_VALUE"""),0.1103387259858443)</f>
        <v>0.110338726</v>
      </c>
      <c r="F5222" s="5">
        <f>IFERROR(__xludf.DUMMYFUNCTION("""COMPUTED_VALUE"""),0.20538422649140545)</f>
        <v>0.2053842265</v>
      </c>
      <c r="G5222" s="5">
        <f>IFERROR(__xludf.DUMMYFUNCTION("""COMPUTED_VALUE"""),0.1583670374115268)</f>
        <v>0.1583670374</v>
      </c>
      <c r="H5222" s="5">
        <f>IFERROR(__xludf.DUMMYFUNCTION("""COMPUTED_VALUE"""),0.6147692307692307)</f>
        <v>0.6147692308</v>
      </c>
      <c r="I5222" s="11">
        <f>IFERROR(__xludf.DUMMYFUNCTION("""COMPUTED_VALUE"""),5679.815384615385)</f>
        <v>5679.815385</v>
      </c>
      <c r="J5222" s="10">
        <f>IFERROR(__xludf.DUMMYFUNCTION("""COMPUTED_VALUE"""),1.0)</f>
        <v>1</v>
      </c>
      <c r="K5222" s="5">
        <f>IFERROR(__xludf.DUMMYFUNCTION("""COMPUTED_VALUE"""),0.0013679890560875513)</f>
        <v>0.001367989056</v>
      </c>
      <c r="L5222" s="10">
        <f>IFERROR(__xludf.DUMMYFUNCTION("""COMPUTED_VALUE"""),731.0)</f>
        <v>731</v>
      </c>
      <c r="M5222" s="5">
        <f>IFERROR(__xludf.DUMMYFUNCTION("""COMPUTED_VALUE"""),1.0)</f>
        <v>1</v>
      </c>
    </row>
    <row r="5223">
      <c r="A5223" s="10" t="str">
        <f>IFERROR(__xludf.DUMMYFUNCTION("""COMPUTED_VALUE"""),"J.com@K1")</f>
        <v>J.com@K1</v>
      </c>
      <c r="B5223" s="10">
        <f>IFERROR(__xludf.DUMMYFUNCTION("""COMPUTED_VALUE"""),415.0)</f>
        <v>415</v>
      </c>
      <c r="C5223" s="10">
        <f>IFERROR(__xludf.DUMMYFUNCTION("""COMPUTED_VALUE"""),4948.0)</f>
        <v>4948</v>
      </c>
      <c r="D5223" s="5">
        <f>IFERROR(__xludf.DUMMYFUNCTION("""COMPUTED_VALUE"""),0.3915729097727774)</f>
        <v>0.3915729098</v>
      </c>
      <c r="E5223" s="5">
        <f>IFERROR(__xludf.DUMMYFUNCTION("""COMPUTED_VALUE"""),0.11030222810500773)</f>
        <v>0.1103022281</v>
      </c>
      <c r="F5223" s="5">
        <f>IFERROR(__xludf.DUMMYFUNCTION("""COMPUTED_VALUE"""),0.2029560997132142)</f>
        <v>0.2029560997</v>
      </c>
      <c r="G5223" s="5">
        <f>IFERROR(__xludf.DUMMYFUNCTION("""COMPUTED_VALUE"""),0.15773218619016105)</f>
        <v>0.1577321862</v>
      </c>
      <c r="H5223" s="5">
        <f>IFERROR(__xludf.DUMMYFUNCTION("""COMPUTED_VALUE"""),0.5989130434782609)</f>
        <v>0.5989130435</v>
      </c>
      <c r="I5223" s="11">
        <f>IFERROR(__xludf.DUMMYFUNCTION("""COMPUTED_VALUE"""),5555.760869565217)</f>
        <v>5555.76087</v>
      </c>
      <c r="J5223" s="10">
        <f>IFERROR(__xludf.DUMMYFUNCTION("""COMPUTED_VALUE"""),1.0)</f>
        <v>1</v>
      </c>
      <c r="K5223" s="5">
        <f>IFERROR(__xludf.DUMMYFUNCTION("""COMPUTED_VALUE"""),0.0024096385542168677)</f>
        <v>0.002409638554</v>
      </c>
      <c r="L5223" s="10">
        <f>IFERROR(__xludf.DUMMYFUNCTION("""COMPUTED_VALUE"""),0.0)</f>
        <v>0</v>
      </c>
      <c r="M5223" s="5">
        <f>IFERROR(__xludf.DUMMYFUNCTION("""COMPUTED_VALUE"""),0.0)</f>
        <v>0</v>
      </c>
    </row>
    <row r="5224">
      <c r="A5224" s="10" t="str">
        <f>IFERROR(__xludf.DUMMYFUNCTION("""COMPUTED_VALUE"""),"ぽとし")</f>
        <v>ぽとし</v>
      </c>
      <c r="B5224" s="10">
        <f>IFERROR(__xludf.DUMMYFUNCTION("""COMPUTED_VALUE"""),251.0)</f>
        <v>251</v>
      </c>
      <c r="C5224" s="10">
        <f>IFERROR(__xludf.DUMMYFUNCTION("""COMPUTED_VALUE"""),2853.0)</f>
        <v>2853</v>
      </c>
      <c r="D5224" s="5">
        <f>IFERROR(__xludf.DUMMYFUNCTION("""COMPUTED_VALUE"""),0.3124519600307456)</f>
        <v>0.31245196</v>
      </c>
      <c r="E5224" s="5">
        <f>IFERROR(__xludf.DUMMYFUNCTION("""COMPUTED_VALUE"""),0.11029976940814758)</f>
        <v>0.1102997694</v>
      </c>
      <c r="F5224" s="5">
        <f>IFERROR(__xludf.DUMMYFUNCTION("""COMPUTED_VALUE"""),0.2048424289008455)</f>
        <v>0.2048424289</v>
      </c>
      <c r="G5224" s="5">
        <f>IFERROR(__xludf.DUMMYFUNCTION("""COMPUTED_VALUE"""),0.17025365103766332)</f>
        <v>0.170253651</v>
      </c>
      <c r="H5224" s="5">
        <f>IFERROR(__xludf.DUMMYFUNCTION("""COMPUTED_VALUE"""),0.6022514071294559)</f>
        <v>0.6022514071</v>
      </c>
      <c r="I5224" s="11">
        <f>IFERROR(__xludf.DUMMYFUNCTION("""COMPUTED_VALUE"""),5584.240150093809)</f>
        <v>5584.24015</v>
      </c>
      <c r="J5224" s="10">
        <f>IFERROR(__xludf.DUMMYFUNCTION("""COMPUTED_VALUE"""),3.0)</f>
        <v>3</v>
      </c>
      <c r="K5224" s="5">
        <f>IFERROR(__xludf.DUMMYFUNCTION("""COMPUTED_VALUE"""),0.01195219123505976)</f>
        <v>0.01195219124</v>
      </c>
      <c r="L5224" s="10">
        <f>IFERROR(__xludf.DUMMYFUNCTION("""COMPUTED_VALUE"""),2.0)</f>
        <v>2</v>
      </c>
      <c r="M5224" s="5">
        <f>IFERROR(__xludf.DUMMYFUNCTION("""COMPUTED_VALUE"""),0.00796812749003984)</f>
        <v>0.00796812749</v>
      </c>
    </row>
    <row r="5225">
      <c r="A5225" s="10" t="str">
        <f>IFERROR(__xludf.DUMMYFUNCTION("""COMPUTED_VALUE"""),"フリテン")</f>
        <v>フリテン</v>
      </c>
      <c r="B5225" s="10">
        <f>IFERROR(__xludf.DUMMYFUNCTION("""COMPUTED_VALUE"""),7390.0)</f>
        <v>7390</v>
      </c>
      <c r="C5225" s="10">
        <f>IFERROR(__xludf.DUMMYFUNCTION("""COMPUTED_VALUE"""),86721.0)</f>
        <v>86721</v>
      </c>
      <c r="D5225" s="5">
        <f>IFERROR(__xludf.DUMMYFUNCTION("""COMPUTED_VALUE"""),0.34678751055703316)</f>
        <v>0.3467875106</v>
      </c>
      <c r="E5225" s="5">
        <f>IFERROR(__xludf.DUMMYFUNCTION("""COMPUTED_VALUE"""),0.11029736168710845)</f>
        <v>0.1102973617</v>
      </c>
      <c r="F5225" s="5">
        <f>IFERROR(__xludf.DUMMYFUNCTION("""COMPUTED_VALUE"""),0.2105608148138811)</f>
        <v>0.2105608148</v>
      </c>
      <c r="G5225" s="5">
        <f>IFERROR(__xludf.DUMMYFUNCTION("""COMPUTED_VALUE"""),0.1684335253557878)</f>
        <v>0.1684335254</v>
      </c>
      <c r="H5225" s="5">
        <f>IFERROR(__xludf.DUMMYFUNCTION("""COMPUTED_VALUE"""),0.6054837164750958)</f>
        <v>0.6054837165</v>
      </c>
      <c r="I5225" s="11">
        <f>IFERROR(__xludf.DUMMYFUNCTION("""COMPUTED_VALUE"""),5528.969109195402)</f>
        <v>5528.969109</v>
      </c>
      <c r="J5225" s="10">
        <f>IFERROR(__xludf.DUMMYFUNCTION("""COMPUTED_VALUE"""),10.0)</f>
        <v>10</v>
      </c>
      <c r="K5225" s="5">
        <f>IFERROR(__xludf.DUMMYFUNCTION("""COMPUTED_VALUE"""),0.0013531799729364006)</f>
        <v>0.001353179973</v>
      </c>
      <c r="L5225" s="10">
        <f>IFERROR(__xludf.DUMMYFUNCTION("""COMPUTED_VALUE"""),7390.0)</f>
        <v>7390</v>
      </c>
      <c r="M5225" s="5">
        <f>IFERROR(__xludf.DUMMYFUNCTION("""COMPUTED_VALUE"""),1.0)</f>
        <v>1</v>
      </c>
    </row>
    <row r="5226">
      <c r="A5226" s="10" t="str">
        <f>IFERROR(__xludf.DUMMYFUNCTION("""COMPUTED_VALUE"""),"新井ソフィア")</f>
        <v>新井ソフィア</v>
      </c>
      <c r="B5226" s="10">
        <f>IFERROR(__xludf.DUMMYFUNCTION("""COMPUTED_VALUE"""),240.0)</f>
        <v>240</v>
      </c>
      <c r="C5226" s="10">
        <f>IFERROR(__xludf.DUMMYFUNCTION("""COMPUTED_VALUE"""),2824.0)</f>
        <v>2824</v>
      </c>
      <c r="D5226" s="5">
        <f>IFERROR(__xludf.DUMMYFUNCTION("""COMPUTED_VALUE"""),0.4005417956656347)</f>
        <v>0.4005417957</v>
      </c>
      <c r="E5226" s="5">
        <f>IFERROR(__xludf.DUMMYFUNCTION("""COMPUTED_VALUE"""),0.11029411764705882)</f>
        <v>0.1102941176</v>
      </c>
      <c r="F5226" s="5">
        <f>IFERROR(__xludf.DUMMYFUNCTION("""COMPUTED_VALUE"""),0.19775541795665635)</f>
        <v>0.197755418</v>
      </c>
      <c r="G5226" s="5">
        <f>IFERROR(__xludf.DUMMYFUNCTION("""COMPUTED_VALUE"""),0.14938080495356038)</f>
        <v>0.149380805</v>
      </c>
      <c r="H5226" s="5">
        <f>IFERROR(__xludf.DUMMYFUNCTION("""COMPUTED_VALUE"""),0.5870841487279843)</f>
        <v>0.5870841487</v>
      </c>
      <c r="I5226" s="11">
        <f>IFERROR(__xludf.DUMMYFUNCTION("""COMPUTED_VALUE"""),5965.949119373777)</f>
        <v>5965.949119</v>
      </c>
      <c r="J5226" s="10">
        <f>IFERROR(__xludf.DUMMYFUNCTION("""COMPUTED_VALUE"""),2.0)</f>
        <v>2</v>
      </c>
      <c r="K5226" s="5">
        <f>IFERROR(__xludf.DUMMYFUNCTION("""COMPUTED_VALUE"""),0.008333333333333333)</f>
        <v>0.008333333333</v>
      </c>
      <c r="L5226" s="10">
        <f>IFERROR(__xludf.DUMMYFUNCTION("""COMPUTED_VALUE"""),0.0)</f>
        <v>0</v>
      </c>
      <c r="M5226" s="5">
        <f>IFERROR(__xludf.DUMMYFUNCTION("""COMPUTED_VALUE"""),0.0)</f>
        <v>0</v>
      </c>
    </row>
    <row r="5227">
      <c r="A5227" s="10" t="str">
        <f>IFERROR(__xludf.DUMMYFUNCTION("""COMPUTED_VALUE"""),"輝夜月")</f>
        <v>輝夜月</v>
      </c>
      <c r="B5227" s="10">
        <f>IFERROR(__xludf.DUMMYFUNCTION("""COMPUTED_VALUE"""),1085.0)</f>
        <v>1085</v>
      </c>
      <c r="C5227" s="10">
        <f>IFERROR(__xludf.DUMMYFUNCTION("""COMPUTED_VALUE"""),12682.0)</f>
        <v>12682</v>
      </c>
      <c r="D5227" s="5">
        <f>IFERROR(__xludf.DUMMYFUNCTION("""COMPUTED_VALUE"""),0.36543933775976545)</f>
        <v>0.3654393378</v>
      </c>
      <c r="E5227" s="5">
        <f>IFERROR(__xludf.DUMMYFUNCTION("""COMPUTED_VALUE"""),0.11028714322669655)</f>
        <v>0.1102871432</v>
      </c>
      <c r="F5227" s="5">
        <f>IFERROR(__xludf.DUMMYFUNCTION("""COMPUTED_VALUE"""),0.21781495214279556)</f>
        <v>0.2178149521</v>
      </c>
      <c r="G5227" s="5">
        <f>IFERROR(__xludf.DUMMYFUNCTION("""COMPUTED_VALUE"""),0.16478399586099854)</f>
        <v>0.1647839959</v>
      </c>
      <c r="H5227" s="5">
        <f>IFERROR(__xludf.DUMMYFUNCTION("""COMPUTED_VALUE"""),0.5977830562153602)</f>
        <v>0.5977830562</v>
      </c>
      <c r="I5227" s="11">
        <f>IFERROR(__xludf.DUMMYFUNCTION("""COMPUTED_VALUE"""),5630.799683293745)</f>
        <v>5630.799683</v>
      </c>
      <c r="J5227" s="10">
        <f>IFERROR(__xludf.DUMMYFUNCTION("""COMPUTED_VALUE"""),4.0)</f>
        <v>4</v>
      </c>
      <c r="K5227" s="5">
        <f>IFERROR(__xludf.DUMMYFUNCTION("""COMPUTED_VALUE"""),0.003686635944700461)</f>
        <v>0.003686635945</v>
      </c>
      <c r="L5227" s="10">
        <f>IFERROR(__xludf.DUMMYFUNCTION("""COMPUTED_VALUE"""),0.0)</f>
        <v>0</v>
      </c>
      <c r="M5227" s="5">
        <f>IFERROR(__xludf.DUMMYFUNCTION("""COMPUTED_VALUE"""),0.0)</f>
        <v>0</v>
      </c>
    </row>
    <row r="5228">
      <c r="A5228" s="10" t="str">
        <f>IFERROR(__xludf.DUMMYFUNCTION("""COMPUTED_VALUE"""),"窓付き..")</f>
        <v>窓付き..</v>
      </c>
      <c r="B5228" s="10">
        <f>IFERROR(__xludf.DUMMYFUNCTION("""COMPUTED_VALUE"""),312.0)</f>
        <v>312</v>
      </c>
      <c r="C5228" s="10">
        <f>IFERROR(__xludf.DUMMYFUNCTION("""COMPUTED_VALUE"""),3622.0)</f>
        <v>3622</v>
      </c>
      <c r="D5228" s="5">
        <f>IFERROR(__xludf.DUMMYFUNCTION("""COMPUTED_VALUE"""),0.34924471299093657)</f>
        <v>0.349244713</v>
      </c>
      <c r="E5228" s="5">
        <f>IFERROR(__xludf.DUMMYFUNCTION("""COMPUTED_VALUE"""),0.11027190332326284)</f>
        <v>0.1102719033</v>
      </c>
      <c r="F5228" s="5">
        <f>IFERROR(__xludf.DUMMYFUNCTION("""COMPUTED_VALUE"""),0.20604229607250754)</f>
        <v>0.2060422961</v>
      </c>
      <c r="G5228" s="5">
        <f>IFERROR(__xludf.DUMMYFUNCTION("""COMPUTED_VALUE"""),0.16283987915407855)</f>
        <v>0.1628398792</v>
      </c>
      <c r="H5228" s="5">
        <f>IFERROR(__xludf.DUMMYFUNCTION("""COMPUTED_VALUE"""),0.5982404692082112)</f>
        <v>0.5982404692</v>
      </c>
      <c r="I5228" s="11">
        <f>IFERROR(__xludf.DUMMYFUNCTION("""COMPUTED_VALUE"""),5858.7976539589445)</f>
        <v>5858.797654</v>
      </c>
      <c r="J5228" s="10">
        <f>IFERROR(__xludf.DUMMYFUNCTION("""COMPUTED_VALUE"""),1.0)</f>
        <v>1</v>
      </c>
      <c r="K5228" s="5">
        <f>IFERROR(__xludf.DUMMYFUNCTION("""COMPUTED_VALUE"""),0.003205128205128205)</f>
        <v>0.003205128205</v>
      </c>
      <c r="L5228" s="10">
        <f>IFERROR(__xludf.DUMMYFUNCTION("""COMPUTED_VALUE"""),0.0)</f>
        <v>0</v>
      </c>
      <c r="M5228" s="5">
        <f>IFERROR(__xludf.DUMMYFUNCTION("""COMPUTED_VALUE"""),0.0)</f>
        <v>0</v>
      </c>
    </row>
    <row r="5229">
      <c r="A5229" s="10" t="str">
        <f>IFERROR(__xludf.DUMMYFUNCTION("""COMPUTED_VALUE"""),"おおくさ")</f>
        <v>おおくさ</v>
      </c>
      <c r="B5229" s="10">
        <f>IFERROR(__xludf.DUMMYFUNCTION("""COMPUTED_VALUE"""),3339.0)</f>
        <v>3339</v>
      </c>
      <c r="C5229" s="10">
        <f>IFERROR(__xludf.DUMMYFUNCTION("""COMPUTED_VALUE"""),39152.0)</f>
        <v>39152</v>
      </c>
      <c r="D5229" s="5">
        <f>IFERROR(__xludf.DUMMYFUNCTION("""COMPUTED_VALUE"""),0.30128724206293805)</f>
        <v>0.3012872421</v>
      </c>
      <c r="E5229" s="5">
        <f>IFERROR(__xludf.DUMMYFUNCTION("""COMPUTED_VALUE"""),0.11026722140005026)</f>
        <v>0.1102672214</v>
      </c>
      <c r="F5229" s="5">
        <f>IFERROR(__xludf.DUMMYFUNCTION("""COMPUTED_VALUE"""),0.20520481389439588)</f>
        <v>0.2052048139</v>
      </c>
      <c r="G5229" s="5">
        <f>IFERROR(__xludf.DUMMYFUNCTION("""COMPUTED_VALUE"""),0.15860162510820094)</f>
        <v>0.1586016251</v>
      </c>
      <c r="H5229" s="5">
        <f>IFERROR(__xludf.DUMMYFUNCTION("""COMPUTED_VALUE"""),0.60661314464553)</f>
        <v>0.6066131446</v>
      </c>
      <c r="I5229" s="11">
        <f>IFERROR(__xludf.DUMMYFUNCTION("""COMPUTED_VALUE"""),5612.954143420873)</f>
        <v>5612.954143</v>
      </c>
      <c r="J5229" s="10">
        <f>IFERROR(__xludf.DUMMYFUNCTION("""COMPUTED_VALUE"""),8.0)</f>
        <v>8</v>
      </c>
      <c r="K5229" s="5">
        <f>IFERROR(__xludf.DUMMYFUNCTION("""COMPUTED_VALUE"""),0.002395926924228811)</f>
        <v>0.002395926924</v>
      </c>
      <c r="L5229" s="10">
        <f>IFERROR(__xludf.DUMMYFUNCTION("""COMPUTED_VALUE"""),3339.0)</f>
        <v>3339</v>
      </c>
      <c r="M5229" s="5">
        <f>IFERROR(__xludf.DUMMYFUNCTION("""COMPUTED_VALUE"""),1.0)</f>
        <v>1</v>
      </c>
    </row>
    <row r="5230">
      <c r="A5230" s="10" t="str">
        <f>IFERROR(__xludf.DUMMYFUNCTION("""COMPUTED_VALUE"""),"きうい。")</f>
        <v>きうい。</v>
      </c>
      <c r="B5230" s="10">
        <f>IFERROR(__xludf.DUMMYFUNCTION("""COMPUTED_VALUE"""),236.0)</f>
        <v>236</v>
      </c>
      <c r="C5230" s="10">
        <f>IFERROR(__xludf.DUMMYFUNCTION("""COMPUTED_VALUE"""),2712.0)</f>
        <v>2712</v>
      </c>
      <c r="D5230" s="5">
        <f>IFERROR(__xludf.DUMMYFUNCTION("""COMPUTED_VALUE"""),0.37075928917609047)</f>
        <v>0.3707592892</v>
      </c>
      <c r="E5230" s="5">
        <f>IFERROR(__xludf.DUMMYFUNCTION("""COMPUTED_VALUE"""),0.11025848142164782)</f>
        <v>0.1102584814</v>
      </c>
      <c r="F5230" s="5">
        <f>IFERROR(__xludf.DUMMYFUNCTION("""COMPUTED_VALUE"""),0.22778675282714056)</f>
        <v>0.2277867528</v>
      </c>
      <c r="G5230" s="5">
        <f>IFERROR(__xludf.DUMMYFUNCTION("""COMPUTED_VALUE"""),0.1845718901453958)</f>
        <v>0.1845718901</v>
      </c>
      <c r="H5230" s="5">
        <f>IFERROR(__xludf.DUMMYFUNCTION("""COMPUTED_VALUE"""),0.6187943262411347)</f>
        <v>0.6187943262</v>
      </c>
      <c r="I5230" s="11">
        <f>IFERROR(__xludf.DUMMYFUNCTION("""COMPUTED_VALUE"""),5403.368794326241)</f>
        <v>5403.368794</v>
      </c>
      <c r="J5230" s="10">
        <f>IFERROR(__xludf.DUMMYFUNCTION("""COMPUTED_VALUE"""),0.0)</f>
        <v>0</v>
      </c>
      <c r="K5230" s="5">
        <f>IFERROR(__xludf.DUMMYFUNCTION("""COMPUTED_VALUE"""),0.0)</f>
        <v>0</v>
      </c>
      <c r="L5230" s="10">
        <f>IFERROR(__xludf.DUMMYFUNCTION("""COMPUTED_VALUE"""),236.0)</f>
        <v>236</v>
      </c>
      <c r="M5230" s="5">
        <f>IFERROR(__xludf.DUMMYFUNCTION("""COMPUTED_VALUE"""),1.0)</f>
        <v>1</v>
      </c>
    </row>
    <row r="5231">
      <c r="A5231" s="10" t="str">
        <f>IFERROR(__xludf.DUMMYFUNCTION("""COMPUTED_VALUE"""),"SabuRun")</f>
        <v>SabuRun</v>
      </c>
      <c r="B5231" s="10">
        <f>IFERROR(__xludf.DUMMYFUNCTION("""COMPUTED_VALUE"""),295.0)</f>
        <v>295</v>
      </c>
      <c r="C5231" s="10">
        <f>IFERROR(__xludf.DUMMYFUNCTION("""COMPUTED_VALUE"""),3525.0)</f>
        <v>3525</v>
      </c>
      <c r="D5231" s="5">
        <f>IFERROR(__xludf.DUMMYFUNCTION("""COMPUTED_VALUE"""),0.35139318885448917)</f>
        <v>0.3513931889</v>
      </c>
      <c r="E5231" s="5">
        <f>IFERROR(__xludf.DUMMYFUNCTION("""COMPUTED_VALUE"""),0.11021671826625387)</f>
        <v>0.1102167183</v>
      </c>
      <c r="F5231" s="5">
        <f>IFERROR(__xludf.DUMMYFUNCTION("""COMPUTED_VALUE"""),0.20092879256965945)</f>
        <v>0.2009287926</v>
      </c>
      <c r="G5231" s="5">
        <f>IFERROR(__xludf.DUMMYFUNCTION("""COMPUTED_VALUE"""),0.15294117647058825)</f>
        <v>0.1529411765</v>
      </c>
      <c r="H5231" s="5">
        <f>IFERROR(__xludf.DUMMYFUNCTION("""COMPUTED_VALUE"""),0.5439137134052389)</f>
        <v>0.5439137134</v>
      </c>
      <c r="I5231" s="11">
        <f>IFERROR(__xludf.DUMMYFUNCTION("""COMPUTED_VALUE"""),5406.779661016949)</f>
        <v>5406.779661</v>
      </c>
      <c r="J5231" s="10">
        <f>IFERROR(__xludf.DUMMYFUNCTION("""COMPUTED_VALUE"""),1.0)</f>
        <v>1</v>
      </c>
      <c r="K5231" s="5">
        <f>IFERROR(__xludf.DUMMYFUNCTION("""COMPUTED_VALUE"""),0.003389830508474576)</f>
        <v>0.003389830508</v>
      </c>
      <c r="L5231" s="10">
        <f>IFERROR(__xludf.DUMMYFUNCTION("""COMPUTED_VALUE"""),295.0)</f>
        <v>295</v>
      </c>
      <c r="M5231" s="5">
        <f>IFERROR(__xludf.DUMMYFUNCTION("""COMPUTED_VALUE"""),1.0)</f>
        <v>1</v>
      </c>
    </row>
    <row r="5232">
      <c r="A5232" s="10" t="str">
        <f>IFERROR(__xludf.DUMMYFUNCTION("""COMPUTED_VALUE"""),"九十九白")</f>
        <v>九十九白</v>
      </c>
      <c r="B5232" s="10">
        <f>IFERROR(__xludf.DUMMYFUNCTION("""COMPUTED_VALUE"""),369.0)</f>
        <v>369</v>
      </c>
      <c r="C5232" s="10">
        <f>IFERROR(__xludf.DUMMYFUNCTION("""COMPUTED_VALUE"""),4307.0)</f>
        <v>4307</v>
      </c>
      <c r="D5232" s="5">
        <f>IFERROR(__xludf.DUMMYFUNCTION("""COMPUTED_VALUE"""),0.4007110208227527)</f>
        <v>0.4007110208</v>
      </c>
      <c r="E5232" s="5">
        <f>IFERROR(__xludf.DUMMYFUNCTION("""COMPUTED_VALUE"""),0.11020822752666327)</f>
        <v>0.1102082275</v>
      </c>
      <c r="F5232" s="5">
        <f>IFERROR(__xludf.DUMMYFUNCTION("""COMPUTED_VALUE"""),0.2069578466226511)</f>
        <v>0.2069578466</v>
      </c>
      <c r="G5232" s="5">
        <f>IFERROR(__xludf.DUMMYFUNCTION("""COMPUTED_VALUE"""),0.1180802437785678)</f>
        <v>0.1180802438</v>
      </c>
      <c r="H5232" s="5">
        <f>IFERROR(__xludf.DUMMYFUNCTION("""COMPUTED_VALUE"""),0.6110429447852761)</f>
        <v>0.6110429448</v>
      </c>
      <c r="I5232" s="11">
        <f>IFERROR(__xludf.DUMMYFUNCTION("""COMPUTED_VALUE"""),5355.582822085889)</f>
        <v>5355.582822</v>
      </c>
      <c r="J5232" s="10">
        <f>IFERROR(__xludf.DUMMYFUNCTION("""COMPUTED_VALUE"""),0.0)</f>
        <v>0</v>
      </c>
      <c r="K5232" s="5">
        <f>IFERROR(__xludf.DUMMYFUNCTION("""COMPUTED_VALUE"""),0.0)</f>
        <v>0</v>
      </c>
      <c r="L5232" s="10">
        <f>IFERROR(__xludf.DUMMYFUNCTION("""COMPUTED_VALUE"""),367.0)</f>
        <v>367</v>
      </c>
      <c r="M5232" s="5">
        <f>IFERROR(__xludf.DUMMYFUNCTION("""COMPUTED_VALUE"""),0.994579945799458)</f>
        <v>0.9945799458</v>
      </c>
    </row>
    <row r="5233">
      <c r="A5233" s="10" t="str">
        <f>IFERROR(__xludf.DUMMYFUNCTION("""COMPUTED_VALUE"""),"NAOYA105")</f>
        <v>NAOYA105</v>
      </c>
      <c r="B5233" s="10">
        <f>IFERROR(__xludf.DUMMYFUNCTION("""COMPUTED_VALUE"""),345.0)</f>
        <v>345</v>
      </c>
      <c r="C5233" s="10">
        <f>IFERROR(__xludf.DUMMYFUNCTION("""COMPUTED_VALUE"""),3984.0)</f>
        <v>3984</v>
      </c>
      <c r="D5233" s="5">
        <f>IFERROR(__xludf.DUMMYFUNCTION("""COMPUTED_VALUE"""),0.27699917559769166)</f>
        <v>0.2769991756</v>
      </c>
      <c r="E5233" s="5">
        <f>IFERROR(__xludf.DUMMYFUNCTION("""COMPUTED_VALUE"""),0.11019510854630393)</f>
        <v>0.1101951085</v>
      </c>
      <c r="F5233" s="5">
        <f>IFERROR(__xludf.DUMMYFUNCTION("""COMPUTED_VALUE"""),0.18713932399010716)</f>
        <v>0.187139324</v>
      </c>
      <c r="G5233" s="5">
        <f>IFERROR(__xludf.DUMMYFUNCTION("""COMPUTED_VALUE"""),0.18301731244847486)</f>
        <v>0.1830173124</v>
      </c>
      <c r="H5233" s="5">
        <f>IFERROR(__xludf.DUMMYFUNCTION("""COMPUTED_VALUE"""),0.5741556534508077)</f>
        <v>0.5741556535</v>
      </c>
      <c r="I5233" s="11">
        <f>IFERROR(__xludf.DUMMYFUNCTION("""COMPUTED_VALUE"""),5961.674008810573)</f>
        <v>5961.674009</v>
      </c>
      <c r="J5233" s="10">
        <f>IFERROR(__xludf.DUMMYFUNCTION("""COMPUTED_VALUE"""),0.0)</f>
        <v>0</v>
      </c>
      <c r="K5233" s="5">
        <f>IFERROR(__xludf.DUMMYFUNCTION("""COMPUTED_VALUE"""),0.0)</f>
        <v>0</v>
      </c>
      <c r="L5233" s="10">
        <f>IFERROR(__xludf.DUMMYFUNCTION("""COMPUTED_VALUE"""),345.0)</f>
        <v>345</v>
      </c>
      <c r="M5233" s="5">
        <f>IFERROR(__xludf.DUMMYFUNCTION("""COMPUTED_VALUE"""),1.0)</f>
        <v>1</v>
      </c>
    </row>
    <row r="5234">
      <c r="A5234" s="10" t="str">
        <f>IFERROR(__xludf.DUMMYFUNCTION("""COMPUTED_VALUE"""),"kim8")</f>
        <v>kim8</v>
      </c>
      <c r="B5234" s="10">
        <f>IFERROR(__xludf.DUMMYFUNCTION("""COMPUTED_VALUE"""),1103.0)</f>
        <v>1103</v>
      </c>
      <c r="C5234" s="10">
        <f>IFERROR(__xludf.DUMMYFUNCTION("""COMPUTED_VALUE"""),12702.0)</f>
        <v>12702</v>
      </c>
      <c r="D5234" s="5">
        <f>IFERROR(__xludf.DUMMYFUNCTION("""COMPUTED_VALUE"""),0.34425381498405033)</f>
        <v>0.344253815</v>
      </c>
      <c r="E5234" s="5">
        <f>IFERROR(__xludf.DUMMYFUNCTION("""COMPUTED_VALUE"""),0.11018191223381325)</f>
        <v>0.1101819122</v>
      </c>
      <c r="F5234" s="5">
        <f>IFERROR(__xludf.DUMMYFUNCTION("""COMPUTED_VALUE"""),0.21467367876541082)</f>
        <v>0.2146736788</v>
      </c>
      <c r="G5234" s="5">
        <f>IFERROR(__xludf.DUMMYFUNCTION("""COMPUTED_VALUE"""),0.1730321579446504)</f>
        <v>0.1730321579</v>
      </c>
      <c r="H5234" s="5">
        <f>IFERROR(__xludf.DUMMYFUNCTION("""COMPUTED_VALUE"""),0.5963855421686747)</f>
        <v>0.5963855422</v>
      </c>
      <c r="I5234" s="11">
        <f>IFERROR(__xludf.DUMMYFUNCTION("""COMPUTED_VALUE"""),5756.626506024097)</f>
        <v>5756.626506</v>
      </c>
      <c r="J5234" s="10">
        <f>IFERROR(__xludf.DUMMYFUNCTION("""COMPUTED_VALUE"""),2.0)</f>
        <v>2</v>
      </c>
      <c r="K5234" s="5">
        <f>IFERROR(__xludf.DUMMYFUNCTION("""COMPUTED_VALUE"""),0.001813236627379873)</f>
        <v>0.001813236627</v>
      </c>
      <c r="L5234" s="10">
        <f>IFERROR(__xludf.DUMMYFUNCTION("""COMPUTED_VALUE"""),1103.0)</f>
        <v>1103</v>
      </c>
      <c r="M5234" s="5">
        <f>IFERROR(__xludf.DUMMYFUNCTION("""COMPUTED_VALUE"""),1.0)</f>
        <v>1</v>
      </c>
    </row>
    <row r="5235">
      <c r="A5235" s="10" t="str">
        <f>IFERROR(__xludf.DUMMYFUNCTION("""COMPUTED_VALUE"""),"Femirins")</f>
        <v>Femirins</v>
      </c>
      <c r="B5235" s="10">
        <f>IFERROR(__xludf.DUMMYFUNCTION("""COMPUTED_VALUE"""),158.0)</f>
        <v>158</v>
      </c>
      <c r="C5235" s="10">
        <f>IFERROR(__xludf.DUMMYFUNCTION("""COMPUTED_VALUE"""),1828.0)</f>
        <v>1828</v>
      </c>
      <c r="D5235" s="5">
        <f>IFERROR(__xludf.DUMMYFUNCTION("""COMPUTED_VALUE"""),0.307185628742515)</f>
        <v>0.3071856287</v>
      </c>
      <c r="E5235" s="5">
        <f>IFERROR(__xludf.DUMMYFUNCTION("""COMPUTED_VALUE"""),0.11017964071856287)</f>
        <v>0.1101796407</v>
      </c>
      <c r="F5235" s="5">
        <f>IFERROR(__xludf.DUMMYFUNCTION("""COMPUTED_VALUE"""),0.21976047904191617)</f>
        <v>0.219760479</v>
      </c>
      <c r="G5235" s="5">
        <f>IFERROR(__xludf.DUMMYFUNCTION("""COMPUTED_VALUE"""),0.16407185628742516)</f>
        <v>0.1640718563</v>
      </c>
      <c r="H5235" s="5">
        <f>IFERROR(__xludf.DUMMYFUNCTION("""COMPUTED_VALUE"""),0.55858310626703)</f>
        <v>0.5585831063</v>
      </c>
      <c r="I5235" s="11">
        <f>IFERROR(__xludf.DUMMYFUNCTION("""COMPUTED_VALUE"""),5719.618528610355)</f>
        <v>5719.618529</v>
      </c>
      <c r="J5235" s="10">
        <f>IFERROR(__xludf.DUMMYFUNCTION("""COMPUTED_VALUE"""),1.0)</f>
        <v>1</v>
      </c>
      <c r="K5235" s="5">
        <f>IFERROR(__xludf.DUMMYFUNCTION("""COMPUTED_VALUE"""),0.006329113924050633)</f>
        <v>0.006329113924</v>
      </c>
      <c r="L5235" s="10">
        <f>IFERROR(__xludf.DUMMYFUNCTION("""COMPUTED_VALUE"""),158.0)</f>
        <v>158</v>
      </c>
      <c r="M5235" s="5">
        <f>IFERROR(__xludf.DUMMYFUNCTION("""COMPUTED_VALUE"""),1.0)</f>
        <v>1</v>
      </c>
    </row>
    <row r="5236">
      <c r="A5236" s="10" t="str">
        <f>IFERROR(__xludf.DUMMYFUNCTION("""COMPUTED_VALUE"""),"こじまもん")</f>
        <v>こじまもん</v>
      </c>
      <c r="B5236" s="10">
        <f>IFERROR(__xludf.DUMMYFUNCTION("""COMPUTED_VALUE"""),1648.0)</f>
        <v>1648</v>
      </c>
      <c r="C5236" s="10">
        <f>IFERROR(__xludf.DUMMYFUNCTION("""COMPUTED_VALUE"""),19465.0)</f>
        <v>19465</v>
      </c>
      <c r="D5236" s="5">
        <f>IFERROR(__xludf.DUMMYFUNCTION("""COMPUTED_VALUE"""),0.31621485098501434)</f>
        <v>0.316214851</v>
      </c>
      <c r="E5236" s="5">
        <f>IFERROR(__xludf.DUMMYFUNCTION("""COMPUTED_VALUE"""),0.1101756749172139)</f>
        <v>0.1101756749</v>
      </c>
      <c r="F5236" s="5">
        <f>IFERROR(__xludf.DUMMYFUNCTION("""COMPUTED_VALUE"""),0.20211034405343212)</f>
        <v>0.2021103441</v>
      </c>
      <c r="G5236" s="5">
        <f>IFERROR(__xludf.DUMMYFUNCTION("""COMPUTED_VALUE"""),0.1684346410731324)</f>
        <v>0.1684346411</v>
      </c>
      <c r="H5236" s="5">
        <f>IFERROR(__xludf.DUMMYFUNCTION("""COMPUTED_VALUE"""),0.5803943349069702)</f>
        <v>0.5803943349</v>
      </c>
      <c r="I5236" s="11">
        <f>IFERROR(__xludf.DUMMYFUNCTION("""COMPUTED_VALUE"""),5582.9491807831155)</f>
        <v>5582.949181</v>
      </c>
      <c r="J5236" s="10">
        <f>IFERROR(__xludf.DUMMYFUNCTION("""COMPUTED_VALUE"""),1.0)</f>
        <v>1</v>
      </c>
      <c r="K5236" s="5">
        <f>IFERROR(__xludf.DUMMYFUNCTION("""COMPUTED_VALUE"""),6.067961165048543E-4)</f>
        <v>0.0006067961165</v>
      </c>
      <c r="L5236" s="10">
        <f>IFERROR(__xludf.DUMMYFUNCTION("""COMPUTED_VALUE"""),1648.0)</f>
        <v>1648</v>
      </c>
      <c r="M5236" s="5">
        <f>IFERROR(__xludf.DUMMYFUNCTION("""COMPUTED_VALUE"""),1.0)</f>
        <v>1</v>
      </c>
    </row>
    <row r="5237">
      <c r="A5237" s="10" t="str">
        <f>IFERROR(__xludf.DUMMYFUNCTION("""COMPUTED_VALUE"""),"りん214")</f>
        <v>りん214</v>
      </c>
      <c r="B5237" s="10">
        <f>IFERROR(__xludf.DUMMYFUNCTION("""COMPUTED_VALUE"""),698.0)</f>
        <v>698</v>
      </c>
      <c r="C5237" s="10">
        <f>IFERROR(__xludf.DUMMYFUNCTION("""COMPUTED_VALUE"""),8205.0)</f>
        <v>8205</v>
      </c>
      <c r="D5237" s="5">
        <f>IFERROR(__xludf.DUMMYFUNCTION("""COMPUTED_VALUE"""),0.35593446116957506)</f>
        <v>0.3559344612</v>
      </c>
      <c r="E5237" s="5">
        <f>IFERROR(__xludf.DUMMYFUNCTION("""COMPUTED_VALUE"""),0.11016384707606235)</f>
        <v>0.1101638471</v>
      </c>
      <c r="F5237" s="5">
        <f>IFERROR(__xludf.DUMMYFUNCTION("""COMPUTED_VALUE"""),0.2047422405754629)</f>
        <v>0.2047422406</v>
      </c>
      <c r="G5237" s="5">
        <f>IFERROR(__xludf.DUMMYFUNCTION("""COMPUTED_VALUE"""),0.16238177700812575)</f>
        <v>0.162381777</v>
      </c>
      <c r="H5237" s="5">
        <f>IFERROR(__xludf.DUMMYFUNCTION("""COMPUTED_VALUE"""),0.5888093689004554)</f>
        <v>0.5888093689</v>
      </c>
      <c r="I5237" s="11">
        <f>IFERROR(__xludf.DUMMYFUNCTION("""COMPUTED_VALUE"""),5517.9570592062455)</f>
        <v>5517.957059</v>
      </c>
      <c r="J5237" s="10">
        <f>IFERROR(__xludf.DUMMYFUNCTION("""COMPUTED_VALUE"""),1.0)</f>
        <v>1</v>
      </c>
      <c r="K5237" s="5">
        <f>IFERROR(__xludf.DUMMYFUNCTION("""COMPUTED_VALUE"""),0.0014326647564469914)</f>
        <v>0.001432664756</v>
      </c>
      <c r="L5237" s="10">
        <f>IFERROR(__xludf.DUMMYFUNCTION("""COMPUTED_VALUE"""),670.0)</f>
        <v>670</v>
      </c>
      <c r="M5237" s="5">
        <f>IFERROR(__xludf.DUMMYFUNCTION("""COMPUTED_VALUE"""),0.9598853868194842)</f>
        <v>0.9598853868</v>
      </c>
    </row>
    <row r="5238">
      <c r="A5238" s="10" t="str">
        <f>IFERROR(__xludf.DUMMYFUNCTION("""COMPUTED_VALUE"""),"舞蹴蛇苦尊")</f>
        <v>舞蹴蛇苦尊</v>
      </c>
      <c r="B5238" s="10">
        <f>IFERROR(__xludf.DUMMYFUNCTION("""COMPUTED_VALUE"""),1000.0)</f>
        <v>1000</v>
      </c>
      <c r="C5238" s="10">
        <f>IFERROR(__xludf.DUMMYFUNCTION("""COMPUTED_VALUE"""),11612.0)</f>
        <v>11612</v>
      </c>
      <c r="D5238" s="5">
        <f>IFERROR(__xludf.DUMMYFUNCTION("""COMPUTED_VALUE"""),0.2871277798718432)</f>
        <v>0.2871277799</v>
      </c>
      <c r="E5238" s="5">
        <f>IFERROR(__xludf.DUMMYFUNCTION("""COMPUTED_VALUE"""),0.11015831134564644)</f>
        <v>0.1101583113</v>
      </c>
      <c r="F5238" s="5">
        <f>IFERROR(__xludf.DUMMYFUNCTION("""COMPUTED_VALUE"""),0.211270260082925)</f>
        <v>0.2112702601</v>
      </c>
      <c r="G5238" s="5">
        <f>IFERROR(__xludf.DUMMYFUNCTION("""COMPUTED_VALUE"""),0.1683942706370147)</f>
        <v>0.1683942706</v>
      </c>
      <c r="H5238" s="5">
        <f>IFERROR(__xludf.DUMMYFUNCTION("""COMPUTED_VALUE"""),0.596342551293488)</f>
        <v>0.5963425513</v>
      </c>
      <c r="I5238" s="11">
        <f>IFERROR(__xludf.DUMMYFUNCTION("""COMPUTED_VALUE"""),5828.590544157003)</f>
        <v>5828.590544</v>
      </c>
      <c r="J5238" s="10">
        <f>IFERROR(__xludf.DUMMYFUNCTION("""COMPUTED_VALUE"""),4.0)</f>
        <v>4</v>
      </c>
      <c r="K5238" s="5">
        <f>IFERROR(__xludf.DUMMYFUNCTION("""COMPUTED_VALUE"""),0.004)</f>
        <v>0.004</v>
      </c>
      <c r="L5238" s="10">
        <f>IFERROR(__xludf.DUMMYFUNCTION("""COMPUTED_VALUE"""),1000.0)</f>
        <v>1000</v>
      </c>
      <c r="M5238" s="5">
        <f>IFERROR(__xludf.DUMMYFUNCTION("""COMPUTED_VALUE"""),1.0)</f>
        <v>1</v>
      </c>
    </row>
    <row r="5239">
      <c r="A5239" s="10" t="str">
        <f>IFERROR(__xludf.DUMMYFUNCTION("""COMPUTED_VALUE"""),"真我級修羅")</f>
        <v>真我級修羅</v>
      </c>
      <c r="B5239" s="10">
        <f>IFERROR(__xludf.DUMMYFUNCTION("""COMPUTED_VALUE"""),487.0)</f>
        <v>487</v>
      </c>
      <c r="C5239" s="10">
        <f>IFERROR(__xludf.DUMMYFUNCTION("""COMPUTED_VALUE"""),5626.0)</f>
        <v>5626</v>
      </c>
      <c r="D5239" s="5">
        <f>IFERROR(__xludf.DUMMYFUNCTION("""COMPUTED_VALUE"""),0.31465265615878574)</f>
        <v>0.3146526562</v>
      </c>
      <c r="E5239" s="5">
        <f>IFERROR(__xludf.DUMMYFUNCTION("""COMPUTED_VALUE"""),0.11013815917493676)</f>
        <v>0.1101381592</v>
      </c>
      <c r="F5239" s="5">
        <f>IFERROR(__xludf.DUMMYFUNCTION("""COMPUTED_VALUE"""),0.20704417201790232)</f>
        <v>0.207044172</v>
      </c>
      <c r="G5239" s="5">
        <f>IFERROR(__xludf.DUMMYFUNCTION("""COMPUTED_VALUE"""),0.17104495037945125)</f>
        <v>0.1710449504</v>
      </c>
      <c r="H5239" s="5">
        <f>IFERROR(__xludf.DUMMYFUNCTION("""COMPUTED_VALUE"""),0.5958646616541353)</f>
        <v>0.5958646617</v>
      </c>
      <c r="I5239" s="11">
        <f>IFERROR(__xludf.DUMMYFUNCTION("""COMPUTED_VALUE"""),5663.063909774436)</f>
        <v>5663.06391</v>
      </c>
      <c r="J5239" s="10">
        <f>IFERROR(__xludf.DUMMYFUNCTION("""COMPUTED_VALUE"""),1.0)</f>
        <v>1</v>
      </c>
      <c r="K5239" s="5">
        <f>IFERROR(__xludf.DUMMYFUNCTION("""COMPUTED_VALUE"""),0.002053388090349076)</f>
        <v>0.00205338809</v>
      </c>
      <c r="L5239" s="10">
        <f>IFERROR(__xludf.DUMMYFUNCTION("""COMPUTED_VALUE"""),487.0)</f>
        <v>487</v>
      </c>
      <c r="M5239" s="5">
        <f>IFERROR(__xludf.DUMMYFUNCTION("""COMPUTED_VALUE"""),1.0)</f>
        <v>1</v>
      </c>
    </row>
    <row r="5240">
      <c r="A5240" s="10" t="str">
        <f>IFERROR(__xludf.DUMMYFUNCTION("""COMPUTED_VALUE"""),"ワニワニ蔵")</f>
        <v>ワニワニ蔵</v>
      </c>
      <c r="B5240" s="10">
        <f>IFERROR(__xludf.DUMMYFUNCTION("""COMPUTED_VALUE"""),468.0)</f>
        <v>468</v>
      </c>
      <c r="C5240" s="10">
        <f>IFERROR(__xludf.DUMMYFUNCTION("""COMPUTED_VALUE"""),5607.0)</f>
        <v>5607</v>
      </c>
      <c r="D5240" s="5">
        <f>IFERROR(__xludf.DUMMYFUNCTION("""COMPUTED_VALUE"""),0.3335279237205682)</f>
        <v>0.3335279237</v>
      </c>
      <c r="E5240" s="5">
        <f>IFERROR(__xludf.DUMMYFUNCTION("""COMPUTED_VALUE"""),0.11013815917493676)</f>
        <v>0.1101381592</v>
      </c>
      <c r="F5240" s="5">
        <f>IFERROR(__xludf.DUMMYFUNCTION("""COMPUTED_VALUE"""),0.20587662969449308)</f>
        <v>0.2058766297</v>
      </c>
      <c r="G5240" s="5">
        <f>IFERROR(__xludf.DUMMYFUNCTION("""COMPUTED_VALUE"""),0.1463319712006227)</f>
        <v>0.1463319712</v>
      </c>
      <c r="H5240" s="5">
        <f>IFERROR(__xludf.DUMMYFUNCTION("""COMPUTED_VALUE"""),0.5907372400756143)</f>
        <v>0.5907372401</v>
      </c>
      <c r="I5240" s="11">
        <f>IFERROR(__xludf.DUMMYFUNCTION("""COMPUTED_VALUE"""),5399.527410207939)</f>
        <v>5399.52741</v>
      </c>
      <c r="J5240" s="10">
        <f>IFERROR(__xludf.DUMMYFUNCTION("""COMPUTED_VALUE"""),0.0)</f>
        <v>0</v>
      </c>
      <c r="K5240" s="5">
        <f>IFERROR(__xludf.DUMMYFUNCTION("""COMPUTED_VALUE"""),0.0)</f>
        <v>0</v>
      </c>
      <c r="L5240" s="10">
        <f>IFERROR(__xludf.DUMMYFUNCTION("""COMPUTED_VALUE"""),468.0)</f>
        <v>468</v>
      </c>
      <c r="M5240" s="5">
        <f>IFERROR(__xludf.DUMMYFUNCTION("""COMPUTED_VALUE"""),1.0)</f>
        <v>1</v>
      </c>
    </row>
    <row r="5241">
      <c r="A5241" s="10" t="str">
        <f>IFERROR(__xludf.DUMMYFUNCTION("""COMPUTED_VALUE"""),"擬似連宝燈美")</f>
        <v>擬似連宝燈美</v>
      </c>
      <c r="B5241" s="10">
        <f>IFERROR(__xludf.DUMMYFUNCTION("""COMPUTED_VALUE"""),813.0)</f>
        <v>813</v>
      </c>
      <c r="C5241" s="10">
        <f>IFERROR(__xludf.DUMMYFUNCTION("""COMPUTED_VALUE"""),9648.0)</f>
        <v>9648</v>
      </c>
      <c r="D5241" s="5">
        <f>IFERROR(__xludf.DUMMYFUNCTION("""COMPUTED_VALUE"""),0.3309564233163554)</f>
        <v>0.3309564233</v>
      </c>
      <c r="E5241" s="5">
        <f>IFERROR(__xludf.DUMMYFUNCTION("""COMPUTED_VALUE"""),0.11013016411997736)</f>
        <v>0.1101301641</v>
      </c>
      <c r="F5241" s="5">
        <f>IFERROR(__xludf.DUMMYFUNCTION("""COMPUTED_VALUE"""),0.20814940577249574)</f>
        <v>0.2081494058</v>
      </c>
      <c r="G5241" s="5">
        <f>IFERROR(__xludf.DUMMYFUNCTION("""COMPUTED_VALUE"""),0.1710243350311262)</f>
        <v>0.171024335</v>
      </c>
      <c r="H5241" s="5">
        <f>IFERROR(__xludf.DUMMYFUNCTION("""COMPUTED_VALUE"""),0.5764002175095161)</f>
        <v>0.5764002175</v>
      </c>
      <c r="I5241" s="11">
        <f>IFERROR(__xludf.DUMMYFUNCTION("""COMPUTED_VALUE"""),5573.137574768896)</f>
        <v>5573.137575</v>
      </c>
      <c r="J5241" s="10">
        <f>IFERROR(__xludf.DUMMYFUNCTION("""COMPUTED_VALUE"""),2.0)</f>
        <v>2</v>
      </c>
      <c r="K5241" s="5">
        <f>IFERROR(__xludf.DUMMYFUNCTION("""COMPUTED_VALUE"""),0.0024600246002460025)</f>
        <v>0.0024600246</v>
      </c>
      <c r="L5241" s="10">
        <f>IFERROR(__xludf.DUMMYFUNCTION("""COMPUTED_VALUE"""),813.0)</f>
        <v>813</v>
      </c>
      <c r="M5241" s="5">
        <f>IFERROR(__xludf.DUMMYFUNCTION("""COMPUTED_VALUE"""),1.0)</f>
        <v>1</v>
      </c>
    </row>
    <row r="5242">
      <c r="A5242" s="10" t="str">
        <f>IFERROR(__xludf.DUMMYFUNCTION("""COMPUTED_VALUE"""),"山里卓次")</f>
        <v>山里卓次</v>
      </c>
      <c r="B5242" s="10">
        <f>IFERROR(__xludf.DUMMYFUNCTION("""COMPUTED_VALUE"""),202.0)</f>
        <v>202</v>
      </c>
      <c r="C5242" s="10">
        <f>IFERROR(__xludf.DUMMYFUNCTION("""COMPUTED_VALUE"""),2354.0)</f>
        <v>2354</v>
      </c>
      <c r="D5242" s="5">
        <f>IFERROR(__xludf.DUMMYFUNCTION("""COMPUTED_VALUE"""),0.36617100371747213)</f>
        <v>0.3661710037</v>
      </c>
      <c r="E5242" s="5">
        <f>IFERROR(__xludf.DUMMYFUNCTION("""COMPUTED_VALUE"""),0.11013011152416356)</f>
        <v>0.1101301115</v>
      </c>
      <c r="F5242" s="5">
        <f>IFERROR(__xludf.DUMMYFUNCTION("""COMPUTED_VALUE"""),0.22769516728624536)</f>
        <v>0.2276951673</v>
      </c>
      <c r="G5242" s="5">
        <f>IFERROR(__xludf.DUMMYFUNCTION("""COMPUTED_VALUE"""),0.19191449814126393)</f>
        <v>0.1919144981</v>
      </c>
      <c r="H5242" s="5">
        <f>IFERROR(__xludf.DUMMYFUNCTION("""COMPUTED_VALUE"""),0.5959183673469388)</f>
        <v>0.5959183673</v>
      </c>
      <c r="I5242" s="11">
        <f>IFERROR(__xludf.DUMMYFUNCTION("""COMPUTED_VALUE"""),5578.9795918367345)</f>
        <v>5578.979592</v>
      </c>
      <c r="J5242" s="10">
        <f>IFERROR(__xludf.DUMMYFUNCTION("""COMPUTED_VALUE"""),1.0)</f>
        <v>1</v>
      </c>
      <c r="K5242" s="5">
        <f>IFERROR(__xludf.DUMMYFUNCTION("""COMPUTED_VALUE"""),0.0049504950495049506)</f>
        <v>0.00495049505</v>
      </c>
      <c r="L5242" s="10">
        <f>IFERROR(__xludf.DUMMYFUNCTION("""COMPUTED_VALUE"""),202.0)</f>
        <v>202</v>
      </c>
      <c r="M5242" s="5">
        <f>IFERROR(__xludf.DUMMYFUNCTION("""COMPUTED_VALUE"""),1.0)</f>
        <v>1</v>
      </c>
    </row>
    <row r="5243">
      <c r="A5243" s="10" t="str">
        <f>IFERROR(__xludf.DUMMYFUNCTION("""COMPUTED_VALUE"""),"おお犬座ＶＹ星")</f>
        <v>おお犬座ＶＹ星</v>
      </c>
      <c r="B5243" s="10">
        <f>IFERROR(__xludf.DUMMYFUNCTION("""COMPUTED_VALUE"""),151.0)</f>
        <v>151</v>
      </c>
      <c r="C5243" s="10">
        <f>IFERROR(__xludf.DUMMYFUNCTION("""COMPUTED_VALUE"""),1849.0)</f>
        <v>1849</v>
      </c>
      <c r="D5243" s="5">
        <f>IFERROR(__xludf.DUMMYFUNCTION("""COMPUTED_VALUE"""),0.32391048292108365)</f>
        <v>0.3239104829</v>
      </c>
      <c r="E5243" s="5">
        <f>IFERROR(__xludf.DUMMYFUNCTION("""COMPUTED_VALUE"""),0.11012956419316844)</f>
        <v>0.1101295642</v>
      </c>
      <c r="F5243" s="5">
        <f>IFERROR(__xludf.DUMMYFUNCTION("""COMPUTED_VALUE"""),0.21613663133097763)</f>
        <v>0.2161366313</v>
      </c>
      <c r="G5243" s="5">
        <f>IFERROR(__xludf.DUMMYFUNCTION("""COMPUTED_VALUE"""),0.14723203769140164)</f>
        <v>0.1472320377</v>
      </c>
      <c r="H5243" s="5">
        <f>IFERROR(__xludf.DUMMYFUNCTION("""COMPUTED_VALUE"""),0.6212534059945504)</f>
        <v>0.621253406</v>
      </c>
      <c r="I5243" s="11">
        <f>IFERROR(__xludf.DUMMYFUNCTION("""COMPUTED_VALUE"""),5226.430517711172)</f>
        <v>5226.430518</v>
      </c>
      <c r="J5243" s="10">
        <f>IFERROR(__xludf.DUMMYFUNCTION("""COMPUTED_VALUE"""),0.0)</f>
        <v>0</v>
      </c>
      <c r="K5243" s="5">
        <f>IFERROR(__xludf.DUMMYFUNCTION("""COMPUTED_VALUE"""),0.0)</f>
        <v>0</v>
      </c>
      <c r="L5243" s="10">
        <f>IFERROR(__xludf.DUMMYFUNCTION("""COMPUTED_VALUE"""),148.0)</f>
        <v>148</v>
      </c>
      <c r="M5243" s="5">
        <f>IFERROR(__xludf.DUMMYFUNCTION("""COMPUTED_VALUE"""),0.9801324503311258)</f>
        <v>0.9801324503</v>
      </c>
    </row>
    <row r="5244">
      <c r="A5244" s="10" t="str">
        <f>IFERROR(__xludf.DUMMYFUNCTION("""COMPUTED_VALUE"""),"ひつまぶし∞")</f>
        <v>ひつまぶし∞</v>
      </c>
      <c r="B5244" s="10">
        <f>IFERROR(__xludf.DUMMYFUNCTION("""COMPUTED_VALUE"""),114.0)</f>
        <v>114</v>
      </c>
      <c r="C5244" s="10">
        <f>IFERROR(__xludf.DUMMYFUNCTION("""COMPUTED_VALUE"""),1295.0)</f>
        <v>1295</v>
      </c>
      <c r="D5244" s="5">
        <f>IFERROR(__xludf.DUMMYFUNCTION("""COMPUTED_VALUE"""),0.4022015241320914)</f>
        <v>0.4022015241</v>
      </c>
      <c r="E5244" s="5">
        <f>IFERROR(__xludf.DUMMYFUNCTION("""COMPUTED_VALUE"""),0.1100762066045724)</f>
        <v>0.1100762066</v>
      </c>
      <c r="F5244" s="5">
        <f>IFERROR(__xludf.DUMMYFUNCTION("""COMPUTED_VALUE"""),0.1955969517358171)</f>
        <v>0.1955969517</v>
      </c>
      <c r="G5244" s="5">
        <f>IFERROR(__xludf.DUMMYFUNCTION("""COMPUTED_VALUE"""),0.12616426756985605)</f>
        <v>0.1261642676</v>
      </c>
      <c r="H5244" s="5">
        <f>IFERROR(__xludf.DUMMYFUNCTION("""COMPUTED_VALUE"""),0.6277056277056277)</f>
        <v>0.6277056277</v>
      </c>
      <c r="I5244" s="11">
        <f>IFERROR(__xludf.DUMMYFUNCTION("""COMPUTED_VALUE"""),5853.679653679654)</f>
        <v>5853.679654</v>
      </c>
      <c r="J5244" s="10">
        <f>IFERROR(__xludf.DUMMYFUNCTION("""COMPUTED_VALUE"""),0.0)</f>
        <v>0</v>
      </c>
      <c r="K5244" s="5">
        <f>IFERROR(__xludf.DUMMYFUNCTION("""COMPUTED_VALUE"""),0.0)</f>
        <v>0</v>
      </c>
      <c r="L5244" s="10">
        <f>IFERROR(__xludf.DUMMYFUNCTION("""COMPUTED_VALUE"""),114.0)</f>
        <v>114</v>
      </c>
      <c r="M5244" s="5">
        <f>IFERROR(__xludf.DUMMYFUNCTION("""COMPUTED_VALUE"""),1.0)</f>
        <v>1</v>
      </c>
    </row>
    <row r="5245">
      <c r="A5245" s="10" t="str">
        <f>IFERROR(__xludf.DUMMYFUNCTION("""COMPUTED_VALUE"""),"オカルトしんだ？")</f>
        <v>オカルトしんだ？</v>
      </c>
      <c r="B5245" s="10">
        <f>IFERROR(__xludf.DUMMYFUNCTION("""COMPUTED_VALUE"""),124.0)</f>
        <v>124</v>
      </c>
      <c r="C5245" s="10">
        <f>IFERROR(__xludf.DUMMYFUNCTION("""COMPUTED_VALUE"""),1505.0)</f>
        <v>1505</v>
      </c>
      <c r="D5245" s="5">
        <f>IFERROR(__xludf.DUMMYFUNCTION("""COMPUTED_VALUE"""),0.44098479362780596)</f>
        <v>0.4409847936</v>
      </c>
      <c r="E5245" s="5">
        <f>IFERROR(__xludf.DUMMYFUNCTION("""COMPUTED_VALUE"""),0.11006517016654598)</f>
        <v>0.1100651702</v>
      </c>
      <c r="F5245" s="5">
        <f>IFERROR(__xludf.DUMMYFUNCTION("""COMPUTED_VALUE"""),0.22447501810282405)</f>
        <v>0.2244750181</v>
      </c>
      <c r="G5245" s="5">
        <f>IFERROR(__xludf.DUMMYFUNCTION("""COMPUTED_VALUE"""),0.16871832005792903)</f>
        <v>0.1687183201</v>
      </c>
      <c r="H5245" s="5">
        <f>IFERROR(__xludf.DUMMYFUNCTION("""COMPUTED_VALUE"""),0.6290322580645161)</f>
        <v>0.6290322581</v>
      </c>
      <c r="I5245" s="11">
        <f>IFERROR(__xludf.DUMMYFUNCTION("""COMPUTED_VALUE"""),4891.612903225807)</f>
        <v>4891.612903</v>
      </c>
      <c r="J5245" s="10">
        <f>IFERROR(__xludf.DUMMYFUNCTION("""COMPUTED_VALUE"""),0.0)</f>
        <v>0</v>
      </c>
      <c r="K5245" s="5">
        <f>IFERROR(__xludf.DUMMYFUNCTION("""COMPUTED_VALUE"""),0.0)</f>
        <v>0</v>
      </c>
      <c r="L5245" s="10">
        <f>IFERROR(__xludf.DUMMYFUNCTION("""COMPUTED_VALUE"""),124.0)</f>
        <v>124</v>
      </c>
      <c r="M5245" s="5">
        <f>IFERROR(__xludf.DUMMYFUNCTION("""COMPUTED_VALUE"""),1.0)</f>
        <v>1</v>
      </c>
    </row>
    <row r="5246">
      <c r="A5246" s="10" t="str">
        <f>IFERROR(__xludf.DUMMYFUNCTION("""COMPUTED_VALUE"""),"村井アマウリ")</f>
        <v>村井アマウリ</v>
      </c>
      <c r="B5246" s="10">
        <f>IFERROR(__xludf.DUMMYFUNCTION("""COMPUTED_VALUE"""),675.0)</f>
        <v>675</v>
      </c>
      <c r="C5246" s="10">
        <f>IFERROR(__xludf.DUMMYFUNCTION("""COMPUTED_VALUE"""),7892.0)</f>
        <v>7892</v>
      </c>
      <c r="D5246" s="5">
        <f>IFERROR(__xludf.DUMMYFUNCTION("""COMPUTED_VALUE"""),0.2884855202992933)</f>
        <v>0.2884855203</v>
      </c>
      <c r="E5246" s="5">
        <f>IFERROR(__xludf.DUMMYFUNCTION("""COMPUTED_VALUE"""),0.11001801302480255)</f>
        <v>0.110018013</v>
      </c>
      <c r="F5246" s="5">
        <f>IFERROR(__xludf.DUMMYFUNCTION("""COMPUTED_VALUE"""),0.18775114313426633)</f>
        <v>0.1877511431</v>
      </c>
      <c r="G5246" s="5">
        <f>IFERROR(__xludf.DUMMYFUNCTION("""COMPUTED_VALUE"""),0.14299570458639324)</f>
        <v>0.1429957046</v>
      </c>
      <c r="H5246" s="5">
        <f>IFERROR(__xludf.DUMMYFUNCTION("""COMPUTED_VALUE"""),0.566789667896679)</f>
        <v>0.5667896679</v>
      </c>
      <c r="I5246" s="11">
        <f>IFERROR(__xludf.DUMMYFUNCTION("""COMPUTED_VALUE"""),6130.479704797048)</f>
        <v>6130.479705</v>
      </c>
      <c r="J5246" s="10">
        <f>IFERROR(__xludf.DUMMYFUNCTION("""COMPUTED_VALUE"""),2.0)</f>
        <v>2</v>
      </c>
      <c r="K5246" s="5">
        <f>IFERROR(__xludf.DUMMYFUNCTION("""COMPUTED_VALUE"""),0.002962962962962963)</f>
        <v>0.002962962963</v>
      </c>
      <c r="L5246" s="10">
        <f>IFERROR(__xludf.DUMMYFUNCTION("""COMPUTED_VALUE"""),675.0)</f>
        <v>675</v>
      </c>
      <c r="M5246" s="5">
        <f>IFERROR(__xludf.DUMMYFUNCTION("""COMPUTED_VALUE"""),1.0)</f>
        <v>1</v>
      </c>
    </row>
    <row r="5247">
      <c r="A5247" s="10" t="str">
        <f>IFERROR(__xludf.DUMMYFUNCTION("""COMPUTED_VALUE"""),"おかもと")</f>
        <v>おかもと</v>
      </c>
      <c r="B5247" s="10">
        <f>IFERROR(__xludf.DUMMYFUNCTION("""COMPUTED_VALUE"""),4962.0)</f>
        <v>4962</v>
      </c>
      <c r="C5247" s="10">
        <f>IFERROR(__xludf.DUMMYFUNCTION("""COMPUTED_VALUE"""),58509.0)</f>
        <v>58509</v>
      </c>
      <c r="D5247" s="5">
        <f>IFERROR(__xludf.DUMMYFUNCTION("""COMPUTED_VALUE"""),0.3552019720992773)</f>
        <v>0.3552019721</v>
      </c>
      <c r="E5247" s="5">
        <f>IFERROR(__xludf.DUMMYFUNCTION("""COMPUTED_VALUE"""),0.11001550040151642)</f>
        <v>0.1100155004</v>
      </c>
      <c r="F5247" s="5">
        <f>IFERROR(__xludf.DUMMYFUNCTION("""COMPUTED_VALUE"""),0.2066595700972977)</f>
        <v>0.2066595701</v>
      </c>
      <c r="G5247" s="5">
        <f>IFERROR(__xludf.DUMMYFUNCTION("""COMPUTED_VALUE"""),0.16236203708891253)</f>
        <v>0.1623620371</v>
      </c>
      <c r="H5247" s="5">
        <f>IFERROR(__xludf.DUMMYFUNCTION("""COMPUTED_VALUE"""),0.600216880534972)</f>
        <v>0.6002168805</v>
      </c>
      <c r="I5247" s="11">
        <f>IFERROR(__xludf.DUMMYFUNCTION("""COMPUTED_VALUE"""),5655.440086752214)</f>
        <v>5655.440087</v>
      </c>
      <c r="J5247" s="10">
        <f>IFERROR(__xludf.DUMMYFUNCTION("""COMPUTED_VALUE"""),13.0)</f>
        <v>13</v>
      </c>
      <c r="K5247" s="5">
        <f>IFERROR(__xludf.DUMMYFUNCTION("""COMPUTED_VALUE"""),0.0026199113260781943)</f>
        <v>0.002619911326</v>
      </c>
      <c r="L5247" s="10">
        <f>IFERROR(__xludf.DUMMYFUNCTION("""COMPUTED_VALUE"""),4953.0)</f>
        <v>4953</v>
      </c>
      <c r="M5247" s="5">
        <f>IFERROR(__xludf.DUMMYFUNCTION("""COMPUTED_VALUE"""),0.998186215235792)</f>
        <v>0.9981862152</v>
      </c>
    </row>
    <row r="5248">
      <c r="A5248" s="10" t="str">
        <f>IFERROR(__xludf.DUMMYFUNCTION("""COMPUTED_VALUE"""),"ダル・ブルー")</f>
        <v>ダル・ブルー</v>
      </c>
      <c r="B5248" s="10">
        <f>IFERROR(__xludf.DUMMYFUNCTION("""COMPUTED_VALUE"""),662.0)</f>
        <v>662</v>
      </c>
      <c r="C5248" s="10">
        <f>IFERROR(__xludf.DUMMYFUNCTION("""COMPUTED_VALUE"""),7698.0)</f>
        <v>7698</v>
      </c>
      <c r="D5248" s="5">
        <f>IFERROR(__xludf.DUMMYFUNCTION("""COMPUTED_VALUE"""),0.33086981239340535)</f>
        <v>0.3308698124</v>
      </c>
      <c r="E5248" s="5">
        <f>IFERROR(__xludf.DUMMYFUNCTION("""COMPUTED_VALUE"""),0.11000568504832291)</f>
        <v>0.110005685</v>
      </c>
      <c r="F5248" s="5">
        <f>IFERROR(__xludf.DUMMYFUNCTION("""COMPUTED_VALUE"""),0.2069357589539511)</f>
        <v>0.206935759</v>
      </c>
      <c r="G5248" s="5">
        <f>IFERROR(__xludf.DUMMYFUNCTION("""COMPUTED_VALUE"""),0.16827743035815804)</f>
        <v>0.1682774304</v>
      </c>
      <c r="H5248" s="5">
        <f>IFERROR(__xludf.DUMMYFUNCTION("""COMPUTED_VALUE"""),0.5707417582417582)</f>
        <v>0.5707417582</v>
      </c>
      <c r="I5248" s="11">
        <f>IFERROR(__xludf.DUMMYFUNCTION("""COMPUTED_VALUE"""),5929.601648351649)</f>
        <v>5929.601648</v>
      </c>
      <c r="J5248" s="10">
        <f>IFERROR(__xludf.DUMMYFUNCTION("""COMPUTED_VALUE"""),1.0)</f>
        <v>1</v>
      </c>
      <c r="K5248" s="5">
        <f>IFERROR(__xludf.DUMMYFUNCTION("""COMPUTED_VALUE"""),0.0015105740181268882)</f>
        <v>0.001510574018</v>
      </c>
      <c r="L5248" s="10">
        <f>IFERROR(__xludf.DUMMYFUNCTION("""COMPUTED_VALUE"""),0.0)</f>
        <v>0</v>
      </c>
      <c r="M5248" s="5">
        <f>IFERROR(__xludf.DUMMYFUNCTION("""COMPUTED_VALUE"""),0.0)</f>
        <v>0</v>
      </c>
    </row>
    <row r="5249">
      <c r="A5249" s="10" t="str">
        <f>IFERROR(__xludf.DUMMYFUNCTION("""COMPUTED_VALUE"""),"秋山小兵衛")</f>
        <v>秋山小兵衛</v>
      </c>
      <c r="B5249" s="10">
        <f>IFERROR(__xludf.DUMMYFUNCTION("""COMPUTED_VALUE"""),191.0)</f>
        <v>191</v>
      </c>
      <c r="C5249" s="10">
        <f>IFERROR(__xludf.DUMMYFUNCTION("""COMPUTED_VALUE"""),2264.0)</f>
        <v>2264</v>
      </c>
      <c r="D5249" s="5">
        <f>IFERROR(__xludf.DUMMYFUNCTION("""COMPUTED_VALUE"""),0.3545586107091172)</f>
        <v>0.3545586107</v>
      </c>
      <c r="E5249" s="5">
        <f>IFERROR(__xludf.DUMMYFUNCTION("""COMPUTED_VALUE"""),0.10998552821997105)</f>
        <v>0.1099855282</v>
      </c>
      <c r="F5249" s="5">
        <f>IFERROR(__xludf.DUMMYFUNCTION("""COMPUTED_VALUE"""),0.1929570670525808)</f>
        <v>0.1929570671</v>
      </c>
      <c r="G5249" s="5">
        <f>IFERROR(__xludf.DUMMYFUNCTION("""COMPUTED_VALUE"""),0.1336227689339122)</f>
        <v>0.1336227689</v>
      </c>
      <c r="H5249" s="5">
        <f>IFERROR(__xludf.DUMMYFUNCTION("""COMPUTED_VALUE"""),0.6575)</f>
        <v>0.6575</v>
      </c>
      <c r="I5249" s="11">
        <f>IFERROR(__xludf.DUMMYFUNCTION("""COMPUTED_VALUE"""),5312.0)</f>
        <v>5312</v>
      </c>
      <c r="J5249" s="10">
        <f>IFERROR(__xludf.DUMMYFUNCTION("""COMPUTED_VALUE"""),0.0)</f>
        <v>0</v>
      </c>
      <c r="K5249" s="5">
        <f>IFERROR(__xludf.DUMMYFUNCTION("""COMPUTED_VALUE"""),0.0)</f>
        <v>0</v>
      </c>
      <c r="L5249" s="10">
        <f>IFERROR(__xludf.DUMMYFUNCTION("""COMPUTED_VALUE"""),191.0)</f>
        <v>191</v>
      </c>
      <c r="M5249" s="5">
        <f>IFERROR(__xludf.DUMMYFUNCTION("""COMPUTED_VALUE"""),1.0)</f>
        <v>1</v>
      </c>
    </row>
    <row r="5250">
      <c r="A5250" s="10" t="str">
        <f>IFERROR(__xludf.DUMMYFUNCTION("""COMPUTED_VALUE"""),"ナラ")</f>
        <v>ナラ</v>
      </c>
      <c r="B5250" s="10">
        <f>IFERROR(__xludf.DUMMYFUNCTION("""COMPUTED_VALUE"""),993.0)</f>
        <v>993</v>
      </c>
      <c r="C5250" s="10">
        <f>IFERROR(__xludf.DUMMYFUNCTION("""COMPUTED_VALUE"""),11832.0)</f>
        <v>11832</v>
      </c>
      <c r="D5250" s="5">
        <f>IFERROR(__xludf.DUMMYFUNCTION("""COMPUTED_VALUE"""),0.3511394040040594)</f>
        <v>0.351139404</v>
      </c>
      <c r="E5250" s="5">
        <f>IFERROR(__xludf.DUMMYFUNCTION("""COMPUTED_VALUE"""),0.10997324476427715)</f>
        <v>0.1099732448</v>
      </c>
      <c r="F5250" s="5">
        <f>IFERROR(__xludf.DUMMYFUNCTION("""COMPUTED_VALUE"""),0.20970569240704862)</f>
        <v>0.2097056924</v>
      </c>
      <c r="G5250" s="5">
        <f>IFERROR(__xludf.DUMMYFUNCTION("""COMPUTED_VALUE"""),0.15868622566657442)</f>
        <v>0.1586862257</v>
      </c>
      <c r="H5250" s="5">
        <f>IFERROR(__xludf.DUMMYFUNCTION("""COMPUTED_VALUE"""),0.5855697316322042)</f>
        <v>0.5855697316</v>
      </c>
      <c r="I5250" s="11">
        <f>IFERROR(__xludf.DUMMYFUNCTION("""COMPUTED_VALUE"""),5376.286845578531)</f>
        <v>5376.286846</v>
      </c>
      <c r="J5250" s="10">
        <f>IFERROR(__xludf.DUMMYFUNCTION("""COMPUTED_VALUE"""),1.0)</f>
        <v>1</v>
      </c>
      <c r="K5250" s="5">
        <f>IFERROR(__xludf.DUMMYFUNCTION("""COMPUTED_VALUE"""),0.0010070493454179255)</f>
        <v>0.001007049345</v>
      </c>
      <c r="L5250" s="10">
        <f>IFERROR(__xludf.DUMMYFUNCTION("""COMPUTED_VALUE"""),993.0)</f>
        <v>993</v>
      </c>
      <c r="M5250" s="5">
        <f>IFERROR(__xludf.DUMMYFUNCTION("""COMPUTED_VALUE"""),1.0)</f>
        <v>1</v>
      </c>
    </row>
    <row r="5251">
      <c r="A5251" s="10" t="str">
        <f>IFERROR(__xludf.DUMMYFUNCTION("""COMPUTED_VALUE"""),"AKIRANs")</f>
        <v>AKIRANs</v>
      </c>
      <c r="B5251" s="10">
        <f>IFERROR(__xludf.DUMMYFUNCTION("""COMPUTED_VALUE"""),103.0)</f>
        <v>103</v>
      </c>
      <c r="C5251" s="10">
        <f>IFERROR(__xludf.DUMMYFUNCTION("""COMPUTED_VALUE"""),1158.0)</f>
        <v>1158</v>
      </c>
      <c r="D5251" s="5">
        <f>IFERROR(__xludf.DUMMYFUNCTION("""COMPUTED_VALUE"""),0.33744075829383885)</f>
        <v>0.3374407583</v>
      </c>
      <c r="E5251" s="5">
        <f>IFERROR(__xludf.DUMMYFUNCTION("""COMPUTED_VALUE"""),0.10995260663507109)</f>
        <v>0.1099526066</v>
      </c>
      <c r="F5251" s="5">
        <f>IFERROR(__xludf.DUMMYFUNCTION("""COMPUTED_VALUE"""),0.18104265402843603)</f>
        <v>0.181042654</v>
      </c>
      <c r="G5251" s="5">
        <f>IFERROR(__xludf.DUMMYFUNCTION("""COMPUTED_VALUE"""),0.17440758293838862)</f>
        <v>0.1744075829</v>
      </c>
      <c r="H5251" s="5">
        <f>IFERROR(__xludf.DUMMYFUNCTION("""COMPUTED_VALUE"""),0.6178010471204188)</f>
        <v>0.6178010471</v>
      </c>
      <c r="I5251" s="11">
        <f>IFERROR(__xludf.DUMMYFUNCTION("""COMPUTED_VALUE"""),5915.706806282723)</f>
        <v>5915.706806</v>
      </c>
      <c r="J5251" s="10">
        <f>IFERROR(__xludf.DUMMYFUNCTION("""COMPUTED_VALUE"""),0.0)</f>
        <v>0</v>
      </c>
      <c r="K5251" s="5">
        <f>IFERROR(__xludf.DUMMYFUNCTION("""COMPUTED_VALUE"""),0.0)</f>
        <v>0</v>
      </c>
      <c r="L5251" s="10">
        <f>IFERROR(__xludf.DUMMYFUNCTION("""COMPUTED_VALUE"""),103.0)</f>
        <v>103</v>
      </c>
      <c r="M5251" s="5">
        <f>IFERROR(__xludf.DUMMYFUNCTION("""COMPUTED_VALUE"""),1.0)</f>
        <v>1</v>
      </c>
    </row>
    <row r="5252">
      <c r="A5252" s="10" t="str">
        <f>IFERROR(__xludf.DUMMYFUNCTION("""COMPUTED_VALUE"""),"３ｐがツモれない")</f>
        <v>３ｐがツモれない</v>
      </c>
      <c r="B5252" s="10">
        <f>IFERROR(__xludf.DUMMYFUNCTION("""COMPUTED_VALUE"""),984.0)</f>
        <v>984</v>
      </c>
      <c r="C5252" s="10">
        <f>IFERROR(__xludf.DUMMYFUNCTION("""COMPUTED_VALUE"""),11617.0)</f>
        <v>11617</v>
      </c>
      <c r="D5252" s="5">
        <f>IFERROR(__xludf.DUMMYFUNCTION("""COMPUTED_VALUE"""),0.3768456691432333)</f>
        <v>0.3768456691</v>
      </c>
      <c r="E5252" s="5">
        <f>IFERROR(__xludf.DUMMYFUNCTION("""COMPUTED_VALUE"""),0.10994075049374588)</f>
        <v>0.1099407505</v>
      </c>
      <c r="F5252" s="5">
        <f>IFERROR(__xludf.DUMMYFUNCTION("""COMPUTED_VALUE"""),0.20314116429982132)</f>
        <v>0.2031411643</v>
      </c>
      <c r="G5252" s="5">
        <f>IFERROR(__xludf.DUMMYFUNCTION("""COMPUTED_VALUE"""),0.16232483776920906)</f>
        <v>0.1623248378</v>
      </c>
      <c r="H5252" s="5">
        <f>IFERROR(__xludf.DUMMYFUNCTION("""COMPUTED_VALUE"""),0.5861111111111111)</f>
        <v>0.5861111111</v>
      </c>
      <c r="I5252" s="11">
        <f>IFERROR(__xludf.DUMMYFUNCTION("""COMPUTED_VALUE"""),5543.194444444444)</f>
        <v>5543.194444</v>
      </c>
      <c r="J5252" s="10">
        <f>IFERROR(__xludf.DUMMYFUNCTION("""COMPUTED_VALUE"""),1.0)</f>
        <v>1</v>
      </c>
      <c r="K5252" s="5">
        <f>IFERROR(__xludf.DUMMYFUNCTION("""COMPUTED_VALUE"""),0.0010162601626016261)</f>
        <v>0.001016260163</v>
      </c>
      <c r="L5252" s="10">
        <f>IFERROR(__xludf.DUMMYFUNCTION("""COMPUTED_VALUE"""),984.0)</f>
        <v>984</v>
      </c>
      <c r="M5252" s="5">
        <f>IFERROR(__xludf.DUMMYFUNCTION("""COMPUTED_VALUE"""),1.0)</f>
        <v>1</v>
      </c>
    </row>
    <row r="5253">
      <c r="A5253" s="10" t="str">
        <f>IFERROR(__xludf.DUMMYFUNCTION("""COMPUTED_VALUE"""),"N")</f>
        <v>N</v>
      </c>
      <c r="B5253" s="10">
        <f>IFERROR(__xludf.DUMMYFUNCTION("""COMPUTED_VALUE"""),187.0)</f>
        <v>187</v>
      </c>
      <c r="C5253" s="10">
        <f>IFERROR(__xludf.DUMMYFUNCTION("""COMPUTED_VALUE"""),2198.0)</f>
        <v>2198</v>
      </c>
      <c r="D5253" s="5">
        <f>IFERROR(__xludf.DUMMYFUNCTION("""COMPUTED_VALUE"""),0.2814520139234212)</f>
        <v>0.2814520139</v>
      </c>
      <c r="E5253" s="5">
        <f>IFERROR(__xludf.DUMMYFUNCTION("""COMPUTED_VALUE"""),0.10989557434112382)</f>
        <v>0.1098955743</v>
      </c>
      <c r="F5253" s="5">
        <f>IFERROR(__xludf.DUMMYFUNCTION("""COMPUTED_VALUE"""),0.18498259572352063)</f>
        <v>0.1849825957</v>
      </c>
      <c r="G5253" s="5">
        <f>IFERROR(__xludf.DUMMYFUNCTION("""COMPUTED_VALUE"""),0.16459472899055197)</f>
        <v>0.164594729</v>
      </c>
      <c r="H5253" s="5">
        <f>IFERROR(__xludf.DUMMYFUNCTION("""COMPUTED_VALUE"""),0.5510752688172043)</f>
        <v>0.5510752688</v>
      </c>
      <c r="I5253" s="11">
        <f>IFERROR(__xludf.DUMMYFUNCTION("""COMPUTED_VALUE"""),6093.548387096775)</f>
        <v>6093.548387</v>
      </c>
      <c r="J5253" s="10">
        <f>IFERROR(__xludf.DUMMYFUNCTION("""COMPUTED_VALUE"""),0.0)</f>
        <v>0</v>
      </c>
      <c r="K5253" s="5">
        <f>IFERROR(__xludf.DUMMYFUNCTION("""COMPUTED_VALUE"""),0.0)</f>
        <v>0</v>
      </c>
      <c r="L5253" s="10">
        <f>IFERROR(__xludf.DUMMYFUNCTION("""COMPUTED_VALUE"""),187.0)</f>
        <v>187</v>
      </c>
      <c r="M5253" s="5">
        <f>IFERROR(__xludf.DUMMYFUNCTION("""COMPUTED_VALUE"""),1.0)</f>
        <v>1</v>
      </c>
    </row>
    <row r="5254">
      <c r="A5254" s="10" t="str">
        <f>IFERROR(__xludf.DUMMYFUNCTION("""COMPUTED_VALUE"""),"☆黄瀬やよい☆")</f>
        <v>☆黄瀬やよい☆</v>
      </c>
      <c r="B5254" s="10">
        <f>IFERROR(__xludf.DUMMYFUNCTION("""COMPUTED_VALUE"""),709.0)</f>
        <v>709</v>
      </c>
      <c r="C5254" s="10">
        <f>IFERROR(__xludf.DUMMYFUNCTION("""COMPUTED_VALUE"""),8397.0)</f>
        <v>8397</v>
      </c>
      <c r="D5254" s="5">
        <f>IFERROR(__xludf.DUMMYFUNCTION("""COMPUTED_VALUE"""),0.39724245577523415)</f>
        <v>0.3972424558</v>
      </c>
      <c r="E5254" s="5">
        <f>IFERROR(__xludf.DUMMYFUNCTION("""COMPUTED_VALUE"""),0.10978147762747138)</f>
        <v>0.1097814776</v>
      </c>
      <c r="F5254" s="5">
        <f>IFERROR(__xludf.DUMMYFUNCTION("""COMPUTED_VALUE"""),0.2090270551508845)</f>
        <v>0.2090270552</v>
      </c>
      <c r="G5254" s="5">
        <f>IFERROR(__xludf.DUMMYFUNCTION("""COMPUTED_VALUE"""),0.14672216441207075)</f>
        <v>0.1467221644</v>
      </c>
      <c r="H5254" s="5">
        <f>IFERROR(__xludf.DUMMYFUNCTION("""COMPUTED_VALUE"""),0.6017423771001866)</f>
        <v>0.6017423771</v>
      </c>
      <c r="I5254" s="11">
        <f>IFERROR(__xludf.DUMMYFUNCTION("""COMPUTED_VALUE"""),5155.196017423771)</f>
        <v>5155.196017</v>
      </c>
      <c r="J5254" s="10">
        <f>IFERROR(__xludf.DUMMYFUNCTION("""COMPUTED_VALUE"""),2.0)</f>
        <v>2</v>
      </c>
      <c r="K5254" s="5">
        <f>IFERROR(__xludf.DUMMYFUNCTION("""COMPUTED_VALUE"""),0.0028208744710860366)</f>
        <v>0.002820874471</v>
      </c>
      <c r="L5254" s="10">
        <f>IFERROR(__xludf.DUMMYFUNCTION("""COMPUTED_VALUE"""),197.0)</f>
        <v>197</v>
      </c>
      <c r="M5254" s="5">
        <f>IFERROR(__xludf.DUMMYFUNCTION("""COMPUTED_VALUE"""),0.2778561354019746)</f>
        <v>0.2778561354</v>
      </c>
    </row>
    <row r="5255">
      <c r="A5255" s="10" t="str">
        <f>IFERROR(__xludf.DUMMYFUNCTION("""COMPUTED_VALUE"""),"かかかか")</f>
        <v>かかかか</v>
      </c>
      <c r="B5255" s="10">
        <f>IFERROR(__xludf.DUMMYFUNCTION("""COMPUTED_VALUE"""),447.0)</f>
        <v>447</v>
      </c>
      <c r="C5255" s="10">
        <f>IFERROR(__xludf.DUMMYFUNCTION("""COMPUTED_VALUE"""),5148.0)</f>
        <v>5148</v>
      </c>
      <c r="D5255" s="5">
        <f>IFERROR(__xludf.DUMMYFUNCTION("""COMPUTED_VALUE"""),0.3505637098489683)</f>
        <v>0.3505637098</v>
      </c>
      <c r="E5255" s="5">
        <f>IFERROR(__xludf.DUMMYFUNCTION("""COMPUTED_VALUE"""),0.10976388002552648)</f>
        <v>0.10976388</v>
      </c>
      <c r="F5255" s="5">
        <f>IFERROR(__xludf.DUMMYFUNCTION("""COMPUTED_VALUE"""),0.2114443735375452)</f>
        <v>0.2114443735</v>
      </c>
      <c r="G5255" s="5">
        <f>IFERROR(__xludf.DUMMYFUNCTION("""COMPUTED_VALUE"""),0.17400553073814082)</f>
        <v>0.1740055307</v>
      </c>
      <c r="H5255" s="5">
        <f>IFERROR(__xludf.DUMMYFUNCTION("""COMPUTED_VALUE"""),0.5804828973843058)</f>
        <v>0.5804828974</v>
      </c>
      <c r="I5255" s="11">
        <f>IFERROR(__xludf.DUMMYFUNCTION("""COMPUTED_VALUE"""),5595.573440643863)</f>
        <v>5595.573441</v>
      </c>
      <c r="J5255" s="10">
        <f>IFERROR(__xludf.DUMMYFUNCTION("""COMPUTED_VALUE"""),1.0)</f>
        <v>1</v>
      </c>
      <c r="K5255" s="5">
        <f>IFERROR(__xludf.DUMMYFUNCTION("""COMPUTED_VALUE"""),0.0022371364653243847)</f>
        <v>0.002237136465</v>
      </c>
      <c r="L5255" s="10">
        <f>IFERROR(__xludf.DUMMYFUNCTION("""COMPUTED_VALUE"""),447.0)</f>
        <v>447</v>
      </c>
      <c r="M5255" s="5">
        <f>IFERROR(__xludf.DUMMYFUNCTION("""COMPUTED_VALUE"""),1.0)</f>
        <v>1</v>
      </c>
    </row>
    <row r="5256">
      <c r="A5256" s="10" t="str">
        <f>IFERROR(__xludf.DUMMYFUNCTION("""COMPUTED_VALUE"""),"復讐ちゃん")</f>
        <v>復讐ちゃん</v>
      </c>
      <c r="B5256" s="10">
        <f>IFERROR(__xludf.DUMMYFUNCTION("""COMPUTED_VALUE"""),1187.0)</f>
        <v>1187</v>
      </c>
      <c r="C5256" s="10">
        <f>IFERROR(__xludf.DUMMYFUNCTION("""COMPUTED_VALUE"""),13916.0)</f>
        <v>13916</v>
      </c>
      <c r="D5256" s="5">
        <f>IFERROR(__xludf.DUMMYFUNCTION("""COMPUTED_VALUE"""),0.2292403173854977)</f>
        <v>0.2292403174</v>
      </c>
      <c r="E5256" s="5">
        <f>IFERROR(__xludf.DUMMYFUNCTION("""COMPUTED_VALUE"""),0.10974939115405766)</f>
        <v>0.1097493912</v>
      </c>
      <c r="F5256" s="5">
        <f>IFERROR(__xludf.DUMMYFUNCTION("""COMPUTED_VALUE"""),0.1977374499175112)</f>
        <v>0.1977374499</v>
      </c>
      <c r="G5256" s="5">
        <f>IFERROR(__xludf.DUMMYFUNCTION("""COMPUTED_VALUE"""),0.17165527535548747)</f>
        <v>0.1716552754</v>
      </c>
      <c r="H5256" s="5">
        <f>IFERROR(__xludf.DUMMYFUNCTION("""COMPUTED_VALUE"""),0.6078665077473182)</f>
        <v>0.6078665077</v>
      </c>
      <c r="I5256" s="11">
        <f>IFERROR(__xludf.DUMMYFUNCTION("""COMPUTED_VALUE"""),6109.694080254271)</f>
        <v>6109.69408</v>
      </c>
      <c r="J5256" s="10">
        <f>IFERROR(__xludf.DUMMYFUNCTION("""COMPUTED_VALUE"""),3.0)</f>
        <v>3</v>
      </c>
      <c r="K5256" s="5">
        <f>IFERROR(__xludf.DUMMYFUNCTION("""COMPUTED_VALUE"""),0.002527379949452401)</f>
        <v>0.002527379949</v>
      </c>
      <c r="L5256" s="10">
        <f>IFERROR(__xludf.DUMMYFUNCTION("""COMPUTED_VALUE"""),0.0)</f>
        <v>0</v>
      </c>
      <c r="M5256" s="5">
        <f>IFERROR(__xludf.DUMMYFUNCTION("""COMPUTED_VALUE"""),0.0)</f>
        <v>0</v>
      </c>
    </row>
    <row r="5257">
      <c r="A5257" s="10" t="str">
        <f>IFERROR(__xludf.DUMMYFUNCTION("""COMPUTED_VALUE"""),"わけわかめ")</f>
        <v>わけわかめ</v>
      </c>
      <c r="B5257" s="10">
        <f>IFERROR(__xludf.DUMMYFUNCTION("""COMPUTED_VALUE"""),268.0)</f>
        <v>268</v>
      </c>
      <c r="C5257" s="10">
        <f>IFERROR(__xludf.DUMMYFUNCTION("""COMPUTED_VALUE"""),3175.0)</f>
        <v>3175</v>
      </c>
      <c r="D5257" s="5">
        <f>IFERROR(__xludf.DUMMYFUNCTION("""COMPUTED_VALUE"""),0.34743722050223597)</f>
        <v>0.3474372205</v>
      </c>
      <c r="E5257" s="5">
        <f>IFERROR(__xludf.DUMMYFUNCTION("""COMPUTED_VALUE"""),0.10973512211902305)</f>
        <v>0.1097351221</v>
      </c>
      <c r="F5257" s="5">
        <f>IFERROR(__xludf.DUMMYFUNCTION("""COMPUTED_VALUE"""),0.21327829377364982)</f>
        <v>0.2132782938</v>
      </c>
      <c r="G5257" s="5">
        <f>IFERROR(__xludf.DUMMYFUNCTION("""COMPUTED_VALUE"""),0.1716546267629859)</f>
        <v>0.1716546268</v>
      </c>
      <c r="H5257" s="5">
        <f>IFERROR(__xludf.DUMMYFUNCTION("""COMPUTED_VALUE"""),0.5919354838709677)</f>
        <v>0.5919354839</v>
      </c>
      <c r="I5257" s="11">
        <f>IFERROR(__xludf.DUMMYFUNCTION("""COMPUTED_VALUE"""),5980.806451612903)</f>
        <v>5980.806452</v>
      </c>
      <c r="J5257" s="10">
        <f>IFERROR(__xludf.DUMMYFUNCTION("""COMPUTED_VALUE"""),0.0)</f>
        <v>0</v>
      </c>
      <c r="K5257" s="5">
        <f>IFERROR(__xludf.DUMMYFUNCTION("""COMPUTED_VALUE"""),0.0)</f>
        <v>0</v>
      </c>
      <c r="L5257" s="10">
        <f>IFERROR(__xludf.DUMMYFUNCTION("""COMPUTED_VALUE"""),268.0)</f>
        <v>268</v>
      </c>
      <c r="M5257" s="5">
        <f>IFERROR(__xludf.DUMMYFUNCTION("""COMPUTED_VALUE"""),1.0)</f>
        <v>1</v>
      </c>
    </row>
    <row r="5258">
      <c r="A5258" s="10" t="str">
        <f>IFERROR(__xludf.DUMMYFUNCTION("""COMPUTED_VALUE"""),"すみやに")</f>
        <v>すみやに</v>
      </c>
      <c r="B5258" s="10">
        <f>IFERROR(__xludf.DUMMYFUNCTION("""COMPUTED_VALUE"""),3339.0)</f>
        <v>3339</v>
      </c>
      <c r="C5258" s="10">
        <f>IFERROR(__xludf.DUMMYFUNCTION("""COMPUTED_VALUE"""),39394.0)</f>
        <v>39394</v>
      </c>
      <c r="D5258" s="5">
        <f>IFERROR(__xludf.DUMMYFUNCTION("""COMPUTED_VALUE"""),0.3214533351823603)</f>
        <v>0.3214533352</v>
      </c>
      <c r="E5258" s="5">
        <f>IFERROR(__xludf.DUMMYFUNCTION("""COMPUTED_VALUE"""),0.10972125918735265)</f>
        <v>0.1097212592</v>
      </c>
      <c r="F5258" s="5">
        <f>IFERROR(__xludf.DUMMYFUNCTION("""COMPUTED_VALUE"""),0.20549161004021635)</f>
        <v>0.20549161</v>
      </c>
      <c r="G5258" s="5">
        <f>IFERROR(__xludf.DUMMYFUNCTION("""COMPUTED_VALUE"""),0.16399944529191512)</f>
        <v>0.1639994453</v>
      </c>
      <c r="H5258" s="5">
        <f>IFERROR(__xludf.DUMMYFUNCTION("""COMPUTED_VALUE"""),0.6014306924011338)</f>
        <v>0.6014306924</v>
      </c>
      <c r="I5258" s="11">
        <f>IFERROR(__xludf.DUMMYFUNCTION("""COMPUTED_VALUE"""),5805.641787015792)</f>
        <v>5805.641787</v>
      </c>
      <c r="J5258" s="10">
        <f>IFERROR(__xludf.DUMMYFUNCTION("""COMPUTED_VALUE"""),3.0)</f>
        <v>3</v>
      </c>
      <c r="K5258" s="5">
        <f>IFERROR(__xludf.DUMMYFUNCTION("""COMPUTED_VALUE"""),8.984725965858042E-4)</f>
        <v>0.0008984725966</v>
      </c>
      <c r="L5258" s="10">
        <f>IFERROR(__xludf.DUMMYFUNCTION("""COMPUTED_VALUE"""),3339.0)</f>
        <v>3339</v>
      </c>
      <c r="M5258" s="5">
        <f>IFERROR(__xludf.DUMMYFUNCTION("""COMPUTED_VALUE"""),1.0)</f>
        <v>1</v>
      </c>
    </row>
    <row r="5259">
      <c r="A5259" s="10" t="str">
        <f>IFERROR(__xludf.DUMMYFUNCTION("""COMPUTED_VALUE"""),"今日も晴天♪")</f>
        <v>今日も晴天♪</v>
      </c>
      <c r="B5259" s="10">
        <f>IFERROR(__xludf.DUMMYFUNCTION("""COMPUTED_VALUE"""),154.0)</f>
        <v>154</v>
      </c>
      <c r="C5259" s="10">
        <f>IFERROR(__xludf.DUMMYFUNCTION("""COMPUTED_VALUE"""),1804.0)</f>
        <v>1804</v>
      </c>
      <c r="D5259" s="5">
        <f>IFERROR(__xludf.DUMMYFUNCTION("""COMPUTED_VALUE"""),0.3406060606060606)</f>
        <v>0.3406060606</v>
      </c>
      <c r="E5259" s="5">
        <f>IFERROR(__xludf.DUMMYFUNCTION("""COMPUTED_VALUE"""),0.1096969696969697)</f>
        <v>0.1096969697</v>
      </c>
      <c r="F5259" s="5">
        <f>IFERROR(__xludf.DUMMYFUNCTION("""COMPUTED_VALUE"""),0.2175757575757576)</f>
        <v>0.2175757576</v>
      </c>
      <c r="G5259" s="5">
        <f>IFERROR(__xludf.DUMMYFUNCTION("""COMPUTED_VALUE"""),0.19454545454545455)</f>
        <v>0.1945454545</v>
      </c>
      <c r="H5259" s="5">
        <f>IFERROR(__xludf.DUMMYFUNCTION("""COMPUTED_VALUE"""),0.6072423398328691)</f>
        <v>0.6072423398</v>
      </c>
      <c r="I5259" s="11">
        <f>IFERROR(__xludf.DUMMYFUNCTION("""COMPUTED_VALUE"""),5399.721448467966)</f>
        <v>5399.721448</v>
      </c>
      <c r="J5259" s="10">
        <f>IFERROR(__xludf.DUMMYFUNCTION("""COMPUTED_VALUE"""),1.0)</f>
        <v>1</v>
      </c>
      <c r="K5259" s="5">
        <f>IFERROR(__xludf.DUMMYFUNCTION("""COMPUTED_VALUE"""),0.006493506493506494)</f>
        <v>0.006493506494</v>
      </c>
      <c r="L5259" s="10">
        <f>IFERROR(__xludf.DUMMYFUNCTION("""COMPUTED_VALUE"""),16.0)</f>
        <v>16</v>
      </c>
      <c r="M5259" s="5">
        <f>IFERROR(__xludf.DUMMYFUNCTION("""COMPUTED_VALUE"""),0.1038961038961039)</f>
        <v>0.1038961039</v>
      </c>
    </row>
    <row r="5260">
      <c r="A5260" s="10" t="str">
        <f>IFERROR(__xludf.DUMMYFUNCTION("""COMPUTED_VALUE"""),"フォスター")</f>
        <v>フォスター</v>
      </c>
      <c r="B5260" s="10">
        <f>IFERROR(__xludf.DUMMYFUNCTION("""COMPUTED_VALUE"""),635.0)</f>
        <v>635</v>
      </c>
      <c r="C5260" s="10">
        <f>IFERROR(__xludf.DUMMYFUNCTION("""COMPUTED_VALUE"""),7336.0)</f>
        <v>7336</v>
      </c>
      <c r="D5260" s="5">
        <f>IFERROR(__xludf.DUMMYFUNCTION("""COMPUTED_VALUE"""),0.4103865094761976)</f>
        <v>0.4103865095</v>
      </c>
      <c r="E5260" s="5">
        <f>IFERROR(__xludf.DUMMYFUNCTION("""COMPUTED_VALUE"""),0.10968512162363826)</f>
        <v>0.1096851216</v>
      </c>
      <c r="F5260" s="5">
        <f>IFERROR(__xludf.DUMMYFUNCTION("""COMPUTED_VALUE"""),0.21011789285181315)</f>
        <v>0.2101178929</v>
      </c>
      <c r="G5260" s="5">
        <f>IFERROR(__xludf.DUMMYFUNCTION("""COMPUTED_VALUE"""),0.13475600656618414)</f>
        <v>0.1347560066</v>
      </c>
      <c r="H5260" s="5">
        <f>IFERROR(__xludf.DUMMYFUNCTION("""COMPUTED_VALUE"""),0.6044034090909091)</f>
        <v>0.6044034091</v>
      </c>
      <c r="I5260" s="11">
        <f>IFERROR(__xludf.DUMMYFUNCTION("""COMPUTED_VALUE"""),5457.102272727273)</f>
        <v>5457.102273</v>
      </c>
      <c r="J5260" s="10">
        <f>IFERROR(__xludf.DUMMYFUNCTION("""COMPUTED_VALUE"""),3.0)</f>
        <v>3</v>
      </c>
      <c r="K5260" s="5">
        <f>IFERROR(__xludf.DUMMYFUNCTION("""COMPUTED_VALUE"""),0.004724409448818898)</f>
        <v>0.004724409449</v>
      </c>
      <c r="L5260" s="10">
        <f>IFERROR(__xludf.DUMMYFUNCTION("""COMPUTED_VALUE"""),635.0)</f>
        <v>635</v>
      </c>
      <c r="M5260" s="5">
        <f>IFERROR(__xludf.DUMMYFUNCTION("""COMPUTED_VALUE"""),1.0)</f>
        <v>1</v>
      </c>
    </row>
    <row r="5261">
      <c r="A5261" s="10" t="str">
        <f>IFERROR(__xludf.DUMMYFUNCTION("""COMPUTED_VALUE"""),"ＤＲＯＰ")</f>
        <v>ＤＲＯＰ</v>
      </c>
      <c r="B5261" s="10">
        <f>IFERROR(__xludf.DUMMYFUNCTION("""COMPUTED_VALUE"""),2645.0)</f>
        <v>2645</v>
      </c>
      <c r="C5261" s="10">
        <f>IFERROR(__xludf.DUMMYFUNCTION("""COMPUTED_VALUE"""),31192.0)</f>
        <v>31192</v>
      </c>
      <c r="D5261" s="5">
        <f>IFERROR(__xludf.DUMMYFUNCTION("""COMPUTED_VALUE"""),0.3474270501278593)</f>
        <v>0.3474270501</v>
      </c>
      <c r="E5261" s="5">
        <f>IFERROR(__xludf.DUMMYFUNCTION("""COMPUTED_VALUE"""),0.10960871545171122)</f>
        <v>0.1096087155</v>
      </c>
      <c r="F5261" s="5">
        <f>IFERROR(__xludf.DUMMYFUNCTION("""COMPUTED_VALUE"""),0.20618628927733212)</f>
        <v>0.2061862893</v>
      </c>
      <c r="G5261" s="5">
        <f>IFERROR(__xludf.DUMMYFUNCTION("""COMPUTED_VALUE"""),0.1652362770168494)</f>
        <v>0.165236277</v>
      </c>
      <c r="H5261" s="5">
        <f>IFERROR(__xludf.DUMMYFUNCTION("""COMPUTED_VALUE"""),0.5953109072375128)</f>
        <v>0.5953109072</v>
      </c>
      <c r="I5261" s="11">
        <f>IFERROR(__xludf.DUMMYFUNCTION("""COMPUTED_VALUE"""),5383.70710159701)</f>
        <v>5383.707102</v>
      </c>
      <c r="J5261" s="10">
        <f>IFERROR(__xludf.DUMMYFUNCTION("""COMPUTED_VALUE"""),5.0)</f>
        <v>5</v>
      </c>
      <c r="K5261" s="5">
        <f>IFERROR(__xludf.DUMMYFUNCTION("""COMPUTED_VALUE"""),0.001890359168241966)</f>
        <v>0.001890359168</v>
      </c>
      <c r="L5261" s="10">
        <f>IFERROR(__xludf.DUMMYFUNCTION("""COMPUTED_VALUE"""),2645.0)</f>
        <v>2645</v>
      </c>
      <c r="M5261" s="5">
        <f>IFERROR(__xludf.DUMMYFUNCTION("""COMPUTED_VALUE"""),1.0)</f>
        <v>1</v>
      </c>
    </row>
    <row r="5262">
      <c r="A5262" s="10" t="str">
        <f>IFERROR(__xludf.DUMMYFUNCTION("""COMPUTED_VALUE"""),"きゃにお")</f>
        <v>きゃにお</v>
      </c>
      <c r="B5262" s="10">
        <f>IFERROR(__xludf.DUMMYFUNCTION("""COMPUTED_VALUE"""),106.0)</f>
        <v>106</v>
      </c>
      <c r="C5262" s="10">
        <f>IFERROR(__xludf.DUMMYFUNCTION("""COMPUTED_VALUE"""),1210.0)</f>
        <v>1210</v>
      </c>
      <c r="D5262" s="5">
        <f>IFERROR(__xludf.DUMMYFUNCTION("""COMPUTED_VALUE"""),0.3813405797101449)</f>
        <v>0.3813405797</v>
      </c>
      <c r="E5262" s="5">
        <f>IFERROR(__xludf.DUMMYFUNCTION("""COMPUTED_VALUE"""),0.10960144927536232)</f>
        <v>0.1096014493</v>
      </c>
      <c r="F5262" s="5">
        <f>IFERROR(__xludf.DUMMYFUNCTION("""COMPUTED_VALUE"""),0.23007246376811594)</f>
        <v>0.2300724638</v>
      </c>
      <c r="G5262" s="5">
        <f>IFERROR(__xludf.DUMMYFUNCTION("""COMPUTED_VALUE"""),0.16757246376811594)</f>
        <v>0.1675724638</v>
      </c>
      <c r="H5262" s="5">
        <f>IFERROR(__xludf.DUMMYFUNCTION("""COMPUTED_VALUE"""),0.6456692913385826)</f>
        <v>0.6456692913</v>
      </c>
      <c r="I5262" s="11">
        <f>IFERROR(__xludf.DUMMYFUNCTION("""COMPUTED_VALUE"""),5438.976377952756)</f>
        <v>5438.976378</v>
      </c>
      <c r="J5262" s="10">
        <f>IFERROR(__xludf.DUMMYFUNCTION("""COMPUTED_VALUE"""),0.0)</f>
        <v>0</v>
      </c>
      <c r="K5262" s="5">
        <f>IFERROR(__xludf.DUMMYFUNCTION("""COMPUTED_VALUE"""),0.0)</f>
        <v>0</v>
      </c>
      <c r="L5262" s="10">
        <f>IFERROR(__xludf.DUMMYFUNCTION("""COMPUTED_VALUE"""),1.0)</f>
        <v>1</v>
      </c>
      <c r="M5262" s="5">
        <f>IFERROR(__xludf.DUMMYFUNCTION("""COMPUTED_VALUE"""),0.009433962264150943)</f>
        <v>0.009433962264</v>
      </c>
    </row>
    <row r="5263">
      <c r="A5263" s="10" t="str">
        <f>IFERROR(__xludf.DUMMYFUNCTION("""COMPUTED_VALUE"""),"フーテンの寅さん")</f>
        <v>フーテンの寅さん</v>
      </c>
      <c r="B5263" s="10">
        <f>IFERROR(__xludf.DUMMYFUNCTION("""COMPUTED_VALUE"""),132.0)</f>
        <v>132</v>
      </c>
      <c r="C5263" s="10">
        <f>IFERROR(__xludf.DUMMYFUNCTION("""COMPUTED_VALUE"""),1528.0)</f>
        <v>1528</v>
      </c>
      <c r="D5263" s="5">
        <f>IFERROR(__xludf.DUMMYFUNCTION("""COMPUTED_VALUE"""),0.3359598853868195)</f>
        <v>0.3359598854</v>
      </c>
      <c r="E5263" s="5">
        <f>IFERROR(__xludf.DUMMYFUNCTION("""COMPUTED_VALUE"""),0.10959885386819485)</f>
        <v>0.1095988539</v>
      </c>
      <c r="F5263" s="5">
        <f>IFERROR(__xludf.DUMMYFUNCTION("""COMPUTED_VALUE"""),0.18696275071633237)</f>
        <v>0.1869627507</v>
      </c>
      <c r="G5263" s="5">
        <f>IFERROR(__xludf.DUMMYFUNCTION("""COMPUTED_VALUE"""),0.18696275071633237)</f>
        <v>0.1869627507</v>
      </c>
      <c r="H5263" s="5">
        <f>IFERROR(__xludf.DUMMYFUNCTION("""COMPUTED_VALUE"""),0.5440613026819924)</f>
        <v>0.5440613027</v>
      </c>
      <c r="I5263" s="11">
        <f>IFERROR(__xludf.DUMMYFUNCTION("""COMPUTED_VALUE"""),5648.275862068966)</f>
        <v>5648.275862</v>
      </c>
      <c r="J5263" s="10">
        <f>IFERROR(__xludf.DUMMYFUNCTION("""COMPUTED_VALUE"""),0.0)</f>
        <v>0</v>
      </c>
      <c r="K5263" s="5">
        <f>IFERROR(__xludf.DUMMYFUNCTION("""COMPUTED_VALUE"""),0.0)</f>
        <v>0</v>
      </c>
      <c r="L5263" s="10">
        <f>IFERROR(__xludf.DUMMYFUNCTION("""COMPUTED_VALUE"""),132.0)</f>
        <v>132</v>
      </c>
      <c r="M5263" s="5">
        <f>IFERROR(__xludf.DUMMYFUNCTION("""COMPUTED_VALUE"""),1.0)</f>
        <v>1</v>
      </c>
    </row>
    <row r="5264">
      <c r="A5264" s="10" t="str">
        <f>IFERROR(__xludf.DUMMYFUNCTION("""COMPUTED_VALUE"""),"mmjangki")</f>
        <v>mmjangki</v>
      </c>
      <c r="B5264" s="10">
        <f>IFERROR(__xludf.DUMMYFUNCTION("""COMPUTED_VALUE"""),998.0)</f>
        <v>998</v>
      </c>
      <c r="C5264" s="10">
        <f>IFERROR(__xludf.DUMMYFUNCTION("""COMPUTED_VALUE"""),11915.0)</f>
        <v>11915</v>
      </c>
      <c r="D5264" s="5">
        <f>IFERROR(__xludf.DUMMYFUNCTION("""COMPUTED_VALUE"""),0.31629568562791976)</f>
        <v>0.3162956856</v>
      </c>
      <c r="E5264" s="5">
        <f>IFERROR(__xludf.DUMMYFUNCTION("""COMPUTED_VALUE"""),0.1095539067509389)</f>
        <v>0.1095539068</v>
      </c>
      <c r="F5264" s="5">
        <f>IFERROR(__xludf.DUMMYFUNCTION("""COMPUTED_VALUE"""),0.20536777502977008)</f>
        <v>0.205367775</v>
      </c>
      <c r="G5264" s="5">
        <f>IFERROR(__xludf.DUMMYFUNCTION("""COMPUTED_VALUE"""),0.15572043601722085)</f>
        <v>0.155720436</v>
      </c>
      <c r="H5264" s="5">
        <f>IFERROR(__xludf.DUMMYFUNCTION("""COMPUTED_VALUE"""),0.6057091882247992)</f>
        <v>0.6057091882</v>
      </c>
      <c r="I5264" s="11">
        <f>IFERROR(__xludf.DUMMYFUNCTION("""COMPUTED_VALUE"""),5647.234611953613)</f>
        <v>5647.234612</v>
      </c>
      <c r="J5264" s="10">
        <f>IFERROR(__xludf.DUMMYFUNCTION("""COMPUTED_VALUE"""),2.0)</f>
        <v>2</v>
      </c>
      <c r="K5264" s="5">
        <f>IFERROR(__xludf.DUMMYFUNCTION("""COMPUTED_VALUE"""),0.002004008016032064)</f>
        <v>0.002004008016</v>
      </c>
      <c r="L5264" s="10">
        <f>IFERROR(__xludf.DUMMYFUNCTION("""COMPUTED_VALUE"""),998.0)</f>
        <v>998</v>
      </c>
      <c r="M5264" s="5">
        <f>IFERROR(__xludf.DUMMYFUNCTION("""COMPUTED_VALUE"""),1.0)</f>
        <v>1</v>
      </c>
    </row>
    <row r="5265">
      <c r="A5265" s="10" t="str">
        <f>IFERROR(__xludf.DUMMYFUNCTION("""COMPUTED_VALUE"""),"のたわ")</f>
        <v>のたわ</v>
      </c>
      <c r="B5265" s="10">
        <f>IFERROR(__xludf.DUMMYFUNCTION("""COMPUTED_VALUE"""),857.0)</f>
        <v>857</v>
      </c>
      <c r="C5265" s="10">
        <f>IFERROR(__xludf.DUMMYFUNCTION("""COMPUTED_VALUE"""),10207.0)</f>
        <v>10207</v>
      </c>
      <c r="D5265" s="5">
        <f>IFERROR(__xludf.DUMMYFUNCTION("""COMPUTED_VALUE"""),0.373048128342246)</f>
        <v>0.3730481283</v>
      </c>
      <c r="E5265" s="5">
        <f>IFERROR(__xludf.DUMMYFUNCTION("""COMPUTED_VALUE"""),0.1095187165775401)</f>
        <v>0.1095187166</v>
      </c>
      <c r="F5265" s="5">
        <f>IFERROR(__xludf.DUMMYFUNCTION("""COMPUTED_VALUE"""),0.21122994652406418)</f>
        <v>0.2112299465</v>
      </c>
      <c r="G5265" s="5">
        <f>IFERROR(__xludf.DUMMYFUNCTION("""COMPUTED_VALUE"""),0.1479144385026738)</f>
        <v>0.1479144385</v>
      </c>
      <c r="H5265" s="5">
        <f>IFERROR(__xludf.DUMMYFUNCTION("""COMPUTED_VALUE"""),0.5989873417721518)</f>
        <v>0.5989873418</v>
      </c>
      <c r="I5265" s="11">
        <f>IFERROR(__xludf.DUMMYFUNCTION("""COMPUTED_VALUE"""),5440.202531645569)</f>
        <v>5440.202532</v>
      </c>
      <c r="J5265" s="10">
        <f>IFERROR(__xludf.DUMMYFUNCTION("""COMPUTED_VALUE"""),3.0)</f>
        <v>3</v>
      </c>
      <c r="K5265" s="5">
        <f>IFERROR(__xludf.DUMMYFUNCTION("""COMPUTED_VALUE"""),0.003500583430571762)</f>
        <v>0.003500583431</v>
      </c>
      <c r="L5265" s="10">
        <f>IFERROR(__xludf.DUMMYFUNCTION("""COMPUTED_VALUE"""),857.0)</f>
        <v>857</v>
      </c>
      <c r="M5265" s="5">
        <f>IFERROR(__xludf.DUMMYFUNCTION("""COMPUTED_VALUE"""),1.0)</f>
        <v>1</v>
      </c>
    </row>
    <row r="5266">
      <c r="A5266" s="10" t="str">
        <f>IFERROR(__xludf.DUMMYFUNCTION("""COMPUTED_VALUE"""),"信濃の荒法師")</f>
        <v>信濃の荒法師</v>
      </c>
      <c r="B5266" s="10">
        <f>IFERROR(__xludf.DUMMYFUNCTION("""COMPUTED_VALUE"""),8603.0)</f>
        <v>8603</v>
      </c>
      <c r="C5266" s="10">
        <f>IFERROR(__xludf.DUMMYFUNCTION("""COMPUTED_VALUE"""),100966.0)</f>
        <v>100966</v>
      </c>
      <c r="D5266" s="5">
        <f>IFERROR(__xludf.DUMMYFUNCTION("""COMPUTED_VALUE"""),0.3580221517274233)</f>
        <v>0.3580221517</v>
      </c>
      <c r="E5266" s="5">
        <f>IFERROR(__xludf.DUMMYFUNCTION("""COMPUTED_VALUE"""),0.10951354979807931)</f>
        <v>0.1095135498</v>
      </c>
      <c r="F5266" s="5">
        <f>IFERROR(__xludf.DUMMYFUNCTION("""COMPUTED_VALUE"""),0.2059374424823793)</f>
        <v>0.2059374425</v>
      </c>
      <c r="G5266" s="5">
        <f>IFERROR(__xludf.DUMMYFUNCTION("""COMPUTED_VALUE"""),0.15970680900360534)</f>
        <v>0.159706809</v>
      </c>
      <c r="H5266" s="5">
        <f>IFERROR(__xludf.DUMMYFUNCTION("""COMPUTED_VALUE"""),0.5993901477314547)</f>
        <v>0.5993901477</v>
      </c>
      <c r="I5266" s="11">
        <f>IFERROR(__xludf.DUMMYFUNCTION("""COMPUTED_VALUE"""),5455.265233163345)</f>
        <v>5455.265233</v>
      </c>
      <c r="J5266" s="10">
        <f>IFERROR(__xludf.DUMMYFUNCTION("""COMPUTED_VALUE"""),18.0)</f>
        <v>18</v>
      </c>
      <c r="K5266" s="5">
        <f>IFERROR(__xludf.DUMMYFUNCTION("""COMPUTED_VALUE"""),0.00209229338602813)</f>
        <v>0.002092293386</v>
      </c>
      <c r="L5266" s="10">
        <f>IFERROR(__xludf.DUMMYFUNCTION("""COMPUTED_VALUE"""),8603.0)</f>
        <v>8603</v>
      </c>
      <c r="M5266" s="5">
        <f>IFERROR(__xludf.DUMMYFUNCTION("""COMPUTED_VALUE"""),1.0)</f>
        <v>1</v>
      </c>
    </row>
    <row r="5267">
      <c r="A5267" s="10" t="str">
        <f>IFERROR(__xludf.DUMMYFUNCTION("""COMPUTED_VALUE"""),"かるてっと♪")</f>
        <v>かるてっと♪</v>
      </c>
      <c r="B5267" s="10">
        <f>IFERROR(__xludf.DUMMYFUNCTION("""COMPUTED_VALUE"""),100.0)</f>
        <v>100</v>
      </c>
      <c r="C5267" s="10">
        <f>IFERROR(__xludf.DUMMYFUNCTION("""COMPUTED_VALUE"""),1187.0)</f>
        <v>1187</v>
      </c>
      <c r="D5267" s="5">
        <f>IFERROR(__xludf.DUMMYFUNCTION("""COMPUTED_VALUE"""),0.2769089236430543)</f>
        <v>0.2769089236</v>
      </c>
      <c r="E5267" s="5">
        <f>IFERROR(__xludf.DUMMYFUNCTION("""COMPUTED_VALUE"""),0.10947562097516099)</f>
        <v>0.109475621</v>
      </c>
      <c r="F5267" s="5">
        <f>IFERROR(__xludf.DUMMYFUNCTION("""COMPUTED_VALUE"""),0.21343146274149033)</f>
        <v>0.2134314627</v>
      </c>
      <c r="G5267" s="5">
        <f>IFERROR(__xludf.DUMMYFUNCTION("""COMPUTED_VALUE"""),0.16651333946642136)</f>
        <v>0.1665133395</v>
      </c>
      <c r="H5267" s="5">
        <f>IFERROR(__xludf.DUMMYFUNCTION("""COMPUTED_VALUE"""),0.6206896551724138)</f>
        <v>0.6206896552</v>
      </c>
      <c r="I5267" s="11">
        <f>IFERROR(__xludf.DUMMYFUNCTION("""COMPUTED_VALUE"""),5240.948275862069)</f>
        <v>5240.948276</v>
      </c>
      <c r="J5267" s="10">
        <f>IFERROR(__xludf.DUMMYFUNCTION("""COMPUTED_VALUE"""),1.0)</f>
        <v>1</v>
      </c>
      <c r="K5267" s="5">
        <f>IFERROR(__xludf.DUMMYFUNCTION("""COMPUTED_VALUE"""),0.01)</f>
        <v>0.01</v>
      </c>
      <c r="L5267" s="10">
        <f>IFERROR(__xludf.DUMMYFUNCTION("""COMPUTED_VALUE"""),100.0)</f>
        <v>100</v>
      </c>
      <c r="M5267" s="5">
        <f>IFERROR(__xludf.DUMMYFUNCTION("""COMPUTED_VALUE"""),1.0)</f>
        <v>1</v>
      </c>
    </row>
    <row r="5268">
      <c r="A5268" s="10" t="str">
        <f>IFERROR(__xludf.DUMMYFUNCTION("""COMPUTED_VALUE"""),"nannanya")</f>
        <v>nannanya</v>
      </c>
      <c r="B5268" s="10">
        <f>IFERROR(__xludf.DUMMYFUNCTION("""COMPUTED_VALUE"""),854.0)</f>
        <v>854</v>
      </c>
      <c r="C5268" s="10">
        <f>IFERROR(__xludf.DUMMYFUNCTION("""COMPUTED_VALUE"""),9998.0)</f>
        <v>9998</v>
      </c>
      <c r="D5268" s="5">
        <f>IFERROR(__xludf.DUMMYFUNCTION("""COMPUTED_VALUE"""),0.2609361329833771)</f>
        <v>0.260936133</v>
      </c>
      <c r="E5268" s="5">
        <f>IFERROR(__xludf.DUMMYFUNCTION("""COMPUTED_VALUE"""),0.10947069116360456)</f>
        <v>0.1094706912</v>
      </c>
      <c r="F5268" s="5">
        <f>IFERROR(__xludf.DUMMYFUNCTION("""COMPUTED_VALUE"""),0.19936570428696412)</f>
        <v>0.1993657043</v>
      </c>
      <c r="G5268" s="5">
        <f>IFERROR(__xludf.DUMMYFUNCTION("""COMPUTED_VALUE"""),0.1519028871391076)</f>
        <v>0.1519028871</v>
      </c>
      <c r="H5268" s="5">
        <f>IFERROR(__xludf.DUMMYFUNCTION("""COMPUTED_VALUE"""),0.6039495337356007)</f>
        <v>0.6039495337</v>
      </c>
      <c r="I5268" s="11">
        <f>IFERROR(__xludf.DUMMYFUNCTION("""COMPUTED_VALUE"""),5663.576522216127)</f>
        <v>5663.576522</v>
      </c>
      <c r="J5268" s="10">
        <f>IFERROR(__xludf.DUMMYFUNCTION("""COMPUTED_VALUE"""),2.0)</f>
        <v>2</v>
      </c>
      <c r="K5268" s="5">
        <f>IFERROR(__xludf.DUMMYFUNCTION("""COMPUTED_VALUE"""),0.00234192037470726)</f>
        <v>0.002341920375</v>
      </c>
      <c r="L5268" s="10">
        <f>IFERROR(__xludf.DUMMYFUNCTION("""COMPUTED_VALUE"""),854.0)</f>
        <v>854</v>
      </c>
      <c r="M5268" s="5">
        <f>IFERROR(__xludf.DUMMYFUNCTION("""COMPUTED_VALUE"""),1.0)</f>
        <v>1</v>
      </c>
    </row>
    <row r="5269">
      <c r="A5269" s="10" t="str">
        <f>IFERROR(__xludf.DUMMYFUNCTION("""COMPUTED_VALUE"""),"マーティー先生")</f>
        <v>マーティー先生</v>
      </c>
      <c r="B5269" s="10">
        <f>IFERROR(__xludf.DUMMYFUNCTION("""COMPUTED_VALUE"""),187.0)</f>
        <v>187</v>
      </c>
      <c r="C5269" s="10">
        <f>IFERROR(__xludf.DUMMYFUNCTION("""COMPUTED_VALUE"""),2215.0)</f>
        <v>2215</v>
      </c>
      <c r="D5269" s="5">
        <f>IFERROR(__xludf.DUMMYFUNCTION("""COMPUTED_VALUE"""),0.35749506903353057)</f>
        <v>0.357495069</v>
      </c>
      <c r="E5269" s="5">
        <f>IFERROR(__xludf.DUMMYFUNCTION("""COMPUTED_VALUE"""),0.10946745562130178)</f>
        <v>0.1094674556</v>
      </c>
      <c r="F5269" s="5">
        <f>IFERROR(__xludf.DUMMYFUNCTION("""COMPUTED_VALUE"""),0.21696252465483234)</f>
        <v>0.2169625247</v>
      </c>
      <c r="G5269" s="5">
        <f>IFERROR(__xludf.DUMMYFUNCTION("""COMPUTED_VALUE"""),0.14891518737672585)</f>
        <v>0.1489151874</v>
      </c>
      <c r="H5269" s="5">
        <f>IFERROR(__xludf.DUMMYFUNCTION("""COMPUTED_VALUE"""),0.6181818181818182)</f>
        <v>0.6181818182</v>
      </c>
      <c r="I5269" s="11">
        <f>IFERROR(__xludf.DUMMYFUNCTION("""COMPUTED_VALUE"""),5456.590909090909)</f>
        <v>5456.590909</v>
      </c>
      <c r="J5269" s="10">
        <f>IFERROR(__xludf.DUMMYFUNCTION("""COMPUTED_VALUE"""),0.0)</f>
        <v>0</v>
      </c>
      <c r="K5269" s="5">
        <f>IFERROR(__xludf.DUMMYFUNCTION("""COMPUTED_VALUE"""),0.0)</f>
        <v>0</v>
      </c>
      <c r="L5269" s="10">
        <f>IFERROR(__xludf.DUMMYFUNCTION("""COMPUTED_VALUE"""),187.0)</f>
        <v>187</v>
      </c>
      <c r="M5269" s="5">
        <f>IFERROR(__xludf.DUMMYFUNCTION("""COMPUTED_VALUE"""),1.0)</f>
        <v>1</v>
      </c>
    </row>
    <row r="5270">
      <c r="A5270" s="10" t="str">
        <f>IFERROR(__xludf.DUMMYFUNCTION("""COMPUTED_VALUE"""),"七海千秋")</f>
        <v>七海千秋</v>
      </c>
      <c r="B5270" s="10">
        <f>IFERROR(__xludf.DUMMYFUNCTION("""COMPUTED_VALUE"""),105.0)</f>
        <v>105</v>
      </c>
      <c r="C5270" s="10">
        <f>IFERROR(__xludf.DUMMYFUNCTION("""COMPUTED_VALUE"""),1247.0)</f>
        <v>1247</v>
      </c>
      <c r="D5270" s="5">
        <f>IFERROR(__xludf.DUMMYFUNCTION("""COMPUTED_VALUE"""),0.29859894921190894)</f>
        <v>0.2985989492</v>
      </c>
      <c r="E5270" s="5">
        <f>IFERROR(__xludf.DUMMYFUNCTION("""COMPUTED_VALUE"""),0.10945709281961472)</f>
        <v>0.1094570928</v>
      </c>
      <c r="F5270" s="5">
        <f>IFERROR(__xludf.DUMMYFUNCTION("""COMPUTED_VALUE"""),0.20140105078809106)</f>
        <v>0.2014010508</v>
      </c>
      <c r="G5270" s="5">
        <f>IFERROR(__xludf.DUMMYFUNCTION("""COMPUTED_VALUE"""),0.15236427320490367)</f>
        <v>0.1523642732</v>
      </c>
      <c r="H5270" s="5">
        <f>IFERROR(__xludf.DUMMYFUNCTION("""COMPUTED_VALUE"""),0.5347826086956522)</f>
        <v>0.5347826087</v>
      </c>
      <c r="I5270" s="11">
        <f>IFERROR(__xludf.DUMMYFUNCTION("""COMPUTED_VALUE"""),5369.565217391304)</f>
        <v>5369.565217</v>
      </c>
      <c r="J5270" s="10">
        <f>IFERROR(__xludf.DUMMYFUNCTION("""COMPUTED_VALUE"""),0.0)</f>
        <v>0</v>
      </c>
      <c r="K5270" s="5">
        <f>IFERROR(__xludf.DUMMYFUNCTION("""COMPUTED_VALUE"""),0.0)</f>
        <v>0</v>
      </c>
      <c r="L5270" s="10">
        <f>IFERROR(__xludf.DUMMYFUNCTION("""COMPUTED_VALUE"""),0.0)</f>
        <v>0</v>
      </c>
      <c r="M5270" s="5">
        <f>IFERROR(__xludf.DUMMYFUNCTION("""COMPUTED_VALUE"""),0.0)</f>
        <v>0</v>
      </c>
    </row>
    <row r="5271">
      <c r="A5271" s="10" t="str">
        <f>IFERROR(__xludf.DUMMYFUNCTION("""COMPUTED_VALUE"""),"GEYU")</f>
        <v>GEYU</v>
      </c>
      <c r="B5271" s="10">
        <f>IFERROR(__xludf.DUMMYFUNCTION("""COMPUTED_VALUE"""),1483.0)</f>
        <v>1483</v>
      </c>
      <c r="C5271" s="10">
        <f>IFERROR(__xludf.DUMMYFUNCTION("""COMPUTED_VALUE"""),17645.0)</f>
        <v>17645</v>
      </c>
      <c r="D5271" s="5">
        <f>IFERROR(__xludf.DUMMYFUNCTION("""COMPUTED_VALUE"""),0.39333003341170647)</f>
        <v>0.3933300334</v>
      </c>
      <c r="E5271" s="5">
        <f>IFERROR(__xludf.DUMMYFUNCTION("""COMPUTED_VALUE"""),0.1094542754609578)</f>
        <v>0.1094542755</v>
      </c>
      <c r="F5271" s="5">
        <f>IFERROR(__xludf.DUMMYFUNCTION("""COMPUTED_VALUE"""),0.2096893948768717)</f>
        <v>0.2096893949</v>
      </c>
      <c r="G5271" s="5">
        <f>IFERROR(__xludf.DUMMYFUNCTION("""COMPUTED_VALUE"""),0.16353174112114838)</f>
        <v>0.1635317411</v>
      </c>
      <c r="H5271" s="5">
        <f>IFERROR(__xludf.DUMMYFUNCTION("""COMPUTED_VALUE"""),0.5966361758630865)</f>
        <v>0.5966361759</v>
      </c>
      <c r="I5271" s="11">
        <f>IFERROR(__xludf.DUMMYFUNCTION("""COMPUTED_VALUE"""),5318.471525523753)</f>
        <v>5318.471526</v>
      </c>
      <c r="J5271" s="10">
        <f>IFERROR(__xludf.DUMMYFUNCTION("""COMPUTED_VALUE"""),2.0)</f>
        <v>2</v>
      </c>
      <c r="K5271" s="5">
        <f>IFERROR(__xludf.DUMMYFUNCTION("""COMPUTED_VALUE"""),0.0013486176668914363)</f>
        <v>0.001348617667</v>
      </c>
      <c r="L5271" s="10">
        <f>IFERROR(__xludf.DUMMYFUNCTION("""COMPUTED_VALUE"""),1135.0)</f>
        <v>1135</v>
      </c>
      <c r="M5271" s="5">
        <f>IFERROR(__xludf.DUMMYFUNCTION("""COMPUTED_VALUE"""),0.7653405259608901)</f>
        <v>0.765340526</v>
      </c>
    </row>
    <row r="5272">
      <c r="A5272" s="10" t="str">
        <f>IFERROR(__xludf.DUMMYFUNCTION("""COMPUTED_VALUE"""),"hamon")</f>
        <v>hamon</v>
      </c>
      <c r="B5272" s="10">
        <f>IFERROR(__xludf.DUMMYFUNCTION("""COMPUTED_VALUE"""),435.0)</f>
        <v>435</v>
      </c>
      <c r="C5272" s="10">
        <f>IFERROR(__xludf.DUMMYFUNCTION("""COMPUTED_VALUE"""),5177.0)</f>
        <v>5177</v>
      </c>
      <c r="D5272" s="5">
        <f>IFERROR(__xludf.DUMMYFUNCTION("""COMPUTED_VALUE"""),0.28764234500210883)</f>
        <v>0.287642345</v>
      </c>
      <c r="E5272" s="5">
        <f>IFERROR(__xludf.DUMMYFUNCTION("""COMPUTED_VALUE"""),0.10944749051033319)</f>
        <v>0.1094474905</v>
      </c>
      <c r="F5272" s="5">
        <f>IFERROR(__xludf.DUMMYFUNCTION("""COMPUTED_VALUE"""),0.19822859552931252)</f>
        <v>0.1982285955</v>
      </c>
      <c r="G5272" s="5">
        <f>IFERROR(__xludf.DUMMYFUNCTION("""COMPUTED_VALUE"""),0.16807254323070434)</f>
        <v>0.1680725432</v>
      </c>
      <c r="H5272" s="5">
        <f>IFERROR(__xludf.DUMMYFUNCTION("""COMPUTED_VALUE"""),0.5797872340425532)</f>
        <v>0.579787234</v>
      </c>
      <c r="I5272" s="11">
        <f>IFERROR(__xludf.DUMMYFUNCTION("""COMPUTED_VALUE"""),5854.04255319149)</f>
        <v>5854.042553</v>
      </c>
      <c r="J5272" s="10">
        <f>IFERROR(__xludf.DUMMYFUNCTION("""COMPUTED_VALUE"""),1.0)</f>
        <v>1</v>
      </c>
      <c r="K5272" s="5">
        <f>IFERROR(__xludf.DUMMYFUNCTION("""COMPUTED_VALUE"""),0.0022988505747126436)</f>
        <v>0.002298850575</v>
      </c>
      <c r="L5272" s="10">
        <f>IFERROR(__xludf.DUMMYFUNCTION("""COMPUTED_VALUE"""),435.0)</f>
        <v>435</v>
      </c>
      <c r="M5272" s="5">
        <f>IFERROR(__xludf.DUMMYFUNCTION("""COMPUTED_VALUE"""),1.0)</f>
        <v>1</v>
      </c>
    </row>
    <row r="5273">
      <c r="A5273" s="10" t="str">
        <f>IFERROR(__xludf.DUMMYFUNCTION("""COMPUTED_VALUE"""),"toshiieR")</f>
        <v>toshiieR</v>
      </c>
      <c r="B5273" s="10">
        <f>IFERROR(__xludf.DUMMYFUNCTION("""COMPUTED_VALUE"""),265.0)</f>
        <v>265</v>
      </c>
      <c r="C5273" s="10">
        <f>IFERROR(__xludf.DUMMYFUNCTION("""COMPUTED_VALUE"""),3134.0)</f>
        <v>3134</v>
      </c>
      <c r="D5273" s="5">
        <f>IFERROR(__xludf.DUMMYFUNCTION("""COMPUTED_VALUE"""),0.3297316138027187)</f>
        <v>0.3297316138</v>
      </c>
      <c r="E5273" s="5">
        <f>IFERROR(__xludf.DUMMYFUNCTION("""COMPUTED_VALUE"""),0.1094457999302893)</f>
        <v>0.1094457999</v>
      </c>
      <c r="F5273" s="5">
        <f>IFERROR(__xludf.DUMMYFUNCTION("""COMPUTED_VALUE"""),0.2049494597420704)</f>
        <v>0.2049494597</v>
      </c>
      <c r="G5273" s="5">
        <f>IFERROR(__xludf.DUMMYFUNCTION("""COMPUTED_VALUE"""),0.1530149878006274)</f>
        <v>0.1530149878</v>
      </c>
      <c r="H5273" s="5">
        <f>IFERROR(__xludf.DUMMYFUNCTION("""COMPUTED_VALUE"""),0.6224489795918368)</f>
        <v>0.6224489796</v>
      </c>
      <c r="I5273" s="11">
        <f>IFERROR(__xludf.DUMMYFUNCTION("""COMPUTED_VALUE"""),5435.374149659864)</f>
        <v>5435.37415</v>
      </c>
      <c r="J5273" s="10">
        <f>IFERROR(__xludf.DUMMYFUNCTION("""COMPUTED_VALUE"""),1.0)</f>
        <v>1</v>
      </c>
      <c r="K5273" s="5">
        <f>IFERROR(__xludf.DUMMYFUNCTION("""COMPUTED_VALUE"""),0.0037735849056603774)</f>
        <v>0.003773584906</v>
      </c>
      <c r="L5273" s="10">
        <f>IFERROR(__xludf.DUMMYFUNCTION("""COMPUTED_VALUE"""),265.0)</f>
        <v>265</v>
      </c>
      <c r="M5273" s="5">
        <f>IFERROR(__xludf.DUMMYFUNCTION("""COMPUTED_VALUE"""),1.0)</f>
        <v>1</v>
      </c>
    </row>
    <row r="5274">
      <c r="A5274" s="10" t="str">
        <f>IFERROR(__xludf.DUMMYFUNCTION("""COMPUTED_VALUE"""),"yamaapq")</f>
        <v>yamaapq</v>
      </c>
      <c r="B5274" s="10">
        <f>IFERROR(__xludf.DUMMYFUNCTION("""COMPUTED_VALUE"""),491.0)</f>
        <v>491</v>
      </c>
      <c r="C5274" s="10">
        <f>IFERROR(__xludf.DUMMYFUNCTION("""COMPUTED_VALUE"""),5864.0)</f>
        <v>5864</v>
      </c>
      <c r="D5274" s="5">
        <f>IFERROR(__xludf.DUMMYFUNCTION("""COMPUTED_VALUE"""),0.3426391215335939)</f>
        <v>0.3426391215</v>
      </c>
      <c r="E5274" s="5">
        <f>IFERROR(__xludf.DUMMYFUNCTION("""COMPUTED_VALUE"""),0.10943606923506422)</f>
        <v>0.1094360692</v>
      </c>
      <c r="F5274" s="5">
        <f>IFERROR(__xludf.DUMMYFUNCTION("""COMPUTED_VALUE"""),0.1820212171970966)</f>
        <v>0.1820212172</v>
      </c>
      <c r="G5274" s="5">
        <f>IFERROR(__xludf.DUMMYFUNCTION("""COMPUTED_VALUE"""),0.13400335008375208)</f>
        <v>0.1340033501</v>
      </c>
      <c r="H5274" s="5">
        <f>IFERROR(__xludf.DUMMYFUNCTION("""COMPUTED_VALUE"""),0.6083844580777096)</f>
        <v>0.6083844581</v>
      </c>
      <c r="I5274" s="11">
        <f>IFERROR(__xludf.DUMMYFUNCTION("""COMPUTED_VALUE"""),5450.817995910021)</f>
        <v>5450.817996</v>
      </c>
      <c r="J5274" s="10">
        <f>IFERROR(__xludf.DUMMYFUNCTION("""COMPUTED_VALUE"""),0.0)</f>
        <v>0</v>
      </c>
      <c r="K5274" s="5">
        <f>IFERROR(__xludf.DUMMYFUNCTION("""COMPUTED_VALUE"""),0.0)</f>
        <v>0</v>
      </c>
      <c r="L5274" s="10">
        <f>IFERROR(__xludf.DUMMYFUNCTION("""COMPUTED_VALUE"""),491.0)</f>
        <v>491</v>
      </c>
      <c r="M5274" s="5">
        <f>IFERROR(__xludf.DUMMYFUNCTION("""COMPUTED_VALUE"""),1.0)</f>
        <v>1</v>
      </c>
    </row>
    <row r="5275">
      <c r="A5275" s="10" t="str">
        <f>IFERROR(__xludf.DUMMYFUNCTION("""COMPUTED_VALUE"""),"地鳳")</f>
        <v>地鳳</v>
      </c>
      <c r="B5275" s="10">
        <f>IFERROR(__xludf.DUMMYFUNCTION("""COMPUTED_VALUE"""),173.0)</f>
        <v>173</v>
      </c>
      <c r="C5275" s="10">
        <f>IFERROR(__xludf.DUMMYFUNCTION("""COMPUTED_VALUE"""),2092.0)</f>
        <v>2092</v>
      </c>
      <c r="D5275" s="5">
        <f>IFERROR(__xludf.DUMMYFUNCTION("""COMPUTED_VALUE"""),0.39499739447628973)</f>
        <v>0.3949973945</v>
      </c>
      <c r="E5275" s="5">
        <f>IFERROR(__xludf.DUMMYFUNCTION("""COMPUTED_VALUE"""),0.10943199583116206)</f>
        <v>0.1094319958</v>
      </c>
      <c r="F5275" s="5">
        <f>IFERROR(__xludf.DUMMYFUNCTION("""COMPUTED_VALUE"""),0.21313183949973943)</f>
        <v>0.2131318395</v>
      </c>
      <c r="G5275" s="5">
        <f>IFERROR(__xludf.DUMMYFUNCTION("""COMPUTED_VALUE"""),0.1761334028139656)</f>
        <v>0.1761334028</v>
      </c>
      <c r="H5275" s="5">
        <f>IFERROR(__xludf.DUMMYFUNCTION("""COMPUTED_VALUE"""),0.6112469437652812)</f>
        <v>0.6112469438</v>
      </c>
      <c r="I5275" s="11">
        <f>IFERROR(__xludf.DUMMYFUNCTION("""COMPUTED_VALUE"""),5717.114914425428)</f>
        <v>5717.114914</v>
      </c>
      <c r="J5275" s="10">
        <f>IFERROR(__xludf.DUMMYFUNCTION("""COMPUTED_VALUE"""),0.0)</f>
        <v>0</v>
      </c>
      <c r="K5275" s="5">
        <f>IFERROR(__xludf.DUMMYFUNCTION("""COMPUTED_VALUE"""),0.0)</f>
        <v>0</v>
      </c>
      <c r="L5275" s="10">
        <f>IFERROR(__xludf.DUMMYFUNCTION("""COMPUTED_VALUE"""),0.0)</f>
        <v>0</v>
      </c>
      <c r="M5275" s="5">
        <f>IFERROR(__xludf.DUMMYFUNCTION("""COMPUTED_VALUE"""),0.0)</f>
        <v>0</v>
      </c>
    </row>
    <row r="5276">
      <c r="A5276" s="10" t="str">
        <f>IFERROR(__xludf.DUMMYFUNCTION("""COMPUTED_VALUE"""),"Birori")</f>
        <v>Birori</v>
      </c>
      <c r="B5276" s="10">
        <f>IFERROR(__xludf.DUMMYFUNCTION("""COMPUTED_VALUE"""),113.0)</f>
        <v>113</v>
      </c>
      <c r="C5276" s="10">
        <f>IFERROR(__xludf.DUMMYFUNCTION("""COMPUTED_VALUE"""),1301.0)</f>
        <v>1301</v>
      </c>
      <c r="D5276" s="5">
        <f>IFERROR(__xludf.DUMMYFUNCTION("""COMPUTED_VALUE"""),0.3947811447811448)</f>
        <v>0.3947811448</v>
      </c>
      <c r="E5276" s="5">
        <f>IFERROR(__xludf.DUMMYFUNCTION("""COMPUTED_VALUE"""),0.10942760942760943)</f>
        <v>0.1094276094</v>
      </c>
      <c r="F5276" s="5">
        <f>IFERROR(__xludf.DUMMYFUNCTION("""COMPUTED_VALUE"""),0.20286195286195285)</f>
        <v>0.2028619529</v>
      </c>
      <c r="G5276" s="5">
        <f>IFERROR(__xludf.DUMMYFUNCTION("""COMPUTED_VALUE"""),0.16245791245791247)</f>
        <v>0.1624579125</v>
      </c>
      <c r="H5276" s="5">
        <f>IFERROR(__xludf.DUMMYFUNCTION("""COMPUTED_VALUE"""),0.5477178423236515)</f>
        <v>0.5477178423</v>
      </c>
      <c r="I5276" s="11">
        <f>IFERROR(__xludf.DUMMYFUNCTION("""COMPUTED_VALUE"""),5455.601659751037)</f>
        <v>5455.60166</v>
      </c>
      <c r="J5276" s="10">
        <f>IFERROR(__xludf.DUMMYFUNCTION("""COMPUTED_VALUE"""),1.0)</f>
        <v>1</v>
      </c>
      <c r="K5276" s="5">
        <f>IFERROR(__xludf.DUMMYFUNCTION("""COMPUTED_VALUE"""),0.008849557522123894)</f>
        <v>0.008849557522</v>
      </c>
      <c r="L5276" s="10">
        <f>IFERROR(__xludf.DUMMYFUNCTION("""COMPUTED_VALUE"""),113.0)</f>
        <v>113</v>
      </c>
      <c r="M5276" s="5">
        <f>IFERROR(__xludf.DUMMYFUNCTION("""COMPUTED_VALUE"""),1.0)</f>
        <v>1</v>
      </c>
    </row>
    <row r="5277">
      <c r="A5277" s="10" t="str">
        <f>IFERROR(__xludf.DUMMYFUNCTION("""COMPUTED_VALUE"""),"abantes")</f>
        <v>abantes</v>
      </c>
      <c r="B5277" s="10">
        <f>IFERROR(__xludf.DUMMYFUNCTION("""COMPUTED_VALUE"""),608.0)</f>
        <v>608</v>
      </c>
      <c r="C5277" s="10">
        <f>IFERROR(__xludf.DUMMYFUNCTION("""COMPUTED_VALUE"""),7280.0)</f>
        <v>7280</v>
      </c>
      <c r="D5277" s="5">
        <f>IFERROR(__xludf.DUMMYFUNCTION("""COMPUTED_VALUE"""),0.404826139088729)</f>
        <v>0.4048261391</v>
      </c>
      <c r="E5277" s="5">
        <f>IFERROR(__xludf.DUMMYFUNCTION("""COMPUTED_VALUE"""),0.10941247002398082)</f>
        <v>0.10941247</v>
      </c>
      <c r="F5277" s="5">
        <f>IFERROR(__xludf.DUMMYFUNCTION("""COMPUTED_VALUE"""),0.2146282973621103)</f>
        <v>0.2146282974</v>
      </c>
      <c r="G5277" s="5">
        <f>IFERROR(__xludf.DUMMYFUNCTION("""COMPUTED_VALUE"""),0.16336930455635493)</f>
        <v>0.1633693046</v>
      </c>
      <c r="H5277" s="5">
        <f>IFERROR(__xludf.DUMMYFUNCTION("""COMPUTED_VALUE"""),0.5712290502793296)</f>
        <v>0.5712290503</v>
      </c>
      <c r="I5277" s="11">
        <f>IFERROR(__xludf.DUMMYFUNCTION("""COMPUTED_VALUE"""),5388.128491620112)</f>
        <v>5388.128492</v>
      </c>
      <c r="J5277" s="10">
        <f>IFERROR(__xludf.DUMMYFUNCTION("""COMPUTED_VALUE"""),1.0)</f>
        <v>1</v>
      </c>
      <c r="K5277" s="5">
        <f>IFERROR(__xludf.DUMMYFUNCTION("""COMPUTED_VALUE"""),0.001644736842105263)</f>
        <v>0.001644736842</v>
      </c>
      <c r="L5277" s="10">
        <f>IFERROR(__xludf.DUMMYFUNCTION("""COMPUTED_VALUE"""),608.0)</f>
        <v>608</v>
      </c>
      <c r="M5277" s="5">
        <f>IFERROR(__xludf.DUMMYFUNCTION("""COMPUTED_VALUE"""),1.0)</f>
        <v>1</v>
      </c>
    </row>
    <row r="5278">
      <c r="A5278" s="10" t="str">
        <f>IFERROR(__xludf.DUMMYFUNCTION("""COMPUTED_VALUE"""),"つけもの")</f>
        <v>つけもの</v>
      </c>
      <c r="B5278" s="10">
        <f>IFERROR(__xludf.DUMMYFUNCTION("""COMPUTED_VALUE"""),1068.0)</f>
        <v>1068</v>
      </c>
      <c r="C5278" s="10">
        <f>IFERROR(__xludf.DUMMYFUNCTION("""COMPUTED_VALUE"""),12631.0)</f>
        <v>12631</v>
      </c>
      <c r="D5278" s="5">
        <f>IFERROR(__xludf.DUMMYFUNCTION("""COMPUTED_VALUE"""),0.287209201764248)</f>
        <v>0.2872092018</v>
      </c>
      <c r="E5278" s="5">
        <f>IFERROR(__xludf.DUMMYFUNCTION("""COMPUTED_VALUE"""),0.1094006745654242)</f>
        <v>0.1094006746</v>
      </c>
      <c r="F5278" s="5">
        <f>IFERROR(__xludf.DUMMYFUNCTION("""COMPUTED_VALUE"""),0.20115886880567327)</f>
        <v>0.2011588688</v>
      </c>
      <c r="G5278" s="5">
        <f>IFERROR(__xludf.DUMMYFUNCTION("""COMPUTED_VALUE"""),0.16924673527631237)</f>
        <v>0.1692467353</v>
      </c>
      <c r="H5278" s="5">
        <f>IFERROR(__xludf.DUMMYFUNCTION("""COMPUTED_VALUE"""),0.6010318142734308)</f>
        <v>0.6010318143</v>
      </c>
      <c r="I5278" s="11">
        <f>IFERROR(__xludf.DUMMYFUNCTION("""COMPUTED_VALUE"""),6053.095442820292)</f>
        <v>6053.095443</v>
      </c>
      <c r="J5278" s="10">
        <f>IFERROR(__xludf.DUMMYFUNCTION("""COMPUTED_VALUE"""),3.0)</f>
        <v>3</v>
      </c>
      <c r="K5278" s="5">
        <f>IFERROR(__xludf.DUMMYFUNCTION("""COMPUTED_VALUE"""),0.0028089887640449437)</f>
        <v>0.002808988764</v>
      </c>
      <c r="L5278" s="10">
        <f>IFERROR(__xludf.DUMMYFUNCTION("""COMPUTED_VALUE"""),1068.0)</f>
        <v>1068</v>
      </c>
      <c r="M5278" s="5">
        <f>IFERROR(__xludf.DUMMYFUNCTION("""COMPUTED_VALUE"""),1.0)</f>
        <v>1</v>
      </c>
    </row>
    <row r="5279">
      <c r="A5279" s="10" t="str">
        <f>IFERROR(__xludf.DUMMYFUNCTION("""COMPUTED_VALUE"""),"high1515")</f>
        <v>high1515</v>
      </c>
      <c r="B5279" s="10">
        <f>IFERROR(__xludf.DUMMYFUNCTION("""COMPUTED_VALUE"""),589.0)</f>
        <v>589</v>
      </c>
      <c r="C5279" s="10">
        <f>IFERROR(__xludf.DUMMYFUNCTION("""COMPUTED_VALUE"""),6942.0)</f>
        <v>6942</v>
      </c>
      <c r="D5279" s="5">
        <f>IFERROR(__xludf.DUMMYFUNCTION("""COMPUTED_VALUE"""),0.3116637808909177)</f>
        <v>0.3116637809</v>
      </c>
      <c r="E5279" s="5">
        <f>IFERROR(__xludf.DUMMYFUNCTION("""COMPUTED_VALUE"""),0.109397135211711)</f>
        <v>0.1093971352</v>
      </c>
      <c r="F5279" s="5">
        <f>IFERROR(__xludf.DUMMYFUNCTION("""COMPUTED_VALUE"""),0.20399811112860067)</f>
        <v>0.2039981111</v>
      </c>
      <c r="G5279" s="5">
        <f>IFERROR(__xludf.DUMMYFUNCTION("""COMPUTED_VALUE"""),0.17645206988824177)</f>
        <v>0.1764520699</v>
      </c>
      <c r="H5279" s="5">
        <f>IFERROR(__xludf.DUMMYFUNCTION("""COMPUTED_VALUE"""),0.5779320987654321)</f>
        <v>0.5779320988</v>
      </c>
      <c r="I5279" s="11">
        <f>IFERROR(__xludf.DUMMYFUNCTION("""COMPUTED_VALUE"""),5842.361111111111)</f>
        <v>5842.361111</v>
      </c>
      <c r="J5279" s="10">
        <f>IFERROR(__xludf.DUMMYFUNCTION("""COMPUTED_VALUE"""),3.0)</f>
        <v>3</v>
      </c>
      <c r="K5279" s="5">
        <f>IFERROR(__xludf.DUMMYFUNCTION("""COMPUTED_VALUE"""),0.0050933786078098476)</f>
        <v>0.005093378608</v>
      </c>
      <c r="L5279" s="10">
        <f>IFERROR(__xludf.DUMMYFUNCTION("""COMPUTED_VALUE"""),589.0)</f>
        <v>589</v>
      </c>
      <c r="M5279" s="5">
        <f>IFERROR(__xludf.DUMMYFUNCTION("""COMPUTED_VALUE"""),1.0)</f>
        <v>1</v>
      </c>
    </row>
    <row r="5280">
      <c r="A5280" s="10" t="str">
        <f>IFERROR(__xludf.DUMMYFUNCTION("""COMPUTED_VALUE"""),"乾紗凪")</f>
        <v>乾紗凪</v>
      </c>
      <c r="B5280" s="10">
        <f>IFERROR(__xludf.DUMMYFUNCTION("""COMPUTED_VALUE"""),894.0)</f>
        <v>894</v>
      </c>
      <c r="C5280" s="10">
        <f>IFERROR(__xludf.DUMMYFUNCTION("""COMPUTED_VALUE"""),10401.0)</f>
        <v>10401</v>
      </c>
      <c r="D5280" s="5">
        <f>IFERROR(__xludf.DUMMYFUNCTION("""COMPUTED_VALUE"""),0.3384874303145051)</f>
        <v>0.3384874303</v>
      </c>
      <c r="E5280" s="5">
        <f>IFERROR(__xludf.DUMMYFUNCTION("""COMPUTED_VALUE"""),0.10939307878405385)</f>
        <v>0.1093930788</v>
      </c>
      <c r="F5280" s="5">
        <f>IFERROR(__xludf.DUMMYFUNCTION("""COMPUTED_VALUE"""),0.21110760492268854)</f>
        <v>0.2111076049</v>
      </c>
      <c r="G5280" s="5">
        <f>IFERROR(__xludf.DUMMYFUNCTION("""COMPUTED_VALUE"""),0.17418744083307036)</f>
        <v>0.1741874408</v>
      </c>
      <c r="H5280" s="5">
        <f>IFERROR(__xludf.DUMMYFUNCTION("""COMPUTED_VALUE"""),0.6088689586447434)</f>
        <v>0.6088689586</v>
      </c>
      <c r="I5280" s="11">
        <f>IFERROR(__xludf.DUMMYFUNCTION("""COMPUTED_VALUE"""),5711.410064773294)</f>
        <v>5711.410065</v>
      </c>
      <c r="J5280" s="10">
        <f>IFERROR(__xludf.DUMMYFUNCTION("""COMPUTED_VALUE"""),3.0)</f>
        <v>3</v>
      </c>
      <c r="K5280" s="5">
        <f>IFERROR(__xludf.DUMMYFUNCTION("""COMPUTED_VALUE"""),0.003355704697986577)</f>
        <v>0.003355704698</v>
      </c>
      <c r="L5280" s="10">
        <f>IFERROR(__xludf.DUMMYFUNCTION("""COMPUTED_VALUE"""),168.0)</f>
        <v>168</v>
      </c>
      <c r="M5280" s="5">
        <f>IFERROR(__xludf.DUMMYFUNCTION("""COMPUTED_VALUE"""),0.18791946308724833)</f>
        <v>0.1879194631</v>
      </c>
    </row>
    <row r="5281">
      <c r="A5281" s="10" t="str">
        <f>IFERROR(__xludf.DUMMYFUNCTION("""COMPUTED_VALUE"""),"式見蛍")</f>
        <v>式見蛍</v>
      </c>
      <c r="B5281" s="10">
        <f>IFERROR(__xludf.DUMMYFUNCTION("""COMPUTED_VALUE"""),548.0)</f>
        <v>548</v>
      </c>
      <c r="C5281" s="10">
        <f>IFERROR(__xludf.DUMMYFUNCTION("""COMPUTED_VALUE"""),6464.0)</f>
        <v>6464</v>
      </c>
      <c r="D5281" s="5">
        <f>IFERROR(__xludf.DUMMYFUNCTION("""COMPUTED_VALUE"""),0.37170385395537525)</f>
        <v>0.371703854</v>
      </c>
      <c r="E5281" s="5">
        <f>IFERROR(__xludf.DUMMYFUNCTION("""COMPUTED_VALUE"""),0.10936443542934415)</f>
        <v>0.1093644354</v>
      </c>
      <c r="F5281" s="5">
        <f>IFERROR(__xludf.DUMMYFUNCTION("""COMPUTED_VALUE"""),0.1918526031102096)</f>
        <v>0.1918526031</v>
      </c>
      <c r="G5281" s="5">
        <f>IFERROR(__xludf.DUMMYFUNCTION("""COMPUTED_VALUE"""),0.15872210953346855)</f>
        <v>0.1587221095</v>
      </c>
      <c r="H5281" s="5">
        <f>IFERROR(__xludf.DUMMYFUNCTION("""COMPUTED_VALUE"""),0.5797356828193833)</f>
        <v>0.5797356828</v>
      </c>
      <c r="I5281" s="11">
        <f>IFERROR(__xludf.DUMMYFUNCTION("""COMPUTED_VALUE"""),5570.837004405286)</f>
        <v>5570.837004</v>
      </c>
      <c r="J5281" s="10">
        <f>IFERROR(__xludf.DUMMYFUNCTION("""COMPUTED_VALUE"""),2.0)</f>
        <v>2</v>
      </c>
      <c r="K5281" s="5">
        <f>IFERROR(__xludf.DUMMYFUNCTION("""COMPUTED_VALUE"""),0.0036496350364963502)</f>
        <v>0.003649635036</v>
      </c>
      <c r="L5281" s="10">
        <f>IFERROR(__xludf.DUMMYFUNCTION("""COMPUTED_VALUE"""),548.0)</f>
        <v>548</v>
      </c>
      <c r="M5281" s="5">
        <f>IFERROR(__xludf.DUMMYFUNCTION("""COMPUTED_VALUE"""),1.0)</f>
        <v>1</v>
      </c>
    </row>
    <row r="5282">
      <c r="A5282" s="10" t="str">
        <f>IFERROR(__xludf.DUMMYFUNCTION("""COMPUTED_VALUE"""),"ちっ牌操作")</f>
        <v>ちっ牌操作</v>
      </c>
      <c r="B5282" s="10">
        <f>IFERROR(__xludf.DUMMYFUNCTION("""COMPUTED_VALUE"""),228.0)</f>
        <v>228</v>
      </c>
      <c r="C5282" s="10">
        <f>IFERROR(__xludf.DUMMYFUNCTION("""COMPUTED_VALUE"""),2688.0)</f>
        <v>2688</v>
      </c>
      <c r="D5282" s="5">
        <f>IFERROR(__xludf.DUMMYFUNCTION("""COMPUTED_VALUE"""),0.3747967479674797)</f>
        <v>0.374796748</v>
      </c>
      <c r="E5282" s="5">
        <f>IFERROR(__xludf.DUMMYFUNCTION("""COMPUTED_VALUE"""),0.10934959349593495)</f>
        <v>0.1093495935</v>
      </c>
      <c r="F5282" s="5">
        <f>IFERROR(__xludf.DUMMYFUNCTION("""COMPUTED_VALUE"""),0.20203252032520325)</f>
        <v>0.2020325203</v>
      </c>
      <c r="G5282" s="5">
        <f>IFERROR(__xludf.DUMMYFUNCTION("""COMPUTED_VALUE"""),0.1516260162601626)</f>
        <v>0.1516260163</v>
      </c>
      <c r="H5282" s="5">
        <f>IFERROR(__xludf.DUMMYFUNCTION("""COMPUTED_VALUE"""),0.5935613682092555)</f>
        <v>0.5935613682</v>
      </c>
      <c r="I5282" s="11">
        <f>IFERROR(__xludf.DUMMYFUNCTION("""COMPUTED_VALUE"""),5591.750503018108)</f>
        <v>5591.750503</v>
      </c>
      <c r="J5282" s="10">
        <f>IFERROR(__xludf.DUMMYFUNCTION("""COMPUTED_VALUE"""),1.0)</f>
        <v>1</v>
      </c>
      <c r="K5282" s="5">
        <f>IFERROR(__xludf.DUMMYFUNCTION("""COMPUTED_VALUE"""),0.0043859649122807015)</f>
        <v>0.004385964912</v>
      </c>
      <c r="L5282" s="10">
        <f>IFERROR(__xludf.DUMMYFUNCTION("""COMPUTED_VALUE"""),228.0)</f>
        <v>228</v>
      </c>
      <c r="M5282" s="5">
        <f>IFERROR(__xludf.DUMMYFUNCTION("""COMPUTED_VALUE"""),1.0)</f>
        <v>1</v>
      </c>
    </row>
    <row r="5283">
      <c r="A5283" s="10" t="str">
        <f>IFERROR(__xludf.DUMMYFUNCTION("""COMPUTED_VALUE"""),"石屋")</f>
        <v>石屋</v>
      </c>
      <c r="B5283" s="10">
        <f>IFERROR(__xludf.DUMMYFUNCTION("""COMPUTED_VALUE"""),162.0)</f>
        <v>162</v>
      </c>
      <c r="C5283" s="10">
        <f>IFERROR(__xludf.DUMMYFUNCTION("""COMPUTED_VALUE"""),1927.0)</f>
        <v>1927</v>
      </c>
      <c r="D5283" s="5">
        <f>IFERROR(__xludf.DUMMYFUNCTION("""COMPUTED_VALUE"""),0.30991501416430595)</f>
        <v>0.3099150142</v>
      </c>
      <c r="E5283" s="5">
        <f>IFERROR(__xludf.DUMMYFUNCTION("""COMPUTED_VALUE"""),0.10934844192634562)</f>
        <v>0.1093484419</v>
      </c>
      <c r="F5283" s="5">
        <f>IFERROR(__xludf.DUMMYFUNCTION("""COMPUTED_VALUE"""),0.21643059490084987)</f>
        <v>0.2164305949</v>
      </c>
      <c r="G5283" s="5">
        <f>IFERROR(__xludf.DUMMYFUNCTION("""COMPUTED_VALUE"""),0.16543909348441926)</f>
        <v>0.1654390935</v>
      </c>
      <c r="H5283" s="5">
        <f>IFERROR(__xludf.DUMMYFUNCTION("""COMPUTED_VALUE"""),0.5732984293193717)</f>
        <v>0.5732984293</v>
      </c>
      <c r="I5283" s="11">
        <f>IFERROR(__xludf.DUMMYFUNCTION("""COMPUTED_VALUE"""),5680.366492146597)</f>
        <v>5680.366492</v>
      </c>
      <c r="J5283" s="10">
        <f>IFERROR(__xludf.DUMMYFUNCTION("""COMPUTED_VALUE"""),0.0)</f>
        <v>0</v>
      </c>
      <c r="K5283" s="5">
        <f>IFERROR(__xludf.DUMMYFUNCTION("""COMPUTED_VALUE"""),0.0)</f>
        <v>0</v>
      </c>
      <c r="L5283" s="10">
        <f>IFERROR(__xludf.DUMMYFUNCTION("""COMPUTED_VALUE"""),162.0)</f>
        <v>162</v>
      </c>
      <c r="M5283" s="5">
        <f>IFERROR(__xludf.DUMMYFUNCTION("""COMPUTED_VALUE"""),1.0)</f>
        <v>1</v>
      </c>
    </row>
    <row r="5284">
      <c r="A5284" s="10" t="str">
        <f>IFERROR(__xludf.DUMMYFUNCTION("""COMPUTED_VALUE"""),"arkw")</f>
        <v>arkw</v>
      </c>
      <c r="B5284" s="10">
        <f>IFERROR(__xludf.DUMMYFUNCTION("""COMPUTED_VALUE"""),139.0)</f>
        <v>139</v>
      </c>
      <c r="C5284" s="10">
        <f>IFERROR(__xludf.DUMMYFUNCTION("""COMPUTED_VALUE"""),1584.0)</f>
        <v>1584</v>
      </c>
      <c r="D5284" s="5">
        <f>IFERROR(__xludf.DUMMYFUNCTION("""COMPUTED_VALUE"""),0.4269896193771626)</f>
        <v>0.4269896194</v>
      </c>
      <c r="E5284" s="5">
        <f>IFERROR(__xludf.DUMMYFUNCTION("""COMPUTED_VALUE"""),0.10934256055363321)</f>
        <v>0.1093425606</v>
      </c>
      <c r="F5284" s="5">
        <f>IFERROR(__xludf.DUMMYFUNCTION("""COMPUTED_VALUE"""),0.21107266435986158)</f>
        <v>0.2110726644</v>
      </c>
      <c r="G5284" s="5">
        <f>IFERROR(__xludf.DUMMYFUNCTION("""COMPUTED_VALUE"""),0.14740484429065745)</f>
        <v>0.1474048443</v>
      </c>
      <c r="H5284" s="5">
        <f>IFERROR(__xludf.DUMMYFUNCTION("""COMPUTED_VALUE"""),0.5836065573770491)</f>
        <v>0.5836065574</v>
      </c>
      <c r="I5284" s="11">
        <f>IFERROR(__xludf.DUMMYFUNCTION("""COMPUTED_VALUE"""),5173.770491803279)</f>
        <v>5173.770492</v>
      </c>
      <c r="J5284" s="10">
        <f>IFERROR(__xludf.DUMMYFUNCTION("""COMPUTED_VALUE"""),1.0)</f>
        <v>1</v>
      </c>
      <c r="K5284" s="5">
        <f>IFERROR(__xludf.DUMMYFUNCTION("""COMPUTED_VALUE"""),0.007194244604316547)</f>
        <v>0.007194244604</v>
      </c>
      <c r="L5284" s="10">
        <f>IFERROR(__xludf.DUMMYFUNCTION("""COMPUTED_VALUE"""),139.0)</f>
        <v>139</v>
      </c>
      <c r="M5284" s="5">
        <f>IFERROR(__xludf.DUMMYFUNCTION("""COMPUTED_VALUE"""),1.0)</f>
        <v>1</v>
      </c>
    </row>
    <row r="5285">
      <c r="A5285" s="10" t="str">
        <f>IFERROR(__xludf.DUMMYFUNCTION("""COMPUTED_VALUE"""),"aopyon-z")</f>
        <v>aopyon-z</v>
      </c>
      <c r="B5285" s="10">
        <f>IFERROR(__xludf.DUMMYFUNCTION("""COMPUTED_VALUE"""),415.0)</f>
        <v>415</v>
      </c>
      <c r="C5285" s="10">
        <f>IFERROR(__xludf.DUMMYFUNCTION("""COMPUTED_VALUE"""),4925.0)</f>
        <v>4925</v>
      </c>
      <c r="D5285" s="5">
        <f>IFERROR(__xludf.DUMMYFUNCTION("""COMPUTED_VALUE"""),0.2869179600886918)</f>
        <v>0.2869179601</v>
      </c>
      <c r="E5285" s="5">
        <f>IFERROR(__xludf.DUMMYFUNCTION("""COMPUTED_VALUE"""),0.10931263858093127)</f>
        <v>0.1093126386</v>
      </c>
      <c r="F5285" s="5">
        <f>IFERROR(__xludf.DUMMYFUNCTION("""COMPUTED_VALUE"""),0.1993348115299335)</f>
        <v>0.1993348115</v>
      </c>
      <c r="G5285" s="5">
        <f>IFERROR(__xludf.DUMMYFUNCTION("""COMPUTED_VALUE"""),0.16008869179600888)</f>
        <v>0.1600886918</v>
      </c>
      <c r="H5285" s="5">
        <f>IFERROR(__xludf.DUMMYFUNCTION("""COMPUTED_VALUE"""),0.5717463848720801)</f>
        <v>0.5717463849</v>
      </c>
      <c r="I5285" s="11">
        <f>IFERROR(__xludf.DUMMYFUNCTION("""COMPUTED_VALUE"""),5849.6106785317015)</f>
        <v>5849.610679</v>
      </c>
      <c r="J5285" s="10">
        <f>IFERROR(__xludf.DUMMYFUNCTION("""COMPUTED_VALUE"""),2.0)</f>
        <v>2</v>
      </c>
      <c r="K5285" s="5">
        <f>IFERROR(__xludf.DUMMYFUNCTION("""COMPUTED_VALUE"""),0.004819277108433735)</f>
        <v>0.004819277108</v>
      </c>
      <c r="L5285" s="10">
        <f>IFERROR(__xludf.DUMMYFUNCTION("""COMPUTED_VALUE"""),415.0)</f>
        <v>415</v>
      </c>
      <c r="M5285" s="5">
        <f>IFERROR(__xludf.DUMMYFUNCTION("""COMPUTED_VALUE"""),1.0)</f>
        <v>1</v>
      </c>
    </row>
    <row r="5286">
      <c r="A5286" s="10" t="str">
        <f>IFERROR(__xludf.DUMMYFUNCTION("""COMPUTED_VALUE"""),"線形計画法")</f>
        <v>線形計画法</v>
      </c>
      <c r="B5286" s="10">
        <f>IFERROR(__xludf.DUMMYFUNCTION("""COMPUTED_VALUE"""),1017.0)</f>
        <v>1017</v>
      </c>
      <c r="C5286" s="10">
        <f>IFERROR(__xludf.DUMMYFUNCTION("""COMPUTED_VALUE"""),12088.0)</f>
        <v>12088</v>
      </c>
      <c r="D5286" s="5">
        <f>IFERROR(__xludf.DUMMYFUNCTION("""COMPUTED_VALUE"""),0.27061692710685575)</f>
        <v>0.2706169271</v>
      </c>
      <c r="E5286" s="5">
        <f>IFERROR(__xludf.DUMMYFUNCTION("""COMPUTED_VALUE"""),0.10929455333754855)</f>
        <v>0.1092945533</v>
      </c>
      <c r="F5286" s="5">
        <f>IFERROR(__xludf.DUMMYFUNCTION("""COMPUTED_VALUE"""),0.18309095835967845)</f>
        <v>0.1830909584</v>
      </c>
      <c r="G5286" s="5">
        <f>IFERROR(__xludf.DUMMYFUNCTION("""COMPUTED_VALUE"""),0.13919248487038208)</f>
        <v>0.1391924849</v>
      </c>
      <c r="H5286" s="5">
        <f>IFERROR(__xludf.DUMMYFUNCTION("""COMPUTED_VALUE"""),0.5920078934385792)</f>
        <v>0.5920078934</v>
      </c>
      <c r="I5286" s="11">
        <f>IFERROR(__xludf.DUMMYFUNCTION("""COMPUTED_VALUE"""),5699.90133201776)</f>
        <v>5699.901332</v>
      </c>
      <c r="J5286" s="10">
        <f>IFERROR(__xludf.DUMMYFUNCTION("""COMPUTED_VALUE"""),1.0)</f>
        <v>1</v>
      </c>
      <c r="K5286" s="5">
        <f>IFERROR(__xludf.DUMMYFUNCTION("""COMPUTED_VALUE"""),9.832841691248771E-4)</f>
        <v>0.0009832841691</v>
      </c>
      <c r="L5286" s="10">
        <f>IFERROR(__xludf.DUMMYFUNCTION("""COMPUTED_VALUE"""),1017.0)</f>
        <v>1017</v>
      </c>
      <c r="M5286" s="5">
        <f>IFERROR(__xludf.DUMMYFUNCTION("""COMPUTED_VALUE"""),1.0)</f>
        <v>1</v>
      </c>
    </row>
    <row r="5287">
      <c r="A5287" s="10" t="str">
        <f>IFERROR(__xludf.DUMMYFUNCTION("""COMPUTED_VALUE"""),"RYO@SS")</f>
        <v>RYO@SS</v>
      </c>
      <c r="B5287" s="10">
        <f>IFERROR(__xludf.DUMMYFUNCTION("""COMPUTED_VALUE"""),1787.0)</f>
        <v>1787</v>
      </c>
      <c r="C5287" s="10">
        <f>IFERROR(__xludf.DUMMYFUNCTION("""COMPUTED_VALUE"""),20917.0)</f>
        <v>20917</v>
      </c>
      <c r="D5287" s="5">
        <f>IFERROR(__xludf.DUMMYFUNCTION("""COMPUTED_VALUE"""),0.32242550967067435)</f>
        <v>0.3224255097</v>
      </c>
      <c r="E5287" s="5">
        <f>IFERROR(__xludf.DUMMYFUNCTION("""COMPUTED_VALUE"""),0.10925248301097752)</f>
        <v>0.109252483</v>
      </c>
      <c r="F5287" s="5">
        <f>IFERROR(__xludf.DUMMYFUNCTION("""COMPUTED_VALUE"""),0.2053842132775745)</f>
        <v>0.2053842133</v>
      </c>
      <c r="G5287" s="5">
        <f>IFERROR(__xludf.DUMMYFUNCTION("""COMPUTED_VALUE"""),0.15729221118661788)</f>
        <v>0.1572922112</v>
      </c>
      <c r="H5287" s="5">
        <f>IFERROR(__xludf.DUMMYFUNCTION("""COMPUTED_VALUE"""),0.6138966658182744)</f>
        <v>0.6138966658</v>
      </c>
      <c r="I5287" s="11">
        <f>IFERROR(__xludf.DUMMYFUNCTION("""COMPUTED_VALUE"""),5691.982692797149)</f>
        <v>5691.982693</v>
      </c>
      <c r="J5287" s="10">
        <f>IFERROR(__xludf.DUMMYFUNCTION("""COMPUTED_VALUE"""),9.0)</f>
        <v>9</v>
      </c>
      <c r="K5287" s="5">
        <f>IFERROR(__xludf.DUMMYFUNCTION("""COMPUTED_VALUE"""),0.005036373810856184)</f>
        <v>0.005036373811</v>
      </c>
      <c r="L5287" s="10">
        <f>IFERROR(__xludf.DUMMYFUNCTION("""COMPUTED_VALUE"""),1787.0)</f>
        <v>1787</v>
      </c>
      <c r="M5287" s="5">
        <f>IFERROR(__xludf.DUMMYFUNCTION("""COMPUTED_VALUE"""),1.0)</f>
        <v>1</v>
      </c>
    </row>
    <row r="5288">
      <c r="A5288" s="10" t="str">
        <f>IFERROR(__xludf.DUMMYFUNCTION("""COMPUTED_VALUE"""),"すずめクレイジー")</f>
        <v>すずめクレイジー</v>
      </c>
      <c r="B5288" s="10">
        <f>IFERROR(__xludf.DUMMYFUNCTION("""COMPUTED_VALUE"""),3372.0)</f>
        <v>3372</v>
      </c>
      <c r="C5288" s="10">
        <f>IFERROR(__xludf.DUMMYFUNCTION("""COMPUTED_VALUE"""),39729.0)</f>
        <v>39729</v>
      </c>
      <c r="D5288" s="5">
        <f>IFERROR(__xludf.DUMMYFUNCTION("""COMPUTED_VALUE"""),0.30775366504387053)</f>
        <v>0.307753665</v>
      </c>
      <c r="E5288" s="5">
        <f>IFERROR(__xludf.DUMMYFUNCTION("""COMPUTED_VALUE"""),0.10924993811370576)</f>
        <v>0.1092499381</v>
      </c>
      <c r="F5288" s="5">
        <f>IFERROR(__xludf.DUMMYFUNCTION("""COMPUTED_VALUE"""),0.20251945980141375)</f>
        <v>0.2025194598</v>
      </c>
      <c r="G5288" s="5">
        <f>IFERROR(__xludf.DUMMYFUNCTION("""COMPUTED_VALUE"""),0.13504964656049728)</f>
        <v>0.1350496466</v>
      </c>
      <c r="H5288" s="5">
        <f>IFERROR(__xludf.DUMMYFUNCTION("""COMPUTED_VALUE"""),0.6114355561591742)</f>
        <v>0.6114355562</v>
      </c>
      <c r="I5288" s="11">
        <f>IFERROR(__xludf.DUMMYFUNCTION("""COMPUTED_VALUE"""),5796.400923536602)</f>
        <v>5796.400924</v>
      </c>
      <c r="J5288" s="10">
        <f>IFERROR(__xludf.DUMMYFUNCTION("""COMPUTED_VALUE"""),11.0)</f>
        <v>11</v>
      </c>
      <c r="K5288" s="5">
        <f>IFERROR(__xludf.DUMMYFUNCTION("""COMPUTED_VALUE"""),0.003262158956109134)</f>
        <v>0.003262158956</v>
      </c>
      <c r="L5288" s="10">
        <f>IFERROR(__xludf.DUMMYFUNCTION("""COMPUTED_VALUE"""),3372.0)</f>
        <v>3372</v>
      </c>
      <c r="M5288" s="5">
        <f>IFERROR(__xludf.DUMMYFUNCTION("""COMPUTED_VALUE"""),1.0)</f>
        <v>1</v>
      </c>
    </row>
    <row r="5289">
      <c r="A5289" s="10" t="str">
        <f>IFERROR(__xludf.DUMMYFUNCTION("""COMPUTED_VALUE"""),"100's")</f>
        <v>100's</v>
      </c>
      <c r="B5289" s="10">
        <f>IFERROR(__xludf.DUMMYFUNCTION("""COMPUTED_VALUE"""),732.0)</f>
        <v>732</v>
      </c>
      <c r="C5289" s="10">
        <f>IFERROR(__xludf.DUMMYFUNCTION("""COMPUTED_VALUE"""),8714.0)</f>
        <v>8714</v>
      </c>
      <c r="D5289" s="5">
        <f>IFERROR(__xludf.DUMMYFUNCTION("""COMPUTED_VALUE"""),0.3814833375093961)</f>
        <v>0.3814833375</v>
      </c>
      <c r="E5289" s="5">
        <f>IFERROR(__xludf.DUMMYFUNCTION("""COMPUTED_VALUE"""),0.10924580305687798)</f>
        <v>0.1092458031</v>
      </c>
      <c r="F5289" s="5">
        <f>IFERROR(__xludf.DUMMYFUNCTION("""COMPUTED_VALUE"""),0.20646454522676022)</f>
        <v>0.2064645452</v>
      </c>
      <c r="G5289" s="5">
        <f>IFERROR(__xludf.DUMMYFUNCTION("""COMPUTED_VALUE"""),0.13968930092708595)</f>
        <v>0.1396893009</v>
      </c>
      <c r="H5289" s="5">
        <f>IFERROR(__xludf.DUMMYFUNCTION("""COMPUTED_VALUE"""),0.6189320388349514)</f>
        <v>0.6189320388</v>
      </c>
      <c r="I5289" s="11">
        <f>IFERROR(__xludf.DUMMYFUNCTION("""COMPUTED_VALUE"""),5067.050970873786)</f>
        <v>5067.050971</v>
      </c>
      <c r="J5289" s="10">
        <f>IFERROR(__xludf.DUMMYFUNCTION("""COMPUTED_VALUE"""),1.0)</f>
        <v>1</v>
      </c>
      <c r="K5289" s="5">
        <f>IFERROR(__xludf.DUMMYFUNCTION("""COMPUTED_VALUE"""),0.001366120218579235)</f>
        <v>0.001366120219</v>
      </c>
      <c r="L5289" s="10">
        <f>IFERROR(__xludf.DUMMYFUNCTION("""COMPUTED_VALUE"""),732.0)</f>
        <v>732</v>
      </c>
      <c r="M5289" s="5">
        <f>IFERROR(__xludf.DUMMYFUNCTION("""COMPUTED_VALUE"""),1.0)</f>
        <v>1</v>
      </c>
    </row>
    <row r="5290">
      <c r="A5290" s="10" t="str">
        <f>IFERROR(__xludf.DUMMYFUNCTION("""COMPUTED_VALUE"""),"FF9")</f>
        <v>FF9</v>
      </c>
      <c r="B5290" s="10">
        <f>IFERROR(__xludf.DUMMYFUNCTION("""COMPUTED_VALUE"""),265.0)</f>
        <v>265</v>
      </c>
      <c r="C5290" s="10">
        <f>IFERROR(__xludf.DUMMYFUNCTION("""COMPUTED_VALUE"""),3131.0)</f>
        <v>3131</v>
      </c>
      <c r="D5290" s="5">
        <f>IFERROR(__xludf.DUMMYFUNCTION("""COMPUTED_VALUE"""),0.3422889043963713)</f>
        <v>0.3422889044</v>
      </c>
      <c r="E5290" s="5">
        <f>IFERROR(__xludf.DUMMYFUNCTION("""COMPUTED_VALUE"""),0.10921144452198185)</f>
        <v>0.1092114445</v>
      </c>
      <c r="F5290" s="5">
        <f>IFERROR(__xludf.DUMMYFUNCTION("""COMPUTED_VALUE"""),0.19958129797627355)</f>
        <v>0.199581298</v>
      </c>
      <c r="G5290" s="5">
        <f>IFERROR(__xludf.DUMMYFUNCTION("""COMPUTED_VALUE"""),0.16782972784368458)</f>
        <v>0.1678297278</v>
      </c>
      <c r="H5290" s="5">
        <f>IFERROR(__xludf.DUMMYFUNCTION("""COMPUTED_VALUE"""),0.5786713286713286)</f>
        <v>0.5786713287</v>
      </c>
      <c r="I5290" s="11">
        <f>IFERROR(__xludf.DUMMYFUNCTION("""COMPUTED_VALUE"""),5325.174825174825)</f>
        <v>5325.174825</v>
      </c>
      <c r="J5290" s="10">
        <f>IFERROR(__xludf.DUMMYFUNCTION("""COMPUTED_VALUE"""),0.0)</f>
        <v>0</v>
      </c>
      <c r="K5290" s="5">
        <f>IFERROR(__xludf.DUMMYFUNCTION("""COMPUTED_VALUE"""),0.0)</f>
        <v>0</v>
      </c>
      <c r="L5290" s="10">
        <f>IFERROR(__xludf.DUMMYFUNCTION("""COMPUTED_VALUE"""),0.0)</f>
        <v>0</v>
      </c>
      <c r="M5290" s="5">
        <f>IFERROR(__xludf.DUMMYFUNCTION("""COMPUTED_VALUE"""),0.0)</f>
        <v>0</v>
      </c>
    </row>
    <row r="5291">
      <c r="A5291" s="10" t="str">
        <f>IFERROR(__xludf.DUMMYFUNCTION("""COMPUTED_VALUE"""),"池田大作様")</f>
        <v>池田大作様</v>
      </c>
      <c r="B5291" s="10">
        <f>IFERROR(__xludf.DUMMYFUNCTION("""COMPUTED_VALUE"""),538.0)</f>
        <v>538</v>
      </c>
      <c r="C5291" s="10">
        <f>IFERROR(__xludf.DUMMYFUNCTION("""COMPUTED_VALUE"""),6344.0)</f>
        <v>6344</v>
      </c>
      <c r="D5291" s="5">
        <f>IFERROR(__xludf.DUMMYFUNCTION("""COMPUTED_VALUE"""),0.3203582500861178)</f>
        <v>0.3203582501</v>
      </c>
      <c r="E5291" s="5">
        <f>IFERROR(__xludf.DUMMYFUNCTION("""COMPUTED_VALUE"""),0.10919738201860145)</f>
        <v>0.109197382</v>
      </c>
      <c r="F5291" s="5">
        <f>IFERROR(__xludf.DUMMYFUNCTION("""COMPUTED_VALUE"""),0.20788839131932485)</f>
        <v>0.2078883913</v>
      </c>
      <c r="G5291" s="5">
        <f>IFERROR(__xludf.DUMMYFUNCTION("""COMPUTED_VALUE"""),0.17860833620392697)</f>
        <v>0.1786083362</v>
      </c>
      <c r="H5291" s="5">
        <f>IFERROR(__xludf.DUMMYFUNCTION("""COMPUTED_VALUE"""),0.5965202982601492)</f>
        <v>0.5965202983</v>
      </c>
      <c r="I5291" s="11">
        <f>IFERROR(__xludf.DUMMYFUNCTION("""COMPUTED_VALUE"""),5485.418392709196)</f>
        <v>5485.418393</v>
      </c>
      <c r="J5291" s="10">
        <f>IFERROR(__xludf.DUMMYFUNCTION("""COMPUTED_VALUE"""),0.0)</f>
        <v>0</v>
      </c>
      <c r="K5291" s="5">
        <f>IFERROR(__xludf.DUMMYFUNCTION("""COMPUTED_VALUE"""),0.0)</f>
        <v>0</v>
      </c>
      <c r="L5291" s="10">
        <f>IFERROR(__xludf.DUMMYFUNCTION("""COMPUTED_VALUE"""),538.0)</f>
        <v>538</v>
      </c>
      <c r="M5291" s="5">
        <f>IFERROR(__xludf.DUMMYFUNCTION("""COMPUTED_VALUE"""),1.0)</f>
        <v>1</v>
      </c>
    </row>
    <row r="5292">
      <c r="A5292" s="10" t="str">
        <f>IFERROR(__xludf.DUMMYFUNCTION("""COMPUTED_VALUE"""),"中の上")</f>
        <v>中の上</v>
      </c>
      <c r="B5292" s="10">
        <f>IFERROR(__xludf.DUMMYFUNCTION("""COMPUTED_VALUE"""),1941.0)</f>
        <v>1941</v>
      </c>
      <c r="C5292" s="10">
        <f>IFERROR(__xludf.DUMMYFUNCTION("""COMPUTED_VALUE"""),22577.0)</f>
        <v>22577</v>
      </c>
      <c r="D5292" s="5">
        <f>IFERROR(__xludf.DUMMYFUNCTION("""COMPUTED_VALUE"""),0.3476933514246947)</f>
        <v>0.3476933514</v>
      </c>
      <c r="E5292" s="5">
        <f>IFERROR(__xludf.DUMMYFUNCTION("""COMPUTED_VALUE"""),0.10917813529753828)</f>
        <v>0.1091781353</v>
      </c>
      <c r="F5292" s="5">
        <f>IFERROR(__xludf.DUMMYFUNCTION("""COMPUTED_VALUE"""),0.20914905989532856)</f>
        <v>0.2091490599</v>
      </c>
      <c r="G5292" s="5">
        <f>IFERROR(__xludf.DUMMYFUNCTION("""COMPUTED_VALUE"""),0.17372552820314013)</f>
        <v>0.1737255282</v>
      </c>
      <c r="H5292" s="5">
        <f>IFERROR(__xludf.DUMMYFUNCTION("""COMPUTED_VALUE"""),0.6012511584800742)</f>
        <v>0.6012511585</v>
      </c>
      <c r="I5292" s="11">
        <f>IFERROR(__xludf.DUMMYFUNCTION("""COMPUTED_VALUE"""),5645.203892493049)</f>
        <v>5645.203892</v>
      </c>
      <c r="J5292" s="10">
        <f>IFERROR(__xludf.DUMMYFUNCTION("""COMPUTED_VALUE"""),2.0)</f>
        <v>2</v>
      </c>
      <c r="K5292" s="5">
        <f>IFERROR(__xludf.DUMMYFUNCTION("""COMPUTED_VALUE"""),0.0010303967027305513)</f>
        <v>0.001030396703</v>
      </c>
      <c r="L5292" s="10">
        <f>IFERROR(__xludf.DUMMYFUNCTION("""COMPUTED_VALUE"""),1794.0)</f>
        <v>1794</v>
      </c>
      <c r="M5292" s="5">
        <f>IFERROR(__xludf.DUMMYFUNCTION("""COMPUTED_VALUE"""),0.9242658423493045)</f>
        <v>0.9242658423</v>
      </c>
    </row>
    <row r="5293">
      <c r="A5293" s="10" t="str">
        <f>IFERROR(__xludf.DUMMYFUNCTION("""COMPUTED_VALUE"""),"雅☆Buono!")</f>
        <v>雅☆Buono!</v>
      </c>
      <c r="B5293" s="10">
        <f>IFERROR(__xludf.DUMMYFUNCTION("""COMPUTED_VALUE"""),226.0)</f>
        <v>226</v>
      </c>
      <c r="C5293" s="10">
        <f>IFERROR(__xludf.DUMMYFUNCTION("""COMPUTED_VALUE"""),2646.0)</f>
        <v>2646</v>
      </c>
      <c r="D5293" s="5">
        <f>IFERROR(__xludf.DUMMYFUNCTION("""COMPUTED_VALUE"""),0.3020661157024793)</f>
        <v>0.3020661157</v>
      </c>
      <c r="E5293" s="5">
        <f>IFERROR(__xludf.DUMMYFUNCTION("""COMPUTED_VALUE"""),0.10909090909090909)</f>
        <v>0.1090909091</v>
      </c>
      <c r="F5293" s="5">
        <f>IFERROR(__xludf.DUMMYFUNCTION("""COMPUTED_VALUE"""),0.21322314049586777)</f>
        <v>0.2132231405</v>
      </c>
      <c r="G5293" s="5">
        <f>IFERROR(__xludf.DUMMYFUNCTION("""COMPUTED_VALUE"""),0.1847107438016529)</f>
        <v>0.1847107438</v>
      </c>
      <c r="H5293" s="5">
        <f>IFERROR(__xludf.DUMMYFUNCTION("""COMPUTED_VALUE"""),0.6007751937984496)</f>
        <v>0.6007751938</v>
      </c>
      <c r="I5293" s="11">
        <f>IFERROR(__xludf.DUMMYFUNCTION("""COMPUTED_VALUE"""),5847.480620155039)</f>
        <v>5847.48062</v>
      </c>
      <c r="J5293" s="10">
        <f>IFERROR(__xludf.DUMMYFUNCTION("""COMPUTED_VALUE"""),1.0)</f>
        <v>1</v>
      </c>
      <c r="K5293" s="5">
        <f>IFERROR(__xludf.DUMMYFUNCTION("""COMPUTED_VALUE"""),0.004424778761061947)</f>
        <v>0.004424778761</v>
      </c>
      <c r="L5293" s="10">
        <f>IFERROR(__xludf.DUMMYFUNCTION("""COMPUTED_VALUE"""),0.0)</f>
        <v>0</v>
      </c>
      <c r="M5293" s="5">
        <f>IFERROR(__xludf.DUMMYFUNCTION("""COMPUTED_VALUE"""),0.0)</f>
        <v>0</v>
      </c>
    </row>
    <row r="5294">
      <c r="A5294" s="10" t="str">
        <f>IFERROR(__xludf.DUMMYFUNCTION("""COMPUTED_VALUE"""),"リサさま")</f>
        <v>リサさま</v>
      </c>
      <c r="B5294" s="10">
        <f>IFERROR(__xludf.DUMMYFUNCTION("""COMPUTED_VALUE"""),4831.0)</f>
        <v>4831</v>
      </c>
      <c r="C5294" s="10">
        <f>IFERROR(__xludf.DUMMYFUNCTION("""COMPUTED_VALUE"""),56899.0)</f>
        <v>56899</v>
      </c>
      <c r="D5294" s="5">
        <f>IFERROR(__xludf.DUMMYFUNCTION("""COMPUTED_VALUE"""),0.36068218483521547)</f>
        <v>0.3606821848</v>
      </c>
      <c r="E5294" s="5">
        <f>IFERROR(__xludf.DUMMYFUNCTION("""COMPUTED_VALUE"""),0.10908811554121534)</f>
        <v>0.1090881155</v>
      </c>
      <c r="F5294" s="5">
        <f>IFERROR(__xludf.DUMMYFUNCTION("""COMPUTED_VALUE"""),0.19733809633556118)</f>
        <v>0.1973380963</v>
      </c>
      <c r="G5294" s="5">
        <f>IFERROR(__xludf.DUMMYFUNCTION("""COMPUTED_VALUE"""),0.1497848966735807)</f>
        <v>0.1497848967</v>
      </c>
      <c r="H5294" s="5">
        <f>IFERROR(__xludf.DUMMYFUNCTION("""COMPUTED_VALUE"""),0.5921167883211679)</f>
        <v>0.5921167883</v>
      </c>
      <c r="I5294" s="11">
        <f>IFERROR(__xludf.DUMMYFUNCTION("""COMPUTED_VALUE"""),5576.992700729927)</f>
        <v>5576.992701</v>
      </c>
      <c r="J5294" s="10">
        <f>IFERROR(__xludf.DUMMYFUNCTION("""COMPUTED_VALUE"""),10.0)</f>
        <v>10</v>
      </c>
      <c r="K5294" s="5">
        <f>IFERROR(__xludf.DUMMYFUNCTION("""COMPUTED_VALUE"""),0.0020699648105982197)</f>
        <v>0.002069964811</v>
      </c>
      <c r="L5294" s="10">
        <f>IFERROR(__xludf.DUMMYFUNCTION("""COMPUTED_VALUE"""),549.0)</f>
        <v>549</v>
      </c>
      <c r="M5294" s="5">
        <f>IFERROR(__xludf.DUMMYFUNCTION("""COMPUTED_VALUE"""),0.11364106810184227)</f>
        <v>0.1136410681</v>
      </c>
    </row>
    <row r="5295">
      <c r="A5295" s="10" t="str">
        <f>IFERROR(__xludf.DUMMYFUNCTION("""COMPUTED_VALUE"""),"どばとちゃん")</f>
        <v>どばとちゃん</v>
      </c>
      <c r="B5295" s="10">
        <f>IFERROR(__xludf.DUMMYFUNCTION("""COMPUTED_VALUE"""),2045.0)</f>
        <v>2045</v>
      </c>
      <c r="C5295" s="10">
        <f>IFERROR(__xludf.DUMMYFUNCTION("""COMPUTED_VALUE"""),24172.0)</f>
        <v>24172</v>
      </c>
      <c r="D5295" s="5">
        <f>IFERROR(__xludf.DUMMYFUNCTION("""COMPUTED_VALUE"""),0.3090342115966918)</f>
        <v>0.3090342116</v>
      </c>
      <c r="E5295" s="5">
        <f>IFERROR(__xludf.DUMMYFUNCTION("""COMPUTED_VALUE"""),0.10905228905861616)</f>
        <v>0.1090522891</v>
      </c>
      <c r="F5295" s="5">
        <f>IFERROR(__xludf.DUMMYFUNCTION("""COMPUTED_VALUE"""),0.1948298458896371)</f>
        <v>0.1948298459</v>
      </c>
      <c r="G5295" s="5">
        <f>IFERROR(__xludf.DUMMYFUNCTION("""COMPUTED_VALUE"""),0.16107018574592127)</f>
        <v>0.1610701857</v>
      </c>
      <c r="H5295" s="5">
        <f>IFERROR(__xludf.DUMMYFUNCTION("""COMPUTED_VALUE"""),0.6058919044305265)</f>
        <v>0.6058919044</v>
      </c>
      <c r="I5295" s="11">
        <f>IFERROR(__xludf.DUMMYFUNCTION("""COMPUTED_VALUE"""),5550.68429598701)</f>
        <v>5550.684296</v>
      </c>
      <c r="J5295" s="10">
        <f>IFERROR(__xludf.DUMMYFUNCTION("""COMPUTED_VALUE"""),3.0)</f>
        <v>3</v>
      </c>
      <c r="K5295" s="5">
        <f>IFERROR(__xludf.DUMMYFUNCTION("""COMPUTED_VALUE"""),0.001466992665036675)</f>
        <v>0.001466992665</v>
      </c>
      <c r="L5295" s="10">
        <f>IFERROR(__xludf.DUMMYFUNCTION("""COMPUTED_VALUE"""),0.0)</f>
        <v>0</v>
      </c>
      <c r="M5295" s="5">
        <f>IFERROR(__xludf.DUMMYFUNCTION("""COMPUTED_VALUE"""),0.0)</f>
        <v>0</v>
      </c>
    </row>
    <row r="5296">
      <c r="A5296" s="10" t="str">
        <f>IFERROR(__xludf.DUMMYFUNCTION("""COMPUTED_VALUE"""),"エコみー")</f>
        <v>エコみー</v>
      </c>
      <c r="B5296" s="10">
        <f>IFERROR(__xludf.DUMMYFUNCTION("""COMPUTED_VALUE"""),802.0)</f>
        <v>802</v>
      </c>
      <c r="C5296" s="10">
        <f>IFERROR(__xludf.DUMMYFUNCTION("""COMPUTED_VALUE"""),9651.0)</f>
        <v>9651</v>
      </c>
      <c r="D5296" s="5">
        <f>IFERROR(__xludf.DUMMYFUNCTION("""COMPUTED_VALUE"""),0.35766753305458243)</f>
        <v>0.3576675331</v>
      </c>
      <c r="E5296" s="5">
        <f>IFERROR(__xludf.DUMMYFUNCTION("""COMPUTED_VALUE"""),0.10905187026782687)</f>
        <v>0.1090518703</v>
      </c>
      <c r="F5296" s="5">
        <f>IFERROR(__xludf.DUMMYFUNCTION("""COMPUTED_VALUE"""),0.20476890044072776)</f>
        <v>0.2047689004</v>
      </c>
      <c r="G5296" s="5">
        <f>IFERROR(__xludf.DUMMYFUNCTION("""COMPUTED_VALUE"""),0.14080687083286247)</f>
        <v>0.1408068708</v>
      </c>
      <c r="H5296" s="5">
        <f>IFERROR(__xludf.DUMMYFUNCTION("""COMPUTED_VALUE"""),0.6004415011037527)</f>
        <v>0.6004415011</v>
      </c>
      <c r="I5296" s="11">
        <f>IFERROR(__xludf.DUMMYFUNCTION("""COMPUTED_VALUE"""),5381.401766004415)</f>
        <v>5381.401766</v>
      </c>
      <c r="J5296" s="10">
        <f>IFERROR(__xludf.DUMMYFUNCTION("""COMPUTED_VALUE"""),2.0)</f>
        <v>2</v>
      </c>
      <c r="K5296" s="5">
        <f>IFERROR(__xludf.DUMMYFUNCTION("""COMPUTED_VALUE"""),0.0024937655860349127)</f>
        <v>0.002493765586</v>
      </c>
      <c r="L5296" s="10">
        <f>IFERROR(__xludf.DUMMYFUNCTION("""COMPUTED_VALUE"""),802.0)</f>
        <v>802</v>
      </c>
      <c r="M5296" s="5">
        <f>IFERROR(__xludf.DUMMYFUNCTION("""COMPUTED_VALUE"""),1.0)</f>
        <v>1</v>
      </c>
    </row>
    <row r="5297">
      <c r="A5297" s="10" t="str">
        <f>IFERROR(__xludf.DUMMYFUNCTION("""COMPUTED_VALUE"""),"Jet.B")</f>
        <v>Jet.B</v>
      </c>
      <c r="B5297" s="10">
        <f>IFERROR(__xludf.DUMMYFUNCTION("""COMPUTED_VALUE"""),3403.0)</f>
        <v>3403</v>
      </c>
      <c r="C5297" s="10">
        <f>IFERROR(__xludf.DUMMYFUNCTION("""COMPUTED_VALUE"""),39974.0)</f>
        <v>39974</v>
      </c>
      <c r="D5297" s="5">
        <f>IFERROR(__xludf.DUMMYFUNCTION("""COMPUTED_VALUE"""),0.3580159142489951)</f>
        <v>0.3580159142</v>
      </c>
      <c r="E5297" s="5">
        <f>IFERROR(__xludf.DUMMYFUNCTION("""COMPUTED_VALUE"""),0.10904815290804189)</f>
        <v>0.1090481529</v>
      </c>
      <c r="F5297" s="5">
        <f>IFERROR(__xludf.DUMMYFUNCTION("""COMPUTED_VALUE"""),0.19955702605889913)</f>
        <v>0.1995570261</v>
      </c>
      <c r="G5297" s="5">
        <f>IFERROR(__xludf.DUMMYFUNCTION("""COMPUTED_VALUE"""),0.15512291159662028)</f>
        <v>0.1551229116</v>
      </c>
      <c r="H5297" s="5">
        <f>IFERROR(__xludf.DUMMYFUNCTION("""COMPUTED_VALUE"""),0.5992052617155385)</f>
        <v>0.5992052617</v>
      </c>
      <c r="I5297" s="11">
        <f>IFERROR(__xludf.DUMMYFUNCTION("""COMPUTED_VALUE"""),5702.603453000822)</f>
        <v>5702.603453</v>
      </c>
      <c r="J5297" s="10">
        <f>IFERROR(__xludf.DUMMYFUNCTION("""COMPUTED_VALUE"""),6.0)</f>
        <v>6</v>
      </c>
      <c r="K5297" s="5">
        <f>IFERROR(__xludf.DUMMYFUNCTION("""COMPUTED_VALUE"""),0.001763150161622098)</f>
        <v>0.001763150162</v>
      </c>
      <c r="L5297" s="10">
        <f>IFERROR(__xludf.DUMMYFUNCTION("""COMPUTED_VALUE"""),3403.0)</f>
        <v>3403</v>
      </c>
      <c r="M5297" s="5">
        <f>IFERROR(__xludf.DUMMYFUNCTION("""COMPUTED_VALUE"""),1.0)</f>
        <v>1</v>
      </c>
    </row>
    <row r="5298">
      <c r="A5298" s="10" t="str">
        <f>IFERROR(__xludf.DUMMYFUNCTION("""COMPUTED_VALUE"""),"スナック瞳")</f>
        <v>スナック瞳</v>
      </c>
      <c r="B5298" s="10">
        <f>IFERROR(__xludf.DUMMYFUNCTION("""COMPUTED_VALUE"""),2900.0)</f>
        <v>2900</v>
      </c>
      <c r="C5298" s="10">
        <f>IFERROR(__xludf.DUMMYFUNCTION("""COMPUTED_VALUE"""),34107.0)</f>
        <v>34107</v>
      </c>
      <c r="D5298" s="5">
        <f>IFERROR(__xludf.DUMMYFUNCTION("""COMPUTED_VALUE"""),0.31983208895440124)</f>
        <v>0.319832089</v>
      </c>
      <c r="E5298" s="5">
        <f>IFERROR(__xludf.DUMMYFUNCTION("""COMPUTED_VALUE"""),0.10904604736116896)</f>
        <v>0.1090460474</v>
      </c>
      <c r="F5298" s="5">
        <f>IFERROR(__xludf.DUMMYFUNCTION("""COMPUTED_VALUE"""),0.2004037555676611)</f>
        <v>0.2004037556</v>
      </c>
      <c r="G5298" s="5">
        <f>IFERROR(__xludf.DUMMYFUNCTION("""COMPUTED_VALUE"""),0.13942384721376613)</f>
        <v>0.1394238472</v>
      </c>
      <c r="H5298" s="5">
        <f>IFERROR(__xludf.DUMMYFUNCTION("""COMPUTED_VALUE"""),0.6053725615606013)</f>
        <v>0.6053725616</v>
      </c>
      <c r="I5298" s="11">
        <f>IFERROR(__xludf.DUMMYFUNCTION("""COMPUTED_VALUE"""),5724.224496322354)</f>
        <v>5724.224496</v>
      </c>
      <c r="J5298" s="10">
        <f>IFERROR(__xludf.DUMMYFUNCTION("""COMPUTED_VALUE"""),2.0)</f>
        <v>2</v>
      </c>
      <c r="K5298" s="5">
        <f>IFERROR(__xludf.DUMMYFUNCTION("""COMPUTED_VALUE"""),6.89655172413793E-4)</f>
        <v>0.0006896551724</v>
      </c>
      <c r="L5298" s="10">
        <f>IFERROR(__xludf.DUMMYFUNCTION("""COMPUTED_VALUE"""),2541.0)</f>
        <v>2541</v>
      </c>
      <c r="M5298" s="5">
        <f>IFERROR(__xludf.DUMMYFUNCTION("""COMPUTED_VALUE"""),0.8762068965517241)</f>
        <v>0.8762068966</v>
      </c>
    </row>
    <row r="5299">
      <c r="A5299" s="10" t="str">
        <f>IFERROR(__xludf.DUMMYFUNCTION("""COMPUTED_VALUE"""),"しまたろう＠")</f>
        <v>しまたろう＠</v>
      </c>
      <c r="B5299" s="10">
        <f>IFERROR(__xludf.DUMMYFUNCTION("""COMPUTED_VALUE"""),258.0)</f>
        <v>258</v>
      </c>
      <c r="C5299" s="10">
        <f>IFERROR(__xludf.DUMMYFUNCTION("""COMPUTED_VALUE"""),3047.0)</f>
        <v>3047</v>
      </c>
      <c r="D5299" s="5">
        <f>IFERROR(__xludf.DUMMYFUNCTION("""COMPUTED_VALUE"""),0.27859447830763717)</f>
        <v>0.2785944783</v>
      </c>
      <c r="E5299" s="5">
        <f>IFERROR(__xludf.DUMMYFUNCTION("""COMPUTED_VALUE"""),0.10899964144854786)</f>
        <v>0.1089996414</v>
      </c>
      <c r="F5299" s="5">
        <f>IFERROR(__xludf.DUMMYFUNCTION("""COMPUTED_VALUE"""),0.21943348870562926)</f>
        <v>0.2194334887</v>
      </c>
      <c r="G5299" s="5">
        <f>IFERROR(__xludf.DUMMYFUNCTION("""COMPUTED_VALUE"""),0.15704553603442095)</f>
        <v>0.157045536</v>
      </c>
      <c r="H5299" s="5">
        <f>IFERROR(__xludf.DUMMYFUNCTION("""COMPUTED_VALUE"""),0.5964052287581699)</f>
        <v>0.5964052288</v>
      </c>
      <c r="I5299" s="11">
        <f>IFERROR(__xludf.DUMMYFUNCTION("""COMPUTED_VALUE"""),5307.679738562091)</f>
        <v>5307.679739</v>
      </c>
      <c r="J5299" s="10">
        <f>IFERROR(__xludf.DUMMYFUNCTION("""COMPUTED_VALUE"""),3.0)</f>
        <v>3</v>
      </c>
      <c r="K5299" s="5">
        <f>IFERROR(__xludf.DUMMYFUNCTION("""COMPUTED_VALUE"""),0.011627906976744186)</f>
        <v>0.01162790698</v>
      </c>
      <c r="L5299" s="10">
        <f>IFERROR(__xludf.DUMMYFUNCTION("""COMPUTED_VALUE"""),258.0)</f>
        <v>258</v>
      </c>
      <c r="M5299" s="5">
        <f>IFERROR(__xludf.DUMMYFUNCTION("""COMPUTED_VALUE"""),1.0)</f>
        <v>1</v>
      </c>
    </row>
    <row r="5300">
      <c r="A5300" s="10" t="str">
        <f>IFERROR(__xludf.DUMMYFUNCTION("""COMPUTED_VALUE"""),"仲井")</f>
        <v>仲井</v>
      </c>
      <c r="B5300" s="10">
        <f>IFERROR(__xludf.DUMMYFUNCTION("""COMPUTED_VALUE"""),106.0)</f>
        <v>106</v>
      </c>
      <c r="C5300" s="10">
        <f>IFERROR(__xludf.DUMMYFUNCTION("""COMPUTED_VALUE"""),1262.0)</f>
        <v>1262</v>
      </c>
      <c r="D5300" s="5">
        <f>IFERROR(__xludf.DUMMYFUNCTION("""COMPUTED_VALUE"""),0.30017301038062283)</f>
        <v>0.3001730104</v>
      </c>
      <c r="E5300" s="5">
        <f>IFERROR(__xludf.DUMMYFUNCTION("""COMPUTED_VALUE"""),0.10899653979238755)</f>
        <v>0.1089965398</v>
      </c>
      <c r="F5300" s="5">
        <f>IFERROR(__xludf.DUMMYFUNCTION("""COMPUTED_VALUE"""),0.1980968858131488)</f>
        <v>0.1980968858</v>
      </c>
      <c r="G5300" s="5">
        <f>IFERROR(__xludf.DUMMYFUNCTION("""COMPUTED_VALUE"""),0.19982698961937717)</f>
        <v>0.1998269896</v>
      </c>
      <c r="H5300" s="5">
        <f>IFERROR(__xludf.DUMMYFUNCTION("""COMPUTED_VALUE"""),0.537117903930131)</f>
        <v>0.5371179039</v>
      </c>
      <c r="I5300" s="11">
        <f>IFERROR(__xludf.DUMMYFUNCTION("""COMPUTED_VALUE"""),5929.694323144105)</f>
        <v>5929.694323</v>
      </c>
      <c r="J5300" s="10">
        <f>IFERROR(__xludf.DUMMYFUNCTION("""COMPUTED_VALUE"""),0.0)</f>
        <v>0</v>
      </c>
      <c r="K5300" s="5">
        <f>IFERROR(__xludf.DUMMYFUNCTION("""COMPUTED_VALUE"""),0.0)</f>
        <v>0</v>
      </c>
      <c r="L5300" s="10">
        <f>IFERROR(__xludf.DUMMYFUNCTION("""COMPUTED_VALUE"""),0.0)</f>
        <v>0</v>
      </c>
      <c r="M5300" s="5">
        <f>IFERROR(__xludf.DUMMYFUNCTION("""COMPUTED_VALUE"""),0.0)</f>
        <v>0</v>
      </c>
    </row>
    <row r="5301">
      <c r="A5301" s="10" t="str">
        <f>IFERROR(__xludf.DUMMYFUNCTION("""COMPUTED_VALUE"""),"味淋")</f>
        <v>味淋</v>
      </c>
      <c r="B5301" s="10">
        <f>IFERROR(__xludf.DUMMYFUNCTION("""COMPUTED_VALUE"""),100.0)</f>
        <v>100</v>
      </c>
      <c r="C5301" s="10">
        <f>IFERROR(__xludf.DUMMYFUNCTION("""COMPUTED_VALUE"""),1201.0)</f>
        <v>1201</v>
      </c>
      <c r="D5301" s="5">
        <f>IFERROR(__xludf.DUMMYFUNCTION("""COMPUTED_VALUE"""),0.35513169845594916)</f>
        <v>0.3551316985</v>
      </c>
      <c r="E5301" s="5">
        <f>IFERROR(__xludf.DUMMYFUNCTION("""COMPUTED_VALUE"""),0.10899182561307902)</f>
        <v>0.1089918256</v>
      </c>
      <c r="F5301" s="5">
        <f>IFERROR(__xludf.DUMMYFUNCTION("""COMPUTED_VALUE"""),0.1980018165304269)</f>
        <v>0.1980018165</v>
      </c>
      <c r="G5301" s="5">
        <f>IFERROR(__xludf.DUMMYFUNCTION("""COMPUTED_VALUE"""),0.15440508628519528)</f>
        <v>0.1544050863</v>
      </c>
      <c r="H5301" s="5">
        <f>IFERROR(__xludf.DUMMYFUNCTION("""COMPUTED_VALUE"""),0.6238532110091743)</f>
        <v>0.623853211</v>
      </c>
      <c r="I5301" s="11">
        <f>IFERROR(__xludf.DUMMYFUNCTION("""COMPUTED_VALUE"""),5837.155963302752)</f>
        <v>5837.155963</v>
      </c>
      <c r="J5301" s="10">
        <f>IFERROR(__xludf.DUMMYFUNCTION("""COMPUTED_VALUE"""),0.0)</f>
        <v>0</v>
      </c>
      <c r="K5301" s="5">
        <f>IFERROR(__xludf.DUMMYFUNCTION("""COMPUTED_VALUE"""),0.0)</f>
        <v>0</v>
      </c>
      <c r="L5301" s="10">
        <f>IFERROR(__xludf.DUMMYFUNCTION("""COMPUTED_VALUE"""),100.0)</f>
        <v>100</v>
      </c>
      <c r="M5301" s="5">
        <f>IFERROR(__xludf.DUMMYFUNCTION("""COMPUTED_VALUE"""),1.0)</f>
        <v>1</v>
      </c>
    </row>
    <row r="5302">
      <c r="A5302" s="10" t="str">
        <f>IFERROR(__xludf.DUMMYFUNCTION("""COMPUTED_VALUE"""),"ヌメリック")</f>
        <v>ヌメリック</v>
      </c>
      <c r="B5302" s="10">
        <f>IFERROR(__xludf.DUMMYFUNCTION("""COMPUTED_VALUE"""),195.0)</f>
        <v>195</v>
      </c>
      <c r="C5302" s="10">
        <f>IFERROR(__xludf.DUMMYFUNCTION("""COMPUTED_VALUE"""),2333.0)</f>
        <v>2333</v>
      </c>
      <c r="D5302" s="5">
        <f>IFERROR(__xludf.DUMMYFUNCTION("""COMPUTED_VALUE"""),0.34658559401309635)</f>
        <v>0.346585594</v>
      </c>
      <c r="E5302" s="5">
        <f>IFERROR(__xludf.DUMMYFUNCTION("""COMPUTED_VALUE"""),0.10898035547240412)</f>
        <v>0.1089803555</v>
      </c>
      <c r="F5302" s="5">
        <f>IFERROR(__xludf.DUMMYFUNCTION("""COMPUTED_VALUE"""),0.2029934518241347)</f>
        <v>0.2029934518</v>
      </c>
      <c r="G5302" s="5">
        <f>IFERROR(__xludf.DUMMYFUNCTION("""COMPUTED_VALUE"""),0.15154349859681945)</f>
        <v>0.1515434986</v>
      </c>
      <c r="H5302" s="5">
        <f>IFERROR(__xludf.DUMMYFUNCTION("""COMPUTED_VALUE"""),0.6175115207373272)</f>
        <v>0.6175115207</v>
      </c>
      <c r="I5302" s="11">
        <f>IFERROR(__xludf.DUMMYFUNCTION("""COMPUTED_VALUE"""),5379.032258064516)</f>
        <v>5379.032258</v>
      </c>
      <c r="J5302" s="10">
        <f>IFERROR(__xludf.DUMMYFUNCTION("""COMPUTED_VALUE"""),0.0)</f>
        <v>0</v>
      </c>
      <c r="K5302" s="5">
        <f>IFERROR(__xludf.DUMMYFUNCTION("""COMPUTED_VALUE"""),0.0)</f>
        <v>0</v>
      </c>
      <c r="L5302" s="10">
        <f>IFERROR(__xludf.DUMMYFUNCTION("""COMPUTED_VALUE"""),195.0)</f>
        <v>195</v>
      </c>
      <c r="M5302" s="5">
        <f>IFERROR(__xludf.DUMMYFUNCTION("""COMPUTED_VALUE"""),1.0)</f>
        <v>1</v>
      </c>
    </row>
    <row r="5303">
      <c r="A5303" s="10" t="str">
        <f>IFERROR(__xludf.DUMMYFUNCTION("""COMPUTED_VALUE"""),"J・クロス")</f>
        <v>J・クロス</v>
      </c>
      <c r="B5303" s="10">
        <f>IFERROR(__xludf.DUMMYFUNCTION("""COMPUTED_VALUE"""),201.0)</f>
        <v>201</v>
      </c>
      <c r="C5303" s="10">
        <f>IFERROR(__xludf.DUMMYFUNCTION("""COMPUTED_VALUE"""),2376.0)</f>
        <v>2376</v>
      </c>
      <c r="D5303" s="5">
        <f>IFERROR(__xludf.DUMMYFUNCTION("""COMPUTED_VALUE"""),0.32045977011494253)</f>
        <v>0.3204597701</v>
      </c>
      <c r="E5303" s="5">
        <f>IFERROR(__xludf.DUMMYFUNCTION("""COMPUTED_VALUE"""),0.10896551724137932)</f>
        <v>0.1089655172</v>
      </c>
      <c r="F5303" s="5">
        <f>IFERROR(__xludf.DUMMYFUNCTION("""COMPUTED_VALUE"""),0.20413793103448277)</f>
        <v>0.204137931</v>
      </c>
      <c r="G5303" s="5">
        <f>IFERROR(__xludf.DUMMYFUNCTION("""COMPUTED_VALUE"""),0.15816091954022987)</f>
        <v>0.1581609195</v>
      </c>
      <c r="H5303" s="5">
        <f>IFERROR(__xludf.DUMMYFUNCTION("""COMPUTED_VALUE"""),0.5968468468468469)</f>
        <v>0.5968468468</v>
      </c>
      <c r="I5303" s="11">
        <f>IFERROR(__xludf.DUMMYFUNCTION("""COMPUTED_VALUE"""),5269.81981981982)</f>
        <v>5269.81982</v>
      </c>
      <c r="J5303" s="10">
        <f>IFERROR(__xludf.DUMMYFUNCTION("""COMPUTED_VALUE"""),0.0)</f>
        <v>0</v>
      </c>
      <c r="K5303" s="5">
        <f>IFERROR(__xludf.DUMMYFUNCTION("""COMPUTED_VALUE"""),0.0)</f>
        <v>0</v>
      </c>
      <c r="L5303" s="10">
        <f>IFERROR(__xludf.DUMMYFUNCTION("""COMPUTED_VALUE"""),201.0)</f>
        <v>201</v>
      </c>
      <c r="M5303" s="5">
        <f>IFERROR(__xludf.DUMMYFUNCTION("""COMPUTED_VALUE"""),1.0)</f>
        <v>1</v>
      </c>
    </row>
    <row r="5304">
      <c r="A5304" s="10" t="str">
        <f>IFERROR(__xludf.DUMMYFUNCTION("""COMPUTED_VALUE"""),"藤田ニコル")</f>
        <v>藤田ニコル</v>
      </c>
      <c r="B5304" s="10">
        <f>IFERROR(__xludf.DUMMYFUNCTION("""COMPUTED_VALUE"""),948.0)</f>
        <v>948</v>
      </c>
      <c r="C5304" s="10">
        <f>IFERROR(__xludf.DUMMYFUNCTION("""COMPUTED_VALUE"""),10980.0)</f>
        <v>10980</v>
      </c>
      <c r="D5304" s="5">
        <f>IFERROR(__xludf.DUMMYFUNCTION("""COMPUTED_VALUE"""),0.32645534290271133)</f>
        <v>0.3264553429</v>
      </c>
      <c r="E5304" s="5">
        <f>IFERROR(__xludf.DUMMYFUNCTION("""COMPUTED_VALUE"""),0.10895135566188198)</f>
        <v>0.1089513557</v>
      </c>
      <c r="F5304" s="5">
        <f>IFERROR(__xludf.DUMMYFUNCTION("""COMPUTED_VALUE"""),0.20574162679425836)</f>
        <v>0.2057416268</v>
      </c>
      <c r="G5304" s="5">
        <f>IFERROR(__xludf.DUMMYFUNCTION("""COMPUTED_VALUE"""),0.17175039872408293)</f>
        <v>0.1717503987</v>
      </c>
      <c r="H5304" s="5">
        <f>IFERROR(__xludf.DUMMYFUNCTION("""COMPUTED_VALUE"""),0.5876937984496124)</f>
        <v>0.5876937984</v>
      </c>
      <c r="I5304" s="11">
        <f>IFERROR(__xludf.DUMMYFUNCTION("""COMPUTED_VALUE"""),5944.573643410853)</f>
        <v>5944.573643</v>
      </c>
      <c r="J5304" s="10">
        <f>IFERROR(__xludf.DUMMYFUNCTION("""COMPUTED_VALUE"""),2.0)</f>
        <v>2</v>
      </c>
      <c r="K5304" s="5">
        <f>IFERROR(__xludf.DUMMYFUNCTION("""COMPUTED_VALUE"""),0.002109704641350211)</f>
        <v>0.002109704641</v>
      </c>
      <c r="L5304" s="10">
        <f>IFERROR(__xludf.DUMMYFUNCTION("""COMPUTED_VALUE"""),0.0)</f>
        <v>0</v>
      </c>
      <c r="M5304" s="5">
        <f>IFERROR(__xludf.DUMMYFUNCTION("""COMPUTED_VALUE"""),0.0)</f>
        <v>0</v>
      </c>
    </row>
    <row r="5305">
      <c r="A5305" s="10" t="str">
        <f>IFERROR(__xludf.DUMMYFUNCTION("""COMPUTED_VALUE"""),"安藤裕子")</f>
        <v>安藤裕子</v>
      </c>
      <c r="B5305" s="10">
        <f>IFERROR(__xludf.DUMMYFUNCTION("""COMPUTED_VALUE"""),470.0)</f>
        <v>470</v>
      </c>
      <c r="C5305" s="10">
        <f>IFERROR(__xludf.DUMMYFUNCTION("""COMPUTED_VALUE"""),5555.0)</f>
        <v>5555</v>
      </c>
      <c r="D5305" s="5">
        <f>IFERROR(__xludf.DUMMYFUNCTION("""COMPUTED_VALUE"""),0.3937069813176008)</f>
        <v>0.3937069813</v>
      </c>
      <c r="E5305" s="5">
        <f>IFERROR(__xludf.DUMMYFUNCTION("""COMPUTED_VALUE"""),0.10894788593903638)</f>
        <v>0.1089478859</v>
      </c>
      <c r="F5305" s="5">
        <f>IFERROR(__xludf.DUMMYFUNCTION("""COMPUTED_VALUE"""),0.21887905604719765)</f>
        <v>0.218879056</v>
      </c>
      <c r="G5305" s="5">
        <f>IFERROR(__xludf.DUMMYFUNCTION("""COMPUTED_VALUE"""),0.17738446411012782)</f>
        <v>0.1773844641</v>
      </c>
      <c r="H5305" s="5">
        <f>IFERROR(__xludf.DUMMYFUNCTION("""COMPUTED_VALUE"""),0.5911949685534591)</f>
        <v>0.5911949686</v>
      </c>
      <c r="I5305" s="11">
        <f>IFERROR(__xludf.DUMMYFUNCTION("""COMPUTED_VALUE"""),5617.879604672057)</f>
        <v>5617.879605</v>
      </c>
      <c r="J5305" s="10">
        <f>IFERROR(__xludf.DUMMYFUNCTION("""COMPUTED_VALUE"""),2.0)</f>
        <v>2</v>
      </c>
      <c r="K5305" s="5">
        <f>IFERROR(__xludf.DUMMYFUNCTION("""COMPUTED_VALUE"""),0.00425531914893617)</f>
        <v>0.004255319149</v>
      </c>
      <c r="L5305" s="10">
        <f>IFERROR(__xludf.DUMMYFUNCTION("""COMPUTED_VALUE"""),0.0)</f>
        <v>0</v>
      </c>
      <c r="M5305" s="5">
        <f>IFERROR(__xludf.DUMMYFUNCTION("""COMPUTED_VALUE"""),0.0)</f>
        <v>0</v>
      </c>
    </row>
    <row r="5306">
      <c r="A5306" s="10" t="str">
        <f>IFERROR(__xludf.DUMMYFUNCTION("""COMPUTED_VALUE"""),"熊猫化雪")</f>
        <v>熊猫化雪</v>
      </c>
      <c r="B5306" s="10">
        <f>IFERROR(__xludf.DUMMYFUNCTION("""COMPUTED_VALUE"""),1202.0)</f>
        <v>1202</v>
      </c>
      <c r="C5306" s="10">
        <f>IFERROR(__xludf.DUMMYFUNCTION("""COMPUTED_VALUE"""),14337.0)</f>
        <v>14337</v>
      </c>
      <c r="D5306" s="5">
        <f>IFERROR(__xludf.DUMMYFUNCTION("""COMPUTED_VALUE"""),0.2941758660068519)</f>
        <v>0.294175866</v>
      </c>
      <c r="E5306" s="5">
        <f>IFERROR(__xludf.DUMMYFUNCTION("""COMPUTED_VALUE"""),0.10894556528359345)</f>
        <v>0.1089455653</v>
      </c>
      <c r="F5306" s="5">
        <f>IFERROR(__xludf.DUMMYFUNCTION("""COMPUTED_VALUE"""),0.1931480776551199)</f>
        <v>0.1931480777</v>
      </c>
      <c r="G5306" s="5">
        <f>IFERROR(__xludf.DUMMYFUNCTION("""COMPUTED_VALUE"""),0.15462504758279405)</f>
        <v>0.1546250476</v>
      </c>
      <c r="H5306" s="5">
        <f>IFERROR(__xludf.DUMMYFUNCTION("""COMPUTED_VALUE"""),0.5837603468663776)</f>
        <v>0.5837603469</v>
      </c>
      <c r="I5306" s="11">
        <f>IFERROR(__xludf.DUMMYFUNCTION("""COMPUTED_VALUE"""),5573.748521876232)</f>
        <v>5573.748522</v>
      </c>
      <c r="J5306" s="10">
        <f>IFERROR(__xludf.DUMMYFUNCTION("""COMPUTED_VALUE"""),3.0)</f>
        <v>3</v>
      </c>
      <c r="K5306" s="5">
        <f>IFERROR(__xludf.DUMMYFUNCTION("""COMPUTED_VALUE"""),0.0024958402662229617)</f>
        <v>0.002495840266</v>
      </c>
      <c r="L5306" s="10">
        <f>IFERROR(__xludf.DUMMYFUNCTION("""COMPUTED_VALUE"""),1202.0)</f>
        <v>1202</v>
      </c>
      <c r="M5306" s="5">
        <f>IFERROR(__xludf.DUMMYFUNCTION("""COMPUTED_VALUE"""),1.0)</f>
        <v>1</v>
      </c>
    </row>
    <row r="5307">
      <c r="A5307" s="10" t="str">
        <f>IFERROR(__xludf.DUMMYFUNCTION("""COMPUTED_VALUE"""),"非効率打法")</f>
        <v>非効率打法</v>
      </c>
      <c r="B5307" s="10">
        <f>IFERROR(__xludf.DUMMYFUNCTION("""COMPUTED_VALUE"""),404.0)</f>
        <v>404</v>
      </c>
      <c r="C5307" s="10">
        <f>IFERROR(__xludf.DUMMYFUNCTION("""COMPUTED_VALUE"""),4755.0)</f>
        <v>4755</v>
      </c>
      <c r="D5307" s="5">
        <f>IFERROR(__xludf.DUMMYFUNCTION("""COMPUTED_VALUE"""),0.3766950126407722)</f>
        <v>0.3766950126</v>
      </c>
      <c r="E5307" s="5">
        <f>IFERROR(__xludf.DUMMYFUNCTION("""COMPUTED_VALUE"""),0.10894047345437831)</f>
        <v>0.1089404735</v>
      </c>
      <c r="F5307" s="5">
        <f>IFERROR(__xludf.DUMMYFUNCTION("""COMPUTED_VALUE"""),0.20914732245460813)</f>
        <v>0.2091473225</v>
      </c>
      <c r="G5307" s="5">
        <f>IFERROR(__xludf.DUMMYFUNCTION("""COMPUTED_VALUE"""),0.16318087795908987)</f>
        <v>0.163180878</v>
      </c>
      <c r="H5307" s="5">
        <f>IFERROR(__xludf.DUMMYFUNCTION("""COMPUTED_VALUE"""),0.5868131868131868)</f>
        <v>0.5868131868</v>
      </c>
      <c r="I5307" s="11">
        <f>IFERROR(__xludf.DUMMYFUNCTION("""COMPUTED_VALUE"""),5466.7032967032965)</f>
        <v>5466.703297</v>
      </c>
      <c r="J5307" s="10">
        <f>IFERROR(__xludf.DUMMYFUNCTION("""COMPUTED_VALUE"""),1.0)</f>
        <v>1</v>
      </c>
      <c r="K5307" s="5">
        <f>IFERROR(__xludf.DUMMYFUNCTION("""COMPUTED_VALUE"""),0.0024752475247524753)</f>
        <v>0.002475247525</v>
      </c>
      <c r="L5307" s="10">
        <f>IFERROR(__xludf.DUMMYFUNCTION("""COMPUTED_VALUE"""),404.0)</f>
        <v>404</v>
      </c>
      <c r="M5307" s="5">
        <f>IFERROR(__xludf.DUMMYFUNCTION("""COMPUTED_VALUE"""),1.0)</f>
        <v>1</v>
      </c>
    </row>
    <row r="5308">
      <c r="A5308" s="10" t="str">
        <f>IFERROR(__xludf.DUMMYFUNCTION("""COMPUTED_VALUE"""),"朧夏月")</f>
        <v>朧夏月</v>
      </c>
      <c r="B5308" s="10">
        <f>IFERROR(__xludf.DUMMYFUNCTION("""COMPUTED_VALUE"""),522.0)</f>
        <v>522</v>
      </c>
      <c r="C5308" s="10">
        <f>IFERROR(__xludf.DUMMYFUNCTION("""COMPUTED_VALUE"""),6305.0)</f>
        <v>6305</v>
      </c>
      <c r="D5308" s="5">
        <f>IFERROR(__xludf.DUMMYFUNCTION("""COMPUTED_VALUE"""),0.36590005187618885)</f>
        <v>0.3659000519</v>
      </c>
      <c r="E5308" s="5">
        <f>IFERROR(__xludf.DUMMYFUNCTION("""COMPUTED_VALUE"""),0.10893999654158741)</f>
        <v>0.1089399965</v>
      </c>
      <c r="F5308" s="5">
        <f>IFERROR(__xludf.DUMMYFUNCTION("""COMPUTED_VALUE"""),0.2121736123119488)</f>
        <v>0.2121736123</v>
      </c>
      <c r="G5308" s="5">
        <f>IFERROR(__xludf.DUMMYFUNCTION("""COMPUTED_VALUE"""),0.17084558187791804)</f>
        <v>0.1708455819</v>
      </c>
      <c r="H5308" s="5">
        <f>IFERROR(__xludf.DUMMYFUNCTION("""COMPUTED_VALUE"""),0.5933170334148329)</f>
        <v>0.5933170334</v>
      </c>
      <c r="I5308" s="11">
        <f>IFERROR(__xludf.DUMMYFUNCTION("""COMPUTED_VALUE"""),5278.321108394458)</f>
        <v>5278.321108</v>
      </c>
      <c r="J5308" s="10">
        <f>IFERROR(__xludf.DUMMYFUNCTION("""COMPUTED_VALUE"""),1.0)</f>
        <v>1</v>
      </c>
      <c r="K5308" s="5">
        <f>IFERROR(__xludf.DUMMYFUNCTION("""COMPUTED_VALUE"""),0.0019157088122605363)</f>
        <v>0.001915708812</v>
      </c>
      <c r="L5308" s="10">
        <f>IFERROR(__xludf.DUMMYFUNCTION("""COMPUTED_VALUE"""),203.0)</f>
        <v>203</v>
      </c>
      <c r="M5308" s="5">
        <f>IFERROR(__xludf.DUMMYFUNCTION("""COMPUTED_VALUE"""),0.3888888888888889)</f>
        <v>0.3888888889</v>
      </c>
    </row>
    <row r="5309">
      <c r="A5309" s="10" t="str">
        <f>IFERROR(__xludf.DUMMYFUNCTION("""COMPUTED_VALUE"""),"みやぴー")</f>
        <v>みやぴー</v>
      </c>
      <c r="B5309" s="10">
        <f>IFERROR(__xludf.DUMMYFUNCTION("""COMPUTED_VALUE"""),159.0)</f>
        <v>159</v>
      </c>
      <c r="C5309" s="10">
        <f>IFERROR(__xludf.DUMMYFUNCTION("""COMPUTED_VALUE"""),1876.0)</f>
        <v>1876</v>
      </c>
      <c r="D5309" s="5">
        <f>IFERROR(__xludf.DUMMYFUNCTION("""COMPUTED_VALUE"""),0.2597553873034362)</f>
        <v>0.2597553873</v>
      </c>
      <c r="E5309" s="5">
        <f>IFERROR(__xludf.DUMMYFUNCTION("""COMPUTED_VALUE"""),0.10891089108910891)</f>
        <v>0.1089108911</v>
      </c>
      <c r="F5309" s="5">
        <f>IFERROR(__xludf.DUMMYFUNCTION("""COMPUTED_VALUE"""),0.22189866045428072)</f>
        <v>0.2218986605</v>
      </c>
      <c r="G5309" s="5">
        <f>IFERROR(__xludf.DUMMYFUNCTION("""COMPUTED_VALUE"""),0.1997670355270821)</f>
        <v>0.1997670355</v>
      </c>
      <c r="H5309" s="5">
        <f>IFERROR(__xludf.DUMMYFUNCTION("""COMPUTED_VALUE"""),0.6115485564304461)</f>
        <v>0.6115485564</v>
      </c>
      <c r="I5309" s="11">
        <f>IFERROR(__xludf.DUMMYFUNCTION("""COMPUTED_VALUE"""),5244.619422572178)</f>
        <v>5244.619423</v>
      </c>
      <c r="J5309" s="10">
        <f>IFERROR(__xludf.DUMMYFUNCTION("""COMPUTED_VALUE"""),0.0)</f>
        <v>0</v>
      </c>
      <c r="K5309" s="5">
        <f>IFERROR(__xludf.DUMMYFUNCTION("""COMPUTED_VALUE"""),0.0)</f>
        <v>0</v>
      </c>
      <c r="L5309" s="10">
        <f>IFERROR(__xludf.DUMMYFUNCTION("""COMPUTED_VALUE"""),154.0)</f>
        <v>154</v>
      </c>
      <c r="M5309" s="5">
        <f>IFERROR(__xludf.DUMMYFUNCTION("""COMPUTED_VALUE"""),0.9685534591194969)</f>
        <v>0.9685534591</v>
      </c>
    </row>
    <row r="5310">
      <c r="A5310" s="10" t="str">
        <f>IFERROR(__xludf.DUMMYFUNCTION("""COMPUTED_VALUE"""),"CHIRORU")</f>
        <v>CHIRORU</v>
      </c>
      <c r="B5310" s="10">
        <f>IFERROR(__xludf.DUMMYFUNCTION("""COMPUTED_VALUE"""),991.0)</f>
        <v>991</v>
      </c>
      <c r="C5310" s="10">
        <f>IFERROR(__xludf.DUMMYFUNCTION("""COMPUTED_VALUE"""),11688.0)</f>
        <v>11688</v>
      </c>
      <c r="D5310" s="5">
        <f>IFERROR(__xludf.DUMMYFUNCTION("""COMPUTED_VALUE"""),0.3758997849864448)</f>
        <v>0.375899785</v>
      </c>
      <c r="E5310" s="5">
        <f>IFERROR(__xludf.DUMMYFUNCTION("""COMPUTED_VALUE"""),0.10890903991773394)</f>
        <v>0.1089090399</v>
      </c>
      <c r="F5310" s="5">
        <f>IFERROR(__xludf.DUMMYFUNCTION("""COMPUTED_VALUE"""),0.2157614284378798)</f>
        <v>0.2157614284</v>
      </c>
      <c r="G5310" s="5">
        <f>IFERROR(__xludf.DUMMYFUNCTION("""COMPUTED_VALUE"""),0.16593437412358605)</f>
        <v>0.1659343741</v>
      </c>
      <c r="H5310" s="5">
        <f>IFERROR(__xludf.DUMMYFUNCTION("""COMPUTED_VALUE"""),0.6005199306759099)</f>
        <v>0.6005199307</v>
      </c>
      <c r="I5310" s="11">
        <f>IFERROR(__xludf.DUMMYFUNCTION("""COMPUTED_VALUE"""),5259.965337954939)</f>
        <v>5259.965338</v>
      </c>
      <c r="J5310" s="10">
        <f>IFERROR(__xludf.DUMMYFUNCTION("""COMPUTED_VALUE"""),2.0)</f>
        <v>2</v>
      </c>
      <c r="K5310" s="5">
        <f>IFERROR(__xludf.DUMMYFUNCTION("""COMPUTED_VALUE"""),0.0020181634712411706)</f>
        <v>0.002018163471</v>
      </c>
      <c r="L5310" s="10">
        <f>IFERROR(__xludf.DUMMYFUNCTION("""COMPUTED_VALUE"""),991.0)</f>
        <v>991</v>
      </c>
      <c r="M5310" s="5">
        <f>IFERROR(__xludf.DUMMYFUNCTION("""COMPUTED_VALUE"""),1.0)</f>
        <v>1</v>
      </c>
    </row>
    <row r="5311">
      <c r="A5311" s="10" t="str">
        <f>IFERROR(__xludf.DUMMYFUNCTION("""COMPUTED_VALUE"""),"岩石オープン")</f>
        <v>岩石オープン</v>
      </c>
      <c r="B5311" s="10">
        <f>IFERROR(__xludf.DUMMYFUNCTION("""COMPUTED_VALUE"""),476.0)</f>
        <v>476</v>
      </c>
      <c r="C5311" s="10">
        <f>IFERROR(__xludf.DUMMYFUNCTION("""COMPUTED_VALUE"""),5601.0)</f>
        <v>5601</v>
      </c>
      <c r="D5311" s="5">
        <f>IFERROR(__xludf.DUMMYFUNCTION("""COMPUTED_VALUE"""),0.24936585365853658)</f>
        <v>0.2493658537</v>
      </c>
      <c r="E5311" s="5">
        <f>IFERROR(__xludf.DUMMYFUNCTION("""COMPUTED_VALUE"""),0.1088780487804878)</f>
        <v>0.1088780488</v>
      </c>
      <c r="F5311" s="5">
        <f>IFERROR(__xludf.DUMMYFUNCTION("""COMPUTED_VALUE"""),0.18341463414634146)</f>
        <v>0.1834146341</v>
      </c>
      <c r="G5311" s="5">
        <f>IFERROR(__xludf.DUMMYFUNCTION("""COMPUTED_VALUE"""),0.16097560975609757)</f>
        <v>0.1609756098</v>
      </c>
      <c r="H5311" s="5">
        <f>IFERROR(__xludf.DUMMYFUNCTION("""COMPUTED_VALUE"""),0.5840425531914893)</f>
        <v>0.5840425532</v>
      </c>
      <c r="I5311" s="11">
        <f>IFERROR(__xludf.DUMMYFUNCTION("""COMPUTED_VALUE"""),6163.829787234043)</f>
        <v>6163.829787</v>
      </c>
      <c r="J5311" s="10">
        <f>IFERROR(__xludf.DUMMYFUNCTION("""COMPUTED_VALUE"""),0.0)</f>
        <v>0</v>
      </c>
      <c r="K5311" s="5">
        <f>IFERROR(__xludf.DUMMYFUNCTION("""COMPUTED_VALUE"""),0.0)</f>
        <v>0</v>
      </c>
      <c r="L5311" s="10">
        <f>IFERROR(__xludf.DUMMYFUNCTION("""COMPUTED_VALUE"""),476.0)</f>
        <v>476</v>
      </c>
      <c r="M5311" s="5">
        <f>IFERROR(__xludf.DUMMYFUNCTION("""COMPUTED_VALUE"""),1.0)</f>
        <v>1</v>
      </c>
    </row>
    <row r="5312">
      <c r="A5312" s="10" t="str">
        <f>IFERROR(__xludf.DUMMYFUNCTION("""COMPUTED_VALUE"""),"EX")</f>
        <v>EX</v>
      </c>
      <c r="B5312" s="10">
        <f>IFERROR(__xludf.DUMMYFUNCTION("""COMPUTED_VALUE"""),134.0)</f>
        <v>134</v>
      </c>
      <c r="C5312" s="10">
        <f>IFERROR(__xludf.DUMMYFUNCTION("""COMPUTED_VALUE"""),1613.0)</f>
        <v>1613</v>
      </c>
      <c r="D5312" s="5">
        <f>IFERROR(__xludf.DUMMYFUNCTION("""COMPUTED_VALUE"""),0.34279918864097364)</f>
        <v>0.3427991886</v>
      </c>
      <c r="E5312" s="5">
        <f>IFERROR(__xludf.DUMMYFUNCTION("""COMPUTED_VALUE"""),0.10885733603786342)</f>
        <v>0.108857336</v>
      </c>
      <c r="F5312" s="5">
        <f>IFERROR(__xludf.DUMMYFUNCTION("""COMPUTED_VALUE"""),0.18593644354293443)</f>
        <v>0.1859364435</v>
      </c>
      <c r="G5312" s="5">
        <f>IFERROR(__xludf.DUMMYFUNCTION("""COMPUTED_VALUE"""),0.1352265043948614)</f>
        <v>0.1352265044</v>
      </c>
      <c r="H5312" s="5">
        <f>IFERROR(__xludf.DUMMYFUNCTION("""COMPUTED_VALUE"""),0.610909090909091)</f>
        <v>0.6109090909</v>
      </c>
      <c r="I5312" s="11">
        <f>IFERROR(__xludf.DUMMYFUNCTION("""COMPUTED_VALUE"""),5237.090909090909)</f>
        <v>5237.090909</v>
      </c>
      <c r="J5312" s="10">
        <f>IFERROR(__xludf.DUMMYFUNCTION("""COMPUTED_VALUE"""),0.0)</f>
        <v>0</v>
      </c>
      <c r="K5312" s="5">
        <f>IFERROR(__xludf.DUMMYFUNCTION("""COMPUTED_VALUE"""),0.0)</f>
        <v>0</v>
      </c>
      <c r="L5312" s="10">
        <f>IFERROR(__xludf.DUMMYFUNCTION("""COMPUTED_VALUE"""),134.0)</f>
        <v>134</v>
      </c>
      <c r="M5312" s="5">
        <f>IFERROR(__xludf.DUMMYFUNCTION("""COMPUTED_VALUE"""),1.0)</f>
        <v>1</v>
      </c>
    </row>
    <row r="5313">
      <c r="A5313" s="10" t="str">
        <f>IFERROR(__xludf.DUMMYFUNCTION("""COMPUTED_VALUE"""),"Xcelling")</f>
        <v>Xcelling</v>
      </c>
      <c r="B5313" s="10">
        <f>IFERROR(__xludf.DUMMYFUNCTION("""COMPUTED_VALUE"""),359.0)</f>
        <v>359</v>
      </c>
      <c r="C5313" s="10">
        <f>IFERROR(__xludf.DUMMYFUNCTION("""COMPUTED_VALUE"""),4300.0)</f>
        <v>4300</v>
      </c>
      <c r="D5313" s="5">
        <f>IFERROR(__xludf.DUMMYFUNCTION("""COMPUTED_VALUE"""),0.3481349911190053)</f>
        <v>0.3481349911</v>
      </c>
      <c r="E5313" s="5">
        <f>IFERROR(__xludf.DUMMYFUNCTION("""COMPUTED_VALUE"""),0.10885562040091347)</f>
        <v>0.1088556204</v>
      </c>
      <c r="F5313" s="5">
        <f>IFERROR(__xludf.DUMMYFUNCTION("""COMPUTED_VALUE"""),0.19715808170515098)</f>
        <v>0.1971580817</v>
      </c>
      <c r="G5313" s="5">
        <f>IFERROR(__xludf.DUMMYFUNCTION("""COMPUTED_VALUE"""),0.12230398376046689)</f>
        <v>0.1223039838</v>
      </c>
      <c r="H5313" s="5">
        <f>IFERROR(__xludf.DUMMYFUNCTION("""COMPUTED_VALUE"""),0.5907335907335908)</f>
        <v>0.5907335907</v>
      </c>
      <c r="I5313" s="11">
        <f>IFERROR(__xludf.DUMMYFUNCTION("""COMPUTED_VALUE"""),5599.2277992278)</f>
        <v>5599.227799</v>
      </c>
      <c r="J5313" s="10">
        <f>IFERROR(__xludf.DUMMYFUNCTION("""COMPUTED_VALUE"""),1.0)</f>
        <v>1</v>
      </c>
      <c r="K5313" s="5">
        <f>IFERROR(__xludf.DUMMYFUNCTION("""COMPUTED_VALUE"""),0.002785515320334262)</f>
        <v>0.00278551532</v>
      </c>
      <c r="L5313" s="10">
        <f>IFERROR(__xludf.DUMMYFUNCTION("""COMPUTED_VALUE"""),273.0)</f>
        <v>273</v>
      </c>
      <c r="M5313" s="5">
        <f>IFERROR(__xludf.DUMMYFUNCTION("""COMPUTED_VALUE"""),0.7604456824512534)</f>
        <v>0.7604456825</v>
      </c>
    </row>
    <row r="5314">
      <c r="A5314" s="10" t="str">
        <f>IFERROR(__xludf.DUMMYFUNCTION("""COMPUTED_VALUE"""),"EGAKU")</f>
        <v>EGAKU</v>
      </c>
      <c r="B5314" s="10">
        <f>IFERROR(__xludf.DUMMYFUNCTION("""COMPUTED_VALUE"""),189.0)</f>
        <v>189</v>
      </c>
      <c r="C5314" s="10">
        <f>IFERROR(__xludf.DUMMYFUNCTION("""COMPUTED_VALUE"""),2256.0)</f>
        <v>2256</v>
      </c>
      <c r="D5314" s="5">
        <f>IFERROR(__xludf.DUMMYFUNCTION("""COMPUTED_VALUE"""),0.2888243831640058)</f>
        <v>0.2888243832</v>
      </c>
      <c r="E5314" s="5">
        <f>IFERROR(__xludf.DUMMYFUNCTION("""COMPUTED_VALUE"""),0.10885341074020319)</f>
        <v>0.1088534107</v>
      </c>
      <c r="F5314" s="5">
        <f>IFERROR(__xludf.DUMMYFUNCTION("""COMPUTED_VALUE"""),0.19593613933236576)</f>
        <v>0.1959361393</v>
      </c>
      <c r="G5314" s="5">
        <f>IFERROR(__xludf.DUMMYFUNCTION("""COMPUTED_VALUE"""),0.11320754716981132)</f>
        <v>0.1132075472</v>
      </c>
      <c r="H5314" s="5">
        <f>IFERROR(__xludf.DUMMYFUNCTION("""COMPUTED_VALUE"""),0.6296296296296297)</f>
        <v>0.6296296296</v>
      </c>
      <c r="I5314" s="11">
        <f>IFERROR(__xludf.DUMMYFUNCTION("""COMPUTED_VALUE"""),5390.864197530864)</f>
        <v>5390.864198</v>
      </c>
      <c r="J5314" s="10">
        <f>IFERROR(__xludf.DUMMYFUNCTION("""COMPUTED_VALUE"""),0.0)</f>
        <v>0</v>
      </c>
      <c r="K5314" s="5">
        <f>IFERROR(__xludf.DUMMYFUNCTION("""COMPUTED_VALUE"""),0.0)</f>
        <v>0</v>
      </c>
      <c r="L5314" s="10">
        <f>IFERROR(__xludf.DUMMYFUNCTION("""COMPUTED_VALUE"""),189.0)</f>
        <v>189</v>
      </c>
      <c r="M5314" s="5">
        <f>IFERROR(__xludf.DUMMYFUNCTION("""COMPUTED_VALUE"""),1.0)</f>
        <v>1</v>
      </c>
    </row>
    <row r="5315">
      <c r="A5315" s="10" t="str">
        <f>IFERROR(__xludf.DUMMYFUNCTION("""COMPUTED_VALUE"""),"†青羽ここな†")</f>
        <v>†青羽ここな†</v>
      </c>
      <c r="B5315" s="10">
        <f>IFERROR(__xludf.DUMMYFUNCTION("""COMPUTED_VALUE"""),170.0)</f>
        <v>170</v>
      </c>
      <c r="C5315" s="10">
        <f>IFERROR(__xludf.DUMMYFUNCTION("""COMPUTED_VALUE"""),2035.0)</f>
        <v>2035</v>
      </c>
      <c r="D5315" s="5">
        <f>IFERROR(__xludf.DUMMYFUNCTION("""COMPUTED_VALUE"""),0.39731903485254694)</f>
        <v>0.3973190349</v>
      </c>
      <c r="E5315" s="5">
        <f>IFERROR(__xludf.DUMMYFUNCTION("""COMPUTED_VALUE"""),0.10884718498659518)</f>
        <v>0.108847185</v>
      </c>
      <c r="F5315" s="5">
        <f>IFERROR(__xludf.DUMMYFUNCTION("""COMPUTED_VALUE"""),0.1898123324396783)</f>
        <v>0.1898123324</v>
      </c>
      <c r="G5315" s="5">
        <f>IFERROR(__xludf.DUMMYFUNCTION("""COMPUTED_VALUE"""),0.1297587131367292)</f>
        <v>0.1297587131</v>
      </c>
      <c r="H5315" s="5">
        <f>IFERROR(__xludf.DUMMYFUNCTION("""COMPUTED_VALUE"""),0.6497175141242938)</f>
        <v>0.6497175141</v>
      </c>
      <c r="I5315" s="11">
        <f>IFERROR(__xludf.DUMMYFUNCTION("""COMPUTED_VALUE"""),5194.067796610169)</f>
        <v>5194.067797</v>
      </c>
      <c r="J5315" s="10">
        <f>IFERROR(__xludf.DUMMYFUNCTION("""COMPUTED_VALUE"""),0.0)</f>
        <v>0</v>
      </c>
      <c r="K5315" s="5">
        <f>IFERROR(__xludf.DUMMYFUNCTION("""COMPUTED_VALUE"""),0.0)</f>
        <v>0</v>
      </c>
      <c r="L5315" s="10">
        <f>IFERROR(__xludf.DUMMYFUNCTION("""COMPUTED_VALUE"""),0.0)</f>
        <v>0</v>
      </c>
      <c r="M5315" s="5">
        <f>IFERROR(__xludf.DUMMYFUNCTION("""COMPUTED_VALUE"""),0.0)</f>
        <v>0</v>
      </c>
    </row>
    <row r="5316">
      <c r="A5316" s="10" t="str">
        <f>IFERROR(__xludf.DUMMYFUNCTION("""COMPUTED_VALUE"""),"ふかみ")</f>
        <v>ふかみ</v>
      </c>
      <c r="B5316" s="10">
        <f>IFERROR(__xludf.DUMMYFUNCTION("""COMPUTED_VALUE"""),2121.0)</f>
        <v>2121</v>
      </c>
      <c r="C5316" s="10">
        <f>IFERROR(__xludf.DUMMYFUNCTION("""COMPUTED_VALUE"""),24832.0)</f>
        <v>24832</v>
      </c>
      <c r="D5316" s="5">
        <f>IFERROR(__xludf.DUMMYFUNCTION("""COMPUTED_VALUE"""),0.3449429791730879)</f>
        <v>0.3449429792</v>
      </c>
      <c r="E5316" s="5">
        <f>IFERROR(__xludf.DUMMYFUNCTION("""COMPUTED_VALUE"""),0.10884593368852098)</f>
        <v>0.1088459337</v>
      </c>
      <c r="F5316" s="5">
        <f>IFERROR(__xludf.DUMMYFUNCTION("""COMPUTED_VALUE"""),0.21747170974417684)</f>
        <v>0.2174717097</v>
      </c>
      <c r="G5316" s="5">
        <f>IFERROR(__xludf.DUMMYFUNCTION("""COMPUTED_VALUE"""),0.15886574787547883)</f>
        <v>0.1588657479</v>
      </c>
      <c r="H5316" s="5">
        <f>IFERROR(__xludf.DUMMYFUNCTION("""COMPUTED_VALUE"""),0.5958696092326382)</f>
        <v>0.5958696092</v>
      </c>
      <c r="I5316" s="11">
        <f>IFERROR(__xludf.DUMMYFUNCTION("""COMPUTED_VALUE"""),5400.263211176351)</f>
        <v>5400.263211</v>
      </c>
      <c r="J5316" s="10">
        <f>IFERROR(__xludf.DUMMYFUNCTION("""COMPUTED_VALUE"""),6.0)</f>
        <v>6</v>
      </c>
      <c r="K5316" s="5">
        <f>IFERROR(__xludf.DUMMYFUNCTION("""COMPUTED_VALUE"""),0.002828854314002829)</f>
        <v>0.002828854314</v>
      </c>
      <c r="L5316" s="10">
        <f>IFERROR(__xludf.DUMMYFUNCTION("""COMPUTED_VALUE"""),76.0)</f>
        <v>76</v>
      </c>
      <c r="M5316" s="5">
        <f>IFERROR(__xludf.DUMMYFUNCTION("""COMPUTED_VALUE"""),0.03583215464403583)</f>
        <v>0.03583215464</v>
      </c>
    </row>
    <row r="5317">
      <c r="A5317" s="10" t="str">
        <f>IFERROR(__xludf.DUMMYFUNCTION("""COMPUTED_VALUE"""),"♪結月ゆかり♪")</f>
        <v>♪結月ゆかり♪</v>
      </c>
      <c r="B5317" s="10">
        <f>IFERROR(__xludf.DUMMYFUNCTION("""COMPUTED_VALUE"""),936.0)</f>
        <v>936</v>
      </c>
      <c r="C5317" s="10">
        <f>IFERROR(__xludf.DUMMYFUNCTION("""COMPUTED_VALUE"""),11024.0)</f>
        <v>11024</v>
      </c>
      <c r="D5317" s="5">
        <f>IFERROR(__xludf.DUMMYFUNCTION("""COMPUTED_VALUE"""),0.34476605868358445)</f>
        <v>0.3447660587</v>
      </c>
      <c r="E5317" s="5">
        <f>IFERROR(__xludf.DUMMYFUNCTION("""COMPUTED_VALUE"""),0.10884218873909596)</f>
        <v>0.1088421887</v>
      </c>
      <c r="F5317" s="5">
        <f>IFERROR(__xludf.DUMMYFUNCTION("""COMPUTED_VALUE"""),0.211340206185567)</f>
        <v>0.2113402062</v>
      </c>
      <c r="G5317" s="5">
        <f>IFERROR(__xludf.DUMMYFUNCTION("""COMPUTED_VALUE"""),0.147898493259318)</f>
        <v>0.1478984933</v>
      </c>
      <c r="H5317" s="5">
        <f>IFERROR(__xludf.DUMMYFUNCTION("""COMPUTED_VALUE"""),0.5924015009380863)</f>
        <v>0.5924015009</v>
      </c>
      <c r="I5317" s="11">
        <f>IFERROR(__xludf.DUMMYFUNCTION("""COMPUTED_VALUE"""),5152.016885553471)</f>
        <v>5152.016886</v>
      </c>
      <c r="J5317" s="10">
        <f>IFERROR(__xludf.DUMMYFUNCTION("""COMPUTED_VALUE"""),3.0)</f>
        <v>3</v>
      </c>
      <c r="K5317" s="5">
        <f>IFERROR(__xludf.DUMMYFUNCTION("""COMPUTED_VALUE"""),0.003205128205128205)</f>
        <v>0.003205128205</v>
      </c>
      <c r="L5317" s="10">
        <f>IFERROR(__xludf.DUMMYFUNCTION("""COMPUTED_VALUE"""),0.0)</f>
        <v>0</v>
      </c>
      <c r="M5317" s="5">
        <f>IFERROR(__xludf.DUMMYFUNCTION("""COMPUTED_VALUE"""),0.0)</f>
        <v>0</v>
      </c>
    </row>
    <row r="5318">
      <c r="A5318" s="10" t="str">
        <f>IFERROR(__xludf.DUMMYFUNCTION("""COMPUTED_VALUE"""),"bsygc7")</f>
        <v>bsygc7</v>
      </c>
      <c r="B5318" s="10">
        <f>IFERROR(__xludf.DUMMYFUNCTION("""COMPUTED_VALUE"""),1365.0)</f>
        <v>1365</v>
      </c>
      <c r="C5318" s="10">
        <f>IFERROR(__xludf.DUMMYFUNCTION("""COMPUTED_VALUE"""),16032.0)</f>
        <v>16032</v>
      </c>
      <c r="D5318" s="5">
        <f>IFERROR(__xludf.DUMMYFUNCTION("""COMPUTED_VALUE"""),0.3250153405604418)</f>
        <v>0.3250153406</v>
      </c>
      <c r="E5318" s="5">
        <f>IFERROR(__xludf.DUMMYFUNCTION("""COMPUTED_VALUE"""),0.10881570873389242)</f>
        <v>0.1088157087</v>
      </c>
      <c r="F5318" s="5">
        <f>IFERROR(__xludf.DUMMYFUNCTION("""COMPUTED_VALUE"""),0.21183609463421285)</f>
        <v>0.2118360946</v>
      </c>
      <c r="G5318" s="5">
        <f>IFERROR(__xludf.DUMMYFUNCTION("""COMPUTED_VALUE"""),0.1639053657871412)</f>
        <v>0.1639053658</v>
      </c>
      <c r="H5318" s="5">
        <f>IFERROR(__xludf.DUMMYFUNCTION("""COMPUTED_VALUE"""),0.6060508529127776)</f>
        <v>0.6060508529</v>
      </c>
      <c r="I5318" s="11">
        <f>IFERROR(__xludf.DUMMYFUNCTION("""COMPUTED_VALUE"""),5431.734792404249)</f>
        <v>5431.734792</v>
      </c>
      <c r="J5318" s="10">
        <f>IFERROR(__xludf.DUMMYFUNCTION("""COMPUTED_VALUE"""),4.0)</f>
        <v>4</v>
      </c>
      <c r="K5318" s="5">
        <f>IFERROR(__xludf.DUMMYFUNCTION("""COMPUTED_VALUE"""),0.0029304029304029304)</f>
        <v>0.00293040293</v>
      </c>
      <c r="L5318" s="10">
        <f>IFERROR(__xludf.DUMMYFUNCTION("""COMPUTED_VALUE"""),1365.0)</f>
        <v>1365</v>
      </c>
      <c r="M5318" s="5">
        <f>IFERROR(__xludf.DUMMYFUNCTION("""COMPUTED_VALUE"""),1.0)</f>
        <v>1</v>
      </c>
    </row>
    <row r="5319">
      <c r="A5319" s="10" t="str">
        <f>IFERROR(__xludf.DUMMYFUNCTION("""COMPUTED_VALUE"""),"冥土のワニ蔵")</f>
        <v>冥土のワニ蔵</v>
      </c>
      <c r="B5319" s="10">
        <f>IFERROR(__xludf.DUMMYFUNCTION("""COMPUTED_VALUE"""),1026.0)</f>
        <v>1026</v>
      </c>
      <c r="C5319" s="10">
        <f>IFERROR(__xludf.DUMMYFUNCTION("""COMPUTED_VALUE"""),12238.0)</f>
        <v>12238</v>
      </c>
      <c r="D5319" s="5">
        <f>IFERROR(__xludf.DUMMYFUNCTION("""COMPUTED_VALUE"""),0.379860863360685)</f>
        <v>0.3798608634</v>
      </c>
      <c r="E5319" s="5">
        <f>IFERROR(__xludf.DUMMYFUNCTION("""COMPUTED_VALUE"""),0.10881198715661791)</f>
        <v>0.1088119872</v>
      </c>
      <c r="F5319" s="5">
        <f>IFERROR(__xludf.DUMMYFUNCTION("""COMPUTED_VALUE"""),0.21218337495540493)</f>
        <v>0.212183375</v>
      </c>
      <c r="G5319" s="5">
        <f>IFERROR(__xludf.DUMMYFUNCTION("""COMPUTED_VALUE"""),0.1515340706386015)</f>
        <v>0.1515340706</v>
      </c>
      <c r="H5319" s="5">
        <f>IFERROR(__xludf.DUMMYFUNCTION("""COMPUTED_VALUE"""),0.6036149642707019)</f>
        <v>0.6036149643</v>
      </c>
      <c r="I5319" s="11">
        <f>IFERROR(__xludf.DUMMYFUNCTION("""COMPUTED_VALUE"""),5281.294661622531)</f>
        <v>5281.294662</v>
      </c>
      <c r="J5319" s="10">
        <f>IFERROR(__xludf.DUMMYFUNCTION("""COMPUTED_VALUE"""),2.0)</f>
        <v>2</v>
      </c>
      <c r="K5319" s="5">
        <f>IFERROR(__xludf.DUMMYFUNCTION("""COMPUTED_VALUE"""),0.001949317738791423)</f>
        <v>0.001949317739</v>
      </c>
      <c r="L5319" s="10">
        <f>IFERROR(__xludf.DUMMYFUNCTION("""COMPUTED_VALUE"""),1026.0)</f>
        <v>1026</v>
      </c>
      <c r="M5319" s="5">
        <f>IFERROR(__xludf.DUMMYFUNCTION("""COMPUTED_VALUE"""),1.0)</f>
        <v>1</v>
      </c>
    </row>
    <row r="5320">
      <c r="A5320" s="10" t="str">
        <f>IFERROR(__xludf.DUMMYFUNCTION("""COMPUTED_VALUE"""),"mihaRun")</f>
        <v>mihaRun</v>
      </c>
      <c r="B5320" s="10">
        <f>IFERROR(__xludf.DUMMYFUNCTION("""COMPUTED_VALUE"""),673.0)</f>
        <v>673</v>
      </c>
      <c r="C5320" s="10">
        <f>IFERROR(__xludf.DUMMYFUNCTION("""COMPUTED_VALUE"""),7970.0)</f>
        <v>7970</v>
      </c>
      <c r="D5320" s="5">
        <f>IFERROR(__xludf.DUMMYFUNCTION("""COMPUTED_VALUE"""),0.35178840619432644)</f>
        <v>0.3517884062</v>
      </c>
      <c r="E5320" s="5">
        <f>IFERROR(__xludf.DUMMYFUNCTION("""COMPUTED_VALUE"""),0.10881184048239002)</f>
        <v>0.1088118405</v>
      </c>
      <c r="F5320" s="5">
        <f>IFERROR(__xludf.DUMMYFUNCTION("""COMPUTED_VALUE"""),0.20227490749623134)</f>
        <v>0.2022749075</v>
      </c>
      <c r="G5320" s="5">
        <f>IFERROR(__xludf.DUMMYFUNCTION("""COMPUTED_VALUE"""),0.1519802658626833)</f>
        <v>0.1519802659</v>
      </c>
      <c r="H5320" s="5">
        <f>IFERROR(__xludf.DUMMYFUNCTION("""COMPUTED_VALUE"""),0.5745257452574526)</f>
        <v>0.5745257453</v>
      </c>
      <c r="I5320" s="11">
        <f>IFERROR(__xludf.DUMMYFUNCTION("""COMPUTED_VALUE"""),5701.626016260163)</f>
        <v>5701.626016</v>
      </c>
      <c r="J5320" s="10">
        <f>IFERROR(__xludf.DUMMYFUNCTION("""COMPUTED_VALUE"""),1.0)</f>
        <v>1</v>
      </c>
      <c r="K5320" s="5">
        <f>IFERROR(__xludf.DUMMYFUNCTION("""COMPUTED_VALUE"""),0.0014858841010401188)</f>
        <v>0.001485884101</v>
      </c>
      <c r="L5320" s="10">
        <f>IFERROR(__xludf.DUMMYFUNCTION("""COMPUTED_VALUE"""),673.0)</f>
        <v>673</v>
      </c>
      <c r="M5320" s="5">
        <f>IFERROR(__xludf.DUMMYFUNCTION("""COMPUTED_VALUE"""),1.0)</f>
        <v>1</v>
      </c>
    </row>
    <row r="5321">
      <c r="A5321" s="10" t="str">
        <f>IFERROR(__xludf.DUMMYFUNCTION("""COMPUTED_VALUE"""),"リーチドラ")</f>
        <v>リーチドラ</v>
      </c>
      <c r="B5321" s="10">
        <f>IFERROR(__xludf.DUMMYFUNCTION("""COMPUTED_VALUE"""),546.0)</f>
        <v>546</v>
      </c>
      <c r="C5321" s="10">
        <f>IFERROR(__xludf.DUMMYFUNCTION("""COMPUTED_VALUE"""),6401.0)</f>
        <v>6401</v>
      </c>
      <c r="D5321" s="5">
        <f>IFERROR(__xludf.DUMMYFUNCTION("""COMPUTED_VALUE"""),0.3187019641332195)</f>
        <v>0.3187019641</v>
      </c>
      <c r="E5321" s="5">
        <f>IFERROR(__xludf.DUMMYFUNCTION("""COMPUTED_VALUE"""),0.10879590093936806)</f>
        <v>0.1087959009</v>
      </c>
      <c r="F5321" s="5">
        <f>IFERROR(__xludf.DUMMYFUNCTION("""COMPUTED_VALUE"""),0.2102476515798463)</f>
        <v>0.2102476516</v>
      </c>
      <c r="G5321" s="5">
        <f>IFERROR(__xludf.DUMMYFUNCTION("""COMPUTED_VALUE"""),0.11955593509820667)</f>
        <v>0.1195559351</v>
      </c>
      <c r="H5321" s="5">
        <f>IFERROR(__xludf.DUMMYFUNCTION("""COMPUTED_VALUE"""),0.6035743298131601)</f>
        <v>0.6035743298</v>
      </c>
      <c r="I5321" s="11">
        <f>IFERROR(__xludf.DUMMYFUNCTION("""COMPUTED_VALUE"""),5435.093419983753)</f>
        <v>5435.09342</v>
      </c>
      <c r="J5321" s="10">
        <f>IFERROR(__xludf.DUMMYFUNCTION("""COMPUTED_VALUE"""),1.0)</f>
        <v>1</v>
      </c>
      <c r="K5321" s="5">
        <f>IFERROR(__xludf.DUMMYFUNCTION("""COMPUTED_VALUE"""),0.0018315018315018315)</f>
        <v>0.001831501832</v>
      </c>
      <c r="L5321" s="10">
        <f>IFERROR(__xludf.DUMMYFUNCTION("""COMPUTED_VALUE"""),546.0)</f>
        <v>546</v>
      </c>
      <c r="M5321" s="5">
        <f>IFERROR(__xludf.DUMMYFUNCTION("""COMPUTED_VALUE"""),1.0)</f>
        <v>1</v>
      </c>
    </row>
    <row r="5322">
      <c r="A5322" s="10" t="str">
        <f>IFERROR(__xludf.DUMMYFUNCTION("""COMPUTED_VALUE"""),"joroji")</f>
        <v>joroji</v>
      </c>
      <c r="B5322" s="10">
        <f>IFERROR(__xludf.DUMMYFUNCTION("""COMPUTED_VALUE"""),225.0)</f>
        <v>225</v>
      </c>
      <c r="C5322" s="10">
        <f>IFERROR(__xludf.DUMMYFUNCTION("""COMPUTED_VALUE"""),2698.0)</f>
        <v>2698</v>
      </c>
      <c r="D5322" s="5">
        <f>IFERROR(__xludf.DUMMYFUNCTION("""COMPUTED_VALUE"""),0.32308936514355036)</f>
        <v>0.3230893651</v>
      </c>
      <c r="E5322" s="5">
        <f>IFERROR(__xludf.DUMMYFUNCTION("""COMPUTED_VALUE"""),0.1087747674888799)</f>
        <v>0.1087747675</v>
      </c>
      <c r="F5322" s="5">
        <f>IFERROR(__xludf.DUMMYFUNCTION("""COMPUTED_VALUE"""),0.20056611403154065)</f>
        <v>0.200566114</v>
      </c>
      <c r="G5322" s="5">
        <f>IFERROR(__xludf.DUMMYFUNCTION("""COMPUTED_VALUE"""),0.17913465426607358)</f>
        <v>0.1791346543</v>
      </c>
      <c r="H5322" s="5">
        <f>IFERROR(__xludf.DUMMYFUNCTION("""COMPUTED_VALUE"""),0.5584677419354839)</f>
        <v>0.5584677419</v>
      </c>
      <c r="I5322" s="11">
        <f>IFERROR(__xludf.DUMMYFUNCTION("""COMPUTED_VALUE"""),5813.508064516129)</f>
        <v>5813.508065</v>
      </c>
      <c r="J5322" s="10">
        <f>IFERROR(__xludf.DUMMYFUNCTION("""COMPUTED_VALUE"""),2.0)</f>
        <v>2</v>
      </c>
      <c r="K5322" s="5">
        <f>IFERROR(__xludf.DUMMYFUNCTION("""COMPUTED_VALUE"""),0.008888888888888889)</f>
        <v>0.008888888889</v>
      </c>
      <c r="L5322" s="10">
        <f>IFERROR(__xludf.DUMMYFUNCTION("""COMPUTED_VALUE"""),225.0)</f>
        <v>225</v>
      </c>
      <c r="M5322" s="5">
        <f>IFERROR(__xludf.DUMMYFUNCTION("""COMPUTED_VALUE"""),1.0)</f>
        <v>1</v>
      </c>
    </row>
    <row r="5323">
      <c r="A5323" s="10" t="str">
        <f>IFERROR(__xludf.DUMMYFUNCTION("""COMPUTED_VALUE"""),"孔雀王")</f>
        <v>孔雀王</v>
      </c>
      <c r="B5323" s="10">
        <f>IFERROR(__xludf.DUMMYFUNCTION("""COMPUTED_VALUE"""),747.0)</f>
        <v>747</v>
      </c>
      <c r="C5323" s="10">
        <f>IFERROR(__xludf.DUMMYFUNCTION("""COMPUTED_VALUE"""),8740.0)</f>
        <v>8740</v>
      </c>
      <c r="D5323" s="5">
        <f>IFERROR(__xludf.DUMMYFUNCTION("""COMPUTED_VALUE"""),0.30226448142124357)</f>
        <v>0.3022644814</v>
      </c>
      <c r="E5323" s="5">
        <f>IFERROR(__xludf.DUMMYFUNCTION("""COMPUTED_VALUE"""),0.10872013011384962)</f>
        <v>0.1087201301</v>
      </c>
      <c r="F5323" s="5">
        <f>IFERROR(__xludf.DUMMYFUNCTION("""COMPUTED_VALUE"""),0.20455398473664457)</f>
        <v>0.2045539847</v>
      </c>
      <c r="G5323" s="5">
        <f>IFERROR(__xludf.DUMMYFUNCTION("""COMPUTED_VALUE"""),0.1592643563117728)</f>
        <v>0.1592643563</v>
      </c>
      <c r="H5323" s="5">
        <f>IFERROR(__xludf.DUMMYFUNCTION("""COMPUTED_VALUE"""),0.5828746177370031)</f>
        <v>0.5828746177</v>
      </c>
      <c r="I5323" s="11">
        <f>IFERROR(__xludf.DUMMYFUNCTION("""COMPUTED_VALUE"""),5461.712538226299)</f>
        <v>5461.712538</v>
      </c>
      <c r="J5323" s="10">
        <f>IFERROR(__xludf.DUMMYFUNCTION("""COMPUTED_VALUE"""),0.0)</f>
        <v>0</v>
      </c>
      <c r="K5323" s="5">
        <f>IFERROR(__xludf.DUMMYFUNCTION("""COMPUTED_VALUE"""),0.0)</f>
        <v>0</v>
      </c>
      <c r="L5323" s="10">
        <f>IFERROR(__xludf.DUMMYFUNCTION("""COMPUTED_VALUE"""),747.0)</f>
        <v>747</v>
      </c>
      <c r="M5323" s="5">
        <f>IFERROR(__xludf.DUMMYFUNCTION("""COMPUTED_VALUE"""),1.0)</f>
        <v>1</v>
      </c>
    </row>
    <row r="5324">
      <c r="A5324" s="10" t="str">
        <f>IFERROR(__xludf.DUMMYFUNCTION("""COMPUTED_VALUE"""),"罵って！もっと！")</f>
        <v>罵って！もっと！</v>
      </c>
      <c r="B5324" s="10">
        <f>IFERROR(__xludf.DUMMYFUNCTION("""COMPUTED_VALUE"""),227.0)</f>
        <v>227</v>
      </c>
      <c r="C5324" s="10">
        <f>IFERROR(__xludf.DUMMYFUNCTION("""COMPUTED_VALUE"""),2720.0)</f>
        <v>2720</v>
      </c>
      <c r="D5324" s="5">
        <f>IFERROR(__xludf.DUMMYFUNCTION("""COMPUTED_VALUE"""),0.3509827517047734)</f>
        <v>0.3509827517</v>
      </c>
      <c r="E5324" s="5">
        <f>IFERROR(__xludf.DUMMYFUNCTION("""COMPUTED_VALUE"""),0.10870437224227839)</f>
        <v>0.1087043722</v>
      </c>
      <c r="F5324" s="5">
        <f>IFERROR(__xludf.DUMMYFUNCTION("""COMPUTED_VALUE"""),0.21740874448455677)</f>
        <v>0.2174087445</v>
      </c>
      <c r="G5324" s="5">
        <f>IFERROR(__xludf.DUMMYFUNCTION("""COMPUTED_VALUE"""),0.18772563176895307)</f>
        <v>0.1877256318</v>
      </c>
      <c r="H5324" s="5">
        <f>IFERROR(__xludf.DUMMYFUNCTION("""COMPUTED_VALUE"""),0.5904059040590406)</f>
        <v>0.5904059041</v>
      </c>
      <c r="I5324" s="11">
        <f>IFERROR(__xludf.DUMMYFUNCTION("""COMPUTED_VALUE"""),5301.291512915129)</f>
        <v>5301.291513</v>
      </c>
      <c r="J5324" s="10">
        <f>IFERROR(__xludf.DUMMYFUNCTION("""COMPUTED_VALUE"""),0.0)</f>
        <v>0</v>
      </c>
      <c r="K5324" s="5">
        <f>IFERROR(__xludf.DUMMYFUNCTION("""COMPUTED_VALUE"""),0.0)</f>
        <v>0</v>
      </c>
      <c r="L5324" s="10">
        <f>IFERROR(__xludf.DUMMYFUNCTION("""COMPUTED_VALUE"""),0.0)</f>
        <v>0</v>
      </c>
      <c r="M5324" s="5">
        <f>IFERROR(__xludf.DUMMYFUNCTION("""COMPUTED_VALUE"""),0.0)</f>
        <v>0</v>
      </c>
    </row>
    <row r="5325">
      <c r="A5325" s="10" t="str">
        <f>IFERROR(__xludf.DUMMYFUNCTION("""COMPUTED_VALUE"""),"直感精読")</f>
        <v>直感精読</v>
      </c>
      <c r="B5325" s="10">
        <f>IFERROR(__xludf.DUMMYFUNCTION("""COMPUTED_VALUE"""),360.0)</f>
        <v>360</v>
      </c>
      <c r="C5325" s="10">
        <f>IFERROR(__xludf.DUMMYFUNCTION("""COMPUTED_VALUE"""),4095.0)</f>
        <v>4095</v>
      </c>
      <c r="D5325" s="5">
        <f>IFERROR(__xludf.DUMMYFUNCTION("""COMPUTED_VALUE"""),0.4115127175368139)</f>
        <v>0.4115127175</v>
      </c>
      <c r="E5325" s="5">
        <f>IFERROR(__xludf.DUMMYFUNCTION("""COMPUTED_VALUE"""),0.10870147255689425)</f>
        <v>0.1087014726</v>
      </c>
      <c r="F5325" s="5">
        <f>IFERROR(__xludf.DUMMYFUNCTION("""COMPUTED_VALUE"""),0.21124497991967872)</f>
        <v>0.2112449799</v>
      </c>
      <c r="G5325" s="5">
        <f>IFERROR(__xludf.DUMMYFUNCTION("""COMPUTED_VALUE"""),0.163855421686747)</f>
        <v>0.1638554217</v>
      </c>
      <c r="H5325" s="5">
        <f>IFERROR(__xludf.DUMMYFUNCTION("""COMPUTED_VALUE"""),0.5728770595690748)</f>
        <v>0.5728770596</v>
      </c>
      <c r="I5325" s="11">
        <f>IFERROR(__xludf.DUMMYFUNCTION("""COMPUTED_VALUE"""),5722.306717363752)</f>
        <v>5722.306717</v>
      </c>
      <c r="J5325" s="10">
        <f>IFERROR(__xludf.DUMMYFUNCTION("""COMPUTED_VALUE"""),0.0)</f>
        <v>0</v>
      </c>
      <c r="K5325" s="5">
        <f>IFERROR(__xludf.DUMMYFUNCTION("""COMPUTED_VALUE"""),0.0)</f>
        <v>0</v>
      </c>
      <c r="L5325" s="10">
        <f>IFERROR(__xludf.DUMMYFUNCTION("""COMPUTED_VALUE"""),360.0)</f>
        <v>360</v>
      </c>
      <c r="M5325" s="5">
        <f>IFERROR(__xludf.DUMMYFUNCTION("""COMPUTED_VALUE"""),1.0)</f>
        <v>1</v>
      </c>
    </row>
    <row r="5326">
      <c r="A5326" s="10" t="str">
        <f>IFERROR(__xludf.DUMMYFUNCTION("""COMPUTED_VALUE"""),"大和田頭取")</f>
        <v>大和田頭取</v>
      </c>
      <c r="B5326" s="10">
        <f>IFERROR(__xludf.DUMMYFUNCTION("""COMPUTED_VALUE"""),3459.0)</f>
        <v>3459</v>
      </c>
      <c r="C5326" s="10">
        <f>IFERROR(__xludf.DUMMYFUNCTION("""COMPUTED_VALUE"""),40571.0)</f>
        <v>40571</v>
      </c>
      <c r="D5326" s="5">
        <f>IFERROR(__xludf.DUMMYFUNCTION("""COMPUTED_VALUE"""),0.3307824962276353)</f>
        <v>0.3307824962</v>
      </c>
      <c r="E5326" s="5">
        <f>IFERROR(__xludf.DUMMYFUNCTION("""COMPUTED_VALUE"""),0.10869799525759861)</f>
        <v>0.1086979953</v>
      </c>
      <c r="F5326" s="5">
        <f>IFERROR(__xludf.DUMMYFUNCTION("""COMPUTED_VALUE"""),0.2058094416900194)</f>
        <v>0.2058094417</v>
      </c>
      <c r="G5326" s="5">
        <f>IFERROR(__xludf.DUMMYFUNCTION("""COMPUTED_VALUE"""),0.17334015951713733)</f>
        <v>0.1733401595</v>
      </c>
      <c r="H5326" s="5">
        <f>IFERROR(__xludf.DUMMYFUNCTION("""COMPUTED_VALUE"""),0.5979313956533124)</f>
        <v>0.5979313957</v>
      </c>
      <c r="I5326" s="11">
        <f>IFERROR(__xludf.DUMMYFUNCTION("""COMPUTED_VALUE"""),5750.75936108929)</f>
        <v>5750.759361</v>
      </c>
      <c r="J5326" s="10">
        <f>IFERROR(__xludf.DUMMYFUNCTION("""COMPUTED_VALUE"""),2.0)</f>
        <v>2</v>
      </c>
      <c r="K5326" s="5">
        <f>IFERROR(__xludf.DUMMYFUNCTION("""COMPUTED_VALUE"""),5.782017924255566E-4)</f>
        <v>0.0005782017924</v>
      </c>
      <c r="L5326" s="10">
        <f>IFERROR(__xludf.DUMMYFUNCTION("""COMPUTED_VALUE"""),3458.0)</f>
        <v>3458</v>
      </c>
      <c r="M5326" s="5">
        <f>IFERROR(__xludf.DUMMYFUNCTION("""COMPUTED_VALUE"""),0.9997108991037872)</f>
        <v>0.9997108991</v>
      </c>
    </row>
    <row r="5327">
      <c r="A5327" s="10" t="str">
        <f>IFERROR(__xludf.DUMMYFUNCTION("""COMPUTED_VALUE"""),"長門*未沙")</f>
        <v>長門*未沙</v>
      </c>
      <c r="B5327" s="10">
        <f>IFERROR(__xludf.DUMMYFUNCTION("""COMPUTED_VALUE"""),173.0)</f>
        <v>173</v>
      </c>
      <c r="C5327" s="10">
        <f>IFERROR(__xludf.DUMMYFUNCTION("""COMPUTED_VALUE"""),2041.0)</f>
        <v>2041</v>
      </c>
      <c r="D5327" s="5">
        <f>IFERROR(__xludf.DUMMYFUNCTION("""COMPUTED_VALUE"""),0.34796573875803)</f>
        <v>0.3479657388</v>
      </c>
      <c r="E5327" s="5">
        <f>IFERROR(__xludf.DUMMYFUNCTION("""COMPUTED_VALUE"""),0.10867237687366167)</f>
        <v>0.1086723769</v>
      </c>
      <c r="F5327" s="5">
        <f>IFERROR(__xludf.DUMMYFUNCTION("""COMPUTED_VALUE"""),0.18522483940042828)</f>
        <v>0.1852248394</v>
      </c>
      <c r="G5327" s="5">
        <f>IFERROR(__xludf.DUMMYFUNCTION("""COMPUTED_VALUE"""),0.13062098501070663)</f>
        <v>0.130620985</v>
      </c>
      <c r="H5327" s="5">
        <f>IFERROR(__xludf.DUMMYFUNCTION("""COMPUTED_VALUE"""),0.5867052023121387)</f>
        <v>0.5867052023</v>
      </c>
      <c r="I5327" s="11">
        <f>IFERROR(__xludf.DUMMYFUNCTION("""COMPUTED_VALUE"""),5515.028901734104)</f>
        <v>5515.028902</v>
      </c>
      <c r="J5327" s="10">
        <f>IFERROR(__xludf.DUMMYFUNCTION("""COMPUTED_VALUE"""),1.0)</f>
        <v>1</v>
      </c>
      <c r="K5327" s="5">
        <f>IFERROR(__xludf.DUMMYFUNCTION("""COMPUTED_VALUE"""),0.005780346820809248)</f>
        <v>0.005780346821</v>
      </c>
      <c r="L5327" s="10">
        <f>IFERROR(__xludf.DUMMYFUNCTION("""COMPUTED_VALUE"""),173.0)</f>
        <v>173</v>
      </c>
      <c r="M5327" s="5">
        <f>IFERROR(__xludf.DUMMYFUNCTION("""COMPUTED_VALUE"""),1.0)</f>
        <v>1</v>
      </c>
    </row>
    <row r="5328">
      <c r="A5328" s="10" t="str">
        <f>IFERROR(__xludf.DUMMYFUNCTION("""COMPUTED_VALUE"""),"bbppfa")</f>
        <v>bbppfa</v>
      </c>
      <c r="B5328" s="10">
        <f>IFERROR(__xludf.DUMMYFUNCTION("""COMPUTED_VALUE"""),139.0)</f>
        <v>139</v>
      </c>
      <c r="C5328" s="10">
        <f>IFERROR(__xludf.DUMMYFUNCTION("""COMPUTED_VALUE"""),1667.0)</f>
        <v>1667</v>
      </c>
      <c r="D5328" s="5">
        <f>IFERROR(__xludf.DUMMYFUNCTION("""COMPUTED_VALUE"""),0.3730366492146597)</f>
        <v>0.3730366492</v>
      </c>
      <c r="E5328" s="5">
        <f>IFERROR(__xludf.DUMMYFUNCTION("""COMPUTED_VALUE"""),0.10863874345549739)</f>
        <v>0.1086387435</v>
      </c>
      <c r="F5328" s="5">
        <f>IFERROR(__xludf.DUMMYFUNCTION("""COMPUTED_VALUE"""),0.2212041884816754)</f>
        <v>0.2212041885</v>
      </c>
      <c r="G5328" s="5">
        <f>IFERROR(__xludf.DUMMYFUNCTION("""COMPUTED_VALUE"""),0.18848167539267016)</f>
        <v>0.1884816754</v>
      </c>
      <c r="H5328" s="5">
        <f>IFERROR(__xludf.DUMMYFUNCTION("""COMPUTED_VALUE"""),0.6272189349112426)</f>
        <v>0.6272189349</v>
      </c>
      <c r="I5328" s="11">
        <f>IFERROR(__xludf.DUMMYFUNCTION("""COMPUTED_VALUE"""),5096.449704142012)</f>
        <v>5096.449704</v>
      </c>
      <c r="J5328" s="10">
        <f>IFERROR(__xludf.DUMMYFUNCTION("""COMPUTED_VALUE"""),0.0)</f>
        <v>0</v>
      </c>
      <c r="K5328" s="5">
        <f>IFERROR(__xludf.DUMMYFUNCTION("""COMPUTED_VALUE"""),0.0)</f>
        <v>0</v>
      </c>
      <c r="L5328" s="10">
        <f>IFERROR(__xludf.DUMMYFUNCTION("""COMPUTED_VALUE"""),139.0)</f>
        <v>139</v>
      </c>
      <c r="M5328" s="5">
        <f>IFERROR(__xludf.DUMMYFUNCTION("""COMPUTED_VALUE"""),1.0)</f>
        <v>1</v>
      </c>
    </row>
    <row r="5329">
      <c r="A5329" s="10" t="str">
        <f>IFERROR(__xludf.DUMMYFUNCTION("""COMPUTED_VALUE"""),"目玉野郎")</f>
        <v>目玉野郎</v>
      </c>
      <c r="B5329" s="10">
        <f>IFERROR(__xludf.DUMMYFUNCTION("""COMPUTED_VALUE"""),635.0)</f>
        <v>635</v>
      </c>
      <c r="C5329" s="10">
        <f>IFERROR(__xludf.DUMMYFUNCTION("""COMPUTED_VALUE"""),7466.0)</f>
        <v>7466</v>
      </c>
      <c r="D5329" s="5">
        <f>IFERROR(__xludf.DUMMYFUNCTION("""COMPUTED_VALUE"""),0.28370663153271847)</f>
        <v>0.2837066315</v>
      </c>
      <c r="E5329" s="5">
        <f>IFERROR(__xludf.DUMMYFUNCTION("""COMPUTED_VALUE"""),0.1086224564485434)</f>
        <v>0.1086224564</v>
      </c>
      <c r="F5329" s="5">
        <f>IFERROR(__xludf.DUMMYFUNCTION("""COMPUTED_VALUE"""),0.19528619528619529)</f>
        <v>0.1952861953</v>
      </c>
      <c r="G5329" s="5">
        <f>IFERROR(__xludf.DUMMYFUNCTION("""COMPUTED_VALUE"""),0.1351193090323525)</f>
        <v>0.135119309</v>
      </c>
      <c r="H5329" s="5">
        <f>IFERROR(__xludf.DUMMYFUNCTION("""COMPUTED_VALUE"""),0.6064467766116941)</f>
        <v>0.6064467766</v>
      </c>
      <c r="I5329" s="11">
        <f>IFERROR(__xludf.DUMMYFUNCTION("""COMPUTED_VALUE"""),5627.436281859071)</f>
        <v>5627.436282</v>
      </c>
      <c r="J5329" s="10">
        <f>IFERROR(__xludf.DUMMYFUNCTION("""COMPUTED_VALUE"""),0.0)</f>
        <v>0</v>
      </c>
      <c r="K5329" s="5">
        <f>IFERROR(__xludf.DUMMYFUNCTION("""COMPUTED_VALUE"""),0.0)</f>
        <v>0</v>
      </c>
      <c r="L5329" s="10">
        <f>IFERROR(__xludf.DUMMYFUNCTION("""COMPUTED_VALUE"""),635.0)</f>
        <v>635</v>
      </c>
      <c r="M5329" s="5">
        <f>IFERROR(__xludf.DUMMYFUNCTION("""COMPUTED_VALUE"""),1.0)</f>
        <v>1</v>
      </c>
    </row>
    <row r="5330">
      <c r="A5330" s="10" t="str">
        <f>IFERROR(__xludf.DUMMYFUNCTION("""COMPUTED_VALUE"""),"切り札")</f>
        <v>切り札</v>
      </c>
      <c r="B5330" s="10">
        <f>IFERROR(__xludf.DUMMYFUNCTION("""COMPUTED_VALUE"""),1546.0)</f>
        <v>1546</v>
      </c>
      <c r="C5330" s="10">
        <f>IFERROR(__xludf.DUMMYFUNCTION("""COMPUTED_VALUE"""),18150.0)</f>
        <v>18150</v>
      </c>
      <c r="D5330" s="5">
        <f>IFERROR(__xludf.DUMMYFUNCTION("""COMPUTED_VALUE"""),0.3275114430257769)</f>
        <v>0.327511443</v>
      </c>
      <c r="E5330" s="5">
        <f>IFERROR(__xludf.DUMMYFUNCTION("""COMPUTED_VALUE"""),0.10858829197783666)</f>
        <v>0.108588292</v>
      </c>
      <c r="F5330" s="5">
        <f>IFERROR(__xludf.DUMMYFUNCTION("""COMPUTED_VALUE"""),0.21320163815947965)</f>
        <v>0.2132016382</v>
      </c>
      <c r="G5330" s="5">
        <f>IFERROR(__xludf.DUMMYFUNCTION("""COMPUTED_VALUE"""),0.19049626596000963)</f>
        <v>0.190496266</v>
      </c>
      <c r="H5330" s="5">
        <f>IFERROR(__xludf.DUMMYFUNCTION("""COMPUTED_VALUE"""),0.5915254237288136)</f>
        <v>0.5915254237</v>
      </c>
      <c r="I5330" s="11">
        <f>IFERROR(__xludf.DUMMYFUNCTION("""COMPUTED_VALUE"""),5572.2316384180795)</f>
        <v>5572.231638</v>
      </c>
      <c r="J5330" s="10">
        <f>IFERROR(__xludf.DUMMYFUNCTION("""COMPUTED_VALUE"""),3.0)</f>
        <v>3</v>
      </c>
      <c r="K5330" s="5">
        <f>IFERROR(__xludf.DUMMYFUNCTION("""COMPUTED_VALUE"""),0.0019404915912031048)</f>
        <v>0.001940491591</v>
      </c>
      <c r="L5330" s="10">
        <f>IFERROR(__xludf.DUMMYFUNCTION("""COMPUTED_VALUE"""),1546.0)</f>
        <v>1546</v>
      </c>
      <c r="M5330" s="5">
        <f>IFERROR(__xludf.DUMMYFUNCTION("""COMPUTED_VALUE"""),1.0)</f>
        <v>1</v>
      </c>
    </row>
    <row r="5331">
      <c r="A5331" s="10" t="str">
        <f>IFERROR(__xludf.DUMMYFUNCTION("""COMPUTED_VALUE"""),"芳槻")</f>
        <v>芳槻</v>
      </c>
      <c r="B5331" s="10">
        <f>IFERROR(__xludf.DUMMYFUNCTION("""COMPUTED_VALUE"""),412.0)</f>
        <v>412</v>
      </c>
      <c r="C5331" s="10">
        <f>IFERROR(__xludf.DUMMYFUNCTION("""COMPUTED_VALUE"""),4814.0)</f>
        <v>4814</v>
      </c>
      <c r="D5331" s="5">
        <f>IFERROR(__xludf.DUMMYFUNCTION("""COMPUTED_VALUE"""),0.32894139027714675)</f>
        <v>0.3289413903</v>
      </c>
      <c r="E5331" s="5">
        <f>IFERROR(__xludf.DUMMYFUNCTION("""COMPUTED_VALUE"""),0.10858700590640617)</f>
        <v>0.1085870059</v>
      </c>
      <c r="F5331" s="5">
        <f>IFERROR(__xludf.DUMMYFUNCTION("""COMPUTED_VALUE"""),0.20013630168105406)</f>
        <v>0.2001363017</v>
      </c>
      <c r="G5331" s="5">
        <f>IFERROR(__xludf.DUMMYFUNCTION("""COMPUTED_VALUE"""),0.18128123580190822)</f>
        <v>0.1812812358</v>
      </c>
      <c r="H5331" s="5">
        <f>IFERROR(__xludf.DUMMYFUNCTION("""COMPUTED_VALUE"""),0.5618615209988649)</f>
        <v>0.561861521</v>
      </c>
      <c r="I5331" s="11">
        <f>IFERROR(__xludf.DUMMYFUNCTION("""COMPUTED_VALUE"""),5763.904653802497)</f>
        <v>5763.904654</v>
      </c>
      <c r="J5331" s="10">
        <f>IFERROR(__xludf.DUMMYFUNCTION("""COMPUTED_VALUE"""),2.0)</f>
        <v>2</v>
      </c>
      <c r="K5331" s="5">
        <f>IFERROR(__xludf.DUMMYFUNCTION("""COMPUTED_VALUE"""),0.0048543689320388345)</f>
        <v>0.004854368932</v>
      </c>
      <c r="L5331" s="10">
        <f>IFERROR(__xludf.DUMMYFUNCTION("""COMPUTED_VALUE"""),412.0)</f>
        <v>412</v>
      </c>
      <c r="M5331" s="5">
        <f>IFERROR(__xludf.DUMMYFUNCTION("""COMPUTED_VALUE"""),1.0)</f>
        <v>1</v>
      </c>
    </row>
    <row r="5332">
      <c r="A5332" s="10" t="str">
        <f>IFERROR(__xludf.DUMMYFUNCTION("""COMPUTED_VALUE"""),"〓片岡優希〓")</f>
        <v>〓片岡優希〓</v>
      </c>
      <c r="B5332" s="10">
        <f>IFERROR(__xludf.DUMMYFUNCTION("""COMPUTED_VALUE"""),244.0)</f>
        <v>244</v>
      </c>
      <c r="C5332" s="10">
        <f>IFERROR(__xludf.DUMMYFUNCTION("""COMPUTED_VALUE"""),2842.0)</f>
        <v>2842</v>
      </c>
      <c r="D5332" s="5">
        <f>IFERROR(__xludf.DUMMYFUNCTION("""COMPUTED_VALUE"""),0.35758275596612776)</f>
        <v>0.357582756</v>
      </c>
      <c r="E5332" s="5">
        <f>IFERROR(__xludf.DUMMYFUNCTION("""COMPUTED_VALUE"""),0.10854503464203233)</f>
        <v>0.1085450346</v>
      </c>
      <c r="F5332" s="5">
        <f>IFERROR(__xludf.DUMMYFUNCTION("""COMPUTED_VALUE"""),0.21516551193225558)</f>
        <v>0.2151655119</v>
      </c>
      <c r="G5332" s="5">
        <f>IFERROR(__xludf.DUMMYFUNCTION("""COMPUTED_VALUE"""),0.16204772902232487)</f>
        <v>0.162047729</v>
      </c>
      <c r="H5332" s="5">
        <f>IFERROR(__xludf.DUMMYFUNCTION("""COMPUTED_VALUE"""),0.5724508050089445)</f>
        <v>0.572450805</v>
      </c>
      <c r="I5332" s="11">
        <f>IFERROR(__xludf.DUMMYFUNCTION("""COMPUTED_VALUE"""),5256.887298747763)</f>
        <v>5256.887299</v>
      </c>
      <c r="J5332" s="10">
        <f>IFERROR(__xludf.DUMMYFUNCTION("""COMPUTED_VALUE"""),0.0)</f>
        <v>0</v>
      </c>
      <c r="K5332" s="5">
        <f>IFERROR(__xludf.DUMMYFUNCTION("""COMPUTED_VALUE"""),0.0)</f>
        <v>0</v>
      </c>
      <c r="L5332" s="10">
        <f>IFERROR(__xludf.DUMMYFUNCTION("""COMPUTED_VALUE"""),0.0)</f>
        <v>0</v>
      </c>
      <c r="M5332" s="5">
        <f>IFERROR(__xludf.DUMMYFUNCTION("""COMPUTED_VALUE"""),0.0)</f>
        <v>0</v>
      </c>
    </row>
    <row r="5333">
      <c r="A5333" s="10" t="str">
        <f>IFERROR(__xludf.DUMMYFUNCTION("""COMPUTED_VALUE"""),"ふくちゃんです")</f>
        <v>ふくちゃんです</v>
      </c>
      <c r="B5333" s="10">
        <f>IFERROR(__xludf.DUMMYFUNCTION("""COMPUTED_VALUE"""),206.0)</f>
        <v>206</v>
      </c>
      <c r="C5333" s="10">
        <f>IFERROR(__xludf.DUMMYFUNCTION("""COMPUTED_VALUE"""),2445.0)</f>
        <v>2445</v>
      </c>
      <c r="D5333" s="5">
        <f>IFERROR(__xludf.DUMMYFUNCTION("""COMPUTED_VALUE"""),0.292094685127289)</f>
        <v>0.2920946851</v>
      </c>
      <c r="E5333" s="5">
        <f>IFERROR(__xludf.DUMMYFUNCTION("""COMPUTED_VALUE"""),0.10853059401518535)</f>
        <v>0.108530594</v>
      </c>
      <c r="F5333" s="5">
        <f>IFERROR(__xludf.DUMMYFUNCTION("""COMPUTED_VALUE"""),0.1866904868244752)</f>
        <v>0.1866904868</v>
      </c>
      <c r="G5333" s="5">
        <f>IFERROR(__xludf.DUMMYFUNCTION("""COMPUTED_VALUE"""),0.13756141134435015)</f>
        <v>0.1375614113</v>
      </c>
      <c r="H5333" s="5">
        <f>IFERROR(__xludf.DUMMYFUNCTION("""COMPUTED_VALUE"""),0.5885167464114832)</f>
        <v>0.5885167464</v>
      </c>
      <c r="I5333" s="11">
        <f>IFERROR(__xludf.DUMMYFUNCTION("""COMPUTED_VALUE"""),5849.521531100479)</f>
        <v>5849.521531</v>
      </c>
      <c r="J5333" s="10">
        <f>IFERROR(__xludf.DUMMYFUNCTION("""COMPUTED_VALUE"""),0.0)</f>
        <v>0</v>
      </c>
      <c r="K5333" s="5">
        <f>IFERROR(__xludf.DUMMYFUNCTION("""COMPUTED_VALUE"""),0.0)</f>
        <v>0</v>
      </c>
      <c r="L5333" s="10">
        <f>IFERROR(__xludf.DUMMYFUNCTION("""COMPUTED_VALUE"""),206.0)</f>
        <v>206</v>
      </c>
      <c r="M5333" s="5">
        <f>IFERROR(__xludf.DUMMYFUNCTION("""COMPUTED_VALUE"""),1.0)</f>
        <v>1</v>
      </c>
    </row>
    <row r="5334">
      <c r="A5334" s="10" t="str">
        <f>IFERROR(__xludf.DUMMYFUNCTION("""COMPUTED_VALUE"""),"main()")</f>
        <v>main()</v>
      </c>
      <c r="B5334" s="10">
        <f>IFERROR(__xludf.DUMMYFUNCTION("""COMPUTED_VALUE"""),1401.0)</f>
        <v>1401</v>
      </c>
      <c r="C5334" s="10">
        <f>IFERROR(__xludf.DUMMYFUNCTION("""COMPUTED_VALUE"""),16665.0)</f>
        <v>16665</v>
      </c>
      <c r="D5334" s="5">
        <f>IFERROR(__xludf.DUMMYFUNCTION("""COMPUTED_VALUE"""),0.391312893081761)</f>
        <v>0.3913128931</v>
      </c>
      <c r="E5334" s="5">
        <f>IFERROR(__xludf.DUMMYFUNCTION("""COMPUTED_VALUE"""),0.10849056603773585)</f>
        <v>0.108490566</v>
      </c>
      <c r="F5334" s="5">
        <f>IFERROR(__xludf.DUMMYFUNCTION("""COMPUTED_VALUE"""),0.19719601677148846)</f>
        <v>0.1971960168</v>
      </c>
      <c r="G5334" s="5">
        <f>IFERROR(__xludf.DUMMYFUNCTION("""COMPUTED_VALUE"""),0.16686320754716982)</f>
        <v>0.1668632075</v>
      </c>
      <c r="H5334" s="5">
        <f>IFERROR(__xludf.DUMMYFUNCTION("""COMPUTED_VALUE"""),0.5823920265780731)</f>
        <v>0.5823920266</v>
      </c>
      <c r="I5334" s="11">
        <f>IFERROR(__xludf.DUMMYFUNCTION("""COMPUTED_VALUE"""),5561.993355481727)</f>
        <v>5561.993355</v>
      </c>
      <c r="J5334" s="10">
        <f>IFERROR(__xludf.DUMMYFUNCTION("""COMPUTED_VALUE"""),2.0)</f>
        <v>2</v>
      </c>
      <c r="K5334" s="5">
        <f>IFERROR(__xludf.DUMMYFUNCTION("""COMPUTED_VALUE"""),0.0014275517487508922)</f>
        <v>0.001427551749</v>
      </c>
      <c r="L5334" s="10">
        <f>IFERROR(__xludf.DUMMYFUNCTION("""COMPUTED_VALUE"""),1401.0)</f>
        <v>1401</v>
      </c>
      <c r="M5334" s="5">
        <f>IFERROR(__xludf.DUMMYFUNCTION("""COMPUTED_VALUE"""),1.0)</f>
        <v>1</v>
      </c>
    </row>
    <row r="5335">
      <c r="A5335" s="10" t="str">
        <f>IFERROR(__xludf.DUMMYFUNCTION("""COMPUTED_VALUE"""),"xなもx")</f>
        <v>xなもx</v>
      </c>
      <c r="B5335" s="10">
        <f>IFERROR(__xludf.DUMMYFUNCTION("""COMPUTED_VALUE"""),143.0)</f>
        <v>143</v>
      </c>
      <c r="C5335" s="10">
        <f>IFERROR(__xludf.DUMMYFUNCTION("""COMPUTED_VALUE"""),1664.0)</f>
        <v>1664</v>
      </c>
      <c r="D5335" s="5">
        <f>IFERROR(__xludf.DUMMYFUNCTION("""COMPUTED_VALUE"""),0.3635765943458251)</f>
        <v>0.3635765943</v>
      </c>
      <c r="E5335" s="5">
        <f>IFERROR(__xludf.DUMMYFUNCTION("""COMPUTED_VALUE"""),0.10848126232741617)</f>
        <v>0.1084812623</v>
      </c>
      <c r="F5335" s="5">
        <f>IFERROR(__xludf.DUMMYFUNCTION("""COMPUTED_VALUE"""),0.20118343195266272)</f>
        <v>0.201183432</v>
      </c>
      <c r="G5335" s="5">
        <f>IFERROR(__xludf.DUMMYFUNCTION("""COMPUTED_VALUE"""),0.1492439184746877)</f>
        <v>0.1492439185</v>
      </c>
      <c r="H5335" s="5">
        <f>IFERROR(__xludf.DUMMYFUNCTION("""COMPUTED_VALUE"""),0.5849673202614379)</f>
        <v>0.5849673203</v>
      </c>
      <c r="I5335" s="11">
        <f>IFERROR(__xludf.DUMMYFUNCTION("""COMPUTED_VALUE"""),5568.300653594772)</f>
        <v>5568.300654</v>
      </c>
      <c r="J5335" s="10">
        <f>IFERROR(__xludf.DUMMYFUNCTION("""COMPUTED_VALUE"""),0.0)</f>
        <v>0</v>
      </c>
      <c r="K5335" s="5">
        <f>IFERROR(__xludf.DUMMYFUNCTION("""COMPUTED_VALUE"""),0.0)</f>
        <v>0</v>
      </c>
      <c r="L5335" s="10">
        <f>IFERROR(__xludf.DUMMYFUNCTION("""COMPUTED_VALUE"""),79.0)</f>
        <v>79</v>
      </c>
      <c r="M5335" s="5">
        <f>IFERROR(__xludf.DUMMYFUNCTION("""COMPUTED_VALUE"""),0.5524475524475524)</f>
        <v>0.5524475524</v>
      </c>
    </row>
    <row r="5336">
      <c r="A5336" s="10" t="str">
        <f>IFERROR(__xludf.DUMMYFUNCTION("""COMPUTED_VALUE"""),"ぽんでらいおん")</f>
        <v>ぽんでらいおん</v>
      </c>
      <c r="B5336" s="10">
        <f>IFERROR(__xludf.DUMMYFUNCTION("""COMPUTED_VALUE"""),1429.0)</f>
        <v>1429</v>
      </c>
      <c r="C5336" s="10">
        <f>IFERROR(__xludf.DUMMYFUNCTION("""COMPUTED_VALUE"""),16566.0)</f>
        <v>16566</v>
      </c>
      <c r="D5336" s="5">
        <f>IFERROR(__xludf.DUMMYFUNCTION("""COMPUTED_VALUE"""),0.3081852414613199)</f>
        <v>0.3081852415</v>
      </c>
      <c r="E5336" s="5">
        <f>IFERROR(__xludf.DUMMYFUNCTION("""COMPUTED_VALUE"""),0.10847591993129418)</f>
        <v>0.1084759199</v>
      </c>
      <c r="F5336" s="5">
        <f>IFERROR(__xludf.DUMMYFUNCTION("""COMPUTED_VALUE"""),0.20142696703441898)</f>
        <v>0.201426967</v>
      </c>
      <c r="G5336" s="5">
        <f>IFERROR(__xludf.DUMMYFUNCTION("""COMPUTED_VALUE"""),0.18253286648609368)</f>
        <v>0.1825328665</v>
      </c>
      <c r="H5336" s="5">
        <f>IFERROR(__xludf.DUMMYFUNCTION("""COMPUTED_VALUE"""),0.594293210888816)</f>
        <v>0.5942932109</v>
      </c>
      <c r="I5336" s="11">
        <f>IFERROR(__xludf.DUMMYFUNCTION("""COMPUTED_VALUE"""),6155.624795014759)</f>
        <v>6155.624795</v>
      </c>
      <c r="J5336" s="10">
        <f>IFERROR(__xludf.DUMMYFUNCTION("""COMPUTED_VALUE"""),2.0)</f>
        <v>2</v>
      </c>
      <c r="K5336" s="5">
        <f>IFERROR(__xludf.DUMMYFUNCTION("""COMPUTED_VALUE"""),0.0013995801259622112)</f>
        <v>0.001399580126</v>
      </c>
      <c r="L5336" s="10">
        <f>IFERROR(__xludf.DUMMYFUNCTION("""COMPUTED_VALUE"""),1429.0)</f>
        <v>1429</v>
      </c>
      <c r="M5336" s="5">
        <f>IFERROR(__xludf.DUMMYFUNCTION("""COMPUTED_VALUE"""),1.0)</f>
        <v>1</v>
      </c>
    </row>
    <row r="5337">
      <c r="A5337" s="10" t="str">
        <f>IFERROR(__xludf.DUMMYFUNCTION("""COMPUTED_VALUE"""),"はたらけ")</f>
        <v>はたらけ</v>
      </c>
      <c r="B5337" s="10">
        <f>IFERROR(__xludf.DUMMYFUNCTION("""COMPUTED_VALUE"""),245.0)</f>
        <v>245</v>
      </c>
      <c r="C5337" s="10">
        <f>IFERROR(__xludf.DUMMYFUNCTION("""COMPUTED_VALUE"""),2808.0)</f>
        <v>2808</v>
      </c>
      <c r="D5337" s="5">
        <f>IFERROR(__xludf.DUMMYFUNCTION("""COMPUTED_VALUE"""),0.35817401482637534)</f>
        <v>0.3581740148</v>
      </c>
      <c r="E5337" s="5">
        <f>IFERROR(__xludf.DUMMYFUNCTION("""COMPUTED_VALUE"""),0.10846664065548185)</f>
        <v>0.1084666407</v>
      </c>
      <c r="F5337" s="5">
        <f>IFERROR(__xludf.DUMMYFUNCTION("""COMPUTED_VALUE"""),0.19547405384315256)</f>
        <v>0.1954740538</v>
      </c>
      <c r="G5337" s="5">
        <f>IFERROR(__xludf.DUMMYFUNCTION("""COMPUTED_VALUE"""),0.16426063207179087)</f>
        <v>0.1642606321</v>
      </c>
      <c r="H5337" s="5">
        <f>IFERROR(__xludf.DUMMYFUNCTION("""COMPUTED_VALUE"""),0.5868263473053892)</f>
        <v>0.5868263473</v>
      </c>
      <c r="I5337" s="11">
        <f>IFERROR(__xludf.DUMMYFUNCTION("""COMPUTED_VALUE"""),5734.530938123752)</f>
        <v>5734.530938</v>
      </c>
      <c r="J5337" s="10">
        <f>IFERROR(__xludf.DUMMYFUNCTION("""COMPUTED_VALUE"""),0.0)</f>
        <v>0</v>
      </c>
      <c r="K5337" s="5">
        <f>IFERROR(__xludf.DUMMYFUNCTION("""COMPUTED_VALUE"""),0.0)</f>
        <v>0</v>
      </c>
      <c r="L5337" s="10">
        <f>IFERROR(__xludf.DUMMYFUNCTION("""COMPUTED_VALUE"""),245.0)</f>
        <v>245</v>
      </c>
      <c r="M5337" s="5">
        <f>IFERROR(__xludf.DUMMYFUNCTION("""COMPUTED_VALUE"""),1.0)</f>
        <v>1</v>
      </c>
    </row>
    <row r="5338">
      <c r="A5338" s="10" t="str">
        <f>IFERROR(__xludf.DUMMYFUNCTION("""COMPUTED_VALUE"""),"やまいだれ")</f>
        <v>やまいだれ</v>
      </c>
      <c r="B5338" s="10">
        <f>IFERROR(__xludf.DUMMYFUNCTION("""COMPUTED_VALUE"""),197.0)</f>
        <v>197</v>
      </c>
      <c r="C5338" s="10">
        <f>IFERROR(__xludf.DUMMYFUNCTION("""COMPUTED_VALUE"""),2355.0)</f>
        <v>2355</v>
      </c>
      <c r="D5338" s="5">
        <f>IFERROR(__xludf.DUMMYFUNCTION("""COMPUTED_VALUE"""),0.3336422613531047)</f>
        <v>0.3336422614</v>
      </c>
      <c r="E5338" s="5">
        <f>IFERROR(__xludf.DUMMYFUNCTION("""COMPUTED_VALUE"""),0.10843373493975904)</f>
        <v>0.1084337349</v>
      </c>
      <c r="F5338" s="5">
        <f>IFERROR(__xludf.DUMMYFUNCTION("""COMPUTED_VALUE"""),0.1835032437442076)</f>
        <v>0.1835032437</v>
      </c>
      <c r="G5338" s="5">
        <f>IFERROR(__xludf.DUMMYFUNCTION("""COMPUTED_VALUE"""),0.17794253938832252)</f>
        <v>0.1779425394</v>
      </c>
      <c r="H5338" s="5">
        <f>IFERROR(__xludf.DUMMYFUNCTION("""COMPUTED_VALUE"""),0.601010101010101)</f>
        <v>0.601010101</v>
      </c>
      <c r="I5338" s="11">
        <f>IFERROR(__xludf.DUMMYFUNCTION("""COMPUTED_VALUE"""),6027.272727272727)</f>
        <v>6027.272727</v>
      </c>
      <c r="J5338" s="10">
        <f>IFERROR(__xludf.DUMMYFUNCTION("""COMPUTED_VALUE"""),1.0)</f>
        <v>1</v>
      </c>
      <c r="K5338" s="5">
        <f>IFERROR(__xludf.DUMMYFUNCTION("""COMPUTED_VALUE"""),0.005076142131979695)</f>
        <v>0.005076142132</v>
      </c>
      <c r="L5338" s="10">
        <f>IFERROR(__xludf.DUMMYFUNCTION("""COMPUTED_VALUE"""),197.0)</f>
        <v>197</v>
      </c>
      <c r="M5338" s="5">
        <f>IFERROR(__xludf.DUMMYFUNCTION("""COMPUTED_VALUE"""),1.0)</f>
        <v>1</v>
      </c>
    </row>
    <row r="5339">
      <c r="A5339" s="10" t="str">
        <f>IFERROR(__xludf.DUMMYFUNCTION("""COMPUTED_VALUE"""),"柚比楓仁")</f>
        <v>柚比楓仁</v>
      </c>
      <c r="B5339" s="10">
        <f>IFERROR(__xludf.DUMMYFUNCTION("""COMPUTED_VALUE"""),2592.0)</f>
        <v>2592</v>
      </c>
      <c r="C5339" s="10">
        <f>IFERROR(__xludf.DUMMYFUNCTION("""COMPUTED_VALUE"""),30370.0)</f>
        <v>30370</v>
      </c>
      <c r="D5339" s="5">
        <f>IFERROR(__xludf.DUMMYFUNCTION("""COMPUTED_VALUE"""),0.3282453740370077)</f>
        <v>0.328245374</v>
      </c>
      <c r="E5339" s="5">
        <f>IFERROR(__xludf.DUMMYFUNCTION("""COMPUTED_VALUE"""),0.1084311325509396)</f>
        <v>0.1084311326</v>
      </c>
      <c r="F5339" s="5">
        <f>IFERROR(__xludf.DUMMYFUNCTION("""COMPUTED_VALUE"""),0.19900640794873642)</f>
        <v>0.1990064079</v>
      </c>
      <c r="G5339" s="5">
        <f>IFERROR(__xludf.DUMMYFUNCTION("""COMPUTED_VALUE"""),0.1600907192742458)</f>
        <v>0.1600907193</v>
      </c>
      <c r="H5339" s="5">
        <f>IFERROR(__xludf.DUMMYFUNCTION("""COMPUTED_VALUE"""),0.5971418234442837)</f>
        <v>0.5971418234</v>
      </c>
      <c r="I5339" s="11">
        <f>IFERROR(__xludf.DUMMYFUNCTION("""COMPUTED_VALUE"""),5687.536179450072)</f>
        <v>5687.536179</v>
      </c>
      <c r="J5339" s="10">
        <f>IFERROR(__xludf.DUMMYFUNCTION("""COMPUTED_VALUE"""),3.0)</f>
        <v>3</v>
      </c>
      <c r="K5339" s="5">
        <f>IFERROR(__xludf.DUMMYFUNCTION("""COMPUTED_VALUE"""),0.0011574074074074073)</f>
        <v>0.001157407407</v>
      </c>
      <c r="L5339" s="10">
        <f>IFERROR(__xludf.DUMMYFUNCTION("""COMPUTED_VALUE"""),2566.0)</f>
        <v>2566</v>
      </c>
      <c r="M5339" s="5">
        <f>IFERROR(__xludf.DUMMYFUNCTION("""COMPUTED_VALUE"""),0.9899691358024691)</f>
        <v>0.9899691358</v>
      </c>
    </row>
    <row r="5340">
      <c r="A5340" s="10" t="str">
        <f>IFERROR(__xludf.DUMMYFUNCTION("""COMPUTED_VALUE"""),"北九州のラボメン")</f>
        <v>北九州のラボメン</v>
      </c>
      <c r="B5340" s="10">
        <f>IFERROR(__xludf.DUMMYFUNCTION("""COMPUTED_VALUE"""),119.0)</f>
        <v>119</v>
      </c>
      <c r="C5340" s="10">
        <f>IFERROR(__xludf.DUMMYFUNCTION("""COMPUTED_VALUE"""),1401.0)</f>
        <v>1401</v>
      </c>
      <c r="D5340" s="5">
        <f>IFERROR(__xludf.DUMMYFUNCTION("""COMPUTED_VALUE"""),0.32761310452418096)</f>
        <v>0.3276131045</v>
      </c>
      <c r="E5340" s="5">
        <f>IFERROR(__xludf.DUMMYFUNCTION("""COMPUTED_VALUE"""),0.10842433697347893)</f>
        <v>0.108424337</v>
      </c>
      <c r="F5340" s="5">
        <f>IFERROR(__xludf.DUMMYFUNCTION("""COMPUTED_VALUE"""),0.1794071762870515)</f>
        <v>0.1794071763</v>
      </c>
      <c r="G5340" s="5">
        <f>IFERROR(__xludf.DUMMYFUNCTION("""COMPUTED_VALUE"""),0.15912636505460218)</f>
        <v>0.1591263651</v>
      </c>
      <c r="H5340" s="5">
        <f>IFERROR(__xludf.DUMMYFUNCTION("""COMPUTED_VALUE"""),0.6217391304347826)</f>
        <v>0.6217391304</v>
      </c>
      <c r="I5340" s="11">
        <f>IFERROR(__xludf.DUMMYFUNCTION("""COMPUTED_VALUE"""),5843.04347826087)</f>
        <v>5843.043478</v>
      </c>
      <c r="J5340" s="10">
        <f>IFERROR(__xludf.DUMMYFUNCTION("""COMPUTED_VALUE"""),0.0)</f>
        <v>0</v>
      </c>
      <c r="K5340" s="5">
        <f>IFERROR(__xludf.DUMMYFUNCTION("""COMPUTED_VALUE"""),0.0)</f>
        <v>0</v>
      </c>
      <c r="L5340" s="10">
        <f>IFERROR(__xludf.DUMMYFUNCTION("""COMPUTED_VALUE"""),119.0)</f>
        <v>119</v>
      </c>
      <c r="M5340" s="5">
        <f>IFERROR(__xludf.DUMMYFUNCTION("""COMPUTED_VALUE"""),1.0)</f>
        <v>1</v>
      </c>
    </row>
    <row r="5341">
      <c r="A5341" s="10" t="str">
        <f>IFERROR(__xludf.DUMMYFUNCTION("""COMPUTED_VALUE"""),"れってる")</f>
        <v>れってる</v>
      </c>
      <c r="B5341" s="10">
        <f>IFERROR(__xludf.DUMMYFUNCTION("""COMPUTED_VALUE"""),363.0)</f>
        <v>363</v>
      </c>
      <c r="C5341" s="10">
        <f>IFERROR(__xludf.DUMMYFUNCTION("""COMPUTED_VALUE"""),4357.0)</f>
        <v>4357</v>
      </c>
      <c r="D5341" s="5">
        <f>IFERROR(__xludf.DUMMYFUNCTION("""COMPUTED_VALUE"""),0.32348522784176265)</f>
        <v>0.3234852278</v>
      </c>
      <c r="E5341" s="5">
        <f>IFERROR(__xludf.DUMMYFUNCTION("""COMPUTED_VALUE"""),0.10841261892839259)</f>
        <v>0.1084126189</v>
      </c>
      <c r="F5341" s="5">
        <f>IFERROR(__xludf.DUMMYFUNCTION("""COMPUTED_VALUE"""),0.18327491236855284)</f>
        <v>0.1832749124</v>
      </c>
      <c r="G5341" s="5">
        <f>IFERROR(__xludf.DUMMYFUNCTION("""COMPUTED_VALUE"""),0.1384576865297947)</f>
        <v>0.1384576865</v>
      </c>
      <c r="H5341" s="5">
        <f>IFERROR(__xludf.DUMMYFUNCTION("""COMPUTED_VALUE"""),0.6024590163934426)</f>
        <v>0.6024590164</v>
      </c>
      <c r="I5341" s="11">
        <f>IFERROR(__xludf.DUMMYFUNCTION("""COMPUTED_VALUE"""),5934.836065573771)</f>
        <v>5934.836066</v>
      </c>
      <c r="J5341" s="10">
        <f>IFERROR(__xludf.DUMMYFUNCTION("""COMPUTED_VALUE"""),2.0)</f>
        <v>2</v>
      </c>
      <c r="K5341" s="5">
        <f>IFERROR(__xludf.DUMMYFUNCTION("""COMPUTED_VALUE"""),0.005509641873278237)</f>
        <v>0.005509641873</v>
      </c>
      <c r="L5341" s="10">
        <f>IFERROR(__xludf.DUMMYFUNCTION("""COMPUTED_VALUE"""),363.0)</f>
        <v>363</v>
      </c>
      <c r="M5341" s="5">
        <f>IFERROR(__xludf.DUMMYFUNCTION("""COMPUTED_VALUE"""),1.0)</f>
        <v>1</v>
      </c>
    </row>
    <row r="5342">
      <c r="A5342" s="10" t="str">
        <f>IFERROR(__xludf.DUMMYFUNCTION("""COMPUTED_VALUE"""),"アスパラ侍")</f>
        <v>アスパラ侍</v>
      </c>
      <c r="B5342" s="10">
        <f>IFERROR(__xludf.DUMMYFUNCTION("""COMPUTED_VALUE"""),330.0)</f>
        <v>330</v>
      </c>
      <c r="C5342" s="10">
        <f>IFERROR(__xludf.DUMMYFUNCTION("""COMPUTED_VALUE"""),3946.0)</f>
        <v>3946</v>
      </c>
      <c r="D5342" s="5">
        <f>IFERROR(__xludf.DUMMYFUNCTION("""COMPUTED_VALUE"""),0.37942477876106195)</f>
        <v>0.3794247788</v>
      </c>
      <c r="E5342" s="5">
        <f>IFERROR(__xludf.DUMMYFUNCTION("""COMPUTED_VALUE"""),0.1084070796460177)</f>
        <v>0.1084070796</v>
      </c>
      <c r="F5342" s="5">
        <f>IFERROR(__xludf.DUMMYFUNCTION("""COMPUTED_VALUE"""),0.20049778761061948)</f>
        <v>0.2004977876</v>
      </c>
      <c r="G5342" s="5">
        <f>IFERROR(__xludf.DUMMYFUNCTION("""COMPUTED_VALUE"""),0.1551438053097345)</f>
        <v>0.1551438053</v>
      </c>
      <c r="H5342" s="5">
        <f>IFERROR(__xludf.DUMMYFUNCTION("""COMPUTED_VALUE"""),0.5806896551724138)</f>
        <v>0.5806896552</v>
      </c>
      <c r="I5342" s="11">
        <f>IFERROR(__xludf.DUMMYFUNCTION("""COMPUTED_VALUE"""),5224.413793103448)</f>
        <v>5224.413793</v>
      </c>
      <c r="J5342" s="10">
        <f>IFERROR(__xludf.DUMMYFUNCTION("""COMPUTED_VALUE"""),1.0)</f>
        <v>1</v>
      </c>
      <c r="K5342" s="5">
        <f>IFERROR(__xludf.DUMMYFUNCTION("""COMPUTED_VALUE"""),0.0030303030303030303)</f>
        <v>0.00303030303</v>
      </c>
      <c r="L5342" s="10">
        <f>IFERROR(__xludf.DUMMYFUNCTION("""COMPUTED_VALUE"""),330.0)</f>
        <v>330</v>
      </c>
      <c r="M5342" s="5">
        <f>IFERROR(__xludf.DUMMYFUNCTION("""COMPUTED_VALUE"""),1.0)</f>
        <v>1</v>
      </c>
    </row>
    <row r="5343">
      <c r="A5343" s="10" t="str">
        <f>IFERROR(__xludf.DUMMYFUNCTION("""COMPUTED_VALUE"""),"常夏パイ助")</f>
        <v>常夏パイ助</v>
      </c>
      <c r="B5343" s="10">
        <f>IFERROR(__xludf.DUMMYFUNCTION("""COMPUTED_VALUE"""),2404.0)</f>
        <v>2404</v>
      </c>
      <c r="C5343" s="10">
        <f>IFERROR(__xludf.DUMMYFUNCTION("""COMPUTED_VALUE"""),28394.0)</f>
        <v>28394</v>
      </c>
      <c r="D5343" s="5">
        <f>IFERROR(__xludf.DUMMYFUNCTION("""COMPUTED_VALUE"""),0.32347056560215465)</f>
        <v>0.3234705656</v>
      </c>
      <c r="E5343" s="5">
        <f>IFERROR(__xludf.DUMMYFUNCTION("""COMPUTED_VALUE"""),0.10834936514043864)</f>
        <v>0.1083493651</v>
      </c>
      <c r="F5343" s="5">
        <f>IFERROR(__xludf.DUMMYFUNCTION("""COMPUTED_VALUE"""),0.19988457098884185)</f>
        <v>0.199884571</v>
      </c>
      <c r="G5343" s="5">
        <f>IFERROR(__xludf.DUMMYFUNCTION("""COMPUTED_VALUE"""),0.15675259715275106)</f>
        <v>0.1567525972</v>
      </c>
      <c r="H5343" s="5">
        <f>IFERROR(__xludf.DUMMYFUNCTION("""COMPUTED_VALUE"""),0.5926852743022136)</f>
        <v>0.5926852743</v>
      </c>
      <c r="I5343" s="11">
        <f>IFERROR(__xludf.DUMMYFUNCTION("""COMPUTED_VALUE"""),5443.7343599615015)</f>
        <v>5443.73436</v>
      </c>
      <c r="J5343" s="10">
        <f>IFERROR(__xludf.DUMMYFUNCTION("""COMPUTED_VALUE"""),1.0)</f>
        <v>1</v>
      </c>
      <c r="K5343" s="5">
        <f>IFERROR(__xludf.DUMMYFUNCTION("""COMPUTED_VALUE"""),4.1597337770382697E-4)</f>
        <v>0.0004159733777</v>
      </c>
      <c r="L5343" s="10">
        <f>IFERROR(__xludf.DUMMYFUNCTION("""COMPUTED_VALUE"""),39.0)</f>
        <v>39</v>
      </c>
      <c r="M5343" s="5">
        <f>IFERROR(__xludf.DUMMYFUNCTION("""COMPUTED_VALUE"""),0.01622296173044925)</f>
        <v>0.01622296173</v>
      </c>
    </row>
    <row r="5344">
      <c r="A5344" s="10" t="str">
        <f>IFERROR(__xludf.DUMMYFUNCTION("""COMPUTED_VALUE"""),"スケーター")</f>
        <v>スケーター</v>
      </c>
      <c r="B5344" s="10">
        <f>IFERROR(__xludf.DUMMYFUNCTION("""COMPUTED_VALUE"""),3671.0)</f>
        <v>3671</v>
      </c>
      <c r="C5344" s="10">
        <f>IFERROR(__xludf.DUMMYFUNCTION("""COMPUTED_VALUE"""),43384.0)</f>
        <v>43384</v>
      </c>
      <c r="D5344" s="5">
        <f>IFERROR(__xludf.DUMMYFUNCTION("""COMPUTED_VALUE"""),0.34250749124971674)</f>
        <v>0.3425074912</v>
      </c>
      <c r="E5344" s="5">
        <f>IFERROR(__xludf.DUMMYFUNCTION("""COMPUTED_VALUE"""),0.1083020673331151)</f>
        <v>0.1083020673</v>
      </c>
      <c r="F5344" s="5">
        <f>IFERROR(__xludf.DUMMYFUNCTION("""COMPUTED_VALUE"""),0.20038778233827714)</f>
        <v>0.2003877823</v>
      </c>
      <c r="G5344" s="5">
        <f>IFERROR(__xludf.DUMMYFUNCTION("""COMPUTED_VALUE"""),0.14874222546773097)</f>
        <v>0.1487422255</v>
      </c>
      <c r="H5344" s="5">
        <f>IFERROR(__xludf.DUMMYFUNCTION("""COMPUTED_VALUE"""),0.596757979391807)</f>
        <v>0.5967579794</v>
      </c>
      <c r="I5344" s="11">
        <f>IFERROR(__xludf.DUMMYFUNCTION("""COMPUTED_VALUE"""),5632.11862276954)</f>
        <v>5632.118623</v>
      </c>
      <c r="J5344" s="10">
        <f>IFERROR(__xludf.DUMMYFUNCTION("""COMPUTED_VALUE"""),3.0)</f>
        <v>3</v>
      </c>
      <c r="K5344" s="5">
        <f>IFERROR(__xludf.DUMMYFUNCTION("""COMPUTED_VALUE"""),8.172160174339417E-4)</f>
        <v>0.0008172160174</v>
      </c>
      <c r="L5344" s="10">
        <f>IFERROR(__xludf.DUMMYFUNCTION("""COMPUTED_VALUE"""),3671.0)</f>
        <v>3671</v>
      </c>
      <c r="M5344" s="5">
        <f>IFERROR(__xludf.DUMMYFUNCTION("""COMPUTED_VALUE"""),1.0)</f>
        <v>1</v>
      </c>
    </row>
    <row r="5345">
      <c r="A5345" s="10" t="str">
        <f>IFERROR(__xludf.DUMMYFUNCTION("""COMPUTED_VALUE"""),"☆流星☆")</f>
        <v>☆流星☆</v>
      </c>
      <c r="B5345" s="10">
        <f>IFERROR(__xludf.DUMMYFUNCTION("""COMPUTED_VALUE"""),299.0)</f>
        <v>299</v>
      </c>
      <c r="C5345" s="10">
        <f>IFERROR(__xludf.DUMMYFUNCTION("""COMPUTED_VALUE"""),3552.0)</f>
        <v>3552</v>
      </c>
      <c r="D5345" s="5">
        <f>IFERROR(__xludf.DUMMYFUNCTION("""COMPUTED_VALUE"""),0.26959729480479555)</f>
        <v>0.2695972948</v>
      </c>
      <c r="E5345" s="5">
        <f>IFERROR(__xludf.DUMMYFUNCTION("""COMPUTED_VALUE"""),0.10820780817706732)</f>
        <v>0.1082078082</v>
      </c>
      <c r="F5345" s="5">
        <f>IFERROR(__xludf.DUMMYFUNCTION("""COMPUTED_VALUE"""),0.20227482324008608)</f>
        <v>0.2022748232</v>
      </c>
      <c r="G5345" s="5">
        <f>IFERROR(__xludf.DUMMYFUNCTION("""COMPUTED_VALUE"""),0.1524746387949585)</f>
        <v>0.1524746388</v>
      </c>
      <c r="H5345" s="5">
        <f>IFERROR(__xludf.DUMMYFUNCTION("""COMPUTED_VALUE"""),0.6170212765957447)</f>
        <v>0.6170212766</v>
      </c>
      <c r="I5345" s="11">
        <f>IFERROR(__xludf.DUMMYFUNCTION("""COMPUTED_VALUE"""),5599.240121580548)</f>
        <v>5599.240122</v>
      </c>
      <c r="J5345" s="10">
        <f>IFERROR(__xludf.DUMMYFUNCTION("""COMPUTED_VALUE"""),1.0)</f>
        <v>1</v>
      </c>
      <c r="K5345" s="5">
        <f>IFERROR(__xludf.DUMMYFUNCTION("""COMPUTED_VALUE"""),0.0033444816053511705)</f>
        <v>0.003344481605</v>
      </c>
      <c r="L5345" s="10">
        <f>IFERROR(__xludf.DUMMYFUNCTION("""COMPUTED_VALUE"""),299.0)</f>
        <v>299</v>
      </c>
      <c r="M5345" s="5">
        <f>IFERROR(__xludf.DUMMYFUNCTION("""COMPUTED_VALUE"""),1.0)</f>
        <v>1</v>
      </c>
    </row>
    <row r="5346">
      <c r="A5346" s="10" t="str">
        <f>IFERROR(__xludf.DUMMYFUNCTION("""COMPUTED_VALUE"""),"crane")</f>
        <v>crane</v>
      </c>
      <c r="B5346" s="10">
        <f>IFERROR(__xludf.DUMMYFUNCTION("""COMPUTED_VALUE"""),179.0)</f>
        <v>179</v>
      </c>
      <c r="C5346" s="10">
        <f>IFERROR(__xludf.DUMMYFUNCTION("""COMPUTED_VALUE"""),2129.0)</f>
        <v>2129</v>
      </c>
      <c r="D5346" s="5">
        <f>IFERROR(__xludf.DUMMYFUNCTION("""COMPUTED_VALUE"""),0.3487179487179487)</f>
        <v>0.3487179487</v>
      </c>
      <c r="E5346" s="5">
        <f>IFERROR(__xludf.DUMMYFUNCTION("""COMPUTED_VALUE"""),0.1082051282051282)</f>
        <v>0.1082051282</v>
      </c>
      <c r="F5346" s="5">
        <f>IFERROR(__xludf.DUMMYFUNCTION("""COMPUTED_VALUE"""),0.19743589743589743)</f>
        <v>0.1974358974</v>
      </c>
      <c r="G5346" s="5">
        <f>IFERROR(__xludf.DUMMYFUNCTION("""COMPUTED_VALUE"""),0.17025641025641025)</f>
        <v>0.1702564103</v>
      </c>
      <c r="H5346" s="5">
        <f>IFERROR(__xludf.DUMMYFUNCTION("""COMPUTED_VALUE"""),0.5506493506493506)</f>
        <v>0.5506493506</v>
      </c>
      <c r="I5346" s="11">
        <f>IFERROR(__xludf.DUMMYFUNCTION("""COMPUTED_VALUE"""),5644.1558441558445)</f>
        <v>5644.155844</v>
      </c>
      <c r="J5346" s="10">
        <f>IFERROR(__xludf.DUMMYFUNCTION("""COMPUTED_VALUE"""),0.0)</f>
        <v>0</v>
      </c>
      <c r="K5346" s="5">
        <f>IFERROR(__xludf.DUMMYFUNCTION("""COMPUTED_VALUE"""),0.0)</f>
        <v>0</v>
      </c>
      <c r="L5346" s="10">
        <f>IFERROR(__xludf.DUMMYFUNCTION("""COMPUTED_VALUE"""),5.0)</f>
        <v>5</v>
      </c>
      <c r="M5346" s="5">
        <f>IFERROR(__xludf.DUMMYFUNCTION("""COMPUTED_VALUE"""),0.027932960893854747)</f>
        <v>0.02793296089</v>
      </c>
    </row>
    <row r="5347">
      <c r="A5347" s="10" t="str">
        <f>IFERROR(__xludf.DUMMYFUNCTION("""COMPUTED_VALUE"""),"叡鳴")</f>
        <v>叡鳴</v>
      </c>
      <c r="B5347" s="10">
        <f>IFERROR(__xludf.DUMMYFUNCTION("""COMPUTED_VALUE"""),137.0)</f>
        <v>137</v>
      </c>
      <c r="C5347" s="10">
        <f>IFERROR(__xludf.DUMMYFUNCTION("""COMPUTED_VALUE"""),1588.0)</f>
        <v>1588</v>
      </c>
      <c r="D5347" s="5">
        <f>IFERROR(__xludf.DUMMYFUNCTION("""COMPUTED_VALUE"""),0.30323914541695385)</f>
        <v>0.3032391454</v>
      </c>
      <c r="E5347" s="5">
        <f>IFERROR(__xludf.DUMMYFUNCTION("""COMPUTED_VALUE"""),0.1082012405237767)</f>
        <v>0.1082012405</v>
      </c>
      <c r="F5347" s="5">
        <f>IFERROR(__xludf.DUMMYFUNCTION("""COMPUTED_VALUE"""),0.18883528600964852)</f>
        <v>0.188835286</v>
      </c>
      <c r="G5347" s="5">
        <f>IFERROR(__xludf.DUMMYFUNCTION("""COMPUTED_VALUE"""),0.15024121295658166)</f>
        <v>0.150241213</v>
      </c>
      <c r="H5347" s="5">
        <f>IFERROR(__xludf.DUMMYFUNCTION("""COMPUTED_VALUE"""),0.5985401459854015)</f>
        <v>0.598540146</v>
      </c>
      <c r="I5347" s="11">
        <f>IFERROR(__xludf.DUMMYFUNCTION("""COMPUTED_VALUE"""),6047.810218978102)</f>
        <v>6047.810219</v>
      </c>
      <c r="J5347" s="10">
        <f>IFERROR(__xludf.DUMMYFUNCTION("""COMPUTED_VALUE"""),1.0)</f>
        <v>1</v>
      </c>
      <c r="K5347" s="5">
        <f>IFERROR(__xludf.DUMMYFUNCTION("""COMPUTED_VALUE"""),0.0072992700729927005)</f>
        <v>0.007299270073</v>
      </c>
      <c r="L5347" s="10">
        <f>IFERROR(__xludf.DUMMYFUNCTION("""COMPUTED_VALUE"""),137.0)</f>
        <v>137</v>
      </c>
      <c r="M5347" s="5">
        <f>IFERROR(__xludf.DUMMYFUNCTION("""COMPUTED_VALUE"""),1.0)</f>
        <v>1</v>
      </c>
    </row>
    <row r="5348">
      <c r="A5348" s="10" t="str">
        <f>IFERROR(__xludf.DUMMYFUNCTION("""COMPUTED_VALUE"""),"牌王位")</f>
        <v>牌王位</v>
      </c>
      <c r="B5348" s="10">
        <f>IFERROR(__xludf.DUMMYFUNCTION("""COMPUTED_VALUE"""),1841.0)</f>
        <v>1841</v>
      </c>
      <c r="C5348" s="10">
        <f>IFERROR(__xludf.DUMMYFUNCTION("""COMPUTED_VALUE"""),21638.0)</f>
        <v>21638</v>
      </c>
      <c r="D5348" s="5">
        <f>IFERROR(__xludf.DUMMYFUNCTION("""COMPUTED_VALUE"""),0.2864575440723342)</f>
        <v>0.2864575441</v>
      </c>
      <c r="E5348" s="5">
        <f>IFERROR(__xludf.DUMMYFUNCTION("""COMPUTED_VALUE"""),0.10819821185028035)</f>
        <v>0.1081982119</v>
      </c>
      <c r="F5348" s="5">
        <f>IFERROR(__xludf.DUMMYFUNCTION("""COMPUTED_VALUE"""),0.18235086124160227)</f>
        <v>0.1823508612</v>
      </c>
      <c r="G5348" s="5">
        <f>IFERROR(__xludf.DUMMYFUNCTION("""COMPUTED_VALUE"""),0.1444158205788756)</f>
        <v>0.1444158206</v>
      </c>
      <c r="H5348" s="5">
        <f>IFERROR(__xludf.DUMMYFUNCTION("""COMPUTED_VALUE"""),0.5936288088642659)</f>
        <v>0.5936288089</v>
      </c>
      <c r="I5348" s="11">
        <f>IFERROR(__xludf.DUMMYFUNCTION("""COMPUTED_VALUE"""),6063.2409972299165)</f>
        <v>6063.240997</v>
      </c>
      <c r="J5348" s="10">
        <f>IFERROR(__xludf.DUMMYFUNCTION("""COMPUTED_VALUE"""),10.0)</f>
        <v>10</v>
      </c>
      <c r="K5348" s="5">
        <f>IFERROR(__xludf.DUMMYFUNCTION("""COMPUTED_VALUE"""),0.005431830526887561)</f>
        <v>0.005431830527</v>
      </c>
      <c r="L5348" s="10">
        <f>IFERROR(__xludf.DUMMYFUNCTION("""COMPUTED_VALUE"""),1841.0)</f>
        <v>1841</v>
      </c>
      <c r="M5348" s="5">
        <f>IFERROR(__xludf.DUMMYFUNCTION("""COMPUTED_VALUE"""),1.0)</f>
        <v>1</v>
      </c>
    </row>
    <row r="5349">
      <c r="A5349" s="10" t="str">
        <f>IFERROR(__xludf.DUMMYFUNCTION("""COMPUTED_VALUE"""),"奈落の王")</f>
        <v>奈落の王</v>
      </c>
      <c r="B5349" s="10">
        <f>IFERROR(__xludf.DUMMYFUNCTION("""COMPUTED_VALUE"""),7130.0)</f>
        <v>7130</v>
      </c>
      <c r="C5349" s="10">
        <f>IFERROR(__xludf.DUMMYFUNCTION("""COMPUTED_VALUE"""),84442.0)</f>
        <v>84442</v>
      </c>
      <c r="D5349" s="5">
        <f>IFERROR(__xludf.DUMMYFUNCTION("""COMPUTED_VALUE"""),0.3162381001655629)</f>
        <v>0.3162381002</v>
      </c>
      <c r="E5349" s="5">
        <f>IFERROR(__xludf.DUMMYFUNCTION("""COMPUTED_VALUE"""),0.1081979511589404)</f>
        <v>0.1081979512</v>
      </c>
      <c r="F5349" s="5">
        <f>IFERROR(__xludf.DUMMYFUNCTION("""COMPUTED_VALUE"""),0.20537562086092714)</f>
        <v>0.2053756209</v>
      </c>
      <c r="G5349" s="5">
        <f>IFERROR(__xludf.DUMMYFUNCTION("""COMPUTED_VALUE"""),0.15631467301324503)</f>
        <v>0.156314673</v>
      </c>
      <c r="H5349" s="5">
        <f>IFERROR(__xludf.DUMMYFUNCTION("""COMPUTED_VALUE"""),0.5964857034891045)</f>
        <v>0.5964857035</v>
      </c>
      <c r="I5349" s="11">
        <f>IFERROR(__xludf.DUMMYFUNCTION("""COMPUTED_VALUE"""),5526.054918755511)</f>
        <v>5526.054919</v>
      </c>
      <c r="J5349" s="10">
        <f>IFERROR(__xludf.DUMMYFUNCTION("""COMPUTED_VALUE"""),11.0)</f>
        <v>11</v>
      </c>
      <c r="K5349" s="5">
        <f>IFERROR(__xludf.DUMMYFUNCTION("""COMPUTED_VALUE"""),0.0015427769985974754)</f>
        <v>0.001542776999</v>
      </c>
      <c r="L5349" s="10">
        <f>IFERROR(__xludf.DUMMYFUNCTION("""COMPUTED_VALUE"""),7130.0)</f>
        <v>7130</v>
      </c>
      <c r="M5349" s="5">
        <f>IFERROR(__xludf.DUMMYFUNCTION("""COMPUTED_VALUE"""),1.0)</f>
        <v>1</v>
      </c>
    </row>
    <row r="5350">
      <c r="A5350" s="10" t="str">
        <f>IFERROR(__xludf.DUMMYFUNCTION("""COMPUTED_VALUE"""),"ＦＸ雀士")</f>
        <v>ＦＸ雀士</v>
      </c>
      <c r="B5350" s="10">
        <f>IFERROR(__xludf.DUMMYFUNCTION("""COMPUTED_VALUE"""),1131.0)</f>
        <v>1131</v>
      </c>
      <c r="C5350" s="10">
        <f>IFERROR(__xludf.DUMMYFUNCTION("""COMPUTED_VALUE"""),13322.0)</f>
        <v>13322</v>
      </c>
      <c r="D5350" s="5">
        <f>IFERROR(__xludf.DUMMYFUNCTION("""COMPUTED_VALUE"""),0.32187679435649247)</f>
        <v>0.3218767944</v>
      </c>
      <c r="E5350" s="5">
        <f>IFERROR(__xludf.DUMMYFUNCTION("""COMPUTED_VALUE"""),0.10819456976458043)</f>
        <v>0.1081945698</v>
      </c>
      <c r="F5350" s="5">
        <f>IFERROR(__xludf.DUMMYFUNCTION("""COMPUTED_VALUE"""),0.2041670084488557)</f>
        <v>0.2041670084</v>
      </c>
      <c r="G5350" s="5">
        <f>IFERROR(__xludf.DUMMYFUNCTION("""COMPUTED_VALUE"""),0.14732179476663113)</f>
        <v>0.1473217948</v>
      </c>
      <c r="H5350" s="5">
        <f>IFERROR(__xludf.DUMMYFUNCTION("""COMPUTED_VALUE"""),0.5934110084371234)</f>
        <v>0.5934110084</v>
      </c>
      <c r="I5350" s="11">
        <f>IFERROR(__xludf.DUMMYFUNCTION("""COMPUTED_VALUE"""),5558.778625954198)</f>
        <v>5558.778626</v>
      </c>
      <c r="J5350" s="10">
        <f>IFERROR(__xludf.DUMMYFUNCTION("""COMPUTED_VALUE"""),3.0)</f>
        <v>3</v>
      </c>
      <c r="K5350" s="5">
        <f>IFERROR(__xludf.DUMMYFUNCTION("""COMPUTED_VALUE"""),0.002652519893899204)</f>
        <v>0.002652519894</v>
      </c>
      <c r="L5350" s="10">
        <f>IFERROR(__xludf.DUMMYFUNCTION("""COMPUTED_VALUE"""),1131.0)</f>
        <v>1131</v>
      </c>
      <c r="M5350" s="5">
        <f>IFERROR(__xludf.DUMMYFUNCTION("""COMPUTED_VALUE"""),1.0)</f>
        <v>1</v>
      </c>
    </row>
    <row r="5351">
      <c r="A5351" s="10" t="str">
        <f>IFERROR(__xludf.DUMMYFUNCTION("""COMPUTED_VALUE"""),"eik1")</f>
        <v>eik1</v>
      </c>
      <c r="B5351" s="10">
        <f>IFERROR(__xludf.DUMMYFUNCTION("""COMPUTED_VALUE"""),4909.0)</f>
        <v>4909</v>
      </c>
      <c r="C5351" s="10">
        <f>IFERROR(__xludf.DUMMYFUNCTION("""COMPUTED_VALUE"""),57823.0)</f>
        <v>57823</v>
      </c>
      <c r="D5351" s="5">
        <f>IFERROR(__xludf.DUMMYFUNCTION("""COMPUTED_VALUE"""),0.3735684317949881)</f>
        <v>0.3735684318</v>
      </c>
      <c r="E5351" s="5">
        <f>IFERROR(__xludf.DUMMYFUNCTION("""COMPUTED_VALUE"""),0.10811883433495861)</f>
        <v>0.1081188343</v>
      </c>
      <c r="F5351" s="5">
        <f>IFERROR(__xludf.DUMMYFUNCTION("""COMPUTED_VALUE"""),0.21752277280114904)</f>
        <v>0.2175227728</v>
      </c>
      <c r="G5351" s="5">
        <f>IFERROR(__xludf.DUMMYFUNCTION("""COMPUTED_VALUE"""),0.16827304683070643)</f>
        <v>0.1682730468</v>
      </c>
      <c r="H5351" s="5">
        <f>IFERROR(__xludf.DUMMYFUNCTION("""COMPUTED_VALUE"""),0.6078192875760209)</f>
        <v>0.6078192876</v>
      </c>
      <c r="I5351" s="11">
        <f>IFERROR(__xludf.DUMMYFUNCTION("""COMPUTED_VALUE"""),5345.864465682016)</f>
        <v>5345.864466</v>
      </c>
      <c r="J5351" s="10">
        <f>IFERROR(__xludf.DUMMYFUNCTION("""COMPUTED_VALUE"""),5.0)</f>
        <v>5</v>
      </c>
      <c r="K5351" s="5">
        <f>IFERROR(__xludf.DUMMYFUNCTION("""COMPUTED_VALUE"""),0.001018537380321858)</f>
        <v>0.00101853738</v>
      </c>
      <c r="L5351" s="10">
        <f>IFERROR(__xludf.DUMMYFUNCTION("""COMPUTED_VALUE"""),4714.0)</f>
        <v>4714</v>
      </c>
      <c r="M5351" s="5">
        <f>IFERROR(__xludf.DUMMYFUNCTION("""COMPUTED_VALUE"""),0.9602770421674476)</f>
        <v>0.9602770422</v>
      </c>
    </row>
    <row r="5352">
      <c r="A5352" s="10" t="str">
        <f>IFERROR(__xludf.DUMMYFUNCTION("""COMPUTED_VALUE"""),"天運のしゃけ")</f>
        <v>天運のしゃけ</v>
      </c>
      <c r="B5352" s="10">
        <f>IFERROR(__xludf.DUMMYFUNCTION("""COMPUTED_VALUE"""),189.0)</f>
        <v>189</v>
      </c>
      <c r="C5352" s="10">
        <f>IFERROR(__xludf.DUMMYFUNCTION("""COMPUTED_VALUE"""),2261.0)</f>
        <v>2261</v>
      </c>
      <c r="D5352" s="5">
        <f>IFERROR(__xludf.DUMMYFUNCTION("""COMPUTED_VALUE"""),0.3252895752895753)</f>
        <v>0.3252895753</v>
      </c>
      <c r="E5352" s="5">
        <f>IFERROR(__xludf.DUMMYFUNCTION("""COMPUTED_VALUE"""),0.10810810810810811)</f>
        <v>0.1081081081</v>
      </c>
      <c r="F5352" s="5">
        <f>IFERROR(__xludf.DUMMYFUNCTION("""COMPUTED_VALUE"""),0.19642857142857142)</f>
        <v>0.1964285714</v>
      </c>
      <c r="G5352" s="5">
        <f>IFERROR(__xludf.DUMMYFUNCTION("""COMPUTED_VALUE"""),0.12934362934362933)</f>
        <v>0.1293436293</v>
      </c>
      <c r="H5352" s="5">
        <f>IFERROR(__xludf.DUMMYFUNCTION("""COMPUTED_VALUE"""),0.5872235872235873)</f>
        <v>0.5872235872</v>
      </c>
      <c r="I5352" s="11">
        <f>IFERROR(__xludf.DUMMYFUNCTION("""COMPUTED_VALUE"""),5528.255528255529)</f>
        <v>5528.255528</v>
      </c>
      <c r="J5352" s="10">
        <f>IFERROR(__xludf.DUMMYFUNCTION("""COMPUTED_VALUE"""),1.0)</f>
        <v>1</v>
      </c>
      <c r="K5352" s="5">
        <f>IFERROR(__xludf.DUMMYFUNCTION("""COMPUTED_VALUE"""),0.005291005291005291)</f>
        <v>0.005291005291</v>
      </c>
      <c r="L5352" s="10">
        <f>IFERROR(__xludf.DUMMYFUNCTION("""COMPUTED_VALUE"""),189.0)</f>
        <v>189</v>
      </c>
      <c r="M5352" s="5">
        <f>IFERROR(__xludf.DUMMYFUNCTION("""COMPUTED_VALUE"""),1.0)</f>
        <v>1</v>
      </c>
    </row>
    <row r="5353">
      <c r="A5353" s="10" t="str">
        <f>IFERROR(__xludf.DUMMYFUNCTION("""COMPUTED_VALUE"""),"カルピスソーダ君")</f>
        <v>カルピスソーダ君</v>
      </c>
      <c r="B5353" s="10">
        <f>IFERROR(__xludf.DUMMYFUNCTION("""COMPUTED_VALUE"""),295.0)</f>
        <v>295</v>
      </c>
      <c r="C5353" s="10">
        <f>IFERROR(__xludf.DUMMYFUNCTION("""COMPUTED_VALUE"""),3524.0)</f>
        <v>3524</v>
      </c>
      <c r="D5353" s="5">
        <f>IFERROR(__xludf.DUMMYFUNCTION("""COMPUTED_VALUE"""),0.3459275317435739)</f>
        <v>0.3459275317</v>
      </c>
      <c r="E5353" s="5">
        <f>IFERROR(__xludf.DUMMYFUNCTION("""COMPUTED_VALUE"""),0.10808299783214617)</f>
        <v>0.1080829978</v>
      </c>
      <c r="F5353" s="5">
        <f>IFERROR(__xludf.DUMMYFUNCTION("""COMPUTED_VALUE"""),0.20904304738309074)</f>
        <v>0.2090430474</v>
      </c>
      <c r="G5353" s="5">
        <f>IFERROR(__xludf.DUMMYFUNCTION("""COMPUTED_VALUE"""),0.1542273149581914)</f>
        <v>0.154227315</v>
      </c>
      <c r="H5353" s="5">
        <f>IFERROR(__xludf.DUMMYFUNCTION("""COMPUTED_VALUE"""),0.5555555555555556)</f>
        <v>0.5555555556</v>
      </c>
      <c r="I5353" s="11">
        <f>IFERROR(__xludf.DUMMYFUNCTION("""COMPUTED_VALUE"""),5659.111111111111)</f>
        <v>5659.111111</v>
      </c>
      <c r="J5353" s="10">
        <f>IFERROR(__xludf.DUMMYFUNCTION("""COMPUTED_VALUE"""),1.0)</f>
        <v>1</v>
      </c>
      <c r="K5353" s="5">
        <f>IFERROR(__xludf.DUMMYFUNCTION("""COMPUTED_VALUE"""),0.003389830508474576)</f>
        <v>0.003389830508</v>
      </c>
      <c r="L5353" s="10">
        <f>IFERROR(__xludf.DUMMYFUNCTION("""COMPUTED_VALUE"""),295.0)</f>
        <v>295</v>
      </c>
      <c r="M5353" s="5">
        <f>IFERROR(__xludf.DUMMYFUNCTION("""COMPUTED_VALUE"""),1.0)</f>
        <v>1</v>
      </c>
    </row>
    <row r="5354">
      <c r="A5354" s="10" t="str">
        <f>IFERROR(__xludf.DUMMYFUNCTION("""COMPUTED_VALUE"""),"RobiN")</f>
        <v>RobiN</v>
      </c>
      <c r="B5354" s="10">
        <f>IFERROR(__xludf.DUMMYFUNCTION("""COMPUTED_VALUE"""),5106.0)</f>
        <v>5106</v>
      </c>
      <c r="C5354" s="10">
        <f>IFERROR(__xludf.DUMMYFUNCTION("""COMPUTED_VALUE"""),60373.0)</f>
        <v>60373</v>
      </c>
      <c r="D5354" s="5">
        <f>IFERROR(__xludf.DUMMYFUNCTION("""COMPUTED_VALUE"""),0.3228327935295927)</f>
        <v>0.3228327935</v>
      </c>
      <c r="E5354" s="5">
        <f>IFERROR(__xludf.DUMMYFUNCTION("""COMPUTED_VALUE"""),0.10807534333327302)</f>
        <v>0.1080753433</v>
      </c>
      <c r="F5354" s="5">
        <f>IFERROR(__xludf.DUMMYFUNCTION("""COMPUTED_VALUE"""),0.1930265800568151)</f>
        <v>0.1930265801</v>
      </c>
      <c r="G5354" s="5">
        <f>IFERROR(__xludf.DUMMYFUNCTION("""COMPUTED_VALUE"""),0.14572891598965024)</f>
        <v>0.145728916</v>
      </c>
      <c r="H5354" s="5">
        <f>IFERROR(__xludf.DUMMYFUNCTION("""COMPUTED_VALUE"""),0.6014248218972629)</f>
        <v>0.6014248219</v>
      </c>
      <c r="I5354" s="11">
        <f>IFERROR(__xludf.DUMMYFUNCTION("""COMPUTED_VALUE"""),5694.938132733409)</f>
        <v>5694.938133</v>
      </c>
      <c r="J5354" s="10">
        <f>IFERROR(__xludf.DUMMYFUNCTION("""COMPUTED_VALUE"""),8.0)</f>
        <v>8</v>
      </c>
      <c r="K5354" s="5">
        <f>IFERROR(__xludf.DUMMYFUNCTION("""COMPUTED_VALUE"""),0.0015667841754798276)</f>
        <v>0.001566784175</v>
      </c>
      <c r="L5354" s="10">
        <f>IFERROR(__xludf.DUMMYFUNCTION("""COMPUTED_VALUE"""),5106.0)</f>
        <v>5106</v>
      </c>
      <c r="M5354" s="5">
        <f>IFERROR(__xludf.DUMMYFUNCTION("""COMPUTED_VALUE"""),1.0)</f>
        <v>1</v>
      </c>
    </row>
    <row r="5355">
      <c r="A5355" s="10" t="str">
        <f>IFERROR(__xludf.DUMMYFUNCTION("""COMPUTED_VALUE"""),"risky")</f>
        <v>risky</v>
      </c>
      <c r="B5355" s="10">
        <f>IFERROR(__xludf.DUMMYFUNCTION("""COMPUTED_VALUE"""),1679.0)</f>
        <v>1679</v>
      </c>
      <c r="C5355" s="10">
        <f>IFERROR(__xludf.DUMMYFUNCTION("""COMPUTED_VALUE"""),19890.0)</f>
        <v>19890</v>
      </c>
      <c r="D5355" s="5">
        <f>IFERROR(__xludf.DUMMYFUNCTION("""COMPUTED_VALUE"""),0.3505024435780572)</f>
        <v>0.3505024436</v>
      </c>
      <c r="E5355" s="5">
        <f>IFERROR(__xludf.DUMMYFUNCTION("""COMPUTED_VALUE"""),0.10806655318214266)</f>
        <v>0.1080665532</v>
      </c>
      <c r="F5355" s="5">
        <f>IFERROR(__xludf.DUMMYFUNCTION("""COMPUTED_VALUE"""),0.20498599747405413)</f>
        <v>0.2049859975</v>
      </c>
      <c r="G5355" s="5">
        <f>IFERROR(__xludf.DUMMYFUNCTION("""COMPUTED_VALUE"""),0.13920158146175388)</f>
        <v>0.1392015815</v>
      </c>
      <c r="H5355" s="5">
        <f>IFERROR(__xludf.DUMMYFUNCTION("""COMPUTED_VALUE"""),0.5963032413608358)</f>
        <v>0.5963032414</v>
      </c>
      <c r="I5355" s="11">
        <f>IFERROR(__xludf.DUMMYFUNCTION("""COMPUTED_VALUE"""),5474.336994374497)</f>
        <v>5474.336994</v>
      </c>
      <c r="J5355" s="10">
        <f>IFERROR(__xludf.DUMMYFUNCTION("""COMPUTED_VALUE"""),1.0)</f>
        <v>1</v>
      </c>
      <c r="K5355" s="5">
        <f>IFERROR(__xludf.DUMMYFUNCTION("""COMPUTED_VALUE"""),5.955926146515784E-4)</f>
        <v>0.0005955926147</v>
      </c>
      <c r="L5355" s="10">
        <f>IFERROR(__xludf.DUMMYFUNCTION("""COMPUTED_VALUE"""),1679.0)</f>
        <v>1679</v>
      </c>
      <c r="M5355" s="5">
        <f>IFERROR(__xludf.DUMMYFUNCTION("""COMPUTED_VALUE"""),1.0)</f>
        <v>1</v>
      </c>
    </row>
    <row r="5356">
      <c r="A5356" s="10" t="str">
        <f>IFERROR(__xludf.DUMMYFUNCTION("""COMPUTED_VALUE"""),"黒澤ダイヤ")</f>
        <v>黒澤ダイヤ</v>
      </c>
      <c r="B5356" s="10">
        <f>IFERROR(__xludf.DUMMYFUNCTION("""COMPUTED_VALUE"""),176.0)</f>
        <v>176</v>
      </c>
      <c r="C5356" s="10">
        <f>IFERROR(__xludf.DUMMYFUNCTION("""COMPUTED_VALUE"""),2073.0)</f>
        <v>2073</v>
      </c>
      <c r="D5356" s="5">
        <f>IFERROR(__xludf.DUMMYFUNCTION("""COMPUTED_VALUE"""),0.23879810226673695)</f>
        <v>0.2387981023</v>
      </c>
      <c r="E5356" s="5">
        <f>IFERROR(__xludf.DUMMYFUNCTION("""COMPUTED_VALUE"""),0.10806536636794939)</f>
        <v>0.1080653664</v>
      </c>
      <c r="F5356" s="5">
        <f>IFERROR(__xludf.DUMMYFUNCTION("""COMPUTED_VALUE"""),0.20031628887717448)</f>
        <v>0.2003162889</v>
      </c>
      <c r="G5356" s="5">
        <f>IFERROR(__xludf.DUMMYFUNCTION("""COMPUTED_VALUE"""),0.1823932525039536)</f>
        <v>0.1823932525</v>
      </c>
      <c r="H5356" s="5">
        <f>IFERROR(__xludf.DUMMYFUNCTION("""COMPUTED_VALUE"""),0.631578947368421)</f>
        <v>0.6315789474</v>
      </c>
      <c r="I5356" s="11">
        <f>IFERROR(__xludf.DUMMYFUNCTION("""COMPUTED_VALUE"""),6220.263157894737)</f>
        <v>6220.263158</v>
      </c>
      <c r="J5356" s="10">
        <f>IFERROR(__xludf.DUMMYFUNCTION("""COMPUTED_VALUE"""),0.0)</f>
        <v>0</v>
      </c>
      <c r="K5356" s="5">
        <f>IFERROR(__xludf.DUMMYFUNCTION("""COMPUTED_VALUE"""),0.0)</f>
        <v>0</v>
      </c>
      <c r="L5356" s="10">
        <f>IFERROR(__xludf.DUMMYFUNCTION("""COMPUTED_VALUE"""),176.0)</f>
        <v>176</v>
      </c>
      <c r="M5356" s="5">
        <f>IFERROR(__xludf.DUMMYFUNCTION("""COMPUTED_VALUE"""),1.0)</f>
        <v>1</v>
      </c>
    </row>
    <row r="5357">
      <c r="A5357" s="10" t="str">
        <f>IFERROR(__xludf.DUMMYFUNCTION("""COMPUTED_VALUE"""),"Lillammm")</f>
        <v>Lillammm</v>
      </c>
      <c r="B5357" s="10">
        <f>IFERROR(__xludf.DUMMYFUNCTION("""COMPUTED_VALUE"""),144.0)</f>
        <v>144</v>
      </c>
      <c r="C5357" s="10">
        <f>IFERROR(__xludf.DUMMYFUNCTION("""COMPUTED_VALUE"""),1671.0)</f>
        <v>1671</v>
      </c>
      <c r="D5357" s="5">
        <f>IFERROR(__xludf.DUMMYFUNCTION("""COMPUTED_VALUE"""),0.3510150622134905)</f>
        <v>0.3510150622</v>
      </c>
      <c r="E5357" s="5">
        <f>IFERROR(__xludf.DUMMYFUNCTION("""COMPUTED_VALUE"""),0.10805500982318271)</f>
        <v>0.1080550098</v>
      </c>
      <c r="F5357" s="5">
        <f>IFERROR(__xludf.DUMMYFUNCTION("""COMPUTED_VALUE"""),0.2154551407989522)</f>
        <v>0.2154551408</v>
      </c>
      <c r="G5357" s="5">
        <f>IFERROR(__xludf.DUMMYFUNCTION("""COMPUTED_VALUE"""),0.15389652914210872)</f>
        <v>0.1538965291</v>
      </c>
      <c r="H5357" s="5">
        <f>IFERROR(__xludf.DUMMYFUNCTION("""COMPUTED_VALUE"""),0.6261398176291794)</f>
        <v>0.6261398176</v>
      </c>
      <c r="I5357" s="11">
        <f>IFERROR(__xludf.DUMMYFUNCTION("""COMPUTED_VALUE"""),5628.87537993921)</f>
        <v>5628.87538</v>
      </c>
      <c r="J5357" s="10">
        <f>IFERROR(__xludf.DUMMYFUNCTION("""COMPUTED_VALUE"""),1.0)</f>
        <v>1</v>
      </c>
      <c r="K5357" s="5">
        <f>IFERROR(__xludf.DUMMYFUNCTION("""COMPUTED_VALUE"""),0.006944444444444444)</f>
        <v>0.006944444444</v>
      </c>
      <c r="L5357" s="10">
        <f>IFERROR(__xludf.DUMMYFUNCTION("""COMPUTED_VALUE"""),144.0)</f>
        <v>144</v>
      </c>
      <c r="M5357" s="5">
        <f>IFERROR(__xludf.DUMMYFUNCTION("""COMPUTED_VALUE"""),1.0)</f>
        <v>1</v>
      </c>
    </row>
    <row r="5358">
      <c r="A5358" s="10" t="str">
        <f>IFERROR(__xludf.DUMMYFUNCTION("""COMPUTED_VALUE"""),"天城小次郎")</f>
        <v>天城小次郎</v>
      </c>
      <c r="B5358" s="10">
        <f>IFERROR(__xludf.DUMMYFUNCTION("""COMPUTED_VALUE"""),109.0)</f>
        <v>109</v>
      </c>
      <c r="C5358" s="10">
        <f>IFERROR(__xludf.DUMMYFUNCTION("""COMPUTED_VALUE"""),1294.0)</f>
        <v>1294</v>
      </c>
      <c r="D5358" s="5">
        <f>IFERROR(__xludf.DUMMYFUNCTION("""COMPUTED_VALUE"""),0.389873417721519)</f>
        <v>0.3898734177</v>
      </c>
      <c r="E5358" s="5">
        <f>IFERROR(__xludf.DUMMYFUNCTION("""COMPUTED_VALUE"""),0.1080168776371308)</f>
        <v>0.1080168776</v>
      </c>
      <c r="F5358" s="5">
        <f>IFERROR(__xludf.DUMMYFUNCTION("""COMPUTED_VALUE"""),0.189873417721519)</f>
        <v>0.1898734177</v>
      </c>
      <c r="G5358" s="5">
        <f>IFERROR(__xludf.DUMMYFUNCTION("""COMPUTED_VALUE"""),0.15105485232067511)</f>
        <v>0.1510548523</v>
      </c>
      <c r="H5358" s="5">
        <f>IFERROR(__xludf.DUMMYFUNCTION("""COMPUTED_VALUE"""),0.6088888888888889)</f>
        <v>0.6088888889</v>
      </c>
      <c r="I5358" s="11">
        <f>IFERROR(__xludf.DUMMYFUNCTION("""COMPUTED_VALUE"""),5086.222222222223)</f>
        <v>5086.222222</v>
      </c>
      <c r="J5358" s="10">
        <f>IFERROR(__xludf.DUMMYFUNCTION("""COMPUTED_VALUE"""),0.0)</f>
        <v>0</v>
      </c>
      <c r="K5358" s="5">
        <f>IFERROR(__xludf.DUMMYFUNCTION("""COMPUTED_VALUE"""),0.0)</f>
        <v>0</v>
      </c>
      <c r="L5358" s="10">
        <f>IFERROR(__xludf.DUMMYFUNCTION("""COMPUTED_VALUE"""),109.0)</f>
        <v>109</v>
      </c>
      <c r="M5358" s="5">
        <f>IFERROR(__xludf.DUMMYFUNCTION("""COMPUTED_VALUE"""),1.0)</f>
        <v>1</v>
      </c>
    </row>
    <row r="5359">
      <c r="A5359" s="10" t="str">
        <f>IFERROR(__xludf.DUMMYFUNCTION("""COMPUTED_VALUE"""),"昼下がりの団地妻")</f>
        <v>昼下がりの団地妻</v>
      </c>
      <c r="B5359" s="10">
        <f>IFERROR(__xludf.DUMMYFUNCTION("""COMPUTED_VALUE"""),405.0)</f>
        <v>405</v>
      </c>
      <c r="C5359" s="10">
        <f>IFERROR(__xludf.DUMMYFUNCTION("""COMPUTED_VALUE"""),4684.0)</f>
        <v>4684</v>
      </c>
      <c r="D5359" s="5">
        <f>IFERROR(__xludf.DUMMYFUNCTION("""COMPUTED_VALUE"""),0.2750642673521851)</f>
        <v>0.2750642674</v>
      </c>
      <c r="E5359" s="5">
        <f>IFERROR(__xludf.DUMMYFUNCTION("""COMPUTED_VALUE"""),0.10796915167095116)</f>
        <v>0.1079691517</v>
      </c>
      <c r="F5359" s="5">
        <f>IFERROR(__xludf.DUMMYFUNCTION("""COMPUTED_VALUE"""),0.21103061462958636)</f>
        <v>0.2110306146</v>
      </c>
      <c r="G5359" s="5">
        <f>IFERROR(__xludf.DUMMYFUNCTION("""COMPUTED_VALUE"""),0.1745734984809535)</f>
        <v>0.1745734985</v>
      </c>
      <c r="H5359" s="5">
        <f>IFERROR(__xludf.DUMMYFUNCTION("""COMPUTED_VALUE"""),0.5968992248062015)</f>
        <v>0.5968992248</v>
      </c>
      <c r="I5359" s="11">
        <f>IFERROR(__xludf.DUMMYFUNCTION("""COMPUTED_VALUE"""),5605.758582502768)</f>
        <v>5605.758583</v>
      </c>
      <c r="J5359" s="10">
        <f>IFERROR(__xludf.DUMMYFUNCTION("""COMPUTED_VALUE"""),0.0)</f>
        <v>0</v>
      </c>
      <c r="K5359" s="5">
        <f>IFERROR(__xludf.DUMMYFUNCTION("""COMPUTED_VALUE"""),0.0)</f>
        <v>0</v>
      </c>
      <c r="L5359" s="10">
        <f>IFERROR(__xludf.DUMMYFUNCTION("""COMPUTED_VALUE"""),0.0)</f>
        <v>0</v>
      </c>
      <c r="M5359" s="5">
        <f>IFERROR(__xludf.DUMMYFUNCTION("""COMPUTED_VALUE"""),0.0)</f>
        <v>0</v>
      </c>
    </row>
    <row r="5360">
      <c r="A5360" s="10" t="str">
        <f>IFERROR(__xludf.DUMMYFUNCTION("""COMPUTED_VALUE"""),"うどん屋")</f>
        <v>うどん屋</v>
      </c>
      <c r="B5360" s="10">
        <f>IFERROR(__xludf.DUMMYFUNCTION("""COMPUTED_VALUE"""),603.0)</f>
        <v>603</v>
      </c>
      <c r="C5360" s="10">
        <f>IFERROR(__xludf.DUMMYFUNCTION("""COMPUTED_VALUE"""),7106.0)</f>
        <v>7106</v>
      </c>
      <c r="D5360" s="5">
        <f>IFERROR(__xludf.DUMMYFUNCTION("""COMPUTED_VALUE"""),0.37936337075196064)</f>
        <v>0.3793633708</v>
      </c>
      <c r="E5360" s="5">
        <f>IFERROR(__xludf.DUMMYFUNCTION("""COMPUTED_VALUE"""),0.10795017684145779)</f>
        <v>0.1079501768</v>
      </c>
      <c r="F5360" s="5">
        <f>IFERROR(__xludf.DUMMYFUNCTION("""COMPUTED_VALUE"""),0.20744271874519452)</f>
        <v>0.2074427187</v>
      </c>
      <c r="G5360" s="5">
        <f>IFERROR(__xludf.DUMMYFUNCTION("""COMPUTED_VALUE"""),0.15223742887897893)</f>
        <v>0.1522374289</v>
      </c>
      <c r="H5360" s="5">
        <f>IFERROR(__xludf.DUMMYFUNCTION("""COMPUTED_VALUE"""),0.5804299481097109)</f>
        <v>0.5804299481</v>
      </c>
      <c r="I5360" s="11">
        <f>IFERROR(__xludf.DUMMYFUNCTION("""COMPUTED_VALUE"""),5457.449962935508)</f>
        <v>5457.449963</v>
      </c>
      <c r="J5360" s="10">
        <f>IFERROR(__xludf.DUMMYFUNCTION("""COMPUTED_VALUE"""),0.0)</f>
        <v>0</v>
      </c>
      <c r="K5360" s="5">
        <f>IFERROR(__xludf.DUMMYFUNCTION("""COMPUTED_VALUE"""),0.0)</f>
        <v>0</v>
      </c>
      <c r="L5360" s="10">
        <f>IFERROR(__xludf.DUMMYFUNCTION("""COMPUTED_VALUE"""),603.0)</f>
        <v>603</v>
      </c>
      <c r="M5360" s="5">
        <f>IFERROR(__xludf.DUMMYFUNCTION("""COMPUTED_VALUE"""),1.0)</f>
        <v>1</v>
      </c>
    </row>
    <row r="5361">
      <c r="A5361" s="10" t="str">
        <f>IFERROR(__xludf.DUMMYFUNCTION("""COMPUTED_VALUE"""),"銀遊私人")</f>
        <v>銀遊私人</v>
      </c>
      <c r="B5361" s="10">
        <f>IFERROR(__xludf.DUMMYFUNCTION("""COMPUTED_VALUE"""),366.0)</f>
        <v>366</v>
      </c>
      <c r="C5361" s="10">
        <f>IFERROR(__xludf.DUMMYFUNCTION("""COMPUTED_VALUE"""),4276.0)</f>
        <v>4276</v>
      </c>
      <c r="D5361" s="5">
        <f>IFERROR(__xludf.DUMMYFUNCTION("""COMPUTED_VALUE"""),0.2856777493606138)</f>
        <v>0.2856777494</v>
      </c>
      <c r="E5361" s="5">
        <f>IFERROR(__xludf.DUMMYFUNCTION("""COMPUTED_VALUE"""),0.10792838874680306)</f>
        <v>0.1079283887</v>
      </c>
      <c r="F5361" s="5">
        <f>IFERROR(__xludf.DUMMYFUNCTION("""COMPUTED_VALUE"""),0.19948849104859334)</f>
        <v>0.199488491</v>
      </c>
      <c r="G5361" s="5">
        <f>IFERROR(__xludf.DUMMYFUNCTION("""COMPUTED_VALUE"""),0.179539641943734)</f>
        <v>0.1795396419</v>
      </c>
      <c r="H5361" s="5">
        <f>IFERROR(__xludf.DUMMYFUNCTION("""COMPUTED_VALUE"""),0.5769230769230769)</f>
        <v>0.5769230769</v>
      </c>
      <c r="I5361" s="11">
        <f>IFERROR(__xludf.DUMMYFUNCTION("""COMPUTED_VALUE"""),5775.51282051282)</f>
        <v>5775.512821</v>
      </c>
      <c r="J5361" s="10">
        <f>IFERROR(__xludf.DUMMYFUNCTION("""COMPUTED_VALUE"""),1.0)</f>
        <v>1</v>
      </c>
      <c r="K5361" s="5">
        <f>IFERROR(__xludf.DUMMYFUNCTION("""COMPUTED_VALUE"""),0.00273224043715847)</f>
        <v>0.002732240437</v>
      </c>
      <c r="L5361" s="10">
        <f>IFERROR(__xludf.DUMMYFUNCTION("""COMPUTED_VALUE"""),366.0)</f>
        <v>366</v>
      </c>
      <c r="M5361" s="5">
        <f>IFERROR(__xludf.DUMMYFUNCTION("""COMPUTED_VALUE"""),1.0)</f>
        <v>1</v>
      </c>
    </row>
    <row r="5362">
      <c r="A5362" s="10" t="str">
        <f>IFERROR(__xludf.DUMMYFUNCTION("""COMPUTED_VALUE"""),"マリベル")</f>
        <v>マリベル</v>
      </c>
      <c r="B5362" s="10">
        <f>IFERROR(__xludf.DUMMYFUNCTION("""COMPUTED_VALUE"""),528.0)</f>
        <v>528</v>
      </c>
      <c r="C5362" s="10">
        <f>IFERROR(__xludf.DUMMYFUNCTION("""COMPUTED_VALUE"""),6199.0)</f>
        <v>6199</v>
      </c>
      <c r="D5362" s="5">
        <f>IFERROR(__xludf.DUMMYFUNCTION("""COMPUTED_VALUE"""),0.32675013225180743)</f>
        <v>0.3267501323</v>
      </c>
      <c r="E5362" s="5">
        <f>IFERROR(__xludf.DUMMYFUNCTION("""COMPUTED_VALUE"""),0.10791747487215658)</f>
        <v>0.1079174749</v>
      </c>
      <c r="F5362" s="5">
        <f>IFERROR(__xludf.DUMMYFUNCTION("""COMPUTED_VALUE"""),0.2052548051490037)</f>
        <v>0.2052548051</v>
      </c>
      <c r="G5362" s="5">
        <f>IFERROR(__xludf.DUMMYFUNCTION("""COMPUTED_VALUE"""),0.1722800211602892)</f>
        <v>0.1722800212</v>
      </c>
      <c r="H5362" s="5">
        <f>IFERROR(__xludf.DUMMYFUNCTION("""COMPUTED_VALUE"""),0.595360824742268)</f>
        <v>0.5953608247</v>
      </c>
      <c r="I5362" s="11">
        <f>IFERROR(__xludf.DUMMYFUNCTION("""COMPUTED_VALUE"""),5779.295532646048)</f>
        <v>5779.295533</v>
      </c>
      <c r="J5362" s="10">
        <f>IFERROR(__xludf.DUMMYFUNCTION("""COMPUTED_VALUE"""),3.0)</f>
        <v>3</v>
      </c>
      <c r="K5362" s="5">
        <f>IFERROR(__xludf.DUMMYFUNCTION("""COMPUTED_VALUE"""),0.005681818181818182)</f>
        <v>0.005681818182</v>
      </c>
      <c r="L5362" s="10">
        <f>IFERROR(__xludf.DUMMYFUNCTION("""COMPUTED_VALUE"""),1.0)</f>
        <v>1</v>
      </c>
      <c r="M5362" s="5">
        <f>IFERROR(__xludf.DUMMYFUNCTION("""COMPUTED_VALUE"""),0.001893939393939394)</f>
        <v>0.001893939394</v>
      </c>
    </row>
    <row r="5363">
      <c r="A5363" s="10" t="str">
        <f>IFERROR(__xludf.DUMMYFUNCTION("""COMPUTED_VALUE"""),"平家の落人")</f>
        <v>平家の落人</v>
      </c>
      <c r="B5363" s="10">
        <f>IFERROR(__xludf.DUMMYFUNCTION("""COMPUTED_VALUE"""),693.0)</f>
        <v>693</v>
      </c>
      <c r="C5363" s="10">
        <f>IFERROR(__xludf.DUMMYFUNCTION("""COMPUTED_VALUE"""),8200.0)</f>
        <v>8200</v>
      </c>
      <c r="D5363" s="5">
        <f>IFERROR(__xludf.DUMMYFUNCTION("""COMPUTED_VALUE"""),0.2845344345277741)</f>
        <v>0.2845344345</v>
      </c>
      <c r="E5363" s="5">
        <f>IFERROR(__xludf.DUMMYFUNCTION("""COMPUTED_VALUE"""),0.10789929399227388)</f>
        <v>0.107899294</v>
      </c>
      <c r="F5363" s="5">
        <f>IFERROR(__xludf.DUMMYFUNCTION("""COMPUTED_VALUE"""),0.19035566804315973)</f>
        <v>0.190355668</v>
      </c>
      <c r="G5363" s="5">
        <f>IFERROR(__xludf.DUMMYFUNCTION("""COMPUTED_VALUE"""),0.17117357133342215)</f>
        <v>0.1711735713</v>
      </c>
      <c r="H5363" s="5">
        <f>IFERROR(__xludf.DUMMYFUNCTION("""COMPUTED_VALUE"""),0.6011196641007698)</f>
        <v>0.6011196641</v>
      </c>
      <c r="I5363" s="11">
        <f>IFERROR(__xludf.DUMMYFUNCTION("""COMPUTED_VALUE"""),5918.2645206438065)</f>
        <v>5918.264521</v>
      </c>
      <c r="J5363" s="10">
        <f>IFERROR(__xludf.DUMMYFUNCTION("""COMPUTED_VALUE"""),1.0)</f>
        <v>1</v>
      </c>
      <c r="K5363" s="5">
        <f>IFERROR(__xludf.DUMMYFUNCTION("""COMPUTED_VALUE"""),0.001443001443001443)</f>
        <v>0.001443001443</v>
      </c>
      <c r="L5363" s="10">
        <f>IFERROR(__xludf.DUMMYFUNCTION("""COMPUTED_VALUE"""),657.0)</f>
        <v>657</v>
      </c>
      <c r="M5363" s="5">
        <f>IFERROR(__xludf.DUMMYFUNCTION("""COMPUTED_VALUE"""),0.948051948051948)</f>
        <v>0.9480519481</v>
      </c>
    </row>
    <row r="5364">
      <c r="A5364" s="10" t="str">
        <f>IFERROR(__xludf.DUMMYFUNCTION("""COMPUTED_VALUE"""),"ボツ")</f>
        <v>ボツ</v>
      </c>
      <c r="B5364" s="10">
        <f>IFERROR(__xludf.DUMMYFUNCTION("""COMPUTED_VALUE"""),418.0)</f>
        <v>418</v>
      </c>
      <c r="C5364" s="10">
        <f>IFERROR(__xludf.DUMMYFUNCTION("""COMPUTED_VALUE"""),4997.0)</f>
        <v>4997</v>
      </c>
      <c r="D5364" s="5">
        <f>IFERROR(__xludf.DUMMYFUNCTION("""COMPUTED_VALUE"""),0.31972046298318413)</f>
        <v>0.319720463</v>
      </c>
      <c r="E5364" s="5">
        <f>IFERROR(__xludf.DUMMYFUNCTION("""COMPUTED_VALUE"""),0.1078838174273859)</f>
        <v>0.1078838174</v>
      </c>
      <c r="F5364" s="5">
        <f>IFERROR(__xludf.DUMMYFUNCTION("""COMPUTED_VALUE"""),0.2044114435466259)</f>
        <v>0.2044114435</v>
      </c>
      <c r="G5364" s="5">
        <f>IFERROR(__xludf.DUMMYFUNCTION("""COMPUTED_VALUE"""),0.1423891679405984)</f>
        <v>0.1423891679</v>
      </c>
      <c r="H5364" s="5">
        <f>IFERROR(__xludf.DUMMYFUNCTION("""COMPUTED_VALUE"""),0.6004273504273504)</f>
        <v>0.6004273504</v>
      </c>
      <c r="I5364" s="11">
        <f>IFERROR(__xludf.DUMMYFUNCTION("""COMPUTED_VALUE"""),5664.74358974359)</f>
        <v>5664.74359</v>
      </c>
      <c r="J5364" s="10">
        <f>IFERROR(__xludf.DUMMYFUNCTION("""COMPUTED_VALUE"""),0.0)</f>
        <v>0</v>
      </c>
      <c r="K5364" s="5">
        <f>IFERROR(__xludf.DUMMYFUNCTION("""COMPUTED_VALUE"""),0.0)</f>
        <v>0</v>
      </c>
      <c r="L5364" s="10">
        <f>IFERROR(__xludf.DUMMYFUNCTION("""COMPUTED_VALUE"""),418.0)</f>
        <v>418</v>
      </c>
      <c r="M5364" s="5">
        <f>IFERROR(__xludf.DUMMYFUNCTION("""COMPUTED_VALUE"""),1.0)</f>
        <v>1</v>
      </c>
    </row>
    <row r="5365">
      <c r="A5365" s="10" t="str">
        <f>IFERROR(__xludf.DUMMYFUNCTION("""COMPUTED_VALUE"""),"こんぺいとうふ")</f>
        <v>こんぺいとうふ</v>
      </c>
      <c r="B5365" s="10">
        <f>IFERROR(__xludf.DUMMYFUNCTION("""COMPUTED_VALUE"""),1031.0)</f>
        <v>1031</v>
      </c>
      <c r="C5365" s="10">
        <f>IFERROR(__xludf.DUMMYFUNCTION("""COMPUTED_VALUE"""),12059.0)</f>
        <v>12059</v>
      </c>
      <c r="D5365" s="5">
        <f>IFERROR(__xludf.DUMMYFUNCTION("""COMPUTED_VALUE"""),0.367247007616975)</f>
        <v>0.3672470076</v>
      </c>
      <c r="E5365" s="5">
        <f>IFERROR(__xludf.DUMMYFUNCTION("""COMPUTED_VALUE"""),0.107816467174465)</f>
        <v>0.1078164672</v>
      </c>
      <c r="F5365" s="5">
        <f>IFERROR(__xludf.DUMMYFUNCTION("""COMPUTED_VALUE"""),0.22216177003989845)</f>
        <v>0.22216177</v>
      </c>
      <c r="G5365" s="5">
        <f>IFERROR(__xludf.DUMMYFUNCTION("""COMPUTED_VALUE"""),0.16575988393180993)</f>
        <v>0.1657598839</v>
      </c>
      <c r="H5365" s="5">
        <f>IFERROR(__xludf.DUMMYFUNCTION("""COMPUTED_VALUE"""),0.6114285714285714)</f>
        <v>0.6114285714</v>
      </c>
      <c r="I5365" s="11">
        <f>IFERROR(__xludf.DUMMYFUNCTION("""COMPUTED_VALUE"""),5349.673469387755)</f>
        <v>5349.673469</v>
      </c>
      <c r="J5365" s="10">
        <f>IFERROR(__xludf.DUMMYFUNCTION("""COMPUTED_VALUE"""),3.0)</f>
        <v>3</v>
      </c>
      <c r="K5365" s="5">
        <f>IFERROR(__xludf.DUMMYFUNCTION("""COMPUTED_VALUE"""),0.002909796314258002)</f>
        <v>0.002909796314</v>
      </c>
      <c r="L5365" s="10">
        <f>IFERROR(__xludf.DUMMYFUNCTION("""COMPUTED_VALUE"""),0.0)</f>
        <v>0</v>
      </c>
      <c r="M5365" s="5">
        <f>IFERROR(__xludf.DUMMYFUNCTION("""COMPUTED_VALUE"""),0.0)</f>
        <v>0</v>
      </c>
    </row>
    <row r="5366">
      <c r="A5366" s="10" t="str">
        <f>IFERROR(__xludf.DUMMYFUNCTION("""COMPUTED_VALUE"""),"まゆまゆ77")</f>
        <v>まゆまゆ77</v>
      </c>
      <c r="B5366" s="10">
        <f>IFERROR(__xludf.DUMMYFUNCTION("""COMPUTED_VALUE"""),1485.0)</f>
        <v>1485</v>
      </c>
      <c r="C5366" s="10">
        <f>IFERROR(__xludf.DUMMYFUNCTION("""COMPUTED_VALUE"""),17367.0)</f>
        <v>17367</v>
      </c>
      <c r="D5366" s="5">
        <f>IFERROR(__xludf.DUMMYFUNCTION("""COMPUTED_VALUE"""),0.28642488351593)</f>
        <v>0.2864248835</v>
      </c>
      <c r="E5366" s="5">
        <f>IFERROR(__xludf.DUMMYFUNCTION("""COMPUTED_VALUE"""),0.10779498803677119)</f>
        <v>0.107794988</v>
      </c>
      <c r="F5366" s="5">
        <f>IFERROR(__xludf.DUMMYFUNCTION("""COMPUTED_VALUE"""),0.2072157159047979)</f>
        <v>0.2072157159</v>
      </c>
      <c r="G5366" s="5">
        <f>IFERROR(__xludf.DUMMYFUNCTION("""COMPUTED_VALUE"""),0.1555849389245687)</f>
        <v>0.1555849389</v>
      </c>
      <c r="H5366" s="5">
        <f>IFERROR(__xludf.DUMMYFUNCTION("""COMPUTED_VALUE"""),0.6037678517168034)</f>
        <v>0.6037678517</v>
      </c>
      <c r="I5366" s="11">
        <f>IFERROR(__xludf.DUMMYFUNCTION("""COMPUTED_VALUE"""),5586.934062594956)</f>
        <v>5586.934063</v>
      </c>
      <c r="J5366" s="10">
        <f>IFERROR(__xludf.DUMMYFUNCTION("""COMPUTED_VALUE"""),1.0)</f>
        <v>1</v>
      </c>
      <c r="K5366" s="5">
        <f>IFERROR(__xludf.DUMMYFUNCTION("""COMPUTED_VALUE"""),6.734006734006734E-4)</f>
        <v>0.0006734006734</v>
      </c>
      <c r="L5366" s="10">
        <f>IFERROR(__xludf.DUMMYFUNCTION("""COMPUTED_VALUE"""),0.0)</f>
        <v>0</v>
      </c>
      <c r="M5366" s="5">
        <f>IFERROR(__xludf.DUMMYFUNCTION("""COMPUTED_VALUE"""),0.0)</f>
        <v>0</v>
      </c>
    </row>
    <row r="5367">
      <c r="A5367" s="10" t="str">
        <f>IFERROR(__xludf.DUMMYFUNCTION("""COMPUTED_VALUE"""),"*ぶっち*")</f>
        <v>*ぶっち*</v>
      </c>
      <c r="B5367" s="10">
        <f>IFERROR(__xludf.DUMMYFUNCTION("""COMPUTED_VALUE"""),1531.0)</f>
        <v>1531</v>
      </c>
      <c r="C5367" s="10">
        <f>IFERROR(__xludf.DUMMYFUNCTION("""COMPUTED_VALUE"""),18156.0)</f>
        <v>18156</v>
      </c>
      <c r="D5367" s="5">
        <f>IFERROR(__xludf.DUMMYFUNCTION("""COMPUTED_VALUE"""),0.32421052631578945)</f>
        <v>0.3242105263</v>
      </c>
      <c r="E5367" s="5">
        <f>IFERROR(__xludf.DUMMYFUNCTION("""COMPUTED_VALUE"""),0.10778947368421053)</f>
        <v>0.1077894737</v>
      </c>
      <c r="F5367" s="5">
        <f>IFERROR(__xludf.DUMMYFUNCTION("""COMPUTED_VALUE"""),0.1985563909774436)</f>
        <v>0.198556391</v>
      </c>
      <c r="G5367" s="5">
        <f>IFERROR(__xludf.DUMMYFUNCTION("""COMPUTED_VALUE"""),0.17070676691729322)</f>
        <v>0.1707067669</v>
      </c>
      <c r="H5367" s="5">
        <f>IFERROR(__xludf.DUMMYFUNCTION("""COMPUTED_VALUE"""),0.598000605877007)</f>
        <v>0.5980006059</v>
      </c>
      <c r="I5367" s="11">
        <f>IFERROR(__xludf.DUMMYFUNCTION("""COMPUTED_VALUE"""),5654.680399878825)</f>
        <v>5654.6804</v>
      </c>
      <c r="J5367" s="10">
        <f>IFERROR(__xludf.DUMMYFUNCTION("""COMPUTED_VALUE"""),7.0)</f>
        <v>7</v>
      </c>
      <c r="K5367" s="5">
        <f>IFERROR(__xludf.DUMMYFUNCTION("""COMPUTED_VALUE"""),0.0045721750489875895)</f>
        <v>0.004572175049</v>
      </c>
      <c r="L5367" s="10">
        <f>IFERROR(__xludf.DUMMYFUNCTION("""COMPUTED_VALUE"""),1531.0)</f>
        <v>1531</v>
      </c>
      <c r="M5367" s="5">
        <f>IFERROR(__xludf.DUMMYFUNCTION("""COMPUTED_VALUE"""),1.0)</f>
        <v>1</v>
      </c>
    </row>
    <row r="5368">
      <c r="A5368" s="10" t="str">
        <f>IFERROR(__xludf.DUMMYFUNCTION("""COMPUTED_VALUE"""),"ロベルタさん＠")</f>
        <v>ロベルタさん＠</v>
      </c>
      <c r="B5368" s="10">
        <f>IFERROR(__xludf.DUMMYFUNCTION("""COMPUTED_VALUE"""),991.0)</f>
        <v>991</v>
      </c>
      <c r="C5368" s="10">
        <f>IFERROR(__xludf.DUMMYFUNCTION("""COMPUTED_VALUE"""),11725.0)</f>
        <v>11725</v>
      </c>
      <c r="D5368" s="5">
        <f>IFERROR(__xludf.DUMMYFUNCTION("""COMPUTED_VALUE"""),0.2563815912055152)</f>
        <v>0.2563815912</v>
      </c>
      <c r="E5368" s="5">
        <f>IFERROR(__xludf.DUMMYFUNCTION("""COMPUTED_VALUE"""),0.10778833612819079)</f>
        <v>0.1077883361</v>
      </c>
      <c r="F5368" s="5">
        <f>IFERROR(__xludf.DUMMYFUNCTION("""COMPUTED_VALUE"""),0.20365194708403206)</f>
        <v>0.2036519471</v>
      </c>
      <c r="G5368" s="5">
        <f>IFERROR(__xludf.DUMMYFUNCTION("""COMPUTED_VALUE"""),0.21688093907210731)</f>
        <v>0.2168809391</v>
      </c>
      <c r="H5368" s="5">
        <f>IFERROR(__xludf.DUMMYFUNCTION("""COMPUTED_VALUE"""),0.5887465690759378)</f>
        <v>0.5887465691</v>
      </c>
      <c r="I5368" s="11">
        <f>IFERROR(__xludf.DUMMYFUNCTION("""COMPUTED_VALUE"""),6060.475754803294)</f>
        <v>6060.475755</v>
      </c>
      <c r="J5368" s="10">
        <f>IFERROR(__xludf.DUMMYFUNCTION("""COMPUTED_VALUE"""),2.0)</f>
        <v>2</v>
      </c>
      <c r="K5368" s="5">
        <f>IFERROR(__xludf.DUMMYFUNCTION("""COMPUTED_VALUE"""),0.0020181634712411706)</f>
        <v>0.002018163471</v>
      </c>
      <c r="L5368" s="10">
        <f>IFERROR(__xludf.DUMMYFUNCTION("""COMPUTED_VALUE"""),0.0)</f>
        <v>0</v>
      </c>
      <c r="M5368" s="5">
        <f>IFERROR(__xludf.DUMMYFUNCTION("""COMPUTED_VALUE"""),0.0)</f>
        <v>0</v>
      </c>
    </row>
    <row r="5369">
      <c r="A5369" s="10" t="str">
        <f>IFERROR(__xludf.DUMMYFUNCTION("""COMPUTED_VALUE"""),"みきみき♪")</f>
        <v>みきみき♪</v>
      </c>
      <c r="B5369" s="10">
        <f>IFERROR(__xludf.DUMMYFUNCTION("""COMPUTED_VALUE"""),738.0)</f>
        <v>738</v>
      </c>
      <c r="C5369" s="10">
        <f>IFERROR(__xludf.DUMMYFUNCTION("""COMPUTED_VALUE"""),8819.0)</f>
        <v>8819</v>
      </c>
      <c r="D5369" s="5">
        <f>IFERROR(__xludf.DUMMYFUNCTION("""COMPUTED_VALUE"""),0.30070535824774164)</f>
        <v>0.3007053582</v>
      </c>
      <c r="E5369" s="5">
        <f>IFERROR(__xludf.DUMMYFUNCTION("""COMPUTED_VALUE"""),0.10778369013735924)</f>
        <v>0.1077836901</v>
      </c>
      <c r="F5369" s="5">
        <f>IFERROR(__xludf.DUMMYFUNCTION("""COMPUTED_VALUE"""),0.18958049746318525)</f>
        <v>0.1895804975</v>
      </c>
      <c r="G5369" s="5">
        <f>IFERROR(__xludf.DUMMYFUNCTION("""COMPUTED_VALUE"""),0.15468382625912636)</f>
        <v>0.1546838263</v>
      </c>
      <c r="H5369" s="5">
        <f>IFERROR(__xludf.DUMMYFUNCTION("""COMPUTED_VALUE"""),0.6005221932114883)</f>
        <v>0.6005221932</v>
      </c>
      <c r="I5369" s="11">
        <f>IFERROR(__xludf.DUMMYFUNCTION("""COMPUTED_VALUE"""),5588.054830287207)</f>
        <v>5588.05483</v>
      </c>
      <c r="J5369" s="10">
        <f>IFERROR(__xludf.DUMMYFUNCTION("""COMPUTED_VALUE"""),0.0)</f>
        <v>0</v>
      </c>
      <c r="K5369" s="5">
        <f>IFERROR(__xludf.DUMMYFUNCTION("""COMPUTED_VALUE"""),0.0)</f>
        <v>0</v>
      </c>
      <c r="L5369" s="10">
        <f>IFERROR(__xludf.DUMMYFUNCTION("""COMPUTED_VALUE"""),649.0)</f>
        <v>649</v>
      </c>
      <c r="M5369" s="5">
        <f>IFERROR(__xludf.DUMMYFUNCTION("""COMPUTED_VALUE"""),0.8794037940379403)</f>
        <v>0.879403794</v>
      </c>
    </row>
    <row r="5370">
      <c r="A5370" s="10" t="str">
        <f>IFERROR(__xludf.DUMMYFUNCTION("""COMPUTED_VALUE"""),"カタツムリ")</f>
        <v>カタツムリ</v>
      </c>
      <c r="B5370" s="10">
        <f>IFERROR(__xludf.DUMMYFUNCTION("""COMPUTED_VALUE"""),418.0)</f>
        <v>418</v>
      </c>
      <c r="C5370" s="10">
        <f>IFERROR(__xludf.DUMMYFUNCTION("""COMPUTED_VALUE"""),4890.0)</f>
        <v>4890</v>
      </c>
      <c r="D5370" s="5">
        <f>IFERROR(__xludf.DUMMYFUNCTION("""COMPUTED_VALUE"""),0.3819320214669052)</f>
        <v>0.3819320215</v>
      </c>
      <c r="E5370" s="5">
        <f>IFERROR(__xludf.DUMMYFUNCTION("""COMPUTED_VALUE"""),0.10778175313059034)</f>
        <v>0.1077817531</v>
      </c>
      <c r="F5370" s="5">
        <f>IFERROR(__xludf.DUMMYFUNCTION("""COMPUTED_VALUE"""),0.18940071556350627)</f>
        <v>0.1894007156</v>
      </c>
      <c r="G5370" s="5">
        <f>IFERROR(__xludf.DUMMYFUNCTION("""COMPUTED_VALUE"""),0.14803220035778175)</f>
        <v>0.1480322004</v>
      </c>
      <c r="H5370" s="5">
        <f>IFERROR(__xludf.DUMMYFUNCTION("""COMPUTED_VALUE"""),0.5914994096812278)</f>
        <v>0.5914994097</v>
      </c>
      <c r="I5370" s="11">
        <f>IFERROR(__xludf.DUMMYFUNCTION("""COMPUTED_VALUE"""),5866.3518299881935)</f>
        <v>5866.35183</v>
      </c>
      <c r="J5370" s="10">
        <f>IFERROR(__xludf.DUMMYFUNCTION("""COMPUTED_VALUE"""),0.0)</f>
        <v>0</v>
      </c>
      <c r="K5370" s="5">
        <f>IFERROR(__xludf.DUMMYFUNCTION("""COMPUTED_VALUE"""),0.0)</f>
        <v>0</v>
      </c>
      <c r="L5370" s="10">
        <f>IFERROR(__xludf.DUMMYFUNCTION("""COMPUTED_VALUE"""),418.0)</f>
        <v>418</v>
      </c>
      <c r="M5370" s="5">
        <f>IFERROR(__xludf.DUMMYFUNCTION("""COMPUTED_VALUE"""),1.0)</f>
        <v>1</v>
      </c>
    </row>
    <row r="5371">
      <c r="A5371" s="10" t="str">
        <f>IFERROR(__xludf.DUMMYFUNCTION("""COMPUTED_VALUE"""),"二こ二こ")</f>
        <v>二こ二こ</v>
      </c>
      <c r="B5371" s="10">
        <f>IFERROR(__xludf.DUMMYFUNCTION("""COMPUTED_VALUE"""),357.0)</f>
        <v>357</v>
      </c>
      <c r="C5371" s="10">
        <f>IFERROR(__xludf.DUMMYFUNCTION("""COMPUTED_VALUE"""),4226.0)</f>
        <v>4226</v>
      </c>
      <c r="D5371" s="5">
        <f>IFERROR(__xludf.DUMMYFUNCTION("""COMPUTED_VALUE"""),0.2843111915223572)</f>
        <v>0.2843111915</v>
      </c>
      <c r="E5371" s="5">
        <f>IFERROR(__xludf.DUMMYFUNCTION("""COMPUTED_VALUE"""),0.10777978805892996)</f>
        <v>0.1077797881</v>
      </c>
      <c r="F5371" s="5">
        <f>IFERROR(__xludf.DUMMYFUNCTION("""COMPUTED_VALUE"""),0.19539932799172913)</f>
        <v>0.195399328</v>
      </c>
      <c r="G5371" s="5">
        <f>IFERROR(__xludf.DUMMYFUNCTION("""COMPUTED_VALUE"""),0.17937451537865082)</f>
        <v>0.1793745154</v>
      </c>
      <c r="H5371" s="5">
        <f>IFERROR(__xludf.DUMMYFUNCTION("""COMPUTED_VALUE"""),0.6124338624338624)</f>
        <v>0.6124338624</v>
      </c>
      <c r="I5371" s="11">
        <f>IFERROR(__xludf.DUMMYFUNCTION("""COMPUTED_VALUE"""),5887.4338624338625)</f>
        <v>5887.433862</v>
      </c>
      <c r="J5371" s="10">
        <f>IFERROR(__xludf.DUMMYFUNCTION("""COMPUTED_VALUE"""),1.0)</f>
        <v>1</v>
      </c>
      <c r="K5371" s="5">
        <f>IFERROR(__xludf.DUMMYFUNCTION("""COMPUTED_VALUE"""),0.0028011204481792717)</f>
        <v>0.002801120448</v>
      </c>
      <c r="L5371" s="10">
        <f>IFERROR(__xludf.DUMMYFUNCTION("""COMPUTED_VALUE"""),357.0)</f>
        <v>357</v>
      </c>
      <c r="M5371" s="5">
        <f>IFERROR(__xludf.DUMMYFUNCTION("""COMPUTED_VALUE"""),1.0)</f>
        <v>1</v>
      </c>
    </row>
    <row r="5372">
      <c r="A5372" s="10" t="str">
        <f>IFERROR(__xludf.DUMMYFUNCTION("""COMPUTED_VALUE"""),"除名")</f>
        <v>除名</v>
      </c>
      <c r="B5372" s="10">
        <f>IFERROR(__xludf.DUMMYFUNCTION("""COMPUTED_VALUE"""),186.0)</f>
        <v>186</v>
      </c>
      <c r="C5372" s="10">
        <f>IFERROR(__xludf.DUMMYFUNCTION("""COMPUTED_VALUE"""),2135.0)</f>
        <v>2135</v>
      </c>
      <c r="D5372" s="5">
        <f>IFERROR(__xludf.DUMMYFUNCTION("""COMPUTED_VALUE"""),0.32786044125192404)</f>
        <v>0.3278604413</v>
      </c>
      <c r="E5372" s="5">
        <f>IFERROR(__xludf.DUMMYFUNCTION("""COMPUTED_VALUE"""),0.10774756285274499)</f>
        <v>0.1077475629</v>
      </c>
      <c r="F5372" s="5">
        <f>IFERROR(__xludf.DUMMYFUNCTION("""COMPUTED_VALUE"""),0.19805028219599793)</f>
        <v>0.1980502822</v>
      </c>
      <c r="G5372" s="5">
        <f>IFERROR(__xludf.DUMMYFUNCTION("""COMPUTED_VALUE"""),0.1944586967675731)</f>
        <v>0.1944586968</v>
      </c>
      <c r="H5372" s="5">
        <f>IFERROR(__xludf.DUMMYFUNCTION("""COMPUTED_VALUE"""),0.5569948186528497)</f>
        <v>0.5569948187</v>
      </c>
      <c r="I5372" s="11">
        <f>IFERROR(__xludf.DUMMYFUNCTION("""COMPUTED_VALUE"""),6173.056994818653)</f>
        <v>6173.056995</v>
      </c>
      <c r="J5372" s="10">
        <f>IFERROR(__xludf.DUMMYFUNCTION("""COMPUTED_VALUE"""),0.0)</f>
        <v>0</v>
      </c>
      <c r="K5372" s="5">
        <f>IFERROR(__xludf.DUMMYFUNCTION("""COMPUTED_VALUE"""),0.0)</f>
        <v>0</v>
      </c>
      <c r="L5372" s="10">
        <f>IFERROR(__xludf.DUMMYFUNCTION("""COMPUTED_VALUE"""),186.0)</f>
        <v>186</v>
      </c>
      <c r="M5372" s="5">
        <f>IFERROR(__xludf.DUMMYFUNCTION("""COMPUTED_VALUE"""),1.0)</f>
        <v>1</v>
      </c>
    </row>
    <row r="5373">
      <c r="A5373" s="10" t="str">
        <f>IFERROR(__xludf.DUMMYFUNCTION("""COMPUTED_VALUE"""),"富男です")</f>
        <v>富男です</v>
      </c>
      <c r="B5373" s="10">
        <f>IFERROR(__xludf.DUMMYFUNCTION("""COMPUTED_VALUE"""),891.0)</f>
        <v>891</v>
      </c>
      <c r="C5373" s="10">
        <f>IFERROR(__xludf.DUMMYFUNCTION("""COMPUTED_VALUE"""),10444.0)</f>
        <v>10444</v>
      </c>
      <c r="D5373" s="5">
        <f>IFERROR(__xludf.DUMMYFUNCTION("""COMPUTED_VALUE"""),0.3679472417041767)</f>
        <v>0.3679472417</v>
      </c>
      <c r="E5373" s="5">
        <f>IFERROR(__xludf.DUMMYFUNCTION("""COMPUTED_VALUE"""),0.10771485397257406)</f>
        <v>0.107714854</v>
      </c>
      <c r="F5373" s="5">
        <f>IFERROR(__xludf.DUMMYFUNCTION("""COMPUTED_VALUE"""),0.19815764681251963)</f>
        <v>0.1981576468</v>
      </c>
      <c r="G5373" s="5">
        <f>IFERROR(__xludf.DUMMYFUNCTION("""COMPUTED_VALUE"""),0.14131686381241496)</f>
        <v>0.1413168638</v>
      </c>
      <c r="H5373" s="5">
        <f>IFERROR(__xludf.DUMMYFUNCTION("""COMPUTED_VALUE"""),0.6096143687268886)</f>
        <v>0.6096143687</v>
      </c>
      <c r="I5373" s="11">
        <f>IFERROR(__xludf.DUMMYFUNCTION("""COMPUTED_VALUE"""),5441.098784997359)</f>
        <v>5441.098785</v>
      </c>
      <c r="J5373" s="10">
        <f>IFERROR(__xludf.DUMMYFUNCTION("""COMPUTED_VALUE"""),1.0)</f>
        <v>1</v>
      </c>
      <c r="K5373" s="5">
        <f>IFERROR(__xludf.DUMMYFUNCTION("""COMPUTED_VALUE"""),0.001122334455667789)</f>
        <v>0.001122334456</v>
      </c>
      <c r="L5373" s="10">
        <f>IFERROR(__xludf.DUMMYFUNCTION("""COMPUTED_VALUE"""),891.0)</f>
        <v>891</v>
      </c>
      <c r="M5373" s="5">
        <f>IFERROR(__xludf.DUMMYFUNCTION("""COMPUTED_VALUE"""),1.0)</f>
        <v>1</v>
      </c>
    </row>
    <row r="5374">
      <c r="A5374" s="10" t="str">
        <f>IFERROR(__xludf.DUMMYFUNCTION("""COMPUTED_VALUE"""),"悠雅")</f>
        <v>悠雅</v>
      </c>
      <c r="B5374" s="10">
        <f>IFERROR(__xludf.DUMMYFUNCTION("""COMPUTED_VALUE"""),889.0)</f>
        <v>889</v>
      </c>
      <c r="C5374" s="10">
        <f>IFERROR(__xludf.DUMMYFUNCTION("""COMPUTED_VALUE"""),10573.0)</f>
        <v>10573</v>
      </c>
      <c r="D5374" s="5">
        <f>IFERROR(__xludf.DUMMYFUNCTION("""COMPUTED_VALUE"""),0.3047294506402313)</f>
        <v>0.3047294506</v>
      </c>
      <c r="E5374" s="5">
        <f>IFERROR(__xludf.DUMMYFUNCTION("""COMPUTED_VALUE"""),0.1077034283353986)</f>
        <v>0.1077034283</v>
      </c>
      <c r="F5374" s="5">
        <f>IFERROR(__xludf.DUMMYFUNCTION("""COMPUTED_VALUE"""),0.2022924411400248)</f>
        <v>0.2022924411</v>
      </c>
      <c r="G5374" s="5">
        <f>IFERROR(__xludf.DUMMYFUNCTION("""COMPUTED_VALUE"""),0.12226352746798844)</f>
        <v>0.1222635275</v>
      </c>
      <c r="H5374" s="5">
        <f>IFERROR(__xludf.DUMMYFUNCTION("""COMPUTED_VALUE"""),0.633486472690148)</f>
        <v>0.6334864727</v>
      </c>
      <c r="I5374" s="11">
        <f>IFERROR(__xludf.DUMMYFUNCTION("""COMPUTED_VALUE"""),5436.651352730985)</f>
        <v>5436.651353</v>
      </c>
      <c r="J5374" s="10">
        <f>IFERROR(__xludf.DUMMYFUNCTION("""COMPUTED_VALUE"""),1.0)</f>
        <v>1</v>
      </c>
      <c r="K5374" s="5">
        <f>IFERROR(__xludf.DUMMYFUNCTION("""COMPUTED_VALUE"""),0.0011248593925759281)</f>
        <v>0.001124859393</v>
      </c>
      <c r="L5374" s="10">
        <f>IFERROR(__xludf.DUMMYFUNCTION("""COMPUTED_VALUE"""),889.0)</f>
        <v>889</v>
      </c>
      <c r="M5374" s="5">
        <f>IFERROR(__xludf.DUMMYFUNCTION("""COMPUTED_VALUE"""),1.0)</f>
        <v>1</v>
      </c>
    </row>
    <row r="5375">
      <c r="A5375" s="10" t="str">
        <f>IFERROR(__xludf.DUMMYFUNCTION("""COMPUTED_VALUE"""),"ニンジーン")</f>
        <v>ニンジーン</v>
      </c>
      <c r="B5375" s="10">
        <f>IFERROR(__xludf.DUMMYFUNCTION("""COMPUTED_VALUE"""),215.0)</f>
        <v>215</v>
      </c>
      <c r="C5375" s="10">
        <f>IFERROR(__xludf.DUMMYFUNCTION("""COMPUTED_VALUE"""),2519.0)</f>
        <v>2519</v>
      </c>
      <c r="D5375" s="5">
        <f>IFERROR(__xludf.DUMMYFUNCTION("""COMPUTED_VALUE"""),0.3185763888888889)</f>
        <v>0.3185763889</v>
      </c>
      <c r="E5375" s="5">
        <f>IFERROR(__xludf.DUMMYFUNCTION("""COMPUTED_VALUE"""),0.1076388888888889)</f>
        <v>0.1076388889</v>
      </c>
      <c r="F5375" s="5">
        <f>IFERROR(__xludf.DUMMYFUNCTION("""COMPUTED_VALUE"""),0.20703125)</f>
        <v>0.20703125</v>
      </c>
      <c r="G5375" s="5">
        <f>IFERROR(__xludf.DUMMYFUNCTION("""COMPUTED_VALUE"""),0.17317708333333334)</f>
        <v>0.1731770833</v>
      </c>
      <c r="H5375" s="5">
        <f>IFERROR(__xludf.DUMMYFUNCTION("""COMPUTED_VALUE"""),0.5911949685534591)</f>
        <v>0.5911949686</v>
      </c>
      <c r="I5375" s="11">
        <f>IFERROR(__xludf.DUMMYFUNCTION("""COMPUTED_VALUE"""),5060.796645702306)</f>
        <v>5060.796646</v>
      </c>
      <c r="J5375" s="10">
        <f>IFERROR(__xludf.DUMMYFUNCTION("""COMPUTED_VALUE"""),0.0)</f>
        <v>0</v>
      </c>
      <c r="K5375" s="5">
        <f>IFERROR(__xludf.DUMMYFUNCTION("""COMPUTED_VALUE"""),0.0)</f>
        <v>0</v>
      </c>
      <c r="L5375" s="10">
        <f>IFERROR(__xludf.DUMMYFUNCTION("""COMPUTED_VALUE"""),215.0)</f>
        <v>215</v>
      </c>
      <c r="M5375" s="5">
        <f>IFERROR(__xludf.DUMMYFUNCTION("""COMPUTED_VALUE"""),1.0)</f>
        <v>1</v>
      </c>
    </row>
    <row r="5376">
      <c r="A5376" s="10" t="str">
        <f>IFERROR(__xludf.DUMMYFUNCTION("""COMPUTED_VALUE"""),"冗談笑止！")</f>
        <v>冗談笑止！</v>
      </c>
      <c r="B5376" s="10">
        <f>IFERROR(__xludf.DUMMYFUNCTION("""COMPUTED_VALUE"""),245.0)</f>
        <v>245</v>
      </c>
      <c r="C5376" s="10">
        <f>IFERROR(__xludf.DUMMYFUNCTION("""COMPUTED_VALUE"""),2940.0)</f>
        <v>2940</v>
      </c>
      <c r="D5376" s="5">
        <f>IFERROR(__xludf.DUMMYFUNCTION("""COMPUTED_VALUE"""),0.3410018552875696)</f>
        <v>0.3410018553</v>
      </c>
      <c r="E5376" s="5">
        <f>IFERROR(__xludf.DUMMYFUNCTION("""COMPUTED_VALUE"""),0.10760667903525047)</f>
        <v>0.107606679</v>
      </c>
      <c r="F5376" s="5">
        <f>IFERROR(__xludf.DUMMYFUNCTION("""COMPUTED_VALUE"""),0.2025974025974026)</f>
        <v>0.2025974026</v>
      </c>
      <c r="G5376" s="5">
        <f>IFERROR(__xludf.DUMMYFUNCTION("""COMPUTED_VALUE"""),0.11576994434137292)</f>
        <v>0.1157699443</v>
      </c>
      <c r="H5376" s="5">
        <f>IFERROR(__xludf.DUMMYFUNCTION("""COMPUTED_VALUE"""),0.6373626373626373)</f>
        <v>0.6373626374</v>
      </c>
      <c r="I5376" s="11">
        <f>IFERROR(__xludf.DUMMYFUNCTION("""COMPUTED_VALUE"""),4939.92673992674)</f>
        <v>4939.92674</v>
      </c>
      <c r="J5376" s="10">
        <f>IFERROR(__xludf.DUMMYFUNCTION("""COMPUTED_VALUE"""),1.0)</f>
        <v>1</v>
      </c>
      <c r="K5376" s="5">
        <f>IFERROR(__xludf.DUMMYFUNCTION("""COMPUTED_VALUE"""),0.004081632653061225)</f>
        <v>0.004081632653</v>
      </c>
      <c r="L5376" s="10">
        <f>IFERROR(__xludf.DUMMYFUNCTION("""COMPUTED_VALUE"""),183.0)</f>
        <v>183</v>
      </c>
      <c r="M5376" s="5">
        <f>IFERROR(__xludf.DUMMYFUNCTION("""COMPUTED_VALUE"""),0.746938775510204)</f>
        <v>0.7469387755</v>
      </c>
    </row>
    <row r="5377">
      <c r="A5377" s="10" t="str">
        <f>IFERROR(__xludf.DUMMYFUNCTION("""COMPUTED_VALUE"""),"吉岡聖恵")</f>
        <v>吉岡聖恵</v>
      </c>
      <c r="B5377" s="10">
        <f>IFERROR(__xludf.DUMMYFUNCTION("""COMPUTED_VALUE"""),570.0)</f>
        <v>570</v>
      </c>
      <c r="C5377" s="10">
        <f>IFERROR(__xludf.DUMMYFUNCTION("""COMPUTED_VALUE"""),6863.0)</f>
        <v>6863</v>
      </c>
      <c r="D5377" s="5">
        <f>IFERROR(__xludf.DUMMYFUNCTION("""COMPUTED_VALUE"""),0.3586524709995233)</f>
        <v>0.358652471</v>
      </c>
      <c r="E5377" s="5">
        <f>IFERROR(__xludf.DUMMYFUNCTION("""COMPUTED_VALUE"""),0.10757985062768155)</f>
        <v>0.1075798506</v>
      </c>
      <c r="F5377" s="5">
        <f>IFERROR(__xludf.DUMMYFUNCTION("""COMPUTED_VALUE"""),0.20324169712378834)</f>
        <v>0.2032416971</v>
      </c>
      <c r="G5377" s="5">
        <f>IFERROR(__xludf.DUMMYFUNCTION("""COMPUTED_VALUE"""),0.16732877800730972)</f>
        <v>0.167328778</v>
      </c>
      <c r="H5377" s="5">
        <f>IFERROR(__xludf.DUMMYFUNCTION("""COMPUTED_VALUE"""),0.596559812353401)</f>
        <v>0.5965598124</v>
      </c>
      <c r="I5377" s="11">
        <f>IFERROR(__xludf.DUMMYFUNCTION("""COMPUTED_VALUE"""),5429.632525410477)</f>
        <v>5429.632525</v>
      </c>
      <c r="J5377" s="10">
        <f>IFERROR(__xludf.DUMMYFUNCTION("""COMPUTED_VALUE"""),0.0)</f>
        <v>0</v>
      </c>
      <c r="K5377" s="5">
        <f>IFERROR(__xludf.DUMMYFUNCTION("""COMPUTED_VALUE"""),0.0)</f>
        <v>0</v>
      </c>
      <c r="L5377" s="10">
        <f>IFERROR(__xludf.DUMMYFUNCTION("""COMPUTED_VALUE"""),0.0)</f>
        <v>0</v>
      </c>
      <c r="M5377" s="5">
        <f>IFERROR(__xludf.DUMMYFUNCTION("""COMPUTED_VALUE"""),0.0)</f>
        <v>0</v>
      </c>
    </row>
    <row r="5378">
      <c r="A5378" s="10" t="str">
        <f>IFERROR(__xludf.DUMMYFUNCTION("""COMPUTED_VALUE"""),"脳天の拳")</f>
        <v>脳天の拳</v>
      </c>
      <c r="B5378" s="10">
        <f>IFERROR(__xludf.DUMMYFUNCTION("""COMPUTED_VALUE"""),423.0)</f>
        <v>423</v>
      </c>
      <c r="C5378" s="10">
        <f>IFERROR(__xludf.DUMMYFUNCTION("""COMPUTED_VALUE"""),4932.0)</f>
        <v>4932</v>
      </c>
      <c r="D5378" s="5">
        <f>IFERROR(__xludf.DUMMYFUNCTION("""COMPUTED_VALUE"""),0.3076070082058106)</f>
        <v>0.3076070082</v>
      </c>
      <c r="E5378" s="5">
        <f>IFERROR(__xludf.DUMMYFUNCTION("""COMPUTED_VALUE"""),0.10756265247283212)</f>
        <v>0.1075626525</v>
      </c>
      <c r="F5378" s="5">
        <f>IFERROR(__xludf.DUMMYFUNCTION("""COMPUTED_VALUE"""),0.20270569971168773)</f>
        <v>0.2027056997</v>
      </c>
      <c r="G5378" s="5">
        <f>IFERROR(__xludf.DUMMYFUNCTION("""COMPUTED_VALUE"""),0.1614548680416944)</f>
        <v>0.161454868</v>
      </c>
      <c r="H5378" s="5">
        <f>IFERROR(__xludf.DUMMYFUNCTION("""COMPUTED_VALUE"""),0.5908096280087527)</f>
        <v>0.590809628</v>
      </c>
      <c r="I5378" s="11">
        <f>IFERROR(__xludf.DUMMYFUNCTION("""COMPUTED_VALUE"""),5582.494529540481)</f>
        <v>5582.49453</v>
      </c>
      <c r="J5378" s="10">
        <f>IFERROR(__xludf.DUMMYFUNCTION("""COMPUTED_VALUE"""),0.0)</f>
        <v>0</v>
      </c>
      <c r="K5378" s="5">
        <f>IFERROR(__xludf.DUMMYFUNCTION("""COMPUTED_VALUE"""),0.0)</f>
        <v>0</v>
      </c>
      <c r="L5378" s="10">
        <f>IFERROR(__xludf.DUMMYFUNCTION("""COMPUTED_VALUE"""),423.0)</f>
        <v>423</v>
      </c>
      <c r="M5378" s="5">
        <f>IFERROR(__xludf.DUMMYFUNCTION("""COMPUTED_VALUE"""),1.0)</f>
        <v>1</v>
      </c>
    </row>
    <row r="5379">
      <c r="A5379" s="10" t="str">
        <f>IFERROR(__xludf.DUMMYFUNCTION("""COMPUTED_VALUE"""),"Jiguzou")</f>
        <v>Jiguzou</v>
      </c>
      <c r="B5379" s="10">
        <f>IFERROR(__xludf.DUMMYFUNCTION("""COMPUTED_VALUE"""),533.0)</f>
        <v>533</v>
      </c>
      <c r="C5379" s="10">
        <f>IFERROR(__xludf.DUMMYFUNCTION("""COMPUTED_VALUE"""),6260.0)</f>
        <v>6260</v>
      </c>
      <c r="D5379" s="5">
        <f>IFERROR(__xludf.DUMMYFUNCTION("""COMPUTED_VALUE"""),0.3170944648157849)</f>
        <v>0.3170944648</v>
      </c>
      <c r="E5379" s="5">
        <f>IFERROR(__xludf.DUMMYFUNCTION("""COMPUTED_VALUE"""),0.10756067749257901)</f>
        <v>0.1075606775</v>
      </c>
      <c r="F5379" s="5">
        <f>IFERROR(__xludf.DUMMYFUNCTION("""COMPUTED_VALUE"""),0.20185088178802166)</f>
        <v>0.2018508818</v>
      </c>
      <c r="G5379" s="5">
        <f>IFERROR(__xludf.DUMMYFUNCTION("""COMPUTED_VALUE"""),0.142657586869216)</f>
        <v>0.1426575869</v>
      </c>
      <c r="H5379" s="5">
        <f>IFERROR(__xludf.DUMMYFUNCTION("""COMPUTED_VALUE"""),0.6228373702422145)</f>
        <v>0.6228373702</v>
      </c>
      <c r="I5379" s="11">
        <f>IFERROR(__xludf.DUMMYFUNCTION("""COMPUTED_VALUE"""),5634.602076124567)</f>
        <v>5634.602076</v>
      </c>
      <c r="J5379" s="10">
        <f>IFERROR(__xludf.DUMMYFUNCTION("""COMPUTED_VALUE"""),0.0)</f>
        <v>0</v>
      </c>
      <c r="K5379" s="5">
        <f>IFERROR(__xludf.DUMMYFUNCTION("""COMPUTED_VALUE"""),0.0)</f>
        <v>0</v>
      </c>
      <c r="L5379" s="10">
        <f>IFERROR(__xludf.DUMMYFUNCTION("""COMPUTED_VALUE"""),533.0)</f>
        <v>533</v>
      </c>
      <c r="M5379" s="5">
        <f>IFERROR(__xludf.DUMMYFUNCTION("""COMPUTED_VALUE"""),1.0)</f>
        <v>1</v>
      </c>
    </row>
    <row r="5380">
      <c r="A5380" s="10" t="str">
        <f>IFERROR(__xludf.DUMMYFUNCTION("""COMPUTED_VALUE"""),"★雀鬼百瀬★")</f>
        <v>★雀鬼百瀬★</v>
      </c>
      <c r="B5380" s="10">
        <f>IFERROR(__xludf.DUMMYFUNCTION("""COMPUTED_VALUE"""),2666.0)</f>
        <v>2666</v>
      </c>
      <c r="C5380" s="10">
        <f>IFERROR(__xludf.DUMMYFUNCTION("""COMPUTED_VALUE"""),31609.0)</f>
        <v>31609</v>
      </c>
      <c r="D5380" s="5">
        <f>IFERROR(__xludf.DUMMYFUNCTION("""COMPUTED_VALUE"""),0.3456103375600318)</f>
        <v>0.3456103376</v>
      </c>
      <c r="E5380" s="5">
        <f>IFERROR(__xludf.DUMMYFUNCTION("""COMPUTED_VALUE"""),0.10752168054451854)</f>
        <v>0.1075216805</v>
      </c>
      <c r="F5380" s="5">
        <f>IFERROR(__xludf.DUMMYFUNCTION("""COMPUTED_VALUE"""),0.20595653525895727)</f>
        <v>0.2059565353</v>
      </c>
      <c r="G5380" s="5">
        <f>IFERROR(__xludf.DUMMYFUNCTION("""COMPUTED_VALUE"""),0.14279791313961926)</f>
        <v>0.1427979131</v>
      </c>
      <c r="H5380" s="5">
        <f>IFERROR(__xludf.DUMMYFUNCTION("""COMPUTED_VALUE"""),0.6153329978191578)</f>
        <v>0.6153329978</v>
      </c>
      <c r="I5380" s="11">
        <f>IFERROR(__xludf.DUMMYFUNCTION("""COMPUTED_VALUE"""),5446.451937594364)</f>
        <v>5446.451938</v>
      </c>
      <c r="J5380" s="10">
        <f>IFERROR(__xludf.DUMMYFUNCTION("""COMPUTED_VALUE"""),2.0)</f>
        <v>2</v>
      </c>
      <c r="K5380" s="5">
        <f>IFERROR(__xludf.DUMMYFUNCTION("""COMPUTED_VALUE"""),7.501875468867217E-4)</f>
        <v>0.0007501875469</v>
      </c>
      <c r="L5380" s="10">
        <f>IFERROR(__xludf.DUMMYFUNCTION("""COMPUTED_VALUE"""),2666.0)</f>
        <v>2666</v>
      </c>
      <c r="M5380" s="5">
        <f>IFERROR(__xludf.DUMMYFUNCTION("""COMPUTED_VALUE"""),1.0)</f>
        <v>1</v>
      </c>
    </row>
    <row r="5381">
      <c r="A5381" s="10" t="str">
        <f>IFERROR(__xludf.DUMMYFUNCTION("""COMPUTED_VALUE"""),"等々力劇場")</f>
        <v>等々力劇場</v>
      </c>
      <c r="B5381" s="10">
        <f>IFERROR(__xludf.DUMMYFUNCTION("""COMPUTED_VALUE"""),2851.0)</f>
        <v>2851</v>
      </c>
      <c r="C5381" s="10">
        <f>IFERROR(__xludf.DUMMYFUNCTION("""COMPUTED_VALUE"""),33292.0)</f>
        <v>33292</v>
      </c>
      <c r="D5381" s="5">
        <f>IFERROR(__xludf.DUMMYFUNCTION("""COMPUTED_VALUE"""),0.22877040833086956)</f>
        <v>0.2287704083</v>
      </c>
      <c r="E5381" s="5">
        <f>IFERROR(__xludf.DUMMYFUNCTION("""COMPUTED_VALUE"""),0.10745376301698367)</f>
        <v>0.107453763</v>
      </c>
      <c r="F5381" s="5">
        <f>IFERROR(__xludf.DUMMYFUNCTION("""COMPUTED_VALUE"""),0.17906770474031733)</f>
        <v>0.1790677047</v>
      </c>
      <c r="G5381" s="5">
        <f>IFERROR(__xludf.DUMMYFUNCTION("""COMPUTED_VALUE"""),0.1894155908150192)</f>
        <v>0.1894155908</v>
      </c>
      <c r="H5381" s="5">
        <f>IFERROR(__xludf.DUMMYFUNCTION("""COMPUTED_VALUE"""),0.5846633645202715)</f>
        <v>0.5846633645</v>
      </c>
      <c r="I5381" s="11">
        <f>IFERROR(__xludf.DUMMYFUNCTION("""COMPUTED_VALUE"""),6403.338836910659)</f>
        <v>6403.338837</v>
      </c>
      <c r="J5381" s="10">
        <f>IFERROR(__xludf.DUMMYFUNCTION("""COMPUTED_VALUE"""),6.0)</f>
        <v>6</v>
      </c>
      <c r="K5381" s="5">
        <f>IFERROR(__xludf.DUMMYFUNCTION("""COMPUTED_VALUE"""),0.002104524728165556)</f>
        <v>0.002104524728</v>
      </c>
      <c r="L5381" s="10">
        <f>IFERROR(__xludf.DUMMYFUNCTION("""COMPUTED_VALUE"""),2851.0)</f>
        <v>2851</v>
      </c>
      <c r="M5381" s="5">
        <f>IFERROR(__xludf.DUMMYFUNCTION("""COMPUTED_VALUE"""),1.0)</f>
        <v>1</v>
      </c>
    </row>
    <row r="5382">
      <c r="A5382" s="10" t="str">
        <f>IFERROR(__xludf.DUMMYFUNCTION("""COMPUTED_VALUE"""),"夏すずみ＠胡瓜")</f>
        <v>夏すずみ＠胡瓜</v>
      </c>
      <c r="B5382" s="10">
        <f>IFERROR(__xludf.DUMMYFUNCTION("""COMPUTED_VALUE"""),366.0)</f>
        <v>366</v>
      </c>
      <c r="C5382" s="10">
        <f>IFERROR(__xludf.DUMMYFUNCTION("""COMPUTED_VALUE"""),4304.0)</f>
        <v>4304</v>
      </c>
      <c r="D5382" s="5">
        <f>IFERROR(__xludf.DUMMYFUNCTION("""COMPUTED_VALUE"""),0.3976637887252412)</f>
        <v>0.3976637887</v>
      </c>
      <c r="E5382" s="5">
        <f>IFERROR(__xludf.DUMMYFUNCTION("""COMPUTED_VALUE"""),0.1074149314372778)</f>
        <v>0.1074149314</v>
      </c>
      <c r="F5382" s="5">
        <f>IFERROR(__xludf.DUMMYFUNCTION("""COMPUTED_VALUE"""),0.20340274250888776)</f>
        <v>0.2034027425</v>
      </c>
      <c r="G5382" s="5">
        <f>IFERROR(__xludf.DUMMYFUNCTION("""COMPUTED_VALUE"""),0.12036566785170137)</f>
        <v>0.1203656679</v>
      </c>
      <c r="H5382" s="5">
        <f>IFERROR(__xludf.DUMMYFUNCTION("""COMPUTED_VALUE"""),0.5967540574282147)</f>
        <v>0.5967540574</v>
      </c>
      <c r="I5382" s="11">
        <f>IFERROR(__xludf.DUMMYFUNCTION("""COMPUTED_VALUE"""),5184.769038701623)</f>
        <v>5184.769039</v>
      </c>
      <c r="J5382" s="10">
        <f>IFERROR(__xludf.DUMMYFUNCTION("""COMPUTED_VALUE"""),0.0)</f>
        <v>0</v>
      </c>
      <c r="K5382" s="5">
        <f>IFERROR(__xludf.DUMMYFUNCTION("""COMPUTED_VALUE"""),0.0)</f>
        <v>0</v>
      </c>
      <c r="L5382" s="10">
        <f>IFERROR(__xludf.DUMMYFUNCTION("""COMPUTED_VALUE"""),120.0)</f>
        <v>120</v>
      </c>
      <c r="M5382" s="5">
        <f>IFERROR(__xludf.DUMMYFUNCTION("""COMPUTED_VALUE"""),0.32786885245901637)</f>
        <v>0.3278688525</v>
      </c>
    </row>
    <row r="5383">
      <c r="A5383" s="10" t="str">
        <f>IFERROR(__xludf.DUMMYFUNCTION("""COMPUTED_VALUE"""),"JW55")</f>
        <v>JW55</v>
      </c>
      <c r="B5383" s="10">
        <f>IFERROR(__xludf.DUMMYFUNCTION("""COMPUTED_VALUE"""),1079.0)</f>
        <v>1079</v>
      </c>
      <c r="C5383" s="10">
        <f>IFERROR(__xludf.DUMMYFUNCTION("""COMPUTED_VALUE"""),12793.0)</f>
        <v>12793</v>
      </c>
      <c r="D5383" s="5">
        <f>IFERROR(__xludf.DUMMYFUNCTION("""COMPUTED_VALUE"""),0.36699675601843945)</f>
        <v>0.366996756</v>
      </c>
      <c r="E5383" s="5">
        <f>IFERROR(__xludf.DUMMYFUNCTION("""COMPUTED_VALUE"""),0.10739286324056685)</f>
        <v>0.1073928632</v>
      </c>
      <c r="F5383" s="5">
        <f>IFERROR(__xludf.DUMMYFUNCTION("""COMPUTED_VALUE"""),0.21444425473792045)</f>
        <v>0.2144442547</v>
      </c>
      <c r="G5383" s="5">
        <f>IFERROR(__xludf.DUMMYFUNCTION("""COMPUTED_VALUE"""),0.13966194297421888)</f>
        <v>0.139661943</v>
      </c>
      <c r="H5383" s="5">
        <f>IFERROR(__xludf.DUMMYFUNCTION("""COMPUTED_VALUE"""),0.6138535031847133)</f>
        <v>0.6138535032</v>
      </c>
      <c r="I5383" s="11">
        <f>IFERROR(__xludf.DUMMYFUNCTION("""COMPUTED_VALUE"""),5301.910828025478)</f>
        <v>5301.910828</v>
      </c>
      <c r="J5383" s="10">
        <f>IFERROR(__xludf.DUMMYFUNCTION("""COMPUTED_VALUE"""),3.0)</f>
        <v>3</v>
      </c>
      <c r="K5383" s="5">
        <f>IFERROR(__xludf.DUMMYFUNCTION("""COMPUTED_VALUE"""),0.0027803521779425394)</f>
        <v>0.002780352178</v>
      </c>
      <c r="L5383" s="10">
        <f>IFERROR(__xludf.DUMMYFUNCTION("""COMPUTED_VALUE"""),1079.0)</f>
        <v>1079</v>
      </c>
      <c r="M5383" s="5">
        <f>IFERROR(__xludf.DUMMYFUNCTION("""COMPUTED_VALUE"""),1.0)</f>
        <v>1</v>
      </c>
    </row>
    <row r="5384">
      <c r="A5384" s="10" t="str">
        <f>IFERROR(__xludf.DUMMYFUNCTION("""COMPUTED_VALUE"""),"初音ミク")</f>
        <v>初音ミク</v>
      </c>
      <c r="B5384" s="10">
        <f>IFERROR(__xludf.DUMMYFUNCTION("""COMPUTED_VALUE"""),475.0)</f>
        <v>475</v>
      </c>
      <c r="C5384" s="10">
        <f>IFERROR(__xludf.DUMMYFUNCTION("""COMPUTED_VALUE"""),5634.0)</f>
        <v>5634</v>
      </c>
      <c r="D5384" s="5">
        <f>IFERROR(__xludf.DUMMYFUNCTION("""COMPUTED_VALUE"""),0.32874588098468693)</f>
        <v>0.328745881</v>
      </c>
      <c r="E5384" s="5">
        <f>IFERROR(__xludf.DUMMYFUNCTION("""COMPUTED_VALUE"""),0.10738515216127156)</f>
        <v>0.1073851522</v>
      </c>
      <c r="F5384" s="5">
        <f>IFERROR(__xludf.DUMMYFUNCTION("""COMPUTED_VALUE"""),0.20953673192479164)</f>
        <v>0.2095367319</v>
      </c>
      <c r="G5384" s="5">
        <f>IFERROR(__xludf.DUMMYFUNCTION("""COMPUTED_VALUE"""),0.16805582477224268)</f>
        <v>0.1680558248</v>
      </c>
      <c r="H5384" s="5">
        <f>IFERROR(__xludf.DUMMYFUNCTION("""COMPUTED_VALUE"""),0.6216466234967623)</f>
        <v>0.6216466235</v>
      </c>
      <c r="I5384" s="11">
        <f>IFERROR(__xludf.DUMMYFUNCTION("""COMPUTED_VALUE"""),5448.936170212766)</f>
        <v>5448.93617</v>
      </c>
      <c r="J5384" s="10">
        <f>IFERROR(__xludf.DUMMYFUNCTION("""COMPUTED_VALUE"""),0.0)</f>
        <v>0</v>
      </c>
      <c r="K5384" s="5">
        <f>IFERROR(__xludf.DUMMYFUNCTION("""COMPUTED_VALUE"""),0.0)</f>
        <v>0</v>
      </c>
      <c r="L5384" s="10">
        <f>IFERROR(__xludf.DUMMYFUNCTION("""COMPUTED_VALUE"""),16.0)</f>
        <v>16</v>
      </c>
      <c r="M5384" s="5">
        <f>IFERROR(__xludf.DUMMYFUNCTION("""COMPUTED_VALUE"""),0.03368421052631579)</f>
        <v>0.03368421053</v>
      </c>
    </row>
    <row r="5385">
      <c r="A5385" s="10" t="str">
        <f>IFERROR(__xludf.DUMMYFUNCTION("""COMPUTED_VALUE"""),"カベウス")</f>
        <v>カベウス</v>
      </c>
      <c r="B5385" s="10">
        <f>IFERROR(__xludf.DUMMYFUNCTION("""COMPUTED_VALUE"""),417.0)</f>
        <v>417</v>
      </c>
      <c r="C5385" s="10">
        <f>IFERROR(__xludf.DUMMYFUNCTION("""COMPUTED_VALUE"""),4888.0)</f>
        <v>4888</v>
      </c>
      <c r="D5385" s="5">
        <f>IFERROR(__xludf.DUMMYFUNCTION("""COMPUTED_VALUE"""),0.3225229255200179)</f>
        <v>0.3225229255</v>
      </c>
      <c r="E5385" s="5">
        <f>IFERROR(__xludf.DUMMYFUNCTION("""COMPUTED_VALUE"""),0.10735853276671886)</f>
        <v>0.1073585328</v>
      </c>
      <c r="F5385" s="5">
        <f>IFERROR(__xludf.DUMMYFUNCTION("""COMPUTED_VALUE"""),0.19011406844106463)</f>
        <v>0.1901140684</v>
      </c>
      <c r="G5385" s="5">
        <f>IFERROR(__xludf.DUMMYFUNCTION("""COMPUTED_VALUE"""),0.1458286736747931)</f>
        <v>0.1458286737</v>
      </c>
      <c r="H5385" s="5">
        <f>IFERROR(__xludf.DUMMYFUNCTION("""COMPUTED_VALUE"""),0.5976470588235294)</f>
        <v>0.5976470588</v>
      </c>
      <c r="I5385" s="11">
        <f>IFERROR(__xludf.DUMMYFUNCTION("""COMPUTED_VALUE"""),5800.470588235294)</f>
        <v>5800.470588</v>
      </c>
      <c r="J5385" s="10">
        <f>IFERROR(__xludf.DUMMYFUNCTION("""COMPUTED_VALUE"""),0.0)</f>
        <v>0</v>
      </c>
      <c r="K5385" s="5">
        <f>IFERROR(__xludf.DUMMYFUNCTION("""COMPUTED_VALUE"""),0.0)</f>
        <v>0</v>
      </c>
      <c r="L5385" s="10">
        <f>IFERROR(__xludf.DUMMYFUNCTION("""COMPUTED_VALUE"""),417.0)</f>
        <v>417</v>
      </c>
      <c r="M5385" s="5">
        <f>IFERROR(__xludf.DUMMYFUNCTION("""COMPUTED_VALUE"""),1.0)</f>
        <v>1</v>
      </c>
    </row>
    <row r="5386">
      <c r="A5386" s="10" t="str">
        <f>IFERROR(__xludf.DUMMYFUNCTION("""COMPUTED_VALUE"""),"鳳南のゴミ掃除係")</f>
        <v>鳳南のゴミ掃除係</v>
      </c>
      <c r="B5386" s="10">
        <f>IFERROR(__xludf.DUMMYFUNCTION("""COMPUTED_VALUE"""),181.0)</f>
        <v>181</v>
      </c>
      <c r="C5386" s="10">
        <f>IFERROR(__xludf.DUMMYFUNCTION("""COMPUTED_VALUE"""),2072.0)</f>
        <v>2072</v>
      </c>
      <c r="D5386" s="5">
        <f>IFERROR(__xludf.DUMMYFUNCTION("""COMPUTED_VALUE"""),0.36488630354309887)</f>
        <v>0.3648863035</v>
      </c>
      <c r="E5386" s="5">
        <f>IFERROR(__xludf.DUMMYFUNCTION("""COMPUTED_VALUE"""),0.10735060814383923)</f>
        <v>0.1073506081</v>
      </c>
      <c r="F5386" s="5">
        <f>IFERROR(__xludf.DUMMYFUNCTION("""COMPUTED_VALUE"""),0.22633527234267584)</f>
        <v>0.2263352723</v>
      </c>
      <c r="G5386" s="5">
        <f>IFERROR(__xludf.DUMMYFUNCTION("""COMPUTED_VALUE"""),0.16763617133791645)</f>
        <v>0.1676361713</v>
      </c>
      <c r="H5386" s="5">
        <f>IFERROR(__xludf.DUMMYFUNCTION("""COMPUTED_VALUE"""),0.6098130841121495)</f>
        <v>0.6098130841</v>
      </c>
      <c r="I5386" s="11">
        <f>IFERROR(__xludf.DUMMYFUNCTION("""COMPUTED_VALUE"""),5817.990654205608)</f>
        <v>5817.990654</v>
      </c>
      <c r="J5386" s="10">
        <f>IFERROR(__xludf.DUMMYFUNCTION("""COMPUTED_VALUE"""),0.0)</f>
        <v>0</v>
      </c>
      <c r="K5386" s="5">
        <f>IFERROR(__xludf.DUMMYFUNCTION("""COMPUTED_VALUE"""),0.0)</f>
        <v>0</v>
      </c>
      <c r="L5386" s="10">
        <f>IFERROR(__xludf.DUMMYFUNCTION("""COMPUTED_VALUE"""),86.0)</f>
        <v>86</v>
      </c>
      <c r="M5386" s="5">
        <f>IFERROR(__xludf.DUMMYFUNCTION("""COMPUTED_VALUE"""),0.47513812154696133)</f>
        <v>0.4751381215</v>
      </c>
    </row>
    <row r="5387">
      <c r="A5387" s="10" t="str">
        <f>IFERROR(__xludf.DUMMYFUNCTION("""COMPUTED_VALUE"""),"(・ω・｀з)3")</f>
        <v>(・ω・｀з)3</v>
      </c>
      <c r="B5387" s="10">
        <f>IFERROR(__xludf.DUMMYFUNCTION("""COMPUTED_VALUE"""),211.0)</f>
        <v>211</v>
      </c>
      <c r="C5387" s="10">
        <f>IFERROR(__xludf.DUMMYFUNCTION("""COMPUTED_VALUE"""),2532.0)</f>
        <v>2532</v>
      </c>
      <c r="D5387" s="5">
        <f>IFERROR(__xludf.DUMMYFUNCTION("""COMPUTED_VALUE"""),0.3782852218871176)</f>
        <v>0.3782852219</v>
      </c>
      <c r="E5387" s="5">
        <f>IFERROR(__xludf.DUMMYFUNCTION("""COMPUTED_VALUE"""),0.10728134424816889)</f>
        <v>0.1072813442</v>
      </c>
      <c r="F5387" s="5">
        <f>IFERROR(__xludf.DUMMYFUNCTION("""COMPUTED_VALUE"""),0.21068504954760878)</f>
        <v>0.2106850495</v>
      </c>
      <c r="G5387" s="5">
        <f>IFERROR(__xludf.DUMMYFUNCTION("""COMPUTED_VALUE"""),0.14476518741921585)</f>
        <v>0.1447651874</v>
      </c>
      <c r="H5387" s="5">
        <f>IFERROR(__xludf.DUMMYFUNCTION("""COMPUTED_VALUE"""),0.623721881390593)</f>
        <v>0.6237218814</v>
      </c>
      <c r="I5387" s="11">
        <f>IFERROR(__xludf.DUMMYFUNCTION("""COMPUTED_VALUE"""),5550.715746421268)</f>
        <v>5550.715746</v>
      </c>
      <c r="J5387" s="10">
        <f>IFERROR(__xludf.DUMMYFUNCTION("""COMPUTED_VALUE"""),1.0)</f>
        <v>1</v>
      </c>
      <c r="K5387" s="5">
        <f>IFERROR(__xludf.DUMMYFUNCTION("""COMPUTED_VALUE"""),0.004739336492890996)</f>
        <v>0.004739336493</v>
      </c>
      <c r="L5387" s="10">
        <f>IFERROR(__xludf.DUMMYFUNCTION("""COMPUTED_VALUE"""),211.0)</f>
        <v>211</v>
      </c>
      <c r="M5387" s="5">
        <f>IFERROR(__xludf.DUMMYFUNCTION("""COMPUTED_VALUE"""),1.0)</f>
        <v>1</v>
      </c>
    </row>
    <row r="5388">
      <c r="A5388" s="10" t="str">
        <f>IFERROR(__xludf.DUMMYFUNCTION("""COMPUTED_VALUE"""),"上家は怪しい！！")</f>
        <v>上家は怪しい！！</v>
      </c>
      <c r="B5388" s="10">
        <f>IFERROR(__xludf.DUMMYFUNCTION("""COMPUTED_VALUE"""),734.0)</f>
        <v>734</v>
      </c>
      <c r="C5388" s="10">
        <f>IFERROR(__xludf.DUMMYFUNCTION("""COMPUTED_VALUE"""),8741.0)</f>
        <v>8741</v>
      </c>
      <c r="D5388" s="5">
        <f>IFERROR(__xludf.DUMMYFUNCTION("""COMPUTED_VALUE"""),0.35593855376545525)</f>
        <v>0.3559385538</v>
      </c>
      <c r="E5388" s="5">
        <f>IFERROR(__xludf.DUMMYFUNCTION("""COMPUTED_VALUE"""),0.1072811290121144)</f>
        <v>0.107281129</v>
      </c>
      <c r="F5388" s="5">
        <f>IFERROR(__xludf.DUMMYFUNCTION("""COMPUTED_VALUE"""),0.21081553640564507)</f>
        <v>0.2108155364</v>
      </c>
      <c r="G5388" s="5">
        <f>IFERROR(__xludf.DUMMYFUNCTION("""COMPUTED_VALUE"""),0.14961908330211066)</f>
        <v>0.1496190833</v>
      </c>
      <c r="H5388" s="5">
        <f>IFERROR(__xludf.DUMMYFUNCTION("""COMPUTED_VALUE"""),0.5989336492890995)</f>
        <v>0.5989336493</v>
      </c>
      <c r="I5388" s="11">
        <f>IFERROR(__xludf.DUMMYFUNCTION("""COMPUTED_VALUE"""),5395.616113744076)</f>
        <v>5395.616114</v>
      </c>
      <c r="J5388" s="10">
        <f>IFERROR(__xludf.DUMMYFUNCTION("""COMPUTED_VALUE"""),0.0)</f>
        <v>0</v>
      </c>
      <c r="K5388" s="5">
        <f>IFERROR(__xludf.DUMMYFUNCTION("""COMPUTED_VALUE"""),0.0)</f>
        <v>0</v>
      </c>
      <c r="L5388" s="10">
        <f>IFERROR(__xludf.DUMMYFUNCTION("""COMPUTED_VALUE"""),734.0)</f>
        <v>734</v>
      </c>
      <c r="M5388" s="5">
        <f>IFERROR(__xludf.DUMMYFUNCTION("""COMPUTED_VALUE"""),1.0)</f>
        <v>1</v>
      </c>
    </row>
    <row r="5389">
      <c r="A5389" s="10" t="str">
        <f>IFERROR(__xludf.DUMMYFUNCTION("""COMPUTED_VALUE"""),".園城寺怜.")</f>
        <v>.園城寺怜.</v>
      </c>
      <c r="B5389" s="10">
        <f>IFERROR(__xludf.DUMMYFUNCTION("""COMPUTED_VALUE"""),416.0)</f>
        <v>416</v>
      </c>
      <c r="C5389" s="10">
        <f>IFERROR(__xludf.DUMMYFUNCTION("""COMPUTED_VALUE"""),4909.0)</f>
        <v>4909</v>
      </c>
      <c r="D5389" s="5">
        <f>IFERROR(__xludf.DUMMYFUNCTION("""COMPUTED_VALUE"""),0.3251724905408413)</f>
        <v>0.3251724905</v>
      </c>
      <c r="E5389" s="5">
        <f>IFERROR(__xludf.DUMMYFUNCTION("""COMPUTED_VALUE"""),0.10727798798130425)</f>
        <v>0.107277988</v>
      </c>
      <c r="F5389" s="5">
        <f>IFERROR(__xludf.DUMMYFUNCTION("""COMPUTED_VALUE"""),0.19519252170042287)</f>
        <v>0.1951925217</v>
      </c>
      <c r="G5389" s="5">
        <f>IFERROR(__xludf.DUMMYFUNCTION("""COMPUTED_VALUE"""),0.1653683507678611)</f>
        <v>0.1653683508</v>
      </c>
      <c r="H5389" s="5">
        <f>IFERROR(__xludf.DUMMYFUNCTION("""COMPUTED_VALUE"""),0.5997719498289624)</f>
        <v>0.5997719498</v>
      </c>
      <c r="I5389" s="11">
        <f>IFERROR(__xludf.DUMMYFUNCTION("""COMPUTED_VALUE"""),5618.24401368301)</f>
        <v>5618.244014</v>
      </c>
      <c r="J5389" s="10">
        <f>IFERROR(__xludf.DUMMYFUNCTION("""COMPUTED_VALUE"""),3.0)</f>
        <v>3</v>
      </c>
      <c r="K5389" s="5">
        <f>IFERROR(__xludf.DUMMYFUNCTION("""COMPUTED_VALUE"""),0.007211538461538462)</f>
        <v>0.007211538462</v>
      </c>
      <c r="L5389" s="10">
        <f>IFERROR(__xludf.DUMMYFUNCTION("""COMPUTED_VALUE"""),2.0)</f>
        <v>2</v>
      </c>
      <c r="M5389" s="5">
        <f>IFERROR(__xludf.DUMMYFUNCTION("""COMPUTED_VALUE"""),0.004807692307692308)</f>
        <v>0.004807692308</v>
      </c>
    </row>
    <row r="5390">
      <c r="A5390" s="10" t="str">
        <f>IFERROR(__xludf.DUMMYFUNCTION("""COMPUTED_VALUE"""),"別当")</f>
        <v>別当</v>
      </c>
      <c r="B5390" s="10">
        <f>IFERROR(__xludf.DUMMYFUNCTION("""COMPUTED_VALUE"""),1520.0)</f>
        <v>1520</v>
      </c>
      <c r="C5390" s="10">
        <f>IFERROR(__xludf.DUMMYFUNCTION("""COMPUTED_VALUE"""),17761.0)</f>
        <v>17761</v>
      </c>
      <c r="D5390" s="5">
        <f>IFERROR(__xludf.DUMMYFUNCTION("""COMPUTED_VALUE"""),0.3747921925989779)</f>
        <v>0.3747921926</v>
      </c>
      <c r="E5390" s="5">
        <f>IFERROR(__xludf.DUMMYFUNCTION("""COMPUTED_VALUE"""),0.10725940520903886)</f>
        <v>0.1072594052</v>
      </c>
      <c r="F5390" s="5">
        <f>IFERROR(__xludf.DUMMYFUNCTION("""COMPUTED_VALUE"""),0.20713010282618066)</f>
        <v>0.2071301028</v>
      </c>
      <c r="G5390" s="5">
        <f>IFERROR(__xludf.DUMMYFUNCTION("""COMPUTED_VALUE"""),0.16248999445846932)</f>
        <v>0.1624899945</v>
      </c>
      <c r="H5390" s="5">
        <f>IFERROR(__xludf.DUMMYFUNCTION("""COMPUTED_VALUE"""),0.6061236623067776)</f>
        <v>0.6061236623</v>
      </c>
      <c r="I5390" s="11">
        <f>IFERROR(__xludf.DUMMYFUNCTION("""COMPUTED_VALUE"""),5593.311533888228)</f>
        <v>5593.311534</v>
      </c>
      <c r="J5390" s="10">
        <f>IFERROR(__xludf.DUMMYFUNCTION("""COMPUTED_VALUE"""),5.0)</f>
        <v>5</v>
      </c>
      <c r="K5390" s="5">
        <f>IFERROR(__xludf.DUMMYFUNCTION("""COMPUTED_VALUE"""),0.003289473684210526)</f>
        <v>0.003289473684</v>
      </c>
      <c r="L5390" s="10">
        <f>IFERROR(__xludf.DUMMYFUNCTION("""COMPUTED_VALUE"""),1520.0)</f>
        <v>1520</v>
      </c>
      <c r="M5390" s="5">
        <f>IFERROR(__xludf.DUMMYFUNCTION("""COMPUTED_VALUE"""),1.0)</f>
        <v>1</v>
      </c>
    </row>
    <row r="5391">
      <c r="A5391" s="10" t="str">
        <f>IFERROR(__xludf.DUMMYFUNCTION("""COMPUTED_VALUE"""),"らいふがーどすき")</f>
        <v>らいふがーどすき</v>
      </c>
      <c r="B5391" s="10">
        <f>IFERROR(__xludf.DUMMYFUNCTION("""COMPUTED_VALUE"""),3022.0)</f>
        <v>3022</v>
      </c>
      <c r="C5391" s="10">
        <f>IFERROR(__xludf.DUMMYFUNCTION("""COMPUTED_VALUE"""),35651.0)</f>
        <v>35651</v>
      </c>
      <c r="D5391" s="5">
        <f>IFERROR(__xludf.DUMMYFUNCTION("""COMPUTED_VALUE"""),0.34411106684237946)</f>
        <v>0.3441110668</v>
      </c>
      <c r="E5391" s="5">
        <f>IFERROR(__xludf.DUMMYFUNCTION("""COMPUTED_VALUE"""),0.10723589444972265)</f>
        <v>0.1072358944</v>
      </c>
      <c r="F5391" s="5">
        <f>IFERROR(__xludf.DUMMYFUNCTION("""COMPUTED_VALUE"""),0.20524686628459346)</f>
        <v>0.2052468663</v>
      </c>
      <c r="G5391" s="5">
        <f>IFERROR(__xludf.DUMMYFUNCTION("""COMPUTED_VALUE"""),0.15850930154157344)</f>
        <v>0.1585093015</v>
      </c>
      <c r="H5391" s="5">
        <f>IFERROR(__xludf.DUMMYFUNCTION("""COMPUTED_VALUE"""),0.6026579065253098)</f>
        <v>0.6026579065</v>
      </c>
      <c r="I5391" s="11">
        <f>IFERROR(__xludf.DUMMYFUNCTION("""COMPUTED_VALUE"""),5559.847692996865)</f>
        <v>5559.847693</v>
      </c>
      <c r="J5391" s="10">
        <f>IFERROR(__xludf.DUMMYFUNCTION("""COMPUTED_VALUE"""),7.0)</f>
        <v>7</v>
      </c>
      <c r="K5391" s="5">
        <f>IFERROR(__xludf.DUMMYFUNCTION("""COMPUTED_VALUE"""),0.002316346790205162)</f>
        <v>0.00231634679</v>
      </c>
      <c r="L5391" s="10">
        <f>IFERROR(__xludf.DUMMYFUNCTION("""COMPUTED_VALUE"""),1004.0)</f>
        <v>1004</v>
      </c>
      <c r="M5391" s="5">
        <f>IFERROR(__xludf.DUMMYFUNCTION("""COMPUTED_VALUE"""),0.33223031105228323)</f>
        <v>0.3322303111</v>
      </c>
    </row>
    <row r="5392">
      <c r="A5392" s="10" t="str">
        <f>IFERROR(__xludf.DUMMYFUNCTION("""COMPUTED_VALUE"""),"zeal∫")</f>
        <v>zeal∫</v>
      </c>
      <c r="B5392" s="10">
        <f>IFERROR(__xludf.DUMMYFUNCTION("""COMPUTED_VALUE"""),1930.0)</f>
        <v>1930</v>
      </c>
      <c r="C5392" s="10">
        <f>IFERROR(__xludf.DUMMYFUNCTION("""COMPUTED_VALUE"""),22916.0)</f>
        <v>22916</v>
      </c>
      <c r="D5392" s="5">
        <f>IFERROR(__xludf.DUMMYFUNCTION("""COMPUTED_VALUE"""),0.3810635661869818)</f>
        <v>0.3810635662</v>
      </c>
      <c r="E5392" s="5">
        <f>IFERROR(__xludf.DUMMYFUNCTION("""COMPUTED_VALUE"""),0.10721433336510054)</f>
        <v>0.1072143334</v>
      </c>
      <c r="F5392" s="5">
        <f>IFERROR(__xludf.DUMMYFUNCTION("""COMPUTED_VALUE"""),0.20670923472791386)</f>
        <v>0.2067092347</v>
      </c>
      <c r="G5392" s="5">
        <f>IFERROR(__xludf.DUMMYFUNCTION("""COMPUTED_VALUE"""),0.1423806347088535)</f>
        <v>0.1423806347</v>
      </c>
      <c r="H5392" s="5">
        <f>IFERROR(__xludf.DUMMYFUNCTION("""COMPUTED_VALUE"""),0.6028123559243891)</f>
        <v>0.6028123559</v>
      </c>
      <c r="I5392" s="11">
        <f>IFERROR(__xludf.DUMMYFUNCTION("""COMPUTED_VALUE"""),5222.821576763486)</f>
        <v>5222.821577</v>
      </c>
      <c r="J5392" s="10">
        <f>IFERROR(__xludf.DUMMYFUNCTION("""COMPUTED_VALUE"""),1.0)</f>
        <v>1</v>
      </c>
      <c r="K5392" s="5">
        <f>IFERROR(__xludf.DUMMYFUNCTION("""COMPUTED_VALUE"""),5.181347150259067E-4)</f>
        <v>0.000518134715</v>
      </c>
      <c r="L5392" s="10">
        <f>IFERROR(__xludf.DUMMYFUNCTION("""COMPUTED_VALUE"""),1930.0)</f>
        <v>1930</v>
      </c>
      <c r="M5392" s="5">
        <f>IFERROR(__xludf.DUMMYFUNCTION("""COMPUTED_VALUE"""),1.0)</f>
        <v>1</v>
      </c>
    </row>
    <row r="5393">
      <c r="A5393" s="10" t="str">
        <f>IFERROR(__xludf.DUMMYFUNCTION("""COMPUTED_VALUE"""),"pgain")</f>
        <v>pgain</v>
      </c>
      <c r="B5393" s="10">
        <f>IFERROR(__xludf.DUMMYFUNCTION("""COMPUTED_VALUE"""),2687.0)</f>
        <v>2687</v>
      </c>
      <c r="C5393" s="10">
        <f>IFERROR(__xludf.DUMMYFUNCTION("""COMPUTED_VALUE"""),31882.0)</f>
        <v>31882</v>
      </c>
      <c r="D5393" s="5">
        <f>IFERROR(__xludf.DUMMYFUNCTION("""COMPUTED_VALUE"""),0.39318376434320945)</f>
        <v>0.3931837643</v>
      </c>
      <c r="E5393" s="5">
        <f>IFERROR(__xludf.DUMMYFUNCTION("""COMPUTED_VALUE"""),0.10721013872238397)</f>
        <v>0.1072101387</v>
      </c>
      <c r="F5393" s="5">
        <f>IFERROR(__xludf.DUMMYFUNCTION("""COMPUTED_VALUE"""),0.20859736256208256)</f>
        <v>0.2085973626</v>
      </c>
      <c r="G5393" s="5">
        <f>IFERROR(__xludf.DUMMYFUNCTION("""COMPUTED_VALUE"""),0.13536564480219215)</f>
        <v>0.1353656448</v>
      </c>
      <c r="H5393" s="5">
        <f>IFERROR(__xludf.DUMMYFUNCTION("""COMPUTED_VALUE"""),0.6136288998357964)</f>
        <v>0.6136288998</v>
      </c>
      <c r="I5393" s="11">
        <f>IFERROR(__xludf.DUMMYFUNCTION("""COMPUTED_VALUE"""),5128.029556650246)</f>
        <v>5128.029557</v>
      </c>
      <c r="J5393" s="10">
        <f>IFERROR(__xludf.DUMMYFUNCTION("""COMPUTED_VALUE"""),6.0)</f>
        <v>6</v>
      </c>
      <c r="K5393" s="5">
        <f>IFERROR(__xludf.DUMMYFUNCTION("""COMPUTED_VALUE"""),0.002232973576479345)</f>
        <v>0.002232973576</v>
      </c>
      <c r="L5393" s="10">
        <f>IFERROR(__xludf.DUMMYFUNCTION("""COMPUTED_VALUE"""),2687.0)</f>
        <v>2687</v>
      </c>
      <c r="M5393" s="5">
        <f>IFERROR(__xludf.DUMMYFUNCTION("""COMPUTED_VALUE"""),1.0)</f>
        <v>1</v>
      </c>
    </row>
    <row r="5394">
      <c r="A5394" s="10" t="str">
        <f>IFERROR(__xludf.DUMMYFUNCTION("""COMPUTED_VALUE"""),"藤谷知治")</f>
        <v>藤谷知治</v>
      </c>
      <c r="B5394" s="10">
        <f>IFERROR(__xludf.DUMMYFUNCTION("""COMPUTED_VALUE"""),134.0)</f>
        <v>134</v>
      </c>
      <c r="C5394" s="10">
        <f>IFERROR(__xludf.DUMMYFUNCTION("""COMPUTED_VALUE"""),1608.0)</f>
        <v>1608</v>
      </c>
      <c r="D5394" s="5">
        <f>IFERROR(__xludf.DUMMYFUNCTION("""COMPUTED_VALUE"""),0.30325644504748983)</f>
        <v>0.303256445</v>
      </c>
      <c r="E5394" s="5">
        <f>IFERROR(__xludf.DUMMYFUNCTION("""COMPUTED_VALUE"""),0.10719131614654002)</f>
        <v>0.1071913161</v>
      </c>
      <c r="F5394" s="5">
        <f>IFERROR(__xludf.DUMMYFUNCTION("""COMPUTED_VALUE"""),0.20827679782903663)</f>
        <v>0.2082767978</v>
      </c>
      <c r="G5394" s="5">
        <f>IFERROR(__xludf.DUMMYFUNCTION("""COMPUTED_VALUE"""),0.16824966078697423)</f>
        <v>0.1682496608</v>
      </c>
      <c r="H5394" s="5">
        <f>IFERROR(__xludf.DUMMYFUNCTION("""COMPUTED_VALUE"""),0.6286644951140065)</f>
        <v>0.6286644951</v>
      </c>
      <c r="I5394" s="11">
        <f>IFERROR(__xludf.DUMMYFUNCTION("""COMPUTED_VALUE"""),5651.14006514658)</f>
        <v>5651.140065</v>
      </c>
      <c r="J5394" s="10">
        <f>IFERROR(__xludf.DUMMYFUNCTION("""COMPUTED_VALUE"""),0.0)</f>
        <v>0</v>
      </c>
      <c r="K5394" s="5">
        <f>IFERROR(__xludf.DUMMYFUNCTION("""COMPUTED_VALUE"""),0.0)</f>
        <v>0</v>
      </c>
      <c r="L5394" s="10">
        <f>IFERROR(__xludf.DUMMYFUNCTION("""COMPUTED_VALUE"""),130.0)</f>
        <v>130</v>
      </c>
      <c r="M5394" s="5">
        <f>IFERROR(__xludf.DUMMYFUNCTION("""COMPUTED_VALUE"""),0.9701492537313433)</f>
        <v>0.9701492537</v>
      </c>
    </row>
    <row r="5395">
      <c r="A5395" s="10" t="str">
        <f>IFERROR(__xludf.DUMMYFUNCTION("""COMPUTED_VALUE"""),"かなこぉ")</f>
        <v>かなこぉ</v>
      </c>
      <c r="B5395" s="10">
        <f>IFERROR(__xludf.DUMMYFUNCTION("""COMPUTED_VALUE"""),453.0)</f>
        <v>453</v>
      </c>
      <c r="C5395" s="10">
        <f>IFERROR(__xludf.DUMMYFUNCTION("""COMPUTED_VALUE"""),5426.0)</f>
        <v>5426</v>
      </c>
      <c r="D5395" s="5">
        <f>IFERROR(__xludf.DUMMYFUNCTION("""COMPUTED_VALUE"""),0.3925196058717072)</f>
        <v>0.3925196059</v>
      </c>
      <c r="E5395" s="5">
        <f>IFERROR(__xludf.DUMMYFUNCTION("""COMPUTED_VALUE"""),0.1071787653327971)</f>
        <v>0.1071787653</v>
      </c>
      <c r="F5395" s="5">
        <f>IFERROR(__xludf.DUMMYFUNCTION("""COMPUTED_VALUE"""),0.20731952543736176)</f>
        <v>0.2073195254</v>
      </c>
      <c r="G5395" s="5">
        <f>IFERROR(__xludf.DUMMYFUNCTION("""COMPUTED_VALUE"""),0.1654936657952946)</f>
        <v>0.1654936658</v>
      </c>
      <c r="H5395" s="5">
        <f>IFERROR(__xludf.DUMMYFUNCTION("""COMPUTED_VALUE"""),0.6081474296799224)</f>
        <v>0.6081474297</v>
      </c>
      <c r="I5395" s="11">
        <f>IFERROR(__xludf.DUMMYFUNCTION("""COMPUTED_VALUE"""),5177.594568380214)</f>
        <v>5177.594568</v>
      </c>
      <c r="J5395" s="10">
        <f>IFERROR(__xludf.DUMMYFUNCTION("""COMPUTED_VALUE"""),0.0)</f>
        <v>0</v>
      </c>
      <c r="K5395" s="5">
        <f>IFERROR(__xludf.DUMMYFUNCTION("""COMPUTED_VALUE"""),0.0)</f>
        <v>0</v>
      </c>
      <c r="L5395" s="10">
        <f>IFERROR(__xludf.DUMMYFUNCTION("""COMPUTED_VALUE"""),453.0)</f>
        <v>453</v>
      </c>
      <c r="M5395" s="5">
        <f>IFERROR(__xludf.DUMMYFUNCTION("""COMPUTED_VALUE"""),1.0)</f>
        <v>1</v>
      </c>
    </row>
    <row r="5396">
      <c r="A5396" s="10" t="str">
        <f>IFERROR(__xludf.DUMMYFUNCTION("""COMPUTED_VALUE"""),"かげきゅう")</f>
        <v>かげきゅう</v>
      </c>
      <c r="B5396" s="10">
        <f>IFERROR(__xludf.DUMMYFUNCTION("""COMPUTED_VALUE"""),193.0)</f>
        <v>193</v>
      </c>
      <c r="C5396" s="10">
        <f>IFERROR(__xludf.DUMMYFUNCTION("""COMPUTED_VALUE"""),2312.0)</f>
        <v>2312</v>
      </c>
      <c r="D5396" s="5">
        <f>IFERROR(__xludf.DUMMYFUNCTION("""COMPUTED_VALUE"""),0.4034922133081642)</f>
        <v>0.4034922133</v>
      </c>
      <c r="E5396" s="5">
        <f>IFERROR(__xludf.DUMMYFUNCTION("""COMPUTED_VALUE"""),0.1071260028315243)</f>
        <v>0.1071260028</v>
      </c>
      <c r="F5396" s="5">
        <f>IFERROR(__xludf.DUMMYFUNCTION("""COMPUTED_VALUE"""),0.19679093912222748)</f>
        <v>0.1967909391</v>
      </c>
      <c r="G5396" s="5">
        <f>IFERROR(__xludf.DUMMYFUNCTION("""COMPUTED_VALUE"""),0.11420481359131666)</f>
        <v>0.1142048136</v>
      </c>
      <c r="H5396" s="5">
        <f>IFERROR(__xludf.DUMMYFUNCTION("""COMPUTED_VALUE"""),0.592326139088729)</f>
        <v>0.5923261391</v>
      </c>
      <c r="I5396" s="11">
        <f>IFERROR(__xludf.DUMMYFUNCTION("""COMPUTED_VALUE"""),5419.664268585132)</f>
        <v>5419.664269</v>
      </c>
      <c r="J5396" s="10">
        <f>IFERROR(__xludf.DUMMYFUNCTION("""COMPUTED_VALUE"""),1.0)</f>
        <v>1</v>
      </c>
      <c r="K5396" s="5">
        <f>IFERROR(__xludf.DUMMYFUNCTION("""COMPUTED_VALUE"""),0.0051813471502590676)</f>
        <v>0.00518134715</v>
      </c>
      <c r="L5396" s="10">
        <f>IFERROR(__xludf.DUMMYFUNCTION("""COMPUTED_VALUE"""),193.0)</f>
        <v>193</v>
      </c>
      <c r="M5396" s="5">
        <f>IFERROR(__xludf.DUMMYFUNCTION("""COMPUTED_VALUE"""),1.0)</f>
        <v>1</v>
      </c>
    </row>
    <row r="5397">
      <c r="A5397" s="10" t="str">
        <f>IFERROR(__xludf.DUMMYFUNCTION("""COMPUTED_VALUE"""),"ぜろめぐ")</f>
        <v>ぜろめぐ</v>
      </c>
      <c r="B5397" s="10">
        <f>IFERROR(__xludf.DUMMYFUNCTION("""COMPUTED_VALUE"""),5826.0)</f>
        <v>5826</v>
      </c>
      <c r="C5397" s="10">
        <f>IFERROR(__xludf.DUMMYFUNCTION("""COMPUTED_VALUE"""),68964.0)</f>
        <v>68964</v>
      </c>
      <c r="D5397" s="5">
        <f>IFERROR(__xludf.DUMMYFUNCTION("""COMPUTED_VALUE"""),0.3027178561246793)</f>
        <v>0.3027178561</v>
      </c>
      <c r="E5397" s="5">
        <f>IFERROR(__xludf.DUMMYFUNCTION("""COMPUTED_VALUE"""),0.1070987361018721)</f>
        <v>0.1070987361</v>
      </c>
      <c r="F5397" s="5">
        <f>IFERROR(__xludf.DUMMYFUNCTION("""COMPUTED_VALUE"""),0.19617346130697835)</f>
        <v>0.1961734613</v>
      </c>
      <c r="G5397" s="5">
        <f>IFERROR(__xludf.DUMMYFUNCTION("""COMPUTED_VALUE"""),0.16448097817479174)</f>
        <v>0.1644809782</v>
      </c>
      <c r="H5397" s="5">
        <f>IFERROR(__xludf.DUMMYFUNCTION("""COMPUTED_VALUE"""),0.5839657678023575)</f>
        <v>0.5839657678</v>
      </c>
      <c r="I5397" s="11">
        <f>IFERROR(__xludf.DUMMYFUNCTION("""COMPUTED_VALUE"""),5646.609074761828)</f>
        <v>5646.609075</v>
      </c>
      <c r="J5397" s="10">
        <f>IFERROR(__xludf.DUMMYFUNCTION("""COMPUTED_VALUE"""),7.0)</f>
        <v>7</v>
      </c>
      <c r="K5397" s="5">
        <f>IFERROR(__xludf.DUMMYFUNCTION("""COMPUTED_VALUE"""),0.001201510470305527)</f>
        <v>0.00120151047</v>
      </c>
      <c r="L5397" s="10">
        <f>IFERROR(__xludf.DUMMYFUNCTION("""COMPUTED_VALUE"""),0.0)</f>
        <v>0</v>
      </c>
      <c r="M5397" s="5">
        <f>IFERROR(__xludf.DUMMYFUNCTION("""COMPUTED_VALUE"""),0.0)</f>
        <v>0</v>
      </c>
    </row>
    <row r="5398">
      <c r="A5398" s="10" t="str">
        <f>IFERROR(__xludf.DUMMYFUNCTION("""COMPUTED_VALUE"""),"ふうつ")</f>
        <v>ふうつ</v>
      </c>
      <c r="B5398" s="10">
        <f>IFERROR(__xludf.DUMMYFUNCTION("""COMPUTED_VALUE"""),481.0)</f>
        <v>481</v>
      </c>
      <c r="C5398" s="10">
        <f>IFERROR(__xludf.DUMMYFUNCTION("""COMPUTED_VALUE"""),5654.0)</f>
        <v>5654</v>
      </c>
      <c r="D5398" s="5">
        <f>IFERROR(__xludf.DUMMYFUNCTION("""COMPUTED_VALUE"""),0.32070365358592695)</f>
        <v>0.3207036536</v>
      </c>
      <c r="E5398" s="5">
        <f>IFERROR(__xludf.DUMMYFUNCTION("""COMPUTED_VALUE"""),0.10709452928668084)</f>
        <v>0.1070945293</v>
      </c>
      <c r="F5398" s="5">
        <f>IFERROR(__xludf.DUMMYFUNCTION("""COMPUTED_VALUE"""),0.18248598492170887)</f>
        <v>0.1824859849</v>
      </c>
      <c r="G5398" s="5">
        <f>IFERROR(__xludf.DUMMYFUNCTION("""COMPUTED_VALUE"""),0.12739222888072685)</f>
        <v>0.1273922289</v>
      </c>
      <c r="H5398" s="5">
        <f>IFERROR(__xludf.DUMMYFUNCTION("""COMPUTED_VALUE"""),0.6292372881355932)</f>
        <v>0.6292372881</v>
      </c>
      <c r="I5398" s="11">
        <f>IFERROR(__xludf.DUMMYFUNCTION("""COMPUTED_VALUE"""),5526.271186440678)</f>
        <v>5526.271186</v>
      </c>
      <c r="J5398" s="10">
        <f>IFERROR(__xludf.DUMMYFUNCTION("""COMPUTED_VALUE"""),2.0)</f>
        <v>2</v>
      </c>
      <c r="K5398" s="5">
        <f>IFERROR(__xludf.DUMMYFUNCTION("""COMPUTED_VALUE"""),0.004158004158004158)</f>
        <v>0.004158004158</v>
      </c>
      <c r="L5398" s="10">
        <f>IFERROR(__xludf.DUMMYFUNCTION("""COMPUTED_VALUE"""),481.0)</f>
        <v>481</v>
      </c>
      <c r="M5398" s="5">
        <f>IFERROR(__xludf.DUMMYFUNCTION("""COMPUTED_VALUE"""),1.0)</f>
        <v>1</v>
      </c>
    </row>
    <row r="5399">
      <c r="A5399" s="10" t="str">
        <f>IFERROR(__xludf.DUMMYFUNCTION("""COMPUTED_VALUE"""),"nono_003")</f>
        <v>nono_003</v>
      </c>
      <c r="B5399" s="10">
        <f>IFERROR(__xludf.DUMMYFUNCTION("""COMPUTED_VALUE"""),188.0)</f>
        <v>188</v>
      </c>
      <c r="C5399" s="10">
        <f>IFERROR(__xludf.DUMMYFUNCTION("""COMPUTED_VALUE"""),2224.0)</f>
        <v>2224</v>
      </c>
      <c r="D5399" s="5">
        <f>IFERROR(__xludf.DUMMYFUNCTION("""COMPUTED_VALUE"""),0.28585461689587427)</f>
        <v>0.2858546169</v>
      </c>
      <c r="E5399" s="5">
        <f>IFERROR(__xludf.DUMMYFUNCTION("""COMPUTED_VALUE"""),0.10707269155206287)</f>
        <v>0.1070726916</v>
      </c>
      <c r="F5399" s="5">
        <f>IFERROR(__xludf.DUMMYFUNCTION("""COMPUTED_VALUE"""),0.2180746561886051)</f>
        <v>0.2180746562</v>
      </c>
      <c r="G5399" s="5">
        <f>IFERROR(__xludf.DUMMYFUNCTION("""COMPUTED_VALUE"""),0.13899803536345776)</f>
        <v>0.1389980354</v>
      </c>
      <c r="H5399" s="5">
        <f>IFERROR(__xludf.DUMMYFUNCTION("""COMPUTED_VALUE"""),0.5990990990990991)</f>
        <v>0.5990990991</v>
      </c>
      <c r="I5399" s="11">
        <f>IFERROR(__xludf.DUMMYFUNCTION("""COMPUTED_VALUE"""),5658.108108108108)</f>
        <v>5658.108108</v>
      </c>
      <c r="J5399" s="10">
        <f>IFERROR(__xludf.DUMMYFUNCTION("""COMPUTED_VALUE"""),1.0)</f>
        <v>1</v>
      </c>
      <c r="K5399" s="5">
        <f>IFERROR(__xludf.DUMMYFUNCTION("""COMPUTED_VALUE"""),0.005319148936170213)</f>
        <v>0.005319148936</v>
      </c>
      <c r="L5399" s="10">
        <f>IFERROR(__xludf.DUMMYFUNCTION("""COMPUTED_VALUE"""),0.0)</f>
        <v>0</v>
      </c>
      <c r="M5399" s="5">
        <f>IFERROR(__xludf.DUMMYFUNCTION("""COMPUTED_VALUE"""),0.0)</f>
        <v>0</v>
      </c>
    </row>
    <row r="5400">
      <c r="A5400" s="10" t="str">
        <f>IFERROR(__xludf.DUMMYFUNCTION("""COMPUTED_VALUE"""),"カッカッカッ")</f>
        <v>カッカッカッ</v>
      </c>
      <c r="B5400" s="10">
        <f>IFERROR(__xludf.DUMMYFUNCTION("""COMPUTED_VALUE"""),271.0)</f>
        <v>271</v>
      </c>
      <c r="C5400" s="10">
        <f>IFERROR(__xludf.DUMMYFUNCTION("""COMPUTED_VALUE"""),3185.0)</f>
        <v>3185</v>
      </c>
      <c r="D5400" s="5">
        <f>IFERROR(__xludf.DUMMYFUNCTION("""COMPUTED_VALUE"""),0.3390528483184626)</f>
        <v>0.3390528483</v>
      </c>
      <c r="E5400" s="5">
        <f>IFERROR(__xludf.DUMMYFUNCTION("""COMPUTED_VALUE"""),0.10706932052161977)</f>
        <v>0.1070693205</v>
      </c>
      <c r="F5400" s="5">
        <f>IFERROR(__xludf.DUMMYFUNCTION("""COMPUTED_VALUE"""),0.20212765957446807)</f>
        <v>0.2021276596</v>
      </c>
      <c r="G5400" s="5">
        <f>IFERROR(__xludf.DUMMYFUNCTION("""COMPUTED_VALUE"""),0.18359643102264928)</f>
        <v>0.183596431</v>
      </c>
      <c r="H5400" s="5">
        <f>IFERROR(__xludf.DUMMYFUNCTION("""COMPUTED_VALUE"""),0.6078098471986417)</f>
        <v>0.6078098472</v>
      </c>
      <c r="I5400" s="11">
        <f>IFERROR(__xludf.DUMMYFUNCTION("""COMPUTED_VALUE"""),5978.607809847199)</f>
        <v>5978.60781</v>
      </c>
      <c r="J5400" s="10">
        <f>IFERROR(__xludf.DUMMYFUNCTION("""COMPUTED_VALUE"""),0.0)</f>
        <v>0</v>
      </c>
      <c r="K5400" s="5">
        <f>IFERROR(__xludf.DUMMYFUNCTION("""COMPUTED_VALUE"""),0.0)</f>
        <v>0</v>
      </c>
      <c r="L5400" s="10">
        <f>IFERROR(__xludf.DUMMYFUNCTION("""COMPUTED_VALUE"""),271.0)</f>
        <v>271</v>
      </c>
      <c r="M5400" s="5">
        <f>IFERROR(__xludf.DUMMYFUNCTION("""COMPUTED_VALUE"""),1.0)</f>
        <v>1</v>
      </c>
    </row>
    <row r="5401">
      <c r="A5401" s="10" t="str">
        <f>IFERROR(__xludf.DUMMYFUNCTION("""COMPUTED_VALUE"""),"狛江空手１級")</f>
        <v>狛江空手１級</v>
      </c>
      <c r="B5401" s="10">
        <f>IFERROR(__xludf.DUMMYFUNCTION("""COMPUTED_VALUE"""),1620.0)</f>
        <v>1620</v>
      </c>
      <c r="C5401" s="10">
        <f>IFERROR(__xludf.DUMMYFUNCTION("""COMPUTED_VALUE"""),19067.0)</f>
        <v>19067</v>
      </c>
      <c r="D5401" s="5">
        <f>IFERROR(__xludf.DUMMYFUNCTION("""COMPUTED_VALUE"""),0.36241187596721497)</f>
        <v>0.362411876</v>
      </c>
      <c r="E5401" s="5">
        <f>IFERROR(__xludf.DUMMYFUNCTION("""COMPUTED_VALUE"""),0.10700980111193902)</f>
        <v>0.1070098011</v>
      </c>
      <c r="F5401" s="5">
        <f>IFERROR(__xludf.DUMMYFUNCTION("""COMPUTED_VALUE"""),0.2105232991345217)</f>
        <v>0.2105232991</v>
      </c>
      <c r="G5401" s="5">
        <f>IFERROR(__xludf.DUMMYFUNCTION("""COMPUTED_VALUE"""),0.17235054737204103)</f>
        <v>0.1723505474</v>
      </c>
      <c r="H5401" s="5">
        <f>IFERROR(__xludf.DUMMYFUNCTION("""COMPUTED_VALUE"""),0.5804519466376259)</f>
        <v>0.5804519466</v>
      </c>
      <c r="I5401" s="11">
        <f>IFERROR(__xludf.DUMMYFUNCTION("""COMPUTED_VALUE"""),5352.763408657773)</f>
        <v>5352.763409</v>
      </c>
      <c r="J5401" s="10">
        <f>IFERROR(__xludf.DUMMYFUNCTION("""COMPUTED_VALUE"""),3.0)</f>
        <v>3</v>
      </c>
      <c r="K5401" s="5">
        <f>IFERROR(__xludf.DUMMYFUNCTION("""COMPUTED_VALUE"""),0.001851851851851852)</f>
        <v>0.001851851852</v>
      </c>
      <c r="L5401" s="10">
        <f>IFERROR(__xludf.DUMMYFUNCTION("""COMPUTED_VALUE"""),1620.0)</f>
        <v>1620</v>
      </c>
      <c r="M5401" s="5">
        <f>IFERROR(__xludf.DUMMYFUNCTION("""COMPUTED_VALUE"""),1.0)</f>
        <v>1</v>
      </c>
    </row>
    <row r="5402">
      <c r="A5402" s="10" t="str">
        <f>IFERROR(__xludf.DUMMYFUNCTION("""COMPUTED_VALUE"""),"れん－New")</f>
        <v>れん－New</v>
      </c>
      <c r="B5402" s="10">
        <f>IFERROR(__xludf.DUMMYFUNCTION("""COMPUTED_VALUE"""),899.0)</f>
        <v>899</v>
      </c>
      <c r="C5402" s="10">
        <f>IFERROR(__xludf.DUMMYFUNCTION("""COMPUTED_VALUE"""),10713.0)</f>
        <v>10713</v>
      </c>
      <c r="D5402" s="5">
        <f>IFERROR(__xludf.DUMMYFUNCTION("""COMPUTED_VALUE"""),0.3228041573262686)</f>
        <v>0.3228041573</v>
      </c>
      <c r="E5402" s="5">
        <f>IFERROR(__xludf.DUMMYFUNCTION("""COMPUTED_VALUE"""),0.10699001426533523)</f>
        <v>0.1069900143</v>
      </c>
      <c r="F5402" s="5">
        <f>IFERROR(__xludf.DUMMYFUNCTION("""COMPUTED_VALUE"""),0.19971469329529243)</f>
        <v>0.1997146933</v>
      </c>
      <c r="G5402" s="5">
        <f>IFERROR(__xludf.DUMMYFUNCTION("""COMPUTED_VALUE"""),0.13338088445078458)</f>
        <v>0.1333808845</v>
      </c>
      <c r="H5402" s="5">
        <f>IFERROR(__xludf.DUMMYFUNCTION("""COMPUTED_VALUE"""),0.5892857142857143)</f>
        <v>0.5892857143</v>
      </c>
      <c r="I5402" s="11">
        <f>IFERROR(__xludf.DUMMYFUNCTION("""COMPUTED_VALUE"""),5027.244897959184)</f>
        <v>5027.244898</v>
      </c>
      <c r="J5402" s="10">
        <f>IFERROR(__xludf.DUMMYFUNCTION("""COMPUTED_VALUE"""),1.0)</f>
        <v>1</v>
      </c>
      <c r="K5402" s="5">
        <f>IFERROR(__xludf.DUMMYFUNCTION("""COMPUTED_VALUE"""),0.0011123470522803114)</f>
        <v>0.001112347052</v>
      </c>
      <c r="L5402" s="10">
        <f>IFERROR(__xludf.DUMMYFUNCTION("""COMPUTED_VALUE"""),899.0)</f>
        <v>899</v>
      </c>
      <c r="M5402" s="5">
        <f>IFERROR(__xludf.DUMMYFUNCTION("""COMPUTED_VALUE"""),1.0)</f>
        <v>1</v>
      </c>
    </row>
    <row r="5403">
      <c r="A5403" s="10" t="str">
        <f>IFERROR(__xludf.DUMMYFUNCTION("""COMPUTED_VALUE"""),"マルヒロ")</f>
        <v>マルヒロ</v>
      </c>
      <c r="B5403" s="10">
        <f>IFERROR(__xludf.DUMMYFUNCTION("""COMPUTED_VALUE"""),1286.0)</f>
        <v>1286</v>
      </c>
      <c r="C5403" s="10">
        <f>IFERROR(__xludf.DUMMYFUNCTION("""COMPUTED_VALUE"""),15148.0)</f>
        <v>15148</v>
      </c>
      <c r="D5403" s="5">
        <f>IFERROR(__xludf.DUMMYFUNCTION("""COMPUTED_VALUE"""),0.3561535132015582)</f>
        <v>0.3561535132</v>
      </c>
      <c r="E5403" s="5">
        <f>IFERROR(__xludf.DUMMYFUNCTION("""COMPUTED_VALUE"""),0.10698311931900159)</f>
        <v>0.1069831193</v>
      </c>
      <c r="F5403" s="5">
        <f>IFERROR(__xludf.DUMMYFUNCTION("""COMPUTED_VALUE"""),0.1939114124945895)</f>
        <v>0.1939114125</v>
      </c>
      <c r="G5403" s="5">
        <f>IFERROR(__xludf.DUMMYFUNCTION("""COMPUTED_VALUE"""),0.14687635261866974)</f>
        <v>0.1468763526</v>
      </c>
      <c r="H5403" s="5">
        <f>IFERROR(__xludf.DUMMYFUNCTION("""COMPUTED_VALUE"""),0.5948660714285714)</f>
        <v>0.5948660714</v>
      </c>
      <c r="I5403" s="11">
        <f>IFERROR(__xludf.DUMMYFUNCTION("""COMPUTED_VALUE"""),5586.5327380952385)</f>
        <v>5586.532738</v>
      </c>
      <c r="J5403" s="10">
        <f>IFERROR(__xludf.DUMMYFUNCTION("""COMPUTED_VALUE"""),1.0)</f>
        <v>1</v>
      </c>
      <c r="K5403" s="5">
        <f>IFERROR(__xludf.DUMMYFUNCTION("""COMPUTED_VALUE"""),7.776049766718507E-4)</f>
        <v>0.0007776049767</v>
      </c>
      <c r="L5403" s="10">
        <f>IFERROR(__xludf.DUMMYFUNCTION("""COMPUTED_VALUE"""),1286.0)</f>
        <v>1286</v>
      </c>
      <c r="M5403" s="5">
        <f>IFERROR(__xludf.DUMMYFUNCTION("""COMPUTED_VALUE"""),1.0)</f>
        <v>1</v>
      </c>
    </row>
    <row r="5404">
      <c r="A5404" s="10" t="str">
        <f>IFERROR(__xludf.DUMMYFUNCTION("""COMPUTED_VALUE"""),"カフェレオ")</f>
        <v>カフェレオ</v>
      </c>
      <c r="B5404" s="10">
        <f>IFERROR(__xludf.DUMMYFUNCTION("""COMPUTED_VALUE"""),835.0)</f>
        <v>835</v>
      </c>
      <c r="C5404" s="10">
        <f>IFERROR(__xludf.DUMMYFUNCTION("""COMPUTED_VALUE"""),9869.0)</f>
        <v>9869</v>
      </c>
      <c r="D5404" s="5">
        <f>IFERROR(__xludf.DUMMYFUNCTION("""COMPUTED_VALUE"""),0.3256586229798539)</f>
        <v>0.325658623</v>
      </c>
      <c r="E5404" s="5">
        <f>IFERROR(__xludf.DUMMYFUNCTION("""COMPUTED_VALUE"""),0.10692937790568961)</f>
        <v>0.1069293779</v>
      </c>
      <c r="F5404" s="5">
        <f>IFERROR(__xludf.DUMMYFUNCTION("""COMPUTED_VALUE"""),0.2014611467788355)</f>
        <v>0.2014611468</v>
      </c>
      <c r="G5404" s="5">
        <f>IFERROR(__xludf.DUMMYFUNCTION("""COMPUTED_VALUE"""),0.15674119991144564)</f>
        <v>0.1567411999</v>
      </c>
      <c r="H5404" s="5">
        <f>IFERROR(__xludf.DUMMYFUNCTION("""COMPUTED_VALUE"""),0.5895604395604396)</f>
        <v>0.5895604396</v>
      </c>
      <c r="I5404" s="11">
        <f>IFERROR(__xludf.DUMMYFUNCTION("""COMPUTED_VALUE"""),5445.384615384615)</f>
        <v>5445.384615</v>
      </c>
      <c r="J5404" s="10">
        <f>IFERROR(__xludf.DUMMYFUNCTION("""COMPUTED_VALUE"""),0.0)</f>
        <v>0</v>
      </c>
      <c r="K5404" s="5">
        <f>IFERROR(__xludf.DUMMYFUNCTION("""COMPUTED_VALUE"""),0.0)</f>
        <v>0</v>
      </c>
      <c r="L5404" s="10">
        <f>IFERROR(__xludf.DUMMYFUNCTION("""COMPUTED_VALUE"""),258.0)</f>
        <v>258</v>
      </c>
      <c r="M5404" s="5">
        <f>IFERROR(__xludf.DUMMYFUNCTION("""COMPUTED_VALUE"""),0.3089820359281437)</f>
        <v>0.3089820359</v>
      </c>
    </row>
    <row r="5405">
      <c r="A5405" s="10" t="str">
        <f>IFERROR(__xludf.DUMMYFUNCTION("""COMPUTED_VALUE"""),"水橋パルスィ")</f>
        <v>水橋パルスィ</v>
      </c>
      <c r="B5405" s="10">
        <f>IFERROR(__xludf.DUMMYFUNCTION("""COMPUTED_VALUE"""),233.0)</f>
        <v>233</v>
      </c>
      <c r="C5405" s="10">
        <f>IFERROR(__xludf.DUMMYFUNCTION("""COMPUTED_VALUE"""),2730.0)</f>
        <v>2730</v>
      </c>
      <c r="D5405" s="5">
        <f>IFERROR(__xludf.DUMMYFUNCTION("""COMPUTED_VALUE"""),0.28714457348818584)</f>
        <v>0.2871445735</v>
      </c>
      <c r="E5405" s="5">
        <f>IFERROR(__xludf.DUMMYFUNCTION("""COMPUTED_VALUE"""),0.10692831397677213)</f>
        <v>0.106928314</v>
      </c>
      <c r="F5405" s="5">
        <f>IFERROR(__xludf.DUMMYFUNCTION("""COMPUTED_VALUE"""),0.1918301962354826)</f>
        <v>0.1918301962</v>
      </c>
      <c r="G5405" s="5">
        <f>IFERROR(__xludf.DUMMYFUNCTION("""COMPUTED_VALUE"""),0.14577492991589908)</f>
        <v>0.1457749299</v>
      </c>
      <c r="H5405" s="5">
        <f>IFERROR(__xludf.DUMMYFUNCTION("""COMPUTED_VALUE"""),0.5970772442588727)</f>
        <v>0.5970772443</v>
      </c>
      <c r="I5405" s="11">
        <f>IFERROR(__xludf.DUMMYFUNCTION("""COMPUTED_VALUE"""),5584.133611691023)</f>
        <v>5584.133612</v>
      </c>
      <c r="J5405" s="10">
        <f>IFERROR(__xludf.DUMMYFUNCTION("""COMPUTED_VALUE"""),0.0)</f>
        <v>0</v>
      </c>
      <c r="K5405" s="5">
        <f>IFERROR(__xludf.DUMMYFUNCTION("""COMPUTED_VALUE"""),0.0)</f>
        <v>0</v>
      </c>
      <c r="L5405" s="10">
        <f>IFERROR(__xludf.DUMMYFUNCTION("""COMPUTED_VALUE"""),0.0)</f>
        <v>0</v>
      </c>
      <c r="M5405" s="5">
        <f>IFERROR(__xludf.DUMMYFUNCTION("""COMPUTED_VALUE"""),0.0)</f>
        <v>0</v>
      </c>
    </row>
    <row r="5406">
      <c r="A5406" s="10" t="str">
        <f>IFERROR(__xludf.DUMMYFUNCTION("""COMPUTED_VALUE"""),"新垣綾瀬")</f>
        <v>新垣綾瀬</v>
      </c>
      <c r="B5406" s="10">
        <f>IFERROR(__xludf.DUMMYFUNCTION("""COMPUTED_VALUE"""),153.0)</f>
        <v>153</v>
      </c>
      <c r="C5406" s="10">
        <f>IFERROR(__xludf.DUMMYFUNCTION("""COMPUTED_VALUE"""),1799.0)</f>
        <v>1799</v>
      </c>
      <c r="D5406" s="5">
        <f>IFERROR(__xludf.DUMMYFUNCTION("""COMPUTED_VALUE"""),0.40279465370595385)</f>
        <v>0.4027946537</v>
      </c>
      <c r="E5406" s="5">
        <f>IFERROR(__xludf.DUMMYFUNCTION("""COMPUTED_VALUE"""),0.10692588092345079)</f>
        <v>0.1069258809</v>
      </c>
      <c r="F5406" s="5">
        <f>IFERROR(__xludf.DUMMYFUNCTION("""COMPUTED_VALUE"""),0.20291616038882138)</f>
        <v>0.2029161604</v>
      </c>
      <c r="G5406" s="5">
        <f>IFERROR(__xludf.DUMMYFUNCTION("""COMPUTED_VALUE"""),0.15188335358444716)</f>
        <v>0.1518833536</v>
      </c>
      <c r="H5406" s="5">
        <f>IFERROR(__xludf.DUMMYFUNCTION("""COMPUTED_VALUE"""),0.5958083832335329)</f>
        <v>0.5958083832</v>
      </c>
      <c r="I5406" s="11">
        <f>IFERROR(__xludf.DUMMYFUNCTION("""COMPUTED_VALUE"""),5656.2874251497005)</f>
        <v>5656.287425</v>
      </c>
      <c r="J5406" s="10">
        <f>IFERROR(__xludf.DUMMYFUNCTION("""COMPUTED_VALUE"""),0.0)</f>
        <v>0</v>
      </c>
      <c r="K5406" s="5">
        <f>IFERROR(__xludf.DUMMYFUNCTION("""COMPUTED_VALUE"""),0.0)</f>
        <v>0</v>
      </c>
      <c r="L5406" s="10">
        <f>IFERROR(__xludf.DUMMYFUNCTION("""COMPUTED_VALUE"""),98.0)</f>
        <v>98</v>
      </c>
      <c r="M5406" s="5">
        <f>IFERROR(__xludf.DUMMYFUNCTION("""COMPUTED_VALUE"""),0.6405228758169934)</f>
        <v>0.6405228758</v>
      </c>
    </row>
    <row r="5407">
      <c r="A5407" s="10" t="str">
        <f>IFERROR(__xludf.DUMMYFUNCTION("""COMPUTED_VALUE"""),"闘士☆渋川老")</f>
        <v>闘士☆渋川老</v>
      </c>
      <c r="B5407" s="10">
        <f>IFERROR(__xludf.DUMMYFUNCTION("""COMPUTED_VALUE"""),403.0)</f>
        <v>403</v>
      </c>
      <c r="C5407" s="10">
        <f>IFERROR(__xludf.DUMMYFUNCTION("""COMPUTED_VALUE"""),4687.0)</f>
        <v>4687</v>
      </c>
      <c r="D5407" s="5">
        <f>IFERROR(__xludf.DUMMYFUNCTION("""COMPUTED_VALUE"""),0.36951447245564895)</f>
        <v>0.3695144725</v>
      </c>
      <c r="E5407" s="5">
        <f>IFERROR(__xludf.DUMMYFUNCTION("""COMPUTED_VALUE"""),0.1069094304388422)</f>
        <v>0.1069094304</v>
      </c>
      <c r="F5407" s="5">
        <f>IFERROR(__xludf.DUMMYFUNCTION("""COMPUTED_VALUE"""),0.21335200746965452)</f>
        <v>0.2133520075</v>
      </c>
      <c r="G5407" s="5">
        <f>IFERROR(__xludf.DUMMYFUNCTION("""COMPUTED_VALUE"""),0.13842203548085902)</f>
        <v>0.1384220355</v>
      </c>
      <c r="H5407" s="5">
        <f>IFERROR(__xludf.DUMMYFUNCTION("""COMPUTED_VALUE"""),0.5984682713347921)</f>
        <v>0.5984682713</v>
      </c>
      <c r="I5407" s="11">
        <f>IFERROR(__xludf.DUMMYFUNCTION("""COMPUTED_VALUE"""),5258.752735229759)</f>
        <v>5258.752735</v>
      </c>
      <c r="J5407" s="10">
        <f>IFERROR(__xludf.DUMMYFUNCTION("""COMPUTED_VALUE"""),3.0)</f>
        <v>3</v>
      </c>
      <c r="K5407" s="5">
        <f>IFERROR(__xludf.DUMMYFUNCTION("""COMPUTED_VALUE"""),0.007444168734491315)</f>
        <v>0.007444168734</v>
      </c>
      <c r="L5407" s="10">
        <f>IFERROR(__xludf.DUMMYFUNCTION("""COMPUTED_VALUE"""),256.0)</f>
        <v>256</v>
      </c>
      <c r="M5407" s="5">
        <f>IFERROR(__xludf.DUMMYFUNCTION("""COMPUTED_VALUE"""),0.6352357320099256)</f>
        <v>0.635235732</v>
      </c>
    </row>
    <row r="5408">
      <c r="A5408" s="10" t="str">
        <f>IFERROR(__xludf.DUMMYFUNCTION("""COMPUTED_VALUE"""),"明官")</f>
        <v>明官</v>
      </c>
      <c r="B5408" s="10">
        <f>IFERROR(__xludf.DUMMYFUNCTION("""COMPUTED_VALUE"""),274.0)</f>
        <v>274</v>
      </c>
      <c r="C5408" s="10">
        <f>IFERROR(__xludf.DUMMYFUNCTION("""COMPUTED_VALUE"""),3240.0)</f>
        <v>3240</v>
      </c>
      <c r="D5408" s="5">
        <f>IFERROR(__xludf.DUMMYFUNCTION("""COMPUTED_VALUE"""),0.23364801078894135)</f>
        <v>0.2336480108</v>
      </c>
      <c r="E5408" s="5">
        <f>IFERROR(__xludf.DUMMYFUNCTION("""COMPUTED_VALUE"""),0.10687795010114633)</f>
        <v>0.1068779501</v>
      </c>
      <c r="F5408" s="5">
        <f>IFERROR(__xludf.DUMMYFUNCTION("""COMPUTED_VALUE"""),0.17599460552933244)</f>
        <v>0.1759946055</v>
      </c>
      <c r="G5408" s="5">
        <f>IFERROR(__xludf.DUMMYFUNCTION("""COMPUTED_VALUE"""),0.12710721510451786)</f>
        <v>0.1271072151</v>
      </c>
      <c r="H5408" s="5">
        <f>IFERROR(__xludf.DUMMYFUNCTION("""COMPUTED_VALUE"""),0.6513409961685823)</f>
        <v>0.6513409962</v>
      </c>
      <c r="I5408" s="11">
        <f>IFERROR(__xludf.DUMMYFUNCTION("""COMPUTED_VALUE"""),5788.122605363985)</f>
        <v>5788.122605</v>
      </c>
      <c r="J5408" s="10">
        <f>IFERROR(__xludf.DUMMYFUNCTION("""COMPUTED_VALUE"""),1.0)</f>
        <v>1</v>
      </c>
      <c r="K5408" s="5">
        <f>IFERROR(__xludf.DUMMYFUNCTION("""COMPUTED_VALUE"""),0.0036496350364963502)</f>
        <v>0.003649635036</v>
      </c>
      <c r="L5408" s="10">
        <f>IFERROR(__xludf.DUMMYFUNCTION("""COMPUTED_VALUE"""),274.0)</f>
        <v>274</v>
      </c>
      <c r="M5408" s="5">
        <f>IFERROR(__xludf.DUMMYFUNCTION("""COMPUTED_VALUE"""),1.0)</f>
        <v>1</v>
      </c>
    </row>
    <row r="5409">
      <c r="A5409" s="10" t="str">
        <f>IFERROR(__xludf.DUMMYFUNCTION("""COMPUTED_VALUE"""),"丸求ASh")</f>
        <v>丸求ASh</v>
      </c>
      <c r="B5409" s="10">
        <f>IFERROR(__xludf.DUMMYFUNCTION("""COMPUTED_VALUE"""),353.0)</f>
        <v>353</v>
      </c>
      <c r="C5409" s="10">
        <f>IFERROR(__xludf.DUMMYFUNCTION("""COMPUTED_VALUE"""),4143.0)</f>
        <v>4143</v>
      </c>
      <c r="D5409" s="5">
        <f>IFERROR(__xludf.DUMMYFUNCTION("""COMPUTED_VALUE"""),0.37097625329815304)</f>
        <v>0.3709762533</v>
      </c>
      <c r="E5409" s="5">
        <f>IFERROR(__xludf.DUMMYFUNCTION("""COMPUTED_VALUE"""),0.10686015831134564)</f>
        <v>0.1068601583</v>
      </c>
      <c r="F5409" s="5">
        <f>IFERROR(__xludf.DUMMYFUNCTION("""COMPUTED_VALUE"""),0.2)</f>
        <v>0.2</v>
      </c>
      <c r="G5409" s="5">
        <f>IFERROR(__xludf.DUMMYFUNCTION("""COMPUTED_VALUE"""),0.15672823218997362)</f>
        <v>0.1567282322</v>
      </c>
      <c r="H5409" s="5">
        <f>IFERROR(__xludf.DUMMYFUNCTION("""COMPUTED_VALUE"""),0.6174142480211082)</f>
        <v>0.617414248</v>
      </c>
      <c r="I5409" s="11">
        <f>IFERROR(__xludf.DUMMYFUNCTION("""COMPUTED_VALUE"""),5353.825857519789)</f>
        <v>5353.825858</v>
      </c>
      <c r="J5409" s="10">
        <f>IFERROR(__xludf.DUMMYFUNCTION("""COMPUTED_VALUE"""),0.0)</f>
        <v>0</v>
      </c>
      <c r="K5409" s="5">
        <f>IFERROR(__xludf.DUMMYFUNCTION("""COMPUTED_VALUE"""),0.0)</f>
        <v>0</v>
      </c>
      <c r="L5409" s="10">
        <f>IFERROR(__xludf.DUMMYFUNCTION("""COMPUTED_VALUE"""),334.0)</f>
        <v>334</v>
      </c>
      <c r="M5409" s="5">
        <f>IFERROR(__xludf.DUMMYFUNCTION("""COMPUTED_VALUE"""),0.9461756373937678)</f>
        <v>0.9461756374</v>
      </c>
    </row>
    <row r="5410">
      <c r="A5410" s="10" t="str">
        <f>IFERROR(__xludf.DUMMYFUNCTION("""COMPUTED_VALUE"""),"確認事項")</f>
        <v>確認事項</v>
      </c>
      <c r="B5410" s="10">
        <f>IFERROR(__xludf.DUMMYFUNCTION("""COMPUTED_VALUE"""),3160.0)</f>
        <v>3160</v>
      </c>
      <c r="C5410" s="10">
        <f>IFERROR(__xludf.DUMMYFUNCTION("""COMPUTED_VALUE"""),37164.0)</f>
        <v>37164</v>
      </c>
      <c r="D5410" s="5">
        <f>IFERROR(__xludf.DUMMYFUNCTION("""COMPUTED_VALUE"""),0.3482531466886249)</f>
        <v>0.3482531467</v>
      </c>
      <c r="E5410" s="5">
        <f>IFERROR(__xludf.DUMMYFUNCTION("""COMPUTED_VALUE"""),0.106840371720974)</f>
        <v>0.1068403717</v>
      </c>
      <c r="F5410" s="5">
        <f>IFERROR(__xludf.DUMMYFUNCTION("""COMPUTED_VALUE"""),0.19844724150099988)</f>
        <v>0.1984472415</v>
      </c>
      <c r="G5410" s="5">
        <f>IFERROR(__xludf.DUMMYFUNCTION("""COMPUTED_VALUE"""),0.16101046935654628)</f>
        <v>0.1610104694</v>
      </c>
      <c r="H5410" s="5">
        <f>IFERROR(__xludf.DUMMYFUNCTION("""COMPUTED_VALUE"""),0.5849140486069947)</f>
        <v>0.5849140486</v>
      </c>
      <c r="I5410" s="11">
        <f>IFERROR(__xludf.DUMMYFUNCTION("""COMPUTED_VALUE"""),5553.749259039715)</f>
        <v>5553.749259</v>
      </c>
      <c r="J5410" s="10">
        <f>IFERROR(__xludf.DUMMYFUNCTION("""COMPUTED_VALUE"""),1.0)</f>
        <v>1</v>
      </c>
      <c r="K5410" s="5">
        <f>IFERROR(__xludf.DUMMYFUNCTION("""COMPUTED_VALUE"""),3.1645569620253165E-4)</f>
        <v>0.0003164556962</v>
      </c>
      <c r="L5410" s="10">
        <f>IFERROR(__xludf.DUMMYFUNCTION("""COMPUTED_VALUE"""),3146.0)</f>
        <v>3146</v>
      </c>
      <c r="M5410" s="5">
        <f>IFERROR(__xludf.DUMMYFUNCTION("""COMPUTED_VALUE"""),0.9955696202531645)</f>
        <v>0.9955696203</v>
      </c>
    </row>
    <row r="5411">
      <c r="A5411" s="10" t="str">
        <f>IFERROR(__xludf.DUMMYFUNCTION("""COMPUTED_VALUE"""),"ワイ将")</f>
        <v>ワイ将</v>
      </c>
      <c r="B5411" s="10">
        <f>IFERROR(__xludf.DUMMYFUNCTION("""COMPUTED_VALUE"""),507.0)</f>
        <v>507</v>
      </c>
      <c r="C5411" s="10">
        <f>IFERROR(__xludf.DUMMYFUNCTION("""COMPUTED_VALUE"""),6012.0)</f>
        <v>6012</v>
      </c>
      <c r="D5411" s="5">
        <f>IFERROR(__xludf.DUMMYFUNCTION("""COMPUTED_VALUE"""),0.3411444141689373)</f>
        <v>0.3411444142</v>
      </c>
      <c r="E5411" s="5">
        <f>IFERROR(__xludf.DUMMYFUNCTION("""COMPUTED_VALUE"""),0.10681198910081743)</f>
        <v>0.1068119891</v>
      </c>
      <c r="F5411" s="5">
        <f>IFERROR(__xludf.DUMMYFUNCTION("""COMPUTED_VALUE"""),0.20563124432334243)</f>
        <v>0.2056312443</v>
      </c>
      <c r="G5411" s="5">
        <f>IFERROR(__xludf.DUMMYFUNCTION("""COMPUTED_VALUE"""),0.1667574931880109)</f>
        <v>0.1667574932</v>
      </c>
      <c r="H5411" s="5">
        <f>IFERROR(__xludf.DUMMYFUNCTION("""COMPUTED_VALUE"""),0.6095406360424028)</f>
        <v>0.609540636</v>
      </c>
      <c r="I5411" s="11">
        <f>IFERROR(__xludf.DUMMYFUNCTION("""COMPUTED_VALUE"""),5528.886925795053)</f>
        <v>5528.886926</v>
      </c>
      <c r="J5411" s="10">
        <f>IFERROR(__xludf.DUMMYFUNCTION("""COMPUTED_VALUE"""),1.0)</f>
        <v>1</v>
      </c>
      <c r="K5411" s="5">
        <f>IFERROR(__xludf.DUMMYFUNCTION("""COMPUTED_VALUE"""),0.0019723865877712033)</f>
        <v>0.001972386588</v>
      </c>
      <c r="L5411" s="10">
        <f>IFERROR(__xludf.DUMMYFUNCTION("""COMPUTED_VALUE"""),313.0)</f>
        <v>313</v>
      </c>
      <c r="M5411" s="5">
        <f>IFERROR(__xludf.DUMMYFUNCTION("""COMPUTED_VALUE"""),0.6173570019723866)</f>
        <v>0.617357002</v>
      </c>
    </row>
    <row r="5412">
      <c r="A5412" s="10" t="str">
        <f>IFERROR(__xludf.DUMMYFUNCTION("""COMPUTED_VALUE"""),"Tank!")</f>
        <v>Tank!</v>
      </c>
      <c r="B5412" s="10">
        <f>IFERROR(__xludf.DUMMYFUNCTION("""COMPUTED_VALUE"""),191.0)</f>
        <v>191</v>
      </c>
      <c r="C5412" s="10">
        <f>IFERROR(__xludf.DUMMYFUNCTION("""COMPUTED_VALUE"""),2234.0)</f>
        <v>2234</v>
      </c>
      <c r="D5412" s="5">
        <f>IFERROR(__xludf.DUMMYFUNCTION("""COMPUTED_VALUE"""),0.4532550171316691)</f>
        <v>0.4532550171</v>
      </c>
      <c r="E5412" s="5">
        <f>IFERROR(__xludf.DUMMYFUNCTION("""COMPUTED_VALUE"""),0.10670582476749878)</f>
        <v>0.1067058248</v>
      </c>
      <c r="F5412" s="5">
        <f>IFERROR(__xludf.DUMMYFUNCTION("""COMPUTED_VALUE"""),0.20851688693098386)</f>
        <v>0.2085168869</v>
      </c>
      <c r="G5412" s="5">
        <f>IFERROR(__xludf.DUMMYFUNCTION("""COMPUTED_VALUE"""),0.14635340186000978)</f>
        <v>0.1463534019</v>
      </c>
      <c r="H5412" s="5">
        <f>IFERROR(__xludf.DUMMYFUNCTION("""COMPUTED_VALUE"""),0.607981220657277)</f>
        <v>0.6079812207</v>
      </c>
      <c r="I5412" s="11">
        <f>IFERROR(__xludf.DUMMYFUNCTION("""COMPUTED_VALUE"""),5888.262910798122)</f>
        <v>5888.262911</v>
      </c>
      <c r="J5412" s="10">
        <f>IFERROR(__xludf.DUMMYFUNCTION("""COMPUTED_VALUE"""),1.0)</f>
        <v>1</v>
      </c>
      <c r="K5412" s="5">
        <f>IFERROR(__xludf.DUMMYFUNCTION("""COMPUTED_VALUE"""),0.005235602094240838)</f>
        <v>0.005235602094</v>
      </c>
      <c r="L5412" s="10">
        <f>IFERROR(__xludf.DUMMYFUNCTION("""COMPUTED_VALUE"""),191.0)</f>
        <v>191</v>
      </c>
      <c r="M5412" s="5">
        <f>IFERROR(__xludf.DUMMYFUNCTION("""COMPUTED_VALUE"""),1.0)</f>
        <v>1</v>
      </c>
    </row>
    <row r="5413">
      <c r="A5413" s="10" t="str">
        <f>IFERROR(__xludf.DUMMYFUNCTION("""COMPUTED_VALUE"""),"栗山夏代")</f>
        <v>栗山夏代</v>
      </c>
      <c r="B5413" s="10">
        <f>IFERROR(__xludf.DUMMYFUNCTION("""COMPUTED_VALUE"""),680.0)</f>
        <v>680</v>
      </c>
      <c r="C5413" s="10">
        <f>IFERROR(__xludf.DUMMYFUNCTION("""COMPUTED_VALUE"""),8122.0)</f>
        <v>8122</v>
      </c>
      <c r="D5413" s="5">
        <f>IFERROR(__xludf.DUMMYFUNCTION("""COMPUTED_VALUE"""),0.3151034668099973)</f>
        <v>0.3151034668</v>
      </c>
      <c r="E5413" s="5">
        <f>IFERROR(__xludf.DUMMYFUNCTION("""COMPUTED_VALUE"""),0.10669174952969632)</f>
        <v>0.1066917495</v>
      </c>
      <c r="F5413" s="5">
        <f>IFERROR(__xludf.DUMMYFUNCTION("""COMPUTED_VALUE"""),0.19806503628056973)</f>
        <v>0.1980650363</v>
      </c>
      <c r="G5413" s="5">
        <f>IFERROR(__xludf.DUMMYFUNCTION("""COMPUTED_VALUE"""),0.12187583982800322)</f>
        <v>0.1218758398</v>
      </c>
      <c r="H5413" s="5">
        <f>IFERROR(__xludf.DUMMYFUNCTION("""COMPUTED_VALUE"""),0.6010854816824966)</f>
        <v>0.6010854817</v>
      </c>
      <c r="I5413" s="11">
        <f>IFERROR(__xludf.DUMMYFUNCTION("""COMPUTED_VALUE"""),5487.042062415197)</f>
        <v>5487.042062</v>
      </c>
      <c r="J5413" s="10">
        <f>IFERROR(__xludf.DUMMYFUNCTION("""COMPUTED_VALUE"""),1.0)</f>
        <v>1</v>
      </c>
      <c r="K5413" s="5">
        <f>IFERROR(__xludf.DUMMYFUNCTION("""COMPUTED_VALUE"""),0.0014705882352941176)</f>
        <v>0.001470588235</v>
      </c>
      <c r="L5413" s="10">
        <f>IFERROR(__xludf.DUMMYFUNCTION("""COMPUTED_VALUE"""),0.0)</f>
        <v>0</v>
      </c>
      <c r="M5413" s="5">
        <f>IFERROR(__xludf.DUMMYFUNCTION("""COMPUTED_VALUE"""),0.0)</f>
        <v>0</v>
      </c>
    </row>
    <row r="5414">
      <c r="A5414" s="10" t="str">
        <f>IFERROR(__xludf.DUMMYFUNCTION("""COMPUTED_VALUE"""),"グリモア麻雀部")</f>
        <v>グリモア麻雀部</v>
      </c>
      <c r="B5414" s="10">
        <f>IFERROR(__xludf.DUMMYFUNCTION("""COMPUTED_VALUE"""),199.0)</f>
        <v>199</v>
      </c>
      <c r="C5414" s="10">
        <f>IFERROR(__xludf.DUMMYFUNCTION("""COMPUTED_VALUE"""),2336.0)</f>
        <v>2336</v>
      </c>
      <c r="D5414" s="5">
        <f>IFERROR(__xludf.DUMMYFUNCTION("""COMPUTED_VALUE"""),0.2564342536265793)</f>
        <v>0.2564342536</v>
      </c>
      <c r="E5414" s="5">
        <f>IFERROR(__xludf.DUMMYFUNCTION("""COMPUTED_VALUE"""),0.10669162377164249)</f>
        <v>0.1066916238</v>
      </c>
      <c r="F5414" s="5">
        <f>IFERROR(__xludf.DUMMYFUNCTION("""COMPUTED_VALUE"""),0.18062704726251755)</f>
        <v>0.1806270473</v>
      </c>
      <c r="G5414" s="5">
        <f>IFERROR(__xludf.DUMMYFUNCTION("""COMPUTED_VALUE"""),0.1169864295741694)</f>
        <v>0.1169864296</v>
      </c>
      <c r="H5414" s="5">
        <f>IFERROR(__xludf.DUMMYFUNCTION("""COMPUTED_VALUE"""),0.6088082901554405)</f>
        <v>0.6088082902</v>
      </c>
      <c r="I5414" s="11">
        <f>IFERROR(__xludf.DUMMYFUNCTION("""COMPUTED_VALUE"""),5667.357512953368)</f>
        <v>5667.357513</v>
      </c>
      <c r="J5414" s="10">
        <f>IFERROR(__xludf.DUMMYFUNCTION("""COMPUTED_VALUE"""),0.0)</f>
        <v>0</v>
      </c>
      <c r="K5414" s="5">
        <f>IFERROR(__xludf.DUMMYFUNCTION("""COMPUTED_VALUE"""),0.0)</f>
        <v>0</v>
      </c>
      <c r="L5414" s="10">
        <f>IFERROR(__xludf.DUMMYFUNCTION("""COMPUTED_VALUE"""),199.0)</f>
        <v>199</v>
      </c>
      <c r="M5414" s="5">
        <f>IFERROR(__xludf.DUMMYFUNCTION("""COMPUTED_VALUE"""),1.0)</f>
        <v>1</v>
      </c>
    </row>
    <row r="5415">
      <c r="A5415" s="10" t="str">
        <f>IFERROR(__xludf.DUMMYFUNCTION("""COMPUTED_VALUE"""),"ぶおおー")</f>
        <v>ぶおおー</v>
      </c>
      <c r="B5415" s="10">
        <f>IFERROR(__xludf.DUMMYFUNCTION("""COMPUTED_VALUE"""),137.0)</f>
        <v>137</v>
      </c>
      <c r="C5415" s="10">
        <f>IFERROR(__xludf.DUMMYFUNCTION("""COMPUTED_VALUE"""),1638.0)</f>
        <v>1638</v>
      </c>
      <c r="D5415" s="5">
        <f>IFERROR(__xludf.DUMMYFUNCTION("""COMPUTED_VALUE"""),0.3044636908727515)</f>
        <v>0.3044636909</v>
      </c>
      <c r="E5415" s="5">
        <f>IFERROR(__xludf.DUMMYFUNCTION("""COMPUTED_VALUE"""),0.10659560293137908)</f>
        <v>0.1065956029</v>
      </c>
      <c r="F5415" s="5">
        <f>IFERROR(__xludf.DUMMYFUNCTION("""COMPUTED_VALUE"""),0.19187208527648233)</f>
        <v>0.1918720853</v>
      </c>
      <c r="G5415" s="5">
        <f>IFERROR(__xludf.DUMMYFUNCTION("""COMPUTED_VALUE"""),0.15389740173217856)</f>
        <v>0.1538974017</v>
      </c>
      <c r="H5415" s="5">
        <f>IFERROR(__xludf.DUMMYFUNCTION("""COMPUTED_VALUE"""),0.5902777777777778)</f>
        <v>0.5902777778</v>
      </c>
      <c r="I5415" s="11">
        <f>IFERROR(__xludf.DUMMYFUNCTION("""COMPUTED_VALUE"""),6109.375)</f>
        <v>6109.375</v>
      </c>
      <c r="J5415" s="10">
        <f>IFERROR(__xludf.DUMMYFUNCTION("""COMPUTED_VALUE"""),0.0)</f>
        <v>0</v>
      </c>
      <c r="K5415" s="5">
        <f>IFERROR(__xludf.DUMMYFUNCTION("""COMPUTED_VALUE"""),0.0)</f>
        <v>0</v>
      </c>
      <c r="L5415" s="10">
        <f>IFERROR(__xludf.DUMMYFUNCTION("""COMPUTED_VALUE"""),0.0)</f>
        <v>0</v>
      </c>
      <c r="M5415" s="5">
        <f>IFERROR(__xludf.DUMMYFUNCTION("""COMPUTED_VALUE"""),0.0)</f>
        <v>0</v>
      </c>
    </row>
    <row r="5416">
      <c r="A5416" s="10" t="str">
        <f>IFERROR(__xludf.DUMMYFUNCTION("""COMPUTED_VALUE"""),"パリイ！")</f>
        <v>パリイ！</v>
      </c>
      <c r="B5416" s="10">
        <f>IFERROR(__xludf.DUMMYFUNCTION("""COMPUTED_VALUE"""),281.0)</f>
        <v>281</v>
      </c>
      <c r="C5416" s="10">
        <f>IFERROR(__xludf.DUMMYFUNCTION("""COMPUTED_VALUE"""),3265.0)</f>
        <v>3265</v>
      </c>
      <c r="D5416" s="5">
        <f>IFERROR(__xludf.DUMMYFUNCTION("""COMPUTED_VALUE"""),0.3133378016085791)</f>
        <v>0.3133378016</v>
      </c>
      <c r="E5416" s="5">
        <f>IFERROR(__xludf.DUMMYFUNCTION("""COMPUTED_VALUE"""),0.10656836461126006)</f>
        <v>0.1065683646</v>
      </c>
      <c r="F5416" s="5">
        <f>IFERROR(__xludf.DUMMYFUNCTION("""COMPUTED_VALUE"""),0.1665549597855228)</f>
        <v>0.1665549598</v>
      </c>
      <c r="G5416" s="5">
        <f>IFERROR(__xludf.DUMMYFUNCTION("""COMPUTED_VALUE"""),0.13941018766756033)</f>
        <v>0.1394101877</v>
      </c>
      <c r="H5416" s="5">
        <f>IFERROR(__xludf.DUMMYFUNCTION("""COMPUTED_VALUE"""),0.6056338028169014)</f>
        <v>0.6056338028</v>
      </c>
      <c r="I5416" s="11">
        <f>IFERROR(__xludf.DUMMYFUNCTION("""COMPUTED_VALUE"""),5877.263581488934)</f>
        <v>5877.263581</v>
      </c>
      <c r="J5416" s="10">
        <f>IFERROR(__xludf.DUMMYFUNCTION("""COMPUTED_VALUE"""),1.0)</f>
        <v>1</v>
      </c>
      <c r="K5416" s="5">
        <f>IFERROR(__xludf.DUMMYFUNCTION("""COMPUTED_VALUE"""),0.0035587188612099642)</f>
        <v>0.003558718861</v>
      </c>
      <c r="L5416" s="10">
        <f>IFERROR(__xludf.DUMMYFUNCTION("""COMPUTED_VALUE"""),281.0)</f>
        <v>281</v>
      </c>
      <c r="M5416" s="5">
        <f>IFERROR(__xludf.DUMMYFUNCTION("""COMPUTED_VALUE"""),1.0)</f>
        <v>1</v>
      </c>
    </row>
    <row r="5417">
      <c r="A5417" s="10" t="str">
        <f>IFERROR(__xludf.DUMMYFUNCTION("""COMPUTED_VALUE"""),"isiyaki")</f>
        <v>isiyaki</v>
      </c>
      <c r="B5417" s="10">
        <f>IFERROR(__xludf.DUMMYFUNCTION("""COMPUTED_VALUE"""),1339.0)</f>
        <v>1339</v>
      </c>
      <c r="C5417" s="10">
        <f>IFERROR(__xludf.DUMMYFUNCTION("""COMPUTED_VALUE"""),15820.0)</f>
        <v>15820</v>
      </c>
      <c r="D5417" s="5">
        <f>IFERROR(__xludf.DUMMYFUNCTION("""COMPUTED_VALUE"""),0.31095918790138805)</f>
        <v>0.3109591879</v>
      </c>
      <c r="E5417" s="5">
        <f>IFERROR(__xludf.DUMMYFUNCTION("""COMPUTED_VALUE"""),0.10655341481941855)</f>
        <v>0.1065534148</v>
      </c>
      <c r="F5417" s="5">
        <f>IFERROR(__xludf.DUMMYFUNCTION("""COMPUTED_VALUE"""),0.19169946826876597)</f>
        <v>0.1916994683</v>
      </c>
      <c r="G5417" s="5">
        <f>IFERROR(__xludf.DUMMYFUNCTION("""COMPUTED_VALUE"""),0.1638698984876735)</f>
        <v>0.1638698985</v>
      </c>
      <c r="H5417" s="5">
        <f>IFERROR(__xludf.DUMMYFUNCTION("""COMPUTED_VALUE"""),0.5832132564841499)</f>
        <v>0.5832132565</v>
      </c>
      <c r="I5417" s="11">
        <f>IFERROR(__xludf.DUMMYFUNCTION("""COMPUTED_VALUE"""),5668.407780979827)</f>
        <v>5668.407781</v>
      </c>
      <c r="J5417" s="10">
        <f>IFERROR(__xludf.DUMMYFUNCTION("""COMPUTED_VALUE"""),4.0)</f>
        <v>4</v>
      </c>
      <c r="K5417" s="5">
        <f>IFERROR(__xludf.DUMMYFUNCTION("""COMPUTED_VALUE"""),0.002987303958177745)</f>
        <v>0.002987303958</v>
      </c>
      <c r="L5417" s="10">
        <f>IFERROR(__xludf.DUMMYFUNCTION("""COMPUTED_VALUE"""),1339.0)</f>
        <v>1339</v>
      </c>
      <c r="M5417" s="5">
        <f>IFERROR(__xludf.DUMMYFUNCTION("""COMPUTED_VALUE"""),1.0)</f>
        <v>1</v>
      </c>
    </row>
    <row r="5418">
      <c r="A5418" s="10" t="str">
        <f>IFERROR(__xludf.DUMMYFUNCTION("""COMPUTED_VALUE"""),"二重メタファー")</f>
        <v>二重メタファー</v>
      </c>
      <c r="B5418" s="10">
        <f>IFERROR(__xludf.DUMMYFUNCTION("""COMPUTED_VALUE"""),413.0)</f>
        <v>413</v>
      </c>
      <c r="C5418" s="10">
        <f>IFERROR(__xludf.DUMMYFUNCTION("""COMPUTED_VALUE"""),4965.0)</f>
        <v>4965</v>
      </c>
      <c r="D5418" s="5">
        <f>IFERROR(__xludf.DUMMYFUNCTION("""COMPUTED_VALUE"""),0.21660808435852372)</f>
        <v>0.2166080844</v>
      </c>
      <c r="E5418" s="5">
        <f>IFERROR(__xludf.DUMMYFUNCTION("""COMPUTED_VALUE"""),0.10654657293497363)</f>
        <v>0.1065465729</v>
      </c>
      <c r="F5418" s="5">
        <f>IFERROR(__xludf.DUMMYFUNCTION("""COMPUTED_VALUE"""),0.1827768014059754)</f>
        <v>0.1827768014</v>
      </c>
      <c r="G5418" s="5">
        <f>IFERROR(__xludf.DUMMYFUNCTION("""COMPUTED_VALUE"""),0.13378734622144112)</f>
        <v>0.1337873462</v>
      </c>
      <c r="H5418" s="5">
        <f>IFERROR(__xludf.DUMMYFUNCTION("""COMPUTED_VALUE"""),0.6165865384615384)</f>
        <v>0.6165865385</v>
      </c>
      <c r="I5418" s="11">
        <f>IFERROR(__xludf.DUMMYFUNCTION("""COMPUTED_VALUE"""),6000.961538461538)</f>
        <v>6000.961538</v>
      </c>
      <c r="J5418" s="10">
        <f>IFERROR(__xludf.DUMMYFUNCTION("""COMPUTED_VALUE"""),3.0)</f>
        <v>3</v>
      </c>
      <c r="K5418" s="5">
        <f>IFERROR(__xludf.DUMMYFUNCTION("""COMPUTED_VALUE"""),0.007263922518159807)</f>
        <v>0.007263922518</v>
      </c>
      <c r="L5418" s="10">
        <f>IFERROR(__xludf.DUMMYFUNCTION("""COMPUTED_VALUE"""),413.0)</f>
        <v>413</v>
      </c>
      <c r="M5418" s="5">
        <f>IFERROR(__xludf.DUMMYFUNCTION("""COMPUTED_VALUE"""),1.0)</f>
        <v>1</v>
      </c>
    </row>
    <row r="5419">
      <c r="A5419" s="10" t="str">
        <f>IFERROR(__xludf.DUMMYFUNCTION("""COMPUTED_VALUE"""),"out祭り")</f>
        <v>out祭り</v>
      </c>
      <c r="B5419" s="10">
        <f>IFERROR(__xludf.DUMMYFUNCTION("""COMPUTED_VALUE"""),2240.0)</f>
        <v>2240</v>
      </c>
      <c r="C5419" s="10">
        <f>IFERROR(__xludf.DUMMYFUNCTION("""COMPUTED_VALUE"""),26353.0)</f>
        <v>26353</v>
      </c>
      <c r="D5419" s="5">
        <f>IFERROR(__xludf.DUMMYFUNCTION("""COMPUTED_VALUE"""),0.37427943433002947)</f>
        <v>0.3742794343</v>
      </c>
      <c r="E5419" s="5">
        <f>IFERROR(__xludf.DUMMYFUNCTION("""COMPUTED_VALUE"""),0.10654004064197736)</f>
        <v>0.1065400406</v>
      </c>
      <c r="F5419" s="5">
        <f>IFERROR(__xludf.DUMMYFUNCTION("""COMPUTED_VALUE"""),0.19582797661012732)</f>
        <v>0.1958279766</v>
      </c>
      <c r="G5419" s="5">
        <f>IFERROR(__xludf.DUMMYFUNCTION("""COMPUTED_VALUE"""),0.12686102932028367)</f>
        <v>0.1268610293</v>
      </c>
      <c r="H5419" s="5">
        <f>IFERROR(__xludf.DUMMYFUNCTION("""COMPUTED_VALUE"""),0.6054637865311309)</f>
        <v>0.6054637865</v>
      </c>
      <c r="I5419" s="11">
        <f>IFERROR(__xludf.DUMMYFUNCTION("""COMPUTED_VALUE"""),5616.772554002541)</f>
        <v>5616.772554</v>
      </c>
      <c r="J5419" s="10">
        <f>IFERROR(__xludf.DUMMYFUNCTION("""COMPUTED_VALUE"""),2.0)</f>
        <v>2</v>
      </c>
      <c r="K5419" s="5">
        <f>IFERROR(__xludf.DUMMYFUNCTION("""COMPUTED_VALUE"""),8.928571428571428E-4)</f>
        <v>0.0008928571429</v>
      </c>
      <c r="L5419" s="10">
        <f>IFERROR(__xludf.DUMMYFUNCTION("""COMPUTED_VALUE"""),2240.0)</f>
        <v>2240</v>
      </c>
      <c r="M5419" s="5">
        <f>IFERROR(__xludf.DUMMYFUNCTION("""COMPUTED_VALUE"""),1.0)</f>
        <v>1</v>
      </c>
    </row>
    <row r="5420">
      <c r="A5420" s="10" t="str">
        <f>IFERROR(__xludf.DUMMYFUNCTION("""COMPUTED_VALUE"""),"悠々.")</f>
        <v>悠々.</v>
      </c>
      <c r="B5420" s="10">
        <f>IFERROR(__xludf.DUMMYFUNCTION("""COMPUTED_VALUE"""),2268.0)</f>
        <v>2268</v>
      </c>
      <c r="C5420" s="10">
        <f>IFERROR(__xludf.DUMMYFUNCTION("""COMPUTED_VALUE"""),26736.0)</f>
        <v>26736</v>
      </c>
      <c r="D5420" s="5">
        <f>IFERROR(__xludf.DUMMYFUNCTION("""COMPUTED_VALUE"""),0.3187019780938368)</f>
        <v>0.3187019781</v>
      </c>
      <c r="E5420" s="5">
        <f>IFERROR(__xludf.DUMMYFUNCTION("""COMPUTED_VALUE"""),0.10650645741376492)</f>
        <v>0.1065064574</v>
      </c>
      <c r="F5420" s="5">
        <f>IFERROR(__xludf.DUMMYFUNCTION("""COMPUTED_VALUE"""),0.19527546182769331)</f>
        <v>0.1952754618</v>
      </c>
      <c r="G5420" s="5">
        <f>IFERROR(__xludf.DUMMYFUNCTION("""COMPUTED_VALUE"""),0.16163969265980055)</f>
        <v>0.1616396927</v>
      </c>
      <c r="H5420" s="5">
        <f>IFERROR(__xludf.DUMMYFUNCTION("""COMPUTED_VALUE"""),0.6082042695688573)</f>
        <v>0.6082042696</v>
      </c>
      <c r="I5420" s="11">
        <f>IFERROR(__xludf.DUMMYFUNCTION("""COMPUTED_VALUE"""),5500.020929259104)</f>
        <v>5500.020929</v>
      </c>
      <c r="J5420" s="10">
        <f>IFERROR(__xludf.DUMMYFUNCTION("""COMPUTED_VALUE"""),3.0)</f>
        <v>3</v>
      </c>
      <c r="K5420" s="5">
        <f>IFERROR(__xludf.DUMMYFUNCTION("""COMPUTED_VALUE"""),0.0013227513227513227)</f>
        <v>0.001322751323</v>
      </c>
      <c r="L5420" s="10">
        <f>IFERROR(__xludf.DUMMYFUNCTION("""COMPUTED_VALUE"""),2268.0)</f>
        <v>2268</v>
      </c>
      <c r="M5420" s="5">
        <f>IFERROR(__xludf.DUMMYFUNCTION("""COMPUTED_VALUE"""),1.0)</f>
        <v>1</v>
      </c>
    </row>
    <row r="5421">
      <c r="A5421" s="10" t="str">
        <f>IFERROR(__xludf.DUMMYFUNCTION("""COMPUTED_VALUE"""),"佐倉紗織.")</f>
        <v>佐倉紗織.</v>
      </c>
      <c r="B5421" s="10">
        <f>IFERROR(__xludf.DUMMYFUNCTION("""COMPUTED_VALUE"""),212.0)</f>
        <v>212</v>
      </c>
      <c r="C5421" s="10">
        <f>IFERROR(__xludf.DUMMYFUNCTION("""COMPUTED_VALUE"""),2550.0)</f>
        <v>2550</v>
      </c>
      <c r="D5421" s="5">
        <f>IFERROR(__xludf.DUMMYFUNCTION("""COMPUTED_VALUE"""),0.41573994867408043)</f>
        <v>0.4157399487</v>
      </c>
      <c r="E5421" s="5">
        <f>IFERROR(__xludf.DUMMYFUNCTION("""COMPUTED_VALUE"""),0.10650128314798973)</f>
        <v>0.1065012831</v>
      </c>
      <c r="F5421" s="5">
        <f>IFERROR(__xludf.DUMMYFUNCTION("""COMPUTED_VALUE"""),0.20316509837467922)</f>
        <v>0.2031650984</v>
      </c>
      <c r="G5421" s="5">
        <f>IFERROR(__xludf.DUMMYFUNCTION("""COMPUTED_VALUE"""),0.12018819503849444)</f>
        <v>0.120188195</v>
      </c>
      <c r="H5421" s="5">
        <f>IFERROR(__xludf.DUMMYFUNCTION("""COMPUTED_VALUE"""),0.6063157894736843)</f>
        <v>0.6063157895</v>
      </c>
      <c r="I5421" s="11">
        <f>IFERROR(__xludf.DUMMYFUNCTION("""COMPUTED_VALUE"""),5614.105263157895)</f>
        <v>5614.105263</v>
      </c>
      <c r="J5421" s="10">
        <f>IFERROR(__xludf.DUMMYFUNCTION("""COMPUTED_VALUE"""),0.0)</f>
        <v>0</v>
      </c>
      <c r="K5421" s="5">
        <f>IFERROR(__xludf.DUMMYFUNCTION("""COMPUTED_VALUE"""),0.0)</f>
        <v>0</v>
      </c>
      <c r="L5421" s="10">
        <f>IFERROR(__xludf.DUMMYFUNCTION("""COMPUTED_VALUE"""),0.0)</f>
        <v>0</v>
      </c>
      <c r="M5421" s="5">
        <f>IFERROR(__xludf.DUMMYFUNCTION("""COMPUTED_VALUE"""),0.0)</f>
        <v>0</v>
      </c>
    </row>
    <row r="5422">
      <c r="A5422" s="10" t="str">
        <f>IFERROR(__xludf.DUMMYFUNCTION("""COMPUTED_VALUE"""),"10:19")</f>
        <v>10:19</v>
      </c>
      <c r="B5422" s="10">
        <f>IFERROR(__xludf.DUMMYFUNCTION("""COMPUTED_VALUE"""),395.0)</f>
        <v>395</v>
      </c>
      <c r="C5422" s="10">
        <f>IFERROR(__xludf.DUMMYFUNCTION("""COMPUTED_VALUE"""),4772.0)</f>
        <v>4772</v>
      </c>
      <c r="D5422" s="5">
        <f>IFERROR(__xludf.DUMMYFUNCTION("""COMPUTED_VALUE"""),0.3216815170207905)</f>
        <v>0.321681517</v>
      </c>
      <c r="E5422" s="5">
        <f>IFERROR(__xludf.DUMMYFUNCTION("""COMPUTED_VALUE"""),0.10646561571852867)</f>
        <v>0.1064656157</v>
      </c>
      <c r="F5422" s="5">
        <f>IFERROR(__xludf.DUMMYFUNCTION("""COMPUTED_VALUE"""),0.1983093442997487)</f>
        <v>0.1983093443</v>
      </c>
      <c r="G5422" s="5">
        <f>IFERROR(__xludf.DUMMYFUNCTION("""COMPUTED_VALUE"""),0.1242860406671236)</f>
        <v>0.1242860407</v>
      </c>
      <c r="H5422" s="5">
        <f>IFERROR(__xludf.DUMMYFUNCTION("""COMPUTED_VALUE"""),0.6209677419354839)</f>
        <v>0.6209677419</v>
      </c>
      <c r="I5422" s="11">
        <f>IFERROR(__xludf.DUMMYFUNCTION("""COMPUTED_VALUE"""),5110.944700460829)</f>
        <v>5110.9447</v>
      </c>
      <c r="J5422" s="10">
        <f>IFERROR(__xludf.DUMMYFUNCTION("""COMPUTED_VALUE"""),0.0)</f>
        <v>0</v>
      </c>
      <c r="K5422" s="5">
        <f>IFERROR(__xludf.DUMMYFUNCTION("""COMPUTED_VALUE"""),0.0)</f>
        <v>0</v>
      </c>
      <c r="L5422" s="10">
        <f>IFERROR(__xludf.DUMMYFUNCTION("""COMPUTED_VALUE"""),395.0)</f>
        <v>395</v>
      </c>
      <c r="M5422" s="5">
        <f>IFERROR(__xludf.DUMMYFUNCTION("""COMPUTED_VALUE"""),1.0)</f>
        <v>1</v>
      </c>
    </row>
    <row r="5423">
      <c r="A5423" s="10" t="str">
        <f>IFERROR(__xludf.DUMMYFUNCTION("""COMPUTED_VALUE"""),"ミスターX")</f>
        <v>ミスターX</v>
      </c>
      <c r="B5423" s="10">
        <f>IFERROR(__xludf.DUMMYFUNCTION("""COMPUTED_VALUE"""),386.0)</f>
        <v>386</v>
      </c>
      <c r="C5423" s="10">
        <f>IFERROR(__xludf.DUMMYFUNCTION("""COMPUTED_VALUE"""),4548.0)</f>
        <v>4548</v>
      </c>
      <c r="D5423" s="5">
        <f>IFERROR(__xludf.DUMMYFUNCTION("""COMPUTED_VALUE"""),0.2957712638154733)</f>
        <v>0.2957712638</v>
      </c>
      <c r="E5423" s="5">
        <f>IFERROR(__xludf.DUMMYFUNCTION("""COMPUTED_VALUE"""),0.10643921191734743)</f>
        <v>0.1064392119</v>
      </c>
      <c r="F5423" s="5">
        <f>IFERROR(__xludf.DUMMYFUNCTION("""COMPUTED_VALUE"""),0.20110523786641038)</f>
        <v>0.2011052379</v>
      </c>
      <c r="G5423" s="5">
        <f>IFERROR(__xludf.DUMMYFUNCTION("""COMPUTED_VALUE"""),0.15233061028351755)</f>
        <v>0.1523306103</v>
      </c>
      <c r="H5423" s="5">
        <f>IFERROR(__xludf.DUMMYFUNCTION("""COMPUTED_VALUE"""),0.6117084826762246)</f>
        <v>0.6117084827</v>
      </c>
      <c r="I5423" s="11">
        <f>IFERROR(__xludf.DUMMYFUNCTION("""COMPUTED_VALUE"""),5630.704898446834)</f>
        <v>5630.704898</v>
      </c>
      <c r="J5423" s="10">
        <f>IFERROR(__xludf.DUMMYFUNCTION("""COMPUTED_VALUE"""),0.0)</f>
        <v>0</v>
      </c>
      <c r="K5423" s="5">
        <f>IFERROR(__xludf.DUMMYFUNCTION("""COMPUTED_VALUE"""),0.0)</f>
        <v>0</v>
      </c>
      <c r="L5423" s="10">
        <f>IFERROR(__xludf.DUMMYFUNCTION("""COMPUTED_VALUE"""),386.0)</f>
        <v>386</v>
      </c>
      <c r="M5423" s="5">
        <f>IFERROR(__xludf.DUMMYFUNCTION("""COMPUTED_VALUE"""),1.0)</f>
        <v>1</v>
      </c>
    </row>
    <row r="5424">
      <c r="A5424" s="10" t="str">
        <f>IFERROR(__xludf.DUMMYFUNCTION("""COMPUTED_VALUE"""),"きしりっしゅ")</f>
        <v>きしりっしゅ</v>
      </c>
      <c r="B5424" s="10">
        <f>IFERROR(__xludf.DUMMYFUNCTION("""COMPUTED_VALUE"""),2016.0)</f>
        <v>2016</v>
      </c>
      <c r="C5424" s="10">
        <f>IFERROR(__xludf.DUMMYFUNCTION("""COMPUTED_VALUE"""),23916.0)</f>
        <v>23916</v>
      </c>
      <c r="D5424" s="5">
        <f>IFERROR(__xludf.DUMMYFUNCTION("""COMPUTED_VALUE"""),0.32374429223744294)</f>
        <v>0.3237442922</v>
      </c>
      <c r="E5424" s="5">
        <f>IFERROR(__xludf.DUMMYFUNCTION("""COMPUTED_VALUE"""),0.10643835616438356)</f>
        <v>0.1064383562</v>
      </c>
      <c r="F5424" s="5">
        <f>IFERROR(__xludf.DUMMYFUNCTION("""COMPUTED_VALUE"""),0.18232876712328766)</f>
        <v>0.1823287671</v>
      </c>
      <c r="G5424" s="5">
        <f>IFERROR(__xludf.DUMMYFUNCTION("""COMPUTED_VALUE"""),0.13310502283105022)</f>
        <v>0.1331050228</v>
      </c>
      <c r="H5424" s="5">
        <f>IFERROR(__xludf.DUMMYFUNCTION("""COMPUTED_VALUE"""),0.5925369396443777)</f>
        <v>0.5925369396</v>
      </c>
      <c r="I5424" s="11">
        <f>IFERROR(__xludf.DUMMYFUNCTION("""COMPUTED_VALUE"""),5665.1139494114705)</f>
        <v>5665.113949</v>
      </c>
      <c r="J5424" s="10">
        <f>IFERROR(__xludf.DUMMYFUNCTION("""COMPUTED_VALUE"""),2.0)</f>
        <v>2</v>
      </c>
      <c r="K5424" s="5">
        <f>IFERROR(__xludf.DUMMYFUNCTION("""COMPUTED_VALUE"""),9.92063492063492E-4)</f>
        <v>0.0009920634921</v>
      </c>
      <c r="L5424" s="10">
        <f>IFERROR(__xludf.DUMMYFUNCTION("""COMPUTED_VALUE"""),1446.0)</f>
        <v>1446</v>
      </c>
      <c r="M5424" s="5">
        <f>IFERROR(__xludf.DUMMYFUNCTION("""COMPUTED_VALUE"""),0.7172619047619048)</f>
        <v>0.7172619048</v>
      </c>
    </row>
    <row r="5425">
      <c r="A5425" s="10" t="str">
        <f>IFERROR(__xludf.DUMMYFUNCTION("""COMPUTED_VALUE"""),"†白兎†")</f>
        <v>†白兎†</v>
      </c>
      <c r="B5425" s="10">
        <f>IFERROR(__xludf.DUMMYFUNCTION("""COMPUTED_VALUE"""),1888.0)</f>
        <v>1888</v>
      </c>
      <c r="C5425" s="10">
        <f>IFERROR(__xludf.DUMMYFUNCTION("""COMPUTED_VALUE"""),22306.0)</f>
        <v>22306</v>
      </c>
      <c r="D5425" s="5">
        <f>IFERROR(__xludf.DUMMYFUNCTION("""COMPUTED_VALUE"""),0.2937114310902145)</f>
        <v>0.2937114311</v>
      </c>
      <c r="E5425" s="5">
        <f>IFERROR(__xludf.DUMMYFUNCTION("""COMPUTED_VALUE"""),0.1063767264178666)</f>
        <v>0.1063767264</v>
      </c>
      <c r="F5425" s="5">
        <f>IFERROR(__xludf.DUMMYFUNCTION("""COMPUTED_VALUE"""),0.1968361249877559)</f>
        <v>0.196836125</v>
      </c>
      <c r="G5425" s="5">
        <f>IFERROR(__xludf.DUMMYFUNCTION("""COMPUTED_VALUE"""),0.1657850915858556)</f>
        <v>0.1657850916</v>
      </c>
      <c r="H5425" s="5">
        <f>IFERROR(__xludf.DUMMYFUNCTION("""COMPUTED_VALUE"""),0.575018661358547)</f>
        <v>0.5750186614</v>
      </c>
      <c r="I5425" s="11">
        <f>IFERROR(__xludf.DUMMYFUNCTION("""COMPUTED_VALUE"""),5848.992286638468)</f>
        <v>5848.992287</v>
      </c>
      <c r="J5425" s="10">
        <f>IFERROR(__xludf.DUMMYFUNCTION("""COMPUTED_VALUE"""),5.0)</f>
        <v>5</v>
      </c>
      <c r="K5425" s="5">
        <f>IFERROR(__xludf.DUMMYFUNCTION("""COMPUTED_VALUE"""),0.0026483050847457626)</f>
        <v>0.002648305085</v>
      </c>
      <c r="L5425" s="10">
        <f>IFERROR(__xludf.DUMMYFUNCTION("""COMPUTED_VALUE"""),1888.0)</f>
        <v>1888</v>
      </c>
      <c r="M5425" s="5">
        <f>IFERROR(__xludf.DUMMYFUNCTION("""COMPUTED_VALUE"""),1.0)</f>
        <v>1</v>
      </c>
    </row>
    <row r="5426">
      <c r="A5426" s="10" t="str">
        <f>IFERROR(__xludf.DUMMYFUNCTION("""COMPUTED_VALUE"""),"1ノ1、")</f>
        <v>1ノ1、</v>
      </c>
      <c r="B5426" s="10">
        <f>IFERROR(__xludf.DUMMYFUNCTION("""COMPUTED_VALUE"""),489.0)</f>
        <v>489</v>
      </c>
      <c r="C5426" s="10">
        <f>IFERROR(__xludf.DUMMYFUNCTION("""COMPUTED_VALUE"""),5728.0)</f>
        <v>5728</v>
      </c>
      <c r="D5426" s="5">
        <f>IFERROR(__xludf.DUMMYFUNCTION("""COMPUTED_VALUE"""),0.2414582935674747)</f>
        <v>0.2414582936</v>
      </c>
      <c r="E5426" s="5">
        <f>IFERROR(__xludf.DUMMYFUNCTION("""COMPUTED_VALUE"""),0.10631799961824775)</f>
        <v>0.1063179996</v>
      </c>
      <c r="F5426" s="5">
        <f>IFERROR(__xludf.DUMMYFUNCTION("""COMPUTED_VALUE"""),0.18724947509066617)</f>
        <v>0.1872494751</v>
      </c>
      <c r="G5426" s="5">
        <f>IFERROR(__xludf.DUMMYFUNCTION("""COMPUTED_VALUE"""),0.1488833746898263)</f>
        <v>0.1488833747</v>
      </c>
      <c r="H5426" s="5">
        <f>IFERROR(__xludf.DUMMYFUNCTION("""COMPUTED_VALUE"""),0.6136595310907238)</f>
        <v>0.6136595311</v>
      </c>
      <c r="I5426" s="11">
        <f>IFERROR(__xludf.DUMMYFUNCTION("""COMPUTED_VALUE"""),5816.309887869521)</f>
        <v>5816.309888</v>
      </c>
      <c r="J5426" s="10">
        <f>IFERROR(__xludf.DUMMYFUNCTION("""COMPUTED_VALUE"""),1.0)</f>
        <v>1</v>
      </c>
      <c r="K5426" s="5">
        <f>IFERROR(__xludf.DUMMYFUNCTION("""COMPUTED_VALUE"""),0.002044989775051125)</f>
        <v>0.002044989775</v>
      </c>
      <c r="L5426" s="10">
        <f>IFERROR(__xludf.DUMMYFUNCTION("""COMPUTED_VALUE"""),489.0)</f>
        <v>489</v>
      </c>
      <c r="M5426" s="5">
        <f>IFERROR(__xludf.DUMMYFUNCTION("""COMPUTED_VALUE"""),1.0)</f>
        <v>1</v>
      </c>
    </row>
    <row r="5427">
      <c r="A5427" s="10" t="str">
        <f>IFERROR(__xludf.DUMMYFUNCTION("""COMPUTED_VALUE"""),"国家最終戦力")</f>
        <v>国家最終戦力</v>
      </c>
      <c r="B5427" s="10">
        <f>IFERROR(__xludf.DUMMYFUNCTION("""COMPUTED_VALUE"""),1543.0)</f>
        <v>1543</v>
      </c>
      <c r="C5427" s="10">
        <f>IFERROR(__xludf.DUMMYFUNCTION("""COMPUTED_VALUE"""),17963.0)</f>
        <v>17963</v>
      </c>
      <c r="D5427" s="5">
        <f>IFERROR(__xludf.DUMMYFUNCTION("""COMPUTED_VALUE"""),0.28227771010962244)</f>
        <v>0.2822777101</v>
      </c>
      <c r="E5427" s="5">
        <f>IFERROR(__xludf.DUMMYFUNCTION("""COMPUTED_VALUE"""),0.10627283800243606)</f>
        <v>0.106272838</v>
      </c>
      <c r="F5427" s="5">
        <f>IFERROR(__xludf.DUMMYFUNCTION("""COMPUTED_VALUE"""),0.19238733252131546)</f>
        <v>0.1923873325</v>
      </c>
      <c r="G5427" s="5">
        <f>IFERROR(__xludf.DUMMYFUNCTION("""COMPUTED_VALUE"""),0.19232643118148599)</f>
        <v>0.1923264312</v>
      </c>
      <c r="H5427" s="5">
        <f>IFERROR(__xludf.DUMMYFUNCTION("""COMPUTED_VALUE"""),0.5897435897435898)</f>
        <v>0.5897435897</v>
      </c>
      <c r="I5427" s="11">
        <f>IFERROR(__xludf.DUMMYFUNCTION("""COMPUTED_VALUE"""),5975.466919911364)</f>
        <v>5975.46692</v>
      </c>
      <c r="J5427" s="10">
        <f>IFERROR(__xludf.DUMMYFUNCTION("""COMPUTED_VALUE"""),3.0)</f>
        <v>3</v>
      </c>
      <c r="K5427" s="5">
        <f>IFERROR(__xludf.DUMMYFUNCTION("""COMPUTED_VALUE"""),0.0019442644199611147)</f>
        <v>0.00194426442</v>
      </c>
      <c r="L5427" s="10">
        <f>IFERROR(__xludf.DUMMYFUNCTION("""COMPUTED_VALUE"""),1543.0)</f>
        <v>1543</v>
      </c>
      <c r="M5427" s="5">
        <f>IFERROR(__xludf.DUMMYFUNCTION("""COMPUTED_VALUE"""),1.0)</f>
        <v>1</v>
      </c>
    </row>
    <row r="5428">
      <c r="A5428" s="10" t="str">
        <f>IFERROR(__xludf.DUMMYFUNCTION("""COMPUTED_VALUE"""),"ツイスト")</f>
        <v>ツイスト</v>
      </c>
      <c r="B5428" s="10">
        <f>IFERROR(__xludf.DUMMYFUNCTION("""COMPUTED_VALUE"""),1250.0)</f>
        <v>1250</v>
      </c>
      <c r="C5428" s="10">
        <f>IFERROR(__xludf.DUMMYFUNCTION("""COMPUTED_VALUE"""),14913.0)</f>
        <v>14913</v>
      </c>
      <c r="D5428" s="5">
        <f>IFERROR(__xludf.DUMMYFUNCTION("""COMPUTED_VALUE"""),0.2837590573080583)</f>
        <v>0.2837590573</v>
      </c>
      <c r="E5428" s="5">
        <f>IFERROR(__xludf.DUMMYFUNCTION("""COMPUTED_VALUE"""),0.10627241455024519)</f>
        <v>0.1062724146</v>
      </c>
      <c r="F5428" s="5">
        <f>IFERROR(__xludf.DUMMYFUNCTION("""COMPUTED_VALUE"""),0.19805313620727513)</f>
        <v>0.1980531362</v>
      </c>
      <c r="G5428" s="5">
        <f>IFERROR(__xludf.DUMMYFUNCTION("""COMPUTED_VALUE"""),0.1476981629217595)</f>
        <v>0.1476981629</v>
      </c>
      <c r="H5428" s="5">
        <f>IFERROR(__xludf.DUMMYFUNCTION("""COMPUTED_VALUE"""),0.5953436807095344)</f>
        <v>0.5953436807</v>
      </c>
      <c r="I5428" s="11">
        <f>IFERROR(__xludf.DUMMYFUNCTION("""COMPUTED_VALUE"""),5252.771618625277)</f>
        <v>5252.771619</v>
      </c>
      <c r="J5428" s="10">
        <f>IFERROR(__xludf.DUMMYFUNCTION("""COMPUTED_VALUE"""),1.0)</f>
        <v>1</v>
      </c>
      <c r="K5428" s="5">
        <f>IFERROR(__xludf.DUMMYFUNCTION("""COMPUTED_VALUE"""),8.0E-4)</f>
        <v>0.0008</v>
      </c>
      <c r="L5428" s="10">
        <f>IFERROR(__xludf.DUMMYFUNCTION("""COMPUTED_VALUE"""),1250.0)</f>
        <v>1250</v>
      </c>
      <c r="M5428" s="5">
        <f>IFERROR(__xludf.DUMMYFUNCTION("""COMPUTED_VALUE"""),1.0)</f>
        <v>1</v>
      </c>
    </row>
    <row r="5429">
      <c r="A5429" s="10" t="str">
        <f>IFERROR(__xludf.DUMMYFUNCTION("""COMPUTED_VALUE"""),"トッシイ＠麻雀")</f>
        <v>トッシイ＠麻雀</v>
      </c>
      <c r="B5429" s="10">
        <f>IFERROR(__xludf.DUMMYFUNCTION("""COMPUTED_VALUE"""),643.0)</f>
        <v>643</v>
      </c>
      <c r="C5429" s="10">
        <f>IFERROR(__xludf.DUMMYFUNCTION("""COMPUTED_VALUE"""),7654.0)</f>
        <v>7654</v>
      </c>
      <c r="D5429" s="5">
        <f>IFERROR(__xludf.DUMMYFUNCTION("""COMPUTED_VALUE"""),0.3394665525602624)</f>
        <v>0.3394665526</v>
      </c>
      <c r="E5429" s="5">
        <f>IFERROR(__xludf.DUMMYFUNCTION("""COMPUTED_VALUE"""),0.1062615889316788)</f>
        <v>0.1062615889</v>
      </c>
      <c r="F5429" s="5">
        <f>IFERROR(__xludf.DUMMYFUNCTION("""COMPUTED_VALUE"""),0.20453572956782198)</f>
        <v>0.2045357296</v>
      </c>
      <c r="G5429" s="5">
        <f>IFERROR(__xludf.DUMMYFUNCTION("""COMPUTED_VALUE"""),0.15033518756240194)</f>
        <v>0.1503351876</v>
      </c>
      <c r="H5429" s="5">
        <f>IFERROR(__xludf.DUMMYFUNCTION("""COMPUTED_VALUE"""),0.5850767085076709)</f>
        <v>0.5850767085</v>
      </c>
      <c r="I5429" s="11">
        <f>IFERROR(__xludf.DUMMYFUNCTION("""COMPUTED_VALUE"""),5136.750348675035)</f>
        <v>5136.750349</v>
      </c>
      <c r="J5429" s="10">
        <f>IFERROR(__xludf.DUMMYFUNCTION("""COMPUTED_VALUE"""),1.0)</f>
        <v>1</v>
      </c>
      <c r="K5429" s="5">
        <f>IFERROR(__xludf.DUMMYFUNCTION("""COMPUTED_VALUE"""),0.0015552099533437014)</f>
        <v>0.001555209953</v>
      </c>
      <c r="L5429" s="10">
        <f>IFERROR(__xludf.DUMMYFUNCTION("""COMPUTED_VALUE"""),643.0)</f>
        <v>643</v>
      </c>
      <c r="M5429" s="5">
        <f>IFERROR(__xludf.DUMMYFUNCTION("""COMPUTED_VALUE"""),1.0)</f>
        <v>1</v>
      </c>
    </row>
    <row r="5430">
      <c r="A5430" s="10" t="str">
        <f>IFERROR(__xludf.DUMMYFUNCTION("""COMPUTED_VALUE"""),"くぎゅうううう")</f>
        <v>くぎゅうううう</v>
      </c>
      <c r="B5430" s="10">
        <f>IFERROR(__xludf.DUMMYFUNCTION("""COMPUTED_VALUE"""),1613.0)</f>
        <v>1613</v>
      </c>
      <c r="C5430" s="10">
        <f>IFERROR(__xludf.DUMMYFUNCTION("""COMPUTED_VALUE"""),19147.0)</f>
        <v>19147</v>
      </c>
      <c r="D5430" s="5">
        <f>IFERROR(__xludf.DUMMYFUNCTION("""COMPUTED_VALUE"""),0.3173263374016197)</f>
        <v>0.3173263374</v>
      </c>
      <c r="E5430" s="5">
        <f>IFERROR(__xludf.DUMMYFUNCTION("""COMPUTED_VALUE"""),0.10625071290065016)</f>
        <v>0.1062507129</v>
      </c>
      <c r="F5430" s="5">
        <f>IFERROR(__xludf.DUMMYFUNCTION("""COMPUTED_VALUE"""),0.20565757955971256)</f>
        <v>0.2056575796</v>
      </c>
      <c r="G5430" s="5">
        <f>IFERROR(__xludf.DUMMYFUNCTION("""COMPUTED_VALUE"""),0.1745180791604882)</f>
        <v>0.1745180792</v>
      </c>
      <c r="H5430" s="5">
        <f>IFERROR(__xludf.DUMMYFUNCTION("""COMPUTED_VALUE"""),0.5856905158069884)</f>
        <v>0.5856905158</v>
      </c>
      <c r="I5430" s="11">
        <f>IFERROR(__xludf.DUMMYFUNCTION("""COMPUTED_VALUE"""),5846.36716583472)</f>
        <v>5846.367166</v>
      </c>
      <c r="J5430" s="10">
        <f>IFERROR(__xludf.DUMMYFUNCTION("""COMPUTED_VALUE"""),0.0)</f>
        <v>0</v>
      </c>
      <c r="K5430" s="5">
        <f>IFERROR(__xludf.DUMMYFUNCTION("""COMPUTED_VALUE"""),0.0)</f>
        <v>0</v>
      </c>
      <c r="L5430" s="10">
        <f>IFERROR(__xludf.DUMMYFUNCTION("""COMPUTED_VALUE"""),1613.0)</f>
        <v>1613</v>
      </c>
      <c r="M5430" s="5">
        <f>IFERROR(__xludf.DUMMYFUNCTION("""COMPUTED_VALUE"""),1.0)</f>
        <v>1</v>
      </c>
    </row>
    <row r="5431">
      <c r="A5431" s="10" t="str">
        <f>IFERROR(__xludf.DUMMYFUNCTION("""COMPUTED_VALUE"""),"〓佐天さん〓")</f>
        <v>〓佐天さん〓</v>
      </c>
      <c r="B5431" s="10">
        <f>IFERROR(__xludf.DUMMYFUNCTION("""COMPUTED_VALUE"""),1161.0)</f>
        <v>1161</v>
      </c>
      <c r="C5431" s="10">
        <f>IFERROR(__xludf.DUMMYFUNCTION("""COMPUTED_VALUE"""),13760.0)</f>
        <v>13760</v>
      </c>
      <c r="D5431" s="5">
        <f>IFERROR(__xludf.DUMMYFUNCTION("""COMPUTED_VALUE"""),0.2908167314866259)</f>
        <v>0.2908167315</v>
      </c>
      <c r="E5431" s="5">
        <f>IFERROR(__xludf.DUMMYFUNCTION("""COMPUTED_VALUE"""),0.1061989046749742)</f>
        <v>0.1061989047</v>
      </c>
      <c r="F5431" s="5">
        <f>IFERROR(__xludf.DUMMYFUNCTION("""COMPUTED_VALUE"""),0.20977855385348043)</f>
        <v>0.2097785539</v>
      </c>
      <c r="G5431" s="5">
        <f>IFERROR(__xludf.DUMMYFUNCTION("""COMPUTED_VALUE"""),0.14556710850067467)</f>
        <v>0.1455671085</v>
      </c>
      <c r="H5431" s="5">
        <f>IFERROR(__xludf.DUMMYFUNCTION("""COMPUTED_VALUE"""),0.6038592508513053)</f>
        <v>0.6038592509</v>
      </c>
      <c r="I5431" s="11">
        <f>IFERROR(__xludf.DUMMYFUNCTION("""COMPUTED_VALUE"""),5554.105183503594)</f>
        <v>5554.105184</v>
      </c>
      <c r="J5431" s="10">
        <f>IFERROR(__xludf.DUMMYFUNCTION("""COMPUTED_VALUE"""),2.0)</f>
        <v>2</v>
      </c>
      <c r="K5431" s="5">
        <f>IFERROR(__xludf.DUMMYFUNCTION("""COMPUTED_VALUE"""),0.0017226528854435831)</f>
        <v>0.001722652885</v>
      </c>
      <c r="L5431" s="10">
        <f>IFERROR(__xludf.DUMMYFUNCTION("""COMPUTED_VALUE"""),130.0)</f>
        <v>130</v>
      </c>
      <c r="M5431" s="5">
        <f>IFERROR(__xludf.DUMMYFUNCTION("""COMPUTED_VALUE"""),0.1119724375538329)</f>
        <v>0.1119724376</v>
      </c>
    </row>
    <row r="5432">
      <c r="A5432" s="10" t="str">
        <f>IFERROR(__xludf.DUMMYFUNCTION("""COMPUTED_VALUE"""),"刹那の声")</f>
        <v>刹那の声</v>
      </c>
      <c r="B5432" s="10">
        <f>IFERROR(__xludf.DUMMYFUNCTION("""COMPUTED_VALUE"""),249.0)</f>
        <v>249</v>
      </c>
      <c r="C5432" s="10">
        <f>IFERROR(__xludf.DUMMYFUNCTION("""COMPUTED_VALUE"""),2933.0)</f>
        <v>2933</v>
      </c>
      <c r="D5432" s="5">
        <f>IFERROR(__xludf.DUMMYFUNCTION("""COMPUTED_VALUE"""),0.37220566318926973)</f>
        <v>0.3722056632</v>
      </c>
      <c r="E5432" s="5">
        <f>IFERROR(__xludf.DUMMYFUNCTION("""COMPUTED_VALUE"""),0.10618479880774963)</f>
        <v>0.1061847988</v>
      </c>
      <c r="F5432" s="5">
        <f>IFERROR(__xludf.DUMMYFUNCTION("""COMPUTED_VALUE"""),0.19448584202682564)</f>
        <v>0.194485842</v>
      </c>
      <c r="G5432" s="5">
        <f>IFERROR(__xludf.DUMMYFUNCTION("""COMPUTED_VALUE"""),0.14195230998509686)</f>
        <v>0.14195231</v>
      </c>
      <c r="H5432" s="5">
        <f>IFERROR(__xludf.DUMMYFUNCTION("""COMPUTED_VALUE"""),0.5862068965517241)</f>
        <v>0.5862068966</v>
      </c>
      <c r="I5432" s="11">
        <f>IFERROR(__xludf.DUMMYFUNCTION("""COMPUTED_VALUE"""),5946.168582375479)</f>
        <v>5946.168582</v>
      </c>
      <c r="J5432" s="10">
        <f>IFERROR(__xludf.DUMMYFUNCTION("""COMPUTED_VALUE"""),1.0)</f>
        <v>1</v>
      </c>
      <c r="K5432" s="5">
        <f>IFERROR(__xludf.DUMMYFUNCTION("""COMPUTED_VALUE"""),0.004016064257028112)</f>
        <v>0.004016064257</v>
      </c>
      <c r="L5432" s="10">
        <f>IFERROR(__xludf.DUMMYFUNCTION("""COMPUTED_VALUE"""),249.0)</f>
        <v>249</v>
      </c>
      <c r="M5432" s="5">
        <f>IFERROR(__xludf.DUMMYFUNCTION("""COMPUTED_VALUE"""),1.0)</f>
        <v>1</v>
      </c>
    </row>
    <row r="5433">
      <c r="A5433" s="10" t="str">
        <f>IFERROR(__xludf.DUMMYFUNCTION("""COMPUTED_VALUE"""),"平山雲唯")</f>
        <v>平山雲唯</v>
      </c>
      <c r="B5433" s="10">
        <f>IFERROR(__xludf.DUMMYFUNCTION("""COMPUTED_VALUE"""),137.0)</f>
        <v>137</v>
      </c>
      <c r="C5433" s="10">
        <f>IFERROR(__xludf.DUMMYFUNCTION("""COMPUTED_VALUE"""),1691.0)</f>
        <v>1691</v>
      </c>
      <c r="D5433" s="5">
        <f>IFERROR(__xludf.DUMMYFUNCTION("""COMPUTED_VALUE"""),0.38738738738738737)</f>
        <v>0.3873873874</v>
      </c>
      <c r="E5433" s="5">
        <f>IFERROR(__xludf.DUMMYFUNCTION("""COMPUTED_VALUE"""),0.10617760617760617)</f>
        <v>0.1061776062</v>
      </c>
      <c r="F5433" s="5">
        <f>IFERROR(__xludf.DUMMYFUNCTION("""COMPUTED_VALUE"""),0.19498069498069498)</f>
        <v>0.194980695</v>
      </c>
      <c r="G5433" s="5">
        <f>IFERROR(__xludf.DUMMYFUNCTION("""COMPUTED_VALUE"""),0.12805662805662807)</f>
        <v>0.1280566281</v>
      </c>
      <c r="H5433" s="5">
        <f>IFERROR(__xludf.DUMMYFUNCTION("""COMPUTED_VALUE"""),0.6072607260726073)</f>
        <v>0.6072607261</v>
      </c>
      <c r="I5433" s="11">
        <f>IFERROR(__xludf.DUMMYFUNCTION("""COMPUTED_VALUE"""),5243.564356435643)</f>
        <v>5243.564356</v>
      </c>
      <c r="J5433" s="10">
        <f>IFERROR(__xludf.DUMMYFUNCTION("""COMPUTED_VALUE"""),0.0)</f>
        <v>0</v>
      </c>
      <c r="K5433" s="5">
        <f>IFERROR(__xludf.DUMMYFUNCTION("""COMPUTED_VALUE"""),0.0)</f>
        <v>0</v>
      </c>
      <c r="L5433" s="10">
        <f>IFERROR(__xludf.DUMMYFUNCTION("""COMPUTED_VALUE"""),117.0)</f>
        <v>117</v>
      </c>
      <c r="M5433" s="5">
        <f>IFERROR(__xludf.DUMMYFUNCTION("""COMPUTED_VALUE"""),0.8540145985401459)</f>
        <v>0.8540145985</v>
      </c>
    </row>
    <row r="5434">
      <c r="A5434" s="10" t="str">
        <f>IFERROR(__xludf.DUMMYFUNCTION("""COMPUTED_VALUE"""),"お肉ちゃん")</f>
        <v>お肉ちゃん</v>
      </c>
      <c r="B5434" s="10">
        <f>IFERROR(__xludf.DUMMYFUNCTION("""COMPUTED_VALUE"""),909.0)</f>
        <v>909</v>
      </c>
      <c r="C5434" s="10">
        <f>IFERROR(__xludf.DUMMYFUNCTION("""COMPUTED_VALUE"""),10789.0)</f>
        <v>10789</v>
      </c>
      <c r="D5434" s="5">
        <f>IFERROR(__xludf.DUMMYFUNCTION("""COMPUTED_VALUE"""),0.2966599190283401)</f>
        <v>0.296659919</v>
      </c>
      <c r="E5434" s="5">
        <f>IFERROR(__xludf.DUMMYFUNCTION("""COMPUTED_VALUE"""),0.10617408906882592)</f>
        <v>0.1061740891</v>
      </c>
      <c r="F5434" s="5">
        <f>IFERROR(__xludf.DUMMYFUNCTION("""COMPUTED_VALUE"""),0.19736842105263158)</f>
        <v>0.1973684211</v>
      </c>
      <c r="G5434" s="5">
        <f>IFERROR(__xludf.DUMMYFUNCTION("""COMPUTED_VALUE"""),0.17965587044534412)</f>
        <v>0.1796558704</v>
      </c>
      <c r="H5434" s="5">
        <f>IFERROR(__xludf.DUMMYFUNCTION("""COMPUTED_VALUE"""),0.5917948717948718)</f>
        <v>0.5917948718</v>
      </c>
      <c r="I5434" s="11">
        <f>IFERROR(__xludf.DUMMYFUNCTION("""COMPUTED_VALUE"""),5682.923076923077)</f>
        <v>5682.923077</v>
      </c>
      <c r="J5434" s="10">
        <f>IFERROR(__xludf.DUMMYFUNCTION("""COMPUTED_VALUE"""),2.0)</f>
        <v>2</v>
      </c>
      <c r="K5434" s="5">
        <f>IFERROR(__xludf.DUMMYFUNCTION("""COMPUTED_VALUE"""),0.0022002200220022)</f>
        <v>0.002200220022</v>
      </c>
      <c r="L5434" s="10">
        <f>IFERROR(__xludf.DUMMYFUNCTION("""COMPUTED_VALUE"""),909.0)</f>
        <v>909</v>
      </c>
      <c r="M5434" s="5">
        <f>IFERROR(__xludf.DUMMYFUNCTION("""COMPUTED_VALUE"""),1.0)</f>
        <v>1</v>
      </c>
    </row>
    <row r="5435">
      <c r="A5435" s="10" t="str">
        <f>IFERROR(__xludf.DUMMYFUNCTION("""COMPUTED_VALUE"""),"iscope")</f>
        <v>iscope</v>
      </c>
      <c r="B5435" s="10">
        <f>IFERROR(__xludf.DUMMYFUNCTION("""COMPUTED_VALUE"""),1632.0)</f>
        <v>1632</v>
      </c>
      <c r="C5435" s="10">
        <f>IFERROR(__xludf.DUMMYFUNCTION("""COMPUTED_VALUE"""),19437.0)</f>
        <v>19437</v>
      </c>
      <c r="D5435" s="5">
        <f>IFERROR(__xludf.DUMMYFUNCTION("""COMPUTED_VALUE"""),0.3203032855939343)</f>
        <v>0.3203032856</v>
      </c>
      <c r="E5435" s="5">
        <f>IFERROR(__xludf.DUMMYFUNCTION("""COMPUTED_VALUE"""),0.10614995787700084)</f>
        <v>0.1061499579</v>
      </c>
      <c r="F5435" s="5">
        <f>IFERROR(__xludf.DUMMYFUNCTION("""COMPUTED_VALUE"""),0.20421229991575401)</f>
        <v>0.2042122999</v>
      </c>
      <c r="G5435" s="5">
        <f>IFERROR(__xludf.DUMMYFUNCTION("""COMPUTED_VALUE"""),0.12356079752878404)</f>
        <v>0.1235607975</v>
      </c>
      <c r="H5435" s="5">
        <f>IFERROR(__xludf.DUMMYFUNCTION("""COMPUTED_VALUE"""),0.6133113311331133)</f>
        <v>0.6133113311</v>
      </c>
      <c r="I5435" s="11">
        <f>IFERROR(__xludf.DUMMYFUNCTION("""COMPUTED_VALUE"""),5431.380638063806)</f>
        <v>5431.380638</v>
      </c>
      <c r="J5435" s="10">
        <f>IFERROR(__xludf.DUMMYFUNCTION("""COMPUTED_VALUE"""),0.0)</f>
        <v>0</v>
      </c>
      <c r="K5435" s="5">
        <f>IFERROR(__xludf.DUMMYFUNCTION("""COMPUTED_VALUE"""),0.0)</f>
        <v>0</v>
      </c>
      <c r="L5435" s="10">
        <f>IFERROR(__xludf.DUMMYFUNCTION("""COMPUTED_VALUE"""),1632.0)</f>
        <v>1632</v>
      </c>
      <c r="M5435" s="5">
        <f>IFERROR(__xludf.DUMMYFUNCTION("""COMPUTED_VALUE"""),1.0)</f>
        <v>1</v>
      </c>
    </row>
    <row r="5436">
      <c r="A5436" s="10" t="str">
        <f>IFERROR(__xludf.DUMMYFUNCTION("""COMPUTED_VALUE"""),"URDA")</f>
        <v>URDA</v>
      </c>
      <c r="B5436" s="10">
        <f>IFERROR(__xludf.DUMMYFUNCTION("""COMPUTED_VALUE"""),263.0)</f>
        <v>263</v>
      </c>
      <c r="C5436" s="10">
        <f>IFERROR(__xludf.DUMMYFUNCTION("""COMPUTED_VALUE"""),3061.0)</f>
        <v>3061</v>
      </c>
      <c r="D5436" s="5">
        <f>IFERROR(__xludf.DUMMYFUNCTION("""COMPUTED_VALUE"""),0.17512508934953538)</f>
        <v>0.1751250893</v>
      </c>
      <c r="E5436" s="5">
        <f>IFERROR(__xludf.DUMMYFUNCTION("""COMPUTED_VALUE"""),0.10614724803431022)</f>
        <v>0.106147248</v>
      </c>
      <c r="F5436" s="5">
        <f>IFERROR(__xludf.DUMMYFUNCTION("""COMPUTED_VALUE"""),0.17119370979270906)</f>
        <v>0.1711937098</v>
      </c>
      <c r="G5436" s="5">
        <f>IFERROR(__xludf.DUMMYFUNCTION("""COMPUTED_VALUE"""),0.18012866333095068)</f>
        <v>0.1801286633</v>
      </c>
      <c r="H5436" s="5">
        <f>IFERROR(__xludf.DUMMYFUNCTION("""COMPUTED_VALUE"""),0.5991649269311065)</f>
        <v>0.5991649269</v>
      </c>
      <c r="I5436" s="11">
        <f>IFERROR(__xludf.DUMMYFUNCTION("""COMPUTED_VALUE"""),6358.0375782881)</f>
        <v>6358.037578</v>
      </c>
      <c r="J5436" s="10">
        <f>IFERROR(__xludf.DUMMYFUNCTION("""COMPUTED_VALUE"""),0.0)</f>
        <v>0</v>
      </c>
      <c r="K5436" s="5">
        <f>IFERROR(__xludf.DUMMYFUNCTION("""COMPUTED_VALUE"""),0.0)</f>
        <v>0</v>
      </c>
      <c r="L5436" s="10">
        <f>IFERROR(__xludf.DUMMYFUNCTION("""COMPUTED_VALUE"""),263.0)</f>
        <v>263</v>
      </c>
      <c r="M5436" s="5">
        <f>IFERROR(__xludf.DUMMYFUNCTION("""COMPUTED_VALUE"""),1.0)</f>
        <v>1</v>
      </c>
    </row>
    <row r="5437">
      <c r="A5437" s="10" t="str">
        <f>IFERROR(__xludf.DUMMYFUNCTION("""COMPUTED_VALUE"""),"秋月61")</f>
        <v>秋月61</v>
      </c>
      <c r="B5437" s="10">
        <f>IFERROR(__xludf.DUMMYFUNCTION("""COMPUTED_VALUE"""),621.0)</f>
        <v>621</v>
      </c>
      <c r="C5437" s="10">
        <f>IFERROR(__xludf.DUMMYFUNCTION("""COMPUTED_VALUE"""),7367.0)</f>
        <v>7367</v>
      </c>
      <c r="D5437" s="5">
        <f>IFERROR(__xludf.DUMMYFUNCTION("""COMPUTED_VALUE"""),0.284020160094871)</f>
        <v>0.2840201601</v>
      </c>
      <c r="E5437" s="5">
        <f>IFERROR(__xludf.DUMMYFUNCTION("""COMPUTED_VALUE"""),0.10613697005632967)</f>
        <v>0.1061369701</v>
      </c>
      <c r="F5437" s="5">
        <f>IFERROR(__xludf.DUMMYFUNCTION("""COMPUTED_VALUE"""),0.20367625259412986)</f>
        <v>0.2036762526</v>
      </c>
      <c r="G5437" s="5">
        <f>IFERROR(__xludf.DUMMYFUNCTION("""COMPUTED_VALUE"""),0.16068781500148235)</f>
        <v>0.160687815</v>
      </c>
      <c r="H5437" s="5">
        <f>IFERROR(__xludf.DUMMYFUNCTION("""COMPUTED_VALUE"""),0.5938864628820961)</f>
        <v>0.5938864629</v>
      </c>
      <c r="I5437" s="11">
        <f>IFERROR(__xludf.DUMMYFUNCTION("""COMPUTED_VALUE"""),5645.123726346434)</f>
        <v>5645.123726</v>
      </c>
      <c r="J5437" s="10">
        <f>IFERROR(__xludf.DUMMYFUNCTION("""COMPUTED_VALUE"""),0.0)</f>
        <v>0</v>
      </c>
      <c r="K5437" s="5">
        <f>IFERROR(__xludf.DUMMYFUNCTION("""COMPUTED_VALUE"""),0.0)</f>
        <v>0</v>
      </c>
      <c r="L5437" s="10">
        <f>IFERROR(__xludf.DUMMYFUNCTION("""COMPUTED_VALUE"""),621.0)</f>
        <v>621</v>
      </c>
      <c r="M5437" s="5">
        <f>IFERROR(__xludf.DUMMYFUNCTION("""COMPUTED_VALUE"""),1.0)</f>
        <v>1</v>
      </c>
    </row>
    <row r="5438">
      <c r="A5438" s="10" t="str">
        <f>IFERROR(__xludf.DUMMYFUNCTION("""COMPUTED_VALUE"""),"夏冬")</f>
        <v>夏冬</v>
      </c>
      <c r="B5438" s="10">
        <f>IFERROR(__xludf.DUMMYFUNCTION("""COMPUTED_VALUE"""),893.0)</f>
        <v>893</v>
      </c>
      <c r="C5438" s="10">
        <f>IFERROR(__xludf.DUMMYFUNCTION("""COMPUTED_VALUE"""),10386.0)</f>
        <v>10386</v>
      </c>
      <c r="D5438" s="5">
        <f>IFERROR(__xludf.DUMMYFUNCTION("""COMPUTED_VALUE"""),0.3566838723269778)</f>
        <v>0.3566838723</v>
      </c>
      <c r="E5438" s="5">
        <f>IFERROR(__xludf.DUMMYFUNCTION("""COMPUTED_VALUE"""),0.10607816285684188)</f>
        <v>0.1060781629</v>
      </c>
      <c r="F5438" s="5">
        <f>IFERROR(__xludf.DUMMYFUNCTION("""COMPUTED_VALUE"""),0.20667860528810703)</f>
        <v>0.2066786053</v>
      </c>
      <c r="G5438" s="5">
        <f>IFERROR(__xludf.DUMMYFUNCTION("""COMPUTED_VALUE"""),0.1465290213841778)</f>
        <v>0.1465290214</v>
      </c>
      <c r="H5438" s="5">
        <f>IFERROR(__xludf.DUMMYFUNCTION("""COMPUTED_VALUE"""),0.582059123343527)</f>
        <v>0.5820591233</v>
      </c>
      <c r="I5438" s="11">
        <f>IFERROR(__xludf.DUMMYFUNCTION("""COMPUTED_VALUE"""),5380.581039755351)</f>
        <v>5380.58104</v>
      </c>
      <c r="J5438" s="10">
        <f>IFERROR(__xludf.DUMMYFUNCTION("""COMPUTED_VALUE"""),0.0)</f>
        <v>0</v>
      </c>
      <c r="K5438" s="5">
        <f>IFERROR(__xludf.DUMMYFUNCTION("""COMPUTED_VALUE"""),0.0)</f>
        <v>0</v>
      </c>
      <c r="L5438" s="10">
        <f>IFERROR(__xludf.DUMMYFUNCTION("""COMPUTED_VALUE"""),893.0)</f>
        <v>893</v>
      </c>
      <c r="M5438" s="5">
        <f>IFERROR(__xludf.DUMMYFUNCTION("""COMPUTED_VALUE"""),1.0)</f>
        <v>1</v>
      </c>
    </row>
    <row r="5439">
      <c r="A5439" s="10" t="str">
        <f>IFERROR(__xludf.DUMMYFUNCTION("""COMPUTED_VALUE"""),"バンビーは神")</f>
        <v>バンビーは神</v>
      </c>
      <c r="B5439" s="10">
        <f>IFERROR(__xludf.DUMMYFUNCTION("""COMPUTED_VALUE"""),215.0)</f>
        <v>215</v>
      </c>
      <c r="C5439" s="10">
        <f>IFERROR(__xludf.DUMMYFUNCTION("""COMPUTED_VALUE"""),2487.0)</f>
        <v>2487</v>
      </c>
      <c r="D5439" s="5">
        <f>IFERROR(__xludf.DUMMYFUNCTION("""COMPUTED_VALUE"""),0.3543133802816901)</f>
        <v>0.3543133803</v>
      </c>
      <c r="E5439" s="5">
        <f>IFERROR(__xludf.DUMMYFUNCTION("""COMPUTED_VALUE"""),0.10607394366197183)</f>
        <v>0.1060739437</v>
      </c>
      <c r="F5439" s="5">
        <f>IFERROR(__xludf.DUMMYFUNCTION("""COMPUTED_VALUE"""),0.2112676056338028)</f>
        <v>0.2112676056</v>
      </c>
      <c r="G5439" s="5">
        <f>IFERROR(__xludf.DUMMYFUNCTION("""COMPUTED_VALUE"""),0.18529929577464788)</f>
        <v>0.1852992958</v>
      </c>
      <c r="H5439" s="5">
        <f>IFERROR(__xludf.DUMMYFUNCTION("""COMPUTED_VALUE"""),0.5854166666666667)</f>
        <v>0.5854166667</v>
      </c>
      <c r="I5439" s="11">
        <f>IFERROR(__xludf.DUMMYFUNCTION("""COMPUTED_VALUE"""),5639.166666666667)</f>
        <v>5639.166667</v>
      </c>
      <c r="J5439" s="10">
        <f>IFERROR(__xludf.DUMMYFUNCTION("""COMPUTED_VALUE"""),0.0)</f>
        <v>0</v>
      </c>
      <c r="K5439" s="5">
        <f>IFERROR(__xludf.DUMMYFUNCTION("""COMPUTED_VALUE"""),0.0)</f>
        <v>0</v>
      </c>
      <c r="L5439" s="10">
        <f>IFERROR(__xludf.DUMMYFUNCTION("""COMPUTED_VALUE"""),0.0)</f>
        <v>0</v>
      </c>
      <c r="M5439" s="5">
        <f>IFERROR(__xludf.DUMMYFUNCTION("""COMPUTED_VALUE"""),0.0)</f>
        <v>0</v>
      </c>
    </row>
    <row r="5440">
      <c r="A5440" s="10" t="str">
        <f>IFERROR(__xludf.DUMMYFUNCTION("""COMPUTED_VALUE"""),"oooomori")</f>
        <v>oooomori</v>
      </c>
      <c r="B5440" s="10">
        <f>IFERROR(__xludf.DUMMYFUNCTION("""COMPUTED_VALUE"""),271.0)</f>
        <v>271</v>
      </c>
      <c r="C5440" s="10">
        <f>IFERROR(__xludf.DUMMYFUNCTION("""COMPUTED_VALUE"""),3203.0)</f>
        <v>3203</v>
      </c>
      <c r="D5440" s="5">
        <f>IFERROR(__xludf.DUMMYFUNCTION("""COMPUTED_VALUE"""),0.3069577080491132)</f>
        <v>0.306957708</v>
      </c>
      <c r="E5440" s="5">
        <f>IFERROR(__xludf.DUMMYFUNCTION("""COMPUTED_VALUE"""),0.10607094133697136)</f>
        <v>0.1060709413</v>
      </c>
      <c r="F5440" s="5">
        <f>IFERROR(__xludf.DUMMYFUNCTION("""COMPUTED_VALUE"""),0.20156889495225103)</f>
        <v>0.201568895</v>
      </c>
      <c r="G5440" s="5">
        <f>IFERROR(__xludf.DUMMYFUNCTION("""COMPUTED_VALUE"""),0.17291950886766713)</f>
        <v>0.1729195089</v>
      </c>
      <c r="H5440" s="5">
        <f>IFERROR(__xludf.DUMMYFUNCTION("""COMPUTED_VALUE"""),0.5702199661590525)</f>
        <v>0.5702199662</v>
      </c>
      <c r="I5440" s="11">
        <f>IFERROR(__xludf.DUMMYFUNCTION("""COMPUTED_VALUE"""),5694.416243654822)</f>
        <v>5694.416244</v>
      </c>
      <c r="J5440" s="10">
        <f>IFERROR(__xludf.DUMMYFUNCTION("""COMPUTED_VALUE"""),0.0)</f>
        <v>0</v>
      </c>
      <c r="K5440" s="5">
        <f>IFERROR(__xludf.DUMMYFUNCTION("""COMPUTED_VALUE"""),0.0)</f>
        <v>0</v>
      </c>
      <c r="L5440" s="10">
        <f>IFERROR(__xludf.DUMMYFUNCTION("""COMPUTED_VALUE"""),271.0)</f>
        <v>271</v>
      </c>
      <c r="M5440" s="5">
        <f>IFERROR(__xludf.DUMMYFUNCTION("""COMPUTED_VALUE"""),1.0)</f>
        <v>1</v>
      </c>
    </row>
    <row r="5441">
      <c r="A5441" s="10" t="str">
        <f>IFERROR(__xludf.DUMMYFUNCTION("""COMPUTED_VALUE"""),"sawaoY")</f>
        <v>sawaoY</v>
      </c>
      <c r="B5441" s="10">
        <f>IFERROR(__xludf.DUMMYFUNCTION("""COMPUTED_VALUE"""),182.0)</f>
        <v>182</v>
      </c>
      <c r="C5441" s="10">
        <f>IFERROR(__xludf.DUMMYFUNCTION("""COMPUTED_VALUE"""),2220.0)</f>
        <v>2220</v>
      </c>
      <c r="D5441" s="5">
        <f>IFERROR(__xludf.DUMMYFUNCTION("""COMPUTED_VALUE"""),0.3689892051030422)</f>
        <v>0.3689892051</v>
      </c>
      <c r="E5441" s="5">
        <f>IFERROR(__xludf.DUMMYFUNCTION("""COMPUTED_VALUE"""),0.10598626104023552)</f>
        <v>0.105986261</v>
      </c>
      <c r="F5441" s="5">
        <f>IFERROR(__xludf.DUMMYFUNCTION("""COMPUTED_VALUE"""),0.19381746810598627)</f>
        <v>0.1938174681</v>
      </c>
      <c r="G5441" s="5">
        <f>IFERROR(__xludf.DUMMYFUNCTION("""COMPUTED_VALUE"""),0.15652600588812562)</f>
        <v>0.1565260059</v>
      </c>
      <c r="H5441" s="5">
        <f>IFERROR(__xludf.DUMMYFUNCTION("""COMPUTED_VALUE"""),0.5594936708860759)</f>
        <v>0.5594936709</v>
      </c>
      <c r="I5441" s="11">
        <f>IFERROR(__xludf.DUMMYFUNCTION("""COMPUTED_VALUE"""),5548.101265822785)</f>
        <v>5548.101266</v>
      </c>
      <c r="J5441" s="10">
        <f>IFERROR(__xludf.DUMMYFUNCTION("""COMPUTED_VALUE"""),0.0)</f>
        <v>0</v>
      </c>
      <c r="K5441" s="5">
        <f>IFERROR(__xludf.DUMMYFUNCTION("""COMPUTED_VALUE"""),0.0)</f>
        <v>0</v>
      </c>
      <c r="L5441" s="10">
        <f>IFERROR(__xludf.DUMMYFUNCTION("""COMPUTED_VALUE"""),182.0)</f>
        <v>182</v>
      </c>
      <c r="M5441" s="5">
        <f>IFERROR(__xludf.DUMMYFUNCTION("""COMPUTED_VALUE"""),1.0)</f>
        <v>1</v>
      </c>
    </row>
    <row r="5442">
      <c r="A5442" s="10" t="str">
        <f>IFERROR(__xludf.DUMMYFUNCTION("""COMPUTED_VALUE"""),"こことむぎ")</f>
        <v>こことむぎ</v>
      </c>
      <c r="B5442" s="10">
        <f>IFERROR(__xludf.DUMMYFUNCTION("""COMPUTED_VALUE"""),265.0)</f>
        <v>265</v>
      </c>
      <c r="C5442" s="10">
        <f>IFERROR(__xludf.DUMMYFUNCTION("""COMPUTED_VALUE"""),3039.0)</f>
        <v>3039</v>
      </c>
      <c r="D5442" s="5">
        <f>IFERROR(__xludf.DUMMYFUNCTION("""COMPUTED_VALUE"""),0.2198990627253064)</f>
        <v>0.2198990627</v>
      </c>
      <c r="E5442" s="5">
        <f>IFERROR(__xludf.DUMMYFUNCTION("""COMPUTED_VALUE"""),0.10598413842826243)</f>
        <v>0.1059841384</v>
      </c>
      <c r="F5442" s="5">
        <f>IFERROR(__xludf.DUMMYFUNCTION("""COMPUTED_VALUE"""),0.17123287671232876)</f>
        <v>0.1712328767</v>
      </c>
      <c r="G5442" s="5">
        <f>IFERROR(__xludf.DUMMYFUNCTION("""COMPUTED_VALUE"""),0.14599855803893294)</f>
        <v>0.145998558</v>
      </c>
      <c r="H5442" s="5">
        <f>IFERROR(__xludf.DUMMYFUNCTION("""COMPUTED_VALUE"""),0.5894736842105263)</f>
        <v>0.5894736842</v>
      </c>
      <c r="I5442" s="11">
        <f>IFERROR(__xludf.DUMMYFUNCTION("""COMPUTED_VALUE"""),6384.0)</f>
        <v>6384</v>
      </c>
      <c r="J5442" s="10">
        <f>IFERROR(__xludf.DUMMYFUNCTION("""COMPUTED_VALUE"""),1.0)</f>
        <v>1</v>
      </c>
      <c r="K5442" s="5">
        <f>IFERROR(__xludf.DUMMYFUNCTION("""COMPUTED_VALUE"""),0.0037735849056603774)</f>
        <v>0.003773584906</v>
      </c>
      <c r="L5442" s="10">
        <f>IFERROR(__xludf.DUMMYFUNCTION("""COMPUTED_VALUE"""),265.0)</f>
        <v>265</v>
      </c>
      <c r="M5442" s="5">
        <f>IFERROR(__xludf.DUMMYFUNCTION("""COMPUTED_VALUE"""),1.0)</f>
        <v>1</v>
      </c>
    </row>
    <row r="5443">
      <c r="A5443" s="10" t="str">
        <f>IFERROR(__xludf.DUMMYFUNCTION("""COMPUTED_VALUE"""),"しのびあし")</f>
        <v>しのびあし</v>
      </c>
      <c r="B5443" s="10">
        <f>IFERROR(__xludf.DUMMYFUNCTION("""COMPUTED_VALUE"""),219.0)</f>
        <v>219</v>
      </c>
      <c r="C5443" s="10">
        <f>IFERROR(__xludf.DUMMYFUNCTION("""COMPUTED_VALUE"""),2645.0)</f>
        <v>2645</v>
      </c>
      <c r="D5443" s="5">
        <f>IFERROR(__xludf.DUMMYFUNCTION("""COMPUTED_VALUE"""),0.30502885408079145)</f>
        <v>0.3050288541</v>
      </c>
      <c r="E5443" s="5">
        <f>IFERROR(__xludf.DUMMYFUNCTION("""COMPUTED_VALUE"""),0.10593569661995053)</f>
        <v>0.1059356966</v>
      </c>
      <c r="F5443" s="5">
        <f>IFERROR(__xludf.DUMMYFUNCTION("""COMPUTED_VALUE"""),0.18425391591096454)</f>
        <v>0.1842539159</v>
      </c>
      <c r="G5443" s="5">
        <f>IFERROR(__xludf.DUMMYFUNCTION("""COMPUTED_VALUE"""),0.1339653751030503)</f>
        <v>0.1339653751</v>
      </c>
      <c r="H5443" s="5">
        <f>IFERROR(__xludf.DUMMYFUNCTION("""COMPUTED_VALUE"""),0.6062639821029083)</f>
        <v>0.6062639821</v>
      </c>
      <c r="I5443" s="11">
        <f>IFERROR(__xludf.DUMMYFUNCTION("""COMPUTED_VALUE"""),5575.391498881432)</f>
        <v>5575.391499</v>
      </c>
      <c r="J5443" s="10">
        <f>IFERROR(__xludf.DUMMYFUNCTION("""COMPUTED_VALUE"""),0.0)</f>
        <v>0</v>
      </c>
      <c r="K5443" s="5">
        <f>IFERROR(__xludf.DUMMYFUNCTION("""COMPUTED_VALUE"""),0.0)</f>
        <v>0</v>
      </c>
      <c r="L5443" s="10">
        <f>IFERROR(__xludf.DUMMYFUNCTION("""COMPUTED_VALUE"""),219.0)</f>
        <v>219</v>
      </c>
      <c r="M5443" s="5">
        <f>IFERROR(__xludf.DUMMYFUNCTION("""COMPUTED_VALUE"""),1.0)</f>
        <v>1</v>
      </c>
    </row>
    <row r="5444">
      <c r="A5444" s="10" t="str">
        <f>IFERROR(__xludf.DUMMYFUNCTION("""COMPUTED_VALUE"""),"ドラゴンブリード")</f>
        <v>ドラゴンブリード</v>
      </c>
      <c r="B5444" s="10">
        <f>IFERROR(__xludf.DUMMYFUNCTION("""COMPUTED_VALUE"""),438.0)</f>
        <v>438</v>
      </c>
      <c r="C5444" s="10">
        <f>IFERROR(__xludf.DUMMYFUNCTION("""COMPUTED_VALUE"""),5224.0)</f>
        <v>5224</v>
      </c>
      <c r="D5444" s="5">
        <f>IFERROR(__xludf.DUMMYFUNCTION("""COMPUTED_VALUE"""),0.35123276222315086)</f>
        <v>0.3512327622</v>
      </c>
      <c r="E5444" s="5">
        <f>IFERROR(__xludf.DUMMYFUNCTION("""COMPUTED_VALUE"""),0.10593397409109905)</f>
        <v>0.1059339741</v>
      </c>
      <c r="F5444" s="5">
        <f>IFERROR(__xludf.DUMMYFUNCTION("""COMPUTED_VALUE"""),0.20476389469285416)</f>
        <v>0.2047638947</v>
      </c>
      <c r="G5444" s="5">
        <f>IFERROR(__xludf.DUMMYFUNCTION("""COMPUTED_VALUE"""),0.17070622649394065)</f>
        <v>0.1707062265</v>
      </c>
      <c r="H5444" s="5">
        <f>IFERROR(__xludf.DUMMYFUNCTION("""COMPUTED_VALUE"""),0.5540816326530612)</f>
        <v>0.5540816327</v>
      </c>
      <c r="I5444" s="11">
        <f>IFERROR(__xludf.DUMMYFUNCTION("""COMPUTED_VALUE"""),5630.408163265306)</f>
        <v>5630.408163</v>
      </c>
      <c r="J5444" s="10">
        <f>IFERROR(__xludf.DUMMYFUNCTION("""COMPUTED_VALUE"""),1.0)</f>
        <v>1</v>
      </c>
      <c r="K5444" s="5">
        <f>IFERROR(__xludf.DUMMYFUNCTION("""COMPUTED_VALUE"""),0.00228310502283105)</f>
        <v>0.002283105023</v>
      </c>
      <c r="L5444" s="10">
        <f>IFERROR(__xludf.DUMMYFUNCTION("""COMPUTED_VALUE"""),438.0)</f>
        <v>438</v>
      </c>
      <c r="M5444" s="5">
        <f>IFERROR(__xludf.DUMMYFUNCTION("""COMPUTED_VALUE"""),1.0)</f>
        <v>1</v>
      </c>
    </row>
    <row r="5445">
      <c r="A5445" s="10" t="str">
        <f>IFERROR(__xludf.DUMMYFUNCTION("""COMPUTED_VALUE"""),"こいわいよつば")</f>
        <v>こいわいよつば</v>
      </c>
      <c r="B5445" s="10">
        <f>IFERROR(__xludf.DUMMYFUNCTION("""COMPUTED_VALUE"""),262.0)</f>
        <v>262</v>
      </c>
      <c r="C5445" s="10">
        <f>IFERROR(__xludf.DUMMYFUNCTION("""COMPUTED_VALUE"""),3086.0)</f>
        <v>3086</v>
      </c>
      <c r="D5445" s="5">
        <f>IFERROR(__xludf.DUMMYFUNCTION("""COMPUTED_VALUE"""),0.30488668555240794)</f>
        <v>0.3048866856</v>
      </c>
      <c r="E5445" s="5">
        <f>IFERROR(__xludf.DUMMYFUNCTION("""COMPUTED_VALUE"""),0.10587818696883852)</f>
        <v>0.105878187</v>
      </c>
      <c r="F5445" s="5">
        <f>IFERROR(__xludf.DUMMYFUNCTION("""COMPUTED_VALUE"""),0.19688385269121814)</f>
        <v>0.1968838527</v>
      </c>
      <c r="G5445" s="5">
        <f>IFERROR(__xludf.DUMMYFUNCTION("""COMPUTED_VALUE"""),0.1791784702549575)</f>
        <v>0.1791784703</v>
      </c>
      <c r="H5445" s="5">
        <f>IFERROR(__xludf.DUMMYFUNCTION("""COMPUTED_VALUE"""),0.5773381294964028)</f>
        <v>0.5773381295</v>
      </c>
      <c r="I5445" s="11">
        <f>IFERROR(__xludf.DUMMYFUNCTION("""COMPUTED_VALUE"""),5721.043165467626)</f>
        <v>5721.043165</v>
      </c>
      <c r="J5445" s="10">
        <f>IFERROR(__xludf.DUMMYFUNCTION("""COMPUTED_VALUE"""),0.0)</f>
        <v>0</v>
      </c>
      <c r="K5445" s="5">
        <f>IFERROR(__xludf.DUMMYFUNCTION("""COMPUTED_VALUE"""),0.0)</f>
        <v>0</v>
      </c>
      <c r="L5445" s="10">
        <f>IFERROR(__xludf.DUMMYFUNCTION("""COMPUTED_VALUE"""),235.0)</f>
        <v>235</v>
      </c>
      <c r="M5445" s="5">
        <f>IFERROR(__xludf.DUMMYFUNCTION("""COMPUTED_VALUE"""),0.8969465648854962)</f>
        <v>0.8969465649</v>
      </c>
    </row>
    <row r="5446">
      <c r="A5446" s="10" t="str">
        <f>IFERROR(__xludf.DUMMYFUNCTION("""COMPUTED_VALUE"""),"sdluh")</f>
        <v>sdluh</v>
      </c>
      <c r="B5446" s="10">
        <f>IFERROR(__xludf.DUMMYFUNCTION("""COMPUTED_VALUE"""),1500.0)</f>
        <v>1500</v>
      </c>
      <c r="C5446" s="10">
        <f>IFERROR(__xludf.DUMMYFUNCTION("""COMPUTED_VALUE"""),17548.0)</f>
        <v>17548</v>
      </c>
      <c r="D5446" s="5">
        <f>IFERROR(__xludf.DUMMYFUNCTION("""COMPUTED_VALUE"""),0.3030284147557328)</f>
        <v>0.3030284148</v>
      </c>
      <c r="E5446" s="5">
        <f>IFERROR(__xludf.DUMMYFUNCTION("""COMPUTED_VALUE"""),0.10586989032901296)</f>
        <v>0.1058698903</v>
      </c>
      <c r="F5446" s="5">
        <f>IFERROR(__xludf.DUMMYFUNCTION("""COMPUTED_VALUE"""),0.19541375872382852)</f>
        <v>0.1954137587</v>
      </c>
      <c r="G5446" s="5">
        <f>IFERROR(__xludf.DUMMYFUNCTION("""COMPUTED_VALUE"""),0.18027168494516452)</f>
        <v>0.1802716849</v>
      </c>
      <c r="H5446" s="5">
        <f>IFERROR(__xludf.DUMMYFUNCTION("""COMPUTED_VALUE"""),0.6157525510204082)</f>
        <v>0.615752551</v>
      </c>
      <c r="I5446" s="11">
        <f>IFERROR(__xludf.DUMMYFUNCTION("""COMPUTED_VALUE"""),5969.164540816327)</f>
        <v>5969.164541</v>
      </c>
      <c r="J5446" s="10">
        <f>IFERROR(__xludf.DUMMYFUNCTION("""COMPUTED_VALUE"""),2.0)</f>
        <v>2</v>
      </c>
      <c r="K5446" s="5">
        <f>IFERROR(__xludf.DUMMYFUNCTION("""COMPUTED_VALUE"""),0.0013333333333333333)</f>
        <v>0.001333333333</v>
      </c>
      <c r="L5446" s="10">
        <f>IFERROR(__xludf.DUMMYFUNCTION("""COMPUTED_VALUE"""),1500.0)</f>
        <v>1500</v>
      </c>
      <c r="M5446" s="5">
        <f>IFERROR(__xludf.DUMMYFUNCTION("""COMPUTED_VALUE"""),1.0)</f>
        <v>1</v>
      </c>
    </row>
    <row r="5447">
      <c r="A5447" s="10" t="str">
        <f>IFERROR(__xludf.DUMMYFUNCTION("""COMPUTED_VALUE"""),"マジきれそう！")</f>
        <v>マジきれそう！</v>
      </c>
      <c r="B5447" s="10">
        <f>IFERROR(__xludf.DUMMYFUNCTION("""COMPUTED_VALUE"""),1705.0)</f>
        <v>1705</v>
      </c>
      <c r="C5447" s="10">
        <f>IFERROR(__xludf.DUMMYFUNCTION("""COMPUTED_VALUE"""),20115.0)</f>
        <v>20115</v>
      </c>
      <c r="D5447" s="5">
        <f>IFERROR(__xludf.DUMMYFUNCTION("""COMPUTED_VALUE"""),0.35154807170016295)</f>
        <v>0.3515480717</v>
      </c>
      <c r="E5447" s="5">
        <f>IFERROR(__xludf.DUMMYFUNCTION("""COMPUTED_VALUE"""),0.10586637696903857)</f>
        <v>0.105866377</v>
      </c>
      <c r="F5447" s="5">
        <f>IFERROR(__xludf.DUMMYFUNCTION("""COMPUTED_VALUE"""),0.2115697990222705)</f>
        <v>0.211569799</v>
      </c>
      <c r="G5447" s="5">
        <f>IFERROR(__xludf.DUMMYFUNCTION("""COMPUTED_VALUE"""),0.16746333514394351)</f>
        <v>0.1674633351</v>
      </c>
      <c r="H5447" s="5">
        <f>IFERROR(__xludf.DUMMYFUNCTION("""COMPUTED_VALUE"""),0.5930680359435173)</f>
        <v>0.5930680359</v>
      </c>
      <c r="I5447" s="11">
        <f>IFERROR(__xludf.DUMMYFUNCTION("""COMPUTED_VALUE"""),5564.903722721438)</f>
        <v>5564.903723</v>
      </c>
      <c r="J5447" s="10">
        <f>IFERROR(__xludf.DUMMYFUNCTION("""COMPUTED_VALUE"""),3.0)</f>
        <v>3</v>
      </c>
      <c r="K5447" s="5">
        <f>IFERROR(__xludf.DUMMYFUNCTION("""COMPUTED_VALUE"""),0.0017595307917888563)</f>
        <v>0.001759530792</v>
      </c>
      <c r="L5447" s="10">
        <f>IFERROR(__xludf.DUMMYFUNCTION("""COMPUTED_VALUE"""),1705.0)</f>
        <v>1705</v>
      </c>
      <c r="M5447" s="5">
        <f>IFERROR(__xludf.DUMMYFUNCTION("""COMPUTED_VALUE"""),1.0)</f>
        <v>1</v>
      </c>
    </row>
    <row r="5448">
      <c r="A5448" s="10" t="str">
        <f>IFERROR(__xludf.DUMMYFUNCTION("""COMPUTED_VALUE"""),"あーみん☆")</f>
        <v>あーみん☆</v>
      </c>
      <c r="B5448" s="10">
        <f>IFERROR(__xludf.DUMMYFUNCTION("""COMPUTED_VALUE"""),1938.0)</f>
        <v>1938</v>
      </c>
      <c r="C5448" s="10">
        <f>IFERROR(__xludf.DUMMYFUNCTION("""COMPUTED_VALUE"""),23125.0)</f>
        <v>23125</v>
      </c>
      <c r="D5448" s="5">
        <f>IFERROR(__xludf.DUMMYFUNCTION("""COMPUTED_VALUE"""),0.34809081040260537)</f>
        <v>0.3480908104</v>
      </c>
      <c r="E5448" s="5">
        <f>IFERROR(__xludf.DUMMYFUNCTION("""COMPUTED_VALUE"""),0.10581960636239203)</f>
        <v>0.1058196064</v>
      </c>
      <c r="F5448" s="5">
        <f>IFERROR(__xludf.DUMMYFUNCTION("""COMPUTED_VALUE"""),0.1962524189361401)</f>
        <v>0.1962524189</v>
      </c>
      <c r="G5448" s="5">
        <f>IFERROR(__xludf.DUMMYFUNCTION("""COMPUTED_VALUE"""),0.14999764006230235)</f>
        <v>0.1499976401</v>
      </c>
      <c r="H5448" s="5">
        <f>IFERROR(__xludf.DUMMYFUNCTION("""COMPUTED_VALUE"""),0.5964405964405964)</f>
        <v>0.5964405964</v>
      </c>
      <c r="I5448" s="11">
        <f>IFERROR(__xludf.DUMMYFUNCTION("""COMPUTED_VALUE"""),5601.683501683502)</f>
        <v>5601.683502</v>
      </c>
      <c r="J5448" s="10">
        <f>IFERROR(__xludf.DUMMYFUNCTION("""COMPUTED_VALUE"""),1.0)</f>
        <v>1</v>
      </c>
      <c r="K5448" s="5">
        <f>IFERROR(__xludf.DUMMYFUNCTION("""COMPUTED_VALUE"""),5.159958720330237E-4)</f>
        <v>0.000515995872</v>
      </c>
      <c r="L5448" s="10">
        <f>IFERROR(__xludf.DUMMYFUNCTION("""COMPUTED_VALUE"""),0.0)</f>
        <v>0</v>
      </c>
      <c r="M5448" s="5">
        <f>IFERROR(__xludf.DUMMYFUNCTION("""COMPUTED_VALUE"""),0.0)</f>
        <v>0</v>
      </c>
    </row>
    <row r="5449">
      <c r="A5449" s="10" t="str">
        <f>IFERROR(__xludf.DUMMYFUNCTION("""COMPUTED_VALUE"""),"瀬尾静音")</f>
        <v>瀬尾静音</v>
      </c>
      <c r="B5449" s="10">
        <f>IFERROR(__xludf.DUMMYFUNCTION("""COMPUTED_VALUE"""),210.0)</f>
        <v>210</v>
      </c>
      <c r="C5449" s="10">
        <f>IFERROR(__xludf.DUMMYFUNCTION("""COMPUTED_VALUE"""),2554.0)</f>
        <v>2554</v>
      </c>
      <c r="D5449" s="5">
        <f>IFERROR(__xludf.DUMMYFUNCTION("""COMPUTED_VALUE"""),0.3703071672354949)</f>
        <v>0.3703071672</v>
      </c>
      <c r="E5449" s="5">
        <f>IFERROR(__xludf.DUMMYFUNCTION("""COMPUTED_VALUE"""),0.10580204778156997)</f>
        <v>0.1058020478</v>
      </c>
      <c r="F5449" s="5">
        <f>IFERROR(__xludf.DUMMYFUNCTION("""COMPUTED_VALUE"""),0.2128839590443686)</f>
        <v>0.212883959</v>
      </c>
      <c r="G5449" s="5">
        <f>IFERROR(__xludf.DUMMYFUNCTION("""COMPUTED_VALUE"""),0.1727815699658703)</f>
        <v>0.17278157</v>
      </c>
      <c r="H5449" s="5">
        <f>IFERROR(__xludf.DUMMYFUNCTION("""COMPUTED_VALUE"""),0.6112224448897795)</f>
        <v>0.6112224449</v>
      </c>
      <c r="I5449" s="11">
        <f>IFERROR(__xludf.DUMMYFUNCTION("""COMPUTED_VALUE"""),5650.100200400801)</f>
        <v>5650.1002</v>
      </c>
      <c r="J5449" s="10">
        <f>IFERROR(__xludf.DUMMYFUNCTION("""COMPUTED_VALUE"""),0.0)</f>
        <v>0</v>
      </c>
      <c r="K5449" s="5">
        <f>IFERROR(__xludf.DUMMYFUNCTION("""COMPUTED_VALUE"""),0.0)</f>
        <v>0</v>
      </c>
      <c r="L5449" s="10">
        <f>IFERROR(__xludf.DUMMYFUNCTION("""COMPUTED_VALUE"""),0.0)</f>
        <v>0</v>
      </c>
      <c r="M5449" s="5">
        <f>IFERROR(__xludf.DUMMYFUNCTION("""COMPUTED_VALUE"""),0.0)</f>
        <v>0</v>
      </c>
    </row>
    <row r="5450">
      <c r="A5450" s="10" t="str">
        <f>IFERROR(__xludf.DUMMYFUNCTION("""COMPUTED_VALUE"""),"魔剤漫才")</f>
        <v>魔剤漫才</v>
      </c>
      <c r="B5450" s="10">
        <f>IFERROR(__xludf.DUMMYFUNCTION("""COMPUTED_VALUE"""),198.0)</f>
        <v>198</v>
      </c>
      <c r="C5450" s="10">
        <f>IFERROR(__xludf.DUMMYFUNCTION("""COMPUTED_VALUE"""),2372.0)</f>
        <v>2372</v>
      </c>
      <c r="D5450" s="5">
        <f>IFERROR(__xludf.DUMMYFUNCTION("""COMPUTED_VALUE"""),0.32842686292548295)</f>
        <v>0.3284268629</v>
      </c>
      <c r="E5450" s="5">
        <f>IFERROR(__xludf.DUMMYFUNCTION("""COMPUTED_VALUE"""),0.10579576816927323)</f>
        <v>0.1057957682</v>
      </c>
      <c r="F5450" s="5">
        <f>IFERROR(__xludf.DUMMYFUNCTION("""COMPUTED_VALUE"""),0.20607175712971482)</f>
        <v>0.2060717571</v>
      </c>
      <c r="G5450" s="5">
        <f>IFERROR(__xludf.DUMMYFUNCTION("""COMPUTED_VALUE"""),0.18169273229070837)</f>
        <v>0.1816927323</v>
      </c>
      <c r="H5450" s="5">
        <f>IFERROR(__xludf.DUMMYFUNCTION("""COMPUTED_VALUE"""),0.5915178571428571)</f>
        <v>0.5915178571</v>
      </c>
      <c r="I5450" s="11">
        <f>IFERROR(__xludf.DUMMYFUNCTION("""COMPUTED_VALUE"""),5751.339285714285)</f>
        <v>5751.339286</v>
      </c>
      <c r="J5450" s="10">
        <f>IFERROR(__xludf.DUMMYFUNCTION("""COMPUTED_VALUE"""),1.0)</f>
        <v>1</v>
      </c>
      <c r="K5450" s="5">
        <f>IFERROR(__xludf.DUMMYFUNCTION("""COMPUTED_VALUE"""),0.005050505050505051)</f>
        <v>0.005050505051</v>
      </c>
      <c r="L5450" s="10">
        <f>IFERROR(__xludf.DUMMYFUNCTION("""COMPUTED_VALUE"""),198.0)</f>
        <v>198</v>
      </c>
      <c r="M5450" s="5">
        <f>IFERROR(__xludf.DUMMYFUNCTION("""COMPUTED_VALUE"""),1.0)</f>
        <v>1</v>
      </c>
    </row>
    <row r="5451">
      <c r="A5451" s="10" t="str">
        <f>IFERROR(__xludf.DUMMYFUNCTION("""COMPUTED_VALUE"""),"RUTEN")</f>
        <v>RUTEN</v>
      </c>
      <c r="B5451" s="10">
        <f>IFERROR(__xludf.DUMMYFUNCTION("""COMPUTED_VALUE"""),304.0)</f>
        <v>304</v>
      </c>
      <c r="C5451" s="10">
        <f>IFERROR(__xludf.DUMMYFUNCTION("""COMPUTED_VALUE"""),3565.0)</f>
        <v>3565</v>
      </c>
      <c r="D5451" s="5">
        <f>IFERROR(__xludf.DUMMYFUNCTION("""COMPUTED_VALUE"""),0.3287335173259736)</f>
        <v>0.3287335173</v>
      </c>
      <c r="E5451" s="5">
        <f>IFERROR(__xludf.DUMMYFUNCTION("""COMPUTED_VALUE"""),0.10579576816927323)</f>
        <v>0.1057957682</v>
      </c>
      <c r="F5451" s="5">
        <f>IFERROR(__xludf.DUMMYFUNCTION("""COMPUTED_VALUE"""),0.18276602269242564)</f>
        <v>0.1827660227</v>
      </c>
      <c r="G5451" s="5">
        <f>IFERROR(__xludf.DUMMYFUNCTION("""COMPUTED_VALUE"""),0.17203311867525298)</f>
        <v>0.1720331187</v>
      </c>
      <c r="H5451" s="5">
        <f>IFERROR(__xludf.DUMMYFUNCTION("""COMPUTED_VALUE"""),0.5939597315436241)</f>
        <v>0.5939597315</v>
      </c>
      <c r="I5451" s="11">
        <f>IFERROR(__xludf.DUMMYFUNCTION("""COMPUTED_VALUE"""),6096.476510067114)</f>
        <v>6096.47651</v>
      </c>
      <c r="J5451" s="10">
        <f>IFERROR(__xludf.DUMMYFUNCTION("""COMPUTED_VALUE"""),0.0)</f>
        <v>0</v>
      </c>
      <c r="K5451" s="5">
        <f>IFERROR(__xludf.DUMMYFUNCTION("""COMPUTED_VALUE"""),0.0)</f>
        <v>0</v>
      </c>
      <c r="L5451" s="10">
        <f>IFERROR(__xludf.DUMMYFUNCTION("""COMPUTED_VALUE"""),304.0)</f>
        <v>304</v>
      </c>
      <c r="M5451" s="5">
        <f>IFERROR(__xludf.DUMMYFUNCTION("""COMPUTED_VALUE"""),1.0)</f>
        <v>1</v>
      </c>
    </row>
    <row r="5452">
      <c r="A5452" s="10" t="str">
        <f>IFERROR(__xludf.DUMMYFUNCTION("""COMPUTED_VALUE"""),"特訓中")</f>
        <v>特訓中</v>
      </c>
      <c r="B5452" s="10">
        <f>IFERROR(__xludf.DUMMYFUNCTION("""COMPUTED_VALUE"""),168.0)</f>
        <v>168</v>
      </c>
      <c r="C5452" s="10">
        <f>IFERROR(__xludf.DUMMYFUNCTION("""COMPUTED_VALUE"""),1985.0)</f>
        <v>1985</v>
      </c>
      <c r="D5452" s="5">
        <f>IFERROR(__xludf.DUMMYFUNCTION("""COMPUTED_VALUE"""),0.33076499724821135)</f>
        <v>0.3307649972</v>
      </c>
      <c r="E5452" s="5">
        <f>IFERROR(__xludf.DUMMYFUNCTION("""COMPUTED_VALUE"""),0.10566868464501926)</f>
        <v>0.1056686846</v>
      </c>
      <c r="F5452" s="5">
        <f>IFERROR(__xludf.DUMMYFUNCTION("""COMPUTED_VALUE"""),0.2030820033021464)</f>
        <v>0.2030820033</v>
      </c>
      <c r="G5452" s="5">
        <f>IFERROR(__xludf.DUMMYFUNCTION("""COMPUTED_VALUE"""),0.15134837644468904)</f>
        <v>0.1513483764</v>
      </c>
      <c r="H5452" s="5">
        <f>IFERROR(__xludf.DUMMYFUNCTION("""COMPUTED_VALUE"""),0.5691056910569106)</f>
        <v>0.5691056911</v>
      </c>
      <c r="I5452" s="11">
        <f>IFERROR(__xludf.DUMMYFUNCTION("""COMPUTED_VALUE"""),5575.338753387534)</f>
        <v>5575.338753</v>
      </c>
      <c r="J5452" s="10">
        <f>IFERROR(__xludf.DUMMYFUNCTION("""COMPUTED_VALUE"""),0.0)</f>
        <v>0</v>
      </c>
      <c r="K5452" s="5">
        <f>IFERROR(__xludf.DUMMYFUNCTION("""COMPUTED_VALUE"""),0.0)</f>
        <v>0</v>
      </c>
      <c r="L5452" s="10">
        <f>IFERROR(__xludf.DUMMYFUNCTION("""COMPUTED_VALUE"""),168.0)</f>
        <v>168</v>
      </c>
      <c r="M5452" s="5">
        <f>IFERROR(__xludf.DUMMYFUNCTION("""COMPUTED_VALUE"""),1.0)</f>
        <v>1</v>
      </c>
    </row>
    <row r="5453">
      <c r="A5453" s="10" t="str">
        <f>IFERROR(__xludf.DUMMYFUNCTION("""COMPUTED_VALUE"""),"aragien")</f>
        <v>aragien</v>
      </c>
      <c r="B5453" s="10">
        <f>IFERROR(__xludf.DUMMYFUNCTION("""COMPUTED_VALUE"""),269.0)</f>
        <v>269</v>
      </c>
      <c r="C5453" s="10">
        <f>IFERROR(__xludf.DUMMYFUNCTION("""COMPUTED_VALUE"""),3146.0)</f>
        <v>3146</v>
      </c>
      <c r="D5453" s="5">
        <f>IFERROR(__xludf.DUMMYFUNCTION("""COMPUTED_VALUE"""),0.3597497393117831)</f>
        <v>0.3597497393</v>
      </c>
      <c r="E5453" s="5">
        <f>IFERROR(__xludf.DUMMYFUNCTION("""COMPUTED_VALUE"""),0.10566562391379909)</f>
        <v>0.1056656239</v>
      </c>
      <c r="F5453" s="5">
        <f>IFERROR(__xludf.DUMMYFUNCTION("""COMPUTED_VALUE"""),0.2102884949600278)</f>
        <v>0.210288495</v>
      </c>
      <c r="G5453" s="5">
        <f>IFERROR(__xludf.DUMMYFUNCTION("""COMPUTED_VALUE"""),0.16127911018421967)</f>
        <v>0.1612791102</v>
      </c>
      <c r="H5453" s="5">
        <f>IFERROR(__xludf.DUMMYFUNCTION("""COMPUTED_VALUE"""),0.596694214876033)</f>
        <v>0.5966942149</v>
      </c>
      <c r="I5453" s="11">
        <f>IFERROR(__xludf.DUMMYFUNCTION("""COMPUTED_VALUE"""),5475.371900826446)</f>
        <v>5475.371901</v>
      </c>
      <c r="J5453" s="10">
        <f>IFERROR(__xludf.DUMMYFUNCTION("""COMPUTED_VALUE"""),2.0)</f>
        <v>2</v>
      </c>
      <c r="K5453" s="5">
        <f>IFERROR(__xludf.DUMMYFUNCTION("""COMPUTED_VALUE"""),0.007434944237918215)</f>
        <v>0.007434944238</v>
      </c>
      <c r="L5453" s="10">
        <f>IFERROR(__xludf.DUMMYFUNCTION("""COMPUTED_VALUE"""),268.0)</f>
        <v>268</v>
      </c>
      <c r="M5453" s="5">
        <f>IFERROR(__xludf.DUMMYFUNCTION("""COMPUTED_VALUE"""),0.9962825278810409)</f>
        <v>0.9962825279</v>
      </c>
    </row>
    <row r="5454">
      <c r="A5454" s="10" t="str">
        <f>IFERROR(__xludf.DUMMYFUNCTION("""COMPUTED_VALUE"""),"カワチ")</f>
        <v>カワチ</v>
      </c>
      <c r="B5454" s="10">
        <f>IFERROR(__xludf.DUMMYFUNCTION("""COMPUTED_VALUE"""),144.0)</f>
        <v>144</v>
      </c>
      <c r="C5454" s="10">
        <f>IFERROR(__xludf.DUMMYFUNCTION("""COMPUTED_VALUE"""),1697.0)</f>
        <v>1697</v>
      </c>
      <c r="D5454" s="5">
        <f>IFERROR(__xludf.DUMMYFUNCTION("""COMPUTED_VALUE"""),0.3412749517063748)</f>
        <v>0.3412749517</v>
      </c>
      <c r="E5454" s="5">
        <f>IFERROR(__xludf.DUMMYFUNCTION("""COMPUTED_VALUE"""),0.1056020605280103)</f>
        <v>0.1056020605</v>
      </c>
      <c r="F5454" s="5">
        <f>IFERROR(__xludf.DUMMYFUNCTION("""COMPUTED_VALUE"""),0.22279459111397296)</f>
        <v>0.2227945911</v>
      </c>
      <c r="G5454" s="5">
        <f>IFERROR(__xludf.DUMMYFUNCTION("""COMPUTED_VALUE"""),0.17578879587894397)</f>
        <v>0.1757887959</v>
      </c>
      <c r="H5454" s="5">
        <f>IFERROR(__xludf.DUMMYFUNCTION("""COMPUTED_VALUE"""),0.653179190751445)</f>
        <v>0.6531791908</v>
      </c>
      <c r="I5454" s="11">
        <f>IFERROR(__xludf.DUMMYFUNCTION("""COMPUTED_VALUE"""),5571.9653179190755)</f>
        <v>5571.965318</v>
      </c>
      <c r="J5454" s="10">
        <f>IFERROR(__xludf.DUMMYFUNCTION("""COMPUTED_VALUE"""),1.0)</f>
        <v>1</v>
      </c>
      <c r="K5454" s="5">
        <f>IFERROR(__xludf.DUMMYFUNCTION("""COMPUTED_VALUE"""),0.006944444444444444)</f>
        <v>0.006944444444</v>
      </c>
      <c r="L5454" s="10">
        <f>IFERROR(__xludf.DUMMYFUNCTION("""COMPUTED_VALUE"""),0.0)</f>
        <v>0</v>
      </c>
      <c r="M5454" s="5">
        <f>IFERROR(__xludf.DUMMYFUNCTION("""COMPUTED_VALUE"""),0.0)</f>
        <v>0</v>
      </c>
    </row>
    <row r="5455">
      <c r="A5455" s="10" t="str">
        <f>IFERROR(__xludf.DUMMYFUNCTION("""COMPUTED_VALUE"""),"akosu")</f>
        <v>akosu</v>
      </c>
      <c r="B5455" s="10">
        <f>IFERROR(__xludf.DUMMYFUNCTION("""COMPUTED_VALUE"""),113.0)</f>
        <v>113</v>
      </c>
      <c r="C5455" s="10">
        <f>IFERROR(__xludf.DUMMYFUNCTION("""COMPUTED_VALUE"""),1373.0)</f>
        <v>1373</v>
      </c>
      <c r="D5455" s="5">
        <f>IFERROR(__xludf.DUMMYFUNCTION("""COMPUTED_VALUE"""),0.3634920634920635)</f>
        <v>0.3634920635</v>
      </c>
      <c r="E5455" s="5">
        <f>IFERROR(__xludf.DUMMYFUNCTION("""COMPUTED_VALUE"""),0.10555555555555556)</f>
        <v>0.1055555556</v>
      </c>
      <c r="F5455" s="5">
        <f>IFERROR(__xludf.DUMMYFUNCTION("""COMPUTED_VALUE"""),0.21904761904761905)</f>
        <v>0.219047619</v>
      </c>
      <c r="G5455" s="5">
        <f>IFERROR(__xludf.DUMMYFUNCTION("""COMPUTED_VALUE"""),0.14761904761904762)</f>
        <v>0.1476190476</v>
      </c>
      <c r="H5455" s="5">
        <f>IFERROR(__xludf.DUMMYFUNCTION("""COMPUTED_VALUE"""),0.6376811594202898)</f>
        <v>0.6376811594</v>
      </c>
      <c r="I5455" s="11">
        <f>IFERROR(__xludf.DUMMYFUNCTION("""COMPUTED_VALUE"""),5302.536231884058)</f>
        <v>5302.536232</v>
      </c>
      <c r="J5455" s="10">
        <f>IFERROR(__xludf.DUMMYFUNCTION("""COMPUTED_VALUE"""),0.0)</f>
        <v>0</v>
      </c>
      <c r="K5455" s="5">
        <f>IFERROR(__xludf.DUMMYFUNCTION("""COMPUTED_VALUE"""),0.0)</f>
        <v>0</v>
      </c>
      <c r="L5455" s="10">
        <f>IFERROR(__xludf.DUMMYFUNCTION("""COMPUTED_VALUE"""),113.0)</f>
        <v>113</v>
      </c>
      <c r="M5455" s="5">
        <f>IFERROR(__xludf.DUMMYFUNCTION("""COMPUTED_VALUE"""),1.0)</f>
        <v>1</v>
      </c>
    </row>
    <row r="5456">
      <c r="A5456" s="10" t="str">
        <f>IFERROR(__xludf.DUMMYFUNCTION("""COMPUTED_VALUE"""),"めろんそーだ")</f>
        <v>めろんそーだ</v>
      </c>
      <c r="B5456" s="10">
        <f>IFERROR(__xludf.DUMMYFUNCTION("""COMPUTED_VALUE"""),1394.0)</f>
        <v>1394</v>
      </c>
      <c r="C5456" s="10">
        <f>IFERROR(__xludf.DUMMYFUNCTION("""COMPUTED_VALUE"""),16556.0)</f>
        <v>16556</v>
      </c>
      <c r="D5456" s="5">
        <f>IFERROR(__xludf.DUMMYFUNCTION("""COMPUTED_VALUE"""),0.42342698852394145)</f>
        <v>0.4234269885</v>
      </c>
      <c r="E5456" s="5">
        <f>IFERROR(__xludf.DUMMYFUNCTION("""COMPUTED_VALUE"""),0.10552697533306951)</f>
        <v>0.1055269753</v>
      </c>
      <c r="F5456" s="5">
        <f>IFERROR(__xludf.DUMMYFUNCTION("""COMPUTED_VALUE"""),0.21263685529613507)</f>
        <v>0.2126368553</v>
      </c>
      <c r="G5456" s="5">
        <f>IFERROR(__xludf.DUMMYFUNCTION("""COMPUTED_VALUE"""),0.16336894868750823)</f>
        <v>0.1633689487</v>
      </c>
      <c r="H5456" s="5">
        <f>IFERROR(__xludf.DUMMYFUNCTION("""COMPUTED_VALUE"""),0.5846774193548387)</f>
        <v>0.5846774194</v>
      </c>
      <c r="I5456" s="11">
        <f>IFERROR(__xludf.DUMMYFUNCTION("""COMPUTED_VALUE"""),5143.9826302729525)</f>
        <v>5143.98263</v>
      </c>
      <c r="J5456" s="10">
        <f>IFERROR(__xludf.DUMMYFUNCTION("""COMPUTED_VALUE"""),0.0)</f>
        <v>0</v>
      </c>
      <c r="K5456" s="5">
        <f>IFERROR(__xludf.DUMMYFUNCTION("""COMPUTED_VALUE"""),0.0)</f>
        <v>0</v>
      </c>
      <c r="L5456" s="10">
        <f>IFERROR(__xludf.DUMMYFUNCTION("""COMPUTED_VALUE"""),7.0)</f>
        <v>7</v>
      </c>
      <c r="M5456" s="5">
        <f>IFERROR(__xludf.DUMMYFUNCTION("""COMPUTED_VALUE"""),0.005021520803443328)</f>
        <v>0.005021520803</v>
      </c>
    </row>
    <row r="5457">
      <c r="A5457" s="10" t="str">
        <f>IFERROR(__xludf.DUMMYFUNCTION("""COMPUTED_VALUE"""),"ハイジ（１８禁）")</f>
        <v>ハイジ（１８禁）</v>
      </c>
      <c r="B5457" s="10">
        <f>IFERROR(__xludf.DUMMYFUNCTION("""COMPUTED_VALUE"""),181.0)</f>
        <v>181</v>
      </c>
      <c r="C5457" s="10">
        <f>IFERROR(__xludf.DUMMYFUNCTION("""COMPUTED_VALUE"""),2077.0)</f>
        <v>2077</v>
      </c>
      <c r="D5457" s="5">
        <f>IFERROR(__xludf.DUMMYFUNCTION("""COMPUTED_VALUE"""),0.3043248945147679)</f>
        <v>0.3043248945</v>
      </c>
      <c r="E5457" s="5">
        <f>IFERROR(__xludf.DUMMYFUNCTION("""COMPUTED_VALUE"""),0.10548523206751055)</f>
        <v>0.1054852321</v>
      </c>
      <c r="F5457" s="5">
        <f>IFERROR(__xludf.DUMMYFUNCTION("""COMPUTED_VALUE"""),0.21624472573839662)</f>
        <v>0.2162447257</v>
      </c>
      <c r="G5457" s="5">
        <f>IFERROR(__xludf.DUMMYFUNCTION("""COMPUTED_VALUE"""),0.13976793248945146)</f>
        <v>0.1397679325</v>
      </c>
      <c r="H5457" s="5">
        <f>IFERROR(__xludf.DUMMYFUNCTION("""COMPUTED_VALUE"""),0.6024390243902439)</f>
        <v>0.6024390244</v>
      </c>
      <c r="I5457" s="11">
        <f>IFERROR(__xludf.DUMMYFUNCTION("""COMPUTED_VALUE"""),5195.121951219512)</f>
        <v>5195.121951</v>
      </c>
      <c r="J5457" s="10">
        <f>IFERROR(__xludf.DUMMYFUNCTION("""COMPUTED_VALUE"""),0.0)</f>
        <v>0</v>
      </c>
      <c r="K5457" s="5">
        <f>IFERROR(__xludf.DUMMYFUNCTION("""COMPUTED_VALUE"""),0.0)</f>
        <v>0</v>
      </c>
      <c r="L5457" s="10">
        <f>IFERROR(__xludf.DUMMYFUNCTION("""COMPUTED_VALUE"""),181.0)</f>
        <v>181</v>
      </c>
      <c r="M5457" s="5">
        <f>IFERROR(__xludf.DUMMYFUNCTION("""COMPUTED_VALUE"""),1.0)</f>
        <v>1</v>
      </c>
    </row>
    <row r="5458">
      <c r="A5458" s="10" t="str">
        <f>IFERROR(__xludf.DUMMYFUNCTION("""COMPUTED_VALUE"""),"長島ンガン")</f>
        <v>長島ンガン</v>
      </c>
      <c r="B5458" s="10">
        <f>IFERROR(__xludf.DUMMYFUNCTION("""COMPUTED_VALUE"""),178.0)</f>
        <v>178</v>
      </c>
      <c r="C5458" s="10">
        <f>IFERROR(__xludf.DUMMYFUNCTION("""COMPUTED_VALUE"""),2086.0)</f>
        <v>2086</v>
      </c>
      <c r="D5458" s="5">
        <f>IFERROR(__xludf.DUMMYFUNCTION("""COMPUTED_VALUE"""),0.4077568134171908)</f>
        <v>0.4077568134</v>
      </c>
      <c r="E5458" s="5">
        <f>IFERROR(__xludf.DUMMYFUNCTION("""COMPUTED_VALUE"""),0.10534591194968554)</f>
        <v>0.1053459119</v>
      </c>
      <c r="F5458" s="5">
        <f>IFERROR(__xludf.DUMMYFUNCTION("""COMPUTED_VALUE"""),0.22431865828092243)</f>
        <v>0.2243186583</v>
      </c>
      <c r="G5458" s="5">
        <f>IFERROR(__xludf.DUMMYFUNCTION("""COMPUTED_VALUE"""),0.14937106918238993)</f>
        <v>0.1493710692</v>
      </c>
      <c r="H5458" s="5">
        <f>IFERROR(__xludf.DUMMYFUNCTION("""COMPUTED_VALUE"""),0.5887850467289719)</f>
        <v>0.5887850467</v>
      </c>
      <c r="I5458" s="11">
        <f>IFERROR(__xludf.DUMMYFUNCTION("""COMPUTED_VALUE"""),4961.448598130841)</f>
        <v>4961.448598</v>
      </c>
      <c r="J5458" s="10">
        <f>IFERROR(__xludf.DUMMYFUNCTION("""COMPUTED_VALUE"""),0.0)</f>
        <v>0</v>
      </c>
      <c r="K5458" s="5">
        <f>IFERROR(__xludf.DUMMYFUNCTION("""COMPUTED_VALUE"""),0.0)</f>
        <v>0</v>
      </c>
      <c r="L5458" s="10">
        <f>IFERROR(__xludf.DUMMYFUNCTION("""COMPUTED_VALUE"""),178.0)</f>
        <v>178</v>
      </c>
      <c r="M5458" s="5">
        <f>IFERROR(__xludf.DUMMYFUNCTION("""COMPUTED_VALUE"""),1.0)</f>
        <v>1</v>
      </c>
    </row>
    <row r="5459">
      <c r="A5459" s="10" t="str">
        <f>IFERROR(__xludf.DUMMYFUNCTION("""COMPUTED_VALUE"""),"リンドンリンドン")</f>
        <v>リンドンリンドン</v>
      </c>
      <c r="B5459" s="10">
        <f>IFERROR(__xludf.DUMMYFUNCTION("""COMPUTED_VALUE"""),193.0)</f>
        <v>193</v>
      </c>
      <c r="C5459" s="10">
        <f>IFERROR(__xludf.DUMMYFUNCTION("""COMPUTED_VALUE"""),2282.0)</f>
        <v>2282</v>
      </c>
      <c r="D5459" s="5">
        <f>IFERROR(__xludf.DUMMYFUNCTION("""COMPUTED_VALUE"""),0.3575873623743418)</f>
        <v>0.3575873624</v>
      </c>
      <c r="E5459" s="5">
        <f>IFERROR(__xludf.DUMMYFUNCTION("""COMPUTED_VALUE"""),0.10531354715174725)</f>
        <v>0.1053135472</v>
      </c>
      <c r="F5459" s="5">
        <f>IFERROR(__xludf.DUMMYFUNCTION("""COMPUTED_VALUE"""),0.2312111057922451)</f>
        <v>0.2312111058</v>
      </c>
      <c r="G5459" s="5">
        <f>IFERROR(__xludf.DUMMYFUNCTION("""COMPUTED_VALUE"""),0.18334131163235998)</f>
        <v>0.1833413116</v>
      </c>
      <c r="H5459" s="5">
        <f>IFERROR(__xludf.DUMMYFUNCTION("""COMPUTED_VALUE"""),0.6066252587991718)</f>
        <v>0.6066252588</v>
      </c>
      <c r="I5459" s="11">
        <f>IFERROR(__xludf.DUMMYFUNCTION("""COMPUTED_VALUE"""),5377.846790890269)</f>
        <v>5377.846791</v>
      </c>
      <c r="J5459" s="10">
        <f>IFERROR(__xludf.DUMMYFUNCTION("""COMPUTED_VALUE"""),2.0)</f>
        <v>2</v>
      </c>
      <c r="K5459" s="5">
        <f>IFERROR(__xludf.DUMMYFUNCTION("""COMPUTED_VALUE"""),0.010362694300518135)</f>
        <v>0.0103626943</v>
      </c>
      <c r="L5459" s="10">
        <f>IFERROR(__xludf.DUMMYFUNCTION("""COMPUTED_VALUE"""),193.0)</f>
        <v>193</v>
      </c>
      <c r="M5459" s="5">
        <f>IFERROR(__xludf.DUMMYFUNCTION("""COMPUTED_VALUE"""),1.0)</f>
        <v>1</v>
      </c>
    </row>
    <row r="5460">
      <c r="A5460" s="10" t="str">
        <f>IFERROR(__xludf.DUMMYFUNCTION("""COMPUTED_VALUE"""),"ツモ斬り君")</f>
        <v>ツモ斬り君</v>
      </c>
      <c r="B5460" s="10">
        <f>IFERROR(__xludf.DUMMYFUNCTION("""COMPUTED_VALUE"""),234.0)</f>
        <v>234</v>
      </c>
      <c r="C5460" s="10">
        <f>IFERROR(__xludf.DUMMYFUNCTION("""COMPUTED_VALUE"""),2780.0)</f>
        <v>2780</v>
      </c>
      <c r="D5460" s="5">
        <f>IFERROR(__xludf.DUMMYFUNCTION("""COMPUTED_VALUE"""),0.3479968578161822)</f>
        <v>0.3479968578</v>
      </c>
      <c r="E5460" s="5">
        <f>IFERROR(__xludf.DUMMYFUNCTION("""COMPUTED_VALUE"""),0.10526315789473684)</f>
        <v>0.1052631579</v>
      </c>
      <c r="F5460" s="5">
        <f>IFERROR(__xludf.DUMMYFUNCTION("""COMPUTED_VALUE"""),0.21209740769835037)</f>
        <v>0.2120974077</v>
      </c>
      <c r="G5460" s="5">
        <f>IFERROR(__xludf.DUMMYFUNCTION("""COMPUTED_VALUE"""),0.19206598586017282)</f>
        <v>0.1920659859</v>
      </c>
      <c r="H5460" s="5">
        <f>IFERROR(__xludf.DUMMYFUNCTION("""COMPUTED_VALUE"""),0.5537037037037037)</f>
        <v>0.5537037037</v>
      </c>
      <c r="I5460" s="11">
        <f>IFERROR(__xludf.DUMMYFUNCTION("""COMPUTED_VALUE"""),5183.148148148148)</f>
        <v>5183.148148</v>
      </c>
      <c r="J5460" s="10">
        <f>IFERROR(__xludf.DUMMYFUNCTION("""COMPUTED_VALUE"""),1.0)</f>
        <v>1</v>
      </c>
      <c r="K5460" s="5">
        <f>IFERROR(__xludf.DUMMYFUNCTION("""COMPUTED_VALUE"""),0.004273504273504274)</f>
        <v>0.004273504274</v>
      </c>
      <c r="L5460" s="10">
        <f>IFERROR(__xludf.DUMMYFUNCTION("""COMPUTED_VALUE"""),219.0)</f>
        <v>219</v>
      </c>
      <c r="M5460" s="5">
        <f>IFERROR(__xludf.DUMMYFUNCTION("""COMPUTED_VALUE"""),0.9358974358974359)</f>
        <v>0.9358974359</v>
      </c>
    </row>
    <row r="5461">
      <c r="A5461" s="10" t="str">
        <f>IFERROR(__xludf.DUMMYFUNCTION("""COMPUTED_VALUE"""),"toshi235")</f>
        <v>toshi235</v>
      </c>
      <c r="B5461" s="10">
        <f>IFERROR(__xludf.DUMMYFUNCTION("""COMPUTED_VALUE"""),115.0)</f>
        <v>115</v>
      </c>
      <c r="C5461" s="10">
        <f>IFERROR(__xludf.DUMMYFUNCTION("""COMPUTED_VALUE"""),1331.0)</f>
        <v>1331</v>
      </c>
      <c r="D5461" s="5">
        <f>IFERROR(__xludf.DUMMYFUNCTION("""COMPUTED_VALUE"""),0.4128289473684211)</f>
        <v>0.4128289474</v>
      </c>
      <c r="E5461" s="5">
        <f>IFERROR(__xludf.DUMMYFUNCTION("""COMPUTED_VALUE"""),0.10526315789473684)</f>
        <v>0.1052631579</v>
      </c>
      <c r="F5461" s="5">
        <f>IFERROR(__xludf.DUMMYFUNCTION("""COMPUTED_VALUE"""),0.21463815789473684)</f>
        <v>0.2146381579</v>
      </c>
      <c r="G5461" s="5">
        <f>IFERROR(__xludf.DUMMYFUNCTION("""COMPUTED_VALUE"""),0.14473684210526316)</f>
        <v>0.1447368421</v>
      </c>
      <c r="H5461" s="5">
        <f>IFERROR(__xludf.DUMMYFUNCTION("""COMPUTED_VALUE"""),0.6130268199233716)</f>
        <v>0.6130268199</v>
      </c>
      <c r="I5461" s="11">
        <f>IFERROR(__xludf.DUMMYFUNCTION("""COMPUTED_VALUE"""),5194.252873563219)</f>
        <v>5194.252874</v>
      </c>
      <c r="J5461" s="10">
        <f>IFERROR(__xludf.DUMMYFUNCTION("""COMPUTED_VALUE"""),0.0)</f>
        <v>0</v>
      </c>
      <c r="K5461" s="5">
        <f>IFERROR(__xludf.DUMMYFUNCTION("""COMPUTED_VALUE"""),0.0)</f>
        <v>0</v>
      </c>
      <c r="L5461" s="10">
        <f>IFERROR(__xludf.DUMMYFUNCTION("""COMPUTED_VALUE"""),115.0)</f>
        <v>115</v>
      </c>
      <c r="M5461" s="5">
        <f>IFERROR(__xludf.DUMMYFUNCTION("""COMPUTED_VALUE"""),1.0)</f>
        <v>1</v>
      </c>
    </row>
    <row r="5462">
      <c r="A5462" s="10" t="str">
        <f>IFERROR(__xludf.DUMMYFUNCTION("""COMPUTED_VALUE"""),"ロトの刀")</f>
        <v>ロトの刀</v>
      </c>
      <c r="B5462" s="10">
        <f>IFERROR(__xludf.DUMMYFUNCTION("""COMPUTED_VALUE"""),129.0)</f>
        <v>129</v>
      </c>
      <c r="C5462" s="10">
        <f>IFERROR(__xludf.DUMMYFUNCTION("""COMPUTED_VALUE"""),1518.0)</f>
        <v>1518</v>
      </c>
      <c r="D5462" s="5">
        <f>IFERROR(__xludf.DUMMYFUNCTION("""COMPUTED_VALUE"""),0.353491720662347)</f>
        <v>0.3534917207</v>
      </c>
      <c r="E5462" s="5">
        <f>IFERROR(__xludf.DUMMYFUNCTION("""COMPUTED_VALUE"""),0.10511159107271419)</f>
        <v>0.1051115911</v>
      </c>
      <c r="F5462" s="5">
        <f>IFERROR(__xludf.DUMMYFUNCTION("""COMPUTED_VALUE"""),0.1951043916486681)</f>
        <v>0.1951043916</v>
      </c>
      <c r="G5462" s="5">
        <f>IFERROR(__xludf.DUMMYFUNCTION("""COMPUTED_VALUE"""),0.15262778977681785)</f>
        <v>0.1526277898</v>
      </c>
      <c r="H5462" s="5">
        <f>IFERROR(__xludf.DUMMYFUNCTION("""COMPUTED_VALUE"""),0.5977859778597786)</f>
        <v>0.5977859779</v>
      </c>
      <c r="I5462" s="11">
        <f>IFERROR(__xludf.DUMMYFUNCTION("""COMPUTED_VALUE"""),5340.959409594096)</f>
        <v>5340.95941</v>
      </c>
      <c r="J5462" s="10">
        <f>IFERROR(__xludf.DUMMYFUNCTION("""COMPUTED_VALUE"""),0.0)</f>
        <v>0</v>
      </c>
      <c r="K5462" s="5">
        <f>IFERROR(__xludf.DUMMYFUNCTION("""COMPUTED_VALUE"""),0.0)</f>
        <v>0</v>
      </c>
      <c r="L5462" s="10">
        <f>IFERROR(__xludf.DUMMYFUNCTION("""COMPUTED_VALUE"""),129.0)</f>
        <v>129</v>
      </c>
      <c r="M5462" s="5">
        <f>IFERROR(__xludf.DUMMYFUNCTION("""COMPUTED_VALUE"""),1.0)</f>
        <v>1</v>
      </c>
    </row>
    <row r="5463">
      <c r="A5463" s="10" t="str">
        <f>IFERROR(__xludf.DUMMYFUNCTION("""COMPUTED_VALUE"""),"天元ルイ")</f>
        <v>天元ルイ</v>
      </c>
      <c r="B5463" s="10">
        <f>IFERROR(__xludf.DUMMYFUNCTION("""COMPUTED_VALUE"""),747.0)</f>
        <v>747</v>
      </c>
      <c r="C5463" s="10">
        <f>IFERROR(__xludf.DUMMYFUNCTION("""COMPUTED_VALUE"""),8827.0)</f>
        <v>8827</v>
      </c>
      <c r="D5463" s="5">
        <f>IFERROR(__xludf.DUMMYFUNCTION("""COMPUTED_VALUE"""),0.3743811881188119)</f>
        <v>0.3743811881</v>
      </c>
      <c r="E5463" s="5">
        <f>IFERROR(__xludf.DUMMYFUNCTION("""COMPUTED_VALUE"""),0.10507425742574257)</f>
        <v>0.1050742574</v>
      </c>
      <c r="F5463" s="5">
        <f>IFERROR(__xludf.DUMMYFUNCTION("""COMPUTED_VALUE"""),0.21225247524752475)</f>
        <v>0.2122524752</v>
      </c>
      <c r="G5463" s="5">
        <f>IFERROR(__xludf.DUMMYFUNCTION("""COMPUTED_VALUE"""),0.1639851485148515)</f>
        <v>0.1639851485</v>
      </c>
      <c r="H5463" s="5">
        <f>IFERROR(__xludf.DUMMYFUNCTION("""COMPUTED_VALUE"""),0.5988338192419825)</f>
        <v>0.5988338192</v>
      </c>
      <c r="I5463" s="11">
        <f>IFERROR(__xludf.DUMMYFUNCTION("""COMPUTED_VALUE"""),5407.98833819242)</f>
        <v>5407.988338</v>
      </c>
      <c r="J5463" s="10">
        <f>IFERROR(__xludf.DUMMYFUNCTION("""COMPUTED_VALUE"""),0.0)</f>
        <v>0</v>
      </c>
      <c r="K5463" s="5">
        <f>IFERROR(__xludf.DUMMYFUNCTION("""COMPUTED_VALUE"""),0.0)</f>
        <v>0</v>
      </c>
      <c r="L5463" s="10">
        <f>IFERROR(__xludf.DUMMYFUNCTION("""COMPUTED_VALUE"""),283.0)</f>
        <v>283</v>
      </c>
      <c r="M5463" s="5">
        <f>IFERROR(__xludf.DUMMYFUNCTION("""COMPUTED_VALUE"""),0.3788487282463186)</f>
        <v>0.3788487282</v>
      </c>
    </row>
    <row r="5464">
      <c r="A5464" s="10" t="str">
        <f>IFERROR(__xludf.DUMMYFUNCTION("""COMPUTED_VALUE"""),"ひであき２０１６")</f>
        <v>ひであき２０１６</v>
      </c>
      <c r="B5464" s="10">
        <f>IFERROR(__xludf.DUMMYFUNCTION("""COMPUTED_VALUE"""),1441.0)</f>
        <v>1441</v>
      </c>
      <c r="C5464" s="10">
        <f>IFERROR(__xludf.DUMMYFUNCTION("""COMPUTED_VALUE"""),16721.0)</f>
        <v>16721</v>
      </c>
      <c r="D5464" s="5">
        <f>IFERROR(__xludf.DUMMYFUNCTION("""COMPUTED_VALUE"""),0.3183246073298429)</f>
        <v>0.3183246073</v>
      </c>
      <c r="E5464" s="5">
        <f>IFERROR(__xludf.DUMMYFUNCTION("""COMPUTED_VALUE"""),0.1049738219895288)</f>
        <v>0.104973822</v>
      </c>
      <c r="F5464" s="5">
        <f>IFERROR(__xludf.DUMMYFUNCTION("""COMPUTED_VALUE"""),0.2087696335078534)</f>
        <v>0.2087696335</v>
      </c>
      <c r="G5464" s="5">
        <f>IFERROR(__xludf.DUMMYFUNCTION("""COMPUTED_VALUE"""),0.14083769633507853)</f>
        <v>0.1408376963</v>
      </c>
      <c r="H5464" s="5">
        <f>IFERROR(__xludf.DUMMYFUNCTION("""COMPUTED_VALUE"""),0.5974921630094044)</f>
        <v>0.597492163</v>
      </c>
      <c r="I5464" s="11">
        <f>IFERROR(__xludf.DUMMYFUNCTION("""COMPUTED_VALUE"""),5345.579937304075)</f>
        <v>5345.579937</v>
      </c>
      <c r="J5464" s="10">
        <f>IFERROR(__xludf.DUMMYFUNCTION("""COMPUTED_VALUE"""),1.0)</f>
        <v>1</v>
      </c>
      <c r="K5464" s="5">
        <f>IFERROR(__xludf.DUMMYFUNCTION("""COMPUTED_VALUE"""),6.939625260235947E-4)</f>
        <v>0.000693962526</v>
      </c>
      <c r="L5464" s="10">
        <f>IFERROR(__xludf.DUMMYFUNCTION("""COMPUTED_VALUE"""),1441.0)</f>
        <v>1441</v>
      </c>
      <c r="M5464" s="5">
        <f>IFERROR(__xludf.DUMMYFUNCTION("""COMPUTED_VALUE"""),1.0)</f>
        <v>1</v>
      </c>
    </row>
    <row r="5465">
      <c r="A5465" s="10" t="str">
        <f>IFERROR(__xludf.DUMMYFUNCTION("""COMPUTED_VALUE"""),"桜沢墨")</f>
        <v>桜沢墨</v>
      </c>
      <c r="B5465" s="10">
        <f>IFERROR(__xludf.DUMMYFUNCTION("""COMPUTED_VALUE"""),552.0)</f>
        <v>552</v>
      </c>
      <c r="C5465" s="10">
        <f>IFERROR(__xludf.DUMMYFUNCTION("""COMPUTED_VALUE"""),6492.0)</f>
        <v>6492</v>
      </c>
      <c r="D5465" s="5">
        <f>IFERROR(__xludf.DUMMYFUNCTION("""COMPUTED_VALUE"""),0.3250841750841751)</f>
        <v>0.3250841751</v>
      </c>
      <c r="E5465" s="5">
        <f>IFERROR(__xludf.DUMMYFUNCTION("""COMPUTED_VALUE"""),0.10488215488215488)</f>
        <v>0.1048821549</v>
      </c>
      <c r="F5465" s="5">
        <f>IFERROR(__xludf.DUMMYFUNCTION("""COMPUTED_VALUE"""),0.21195286195286195)</f>
        <v>0.211952862</v>
      </c>
      <c r="G5465" s="5">
        <f>IFERROR(__xludf.DUMMYFUNCTION("""COMPUTED_VALUE"""),0.18047138047138048)</f>
        <v>0.1804713805</v>
      </c>
      <c r="H5465" s="5">
        <f>IFERROR(__xludf.DUMMYFUNCTION("""COMPUTED_VALUE"""),0.5631453534551231)</f>
        <v>0.5631453535</v>
      </c>
      <c r="I5465" s="11">
        <f>IFERROR(__xludf.DUMMYFUNCTION("""COMPUTED_VALUE"""),5739.237490071485)</f>
        <v>5739.23749</v>
      </c>
      <c r="J5465" s="10">
        <f>IFERROR(__xludf.DUMMYFUNCTION("""COMPUTED_VALUE"""),1.0)</f>
        <v>1</v>
      </c>
      <c r="K5465" s="5">
        <f>IFERROR(__xludf.DUMMYFUNCTION("""COMPUTED_VALUE"""),0.0018115942028985507)</f>
        <v>0.001811594203</v>
      </c>
      <c r="L5465" s="10">
        <f>IFERROR(__xludf.DUMMYFUNCTION("""COMPUTED_VALUE"""),0.0)</f>
        <v>0</v>
      </c>
      <c r="M5465" s="5">
        <f>IFERROR(__xludf.DUMMYFUNCTION("""COMPUTED_VALUE"""),0.0)</f>
        <v>0</v>
      </c>
    </row>
    <row r="5466">
      <c r="A5466" s="10" t="str">
        <f>IFERROR(__xludf.DUMMYFUNCTION("""COMPUTED_VALUE"""),"槍槓のみ")</f>
        <v>槍槓のみ</v>
      </c>
      <c r="B5466" s="10">
        <f>IFERROR(__xludf.DUMMYFUNCTION("""COMPUTED_VALUE"""),112.0)</f>
        <v>112</v>
      </c>
      <c r="C5466" s="10">
        <f>IFERROR(__xludf.DUMMYFUNCTION("""COMPUTED_VALUE"""),1342.0)</f>
        <v>1342</v>
      </c>
      <c r="D5466" s="5">
        <f>IFERROR(__xludf.DUMMYFUNCTION("""COMPUTED_VALUE"""),0.31626016260162604)</f>
        <v>0.3162601626</v>
      </c>
      <c r="E5466" s="5">
        <f>IFERROR(__xludf.DUMMYFUNCTION("""COMPUTED_VALUE"""),0.1048780487804878)</f>
        <v>0.1048780488</v>
      </c>
      <c r="F5466" s="5">
        <f>IFERROR(__xludf.DUMMYFUNCTION("""COMPUTED_VALUE"""),0.2048780487804878)</f>
        <v>0.2048780488</v>
      </c>
      <c r="G5466" s="5">
        <f>IFERROR(__xludf.DUMMYFUNCTION("""COMPUTED_VALUE"""),0.14390243902439023)</f>
        <v>0.143902439</v>
      </c>
      <c r="H5466" s="5">
        <f>IFERROR(__xludf.DUMMYFUNCTION("""COMPUTED_VALUE"""),0.6071428571428571)</f>
        <v>0.6071428571</v>
      </c>
      <c r="I5466" s="11">
        <f>IFERROR(__xludf.DUMMYFUNCTION("""COMPUTED_VALUE"""),5165.476190476191)</f>
        <v>5165.47619</v>
      </c>
      <c r="J5466" s="10">
        <f>IFERROR(__xludf.DUMMYFUNCTION("""COMPUTED_VALUE"""),0.0)</f>
        <v>0</v>
      </c>
      <c r="K5466" s="5">
        <f>IFERROR(__xludf.DUMMYFUNCTION("""COMPUTED_VALUE"""),0.0)</f>
        <v>0</v>
      </c>
      <c r="L5466" s="10">
        <f>IFERROR(__xludf.DUMMYFUNCTION("""COMPUTED_VALUE"""),112.0)</f>
        <v>112</v>
      </c>
      <c r="M5466" s="5">
        <f>IFERROR(__xludf.DUMMYFUNCTION("""COMPUTED_VALUE"""),1.0)</f>
        <v>1</v>
      </c>
    </row>
    <row r="5467">
      <c r="A5467" s="10" t="str">
        <f>IFERROR(__xludf.DUMMYFUNCTION("""COMPUTED_VALUE"""),"ちゃそ☆")</f>
        <v>ちゃそ☆</v>
      </c>
      <c r="B5467" s="10">
        <f>IFERROR(__xludf.DUMMYFUNCTION("""COMPUTED_VALUE"""),1735.0)</f>
        <v>1735</v>
      </c>
      <c r="C5467" s="10">
        <f>IFERROR(__xludf.DUMMYFUNCTION("""COMPUTED_VALUE"""),20428.0)</f>
        <v>20428</v>
      </c>
      <c r="D5467" s="5">
        <f>IFERROR(__xludf.DUMMYFUNCTION("""COMPUTED_VALUE"""),0.3837800246081421)</f>
        <v>0.3837800246</v>
      </c>
      <c r="E5467" s="5">
        <f>IFERROR(__xludf.DUMMYFUNCTION("""COMPUTED_VALUE"""),0.10485208366768309)</f>
        <v>0.1048520837</v>
      </c>
      <c r="F5467" s="5">
        <f>IFERROR(__xludf.DUMMYFUNCTION("""COMPUTED_VALUE"""),0.20226822874872946)</f>
        <v>0.2022682287</v>
      </c>
      <c r="G5467" s="5">
        <f>IFERROR(__xludf.DUMMYFUNCTION("""COMPUTED_VALUE"""),0.15294495265607447)</f>
        <v>0.1529449527</v>
      </c>
      <c r="H5467" s="5">
        <f>IFERROR(__xludf.DUMMYFUNCTION("""COMPUTED_VALUE"""),0.5958741073790003)</f>
        <v>0.5958741074</v>
      </c>
      <c r="I5467" s="11">
        <f>IFERROR(__xludf.DUMMYFUNCTION("""COMPUTED_VALUE"""),5326.633165829146)</f>
        <v>5326.633166</v>
      </c>
      <c r="J5467" s="10">
        <f>IFERROR(__xludf.DUMMYFUNCTION("""COMPUTED_VALUE"""),8.0)</f>
        <v>8</v>
      </c>
      <c r="K5467" s="5">
        <f>IFERROR(__xludf.DUMMYFUNCTION("""COMPUTED_VALUE"""),0.004610951008645533)</f>
        <v>0.004610951009</v>
      </c>
      <c r="L5467" s="10">
        <f>IFERROR(__xludf.DUMMYFUNCTION("""COMPUTED_VALUE"""),1735.0)</f>
        <v>1735</v>
      </c>
      <c r="M5467" s="5">
        <f>IFERROR(__xludf.DUMMYFUNCTION("""COMPUTED_VALUE"""),1.0)</f>
        <v>1</v>
      </c>
    </row>
    <row r="5468">
      <c r="A5468" s="10" t="str">
        <f>IFERROR(__xludf.DUMMYFUNCTION("""COMPUTED_VALUE"""),"夕凪")</f>
        <v>夕凪</v>
      </c>
      <c r="B5468" s="10">
        <f>IFERROR(__xludf.DUMMYFUNCTION("""COMPUTED_VALUE"""),3712.0)</f>
        <v>3712</v>
      </c>
      <c r="C5468" s="10">
        <f>IFERROR(__xludf.DUMMYFUNCTION("""COMPUTED_VALUE"""),43775.0)</f>
        <v>43775</v>
      </c>
      <c r="D5468" s="5">
        <f>IFERROR(__xludf.DUMMYFUNCTION("""COMPUTED_VALUE"""),0.34231086039487807)</f>
        <v>0.3423108604</v>
      </c>
      <c r="E5468" s="5">
        <f>IFERROR(__xludf.DUMMYFUNCTION("""COMPUTED_VALUE"""),0.10483488505603675)</f>
        <v>0.1048348851</v>
      </c>
      <c r="F5468" s="5">
        <f>IFERROR(__xludf.DUMMYFUNCTION("""COMPUTED_VALUE"""),0.20620023463045703)</f>
        <v>0.2062002346</v>
      </c>
      <c r="G5468" s="5">
        <f>IFERROR(__xludf.DUMMYFUNCTION("""COMPUTED_VALUE"""),0.12173327009959314)</f>
        <v>0.1217332701</v>
      </c>
      <c r="H5468" s="5">
        <f>IFERROR(__xludf.DUMMYFUNCTION("""COMPUTED_VALUE"""),0.60271153613364)</f>
        <v>0.6027115361</v>
      </c>
      <c r="I5468" s="11">
        <f>IFERROR(__xludf.DUMMYFUNCTION("""COMPUTED_VALUE"""),5524.766977363515)</f>
        <v>5524.766977</v>
      </c>
      <c r="J5468" s="10">
        <f>IFERROR(__xludf.DUMMYFUNCTION("""COMPUTED_VALUE"""),5.0)</f>
        <v>5</v>
      </c>
      <c r="K5468" s="5">
        <f>IFERROR(__xludf.DUMMYFUNCTION("""COMPUTED_VALUE"""),0.0013469827586206897)</f>
        <v>0.001346982759</v>
      </c>
      <c r="L5468" s="10">
        <f>IFERROR(__xludf.DUMMYFUNCTION("""COMPUTED_VALUE"""),3712.0)</f>
        <v>3712</v>
      </c>
      <c r="M5468" s="5">
        <f>IFERROR(__xludf.DUMMYFUNCTION("""COMPUTED_VALUE"""),1.0)</f>
        <v>1</v>
      </c>
    </row>
    <row r="5469">
      <c r="A5469" s="10" t="str">
        <f>IFERROR(__xludf.DUMMYFUNCTION("""COMPUTED_VALUE"""),"pudonsha")</f>
        <v>pudonsha</v>
      </c>
      <c r="B5469" s="10">
        <f>IFERROR(__xludf.DUMMYFUNCTION("""COMPUTED_VALUE"""),218.0)</f>
        <v>218</v>
      </c>
      <c r="C5469" s="10">
        <f>IFERROR(__xludf.DUMMYFUNCTION("""COMPUTED_VALUE"""),2557.0)</f>
        <v>2557</v>
      </c>
      <c r="D5469" s="5">
        <f>IFERROR(__xludf.DUMMYFUNCTION("""COMPUTED_VALUE"""),0.33219324497648567)</f>
        <v>0.332193245</v>
      </c>
      <c r="E5469" s="5">
        <f>IFERROR(__xludf.DUMMYFUNCTION("""COMPUTED_VALUE"""),0.10474561778537837)</f>
        <v>0.1047456178</v>
      </c>
      <c r="F5469" s="5">
        <f>IFERROR(__xludf.DUMMYFUNCTION("""COMPUTED_VALUE"""),0.1761436511329628)</f>
        <v>0.1761436511</v>
      </c>
      <c r="G5469" s="5">
        <f>IFERROR(__xludf.DUMMYFUNCTION("""COMPUTED_VALUE"""),0.15946985891406584)</f>
        <v>0.1594698589</v>
      </c>
      <c r="H5469" s="5">
        <f>IFERROR(__xludf.DUMMYFUNCTION("""COMPUTED_VALUE"""),0.5679611650485437)</f>
        <v>0.567961165</v>
      </c>
      <c r="I5469" s="11">
        <f>IFERROR(__xludf.DUMMYFUNCTION("""COMPUTED_VALUE"""),5632.281553398058)</f>
        <v>5632.281553</v>
      </c>
      <c r="J5469" s="10">
        <f>IFERROR(__xludf.DUMMYFUNCTION("""COMPUTED_VALUE"""),0.0)</f>
        <v>0</v>
      </c>
      <c r="K5469" s="5">
        <f>IFERROR(__xludf.DUMMYFUNCTION("""COMPUTED_VALUE"""),0.0)</f>
        <v>0</v>
      </c>
      <c r="L5469" s="10">
        <f>IFERROR(__xludf.DUMMYFUNCTION("""COMPUTED_VALUE"""),218.0)</f>
        <v>218</v>
      </c>
      <c r="M5469" s="5">
        <f>IFERROR(__xludf.DUMMYFUNCTION("""COMPUTED_VALUE"""),1.0)</f>
        <v>1</v>
      </c>
    </row>
    <row r="5470">
      <c r="A5470" s="10" t="str">
        <f>IFERROR(__xludf.DUMMYFUNCTION("""COMPUTED_VALUE"""),"ハットリス")</f>
        <v>ハットリス</v>
      </c>
      <c r="B5470" s="10">
        <f>IFERROR(__xludf.DUMMYFUNCTION("""COMPUTED_VALUE"""),1121.0)</f>
        <v>1121</v>
      </c>
      <c r="C5470" s="10">
        <f>IFERROR(__xludf.DUMMYFUNCTION("""COMPUTED_VALUE"""),13216.0)</f>
        <v>13216</v>
      </c>
      <c r="D5470" s="5">
        <f>IFERROR(__xludf.DUMMYFUNCTION("""COMPUTED_VALUE"""),0.32476229847044236)</f>
        <v>0.3247622985</v>
      </c>
      <c r="E5470" s="5">
        <f>IFERROR(__xludf.DUMMYFUNCTION("""COMPUTED_VALUE"""),0.10467135179826374)</f>
        <v>0.1046713518</v>
      </c>
      <c r="F5470" s="5">
        <f>IFERROR(__xludf.DUMMYFUNCTION("""COMPUTED_VALUE"""),0.20363786688714344)</f>
        <v>0.2036378669</v>
      </c>
      <c r="G5470" s="5">
        <f>IFERROR(__xludf.DUMMYFUNCTION("""COMPUTED_VALUE"""),0.16758991318726746)</f>
        <v>0.1675899132</v>
      </c>
      <c r="H5470" s="5">
        <f>IFERROR(__xludf.DUMMYFUNCTION("""COMPUTED_VALUE"""),0.609419407226959)</f>
        <v>0.6094194072</v>
      </c>
      <c r="I5470" s="11">
        <f>IFERROR(__xludf.DUMMYFUNCTION("""COMPUTED_VALUE"""),5624.238733252131)</f>
        <v>5624.238733</v>
      </c>
      <c r="J5470" s="10">
        <f>IFERROR(__xludf.DUMMYFUNCTION("""COMPUTED_VALUE"""),1.0)</f>
        <v>1</v>
      </c>
      <c r="K5470" s="5">
        <f>IFERROR(__xludf.DUMMYFUNCTION("""COMPUTED_VALUE"""),8.920606601248885E-4)</f>
        <v>0.0008920606601</v>
      </c>
      <c r="L5470" s="10">
        <f>IFERROR(__xludf.DUMMYFUNCTION("""COMPUTED_VALUE"""),1121.0)</f>
        <v>1121</v>
      </c>
      <c r="M5470" s="5">
        <f>IFERROR(__xludf.DUMMYFUNCTION("""COMPUTED_VALUE"""),1.0)</f>
        <v>1</v>
      </c>
    </row>
    <row r="5471">
      <c r="A5471" s="10" t="str">
        <f>IFERROR(__xludf.DUMMYFUNCTION("""COMPUTED_VALUE"""),"綴る！")</f>
        <v>綴る！</v>
      </c>
      <c r="B5471" s="10">
        <f>IFERROR(__xludf.DUMMYFUNCTION("""COMPUTED_VALUE"""),1937.0)</f>
        <v>1937</v>
      </c>
      <c r="C5471" s="10">
        <f>IFERROR(__xludf.DUMMYFUNCTION("""COMPUTED_VALUE"""),23045.0)</f>
        <v>23045</v>
      </c>
      <c r="D5471" s="5">
        <f>IFERROR(__xludf.DUMMYFUNCTION("""COMPUTED_VALUE"""),0.3208262270229297)</f>
        <v>0.320826227</v>
      </c>
      <c r="E5471" s="5">
        <f>IFERROR(__xludf.DUMMYFUNCTION("""COMPUTED_VALUE"""),0.10465226454424863)</f>
        <v>0.1046522645</v>
      </c>
      <c r="F5471" s="5">
        <f>IFERROR(__xludf.DUMMYFUNCTION("""COMPUTED_VALUE"""),0.19731855220769376)</f>
        <v>0.1973185522</v>
      </c>
      <c r="G5471" s="5">
        <f>IFERROR(__xludf.DUMMYFUNCTION("""COMPUTED_VALUE"""),0.14648474512033352)</f>
        <v>0.1464847451</v>
      </c>
      <c r="H5471" s="5">
        <f>IFERROR(__xludf.DUMMYFUNCTION("""COMPUTED_VALUE"""),0.5939975990396158)</f>
        <v>0.593997599</v>
      </c>
      <c r="I5471" s="11">
        <f>IFERROR(__xludf.DUMMYFUNCTION("""COMPUTED_VALUE"""),5270.46818727491)</f>
        <v>5270.468187</v>
      </c>
      <c r="J5471" s="10">
        <f>IFERROR(__xludf.DUMMYFUNCTION("""COMPUTED_VALUE"""),1.0)</f>
        <v>1</v>
      </c>
      <c r="K5471" s="5">
        <f>IFERROR(__xludf.DUMMYFUNCTION("""COMPUTED_VALUE"""),5.162622612287042E-4)</f>
        <v>0.0005162622612</v>
      </c>
      <c r="L5471" s="10">
        <f>IFERROR(__xludf.DUMMYFUNCTION("""COMPUTED_VALUE"""),1937.0)</f>
        <v>1937</v>
      </c>
      <c r="M5471" s="5">
        <f>IFERROR(__xludf.DUMMYFUNCTION("""COMPUTED_VALUE"""),1.0)</f>
        <v>1</v>
      </c>
    </row>
    <row r="5472">
      <c r="A5472" s="10" t="str">
        <f>IFERROR(__xludf.DUMMYFUNCTION("""COMPUTED_VALUE"""),"土方歳三")</f>
        <v>土方歳三</v>
      </c>
      <c r="B5472" s="10">
        <f>IFERROR(__xludf.DUMMYFUNCTION("""COMPUTED_VALUE"""),207.0)</f>
        <v>207</v>
      </c>
      <c r="C5472" s="10">
        <f>IFERROR(__xludf.DUMMYFUNCTION("""COMPUTED_VALUE"""),2424.0)</f>
        <v>2424</v>
      </c>
      <c r="D5472" s="5">
        <f>IFERROR(__xludf.DUMMYFUNCTION("""COMPUTED_VALUE"""),0.2210193955796121)</f>
        <v>0.2210193956</v>
      </c>
      <c r="E5472" s="5">
        <f>IFERROR(__xludf.DUMMYFUNCTION("""COMPUTED_VALUE"""),0.10464591790708164)</f>
        <v>0.1046459179</v>
      </c>
      <c r="F5472" s="5">
        <f>IFERROR(__xludf.DUMMYFUNCTION("""COMPUTED_VALUE"""),0.18628777627424448)</f>
        <v>0.1862877763</v>
      </c>
      <c r="G5472" s="5">
        <f>IFERROR(__xludf.DUMMYFUNCTION("""COMPUTED_VALUE"""),0.13892647722147045)</f>
        <v>0.1389264772</v>
      </c>
      <c r="H5472" s="5">
        <f>IFERROR(__xludf.DUMMYFUNCTION("""COMPUTED_VALUE"""),0.6295399515738499)</f>
        <v>0.6295399516</v>
      </c>
      <c r="I5472" s="11">
        <f>IFERROR(__xludf.DUMMYFUNCTION("""COMPUTED_VALUE"""),5457.3849878934625)</f>
        <v>5457.384988</v>
      </c>
      <c r="J5472" s="10">
        <f>IFERROR(__xludf.DUMMYFUNCTION("""COMPUTED_VALUE"""),0.0)</f>
        <v>0</v>
      </c>
      <c r="K5472" s="5">
        <f>IFERROR(__xludf.DUMMYFUNCTION("""COMPUTED_VALUE"""),0.0)</f>
        <v>0</v>
      </c>
      <c r="L5472" s="10">
        <f>IFERROR(__xludf.DUMMYFUNCTION("""COMPUTED_VALUE"""),207.0)</f>
        <v>207</v>
      </c>
      <c r="M5472" s="5">
        <f>IFERROR(__xludf.DUMMYFUNCTION("""COMPUTED_VALUE"""),1.0)</f>
        <v>1</v>
      </c>
    </row>
    <row r="5473">
      <c r="A5473" s="10" t="str">
        <f>IFERROR(__xludf.DUMMYFUNCTION("""COMPUTED_VALUE"""),"s.celty")</f>
        <v>s.celty</v>
      </c>
      <c r="B5473" s="10">
        <f>IFERROR(__xludf.DUMMYFUNCTION("""COMPUTED_VALUE"""),353.0)</f>
        <v>353</v>
      </c>
      <c r="C5473" s="10">
        <f>IFERROR(__xludf.DUMMYFUNCTION("""COMPUTED_VALUE"""),4233.0)</f>
        <v>4233</v>
      </c>
      <c r="D5473" s="5">
        <f>IFERROR(__xludf.DUMMYFUNCTION("""COMPUTED_VALUE"""),0.39690721649484534)</f>
        <v>0.3969072165</v>
      </c>
      <c r="E5473" s="5">
        <f>IFERROR(__xludf.DUMMYFUNCTION("""COMPUTED_VALUE"""),0.10463917525773196)</f>
        <v>0.1046391753</v>
      </c>
      <c r="F5473" s="5">
        <f>IFERROR(__xludf.DUMMYFUNCTION("""COMPUTED_VALUE"""),0.21855670103092784)</f>
        <v>0.218556701</v>
      </c>
      <c r="G5473" s="5">
        <f>IFERROR(__xludf.DUMMYFUNCTION("""COMPUTED_VALUE"""),0.14561855670103094)</f>
        <v>0.1456185567</v>
      </c>
      <c r="H5473" s="5">
        <f>IFERROR(__xludf.DUMMYFUNCTION("""COMPUTED_VALUE"""),0.5966981132075472)</f>
        <v>0.5966981132</v>
      </c>
      <c r="I5473" s="11">
        <f>IFERROR(__xludf.DUMMYFUNCTION("""COMPUTED_VALUE"""),4947.759433962264)</f>
        <v>4947.759434</v>
      </c>
      <c r="J5473" s="10">
        <f>IFERROR(__xludf.DUMMYFUNCTION("""COMPUTED_VALUE"""),1.0)</f>
        <v>1</v>
      </c>
      <c r="K5473" s="5">
        <f>IFERROR(__xludf.DUMMYFUNCTION("""COMPUTED_VALUE"""),0.0028328611898017)</f>
        <v>0.00283286119</v>
      </c>
      <c r="L5473" s="10">
        <f>IFERROR(__xludf.DUMMYFUNCTION("""COMPUTED_VALUE"""),5.0)</f>
        <v>5</v>
      </c>
      <c r="M5473" s="5">
        <f>IFERROR(__xludf.DUMMYFUNCTION("""COMPUTED_VALUE"""),0.014164305949008499)</f>
        <v>0.01416430595</v>
      </c>
    </row>
    <row r="5474">
      <c r="A5474" s="10" t="str">
        <f>IFERROR(__xludf.DUMMYFUNCTION("""COMPUTED_VALUE"""),"aki!!!")</f>
        <v>aki!!!</v>
      </c>
      <c r="B5474" s="10">
        <f>IFERROR(__xludf.DUMMYFUNCTION("""COMPUTED_VALUE"""),382.0)</f>
        <v>382</v>
      </c>
      <c r="C5474" s="10">
        <f>IFERROR(__xludf.DUMMYFUNCTION("""COMPUTED_VALUE"""),4635.0)</f>
        <v>4635</v>
      </c>
      <c r="D5474" s="5">
        <f>IFERROR(__xludf.DUMMYFUNCTION("""COMPUTED_VALUE"""),0.3943098988948977)</f>
        <v>0.3943098989</v>
      </c>
      <c r="E5474" s="5">
        <f>IFERROR(__xludf.DUMMYFUNCTION("""COMPUTED_VALUE"""),0.10463202445332706)</f>
        <v>0.1046320245</v>
      </c>
      <c r="F5474" s="5">
        <f>IFERROR(__xludf.DUMMYFUNCTION("""COMPUTED_VALUE"""),0.202210204561486)</f>
        <v>0.2022102046</v>
      </c>
      <c r="G5474" s="5">
        <f>IFERROR(__xludf.DUMMYFUNCTION("""COMPUTED_VALUE"""),0.13802022102045614)</f>
        <v>0.138020221</v>
      </c>
      <c r="H5474" s="5">
        <f>IFERROR(__xludf.DUMMYFUNCTION("""COMPUTED_VALUE"""),0.6)</f>
        <v>0.6</v>
      </c>
      <c r="I5474" s="11">
        <f>IFERROR(__xludf.DUMMYFUNCTION("""COMPUTED_VALUE"""),5624.883720930233)</f>
        <v>5624.883721</v>
      </c>
      <c r="J5474" s="10">
        <f>IFERROR(__xludf.DUMMYFUNCTION("""COMPUTED_VALUE"""),0.0)</f>
        <v>0</v>
      </c>
      <c r="K5474" s="5">
        <f>IFERROR(__xludf.DUMMYFUNCTION("""COMPUTED_VALUE"""),0.0)</f>
        <v>0</v>
      </c>
      <c r="L5474" s="10">
        <f>IFERROR(__xludf.DUMMYFUNCTION("""COMPUTED_VALUE"""),382.0)</f>
        <v>382</v>
      </c>
      <c r="M5474" s="5">
        <f>IFERROR(__xludf.DUMMYFUNCTION("""COMPUTED_VALUE"""),1.0)</f>
        <v>1</v>
      </c>
    </row>
    <row r="5475">
      <c r="A5475" s="10" t="str">
        <f>IFERROR(__xludf.DUMMYFUNCTION("""COMPUTED_VALUE"""),"天野遠子")</f>
        <v>天野遠子</v>
      </c>
      <c r="B5475" s="10">
        <f>IFERROR(__xludf.DUMMYFUNCTION("""COMPUTED_VALUE"""),580.0)</f>
        <v>580</v>
      </c>
      <c r="C5475" s="10">
        <f>IFERROR(__xludf.DUMMYFUNCTION("""COMPUTED_VALUE"""),6928.0)</f>
        <v>6928</v>
      </c>
      <c r="D5475" s="5">
        <f>IFERROR(__xludf.DUMMYFUNCTION("""COMPUTED_VALUE"""),0.3202583490863264)</f>
        <v>0.3202583491</v>
      </c>
      <c r="E5475" s="5">
        <f>IFERROR(__xludf.DUMMYFUNCTION("""COMPUTED_VALUE"""),0.10459987397605545)</f>
        <v>0.104599874</v>
      </c>
      <c r="F5475" s="5">
        <f>IFERROR(__xludf.DUMMYFUNCTION("""COMPUTED_VALUE"""),0.20179584120982988)</f>
        <v>0.2017958412</v>
      </c>
      <c r="G5475" s="5">
        <f>IFERROR(__xludf.DUMMYFUNCTION("""COMPUTED_VALUE"""),0.16745431632010083)</f>
        <v>0.1674543163</v>
      </c>
      <c r="H5475" s="5">
        <f>IFERROR(__xludf.DUMMYFUNCTION("""COMPUTED_VALUE"""),0.60967993754879)</f>
        <v>0.6096799375</v>
      </c>
      <c r="I5475" s="11">
        <f>IFERROR(__xludf.DUMMYFUNCTION("""COMPUTED_VALUE"""),5634.582357533177)</f>
        <v>5634.582358</v>
      </c>
      <c r="J5475" s="10">
        <f>IFERROR(__xludf.DUMMYFUNCTION("""COMPUTED_VALUE"""),0.0)</f>
        <v>0</v>
      </c>
      <c r="K5475" s="5">
        <f>IFERROR(__xludf.DUMMYFUNCTION("""COMPUTED_VALUE"""),0.0)</f>
        <v>0</v>
      </c>
      <c r="L5475" s="10">
        <f>IFERROR(__xludf.DUMMYFUNCTION("""COMPUTED_VALUE"""),4.0)</f>
        <v>4</v>
      </c>
      <c r="M5475" s="5">
        <f>IFERROR(__xludf.DUMMYFUNCTION("""COMPUTED_VALUE"""),0.006896551724137931)</f>
        <v>0.006896551724</v>
      </c>
    </row>
    <row r="5476">
      <c r="A5476" s="10" t="str">
        <f>IFERROR(__xludf.DUMMYFUNCTION("""COMPUTED_VALUE"""),"最強ペチョーリン")</f>
        <v>最強ペチョーリン</v>
      </c>
      <c r="B5476" s="10">
        <f>IFERROR(__xludf.DUMMYFUNCTION("""COMPUTED_VALUE"""),515.0)</f>
        <v>515</v>
      </c>
      <c r="C5476" s="10">
        <f>IFERROR(__xludf.DUMMYFUNCTION("""COMPUTED_VALUE"""),6156.0)</f>
        <v>6156</v>
      </c>
      <c r="D5476" s="5">
        <f>IFERROR(__xludf.DUMMYFUNCTION("""COMPUTED_VALUE"""),0.39141996099982274)</f>
        <v>0.391419961</v>
      </c>
      <c r="E5476" s="5">
        <f>IFERROR(__xludf.DUMMYFUNCTION("""COMPUTED_VALUE"""),0.10459138450629321)</f>
        <v>0.1045913845</v>
      </c>
      <c r="F5476" s="5">
        <f>IFERROR(__xludf.DUMMYFUNCTION("""COMPUTED_VALUE"""),0.2191100868640312)</f>
        <v>0.2191100869</v>
      </c>
      <c r="G5476" s="5">
        <f>IFERROR(__xludf.DUMMYFUNCTION("""COMPUTED_VALUE"""),0.15493706789576317)</f>
        <v>0.1549370679</v>
      </c>
      <c r="H5476" s="5">
        <f>IFERROR(__xludf.DUMMYFUNCTION("""COMPUTED_VALUE"""),0.6067961165048543)</f>
        <v>0.6067961165</v>
      </c>
      <c r="I5476" s="11">
        <f>IFERROR(__xludf.DUMMYFUNCTION("""COMPUTED_VALUE"""),4932.038834951456)</f>
        <v>4932.038835</v>
      </c>
      <c r="J5476" s="10">
        <f>IFERROR(__xludf.DUMMYFUNCTION("""COMPUTED_VALUE"""),1.0)</f>
        <v>1</v>
      </c>
      <c r="K5476" s="5">
        <f>IFERROR(__xludf.DUMMYFUNCTION("""COMPUTED_VALUE"""),0.001941747572815534)</f>
        <v>0.001941747573</v>
      </c>
      <c r="L5476" s="10">
        <f>IFERROR(__xludf.DUMMYFUNCTION("""COMPUTED_VALUE"""),515.0)</f>
        <v>515</v>
      </c>
      <c r="M5476" s="5">
        <f>IFERROR(__xludf.DUMMYFUNCTION("""COMPUTED_VALUE"""),1.0)</f>
        <v>1</v>
      </c>
    </row>
    <row r="5477">
      <c r="A5477" s="10" t="str">
        <f>IFERROR(__xludf.DUMMYFUNCTION("""COMPUTED_VALUE"""),"たま子")</f>
        <v>たま子</v>
      </c>
      <c r="B5477" s="10">
        <f>IFERROR(__xludf.DUMMYFUNCTION("""COMPUTED_VALUE"""),198.0)</f>
        <v>198</v>
      </c>
      <c r="C5477" s="10">
        <f>IFERROR(__xludf.DUMMYFUNCTION("""COMPUTED_VALUE"""),2350.0)</f>
        <v>2350</v>
      </c>
      <c r="D5477" s="5">
        <f>IFERROR(__xludf.DUMMYFUNCTION("""COMPUTED_VALUE"""),0.34433085501858735)</f>
        <v>0.344330855</v>
      </c>
      <c r="E5477" s="5">
        <f>IFERROR(__xludf.DUMMYFUNCTION("""COMPUTED_VALUE"""),0.10455390334572491)</f>
        <v>0.1045539033</v>
      </c>
      <c r="F5477" s="5">
        <f>IFERROR(__xludf.DUMMYFUNCTION("""COMPUTED_VALUE"""),0.21514869888475838)</f>
        <v>0.2151486989</v>
      </c>
      <c r="G5477" s="5">
        <f>IFERROR(__xludf.DUMMYFUNCTION("""COMPUTED_VALUE"""),0.1737918215613383)</f>
        <v>0.1737918216</v>
      </c>
      <c r="H5477" s="5">
        <f>IFERROR(__xludf.DUMMYFUNCTION("""COMPUTED_VALUE"""),0.5853131749460043)</f>
        <v>0.5853131749</v>
      </c>
      <c r="I5477" s="11">
        <f>IFERROR(__xludf.DUMMYFUNCTION("""COMPUTED_VALUE"""),5968.034557235421)</f>
        <v>5968.034557</v>
      </c>
      <c r="J5477" s="10">
        <f>IFERROR(__xludf.DUMMYFUNCTION("""COMPUTED_VALUE"""),0.0)</f>
        <v>0</v>
      </c>
      <c r="K5477" s="5">
        <f>IFERROR(__xludf.DUMMYFUNCTION("""COMPUTED_VALUE"""),0.0)</f>
        <v>0</v>
      </c>
      <c r="L5477" s="10">
        <f>IFERROR(__xludf.DUMMYFUNCTION("""COMPUTED_VALUE"""),197.0)</f>
        <v>197</v>
      </c>
      <c r="M5477" s="5">
        <f>IFERROR(__xludf.DUMMYFUNCTION("""COMPUTED_VALUE"""),0.9949494949494949)</f>
        <v>0.9949494949</v>
      </c>
    </row>
    <row r="5478">
      <c r="A5478" s="10" t="str">
        <f>IFERROR(__xludf.DUMMYFUNCTION("""COMPUTED_VALUE"""),"Cecile∇")</f>
        <v>Cecile∇</v>
      </c>
      <c r="B5478" s="10">
        <f>IFERROR(__xludf.DUMMYFUNCTION("""COMPUTED_VALUE"""),149.0)</f>
        <v>149</v>
      </c>
      <c r="C5478" s="10">
        <f>IFERROR(__xludf.DUMMYFUNCTION("""COMPUTED_VALUE"""),1718.0)</f>
        <v>1718</v>
      </c>
      <c r="D5478" s="5">
        <f>IFERROR(__xludf.DUMMYFUNCTION("""COMPUTED_VALUE"""),0.26322498406628425)</f>
        <v>0.2632249841</v>
      </c>
      <c r="E5478" s="5">
        <f>IFERROR(__xludf.DUMMYFUNCTION("""COMPUTED_VALUE"""),0.10452517527087317)</f>
        <v>0.1045251753</v>
      </c>
      <c r="F5478" s="5">
        <f>IFERROR(__xludf.DUMMYFUNCTION("""COMPUTED_VALUE"""),0.19630337794773742)</f>
        <v>0.1963033779</v>
      </c>
      <c r="G5478" s="5">
        <f>IFERROR(__xludf.DUMMYFUNCTION("""COMPUTED_VALUE"""),0.11790949649458253)</f>
        <v>0.1179094965</v>
      </c>
      <c r="H5478" s="5">
        <f>IFERROR(__xludf.DUMMYFUNCTION("""COMPUTED_VALUE"""),0.6331168831168831)</f>
        <v>0.6331168831</v>
      </c>
      <c r="I5478" s="11">
        <f>IFERROR(__xludf.DUMMYFUNCTION("""COMPUTED_VALUE"""),5635.38961038961)</f>
        <v>5635.38961</v>
      </c>
      <c r="J5478" s="10">
        <f>IFERROR(__xludf.DUMMYFUNCTION("""COMPUTED_VALUE"""),2.0)</f>
        <v>2</v>
      </c>
      <c r="K5478" s="5">
        <f>IFERROR(__xludf.DUMMYFUNCTION("""COMPUTED_VALUE"""),0.013422818791946308)</f>
        <v>0.01342281879</v>
      </c>
      <c r="L5478" s="10">
        <f>IFERROR(__xludf.DUMMYFUNCTION("""COMPUTED_VALUE"""),149.0)</f>
        <v>149</v>
      </c>
      <c r="M5478" s="5">
        <f>IFERROR(__xludf.DUMMYFUNCTION("""COMPUTED_VALUE"""),1.0)</f>
        <v>1</v>
      </c>
    </row>
    <row r="5479">
      <c r="A5479" s="10" t="str">
        <f>IFERROR(__xludf.DUMMYFUNCTION("""COMPUTED_VALUE"""),"押すし屋さん")</f>
        <v>押すし屋さん</v>
      </c>
      <c r="B5479" s="10">
        <f>IFERROR(__xludf.DUMMYFUNCTION("""COMPUTED_VALUE"""),359.0)</f>
        <v>359</v>
      </c>
      <c r="C5479" s="10">
        <f>IFERROR(__xludf.DUMMYFUNCTION("""COMPUTED_VALUE"""),4167.0)</f>
        <v>4167</v>
      </c>
      <c r="D5479" s="5">
        <f>IFERROR(__xludf.DUMMYFUNCTION("""COMPUTED_VALUE"""),0.25210084033613445)</f>
        <v>0.2521008403</v>
      </c>
      <c r="E5479" s="5">
        <f>IFERROR(__xludf.DUMMYFUNCTION("""COMPUTED_VALUE"""),0.10451680672268908)</f>
        <v>0.1045168067</v>
      </c>
      <c r="F5479" s="5">
        <f>IFERROR(__xludf.DUMMYFUNCTION("""COMPUTED_VALUE"""),0.1869747899159664)</f>
        <v>0.1869747899</v>
      </c>
      <c r="G5479" s="5">
        <f>IFERROR(__xludf.DUMMYFUNCTION("""COMPUTED_VALUE"""),0.16832983193277312)</f>
        <v>0.1683298319</v>
      </c>
      <c r="H5479" s="5">
        <f>IFERROR(__xludf.DUMMYFUNCTION("""COMPUTED_VALUE"""),0.550561797752809)</f>
        <v>0.5505617978</v>
      </c>
      <c r="I5479" s="11">
        <f>IFERROR(__xludf.DUMMYFUNCTION("""COMPUTED_VALUE"""),6009.1292134831465)</f>
        <v>6009.129213</v>
      </c>
      <c r="J5479" s="10">
        <f>IFERROR(__xludf.DUMMYFUNCTION("""COMPUTED_VALUE"""),1.0)</f>
        <v>1</v>
      </c>
      <c r="K5479" s="5">
        <f>IFERROR(__xludf.DUMMYFUNCTION("""COMPUTED_VALUE"""),0.002785515320334262)</f>
        <v>0.00278551532</v>
      </c>
      <c r="L5479" s="10">
        <f>IFERROR(__xludf.DUMMYFUNCTION("""COMPUTED_VALUE"""),359.0)</f>
        <v>359</v>
      </c>
      <c r="M5479" s="5">
        <f>IFERROR(__xludf.DUMMYFUNCTION("""COMPUTED_VALUE"""),1.0)</f>
        <v>1</v>
      </c>
    </row>
    <row r="5480">
      <c r="A5480" s="10" t="str">
        <f>IFERROR(__xludf.DUMMYFUNCTION("""COMPUTED_VALUE"""),"アンシャル")</f>
        <v>アンシャル</v>
      </c>
      <c r="B5480" s="10">
        <f>IFERROR(__xludf.DUMMYFUNCTION("""COMPUTED_VALUE"""),155.0)</f>
        <v>155</v>
      </c>
      <c r="C5480" s="10">
        <f>IFERROR(__xludf.DUMMYFUNCTION("""COMPUTED_VALUE"""),1830.0)</f>
        <v>1830</v>
      </c>
      <c r="D5480" s="5">
        <f>IFERROR(__xludf.DUMMYFUNCTION("""COMPUTED_VALUE"""),0.382089552238806)</f>
        <v>0.3820895522</v>
      </c>
      <c r="E5480" s="5">
        <f>IFERROR(__xludf.DUMMYFUNCTION("""COMPUTED_VALUE"""),0.1044776119402985)</f>
        <v>0.1044776119</v>
      </c>
      <c r="F5480" s="5">
        <f>IFERROR(__xludf.DUMMYFUNCTION("""COMPUTED_VALUE"""),0.20059701492537313)</f>
        <v>0.2005970149</v>
      </c>
      <c r="G5480" s="5">
        <f>IFERROR(__xludf.DUMMYFUNCTION("""COMPUTED_VALUE"""),0.1480597014925373)</f>
        <v>0.1480597015</v>
      </c>
      <c r="H5480" s="5">
        <f>IFERROR(__xludf.DUMMYFUNCTION("""COMPUTED_VALUE"""),0.5446428571428571)</f>
        <v>0.5446428571</v>
      </c>
      <c r="I5480" s="11">
        <f>IFERROR(__xludf.DUMMYFUNCTION("""COMPUTED_VALUE"""),5559.226190476191)</f>
        <v>5559.22619</v>
      </c>
      <c r="J5480" s="10">
        <f>IFERROR(__xludf.DUMMYFUNCTION("""COMPUTED_VALUE"""),0.0)</f>
        <v>0</v>
      </c>
      <c r="K5480" s="5">
        <f>IFERROR(__xludf.DUMMYFUNCTION("""COMPUTED_VALUE"""),0.0)</f>
        <v>0</v>
      </c>
      <c r="L5480" s="10">
        <f>IFERROR(__xludf.DUMMYFUNCTION("""COMPUTED_VALUE"""),155.0)</f>
        <v>155</v>
      </c>
      <c r="M5480" s="5">
        <f>IFERROR(__xludf.DUMMYFUNCTION("""COMPUTED_VALUE"""),1.0)</f>
        <v>1</v>
      </c>
    </row>
    <row r="5481">
      <c r="A5481" s="10" t="str">
        <f>IFERROR(__xludf.DUMMYFUNCTION("""COMPUTED_VALUE"""),"口内炎ができてる")</f>
        <v>口内炎ができてる</v>
      </c>
      <c r="B5481" s="10">
        <f>IFERROR(__xludf.DUMMYFUNCTION("""COMPUTED_VALUE"""),569.0)</f>
        <v>569</v>
      </c>
      <c r="C5481" s="10">
        <f>IFERROR(__xludf.DUMMYFUNCTION("""COMPUTED_VALUE"""),6609.0)</f>
        <v>6609</v>
      </c>
      <c r="D5481" s="5">
        <f>IFERROR(__xludf.DUMMYFUNCTION("""COMPUTED_VALUE"""),0.32003311258278144)</f>
        <v>0.3200331126</v>
      </c>
      <c r="E5481" s="5">
        <f>IFERROR(__xludf.DUMMYFUNCTION("""COMPUTED_VALUE"""),0.10447019867549669)</f>
        <v>0.1044701987</v>
      </c>
      <c r="F5481" s="5">
        <f>IFERROR(__xludf.DUMMYFUNCTION("""COMPUTED_VALUE"""),0.21043046357615894)</f>
        <v>0.2104304636</v>
      </c>
      <c r="G5481" s="5">
        <f>IFERROR(__xludf.DUMMYFUNCTION("""COMPUTED_VALUE"""),0.16854304635761588)</f>
        <v>0.1685430464</v>
      </c>
      <c r="H5481" s="5">
        <f>IFERROR(__xludf.DUMMYFUNCTION("""COMPUTED_VALUE"""),0.6160503540519277)</f>
        <v>0.6160503541</v>
      </c>
      <c r="I5481" s="11">
        <f>IFERROR(__xludf.DUMMYFUNCTION("""COMPUTED_VALUE"""),5381.195908733281)</f>
        <v>5381.195909</v>
      </c>
      <c r="J5481" s="10">
        <f>IFERROR(__xludf.DUMMYFUNCTION("""COMPUTED_VALUE"""),1.0)</f>
        <v>1</v>
      </c>
      <c r="K5481" s="5">
        <f>IFERROR(__xludf.DUMMYFUNCTION("""COMPUTED_VALUE"""),0.0017574692442882249)</f>
        <v>0.001757469244</v>
      </c>
      <c r="L5481" s="10">
        <f>IFERROR(__xludf.DUMMYFUNCTION("""COMPUTED_VALUE"""),2.0)</f>
        <v>2</v>
      </c>
      <c r="M5481" s="5">
        <f>IFERROR(__xludf.DUMMYFUNCTION("""COMPUTED_VALUE"""),0.0035149384885764497)</f>
        <v>0.003514938489</v>
      </c>
    </row>
    <row r="5482">
      <c r="A5482" s="10" t="str">
        <f>IFERROR(__xludf.DUMMYFUNCTION("""COMPUTED_VALUE"""),"いししんID紛失")</f>
        <v>いししんID紛失</v>
      </c>
      <c r="B5482" s="10">
        <f>IFERROR(__xludf.DUMMYFUNCTION("""COMPUTED_VALUE"""),1804.0)</f>
        <v>1804</v>
      </c>
      <c r="C5482" s="10">
        <f>IFERROR(__xludf.DUMMYFUNCTION("""COMPUTED_VALUE"""),21499.0)</f>
        <v>21499</v>
      </c>
      <c r="D5482" s="5">
        <f>IFERROR(__xludf.DUMMYFUNCTION("""COMPUTED_VALUE"""),0.34658542777354656)</f>
        <v>0.3465854278</v>
      </c>
      <c r="E5482" s="5">
        <f>IFERROR(__xludf.DUMMYFUNCTION("""COMPUTED_VALUE"""),0.10444275196750444)</f>
        <v>0.104442752</v>
      </c>
      <c r="F5482" s="5">
        <f>IFERROR(__xludf.DUMMYFUNCTION("""COMPUTED_VALUE"""),0.20883472962680882)</f>
        <v>0.2088347296</v>
      </c>
      <c r="G5482" s="5">
        <f>IFERROR(__xludf.DUMMYFUNCTION("""COMPUTED_VALUE"""),0.1536938309215537)</f>
        <v>0.1536938309</v>
      </c>
      <c r="H5482" s="5">
        <f>IFERROR(__xludf.DUMMYFUNCTION("""COMPUTED_VALUE"""),0.6105032822757112)</f>
        <v>0.6105032823</v>
      </c>
      <c r="I5482" s="11">
        <f>IFERROR(__xludf.DUMMYFUNCTION("""COMPUTED_VALUE"""),5423.000243131534)</f>
        <v>5423.000243</v>
      </c>
      <c r="J5482" s="10">
        <f>IFERROR(__xludf.DUMMYFUNCTION("""COMPUTED_VALUE"""),1.0)</f>
        <v>1</v>
      </c>
      <c r="K5482" s="5">
        <f>IFERROR(__xludf.DUMMYFUNCTION("""COMPUTED_VALUE"""),5.543237250554324E-4)</f>
        <v>0.0005543237251</v>
      </c>
      <c r="L5482" s="10">
        <f>IFERROR(__xludf.DUMMYFUNCTION("""COMPUTED_VALUE"""),1775.0)</f>
        <v>1775</v>
      </c>
      <c r="M5482" s="5">
        <f>IFERROR(__xludf.DUMMYFUNCTION("""COMPUTED_VALUE"""),0.9839246119733924)</f>
        <v>0.983924612</v>
      </c>
    </row>
    <row r="5483">
      <c r="A5483" s="10" t="str">
        <f>IFERROR(__xludf.DUMMYFUNCTION("""COMPUTED_VALUE"""),"x^^x")</f>
        <v>x^^x</v>
      </c>
      <c r="B5483" s="10">
        <f>IFERROR(__xludf.DUMMYFUNCTION("""COMPUTED_VALUE"""),285.0)</f>
        <v>285</v>
      </c>
      <c r="C5483" s="10">
        <f>IFERROR(__xludf.DUMMYFUNCTION("""COMPUTED_VALUE"""),3360.0)</f>
        <v>3360</v>
      </c>
      <c r="D5483" s="5">
        <f>IFERROR(__xludf.DUMMYFUNCTION("""COMPUTED_VALUE"""),0.38959349593495934)</f>
        <v>0.3895934959</v>
      </c>
      <c r="E5483" s="5">
        <f>IFERROR(__xludf.DUMMYFUNCTION("""COMPUTED_VALUE"""),0.10439024390243902)</f>
        <v>0.1043902439</v>
      </c>
      <c r="F5483" s="5">
        <f>IFERROR(__xludf.DUMMYFUNCTION("""COMPUTED_VALUE"""),0.19869918699186992)</f>
        <v>0.198699187</v>
      </c>
      <c r="G5483" s="5">
        <f>IFERROR(__xludf.DUMMYFUNCTION("""COMPUTED_VALUE"""),0.15967479674796747)</f>
        <v>0.1596747967</v>
      </c>
      <c r="H5483" s="5">
        <f>IFERROR(__xludf.DUMMYFUNCTION("""COMPUTED_VALUE"""),0.6006546644844517)</f>
        <v>0.6006546645</v>
      </c>
      <c r="I5483" s="11">
        <f>IFERROR(__xludf.DUMMYFUNCTION("""COMPUTED_VALUE"""),5585.270049099836)</f>
        <v>5585.270049</v>
      </c>
      <c r="J5483" s="10">
        <f>IFERROR(__xludf.DUMMYFUNCTION("""COMPUTED_VALUE"""),1.0)</f>
        <v>1</v>
      </c>
      <c r="K5483" s="5">
        <f>IFERROR(__xludf.DUMMYFUNCTION("""COMPUTED_VALUE"""),0.0035087719298245615)</f>
        <v>0.00350877193</v>
      </c>
      <c r="L5483" s="10">
        <f>IFERROR(__xludf.DUMMYFUNCTION("""COMPUTED_VALUE"""),285.0)</f>
        <v>285</v>
      </c>
      <c r="M5483" s="5">
        <f>IFERROR(__xludf.DUMMYFUNCTION("""COMPUTED_VALUE"""),1.0)</f>
        <v>1</v>
      </c>
    </row>
    <row r="5484">
      <c r="A5484" s="10" t="str">
        <f>IFERROR(__xludf.DUMMYFUNCTION("""COMPUTED_VALUE"""),"使徒†やんししー")</f>
        <v>使徒†やんししー</v>
      </c>
      <c r="B5484" s="10">
        <f>IFERROR(__xludf.DUMMYFUNCTION("""COMPUTED_VALUE"""),1333.0)</f>
        <v>1333</v>
      </c>
      <c r="C5484" s="10">
        <f>IFERROR(__xludf.DUMMYFUNCTION("""COMPUTED_VALUE"""),15501.0)</f>
        <v>15501</v>
      </c>
      <c r="D5484" s="5">
        <f>IFERROR(__xludf.DUMMYFUNCTION("""COMPUTED_VALUE"""),0.26312817617165446)</f>
        <v>0.2631281762</v>
      </c>
      <c r="E5484" s="5">
        <f>IFERROR(__xludf.DUMMYFUNCTION("""COMPUTED_VALUE"""),0.10439017504234896)</f>
        <v>0.104390175</v>
      </c>
      <c r="F5484" s="5">
        <f>IFERROR(__xludf.DUMMYFUNCTION("""COMPUTED_VALUE"""),0.1879587803500847)</f>
        <v>0.1879587804</v>
      </c>
      <c r="G5484" s="5">
        <f>IFERROR(__xludf.DUMMYFUNCTION("""COMPUTED_VALUE"""),0.1767363071710898)</f>
        <v>0.1767363072</v>
      </c>
      <c r="H5484" s="5">
        <f>IFERROR(__xludf.DUMMYFUNCTION("""COMPUTED_VALUE"""),0.6027037176117161)</f>
        <v>0.6027037176</v>
      </c>
      <c r="I5484" s="11">
        <f>IFERROR(__xludf.DUMMYFUNCTION("""COMPUTED_VALUE"""),5940.067592940293)</f>
        <v>5940.067593</v>
      </c>
      <c r="J5484" s="10">
        <f>IFERROR(__xludf.DUMMYFUNCTION("""COMPUTED_VALUE"""),2.0)</f>
        <v>2</v>
      </c>
      <c r="K5484" s="5">
        <f>IFERROR(__xludf.DUMMYFUNCTION("""COMPUTED_VALUE"""),0.0015003750937734434)</f>
        <v>0.001500375094</v>
      </c>
      <c r="L5484" s="10">
        <f>IFERROR(__xludf.DUMMYFUNCTION("""COMPUTED_VALUE"""),0.0)</f>
        <v>0</v>
      </c>
      <c r="M5484" s="5">
        <f>IFERROR(__xludf.DUMMYFUNCTION("""COMPUTED_VALUE"""),0.0)</f>
        <v>0</v>
      </c>
    </row>
    <row r="5485">
      <c r="A5485" s="10" t="str">
        <f>IFERROR(__xludf.DUMMYFUNCTION("""COMPUTED_VALUE"""),"soraru")</f>
        <v>soraru</v>
      </c>
      <c r="B5485" s="10">
        <f>IFERROR(__xludf.DUMMYFUNCTION("""COMPUTED_VALUE"""),485.0)</f>
        <v>485</v>
      </c>
      <c r="C5485" s="10">
        <f>IFERROR(__xludf.DUMMYFUNCTION("""COMPUTED_VALUE"""),5658.0)</f>
        <v>5658</v>
      </c>
      <c r="D5485" s="5">
        <f>IFERROR(__xludf.DUMMYFUNCTION("""COMPUTED_VALUE"""),0.34254784457761456)</f>
        <v>0.3425478446</v>
      </c>
      <c r="E5485" s="5">
        <f>IFERROR(__xludf.DUMMYFUNCTION("""COMPUTED_VALUE"""),0.10438816934080804)</f>
        <v>0.1043881693</v>
      </c>
      <c r="F5485" s="5">
        <f>IFERROR(__xludf.DUMMYFUNCTION("""COMPUTED_VALUE"""),0.20974289580514208)</f>
        <v>0.2097428958</v>
      </c>
      <c r="G5485" s="5">
        <f>IFERROR(__xludf.DUMMYFUNCTION("""COMPUTED_VALUE"""),0.17514015078291126)</f>
        <v>0.1751401508</v>
      </c>
      <c r="H5485" s="5">
        <f>IFERROR(__xludf.DUMMYFUNCTION("""COMPUTED_VALUE"""),0.5898617511520737)</f>
        <v>0.5898617512</v>
      </c>
      <c r="I5485" s="11">
        <f>IFERROR(__xludf.DUMMYFUNCTION("""COMPUTED_VALUE"""),5953.179723502304)</f>
        <v>5953.179724</v>
      </c>
      <c r="J5485" s="10">
        <f>IFERROR(__xludf.DUMMYFUNCTION("""COMPUTED_VALUE"""),1.0)</f>
        <v>1</v>
      </c>
      <c r="K5485" s="5">
        <f>IFERROR(__xludf.DUMMYFUNCTION("""COMPUTED_VALUE"""),0.002061855670103093)</f>
        <v>0.00206185567</v>
      </c>
      <c r="L5485" s="10">
        <f>IFERROR(__xludf.DUMMYFUNCTION("""COMPUTED_VALUE"""),453.0)</f>
        <v>453</v>
      </c>
      <c r="M5485" s="5">
        <f>IFERROR(__xludf.DUMMYFUNCTION("""COMPUTED_VALUE"""),0.934020618556701)</f>
        <v>0.9340206186</v>
      </c>
    </row>
    <row r="5486">
      <c r="A5486" s="10" t="str">
        <f>IFERROR(__xludf.DUMMYFUNCTION("""COMPUTED_VALUE"""),"RITO")</f>
        <v>RITO</v>
      </c>
      <c r="B5486" s="10">
        <f>IFERROR(__xludf.DUMMYFUNCTION("""COMPUTED_VALUE"""),168.0)</f>
        <v>168</v>
      </c>
      <c r="C5486" s="10">
        <f>IFERROR(__xludf.DUMMYFUNCTION("""COMPUTED_VALUE"""),1960.0)</f>
        <v>1960</v>
      </c>
      <c r="D5486" s="5">
        <f>IFERROR(__xludf.DUMMYFUNCTION("""COMPUTED_VALUE"""),0.35658482142857145)</f>
        <v>0.3565848214</v>
      </c>
      <c r="E5486" s="5">
        <f>IFERROR(__xludf.DUMMYFUNCTION("""COMPUTED_VALUE"""),0.10435267857142858)</f>
        <v>0.1043526786</v>
      </c>
      <c r="F5486" s="5">
        <f>IFERROR(__xludf.DUMMYFUNCTION("""COMPUTED_VALUE"""),0.20200892857142858)</f>
        <v>0.2020089286</v>
      </c>
      <c r="G5486" s="5">
        <f>IFERROR(__xludf.DUMMYFUNCTION("""COMPUTED_VALUE"""),0.13058035714285715)</f>
        <v>0.1305803571</v>
      </c>
      <c r="H5486" s="5">
        <f>IFERROR(__xludf.DUMMYFUNCTION("""COMPUTED_VALUE"""),0.5773480662983426)</f>
        <v>0.5773480663</v>
      </c>
      <c r="I5486" s="11">
        <f>IFERROR(__xludf.DUMMYFUNCTION("""COMPUTED_VALUE"""),5340.331491712707)</f>
        <v>5340.331492</v>
      </c>
      <c r="J5486" s="10">
        <f>IFERROR(__xludf.DUMMYFUNCTION("""COMPUTED_VALUE"""),0.0)</f>
        <v>0</v>
      </c>
      <c r="K5486" s="5">
        <f>IFERROR(__xludf.DUMMYFUNCTION("""COMPUTED_VALUE"""),0.0)</f>
        <v>0</v>
      </c>
      <c r="L5486" s="10">
        <f>IFERROR(__xludf.DUMMYFUNCTION("""COMPUTED_VALUE"""),0.0)</f>
        <v>0</v>
      </c>
      <c r="M5486" s="5">
        <f>IFERROR(__xludf.DUMMYFUNCTION("""COMPUTED_VALUE"""),0.0)</f>
        <v>0</v>
      </c>
    </row>
    <row r="5487">
      <c r="A5487" s="10" t="str">
        <f>IFERROR(__xludf.DUMMYFUNCTION("""COMPUTED_VALUE"""),"赤城真子")</f>
        <v>赤城真子</v>
      </c>
      <c r="B5487" s="10">
        <f>IFERROR(__xludf.DUMMYFUNCTION("""COMPUTED_VALUE"""),197.0)</f>
        <v>197</v>
      </c>
      <c r="C5487" s="10">
        <f>IFERROR(__xludf.DUMMYFUNCTION("""COMPUTED_VALUE"""),2296.0)</f>
        <v>2296</v>
      </c>
      <c r="D5487" s="5">
        <f>IFERROR(__xludf.DUMMYFUNCTION("""COMPUTED_VALUE"""),0.3301572177227251)</f>
        <v>0.3301572177</v>
      </c>
      <c r="E5487" s="5">
        <f>IFERROR(__xludf.DUMMYFUNCTION("""COMPUTED_VALUE"""),0.10433539780848022)</f>
        <v>0.1043353978</v>
      </c>
      <c r="F5487" s="5">
        <f>IFERROR(__xludf.DUMMYFUNCTION("""COMPUTED_VALUE"""),0.20771796093377798)</f>
        <v>0.2077179609</v>
      </c>
      <c r="G5487" s="5">
        <f>IFERROR(__xludf.DUMMYFUNCTION("""COMPUTED_VALUE"""),0.18627918056217246)</f>
        <v>0.1862791806</v>
      </c>
      <c r="H5487" s="5">
        <f>IFERROR(__xludf.DUMMYFUNCTION("""COMPUTED_VALUE"""),0.6307339449541285)</f>
        <v>0.630733945</v>
      </c>
      <c r="I5487" s="11">
        <f>IFERROR(__xludf.DUMMYFUNCTION("""COMPUTED_VALUE"""),5758.715596330275)</f>
        <v>5758.715596</v>
      </c>
      <c r="J5487" s="10">
        <f>IFERROR(__xludf.DUMMYFUNCTION("""COMPUTED_VALUE"""),0.0)</f>
        <v>0</v>
      </c>
      <c r="K5487" s="5">
        <f>IFERROR(__xludf.DUMMYFUNCTION("""COMPUTED_VALUE"""),0.0)</f>
        <v>0</v>
      </c>
      <c r="L5487" s="10">
        <f>IFERROR(__xludf.DUMMYFUNCTION("""COMPUTED_VALUE"""),0.0)</f>
        <v>0</v>
      </c>
      <c r="M5487" s="5">
        <f>IFERROR(__xludf.DUMMYFUNCTION("""COMPUTED_VALUE"""),0.0)</f>
        <v>0</v>
      </c>
    </row>
    <row r="5488">
      <c r="A5488" s="10" t="str">
        <f>IFERROR(__xludf.DUMMYFUNCTION("""COMPUTED_VALUE"""),"修士3年")</f>
        <v>修士3年</v>
      </c>
      <c r="B5488" s="10">
        <f>IFERROR(__xludf.DUMMYFUNCTION("""COMPUTED_VALUE"""),449.0)</f>
        <v>449</v>
      </c>
      <c r="C5488" s="10">
        <f>IFERROR(__xludf.DUMMYFUNCTION("""COMPUTED_VALUE"""),5338.0)</f>
        <v>5338</v>
      </c>
      <c r="D5488" s="5">
        <f>IFERROR(__xludf.DUMMYFUNCTION("""COMPUTED_VALUE"""),0.26283493556964616)</f>
        <v>0.2628349356</v>
      </c>
      <c r="E5488" s="5">
        <f>IFERROR(__xludf.DUMMYFUNCTION("""COMPUTED_VALUE"""),0.10431581100429535)</f>
        <v>0.104315811</v>
      </c>
      <c r="F5488" s="5">
        <f>IFERROR(__xludf.DUMMYFUNCTION("""COMPUTED_VALUE"""),0.19901820413172427)</f>
        <v>0.1990182041</v>
      </c>
      <c r="G5488" s="5">
        <f>IFERROR(__xludf.DUMMYFUNCTION("""COMPUTED_VALUE"""),0.1699734096952342)</f>
        <v>0.1699734097</v>
      </c>
      <c r="H5488" s="5">
        <f>IFERROR(__xludf.DUMMYFUNCTION("""COMPUTED_VALUE"""),0.6022610483042138)</f>
        <v>0.6022610483</v>
      </c>
      <c r="I5488" s="11">
        <f>IFERROR(__xludf.DUMMYFUNCTION("""COMPUTED_VALUE"""),5773.072970195272)</f>
        <v>5773.07297</v>
      </c>
      <c r="J5488" s="10">
        <f>IFERROR(__xludf.DUMMYFUNCTION("""COMPUTED_VALUE"""),2.0)</f>
        <v>2</v>
      </c>
      <c r="K5488" s="5">
        <f>IFERROR(__xludf.DUMMYFUNCTION("""COMPUTED_VALUE"""),0.004454342984409799)</f>
        <v>0.004454342984</v>
      </c>
      <c r="L5488" s="10">
        <f>IFERROR(__xludf.DUMMYFUNCTION("""COMPUTED_VALUE"""),449.0)</f>
        <v>449</v>
      </c>
      <c r="M5488" s="5">
        <f>IFERROR(__xludf.DUMMYFUNCTION("""COMPUTED_VALUE"""),1.0)</f>
        <v>1</v>
      </c>
    </row>
    <row r="5489">
      <c r="A5489" s="10" t="str">
        <f>IFERROR(__xludf.DUMMYFUNCTION("""COMPUTED_VALUE"""),"六番目のシスカ")</f>
        <v>六番目のシスカ</v>
      </c>
      <c r="B5489" s="10">
        <f>IFERROR(__xludf.DUMMYFUNCTION("""COMPUTED_VALUE"""),318.0)</f>
        <v>318</v>
      </c>
      <c r="C5489" s="10">
        <f>IFERROR(__xludf.DUMMYFUNCTION("""COMPUTED_VALUE"""),3665.0)</f>
        <v>3665</v>
      </c>
      <c r="D5489" s="5">
        <f>IFERROR(__xludf.DUMMYFUNCTION("""COMPUTED_VALUE"""),0.3800418285031371)</f>
        <v>0.3800418285</v>
      </c>
      <c r="E5489" s="5">
        <f>IFERROR(__xludf.DUMMYFUNCTION("""COMPUTED_VALUE"""),0.1042724828204362)</f>
        <v>0.1042724828</v>
      </c>
      <c r="F5489" s="5">
        <f>IFERROR(__xludf.DUMMYFUNCTION("""COMPUTED_VALUE"""),0.19659396474454735)</f>
        <v>0.1965939647</v>
      </c>
      <c r="G5489" s="5">
        <f>IFERROR(__xludf.DUMMYFUNCTION("""COMPUTED_VALUE"""),0.15745443680908275)</f>
        <v>0.1574544368</v>
      </c>
      <c r="H5489" s="5">
        <f>IFERROR(__xludf.DUMMYFUNCTION("""COMPUTED_VALUE"""),0.6155015197568389)</f>
        <v>0.6155015198</v>
      </c>
      <c r="I5489" s="11">
        <f>IFERROR(__xludf.DUMMYFUNCTION("""COMPUTED_VALUE"""),5552.431610942249)</f>
        <v>5552.431611</v>
      </c>
      <c r="J5489" s="10">
        <f>IFERROR(__xludf.DUMMYFUNCTION("""COMPUTED_VALUE"""),0.0)</f>
        <v>0</v>
      </c>
      <c r="K5489" s="5">
        <f>IFERROR(__xludf.DUMMYFUNCTION("""COMPUTED_VALUE"""),0.0)</f>
        <v>0</v>
      </c>
      <c r="L5489" s="10">
        <f>IFERROR(__xludf.DUMMYFUNCTION("""COMPUTED_VALUE"""),318.0)</f>
        <v>318</v>
      </c>
      <c r="M5489" s="5">
        <f>IFERROR(__xludf.DUMMYFUNCTION("""COMPUTED_VALUE"""),1.0)</f>
        <v>1</v>
      </c>
    </row>
    <row r="5490">
      <c r="A5490" s="10" t="str">
        <f>IFERROR(__xludf.DUMMYFUNCTION("""COMPUTED_VALUE"""),"虹野ゆめ")</f>
        <v>虹野ゆめ</v>
      </c>
      <c r="B5490" s="10">
        <f>IFERROR(__xludf.DUMMYFUNCTION("""COMPUTED_VALUE"""),2877.0)</f>
        <v>2877</v>
      </c>
      <c r="C5490" s="10">
        <f>IFERROR(__xludf.DUMMYFUNCTION("""COMPUTED_VALUE"""),33756.0)</f>
        <v>33756</v>
      </c>
      <c r="D5490" s="5">
        <f>IFERROR(__xludf.DUMMYFUNCTION("""COMPUTED_VALUE"""),0.35846368081867935)</f>
        <v>0.3584636808</v>
      </c>
      <c r="E5490" s="5">
        <f>IFERROR(__xludf.DUMMYFUNCTION("""COMPUTED_VALUE"""),0.10421321934000453)</f>
        <v>0.1042132193</v>
      </c>
      <c r="F5490" s="5">
        <f>IFERROR(__xludf.DUMMYFUNCTION("""COMPUTED_VALUE"""),0.20518799183911396)</f>
        <v>0.2051879918</v>
      </c>
      <c r="G5490" s="5">
        <f>IFERROR(__xludf.DUMMYFUNCTION("""COMPUTED_VALUE"""),0.15126785193821043)</f>
        <v>0.1512678519</v>
      </c>
      <c r="H5490" s="5">
        <f>IFERROR(__xludf.DUMMYFUNCTION("""COMPUTED_VALUE"""),0.5912247474747475)</f>
        <v>0.5912247475</v>
      </c>
      <c r="I5490" s="11">
        <f>IFERROR(__xludf.DUMMYFUNCTION("""COMPUTED_VALUE"""),5465.688131313132)</f>
        <v>5465.688131</v>
      </c>
      <c r="J5490" s="10">
        <f>IFERROR(__xludf.DUMMYFUNCTION("""COMPUTED_VALUE"""),4.0)</f>
        <v>4</v>
      </c>
      <c r="K5490" s="5">
        <f>IFERROR(__xludf.DUMMYFUNCTION("""COMPUTED_VALUE"""),0.0013903371567605145)</f>
        <v>0.001390337157</v>
      </c>
      <c r="L5490" s="10">
        <f>IFERROR(__xludf.DUMMYFUNCTION("""COMPUTED_VALUE"""),0.0)</f>
        <v>0</v>
      </c>
      <c r="M5490" s="5">
        <f>IFERROR(__xludf.DUMMYFUNCTION("""COMPUTED_VALUE"""),0.0)</f>
        <v>0</v>
      </c>
    </row>
    <row r="5491">
      <c r="A5491" s="10" t="str">
        <f>IFERROR(__xludf.DUMMYFUNCTION("""COMPUTED_VALUE"""),"お善ティス")</f>
        <v>お善ティス</v>
      </c>
      <c r="B5491" s="10">
        <f>IFERROR(__xludf.DUMMYFUNCTION("""COMPUTED_VALUE"""),144.0)</f>
        <v>144</v>
      </c>
      <c r="C5491" s="10">
        <f>IFERROR(__xludf.DUMMYFUNCTION("""COMPUTED_VALUE"""),1737.0)</f>
        <v>1737</v>
      </c>
      <c r="D5491" s="5">
        <f>IFERROR(__xludf.DUMMYFUNCTION("""COMPUTED_VALUE"""),0.33584431889516636)</f>
        <v>0.3358443189</v>
      </c>
      <c r="E5491" s="5">
        <f>IFERROR(__xludf.DUMMYFUNCTION("""COMPUTED_VALUE"""),0.10420590081607031)</f>
        <v>0.1042059008</v>
      </c>
      <c r="F5491" s="5">
        <f>IFERROR(__xludf.DUMMYFUNCTION("""COMPUTED_VALUE"""),0.17639673571876963)</f>
        <v>0.1763967357</v>
      </c>
      <c r="G5491" s="5">
        <f>IFERROR(__xludf.DUMMYFUNCTION("""COMPUTED_VALUE"""),0.14375392341494037)</f>
        <v>0.1437539234</v>
      </c>
      <c r="H5491" s="5">
        <f>IFERROR(__xludf.DUMMYFUNCTION("""COMPUTED_VALUE"""),0.6227758007117438)</f>
        <v>0.6227758007</v>
      </c>
      <c r="I5491" s="11">
        <f>IFERROR(__xludf.DUMMYFUNCTION("""COMPUTED_VALUE"""),5327.758007117438)</f>
        <v>5327.758007</v>
      </c>
      <c r="J5491" s="10">
        <f>IFERROR(__xludf.DUMMYFUNCTION("""COMPUTED_VALUE"""),2.0)</f>
        <v>2</v>
      </c>
      <c r="K5491" s="5">
        <f>IFERROR(__xludf.DUMMYFUNCTION("""COMPUTED_VALUE"""),0.013888888888888888)</f>
        <v>0.01388888889</v>
      </c>
      <c r="L5491" s="10">
        <f>IFERROR(__xludf.DUMMYFUNCTION("""COMPUTED_VALUE"""),144.0)</f>
        <v>144</v>
      </c>
      <c r="M5491" s="5">
        <f>IFERROR(__xludf.DUMMYFUNCTION("""COMPUTED_VALUE"""),1.0)</f>
        <v>1</v>
      </c>
    </row>
    <row r="5492">
      <c r="A5492" s="10" t="str">
        <f>IFERROR(__xludf.DUMMYFUNCTION("""COMPUTED_VALUE"""),"どいかず")</f>
        <v>どいかず</v>
      </c>
      <c r="B5492" s="10">
        <f>IFERROR(__xludf.DUMMYFUNCTION("""COMPUTED_VALUE"""),181.0)</f>
        <v>181</v>
      </c>
      <c r="C5492" s="10">
        <f>IFERROR(__xludf.DUMMYFUNCTION("""COMPUTED_VALUE"""),2111.0)</f>
        <v>2111</v>
      </c>
      <c r="D5492" s="5">
        <f>IFERROR(__xludf.DUMMYFUNCTION("""COMPUTED_VALUE"""),0.24611398963730569)</f>
        <v>0.2461139896</v>
      </c>
      <c r="E5492" s="5">
        <f>IFERROR(__xludf.DUMMYFUNCTION("""COMPUTED_VALUE"""),0.10414507772020726)</f>
        <v>0.1041450777</v>
      </c>
      <c r="F5492" s="5">
        <f>IFERROR(__xludf.DUMMYFUNCTION("""COMPUTED_VALUE"""),0.1844559585492228)</f>
        <v>0.1844559585</v>
      </c>
      <c r="G5492" s="5">
        <f>IFERROR(__xludf.DUMMYFUNCTION("""COMPUTED_VALUE"""),0.18082901554404146)</f>
        <v>0.1808290155</v>
      </c>
      <c r="H5492" s="5">
        <f>IFERROR(__xludf.DUMMYFUNCTION("""COMPUTED_VALUE"""),0.5926966292134831)</f>
        <v>0.5926966292</v>
      </c>
      <c r="I5492" s="11">
        <f>IFERROR(__xludf.DUMMYFUNCTION("""COMPUTED_VALUE"""),5875.842696629214)</f>
        <v>5875.842697</v>
      </c>
      <c r="J5492" s="10">
        <f>IFERROR(__xludf.DUMMYFUNCTION("""COMPUTED_VALUE"""),0.0)</f>
        <v>0</v>
      </c>
      <c r="K5492" s="5">
        <f>IFERROR(__xludf.DUMMYFUNCTION("""COMPUTED_VALUE"""),0.0)</f>
        <v>0</v>
      </c>
      <c r="L5492" s="10">
        <f>IFERROR(__xludf.DUMMYFUNCTION("""COMPUTED_VALUE"""),181.0)</f>
        <v>181</v>
      </c>
      <c r="M5492" s="5">
        <f>IFERROR(__xludf.DUMMYFUNCTION("""COMPUTED_VALUE"""),1.0)</f>
        <v>1</v>
      </c>
    </row>
    <row r="5493">
      <c r="A5493" s="10" t="str">
        <f>IFERROR(__xludf.DUMMYFUNCTION("""COMPUTED_VALUE"""),"桜小桃")</f>
        <v>桜小桃</v>
      </c>
      <c r="B5493" s="10">
        <f>IFERROR(__xludf.DUMMYFUNCTION("""COMPUTED_VALUE"""),256.0)</f>
        <v>256</v>
      </c>
      <c r="C5493" s="10">
        <f>IFERROR(__xludf.DUMMYFUNCTION("""COMPUTED_VALUE"""),3079.0)</f>
        <v>3079</v>
      </c>
      <c r="D5493" s="5">
        <f>IFERROR(__xludf.DUMMYFUNCTION("""COMPUTED_VALUE"""),0.3145589798087141)</f>
        <v>0.3145589798</v>
      </c>
      <c r="E5493" s="5">
        <f>IFERROR(__xludf.DUMMYFUNCTION("""COMPUTED_VALUE"""),0.10414452709883103)</f>
        <v>0.1041445271</v>
      </c>
      <c r="F5493" s="5">
        <f>IFERROR(__xludf.DUMMYFUNCTION("""COMPUTED_VALUE"""),0.18809776833156217)</f>
        <v>0.1880977683</v>
      </c>
      <c r="G5493" s="5">
        <f>IFERROR(__xludf.DUMMYFUNCTION("""COMPUTED_VALUE"""),0.1569252568189869)</f>
        <v>0.1569252568</v>
      </c>
      <c r="H5493" s="5">
        <f>IFERROR(__xludf.DUMMYFUNCTION("""COMPUTED_VALUE"""),0.5725047080979284)</f>
        <v>0.5725047081</v>
      </c>
      <c r="I5493" s="11">
        <f>IFERROR(__xludf.DUMMYFUNCTION("""COMPUTED_VALUE"""),5534.839924670433)</f>
        <v>5534.839925</v>
      </c>
      <c r="J5493" s="10">
        <f>IFERROR(__xludf.DUMMYFUNCTION("""COMPUTED_VALUE"""),0.0)</f>
        <v>0</v>
      </c>
      <c r="K5493" s="5">
        <f>IFERROR(__xludf.DUMMYFUNCTION("""COMPUTED_VALUE"""),0.0)</f>
        <v>0</v>
      </c>
      <c r="L5493" s="10">
        <f>IFERROR(__xludf.DUMMYFUNCTION("""COMPUTED_VALUE"""),0.0)</f>
        <v>0</v>
      </c>
      <c r="M5493" s="5">
        <f>IFERROR(__xludf.DUMMYFUNCTION("""COMPUTED_VALUE"""),0.0)</f>
        <v>0</v>
      </c>
    </row>
    <row r="5494">
      <c r="A5494" s="10" t="str">
        <f>IFERROR(__xludf.DUMMYFUNCTION("""COMPUTED_VALUE"""),"-乱れ雪月花-")</f>
        <v>-乱れ雪月花-</v>
      </c>
      <c r="B5494" s="10">
        <f>IFERROR(__xludf.DUMMYFUNCTION("""COMPUTED_VALUE"""),444.0)</f>
        <v>444</v>
      </c>
      <c r="C5494" s="10">
        <f>IFERROR(__xludf.DUMMYFUNCTION("""COMPUTED_VALUE"""),5201.0)</f>
        <v>5201</v>
      </c>
      <c r="D5494" s="5">
        <f>IFERROR(__xludf.DUMMYFUNCTION("""COMPUTED_VALUE"""),0.2699180155560227)</f>
        <v>0.2699180156</v>
      </c>
      <c r="E5494" s="5">
        <f>IFERROR(__xludf.DUMMYFUNCTION("""COMPUTED_VALUE"""),0.10405717889426108)</f>
        <v>0.1040571789</v>
      </c>
      <c r="F5494" s="5">
        <f>IFERROR(__xludf.DUMMYFUNCTION("""COMPUTED_VALUE"""),0.20201807862097962)</f>
        <v>0.2020180786</v>
      </c>
      <c r="G5494" s="5">
        <f>IFERROR(__xludf.DUMMYFUNCTION("""COMPUTED_VALUE"""),0.16523018709270548)</f>
        <v>0.1652301871</v>
      </c>
      <c r="H5494" s="5">
        <f>IFERROR(__xludf.DUMMYFUNCTION("""COMPUTED_VALUE"""),0.5816857440166493)</f>
        <v>0.581685744</v>
      </c>
      <c r="I5494" s="11">
        <f>IFERROR(__xludf.DUMMYFUNCTION("""COMPUTED_VALUE"""),5853.381893860562)</f>
        <v>5853.381894</v>
      </c>
      <c r="J5494" s="10">
        <f>IFERROR(__xludf.DUMMYFUNCTION("""COMPUTED_VALUE"""),0.0)</f>
        <v>0</v>
      </c>
      <c r="K5494" s="5">
        <f>IFERROR(__xludf.DUMMYFUNCTION("""COMPUTED_VALUE"""),0.0)</f>
        <v>0</v>
      </c>
      <c r="L5494" s="10">
        <f>IFERROR(__xludf.DUMMYFUNCTION("""COMPUTED_VALUE"""),408.0)</f>
        <v>408</v>
      </c>
      <c r="M5494" s="5">
        <f>IFERROR(__xludf.DUMMYFUNCTION("""COMPUTED_VALUE"""),0.918918918918919)</f>
        <v>0.9189189189</v>
      </c>
    </row>
    <row r="5495">
      <c r="A5495" s="10" t="str">
        <f>IFERROR(__xludf.DUMMYFUNCTION("""COMPUTED_VALUE"""),"Nn134")</f>
        <v>Nn134</v>
      </c>
      <c r="B5495" s="10">
        <f>IFERROR(__xludf.DUMMYFUNCTION("""COMPUTED_VALUE"""),1308.0)</f>
        <v>1308</v>
      </c>
      <c r="C5495" s="10">
        <f>IFERROR(__xludf.DUMMYFUNCTION("""COMPUTED_VALUE"""),15513.0)</f>
        <v>15513</v>
      </c>
      <c r="D5495" s="5">
        <f>IFERROR(__xludf.DUMMYFUNCTION("""COMPUTED_VALUE"""),0.3673354452657515)</f>
        <v>0.3673354453</v>
      </c>
      <c r="E5495" s="5">
        <f>IFERROR(__xludf.DUMMYFUNCTION("""COMPUTED_VALUE"""),0.10404787046814502)</f>
        <v>0.1040478705</v>
      </c>
      <c r="F5495" s="5">
        <f>IFERROR(__xludf.DUMMYFUNCTION("""COMPUTED_VALUE"""),0.20415346708905316)</f>
        <v>0.2041534671</v>
      </c>
      <c r="G5495" s="5">
        <f>IFERROR(__xludf.DUMMYFUNCTION("""COMPUTED_VALUE"""),0.14994720168954592)</f>
        <v>0.1499472017</v>
      </c>
      <c r="H5495" s="5">
        <f>IFERROR(__xludf.DUMMYFUNCTION("""COMPUTED_VALUE"""),0.6072413793103448)</f>
        <v>0.6072413793</v>
      </c>
      <c r="I5495" s="11">
        <f>IFERROR(__xludf.DUMMYFUNCTION("""COMPUTED_VALUE"""),5521.482758620689)</f>
        <v>5521.482759</v>
      </c>
      <c r="J5495" s="10">
        <f>IFERROR(__xludf.DUMMYFUNCTION("""COMPUTED_VALUE"""),3.0)</f>
        <v>3</v>
      </c>
      <c r="K5495" s="5">
        <f>IFERROR(__xludf.DUMMYFUNCTION("""COMPUTED_VALUE"""),0.0022935779816513763)</f>
        <v>0.002293577982</v>
      </c>
      <c r="L5495" s="10">
        <f>IFERROR(__xludf.DUMMYFUNCTION("""COMPUTED_VALUE"""),1308.0)</f>
        <v>1308</v>
      </c>
      <c r="M5495" s="5">
        <f>IFERROR(__xludf.DUMMYFUNCTION("""COMPUTED_VALUE"""),1.0)</f>
        <v>1</v>
      </c>
    </row>
    <row r="5496">
      <c r="A5496" s="10" t="str">
        <f>IFERROR(__xludf.DUMMYFUNCTION("""COMPUTED_VALUE"""),"はがねのおの")</f>
        <v>はがねのおの</v>
      </c>
      <c r="B5496" s="10">
        <f>IFERROR(__xludf.DUMMYFUNCTION("""COMPUTED_VALUE"""),311.0)</f>
        <v>311</v>
      </c>
      <c r="C5496" s="10">
        <f>IFERROR(__xludf.DUMMYFUNCTION("""COMPUTED_VALUE"""),3725.0)</f>
        <v>3725</v>
      </c>
      <c r="D5496" s="5">
        <f>IFERROR(__xludf.DUMMYFUNCTION("""COMPUTED_VALUE"""),0.3989455184534271)</f>
        <v>0.3989455185</v>
      </c>
      <c r="E5496" s="5">
        <f>IFERROR(__xludf.DUMMYFUNCTION("""COMPUTED_VALUE"""),0.10398359695371998)</f>
        <v>0.103983597</v>
      </c>
      <c r="F5496" s="5">
        <f>IFERROR(__xludf.DUMMYFUNCTION("""COMPUTED_VALUE"""),0.22700644405389572)</f>
        <v>0.2270064441</v>
      </c>
      <c r="G5496" s="5">
        <f>IFERROR(__xludf.DUMMYFUNCTION("""COMPUTED_VALUE"""),0.1634446397188049)</f>
        <v>0.1634446397</v>
      </c>
      <c r="H5496" s="5">
        <f>IFERROR(__xludf.DUMMYFUNCTION("""COMPUTED_VALUE"""),0.5793548387096774)</f>
        <v>0.5793548387</v>
      </c>
      <c r="I5496" s="11">
        <f>IFERROR(__xludf.DUMMYFUNCTION("""COMPUTED_VALUE"""),5133.290322580645)</f>
        <v>5133.290323</v>
      </c>
      <c r="J5496" s="10">
        <f>IFERROR(__xludf.DUMMYFUNCTION("""COMPUTED_VALUE"""),0.0)</f>
        <v>0</v>
      </c>
      <c r="K5496" s="5">
        <f>IFERROR(__xludf.DUMMYFUNCTION("""COMPUTED_VALUE"""),0.0)</f>
        <v>0</v>
      </c>
      <c r="L5496" s="10">
        <f>IFERROR(__xludf.DUMMYFUNCTION("""COMPUTED_VALUE"""),5.0)</f>
        <v>5</v>
      </c>
      <c r="M5496" s="5">
        <f>IFERROR(__xludf.DUMMYFUNCTION("""COMPUTED_VALUE"""),0.01607717041800643)</f>
        <v>0.01607717042</v>
      </c>
    </row>
    <row r="5497">
      <c r="A5497" s="10" t="str">
        <f>IFERROR(__xludf.DUMMYFUNCTION("""COMPUTED_VALUE"""),"はいぜんべるく")</f>
        <v>はいぜんべるく</v>
      </c>
      <c r="B5497" s="10">
        <f>IFERROR(__xludf.DUMMYFUNCTION("""COMPUTED_VALUE"""),635.0)</f>
        <v>635</v>
      </c>
      <c r="C5497" s="10">
        <f>IFERROR(__xludf.DUMMYFUNCTION("""COMPUTED_VALUE"""),7488.0)</f>
        <v>7488</v>
      </c>
      <c r="D5497" s="5">
        <f>IFERROR(__xludf.DUMMYFUNCTION("""COMPUTED_VALUE"""),0.33620312271997665)</f>
        <v>0.3362031227</v>
      </c>
      <c r="E5497" s="5">
        <f>IFERROR(__xludf.DUMMYFUNCTION("""COMPUTED_VALUE"""),0.1038961038961039)</f>
        <v>0.1038961039</v>
      </c>
      <c r="F5497" s="5">
        <f>IFERROR(__xludf.DUMMYFUNCTION("""COMPUTED_VALUE"""),0.19713993871297242)</f>
        <v>0.1971399387</v>
      </c>
      <c r="G5497" s="5">
        <f>IFERROR(__xludf.DUMMYFUNCTION("""COMPUTED_VALUE"""),0.1484021596381147)</f>
        <v>0.1484021596</v>
      </c>
      <c r="H5497" s="5">
        <f>IFERROR(__xludf.DUMMYFUNCTION("""COMPUTED_VALUE"""),0.5958549222797928)</f>
        <v>0.5958549223</v>
      </c>
      <c r="I5497" s="11">
        <f>IFERROR(__xludf.DUMMYFUNCTION("""COMPUTED_VALUE"""),5458.253145817913)</f>
        <v>5458.253146</v>
      </c>
      <c r="J5497" s="10">
        <f>IFERROR(__xludf.DUMMYFUNCTION("""COMPUTED_VALUE"""),1.0)</f>
        <v>1</v>
      </c>
      <c r="K5497" s="5">
        <f>IFERROR(__xludf.DUMMYFUNCTION("""COMPUTED_VALUE"""),0.0015748031496062992)</f>
        <v>0.00157480315</v>
      </c>
      <c r="L5497" s="10">
        <f>IFERROR(__xludf.DUMMYFUNCTION("""COMPUTED_VALUE"""),635.0)</f>
        <v>635</v>
      </c>
      <c r="M5497" s="5">
        <f>IFERROR(__xludf.DUMMYFUNCTION("""COMPUTED_VALUE"""),1.0)</f>
        <v>1</v>
      </c>
    </row>
    <row r="5498">
      <c r="A5498" s="10" t="str">
        <f>IFERROR(__xludf.DUMMYFUNCTION("""COMPUTED_VALUE"""),"マウロ・シウバ")</f>
        <v>マウロ・シウバ</v>
      </c>
      <c r="B5498" s="10">
        <f>IFERROR(__xludf.DUMMYFUNCTION("""COMPUTED_VALUE"""),763.0)</f>
        <v>763</v>
      </c>
      <c r="C5498" s="10">
        <f>IFERROR(__xludf.DUMMYFUNCTION("""COMPUTED_VALUE"""),8965.0)</f>
        <v>8965</v>
      </c>
      <c r="D5498" s="5">
        <f>IFERROR(__xludf.DUMMYFUNCTION("""COMPUTED_VALUE"""),0.32418922214094126)</f>
        <v>0.3241892221</v>
      </c>
      <c r="E5498" s="5">
        <f>IFERROR(__xludf.DUMMYFUNCTION("""COMPUTED_VALUE"""),0.10387710314557425)</f>
        <v>0.1038771031</v>
      </c>
      <c r="F5498" s="5">
        <f>IFERROR(__xludf.DUMMYFUNCTION("""COMPUTED_VALUE"""),0.1930017069007559)</f>
        <v>0.1930017069</v>
      </c>
      <c r="G5498" s="5">
        <f>IFERROR(__xludf.DUMMYFUNCTION("""COMPUTED_VALUE"""),0.1424042916361863)</f>
        <v>0.1424042916</v>
      </c>
      <c r="H5498" s="5">
        <f>IFERROR(__xludf.DUMMYFUNCTION("""COMPUTED_VALUE"""),0.6083385975994946)</f>
        <v>0.6083385976</v>
      </c>
      <c r="I5498" s="11">
        <f>IFERROR(__xludf.DUMMYFUNCTION("""COMPUTED_VALUE"""),5545.293746051801)</f>
        <v>5545.293746</v>
      </c>
      <c r="J5498" s="10">
        <f>IFERROR(__xludf.DUMMYFUNCTION("""COMPUTED_VALUE"""),1.0)</f>
        <v>1</v>
      </c>
      <c r="K5498" s="5">
        <f>IFERROR(__xludf.DUMMYFUNCTION("""COMPUTED_VALUE"""),0.001310615989515072)</f>
        <v>0.00131061599</v>
      </c>
      <c r="L5498" s="10">
        <f>IFERROR(__xludf.DUMMYFUNCTION("""COMPUTED_VALUE"""),763.0)</f>
        <v>763</v>
      </c>
      <c r="M5498" s="5">
        <f>IFERROR(__xludf.DUMMYFUNCTION("""COMPUTED_VALUE"""),1.0)</f>
        <v>1</v>
      </c>
    </row>
    <row r="5499">
      <c r="A5499" s="10" t="str">
        <f>IFERROR(__xludf.DUMMYFUNCTION("""COMPUTED_VALUE"""),"CRAZYBEE")</f>
        <v>CRAZYBEE</v>
      </c>
      <c r="B5499" s="10">
        <f>IFERROR(__xludf.DUMMYFUNCTION("""COMPUTED_VALUE"""),6819.0)</f>
        <v>6819</v>
      </c>
      <c r="C5499" s="10">
        <f>IFERROR(__xludf.DUMMYFUNCTION("""COMPUTED_VALUE"""),80834.0)</f>
        <v>80834</v>
      </c>
      <c r="D5499" s="5">
        <f>IFERROR(__xludf.DUMMYFUNCTION("""COMPUTED_VALUE"""),0.3817199216375059)</f>
        <v>0.3817199216</v>
      </c>
      <c r="E5499" s="5">
        <f>IFERROR(__xludf.DUMMYFUNCTION("""COMPUTED_VALUE"""),0.10384381544281565)</f>
        <v>0.1038438154</v>
      </c>
      <c r="F5499" s="5">
        <f>IFERROR(__xludf.DUMMYFUNCTION("""COMPUTED_VALUE"""),0.2109572383976221)</f>
        <v>0.2109572384</v>
      </c>
      <c r="G5499" s="5">
        <f>IFERROR(__xludf.DUMMYFUNCTION("""COMPUTED_VALUE"""),0.13702627845706952)</f>
        <v>0.1370262785</v>
      </c>
      <c r="H5499" s="5">
        <f>IFERROR(__xludf.DUMMYFUNCTION("""COMPUTED_VALUE"""),0.599205840912002)</f>
        <v>0.5992058409</v>
      </c>
      <c r="I5499" s="11">
        <f>IFERROR(__xludf.DUMMYFUNCTION("""COMPUTED_VALUE"""),5303.394389650314)</f>
        <v>5303.39439</v>
      </c>
      <c r="J5499" s="10">
        <f>IFERROR(__xludf.DUMMYFUNCTION("""COMPUTED_VALUE"""),7.0)</f>
        <v>7</v>
      </c>
      <c r="K5499" s="5">
        <f>IFERROR(__xludf.DUMMYFUNCTION("""COMPUTED_VALUE"""),0.001026543481448893)</f>
        <v>0.001026543481</v>
      </c>
      <c r="L5499" s="10">
        <f>IFERROR(__xludf.DUMMYFUNCTION("""COMPUTED_VALUE"""),4203.0)</f>
        <v>4203</v>
      </c>
      <c r="M5499" s="5">
        <f>IFERROR(__xludf.DUMMYFUNCTION("""COMPUTED_VALUE"""),0.6163660360756709)</f>
        <v>0.6163660361</v>
      </c>
    </row>
    <row r="5500">
      <c r="A5500" s="10" t="str">
        <f>IFERROR(__xludf.DUMMYFUNCTION("""COMPUTED_VALUE"""),"好きです・・∥")</f>
        <v>好きです・・∥</v>
      </c>
      <c r="B5500" s="10">
        <f>IFERROR(__xludf.DUMMYFUNCTION("""COMPUTED_VALUE"""),895.0)</f>
        <v>895</v>
      </c>
      <c r="C5500" s="10">
        <f>IFERROR(__xludf.DUMMYFUNCTION("""COMPUTED_VALUE"""),10573.0)</f>
        <v>10573</v>
      </c>
      <c r="D5500" s="5">
        <f>IFERROR(__xludf.DUMMYFUNCTION("""COMPUTED_VALUE"""),0.3444926637735069)</f>
        <v>0.3444926638</v>
      </c>
      <c r="E5500" s="5">
        <f>IFERROR(__xludf.DUMMYFUNCTION("""COMPUTED_VALUE"""),0.10384376937383757)</f>
        <v>0.1038437694</v>
      </c>
      <c r="F5500" s="5">
        <f>IFERROR(__xludf.DUMMYFUNCTION("""COMPUTED_VALUE"""),0.20190121926017773)</f>
        <v>0.2019012193</v>
      </c>
      <c r="G5500" s="5">
        <f>IFERROR(__xludf.DUMMYFUNCTION("""COMPUTED_VALUE"""),0.15736722463318867)</f>
        <v>0.1573672246</v>
      </c>
      <c r="H5500" s="5">
        <f>IFERROR(__xludf.DUMMYFUNCTION("""COMPUTED_VALUE"""),0.5972364380757421)</f>
        <v>0.5972364381</v>
      </c>
      <c r="I5500" s="11">
        <f>IFERROR(__xludf.DUMMYFUNCTION("""COMPUTED_VALUE"""),5381.93449334698)</f>
        <v>5381.934493</v>
      </c>
      <c r="J5500" s="10">
        <f>IFERROR(__xludf.DUMMYFUNCTION("""COMPUTED_VALUE"""),1.0)</f>
        <v>1</v>
      </c>
      <c r="K5500" s="5">
        <f>IFERROR(__xludf.DUMMYFUNCTION("""COMPUTED_VALUE"""),0.0011173184357541898)</f>
        <v>0.001117318436</v>
      </c>
      <c r="L5500" s="10">
        <f>IFERROR(__xludf.DUMMYFUNCTION("""COMPUTED_VALUE"""),0.0)</f>
        <v>0</v>
      </c>
      <c r="M5500" s="5">
        <f>IFERROR(__xludf.DUMMYFUNCTION("""COMPUTED_VALUE"""),0.0)</f>
        <v>0</v>
      </c>
    </row>
    <row r="5501">
      <c r="A5501" s="10" t="str">
        <f>IFERROR(__xludf.DUMMYFUNCTION("""COMPUTED_VALUE"""),"ゆめしあ")</f>
        <v>ゆめしあ</v>
      </c>
      <c r="B5501" s="10">
        <f>IFERROR(__xludf.DUMMYFUNCTION("""COMPUTED_VALUE"""),100.0)</f>
        <v>100</v>
      </c>
      <c r="C5501" s="10">
        <f>IFERROR(__xludf.DUMMYFUNCTION("""COMPUTED_VALUE"""),1198.0)</f>
        <v>1198</v>
      </c>
      <c r="D5501" s="5">
        <f>IFERROR(__xludf.DUMMYFUNCTION("""COMPUTED_VALUE"""),0.35792349726775957)</f>
        <v>0.3579234973</v>
      </c>
      <c r="E5501" s="5">
        <f>IFERROR(__xludf.DUMMYFUNCTION("""COMPUTED_VALUE"""),0.10382513661202186)</f>
        <v>0.1038251366</v>
      </c>
      <c r="F5501" s="5">
        <f>IFERROR(__xludf.DUMMYFUNCTION("""COMPUTED_VALUE"""),0.23406193078324225)</f>
        <v>0.2340619308</v>
      </c>
      <c r="G5501" s="5">
        <f>IFERROR(__xludf.DUMMYFUNCTION("""COMPUTED_VALUE"""),0.16484517304189436)</f>
        <v>0.164845173</v>
      </c>
      <c r="H5501" s="5">
        <f>IFERROR(__xludf.DUMMYFUNCTION("""COMPUTED_VALUE"""),0.6264591439688716)</f>
        <v>0.626459144</v>
      </c>
      <c r="I5501" s="11">
        <f>IFERROR(__xludf.DUMMYFUNCTION("""COMPUTED_VALUE"""),5274.708171206225)</f>
        <v>5274.708171</v>
      </c>
      <c r="J5501" s="10">
        <f>IFERROR(__xludf.DUMMYFUNCTION("""COMPUTED_VALUE"""),0.0)</f>
        <v>0</v>
      </c>
      <c r="K5501" s="5">
        <f>IFERROR(__xludf.DUMMYFUNCTION("""COMPUTED_VALUE"""),0.0)</f>
        <v>0</v>
      </c>
      <c r="L5501" s="10">
        <f>IFERROR(__xludf.DUMMYFUNCTION("""COMPUTED_VALUE"""),100.0)</f>
        <v>100</v>
      </c>
      <c r="M5501" s="5">
        <f>IFERROR(__xludf.DUMMYFUNCTION("""COMPUTED_VALUE"""),1.0)</f>
        <v>1</v>
      </c>
    </row>
    <row r="5502">
      <c r="A5502" s="10" t="str">
        <f>IFERROR(__xludf.DUMMYFUNCTION("""COMPUTED_VALUE"""),"このきー")</f>
        <v>このきー</v>
      </c>
      <c r="B5502" s="10">
        <f>IFERROR(__xludf.DUMMYFUNCTION("""COMPUTED_VALUE"""),1005.0)</f>
        <v>1005</v>
      </c>
      <c r="C5502" s="10">
        <f>IFERROR(__xludf.DUMMYFUNCTION("""COMPUTED_VALUE"""),11996.0)</f>
        <v>11996</v>
      </c>
      <c r="D5502" s="5">
        <f>IFERROR(__xludf.DUMMYFUNCTION("""COMPUTED_VALUE"""),0.35883905013192613)</f>
        <v>0.3588390501</v>
      </c>
      <c r="E5502" s="5">
        <f>IFERROR(__xludf.DUMMYFUNCTION("""COMPUTED_VALUE"""),0.10381220998999181)</f>
        <v>0.10381221</v>
      </c>
      <c r="F5502" s="5">
        <f>IFERROR(__xludf.DUMMYFUNCTION("""COMPUTED_VALUE"""),0.2105358930033664)</f>
        <v>0.210535893</v>
      </c>
      <c r="G5502" s="5">
        <f>IFERROR(__xludf.DUMMYFUNCTION("""COMPUTED_VALUE"""),0.1449367664452734)</f>
        <v>0.1449367664</v>
      </c>
      <c r="H5502" s="5">
        <f>IFERROR(__xludf.DUMMYFUNCTION("""COMPUTED_VALUE"""),0.5786516853932584)</f>
        <v>0.5786516854</v>
      </c>
      <c r="I5502" s="11">
        <f>IFERROR(__xludf.DUMMYFUNCTION("""COMPUTED_VALUE"""),5206.828003457217)</f>
        <v>5206.828003</v>
      </c>
      <c r="J5502" s="10">
        <f>IFERROR(__xludf.DUMMYFUNCTION("""COMPUTED_VALUE"""),3.0)</f>
        <v>3</v>
      </c>
      <c r="K5502" s="5">
        <f>IFERROR(__xludf.DUMMYFUNCTION("""COMPUTED_VALUE"""),0.0029850746268656717)</f>
        <v>0.002985074627</v>
      </c>
      <c r="L5502" s="10">
        <f>IFERROR(__xludf.DUMMYFUNCTION("""COMPUTED_VALUE"""),1005.0)</f>
        <v>1005</v>
      </c>
      <c r="M5502" s="5">
        <f>IFERROR(__xludf.DUMMYFUNCTION("""COMPUTED_VALUE"""),1.0)</f>
        <v>1</v>
      </c>
    </row>
    <row r="5503">
      <c r="A5503" s="10" t="str">
        <f>IFERROR(__xludf.DUMMYFUNCTION("""COMPUTED_VALUE"""),"ダブリーハイテイ")</f>
        <v>ダブリーハイテイ</v>
      </c>
      <c r="B5503" s="10">
        <f>IFERROR(__xludf.DUMMYFUNCTION("""COMPUTED_VALUE"""),196.0)</f>
        <v>196</v>
      </c>
      <c r="C5503" s="10">
        <f>IFERROR(__xludf.DUMMYFUNCTION("""COMPUTED_VALUE"""),2335.0)</f>
        <v>2335</v>
      </c>
      <c r="D5503" s="5">
        <f>IFERROR(__xludf.DUMMYFUNCTION("""COMPUTED_VALUE"""),0.31603553062178585)</f>
        <v>0.3160355306</v>
      </c>
      <c r="E5503" s="5">
        <f>IFERROR(__xludf.DUMMYFUNCTION("""COMPUTED_VALUE"""),0.10378681626928471)</f>
        <v>0.1037868163</v>
      </c>
      <c r="F5503" s="5">
        <f>IFERROR(__xludf.DUMMYFUNCTION("""COMPUTED_VALUE"""),0.19635343618513323)</f>
        <v>0.1963534362</v>
      </c>
      <c r="G5503" s="5">
        <f>IFERROR(__xludf.DUMMYFUNCTION("""COMPUTED_VALUE"""),0.14258999532491817)</f>
        <v>0.1425899953</v>
      </c>
      <c r="H5503" s="5">
        <f>IFERROR(__xludf.DUMMYFUNCTION("""COMPUTED_VALUE"""),0.5857142857142857)</f>
        <v>0.5857142857</v>
      </c>
      <c r="I5503" s="11">
        <f>IFERROR(__xludf.DUMMYFUNCTION("""COMPUTED_VALUE"""),5748.333333333333)</f>
        <v>5748.333333</v>
      </c>
      <c r="J5503" s="10">
        <f>IFERROR(__xludf.DUMMYFUNCTION("""COMPUTED_VALUE"""),1.0)</f>
        <v>1</v>
      </c>
      <c r="K5503" s="5">
        <f>IFERROR(__xludf.DUMMYFUNCTION("""COMPUTED_VALUE"""),0.00510204081632653)</f>
        <v>0.005102040816</v>
      </c>
      <c r="L5503" s="10">
        <f>IFERROR(__xludf.DUMMYFUNCTION("""COMPUTED_VALUE"""),196.0)</f>
        <v>196</v>
      </c>
      <c r="M5503" s="5">
        <f>IFERROR(__xludf.DUMMYFUNCTION("""COMPUTED_VALUE"""),1.0)</f>
        <v>1</v>
      </c>
    </row>
    <row r="5504">
      <c r="A5504" s="10" t="str">
        <f>IFERROR(__xludf.DUMMYFUNCTION("""COMPUTED_VALUE"""),"萌黄えも")</f>
        <v>萌黄えも</v>
      </c>
      <c r="B5504" s="10">
        <f>IFERROR(__xludf.DUMMYFUNCTION("""COMPUTED_VALUE"""),505.0)</f>
        <v>505</v>
      </c>
      <c r="C5504" s="10">
        <f>IFERROR(__xludf.DUMMYFUNCTION("""COMPUTED_VALUE"""),5876.0)</f>
        <v>5876</v>
      </c>
      <c r="D5504" s="5">
        <f>IFERROR(__xludf.DUMMYFUNCTION("""COMPUTED_VALUE"""),0.3470489666728728)</f>
        <v>0.3470489667</v>
      </c>
      <c r="E5504" s="5">
        <f>IFERROR(__xludf.DUMMYFUNCTION("""COMPUTED_VALUE"""),0.10370508285235525)</f>
        <v>0.1037050829</v>
      </c>
      <c r="F5504" s="5">
        <f>IFERROR(__xludf.DUMMYFUNCTION("""COMPUTED_VALUE"""),0.20666542543288027)</f>
        <v>0.2066654254</v>
      </c>
      <c r="G5504" s="5">
        <f>IFERROR(__xludf.DUMMYFUNCTION("""COMPUTED_VALUE"""),0.17520014894805436)</f>
        <v>0.1752001489</v>
      </c>
      <c r="H5504" s="5">
        <f>IFERROR(__xludf.DUMMYFUNCTION("""COMPUTED_VALUE"""),0.5702702702702702)</f>
        <v>0.5702702703</v>
      </c>
      <c r="I5504" s="11">
        <f>IFERROR(__xludf.DUMMYFUNCTION("""COMPUTED_VALUE"""),5828.738738738739)</f>
        <v>5828.738739</v>
      </c>
      <c r="J5504" s="10">
        <f>IFERROR(__xludf.DUMMYFUNCTION("""COMPUTED_VALUE"""),2.0)</f>
        <v>2</v>
      </c>
      <c r="K5504" s="5">
        <f>IFERROR(__xludf.DUMMYFUNCTION("""COMPUTED_VALUE"""),0.0039603960396039604)</f>
        <v>0.00396039604</v>
      </c>
      <c r="L5504" s="10">
        <f>IFERROR(__xludf.DUMMYFUNCTION("""COMPUTED_VALUE"""),118.0)</f>
        <v>118</v>
      </c>
      <c r="M5504" s="5">
        <f>IFERROR(__xludf.DUMMYFUNCTION("""COMPUTED_VALUE"""),0.23366336633663368)</f>
        <v>0.2336633663</v>
      </c>
    </row>
    <row r="5505">
      <c r="A5505" s="10" t="str">
        <f>IFERROR(__xludf.DUMMYFUNCTION("""COMPUTED_VALUE"""),"璽由棋王")</f>
        <v>璽由棋王</v>
      </c>
      <c r="B5505" s="10">
        <f>IFERROR(__xludf.DUMMYFUNCTION("""COMPUTED_VALUE"""),302.0)</f>
        <v>302</v>
      </c>
      <c r="C5505" s="10">
        <f>IFERROR(__xludf.DUMMYFUNCTION("""COMPUTED_VALUE"""),3600.0)</f>
        <v>3600</v>
      </c>
      <c r="D5505" s="5">
        <f>IFERROR(__xludf.DUMMYFUNCTION("""COMPUTED_VALUE"""),0.3168587022437841)</f>
        <v>0.3168587022</v>
      </c>
      <c r="E5505" s="5">
        <f>IFERROR(__xludf.DUMMYFUNCTION("""COMPUTED_VALUE"""),0.10369921164342026)</f>
        <v>0.1036992116</v>
      </c>
      <c r="F5505" s="5">
        <f>IFERROR(__xludf.DUMMYFUNCTION("""COMPUTED_VALUE"""),0.20497271073377804)</f>
        <v>0.2049727107</v>
      </c>
      <c r="G5505" s="5">
        <f>IFERROR(__xludf.DUMMYFUNCTION("""COMPUTED_VALUE"""),0.15342631898120074)</f>
        <v>0.153426319</v>
      </c>
      <c r="H5505" s="5">
        <f>IFERROR(__xludf.DUMMYFUNCTION("""COMPUTED_VALUE"""),0.5769230769230769)</f>
        <v>0.5769230769</v>
      </c>
      <c r="I5505" s="11">
        <f>IFERROR(__xludf.DUMMYFUNCTION("""COMPUTED_VALUE"""),5827.218934911242)</f>
        <v>5827.218935</v>
      </c>
      <c r="J5505" s="10">
        <f>IFERROR(__xludf.DUMMYFUNCTION("""COMPUTED_VALUE"""),0.0)</f>
        <v>0</v>
      </c>
      <c r="K5505" s="5">
        <f>IFERROR(__xludf.DUMMYFUNCTION("""COMPUTED_VALUE"""),0.0)</f>
        <v>0</v>
      </c>
      <c r="L5505" s="10">
        <f>IFERROR(__xludf.DUMMYFUNCTION("""COMPUTED_VALUE"""),243.0)</f>
        <v>243</v>
      </c>
      <c r="M5505" s="5">
        <f>IFERROR(__xludf.DUMMYFUNCTION("""COMPUTED_VALUE"""),0.804635761589404)</f>
        <v>0.8046357616</v>
      </c>
    </row>
    <row r="5506">
      <c r="A5506" s="10" t="str">
        <f>IFERROR(__xludf.DUMMYFUNCTION("""COMPUTED_VALUE"""),"an_")</f>
        <v>an_</v>
      </c>
      <c r="B5506" s="10">
        <f>IFERROR(__xludf.DUMMYFUNCTION("""COMPUTED_VALUE"""),632.0)</f>
        <v>632</v>
      </c>
      <c r="C5506" s="10">
        <f>IFERROR(__xludf.DUMMYFUNCTION("""COMPUTED_VALUE"""),7404.0)</f>
        <v>7404</v>
      </c>
      <c r="D5506" s="5">
        <f>IFERROR(__xludf.DUMMYFUNCTION("""COMPUTED_VALUE"""),0.3837861783815712)</f>
        <v>0.3837861784</v>
      </c>
      <c r="E5506" s="5">
        <f>IFERROR(__xludf.DUMMYFUNCTION("""COMPUTED_VALUE"""),0.1036621382161843)</f>
        <v>0.1036621382</v>
      </c>
      <c r="F5506" s="5">
        <f>IFERROR(__xludf.DUMMYFUNCTION("""COMPUTED_VALUE"""),0.19063792085056114)</f>
        <v>0.1906379209</v>
      </c>
      <c r="G5506" s="5">
        <f>IFERROR(__xludf.DUMMYFUNCTION("""COMPUTED_VALUE"""),0.15165386887182516)</f>
        <v>0.1516538689</v>
      </c>
      <c r="H5506" s="5">
        <f>IFERROR(__xludf.DUMMYFUNCTION("""COMPUTED_VALUE"""),0.5670023237800155)</f>
        <v>0.5670023238</v>
      </c>
      <c r="I5506" s="11">
        <f>IFERROR(__xludf.DUMMYFUNCTION("""COMPUTED_VALUE"""),5811.46398140976)</f>
        <v>5811.463981</v>
      </c>
      <c r="J5506" s="10">
        <f>IFERROR(__xludf.DUMMYFUNCTION("""COMPUTED_VALUE"""),0.0)</f>
        <v>0</v>
      </c>
      <c r="K5506" s="5">
        <f>IFERROR(__xludf.DUMMYFUNCTION("""COMPUTED_VALUE"""),0.0)</f>
        <v>0</v>
      </c>
      <c r="L5506" s="10">
        <f>IFERROR(__xludf.DUMMYFUNCTION("""COMPUTED_VALUE"""),632.0)</f>
        <v>632</v>
      </c>
      <c r="M5506" s="5">
        <f>IFERROR(__xludf.DUMMYFUNCTION("""COMPUTED_VALUE"""),1.0)</f>
        <v>1</v>
      </c>
    </row>
    <row r="5507">
      <c r="A5507" s="10" t="str">
        <f>IFERROR(__xludf.DUMMYFUNCTION("""COMPUTED_VALUE"""),"琴吹ヒカリ")</f>
        <v>琴吹ヒカリ</v>
      </c>
      <c r="B5507" s="10">
        <f>IFERROR(__xludf.DUMMYFUNCTION("""COMPUTED_VALUE"""),343.0)</f>
        <v>343</v>
      </c>
      <c r="C5507" s="10">
        <f>IFERROR(__xludf.DUMMYFUNCTION("""COMPUTED_VALUE"""),4059.0)</f>
        <v>4059</v>
      </c>
      <c r="D5507" s="5">
        <f>IFERROR(__xludf.DUMMYFUNCTION("""COMPUTED_VALUE"""),0.3732508073196986)</f>
        <v>0.3732508073</v>
      </c>
      <c r="E5507" s="5">
        <f>IFERROR(__xludf.DUMMYFUNCTION("""COMPUTED_VALUE"""),0.10360602798708289)</f>
        <v>0.103606028</v>
      </c>
      <c r="F5507" s="5">
        <f>IFERROR(__xludf.DUMMYFUNCTION("""COMPUTED_VALUE"""),0.20855758880516684)</f>
        <v>0.2085575888</v>
      </c>
      <c r="G5507" s="5">
        <f>IFERROR(__xludf.DUMMYFUNCTION("""COMPUTED_VALUE"""),0.14908503767491926)</f>
        <v>0.1490850377</v>
      </c>
      <c r="H5507" s="5">
        <f>IFERROR(__xludf.DUMMYFUNCTION("""COMPUTED_VALUE"""),0.632258064516129)</f>
        <v>0.6322580645</v>
      </c>
      <c r="I5507" s="11">
        <f>IFERROR(__xludf.DUMMYFUNCTION("""COMPUTED_VALUE"""),5152.387096774193)</f>
        <v>5152.387097</v>
      </c>
      <c r="J5507" s="10">
        <f>IFERROR(__xludf.DUMMYFUNCTION("""COMPUTED_VALUE"""),0.0)</f>
        <v>0</v>
      </c>
      <c r="K5507" s="5">
        <f>IFERROR(__xludf.DUMMYFUNCTION("""COMPUTED_VALUE"""),0.0)</f>
        <v>0</v>
      </c>
      <c r="L5507" s="10">
        <f>IFERROR(__xludf.DUMMYFUNCTION("""COMPUTED_VALUE"""),132.0)</f>
        <v>132</v>
      </c>
      <c r="M5507" s="5">
        <f>IFERROR(__xludf.DUMMYFUNCTION("""COMPUTED_VALUE"""),0.3848396501457726)</f>
        <v>0.3848396501</v>
      </c>
    </row>
    <row r="5508">
      <c r="A5508" s="10" t="str">
        <f>IFERROR(__xludf.DUMMYFUNCTION("""COMPUTED_VALUE"""),"日本幼女党から")</f>
        <v>日本幼女党から</v>
      </c>
      <c r="B5508" s="10">
        <f>IFERROR(__xludf.DUMMYFUNCTION("""COMPUTED_VALUE"""),118.0)</f>
        <v>118</v>
      </c>
      <c r="C5508" s="10">
        <f>IFERROR(__xludf.DUMMYFUNCTION("""COMPUTED_VALUE"""),1479.0)</f>
        <v>1479</v>
      </c>
      <c r="D5508" s="5">
        <f>IFERROR(__xludf.DUMMYFUNCTION("""COMPUTED_VALUE"""),0.34019103600293904)</f>
        <v>0.340191036</v>
      </c>
      <c r="E5508" s="5">
        <f>IFERROR(__xludf.DUMMYFUNCTION("""COMPUTED_VALUE"""),0.10360029390154299)</f>
        <v>0.1036002939</v>
      </c>
      <c r="F5508" s="5">
        <f>IFERROR(__xludf.DUMMYFUNCTION("""COMPUTED_VALUE"""),0.1947097722263042)</f>
        <v>0.1947097722</v>
      </c>
      <c r="G5508" s="5">
        <f>IFERROR(__xludf.DUMMYFUNCTION("""COMPUTED_VALUE"""),0.15870683321087437)</f>
        <v>0.1587068332</v>
      </c>
      <c r="H5508" s="5">
        <f>IFERROR(__xludf.DUMMYFUNCTION("""COMPUTED_VALUE"""),0.6264150943396226)</f>
        <v>0.6264150943</v>
      </c>
      <c r="I5508" s="11">
        <f>IFERROR(__xludf.DUMMYFUNCTION("""COMPUTED_VALUE"""),5426.037735849057)</f>
        <v>5426.037736</v>
      </c>
      <c r="J5508" s="10">
        <f>IFERROR(__xludf.DUMMYFUNCTION("""COMPUTED_VALUE"""),0.0)</f>
        <v>0</v>
      </c>
      <c r="K5508" s="5">
        <f>IFERROR(__xludf.DUMMYFUNCTION("""COMPUTED_VALUE"""),0.0)</f>
        <v>0</v>
      </c>
      <c r="L5508" s="10">
        <f>IFERROR(__xludf.DUMMYFUNCTION("""COMPUTED_VALUE"""),118.0)</f>
        <v>118</v>
      </c>
      <c r="M5508" s="5">
        <f>IFERROR(__xludf.DUMMYFUNCTION("""COMPUTED_VALUE"""),1.0)</f>
        <v>1</v>
      </c>
    </row>
    <row r="5509">
      <c r="A5509" s="10" t="str">
        <f>IFERROR(__xludf.DUMMYFUNCTION("""COMPUTED_VALUE"""),"パラダイス・ガム")</f>
        <v>パラダイス・ガム</v>
      </c>
      <c r="B5509" s="10">
        <f>IFERROR(__xludf.DUMMYFUNCTION("""COMPUTED_VALUE"""),262.0)</f>
        <v>262</v>
      </c>
      <c r="C5509" s="10">
        <f>IFERROR(__xludf.DUMMYFUNCTION("""COMPUTED_VALUE"""),3169.0)</f>
        <v>3169</v>
      </c>
      <c r="D5509" s="5">
        <f>IFERROR(__xludf.DUMMYFUNCTION("""COMPUTED_VALUE"""),0.3711730306157551)</f>
        <v>0.3711730306</v>
      </c>
      <c r="E5509" s="5">
        <f>IFERROR(__xludf.DUMMYFUNCTION("""COMPUTED_VALUE"""),0.10354317165462676)</f>
        <v>0.1035431717</v>
      </c>
      <c r="F5509" s="5">
        <f>IFERROR(__xludf.DUMMYFUNCTION("""COMPUTED_VALUE"""),0.20330237358101136)</f>
        <v>0.2033023736</v>
      </c>
      <c r="G5509" s="5">
        <f>IFERROR(__xludf.DUMMYFUNCTION("""COMPUTED_VALUE"""),0.1651186790505676)</f>
        <v>0.1651186791</v>
      </c>
      <c r="H5509" s="5">
        <f>IFERROR(__xludf.DUMMYFUNCTION("""COMPUTED_VALUE"""),0.6345177664974619)</f>
        <v>0.6345177665</v>
      </c>
      <c r="I5509" s="11">
        <f>IFERROR(__xludf.DUMMYFUNCTION("""COMPUTED_VALUE"""),4865.989847715736)</f>
        <v>4865.989848</v>
      </c>
      <c r="J5509" s="10">
        <f>IFERROR(__xludf.DUMMYFUNCTION("""COMPUTED_VALUE"""),0.0)</f>
        <v>0</v>
      </c>
      <c r="K5509" s="5">
        <f>IFERROR(__xludf.DUMMYFUNCTION("""COMPUTED_VALUE"""),0.0)</f>
        <v>0</v>
      </c>
      <c r="L5509" s="10">
        <f>IFERROR(__xludf.DUMMYFUNCTION("""COMPUTED_VALUE"""),262.0)</f>
        <v>262</v>
      </c>
      <c r="M5509" s="5">
        <f>IFERROR(__xludf.DUMMYFUNCTION("""COMPUTED_VALUE"""),1.0)</f>
        <v>1</v>
      </c>
    </row>
    <row r="5510">
      <c r="A5510" s="10" t="str">
        <f>IFERROR(__xludf.DUMMYFUNCTION("""COMPUTED_VALUE"""),"LD")</f>
        <v>LD</v>
      </c>
      <c r="B5510" s="10">
        <f>IFERROR(__xludf.DUMMYFUNCTION("""COMPUTED_VALUE"""),497.0)</f>
        <v>497</v>
      </c>
      <c r="C5510" s="10">
        <f>IFERROR(__xludf.DUMMYFUNCTION("""COMPUTED_VALUE"""),5898.0)</f>
        <v>5898</v>
      </c>
      <c r="D5510" s="5">
        <f>IFERROR(__xludf.DUMMYFUNCTION("""COMPUTED_VALUE"""),0.28013330864654695)</f>
        <v>0.2801333086</v>
      </c>
      <c r="E5510" s="5">
        <f>IFERROR(__xludf.DUMMYFUNCTION("""COMPUTED_VALUE"""),0.10349935197185707)</f>
        <v>0.103499352</v>
      </c>
      <c r="F5510" s="5">
        <f>IFERROR(__xludf.DUMMYFUNCTION("""COMPUTED_VALUE"""),0.1988520644325125)</f>
        <v>0.1988520644</v>
      </c>
      <c r="G5510" s="5">
        <f>IFERROR(__xludf.DUMMYFUNCTION("""COMPUTED_VALUE"""),0.16219218663210516)</f>
        <v>0.1621921866</v>
      </c>
      <c r="H5510" s="5">
        <f>IFERROR(__xludf.DUMMYFUNCTION("""COMPUTED_VALUE"""),0.5642458100558659)</f>
        <v>0.5642458101</v>
      </c>
      <c r="I5510" s="11">
        <f>IFERROR(__xludf.DUMMYFUNCTION("""COMPUTED_VALUE"""),5971.880819366853)</f>
        <v>5971.880819</v>
      </c>
      <c r="J5510" s="10">
        <f>IFERROR(__xludf.DUMMYFUNCTION("""COMPUTED_VALUE"""),1.0)</f>
        <v>1</v>
      </c>
      <c r="K5510" s="5">
        <f>IFERROR(__xludf.DUMMYFUNCTION("""COMPUTED_VALUE"""),0.002012072434607646)</f>
        <v>0.002012072435</v>
      </c>
      <c r="L5510" s="10">
        <f>IFERROR(__xludf.DUMMYFUNCTION("""COMPUTED_VALUE"""),497.0)</f>
        <v>497</v>
      </c>
      <c r="M5510" s="5">
        <f>IFERROR(__xludf.DUMMYFUNCTION("""COMPUTED_VALUE"""),1.0)</f>
        <v>1</v>
      </c>
    </row>
    <row r="5511">
      <c r="A5511" s="10" t="str">
        <f>IFERROR(__xludf.DUMMYFUNCTION("""COMPUTED_VALUE"""),"Mauro")</f>
        <v>Mauro</v>
      </c>
      <c r="B5511" s="10">
        <f>IFERROR(__xludf.DUMMYFUNCTION("""COMPUTED_VALUE"""),450.0)</f>
        <v>450</v>
      </c>
      <c r="C5511" s="10">
        <f>IFERROR(__xludf.DUMMYFUNCTION("""COMPUTED_VALUE"""),5359.0)</f>
        <v>5359</v>
      </c>
      <c r="D5511" s="5">
        <f>IFERROR(__xludf.DUMMYFUNCTION("""COMPUTED_VALUE"""),0.3416174373599511)</f>
        <v>0.3416174374</v>
      </c>
      <c r="E5511" s="5">
        <f>IFERROR(__xludf.DUMMYFUNCTION("""COMPUTED_VALUE"""),0.10348339784070075)</f>
        <v>0.1034833978</v>
      </c>
      <c r="F5511" s="5">
        <f>IFERROR(__xludf.DUMMYFUNCTION("""COMPUTED_VALUE"""),0.18415155836219188)</f>
        <v>0.1841515584</v>
      </c>
      <c r="G5511" s="5">
        <f>IFERROR(__xludf.DUMMYFUNCTION("""COMPUTED_VALUE"""),0.11265023426359748)</f>
        <v>0.1126502343</v>
      </c>
      <c r="H5511" s="5">
        <f>IFERROR(__xludf.DUMMYFUNCTION("""COMPUTED_VALUE"""),0.5973451327433629)</f>
        <v>0.5973451327</v>
      </c>
      <c r="I5511" s="11">
        <f>IFERROR(__xludf.DUMMYFUNCTION("""COMPUTED_VALUE"""),4959.845132743363)</f>
        <v>4959.845133</v>
      </c>
      <c r="J5511" s="10">
        <f>IFERROR(__xludf.DUMMYFUNCTION("""COMPUTED_VALUE"""),0.0)</f>
        <v>0</v>
      </c>
      <c r="K5511" s="5">
        <f>IFERROR(__xludf.DUMMYFUNCTION("""COMPUTED_VALUE"""),0.0)</f>
        <v>0</v>
      </c>
      <c r="L5511" s="10">
        <f>IFERROR(__xludf.DUMMYFUNCTION("""COMPUTED_VALUE"""),450.0)</f>
        <v>450</v>
      </c>
      <c r="M5511" s="5">
        <f>IFERROR(__xludf.DUMMYFUNCTION("""COMPUTED_VALUE"""),1.0)</f>
        <v>1</v>
      </c>
    </row>
    <row r="5512">
      <c r="A5512" s="10" t="str">
        <f>IFERROR(__xludf.DUMMYFUNCTION("""COMPUTED_VALUE"""),"びおれーと")</f>
        <v>びおれーと</v>
      </c>
      <c r="B5512" s="10">
        <f>IFERROR(__xludf.DUMMYFUNCTION("""COMPUTED_VALUE"""),205.0)</f>
        <v>205</v>
      </c>
      <c r="C5512" s="10">
        <f>IFERROR(__xludf.DUMMYFUNCTION("""COMPUTED_VALUE"""),2360.0)</f>
        <v>2360</v>
      </c>
      <c r="D5512" s="5">
        <f>IFERROR(__xludf.DUMMYFUNCTION("""COMPUTED_VALUE"""),0.2835266821345708)</f>
        <v>0.2835266821</v>
      </c>
      <c r="E5512" s="5">
        <f>IFERROR(__xludf.DUMMYFUNCTION("""COMPUTED_VALUE"""),0.10348027842227378)</f>
        <v>0.1034802784</v>
      </c>
      <c r="F5512" s="5">
        <f>IFERROR(__xludf.DUMMYFUNCTION("""COMPUTED_VALUE"""),0.1962877030162413)</f>
        <v>0.196287703</v>
      </c>
      <c r="G5512" s="5">
        <f>IFERROR(__xludf.DUMMYFUNCTION("""COMPUTED_VALUE"""),0.16937354988399073)</f>
        <v>0.1693735499</v>
      </c>
      <c r="H5512" s="5">
        <f>IFERROR(__xludf.DUMMYFUNCTION("""COMPUTED_VALUE"""),0.5910165484633569)</f>
        <v>0.5910165485</v>
      </c>
      <c r="I5512" s="11">
        <f>IFERROR(__xludf.DUMMYFUNCTION("""COMPUTED_VALUE"""),5880.141843971631)</f>
        <v>5880.141844</v>
      </c>
      <c r="J5512" s="10">
        <f>IFERROR(__xludf.DUMMYFUNCTION("""COMPUTED_VALUE"""),0.0)</f>
        <v>0</v>
      </c>
      <c r="K5512" s="5">
        <f>IFERROR(__xludf.DUMMYFUNCTION("""COMPUTED_VALUE"""),0.0)</f>
        <v>0</v>
      </c>
      <c r="L5512" s="10">
        <f>IFERROR(__xludf.DUMMYFUNCTION("""COMPUTED_VALUE"""),205.0)</f>
        <v>205</v>
      </c>
      <c r="M5512" s="5">
        <f>IFERROR(__xludf.DUMMYFUNCTION("""COMPUTED_VALUE"""),1.0)</f>
        <v>1</v>
      </c>
    </row>
    <row r="5513">
      <c r="A5513" s="10" t="str">
        <f>IFERROR(__xludf.DUMMYFUNCTION("""COMPUTED_VALUE"""),"臼田スミレ")</f>
        <v>臼田スミレ</v>
      </c>
      <c r="B5513" s="10">
        <f>IFERROR(__xludf.DUMMYFUNCTION("""COMPUTED_VALUE"""),376.0)</f>
        <v>376</v>
      </c>
      <c r="C5513" s="10">
        <f>IFERROR(__xludf.DUMMYFUNCTION("""COMPUTED_VALUE"""),4368.0)</f>
        <v>4368</v>
      </c>
      <c r="D5513" s="5">
        <f>IFERROR(__xludf.DUMMYFUNCTION("""COMPUTED_VALUE"""),0.3314128256513026)</f>
        <v>0.3314128257</v>
      </c>
      <c r="E5513" s="5">
        <f>IFERROR(__xludf.DUMMYFUNCTION("""COMPUTED_VALUE"""),0.10345691382765532)</f>
        <v>0.1034569138</v>
      </c>
      <c r="F5513" s="5">
        <f>IFERROR(__xludf.DUMMYFUNCTION("""COMPUTED_VALUE"""),0.21743486973947895)</f>
        <v>0.2174348697</v>
      </c>
      <c r="G5513" s="5">
        <f>IFERROR(__xludf.DUMMYFUNCTION("""COMPUTED_VALUE"""),0.20716432865731463)</f>
        <v>0.2071643287</v>
      </c>
      <c r="H5513" s="5">
        <f>IFERROR(__xludf.DUMMYFUNCTION("""COMPUTED_VALUE"""),0.597926267281106)</f>
        <v>0.5979262673</v>
      </c>
      <c r="I5513" s="11">
        <f>IFERROR(__xludf.DUMMYFUNCTION("""COMPUTED_VALUE"""),5675.460829493088)</f>
        <v>5675.460829</v>
      </c>
      <c r="J5513" s="10">
        <f>IFERROR(__xludf.DUMMYFUNCTION("""COMPUTED_VALUE"""),1.0)</f>
        <v>1</v>
      </c>
      <c r="K5513" s="5">
        <f>IFERROR(__xludf.DUMMYFUNCTION("""COMPUTED_VALUE"""),0.0026595744680851063)</f>
        <v>0.002659574468</v>
      </c>
      <c r="L5513" s="10">
        <f>IFERROR(__xludf.DUMMYFUNCTION("""COMPUTED_VALUE"""),0.0)</f>
        <v>0</v>
      </c>
      <c r="M5513" s="5">
        <f>IFERROR(__xludf.DUMMYFUNCTION("""COMPUTED_VALUE"""),0.0)</f>
        <v>0</v>
      </c>
    </row>
    <row r="5514">
      <c r="A5514" s="10" t="str">
        <f>IFERROR(__xludf.DUMMYFUNCTION("""COMPUTED_VALUE"""),"ケンヤ★")</f>
        <v>ケンヤ★</v>
      </c>
      <c r="B5514" s="10">
        <f>IFERROR(__xludf.DUMMYFUNCTION("""COMPUTED_VALUE"""),897.0)</f>
        <v>897</v>
      </c>
      <c r="C5514" s="10">
        <f>IFERROR(__xludf.DUMMYFUNCTION("""COMPUTED_VALUE"""),10727.0)</f>
        <v>10727</v>
      </c>
      <c r="D5514" s="5">
        <f>IFERROR(__xludf.DUMMYFUNCTION("""COMPUTED_VALUE"""),0.33489318413021363)</f>
        <v>0.3348931841</v>
      </c>
      <c r="E5514" s="5">
        <f>IFERROR(__xludf.DUMMYFUNCTION("""COMPUTED_VALUE"""),0.10335707019328585)</f>
        <v>0.1033570702</v>
      </c>
      <c r="F5514" s="5">
        <f>IFERROR(__xludf.DUMMYFUNCTION("""COMPUTED_VALUE"""),0.19938962360122076)</f>
        <v>0.1993896236</v>
      </c>
      <c r="G5514" s="5">
        <f>IFERROR(__xludf.DUMMYFUNCTION("""COMPUTED_VALUE"""),0.14038657171922686)</f>
        <v>0.1403865717</v>
      </c>
      <c r="H5514" s="5">
        <f>IFERROR(__xludf.DUMMYFUNCTION("""COMPUTED_VALUE"""),0.5903061224489796)</f>
        <v>0.5903061224</v>
      </c>
      <c r="I5514" s="11">
        <f>IFERROR(__xludf.DUMMYFUNCTION("""COMPUTED_VALUE"""),5587.806122448979)</f>
        <v>5587.806122</v>
      </c>
      <c r="J5514" s="10">
        <f>IFERROR(__xludf.DUMMYFUNCTION("""COMPUTED_VALUE"""),1.0)</f>
        <v>1</v>
      </c>
      <c r="K5514" s="5">
        <f>IFERROR(__xludf.DUMMYFUNCTION("""COMPUTED_VALUE"""),0.0011148272017837235)</f>
        <v>0.001114827202</v>
      </c>
      <c r="L5514" s="10">
        <f>IFERROR(__xludf.DUMMYFUNCTION("""COMPUTED_VALUE"""),897.0)</f>
        <v>897</v>
      </c>
      <c r="M5514" s="5">
        <f>IFERROR(__xludf.DUMMYFUNCTION("""COMPUTED_VALUE"""),1.0)</f>
        <v>1</v>
      </c>
    </row>
    <row r="5515">
      <c r="A5515" s="10" t="str">
        <f>IFERROR(__xludf.DUMMYFUNCTION("""COMPUTED_VALUE"""),"3番DH井端")</f>
        <v>3番DH井端</v>
      </c>
      <c r="B5515" s="10">
        <f>IFERROR(__xludf.DUMMYFUNCTION("""COMPUTED_VALUE"""),710.0)</f>
        <v>710</v>
      </c>
      <c r="C5515" s="10">
        <f>IFERROR(__xludf.DUMMYFUNCTION("""COMPUTED_VALUE"""),8385.0)</f>
        <v>8385</v>
      </c>
      <c r="D5515" s="5">
        <f>IFERROR(__xludf.DUMMYFUNCTION("""COMPUTED_VALUE"""),0.33680781758957656)</f>
        <v>0.3368078176</v>
      </c>
      <c r="E5515" s="5">
        <f>IFERROR(__xludf.DUMMYFUNCTION("""COMPUTED_VALUE"""),0.10332247557003257)</f>
        <v>0.1033224756</v>
      </c>
      <c r="F5515" s="5">
        <f>IFERROR(__xludf.DUMMYFUNCTION("""COMPUTED_VALUE"""),0.20846905537459284)</f>
        <v>0.2084690554</v>
      </c>
      <c r="G5515" s="5">
        <f>IFERROR(__xludf.DUMMYFUNCTION("""COMPUTED_VALUE"""),0.15583061889250815)</f>
        <v>0.1558306189</v>
      </c>
      <c r="H5515" s="5">
        <f>IFERROR(__xludf.DUMMYFUNCTION("""COMPUTED_VALUE"""),0.59375)</f>
        <v>0.59375</v>
      </c>
      <c r="I5515" s="11">
        <f>IFERROR(__xludf.DUMMYFUNCTION("""COMPUTED_VALUE"""),5260.0625)</f>
        <v>5260.0625</v>
      </c>
      <c r="J5515" s="10">
        <f>IFERROR(__xludf.DUMMYFUNCTION("""COMPUTED_VALUE"""),1.0)</f>
        <v>1</v>
      </c>
      <c r="K5515" s="5">
        <f>IFERROR(__xludf.DUMMYFUNCTION("""COMPUTED_VALUE"""),0.0014084507042253522)</f>
        <v>0.001408450704</v>
      </c>
      <c r="L5515" s="10">
        <f>IFERROR(__xludf.DUMMYFUNCTION("""COMPUTED_VALUE"""),710.0)</f>
        <v>710</v>
      </c>
      <c r="M5515" s="5">
        <f>IFERROR(__xludf.DUMMYFUNCTION("""COMPUTED_VALUE"""),1.0)</f>
        <v>1</v>
      </c>
    </row>
    <row r="5516">
      <c r="A5516" s="10" t="str">
        <f>IFERROR(__xludf.DUMMYFUNCTION("""COMPUTED_VALUE"""),"HIGH＆廃")</f>
        <v>HIGH＆廃</v>
      </c>
      <c r="B5516" s="10">
        <f>IFERROR(__xludf.DUMMYFUNCTION("""COMPUTED_VALUE"""),252.0)</f>
        <v>252</v>
      </c>
      <c r="C5516" s="10">
        <f>IFERROR(__xludf.DUMMYFUNCTION("""COMPUTED_VALUE"""),3050.0)</f>
        <v>3050</v>
      </c>
      <c r="D5516" s="5">
        <f>IFERROR(__xludf.DUMMYFUNCTION("""COMPUTED_VALUE"""),0.19120800571837027)</f>
        <v>0.1912080057</v>
      </c>
      <c r="E5516" s="5">
        <f>IFERROR(__xludf.DUMMYFUNCTION("""COMPUTED_VALUE"""),0.1032880629020729)</f>
        <v>0.1032880629</v>
      </c>
      <c r="F5516" s="5">
        <f>IFERROR(__xludf.DUMMYFUNCTION("""COMPUTED_VALUE"""),0.1847748391708363)</f>
        <v>0.1847748392</v>
      </c>
      <c r="G5516" s="5">
        <f>IFERROR(__xludf.DUMMYFUNCTION("""COMPUTED_VALUE"""),0.18584703359542531)</f>
        <v>0.1858470336</v>
      </c>
      <c r="H5516" s="5">
        <f>IFERROR(__xludf.DUMMYFUNCTION("""COMPUTED_VALUE"""),0.5705996131528046)</f>
        <v>0.5705996132</v>
      </c>
      <c r="I5516" s="11">
        <f>IFERROR(__xludf.DUMMYFUNCTION("""COMPUTED_VALUE"""),6129.9806576402325)</f>
        <v>6129.980658</v>
      </c>
      <c r="J5516" s="10">
        <f>IFERROR(__xludf.DUMMYFUNCTION("""COMPUTED_VALUE"""),0.0)</f>
        <v>0</v>
      </c>
      <c r="K5516" s="5">
        <f>IFERROR(__xludf.DUMMYFUNCTION("""COMPUTED_VALUE"""),0.0)</f>
        <v>0</v>
      </c>
      <c r="L5516" s="10">
        <f>IFERROR(__xludf.DUMMYFUNCTION("""COMPUTED_VALUE"""),252.0)</f>
        <v>252</v>
      </c>
      <c r="M5516" s="5">
        <f>IFERROR(__xludf.DUMMYFUNCTION("""COMPUTED_VALUE"""),1.0)</f>
        <v>1</v>
      </c>
    </row>
    <row r="5517">
      <c r="A5517" s="10" t="str">
        <f>IFERROR(__xludf.DUMMYFUNCTION("""COMPUTED_VALUE"""),"ほしのみゆ")</f>
        <v>ほしのみゆ</v>
      </c>
      <c r="B5517" s="10">
        <f>IFERROR(__xludf.DUMMYFUNCTION("""COMPUTED_VALUE"""),458.0)</f>
        <v>458</v>
      </c>
      <c r="C5517" s="10">
        <f>IFERROR(__xludf.DUMMYFUNCTION("""COMPUTED_VALUE"""),5445.0)</f>
        <v>5445</v>
      </c>
      <c r="D5517" s="5">
        <f>IFERROR(__xludf.DUMMYFUNCTION("""COMPUTED_VALUE"""),0.36174052536595147)</f>
        <v>0.3617405254</v>
      </c>
      <c r="E5517" s="5">
        <f>IFERROR(__xludf.DUMMYFUNCTION("""COMPUTED_VALUE"""),0.10326849809504712)</f>
        <v>0.1032684981</v>
      </c>
      <c r="F5517" s="5">
        <f>IFERROR(__xludf.DUMMYFUNCTION("""COMPUTED_VALUE"""),0.21014638058953278)</f>
        <v>0.2101463806</v>
      </c>
      <c r="G5517" s="5">
        <f>IFERROR(__xludf.DUMMYFUNCTION("""COMPUTED_VALUE"""),0.1493884098656507)</f>
        <v>0.1493884099</v>
      </c>
      <c r="H5517" s="5">
        <f>IFERROR(__xludf.DUMMYFUNCTION("""COMPUTED_VALUE"""),0.6116412213740458)</f>
        <v>0.6116412214</v>
      </c>
      <c r="I5517" s="11">
        <f>IFERROR(__xludf.DUMMYFUNCTION("""COMPUTED_VALUE"""),5529.3893129770995)</f>
        <v>5529.389313</v>
      </c>
      <c r="J5517" s="10">
        <f>IFERROR(__xludf.DUMMYFUNCTION("""COMPUTED_VALUE"""),1.0)</f>
        <v>1</v>
      </c>
      <c r="K5517" s="5">
        <f>IFERROR(__xludf.DUMMYFUNCTION("""COMPUTED_VALUE"""),0.002183406113537118)</f>
        <v>0.002183406114</v>
      </c>
      <c r="L5517" s="10">
        <f>IFERROR(__xludf.DUMMYFUNCTION("""COMPUTED_VALUE"""),0.0)</f>
        <v>0</v>
      </c>
      <c r="M5517" s="5">
        <f>IFERROR(__xludf.DUMMYFUNCTION("""COMPUTED_VALUE"""),0.0)</f>
        <v>0</v>
      </c>
    </row>
    <row r="5518">
      <c r="A5518" s="10" t="str">
        <f>IFERROR(__xludf.DUMMYFUNCTION("""COMPUTED_VALUE"""),"副露型ゼンツ姫")</f>
        <v>副露型ゼンツ姫</v>
      </c>
      <c r="B5518" s="10">
        <f>IFERROR(__xludf.DUMMYFUNCTION("""COMPUTED_VALUE"""),121.0)</f>
        <v>121</v>
      </c>
      <c r="C5518" s="10">
        <f>IFERROR(__xludf.DUMMYFUNCTION("""COMPUTED_VALUE"""),1419.0)</f>
        <v>1419</v>
      </c>
      <c r="D5518" s="5">
        <f>IFERROR(__xludf.DUMMYFUNCTION("""COMPUTED_VALUE"""),0.38212634822804314)</f>
        <v>0.3821263482</v>
      </c>
      <c r="E5518" s="5">
        <f>IFERROR(__xludf.DUMMYFUNCTION("""COMPUTED_VALUE"""),0.10323574730354391)</f>
        <v>0.1032357473</v>
      </c>
      <c r="F5518" s="5">
        <f>IFERROR(__xludf.DUMMYFUNCTION("""COMPUTED_VALUE"""),0.20878274268104777)</f>
        <v>0.2087827427</v>
      </c>
      <c r="G5518" s="5">
        <f>IFERROR(__xludf.DUMMYFUNCTION("""COMPUTED_VALUE"""),0.14714946070878274)</f>
        <v>0.1471494607</v>
      </c>
      <c r="H5518" s="5">
        <f>IFERROR(__xludf.DUMMYFUNCTION("""COMPUTED_VALUE"""),0.5571955719557196)</f>
        <v>0.557195572</v>
      </c>
      <c r="I5518" s="11">
        <f>IFERROR(__xludf.DUMMYFUNCTION("""COMPUTED_VALUE"""),5298.523985239853)</f>
        <v>5298.523985</v>
      </c>
      <c r="J5518" s="10">
        <f>IFERROR(__xludf.DUMMYFUNCTION("""COMPUTED_VALUE"""),0.0)</f>
        <v>0</v>
      </c>
      <c r="K5518" s="5">
        <f>IFERROR(__xludf.DUMMYFUNCTION("""COMPUTED_VALUE"""),0.0)</f>
        <v>0</v>
      </c>
      <c r="L5518" s="10">
        <f>IFERROR(__xludf.DUMMYFUNCTION("""COMPUTED_VALUE"""),45.0)</f>
        <v>45</v>
      </c>
      <c r="M5518" s="5">
        <f>IFERROR(__xludf.DUMMYFUNCTION("""COMPUTED_VALUE"""),0.371900826446281)</f>
        <v>0.3719008264</v>
      </c>
    </row>
    <row r="5519">
      <c r="A5519" s="10" t="str">
        <f>IFERROR(__xludf.DUMMYFUNCTION("""COMPUTED_VALUE"""),"野菜じゃないよ")</f>
        <v>野菜じゃないよ</v>
      </c>
      <c r="B5519" s="10">
        <f>IFERROR(__xludf.DUMMYFUNCTION("""COMPUTED_VALUE"""),220.0)</f>
        <v>220</v>
      </c>
      <c r="C5519" s="10">
        <f>IFERROR(__xludf.DUMMYFUNCTION("""COMPUTED_VALUE"""),2584.0)</f>
        <v>2584</v>
      </c>
      <c r="D5519" s="5">
        <f>IFERROR(__xludf.DUMMYFUNCTION("""COMPUTED_VALUE"""),0.3570219966159052)</f>
        <v>0.3570219966</v>
      </c>
      <c r="E5519" s="5">
        <f>IFERROR(__xludf.DUMMYFUNCTION("""COMPUTED_VALUE"""),0.10321489001692047)</f>
        <v>0.10321489</v>
      </c>
      <c r="F5519" s="5">
        <f>IFERROR(__xludf.DUMMYFUNCTION("""COMPUTED_VALUE"""),0.20516074450084604)</f>
        <v>0.2051607445</v>
      </c>
      <c r="G5519" s="5">
        <f>IFERROR(__xludf.DUMMYFUNCTION("""COMPUTED_VALUE"""),0.15947546531302875)</f>
        <v>0.1594754653</v>
      </c>
      <c r="H5519" s="5">
        <f>IFERROR(__xludf.DUMMYFUNCTION("""COMPUTED_VALUE"""),0.6247422680412371)</f>
        <v>0.624742268</v>
      </c>
      <c r="I5519" s="11">
        <f>IFERROR(__xludf.DUMMYFUNCTION("""COMPUTED_VALUE"""),5108.041237113402)</f>
        <v>5108.041237</v>
      </c>
      <c r="J5519" s="10">
        <f>IFERROR(__xludf.DUMMYFUNCTION("""COMPUTED_VALUE"""),0.0)</f>
        <v>0</v>
      </c>
      <c r="K5519" s="5">
        <f>IFERROR(__xludf.DUMMYFUNCTION("""COMPUTED_VALUE"""),0.0)</f>
        <v>0</v>
      </c>
      <c r="L5519" s="10">
        <f>IFERROR(__xludf.DUMMYFUNCTION("""COMPUTED_VALUE"""),0.0)</f>
        <v>0</v>
      </c>
      <c r="M5519" s="5">
        <f>IFERROR(__xludf.DUMMYFUNCTION("""COMPUTED_VALUE"""),0.0)</f>
        <v>0</v>
      </c>
    </row>
    <row r="5520">
      <c r="A5520" s="10" t="str">
        <f>IFERROR(__xludf.DUMMYFUNCTION("""COMPUTED_VALUE"""),"Chuel")</f>
        <v>Chuel</v>
      </c>
      <c r="B5520" s="10">
        <f>IFERROR(__xludf.DUMMYFUNCTION("""COMPUTED_VALUE"""),1443.0)</f>
        <v>1443</v>
      </c>
      <c r="C5520" s="10">
        <f>IFERROR(__xludf.DUMMYFUNCTION("""COMPUTED_VALUE"""),17016.0)</f>
        <v>17016</v>
      </c>
      <c r="D5520" s="5">
        <f>IFERROR(__xludf.DUMMYFUNCTION("""COMPUTED_VALUE"""),0.32126115713093173)</f>
        <v>0.3212611571</v>
      </c>
      <c r="E5520" s="5">
        <f>IFERROR(__xludf.DUMMYFUNCTION("""COMPUTED_VALUE"""),0.10319142104925191)</f>
        <v>0.103191421</v>
      </c>
      <c r="F5520" s="5">
        <f>IFERROR(__xludf.DUMMYFUNCTION("""COMPUTED_VALUE"""),0.20830925319463173)</f>
        <v>0.2083092532</v>
      </c>
      <c r="G5520" s="5">
        <f>IFERROR(__xludf.DUMMYFUNCTION("""COMPUTED_VALUE"""),0.17138637385218006)</f>
        <v>0.1713863739</v>
      </c>
      <c r="H5520" s="5">
        <f>IFERROR(__xludf.DUMMYFUNCTION("""COMPUTED_VALUE"""),0.6011097410604193)</f>
        <v>0.6011097411</v>
      </c>
      <c r="I5520" s="11">
        <f>IFERROR(__xludf.DUMMYFUNCTION("""COMPUTED_VALUE"""),5729.654747225647)</f>
        <v>5729.654747</v>
      </c>
      <c r="J5520" s="10">
        <f>IFERROR(__xludf.DUMMYFUNCTION("""COMPUTED_VALUE"""),6.0)</f>
        <v>6</v>
      </c>
      <c r="K5520" s="5">
        <f>IFERROR(__xludf.DUMMYFUNCTION("""COMPUTED_VALUE"""),0.004158004158004158)</f>
        <v>0.004158004158</v>
      </c>
      <c r="L5520" s="10">
        <f>IFERROR(__xludf.DUMMYFUNCTION("""COMPUTED_VALUE"""),0.0)</f>
        <v>0</v>
      </c>
      <c r="M5520" s="5">
        <f>IFERROR(__xludf.DUMMYFUNCTION("""COMPUTED_VALUE"""),0.0)</f>
        <v>0</v>
      </c>
    </row>
    <row r="5521">
      <c r="A5521" s="10" t="str">
        <f>IFERROR(__xludf.DUMMYFUNCTION("""COMPUTED_VALUE"""),"わーみー")</f>
        <v>わーみー</v>
      </c>
      <c r="B5521" s="10">
        <f>IFERROR(__xludf.DUMMYFUNCTION("""COMPUTED_VALUE"""),179.0)</f>
        <v>179</v>
      </c>
      <c r="C5521" s="10">
        <f>IFERROR(__xludf.DUMMYFUNCTION("""COMPUTED_VALUE"""),2108.0)</f>
        <v>2108</v>
      </c>
      <c r="D5521" s="5">
        <f>IFERROR(__xludf.DUMMYFUNCTION("""COMPUTED_VALUE"""),0.31622602384655263)</f>
        <v>0.3162260238</v>
      </c>
      <c r="E5521" s="5">
        <f>IFERROR(__xludf.DUMMYFUNCTION("""COMPUTED_VALUE"""),0.10316226023846553)</f>
        <v>0.1031622602</v>
      </c>
      <c r="F5521" s="5">
        <f>IFERROR(__xludf.DUMMYFUNCTION("""COMPUTED_VALUE"""),0.18506998444790046)</f>
        <v>0.1850699844</v>
      </c>
      <c r="G5521" s="5">
        <f>IFERROR(__xludf.DUMMYFUNCTION("""COMPUTED_VALUE"""),0.13789528252980818)</f>
        <v>0.1378952825</v>
      </c>
      <c r="H5521" s="5">
        <f>IFERROR(__xludf.DUMMYFUNCTION("""COMPUTED_VALUE"""),0.5798319327731093)</f>
        <v>0.5798319328</v>
      </c>
      <c r="I5521" s="11">
        <f>IFERROR(__xludf.DUMMYFUNCTION("""COMPUTED_VALUE"""),5522.128851540616)</f>
        <v>5522.128852</v>
      </c>
      <c r="J5521" s="10">
        <f>IFERROR(__xludf.DUMMYFUNCTION("""COMPUTED_VALUE"""),0.0)</f>
        <v>0</v>
      </c>
      <c r="K5521" s="5">
        <f>IFERROR(__xludf.DUMMYFUNCTION("""COMPUTED_VALUE"""),0.0)</f>
        <v>0</v>
      </c>
      <c r="L5521" s="10">
        <f>IFERROR(__xludf.DUMMYFUNCTION("""COMPUTED_VALUE"""),179.0)</f>
        <v>179</v>
      </c>
      <c r="M5521" s="5">
        <f>IFERROR(__xludf.DUMMYFUNCTION("""COMPUTED_VALUE"""),1.0)</f>
        <v>1</v>
      </c>
    </row>
    <row r="5522">
      <c r="A5522" s="10" t="str">
        <f>IFERROR(__xludf.DUMMYFUNCTION("""COMPUTED_VALUE"""),"むっきー")</f>
        <v>むっきー</v>
      </c>
      <c r="B5522" s="10">
        <f>IFERROR(__xludf.DUMMYFUNCTION("""COMPUTED_VALUE"""),615.0)</f>
        <v>615</v>
      </c>
      <c r="C5522" s="10">
        <f>IFERROR(__xludf.DUMMYFUNCTION("""COMPUTED_VALUE"""),7207.0)</f>
        <v>7207</v>
      </c>
      <c r="D5522" s="5">
        <f>IFERROR(__xludf.DUMMYFUNCTION("""COMPUTED_VALUE"""),0.3442050970873786)</f>
        <v>0.3442050971</v>
      </c>
      <c r="E5522" s="5">
        <f>IFERROR(__xludf.DUMMYFUNCTION("""COMPUTED_VALUE"""),0.10315533980582524)</f>
        <v>0.1031553398</v>
      </c>
      <c r="F5522" s="5">
        <f>IFERROR(__xludf.DUMMYFUNCTION("""COMPUTED_VALUE"""),0.2175364077669903)</f>
        <v>0.2175364078</v>
      </c>
      <c r="G5522" s="5">
        <f>IFERROR(__xludf.DUMMYFUNCTION("""COMPUTED_VALUE"""),0.14684466019417475)</f>
        <v>0.1468446602</v>
      </c>
      <c r="H5522" s="5">
        <f>IFERROR(__xludf.DUMMYFUNCTION("""COMPUTED_VALUE"""),0.5885634588563459)</f>
        <v>0.5885634589</v>
      </c>
      <c r="I5522" s="11">
        <f>IFERROR(__xludf.DUMMYFUNCTION("""COMPUTED_VALUE"""),5503.417015341702)</f>
        <v>5503.417015</v>
      </c>
      <c r="J5522" s="10">
        <f>IFERROR(__xludf.DUMMYFUNCTION("""COMPUTED_VALUE"""),2.0)</f>
        <v>2</v>
      </c>
      <c r="K5522" s="5">
        <f>IFERROR(__xludf.DUMMYFUNCTION("""COMPUTED_VALUE"""),0.0032520325203252032)</f>
        <v>0.00325203252</v>
      </c>
      <c r="L5522" s="10">
        <f>IFERROR(__xludf.DUMMYFUNCTION("""COMPUTED_VALUE"""),0.0)</f>
        <v>0</v>
      </c>
      <c r="M5522" s="5">
        <f>IFERROR(__xludf.DUMMYFUNCTION("""COMPUTED_VALUE"""),0.0)</f>
        <v>0</v>
      </c>
    </row>
    <row r="5523">
      <c r="A5523" s="10" t="str">
        <f>IFERROR(__xludf.DUMMYFUNCTION("""COMPUTED_VALUE"""),"(ま´ω｀な)ミ")</f>
        <v>(ま´ω｀な)ミ</v>
      </c>
      <c r="B5523" s="10">
        <f>IFERROR(__xludf.DUMMYFUNCTION("""COMPUTED_VALUE"""),376.0)</f>
        <v>376</v>
      </c>
      <c r="C5523" s="10">
        <f>IFERROR(__xludf.DUMMYFUNCTION("""COMPUTED_VALUE"""),4401.0)</f>
        <v>4401</v>
      </c>
      <c r="D5523" s="5">
        <f>IFERROR(__xludf.DUMMYFUNCTION("""COMPUTED_VALUE"""),0.235527950310559)</f>
        <v>0.2355279503</v>
      </c>
      <c r="E5523" s="5">
        <f>IFERROR(__xludf.DUMMYFUNCTION("""COMPUTED_VALUE"""),0.1031055900621118)</f>
        <v>0.1031055901</v>
      </c>
      <c r="F5523" s="5">
        <f>IFERROR(__xludf.DUMMYFUNCTION("""COMPUTED_VALUE"""),0.1920496894409938)</f>
        <v>0.1920496894</v>
      </c>
      <c r="G5523" s="5">
        <f>IFERROR(__xludf.DUMMYFUNCTION("""COMPUTED_VALUE"""),0.18583850931677018)</f>
        <v>0.1858385093</v>
      </c>
      <c r="H5523" s="5">
        <f>IFERROR(__xludf.DUMMYFUNCTION("""COMPUTED_VALUE"""),0.5769728331177232)</f>
        <v>0.5769728331</v>
      </c>
      <c r="I5523" s="11">
        <f>IFERROR(__xludf.DUMMYFUNCTION("""COMPUTED_VALUE"""),6156.53298835705)</f>
        <v>6156.532988</v>
      </c>
      <c r="J5523" s="10">
        <f>IFERROR(__xludf.DUMMYFUNCTION("""COMPUTED_VALUE"""),0.0)</f>
        <v>0</v>
      </c>
      <c r="K5523" s="5">
        <f>IFERROR(__xludf.DUMMYFUNCTION("""COMPUTED_VALUE"""),0.0)</f>
        <v>0</v>
      </c>
      <c r="L5523" s="10">
        <f>IFERROR(__xludf.DUMMYFUNCTION("""COMPUTED_VALUE"""),0.0)</f>
        <v>0</v>
      </c>
      <c r="M5523" s="5">
        <f>IFERROR(__xludf.DUMMYFUNCTION("""COMPUTED_VALUE"""),0.0)</f>
        <v>0</v>
      </c>
    </row>
    <row r="5524">
      <c r="A5524" s="10" t="str">
        <f>IFERROR(__xludf.DUMMYFUNCTION("""COMPUTED_VALUE"""),"teclast")</f>
        <v>teclast</v>
      </c>
      <c r="B5524" s="10">
        <f>IFERROR(__xludf.DUMMYFUNCTION("""COMPUTED_VALUE"""),688.0)</f>
        <v>688</v>
      </c>
      <c r="C5524" s="10">
        <f>IFERROR(__xludf.DUMMYFUNCTION("""COMPUTED_VALUE"""),8279.0)</f>
        <v>8279</v>
      </c>
      <c r="D5524" s="5">
        <f>IFERROR(__xludf.DUMMYFUNCTION("""COMPUTED_VALUE"""),0.3209063364510605)</f>
        <v>0.3209063365</v>
      </c>
      <c r="E5524" s="5">
        <f>IFERROR(__xludf.DUMMYFUNCTION("""COMPUTED_VALUE"""),0.10301673033855882)</f>
        <v>0.1030167303</v>
      </c>
      <c r="F5524" s="5">
        <f>IFERROR(__xludf.DUMMYFUNCTION("""COMPUTED_VALUE"""),0.19338690554604138)</f>
        <v>0.1933869055</v>
      </c>
      <c r="G5524" s="5">
        <f>IFERROR(__xludf.DUMMYFUNCTION("""COMPUTED_VALUE"""),0.13489658806481358)</f>
        <v>0.1348965881</v>
      </c>
      <c r="H5524" s="5">
        <f>IFERROR(__xludf.DUMMYFUNCTION("""COMPUTED_VALUE"""),0.6178474114441417)</f>
        <v>0.6178474114</v>
      </c>
      <c r="I5524" s="11">
        <f>IFERROR(__xludf.DUMMYFUNCTION("""COMPUTED_VALUE"""),5229.904632152588)</f>
        <v>5229.904632</v>
      </c>
      <c r="J5524" s="10">
        <f>IFERROR(__xludf.DUMMYFUNCTION("""COMPUTED_VALUE"""),2.0)</f>
        <v>2</v>
      </c>
      <c r="K5524" s="5">
        <f>IFERROR(__xludf.DUMMYFUNCTION("""COMPUTED_VALUE"""),0.0029069767441860465)</f>
        <v>0.002906976744</v>
      </c>
      <c r="L5524" s="10">
        <f>IFERROR(__xludf.DUMMYFUNCTION("""COMPUTED_VALUE"""),688.0)</f>
        <v>688</v>
      </c>
      <c r="M5524" s="5">
        <f>IFERROR(__xludf.DUMMYFUNCTION("""COMPUTED_VALUE"""),1.0)</f>
        <v>1</v>
      </c>
    </row>
    <row r="5525">
      <c r="A5525" s="10" t="str">
        <f>IFERROR(__xludf.DUMMYFUNCTION("""COMPUTED_VALUE"""),"片岡篤史")</f>
        <v>片岡篤史</v>
      </c>
      <c r="B5525" s="10">
        <f>IFERROR(__xludf.DUMMYFUNCTION("""COMPUTED_VALUE"""),183.0)</f>
        <v>183</v>
      </c>
      <c r="C5525" s="10">
        <f>IFERROR(__xludf.DUMMYFUNCTION("""COMPUTED_VALUE"""),2173.0)</f>
        <v>2173</v>
      </c>
      <c r="D5525" s="5">
        <f>IFERROR(__xludf.DUMMYFUNCTION("""COMPUTED_VALUE"""),0.3964824120603015)</f>
        <v>0.3964824121</v>
      </c>
      <c r="E5525" s="5">
        <f>IFERROR(__xludf.DUMMYFUNCTION("""COMPUTED_VALUE"""),0.10301507537688442)</f>
        <v>0.1030150754</v>
      </c>
      <c r="F5525" s="5">
        <f>IFERROR(__xludf.DUMMYFUNCTION("""COMPUTED_VALUE"""),0.22462311557788944)</f>
        <v>0.2246231156</v>
      </c>
      <c r="G5525" s="5">
        <f>IFERROR(__xludf.DUMMYFUNCTION("""COMPUTED_VALUE"""),0.14974874371859295)</f>
        <v>0.1497487437</v>
      </c>
      <c r="H5525" s="5">
        <f>IFERROR(__xludf.DUMMYFUNCTION("""COMPUTED_VALUE"""),0.6241610738255033)</f>
        <v>0.6241610738</v>
      </c>
      <c r="I5525" s="11">
        <f>IFERROR(__xludf.DUMMYFUNCTION("""COMPUTED_VALUE"""),5839.373601789709)</f>
        <v>5839.373602</v>
      </c>
      <c r="J5525" s="10">
        <f>IFERROR(__xludf.DUMMYFUNCTION("""COMPUTED_VALUE"""),1.0)</f>
        <v>1</v>
      </c>
      <c r="K5525" s="5">
        <f>IFERROR(__xludf.DUMMYFUNCTION("""COMPUTED_VALUE"""),0.00546448087431694)</f>
        <v>0.005464480874</v>
      </c>
      <c r="L5525" s="10">
        <f>IFERROR(__xludf.DUMMYFUNCTION("""COMPUTED_VALUE"""),183.0)</f>
        <v>183</v>
      </c>
      <c r="M5525" s="5">
        <f>IFERROR(__xludf.DUMMYFUNCTION("""COMPUTED_VALUE"""),1.0)</f>
        <v>1</v>
      </c>
    </row>
    <row r="5526">
      <c r="A5526" s="10" t="str">
        <f>IFERROR(__xludf.DUMMYFUNCTION("""COMPUTED_VALUE"""),"不聴牌リーチ")</f>
        <v>不聴牌リーチ</v>
      </c>
      <c r="B5526" s="10">
        <f>IFERROR(__xludf.DUMMYFUNCTION("""COMPUTED_VALUE"""),2165.0)</f>
        <v>2165</v>
      </c>
      <c r="C5526" s="10">
        <f>IFERROR(__xludf.DUMMYFUNCTION("""COMPUTED_VALUE"""),25633.0)</f>
        <v>25633</v>
      </c>
      <c r="D5526" s="5">
        <f>IFERROR(__xludf.DUMMYFUNCTION("""COMPUTED_VALUE"""),0.2969575592295892)</f>
        <v>0.2969575592</v>
      </c>
      <c r="E5526" s="5">
        <f>IFERROR(__xludf.DUMMYFUNCTION("""COMPUTED_VALUE"""),0.10286347366626897)</f>
        <v>0.1028634737</v>
      </c>
      <c r="F5526" s="5">
        <f>IFERROR(__xludf.DUMMYFUNCTION("""COMPUTED_VALUE"""),0.18523095278677348)</f>
        <v>0.1852309528</v>
      </c>
      <c r="G5526" s="5">
        <f>IFERROR(__xludf.DUMMYFUNCTION("""COMPUTED_VALUE"""),0.13435316175217318)</f>
        <v>0.1343531618</v>
      </c>
      <c r="H5526" s="5">
        <f>IFERROR(__xludf.DUMMYFUNCTION("""COMPUTED_VALUE"""),0.5794801012192317)</f>
        <v>0.5794801012</v>
      </c>
      <c r="I5526" s="11">
        <f>IFERROR(__xludf.DUMMYFUNCTION("""COMPUTED_VALUE"""),5732.942259029215)</f>
        <v>5732.942259</v>
      </c>
      <c r="J5526" s="10">
        <f>IFERROR(__xludf.DUMMYFUNCTION("""COMPUTED_VALUE"""),3.0)</f>
        <v>3</v>
      </c>
      <c r="K5526" s="5">
        <f>IFERROR(__xludf.DUMMYFUNCTION("""COMPUTED_VALUE"""),0.0013856812933025404)</f>
        <v>0.001385681293</v>
      </c>
      <c r="L5526" s="10">
        <f>IFERROR(__xludf.DUMMYFUNCTION("""COMPUTED_VALUE"""),2165.0)</f>
        <v>2165</v>
      </c>
      <c r="M5526" s="5">
        <f>IFERROR(__xludf.DUMMYFUNCTION("""COMPUTED_VALUE"""),1.0)</f>
        <v>1</v>
      </c>
    </row>
    <row r="5527">
      <c r="A5527" s="10" t="str">
        <f>IFERROR(__xludf.DUMMYFUNCTION("""COMPUTED_VALUE"""),"奔放雀士")</f>
        <v>奔放雀士</v>
      </c>
      <c r="B5527" s="10">
        <f>IFERROR(__xludf.DUMMYFUNCTION("""COMPUTED_VALUE"""),270.0)</f>
        <v>270</v>
      </c>
      <c r="C5527" s="10">
        <f>IFERROR(__xludf.DUMMYFUNCTION("""COMPUTED_VALUE"""),3226.0)</f>
        <v>3226</v>
      </c>
      <c r="D5527" s="5">
        <f>IFERROR(__xludf.DUMMYFUNCTION("""COMPUTED_VALUE"""),0.30818673883626524)</f>
        <v>0.3081867388</v>
      </c>
      <c r="E5527" s="5">
        <f>IFERROR(__xludf.DUMMYFUNCTION("""COMPUTED_VALUE"""),0.10284167794316644)</f>
        <v>0.1028416779</v>
      </c>
      <c r="F5527" s="5">
        <f>IFERROR(__xludf.DUMMYFUNCTION("""COMPUTED_VALUE"""),0.2033152909336942)</f>
        <v>0.2033152909</v>
      </c>
      <c r="G5527" s="5">
        <f>IFERROR(__xludf.DUMMYFUNCTION("""COMPUTED_VALUE"""),0.17253044654939106)</f>
        <v>0.1725304465</v>
      </c>
      <c r="H5527" s="5">
        <f>IFERROR(__xludf.DUMMYFUNCTION("""COMPUTED_VALUE"""),0.6123128119800333)</f>
        <v>0.612312812</v>
      </c>
      <c r="I5527" s="11">
        <f>IFERROR(__xludf.DUMMYFUNCTION("""COMPUTED_VALUE"""),5365.391014975042)</f>
        <v>5365.391015</v>
      </c>
      <c r="J5527" s="10">
        <f>IFERROR(__xludf.DUMMYFUNCTION("""COMPUTED_VALUE"""),1.0)</f>
        <v>1</v>
      </c>
      <c r="K5527" s="5">
        <f>IFERROR(__xludf.DUMMYFUNCTION("""COMPUTED_VALUE"""),0.003703703703703704)</f>
        <v>0.003703703704</v>
      </c>
      <c r="L5527" s="10">
        <f>IFERROR(__xludf.DUMMYFUNCTION("""COMPUTED_VALUE"""),270.0)</f>
        <v>270</v>
      </c>
      <c r="M5527" s="5">
        <f>IFERROR(__xludf.DUMMYFUNCTION("""COMPUTED_VALUE"""),1.0)</f>
        <v>1</v>
      </c>
    </row>
    <row r="5528">
      <c r="A5528" s="10" t="str">
        <f>IFERROR(__xludf.DUMMYFUNCTION("""COMPUTED_VALUE"""),"フェミック.")</f>
        <v>フェミック.</v>
      </c>
      <c r="B5528" s="10">
        <f>IFERROR(__xludf.DUMMYFUNCTION("""COMPUTED_VALUE"""),166.0)</f>
        <v>166</v>
      </c>
      <c r="C5528" s="10">
        <f>IFERROR(__xludf.DUMMYFUNCTION("""COMPUTED_VALUE"""),1926.0)</f>
        <v>1926</v>
      </c>
      <c r="D5528" s="5">
        <f>IFERROR(__xludf.DUMMYFUNCTION("""COMPUTED_VALUE"""),0.3170454545454545)</f>
        <v>0.3170454545</v>
      </c>
      <c r="E5528" s="5">
        <f>IFERROR(__xludf.DUMMYFUNCTION("""COMPUTED_VALUE"""),0.1028409090909091)</f>
        <v>0.1028409091</v>
      </c>
      <c r="F5528" s="5">
        <f>IFERROR(__xludf.DUMMYFUNCTION("""COMPUTED_VALUE"""),0.20397727272727273)</f>
        <v>0.2039772727</v>
      </c>
      <c r="G5528" s="5">
        <f>IFERROR(__xludf.DUMMYFUNCTION("""COMPUTED_VALUE"""),0.17784090909090908)</f>
        <v>0.1778409091</v>
      </c>
      <c r="H5528" s="5">
        <f>IFERROR(__xludf.DUMMYFUNCTION("""COMPUTED_VALUE"""),0.5738161559888579)</f>
        <v>0.573816156</v>
      </c>
      <c r="I5528" s="11">
        <f>IFERROR(__xludf.DUMMYFUNCTION("""COMPUTED_VALUE"""),5188.857938718663)</f>
        <v>5188.857939</v>
      </c>
      <c r="J5528" s="10">
        <f>IFERROR(__xludf.DUMMYFUNCTION("""COMPUTED_VALUE"""),0.0)</f>
        <v>0</v>
      </c>
      <c r="K5528" s="5">
        <f>IFERROR(__xludf.DUMMYFUNCTION("""COMPUTED_VALUE"""),0.0)</f>
        <v>0</v>
      </c>
      <c r="L5528" s="10">
        <f>IFERROR(__xludf.DUMMYFUNCTION("""COMPUTED_VALUE"""),166.0)</f>
        <v>166</v>
      </c>
      <c r="M5528" s="5">
        <f>IFERROR(__xludf.DUMMYFUNCTION("""COMPUTED_VALUE"""),1.0)</f>
        <v>1</v>
      </c>
    </row>
    <row r="5529">
      <c r="A5529" s="10" t="str">
        <f>IFERROR(__xludf.DUMMYFUNCTION("""COMPUTED_VALUE"""),"愛内里菜")</f>
        <v>愛内里菜</v>
      </c>
      <c r="B5529" s="10">
        <f>IFERROR(__xludf.DUMMYFUNCTION("""COMPUTED_VALUE"""),6712.0)</f>
        <v>6712</v>
      </c>
      <c r="C5529" s="10">
        <f>IFERROR(__xludf.DUMMYFUNCTION("""COMPUTED_VALUE"""),79199.0)</f>
        <v>79199</v>
      </c>
      <c r="D5529" s="5">
        <f>IFERROR(__xludf.DUMMYFUNCTION("""COMPUTED_VALUE"""),0.3329424586477575)</f>
        <v>0.3329424586</v>
      </c>
      <c r="E5529" s="5">
        <f>IFERROR(__xludf.DUMMYFUNCTION("""COMPUTED_VALUE"""),0.10281843640928719)</f>
        <v>0.1028184364</v>
      </c>
      <c r="F5529" s="5">
        <f>IFERROR(__xludf.DUMMYFUNCTION("""COMPUTED_VALUE"""),0.20218797853408196)</f>
        <v>0.2021879785</v>
      </c>
      <c r="G5529" s="5">
        <f>IFERROR(__xludf.DUMMYFUNCTION("""COMPUTED_VALUE"""),0.14926814463283072)</f>
        <v>0.1492681446</v>
      </c>
      <c r="H5529" s="5">
        <f>IFERROR(__xludf.DUMMYFUNCTION("""COMPUTED_VALUE"""),0.6010507641921398)</f>
        <v>0.6010507642</v>
      </c>
      <c r="I5529" s="11">
        <f>IFERROR(__xludf.DUMMYFUNCTION("""COMPUTED_VALUE"""),5632.8534388646285)</f>
        <v>5632.853439</v>
      </c>
      <c r="J5529" s="10">
        <f>IFERROR(__xludf.DUMMYFUNCTION("""COMPUTED_VALUE"""),10.0)</f>
        <v>10</v>
      </c>
      <c r="K5529" s="5">
        <f>IFERROR(__xludf.DUMMYFUNCTION("""COMPUTED_VALUE"""),0.0014898688915375446)</f>
        <v>0.001489868892</v>
      </c>
      <c r="L5529" s="10">
        <f>IFERROR(__xludf.DUMMYFUNCTION("""COMPUTED_VALUE"""),246.0)</f>
        <v>246</v>
      </c>
      <c r="M5529" s="5">
        <f>IFERROR(__xludf.DUMMYFUNCTION("""COMPUTED_VALUE"""),0.0366507747318236)</f>
        <v>0.03665077473</v>
      </c>
    </row>
    <row r="5530">
      <c r="A5530" s="10" t="str">
        <f>IFERROR(__xludf.DUMMYFUNCTION("""COMPUTED_VALUE"""),"はみもん")</f>
        <v>はみもん</v>
      </c>
      <c r="B5530" s="10">
        <f>IFERROR(__xludf.DUMMYFUNCTION("""COMPUTED_VALUE"""),3392.0)</f>
        <v>3392</v>
      </c>
      <c r="C5530" s="10">
        <f>IFERROR(__xludf.DUMMYFUNCTION("""COMPUTED_VALUE"""),40315.0)</f>
        <v>40315</v>
      </c>
      <c r="D5530" s="5">
        <f>IFERROR(__xludf.DUMMYFUNCTION("""COMPUTED_VALUE"""),0.32619234623405463)</f>
        <v>0.3261923462</v>
      </c>
      <c r="E5530" s="5">
        <f>IFERROR(__xludf.DUMMYFUNCTION("""COMPUTED_VALUE"""),0.10270021395877908)</f>
        <v>0.102700214</v>
      </c>
      <c r="F5530" s="5">
        <f>IFERROR(__xludf.DUMMYFUNCTION("""COMPUTED_VALUE"""),0.20028166725347343)</f>
        <v>0.2002816673</v>
      </c>
      <c r="G5530" s="5">
        <f>IFERROR(__xludf.DUMMYFUNCTION("""COMPUTED_VALUE"""),0.14638572163692007)</f>
        <v>0.1463857216</v>
      </c>
      <c r="H5530" s="5">
        <f>IFERROR(__xludf.DUMMYFUNCTION("""COMPUTED_VALUE"""),0.5932386747802569)</f>
        <v>0.5932386748</v>
      </c>
      <c r="I5530" s="11">
        <f>IFERROR(__xludf.DUMMYFUNCTION("""COMPUTED_VALUE"""),5553.319810682894)</f>
        <v>5553.319811</v>
      </c>
      <c r="J5530" s="10">
        <f>IFERROR(__xludf.DUMMYFUNCTION("""COMPUTED_VALUE"""),3.0)</f>
        <v>3</v>
      </c>
      <c r="K5530" s="5">
        <f>IFERROR(__xludf.DUMMYFUNCTION("""COMPUTED_VALUE"""),8.84433962264151E-4)</f>
        <v>0.0008844339623</v>
      </c>
      <c r="L5530" s="10">
        <f>IFERROR(__xludf.DUMMYFUNCTION("""COMPUTED_VALUE"""),3392.0)</f>
        <v>3392</v>
      </c>
      <c r="M5530" s="5">
        <f>IFERROR(__xludf.DUMMYFUNCTION("""COMPUTED_VALUE"""),1.0)</f>
        <v>1</v>
      </c>
    </row>
    <row r="5531">
      <c r="A5531" s="10" t="str">
        <f>IFERROR(__xludf.DUMMYFUNCTION("""COMPUTED_VALUE"""),"名前未定")</f>
        <v>名前未定</v>
      </c>
      <c r="B5531" s="10">
        <f>IFERROR(__xludf.DUMMYFUNCTION("""COMPUTED_VALUE"""),898.0)</f>
        <v>898</v>
      </c>
      <c r="C5531" s="10">
        <f>IFERROR(__xludf.DUMMYFUNCTION("""COMPUTED_VALUE"""),10657.0)</f>
        <v>10657</v>
      </c>
      <c r="D5531" s="5">
        <f>IFERROR(__xludf.DUMMYFUNCTION("""COMPUTED_VALUE"""),0.3204221744031151)</f>
        <v>0.3204221744</v>
      </c>
      <c r="E5531" s="5">
        <f>IFERROR(__xludf.DUMMYFUNCTION("""COMPUTED_VALUE"""),0.10267445434983093)</f>
        <v>0.1026744543</v>
      </c>
      <c r="F5531" s="5">
        <f>IFERROR(__xludf.DUMMYFUNCTION("""COMPUTED_VALUE"""),0.2019674146941285)</f>
        <v>0.2019674147</v>
      </c>
      <c r="G5531" s="5">
        <f>IFERROR(__xludf.DUMMYFUNCTION("""COMPUTED_VALUE"""),0.15708576698432217)</f>
        <v>0.157085767</v>
      </c>
      <c r="H5531" s="5">
        <f>IFERROR(__xludf.DUMMYFUNCTION("""COMPUTED_VALUE"""),0.5915778792491121)</f>
        <v>0.5915778792</v>
      </c>
      <c r="I5531" s="11">
        <f>IFERROR(__xludf.DUMMYFUNCTION("""COMPUTED_VALUE"""),5731.861998985287)</f>
        <v>5731.861999</v>
      </c>
      <c r="J5531" s="10">
        <f>IFERROR(__xludf.DUMMYFUNCTION("""COMPUTED_VALUE"""),4.0)</f>
        <v>4</v>
      </c>
      <c r="K5531" s="5">
        <f>IFERROR(__xludf.DUMMYFUNCTION("""COMPUTED_VALUE"""),0.004454342984409799)</f>
        <v>0.004454342984</v>
      </c>
      <c r="L5531" s="10">
        <f>IFERROR(__xludf.DUMMYFUNCTION("""COMPUTED_VALUE"""),898.0)</f>
        <v>898</v>
      </c>
      <c r="M5531" s="5">
        <f>IFERROR(__xludf.DUMMYFUNCTION("""COMPUTED_VALUE"""),1.0)</f>
        <v>1</v>
      </c>
    </row>
    <row r="5532">
      <c r="A5532" s="10" t="str">
        <f>IFERROR(__xludf.DUMMYFUNCTION("""COMPUTED_VALUE"""),"ぐみゃす")</f>
        <v>ぐみゃす</v>
      </c>
      <c r="B5532" s="10">
        <f>IFERROR(__xludf.DUMMYFUNCTION("""COMPUTED_VALUE"""),2107.0)</f>
        <v>2107</v>
      </c>
      <c r="C5532" s="10">
        <f>IFERROR(__xludf.DUMMYFUNCTION("""COMPUTED_VALUE"""),24872.0)</f>
        <v>24872</v>
      </c>
      <c r="D5532" s="5">
        <f>IFERROR(__xludf.DUMMYFUNCTION("""COMPUTED_VALUE"""),0.3165385460136174)</f>
        <v>0.316538546</v>
      </c>
      <c r="E5532" s="5">
        <f>IFERROR(__xludf.DUMMYFUNCTION("""COMPUTED_VALUE"""),0.10252580716011421)</f>
        <v>0.1025258072</v>
      </c>
      <c r="F5532" s="5">
        <f>IFERROR(__xludf.DUMMYFUNCTION("""COMPUTED_VALUE"""),0.2010981770261366)</f>
        <v>0.201098177</v>
      </c>
      <c r="G5532" s="5">
        <f>IFERROR(__xludf.DUMMYFUNCTION("""COMPUTED_VALUE"""),0.15747858554799032)</f>
        <v>0.1574785855</v>
      </c>
      <c r="H5532" s="5">
        <f>IFERROR(__xludf.DUMMYFUNCTION("""COMPUTED_VALUE"""),0.6004805591961555)</f>
        <v>0.6004805592</v>
      </c>
      <c r="I5532" s="11">
        <f>IFERROR(__xludf.DUMMYFUNCTION("""COMPUTED_VALUE"""),5635.910878112713)</f>
        <v>5635.910878</v>
      </c>
      <c r="J5532" s="10">
        <f>IFERROR(__xludf.DUMMYFUNCTION("""COMPUTED_VALUE"""),4.0)</f>
        <v>4</v>
      </c>
      <c r="K5532" s="5">
        <f>IFERROR(__xludf.DUMMYFUNCTION("""COMPUTED_VALUE"""),0.0018984337921214998)</f>
        <v>0.001898433792</v>
      </c>
      <c r="L5532" s="10">
        <f>IFERROR(__xludf.DUMMYFUNCTION("""COMPUTED_VALUE"""),2107.0)</f>
        <v>2107</v>
      </c>
      <c r="M5532" s="5">
        <f>IFERROR(__xludf.DUMMYFUNCTION("""COMPUTED_VALUE"""),1.0)</f>
        <v>1</v>
      </c>
    </row>
    <row r="5533">
      <c r="A5533" s="10" t="str">
        <f>IFERROR(__xludf.DUMMYFUNCTION("""COMPUTED_VALUE"""),"こばっちぃ")</f>
        <v>こばっちぃ</v>
      </c>
      <c r="B5533" s="10">
        <f>IFERROR(__xludf.DUMMYFUNCTION("""COMPUTED_VALUE"""),712.0)</f>
        <v>712</v>
      </c>
      <c r="C5533" s="10">
        <f>IFERROR(__xludf.DUMMYFUNCTION("""COMPUTED_VALUE"""),8436.0)</f>
        <v>8436</v>
      </c>
      <c r="D5533" s="5">
        <f>IFERROR(__xludf.DUMMYFUNCTION("""COMPUTED_VALUE"""),0.36328327291558776)</f>
        <v>0.3632832729</v>
      </c>
      <c r="E5533" s="5">
        <f>IFERROR(__xludf.DUMMYFUNCTION("""COMPUTED_VALUE"""),0.10240807871569135)</f>
        <v>0.1024080787</v>
      </c>
      <c r="F5533" s="5">
        <f>IFERROR(__xludf.DUMMYFUNCTION("""COMPUTED_VALUE"""),0.2171154842050751)</f>
        <v>0.2171154842</v>
      </c>
      <c r="G5533" s="5">
        <f>IFERROR(__xludf.DUMMYFUNCTION("""COMPUTED_VALUE"""),0.15820818228896943)</f>
        <v>0.1582081823</v>
      </c>
      <c r="H5533" s="5">
        <f>IFERROR(__xludf.DUMMYFUNCTION("""COMPUTED_VALUE"""),0.5974955277280859)</f>
        <v>0.5974955277</v>
      </c>
      <c r="I5533" s="11">
        <f>IFERROR(__xludf.DUMMYFUNCTION("""COMPUTED_VALUE"""),5248.5390578413835)</f>
        <v>5248.539058</v>
      </c>
      <c r="J5533" s="10">
        <f>IFERROR(__xludf.DUMMYFUNCTION("""COMPUTED_VALUE"""),0.0)</f>
        <v>0</v>
      </c>
      <c r="K5533" s="5">
        <f>IFERROR(__xludf.DUMMYFUNCTION("""COMPUTED_VALUE"""),0.0)</f>
        <v>0</v>
      </c>
      <c r="L5533" s="10">
        <f>IFERROR(__xludf.DUMMYFUNCTION("""COMPUTED_VALUE"""),609.0)</f>
        <v>609</v>
      </c>
      <c r="M5533" s="5">
        <f>IFERROR(__xludf.DUMMYFUNCTION("""COMPUTED_VALUE"""),0.8553370786516854)</f>
        <v>0.8553370787</v>
      </c>
    </row>
    <row r="5534">
      <c r="A5534" s="10" t="str">
        <f>IFERROR(__xludf.DUMMYFUNCTION("""COMPUTED_VALUE"""),"真っ向勝負")</f>
        <v>真っ向勝負</v>
      </c>
      <c r="B5534" s="10">
        <f>IFERROR(__xludf.DUMMYFUNCTION("""COMPUTED_VALUE"""),1025.0)</f>
        <v>1025</v>
      </c>
      <c r="C5534" s="10">
        <f>IFERROR(__xludf.DUMMYFUNCTION("""COMPUTED_VALUE"""),12043.0)</f>
        <v>12043</v>
      </c>
      <c r="D5534" s="5">
        <f>IFERROR(__xludf.DUMMYFUNCTION("""COMPUTED_VALUE"""),0.2608458885460156)</f>
        <v>0.2608458885</v>
      </c>
      <c r="E5534" s="5">
        <f>IFERROR(__xludf.DUMMYFUNCTION("""COMPUTED_VALUE"""),0.102287166454892)</f>
        <v>0.1022871665</v>
      </c>
      <c r="F5534" s="5">
        <f>IFERROR(__xludf.DUMMYFUNCTION("""COMPUTED_VALUE"""),0.18714830277727354)</f>
        <v>0.1871483028</v>
      </c>
      <c r="G5534" s="5">
        <f>IFERROR(__xludf.DUMMYFUNCTION("""COMPUTED_VALUE"""),0.15992013069522598)</f>
        <v>0.1599201307</v>
      </c>
      <c r="H5534" s="5">
        <f>IFERROR(__xludf.DUMMYFUNCTION("""COMPUTED_VALUE"""),0.6057225994180407)</f>
        <v>0.6057225994</v>
      </c>
      <c r="I5534" s="11">
        <f>IFERROR(__xludf.DUMMYFUNCTION("""COMPUTED_VALUE"""),5934.190106692531)</f>
        <v>5934.190107</v>
      </c>
      <c r="J5534" s="10">
        <f>IFERROR(__xludf.DUMMYFUNCTION("""COMPUTED_VALUE"""),2.0)</f>
        <v>2</v>
      </c>
      <c r="K5534" s="5">
        <f>IFERROR(__xludf.DUMMYFUNCTION("""COMPUTED_VALUE"""),0.001951219512195122)</f>
        <v>0.001951219512</v>
      </c>
      <c r="L5534" s="10">
        <f>IFERROR(__xludf.DUMMYFUNCTION("""COMPUTED_VALUE"""),0.0)</f>
        <v>0</v>
      </c>
      <c r="M5534" s="5">
        <f>IFERROR(__xludf.DUMMYFUNCTION("""COMPUTED_VALUE"""),0.0)</f>
        <v>0</v>
      </c>
    </row>
    <row r="5535">
      <c r="A5535" s="10" t="str">
        <f>IFERROR(__xludf.DUMMYFUNCTION("""COMPUTED_VALUE"""),"souma555")</f>
        <v>souma555</v>
      </c>
      <c r="B5535" s="10">
        <f>IFERROR(__xludf.DUMMYFUNCTION("""COMPUTED_VALUE"""),473.0)</f>
        <v>473</v>
      </c>
      <c r="C5535" s="10">
        <f>IFERROR(__xludf.DUMMYFUNCTION("""COMPUTED_VALUE"""),5676.0)</f>
        <v>5676</v>
      </c>
      <c r="D5535" s="5">
        <f>IFERROR(__xludf.DUMMYFUNCTION("""COMPUTED_VALUE"""),0.2882952142994426)</f>
        <v>0.2882952143</v>
      </c>
      <c r="E5535" s="5">
        <f>IFERROR(__xludf.DUMMYFUNCTION("""COMPUTED_VALUE"""),0.10224870267153566)</f>
        <v>0.1022487027</v>
      </c>
      <c r="F5535" s="5">
        <f>IFERROR(__xludf.DUMMYFUNCTION("""COMPUTED_VALUE"""),0.19065923505669805)</f>
        <v>0.1906592351</v>
      </c>
      <c r="G5535" s="5">
        <f>IFERROR(__xludf.DUMMYFUNCTION("""COMPUTED_VALUE"""),0.17374591581779741)</f>
        <v>0.1737459158</v>
      </c>
      <c r="H5535" s="5">
        <f>IFERROR(__xludf.DUMMYFUNCTION("""COMPUTED_VALUE"""),0.5665322580645161)</f>
        <v>0.5665322581</v>
      </c>
      <c r="I5535" s="11">
        <f>IFERROR(__xludf.DUMMYFUNCTION("""COMPUTED_VALUE"""),6211.693548387097)</f>
        <v>6211.693548</v>
      </c>
      <c r="J5535" s="10">
        <f>IFERROR(__xludf.DUMMYFUNCTION("""COMPUTED_VALUE"""),2.0)</f>
        <v>2</v>
      </c>
      <c r="K5535" s="5">
        <f>IFERROR(__xludf.DUMMYFUNCTION("""COMPUTED_VALUE"""),0.004228329809725159)</f>
        <v>0.00422832981</v>
      </c>
      <c r="L5535" s="10">
        <f>IFERROR(__xludf.DUMMYFUNCTION("""COMPUTED_VALUE"""),473.0)</f>
        <v>473</v>
      </c>
      <c r="M5535" s="5">
        <f>IFERROR(__xludf.DUMMYFUNCTION("""COMPUTED_VALUE"""),1.0)</f>
        <v>1</v>
      </c>
    </row>
    <row r="5536">
      <c r="A5536" s="10" t="str">
        <f>IFERROR(__xludf.DUMMYFUNCTION("""COMPUTED_VALUE"""),"水内魚来香")</f>
        <v>水内魚来香</v>
      </c>
      <c r="B5536" s="10">
        <f>IFERROR(__xludf.DUMMYFUNCTION("""COMPUTED_VALUE"""),417.0)</f>
        <v>417</v>
      </c>
      <c r="C5536" s="10">
        <f>IFERROR(__xludf.DUMMYFUNCTION("""COMPUTED_VALUE"""),4921.0)</f>
        <v>4921</v>
      </c>
      <c r="D5536" s="5">
        <f>IFERROR(__xludf.DUMMYFUNCTION("""COMPUTED_VALUE"""),0.3574600355239787)</f>
        <v>0.3574600355</v>
      </c>
      <c r="E5536" s="5">
        <f>IFERROR(__xludf.DUMMYFUNCTION("""COMPUTED_VALUE"""),0.10213143872113677)</f>
        <v>0.1021314387</v>
      </c>
      <c r="F5536" s="5">
        <f>IFERROR(__xludf.DUMMYFUNCTION("""COMPUTED_VALUE"""),0.1933836589698046)</f>
        <v>0.193383659</v>
      </c>
      <c r="G5536" s="5">
        <f>IFERROR(__xludf.DUMMYFUNCTION("""COMPUTED_VALUE"""),0.147202486678508)</f>
        <v>0.1472024867</v>
      </c>
      <c r="H5536" s="5">
        <f>IFERROR(__xludf.DUMMYFUNCTION("""COMPUTED_VALUE"""),0.6199770378874856)</f>
        <v>0.6199770379</v>
      </c>
      <c r="I5536" s="11">
        <f>IFERROR(__xludf.DUMMYFUNCTION("""COMPUTED_VALUE"""),5617.68082663605)</f>
        <v>5617.680827</v>
      </c>
      <c r="J5536" s="10">
        <f>IFERROR(__xludf.DUMMYFUNCTION("""COMPUTED_VALUE"""),2.0)</f>
        <v>2</v>
      </c>
      <c r="K5536" s="5">
        <f>IFERROR(__xludf.DUMMYFUNCTION("""COMPUTED_VALUE"""),0.004796163069544364)</f>
        <v>0.00479616307</v>
      </c>
      <c r="L5536" s="10">
        <f>IFERROR(__xludf.DUMMYFUNCTION("""COMPUTED_VALUE"""),0.0)</f>
        <v>0</v>
      </c>
      <c r="M5536" s="5">
        <f>IFERROR(__xludf.DUMMYFUNCTION("""COMPUTED_VALUE"""),0.0)</f>
        <v>0</v>
      </c>
    </row>
    <row r="5537">
      <c r="A5537" s="10" t="str">
        <f>IFERROR(__xludf.DUMMYFUNCTION("""COMPUTED_VALUE"""),"李穎藍")</f>
        <v>李穎藍</v>
      </c>
      <c r="B5537" s="10">
        <f>IFERROR(__xludf.DUMMYFUNCTION("""COMPUTED_VALUE"""),2504.0)</f>
        <v>2504</v>
      </c>
      <c r="C5537" s="10">
        <f>IFERROR(__xludf.DUMMYFUNCTION("""COMPUTED_VALUE"""),29399.0)</f>
        <v>29399</v>
      </c>
      <c r="D5537" s="5">
        <f>IFERROR(__xludf.DUMMYFUNCTION("""COMPUTED_VALUE"""),0.3892173266406395)</f>
        <v>0.3892173266</v>
      </c>
      <c r="E5537" s="5">
        <f>IFERROR(__xludf.DUMMYFUNCTION("""COMPUTED_VALUE"""),0.10210076222346161)</f>
        <v>0.1021007622</v>
      </c>
      <c r="F5537" s="5">
        <f>IFERROR(__xludf.DUMMYFUNCTION("""COMPUTED_VALUE"""),0.20892359174567762)</f>
        <v>0.2089235917</v>
      </c>
      <c r="G5537" s="5">
        <f>IFERROR(__xludf.DUMMYFUNCTION("""COMPUTED_VALUE"""),0.12712400074363264)</f>
        <v>0.1271240007</v>
      </c>
      <c r="H5537" s="5">
        <f>IFERROR(__xludf.DUMMYFUNCTION("""COMPUTED_VALUE"""),0.599572877736252)</f>
        <v>0.5995728777</v>
      </c>
      <c r="I5537" s="11">
        <f>IFERROR(__xludf.DUMMYFUNCTION("""COMPUTED_VALUE"""),5204.057661505606)</f>
        <v>5204.057662</v>
      </c>
      <c r="J5537" s="10">
        <f>IFERROR(__xludf.DUMMYFUNCTION("""COMPUTED_VALUE"""),4.0)</f>
        <v>4</v>
      </c>
      <c r="K5537" s="5">
        <f>IFERROR(__xludf.DUMMYFUNCTION("""COMPUTED_VALUE"""),0.001597444089456869)</f>
        <v>0.001597444089</v>
      </c>
      <c r="L5537" s="10">
        <f>IFERROR(__xludf.DUMMYFUNCTION("""COMPUTED_VALUE"""),1638.0)</f>
        <v>1638</v>
      </c>
      <c r="M5537" s="5">
        <f>IFERROR(__xludf.DUMMYFUNCTION("""COMPUTED_VALUE"""),0.6541533546325878)</f>
        <v>0.6541533546</v>
      </c>
    </row>
    <row r="5538">
      <c r="A5538" s="10" t="str">
        <f>IFERROR(__xludf.DUMMYFUNCTION("""COMPUTED_VALUE"""),"西村雄一郎")</f>
        <v>西村雄一郎</v>
      </c>
      <c r="B5538" s="10">
        <f>IFERROR(__xludf.DUMMYFUNCTION("""COMPUTED_VALUE"""),3032.0)</f>
        <v>3032</v>
      </c>
      <c r="C5538" s="10">
        <f>IFERROR(__xludf.DUMMYFUNCTION("""COMPUTED_VALUE"""),35769.0)</f>
        <v>35769</v>
      </c>
      <c r="D5538" s="5">
        <f>IFERROR(__xludf.DUMMYFUNCTION("""COMPUTED_VALUE"""),0.3160032990194581)</f>
        <v>0.316003299</v>
      </c>
      <c r="E5538" s="5">
        <f>IFERROR(__xludf.DUMMYFUNCTION("""COMPUTED_VALUE"""),0.10199468491309527)</f>
        <v>0.1019946849</v>
      </c>
      <c r="F5538" s="5">
        <f>IFERROR(__xludf.DUMMYFUNCTION("""COMPUTED_VALUE"""),0.203256254391056)</f>
        <v>0.2032562544</v>
      </c>
      <c r="G5538" s="5">
        <f>IFERROR(__xludf.DUMMYFUNCTION("""COMPUTED_VALUE"""),0.14992210648501694)</f>
        <v>0.1499221065</v>
      </c>
      <c r="H5538" s="5">
        <f>IFERROR(__xludf.DUMMYFUNCTION("""COMPUTED_VALUE"""),0.6050495942290351)</f>
        <v>0.6050495942</v>
      </c>
      <c r="I5538" s="11">
        <f>IFERROR(__xludf.DUMMYFUNCTION("""COMPUTED_VALUE"""),5538.713555755936)</f>
        <v>5538.713556</v>
      </c>
      <c r="J5538" s="10">
        <f>IFERROR(__xludf.DUMMYFUNCTION("""COMPUTED_VALUE"""),9.0)</f>
        <v>9</v>
      </c>
      <c r="K5538" s="5">
        <f>IFERROR(__xludf.DUMMYFUNCTION("""COMPUTED_VALUE"""),0.002968337730870712)</f>
        <v>0.002968337731</v>
      </c>
      <c r="L5538" s="10">
        <f>IFERROR(__xludf.DUMMYFUNCTION("""COMPUTED_VALUE"""),3032.0)</f>
        <v>3032</v>
      </c>
      <c r="M5538" s="5">
        <f>IFERROR(__xludf.DUMMYFUNCTION("""COMPUTED_VALUE"""),1.0)</f>
        <v>1</v>
      </c>
    </row>
    <row r="5539">
      <c r="A5539" s="10" t="str">
        <f>IFERROR(__xludf.DUMMYFUNCTION("""COMPUTED_VALUE"""),"＠りんご＠")</f>
        <v>＠りんご＠</v>
      </c>
      <c r="B5539" s="10">
        <f>IFERROR(__xludf.DUMMYFUNCTION("""COMPUTED_VALUE"""),411.0)</f>
        <v>411</v>
      </c>
      <c r="C5539" s="10">
        <f>IFERROR(__xludf.DUMMYFUNCTION("""COMPUTED_VALUE"""),4780.0)</f>
        <v>4780</v>
      </c>
      <c r="D5539" s="5">
        <f>IFERROR(__xludf.DUMMYFUNCTION("""COMPUTED_VALUE"""),0.28633554589150834)</f>
        <v>0.2863355459</v>
      </c>
      <c r="E5539" s="5">
        <f>IFERROR(__xludf.DUMMYFUNCTION("""COMPUTED_VALUE"""),0.10185397116044861)</f>
        <v>0.1018539712</v>
      </c>
      <c r="F5539" s="5">
        <f>IFERROR(__xludf.DUMMYFUNCTION("""COMPUTED_VALUE"""),0.1931792172121767)</f>
        <v>0.1931792172</v>
      </c>
      <c r="G5539" s="5">
        <f>IFERROR(__xludf.DUMMYFUNCTION("""COMPUTED_VALUE"""),0.13687342641336692)</f>
        <v>0.1368734264</v>
      </c>
      <c r="H5539" s="5">
        <f>IFERROR(__xludf.DUMMYFUNCTION("""COMPUTED_VALUE"""),0.6244075829383886)</f>
        <v>0.6244075829</v>
      </c>
      <c r="I5539" s="11">
        <f>IFERROR(__xludf.DUMMYFUNCTION("""COMPUTED_VALUE"""),5630.687203791469)</f>
        <v>5630.687204</v>
      </c>
      <c r="J5539" s="10">
        <f>IFERROR(__xludf.DUMMYFUNCTION("""COMPUTED_VALUE"""),1.0)</f>
        <v>1</v>
      </c>
      <c r="K5539" s="5">
        <f>IFERROR(__xludf.DUMMYFUNCTION("""COMPUTED_VALUE"""),0.0024330900243309003)</f>
        <v>0.002433090024</v>
      </c>
      <c r="L5539" s="10">
        <f>IFERROR(__xludf.DUMMYFUNCTION("""COMPUTED_VALUE"""),411.0)</f>
        <v>411</v>
      </c>
      <c r="M5539" s="5">
        <f>IFERROR(__xludf.DUMMYFUNCTION("""COMPUTED_VALUE"""),1.0)</f>
        <v>1</v>
      </c>
    </row>
    <row r="5540">
      <c r="A5540" s="10" t="str">
        <f>IFERROR(__xludf.DUMMYFUNCTION("""COMPUTED_VALUE"""),"じみいっZ")</f>
        <v>じみいっZ</v>
      </c>
      <c r="B5540" s="10">
        <f>IFERROR(__xludf.DUMMYFUNCTION("""COMPUTED_VALUE"""),4250.0)</f>
        <v>4250</v>
      </c>
      <c r="C5540" s="10">
        <f>IFERROR(__xludf.DUMMYFUNCTION("""COMPUTED_VALUE"""),49869.0)</f>
        <v>49869</v>
      </c>
      <c r="D5540" s="5">
        <f>IFERROR(__xludf.DUMMYFUNCTION("""COMPUTED_VALUE"""),0.29840636576864904)</f>
        <v>0.2984063658</v>
      </c>
      <c r="E5540" s="5">
        <f>IFERROR(__xludf.DUMMYFUNCTION("""COMPUTED_VALUE"""),0.101843530108069)</f>
        <v>0.1018435301</v>
      </c>
      <c r="F5540" s="5">
        <f>IFERROR(__xludf.DUMMYFUNCTION("""COMPUTED_VALUE"""),0.20088121177579518)</f>
        <v>0.2008812118</v>
      </c>
      <c r="G5540" s="5">
        <f>IFERROR(__xludf.DUMMYFUNCTION("""COMPUTED_VALUE"""),0.12608781428790636)</f>
        <v>0.1260878143</v>
      </c>
      <c r="H5540" s="5">
        <f>IFERROR(__xludf.DUMMYFUNCTION("""COMPUTED_VALUE"""),0.6119598428633785)</f>
        <v>0.6119598429</v>
      </c>
      <c r="I5540" s="11">
        <f>IFERROR(__xludf.DUMMYFUNCTION("""COMPUTED_VALUE"""),5526.953295504147)</f>
        <v>5526.953296</v>
      </c>
      <c r="J5540" s="10">
        <f>IFERROR(__xludf.DUMMYFUNCTION("""COMPUTED_VALUE"""),12.0)</f>
        <v>12</v>
      </c>
      <c r="K5540" s="5">
        <f>IFERROR(__xludf.DUMMYFUNCTION("""COMPUTED_VALUE"""),0.002823529411764706)</f>
        <v>0.002823529412</v>
      </c>
      <c r="L5540" s="10">
        <f>IFERROR(__xludf.DUMMYFUNCTION("""COMPUTED_VALUE"""),4250.0)</f>
        <v>4250</v>
      </c>
      <c r="M5540" s="5">
        <f>IFERROR(__xludf.DUMMYFUNCTION("""COMPUTED_VALUE"""),1.0)</f>
        <v>1</v>
      </c>
    </row>
    <row r="5541">
      <c r="A5541" s="10" t="str">
        <f>IFERROR(__xludf.DUMMYFUNCTION("""COMPUTED_VALUE"""),"最速の鳴き")</f>
        <v>最速の鳴き</v>
      </c>
      <c r="B5541" s="10">
        <f>IFERROR(__xludf.DUMMYFUNCTION("""COMPUTED_VALUE"""),306.0)</f>
        <v>306</v>
      </c>
      <c r="C5541" s="10">
        <f>IFERROR(__xludf.DUMMYFUNCTION("""COMPUTED_VALUE"""),3597.0)</f>
        <v>3597</v>
      </c>
      <c r="D5541" s="5">
        <f>IFERROR(__xludf.DUMMYFUNCTION("""COMPUTED_VALUE"""),0.28684290489213005)</f>
        <v>0.2868429049</v>
      </c>
      <c r="E5541" s="5">
        <f>IFERROR(__xludf.DUMMYFUNCTION("""COMPUTED_VALUE"""),0.10179276815557581)</f>
        <v>0.1017927682</v>
      </c>
      <c r="F5541" s="5">
        <f>IFERROR(__xludf.DUMMYFUNCTION("""COMPUTED_VALUE"""),0.18717714980249164)</f>
        <v>0.1871771498</v>
      </c>
      <c r="G5541" s="5">
        <f>IFERROR(__xludf.DUMMYFUNCTION("""COMPUTED_VALUE"""),0.15800668489820724)</f>
        <v>0.1580066849</v>
      </c>
      <c r="H5541" s="5">
        <f>IFERROR(__xludf.DUMMYFUNCTION("""COMPUTED_VALUE"""),0.5746753246753247)</f>
        <v>0.5746753247</v>
      </c>
      <c r="I5541" s="11">
        <f>IFERROR(__xludf.DUMMYFUNCTION("""COMPUTED_VALUE"""),5770.454545454545)</f>
        <v>5770.454545</v>
      </c>
      <c r="J5541" s="10">
        <f>IFERROR(__xludf.DUMMYFUNCTION("""COMPUTED_VALUE"""),0.0)</f>
        <v>0</v>
      </c>
      <c r="K5541" s="5">
        <f>IFERROR(__xludf.DUMMYFUNCTION("""COMPUTED_VALUE"""),0.0)</f>
        <v>0</v>
      </c>
      <c r="L5541" s="10">
        <f>IFERROR(__xludf.DUMMYFUNCTION("""COMPUTED_VALUE"""),304.0)</f>
        <v>304</v>
      </c>
      <c r="M5541" s="5">
        <f>IFERROR(__xludf.DUMMYFUNCTION("""COMPUTED_VALUE"""),0.9934640522875817)</f>
        <v>0.9934640523</v>
      </c>
    </row>
    <row r="5542">
      <c r="A5542" s="10" t="str">
        <f>IFERROR(__xludf.DUMMYFUNCTION("""COMPUTED_VALUE"""),"kou511")</f>
        <v>kou511</v>
      </c>
      <c r="B5542" s="10">
        <f>IFERROR(__xludf.DUMMYFUNCTION("""COMPUTED_VALUE"""),228.0)</f>
        <v>228</v>
      </c>
      <c r="C5542" s="10">
        <f>IFERROR(__xludf.DUMMYFUNCTION("""COMPUTED_VALUE"""),2753.0)</f>
        <v>2753</v>
      </c>
      <c r="D5542" s="5">
        <f>IFERROR(__xludf.DUMMYFUNCTION("""COMPUTED_VALUE"""),0.26415841584158417)</f>
        <v>0.2641584158</v>
      </c>
      <c r="E5542" s="5">
        <f>IFERROR(__xludf.DUMMYFUNCTION("""COMPUTED_VALUE"""),0.10178217821782178)</f>
        <v>0.1017821782</v>
      </c>
      <c r="F5542" s="5">
        <f>IFERROR(__xludf.DUMMYFUNCTION("""COMPUTED_VALUE"""),0.19207920792079208)</f>
        <v>0.1920792079</v>
      </c>
      <c r="G5542" s="5">
        <f>IFERROR(__xludf.DUMMYFUNCTION("""COMPUTED_VALUE"""),0.13386138613861387)</f>
        <v>0.1338613861</v>
      </c>
      <c r="H5542" s="5">
        <f>IFERROR(__xludf.DUMMYFUNCTION("""COMPUTED_VALUE"""),0.6268041237113402)</f>
        <v>0.6268041237</v>
      </c>
      <c r="I5542" s="11">
        <f>IFERROR(__xludf.DUMMYFUNCTION("""COMPUTED_VALUE"""),5593.81443298969)</f>
        <v>5593.814433</v>
      </c>
      <c r="J5542" s="10">
        <f>IFERROR(__xludf.DUMMYFUNCTION("""COMPUTED_VALUE"""),1.0)</f>
        <v>1</v>
      </c>
      <c r="K5542" s="5">
        <f>IFERROR(__xludf.DUMMYFUNCTION("""COMPUTED_VALUE"""),0.0043859649122807015)</f>
        <v>0.004385964912</v>
      </c>
      <c r="L5542" s="10">
        <f>IFERROR(__xludf.DUMMYFUNCTION("""COMPUTED_VALUE"""),200.0)</f>
        <v>200</v>
      </c>
      <c r="M5542" s="5">
        <f>IFERROR(__xludf.DUMMYFUNCTION("""COMPUTED_VALUE"""),0.8771929824561403)</f>
        <v>0.8771929825</v>
      </c>
    </row>
    <row r="5543">
      <c r="A5543" s="10" t="str">
        <f>IFERROR(__xludf.DUMMYFUNCTION("""COMPUTED_VALUE"""),"水無翠")</f>
        <v>水無翠</v>
      </c>
      <c r="B5543" s="10">
        <f>IFERROR(__xludf.DUMMYFUNCTION("""COMPUTED_VALUE"""),130.0)</f>
        <v>130</v>
      </c>
      <c r="C5543" s="10">
        <f>IFERROR(__xludf.DUMMYFUNCTION("""COMPUTED_VALUE"""),1526.0)</f>
        <v>1526</v>
      </c>
      <c r="D5543" s="5">
        <f>IFERROR(__xludf.DUMMYFUNCTION("""COMPUTED_VALUE"""),0.3216332378223496)</f>
        <v>0.3216332378</v>
      </c>
      <c r="E5543" s="5">
        <f>IFERROR(__xludf.DUMMYFUNCTION("""COMPUTED_VALUE"""),0.1017191977077364)</f>
        <v>0.1017191977</v>
      </c>
      <c r="F5543" s="5">
        <f>IFERROR(__xludf.DUMMYFUNCTION("""COMPUTED_VALUE"""),0.1826647564469914)</f>
        <v>0.1826647564</v>
      </c>
      <c r="G5543" s="5">
        <f>IFERROR(__xludf.DUMMYFUNCTION("""COMPUTED_VALUE"""),0.14398280802292263)</f>
        <v>0.143982808</v>
      </c>
      <c r="H5543" s="5">
        <f>IFERROR(__xludf.DUMMYFUNCTION("""COMPUTED_VALUE"""),0.611764705882353)</f>
        <v>0.6117647059</v>
      </c>
      <c r="I5543" s="11">
        <f>IFERROR(__xludf.DUMMYFUNCTION("""COMPUTED_VALUE"""),5559.607843137255)</f>
        <v>5559.607843</v>
      </c>
      <c r="J5543" s="10">
        <f>IFERROR(__xludf.DUMMYFUNCTION("""COMPUTED_VALUE"""),0.0)</f>
        <v>0</v>
      </c>
      <c r="K5543" s="5">
        <f>IFERROR(__xludf.DUMMYFUNCTION("""COMPUTED_VALUE"""),0.0)</f>
        <v>0</v>
      </c>
      <c r="L5543" s="10">
        <f>IFERROR(__xludf.DUMMYFUNCTION("""COMPUTED_VALUE"""),0.0)</f>
        <v>0</v>
      </c>
      <c r="M5543" s="5">
        <f>IFERROR(__xludf.DUMMYFUNCTION("""COMPUTED_VALUE"""),0.0)</f>
        <v>0</v>
      </c>
    </row>
    <row r="5544">
      <c r="A5544" s="10" t="str">
        <f>IFERROR(__xludf.DUMMYFUNCTION("""COMPUTED_VALUE"""),"新子@憧")</f>
        <v>新子@憧</v>
      </c>
      <c r="B5544" s="10">
        <f>IFERROR(__xludf.DUMMYFUNCTION("""COMPUTED_VALUE"""),146.0)</f>
        <v>146</v>
      </c>
      <c r="C5544" s="10">
        <f>IFERROR(__xludf.DUMMYFUNCTION("""COMPUTED_VALUE"""),1798.0)</f>
        <v>1798</v>
      </c>
      <c r="D5544" s="5">
        <f>IFERROR(__xludf.DUMMYFUNCTION("""COMPUTED_VALUE"""),0.2669491525423729)</f>
        <v>0.2669491525</v>
      </c>
      <c r="E5544" s="5">
        <f>IFERROR(__xludf.DUMMYFUNCTION("""COMPUTED_VALUE"""),0.1016949152542373)</f>
        <v>0.1016949153</v>
      </c>
      <c r="F5544" s="5">
        <f>IFERROR(__xludf.DUMMYFUNCTION("""COMPUTED_VALUE"""),0.18462469733656175)</f>
        <v>0.1846246973</v>
      </c>
      <c r="G5544" s="5">
        <f>IFERROR(__xludf.DUMMYFUNCTION("""COMPUTED_VALUE"""),0.16585956416464892)</f>
        <v>0.1658595642</v>
      </c>
      <c r="H5544" s="5">
        <f>IFERROR(__xludf.DUMMYFUNCTION("""COMPUTED_VALUE"""),0.5737704918032787)</f>
        <v>0.5737704918</v>
      </c>
      <c r="I5544" s="11">
        <f>IFERROR(__xludf.DUMMYFUNCTION("""COMPUTED_VALUE"""),5737.377049180328)</f>
        <v>5737.377049</v>
      </c>
      <c r="J5544" s="10">
        <f>IFERROR(__xludf.DUMMYFUNCTION("""COMPUTED_VALUE"""),0.0)</f>
        <v>0</v>
      </c>
      <c r="K5544" s="5">
        <f>IFERROR(__xludf.DUMMYFUNCTION("""COMPUTED_VALUE"""),0.0)</f>
        <v>0</v>
      </c>
      <c r="L5544" s="10">
        <f>IFERROR(__xludf.DUMMYFUNCTION("""COMPUTED_VALUE"""),0.0)</f>
        <v>0</v>
      </c>
      <c r="M5544" s="5">
        <f>IFERROR(__xludf.DUMMYFUNCTION("""COMPUTED_VALUE"""),0.0)</f>
        <v>0</v>
      </c>
    </row>
    <row r="5545">
      <c r="A5545" s="10" t="str">
        <f>IFERROR(__xludf.DUMMYFUNCTION("""COMPUTED_VALUE"""),"るん(pafe)")</f>
        <v>るん(pafe)</v>
      </c>
      <c r="B5545" s="10">
        <f>IFERROR(__xludf.DUMMYFUNCTION("""COMPUTED_VALUE"""),132.0)</f>
        <v>132</v>
      </c>
      <c r="C5545" s="10">
        <f>IFERROR(__xludf.DUMMYFUNCTION("""COMPUTED_VALUE"""),1580.0)</f>
        <v>1580</v>
      </c>
      <c r="D5545" s="5">
        <f>IFERROR(__xludf.DUMMYFUNCTION("""COMPUTED_VALUE"""),0.21339779005524862)</f>
        <v>0.2133977901</v>
      </c>
      <c r="E5545" s="5">
        <f>IFERROR(__xludf.DUMMYFUNCTION("""COMPUTED_VALUE"""),0.10151933701657459)</f>
        <v>0.101519337</v>
      </c>
      <c r="F5545" s="5">
        <f>IFERROR(__xludf.DUMMYFUNCTION("""COMPUTED_VALUE"""),0.15883977900552487)</f>
        <v>0.158839779</v>
      </c>
      <c r="G5545" s="5">
        <f>IFERROR(__xludf.DUMMYFUNCTION("""COMPUTED_VALUE"""),0.09185082872928177)</f>
        <v>0.09185082873</v>
      </c>
      <c r="H5545" s="5">
        <f>IFERROR(__xludf.DUMMYFUNCTION("""COMPUTED_VALUE"""),0.6)</f>
        <v>0.6</v>
      </c>
      <c r="I5545" s="11">
        <f>IFERROR(__xludf.DUMMYFUNCTION("""COMPUTED_VALUE"""),5612.608695652174)</f>
        <v>5612.608696</v>
      </c>
      <c r="J5545" s="10">
        <f>IFERROR(__xludf.DUMMYFUNCTION("""COMPUTED_VALUE"""),0.0)</f>
        <v>0</v>
      </c>
      <c r="K5545" s="5">
        <f>IFERROR(__xludf.DUMMYFUNCTION("""COMPUTED_VALUE"""),0.0)</f>
        <v>0</v>
      </c>
      <c r="L5545" s="10">
        <f>IFERROR(__xludf.DUMMYFUNCTION("""COMPUTED_VALUE"""),132.0)</f>
        <v>132</v>
      </c>
      <c r="M5545" s="5">
        <f>IFERROR(__xludf.DUMMYFUNCTION("""COMPUTED_VALUE"""),1.0)</f>
        <v>1</v>
      </c>
    </row>
    <row r="5546">
      <c r="A5546" s="10" t="str">
        <f>IFERROR(__xludf.DUMMYFUNCTION("""COMPUTED_VALUE"""),"小澤誠")</f>
        <v>小澤誠</v>
      </c>
      <c r="B5546" s="10">
        <f>IFERROR(__xludf.DUMMYFUNCTION("""COMPUTED_VALUE"""),121.0)</f>
        <v>121</v>
      </c>
      <c r="C5546" s="10">
        <f>IFERROR(__xludf.DUMMYFUNCTION("""COMPUTED_VALUE"""),1382.0)</f>
        <v>1382</v>
      </c>
      <c r="D5546" s="5">
        <f>IFERROR(__xludf.DUMMYFUNCTION("""COMPUTED_VALUE"""),0.35289452815226013)</f>
        <v>0.3528945282</v>
      </c>
      <c r="E5546" s="5">
        <f>IFERROR(__xludf.DUMMYFUNCTION("""COMPUTED_VALUE"""),0.10150674068199841)</f>
        <v>0.1015067407</v>
      </c>
      <c r="F5546" s="5">
        <f>IFERROR(__xludf.DUMMYFUNCTION("""COMPUTED_VALUE"""),0.2212529738302934)</f>
        <v>0.2212529738</v>
      </c>
      <c r="G5546" s="5">
        <f>IFERROR(__xludf.DUMMYFUNCTION("""COMPUTED_VALUE"""),0.16494845360824742)</f>
        <v>0.1649484536</v>
      </c>
      <c r="H5546" s="5">
        <f>IFERROR(__xludf.DUMMYFUNCTION("""COMPUTED_VALUE"""),0.6272401433691757)</f>
        <v>0.6272401434</v>
      </c>
      <c r="I5546" s="11">
        <f>IFERROR(__xludf.DUMMYFUNCTION("""COMPUTED_VALUE"""),5715.05376344086)</f>
        <v>5715.053763</v>
      </c>
      <c r="J5546" s="10">
        <f>IFERROR(__xludf.DUMMYFUNCTION("""COMPUTED_VALUE"""),0.0)</f>
        <v>0</v>
      </c>
      <c r="K5546" s="5">
        <f>IFERROR(__xludf.DUMMYFUNCTION("""COMPUTED_VALUE"""),0.0)</f>
        <v>0</v>
      </c>
      <c r="L5546" s="10">
        <f>IFERROR(__xludf.DUMMYFUNCTION("""COMPUTED_VALUE"""),121.0)</f>
        <v>121</v>
      </c>
      <c r="M5546" s="5">
        <f>IFERROR(__xludf.DUMMYFUNCTION("""COMPUTED_VALUE"""),1.0)</f>
        <v>1</v>
      </c>
    </row>
    <row r="5547">
      <c r="A5547" s="10" t="str">
        <f>IFERROR(__xludf.DUMMYFUNCTION("""COMPUTED_VALUE"""),"牧瀬紅莉栖")</f>
        <v>牧瀬紅莉栖</v>
      </c>
      <c r="B5547" s="10">
        <f>IFERROR(__xludf.DUMMYFUNCTION("""COMPUTED_VALUE"""),155.0)</f>
        <v>155</v>
      </c>
      <c r="C5547" s="10">
        <f>IFERROR(__xludf.DUMMYFUNCTION("""COMPUTED_VALUE"""),1831.0)</f>
        <v>1831</v>
      </c>
      <c r="D5547" s="5">
        <f>IFERROR(__xludf.DUMMYFUNCTION("""COMPUTED_VALUE"""),0.33353221957040574)</f>
        <v>0.3335322196</v>
      </c>
      <c r="E5547" s="5">
        <f>IFERROR(__xludf.DUMMYFUNCTION("""COMPUTED_VALUE"""),0.10143198090692124)</f>
        <v>0.1014319809</v>
      </c>
      <c r="F5547" s="5">
        <f>IFERROR(__xludf.DUMMYFUNCTION("""COMPUTED_VALUE"""),0.19749403341288782)</f>
        <v>0.1974940334</v>
      </c>
      <c r="G5547" s="5">
        <f>IFERROR(__xludf.DUMMYFUNCTION("""COMPUTED_VALUE"""),0.1867541766109785)</f>
        <v>0.1867541766</v>
      </c>
      <c r="H5547" s="5">
        <f>IFERROR(__xludf.DUMMYFUNCTION("""COMPUTED_VALUE"""),0.6132930513595166)</f>
        <v>0.6132930514</v>
      </c>
      <c r="I5547" s="11">
        <f>IFERROR(__xludf.DUMMYFUNCTION("""COMPUTED_VALUE"""),5806.344410876133)</f>
        <v>5806.344411</v>
      </c>
      <c r="J5547" s="10">
        <f>IFERROR(__xludf.DUMMYFUNCTION("""COMPUTED_VALUE"""),1.0)</f>
        <v>1</v>
      </c>
      <c r="K5547" s="5">
        <f>IFERROR(__xludf.DUMMYFUNCTION("""COMPUTED_VALUE"""),0.0064516129032258064)</f>
        <v>0.006451612903</v>
      </c>
      <c r="L5547" s="10">
        <f>IFERROR(__xludf.DUMMYFUNCTION("""COMPUTED_VALUE"""),0.0)</f>
        <v>0</v>
      </c>
      <c r="M5547" s="5">
        <f>IFERROR(__xludf.DUMMYFUNCTION("""COMPUTED_VALUE"""),0.0)</f>
        <v>0</v>
      </c>
    </row>
    <row r="5548">
      <c r="A5548" s="10" t="str">
        <f>IFERROR(__xludf.DUMMYFUNCTION("""COMPUTED_VALUE"""),"(。・ω・。)")</f>
        <v>(。・ω・。)</v>
      </c>
      <c r="B5548" s="10">
        <f>IFERROR(__xludf.DUMMYFUNCTION("""COMPUTED_VALUE"""),211.0)</f>
        <v>211</v>
      </c>
      <c r="C5548" s="10">
        <f>IFERROR(__xludf.DUMMYFUNCTION("""COMPUTED_VALUE"""),2548.0)</f>
        <v>2548</v>
      </c>
      <c r="D5548" s="5">
        <f>IFERROR(__xludf.DUMMYFUNCTION("""COMPUTED_VALUE"""),0.40864356011981173)</f>
        <v>0.4086435601</v>
      </c>
      <c r="E5548" s="5">
        <f>IFERROR(__xludf.DUMMYFUNCTION("""COMPUTED_VALUE"""),0.10141206675224647)</f>
        <v>0.1014120668</v>
      </c>
      <c r="F5548" s="5">
        <f>IFERROR(__xludf.DUMMYFUNCTION("""COMPUTED_VALUE"""),0.20282413350449294)</f>
        <v>0.2028241335</v>
      </c>
      <c r="G5548" s="5">
        <f>IFERROR(__xludf.DUMMYFUNCTION("""COMPUTED_VALUE"""),0.1407787762088147)</f>
        <v>0.1407787762</v>
      </c>
      <c r="H5548" s="5">
        <f>IFERROR(__xludf.DUMMYFUNCTION("""COMPUTED_VALUE"""),0.5949367088607594)</f>
        <v>0.5949367089</v>
      </c>
      <c r="I5548" s="11">
        <f>IFERROR(__xludf.DUMMYFUNCTION("""COMPUTED_VALUE"""),5364.978902953587)</f>
        <v>5364.978903</v>
      </c>
      <c r="J5548" s="10">
        <f>IFERROR(__xludf.DUMMYFUNCTION("""COMPUTED_VALUE"""),0.0)</f>
        <v>0</v>
      </c>
      <c r="K5548" s="5">
        <f>IFERROR(__xludf.DUMMYFUNCTION("""COMPUTED_VALUE"""),0.0)</f>
        <v>0</v>
      </c>
      <c r="L5548" s="10">
        <f>IFERROR(__xludf.DUMMYFUNCTION("""COMPUTED_VALUE"""),211.0)</f>
        <v>211</v>
      </c>
      <c r="M5548" s="5">
        <f>IFERROR(__xludf.DUMMYFUNCTION("""COMPUTED_VALUE"""),1.0)</f>
        <v>1</v>
      </c>
    </row>
    <row r="5549">
      <c r="A5549" s="10" t="str">
        <f>IFERROR(__xludf.DUMMYFUNCTION("""COMPUTED_VALUE"""),"うれしげお")</f>
        <v>うれしげお</v>
      </c>
      <c r="B5549" s="10">
        <f>IFERROR(__xludf.DUMMYFUNCTION("""COMPUTED_VALUE"""),421.0)</f>
        <v>421</v>
      </c>
      <c r="C5549" s="10">
        <f>IFERROR(__xludf.DUMMYFUNCTION("""COMPUTED_VALUE"""),4899.0)</f>
        <v>4899</v>
      </c>
      <c r="D5549" s="5">
        <f>IFERROR(__xludf.DUMMYFUNCTION("""COMPUTED_VALUE"""),0.2746761947297901)</f>
        <v>0.2746761947</v>
      </c>
      <c r="E5549" s="5">
        <f>IFERROR(__xludf.DUMMYFUNCTION("""COMPUTED_VALUE"""),0.1013845466726217)</f>
        <v>0.1013845467</v>
      </c>
      <c r="F5549" s="5">
        <f>IFERROR(__xludf.DUMMYFUNCTION("""COMPUTED_VALUE"""),0.1833407771326485)</f>
        <v>0.1833407771</v>
      </c>
      <c r="G5549" s="5">
        <f>IFERROR(__xludf.DUMMYFUNCTION("""COMPUTED_VALUE"""),0.1659222867351496)</f>
        <v>0.1659222867</v>
      </c>
      <c r="H5549" s="5">
        <f>IFERROR(__xludf.DUMMYFUNCTION("""COMPUTED_VALUE"""),0.6272838002436053)</f>
        <v>0.6272838002</v>
      </c>
      <c r="I5549" s="11">
        <f>IFERROR(__xludf.DUMMYFUNCTION("""COMPUTED_VALUE"""),5982.58221680877)</f>
        <v>5982.582217</v>
      </c>
      <c r="J5549" s="10">
        <f>IFERROR(__xludf.DUMMYFUNCTION("""COMPUTED_VALUE"""),0.0)</f>
        <v>0</v>
      </c>
      <c r="K5549" s="5">
        <f>IFERROR(__xludf.DUMMYFUNCTION("""COMPUTED_VALUE"""),0.0)</f>
        <v>0</v>
      </c>
      <c r="L5549" s="10">
        <f>IFERROR(__xludf.DUMMYFUNCTION("""COMPUTED_VALUE"""),413.0)</f>
        <v>413</v>
      </c>
      <c r="M5549" s="5">
        <f>IFERROR(__xludf.DUMMYFUNCTION("""COMPUTED_VALUE"""),0.9809976247030879)</f>
        <v>0.9809976247</v>
      </c>
    </row>
    <row r="5550">
      <c r="A5550" s="10" t="str">
        <f>IFERROR(__xludf.DUMMYFUNCTION("""COMPUTED_VALUE"""),"アミロイド")</f>
        <v>アミロイド</v>
      </c>
      <c r="B5550" s="10">
        <f>IFERROR(__xludf.DUMMYFUNCTION("""COMPUTED_VALUE"""),351.0)</f>
        <v>351</v>
      </c>
      <c r="C5550" s="10">
        <f>IFERROR(__xludf.DUMMYFUNCTION("""COMPUTED_VALUE"""),4238.0)</f>
        <v>4238</v>
      </c>
      <c r="D5550" s="5">
        <f>IFERROR(__xludf.DUMMYFUNCTION("""COMPUTED_VALUE"""),0.3010033444816054)</f>
        <v>0.3010033445</v>
      </c>
      <c r="E5550" s="5">
        <f>IFERROR(__xludf.DUMMYFUNCTION("""COMPUTED_VALUE"""),0.10136351942372009)</f>
        <v>0.1013635194</v>
      </c>
      <c r="F5550" s="5">
        <f>IFERROR(__xludf.DUMMYFUNCTION("""COMPUTED_VALUE"""),0.20427064574221765)</f>
        <v>0.2042706457</v>
      </c>
      <c r="G5550" s="5">
        <f>IFERROR(__xludf.DUMMYFUNCTION("""COMPUTED_VALUE"""),0.12966297916130692)</f>
        <v>0.1296629792</v>
      </c>
      <c r="H5550" s="5">
        <f>IFERROR(__xludf.DUMMYFUNCTION("""COMPUTED_VALUE"""),0.6070528967254408)</f>
        <v>0.6070528967</v>
      </c>
      <c r="I5550" s="11">
        <f>IFERROR(__xludf.DUMMYFUNCTION("""COMPUTED_VALUE"""),5409.571788413098)</f>
        <v>5409.571788</v>
      </c>
      <c r="J5550" s="10">
        <f>IFERROR(__xludf.DUMMYFUNCTION("""COMPUTED_VALUE"""),0.0)</f>
        <v>0</v>
      </c>
      <c r="K5550" s="5">
        <f>IFERROR(__xludf.DUMMYFUNCTION("""COMPUTED_VALUE"""),0.0)</f>
        <v>0</v>
      </c>
      <c r="L5550" s="10">
        <f>IFERROR(__xludf.DUMMYFUNCTION("""COMPUTED_VALUE"""),351.0)</f>
        <v>351</v>
      </c>
      <c r="M5550" s="5">
        <f>IFERROR(__xludf.DUMMYFUNCTION("""COMPUTED_VALUE"""),1.0)</f>
        <v>1</v>
      </c>
    </row>
    <row r="5551">
      <c r="A5551" s="10" t="str">
        <f>IFERROR(__xludf.DUMMYFUNCTION("""COMPUTED_VALUE"""),"鼻の下の溝")</f>
        <v>鼻の下の溝</v>
      </c>
      <c r="B5551" s="10">
        <f>IFERROR(__xludf.DUMMYFUNCTION("""COMPUTED_VALUE"""),146.0)</f>
        <v>146</v>
      </c>
      <c r="C5551" s="10">
        <f>IFERROR(__xludf.DUMMYFUNCTION("""COMPUTED_VALUE"""),1716.0)</f>
        <v>1716</v>
      </c>
      <c r="D5551" s="5">
        <f>IFERROR(__xludf.DUMMYFUNCTION("""COMPUTED_VALUE"""),0.3401273885350318)</f>
        <v>0.3401273885</v>
      </c>
      <c r="E5551" s="5">
        <f>IFERROR(__xludf.DUMMYFUNCTION("""COMPUTED_VALUE"""),0.10127388535031848)</f>
        <v>0.1012738854</v>
      </c>
      <c r="F5551" s="5">
        <f>IFERROR(__xludf.DUMMYFUNCTION("""COMPUTED_VALUE"""),0.20828025477707007)</f>
        <v>0.2082802548</v>
      </c>
      <c r="G5551" s="5">
        <f>IFERROR(__xludf.DUMMYFUNCTION("""COMPUTED_VALUE"""),0.17643312101910827)</f>
        <v>0.176433121</v>
      </c>
      <c r="H5551" s="5">
        <f>IFERROR(__xludf.DUMMYFUNCTION("""COMPUTED_VALUE"""),0.6085626911314985)</f>
        <v>0.6085626911</v>
      </c>
      <c r="I5551" s="11">
        <f>IFERROR(__xludf.DUMMYFUNCTION("""COMPUTED_VALUE"""),5714.984709480123)</f>
        <v>5714.984709</v>
      </c>
      <c r="J5551" s="10">
        <f>IFERROR(__xludf.DUMMYFUNCTION("""COMPUTED_VALUE"""),0.0)</f>
        <v>0</v>
      </c>
      <c r="K5551" s="5">
        <f>IFERROR(__xludf.DUMMYFUNCTION("""COMPUTED_VALUE"""),0.0)</f>
        <v>0</v>
      </c>
      <c r="L5551" s="10">
        <f>IFERROR(__xludf.DUMMYFUNCTION("""COMPUTED_VALUE"""),146.0)</f>
        <v>146</v>
      </c>
      <c r="M5551" s="5">
        <f>IFERROR(__xludf.DUMMYFUNCTION("""COMPUTED_VALUE"""),1.0)</f>
        <v>1</v>
      </c>
    </row>
    <row r="5552">
      <c r="A5552" s="10" t="str">
        <f>IFERROR(__xludf.DUMMYFUNCTION("""COMPUTED_VALUE"""),"M.arteta")</f>
        <v>M.arteta</v>
      </c>
      <c r="B5552" s="10">
        <f>IFERROR(__xludf.DUMMYFUNCTION("""COMPUTED_VALUE"""),504.0)</f>
        <v>504</v>
      </c>
      <c r="C5552" s="10">
        <f>IFERROR(__xludf.DUMMYFUNCTION("""COMPUTED_VALUE"""),5870.0)</f>
        <v>5870</v>
      </c>
      <c r="D5552" s="5">
        <f>IFERROR(__xludf.DUMMYFUNCTION("""COMPUTED_VALUE"""),0.2644427879239657)</f>
        <v>0.2644427879</v>
      </c>
      <c r="E5552" s="5">
        <f>IFERROR(__xludf.DUMMYFUNCTION("""COMPUTED_VALUE"""),0.10119269474468878)</f>
        <v>0.1011926947</v>
      </c>
      <c r="F5552" s="5">
        <f>IFERROR(__xludf.DUMMYFUNCTION("""COMPUTED_VALUE"""),0.18803578084234066)</f>
        <v>0.1880357808</v>
      </c>
      <c r="G5552" s="5">
        <f>IFERROR(__xludf.DUMMYFUNCTION("""COMPUTED_VALUE"""),0.17685426761088335)</f>
        <v>0.1768542676</v>
      </c>
      <c r="H5552" s="5">
        <f>IFERROR(__xludf.DUMMYFUNCTION("""COMPUTED_VALUE"""),0.6005946481665014)</f>
        <v>0.6005946482</v>
      </c>
      <c r="I5552" s="11">
        <f>IFERROR(__xludf.DUMMYFUNCTION("""COMPUTED_VALUE"""),6063.230921704658)</f>
        <v>6063.230922</v>
      </c>
      <c r="J5552" s="10">
        <f>IFERROR(__xludf.DUMMYFUNCTION("""COMPUTED_VALUE"""),3.0)</f>
        <v>3</v>
      </c>
      <c r="K5552" s="5">
        <f>IFERROR(__xludf.DUMMYFUNCTION("""COMPUTED_VALUE"""),0.005952380952380952)</f>
        <v>0.005952380952</v>
      </c>
      <c r="L5552" s="10">
        <f>IFERROR(__xludf.DUMMYFUNCTION("""COMPUTED_VALUE"""),496.0)</f>
        <v>496</v>
      </c>
      <c r="M5552" s="5">
        <f>IFERROR(__xludf.DUMMYFUNCTION("""COMPUTED_VALUE"""),0.9841269841269841)</f>
        <v>0.9841269841</v>
      </c>
    </row>
    <row r="5553">
      <c r="A5553" s="10" t="str">
        <f>IFERROR(__xludf.DUMMYFUNCTION("""COMPUTED_VALUE"""),"特東キング")</f>
        <v>特東キング</v>
      </c>
      <c r="B5553" s="10">
        <f>IFERROR(__xludf.DUMMYFUNCTION("""COMPUTED_VALUE"""),1076.0)</f>
        <v>1076</v>
      </c>
      <c r="C5553" s="10">
        <f>IFERROR(__xludf.DUMMYFUNCTION("""COMPUTED_VALUE"""),12749.0)</f>
        <v>12749</v>
      </c>
      <c r="D5553" s="5">
        <f>IFERROR(__xludf.DUMMYFUNCTION("""COMPUTED_VALUE"""),0.37239784117193525)</f>
        <v>0.3723978412</v>
      </c>
      <c r="E5553" s="5">
        <f>IFERROR(__xludf.DUMMYFUNCTION("""COMPUTED_VALUE"""),0.1010879808104172)</f>
        <v>0.1010879808</v>
      </c>
      <c r="F5553" s="5">
        <f>IFERROR(__xludf.DUMMYFUNCTION("""COMPUTED_VALUE"""),0.19360918358605328)</f>
        <v>0.1936091836</v>
      </c>
      <c r="G5553" s="5">
        <f>IFERROR(__xludf.DUMMYFUNCTION("""COMPUTED_VALUE"""),0.12087723807076159)</f>
        <v>0.1208772381</v>
      </c>
      <c r="H5553" s="5">
        <f>IFERROR(__xludf.DUMMYFUNCTION("""COMPUTED_VALUE"""),0.6044247787610619)</f>
        <v>0.6044247788</v>
      </c>
      <c r="I5553" s="11">
        <f>IFERROR(__xludf.DUMMYFUNCTION("""COMPUTED_VALUE"""),5101.592920353983)</f>
        <v>5101.59292</v>
      </c>
      <c r="J5553" s="10">
        <f>IFERROR(__xludf.DUMMYFUNCTION("""COMPUTED_VALUE"""),0.0)</f>
        <v>0</v>
      </c>
      <c r="K5553" s="5">
        <f>IFERROR(__xludf.DUMMYFUNCTION("""COMPUTED_VALUE"""),0.0)</f>
        <v>0</v>
      </c>
      <c r="L5553" s="10">
        <f>IFERROR(__xludf.DUMMYFUNCTION("""COMPUTED_VALUE"""),1076.0)</f>
        <v>1076</v>
      </c>
      <c r="M5553" s="5">
        <f>IFERROR(__xludf.DUMMYFUNCTION("""COMPUTED_VALUE"""),1.0)</f>
        <v>1</v>
      </c>
    </row>
    <row r="5554">
      <c r="A5554" s="10" t="str">
        <f>IFERROR(__xludf.DUMMYFUNCTION("""COMPUTED_VALUE"""),"棒角")</f>
        <v>棒角</v>
      </c>
      <c r="B5554" s="10">
        <f>IFERROR(__xludf.DUMMYFUNCTION("""COMPUTED_VALUE"""),755.0)</f>
        <v>755</v>
      </c>
      <c r="C5554" s="10">
        <f>IFERROR(__xludf.DUMMYFUNCTION("""COMPUTED_VALUE"""),9108.0)</f>
        <v>9108</v>
      </c>
      <c r="D5554" s="5">
        <f>IFERROR(__xludf.DUMMYFUNCTION("""COMPUTED_VALUE"""),0.2723572369208668)</f>
        <v>0.2723572369</v>
      </c>
      <c r="E5554" s="5">
        <f>IFERROR(__xludf.DUMMYFUNCTION("""COMPUTED_VALUE"""),0.1010415419609721)</f>
        <v>0.101041542</v>
      </c>
      <c r="F5554" s="5">
        <f>IFERROR(__xludf.DUMMYFUNCTION("""COMPUTED_VALUE"""),0.19573805818268886)</f>
        <v>0.1957380582</v>
      </c>
      <c r="G5554" s="5">
        <f>IFERROR(__xludf.DUMMYFUNCTION("""COMPUTED_VALUE"""),0.10870345983478989)</f>
        <v>0.1087034598</v>
      </c>
      <c r="H5554" s="5">
        <f>IFERROR(__xludf.DUMMYFUNCTION("""COMPUTED_VALUE"""),0.6122324159021407)</f>
        <v>0.6122324159</v>
      </c>
      <c r="I5554" s="11">
        <f>IFERROR(__xludf.DUMMYFUNCTION("""COMPUTED_VALUE"""),5576.880733944954)</f>
        <v>5576.880734</v>
      </c>
      <c r="J5554" s="10">
        <f>IFERROR(__xludf.DUMMYFUNCTION("""COMPUTED_VALUE"""),2.0)</f>
        <v>2</v>
      </c>
      <c r="K5554" s="5">
        <f>IFERROR(__xludf.DUMMYFUNCTION("""COMPUTED_VALUE"""),0.0026490066225165563)</f>
        <v>0.002649006623</v>
      </c>
      <c r="L5554" s="10">
        <f>IFERROR(__xludf.DUMMYFUNCTION("""COMPUTED_VALUE"""),755.0)</f>
        <v>755</v>
      </c>
      <c r="M5554" s="5">
        <f>IFERROR(__xludf.DUMMYFUNCTION("""COMPUTED_VALUE"""),1.0)</f>
        <v>1</v>
      </c>
    </row>
    <row r="5555">
      <c r="A5555" s="10" t="str">
        <f>IFERROR(__xludf.DUMMYFUNCTION("""COMPUTED_VALUE"""),"kusagame")</f>
        <v>kusagame</v>
      </c>
      <c r="B5555" s="10">
        <f>IFERROR(__xludf.DUMMYFUNCTION("""COMPUTED_VALUE"""),1370.0)</f>
        <v>1370</v>
      </c>
      <c r="C5555" s="10">
        <f>IFERROR(__xludf.DUMMYFUNCTION("""COMPUTED_VALUE"""),16061.0)</f>
        <v>16061</v>
      </c>
      <c r="D5555" s="5">
        <f>IFERROR(__xludf.DUMMYFUNCTION("""COMPUTED_VALUE"""),0.3270029269620856)</f>
        <v>0.327002927</v>
      </c>
      <c r="E5555" s="5">
        <f>IFERROR(__xludf.DUMMYFUNCTION("""COMPUTED_VALUE"""),0.10101422639711388)</f>
        <v>0.1010142264</v>
      </c>
      <c r="F5555" s="5">
        <f>IFERROR(__xludf.DUMMYFUNCTION("""COMPUTED_VALUE"""),0.19549383976584303)</f>
        <v>0.1954938398</v>
      </c>
      <c r="G5555" s="5">
        <f>IFERROR(__xludf.DUMMYFUNCTION("""COMPUTED_VALUE"""),0.17085290313797563)</f>
        <v>0.1708529031</v>
      </c>
      <c r="H5555" s="5">
        <f>IFERROR(__xludf.DUMMYFUNCTION("""COMPUTED_VALUE"""),0.5828690807799443)</f>
        <v>0.5828690808</v>
      </c>
      <c r="I5555" s="11">
        <f>IFERROR(__xludf.DUMMYFUNCTION("""COMPUTED_VALUE"""),5918.732590529248)</f>
        <v>5918.732591</v>
      </c>
      <c r="J5555" s="10">
        <f>IFERROR(__xludf.DUMMYFUNCTION("""COMPUTED_VALUE"""),1.0)</f>
        <v>1</v>
      </c>
      <c r="K5555" s="5">
        <f>IFERROR(__xludf.DUMMYFUNCTION("""COMPUTED_VALUE"""),7.2992700729927E-4)</f>
        <v>0.0007299270073</v>
      </c>
      <c r="L5555" s="10">
        <f>IFERROR(__xludf.DUMMYFUNCTION("""COMPUTED_VALUE"""),1370.0)</f>
        <v>1370</v>
      </c>
      <c r="M5555" s="5">
        <f>IFERROR(__xludf.DUMMYFUNCTION("""COMPUTED_VALUE"""),1.0)</f>
        <v>1</v>
      </c>
    </row>
    <row r="5556">
      <c r="A5556" s="10" t="str">
        <f>IFERROR(__xludf.DUMMYFUNCTION("""COMPUTED_VALUE"""),"南斗のレイ")</f>
        <v>南斗のレイ</v>
      </c>
      <c r="B5556" s="10">
        <f>IFERROR(__xludf.DUMMYFUNCTION("""COMPUTED_VALUE"""),751.0)</f>
        <v>751</v>
      </c>
      <c r="C5556" s="10">
        <f>IFERROR(__xludf.DUMMYFUNCTION("""COMPUTED_VALUE"""),8905.0)</f>
        <v>8905</v>
      </c>
      <c r="D5556" s="5">
        <f>IFERROR(__xludf.DUMMYFUNCTION("""COMPUTED_VALUE"""),0.3258523424086338)</f>
        <v>0.3258523424</v>
      </c>
      <c r="E5556" s="5">
        <f>IFERROR(__xludf.DUMMYFUNCTION("""COMPUTED_VALUE"""),0.10093205788570027)</f>
        <v>0.1009320579</v>
      </c>
      <c r="F5556" s="5">
        <f>IFERROR(__xludf.DUMMYFUNCTION("""COMPUTED_VALUE"""),0.194383124846701)</f>
        <v>0.1943831248</v>
      </c>
      <c r="G5556" s="5">
        <f>IFERROR(__xludf.DUMMYFUNCTION("""COMPUTED_VALUE"""),0.12521461859210203)</f>
        <v>0.1252146186</v>
      </c>
      <c r="H5556" s="5">
        <f>IFERROR(__xludf.DUMMYFUNCTION("""COMPUTED_VALUE"""),0.5936908517350158)</f>
        <v>0.5936908517</v>
      </c>
      <c r="I5556" s="11">
        <f>IFERROR(__xludf.DUMMYFUNCTION("""COMPUTED_VALUE"""),5575.83596214511)</f>
        <v>5575.835962</v>
      </c>
      <c r="J5556" s="10">
        <f>IFERROR(__xludf.DUMMYFUNCTION("""COMPUTED_VALUE"""),0.0)</f>
        <v>0</v>
      </c>
      <c r="K5556" s="5">
        <f>IFERROR(__xludf.DUMMYFUNCTION("""COMPUTED_VALUE"""),0.0)</f>
        <v>0</v>
      </c>
      <c r="L5556" s="10">
        <f>IFERROR(__xludf.DUMMYFUNCTION("""COMPUTED_VALUE"""),751.0)</f>
        <v>751</v>
      </c>
      <c r="M5556" s="5">
        <f>IFERROR(__xludf.DUMMYFUNCTION("""COMPUTED_VALUE"""),1.0)</f>
        <v>1</v>
      </c>
    </row>
    <row r="5557">
      <c r="A5557" s="10" t="str">
        <f>IFERROR(__xludf.DUMMYFUNCTION("""COMPUTED_VALUE"""),"ふざけるミ！")</f>
        <v>ふざけるミ！</v>
      </c>
      <c r="B5557" s="10">
        <f>IFERROR(__xludf.DUMMYFUNCTION("""COMPUTED_VALUE"""),2385.0)</f>
        <v>2385</v>
      </c>
      <c r="C5557" s="10">
        <f>IFERROR(__xludf.DUMMYFUNCTION("""COMPUTED_VALUE"""),28192.0)</f>
        <v>28192</v>
      </c>
      <c r="D5557" s="5">
        <f>IFERROR(__xludf.DUMMYFUNCTION("""COMPUTED_VALUE"""),0.3649397450304181)</f>
        <v>0.364939745</v>
      </c>
      <c r="E5557" s="5">
        <f>IFERROR(__xludf.DUMMYFUNCTION("""COMPUTED_VALUE"""),0.10086410663773394)</f>
        <v>0.1008641066</v>
      </c>
      <c r="F5557" s="5">
        <f>IFERROR(__xludf.DUMMYFUNCTION("""COMPUTED_VALUE"""),0.2018057116286279)</f>
        <v>0.2018057116</v>
      </c>
      <c r="G5557" s="5">
        <f>IFERROR(__xludf.DUMMYFUNCTION("""COMPUTED_VALUE"""),0.1397682799240516)</f>
        <v>0.1397682799</v>
      </c>
      <c r="H5557" s="5">
        <f>IFERROR(__xludf.DUMMYFUNCTION("""COMPUTED_VALUE"""),0.6006144393241167)</f>
        <v>0.6006144393</v>
      </c>
      <c r="I5557" s="11">
        <f>IFERROR(__xludf.DUMMYFUNCTION("""COMPUTED_VALUE"""),5509.639016897081)</f>
        <v>5509.639017</v>
      </c>
      <c r="J5557" s="10">
        <f>IFERROR(__xludf.DUMMYFUNCTION("""COMPUTED_VALUE"""),3.0)</f>
        <v>3</v>
      </c>
      <c r="K5557" s="5">
        <f>IFERROR(__xludf.DUMMYFUNCTION("""COMPUTED_VALUE"""),0.0012578616352201257)</f>
        <v>0.001257861635</v>
      </c>
      <c r="L5557" s="10">
        <f>IFERROR(__xludf.DUMMYFUNCTION("""COMPUTED_VALUE"""),1074.0)</f>
        <v>1074</v>
      </c>
      <c r="M5557" s="5">
        <f>IFERROR(__xludf.DUMMYFUNCTION("""COMPUTED_VALUE"""),0.45031446540880504)</f>
        <v>0.4503144654</v>
      </c>
    </row>
    <row r="5558">
      <c r="A5558" s="10" t="str">
        <f>IFERROR(__xludf.DUMMYFUNCTION("""COMPUTED_VALUE"""),"無月散水")</f>
        <v>無月散水</v>
      </c>
      <c r="B5558" s="10">
        <f>IFERROR(__xludf.DUMMYFUNCTION("""COMPUTED_VALUE"""),238.0)</f>
        <v>238</v>
      </c>
      <c r="C5558" s="10">
        <f>IFERROR(__xludf.DUMMYFUNCTION("""COMPUTED_VALUE"""),2816.0)</f>
        <v>2816</v>
      </c>
      <c r="D5558" s="5">
        <f>IFERROR(__xludf.DUMMYFUNCTION("""COMPUTED_VALUE"""),0.3351435221101629)</f>
        <v>0.3351435221</v>
      </c>
      <c r="E5558" s="5">
        <f>IFERROR(__xludf.DUMMYFUNCTION("""COMPUTED_VALUE"""),0.1008533747090768)</f>
        <v>0.1008533747</v>
      </c>
      <c r="F5558" s="5">
        <f>IFERROR(__xludf.DUMMYFUNCTION("""COMPUTED_VALUE"""),0.21838634600465476)</f>
        <v>0.218386346</v>
      </c>
      <c r="G5558" s="5">
        <f>IFERROR(__xludf.DUMMYFUNCTION("""COMPUTED_VALUE"""),0.17494181536074477)</f>
        <v>0.1749418154</v>
      </c>
      <c r="H5558" s="5">
        <f>IFERROR(__xludf.DUMMYFUNCTION("""COMPUTED_VALUE"""),0.6198934280639432)</f>
        <v>0.6198934281</v>
      </c>
      <c r="I5558" s="11">
        <f>IFERROR(__xludf.DUMMYFUNCTION("""COMPUTED_VALUE"""),5382.948490230906)</f>
        <v>5382.94849</v>
      </c>
      <c r="J5558" s="10">
        <f>IFERROR(__xludf.DUMMYFUNCTION("""COMPUTED_VALUE"""),0.0)</f>
        <v>0</v>
      </c>
      <c r="K5558" s="5">
        <f>IFERROR(__xludf.DUMMYFUNCTION("""COMPUTED_VALUE"""),0.0)</f>
        <v>0</v>
      </c>
      <c r="L5558" s="10">
        <f>IFERROR(__xludf.DUMMYFUNCTION("""COMPUTED_VALUE"""),0.0)</f>
        <v>0</v>
      </c>
      <c r="M5558" s="5">
        <f>IFERROR(__xludf.DUMMYFUNCTION("""COMPUTED_VALUE"""),0.0)</f>
        <v>0</v>
      </c>
    </row>
    <row r="5559">
      <c r="A5559" s="10" t="str">
        <f>IFERROR(__xludf.DUMMYFUNCTION("""COMPUTED_VALUE"""),"ゆゆ")</f>
        <v>ゆゆ</v>
      </c>
      <c r="B5559" s="10">
        <f>IFERROR(__xludf.DUMMYFUNCTION("""COMPUTED_VALUE"""),166.0)</f>
        <v>166</v>
      </c>
      <c r="C5559" s="10">
        <f>IFERROR(__xludf.DUMMYFUNCTION("""COMPUTED_VALUE"""),1953.0)</f>
        <v>1953</v>
      </c>
      <c r="D5559" s="5">
        <f>IFERROR(__xludf.DUMMYFUNCTION("""COMPUTED_VALUE"""),0.25797425853385564)</f>
        <v>0.2579742585</v>
      </c>
      <c r="E5559" s="5">
        <f>IFERROR(__xludf.DUMMYFUNCTION("""COMPUTED_VALUE"""),0.10072747621712368)</f>
        <v>0.1007274762</v>
      </c>
      <c r="F5559" s="5">
        <f>IFERROR(__xludf.DUMMYFUNCTION("""COMPUTED_VALUE"""),0.161723559037493)</f>
        <v>0.161723559</v>
      </c>
      <c r="G5559" s="5">
        <f>IFERROR(__xludf.DUMMYFUNCTION("""COMPUTED_VALUE"""),0.13766088416340236)</f>
        <v>0.1376608842</v>
      </c>
      <c r="H5559" s="5">
        <f>IFERROR(__xludf.DUMMYFUNCTION("""COMPUTED_VALUE"""),0.5570934256055363)</f>
        <v>0.5570934256</v>
      </c>
      <c r="I5559" s="11">
        <f>IFERROR(__xludf.DUMMYFUNCTION("""COMPUTED_VALUE"""),6039.100346020761)</f>
        <v>6039.100346</v>
      </c>
      <c r="J5559" s="10">
        <f>IFERROR(__xludf.DUMMYFUNCTION("""COMPUTED_VALUE"""),0.0)</f>
        <v>0</v>
      </c>
      <c r="K5559" s="5">
        <f>IFERROR(__xludf.DUMMYFUNCTION("""COMPUTED_VALUE"""),0.0)</f>
        <v>0</v>
      </c>
      <c r="L5559" s="10">
        <f>IFERROR(__xludf.DUMMYFUNCTION("""COMPUTED_VALUE"""),166.0)</f>
        <v>166</v>
      </c>
      <c r="M5559" s="5">
        <f>IFERROR(__xludf.DUMMYFUNCTION("""COMPUTED_VALUE"""),1.0)</f>
        <v>1</v>
      </c>
    </row>
    <row r="5560">
      <c r="A5560" s="10" t="str">
        <f>IFERROR(__xludf.DUMMYFUNCTION("""COMPUTED_VALUE"""),"クレ")</f>
        <v>クレ</v>
      </c>
      <c r="B5560" s="10">
        <f>IFERROR(__xludf.DUMMYFUNCTION("""COMPUTED_VALUE"""),278.0)</f>
        <v>278</v>
      </c>
      <c r="C5560" s="10">
        <f>IFERROR(__xludf.DUMMYFUNCTION("""COMPUTED_VALUE"""),3278.0)</f>
        <v>3278</v>
      </c>
      <c r="D5560" s="5">
        <f>IFERROR(__xludf.DUMMYFUNCTION("""COMPUTED_VALUE"""),0.30866666666666664)</f>
        <v>0.3086666667</v>
      </c>
      <c r="E5560" s="5">
        <f>IFERROR(__xludf.DUMMYFUNCTION("""COMPUTED_VALUE"""),0.10066666666666667)</f>
        <v>0.1006666667</v>
      </c>
      <c r="F5560" s="5">
        <f>IFERROR(__xludf.DUMMYFUNCTION("""COMPUTED_VALUE"""),0.20066666666666666)</f>
        <v>0.2006666667</v>
      </c>
      <c r="G5560" s="5">
        <f>IFERROR(__xludf.DUMMYFUNCTION("""COMPUTED_VALUE"""),0.15133333333333332)</f>
        <v>0.1513333333</v>
      </c>
      <c r="H5560" s="5">
        <f>IFERROR(__xludf.DUMMYFUNCTION("""COMPUTED_VALUE"""),0.5581395348837209)</f>
        <v>0.5581395349</v>
      </c>
      <c r="I5560" s="11">
        <f>IFERROR(__xludf.DUMMYFUNCTION("""COMPUTED_VALUE"""),5654.817275747509)</f>
        <v>5654.817276</v>
      </c>
      <c r="J5560" s="10">
        <f>IFERROR(__xludf.DUMMYFUNCTION("""COMPUTED_VALUE"""),0.0)</f>
        <v>0</v>
      </c>
      <c r="K5560" s="5">
        <f>IFERROR(__xludf.DUMMYFUNCTION("""COMPUTED_VALUE"""),0.0)</f>
        <v>0</v>
      </c>
      <c r="L5560" s="10">
        <f>IFERROR(__xludf.DUMMYFUNCTION("""COMPUTED_VALUE"""),278.0)</f>
        <v>278</v>
      </c>
      <c r="M5560" s="5">
        <f>IFERROR(__xludf.DUMMYFUNCTION("""COMPUTED_VALUE"""),1.0)</f>
        <v>1</v>
      </c>
    </row>
    <row r="5561">
      <c r="A5561" s="10" t="str">
        <f>IFERROR(__xludf.DUMMYFUNCTION("""COMPUTED_VALUE"""),"Cre.C")</f>
        <v>Cre.C</v>
      </c>
      <c r="B5561" s="10">
        <f>IFERROR(__xludf.DUMMYFUNCTION("""COMPUTED_VALUE"""),220.0)</f>
        <v>220</v>
      </c>
      <c r="C5561" s="10">
        <f>IFERROR(__xludf.DUMMYFUNCTION("""COMPUTED_VALUE"""),2565.0)</f>
        <v>2565</v>
      </c>
      <c r="D5561" s="5">
        <f>IFERROR(__xludf.DUMMYFUNCTION("""COMPUTED_VALUE"""),0.32452025586353944)</f>
        <v>0.3245202559</v>
      </c>
      <c r="E5561" s="5">
        <f>IFERROR(__xludf.DUMMYFUNCTION("""COMPUTED_VALUE"""),0.10063965884861407)</f>
        <v>0.1006396588</v>
      </c>
      <c r="F5561" s="5">
        <f>IFERROR(__xludf.DUMMYFUNCTION("""COMPUTED_VALUE"""),0.20298507462686566)</f>
        <v>0.2029850746</v>
      </c>
      <c r="G5561" s="5">
        <f>IFERROR(__xludf.DUMMYFUNCTION("""COMPUTED_VALUE"""),0.14925373134328357)</f>
        <v>0.1492537313</v>
      </c>
      <c r="H5561" s="5">
        <f>IFERROR(__xludf.DUMMYFUNCTION("""COMPUTED_VALUE"""),0.6176470588235294)</f>
        <v>0.6176470588</v>
      </c>
      <c r="I5561" s="11">
        <f>IFERROR(__xludf.DUMMYFUNCTION("""COMPUTED_VALUE"""),6017.64705882353)</f>
        <v>6017.647059</v>
      </c>
      <c r="J5561" s="10">
        <f>IFERROR(__xludf.DUMMYFUNCTION("""COMPUTED_VALUE"""),0.0)</f>
        <v>0</v>
      </c>
      <c r="K5561" s="5">
        <f>IFERROR(__xludf.DUMMYFUNCTION("""COMPUTED_VALUE"""),0.0)</f>
        <v>0</v>
      </c>
      <c r="L5561" s="10">
        <f>IFERROR(__xludf.DUMMYFUNCTION("""COMPUTED_VALUE"""),0.0)</f>
        <v>0</v>
      </c>
      <c r="M5561" s="5">
        <f>IFERROR(__xludf.DUMMYFUNCTION("""COMPUTED_VALUE"""),0.0)</f>
        <v>0</v>
      </c>
    </row>
    <row r="5562">
      <c r="A5562" s="10" t="str">
        <f>IFERROR(__xludf.DUMMYFUNCTION("""COMPUTED_VALUE"""),"水内魚来奈")</f>
        <v>水内魚来奈</v>
      </c>
      <c r="B5562" s="10">
        <f>IFERROR(__xludf.DUMMYFUNCTION("""COMPUTED_VALUE"""),259.0)</f>
        <v>259</v>
      </c>
      <c r="C5562" s="10">
        <f>IFERROR(__xludf.DUMMYFUNCTION("""COMPUTED_VALUE"""),3046.0)</f>
        <v>3046</v>
      </c>
      <c r="D5562" s="5">
        <f>IFERROR(__xludf.DUMMYFUNCTION("""COMPUTED_VALUE"""),0.3527090060997488)</f>
        <v>0.3527090061</v>
      </c>
      <c r="E5562" s="5">
        <f>IFERROR(__xludf.DUMMYFUNCTION("""COMPUTED_VALUE"""),0.1004664513814137)</f>
        <v>0.1004664514</v>
      </c>
      <c r="F5562" s="5">
        <f>IFERROR(__xludf.DUMMYFUNCTION("""COMPUTED_VALUE"""),0.1987800502332257)</f>
        <v>0.1987800502</v>
      </c>
      <c r="G5562" s="5">
        <f>IFERROR(__xludf.DUMMYFUNCTION("""COMPUTED_VALUE"""),0.14926444205238606)</f>
        <v>0.1492644421</v>
      </c>
      <c r="H5562" s="5">
        <f>IFERROR(__xludf.DUMMYFUNCTION("""COMPUTED_VALUE"""),0.6173285198555957)</f>
        <v>0.6173285199</v>
      </c>
      <c r="I5562" s="11">
        <f>IFERROR(__xludf.DUMMYFUNCTION("""COMPUTED_VALUE"""),5864.620938628159)</f>
        <v>5864.620939</v>
      </c>
      <c r="J5562" s="10">
        <f>IFERROR(__xludf.DUMMYFUNCTION("""COMPUTED_VALUE"""),0.0)</f>
        <v>0</v>
      </c>
      <c r="K5562" s="5">
        <f>IFERROR(__xludf.DUMMYFUNCTION("""COMPUTED_VALUE"""),0.0)</f>
        <v>0</v>
      </c>
      <c r="L5562" s="10">
        <f>IFERROR(__xludf.DUMMYFUNCTION("""COMPUTED_VALUE"""),0.0)</f>
        <v>0</v>
      </c>
      <c r="M5562" s="5">
        <f>IFERROR(__xludf.DUMMYFUNCTION("""COMPUTED_VALUE"""),0.0)</f>
        <v>0</v>
      </c>
    </row>
    <row r="5563">
      <c r="A5563" s="10" t="str">
        <f>IFERROR(__xludf.DUMMYFUNCTION("""COMPUTED_VALUE"""),"はあ")</f>
        <v>はあ</v>
      </c>
      <c r="B5563" s="10">
        <f>IFERROR(__xludf.DUMMYFUNCTION("""COMPUTED_VALUE"""),123.0)</f>
        <v>123</v>
      </c>
      <c r="C5563" s="10">
        <f>IFERROR(__xludf.DUMMYFUNCTION("""COMPUTED_VALUE"""),1447.0)</f>
        <v>1447</v>
      </c>
      <c r="D5563" s="5">
        <f>IFERROR(__xludf.DUMMYFUNCTION("""COMPUTED_VALUE"""),0.35196374622356497)</f>
        <v>0.3519637462</v>
      </c>
      <c r="E5563" s="5">
        <f>IFERROR(__xludf.DUMMYFUNCTION("""COMPUTED_VALUE"""),0.10045317220543806)</f>
        <v>0.1004531722</v>
      </c>
      <c r="F5563" s="5">
        <f>IFERROR(__xludf.DUMMYFUNCTION("""COMPUTED_VALUE"""),0.21450151057401812)</f>
        <v>0.2145015106</v>
      </c>
      <c r="G5563" s="5">
        <f>IFERROR(__xludf.DUMMYFUNCTION("""COMPUTED_VALUE"""),0.19637462235649547)</f>
        <v>0.1963746224</v>
      </c>
      <c r="H5563" s="5">
        <f>IFERROR(__xludf.DUMMYFUNCTION("""COMPUTED_VALUE"""),0.6267605633802817)</f>
        <v>0.6267605634</v>
      </c>
      <c r="I5563" s="11">
        <f>IFERROR(__xludf.DUMMYFUNCTION("""COMPUTED_VALUE"""),5754.577464788732)</f>
        <v>5754.577465</v>
      </c>
      <c r="J5563" s="10">
        <f>IFERROR(__xludf.DUMMYFUNCTION("""COMPUTED_VALUE"""),0.0)</f>
        <v>0</v>
      </c>
      <c r="K5563" s="5">
        <f>IFERROR(__xludf.DUMMYFUNCTION("""COMPUTED_VALUE"""),0.0)</f>
        <v>0</v>
      </c>
      <c r="L5563" s="10">
        <f>IFERROR(__xludf.DUMMYFUNCTION("""COMPUTED_VALUE"""),122.0)</f>
        <v>122</v>
      </c>
      <c r="M5563" s="5">
        <f>IFERROR(__xludf.DUMMYFUNCTION("""COMPUTED_VALUE"""),0.991869918699187)</f>
        <v>0.9918699187</v>
      </c>
    </row>
    <row r="5564">
      <c r="A5564" s="10" t="str">
        <f>IFERROR(__xludf.DUMMYFUNCTION("""COMPUTED_VALUE"""),"いんぱち")</f>
        <v>いんぱち</v>
      </c>
      <c r="B5564" s="10">
        <f>IFERROR(__xludf.DUMMYFUNCTION("""COMPUTED_VALUE"""),137.0)</f>
        <v>137</v>
      </c>
      <c r="C5564" s="10">
        <f>IFERROR(__xludf.DUMMYFUNCTION("""COMPUTED_VALUE"""),1603.0)</f>
        <v>1603</v>
      </c>
      <c r="D5564" s="5">
        <f>IFERROR(__xludf.DUMMYFUNCTION("""COMPUTED_VALUE"""),0.3472032742155525)</f>
        <v>0.3472032742</v>
      </c>
      <c r="E5564" s="5">
        <f>IFERROR(__xludf.DUMMYFUNCTION("""COMPUTED_VALUE"""),0.10027285129604366)</f>
        <v>0.1002728513</v>
      </c>
      <c r="F5564" s="5">
        <f>IFERROR(__xludf.DUMMYFUNCTION("""COMPUTED_VALUE"""),0.1971350613915416)</f>
        <v>0.1971350614</v>
      </c>
      <c r="G5564" s="5">
        <f>IFERROR(__xludf.DUMMYFUNCTION("""COMPUTED_VALUE"""),0.1548431105047749)</f>
        <v>0.1548431105</v>
      </c>
      <c r="H5564" s="5">
        <f>IFERROR(__xludf.DUMMYFUNCTION("""COMPUTED_VALUE"""),0.5951557093425606)</f>
        <v>0.5951557093</v>
      </c>
      <c r="I5564" s="11">
        <f>IFERROR(__xludf.DUMMYFUNCTION("""COMPUTED_VALUE"""),6185.121107266436)</f>
        <v>6185.121107</v>
      </c>
      <c r="J5564" s="10">
        <f>IFERROR(__xludf.DUMMYFUNCTION("""COMPUTED_VALUE"""),0.0)</f>
        <v>0</v>
      </c>
      <c r="K5564" s="5">
        <f>IFERROR(__xludf.DUMMYFUNCTION("""COMPUTED_VALUE"""),0.0)</f>
        <v>0</v>
      </c>
      <c r="L5564" s="10">
        <f>IFERROR(__xludf.DUMMYFUNCTION("""COMPUTED_VALUE"""),68.0)</f>
        <v>68</v>
      </c>
      <c r="M5564" s="5">
        <f>IFERROR(__xludf.DUMMYFUNCTION("""COMPUTED_VALUE"""),0.49635036496350365)</f>
        <v>0.496350365</v>
      </c>
    </row>
    <row r="5565">
      <c r="A5565" s="10" t="str">
        <f>IFERROR(__xludf.DUMMYFUNCTION("""COMPUTED_VALUE"""),"むすんでひらいて")</f>
        <v>むすんでひらいて</v>
      </c>
      <c r="B5565" s="10">
        <f>IFERROR(__xludf.DUMMYFUNCTION("""COMPUTED_VALUE"""),394.0)</f>
        <v>394</v>
      </c>
      <c r="C5565" s="10">
        <f>IFERROR(__xludf.DUMMYFUNCTION("""COMPUTED_VALUE"""),4673.0)</f>
        <v>4673</v>
      </c>
      <c r="D5565" s="5">
        <f>IFERROR(__xludf.DUMMYFUNCTION("""COMPUTED_VALUE"""),0.3365272259873802)</f>
        <v>0.336527226</v>
      </c>
      <c r="E5565" s="5">
        <f>IFERROR(__xludf.DUMMYFUNCTION("""COMPUTED_VALUE"""),0.10025706940874037)</f>
        <v>0.1002570694</v>
      </c>
      <c r="F5565" s="5">
        <f>IFERROR(__xludf.DUMMYFUNCTION("""COMPUTED_VALUE"""),0.20892731946716522)</f>
        <v>0.2089273195</v>
      </c>
      <c r="G5565" s="5">
        <f>IFERROR(__xludf.DUMMYFUNCTION("""COMPUTED_VALUE"""),0.14723066136947885)</f>
        <v>0.1472306614</v>
      </c>
      <c r="H5565" s="5">
        <f>IFERROR(__xludf.DUMMYFUNCTION("""COMPUTED_VALUE"""),0.6017897091722595)</f>
        <v>0.6017897092</v>
      </c>
      <c r="I5565" s="11">
        <f>IFERROR(__xludf.DUMMYFUNCTION("""COMPUTED_VALUE"""),5276.398210290828)</f>
        <v>5276.39821</v>
      </c>
      <c r="J5565" s="10">
        <f>IFERROR(__xludf.DUMMYFUNCTION("""COMPUTED_VALUE"""),0.0)</f>
        <v>0</v>
      </c>
      <c r="K5565" s="5">
        <f>IFERROR(__xludf.DUMMYFUNCTION("""COMPUTED_VALUE"""),0.0)</f>
        <v>0</v>
      </c>
      <c r="L5565" s="10">
        <f>IFERROR(__xludf.DUMMYFUNCTION("""COMPUTED_VALUE"""),394.0)</f>
        <v>394</v>
      </c>
      <c r="M5565" s="5">
        <f>IFERROR(__xludf.DUMMYFUNCTION("""COMPUTED_VALUE"""),1.0)</f>
        <v>1</v>
      </c>
    </row>
    <row r="5566">
      <c r="A5566" s="10" t="str">
        <f>IFERROR(__xludf.DUMMYFUNCTION("""COMPUTED_VALUE"""),"-avatar-")</f>
        <v>-avatar-</v>
      </c>
      <c r="B5566" s="10">
        <f>IFERROR(__xludf.DUMMYFUNCTION("""COMPUTED_VALUE"""),445.0)</f>
        <v>445</v>
      </c>
      <c r="C5566" s="10">
        <f>IFERROR(__xludf.DUMMYFUNCTION("""COMPUTED_VALUE"""),5243.0)</f>
        <v>5243</v>
      </c>
      <c r="D5566" s="5">
        <f>IFERROR(__xludf.DUMMYFUNCTION("""COMPUTED_VALUE"""),0.19424760316798667)</f>
        <v>0.1942476032</v>
      </c>
      <c r="E5566" s="5">
        <f>IFERROR(__xludf.DUMMYFUNCTION("""COMPUTED_VALUE"""),0.10025010421008754)</f>
        <v>0.1002501042</v>
      </c>
      <c r="F5566" s="5">
        <f>IFERROR(__xludf.DUMMYFUNCTION("""COMPUTED_VALUE"""),0.16340141725719048)</f>
        <v>0.1634014173</v>
      </c>
      <c r="G5566" s="5">
        <f>IFERROR(__xludf.DUMMYFUNCTION("""COMPUTED_VALUE"""),0.1342225927469779)</f>
        <v>0.1342225927</v>
      </c>
      <c r="H5566" s="5">
        <f>IFERROR(__xludf.DUMMYFUNCTION("""COMPUTED_VALUE"""),0.6020408163265306)</f>
        <v>0.6020408163</v>
      </c>
      <c r="I5566" s="11">
        <f>IFERROR(__xludf.DUMMYFUNCTION("""COMPUTED_VALUE"""),6683.163265306122)</f>
        <v>6683.163265</v>
      </c>
      <c r="J5566" s="10">
        <f>IFERROR(__xludf.DUMMYFUNCTION("""COMPUTED_VALUE"""),4.0)</f>
        <v>4</v>
      </c>
      <c r="K5566" s="5">
        <f>IFERROR(__xludf.DUMMYFUNCTION("""COMPUTED_VALUE"""),0.008988764044943821)</f>
        <v>0.008988764045</v>
      </c>
      <c r="L5566" s="10">
        <f>IFERROR(__xludf.DUMMYFUNCTION("""COMPUTED_VALUE"""),445.0)</f>
        <v>445</v>
      </c>
      <c r="M5566" s="5">
        <f>IFERROR(__xludf.DUMMYFUNCTION("""COMPUTED_VALUE"""),1.0)</f>
        <v>1</v>
      </c>
    </row>
    <row r="5567">
      <c r="A5567" s="10" t="str">
        <f>IFERROR(__xludf.DUMMYFUNCTION("""COMPUTED_VALUE"""),"ちょろの助")</f>
        <v>ちょろの助</v>
      </c>
      <c r="B5567" s="10">
        <f>IFERROR(__xludf.DUMMYFUNCTION("""COMPUTED_VALUE"""),147.0)</f>
        <v>147</v>
      </c>
      <c r="C5567" s="10">
        <f>IFERROR(__xludf.DUMMYFUNCTION("""COMPUTED_VALUE"""),1724.0)</f>
        <v>1724</v>
      </c>
      <c r="D5567" s="5">
        <f>IFERROR(__xludf.DUMMYFUNCTION("""COMPUTED_VALUE"""),0.37983512999365887)</f>
        <v>0.37983513</v>
      </c>
      <c r="E5567" s="5">
        <f>IFERROR(__xludf.DUMMYFUNCTION("""COMPUTED_VALUE"""),0.10019023462270134)</f>
        <v>0.1001902346</v>
      </c>
      <c r="F5567" s="5">
        <f>IFERROR(__xludf.DUMMYFUNCTION("""COMPUTED_VALUE"""),0.20545339251743816)</f>
        <v>0.2054533925</v>
      </c>
      <c r="G5567" s="5">
        <f>IFERROR(__xludf.DUMMYFUNCTION("""COMPUTED_VALUE"""),0.14331008243500318)</f>
        <v>0.1433100824</v>
      </c>
      <c r="H5567" s="5">
        <f>IFERROR(__xludf.DUMMYFUNCTION("""COMPUTED_VALUE"""),0.5925925925925926)</f>
        <v>0.5925925926</v>
      </c>
      <c r="I5567" s="11">
        <f>IFERROR(__xludf.DUMMYFUNCTION("""COMPUTED_VALUE"""),5726.851851851852)</f>
        <v>5726.851852</v>
      </c>
      <c r="J5567" s="10">
        <f>IFERROR(__xludf.DUMMYFUNCTION("""COMPUTED_VALUE"""),1.0)</f>
        <v>1</v>
      </c>
      <c r="K5567" s="5">
        <f>IFERROR(__xludf.DUMMYFUNCTION("""COMPUTED_VALUE"""),0.006802721088435374)</f>
        <v>0.006802721088</v>
      </c>
      <c r="L5567" s="10">
        <f>IFERROR(__xludf.DUMMYFUNCTION("""COMPUTED_VALUE"""),0.0)</f>
        <v>0</v>
      </c>
      <c r="M5567" s="5">
        <f>IFERROR(__xludf.DUMMYFUNCTION("""COMPUTED_VALUE"""),0.0)</f>
        <v>0</v>
      </c>
    </row>
    <row r="5568">
      <c r="A5568" s="10" t="str">
        <f>IFERROR(__xludf.DUMMYFUNCTION("""COMPUTED_VALUE"""),"ずう")</f>
        <v>ずう</v>
      </c>
      <c r="B5568" s="10">
        <f>IFERROR(__xludf.DUMMYFUNCTION("""COMPUTED_VALUE"""),447.0)</f>
        <v>447</v>
      </c>
      <c r="C5568" s="10">
        <f>IFERROR(__xludf.DUMMYFUNCTION("""COMPUTED_VALUE"""),5389.0)</f>
        <v>5389</v>
      </c>
      <c r="D5568" s="5">
        <f>IFERROR(__xludf.DUMMYFUNCTION("""COMPUTED_VALUE"""),0.3601780655605018)</f>
        <v>0.3601780656</v>
      </c>
      <c r="E5568" s="5">
        <f>IFERROR(__xludf.DUMMYFUNCTION("""COMPUTED_VALUE"""),0.10016187778227438)</f>
        <v>0.1001618778</v>
      </c>
      <c r="F5568" s="5">
        <f>IFERROR(__xludf.DUMMYFUNCTION("""COMPUTED_VALUE"""),0.2009307972480777)</f>
        <v>0.2009307972</v>
      </c>
      <c r="G5568" s="5">
        <f>IFERROR(__xludf.DUMMYFUNCTION("""COMPUTED_VALUE"""),0.12950222581950627)</f>
        <v>0.1295022258</v>
      </c>
      <c r="H5568" s="5">
        <f>IFERROR(__xludf.DUMMYFUNCTION("""COMPUTED_VALUE"""),0.581067472306143)</f>
        <v>0.5810674723</v>
      </c>
      <c r="I5568" s="11">
        <f>IFERROR(__xludf.DUMMYFUNCTION("""COMPUTED_VALUE"""),5414.60221550856)</f>
        <v>5414.602216</v>
      </c>
      <c r="J5568" s="10">
        <f>IFERROR(__xludf.DUMMYFUNCTION("""COMPUTED_VALUE"""),2.0)</f>
        <v>2</v>
      </c>
      <c r="K5568" s="5">
        <f>IFERROR(__xludf.DUMMYFUNCTION("""COMPUTED_VALUE"""),0.0044742729306487695)</f>
        <v>0.004474272931</v>
      </c>
      <c r="L5568" s="10">
        <f>IFERROR(__xludf.DUMMYFUNCTION("""COMPUTED_VALUE"""),447.0)</f>
        <v>447</v>
      </c>
      <c r="M5568" s="5">
        <f>IFERROR(__xludf.DUMMYFUNCTION("""COMPUTED_VALUE"""),1.0)</f>
        <v>1</v>
      </c>
    </row>
    <row r="5569">
      <c r="A5569" s="10" t="str">
        <f>IFERROR(__xludf.DUMMYFUNCTION("""COMPUTED_VALUE"""),"とらきちふく")</f>
        <v>とらきちふく</v>
      </c>
      <c r="B5569" s="10">
        <f>IFERROR(__xludf.DUMMYFUNCTION("""COMPUTED_VALUE"""),251.0)</f>
        <v>251</v>
      </c>
      <c r="C5569" s="10">
        <f>IFERROR(__xludf.DUMMYFUNCTION("""COMPUTED_VALUE"""),2949.0)</f>
        <v>2949</v>
      </c>
      <c r="D5569" s="5">
        <f>IFERROR(__xludf.DUMMYFUNCTION("""COMPUTED_VALUE"""),0.31986656782802075)</f>
        <v>0.3198665678</v>
      </c>
      <c r="E5569" s="5">
        <f>IFERROR(__xludf.DUMMYFUNCTION("""COMPUTED_VALUE"""),0.10007412898443291)</f>
        <v>0.100074129</v>
      </c>
      <c r="F5569" s="5">
        <f>IFERROR(__xludf.DUMMYFUNCTION("""COMPUTED_VALUE"""),0.18977020014825796)</f>
        <v>0.1897702001</v>
      </c>
      <c r="G5569" s="5">
        <f>IFERROR(__xludf.DUMMYFUNCTION("""COMPUTED_VALUE"""),0.12527798369162343)</f>
        <v>0.1252779837</v>
      </c>
      <c r="H5569" s="5">
        <f>IFERROR(__xludf.DUMMYFUNCTION("""COMPUTED_VALUE"""),0.6328125)</f>
        <v>0.6328125</v>
      </c>
      <c r="I5569" s="11">
        <f>IFERROR(__xludf.DUMMYFUNCTION("""COMPUTED_VALUE"""),5564.453125)</f>
        <v>5564.453125</v>
      </c>
      <c r="J5569" s="10">
        <f>IFERROR(__xludf.DUMMYFUNCTION("""COMPUTED_VALUE"""),0.0)</f>
        <v>0</v>
      </c>
      <c r="K5569" s="5">
        <f>IFERROR(__xludf.DUMMYFUNCTION("""COMPUTED_VALUE"""),0.0)</f>
        <v>0</v>
      </c>
      <c r="L5569" s="10">
        <f>IFERROR(__xludf.DUMMYFUNCTION("""COMPUTED_VALUE"""),251.0)</f>
        <v>251</v>
      </c>
      <c r="M5569" s="5">
        <f>IFERROR(__xludf.DUMMYFUNCTION("""COMPUTED_VALUE"""),1.0)</f>
        <v>1</v>
      </c>
    </row>
    <row r="5570">
      <c r="A5570" s="10" t="str">
        <f>IFERROR(__xludf.DUMMYFUNCTION("""COMPUTED_VALUE"""),"math007")</f>
        <v>math007</v>
      </c>
      <c r="B5570" s="10">
        <f>IFERROR(__xludf.DUMMYFUNCTION("""COMPUTED_VALUE"""),151.0)</f>
        <v>151</v>
      </c>
      <c r="C5570" s="10">
        <f>IFERROR(__xludf.DUMMYFUNCTION("""COMPUTED_VALUE"""),1743.0)</f>
        <v>1743</v>
      </c>
      <c r="D5570" s="5">
        <f>IFERROR(__xludf.DUMMYFUNCTION("""COMPUTED_VALUE"""),0.35615577889447236)</f>
        <v>0.3561557789</v>
      </c>
      <c r="E5570" s="5">
        <f>IFERROR(__xludf.DUMMYFUNCTION("""COMPUTED_VALUE"""),0.09987437185929648)</f>
        <v>0.09987437186</v>
      </c>
      <c r="F5570" s="5">
        <f>IFERROR(__xludf.DUMMYFUNCTION("""COMPUTED_VALUE"""),0.2129396984924623)</f>
        <v>0.2129396985</v>
      </c>
      <c r="G5570" s="5">
        <f>IFERROR(__xludf.DUMMYFUNCTION("""COMPUTED_VALUE"""),0.16645728643216082)</f>
        <v>0.1664572864</v>
      </c>
      <c r="H5570" s="5">
        <f>IFERROR(__xludf.DUMMYFUNCTION("""COMPUTED_VALUE"""),0.5988200589970502)</f>
        <v>0.598820059</v>
      </c>
      <c r="I5570" s="11">
        <f>IFERROR(__xludf.DUMMYFUNCTION("""COMPUTED_VALUE"""),5298.82005899705)</f>
        <v>5298.820059</v>
      </c>
      <c r="J5570" s="10">
        <f>IFERROR(__xludf.DUMMYFUNCTION("""COMPUTED_VALUE"""),0.0)</f>
        <v>0</v>
      </c>
      <c r="K5570" s="5">
        <f>IFERROR(__xludf.DUMMYFUNCTION("""COMPUTED_VALUE"""),0.0)</f>
        <v>0</v>
      </c>
      <c r="L5570" s="10">
        <f>IFERROR(__xludf.DUMMYFUNCTION("""COMPUTED_VALUE"""),151.0)</f>
        <v>151</v>
      </c>
      <c r="M5570" s="5">
        <f>IFERROR(__xludf.DUMMYFUNCTION("""COMPUTED_VALUE"""),1.0)</f>
        <v>1</v>
      </c>
    </row>
    <row r="5571">
      <c r="A5571" s="10" t="str">
        <f>IFERROR(__xludf.DUMMYFUNCTION("""COMPUTED_VALUE"""),"春日かれん")</f>
        <v>春日かれん</v>
      </c>
      <c r="B5571" s="10">
        <f>IFERROR(__xludf.DUMMYFUNCTION("""COMPUTED_VALUE"""),105.0)</f>
        <v>105</v>
      </c>
      <c r="C5571" s="10">
        <f>IFERROR(__xludf.DUMMYFUNCTION("""COMPUTED_VALUE"""),1238.0)</f>
        <v>1238</v>
      </c>
      <c r="D5571" s="5">
        <f>IFERROR(__xludf.DUMMYFUNCTION("""COMPUTED_VALUE"""),0.20741394527802295)</f>
        <v>0.2074139453</v>
      </c>
      <c r="E5571" s="5">
        <f>IFERROR(__xludf.DUMMYFUNCTION("""COMPUTED_VALUE"""),0.0997352162400706)</f>
        <v>0.09973521624</v>
      </c>
      <c r="F5571" s="5">
        <f>IFERROR(__xludf.DUMMYFUNCTION("""COMPUTED_VALUE"""),0.17387466902030008)</f>
        <v>0.173874669</v>
      </c>
      <c r="G5571" s="5">
        <f>IFERROR(__xludf.DUMMYFUNCTION("""COMPUTED_VALUE"""),0.18446601941747573)</f>
        <v>0.1844660194</v>
      </c>
      <c r="H5571" s="5">
        <f>IFERROR(__xludf.DUMMYFUNCTION("""COMPUTED_VALUE"""),0.5431472081218274)</f>
        <v>0.5431472081</v>
      </c>
      <c r="I5571" s="11">
        <f>IFERROR(__xludf.DUMMYFUNCTION("""COMPUTED_VALUE"""),5970.05076142132)</f>
        <v>5970.050761</v>
      </c>
      <c r="J5571" s="10">
        <f>IFERROR(__xludf.DUMMYFUNCTION("""COMPUTED_VALUE"""),0.0)</f>
        <v>0</v>
      </c>
      <c r="K5571" s="5">
        <f>IFERROR(__xludf.DUMMYFUNCTION("""COMPUTED_VALUE"""),0.0)</f>
        <v>0</v>
      </c>
      <c r="L5571" s="10">
        <f>IFERROR(__xludf.DUMMYFUNCTION("""COMPUTED_VALUE"""),0.0)</f>
        <v>0</v>
      </c>
      <c r="M5571" s="5">
        <f>IFERROR(__xludf.DUMMYFUNCTION("""COMPUTED_VALUE"""),0.0)</f>
        <v>0</v>
      </c>
    </row>
    <row r="5572">
      <c r="A5572" s="10" t="str">
        <f>IFERROR(__xludf.DUMMYFUNCTION("""COMPUTED_VALUE"""),"にげたドレイ")</f>
        <v>にげたドレイ</v>
      </c>
      <c r="B5572" s="10">
        <f>IFERROR(__xludf.DUMMYFUNCTION("""COMPUTED_VALUE"""),132.0)</f>
        <v>132</v>
      </c>
      <c r="C5572" s="10">
        <f>IFERROR(__xludf.DUMMYFUNCTION("""COMPUTED_VALUE"""),1586.0)</f>
        <v>1586</v>
      </c>
      <c r="D5572" s="5">
        <f>IFERROR(__xludf.DUMMYFUNCTION("""COMPUTED_VALUE"""),0.30192572214580465)</f>
        <v>0.3019257221</v>
      </c>
      <c r="E5572" s="5">
        <f>IFERROR(__xludf.DUMMYFUNCTION("""COMPUTED_VALUE"""),0.09972489683631362)</f>
        <v>0.09972489684</v>
      </c>
      <c r="F5572" s="5">
        <f>IFERROR(__xludf.DUMMYFUNCTION("""COMPUTED_VALUE"""),0.19876203576341128)</f>
        <v>0.1987620358</v>
      </c>
      <c r="G5572" s="5">
        <f>IFERROR(__xludf.DUMMYFUNCTION("""COMPUTED_VALUE"""),0.19257221458046767)</f>
        <v>0.1925722146</v>
      </c>
      <c r="H5572" s="5">
        <f>IFERROR(__xludf.DUMMYFUNCTION("""COMPUTED_VALUE"""),0.5778546712802768)</f>
        <v>0.5778546713</v>
      </c>
      <c r="I5572" s="11">
        <f>IFERROR(__xludf.DUMMYFUNCTION("""COMPUTED_VALUE"""),6160.2076124567475)</f>
        <v>6160.207612</v>
      </c>
      <c r="J5572" s="10">
        <f>IFERROR(__xludf.DUMMYFUNCTION("""COMPUTED_VALUE"""),0.0)</f>
        <v>0</v>
      </c>
      <c r="K5572" s="5">
        <f>IFERROR(__xludf.DUMMYFUNCTION("""COMPUTED_VALUE"""),0.0)</f>
        <v>0</v>
      </c>
      <c r="L5572" s="10">
        <f>IFERROR(__xludf.DUMMYFUNCTION("""COMPUTED_VALUE"""),132.0)</f>
        <v>132</v>
      </c>
      <c r="M5572" s="5">
        <f>IFERROR(__xludf.DUMMYFUNCTION("""COMPUTED_VALUE"""),1.0)</f>
        <v>1</v>
      </c>
    </row>
    <row r="5573">
      <c r="A5573" s="10" t="str">
        <f>IFERROR(__xludf.DUMMYFUNCTION("""COMPUTED_VALUE"""),"落合")</f>
        <v>落合</v>
      </c>
      <c r="B5573" s="10">
        <f>IFERROR(__xludf.DUMMYFUNCTION("""COMPUTED_VALUE"""),362.0)</f>
        <v>362</v>
      </c>
      <c r="C5573" s="10">
        <f>IFERROR(__xludf.DUMMYFUNCTION("""COMPUTED_VALUE"""),4298.0)</f>
        <v>4298</v>
      </c>
      <c r="D5573" s="5">
        <f>IFERROR(__xludf.DUMMYFUNCTION("""COMPUTED_VALUE"""),0.3465447154471545)</f>
        <v>0.3465447154</v>
      </c>
      <c r="E5573" s="5">
        <f>IFERROR(__xludf.DUMMYFUNCTION("""COMPUTED_VALUE"""),0.09959349593495935)</f>
        <v>0.09959349593</v>
      </c>
      <c r="F5573" s="5">
        <f>IFERROR(__xludf.DUMMYFUNCTION("""COMPUTED_VALUE"""),0.21011178861788618)</f>
        <v>0.2101117886</v>
      </c>
      <c r="G5573" s="5">
        <f>IFERROR(__xludf.DUMMYFUNCTION("""COMPUTED_VALUE"""),0.13846544715447154)</f>
        <v>0.1384654472</v>
      </c>
      <c r="H5573" s="5">
        <f>IFERROR(__xludf.DUMMYFUNCTION("""COMPUTED_VALUE"""),0.596130592503023)</f>
        <v>0.5961305925</v>
      </c>
      <c r="I5573" s="11">
        <f>IFERROR(__xludf.DUMMYFUNCTION("""COMPUTED_VALUE"""),5536.033857315599)</f>
        <v>5536.033857</v>
      </c>
      <c r="J5573" s="10">
        <f>IFERROR(__xludf.DUMMYFUNCTION("""COMPUTED_VALUE"""),1.0)</f>
        <v>1</v>
      </c>
      <c r="K5573" s="5">
        <f>IFERROR(__xludf.DUMMYFUNCTION("""COMPUTED_VALUE"""),0.0027624309392265192)</f>
        <v>0.002762430939</v>
      </c>
      <c r="L5573" s="10">
        <f>IFERROR(__xludf.DUMMYFUNCTION("""COMPUTED_VALUE"""),362.0)</f>
        <v>362</v>
      </c>
      <c r="M5573" s="5">
        <f>IFERROR(__xludf.DUMMYFUNCTION("""COMPUTED_VALUE"""),1.0)</f>
        <v>1</v>
      </c>
    </row>
    <row r="5574">
      <c r="A5574" s="10" t="str">
        <f>IFERROR(__xludf.DUMMYFUNCTION("""COMPUTED_VALUE"""),"044APD")</f>
        <v>044APD</v>
      </c>
      <c r="B5574" s="10">
        <f>IFERROR(__xludf.DUMMYFUNCTION("""COMPUTED_VALUE"""),651.0)</f>
        <v>651</v>
      </c>
      <c r="C5574" s="10">
        <f>IFERROR(__xludf.DUMMYFUNCTION("""COMPUTED_VALUE"""),7629.0)</f>
        <v>7629</v>
      </c>
      <c r="D5574" s="5">
        <f>IFERROR(__xludf.DUMMYFUNCTION("""COMPUTED_VALUE"""),0.38205789624534253)</f>
        <v>0.3820578962</v>
      </c>
      <c r="E5574" s="5">
        <f>IFERROR(__xludf.DUMMYFUNCTION("""COMPUTED_VALUE"""),0.09916881627973631)</f>
        <v>0.09916881628</v>
      </c>
      <c r="F5574" s="5">
        <f>IFERROR(__xludf.DUMMYFUNCTION("""COMPUTED_VALUE"""),0.19962740040126112)</f>
        <v>0.1996274004</v>
      </c>
      <c r="G5574" s="5">
        <f>IFERROR(__xludf.DUMMYFUNCTION("""COMPUTED_VALUE"""),0.15061622241329894)</f>
        <v>0.1506162224</v>
      </c>
      <c r="H5574" s="5">
        <f>IFERROR(__xludf.DUMMYFUNCTION("""COMPUTED_VALUE"""),0.5865039483129936)</f>
        <v>0.5865039483</v>
      </c>
      <c r="I5574" s="11">
        <f>IFERROR(__xludf.DUMMYFUNCTION("""COMPUTED_VALUE"""),5816.367552045944)</f>
        <v>5816.367552</v>
      </c>
      <c r="J5574" s="10">
        <f>IFERROR(__xludf.DUMMYFUNCTION("""COMPUTED_VALUE"""),2.0)</f>
        <v>2</v>
      </c>
      <c r="K5574" s="5">
        <f>IFERROR(__xludf.DUMMYFUNCTION("""COMPUTED_VALUE"""),0.0030721966205837174)</f>
        <v>0.003072196621</v>
      </c>
      <c r="L5574" s="10">
        <f>IFERROR(__xludf.DUMMYFUNCTION("""COMPUTED_VALUE"""),651.0)</f>
        <v>651</v>
      </c>
      <c r="M5574" s="5">
        <f>IFERROR(__xludf.DUMMYFUNCTION("""COMPUTED_VALUE"""),1.0)</f>
        <v>1</v>
      </c>
    </row>
    <row r="5575">
      <c r="A5575" s="10" t="str">
        <f>IFERROR(__xludf.DUMMYFUNCTION("""COMPUTED_VALUE"""),"´・ω・)y－~")</f>
        <v>´・ω・)y－~</v>
      </c>
      <c r="B5575" s="10">
        <f>IFERROR(__xludf.DUMMYFUNCTION("""COMPUTED_VALUE"""),123.0)</f>
        <v>123</v>
      </c>
      <c r="C5575" s="10">
        <f>IFERROR(__xludf.DUMMYFUNCTION("""COMPUTED_VALUE"""),1476.0)</f>
        <v>1476</v>
      </c>
      <c r="D5575" s="5">
        <f>IFERROR(__xludf.DUMMYFUNCTION("""COMPUTED_VALUE"""),0.4005912786400591)</f>
        <v>0.4005912786</v>
      </c>
      <c r="E5575" s="5">
        <f>IFERROR(__xludf.DUMMYFUNCTION("""COMPUTED_VALUE"""),0.09903917220990392)</f>
        <v>0.09903917221</v>
      </c>
      <c r="F5575" s="5">
        <f>IFERROR(__xludf.DUMMYFUNCTION("""COMPUTED_VALUE"""),0.20029563932002956)</f>
        <v>0.2002956393</v>
      </c>
      <c r="G5575" s="5">
        <f>IFERROR(__xludf.DUMMYFUNCTION("""COMPUTED_VALUE"""),0.12195121951219512)</f>
        <v>0.1219512195</v>
      </c>
      <c r="H5575" s="5">
        <f>IFERROR(__xludf.DUMMYFUNCTION("""COMPUTED_VALUE"""),0.6162361623616236)</f>
        <v>0.6162361624</v>
      </c>
      <c r="I5575" s="11">
        <f>IFERROR(__xludf.DUMMYFUNCTION("""COMPUTED_VALUE"""),5505.90405904059)</f>
        <v>5505.904059</v>
      </c>
      <c r="J5575" s="10">
        <f>IFERROR(__xludf.DUMMYFUNCTION("""COMPUTED_VALUE"""),1.0)</f>
        <v>1</v>
      </c>
      <c r="K5575" s="5">
        <f>IFERROR(__xludf.DUMMYFUNCTION("""COMPUTED_VALUE"""),0.008130081300813009)</f>
        <v>0.008130081301</v>
      </c>
      <c r="L5575" s="10">
        <f>IFERROR(__xludf.DUMMYFUNCTION("""COMPUTED_VALUE"""),123.0)</f>
        <v>123</v>
      </c>
      <c r="M5575" s="5">
        <f>IFERROR(__xludf.DUMMYFUNCTION("""COMPUTED_VALUE"""),1.0)</f>
        <v>1</v>
      </c>
    </row>
    <row r="5576">
      <c r="A5576" s="10" t="str">
        <f>IFERROR(__xludf.DUMMYFUNCTION("""COMPUTED_VALUE"""),"カリフォルニア風")</f>
        <v>カリフォルニア風</v>
      </c>
      <c r="B5576" s="10">
        <f>IFERROR(__xludf.DUMMYFUNCTION("""COMPUTED_VALUE"""),1672.0)</f>
        <v>1672</v>
      </c>
      <c r="C5576" s="10">
        <f>IFERROR(__xludf.DUMMYFUNCTION("""COMPUTED_VALUE"""),19770.0)</f>
        <v>19770</v>
      </c>
      <c r="D5576" s="5">
        <f>IFERROR(__xludf.DUMMYFUNCTION("""COMPUTED_VALUE"""),0.33633550668582163)</f>
        <v>0.3363355067</v>
      </c>
      <c r="E5576" s="5">
        <f>IFERROR(__xludf.DUMMYFUNCTION("""COMPUTED_VALUE"""),0.09901646590783512)</f>
        <v>0.09901646591</v>
      </c>
      <c r="F5576" s="5">
        <f>IFERROR(__xludf.DUMMYFUNCTION("""COMPUTED_VALUE"""),0.2028400928279368)</f>
        <v>0.2028400928</v>
      </c>
      <c r="G5576" s="5">
        <f>IFERROR(__xludf.DUMMYFUNCTION("""COMPUTED_VALUE"""),0.12470991269753563)</f>
        <v>0.1247099127</v>
      </c>
      <c r="H5576" s="5">
        <f>IFERROR(__xludf.DUMMYFUNCTION("""COMPUTED_VALUE"""),0.6096431490057205)</f>
        <v>0.609643149</v>
      </c>
      <c r="I5576" s="11">
        <f>IFERROR(__xludf.DUMMYFUNCTION("""COMPUTED_VALUE"""),5405.093979842005)</f>
        <v>5405.09398</v>
      </c>
      <c r="J5576" s="10">
        <f>IFERROR(__xludf.DUMMYFUNCTION("""COMPUTED_VALUE"""),2.0)</f>
        <v>2</v>
      </c>
      <c r="K5576" s="5">
        <f>IFERROR(__xludf.DUMMYFUNCTION("""COMPUTED_VALUE"""),0.0011961722488038277)</f>
        <v>0.001196172249</v>
      </c>
      <c r="L5576" s="10">
        <f>IFERROR(__xludf.DUMMYFUNCTION("""COMPUTED_VALUE"""),1672.0)</f>
        <v>1672</v>
      </c>
      <c r="M5576" s="5">
        <f>IFERROR(__xludf.DUMMYFUNCTION("""COMPUTED_VALUE"""),1.0)</f>
        <v>1</v>
      </c>
    </row>
    <row r="5577">
      <c r="A5577" s="10" t="str">
        <f>IFERROR(__xludf.DUMMYFUNCTION("""COMPUTED_VALUE"""),"マルマイン")</f>
        <v>マルマイン</v>
      </c>
      <c r="B5577" s="10">
        <f>IFERROR(__xludf.DUMMYFUNCTION("""COMPUTED_VALUE"""),303.0)</f>
        <v>303</v>
      </c>
      <c r="C5577" s="10">
        <f>IFERROR(__xludf.DUMMYFUNCTION("""COMPUTED_VALUE"""),3629.0)</f>
        <v>3629</v>
      </c>
      <c r="D5577" s="5">
        <f>IFERROR(__xludf.DUMMYFUNCTION("""COMPUTED_VALUE"""),0.3803367408298256)</f>
        <v>0.3803367408</v>
      </c>
      <c r="E5577" s="5">
        <f>IFERROR(__xludf.DUMMYFUNCTION("""COMPUTED_VALUE"""),0.0989176187612748)</f>
        <v>0.09891761876</v>
      </c>
      <c r="F5577" s="5">
        <f>IFERROR(__xludf.DUMMYFUNCTION("""COMPUTED_VALUE"""),0.18701142513529764)</f>
        <v>0.1870114251</v>
      </c>
      <c r="G5577" s="5">
        <f>IFERROR(__xludf.DUMMYFUNCTION("""COMPUTED_VALUE"""),0.14672279013830428)</f>
        <v>0.1467227901</v>
      </c>
      <c r="H5577" s="5">
        <f>IFERROR(__xludf.DUMMYFUNCTION("""COMPUTED_VALUE"""),0.5932475884244373)</f>
        <v>0.5932475884</v>
      </c>
      <c r="I5577" s="11">
        <f>IFERROR(__xludf.DUMMYFUNCTION("""COMPUTED_VALUE"""),5730.385852090032)</f>
        <v>5730.385852</v>
      </c>
      <c r="J5577" s="10">
        <f>IFERROR(__xludf.DUMMYFUNCTION("""COMPUTED_VALUE"""),0.0)</f>
        <v>0</v>
      </c>
      <c r="K5577" s="5">
        <f>IFERROR(__xludf.DUMMYFUNCTION("""COMPUTED_VALUE"""),0.0)</f>
        <v>0</v>
      </c>
      <c r="L5577" s="10">
        <f>IFERROR(__xludf.DUMMYFUNCTION("""COMPUTED_VALUE"""),303.0)</f>
        <v>303</v>
      </c>
      <c r="M5577" s="5">
        <f>IFERROR(__xludf.DUMMYFUNCTION("""COMPUTED_VALUE"""),1.0)</f>
        <v>1</v>
      </c>
    </row>
    <row r="5578">
      <c r="A5578" s="10" t="str">
        <f>IFERROR(__xludf.DUMMYFUNCTION("""COMPUTED_VALUE"""),"鏡花水月")</f>
        <v>鏡花水月</v>
      </c>
      <c r="B5578" s="10">
        <f>IFERROR(__xludf.DUMMYFUNCTION("""COMPUTED_VALUE"""),340.0)</f>
        <v>340</v>
      </c>
      <c r="C5578" s="10">
        <f>IFERROR(__xludf.DUMMYFUNCTION("""COMPUTED_VALUE"""),3962.0)</f>
        <v>3962</v>
      </c>
      <c r="D5578" s="5">
        <f>IFERROR(__xludf.DUMMYFUNCTION("""COMPUTED_VALUE"""),0.2642186637217007)</f>
        <v>0.2642186637</v>
      </c>
      <c r="E5578" s="5">
        <f>IFERROR(__xludf.DUMMYFUNCTION("""COMPUTED_VALUE"""),0.09884041965764771)</f>
        <v>0.09884041966</v>
      </c>
      <c r="F5578" s="5">
        <f>IFERROR(__xludf.DUMMYFUNCTION("""COMPUTED_VALUE"""),0.17807840971838762)</f>
        <v>0.1780784097</v>
      </c>
      <c r="G5578" s="5">
        <f>IFERROR(__xludf.DUMMYFUNCTION("""COMPUTED_VALUE"""),0.1684152401987852)</f>
        <v>0.1684152402</v>
      </c>
      <c r="H5578" s="5">
        <f>IFERROR(__xludf.DUMMYFUNCTION("""COMPUTED_VALUE"""),0.5937984496124031)</f>
        <v>0.5937984496</v>
      </c>
      <c r="I5578" s="11">
        <f>IFERROR(__xludf.DUMMYFUNCTION("""COMPUTED_VALUE"""),6038.449612403101)</f>
        <v>6038.449612</v>
      </c>
      <c r="J5578" s="10">
        <f>IFERROR(__xludf.DUMMYFUNCTION("""COMPUTED_VALUE"""),1.0)</f>
        <v>1</v>
      </c>
      <c r="K5578" s="5">
        <f>IFERROR(__xludf.DUMMYFUNCTION("""COMPUTED_VALUE"""),0.0029411764705882353)</f>
        <v>0.002941176471</v>
      </c>
      <c r="L5578" s="10">
        <f>IFERROR(__xludf.DUMMYFUNCTION("""COMPUTED_VALUE"""),215.0)</f>
        <v>215</v>
      </c>
      <c r="M5578" s="5">
        <f>IFERROR(__xludf.DUMMYFUNCTION("""COMPUTED_VALUE"""),0.6323529411764706)</f>
        <v>0.6323529412</v>
      </c>
    </row>
    <row r="5579">
      <c r="A5579" s="10" t="str">
        <f>IFERROR(__xludf.DUMMYFUNCTION("""COMPUTED_VALUE"""),"Q(T43)")</f>
        <v>Q(T43)</v>
      </c>
      <c r="B5579" s="10">
        <f>IFERROR(__xludf.DUMMYFUNCTION("""COMPUTED_VALUE"""),343.0)</f>
        <v>343</v>
      </c>
      <c r="C5579" s="10">
        <f>IFERROR(__xludf.DUMMYFUNCTION("""COMPUTED_VALUE"""),4039.0)</f>
        <v>4039</v>
      </c>
      <c r="D5579" s="5">
        <f>IFERROR(__xludf.DUMMYFUNCTION("""COMPUTED_VALUE"""),0.4291125541125541)</f>
        <v>0.4291125541</v>
      </c>
      <c r="E5579" s="5">
        <f>IFERROR(__xludf.DUMMYFUNCTION("""COMPUTED_VALUE"""),0.09875541125541125)</f>
        <v>0.09875541126</v>
      </c>
      <c r="F5579" s="5">
        <f>IFERROR(__xludf.DUMMYFUNCTION("""COMPUTED_VALUE"""),0.20643939393939395)</f>
        <v>0.2064393939</v>
      </c>
      <c r="G5579" s="5">
        <f>IFERROR(__xludf.DUMMYFUNCTION("""COMPUTED_VALUE"""),0.12283549783549784)</f>
        <v>0.1228354978</v>
      </c>
      <c r="H5579" s="5">
        <f>IFERROR(__xludf.DUMMYFUNCTION("""COMPUTED_VALUE"""),0.6146788990825688)</f>
        <v>0.6146788991</v>
      </c>
      <c r="I5579" s="11">
        <f>IFERROR(__xludf.DUMMYFUNCTION("""COMPUTED_VALUE"""),5078.505897771953)</f>
        <v>5078.505898</v>
      </c>
      <c r="J5579" s="10">
        <f>IFERROR(__xludf.DUMMYFUNCTION("""COMPUTED_VALUE"""),1.0)</f>
        <v>1</v>
      </c>
      <c r="K5579" s="5">
        <f>IFERROR(__xludf.DUMMYFUNCTION("""COMPUTED_VALUE"""),0.0029154518950437317)</f>
        <v>0.002915451895</v>
      </c>
      <c r="L5579" s="10">
        <f>IFERROR(__xludf.DUMMYFUNCTION("""COMPUTED_VALUE"""),343.0)</f>
        <v>343</v>
      </c>
      <c r="M5579" s="5">
        <f>IFERROR(__xludf.DUMMYFUNCTION("""COMPUTED_VALUE"""),1.0)</f>
        <v>1</v>
      </c>
    </row>
    <row r="5580">
      <c r="A5580" s="10" t="str">
        <f>IFERROR(__xludf.DUMMYFUNCTION("""COMPUTED_VALUE"""),"じずー")</f>
        <v>じずー</v>
      </c>
      <c r="B5580" s="10">
        <f>IFERROR(__xludf.DUMMYFUNCTION("""COMPUTED_VALUE"""),802.0)</f>
        <v>802</v>
      </c>
      <c r="C5580" s="10">
        <f>IFERROR(__xludf.DUMMYFUNCTION("""COMPUTED_VALUE"""),9692.0)</f>
        <v>9692</v>
      </c>
      <c r="D5580" s="5">
        <f>IFERROR(__xludf.DUMMYFUNCTION("""COMPUTED_VALUE"""),0.3452193475815523)</f>
        <v>0.3452193476</v>
      </c>
      <c r="E5580" s="5">
        <f>IFERROR(__xludf.DUMMYFUNCTION("""COMPUTED_VALUE"""),0.09865016872890889)</f>
        <v>0.09865016873</v>
      </c>
      <c r="F5580" s="5">
        <f>IFERROR(__xludf.DUMMYFUNCTION("""COMPUTED_VALUE"""),0.1889763779527559)</f>
        <v>0.188976378</v>
      </c>
      <c r="G5580" s="5">
        <f>IFERROR(__xludf.DUMMYFUNCTION("""COMPUTED_VALUE"""),0.11743532058492688)</f>
        <v>0.1174353206</v>
      </c>
      <c r="H5580" s="5">
        <f>IFERROR(__xludf.DUMMYFUNCTION("""COMPUTED_VALUE"""),0.5958333333333333)</f>
        <v>0.5958333333</v>
      </c>
      <c r="I5580" s="11">
        <f>IFERROR(__xludf.DUMMYFUNCTION("""COMPUTED_VALUE"""),5466.25)</f>
        <v>5466.25</v>
      </c>
      <c r="J5580" s="10">
        <f>IFERROR(__xludf.DUMMYFUNCTION("""COMPUTED_VALUE"""),2.0)</f>
        <v>2</v>
      </c>
      <c r="K5580" s="5">
        <f>IFERROR(__xludf.DUMMYFUNCTION("""COMPUTED_VALUE"""),0.0024937655860349127)</f>
        <v>0.002493765586</v>
      </c>
      <c r="L5580" s="10">
        <f>IFERROR(__xludf.DUMMYFUNCTION("""COMPUTED_VALUE"""),802.0)</f>
        <v>802</v>
      </c>
      <c r="M5580" s="5">
        <f>IFERROR(__xludf.DUMMYFUNCTION("""COMPUTED_VALUE"""),1.0)</f>
        <v>1</v>
      </c>
    </row>
    <row r="5581">
      <c r="A5581" s="10" t="str">
        <f>IFERROR(__xludf.DUMMYFUNCTION("""COMPUTED_VALUE"""),"がいやしゆ")</f>
        <v>がいやしゆ</v>
      </c>
      <c r="B5581" s="10">
        <f>IFERROR(__xludf.DUMMYFUNCTION("""COMPUTED_VALUE"""),210.0)</f>
        <v>210</v>
      </c>
      <c r="C5581" s="10">
        <f>IFERROR(__xludf.DUMMYFUNCTION("""COMPUTED_VALUE"""),2461.0)</f>
        <v>2461</v>
      </c>
      <c r="D5581" s="5">
        <f>IFERROR(__xludf.DUMMYFUNCTION("""COMPUTED_VALUE"""),0.27543314082629944)</f>
        <v>0.2754331408</v>
      </c>
      <c r="E5581" s="5">
        <f>IFERROR(__xludf.DUMMYFUNCTION("""COMPUTED_VALUE"""),0.0986228342958685)</f>
        <v>0.0986228343</v>
      </c>
      <c r="F5581" s="5">
        <f>IFERROR(__xludf.DUMMYFUNCTION("""COMPUTED_VALUE"""),0.19324744557974233)</f>
        <v>0.1932474456</v>
      </c>
      <c r="G5581" s="5">
        <f>IFERROR(__xludf.DUMMYFUNCTION("""COMPUTED_VALUE"""),0.14571301643713905)</f>
        <v>0.1457130164</v>
      </c>
      <c r="H5581" s="5">
        <f>IFERROR(__xludf.DUMMYFUNCTION("""COMPUTED_VALUE"""),0.632183908045977)</f>
        <v>0.632183908</v>
      </c>
      <c r="I5581" s="11">
        <f>IFERROR(__xludf.DUMMYFUNCTION("""COMPUTED_VALUE"""),6264.827586206897)</f>
        <v>6264.827586</v>
      </c>
      <c r="J5581" s="10">
        <f>IFERROR(__xludf.DUMMYFUNCTION("""COMPUTED_VALUE"""),2.0)</f>
        <v>2</v>
      </c>
      <c r="K5581" s="5">
        <f>IFERROR(__xludf.DUMMYFUNCTION("""COMPUTED_VALUE"""),0.009523809523809525)</f>
        <v>0.009523809524</v>
      </c>
      <c r="L5581" s="10">
        <f>IFERROR(__xludf.DUMMYFUNCTION("""COMPUTED_VALUE"""),210.0)</f>
        <v>210</v>
      </c>
      <c r="M5581" s="5">
        <f>IFERROR(__xludf.DUMMYFUNCTION("""COMPUTED_VALUE"""),1.0)</f>
        <v>1</v>
      </c>
    </row>
    <row r="5582">
      <c r="A5582" s="10" t="str">
        <f>IFERROR(__xludf.DUMMYFUNCTION("""COMPUTED_VALUE"""),"素振り猫")</f>
        <v>素振り猫</v>
      </c>
      <c r="B5582" s="10">
        <f>IFERROR(__xludf.DUMMYFUNCTION("""COMPUTED_VALUE"""),303.0)</f>
        <v>303</v>
      </c>
      <c r="C5582" s="10">
        <f>IFERROR(__xludf.DUMMYFUNCTION("""COMPUTED_VALUE"""),3558.0)</f>
        <v>3558</v>
      </c>
      <c r="D5582" s="5">
        <f>IFERROR(__xludf.DUMMYFUNCTION("""COMPUTED_VALUE"""),0.3195084485407066)</f>
        <v>0.3195084485</v>
      </c>
      <c r="E5582" s="5">
        <f>IFERROR(__xludf.DUMMYFUNCTION("""COMPUTED_VALUE"""),0.09861751152073733)</f>
        <v>0.09861751152</v>
      </c>
      <c r="F5582" s="5">
        <f>IFERROR(__xludf.DUMMYFUNCTION("""COMPUTED_VALUE"""),0.18433179723502305)</f>
        <v>0.1843317972</v>
      </c>
      <c r="G5582" s="5">
        <f>IFERROR(__xludf.DUMMYFUNCTION("""COMPUTED_VALUE"""),0.1576036866359447)</f>
        <v>0.1576036866</v>
      </c>
      <c r="H5582" s="5">
        <f>IFERROR(__xludf.DUMMYFUNCTION("""COMPUTED_VALUE"""),0.5733333333333334)</f>
        <v>0.5733333333</v>
      </c>
      <c r="I5582" s="11">
        <f>IFERROR(__xludf.DUMMYFUNCTION("""COMPUTED_VALUE"""),6009.333333333333)</f>
        <v>6009.333333</v>
      </c>
      <c r="J5582" s="10">
        <f>IFERROR(__xludf.DUMMYFUNCTION("""COMPUTED_VALUE"""),0.0)</f>
        <v>0</v>
      </c>
      <c r="K5582" s="5">
        <f>IFERROR(__xludf.DUMMYFUNCTION("""COMPUTED_VALUE"""),0.0)</f>
        <v>0</v>
      </c>
      <c r="L5582" s="10">
        <f>IFERROR(__xludf.DUMMYFUNCTION("""COMPUTED_VALUE"""),303.0)</f>
        <v>303</v>
      </c>
      <c r="M5582" s="5">
        <f>IFERROR(__xludf.DUMMYFUNCTION("""COMPUTED_VALUE"""),1.0)</f>
        <v>1</v>
      </c>
    </row>
    <row r="5583">
      <c r="A5583" s="10" t="str">
        <f>IFERROR(__xludf.DUMMYFUNCTION("""COMPUTED_VALUE"""),".=園城寺怜=")</f>
        <v>.=園城寺怜=</v>
      </c>
      <c r="B5583" s="10">
        <f>IFERROR(__xludf.DUMMYFUNCTION("""COMPUTED_VALUE"""),3344.0)</f>
        <v>3344</v>
      </c>
      <c r="C5583" s="10">
        <f>IFERROR(__xludf.DUMMYFUNCTION("""COMPUTED_VALUE"""),39364.0)</f>
        <v>39364</v>
      </c>
      <c r="D5583" s="5">
        <f>IFERROR(__xludf.DUMMYFUNCTION("""COMPUTED_VALUE"""),0.27706829539144917)</f>
        <v>0.2770682954</v>
      </c>
      <c r="E5583" s="5">
        <f>IFERROR(__xludf.DUMMYFUNCTION("""COMPUTED_VALUE"""),0.09852859522487507)</f>
        <v>0.09852859522</v>
      </c>
      <c r="F5583" s="5">
        <f>IFERROR(__xludf.DUMMYFUNCTION("""COMPUTED_VALUE"""),0.1941976679622432)</f>
        <v>0.194197668</v>
      </c>
      <c r="G5583" s="5">
        <f>IFERROR(__xludf.DUMMYFUNCTION("""COMPUTED_VALUE"""),0.1575235980011105)</f>
        <v>0.157523598</v>
      </c>
      <c r="H5583" s="5">
        <f>IFERROR(__xludf.DUMMYFUNCTION("""COMPUTED_VALUE"""),0.5945675482487491)</f>
        <v>0.5945675482</v>
      </c>
      <c r="I5583" s="11">
        <f>IFERROR(__xludf.DUMMYFUNCTION("""COMPUTED_VALUE"""),5886.533238027162)</f>
        <v>5886.533238</v>
      </c>
      <c r="J5583" s="10">
        <f>IFERROR(__xludf.DUMMYFUNCTION("""COMPUTED_VALUE"""),9.0)</f>
        <v>9</v>
      </c>
      <c r="K5583" s="5">
        <f>IFERROR(__xludf.DUMMYFUNCTION("""COMPUTED_VALUE"""),0.0026913875598086126)</f>
        <v>0.00269138756</v>
      </c>
      <c r="L5583" s="10">
        <f>IFERROR(__xludf.DUMMYFUNCTION("""COMPUTED_VALUE"""),1.0)</f>
        <v>1</v>
      </c>
      <c r="M5583" s="5">
        <f>IFERROR(__xludf.DUMMYFUNCTION("""COMPUTED_VALUE"""),2.990430622009569E-4)</f>
        <v>0.0002990430622</v>
      </c>
    </row>
    <row r="5584">
      <c r="A5584" s="10" t="str">
        <f>IFERROR(__xludf.DUMMYFUNCTION("""COMPUTED_VALUE"""),"津神さん")</f>
        <v>津神さん</v>
      </c>
      <c r="B5584" s="10">
        <f>IFERROR(__xludf.DUMMYFUNCTION("""COMPUTED_VALUE"""),304.0)</f>
        <v>304</v>
      </c>
      <c r="C5584" s="10">
        <f>IFERROR(__xludf.DUMMYFUNCTION("""COMPUTED_VALUE"""),3533.0)</f>
        <v>3533</v>
      </c>
      <c r="D5584" s="5">
        <f>IFERROR(__xludf.DUMMYFUNCTION("""COMPUTED_VALUE"""),0.3406627438835553)</f>
        <v>0.3406627439</v>
      </c>
      <c r="E5584" s="5">
        <f>IFERROR(__xludf.DUMMYFUNCTION("""COMPUTED_VALUE"""),0.09848250232270053)</f>
        <v>0.09848250232</v>
      </c>
      <c r="F5584" s="5">
        <f>IFERROR(__xludf.DUMMYFUNCTION("""COMPUTED_VALUE"""),0.21461752864663983)</f>
        <v>0.2146175286</v>
      </c>
      <c r="G5584" s="5">
        <f>IFERROR(__xludf.DUMMYFUNCTION("""COMPUTED_VALUE"""),0.16878290492412512)</f>
        <v>0.1687829049</v>
      </c>
      <c r="H5584" s="5">
        <f>IFERROR(__xludf.DUMMYFUNCTION("""COMPUTED_VALUE"""),0.5829725829725829)</f>
        <v>0.582972583</v>
      </c>
      <c r="I5584" s="11">
        <f>IFERROR(__xludf.DUMMYFUNCTION("""COMPUTED_VALUE"""),5895.238095238095)</f>
        <v>5895.238095</v>
      </c>
      <c r="J5584" s="10">
        <f>IFERROR(__xludf.DUMMYFUNCTION("""COMPUTED_VALUE"""),0.0)</f>
        <v>0</v>
      </c>
      <c r="K5584" s="5">
        <f>IFERROR(__xludf.DUMMYFUNCTION("""COMPUTED_VALUE"""),0.0)</f>
        <v>0</v>
      </c>
      <c r="L5584" s="10">
        <f>IFERROR(__xludf.DUMMYFUNCTION("""COMPUTED_VALUE"""),304.0)</f>
        <v>304</v>
      </c>
      <c r="M5584" s="5">
        <f>IFERROR(__xludf.DUMMYFUNCTION("""COMPUTED_VALUE"""),1.0)</f>
        <v>1</v>
      </c>
    </row>
    <row r="5585">
      <c r="A5585" s="10" t="str">
        <f>IFERROR(__xludf.DUMMYFUNCTION("""COMPUTED_VALUE"""),"秋田県追分小学校")</f>
        <v>秋田県追分小学校</v>
      </c>
      <c r="B5585" s="10">
        <f>IFERROR(__xludf.DUMMYFUNCTION("""COMPUTED_VALUE"""),136.0)</f>
        <v>136</v>
      </c>
      <c r="C5585" s="10">
        <f>IFERROR(__xludf.DUMMYFUNCTION("""COMPUTED_VALUE"""),1569.0)</f>
        <v>1569</v>
      </c>
      <c r="D5585" s="5">
        <f>IFERROR(__xludf.DUMMYFUNCTION("""COMPUTED_VALUE"""),0.3468248429867411)</f>
        <v>0.346824843</v>
      </c>
      <c r="E5585" s="5">
        <f>IFERROR(__xludf.DUMMYFUNCTION("""COMPUTED_VALUE"""),0.09839497557571528)</f>
        <v>0.09839497558</v>
      </c>
      <c r="F5585" s="5">
        <f>IFERROR(__xludf.DUMMYFUNCTION("""COMPUTED_VALUE"""),0.2288904396371249)</f>
        <v>0.2288904396</v>
      </c>
      <c r="G5585" s="5">
        <f>IFERROR(__xludf.DUMMYFUNCTION("""COMPUTED_VALUE"""),0.15631542219120725)</f>
        <v>0.1563154222</v>
      </c>
      <c r="H5585" s="5">
        <f>IFERROR(__xludf.DUMMYFUNCTION("""COMPUTED_VALUE"""),0.5914634146341463)</f>
        <v>0.5914634146</v>
      </c>
      <c r="I5585" s="11">
        <f>IFERROR(__xludf.DUMMYFUNCTION("""COMPUTED_VALUE"""),5638.719512195122)</f>
        <v>5638.719512</v>
      </c>
      <c r="J5585" s="10">
        <f>IFERROR(__xludf.DUMMYFUNCTION("""COMPUTED_VALUE"""),0.0)</f>
        <v>0</v>
      </c>
      <c r="K5585" s="5">
        <f>IFERROR(__xludf.DUMMYFUNCTION("""COMPUTED_VALUE"""),0.0)</f>
        <v>0</v>
      </c>
      <c r="L5585" s="10">
        <f>IFERROR(__xludf.DUMMYFUNCTION("""COMPUTED_VALUE"""),129.0)</f>
        <v>129</v>
      </c>
      <c r="M5585" s="5">
        <f>IFERROR(__xludf.DUMMYFUNCTION("""COMPUTED_VALUE"""),0.9485294117647058)</f>
        <v>0.9485294118</v>
      </c>
    </row>
    <row r="5586">
      <c r="A5586" s="10" t="str">
        <f>IFERROR(__xludf.DUMMYFUNCTION("""COMPUTED_VALUE"""),"MKS！")</f>
        <v>MKS！</v>
      </c>
      <c r="B5586" s="10">
        <f>IFERROR(__xludf.DUMMYFUNCTION("""COMPUTED_VALUE"""),119.0)</f>
        <v>119</v>
      </c>
      <c r="C5586" s="10">
        <f>IFERROR(__xludf.DUMMYFUNCTION("""COMPUTED_VALUE"""),1400.0)</f>
        <v>1400</v>
      </c>
      <c r="D5586" s="5">
        <f>IFERROR(__xludf.DUMMYFUNCTION("""COMPUTED_VALUE"""),0.32708821233411395)</f>
        <v>0.3270882123</v>
      </c>
      <c r="E5586" s="5">
        <f>IFERROR(__xludf.DUMMYFUNCTION("""COMPUTED_VALUE"""),0.09836065573770492)</f>
        <v>0.09836065574</v>
      </c>
      <c r="F5586" s="5">
        <f>IFERROR(__xludf.DUMMYFUNCTION("""COMPUTED_VALUE"""),0.209992193598751)</f>
        <v>0.2099921936</v>
      </c>
      <c r="G5586" s="5">
        <f>IFERROR(__xludf.DUMMYFUNCTION("""COMPUTED_VALUE"""),0.18188914910226386)</f>
        <v>0.1818891491</v>
      </c>
      <c r="H5586" s="5">
        <f>IFERROR(__xludf.DUMMYFUNCTION("""COMPUTED_VALUE"""),0.6282527881040892)</f>
        <v>0.6282527881</v>
      </c>
      <c r="I5586" s="11">
        <f>IFERROR(__xludf.DUMMYFUNCTION("""COMPUTED_VALUE"""),5262.453531598513)</f>
        <v>5262.453532</v>
      </c>
      <c r="J5586" s="10">
        <f>IFERROR(__xludf.DUMMYFUNCTION("""COMPUTED_VALUE"""),1.0)</f>
        <v>1</v>
      </c>
      <c r="K5586" s="5">
        <f>IFERROR(__xludf.DUMMYFUNCTION("""COMPUTED_VALUE"""),0.008403361344537815)</f>
        <v>0.008403361345</v>
      </c>
      <c r="L5586" s="10">
        <f>IFERROR(__xludf.DUMMYFUNCTION("""COMPUTED_VALUE"""),119.0)</f>
        <v>119</v>
      </c>
      <c r="M5586" s="5">
        <f>IFERROR(__xludf.DUMMYFUNCTION("""COMPUTED_VALUE"""),1.0)</f>
        <v>1</v>
      </c>
    </row>
    <row r="5587">
      <c r="A5587" s="10" t="str">
        <f>IFERROR(__xludf.DUMMYFUNCTION("""COMPUTED_VALUE"""),"きゃっぷ")</f>
        <v>きゃっぷ</v>
      </c>
      <c r="B5587" s="10">
        <f>IFERROR(__xludf.DUMMYFUNCTION("""COMPUTED_VALUE"""),205.0)</f>
        <v>205</v>
      </c>
      <c r="C5587" s="10">
        <f>IFERROR(__xludf.DUMMYFUNCTION("""COMPUTED_VALUE"""),2363.0)</f>
        <v>2363</v>
      </c>
      <c r="D5587" s="5">
        <f>IFERROR(__xludf.DUMMYFUNCTION("""COMPUTED_VALUE"""),0.33271547729379053)</f>
        <v>0.3327154773</v>
      </c>
      <c r="E5587" s="5">
        <f>IFERROR(__xludf.DUMMYFUNCTION("""COMPUTED_VALUE"""),0.09823911028730306)</f>
        <v>0.09823911029</v>
      </c>
      <c r="F5587" s="5">
        <f>IFERROR(__xludf.DUMMYFUNCTION("""COMPUTED_VALUE"""),0.20759962928637626)</f>
        <v>0.2075996293</v>
      </c>
      <c r="G5587" s="5">
        <f>IFERROR(__xludf.DUMMYFUNCTION("""COMPUTED_VALUE"""),0.1607970342910102)</f>
        <v>0.1607970343</v>
      </c>
      <c r="H5587" s="5">
        <f>IFERROR(__xludf.DUMMYFUNCTION("""COMPUTED_VALUE"""),0.5580357142857143)</f>
        <v>0.5580357143</v>
      </c>
      <c r="I5587" s="11">
        <f>IFERROR(__xludf.DUMMYFUNCTION("""COMPUTED_VALUE"""),6066.517857142857)</f>
        <v>6066.517857</v>
      </c>
      <c r="J5587" s="10">
        <f>IFERROR(__xludf.DUMMYFUNCTION("""COMPUTED_VALUE"""),1.0)</f>
        <v>1</v>
      </c>
      <c r="K5587" s="5">
        <f>IFERROR(__xludf.DUMMYFUNCTION("""COMPUTED_VALUE"""),0.004878048780487805)</f>
        <v>0.00487804878</v>
      </c>
      <c r="L5587" s="10">
        <f>IFERROR(__xludf.DUMMYFUNCTION("""COMPUTED_VALUE"""),205.0)</f>
        <v>205</v>
      </c>
      <c r="M5587" s="5">
        <f>IFERROR(__xludf.DUMMYFUNCTION("""COMPUTED_VALUE"""),1.0)</f>
        <v>1</v>
      </c>
    </row>
    <row r="5588">
      <c r="A5588" s="10" t="str">
        <f>IFERROR(__xludf.DUMMYFUNCTION("""COMPUTED_VALUE"""),"流浪")</f>
        <v>流浪</v>
      </c>
      <c r="B5588" s="10">
        <f>IFERROR(__xludf.DUMMYFUNCTION("""COMPUTED_VALUE"""),113.0)</f>
        <v>113</v>
      </c>
      <c r="C5588" s="10">
        <f>IFERROR(__xludf.DUMMYFUNCTION("""COMPUTED_VALUE"""),1305.0)</f>
        <v>1305</v>
      </c>
      <c r="D5588" s="5">
        <f>IFERROR(__xludf.DUMMYFUNCTION("""COMPUTED_VALUE"""),0.23573825503355705)</f>
        <v>0.235738255</v>
      </c>
      <c r="E5588" s="5">
        <f>IFERROR(__xludf.DUMMYFUNCTION("""COMPUTED_VALUE"""),0.09815436241610738)</f>
        <v>0.09815436242</v>
      </c>
      <c r="F5588" s="5">
        <f>IFERROR(__xludf.DUMMYFUNCTION("""COMPUTED_VALUE"""),0.19966442953020133)</f>
        <v>0.1996644295</v>
      </c>
      <c r="G5588" s="5">
        <f>IFERROR(__xludf.DUMMYFUNCTION("""COMPUTED_VALUE"""),0.11577181208053691)</f>
        <v>0.1157718121</v>
      </c>
      <c r="H5588" s="5">
        <f>IFERROR(__xludf.DUMMYFUNCTION("""COMPUTED_VALUE"""),0.6008403361344538)</f>
        <v>0.6008403361</v>
      </c>
      <c r="I5588" s="11">
        <f>IFERROR(__xludf.DUMMYFUNCTION("""COMPUTED_VALUE"""),5721.848739495798)</f>
        <v>5721.848739</v>
      </c>
      <c r="J5588" s="10">
        <f>IFERROR(__xludf.DUMMYFUNCTION("""COMPUTED_VALUE"""),2.0)</f>
        <v>2</v>
      </c>
      <c r="K5588" s="5">
        <f>IFERROR(__xludf.DUMMYFUNCTION("""COMPUTED_VALUE"""),0.017699115044247787)</f>
        <v>0.01769911504</v>
      </c>
      <c r="L5588" s="10">
        <f>IFERROR(__xludf.DUMMYFUNCTION("""COMPUTED_VALUE"""),113.0)</f>
        <v>113</v>
      </c>
      <c r="M5588" s="5">
        <f>IFERROR(__xludf.DUMMYFUNCTION("""COMPUTED_VALUE"""),1.0)</f>
        <v>1</v>
      </c>
    </row>
    <row r="5589">
      <c r="A5589" s="10" t="str">
        <f>IFERROR(__xludf.DUMMYFUNCTION("""COMPUTED_VALUE"""),"Iris*")</f>
        <v>Iris*</v>
      </c>
      <c r="B5589" s="10">
        <f>IFERROR(__xludf.DUMMYFUNCTION("""COMPUTED_VALUE"""),1429.0)</f>
        <v>1429</v>
      </c>
      <c r="C5589" s="10">
        <f>IFERROR(__xludf.DUMMYFUNCTION("""COMPUTED_VALUE"""),16803.0)</f>
        <v>16803</v>
      </c>
      <c r="D5589" s="5">
        <f>IFERROR(__xludf.DUMMYFUNCTION("""COMPUTED_VALUE"""),0.3751138285416938)</f>
        <v>0.3751138285</v>
      </c>
      <c r="E5589" s="5">
        <f>IFERROR(__xludf.DUMMYFUNCTION("""COMPUTED_VALUE"""),0.09782750097567322)</f>
        <v>0.09782750098</v>
      </c>
      <c r="F5589" s="5">
        <f>IFERROR(__xludf.DUMMYFUNCTION("""COMPUTED_VALUE"""),0.19233771302198516)</f>
        <v>0.192337713</v>
      </c>
      <c r="G5589" s="5">
        <f>IFERROR(__xludf.DUMMYFUNCTION("""COMPUTED_VALUE"""),0.15877455444256536)</f>
        <v>0.1587745544</v>
      </c>
      <c r="H5589" s="5">
        <f>IFERROR(__xludf.DUMMYFUNCTION("""COMPUTED_VALUE"""),0.5884342238755496)</f>
        <v>0.5884342239</v>
      </c>
      <c r="I5589" s="11">
        <f>IFERROR(__xludf.DUMMYFUNCTION("""COMPUTED_VALUE"""),5788.975312817044)</f>
        <v>5788.975313</v>
      </c>
      <c r="J5589" s="10">
        <f>IFERROR(__xludf.DUMMYFUNCTION("""COMPUTED_VALUE"""),1.0)</f>
        <v>1</v>
      </c>
      <c r="K5589" s="5">
        <f>IFERROR(__xludf.DUMMYFUNCTION("""COMPUTED_VALUE"""),6.997900629811056E-4)</f>
        <v>0.000699790063</v>
      </c>
      <c r="L5589" s="10">
        <f>IFERROR(__xludf.DUMMYFUNCTION("""COMPUTED_VALUE"""),0.0)</f>
        <v>0</v>
      </c>
      <c r="M5589" s="5">
        <f>IFERROR(__xludf.DUMMYFUNCTION("""COMPUTED_VALUE"""),0.0)</f>
        <v>0</v>
      </c>
    </row>
    <row r="5590">
      <c r="A5590" s="10" t="str">
        <f>IFERROR(__xludf.DUMMYFUNCTION("""COMPUTED_VALUE"""),"闘将")</f>
        <v>闘将</v>
      </c>
      <c r="B5590" s="10">
        <f>IFERROR(__xludf.DUMMYFUNCTION("""COMPUTED_VALUE"""),633.0)</f>
        <v>633</v>
      </c>
      <c r="C5590" s="10">
        <f>IFERROR(__xludf.DUMMYFUNCTION("""COMPUTED_VALUE"""),7415.0)</f>
        <v>7415</v>
      </c>
      <c r="D5590" s="5">
        <f>IFERROR(__xludf.DUMMYFUNCTION("""COMPUTED_VALUE"""),0.3214391035092893)</f>
        <v>0.3214391035</v>
      </c>
      <c r="E5590" s="5">
        <f>IFERROR(__xludf.DUMMYFUNCTION("""COMPUTED_VALUE"""),0.09761132409318785)</f>
        <v>0.09761132409</v>
      </c>
      <c r="F5590" s="5">
        <f>IFERROR(__xludf.DUMMYFUNCTION("""COMPUTED_VALUE"""),0.19861397817752877)</f>
        <v>0.1986139782</v>
      </c>
      <c r="G5590" s="5">
        <f>IFERROR(__xludf.DUMMYFUNCTION("""COMPUTED_VALUE"""),0.15673842524329107)</f>
        <v>0.1567384252</v>
      </c>
      <c r="H5590" s="5">
        <f>IFERROR(__xludf.DUMMYFUNCTION("""COMPUTED_VALUE"""),0.6117297698589458)</f>
        <v>0.6117297699</v>
      </c>
      <c r="I5590" s="11">
        <f>IFERROR(__xludf.DUMMYFUNCTION("""COMPUTED_VALUE"""),5790.200445434299)</f>
        <v>5790.200445</v>
      </c>
      <c r="J5590" s="10">
        <f>IFERROR(__xludf.DUMMYFUNCTION("""COMPUTED_VALUE"""),1.0)</f>
        <v>1</v>
      </c>
      <c r="K5590" s="5">
        <f>IFERROR(__xludf.DUMMYFUNCTION("""COMPUTED_VALUE"""),0.001579778830963665)</f>
        <v>0.001579778831</v>
      </c>
      <c r="L5590" s="10">
        <f>IFERROR(__xludf.DUMMYFUNCTION("""COMPUTED_VALUE"""),633.0)</f>
        <v>633</v>
      </c>
      <c r="M5590" s="5">
        <f>IFERROR(__xludf.DUMMYFUNCTION("""COMPUTED_VALUE"""),1.0)</f>
        <v>1</v>
      </c>
    </row>
    <row r="5591">
      <c r="A5591" s="10" t="str">
        <f>IFERROR(__xludf.DUMMYFUNCTION("""COMPUTED_VALUE"""),"カープ")</f>
        <v>カープ</v>
      </c>
      <c r="B5591" s="10">
        <f>IFERROR(__xludf.DUMMYFUNCTION("""COMPUTED_VALUE"""),112.0)</f>
        <v>112</v>
      </c>
      <c r="C5591" s="10">
        <f>IFERROR(__xludf.DUMMYFUNCTION("""COMPUTED_VALUE"""),1363.0)</f>
        <v>1363</v>
      </c>
      <c r="D5591" s="5">
        <f>IFERROR(__xludf.DUMMYFUNCTION("""COMPUTED_VALUE"""),0.31574740207833735)</f>
        <v>0.3157474021</v>
      </c>
      <c r="E5591" s="5">
        <f>IFERROR(__xludf.DUMMYFUNCTION("""COMPUTED_VALUE"""),0.09752198241406874)</f>
        <v>0.09752198241</v>
      </c>
      <c r="F5591" s="5">
        <f>IFERROR(__xludf.DUMMYFUNCTION("""COMPUTED_VALUE"""),0.18225419664268586)</f>
        <v>0.1822541966</v>
      </c>
      <c r="G5591" s="5">
        <f>IFERROR(__xludf.DUMMYFUNCTION("""COMPUTED_VALUE"""),0.15667466027178256)</f>
        <v>0.1566746603</v>
      </c>
      <c r="H5591" s="5">
        <f>IFERROR(__xludf.DUMMYFUNCTION("""COMPUTED_VALUE"""),0.5921052631578947)</f>
        <v>0.5921052632</v>
      </c>
      <c r="I5591" s="11">
        <f>IFERROR(__xludf.DUMMYFUNCTION("""COMPUTED_VALUE"""),5145.6140350877195)</f>
        <v>5145.614035</v>
      </c>
      <c r="J5591" s="10">
        <f>IFERROR(__xludf.DUMMYFUNCTION("""COMPUTED_VALUE"""),0.0)</f>
        <v>0</v>
      </c>
      <c r="K5591" s="5">
        <f>IFERROR(__xludf.DUMMYFUNCTION("""COMPUTED_VALUE"""),0.0)</f>
        <v>0</v>
      </c>
      <c r="L5591" s="10">
        <f>IFERROR(__xludf.DUMMYFUNCTION("""COMPUTED_VALUE"""),112.0)</f>
        <v>112</v>
      </c>
      <c r="M5591" s="5">
        <f>IFERROR(__xludf.DUMMYFUNCTION("""COMPUTED_VALUE"""),1.0)</f>
        <v>1</v>
      </c>
    </row>
    <row r="5592">
      <c r="A5592" s="10" t="str">
        <f>IFERROR(__xludf.DUMMYFUNCTION("""COMPUTED_VALUE"""),"十六夜マイク")</f>
        <v>十六夜マイク</v>
      </c>
      <c r="B5592" s="10">
        <f>IFERROR(__xludf.DUMMYFUNCTION("""COMPUTED_VALUE"""),113.0)</f>
        <v>113</v>
      </c>
      <c r="C5592" s="10">
        <f>IFERROR(__xludf.DUMMYFUNCTION("""COMPUTED_VALUE"""),1313.0)</f>
        <v>1313</v>
      </c>
      <c r="D5592" s="5">
        <f>IFERROR(__xludf.DUMMYFUNCTION("""COMPUTED_VALUE"""),0.33916666666666667)</f>
        <v>0.3391666667</v>
      </c>
      <c r="E5592" s="5">
        <f>IFERROR(__xludf.DUMMYFUNCTION("""COMPUTED_VALUE"""),0.0975)</f>
        <v>0.0975</v>
      </c>
      <c r="F5592" s="5">
        <f>IFERROR(__xludf.DUMMYFUNCTION("""COMPUTED_VALUE"""),0.2125)</f>
        <v>0.2125</v>
      </c>
      <c r="G5592" s="5">
        <f>IFERROR(__xludf.DUMMYFUNCTION("""COMPUTED_VALUE"""),0.1125)</f>
        <v>0.1125</v>
      </c>
      <c r="H5592" s="5">
        <f>IFERROR(__xludf.DUMMYFUNCTION("""COMPUTED_VALUE"""),0.611764705882353)</f>
        <v>0.6117647059</v>
      </c>
      <c r="I5592" s="11">
        <f>IFERROR(__xludf.DUMMYFUNCTION("""COMPUTED_VALUE"""),5368.235294117647)</f>
        <v>5368.235294</v>
      </c>
      <c r="J5592" s="10">
        <f>IFERROR(__xludf.DUMMYFUNCTION("""COMPUTED_VALUE"""),2.0)</f>
        <v>2</v>
      </c>
      <c r="K5592" s="5">
        <f>IFERROR(__xludf.DUMMYFUNCTION("""COMPUTED_VALUE"""),0.017699115044247787)</f>
        <v>0.01769911504</v>
      </c>
      <c r="L5592" s="10">
        <f>IFERROR(__xludf.DUMMYFUNCTION("""COMPUTED_VALUE"""),113.0)</f>
        <v>113</v>
      </c>
      <c r="M5592" s="5">
        <f>IFERROR(__xludf.DUMMYFUNCTION("""COMPUTED_VALUE"""),1.0)</f>
        <v>1</v>
      </c>
    </row>
    <row r="5593">
      <c r="A5593" s="10" t="str">
        <f>IFERROR(__xludf.DUMMYFUNCTION("""COMPUTED_VALUE"""),"あおきんぐ")</f>
        <v>あおきんぐ</v>
      </c>
      <c r="B5593" s="10">
        <f>IFERROR(__xludf.DUMMYFUNCTION("""COMPUTED_VALUE"""),1962.0)</f>
        <v>1962</v>
      </c>
      <c r="C5593" s="10">
        <f>IFERROR(__xludf.DUMMYFUNCTION("""COMPUTED_VALUE"""),23359.0)</f>
        <v>23359</v>
      </c>
      <c r="D5593" s="5">
        <f>IFERROR(__xludf.DUMMYFUNCTION("""COMPUTED_VALUE"""),0.2995279712109174)</f>
        <v>0.2995279712</v>
      </c>
      <c r="E5593" s="5">
        <f>IFERROR(__xludf.DUMMYFUNCTION("""COMPUTED_VALUE"""),0.09744356685516661)</f>
        <v>0.09744356686</v>
      </c>
      <c r="F5593" s="5">
        <f>IFERROR(__xludf.DUMMYFUNCTION("""COMPUTED_VALUE"""),0.19848576903304202)</f>
        <v>0.198485769</v>
      </c>
      <c r="G5593" s="5">
        <f>IFERROR(__xludf.DUMMYFUNCTION("""COMPUTED_VALUE"""),0.17862317147263634)</f>
        <v>0.1786231715</v>
      </c>
      <c r="H5593" s="5">
        <f>IFERROR(__xludf.DUMMYFUNCTION("""COMPUTED_VALUE"""),0.5841770661643513)</f>
        <v>0.5841770662</v>
      </c>
      <c r="I5593" s="11">
        <f>IFERROR(__xludf.DUMMYFUNCTION("""COMPUTED_VALUE"""),5550.247233341182)</f>
        <v>5550.247233</v>
      </c>
      <c r="J5593" s="10">
        <f>IFERROR(__xludf.DUMMYFUNCTION("""COMPUTED_VALUE"""),5.0)</f>
        <v>5</v>
      </c>
      <c r="K5593" s="5">
        <f>IFERROR(__xludf.DUMMYFUNCTION("""COMPUTED_VALUE"""),0.0025484199796126403)</f>
        <v>0.00254841998</v>
      </c>
      <c r="L5593" s="10">
        <f>IFERROR(__xludf.DUMMYFUNCTION("""COMPUTED_VALUE"""),1959.0)</f>
        <v>1959</v>
      </c>
      <c r="M5593" s="5">
        <f>IFERROR(__xludf.DUMMYFUNCTION("""COMPUTED_VALUE"""),0.9984709480122325)</f>
        <v>0.998470948</v>
      </c>
    </row>
    <row r="5594">
      <c r="A5594" s="10" t="str">
        <f>IFERROR(__xludf.DUMMYFUNCTION("""COMPUTED_VALUE"""),"比嘉愛未")</f>
        <v>比嘉愛未</v>
      </c>
      <c r="B5594" s="10">
        <f>IFERROR(__xludf.DUMMYFUNCTION("""COMPUTED_VALUE"""),871.0)</f>
        <v>871</v>
      </c>
      <c r="C5594" s="10">
        <f>IFERROR(__xludf.DUMMYFUNCTION("""COMPUTED_VALUE"""),10293.0)</f>
        <v>10293</v>
      </c>
      <c r="D5594" s="5">
        <f>IFERROR(__xludf.DUMMYFUNCTION("""COMPUTED_VALUE"""),0.3826151560178306)</f>
        <v>0.382615156</v>
      </c>
      <c r="E5594" s="5">
        <f>IFERROR(__xludf.DUMMYFUNCTION("""COMPUTED_VALUE"""),0.09721927403948206)</f>
        <v>0.09721927404</v>
      </c>
      <c r="F5594" s="5">
        <f>IFERROR(__xludf.DUMMYFUNCTION("""COMPUTED_VALUE"""),0.20664402462322223)</f>
        <v>0.2066440246</v>
      </c>
      <c r="G5594" s="5">
        <f>IFERROR(__xludf.DUMMYFUNCTION("""COMPUTED_VALUE"""),0.11165357673530037)</f>
        <v>0.1116535767</v>
      </c>
      <c r="H5594" s="5">
        <f>IFERROR(__xludf.DUMMYFUNCTION("""COMPUTED_VALUE"""),0.6024653312788906)</f>
        <v>0.6024653313</v>
      </c>
      <c r="I5594" s="11">
        <f>IFERROR(__xludf.DUMMYFUNCTION("""COMPUTED_VALUE"""),5079.3528505392915)</f>
        <v>5079.352851</v>
      </c>
      <c r="J5594" s="10">
        <f>IFERROR(__xludf.DUMMYFUNCTION("""COMPUTED_VALUE"""),2.0)</f>
        <v>2</v>
      </c>
      <c r="K5594" s="5">
        <f>IFERROR(__xludf.DUMMYFUNCTION("""COMPUTED_VALUE"""),0.002296211251435132)</f>
        <v>0.002296211251</v>
      </c>
      <c r="L5594" s="10">
        <f>IFERROR(__xludf.DUMMYFUNCTION("""COMPUTED_VALUE"""),0.0)</f>
        <v>0</v>
      </c>
      <c r="M5594" s="5">
        <f>IFERROR(__xludf.DUMMYFUNCTION("""COMPUTED_VALUE"""),0.0)</f>
        <v>0</v>
      </c>
    </row>
    <row r="5595">
      <c r="A5595" s="10" t="str">
        <f>IFERROR(__xludf.DUMMYFUNCTION("""COMPUTED_VALUE"""),"森カフェ（水色）")</f>
        <v>森カフェ（水色）</v>
      </c>
      <c r="B5595" s="10">
        <f>IFERROR(__xludf.DUMMYFUNCTION("""COMPUTED_VALUE"""),465.0)</f>
        <v>465</v>
      </c>
      <c r="C5595" s="10">
        <f>IFERROR(__xludf.DUMMYFUNCTION("""COMPUTED_VALUE"""),5444.0)</f>
        <v>5444</v>
      </c>
      <c r="D5595" s="5">
        <f>IFERROR(__xludf.DUMMYFUNCTION("""COMPUTED_VALUE"""),0.3398272745531231)</f>
        <v>0.3398272746</v>
      </c>
      <c r="E5595" s="5">
        <f>IFERROR(__xludf.DUMMYFUNCTION("""COMPUTED_VALUE"""),0.09680658766820646)</f>
        <v>0.09680658767</v>
      </c>
      <c r="F5595" s="5">
        <f>IFERROR(__xludf.DUMMYFUNCTION("""COMPUTED_VALUE"""),0.1968266720224945)</f>
        <v>0.196826672</v>
      </c>
      <c r="G5595" s="5">
        <f>IFERROR(__xludf.DUMMYFUNCTION("""COMPUTED_VALUE"""),0.14059048001606747)</f>
        <v>0.14059048</v>
      </c>
      <c r="H5595" s="5">
        <f>IFERROR(__xludf.DUMMYFUNCTION("""COMPUTED_VALUE"""),0.5959183673469388)</f>
        <v>0.5959183673</v>
      </c>
      <c r="I5595" s="11">
        <f>IFERROR(__xludf.DUMMYFUNCTION("""COMPUTED_VALUE"""),5375.714285714285)</f>
        <v>5375.714286</v>
      </c>
      <c r="J5595" s="10">
        <f>IFERROR(__xludf.DUMMYFUNCTION("""COMPUTED_VALUE"""),0.0)</f>
        <v>0</v>
      </c>
      <c r="K5595" s="5">
        <f>IFERROR(__xludf.DUMMYFUNCTION("""COMPUTED_VALUE"""),0.0)</f>
        <v>0</v>
      </c>
      <c r="L5595" s="10">
        <f>IFERROR(__xludf.DUMMYFUNCTION("""COMPUTED_VALUE"""),153.0)</f>
        <v>153</v>
      </c>
      <c r="M5595" s="5">
        <f>IFERROR(__xludf.DUMMYFUNCTION("""COMPUTED_VALUE"""),0.32903225806451614)</f>
        <v>0.3290322581</v>
      </c>
    </row>
    <row r="5596">
      <c r="A5596" s="10" t="str">
        <f>IFERROR(__xludf.DUMMYFUNCTION("""COMPUTED_VALUE"""),"$tetsu$")</f>
        <v>$tetsu$</v>
      </c>
      <c r="B5596" s="10">
        <f>IFERROR(__xludf.DUMMYFUNCTION("""COMPUTED_VALUE"""),151.0)</f>
        <v>151</v>
      </c>
      <c r="C5596" s="10">
        <f>IFERROR(__xludf.DUMMYFUNCTION("""COMPUTED_VALUE"""),1732.0)</f>
        <v>1732</v>
      </c>
      <c r="D5596" s="5">
        <f>IFERROR(__xludf.DUMMYFUNCTION("""COMPUTED_VALUE"""),0.31499051233396586)</f>
        <v>0.3149905123</v>
      </c>
      <c r="E5596" s="5">
        <f>IFERROR(__xludf.DUMMYFUNCTION("""COMPUTED_VALUE"""),0.0967741935483871)</f>
        <v>0.09677419355</v>
      </c>
      <c r="F5596" s="5">
        <f>IFERROR(__xludf.DUMMYFUNCTION("""COMPUTED_VALUE"""),0.1935483870967742)</f>
        <v>0.1935483871</v>
      </c>
      <c r="G5596" s="5">
        <f>IFERROR(__xludf.DUMMYFUNCTION("""COMPUTED_VALUE"""),0.14231499051233396)</f>
        <v>0.1423149905</v>
      </c>
      <c r="H5596" s="5">
        <f>IFERROR(__xludf.DUMMYFUNCTION("""COMPUTED_VALUE"""),0.6209150326797386)</f>
        <v>0.6209150327</v>
      </c>
      <c r="I5596" s="11">
        <f>IFERROR(__xludf.DUMMYFUNCTION("""COMPUTED_VALUE"""),5558.496732026144)</f>
        <v>5558.496732</v>
      </c>
      <c r="J5596" s="10">
        <f>IFERROR(__xludf.DUMMYFUNCTION("""COMPUTED_VALUE"""),1.0)</f>
        <v>1</v>
      </c>
      <c r="K5596" s="5">
        <f>IFERROR(__xludf.DUMMYFUNCTION("""COMPUTED_VALUE"""),0.006622516556291391)</f>
        <v>0.006622516556</v>
      </c>
      <c r="L5596" s="10">
        <f>IFERROR(__xludf.DUMMYFUNCTION("""COMPUTED_VALUE"""),151.0)</f>
        <v>151</v>
      </c>
      <c r="M5596" s="5">
        <f>IFERROR(__xludf.DUMMYFUNCTION("""COMPUTED_VALUE"""),1.0)</f>
        <v>1</v>
      </c>
    </row>
    <row r="5597">
      <c r="A5597" s="10" t="str">
        <f>IFERROR(__xludf.DUMMYFUNCTION("""COMPUTED_VALUE"""),"ちなつ無双！")</f>
        <v>ちなつ無双！</v>
      </c>
      <c r="B5597" s="10">
        <f>IFERROR(__xludf.DUMMYFUNCTION("""COMPUTED_VALUE"""),473.0)</f>
        <v>473</v>
      </c>
      <c r="C5597" s="10">
        <f>IFERROR(__xludf.DUMMYFUNCTION("""COMPUTED_VALUE"""),5502.0)</f>
        <v>5502</v>
      </c>
      <c r="D5597" s="5">
        <f>IFERROR(__xludf.DUMMYFUNCTION("""COMPUTED_VALUE"""),0.2559156890037781)</f>
        <v>0.255915689</v>
      </c>
      <c r="E5597" s="5">
        <f>IFERROR(__xludf.DUMMYFUNCTION("""COMPUTED_VALUE"""),0.09644064426327302)</f>
        <v>0.09644064426</v>
      </c>
      <c r="F5597" s="5">
        <f>IFERROR(__xludf.DUMMYFUNCTION("""COMPUTED_VALUE"""),0.18731358122887254)</f>
        <v>0.1873135812</v>
      </c>
      <c r="G5597" s="5">
        <f>IFERROR(__xludf.DUMMYFUNCTION("""COMPUTED_VALUE"""),0.18711473453966992)</f>
        <v>0.1871147345</v>
      </c>
      <c r="H5597" s="5">
        <f>IFERROR(__xludf.DUMMYFUNCTION("""COMPUTED_VALUE"""),0.6199575371549894)</f>
        <v>0.6199575372</v>
      </c>
      <c r="I5597" s="11">
        <f>IFERROR(__xludf.DUMMYFUNCTION("""COMPUTED_VALUE"""),5698.195329087049)</f>
        <v>5698.195329</v>
      </c>
      <c r="J5597" s="10">
        <f>IFERROR(__xludf.DUMMYFUNCTION("""COMPUTED_VALUE"""),0.0)</f>
        <v>0</v>
      </c>
      <c r="K5597" s="5">
        <f>IFERROR(__xludf.DUMMYFUNCTION("""COMPUTED_VALUE"""),0.0)</f>
        <v>0</v>
      </c>
      <c r="L5597" s="10">
        <f>IFERROR(__xludf.DUMMYFUNCTION("""COMPUTED_VALUE"""),472.0)</f>
        <v>472</v>
      </c>
      <c r="M5597" s="5">
        <f>IFERROR(__xludf.DUMMYFUNCTION("""COMPUTED_VALUE"""),0.9978858350951374)</f>
        <v>0.9978858351</v>
      </c>
    </row>
    <row r="5598">
      <c r="A5598" s="10" t="str">
        <f>IFERROR(__xludf.DUMMYFUNCTION("""COMPUTED_VALUE"""),"石杖カナタ")</f>
        <v>石杖カナタ</v>
      </c>
      <c r="B5598" s="10">
        <f>IFERROR(__xludf.DUMMYFUNCTION("""COMPUTED_VALUE"""),607.0)</f>
        <v>607</v>
      </c>
      <c r="C5598" s="10">
        <f>IFERROR(__xludf.DUMMYFUNCTION("""COMPUTED_VALUE"""),7128.0)</f>
        <v>7128</v>
      </c>
      <c r="D5598" s="5">
        <f>IFERROR(__xludf.DUMMYFUNCTION("""COMPUTED_VALUE"""),0.3476460665542095)</f>
        <v>0.3476460666</v>
      </c>
      <c r="E5598" s="5">
        <f>IFERROR(__xludf.DUMMYFUNCTION("""COMPUTED_VALUE"""),0.09630424781475234)</f>
        <v>0.09630424781</v>
      </c>
      <c r="F5598" s="5">
        <f>IFERROR(__xludf.DUMMYFUNCTION("""COMPUTED_VALUE"""),0.20088943413586874)</f>
        <v>0.2008894341</v>
      </c>
      <c r="G5598" s="5">
        <f>IFERROR(__xludf.DUMMYFUNCTION("""COMPUTED_VALUE"""),0.1522772580892501)</f>
        <v>0.1522772581</v>
      </c>
      <c r="H5598" s="5">
        <f>IFERROR(__xludf.DUMMYFUNCTION("""COMPUTED_VALUE"""),0.6152671755725191)</f>
        <v>0.6152671756</v>
      </c>
      <c r="I5598" s="11">
        <f>IFERROR(__xludf.DUMMYFUNCTION("""COMPUTED_VALUE"""),5333.053435114503)</f>
        <v>5333.053435</v>
      </c>
      <c r="J5598" s="10">
        <f>IFERROR(__xludf.DUMMYFUNCTION("""COMPUTED_VALUE"""),0.0)</f>
        <v>0</v>
      </c>
      <c r="K5598" s="5">
        <f>IFERROR(__xludf.DUMMYFUNCTION("""COMPUTED_VALUE"""),0.0)</f>
        <v>0</v>
      </c>
      <c r="L5598" s="10">
        <f>IFERROR(__xludf.DUMMYFUNCTION("""COMPUTED_VALUE"""),607.0)</f>
        <v>607</v>
      </c>
      <c r="M5598" s="5">
        <f>IFERROR(__xludf.DUMMYFUNCTION("""COMPUTED_VALUE"""),1.0)</f>
        <v>1</v>
      </c>
    </row>
    <row r="5599">
      <c r="A5599" s="10" t="str">
        <f>IFERROR(__xludf.DUMMYFUNCTION("""COMPUTED_VALUE"""),"武藤千春")</f>
        <v>武藤千春</v>
      </c>
      <c r="B5599" s="10">
        <f>IFERROR(__xludf.DUMMYFUNCTION("""COMPUTED_VALUE"""),126.0)</f>
        <v>126</v>
      </c>
      <c r="C5599" s="10">
        <f>IFERROR(__xludf.DUMMYFUNCTION("""COMPUTED_VALUE"""),1476.0)</f>
        <v>1476</v>
      </c>
      <c r="D5599" s="5">
        <f>IFERROR(__xludf.DUMMYFUNCTION("""COMPUTED_VALUE"""),0.2637037037037037)</f>
        <v>0.2637037037</v>
      </c>
      <c r="E5599" s="5">
        <f>IFERROR(__xludf.DUMMYFUNCTION("""COMPUTED_VALUE"""),0.0962962962962963)</f>
        <v>0.0962962963</v>
      </c>
      <c r="F5599" s="5">
        <f>IFERROR(__xludf.DUMMYFUNCTION("""COMPUTED_VALUE"""),0.18962962962962962)</f>
        <v>0.1896296296</v>
      </c>
      <c r="G5599" s="5">
        <f>IFERROR(__xludf.DUMMYFUNCTION("""COMPUTED_VALUE"""),0.13777777777777778)</f>
        <v>0.1377777778</v>
      </c>
      <c r="H5599" s="5">
        <f>IFERROR(__xludf.DUMMYFUNCTION("""COMPUTED_VALUE"""),0.59765625)</f>
        <v>0.59765625</v>
      </c>
      <c r="I5599" s="11">
        <f>IFERROR(__xludf.DUMMYFUNCTION("""COMPUTED_VALUE"""),5976.5625)</f>
        <v>5976.5625</v>
      </c>
      <c r="J5599" s="10">
        <f>IFERROR(__xludf.DUMMYFUNCTION("""COMPUTED_VALUE"""),0.0)</f>
        <v>0</v>
      </c>
      <c r="K5599" s="5">
        <f>IFERROR(__xludf.DUMMYFUNCTION("""COMPUTED_VALUE"""),0.0)</f>
        <v>0</v>
      </c>
      <c r="L5599" s="10">
        <f>IFERROR(__xludf.DUMMYFUNCTION("""COMPUTED_VALUE"""),0.0)</f>
        <v>0</v>
      </c>
      <c r="M5599" s="5">
        <f>IFERROR(__xludf.DUMMYFUNCTION("""COMPUTED_VALUE"""),0.0)</f>
        <v>0</v>
      </c>
    </row>
    <row r="5600">
      <c r="A5600" s="10" t="str">
        <f>IFERROR(__xludf.DUMMYFUNCTION("""COMPUTED_VALUE"""),"BlackMZ")</f>
        <v>BlackMZ</v>
      </c>
      <c r="B5600" s="10">
        <f>IFERROR(__xludf.DUMMYFUNCTION("""COMPUTED_VALUE"""),120.0)</f>
        <v>120</v>
      </c>
      <c r="C5600" s="10">
        <f>IFERROR(__xludf.DUMMYFUNCTION("""COMPUTED_VALUE"""),1410.0)</f>
        <v>1410</v>
      </c>
      <c r="D5600" s="5">
        <f>IFERROR(__xludf.DUMMYFUNCTION("""COMPUTED_VALUE"""),0.25503875968992246)</f>
        <v>0.2550387597</v>
      </c>
      <c r="E5600" s="5">
        <f>IFERROR(__xludf.DUMMYFUNCTION("""COMPUTED_VALUE"""),0.09612403100775194)</f>
        <v>0.09612403101</v>
      </c>
      <c r="F5600" s="5">
        <f>IFERROR(__xludf.DUMMYFUNCTION("""COMPUTED_VALUE"""),0.17674418604651163)</f>
        <v>0.176744186</v>
      </c>
      <c r="G5600" s="5">
        <f>IFERROR(__xludf.DUMMYFUNCTION("""COMPUTED_VALUE"""),0.12170542635658915)</f>
        <v>0.1217054264</v>
      </c>
      <c r="H5600" s="5">
        <f>IFERROR(__xludf.DUMMYFUNCTION("""COMPUTED_VALUE"""),0.6228070175438597)</f>
        <v>0.6228070175</v>
      </c>
      <c r="I5600" s="11">
        <f>IFERROR(__xludf.DUMMYFUNCTION("""COMPUTED_VALUE"""),6036.403508771929)</f>
        <v>6036.403509</v>
      </c>
      <c r="J5600" s="10">
        <f>IFERROR(__xludf.DUMMYFUNCTION("""COMPUTED_VALUE"""),1.0)</f>
        <v>1</v>
      </c>
      <c r="K5600" s="5">
        <f>IFERROR(__xludf.DUMMYFUNCTION("""COMPUTED_VALUE"""),0.008333333333333333)</f>
        <v>0.008333333333</v>
      </c>
      <c r="L5600" s="10">
        <f>IFERROR(__xludf.DUMMYFUNCTION("""COMPUTED_VALUE"""),4.0)</f>
        <v>4</v>
      </c>
      <c r="M5600" s="5">
        <f>IFERROR(__xludf.DUMMYFUNCTION("""COMPUTED_VALUE"""),0.03333333333333333)</f>
        <v>0.03333333333</v>
      </c>
    </row>
    <row r="5601">
      <c r="A5601" s="10" t="str">
        <f>IFERROR(__xludf.DUMMYFUNCTION("""COMPUTED_VALUE"""),"｛・ω・｝")</f>
        <v>｛・ω・｝</v>
      </c>
      <c r="B5601" s="10">
        <f>IFERROR(__xludf.DUMMYFUNCTION("""COMPUTED_VALUE"""),112.0)</f>
        <v>112</v>
      </c>
      <c r="C5601" s="10">
        <f>IFERROR(__xludf.DUMMYFUNCTION("""COMPUTED_VALUE"""),1351.0)</f>
        <v>1351</v>
      </c>
      <c r="D5601" s="5">
        <f>IFERROR(__xludf.DUMMYFUNCTION("""COMPUTED_VALUE"""),0.24858757062146894)</f>
        <v>0.2485875706</v>
      </c>
      <c r="E5601" s="5">
        <f>IFERROR(__xludf.DUMMYFUNCTION("""COMPUTED_VALUE"""),0.096045197740113)</f>
        <v>0.09604519774</v>
      </c>
      <c r="F5601" s="5">
        <f>IFERROR(__xludf.DUMMYFUNCTION("""COMPUTED_VALUE"""),0.192090395480226)</f>
        <v>0.1920903955</v>
      </c>
      <c r="G5601" s="5">
        <f>IFERROR(__xludf.DUMMYFUNCTION("""COMPUTED_VALUE"""),0.16707021791767554)</f>
        <v>0.1670702179</v>
      </c>
      <c r="H5601" s="5">
        <f>IFERROR(__xludf.DUMMYFUNCTION("""COMPUTED_VALUE"""),0.6218487394957983)</f>
        <v>0.6218487395</v>
      </c>
      <c r="I5601" s="11">
        <f>IFERROR(__xludf.DUMMYFUNCTION("""COMPUTED_VALUE"""),5969.747899159664)</f>
        <v>5969.747899</v>
      </c>
      <c r="J5601" s="10">
        <f>IFERROR(__xludf.DUMMYFUNCTION("""COMPUTED_VALUE"""),0.0)</f>
        <v>0</v>
      </c>
      <c r="K5601" s="5">
        <f>IFERROR(__xludf.DUMMYFUNCTION("""COMPUTED_VALUE"""),0.0)</f>
        <v>0</v>
      </c>
      <c r="L5601" s="10">
        <f>IFERROR(__xludf.DUMMYFUNCTION("""COMPUTED_VALUE"""),0.0)</f>
        <v>0</v>
      </c>
      <c r="M5601" s="5">
        <f>IFERROR(__xludf.DUMMYFUNCTION("""COMPUTED_VALUE"""),0.0)</f>
        <v>0</v>
      </c>
    </row>
    <row r="5602">
      <c r="A5602" s="10" t="str">
        <f>IFERROR(__xludf.DUMMYFUNCTION("""COMPUTED_VALUE"""),"南斗レイ♪")</f>
        <v>南斗レイ♪</v>
      </c>
      <c r="B5602" s="10">
        <f>IFERROR(__xludf.DUMMYFUNCTION("""COMPUTED_VALUE"""),963.0)</f>
        <v>963</v>
      </c>
      <c r="C5602" s="10">
        <f>IFERROR(__xludf.DUMMYFUNCTION("""COMPUTED_VALUE"""),11512.0)</f>
        <v>11512</v>
      </c>
      <c r="D5602" s="5">
        <f>IFERROR(__xludf.DUMMYFUNCTION("""COMPUTED_VALUE"""),0.3269504218409328)</f>
        <v>0.3269504218</v>
      </c>
      <c r="E5602" s="5">
        <f>IFERROR(__xludf.DUMMYFUNCTION("""COMPUTED_VALUE"""),0.09602805953170916)</f>
        <v>0.09602805953</v>
      </c>
      <c r="F5602" s="5">
        <f>IFERROR(__xludf.DUMMYFUNCTION("""COMPUTED_VALUE"""),0.20106171201061712)</f>
        <v>0.201061712</v>
      </c>
      <c r="G5602" s="5">
        <f>IFERROR(__xludf.DUMMYFUNCTION("""COMPUTED_VALUE"""),0.12484595696274528)</f>
        <v>0.124845957</v>
      </c>
      <c r="H5602" s="5">
        <f>IFERROR(__xludf.DUMMYFUNCTION("""COMPUTED_VALUE"""),0.5983026874115983)</f>
        <v>0.5983026874</v>
      </c>
      <c r="I5602" s="11">
        <f>IFERROR(__xludf.DUMMYFUNCTION("""COMPUTED_VALUE"""),5463.130598774163)</f>
        <v>5463.130599</v>
      </c>
      <c r="J5602" s="10">
        <f>IFERROR(__xludf.DUMMYFUNCTION("""COMPUTED_VALUE"""),1.0)</f>
        <v>1</v>
      </c>
      <c r="K5602" s="5">
        <f>IFERROR(__xludf.DUMMYFUNCTION("""COMPUTED_VALUE"""),0.0010384215991692627)</f>
        <v>0.001038421599</v>
      </c>
      <c r="L5602" s="10">
        <f>IFERROR(__xludf.DUMMYFUNCTION("""COMPUTED_VALUE"""),963.0)</f>
        <v>963</v>
      </c>
      <c r="M5602" s="5">
        <f>IFERROR(__xludf.DUMMYFUNCTION("""COMPUTED_VALUE"""),1.0)</f>
        <v>1</v>
      </c>
    </row>
    <row r="5603">
      <c r="A5603" s="10" t="str">
        <f>IFERROR(__xludf.DUMMYFUNCTION("""COMPUTED_VALUE"""),"ねるてぃん")</f>
        <v>ねるてぃん</v>
      </c>
      <c r="B5603" s="10">
        <f>IFERROR(__xludf.DUMMYFUNCTION("""COMPUTED_VALUE"""),166.0)</f>
        <v>166</v>
      </c>
      <c r="C5603" s="10">
        <f>IFERROR(__xludf.DUMMYFUNCTION("""COMPUTED_VALUE"""),1961.0)</f>
        <v>1961</v>
      </c>
      <c r="D5603" s="5">
        <f>IFERROR(__xludf.DUMMYFUNCTION("""COMPUTED_VALUE"""),0.2986072423398329)</f>
        <v>0.2986072423</v>
      </c>
      <c r="E5603" s="5">
        <f>IFERROR(__xludf.DUMMYFUNCTION("""COMPUTED_VALUE"""),0.0958217270194986)</f>
        <v>0.09582172702</v>
      </c>
      <c r="F5603" s="5">
        <f>IFERROR(__xludf.DUMMYFUNCTION("""COMPUTED_VALUE"""),0.1860724233983287)</f>
        <v>0.1860724234</v>
      </c>
      <c r="G5603" s="5">
        <f>IFERROR(__xludf.DUMMYFUNCTION("""COMPUTED_VALUE"""),0.16323119777158773)</f>
        <v>0.1632311978</v>
      </c>
      <c r="H5603" s="5">
        <f>IFERROR(__xludf.DUMMYFUNCTION("""COMPUTED_VALUE"""),0.6167664670658682)</f>
        <v>0.6167664671</v>
      </c>
      <c r="I5603" s="11">
        <f>IFERROR(__xludf.DUMMYFUNCTION("""COMPUTED_VALUE"""),5394.610778443114)</f>
        <v>5394.610778</v>
      </c>
      <c r="J5603" s="10">
        <f>IFERROR(__xludf.DUMMYFUNCTION("""COMPUTED_VALUE"""),0.0)</f>
        <v>0</v>
      </c>
      <c r="K5603" s="5">
        <f>IFERROR(__xludf.DUMMYFUNCTION("""COMPUTED_VALUE"""),0.0)</f>
        <v>0</v>
      </c>
      <c r="L5603" s="10">
        <f>IFERROR(__xludf.DUMMYFUNCTION("""COMPUTED_VALUE"""),166.0)</f>
        <v>166</v>
      </c>
      <c r="M5603" s="5">
        <f>IFERROR(__xludf.DUMMYFUNCTION("""COMPUTED_VALUE"""),1.0)</f>
        <v>1</v>
      </c>
    </row>
    <row r="5604">
      <c r="A5604" s="10" t="str">
        <f>IFERROR(__xludf.DUMMYFUNCTION("""COMPUTED_VALUE"""),"タイガーふく")</f>
        <v>タイガーふく</v>
      </c>
      <c r="B5604" s="10">
        <f>IFERROR(__xludf.DUMMYFUNCTION("""COMPUTED_VALUE"""),422.0)</f>
        <v>422</v>
      </c>
      <c r="C5604" s="10">
        <f>IFERROR(__xludf.DUMMYFUNCTION("""COMPUTED_VALUE"""),4911.0)</f>
        <v>4911</v>
      </c>
      <c r="D5604" s="5">
        <f>IFERROR(__xludf.DUMMYFUNCTION("""COMPUTED_VALUE"""),0.30496769881933616)</f>
        <v>0.3049676988</v>
      </c>
      <c r="E5604" s="5">
        <f>IFERROR(__xludf.DUMMYFUNCTION("""COMPUTED_VALUE"""),0.09578970817554021)</f>
        <v>0.09578970818</v>
      </c>
      <c r="F5604" s="5">
        <f>IFERROR(__xludf.DUMMYFUNCTION("""COMPUTED_VALUE"""),0.19402985074626866)</f>
        <v>0.1940298507</v>
      </c>
      <c r="G5604" s="5">
        <f>IFERROR(__xludf.DUMMYFUNCTION("""COMPUTED_VALUE"""),0.1247493873914012)</f>
        <v>0.1247493874</v>
      </c>
      <c r="H5604" s="5">
        <f>IFERROR(__xludf.DUMMYFUNCTION("""COMPUTED_VALUE"""),0.6096440872560276)</f>
        <v>0.6096440873</v>
      </c>
      <c r="I5604" s="11">
        <f>IFERROR(__xludf.DUMMYFUNCTION("""COMPUTED_VALUE"""),5976.923076923077)</f>
        <v>5976.923077</v>
      </c>
      <c r="J5604" s="10">
        <f>IFERROR(__xludf.DUMMYFUNCTION("""COMPUTED_VALUE"""),1.0)</f>
        <v>1</v>
      </c>
      <c r="K5604" s="5">
        <f>IFERROR(__xludf.DUMMYFUNCTION("""COMPUTED_VALUE"""),0.002369668246445498)</f>
        <v>0.002369668246</v>
      </c>
      <c r="L5604" s="10">
        <f>IFERROR(__xludf.DUMMYFUNCTION("""COMPUTED_VALUE"""),422.0)</f>
        <v>422</v>
      </c>
      <c r="M5604" s="5">
        <f>IFERROR(__xludf.DUMMYFUNCTION("""COMPUTED_VALUE"""),1.0)</f>
        <v>1</v>
      </c>
    </row>
    <row r="5605">
      <c r="A5605" s="10" t="str">
        <f>IFERROR(__xludf.DUMMYFUNCTION("""COMPUTED_VALUE"""),"トートロ爺")</f>
        <v>トートロ爺</v>
      </c>
      <c r="B5605" s="10">
        <f>IFERROR(__xludf.DUMMYFUNCTION("""COMPUTED_VALUE"""),824.0)</f>
        <v>824</v>
      </c>
      <c r="C5605" s="10">
        <f>IFERROR(__xludf.DUMMYFUNCTION("""COMPUTED_VALUE"""),9650.0)</f>
        <v>9650</v>
      </c>
      <c r="D5605" s="5">
        <f>IFERROR(__xludf.DUMMYFUNCTION("""COMPUTED_VALUE"""),0.31101291638341266)</f>
        <v>0.3110129164</v>
      </c>
      <c r="E5605" s="5">
        <f>IFERROR(__xludf.DUMMYFUNCTION("""COMPUTED_VALUE"""),0.09573985950600498)</f>
        <v>0.09573985951</v>
      </c>
      <c r="F5605" s="5">
        <f>IFERROR(__xludf.DUMMYFUNCTION("""COMPUTED_VALUE"""),0.19680489462950373)</f>
        <v>0.1968048946</v>
      </c>
      <c r="G5605" s="5">
        <f>IFERROR(__xludf.DUMMYFUNCTION("""COMPUTED_VALUE"""),0.13176977113075006)</f>
        <v>0.1317697711</v>
      </c>
      <c r="H5605" s="5">
        <f>IFERROR(__xludf.DUMMYFUNCTION("""COMPUTED_VALUE"""),0.6309729418537708)</f>
        <v>0.6309729419</v>
      </c>
      <c r="I5605" s="11">
        <f>IFERROR(__xludf.DUMMYFUNCTION("""COMPUTED_VALUE"""),5358.203799654577)</f>
        <v>5358.2038</v>
      </c>
      <c r="J5605" s="10">
        <f>IFERROR(__xludf.DUMMYFUNCTION("""COMPUTED_VALUE"""),2.0)</f>
        <v>2</v>
      </c>
      <c r="K5605" s="5">
        <f>IFERROR(__xludf.DUMMYFUNCTION("""COMPUTED_VALUE"""),0.0024271844660194173)</f>
        <v>0.002427184466</v>
      </c>
      <c r="L5605" s="10">
        <f>IFERROR(__xludf.DUMMYFUNCTION("""COMPUTED_VALUE"""),824.0)</f>
        <v>824</v>
      </c>
      <c r="M5605" s="5">
        <f>IFERROR(__xludf.DUMMYFUNCTION("""COMPUTED_VALUE"""),1.0)</f>
        <v>1</v>
      </c>
    </row>
    <row r="5606">
      <c r="A5606" s="10" t="str">
        <f>IFERROR(__xludf.DUMMYFUNCTION("""COMPUTED_VALUE"""),"メラゾーマ")</f>
        <v>メラゾーマ</v>
      </c>
      <c r="B5606" s="10">
        <f>IFERROR(__xludf.DUMMYFUNCTION("""COMPUTED_VALUE"""),155.0)</f>
        <v>155</v>
      </c>
      <c r="C5606" s="10">
        <f>IFERROR(__xludf.DUMMYFUNCTION("""COMPUTED_VALUE"""),1790.0)</f>
        <v>1790</v>
      </c>
      <c r="D5606" s="5">
        <f>IFERROR(__xludf.DUMMYFUNCTION("""COMPUTED_VALUE"""),0.2948012232415902)</f>
        <v>0.2948012232</v>
      </c>
      <c r="E5606" s="5">
        <f>IFERROR(__xludf.DUMMYFUNCTION("""COMPUTED_VALUE"""),0.09541284403669725)</f>
        <v>0.09541284404</v>
      </c>
      <c r="F5606" s="5">
        <f>IFERROR(__xludf.DUMMYFUNCTION("""COMPUTED_VALUE"""),0.20917431192660552)</f>
        <v>0.2091743119</v>
      </c>
      <c r="G5606" s="5">
        <f>IFERROR(__xludf.DUMMYFUNCTION("""COMPUTED_VALUE"""),0.16085626911314985)</f>
        <v>0.1608562691</v>
      </c>
      <c r="H5606" s="5">
        <f>IFERROR(__xludf.DUMMYFUNCTION("""COMPUTED_VALUE"""),0.5818713450292398)</f>
        <v>0.581871345</v>
      </c>
      <c r="I5606" s="11">
        <f>IFERROR(__xludf.DUMMYFUNCTION("""COMPUTED_VALUE"""),5611.111111111111)</f>
        <v>5611.111111</v>
      </c>
      <c r="J5606" s="10">
        <f>IFERROR(__xludf.DUMMYFUNCTION("""COMPUTED_VALUE"""),0.0)</f>
        <v>0</v>
      </c>
      <c r="K5606" s="5">
        <f>IFERROR(__xludf.DUMMYFUNCTION("""COMPUTED_VALUE"""),0.0)</f>
        <v>0</v>
      </c>
      <c r="L5606" s="10">
        <f>IFERROR(__xludf.DUMMYFUNCTION("""COMPUTED_VALUE"""),0.0)</f>
        <v>0</v>
      </c>
      <c r="M5606" s="5">
        <f>IFERROR(__xludf.DUMMYFUNCTION("""COMPUTED_VALUE"""),0.0)</f>
        <v>0</v>
      </c>
    </row>
    <row r="5607">
      <c r="A5607" s="10" t="str">
        <f>IFERROR(__xludf.DUMMYFUNCTION("""COMPUTED_VALUE"""),"トキ雀狂人戦代表")</f>
        <v>トキ雀狂人戦代表</v>
      </c>
      <c r="B5607" s="10">
        <f>IFERROR(__xludf.DUMMYFUNCTION("""COMPUTED_VALUE"""),128.0)</f>
        <v>128</v>
      </c>
      <c r="C5607" s="10">
        <f>IFERROR(__xludf.DUMMYFUNCTION("""COMPUTED_VALUE"""),1514.0)</f>
        <v>1514</v>
      </c>
      <c r="D5607" s="5">
        <f>IFERROR(__xludf.DUMMYFUNCTION("""COMPUTED_VALUE"""),0.23232323232323232)</f>
        <v>0.2323232323</v>
      </c>
      <c r="E5607" s="5">
        <f>IFERROR(__xludf.DUMMYFUNCTION("""COMPUTED_VALUE"""),0.09523809523809523)</f>
        <v>0.09523809524</v>
      </c>
      <c r="F5607" s="5">
        <f>IFERROR(__xludf.DUMMYFUNCTION("""COMPUTED_VALUE"""),0.2077922077922078)</f>
        <v>0.2077922078</v>
      </c>
      <c r="G5607" s="5">
        <f>IFERROR(__xludf.DUMMYFUNCTION("""COMPUTED_VALUE"""),0.14502164502164502)</f>
        <v>0.145021645</v>
      </c>
      <c r="H5607" s="5">
        <f>IFERROR(__xludf.DUMMYFUNCTION("""COMPUTED_VALUE"""),0.5972222222222222)</f>
        <v>0.5972222222</v>
      </c>
      <c r="I5607" s="11">
        <f>IFERROR(__xludf.DUMMYFUNCTION("""COMPUTED_VALUE"""),5645.486111111111)</f>
        <v>5645.486111</v>
      </c>
      <c r="J5607" s="10">
        <f>IFERROR(__xludf.DUMMYFUNCTION("""COMPUTED_VALUE"""),0.0)</f>
        <v>0</v>
      </c>
      <c r="K5607" s="5">
        <f>IFERROR(__xludf.DUMMYFUNCTION("""COMPUTED_VALUE"""),0.0)</f>
        <v>0</v>
      </c>
      <c r="L5607" s="10">
        <f>IFERROR(__xludf.DUMMYFUNCTION("""COMPUTED_VALUE"""),128.0)</f>
        <v>128</v>
      </c>
      <c r="M5607" s="5">
        <f>IFERROR(__xludf.DUMMYFUNCTION("""COMPUTED_VALUE"""),1.0)</f>
        <v>1</v>
      </c>
    </row>
    <row r="5608">
      <c r="A5608" s="10" t="str">
        <f>IFERROR(__xludf.DUMMYFUNCTION("""COMPUTED_VALUE"""),"ナズ星@杏杏軍團")</f>
        <v>ナズ星@杏杏軍團</v>
      </c>
      <c r="B5608" s="10">
        <f>IFERROR(__xludf.DUMMYFUNCTION("""COMPUTED_VALUE"""),797.0)</f>
        <v>797</v>
      </c>
      <c r="C5608" s="10">
        <f>IFERROR(__xludf.DUMMYFUNCTION("""COMPUTED_VALUE"""),9381.0)</f>
        <v>9381</v>
      </c>
      <c r="D5608" s="5">
        <f>IFERROR(__xludf.DUMMYFUNCTION("""COMPUTED_VALUE"""),0.36218546132339235)</f>
        <v>0.3621854613</v>
      </c>
      <c r="E5608" s="5">
        <f>IFERROR(__xludf.DUMMYFUNCTION("""COMPUTED_VALUE"""),0.09517707362534948)</f>
        <v>0.09517707363</v>
      </c>
      <c r="F5608" s="5">
        <f>IFERROR(__xludf.DUMMYFUNCTION("""COMPUTED_VALUE"""),0.18336439888164027)</f>
        <v>0.1833643989</v>
      </c>
      <c r="G5608" s="5">
        <f>IFERROR(__xludf.DUMMYFUNCTION("""COMPUTED_VALUE"""),0.12698042870456663)</f>
        <v>0.1269804287</v>
      </c>
      <c r="H5608" s="5">
        <f>IFERROR(__xludf.DUMMYFUNCTION("""COMPUTED_VALUE"""),0.5813214739517154)</f>
        <v>0.581321474</v>
      </c>
      <c r="I5608" s="11">
        <f>IFERROR(__xludf.DUMMYFUNCTION("""COMPUTED_VALUE"""),5534.8157560355785)</f>
        <v>5534.815756</v>
      </c>
      <c r="J5608" s="10">
        <f>IFERROR(__xludf.DUMMYFUNCTION("""COMPUTED_VALUE"""),1.0)</f>
        <v>1</v>
      </c>
      <c r="K5608" s="5">
        <f>IFERROR(__xludf.DUMMYFUNCTION("""COMPUTED_VALUE"""),0.0012547051442910915)</f>
        <v>0.001254705144</v>
      </c>
      <c r="L5608" s="10">
        <f>IFERROR(__xludf.DUMMYFUNCTION("""COMPUTED_VALUE"""),0.0)</f>
        <v>0</v>
      </c>
      <c r="M5608" s="5">
        <f>IFERROR(__xludf.DUMMYFUNCTION("""COMPUTED_VALUE"""),0.0)</f>
        <v>0</v>
      </c>
    </row>
    <row r="5609">
      <c r="A5609" s="10" t="str">
        <f>IFERROR(__xludf.DUMMYFUNCTION("""COMPUTED_VALUE"""),"麻布堅一")</f>
        <v>麻布堅一</v>
      </c>
      <c r="B5609" s="10">
        <f>IFERROR(__xludf.DUMMYFUNCTION("""COMPUTED_VALUE"""),396.0)</f>
        <v>396</v>
      </c>
      <c r="C5609" s="10">
        <f>IFERROR(__xludf.DUMMYFUNCTION("""COMPUTED_VALUE"""),4643.0)</f>
        <v>4643</v>
      </c>
      <c r="D5609" s="5">
        <f>IFERROR(__xludf.DUMMYFUNCTION("""COMPUTED_VALUE"""),0.3020955968919237)</f>
        <v>0.3020955969</v>
      </c>
      <c r="E5609" s="5">
        <f>IFERROR(__xludf.DUMMYFUNCTION("""COMPUTED_VALUE"""),0.09512597127384036)</f>
        <v>0.09512597127</v>
      </c>
      <c r="F5609" s="5">
        <f>IFERROR(__xludf.DUMMYFUNCTION("""COMPUTED_VALUE"""),0.2022604191193784)</f>
        <v>0.2022604191</v>
      </c>
      <c r="G5609" s="5">
        <f>IFERROR(__xludf.DUMMYFUNCTION("""COMPUTED_VALUE"""),0.15281375088297622)</f>
        <v>0.1528137509</v>
      </c>
      <c r="H5609" s="5">
        <f>IFERROR(__xludf.DUMMYFUNCTION("""COMPUTED_VALUE"""),0.5483119906868452)</f>
        <v>0.5483119907</v>
      </c>
      <c r="I5609" s="11">
        <f>IFERROR(__xludf.DUMMYFUNCTION("""COMPUTED_VALUE"""),5966.589057043073)</f>
        <v>5966.589057</v>
      </c>
      <c r="J5609" s="10">
        <f>IFERROR(__xludf.DUMMYFUNCTION("""COMPUTED_VALUE"""),0.0)</f>
        <v>0</v>
      </c>
      <c r="K5609" s="5">
        <f>IFERROR(__xludf.DUMMYFUNCTION("""COMPUTED_VALUE"""),0.0)</f>
        <v>0</v>
      </c>
      <c r="L5609" s="10">
        <f>IFERROR(__xludf.DUMMYFUNCTION("""COMPUTED_VALUE"""),396.0)</f>
        <v>396</v>
      </c>
      <c r="M5609" s="5">
        <f>IFERROR(__xludf.DUMMYFUNCTION("""COMPUTED_VALUE"""),1.0)</f>
        <v>1</v>
      </c>
    </row>
    <row r="5610">
      <c r="A5610" s="10" t="str">
        <f>IFERROR(__xludf.DUMMYFUNCTION("""COMPUTED_VALUE"""),"真龍博狼牙")</f>
        <v>真龍博狼牙</v>
      </c>
      <c r="B5610" s="10">
        <f>IFERROR(__xludf.DUMMYFUNCTION("""COMPUTED_VALUE"""),725.0)</f>
        <v>725</v>
      </c>
      <c r="C5610" s="10">
        <f>IFERROR(__xludf.DUMMYFUNCTION("""COMPUTED_VALUE"""),8456.0)</f>
        <v>8456</v>
      </c>
      <c r="D5610" s="5">
        <f>IFERROR(__xludf.DUMMYFUNCTION("""COMPUTED_VALUE"""),0.1715172681412495)</f>
        <v>0.1715172681</v>
      </c>
      <c r="E5610" s="5">
        <f>IFERROR(__xludf.DUMMYFUNCTION("""COMPUTED_VALUE"""),0.09494243952916828)</f>
        <v>0.09494243953</v>
      </c>
      <c r="F5610" s="5">
        <f>IFERROR(__xludf.DUMMYFUNCTION("""COMPUTED_VALUE"""),0.17617384555684906)</f>
        <v>0.1761738456</v>
      </c>
      <c r="G5610" s="5">
        <f>IFERROR(__xludf.DUMMYFUNCTION("""COMPUTED_VALUE"""),0.17759668865606001)</f>
        <v>0.1775966887</v>
      </c>
      <c r="H5610" s="5">
        <f>IFERROR(__xludf.DUMMYFUNCTION("""COMPUTED_VALUE"""),0.5866372980910426)</f>
        <v>0.5866372981</v>
      </c>
      <c r="I5610" s="11">
        <f>IFERROR(__xludf.DUMMYFUNCTION("""COMPUTED_VALUE"""),6596.47577092511)</f>
        <v>6596.475771</v>
      </c>
      <c r="J5610" s="10">
        <f>IFERROR(__xludf.DUMMYFUNCTION("""COMPUTED_VALUE"""),0.0)</f>
        <v>0</v>
      </c>
      <c r="K5610" s="5">
        <f>IFERROR(__xludf.DUMMYFUNCTION("""COMPUTED_VALUE"""),0.0)</f>
        <v>0</v>
      </c>
      <c r="L5610" s="10">
        <f>IFERROR(__xludf.DUMMYFUNCTION("""COMPUTED_VALUE"""),725.0)</f>
        <v>725</v>
      </c>
      <c r="M5610" s="5">
        <f>IFERROR(__xludf.DUMMYFUNCTION("""COMPUTED_VALUE"""),1.0)</f>
        <v>1</v>
      </c>
    </row>
    <row r="5611">
      <c r="A5611" s="10" t="str">
        <f>IFERROR(__xludf.DUMMYFUNCTION("""COMPUTED_VALUE"""),"ＩＣＨＩ")</f>
        <v>ＩＣＨＩ</v>
      </c>
      <c r="B5611" s="10">
        <f>IFERROR(__xludf.DUMMYFUNCTION("""COMPUTED_VALUE"""),2395.0)</f>
        <v>2395</v>
      </c>
      <c r="C5611" s="10">
        <f>IFERROR(__xludf.DUMMYFUNCTION("""COMPUTED_VALUE"""),28139.0)</f>
        <v>28139</v>
      </c>
      <c r="D5611" s="5">
        <f>IFERROR(__xludf.DUMMYFUNCTION("""COMPUTED_VALUE"""),0.32221100062150404)</f>
        <v>0.3222110006</v>
      </c>
      <c r="E5611" s="5">
        <f>IFERROR(__xludf.DUMMYFUNCTION("""COMPUTED_VALUE"""),0.09493474207582349)</f>
        <v>0.09493474208</v>
      </c>
      <c r="F5611" s="5">
        <f>IFERROR(__xludf.DUMMYFUNCTION("""COMPUTED_VALUE"""),0.20128962088253574)</f>
        <v>0.2012896209</v>
      </c>
      <c r="G5611" s="5">
        <f>IFERROR(__xludf.DUMMYFUNCTION("""COMPUTED_VALUE"""),0.1600761342448726)</f>
        <v>0.1600761342</v>
      </c>
      <c r="H5611" s="5">
        <f>IFERROR(__xludf.DUMMYFUNCTION("""COMPUTED_VALUE"""),0.6028560401389425)</f>
        <v>0.6028560401</v>
      </c>
      <c r="I5611" s="11">
        <f>IFERROR(__xludf.DUMMYFUNCTION("""COMPUTED_VALUE"""),5503.145503666538)</f>
        <v>5503.145504</v>
      </c>
      <c r="J5611" s="10">
        <f>IFERROR(__xludf.DUMMYFUNCTION("""COMPUTED_VALUE"""),0.0)</f>
        <v>0</v>
      </c>
      <c r="K5611" s="5">
        <f>IFERROR(__xludf.DUMMYFUNCTION("""COMPUTED_VALUE"""),0.0)</f>
        <v>0</v>
      </c>
      <c r="L5611" s="10">
        <f>IFERROR(__xludf.DUMMYFUNCTION("""COMPUTED_VALUE"""),2394.0)</f>
        <v>2394</v>
      </c>
      <c r="M5611" s="5">
        <f>IFERROR(__xludf.DUMMYFUNCTION("""COMPUTED_VALUE"""),0.9995824634655532)</f>
        <v>0.9995824635</v>
      </c>
    </row>
    <row r="5612">
      <c r="A5612" s="10" t="str">
        <f>IFERROR(__xludf.DUMMYFUNCTION("""COMPUTED_VALUE"""),"わっふる♪")</f>
        <v>わっふる♪</v>
      </c>
      <c r="B5612" s="10">
        <f>IFERROR(__xludf.DUMMYFUNCTION("""COMPUTED_VALUE"""),107.0)</f>
        <v>107</v>
      </c>
      <c r="C5612" s="10">
        <f>IFERROR(__xludf.DUMMYFUNCTION("""COMPUTED_VALUE"""),1290.0)</f>
        <v>1290</v>
      </c>
      <c r="D5612" s="5">
        <f>IFERROR(__xludf.DUMMYFUNCTION("""COMPUTED_VALUE"""),0.43364327979712597)</f>
        <v>0.4336432798</v>
      </c>
      <c r="E5612" s="5">
        <f>IFERROR(__xludf.DUMMYFUNCTION("""COMPUTED_VALUE"""),0.09467455621301775)</f>
        <v>0.09467455621</v>
      </c>
      <c r="F5612" s="5">
        <f>IFERROR(__xludf.DUMMYFUNCTION("""COMPUTED_VALUE"""),0.21048182586644126)</f>
        <v>0.2104818259</v>
      </c>
      <c r="G5612" s="5">
        <f>IFERROR(__xludf.DUMMYFUNCTION("""COMPUTED_VALUE"""),0.16314454775993237)</f>
        <v>0.1631445478</v>
      </c>
      <c r="H5612" s="5">
        <f>IFERROR(__xludf.DUMMYFUNCTION("""COMPUTED_VALUE"""),0.6345381526104418)</f>
        <v>0.6345381526</v>
      </c>
      <c r="I5612" s="11">
        <f>IFERROR(__xludf.DUMMYFUNCTION("""COMPUTED_VALUE"""),5403.614457831325)</f>
        <v>5403.614458</v>
      </c>
      <c r="J5612" s="10">
        <f>IFERROR(__xludf.DUMMYFUNCTION("""COMPUTED_VALUE"""),0.0)</f>
        <v>0</v>
      </c>
      <c r="K5612" s="5">
        <f>IFERROR(__xludf.DUMMYFUNCTION("""COMPUTED_VALUE"""),0.0)</f>
        <v>0</v>
      </c>
      <c r="L5612" s="10">
        <f>IFERROR(__xludf.DUMMYFUNCTION("""COMPUTED_VALUE"""),0.0)</f>
        <v>0</v>
      </c>
      <c r="M5612" s="5">
        <f>IFERROR(__xludf.DUMMYFUNCTION("""COMPUTED_VALUE"""),0.0)</f>
        <v>0</v>
      </c>
    </row>
    <row r="5613">
      <c r="A5613" s="10" t="str">
        <f>IFERROR(__xludf.DUMMYFUNCTION("""COMPUTED_VALUE"""),"えあるv")</f>
        <v>えあるv</v>
      </c>
      <c r="B5613" s="10">
        <f>IFERROR(__xludf.DUMMYFUNCTION("""COMPUTED_VALUE"""),1251.0)</f>
        <v>1251</v>
      </c>
      <c r="C5613" s="10">
        <f>IFERROR(__xludf.DUMMYFUNCTION("""COMPUTED_VALUE"""),14759.0)</f>
        <v>14759</v>
      </c>
      <c r="D5613" s="5">
        <f>IFERROR(__xludf.DUMMYFUNCTION("""COMPUTED_VALUE"""),0.2602901984009476)</f>
        <v>0.2602901984</v>
      </c>
      <c r="E5613" s="5">
        <f>IFERROR(__xludf.DUMMYFUNCTION("""COMPUTED_VALUE"""),0.09461060112525911)</f>
        <v>0.09461060113</v>
      </c>
      <c r="F5613" s="5">
        <f>IFERROR(__xludf.DUMMYFUNCTION("""COMPUTED_VALUE"""),0.18692626591649392)</f>
        <v>0.1869262659</v>
      </c>
      <c r="G5613" s="5">
        <f>IFERROR(__xludf.DUMMYFUNCTION("""COMPUTED_VALUE"""),0.1237785016286645)</f>
        <v>0.1237785016</v>
      </c>
      <c r="H5613" s="5">
        <f>IFERROR(__xludf.DUMMYFUNCTION("""COMPUTED_VALUE"""),0.6106930693069307)</f>
        <v>0.6106930693</v>
      </c>
      <c r="I5613" s="11">
        <f>IFERROR(__xludf.DUMMYFUNCTION("""COMPUTED_VALUE"""),5988.910891089109)</f>
        <v>5988.910891</v>
      </c>
      <c r="J5613" s="10">
        <f>IFERROR(__xludf.DUMMYFUNCTION("""COMPUTED_VALUE"""),5.0)</f>
        <v>5</v>
      </c>
      <c r="K5613" s="5">
        <f>IFERROR(__xludf.DUMMYFUNCTION("""COMPUTED_VALUE"""),0.003996802557953637)</f>
        <v>0.003996802558</v>
      </c>
      <c r="L5613" s="10">
        <f>IFERROR(__xludf.DUMMYFUNCTION("""COMPUTED_VALUE"""),1251.0)</f>
        <v>1251</v>
      </c>
      <c r="M5613" s="5">
        <f>IFERROR(__xludf.DUMMYFUNCTION("""COMPUTED_VALUE"""),1.0)</f>
        <v>1</v>
      </c>
    </row>
    <row r="5614">
      <c r="A5614" s="10" t="str">
        <f>IFERROR(__xludf.DUMMYFUNCTION("""COMPUTED_VALUE"""),"劫波")</f>
        <v>劫波</v>
      </c>
      <c r="B5614" s="10">
        <f>IFERROR(__xludf.DUMMYFUNCTION("""COMPUTED_VALUE"""),196.0)</f>
        <v>196</v>
      </c>
      <c r="C5614" s="10">
        <f>IFERROR(__xludf.DUMMYFUNCTION("""COMPUTED_VALUE"""),2280.0)</f>
        <v>2280</v>
      </c>
      <c r="D5614" s="5">
        <f>IFERROR(__xludf.DUMMYFUNCTION("""COMPUTED_VALUE"""),0.2763915547024952)</f>
        <v>0.2763915547</v>
      </c>
      <c r="E5614" s="5">
        <f>IFERROR(__xludf.DUMMYFUNCTION("""COMPUTED_VALUE"""),0.09452975047984645)</f>
        <v>0.09452975048</v>
      </c>
      <c r="F5614" s="5">
        <f>IFERROR(__xludf.DUMMYFUNCTION("""COMPUTED_VALUE"""),0.19385796545105566)</f>
        <v>0.1938579655</v>
      </c>
      <c r="G5614" s="5">
        <f>IFERROR(__xludf.DUMMYFUNCTION("""COMPUTED_VALUE"""),0.15882917466410748)</f>
        <v>0.1588291747</v>
      </c>
      <c r="H5614" s="5">
        <f>IFERROR(__xludf.DUMMYFUNCTION("""COMPUTED_VALUE"""),0.6138613861386139)</f>
        <v>0.6138613861</v>
      </c>
      <c r="I5614" s="11">
        <f>IFERROR(__xludf.DUMMYFUNCTION("""COMPUTED_VALUE"""),5752.722772277228)</f>
        <v>5752.722772</v>
      </c>
      <c r="J5614" s="10">
        <f>IFERROR(__xludf.DUMMYFUNCTION("""COMPUTED_VALUE"""),0.0)</f>
        <v>0</v>
      </c>
      <c r="K5614" s="5">
        <f>IFERROR(__xludf.DUMMYFUNCTION("""COMPUTED_VALUE"""),0.0)</f>
        <v>0</v>
      </c>
      <c r="L5614" s="10">
        <f>IFERROR(__xludf.DUMMYFUNCTION("""COMPUTED_VALUE"""),196.0)</f>
        <v>196</v>
      </c>
      <c r="M5614" s="5">
        <f>IFERROR(__xludf.DUMMYFUNCTION("""COMPUTED_VALUE"""),1.0)</f>
        <v>1</v>
      </c>
    </row>
    <row r="5615">
      <c r="A5615" s="10" t="str">
        <f>IFERROR(__xludf.DUMMYFUNCTION("""COMPUTED_VALUE"""),"ふわふわ特民")</f>
        <v>ふわふわ特民</v>
      </c>
      <c r="B5615" s="10">
        <f>IFERROR(__xludf.DUMMYFUNCTION("""COMPUTED_VALUE"""),273.0)</f>
        <v>273</v>
      </c>
      <c r="C5615" s="10">
        <f>IFERROR(__xludf.DUMMYFUNCTION("""COMPUTED_VALUE"""),3271.0)</f>
        <v>3271</v>
      </c>
      <c r="D5615" s="5">
        <f>IFERROR(__xludf.DUMMYFUNCTION("""COMPUTED_VALUE"""),0.32621747831887926)</f>
        <v>0.3262174783</v>
      </c>
      <c r="E5615" s="5">
        <f>IFERROR(__xludf.DUMMYFUNCTION("""COMPUTED_VALUE"""),0.0943962641761174)</f>
        <v>0.09439626418</v>
      </c>
      <c r="F5615" s="5">
        <f>IFERROR(__xludf.DUMMYFUNCTION("""COMPUTED_VALUE"""),0.19513008672448298)</f>
        <v>0.1951300867</v>
      </c>
      <c r="G5615" s="5">
        <f>IFERROR(__xludf.DUMMYFUNCTION("""COMPUTED_VALUE"""),0.15110073382254838)</f>
        <v>0.1511007338</v>
      </c>
      <c r="H5615" s="5">
        <f>IFERROR(__xludf.DUMMYFUNCTION("""COMPUTED_VALUE"""),0.6222222222222222)</f>
        <v>0.6222222222</v>
      </c>
      <c r="I5615" s="11">
        <f>IFERROR(__xludf.DUMMYFUNCTION("""COMPUTED_VALUE"""),5555.555555555556)</f>
        <v>5555.555556</v>
      </c>
      <c r="J5615" s="10">
        <f>IFERROR(__xludf.DUMMYFUNCTION("""COMPUTED_VALUE"""),1.0)</f>
        <v>1</v>
      </c>
      <c r="K5615" s="5">
        <f>IFERROR(__xludf.DUMMYFUNCTION("""COMPUTED_VALUE"""),0.003663003663003663)</f>
        <v>0.003663003663</v>
      </c>
      <c r="L5615" s="10">
        <f>IFERROR(__xludf.DUMMYFUNCTION("""COMPUTED_VALUE"""),167.0)</f>
        <v>167</v>
      </c>
      <c r="M5615" s="5">
        <f>IFERROR(__xludf.DUMMYFUNCTION("""COMPUTED_VALUE"""),0.6117216117216118)</f>
        <v>0.6117216117</v>
      </c>
    </row>
    <row r="5616">
      <c r="A5616" s="10" t="str">
        <f>IFERROR(__xludf.DUMMYFUNCTION("""COMPUTED_VALUE"""),"実存")</f>
        <v>実存</v>
      </c>
      <c r="B5616" s="10">
        <f>IFERROR(__xludf.DUMMYFUNCTION("""COMPUTED_VALUE"""),2085.0)</f>
        <v>2085</v>
      </c>
      <c r="C5616" s="10">
        <f>IFERROR(__xludf.DUMMYFUNCTION("""COMPUTED_VALUE"""),24752.0)</f>
        <v>24752</v>
      </c>
      <c r="D5616" s="5">
        <f>IFERROR(__xludf.DUMMYFUNCTION("""COMPUTED_VALUE"""),0.22301142630255438)</f>
        <v>0.2230114263</v>
      </c>
      <c r="E5616" s="5">
        <f>IFERROR(__xludf.DUMMYFUNCTION("""COMPUTED_VALUE"""),0.09423390832487757)</f>
        <v>0.09423390832</v>
      </c>
      <c r="F5616" s="5">
        <f>IFERROR(__xludf.DUMMYFUNCTION("""COMPUTED_VALUE"""),0.17915913001279393)</f>
        <v>0.17915913</v>
      </c>
      <c r="G5616" s="5">
        <f>IFERROR(__xludf.DUMMYFUNCTION("""COMPUTED_VALUE"""),0.12613049808091056)</f>
        <v>0.1261304981</v>
      </c>
      <c r="H5616" s="5">
        <f>IFERROR(__xludf.DUMMYFUNCTION("""COMPUTED_VALUE"""),0.6010834769761143)</f>
        <v>0.601083477</v>
      </c>
      <c r="I5616" s="11">
        <f>IFERROR(__xludf.DUMMYFUNCTION("""COMPUTED_VALUE"""),5963.4819010096035)</f>
        <v>5963.481901</v>
      </c>
      <c r="J5616" s="10">
        <f>IFERROR(__xludf.DUMMYFUNCTION("""COMPUTED_VALUE"""),5.0)</f>
        <v>5</v>
      </c>
      <c r="K5616" s="5">
        <f>IFERROR(__xludf.DUMMYFUNCTION("""COMPUTED_VALUE"""),0.002398081534772182)</f>
        <v>0.002398081535</v>
      </c>
      <c r="L5616" s="10">
        <f>IFERROR(__xludf.DUMMYFUNCTION("""COMPUTED_VALUE"""),2085.0)</f>
        <v>2085</v>
      </c>
      <c r="M5616" s="5">
        <f>IFERROR(__xludf.DUMMYFUNCTION("""COMPUTED_VALUE"""),1.0)</f>
        <v>1</v>
      </c>
    </row>
    <row r="5617">
      <c r="A5617" s="10" t="str">
        <f>IFERROR(__xludf.DUMMYFUNCTION("""COMPUTED_VALUE"""),"新妻エイジ")</f>
        <v>新妻エイジ</v>
      </c>
      <c r="B5617" s="10">
        <f>IFERROR(__xludf.DUMMYFUNCTION("""COMPUTED_VALUE"""),798.0)</f>
        <v>798</v>
      </c>
      <c r="C5617" s="10">
        <f>IFERROR(__xludf.DUMMYFUNCTION("""COMPUTED_VALUE"""),9548.0)</f>
        <v>9548</v>
      </c>
      <c r="D5617" s="5">
        <f>IFERROR(__xludf.DUMMYFUNCTION("""COMPUTED_VALUE"""),0.3155428571428571)</f>
        <v>0.3155428571</v>
      </c>
      <c r="E5617" s="5">
        <f>IFERROR(__xludf.DUMMYFUNCTION("""COMPUTED_VALUE"""),0.09417142857142857)</f>
        <v>0.09417142857</v>
      </c>
      <c r="F5617" s="5">
        <f>IFERROR(__xludf.DUMMYFUNCTION("""COMPUTED_VALUE"""),0.19851428571428573)</f>
        <v>0.1985142857</v>
      </c>
      <c r="G5617" s="5">
        <f>IFERROR(__xludf.DUMMYFUNCTION("""COMPUTED_VALUE"""),0.15234285714285714)</f>
        <v>0.1523428571</v>
      </c>
      <c r="H5617" s="5">
        <f>IFERROR(__xludf.DUMMYFUNCTION("""COMPUTED_VALUE"""),0.5785837651122625)</f>
        <v>0.5785837651</v>
      </c>
      <c r="I5617" s="11">
        <f>IFERROR(__xludf.DUMMYFUNCTION("""COMPUTED_VALUE"""),5632.527345998848)</f>
        <v>5632.527346</v>
      </c>
      <c r="J5617" s="10">
        <f>IFERROR(__xludf.DUMMYFUNCTION("""COMPUTED_VALUE"""),1.0)</f>
        <v>1</v>
      </c>
      <c r="K5617" s="5">
        <f>IFERROR(__xludf.DUMMYFUNCTION("""COMPUTED_VALUE"""),0.0012531328320802004)</f>
        <v>0.001253132832</v>
      </c>
      <c r="L5617" s="10">
        <f>IFERROR(__xludf.DUMMYFUNCTION("""COMPUTED_VALUE"""),2.0)</f>
        <v>2</v>
      </c>
      <c r="M5617" s="5">
        <f>IFERROR(__xludf.DUMMYFUNCTION("""COMPUTED_VALUE"""),0.002506265664160401)</f>
        <v>0.002506265664</v>
      </c>
    </row>
    <row r="5618">
      <c r="A5618" s="10" t="str">
        <f>IFERROR(__xludf.DUMMYFUNCTION("""COMPUTED_VALUE"""),"★からす☆")</f>
        <v>★からす☆</v>
      </c>
      <c r="B5618" s="10">
        <f>IFERROR(__xludf.DUMMYFUNCTION("""COMPUTED_VALUE"""),615.0)</f>
        <v>615</v>
      </c>
      <c r="C5618" s="10">
        <f>IFERROR(__xludf.DUMMYFUNCTION("""COMPUTED_VALUE"""),7268.0)</f>
        <v>7268</v>
      </c>
      <c r="D5618" s="5">
        <f>IFERROR(__xludf.DUMMYFUNCTION("""COMPUTED_VALUE"""),0.36254321358785513)</f>
        <v>0.3625432136</v>
      </c>
      <c r="E5618" s="5">
        <f>IFERROR(__xludf.DUMMYFUNCTION("""COMPUTED_VALUE"""),0.09409289042537201)</f>
        <v>0.09409289043</v>
      </c>
      <c r="F5618" s="5">
        <f>IFERROR(__xludf.DUMMYFUNCTION("""COMPUTED_VALUE"""),0.20471967533443558)</f>
        <v>0.2047196753</v>
      </c>
      <c r="G5618" s="5">
        <f>IFERROR(__xludf.DUMMYFUNCTION("""COMPUTED_VALUE"""),0.15571922441004057)</f>
        <v>0.1557192244</v>
      </c>
      <c r="H5618" s="5">
        <f>IFERROR(__xludf.DUMMYFUNCTION("""COMPUTED_VALUE"""),0.5895741556534508)</f>
        <v>0.5895741557</v>
      </c>
      <c r="I5618" s="11">
        <f>IFERROR(__xludf.DUMMYFUNCTION("""COMPUTED_VALUE"""),5207.048458149779)</f>
        <v>5207.048458</v>
      </c>
      <c r="J5618" s="10">
        <f>IFERROR(__xludf.DUMMYFUNCTION("""COMPUTED_VALUE"""),1.0)</f>
        <v>1</v>
      </c>
      <c r="K5618" s="5">
        <f>IFERROR(__xludf.DUMMYFUNCTION("""COMPUTED_VALUE"""),0.0016260162601626016)</f>
        <v>0.00162601626</v>
      </c>
      <c r="L5618" s="10">
        <f>IFERROR(__xludf.DUMMYFUNCTION("""COMPUTED_VALUE"""),615.0)</f>
        <v>615</v>
      </c>
      <c r="M5618" s="5">
        <f>IFERROR(__xludf.DUMMYFUNCTION("""COMPUTED_VALUE"""),1.0)</f>
        <v>1</v>
      </c>
    </row>
    <row r="5619">
      <c r="A5619" s="10" t="str">
        <f>IFERROR(__xludf.DUMMYFUNCTION("""COMPUTED_VALUE"""),"☆カリメロ☆")</f>
        <v>☆カリメロ☆</v>
      </c>
      <c r="B5619" s="10">
        <f>IFERROR(__xludf.DUMMYFUNCTION("""COMPUTED_VALUE"""),163.0)</f>
        <v>163</v>
      </c>
      <c r="C5619" s="10">
        <f>IFERROR(__xludf.DUMMYFUNCTION("""COMPUTED_VALUE"""),1956.0)</f>
        <v>1956</v>
      </c>
      <c r="D5619" s="5">
        <f>IFERROR(__xludf.DUMMYFUNCTION("""COMPUTED_VALUE"""),0.2559955382041272)</f>
        <v>0.2559955382</v>
      </c>
      <c r="E5619" s="5">
        <f>IFERROR(__xludf.DUMMYFUNCTION("""COMPUTED_VALUE"""),0.09369771332961517)</f>
        <v>0.09369771333</v>
      </c>
      <c r="F5619" s="5">
        <f>IFERROR(__xludf.DUMMYFUNCTION("""COMPUTED_VALUE"""),0.1689905186837702)</f>
        <v>0.1689905187</v>
      </c>
      <c r="G5619" s="5">
        <f>IFERROR(__xludf.DUMMYFUNCTION("""COMPUTED_VALUE"""),0.14221974344673732)</f>
        <v>0.1422197434</v>
      </c>
      <c r="H5619" s="5">
        <f>IFERROR(__xludf.DUMMYFUNCTION("""COMPUTED_VALUE"""),0.5874587458745875)</f>
        <v>0.5874587459</v>
      </c>
      <c r="I5619" s="11">
        <f>IFERROR(__xludf.DUMMYFUNCTION("""COMPUTED_VALUE"""),5198.019801980198)</f>
        <v>5198.019802</v>
      </c>
      <c r="J5619" s="10">
        <f>IFERROR(__xludf.DUMMYFUNCTION("""COMPUTED_VALUE"""),0.0)</f>
        <v>0</v>
      </c>
      <c r="K5619" s="5">
        <f>IFERROR(__xludf.DUMMYFUNCTION("""COMPUTED_VALUE"""),0.0)</f>
        <v>0</v>
      </c>
      <c r="L5619" s="10">
        <f>IFERROR(__xludf.DUMMYFUNCTION("""COMPUTED_VALUE"""),151.0)</f>
        <v>151</v>
      </c>
      <c r="M5619" s="5">
        <f>IFERROR(__xludf.DUMMYFUNCTION("""COMPUTED_VALUE"""),0.9263803680981595)</f>
        <v>0.9263803681</v>
      </c>
    </row>
    <row r="5620">
      <c r="A5620" s="10" t="str">
        <f>IFERROR(__xludf.DUMMYFUNCTION("""COMPUTED_VALUE"""),"えびだけでも")</f>
        <v>えびだけでも</v>
      </c>
      <c r="B5620" s="10">
        <f>IFERROR(__xludf.DUMMYFUNCTION("""COMPUTED_VALUE"""),208.0)</f>
        <v>208</v>
      </c>
      <c r="C5620" s="10">
        <f>IFERROR(__xludf.DUMMYFUNCTION("""COMPUTED_VALUE"""),2396.0)</f>
        <v>2396</v>
      </c>
      <c r="D5620" s="5">
        <f>IFERROR(__xludf.DUMMYFUNCTION("""COMPUTED_VALUE"""),0.1590493601462523)</f>
        <v>0.1590493601</v>
      </c>
      <c r="E5620" s="5">
        <f>IFERROR(__xludf.DUMMYFUNCTION("""COMPUTED_VALUE"""),0.09369287020109689)</f>
        <v>0.0936928702</v>
      </c>
      <c r="F5620" s="5">
        <f>IFERROR(__xludf.DUMMYFUNCTION("""COMPUTED_VALUE"""),0.1723034734917733)</f>
        <v>0.1723034735</v>
      </c>
      <c r="G5620" s="5">
        <f>IFERROR(__xludf.DUMMYFUNCTION("""COMPUTED_VALUE"""),0.15310786106032906)</f>
        <v>0.1531078611</v>
      </c>
      <c r="H5620" s="5">
        <f>IFERROR(__xludf.DUMMYFUNCTION("""COMPUTED_VALUE"""),0.610079575596817)</f>
        <v>0.6100795756</v>
      </c>
      <c r="I5620" s="11">
        <f>IFERROR(__xludf.DUMMYFUNCTION("""COMPUTED_VALUE"""),6691.246684350132)</f>
        <v>6691.246684</v>
      </c>
      <c r="J5620" s="10">
        <f>IFERROR(__xludf.DUMMYFUNCTION("""COMPUTED_VALUE"""),1.0)</f>
        <v>1</v>
      </c>
      <c r="K5620" s="5">
        <f>IFERROR(__xludf.DUMMYFUNCTION("""COMPUTED_VALUE"""),0.004807692307692308)</f>
        <v>0.004807692308</v>
      </c>
      <c r="L5620" s="10">
        <f>IFERROR(__xludf.DUMMYFUNCTION("""COMPUTED_VALUE"""),160.0)</f>
        <v>160</v>
      </c>
      <c r="M5620" s="5">
        <f>IFERROR(__xludf.DUMMYFUNCTION("""COMPUTED_VALUE"""),0.7692307692307693)</f>
        <v>0.7692307692</v>
      </c>
    </row>
    <row r="5621">
      <c r="A5621" s="10" t="str">
        <f>IFERROR(__xludf.DUMMYFUNCTION("""COMPUTED_VALUE"""),"筋肉もりぞう")</f>
        <v>筋肉もりぞう</v>
      </c>
      <c r="B5621" s="10">
        <f>IFERROR(__xludf.DUMMYFUNCTION("""COMPUTED_VALUE"""),169.0)</f>
        <v>169</v>
      </c>
      <c r="C5621" s="10">
        <f>IFERROR(__xludf.DUMMYFUNCTION("""COMPUTED_VALUE"""),1986.0)</f>
        <v>1986</v>
      </c>
      <c r="D5621" s="5">
        <f>IFERROR(__xludf.DUMMYFUNCTION("""COMPUTED_VALUE"""),0.3291139240506329)</f>
        <v>0.3291139241</v>
      </c>
      <c r="E5621" s="5">
        <f>IFERROR(__xludf.DUMMYFUNCTION("""COMPUTED_VALUE"""),0.09246009906439186)</f>
        <v>0.09246009906</v>
      </c>
      <c r="F5621" s="5">
        <f>IFERROR(__xludf.DUMMYFUNCTION("""COMPUTED_VALUE"""),0.19207484865162355)</f>
        <v>0.1920748487</v>
      </c>
      <c r="G5621" s="5">
        <f>IFERROR(__xludf.DUMMYFUNCTION("""COMPUTED_VALUE"""),0.1518987341772152)</f>
        <v>0.1518987342</v>
      </c>
      <c r="H5621" s="5">
        <f>IFERROR(__xludf.DUMMYFUNCTION("""COMPUTED_VALUE"""),0.6446991404011462)</f>
        <v>0.6446991404</v>
      </c>
      <c r="I5621" s="11">
        <f>IFERROR(__xludf.DUMMYFUNCTION("""COMPUTED_VALUE"""),5632.091690544413)</f>
        <v>5632.091691</v>
      </c>
      <c r="J5621" s="10">
        <f>IFERROR(__xludf.DUMMYFUNCTION("""COMPUTED_VALUE"""),0.0)</f>
        <v>0</v>
      </c>
      <c r="K5621" s="5">
        <f>IFERROR(__xludf.DUMMYFUNCTION("""COMPUTED_VALUE"""),0.0)</f>
        <v>0</v>
      </c>
      <c r="L5621" s="10">
        <f>IFERROR(__xludf.DUMMYFUNCTION("""COMPUTED_VALUE"""),169.0)</f>
        <v>169</v>
      </c>
      <c r="M5621" s="5">
        <f>IFERROR(__xludf.DUMMYFUNCTION("""COMPUTED_VALUE"""),1.0)</f>
        <v>1</v>
      </c>
    </row>
    <row r="5622">
      <c r="A5622" s="10" t="str">
        <f>IFERROR(__xludf.DUMMYFUNCTION("""COMPUTED_VALUE"""),"すいくろ")</f>
        <v>すいくろ</v>
      </c>
      <c r="B5622" s="10">
        <f>IFERROR(__xludf.DUMMYFUNCTION("""COMPUTED_VALUE"""),569.0)</f>
        <v>569</v>
      </c>
      <c r="C5622" s="10">
        <f>IFERROR(__xludf.DUMMYFUNCTION("""COMPUTED_VALUE"""),6785.0)</f>
        <v>6785</v>
      </c>
      <c r="D5622" s="5">
        <f>IFERROR(__xludf.DUMMYFUNCTION("""COMPUTED_VALUE"""),0.23696911196911197)</f>
        <v>0.236969112</v>
      </c>
      <c r="E5622" s="5">
        <f>IFERROR(__xludf.DUMMYFUNCTION("""COMPUTED_VALUE"""),0.09185971685971686)</f>
        <v>0.09185971686</v>
      </c>
      <c r="F5622" s="5">
        <f>IFERROR(__xludf.DUMMYFUNCTION("""COMPUTED_VALUE"""),0.16763191763191762)</f>
        <v>0.1676319176</v>
      </c>
      <c r="G5622" s="5">
        <f>IFERROR(__xludf.DUMMYFUNCTION("""COMPUTED_VALUE"""),0.16666666666666666)</f>
        <v>0.1666666667</v>
      </c>
      <c r="H5622" s="5">
        <f>IFERROR(__xludf.DUMMYFUNCTION("""COMPUTED_VALUE"""),0.5595009596928983)</f>
        <v>0.5595009597</v>
      </c>
      <c r="I5622" s="11">
        <f>IFERROR(__xludf.DUMMYFUNCTION("""COMPUTED_VALUE"""),6455.758157389635)</f>
        <v>6455.758157</v>
      </c>
      <c r="J5622" s="10">
        <f>IFERROR(__xludf.DUMMYFUNCTION("""COMPUTED_VALUE"""),1.0)</f>
        <v>1</v>
      </c>
      <c r="K5622" s="5">
        <f>IFERROR(__xludf.DUMMYFUNCTION("""COMPUTED_VALUE"""),0.0017574692442882249)</f>
        <v>0.001757469244</v>
      </c>
      <c r="L5622" s="10">
        <f>IFERROR(__xludf.DUMMYFUNCTION("""COMPUTED_VALUE"""),569.0)</f>
        <v>569</v>
      </c>
      <c r="M5622" s="5">
        <f>IFERROR(__xludf.DUMMYFUNCTION("""COMPUTED_VALUE"""),1.0)</f>
        <v>1</v>
      </c>
    </row>
    <row r="5623">
      <c r="A5623" s="10" t="str">
        <f>IFERROR(__xludf.DUMMYFUNCTION("""COMPUTED_VALUE"""),"シェイプシフター")</f>
        <v>シェイプシフター</v>
      </c>
      <c r="B5623" s="10">
        <f>IFERROR(__xludf.DUMMYFUNCTION("""COMPUTED_VALUE"""),1273.0)</f>
        <v>1273</v>
      </c>
      <c r="C5623" s="10">
        <f>IFERROR(__xludf.DUMMYFUNCTION("""COMPUTED_VALUE"""),14912.0)</f>
        <v>14912</v>
      </c>
      <c r="D5623" s="5">
        <f>IFERROR(__xludf.DUMMYFUNCTION("""COMPUTED_VALUE"""),0.3065474008358384)</f>
        <v>0.3065474008</v>
      </c>
      <c r="E5623" s="5">
        <f>IFERROR(__xludf.DUMMYFUNCTION("""COMPUTED_VALUE"""),0.09120903292030208)</f>
        <v>0.09120903292</v>
      </c>
      <c r="F5623" s="5">
        <f>IFERROR(__xludf.DUMMYFUNCTION("""COMPUTED_VALUE"""),0.1953222377007112)</f>
        <v>0.1953222377</v>
      </c>
      <c r="G5623" s="5">
        <f>IFERROR(__xludf.DUMMYFUNCTION("""COMPUTED_VALUE"""),0.16408827626658845)</f>
        <v>0.1640882763</v>
      </c>
      <c r="H5623" s="5">
        <f>IFERROR(__xludf.DUMMYFUNCTION("""COMPUTED_VALUE"""),0.5863363363363363)</f>
        <v>0.5863363363</v>
      </c>
      <c r="I5623" s="11">
        <f>IFERROR(__xludf.DUMMYFUNCTION("""COMPUTED_VALUE"""),5675.825825825826)</f>
        <v>5675.825826</v>
      </c>
      <c r="J5623" s="10">
        <f>IFERROR(__xludf.DUMMYFUNCTION("""COMPUTED_VALUE"""),2.0)</f>
        <v>2</v>
      </c>
      <c r="K5623" s="5">
        <f>IFERROR(__xludf.DUMMYFUNCTION("""COMPUTED_VALUE"""),0.0015710919088766694)</f>
        <v>0.001571091909</v>
      </c>
      <c r="L5623" s="10">
        <f>IFERROR(__xludf.DUMMYFUNCTION("""COMPUTED_VALUE"""),1273.0)</f>
        <v>1273</v>
      </c>
      <c r="M5623" s="5">
        <f>IFERROR(__xludf.DUMMYFUNCTION("""COMPUTED_VALUE"""),1.0)</f>
        <v>1</v>
      </c>
    </row>
    <row r="5624">
      <c r="A5624" s="10" t="str">
        <f>IFERROR(__xludf.DUMMYFUNCTION("""COMPUTED_VALUE"""),"卓王")</f>
        <v>卓王</v>
      </c>
      <c r="B5624" s="10">
        <f>IFERROR(__xludf.DUMMYFUNCTION("""COMPUTED_VALUE"""),122.0)</f>
        <v>122</v>
      </c>
      <c r="C5624" s="10">
        <f>IFERROR(__xludf.DUMMYFUNCTION("""COMPUTED_VALUE"""),1420.0)</f>
        <v>1420</v>
      </c>
      <c r="D5624" s="5">
        <f>IFERROR(__xludf.DUMMYFUNCTION("""COMPUTED_VALUE"""),0.31587057010785824)</f>
        <v>0.3158705701</v>
      </c>
      <c r="E5624" s="5">
        <f>IFERROR(__xludf.DUMMYFUNCTION("""COMPUTED_VALUE"""),0.09090909090909091)</f>
        <v>0.09090909091</v>
      </c>
      <c r="F5624" s="5">
        <f>IFERROR(__xludf.DUMMYFUNCTION("""COMPUTED_VALUE"""),0.20030816640986132)</f>
        <v>0.2003081664</v>
      </c>
      <c r="G5624" s="5">
        <f>IFERROR(__xludf.DUMMYFUNCTION("""COMPUTED_VALUE"""),0.13636363636363635)</f>
        <v>0.1363636364</v>
      </c>
      <c r="H5624" s="5">
        <f>IFERROR(__xludf.DUMMYFUNCTION("""COMPUTED_VALUE"""),0.6307692307692307)</f>
        <v>0.6307692308</v>
      </c>
      <c r="I5624" s="11">
        <f>IFERROR(__xludf.DUMMYFUNCTION("""COMPUTED_VALUE"""),5250.0)</f>
        <v>5250</v>
      </c>
      <c r="J5624" s="10">
        <f>IFERROR(__xludf.DUMMYFUNCTION("""COMPUTED_VALUE"""),0.0)</f>
        <v>0</v>
      </c>
      <c r="K5624" s="5">
        <f>IFERROR(__xludf.DUMMYFUNCTION("""COMPUTED_VALUE"""),0.0)</f>
        <v>0</v>
      </c>
      <c r="L5624" s="10">
        <f>IFERROR(__xludf.DUMMYFUNCTION("""COMPUTED_VALUE"""),122.0)</f>
        <v>122</v>
      </c>
      <c r="M5624" s="5">
        <f>IFERROR(__xludf.DUMMYFUNCTION("""COMPUTED_VALUE"""),1.0)</f>
        <v>1</v>
      </c>
    </row>
    <row r="5625">
      <c r="A5625" s="10" t="str">
        <f>IFERROR(__xludf.DUMMYFUNCTION("""COMPUTED_VALUE"""),"ゆうかずは")</f>
        <v>ゆうかずは</v>
      </c>
      <c r="B5625" s="10">
        <f>IFERROR(__xludf.DUMMYFUNCTION("""COMPUTED_VALUE"""),115.0)</f>
        <v>115</v>
      </c>
      <c r="C5625" s="10">
        <f>IFERROR(__xludf.DUMMYFUNCTION("""COMPUTED_VALUE"""),1364.0)</f>
        <v>1364</v>
      </c>
      <c r="D5625" s="5">
        <f>IFERROR(__xludf.DUMMYFUNCTION("""COMPUTED_VALUE"""),0.3602882305844676)</f>
        <v>0.3602882306</v>
      </c>
      <c r="E5625" s="5">
        <f>IFERROR(__xludf.DUMMYFUNCTION("""COMPUTED_VALUE"""),0.08967173738991192)</f>
        <v>0.08967173739</v>
      </c>
      <c r="F5625" s="5">
        <f>IFERROR(__xludf.DUMMYFUNCTION("""COMPUTED_VALUE"""),0.20096076861489193)</f>
        <v>0.2009607686</v>
      </c>
      <c r="G5625" s="5">
        <f>IFERROR(__xludf.DUMMYFUNCTION("""COMPUTED_VALUE"""),0.1633306645316253)</f>
        <v>0.1633306645</v>
      </c>
      <c r="H5625" s="5">
        <f>IFERROR(__xludf.DUMMYFUNCTION("""COMPUTED_VALUE"""),0.6892430278884463)</f>
        <v>0.6892430279</v>
      </c>
      <c r="I5625" s="11">
        <f>IFERROR(__xludf.DUMMYFUNCTION("""COMPUTED_VALUE"""),5771.713147410359)</f>
        <v>5771.713147</v>
      </c>
      <c r="J5625" s="10">
        <f>IFERROR(__xludf.DUMMYFUNCTION("""COMPUTED_VALUE"""),0.0)</f>
        <v>0</v>
      </c>
      <c r="K5625" s="5">
        <f>IFERROR(__xludf.DUMMYFUNCTION("""COMPUTED_VALUE"""),0.0)</f>
        <v>0</v>
      </c>
      <c r="L5625" s="10">
        <f>IFERROR(__xludf.DUMMYFUNCTION("""COMPUTED_VALUE"""),0.0)</f>
        <v>0</v>
      </c>
      <c r="M5625" s="5">
        <f>IFERROR(__xludf.DUMMYFUNCTION("""COMPUTED_VALUE"""),0.0)</f>
        <v>0</v>
      </c>
    </row>
    <row r="5626">
      <c r="A5626" s="10" t="str">
        <f>IFERROR(__xludf.DUMMYFUNCTION("""COMPUTED_VALUE"""),"おつかれいな")</f>
        <v>おつかれいな</v>
      </c>
      <c r="B5626" s="10">
        <f>IFERROR(__xludf.DUMMYFUNCTION("""COMPUTED_VALUE"""),597.0)</f>
        <v>597</v>
      </c>
      <c r="C5626" s="10">
        <f>IFERROR(__xludf.DUMMYFUNCTION("""COMPUTED_VALUE"""),7076.0)</f>
        <v>7076</v>
      </c>
      <c r="D5626" s="5">
        <f>IFERROR(__xludf.DUMMYFUNCTION("""COMPUTED_VALUE"""),0.2622318258990585)</f>
        <v>0.2622318259</v>
      </c>
      <c r="E5626" s="5">
        <f>IFERROR(__xludf.DUMMYFUNCTION("""COMPUTED_VALUE"""),0.08859391881463188)</f>
        <v>0.08859391881</v>
      </c>
      <c r="F5626" s="5">
        <f>IFERROR(__xludf.DUMMYFUNCTION("""COMPUTED_VALUE"""),0.18613983639450532)</f>
        <v>0.1861398364</v>
      </c>
      <c r="G5626" s="5">
        <f>IFERROR(__xludf.DUMMYFUNCTION("""COMPUTED_VALUE"""),0.16931625250810312)</f>
        <v>0.1693162525</v>
      </c>
      <c r="H5626" s="5">
        <f>IFERROR(__xludf.DUMMYFUNCTION("""COMPUTED_VALUE"""),0.5779436152570481)</f>
        <v>0.5779436153</v>
      </c>
      <c r="I5626" s="11">
        <f>IFERROR(__xludf.DUMMYFUNCTION("""COMPUTED_VALUE"""),5816.252072968491)</f>
        <v>5816.252073</v>
      </c>
      <c r="J5626" s="10">
        <f>IFERROR(__xludf.DUMMYFUNCTION("""COMPUTED_VALUE"""),1.0)</f>
        <v>1</v>
      </c>
      <c r="K5626" s="5">
        <f>IFERROR(__xludf.DUMMYFUNCTION("""COMPUTED_VALUE"""),0.0016750418760469012)</f>
        <v>0.001675041876</v>
      </c>
      <c r="L5626" s="10">
        <f>IFERROR(__xludf.DUMMYFUNCTION("""COMPUTED_VALUE"""),0.0)</f>
        <v>0</v>
      </c>
      <c r="M5626" s="5">
        <f>IFERROR(__xludf.DUMMYFUNCTION("""COMPUTED_VALUE"""),0.0)</f>
        <v>0</v>
      </c>
    </row>
    <row r="5627">
      <c r="A5627" s="10" t="str">
        <f>IFERROR(__xludf.DUMMYFUNCTION("""COMPUTED_VALUE"""),"こまちゅ")</f>
        <v>こまちゅ</v>
      </c>
      <c r="B5627" s="10">
        <f>IFERROR(__xludf.DUMMYFUNCTION("""COMPUTED_VALUE"""),370.0)</f>
        <v>370</v>
      </c>
      <c r="C5627" s="10">
        <f>IFERROR(__xludf.DUMMYFUNCTION("""COMPUTED_VALUE"""),4465.0)</f>
        <v>4465</v>
      </c>
      <c r="D5627" s="5">
        <f>IFERROR(__xludf.DUMMYFUNCTION("""COMPUTED_VALUE"""),0.3609279609279609)</f>
        <v>0.3609279609</v>
      </c>
      <c r="E5627" s="5">
        <f>IFERROR(__xludf.DUMMYFUNCTION("""COMPUTED_VALUE"""),0.08547008547008547)</f>
        <v>0.08547008547</v>
      </c>
      <c r="F5627" s="5">
        <f>IFERROR(__xludf.DUMMYFUNCTION("""COMPUTED_VALUE"""),0.20683760683760682)</f>
        <v>0.2068376068</v>
      </c>
      <c r="G5627" s="5">
        <f>IFERROR(__xludf.DUMMYFUNCTION("""COMPUTED_VALUE"""),0.1387057387057387)</f>
        <v>0.1387057387</v>
      </c>
      <c r="H5627" s="5">
        <f>IFERROR(__xludf.DUMMYFUNCTION("""COMPUTED_VALUE"""),0.5808736717827627)</f>
        <v>0.5808736718</v>
      </c>
      <c r="I5627" s="11">
        <f>IFERROR(__xludf.DUMMYFUNCTION("""COMPUTED_VALUE"""),4893.270365997639)</f>
        <v>4893.270366</v>
      </c>
      <c r="J5627" s="10">
        <f>IFERROR(__xludf.DUMMYFUNCTION("""COMPUTED_VALUE"""),0.0)</f>
        <v>0</v>
      </c>
      <c r="K5627" s="5">
        <f>IFERROR(__xludf.DUMMYFUNCTION("""COMPUTED_VALUE"""),0.0)</f>
        <v>0</v>
      </c>
      <c r="L5627" s="10">
        <f>IFERROR(__xludf.DUMMYFUNCTION("""COMPUTED_VALUE"""),370.0)</f>
        <v>370</v>
      </c>
      <c r="M5627" s="5">
        <f>IFERROR(__xludf.DUMMYFUNCTION("""COMPUTED_VALUE"""),1.0)</f>
        <v>1</v>
      </c>
    </row>
  </sheetData>
  <hyperlinks>
    <hyperlink r:id="rId1" ref="A2972"/>
  </hyperlin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38"/>
    <col customWidth="1" min="2" max="2" width="7.25"/>
  </cols>
  <sheetData>
    <row r="1">
      <c r="A1" s="2" t="s">
        <v>7789</v>
      </c>
      <c r="B1" s="5">
        <f>AVERAGE(Over100!D2:Over100!D5627)</f>
        <v>0.3457839995</v>
      </c>
      <c r="C1" s="2">
        <v>34.58</v>
      </c>
      <c r="D1" s="2" t="s">
        <v>7790</v>
      </c>
      <c r="E1" s="2" t="s">
        <v>7791</v>
      </c>
      <c r="F1" s="2" t="s">
        <v>7792</v>
      </c>
      <c r="G1" s="2" t="s">
        <v>7791</v>
      </c>
      <c r="H1" s="2" t="s">
        <v>7793</v>
      </c>
      <c r="I1" s="2" t="s">
        <v>7791</v>
      </c>
      <c r="J1" s="2" t="s">
        <v>7794</v>
      </c>
      <c r="K1" s="2" t="s">
        <v>7791</v>
      </c>
    </row>
    <row r="2">
      <c r="A2" s="2" t="s">
        <v>7795</v>
      </c>
      <c r="B2" s="5">
        <f>STDEVP(Over100!D2:Over100!D5627)</f>
        <v>0.04500955401</v>
      </c>
      <c r="C2" s="2">
        <v>4.5</v>
      </c>
      <c r="D2" s="2">
        <v>16.0</v>
      </c>
      <c r="E2" s="5">
        <f t="shared" ref="E2:E19" si="1">NORMDIST(D2, $C$1, $C$2, FALSE)</f>
        <v>0.0000176129231</v>
      </c>
      <c r="F2" s="2">
        <v>14.0</v>
      </c>
      <c r="G2" s="5">
        <f t="shared" ref="G2:G19" si="2">NORMDIST(F2, $C$4, $C$5, FALSE)</f>
        <v>0.000000006176469537</v>
      </c>
      <c r="H2" s="2">
        <v>7.0</v>
      </c>
      <c r="I2" s="5">
        <f t="shared" ref="I2:I19" si="3">NORMDIST(H2, $C$7, $C$8, FALSE)</f>
        <v>0.0000005432396533</v>
      </c>
      <c r="J2" s="2">
        <v>8.0</v>
      </c>
      <c r="K2" s="5">
        <f t="shared" ref="K2:K19" si="4">NORMDIST(J2, $C$10, $C$11, FALSE)</f>
        <v>0.000585909461</v>
      </c>
    </row>
    <row r="3">
      <c r="D3" s="10">
        <f t="shared" ref="D3:D19" si="5">D2 + 2</f>
        <v>18</v>
      </c>
      <c r="E3" s="5">
        <f t="shared" si="1"/>
        <v>0.00009997590389</v>
      </c>
      <c r="F3" s="10">
        <f t="shared" ref="F3:F19" si="6">F2+0.5</f>
        <v>14.5</v>
      </c>
      <c r="G3" s="5">
        <f t="shared" si="2"/>
        <v>0.00000007545846516</v>
      </c>
      <c r="H3" s="10">
        <f t="shared" ref="H3:H19" si="7">H2+1</f>
        <v>8</v>
      </c>
      <c r="I3" s="5">
        <f t="shared" si="3"/>
        <v>0.000006324947072</v>
      </c>
      <c r="J3" s="10">
        <f t="shared" ref="J3:J19" si="8">J2+0.5</f>
        <v>8.5</v>
      </c>
      <c r="K3" s="5">
        <f t="shared" si="4"/>
        <v>0.001965535963</v>
      </c>
    </row>
    <row r="4">
      <c r="A4" s="2" t="s">
        <v>7796</v>
      </c>
      <c r="B4" s="5">
        <f>AVERAGE(Over100!F2:Over100!F5627)</f>
        <v>0.208672326</v>
      </c>
      <c r="C4" s="2">
        <v>20.87</v>
      </c>
      <c r="D4" s="10">
        <f t="shared" si="5"/>
        <v>20</v>
      </c>
      <c r="E4" s="5">
        <f t="shared" si="1"/>
        <v>0.0004657712473</v>
      </c>
      <c r="F4" s="10">
        <f t="shared" si="6"/>
        <v>15</v>
      </c>
      <c r="G4" s="5">
        <f t="shared" si="2"/>
        <v>0.0000007630945913</v>
      </c>
      <c r="H4" s="10">
        <f t="shared" si="7"/>
        <v>9</v>
      </c>
      <c r="I4" s="5">
        <f t="shared" si="3"/>
        <v>0.00005676385877</v>
      </c>
      <c r="J4" s="10">
        <f t="shared" si="8"/>
        <v>9</v>
      </c>
      <c r="K4" s="5">
        <f t="shared" si="4"/>
        <v>0.005782551307</v>
      </c>
    </row>
    <row r="5">
      <c r="A5" s="2" t="s">
        <v>7797</v>
      </c>
      <c r="B5" s="5">
        <f>STDEVP(Over100!F2:Over100!F5627)</f>
        <v>0.01148349093</v>
      </c>
      <c r="C5" s="2">
        <v>1.15</v>
      </c>
      <c r="D5" s="10">
        <f t="shared" si="5"/>
        <v>22</v>
      </c>
      <c r="E5" s="5">
        <f t="shared" si="1"/>
        <v>0.001780998063</v>
      </c>
      <c r="F5" s="10">
        <f t="shared" si="6"/>
        <v>15.5</v>
      </c>
      <c r="G5" s="5">
        <f t="shared" si="2"/>
        <v>0.000006387803203</v>
      </c>
      <c r="H5" s="10">
        <f t="shared" si="7"/>
        <v>10</v>
      </c>
      <c r="I5" s="5">
        <f t="shared" si="3"/>
        <v>0.0003926779446</v>
      </c>
      <c r="J5" s="10">
        <f t="shared" si="8"/>
        <v>9.5</v>
      </c>
      <c r="K5" s="5">
        <f t="shared" si="4"/>
        <v>0.01491921636</v>
      </c>
    </row>
    <row r="6">
      <c r="D6" s="10">
        <f t="shared" si="5"/>
        <v>24</v>
      </c>
      <c r="E6" s="5">
        <f t="shared" si="1"/>
        <v>0.005589431713</v>
      </c>
      <c r="F6" s="10">
        <f t="shared" si="6"/>
        <v>16</v>
      </c>
      <c r="G6" s="5">
        <f t="shared" si="2"/>
        <v>0.00004426163218</v>
      </c>
      <c r="H6" s="10">
        <f t="shared" si="7"/>
        <v>11</v>
      </c>
      <c r="I6" s="5">
        <f t="shared" si="3"/>
        <v>0.002093874704</v>
      </c>
      <c r="J6" s="10">
        <f t="shared" si="8"/>
        <v>10</v>
      </c>
      <c r="K6" s="5">
        <f t="shared" si="4"/>
        <v>0.03375674373</v>
      </c>
    </row>
    <row r="7">
      <c r="A7" s="2" t="s">
        <v>7798</v>
      </c>
      <c r="B7" s="5">
        <f>AVERAGE(Over100!G2:Over100!G5627)</f>
        <v>0.1692911151</v>
      </c>
      <c r="C7" s="2">
        <v>16.93</v>
      </c>
      <c r="D7" s="10">
        <f t="shared" si="5"/>
        <v>26</v>
      </c>
      <c r="E7" s="5">
        <f t="shared" si="1"/>
        <v>0.01439744068</v>
      </c>
      <c r="F7" s="10">
        <f t="shared" si="6"/>
        <v>16.5</v>
      </c>
      <c r="G7" s="5">
        <f t="shared" si="2"/>
        <v>0.000253866892</v>
      </c>
      <c r="H7" s="10">
        <f t="shared" si="7"/>
        <v>12</v>
      </c>
      <c r="I7" s="5">
        <f t="shared" si="3"/>
        <v>0.008606259847</v>
      </c>
      <c r="J7" s="10">
        <f t="shared" si="8"/>
        <v>10.5</v>
      </c>
      <c r="K7" s="5">
        <f t="shared" si="4"/>
        <v>0.06698276919</v>
      </c>
    </row>
    <row r="8">
      <c r="A8" s="2" t="s">
        <v>7799</v>
      </c>
      <c r="B8" s="5">
        <f>STDEVP(Over100!G2:Over100!G5627)</f>
        <v>0.0195789805</v>
      </c>
      <c r="C8" s="2">
        <v>1.96</v>
      </c>
      <c r="D8" s="10">
        <f t="shared" si="5"/>
        <v>28</v>
      </c>
      <c r="E8" s="5">
        <f t="shared" si="1"/>
        <v>0.03043801849</v>
      </c>
      <c r="F8" s="10">
        <f t="shared" si="6"/>
        <v>17</v>
      </c>
      <c r="G8" s="5">
        <f t="shared" si="2"/>
        <v>0.001205278617</v>
      </c>
      <c r="H8" s="10">
        <f t="shared" si="7"/>
        <v>13</v>
      </c>
      <c r="I8" s="5">
        <f t="shared" si="3"/>
        <v>0.02726640002</v>
      </c>
      <c r="J8" s="10">
        <f t="shared" si="8"/>
        <v>11</v>
      </c>
      <c r="K8" s="5">
        <f t="shared" si="4"/>
        <v>0.1165611078</v>
      </c>
    </row>
    <row r="9">
      <c r="D9" s="10">
        <f t="shared" si="5"/>
        <v>30</v>
      </c>
      <c r="E9" s="5">
        <f t="shared" si="1"/>
        <v>0.05281543864</v>
      </c>
      <c r="F9" s="10">
        <f t="shared" si="6"/>
        <v>17.5</v>
      </c>
      <c r="G9" s="5">
        <f t="shared" si="2"/>
        <v>0.004736653131</v>
      </c>
      <c r="H9" s="10">
        <f t="shared" si="7"/>
        <v>14</v>
      </c>
      <c r="I9" s="5">
        <f t="shared" si="3"/>
        <v>0.06658719677</v>
      </c>
      <c r="J9" s="10">
        <f t="shared" si="8"/>
        <v>11.5</v>
      </c>
      <c r="K9" s="5">
        <f t="shared" si="4"/>
        <v>0.1778821016</v>
      </c>
    </row>
    <row r="10">
      <c r="A10" s="2" t="s">
        <v>7800</v>
      </c>
      <c r="B10" s="5">
        <f>AVERAGE(Over100!E2:Over100!E5627)</f>
        <v>0.1286354896</v>
      </c>
      <c r="C10" s="2">
        <v>12.86</v>
      </c>
      <c r="D10" s="10">
        <f t="shared" si="5"/>
        <v>32</v>
      </c>
      <c r="E10" s="5">
        <f t="shared" si="1"/>
        <v>0.07521749073</v>
      </c>
      <c r="F10" s="10">
        <f t="shared" si="6"/>
        <v>18</v>
      </c>
      <c r="G10" s="5">
        <f t="shared" si="2"/>
        <v>0.01540843238</v>
      </c>
      <c r="H10" s="10">
        <f t="shared" si="7"/>
        <v>15</v>
      </c>
      <c r="I10" s="5">
        <f t="shared" si="3"/>
        <v>0.1253439121</v>
      </c>
      <c r="J10" s="10">
        <f t="shared" si="8"/>
        <v>12</v>
      </c>
      <c r="K10" s="5">
        <f t="shared" si="4"/>
        <v>0.2380668108</v>
      </c>
    </row>
    <row r="11">
      <c r="A11" s="2" t="s">
        <v>7801</v>
      </c>
      <c r="B11" s="5">
        <f>STDEVP(Over100!E2:Over100!E5627)</f>
        <v>0.01375092077</v>
      </c>
      <c r="C11" s="2">
        <v>1.38</v>
      </c>
      <c r="D11" s="10">
        <f t="shared" si="5"/>
        <v>34</v>
      </c>
      <c r="E11" s="5">
        <f t="shared" si="1"/>
        <v>0.08792051575</v>
      </c>
      <c r="F11" s="10">
        <f t="shared" si="6"/>
        <v>18.5</v>
      </c>
      <c r="G11" s="5">
        <f t="shared" si="2"/>
        <v>0.04149044339</v>
      </c>
      <c r="H11" s="10">
        <f t="shared" si="7"/>
        <v>16</v>
      </c>
      <c r="I11" s="5">
        <f t="shared" si="3"/>
        <v>0.1818717902</v>
      </c>
      <c r="J11" s="10">
        <f t="shared" si="8"/>
        <v>12.5</v>
      </c>
      <c r="K11" s="5">
        <f t="shared" si="4"/>
        <v>0.2794174169</v>
      </c>
    </row>
    <row r="12">
      <c r="D12" s="10">
        <f t="shared" si="5"/>
        <v>36</v>
      </c>
      <c r="E12" s="5">
        <f t="shared" si="1"/>
        <v>0.08434805033</v>
      </c>
      <c r="F12" s="10">
        <f t="shared" si="6"/>
        <v>19</v>
      </c>
      <c r="G12" s="5">
        <f t="shared" si="2"/>
        <v>0.09247842817</v>
      </c>
      <c r="H12" s="10">
        <f t="shared" si="7"/>
        <v>17</v>
      </c>
      <c r="I12" s="5">
        <f t="shared" si="3"/>
        <v>0.2034122112</v>
      </c>
      <c r="J12" s="10">
        <f t="shared" si="8"/>
        <v>13</v>
      </c>
      <c r="K12" s="5">
        <f t="shared" si="4"/>
        <v>0.2876047866</v>
      </c>
    </row>
    <row r="13">
      <c r="A13" s="2" t="s">
        <v>7802</v>
      </c>
      <c r="B13" s="11">
        <f>AVERAGE(Over100!I2:Over100!I5627)</f>
        <v>5638.88417</v>
      </c>
      <c r="D13" s="10">
        <f t="shared" si="5"/>
        <v>38</v>
      </c>
      <c r="E13" s="5">
        <f t="shared" si="1"/>
        <v>0.06641609017</v>
      </c>
      <c r="F13" s="10">
        <f t="shared" si="6"/>
        <v>19.5</v>
      </c>
      <c r="G13" s="5">
        <f t="shared" si="2"/>
        <v>0.170622204</v>
      </c>
      <c r="H13" s="10">
        <f t="shared" si="7"/>
        <v>18</v>
      </c>
      <c r="I13" s="5">
        <f t="shared" si="3"/>
        <v>0.1753631279</v>
      </c>
      <c r="J13" s="10">
        <f t="shared" si="8"/>
        <v>13.5</v>
      </c>
      <c r="K13" s="5">
        <f t="shared" si="4"/>
        <v>0.2596131956</v>
      </c>
    </row>
    <row r="14">
      <c r="A14" s="2" t="s">
        <v>7803</v>
      </c>
      <c r="B14" s="13">
        <f>STDEVP(Over100!I2:Over100!I5627)</f>
        <v>295.8110537</v>
      </c>
      <c r="D14" s="10">
        <f t="shared" si="5"/>
        <v>40</v>
      </c>
      <c r="E14" s="5">
        <f t="shared" si="1"/>
        <v>0.04292249893</v>
      </c>
      <c r="F14" s="10">
        <f t="shared" si="6"/>
        <v>20</v>
      </c>
      <c r="G14" s="5">
        <f t="shared" si="2"/>
        <v>0.2605753921</v>
      </c>
      <c r="H14" s="10">
        <f t="shared" si="7"/>
        <v>19</v>
      </c>
      <c r="I14" s="5">
        <f t="shared" si="3"/>
        <v>0.1165330541</v>
      </c>
      <c r="J14" s="10">
        <f t="shared" si="8"/>
        <v>14</v>
      </c>
      <c r="K14" s="5">
        <f t="shared" si="4"/>
        <v>0.2055159028</v>
      </c>
    </row>
    <row r="15">
      <c r="D15" s="10">
        <f t="shared" si="5"/>
        <v>42</v>
      </c>
      <c r="E15" s="5">
        <f t="shared" si="1"/>
        <v>0.02276722644</v>
      </c>
      <c r="F15" s="10">
        <f t="shared" si="6"/>
        <v>20.5</v>
      </c>
      <c r="G15" s="5">
        <f t="shared" si="2"/>
        <v>0.3294078898</v>
      </c>
      <c r="H15" s="10">
        <f t="shared" si="7"/>
        <v>20</v>
      </c>
      <c r="I15" s="5">
        <f t="shared" si="3"/>
        <v>0.05969109652</v>
      </c>
      <c r="J15" s="10">
        <f t="shared" si="8"/>
        <v>14.5</v>
      </c>
      <c r="K15" s="5">
        <f t="shared" si="4"/>
        <v>0.1426763926</v>
      </c>
    </row>
    <row r="16">
      <c r="A16" s="2" t="s">
        <v>18</v>
      </c>
      <c r="B16" s="5">
        <f>SUM(Over100!L2:L6000)/SUM(Over100!B2:B6000)</f>
        <v>0.8278468434</v>
      </c>
      <c r="D16" s="10">
        <f t="shared" si="5"/>
        <v>44</v>
      </c>
      <c r="E16" s="5">
        <f t="shared" si="1"/>
        <v>0.009911712382</v>
      </c>
      <c r="F16" s="10">
        <f t="shared" si="6"/>
        <v>21</v>
      </c>
      <c r="G16" s="5">
        <f t="shared" si="2"/>
        <v>0.3446968687</v>
      </c>
      <c r="H16" s="10">
        <f t="shared" si="7"/>
        <v>21</v>
      </c>
      <c r="I16" s="5">
        <f t="shared" si="3"/>
        <v>0.02356782845</v>
      </c>
      <c r="J16" s="10">
        <f t="shared" si="8"/>
        <v>15</v>
      </c>
      <c r="K16" s="5">
        <f t="shared" si="4"/>
        <v>0.08686540013</v>
      </c>
    </row>
    <row r="17">
      <c r="D17" s="10">
        <f t="shared" si="5"/>
        <v>46</v>
      </c>
      <c r="E17" s="5">
        <f t="shared" si="1"/>
        <v>0.00354160964</v>
      </c>
      <c r="F17" s="10">
        <f t="shared" si="6"/>
        <v>21.5</v>
      </c>
      <c r="G17" s="5">
        <f t="shared" si="2"/>
        <v>0.2985681135</v>
      </c>
      <c r="H17" s="10">
        <f t="shared" si="7"/>
        <v>22</v>
      </c>
      <c r="I17" s="5">
        <f t="shared" si="3"/>
        <v>0.007172642127</v>
      </c>
      <c r="J17" s="10">
        <f t="shared" si="8"/>
        <v>15.5</v>
      </c>
      <c r="K17" s="5">
        <f t="shared" si="4"/>
        <v>0.04637987199</v>
      </c>
    </row>
    <row r="18">
      <c r="D18" s="10">
        <f t="shared" si="5"/>
        <v>48</v>
      </c>
      <c r="E18" s="5">
        <f t="shared" si="1"/>
        <v>0.001038642589</v>
      </c>
      <c r="F18" s="10">
        <f t="shared" si="6"/>
        <v>22</v>
      </c>
      <c r="G18" s="5">
        <f t="shared" si="2"/>
        <v>0.2140682478</v>
      </c>
      <c r="H18" s="10">
        <f t="shared" si="7"/>
        <v>23</v>
      </c>
      <c r="I18" s="5">
        <f t="shared" si="3"/>
        <v>0.001682628885</v>
      </c>
      <c r="J18" s="10">
        <f t="shared" si="8"/>
        <v>16</v>
      </c>
      <c r="K18" s="5">
        <f t="shared" si="4"/>
        <v>0.02171702262</v>
      </c>
    </row>
    <row r="19">
      <c r="D19" s="10">
        <f t="shared" si="5"/>
        <v>50</v>
      </c>
      <c r="E19" s="5">
        <f t="shared" si="1"/>
        <v>0.000250002872</v>
      </c>
      <c r="F19" s="10">
        <f t="shared" si="6"/>
        <v>22.5</v>
      </c>
      <c r="G19" s="5">
        <f t="shared" si="2"/>
        <v>0.1270468287</v>
      </c>
      <c r="H19" s="10">
        <f t="shared" si="7"/>
        <v>24</v>
      </c>
      <c r="I19" s="5">
        <f t="shared" si="3"/>
        <v>0.0003042615689</v>
      </c>
      <c r="J19" s="10">
        <f t="shared" si="8"/>
        <v>16.5</v>
      </c>
      <c r="K19" s="5">
        <f t="shared" si="4"/>
        <v>0.008917826912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0"/>
    <col customWidth="1" min="2" max="2" width="7.13"/>
    <col customWidth="1" min="3" max="4" width="0.38"/>
    <col customWidth="1" min="5" max="5" width="6.5"/>
    <col customWidth="1" min="6" max="6" width="0.38"/>
    <col customWidth="1" min="7" max="7" width="7.88"/>
    <col customWidth="1" min="8" max="8" width="0.38"/>
    <col customWidth="1" min="9" max="9" width="6.5"/>
    <col customWidth="1" min="10" max="10" width="0.38"/>
    <col customWidth="1" min="11" max="11" width="6.75"/>
    <col customWidth="1" min="12" max="12" width="0.38"/>
    <col customWidth="1" min="13" max="13" width="6.5"/>
    <col customWidth="1" min="14" max="14" width="0.38"/>
    <col customWidth="1" min="15" max="15" width="9.0"/>
    <col customWidth="1" min="16" max="16" width="8.25"/>
    <col customWidth="1" min="17" max="17" width="6.63"/>
    <col customWidth="1" min="18" max="18" width="0.38"/>
    <col customWidth="1" min="19" max="19" width="7.38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>
      <c r="A2" s="2" t="s">
        <v>7724</v>
      </c>
      <c r="B2" s="2">
        <v>79.0</v>
      </c>
      <c r="C2" s="2">
        <v>937.0</v>
      </c>
      <c r="D2" s="2">
        <v>279.0</v>
      </c>
      <c r="E2" s="3">
        <f t="shared" ref="E2:E15" si="1">D2/(C2 - B2)</f>
        <v>0.3251748252</v>
      </c>
      <c r="F2" s="2">
        <v>65.0</v>
      </c>
      <c r="G2" s="3">
        <f t="shared" ref="G2:G15" si="2">F2/(C2 - B2)</f>
        <v>0.07575757576</v>
      </c>
      <c r="H2" s="2">
        <v>172.0</v>
      </c>
      <c r="I2" s="3">
        <f t="shared" ref="I2:I15" si="3">H2/(C2 - B2)</f>
        <v>0.2004662005</v>
      </c>
      <c r="J2" s="2">
        <v>112.0</v>
      </c>
      <c r="K2" s="3">
        <f t="shared" ref="K2:K15" si="4">J2/(C2 - B2)</f>
        <v>0.1305361305</v>
      </c>
      <c r="L2" s="2">
        <v>96.0</v>
      </c>
      <c r="M2" s="3">
        <f t="shared" ref="M2:M15" si="5">L2/H2</f>
        <v>0.5581395349</v>
      </c>
      <c r="N2" s="2">
        <v>925500.0</v>
      </c>
      <c r="O2" s="4">
        <f t="shared" ref="O2:O15" si="6">N2/H2</f>
        <v>5380.813953</v>
      </c>
      <c r="P2" s="2">
        <v>0.0</v>
      </c>
      <c r="Q2" s="3">
        <f t="shared" ref="Q2:Q15" si="7">P2/B2</f>
        <v>0</v>
      </c>
      <c r="R2" s="2">
        <v>71.0</v>
      </c>
      <c r="S2" s="5">
        <f t="shared" ref="S2:S15" si="8">R2/B2</f>
        <v>0.8987341772</v>
      </c>
    </row>
    <row r="3">
      <c r="A3" s="2" t="s">
        <v>7039</v>
      </c>
      <c r="B3" s="2">
        <v>1187.0</v>
      </c>
      <c r="C3" s="2">
        <v>14257.0</v>
      </c>
      <c r="D3" s="2">
        <v>4969.0</v>
      </c>
      <c r="E3" s="3">
        <f t="shared" si="1"/>
        <v>0.3801836266</v>
      </c>
      <c r="F3" s="2">
        <v>1443.0</v>
      </c>
      <c r="G3" s="3">
        <f t="shared" si="2"/>
        <v>0.1104055088</v>
      </c>
      <c r="H3" s="2">
        <v>2774.0</v>
      </c>
      <c r="I3" s="3">
        <f t="shared" si="3"/>
        <v>0.2122417751</v>
      </c>
      <c r="J3" s="2">
        <v>2208.0</v>
      </c>
      <c r="K3" s="3">
        <f t="shared" si="4"/>
        <v>0.1689364958</v>
      </c>
      <c r="L3" s="2">
        <v>1595.0</v>
      </c>
      <c r="M3" s="3">
        <f t="shared" si="5"/>
        <v>0.5749819755</v>
      </c>
      <c r="N3" s="2">
        <v>1.51149E7</v>
      </c>
      <c r="O3" s="4">
        <f t="shared" si="6"/>
        <v>5448.774333</v>
      </c>
      <c r="P3" s="2">
        <v>1.0</v>
      </c>
      <c r="Q3" s="3">
        <f t="shared" si="7"/>
        <v>0.0008424599832</v>
      </c>
      <c r="R3" s="2">
        <v>1187.0</v>
      </c>
      <c r="S3" s="5">
        <f t="shared" si="8"/>
        <v>1</v>
      </c>
    </row>
    <row r="4">
      <c r="A4" s="2" t="s">
        <v>4165</v>
      </c>
      <c r="B4" s="2">
        <v>3393.0</v>
      </c>
      <c r="C4" s="2">
        <v>40136.0</v>
      </c>
      <c r="D4" s="2">
        <v>13477.0</v>
      </c>
      <c r="E4" s="3">
        <f t="shared" si="1"/>
        <v>0.3667909534</v>
      </c>
      <c r="F4" s="2">
        <v>4686.0</v>
      </c>
      <c r="G4" s="3">
        <f t="shared" si="2"/>
        <v>0.1275344964</v>
      </c>
      <c r="H4" s="2">
        <v>8123.0</v>
      </c>
      <c r="I4" s="3">
        <f t="shared" si="3"/>
        <v>0.2210761233</v>
      </c>
      <c r="J4" s="2">
        <v>5677.0</v>
      </c>
      <c r="K4" s="3">
        <f t="shared" si="4"/>
        <v>0.1545056201</v>
      </c>
      <c r="L4" s="2">
        <v>4807.0</v>
      </c>
      <c r="M4" s="3">
        <f t="shared" si="5"/>
        <v>0.5917764373</v>
      </c>
      <c r="N4" s="2">
        <v>4.505E7</v>
      </c>
      <c r="O4" s="4">
        <f t="shared" si="6"/>
        <v>5545.980549</v>
      </c>
      <c r="P4" s="2">
        <v>1.0</v>
      </c>
      <c r="Q4" s="3">
        <f t="shared" si="7"/>
        <v>0.0002947244327</v>
      </c>
      <c r="R4" s="2">
        <v>3393.0</v>
      </c>
      <c r="S4" s="5">
        <f t="shared" si="8"/>
        <v>1</v>
      </c>
    </row>
    <row r="5">
      <c r="A5" s="2" t="s">
        <v>7133</v>
      </c>
      <c r="B5" s="2">
        <v>3372.0</v>
      </c>
      <c r="C5" s="2">
        <v>39729.0</v>
      </c>
      <c r="D5" s="2">
        <v>11189.0</v>
      </c>
      <c r="E5" s="3">
        <f t="shared" si="1"/>
        <v>0.307753665</v>
      </c>
      <c r="F5" s="2">
        <v>3972.0</v>
      </c>
      <c r="G5" s="3">
        <f t="shared" si="2"/>
        <v>0.1092499381</v>
      </c>
      <c r="H5" s="2">
        <v>7363.0</v>
      </c>
      <c r="I5" s="3">
        <f t="shared" si="3"/>
        <v>0.2025194598</v>
      </c>
      <c r="J5" s="2">
        <v>4910.0</v>
      </c>
      <c r="K5" s="3">
        <f t="shared" si="4"/>
        <v>0.1350496466</v>
      </c>
      <c r="L5" s="2">
        <v>4502.0</v>
      </c>
      <c r="M5" s="3">
        <f t="shared" si="5"/>
        <v>0.6114355562</v>
      </c>
      <c r="N5" s="2">
        <v>4.26789E7</v>
      </c>
      <c r="O5" s="4">
        <f t="shared" si="6"/>
        <v>5796.400924</v>
      </c>
      <c r="P5" s="2">
        <v>11.0</v>
      </c>
      <c r="Q5" s="3">
        <f t="shared" si="7"/>
        <v>0.003262158956</v>
      </c>
      <c r="R5" s="2">
        <v>3372.0</v>
      </c>
      <c r="S5" s="5">
        <f t="shared" si="8"/>
        <v>1</v>
      </c>
    </row>
    <row r="6">
      <c r="A6" s="2" t="s">
        <v>6226</v>
      </c>
      <c r="B6" s="2">
        <v>4465.0</v>
      </c>
      <c r="C6" s="2">
        <v>52470.0</v>
      </c>
      <c r="D6" s="2">
        <v>17806.0</v>
      </c>
      <c r="E6" s="3">
        <f t="shared" si="1"/>
        <v>0.3709196959</v>
      </c>
      <c r="F6" s="2">
        <v>5622.0</v>
      </c>
      <c r="G6" s="3">
        <f t="shared" si="2"/>
        <v>0.1171128007</v>
      </c>
      <c r="H6" s="2">
        <v>10734.0</v>
      </c>
      <c r="I6" s="3">
        <f t="shared" si="3"/>
        <v>0.2236017082</v>
      </c>
      <c r="J6" s="2">
        <v>8789.0</v>
      </c>
      <c r="K6" s="3">
        <f t="shared" si="4"/>
        <v>0.1830850953</v>
      </c>
      <c r="L6" s="2">
        <v>6358.0</v>
      </c>
      <c r="M6" s="3">
        <f t="shared" si="5"/>
        <v>0.5923234582</v>
      </c>
      <c r="N6" s="2">
        <v>5.97076E7</v>
      </c>
      <c r="O6" s="4">
        <f t="shared" si="6"/>
        <v>5562.47438</v>
      </c>
      <c r="P6" s="2">
        <v>16.0</v>
      </c>
      <c r="Q6" s="3">
        <f t="shared" si="7"/>
        <v>0.003583426652</v>
      </c>
      <c r="R6" s="2">
        <v>3382.0</v>
      </c>
      <c r="S6" s="5">
        <f t="shared" si="8"/>
        <v>0.7574468085</v>
      </c>
    </row>
    <row r="7">
      <c r="A7" s="2" t="s">
        <v>5783</v>
      </c>
      <c r="B7" s="2">
        <v>4501.0</v>
      </c>
      <c r="C7" s="2">
        <v>53101.0</v>
      </c>
      <c r="D7" s="2">
        <v>16472.0</v>
      </c>
      <c r="E7" s="3">
        <f t="shared" si="1"/>
        <v>0.3389300412</v>
      </c>
      <c r="F7" s="2">
        <v>5810.0</v>
      </c>
      <c r="G7" s="3">
        <f t="shared" si="2"/>
        <v>0.1195473251</v>
      </c>
      <c r="H7" s="2">
        <v>10490.0</v>
      </c>
      <c r="I7" s="3">
        <f t="shared" si="3"/>
        <v>0.2158436214</v>
      </c>
      <c r="J7" s="2">
        <v>7344.0</v>
      </c>
      <c r="K7" s="3">
        <f t="shared" si="4"/>
        <v>0.1511111111</v>
      </c>
      <c r="L7" s="2">
        <v>6416.0</v>
      </c>
      <c r="M7" s="3">
        <f t="shared" si="5"/>
        <v>0.6116301239</v>
      </c>
      <c r="N7" s="2">
        <v>5.88223E7</v>
      </c>
      <c r="O7" s="4">
        <f t="shared" si="6"/>
        <v>5607.464252</v>
      </c>
      <c r="P7" s="2">
        <v>4.0</v>
      </c>
      <c r="Q7" s="3">
        <f t="shared" si="7"/>
        <v>0.0008886914019</v>
      </c>
      <c r="R7" s="2">
        <v>4500.0</v>
      </c>
      <c r="S7" s="5">
        <f t="shared" si="8"/>
        <v>0.9997778271</v>
      </c>
    </row>
    <row r="8">
      <c r="A8" s="2" t="s">
        <v>4337</v>
      </c>
      <c r="B8" s="2">
        <v>2083.0</v>
      </c>
      <c r="C8" s="2">
        <v>24385.0</v>
      </c>
      <c r="D8" s="2">
        <v>8367.0</v>
      </c>
      <c r="E8" s="3">
        <f t="shared" si="1"/>
        <v>0.3751681464</v>
      </c>
      <c r="F8" s="2">
        <v>2827.0</v>
      </c>
      <c r="G8" s="3">
        <f t="shared" si="2"/>
        <v>0.1267599318</v>
      </c>
      <c r="H8" s="2">
        <v>4992.0</v>
      </c>
      <c r="I8" s="3">
        <f t="shared" si="3"/>
        <v>0.2238364272</v>
      </c>
      <c r="J8" s="2">
        <v>3253.0</v>
      </c>
      <c r="K8" s="3">
        <f t="shared" si="4"/>
        <v>0.1458613577</v>
      </c>
      <c r="L8" s="2">
        <v>3085.0</v>
      </c>
      <c r="M8" s="3">
        <f t="shared" si="5"/>
        <v>0.6179887821</v>
      </c>
      <c r="N8" s="2">
        <v>2.70154E7</v>
      </c>
      <c r="O8" s="4">
        <f t="shared" si="6"/>
        <v>5411.738782</v>
      </c>
      <c r="P8" s="2">
        <v>2.0</v>
      </c>
      <c r="Q8" s="3">
        <f t="shared" si="7"/>
        <v>0.0009601536246</v>
      </c>
      <c r="R8" s="2">
        <v>2083.0</v>
      </c>
      <c r="S8" s="5">
        <f t="shared" si="8"/>
        <v>1</v>
      </c>
    </row>
    <row r="9">
      <c r="A9" s="2" t="s">
        <v>4230</v>
      </c>
      <c r="B9" s="2">
        <v>3315.0</v>
      </c>
      <c r="C9" s="2">
        <v>39094.0</v>
      </c>
      <c r="D9" s="2">
        <v>12287.0</v>
      </c>
      <c r="E9" s="3">
        <f t="shared" si="1"/>
        <v>0.3434137343</v>
      </c>
      <c r="F9" s="2">
        <v>4553.0</v>
      </c>
      <c r="G9" s="3">
        <f t="shared" si="2"/>
        <v>0.1272534168</v>
      </c>
      <c r="H9" s="2">
        <v>7893.0</v>
      </c>
      <c r="I9" s="3">
        <f t="shared" si="3"/>
        <v>0.2206042651</v>
      </c>
      <c r="J9" s="2">
        <v>5744.0</v>
      </c>
      <c r="K9" s="3">
        <f t="shared" si="4"/>
        <v>0.1605410995</v>
      </c>
      <c r="L9" s="2">
        <v>4784.0</v>
      </c>
      <c r="M9" s="3">
        <f t="shared" si="5"/>
        <v>0.6061066768</v>
      </c>
      <c r="N9" s="2">
        <v>4.44832E7</v>
      </c>
      <c r="O9" s="4">
        <f t="shared" si="6"/>
        <v>5635.778538</v>
      </c>
      <c r="P9" s="2">
        <v>9.0</v>
      </c>
      <c r="Q9" s="3">
        <f t="shared" si="7"/>
        <v>0.002714932127</v>
      </c>
      <c r="R9" s="2">
        <v>3315.0</v>
      </c>
      <c r="S9" s="5">
        <f t="shared" si="8"/>
        <v>1</v>
      </c>
    </row>
    <row r="10">
      <c r="A10" s="2" t="s">
        <v>2889</v>
      </c>
      <c r="B10" s="2">
        <v>3300.0</v>
      </c>
      <c r="C10" s="2">
        <v>38380.0</v>
      </c>
      <c r="D10" s="2">
        <v>12078.0</v>
      </c>
      <c r="E10" s="3">
        <f t="shared" si="1"/>
        <v>0.3442987457</v>
      </c>
      <c r="F10" s="2">
        <v>4711.0</v>
      </c>
      <c r="G10" s="3">
        <f t="shared" si="2"/>
        <v>0.1342930445</v>
      </c>
      <c r="H10" s="2">
        <v>7819.0</v>
      </c>
      <c r="I10" s="3">
        <f t="shared" si="3"/>
        <v>0.2228905359</v>
      </c>
      <c r="J10" s="2">
        <v>5931.0</v>
      </c>
      <c r="K10" s="3">
        <f t="shared" si="4"/>
        <v>0.1690706956</v>
      </c>
      <c r="L10" s="2">
        <v>4712.0</v>
      </c>
      <c r="M10" s="3">
        <f t="shared" si="5"/>
        <v>0.602634608</v>
      </c>
      <c r="N10" s="2">
        <v>4.44782E7</v>
      </c>
      <c r="O10" s="4">
        <f t="shared" si="6"/>
        <v>5688.476787</v>
      </c>
      <c r="P10" s="2">
        <v>11.0</v>
      </c>
      <c r="Q10" s="3">
        <f t="shared" si="7"/>
        <v>0.003333333333</v>
      </c>
      <c r="R10" s="2">
        <v>3288.0</v>
      </c>
      <c r="S10" s="5">
        <f t="shared" si="8"/>
        <v>0.9963636364</v>
      </c>
    </row>
    <row r="11">
      <c r="A11" s="2" t="s">
        <v>6700</v>
      </c>
      <c r="B11" s="2">
        <v>6850.0</v>
      </c>
      <c r="C11" s="2">
        <v>80793.0</v>
      </c>
      <c r="D11" s="2">
        <v>25804.0</v>
      </c>
      <c r="E11" s="3">
        <f t="shared" si="1"/>
        <v>0.3489715051</v>
      </c>
      <c r="F11" s="2">
        <v>8415.0</v>
      </c>
      <c r="G11" s="3">
        <f t="shared" si="2"/>
        <v>0.113803876</v>
      </c>
      <c r="H11" s="2">
        <v>15069.0</v>
      </c>
      <c r="I11" s="3">
        <f t="shared" si="3"/>
        <v>0.2037921101</v>
      </c>
      <c r="J11" s="2">
        <v>11218.0</v>
      </c>
      <c r="K11" s="3">
        <f t="shared" si="4"/>
        <v>0.1517114534</v>
      </c>
      <c r="L11" s="2">
        <v>8986.0</v>
      </c>
      <c r="M11" s="3">
        <f t="shared" si="5"/>
        <v>0.5963235782</v>
      </c>
      <c r="N11" s="2">
        <v>8.56381E7</v>
      </c>
      <c r="O11" s="4">
        <f t="shared" si="6"/>
        <v>5683.06457</v>
      </c>
      <c r="P11" s="2">
        <v>13.0</v>
      </c>
      <c r="Q11" s="3">
        <f t="shared" si="7"/>
        <v>0.001897810219</v>
      </c>
      <c r="R11" s="2">
        <v>6849.0</v>
      </c>
      <c r="S11" s="5">
        <f t="shared" si="8"/>
        <v>0.9998540146</v>
      </c>
    </row>
    <row r="12">
      <c r="A12" s="2" t="s">
        <v>6457</v>
      </c>
      <c r="B12" s="2">
        <v>2225.0</v>
      </c>
      <c r="C12" s="2">
        <v>26238.0</v>
      </c>
      <c r="D12" s="2">
        <v>9506.0</v>
      </c>
      <c r="E12" s="3">
        <f t="shared" si="1"/>
        <v>0.3958689043</v>
      </c>
      <c r="F12" s="2">
        <v>2775.0</v>
      </c>
      <c r="G12" s="3">
        <f t="shared" si="2"/>
        <v>0.1155624037</v>
      </c>
      <c r="H12" s="2">
        <v>5363.0</v>
      </c>
      <c r="I12" s="3">
        <f t="shared" si="3"/>
        <v>0.2233373589</v>
      </c>
      <c r="J12" s="2">
        <v>3911.0</v>
      </c>
      <c r="K12" s="3">
        <f t="shared" si="4"/>
        <v>0.162870112</v>
      </c>
      <c r="L12" s="2">
        <v>3196.0</v>
      </c>
      <c r="M12" s="3">
        <f t="shared" si="5"/>
        <v>0.5959351109</v>
      </c>
      <c r="N12" s="2">
        <v>2.9458E7</v>
      </c>
      <c r="O12" s="4">
        <f t="shared" si="6"/>
        <v>5492.821182</v>
      </c>
      <c r="P12" s="2">
        <v>5.0</v>
      </c>
      <c r="Q12" s="3">
        <f t="shared" si="7"/>
        <v>0.002247191011</v>
      </c>
      <c r="R12" s="2">
        <v>0.0</v>
      </c>
      <c r="S12" s="5">
        <f t="shared" si="8"/>
        <v>0</v>
      </c>
    </row>
    <row r="13">
      <c r="A13" s="2" t="s">
        <v>7074</v>
      </c>
      <c r="B13" s="2">
        <v>4962.0</v>
      </c>
      <c r="C13" s="2">
        <v>58509.0</v>
      </c>
      <c r="D13" s="2">
        <v>19020.0</v>
      </c>
      <c r="E13" s="3">
        <f t="shared" si="1"/>
        <v>0.3552019721</v>
      </c>
      <c r="F13" s="2">
        <v>5891.0</v>
      </c>
      <c r="G13" s="3">
        <f t="shared" si="2"/>
        <v>0.1100155004</v>
      </c>
      <c r="H13" s="2">
        <v>11066.0</v>
      </c>
      <c r="I13" s="3">
        <f t="shared" si="3"/>
        <v>0.2066595701</v>
      </c>
      <c r="J13" s="2">
        <v>8694.0</v>
      </c>
      <c r="K13" s="3">
        <f t="shared" si="4"/>
        <v>0.1623620371</v>
      </c>
      <c r="L13" s="2">
        <v>6642.0</v>
      </c>
      <c r="M13" s="3">
        <f t="shared" si="5"/>
        <v>0.6002168805</v>
      </c>
      <c r="N13" s="2">
        <v>6.25831E7</v>
      </c>
      <c r="O13" s="4">
        <f t="shared" si="6"/>
        <v>5655.440087</v>
      </c>
      <c r="P13" s="2">
        <v>13.0</v>
      </c>
      <c r="Q13" s="3">
        <f t="shared" si="7"/>
        <v>0.002619911326</v>
      </c>
      <c r="R13" s="2">
        <v>4953.0</v>
      </c>
      <c r="S13" s="5">
        <f t="shared" si="8"/>
        <v>0.9981862152</v>
      </c>
    </row>
    <row r="14">
      <c r="A14" s="2" t="s">
        <v>6832</v>
      </c>
      <c r="B14" s="2">
        <v>7238.0</v>
      </c>
      <c r="C14" s="2">
        <v>85265.0</v>
      </c>
      <c r="D14" s="2">
        <v>23891.0</v>
      </c>
      <c r="E14" s="3">
        <f t="shared" si="1"/>
        <v>0.3061888833</v>
      </c>
      <c r="F14" s="2">
        <v>8792.0</v>
      </c>
      <c r="G14" s="3">
        <f t="shared" si="2"/>
        <v>0.1126789445</v>
      </c>
      <c r="H14" s="2">
        <v>16202.0</v>
      </c>
      <c r="I14" s="3">
        <f t="shared" si="3"/>
        <v>0.2076460712</v>
      </c>
      <c r="J14" s="2">
        <v>12722.0</v>
      </c>
      <c r="K14" s="3">
        <f t="shared" si="4"/>
        <v>0.1630461251</v>
      </c>
      <c r="L14" s="2">
        <v>9683.0</v>
      </c>
      <c r="M14" s="3">
        <f t="shared" si="5"/>
        <v>0.5976422664</v>
      </c>
      <c r="N14" s="2">
        <v>9.30958E7</v>
      </c>
      <c r="O14" s="4">
        <f t="shared" si="6"/>
        <v>5745.944945</v>
      </c>
      <c r="P14" s="2">
        <v>14.0</v>
      </c>
      <c r="Q14" s="3">
        <f t="shared" si="7"/>
        <v>0.001934235977</v>
      </c>
      <c r="R14" s="2">
        <v>7238.0</v>
      </c>
      <c r="S14" s="5">
        <f t="shared" si="8"/>
        <v>1</v>
      </c>
    </row>
    <row r="15">
      <c r="A15" s="2" t="s">
        <v>6048</v>
      </c>
      <c r="B15" s="2">
        <v>4306.0</v>
      </c>
      <c r="C15" s="2">
        <v>50007.0</v>
      </c>
      <c r="D15" s="2">
        <v>13701.0</v>
      </c>
      <c r="E15" s="3">
        <f t="shared" si="1"/>
        <v>0.2997965034</v>
      </c>
      <c r="F15" s="2">
        <v>5400.0</v>
      </c>
      <c r="G15" s="3">
        <f t="shared" si="2"/>
        <v>0.1181593401</v>
      </c>
      <c r="H15" s="2">
        <v>9642.0</v>
      </c>
      <c r="I15" s="3">
        <f t="shared" si="3"/>
        <v>0.2109800661</v>
      </c>
      <c r="J15" s="2">
        <v>9035.0</v>
      </c>
      <c r="K15" s="3">
        <f t="shared" si="4"/>
        <v>0.197698081</v>
      </c>
      <c r="L15" s="2">
        <v>5646.0</v>
      </c>
      <c r="M15" s="3">
        <f t="shared" si="5"/>
        <v>0.5855631612</v>
      </c>
      <c r="N15" s="2">
        <v>5.64132E7</v>
      </c>
      <c r="O15" s="4">
        <f t="shared" si="6"/>
        <v>5850.777847</v>
      </c>
      <c r="P15" s="2">
        <v>10.0</v>
      </c>
      <c r="Q15" s="3">
        <f t="shared" si="7"/>
        <v>0.00232234092</v>
      </c>
      <c r="R15" s="2">
        <v>4288.0</v>
      </c>
      <c r="S15" s="5">
        <f t="shared" si="8"/>
        <v>0.9958197863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5"/>
    <col customWidth="1" min="2" max="2" width="6.5"/>
    <col customWidth="1" min="3" max="4" width="0.38"/>
    <col customWidth="1" min="5" max="5" width="6.5"/>
    <col customWidth="1" min="6" max="6" width="0.38"/>
    <col customWidth="1" min="7" max="7" width="7.88"/>
    <col customWidth="1" min="8" max="8" width="0.38"/>
    <col customWidth="1" min="9" max="9" width="6.5"/>
    <col customWidth="1" min="10" max="10" width="0.38"/>
    <col customWidth="1" min="11" max="11" width="6.75"/>
    <col customWidth="1" min="12" max="12" width="0.38"/>
    <col customWidth="1" min="13" max="13" width="6.5"/>
    <col customWidth="1" min="14" max="14" width="0.38"/>
    <col customWidth="1" min="15" max="15" width="9.0"/>
    <col customWidth="1" min="16" max="16" width="8.25"/>
    <col customWidth="1" min="17" max="17" width="6.63"/>
    <col customWidth="1" min="18" max="18" width="0.38"/>
    <col customWidth="1" min="19" max="19" width="7.38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>
      <c r="A2" s="2" t="s">
        <v>7240</v>
      </c>
      <c r="B2" s="2">
        <v>357.0</v>
      </c>
      <c r="C2" s="2">
        <v>4226.0</v>
      </c>
      <c r="D2" s="2">
        <v>1100.0</v>
      </c>
      <c r="E2" s="3">
        <f t="shared" ref="E2:E10" si="1">D2/(C2 - B2)</f>
        <v>0.2843111915</v>
      </c>
      <c r="F2" s="2">
        <v>417.0</v>
      </c>
      <c r="G2" s="3">
        <f t="shared" ref="G2:G10" si="2">F2/(C2 - B2)</f>
        <v>0.1077797881</v>
      </c>
      <c r="H2" s="2">
        <v>756.0</v>
      </c>
      <c r="I2" s="3">
        <f t="shared" ref="I2:I10" si="3">H2/(C2 - B2)</f>
        <v>0.195399328</v>
      </c>
      <c r="J2" s="2">
        <v>694.0</v>
      </c>
      <c r="K2" s="3">
        <f t="shared" ref="K2:K10" si="4">J2/(C2 - B2)</f>
        <v>0.1793745154</v>
      </c>
      <c r="L2" s="2">
        <v>463.0</v>
      </c>
      <c r="M2" s="3">
        <f t="shared" ref="M2:M10" si="5">L2/H2</f>
        <v>0.6124338624</v>
      </c>
      <c r="N2" s="2">
        <v>4450900.0</v>
      </c>
      <c r="O2" s="4">
        <f t="shared" ref="O2:O10" si="6">N2/H2</f>
        <v>5887.433862</v>
      </c>
      <c r="P2" s="2">
        <v>1.0</v>
      </c>
      <c r="Q2" s="3">
        <f t="shared" ref="Q2:Q10" si="7">P2/B2</f>
        <v>0.002801120448</v>
      </c>
      <c r="R2" s="2">
        <v>357.0</v>
      </c>
      <c r="S2" s="5">
        <f t="shared" ref="S2:S10" si="8">R2/B2</f>
        <v>1</v>
      </c>
    </row>
    <row r="3">
      <c r="A3" s="2" t="s">
        <v>3836</v>
      </c>
      <c r="B3" s="2">
        <v>419.0</v>
      </c>
      <c r="C3" s="2">
        <v>4884.0</v>
      </c>
      <c r="D3" s="2">
        <v>1501.0</v>
      </c>
      <c r="E3" s="3">
        <f t="shared" si="1"/>
        <v>0.3361702128</v>
      </c>
      <c r="F3" s="2">
        <v>576.0</v>
      </c>
      <c r="G3" s="3">
        <f t="shared" si="2"/>
        <v>0.1290033595</v>
      </c>
      <c r="H3" s="2">
        <v>866.0</v>
      </c>
      <c r="I3" s="3">
        <f t="shared" si="3"/>
        <v>0.1939529675</v>
      </c>
      <c r="J3" s="2">
        <v>734.0</v>
      </c>
      <c r="K3" s="3">
        <f t="shared" si="4"/>
        <v>0.1643896976</v>
      </c>
      <c r="L3" s="2">
        <v>523.0</v>
      </c>
      <c r="M3" s="3">
        <f t="shared" si="5"/>
        <v>0.603926097</v>
      </c>
      <c r="N3" s="2">
        <v>5186600.0</v>
      </c>
      <c r="O3" s="4">
        <f t="shared" si="6"/>
        <v>5989.145497</v>
      </c>
      <c r="P3" s="2">
        <v>1.0</v>
      </c>
      <c r="Q3" s="3">
        <f t="shared" si="7"/>
        <v>0.002386634845</v>
      </c>
      <c r="R3" s="2">
        <v>412.0</v>
      </c>
      <c r="S3" s="5">
        <f t="shared" si="8"/>
        <v>0.9832935561</v>
      </c>
    </row>
    <row r="4">
      <c r="A4" s="2" t="s">
        <v>4987</v>
      </c>
      <c r="B4" s="2">
        <v>225.0</v>
      </c>
      <c r="C4" s="2">
        <v>2620.0</v>
      </c>
      <c r="D4" s="2">
        <v>842.0</v>
      </c>
      <c r="E4" s="3">
        <f t="shared" si="1"/>
        <v>0.351565762</v>
      </c>
      <c r="F4" s="2">
        <v>296.0</v>
      </c>
      <c r="G4" s="3">
        <f t="shared" si="2"/>
        <v>0.1235908142</v>
      </c>
      <c r="H4" s="2">
        <v>447.0</v>
      </c>
      <c r="I4" s="3">
        <f t="shared" si="3"/>
        <v>0.1866388309</v>
      </c>
      <c r="J4" s="2">
        <v>422.0</v>
      </c>
      <c r="K4" s="3">
        <f t="shared" si="4"/>
        <v>0.1762004175</v>
      </c>
      <c r="L4" s="2">
        <v>262.0</v>
      </c>
      <c r="M4" s="3">
        <f t="shared" si="5"/>
        <v>0.5861297539</v>
      </c>
      <c r="N4" s="2">
        <v>2603900.0</v>
      </c>
      <c r="O4" s="4">
        <f t="shared" si="6"/>
        <v>5825.279642</v>
      </c>
      <c r="P4" s="2">
        <v>0.0</v>
      </c>
      <c r="Q4" s="3">
        <f t="shared" si="7"/>
        <v>0</v>
      </c>
      <c r="R4" s="2">
        <v>225.0</v>
      </c>
      <c r="S4" s="5">
        <f t="shared" si="8"/>
        <v>1</v>
      </c>
    </row>
    <row r="5">
      <c r="A5" s="2" t="s">
        <v>4036</v>
      </c>
      <c r="B5" s="2">
        <v>165.0</v>
      </c>
      <c r="C5" s="2">
        <v>1937.0</v>
      </c>
      <c r="D5" s="2">
        <v>497.0</v>
      </c>
      <c r="E5" s="3">
        <f t="shared" si="1"/>
        <v>0.2804740406</v>
      </c>
      <c r="F5" s="2">
        <v>227.0</v>
      </c>
      <c r="G5" s="3">
        <f t="shared" si="2"/>
        <v>0.1281038375</v>
      </c>
      <c r="H5" s="2">
        <v>348.0</v>
      </c>
      <c r="I5" s="3">
        <f t="shared" si="3"/>
        <v>0.1963882619</v>
      </c>
      <c r="J5" s="2">
        <v>254.0</v>
      </c>
      <c r="K5" s="3">
        <f t="shared" si="4"/>
        <v>0.1433408578</v>
      </c>
      <c r="L5" s="2">
        <v>222.0</v>
      </c>
      <c r="M5" s="3">
        <f t="shared" si="5"/>
        <v>0.6379310345</v>
      </c>
      <c r="N5" s="2">
        <v>1899400.0</v>
      </c>
      <c r="O5" s="4">
        <f t="shared" si="6"/>
        <v>5458.045977</v>
      </c>
      <c r="P5" s="2">
        <v>0.0</v>
      </c>
      <c r="Q5" s="3">
        <f t="shared" si="7"/>
        <v>0</v>
      </c>
      <c r="R5" s="2">
        <v>165.0</v>
      </c>
      <c r="S5" s="5">
        <f t="shared" si="8"/>
        <v>1</v>
      </c>
    </row>
    <row r="6">
      <c r="A6" s="2" t="s">
        <v>692</v>
      </c>
      <c r="B6" s="2">
        <v>158.0</v>
      </c>
      <c r="C6" s="2">
        <v>1853.0</v>
      </c>
      <c r="D6" s="2">
        <v>546.0</v>
      </c>
      <c r="E6" s="3">
        <f t="shared" si="1"/>
        <v>0.3221238938</v>
      </c>
      <c r="F6" s="2">
        <v>265.0</v>
      </c>
      <c r="G6" s="3">
        <f t="shared" si="2"/>
        <v>0.1563421829</v>
      </c>
      <c r="H6" s="2">
        <v>345.0</v>
      </c>
      <c r="I6" s="3">
        <f t="shared" si="3"/>
        <v>0.203539823</v>
      </c>
      <c r="J6" s="2">
        <v>286.0</v>
      </c>
      <c r="K6" s="3">
        <f t="shared" si="4"/>
        <v>0.1687315634</v>
      </c>
      <c r="L6" s="2">
        <v>215.0</v>
      </c>
      <c r="M6" s="3">
        <f t="shared" si="5"/>
        <v>0.6231884058</v>
      </c>
      <c r="N6" s="2">
        <v>1920400.0</v>
      </c>
      <c r="O6" s="4">
        <f t="shared" si="6"/>
        <v>5566.376812</v>
      </c>
      <c r="P6" s="2">
        <v>0.0</v>
      </c>
      <c r="Q6" s="3">
        <f t="shared" si="7"/>
        <v>0</v>
      </c>
      <c r="R6" s="2">
        <v>158.0</v>
      </c>
      <c r="S6" s="5">
        <f t="shared" si="8"/>
        <v>1</v>
      </c>
    </row>
    <row r="7">
      <c r="A7" s="14" t="s">
        <v>7804</v>
      </c>
      <c r="B7" s="2">
        <v>409.0</v>
      </c>
      <c r="C7" s="2">
        <v>4759.0</v>
      </c>
      <c r="D7" s="2">
        <v>1429.0</v>
      </c>
      <c r="E7" s="3">
        <f t="shared" si="1"/>
        <v>0.3285057471</v>
      </c>
      <c r="F7" s="2">
        <v>594.0</v>
      </c>
      <c r="G7" s="3">
        <f t="shared" si="2"/>
        <v>0.1365517241</v>
      </c>
      <c r="H7" s="2">
        <v>907.0</v>
      </c>
      <c r="I7" s="3">
        <f t="shared" si="3"/>
        <v>0.2085057471</v>
      </c>
      <c r="J7" s="2">
        <v>726.0</v>
      </c>
      <c r="K7" s="3">
        <f t="shared" si="4"/>
        <v>0.1668965517</v>
      </c>
      <c r="L7" s="2">
        <v>558.0</v>
      </c>
      <c r="M7" s="3">
        <f t="shared" si="5"/>
        <v>0.6152149945</v>
      </c>
      <c r="N7" s="2">
        <v>5117300.0</v>
      </c>
      <c r="O7" s="4">
        <f t="shared" si="6"/>
        <v>5642.006615</v>
      </c>
      <c r="P7" s="2">
        <v>0.0</v>
      </c>
      <c r="Q7" s="3">
        <f t="shared" si="7"/>
        <v>0</v>
      </c>
      <c r="R7" s="2">
        <v>3.0</v>
      </c>
      <c r="S7" s="5">
        <f t="shared" si="8"/>
        <v>0.007334963325</v>
      </c>
    </row>
    <row r="8">
      <c r="A8" s="2" t="s">
        <v>6032</v>
      </c>
      <c r="B8" s="2">
        <v>8157.0</v>
      </c>
      <c r="C8" s="2">
        <v>95363.0</v>
      </c>
      <c r="D8" s="2">
        <v>29543.0</v>
      </c>
      <c r="E8" s="3">
        <f t="shared" si="1"/>
        <v>0.3387725615</v>
      </c>
      <c r="F8" s="2">
        <v>10315.0</v>
      </c>
      <c r="G8" s="3">
        <f t="shared" si="2"/>
        <v>0.1182831457</v>
      </c>
      <c r="H8" s="2">
        <v>18975.0</v>
      </c>
      <c r="I8" s="3">
        <f t="shared" si="3"/>
        <v>0.2175882393</v>
      </c>
      <c r="J8" s="2">
        <v>15937.0</v>
      </c>
      <c r="K8" s="3">
        <f t="shared" si="4"/>
        <v>0.1827511868</v>
      </c>
      <c r="L8" s="2">
        <v>11221.0</v>
      </c>
      <c r="M8" s="3">
        <f t="shared" si="5"/>
        <v>0.5913570487</v>
      </c>
      <c r="N8" s="2">
        <v>1.102118E8</v>
      </c>
      <c r="O8" s="4">
        <f t="shared" si="6"/>
        <v>5808.263505</v>
      </c>
      <c r="P8" s="2">
        <v>12.0</v>
      </c>
      <c r="Q8" s="3">
        <f t="shared" si="7"/>
        <v>0.001471129092</v>
      </c>
      <c r="R8" s="2">
        <v>8156.0</v>
      </c>
      <c r="S8" s="5">
        <f t="shared" si="8"/>
        <v>0.9998774059</v>
      </c>
    </row>
    <row r="9">
      <c r="A9" s="2" t="s">
        <v>6792</v>
      </c>
      <c r="B9" s="2">
        <v>4406.0</v>
      </c>
      <c r="C9" s="2">
        <v>52148.0</v>
      </c>
      <c r="D9" s="2">
        <v>16878.0</v>
      </c>
      <c r="E9" s="3">
        <f t="shared" si="1"/>
        <v>0.3535251979</v>
      </c>
      <c r="F9" s="2">
        <v>5396.0</v>
      </c>
      <c r="G9" s="3">
        <f t="shared" si="2"/>
        <v>0.1130241716</v>
      </c>
      <c r="H9" s="2">
        <v>10174.0</v>
      </c>
      <c r="I9" s="3">
        <f t="shared" si="3"/>
        <v>0.2131037661</v>
      </c>
      <c r="J9" s="2">
        <v>7445.0</v>
      </c>
      <c r="K9" s="3">
        <f t="shared" si="4"/>
        <v>0.1559423568</v>
      </c>
      <c r="L9" s="2">
        <v>6134.0</v>
      </c>
      <c r="M9" s="3">
        <f t="shared" si="5"/>
        <v>0.6029093768</v>
      </c>
      <c r="N9" s="2">
        <v>5.57068E7</v>
      </c>
      <c r="O9" s="4">
        <f t="shared" si="6"/>
        <v>5475.407902</v>
      </c>
      <c r="P9" s="2">
        <v>8.0</v>
      </c>
      <c r="Q9" s="3">
        <f t="shared" si="7"/>
        <v>0.001815705856</v>
      </c>
      <c r="R9" s="2">
        <v>4344.0</v>
      </c>
      <c r="S9" s="5">
        <f t="shared" si="8"/>
        <v>0.9859282796</v>
      </c>
    </row>
    <row r="10">
      <c r="A10" s="2" t="s">
        <v>2356</v>
      </c>
      <c r="B10" s="2">
        <v>3199.0</v>
      </c>
      <c r="C10" s="2">
        <v>37264.0</v>
      </c>
      <c r="D10" s="2">
        <v>11473.0</v>
      </c>
      <c r="E10" s="3">
        <f t="shared" si="1"/>
        <v>0.3367972993</v>
      </c>
      <c r="F10" s="2">
        <v>4683.0</v>
      </c>
      <c r="G10" s="3">
        <f t="shared" si="2"/>
        <v>0.1374724791</v>
      </c>
      <c r="H10" s="2">
        <v>7682.0</v>
      </c>
      <c r="I10" s="3">
        <f t="shared" si="3"/>
        <v>0.2255100543</v>
      </c>
      <c r="J10" s="2">
        <v>6274.0</v>
      </c>
      <c r="K10" s="3">
        <f t="shared" si="4"/>
        <v>0.1841773081</v>
      </c>
      <c r="L10" s="2">
        <v>4593.0</v>
      </c>
      <c r="M10" s="3">
        <f t="shared" si="5"/>
        <v>0.5978911742</v>
      </c>
      <c r="N10" s="2">
        <v>4.25259E7</v>
      </c>
      <c r="O10" s="4">
        <f t="shared" si="6"/>
        <v>5535.784952</v>
      </c>
      <c r="P10" s="2">
        <v>10.0</v>
      </c>
      <c r="Q10" s="3">
        <f t="shared" si="7"/>
        <v>0.003125976868</v>
      </c>
      <c r="R10" s="2">
        <v>3.0</v>
      </c>
      <c r="S10" s="5">
        <f t="shared" si="8"/>
        <v>0.0009377930603</v>
      </c>
    </row>
  </sheetData>
  <drawing r:id="rId1"/>
</worksheet>
</file>